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Vitória Dumbá\Downloads\"/>
    </mc:Choice>
  </mc:AlternateContent>
  <xr:revisionPtr revIDLastSave="0" documentId="8_{DE228D63-6439-4380-A1D2-0414CF079846}" xr6:coauthVersionLast="47" xr6:coauthVersionMax="47" xr10:uidLastSave="{00000000-0000-0000-0000-000000000000}"/>
  <bookViews>
    <workbookView xWindow="-108" yWindow="-108" windowWidth="23256" windowHeight="12456" xr2:uid="{6E28A968-2A37-4828-818B-7A0AE6B733B3}"/>
  </bookViews>
  <sheets>
    <sheet name="divinópolis" sheetId="1" r:id="rId1"/>
  </sheets>
  <definedNames>
    <definedName name="_xlnm._FilterDatabase" localSheetId="0" hidden="1">divinópolis!$A$1:$AZ$6844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844" i="1" l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<sst xmlns="http://schemas.openxmlformats.org/spreadsheetml/2006/main" count="143755" uniqueCount="2406">
  <si>
    <t>Município</t>
  </si>
  <si>
    <t>UF</t>
  </si>
  <si>
    <t>Ano</t>
  </si>
  <si>
    <t>Candidato</t>
  </si>
  <si>
    <t>Variável</t>
  </si>
  <si>
    <t>Classificação</t>
  </si>
  <si>
    <t>CEP</t>
  </si>
  <si>
    <t>CD_setor</t>
  </si>
  <si>
    <t>ID_POLIGONO</t>
  </si>
  <si>
    <t>CD_MUN</t>
  </si>
  <si>
    <t>Bairro</t>
  </si>
  <si>
    <t>Bairro_Censo</t>
  </si>
  <si>
    <t>Localidade_CNEFE</t>
  </si>
  <si>
    <t>Rua</t>
  </si>
  <si>
    <t>Numero_Endereco</t>
  </si>
  <si>
    <t>Latitude</t>
  </si>
  <si>
    <t>Longitude</t>
  </si>
  <si>
    <t>Google Maps</t>
  </si>
  <si>
    <t>Oportunidade</t>
  </si>
  <si>
    <t>Distancia_Oportunidade_Setor_m</t>
  </si>
  <si>
    <t>Quartil_Fundo</t>
  </si>
  <si>
    <t>Valor_Bruto</t>
  </si>
  <si>
    <t>Peso_Moradores</t>
  </si>
  <si>
    <t>Valor_Ajustado</t>
  </si>
  <si>
    <t>Votos_Candidato</t>
  </si>
  <si>
    <t>Distancia_Urna_Setor_m</t>
  </si>
  <si>
    <t>Q1_Votos_Base</t>
  </si>
  <si>
    <t>Q2_Votos_Base</t>
  </si>
  <si>
    <t>Q3_Votos_Base</t>
  </si>
  <si>
    <t>XG</t>
  </si>
  <si>
    <t>Total_Setores_Município</t>
  </si>
  <si>
    <t>Qtd_Ideal_Município</t>
  </si>
  <si>
    <t>Qtd_Subideal_Município</t>
  </si>
  <si>
    <t>Qtd_Base_Município</t>
  </si>
  <si>
    <t>Percentual_Ideal_Município</t>
  </si>
  <si>
    <t>Percentual_Subideal_Município</t>
  </si>
  <si>
    <t>Percentual_Base_Município</t>
  </si>
  <si>
    <t>Latitude_Setor</t>
  </si>
  <si>
    <t>Longitude_Setor</t>
  </si>
  <si>
    <t>Latitude_Poligono_Base</t>
  </si>
  <si>
    <t>Longitude_Poligono_Base</t>
  </si>
  <si>
    <t>Latitude_Endereco</t>
  </si>
  <si>
    <t>Longitude_Endereco</t>
  </si>
  <si>
    <t>Distancia_Endereco_Poligono_m</t>
  </si>
  <si>
    <t>Metodo_Correspondencia</t>
  </si>
  <si>
    <t>Nivel_Geocodificacao_CNEFE</t>
  </si>
  <si>
    <t>Codigo_Unico_Endereco_CNEFE</t>
  </si>
  <si>
    <t>CD_Setor_CNEFE</t>
  </si>
  <si>
    <t>CD_MUN_CNEFE</t>
  </si>
  <si>
    <t>Status_Endereco</t>
  </si>
  <si>
    <t>Fonte_Endereco</t>
  </si>
  <si>
    <t>ENDERECO_ENCONTRADO</t>
  </si>
  <si>
    <t>divinópolis</t>
  </si>
  <si>
    <t>MG</t>
  </si>
  <si>
    <t>2022</t>
  </si>
  <si>
    <t>LOHANNA SOUZA FRANÇA MOREIRA DE OLIVEIRA</t>
  </si>
  <si>
    <t>Comportamento e Rotina - Predominância de Instagram, consumo visual, influenciadores</t>
  </si>
  <si>
    <t>Ideal</t>
  </si>
  <si>
    <t>35501-173</t>
  </si>
  <si>
    <t>312230605000141</t>
  </si>
  <si>
    <t>3122306</t>
  </si>
  <si>
    <t>SANTA LUZIA</t>
  </si>
  <si>
    <t>—</t>
  </si>
  <si>
    <t>RUA NOSSA SENHORA APARECIDA</t>
  </si>
  <si>
    <t>1010</t>
  </si>
  <si>
    <t>ponto_cnefe_dentro_do_poligono</t>
  </si>
  <si>
    <t>33672192</t>
  </si>
  <si>
    <t>312230605000141P</t>
  </si>
  <si>
    <t>completo</t>
  </si>
  <si>
    <t>IBGE CNEFE 2022</t>
  </si>
  <si>
    <t>35501-191</t>
  </si>
  <si>
    <t>312230605000506</t>
  </si>
  <si>
    <t>PLANALTO</t>
  </si>
  <si>
    <t>RUA IPATINGA</t>
  </si>
  <si>
    <t>451</t>
  </si>
  <si>
    <t>32785652</t>
  </si>
  <si>
    <t>312230605000506P</t>
  </si>
  <si>
    <t>35501-195</t>
  </si>
  <si>
    <t>312230605000507</t>
  </si>
  <si>
    <t>RUA IBITURUNA</t>
  </si>
  <si>
    <t>327</t>
  </si>
  <si>
    <t>32785378</t>
  </si>
  <si>
    <t>312230605000507P</t>
  </si>
  <si>
    <t>35501-199</t>
  </si>
  <si>
    <t>312230605000520</t>
  </si>
  <si>
    <t>RUA MANOEL BANDEIRA</t>
  </si>
  <si>
    <t>380</t>
  </si>
  <si>
    <t>33671927</t>
  </si>
  <si>
    <t>312230605000520P</t>
  </si>
  <si>
    <t>35501-178</t>
  </si>
  <si>
    <t>312230605000647</t>
  </si>
  <si>
    <t>RUA ARI PARREIRA BARBOSA</t>
  </si>
  <si>
    <t>586</t>
  </si>
  <si>
    <t>33673554</t>
  </si>
  <si>
    <t>312230605000145P</t>
  </si>
  <si>
    <t>35501-190</t>
  </si>
  <si>
    <t>312230605000648</t>
  </si>
  <si>
    <t>RUA IPANEMA</t>
  </si>
  <si>
    <t>71</t>
  </si>
  <si>
    <t>33673711</t>
  </si>
  <si>
    <t>35504-277</t>
  </si>
  <si>
    <t>312230605000649</t>
  </si>
  <si>
    <t>RUA DELFINOPOLIS</t>
  </si>
  <si>
    <t>500</t>
  </si>
  <si>
    <t>100917592</t>
  </si>
  <si>
    <t>312230605000521P</t>
  </si>
  <si>
    <t>312230605000650</t>
  </si>
  <si>
    <t>100917615</t>
  </si>
  <si>
    <t>35503-226</t>
  </si>
  <si>
    <t>312230605000165</t>
  </si>
  <si>
    <t>XAVANTE</t>
  </si>
  <si>
    <t>RUA ANA MARIA CANEDO</t>
  </si>
  <si>
    <t>150</t>
  </si>
  <si>
    <t>105057318</t>
  </si>
  <si>
    <t>312230605000165P</t>
  </si>
  <si>
    <t>35500-181</t>
  </si>
  <si>
    <t>312230605000633</t>
  </si>
  <si>
    <t>ALVORADA</t>
  </si>
  <si>
    <t>RUA JOSE MARIA CAMPOS</t>
  </si>
  <si>
    <t>141</t>
  </si>
  <si>
    <t>33153920</t>
  </si>
  <si>
    <t>312230605000259P</t>
  </si>
  <si>
    <t>35500-177</t>
  </si>
  <si>
    <t>312230605000634</t>
  </si>
  <si>
    <t>RUA PROFESSORA DIVA DE OLIVEIRA</t>
  </si>
  <si>
    <t>81</t>
  </si>
  <si>
    <t>33153489</t>
  </si>
  <si>
    <t>35500-287</t>
  </si>
  <si>
    <t>312230605000058</t>
  </si>
  <si>
    <t>UNIVERSITARIO</t>
  </si>
  <si>
    <t>RUA BELVEDERE</t>
  </si>
  <si>
    <t>1495</t>
  </si>
  <si>
    <t>33561807</t>
  </si>
  <si>
    <t>312230605000058P</t>
  </si>
  <si>
    <t>35500-890</t>
  </si>
  <si>
    <t>312230605000464</t>
  </si>
  <si>
    <t>DAVANUZE</t>
  </si>
  <si>
    <t>RUA ELPIDIO GOMES</t>
  </si>
  <si>
    <t>21</t>
  </si>
  <si>
    <t>100495216</t>
  </si>
  <si>
    <t>312230605000464P</t>
  </si>
  <si>
    <t>35504-708</t>
  </si>
  <si>
    <t>312230605000466</t>
  </si>
  <si>
    <t>SANTA LUCIA</t>
  </si>
  <si>
    <t>RUA JOSIAS CALDEIRA</t>
  </si>
  <si>
    <t>290</t>
  </si>
  <si>
    <t>33610087</t>
  </si>
  <si>
    <t>312230605000466P</t>
  </si>
  <si>
    <t>35504-232</t>
  </si>
  <si>
    <t>312230605000540</t>
  </si>
  <si>
    <t>PADRE EUSTAQUIO</t>
  </si>
  <si>
    <t>RUA AUGUSTO DE OLIVEIRA TORRES</t>
  </si>
  <si>
    <t>430</t>
  </si>
  <si>
    <t>32780229</t>
  </si>
  <si>
    <t>312230605000540P</t>
  </si>
  <si>
    <t>35501-105</t>
  </si>
  <si>
    <t>312230605000322</t>
  </si>
  <si>
    <t>NOVA HOLANDA</t>
  </si>
  <si>
    <t>RUA SANTAREM</t>
  </si>
  <si>
    <t>226</t>
  </si>
  <si>
    <t>106880993</t>
  </si>
  <si>
    <t>312230605000322P</t>
  </si>
  <si>
    <t>35501-130</t>
  </si>
  <si>
    <t>312230605000475</t>
  </si>
  <si>
    <t>TERRA AZUL</t>
  </si>
  <si>
    <t>AVENIDA JOSE ALVES MARTINS</t>
  </si>
  <si>
    <t>251</t>
  </si>
  <si>
    <t>33615163</t>
  </si>
  <si>
    <t>312230605000475P</t>
  </si>
  <si>
    <t>35501-028</t>
  </si>
  <si>
    <t>312230605000283</t>
  </si>
  <si>
    <t>ESPLANADA</t>
  </si>
  <si>
    <t>RUA PROFESSOR JAHEL CORREA BRANDAO</t>
  </si>
  <si>
    <t>58</t>
  </si>
  <si>
    <t>33556264</t>
  </si>
  <si>
    <t>312230605000283P</t>
  </si>
  <si>
    <t>35500-221</t>
  </si>
  <si>
    <t>312230605000289</t>
  </si>
  <si>
    <t>SAO GERALDO</t>
  </si>
  <si>
    <t>RUA SAO BENTO MENNI</t>
  </si>
  <si>
    <t>421</t>
  </si>
  <si>
    <t>105061283</t>
  </si>
  <si>
    <t>312230605000289P</t>
  </si>
  <si>
    <t>35500-589</t>
  </si>
  <si>
    <t>312230605000457</t>
  </si>
  <si>
    <t>SAO LUCAS</t>
  </si>
  <si>
    <t>RUA ULISSES GUIMARAES</t>
  </si>
  <si>
    <t>640</t>
  </si>
  <si>
    <t>104041352</t>
  </si>
  <si>
    <t>312230605000457P</t>
  </si>
  <si>
    <t>Subideal</t>
  </si>
  <si>
    <t>35504-111</t>
  </si>
  <si>
    <t>312230605000144</t>
  </si>
  <si>
    <t>TIETE</t>
  </si>
  <si>
    <t>ALAMEDA RIO DAS FLORES</t>
  </si>
  <si>
    <t>181</t>
  </si>
  <si>
    <t>33673124</t>
  </si>
  <si>
    <t>312230605000144P</t>
  </si>
  <si>
    <t>35502-655</t>
  </si>
  <si>
    <t>312230605000396</t>
  </si>
  <si>
    <t>LIBERDADE</t>
  </si>
  <si>
    <t>RUA VEREADOR ZANIO GONTIJO</t>
  </si>
  <si>
    <t>91</t>
  </si>
  <si>
    <t>220558354</t>
  </si>
  <si>
    <t>312230605000396P</t>
  </si>
  <si>
    <t>35500-192</t>
  </si>
  <si>
    <t>312230605000422</t>
  </si>
  <si>
    <t>BOM PASTOR</t>
  </si>
  <si>
    <t>RUA ITINGA</t>
  </si>
  <si>
    <t>988</t>
  </si>
  <si>
    <t>33154615</t>
  </si>
  <si>
    <t>312230605000422P</t>
  </si>
  <si>
    <t>35500-470</t>
  </si>
  <si>
    <t>312230605000085</t>
  </si>
  <si>
    <t>INTERLAGOS</t>
  </si>
  <si>
    <t>RUA JOAO DIAS</t>
  </si>
  <si>
    <t>600</t>
  </si>
  <si>
    <t>33606971</t>
  </si>
  <si>
    <t>312230605000085P</t>
  </si>
  <si>
    <t>35500-459</t>
  </si>
  <si>
    <t>312230605000086</t>
  </si>
  <si>
    <t>RUA JESUS JOTA</t>
  </si>
  <si>
    <t>755</t>
  </si>
  <si>
    <t>33607399</t>
  </si>
  <si>
    <t>312230605000086P</t>
  </si>
  <si>
    <t>35500-458</t>
  </si>
  <si>
    <t>312230605000089</t>
  </si>
  <si>
    <t>NACOES</t>
  </si>
  <si>
    <t>RUA BOM SUCESSO</t>
  </si>
  <si>
    <t>2160</t>
  </si>
  <si>
    <t>33608412</t>
  </si>
  <si>
    <t>312230605000089P</t>
  </si>
  <si>
    <t>35500-528</t>
  </si>
  <si>
    <t>312230605000296</t>
  </si>
  <si>
    <t>RUA URUGUAI</t>
  </si>
  <si>
    <t>350</t>
  </si>
  <si>
    <t>215311518</t>
  </si>
  <si>
    <t>312230605000296P</t>
  </si>
  <si>
    <t>35500-529</t>
  </si>
  <si>
    <t>312230605000463</t>
  </si>
  <si>
    <t>RUA PARAGUAI</t>
  </si>
  <si>
    <t>33607961</t>
  </si>
  <si>
    <t>312230605000463P</t>
  </si>
  <si>
    <t>35500-455</t>
  </si>
  <si>
    <t>312230605000084</t>
  </si>
  <si>
    <t>RUA ROSA VITERBO GONTIJO</t>
  </si>
  <si>
    <t>634</t>
  </si>
  <si>
    <t>33606724</t>
  </si>
  <si>
    <t>312230605000084P</t>
  </si>
  <si>
    <t>312230605000461</t>
  </si>
  <si>
    <t>221</t>
  </si>
  <si>
    <t>33606370</t>
  </si>
  <si>
    <t>312230605000461P</t>
  </si>
  <si>
    <t>35500-547</t>
  </si>
  <si>
    <t>312230605000092</t>
  </si>
  <si>
    <t>VALE DO SOL</t>
  </si>
  <si>
    <t>RUA BRUXELAS</t>
  </si>
  <si>
    <t>26</t>
  </si>
  <si>
    <t>33609333</t>
  </si>
  <si>
    <t>312230605000092P</t>
  </si>
  <si>
    <t>35500-566</t>
  </si>
  <si>
    <t>312230605000299</t>
  </si>
  <si>
    <t>SAGRADA FAMILIA</t>
  </si>
  <si>
    <t>RUA BOM JARDIM</t>
  </si>
  <si>
    <t>441</t>
  </si>
  <si>
    <t>33609359</t>
  </si>
  <si>
    <t>312230605000299P</t>
  </si>
  <si>
    <t>35500-555</t>
  </si>
  <si>
    <t>312230605000303</t>
  </si>
  <si>
    <t>RUA LISBOA</t>
  </si>
  <si>
    <t>80</t>
  </si>
  <si>
    <t>33610414</t>
  </si>
  <si>
    <t>312230605000303P</t>
  </si>
  <si>
    <t>35502-856</t>
  </si>
  <si>
    <t>312230605000388</t>
  </si>
  <si>
    <t>RUA JOSE JAIME SOARES</t>
  </si>
  <si>
    <t>311</t>
  </si>
  <si>
    <t>32779325</t>
  </si>
  <si>
    <t>312230605000388P</t>
  </si>
  <si>
    <t>35500-557</t>
  </si>
  <si>
    <t>312230605000391</t>
  </si>
  <si>
    <t>VILA DAS ROSEIRAS</t>
  </si>
  <si>
    <t>RUA MILAO</t>
  </si>
  <si>
    <t>330</t>
  </si>
  <si>
    <t>32780170</t>
  </si>
  <si>
    <t>312230605000391P</t>
  </si>
  <si>
    <t>312230605000465</t>
  </si>
  <si>
    <t>401</t>
  </si>
  <si>
    <t>33609881</t>
  </si>
  <si>
    <t>312230605000465P</t>
  </si>
  <si>
    <t>35502-835</t>
  </si>
  <si>
    <t>312230605000467</t>
  </si>
  <si>
    <t>RUA NECESIO DO NASCIMENTO BARRETO</t>
  </si>
  <si>
    <t>171</t>
  </si>
  <si>
    <t>33610002</t>
  </si>
  <si>
    <t>312230605000467P</t>
  </si>
  <si>
    <t>312230605000468</t>
  </si>
  <si>
    <t>731</t>
  </si>
  <si>
    <t>33610668</t>
  </si>
  <si>
    <t>312230605000468P</t>
  </si>
  <si>
    <t>35500-548</t>
  </si>
  <si>
    <t>312230605000541</t>
  </si>
  <si>
    <t>RUA BOSTON</t>
  </si>
  <si>
    <t>1101</t>
  </si>
  <si>
    <t>32779986</t>
  </si>
  <si>
    <t>312230605000541P</t>
  </si>
  <si>
    <t>35502-834</t>
  </si>
  <si>
    <t>312230605000619</t>
  </si>
  <si>
    <t>RUA MANOEL FERNANDES TEIXEIRA</t>
  </si>
  <si>
    <t>121</t>
  </si>
  <si>
    <t>194099242</t>
  </si>
  <si>
    <t>312230605000389P</t>
  </si>
  <si>
    <t>35502-844</t>
  </si>
  <si>
    <t>312230605000620</t>
  </si>
  <si>
    <t>RUA JOSE MACHADO GONTIJO</t>
  </si>
  <si>
    <t>0</t>
  </si>
  <si>
    <t>100986423</t>
  </si>
  <si>
    <t>312230605000622</t>
  </si>
  <si>
    <t>725</t>
  </si>
  <si>
    <t>104633684</t>
  </si>
  <si>
    <t>312230605000300P</t>
  </si>
  <si>
    <t>35500-361</t>
  </si>
  <si>
    <t>312230605000270</t>
  </si>
  <si>
    <t>MARIA HELENA</t>
  </si>
  <si>
    <t>RUA SAO LUIZ</t>
  </si>
  <si>
    <t>240</t>
  </si>
  <si>
    <t>33157070</t>
  </si>
  <si>
    <t>312230605000270P</t>
  </si>
  <si>
    <t>35504-280</t>
  </si>
  <si>
    <t>312230605000106</t>
  </si>
  <si>
    <t>RUA JOAO JAQUES</t>
  </si>
  <si>
    <t>271</t>
  </si>
  <si>
    <t>33615560</t>
  </si>
  <si>
    <t>312230605000106P</t>
  </si>
  <si>
    <t>35501-071</t>
  </si>
  <si>
    <t>312230605000239</t>
  </si>
  <si>
    <t>SANTA TEREZA</t>
  </si>
  <si>
    <t>RUA TEOFILO OTONI</t>
  </si>
  <si>
    <t>170</t>
  </si>
  <si>
    <t>32781934</t>
  </si>
  <si>
    <t>312230605000239P</t>
  </si>
  <si>
    <t>35501-113</t>
  </si>
  <si>
    <t>312230605000474</t>
  </si>
  <si>
    <t>RUA JOUBERT CAVALIERI ZEZA</t>
  </si>
  <si>
    <t>610</t>
  </si>
  <si>
    <t>33614813</t>
  </si>
  <si>
    <t>312230605000474P</t>
  </si>
  <si>
    <t>35501-079</t>
  </si>
  <si>
    <t>312230605000611</t>
  </si>
  <si>
    <t>RUA FREI RESPICIO</t>
  </si>
  <si>
    <t>124</t>
  </si>
  <si>
    <t>106861231</t>
  </si>
  <si>
    <t>312230605000235P</t>
  </si>
  <si>
    <t>35500-238</t>
  </si>
  <si>
    <t>312230605000068</t>
  </si>
  <si>
    <t>SAO JOAO DE DEUS</t>
  </si>
  <si>
    <t>RUA BORIO</t>
  </si>
  <si>
    <t>191</t>
  </si>
  <si>
    <t>33564703</t>
  </si>
  <si>
    <t>312230605000068P</t>
  </si>
  <si>
    <t>35500-215</t>
  </si>
  <si>
    <t>312230605000070</t>
  </si>
  <si>
    <t>NITEROI</t>
  </si>
  <si>
    <t>RUA TOPAZIO</t>
  </si>
  <si>
    <t>33565261</t>
  </si>
  <si>
    <t>312230605000070P</t>
  </si>
  <si>
    <t>35503-560</t>
  </si>
  <si>
    <t>312230605000065</t>
  </si>
  <si>
    <t>SAO LUIZ</t>
  </si>
  <si>
    <t>RUA MESQUITA</t>
  </si>
  <si>
    <t>111</t>
  </si>
  <si>
    <t>33564085</t>
  </si>
  <si>
    <t>312230605000065P</t>
  </si>
  <si>
    <t>35501-138</t>
  </si>
  <si>
    <t>312230605000513</t>
  </si>
  <si>
    <t>ELIZABETH NOGUEIRA</t>
  </si>
  <si>
    <t>RUA JOSE GOMES DA SILVA</t>
  </si>
  <si>
    <t>204</t>
  </si>
  <si>
    <t>100612978</t>
  </si>
  <si>
    <t>312230605000513P</t>
  </si>
  <si>
    <t>35501-188</t>
  </si>
  <si>
    <t>312230605000142</t>
  </si>
  <si>
    <t>RUA GERALDO CARDOSO</t>
  </si>
  <si>
    <t>591</t>
  </si>
  <si>
    <t>33672746</t>
  </si>
  <si>
    <t>312230605000142P</t>
  </si>
  <si>
    <t>35501-233</t>
  </si>
  <si>
    <t>312230605000122</t>
  </si>
  <si>
    <t>SAO JOSE</t>
  </si>
  <si>
    <t>RUA MARECHAL CASTELO BRANCO</t>
  </si>
  <si>
    <t>193996611</t>
  </si>
  <si>
    <t>312230605000122P</t>
  </si>
  <si>
    <t>35501-232</t>
  </si>
  <si>
    <t>312230605000135</t>
  </si>
  <si>
    <t>RUA CASCALHO RICO</t>
  </si>
  <si>
    <t>780</t>
  </si>
  <si>
    <t>33670660</t>
  </si>
  <si>
    <t>312230605000135P</t>
  </si>
  <si>
    <t>35501-205</t>
  </si>
  <si>
    <t>312230605000137</t>
  </si>
  <si>
    <t>RUA CASTRO ALVES</t>
  </si>
  <si>
    <t>1371</t>
  </si>
  <si>
    <t>33671093</t>
  </si>
  <si>
    <t>312230605000137P</t>
  </si>
  <si>
    <t>35500-065</t>
  </si>
  <si>
    <t>312230605000242</t>
  </si>
  <si>
    <t>AVENIDA AMAZONAS</t>
  </si>
  <si>
    <t>1380</t>
  </si>
  <si>
    <t>32782294</t>
  </si>
  <si>
    <t>312230605000242P</t>
  </si>
  <si>
    <t>35501-204</t>
  </si>
  <si>
    <t>312230605000250</t>
  </si>
  <si>
    <t>RUA AFRANIO PEIXOTO</t>
  </si>
  <si>
    <t>1649</t>
  </si>
  <si>
    <t>32784461</t>
  </si>
  <si>
    <t>312230605000250P</t>
  </si>
  <si>
    <t>35501-253</t>
  </si>
  <si>
    <t>312230605000129</t>
  </si>
  <si>
    <t>MORADA NOVA</t>
  </si>
  <si>
    <t>RUA SANTO ANTONIO DO MONTE</t>
  </si>
  <si>
    <t>33622673</t>
  </si>
  <si>
    <t>312230605000129P</t>
  </si>
  <si>
    <t>35501-351</t>
  </si>
  <si>
    <t>312230605000515</t>
  </si>
  <si>
    <t>CHANADOUR</t>
  </si>
  <si>
    <t>RUA LAGOA DA PRATA</t>
  </si>
  <si>
    <t>520</t>
  </si>
  <si>
    <t>100778086</t>
  </si>
  <si>
    <t>312230605000515P</t>
  </si>
  <si>
    <t>35501-542</t>
  </si>
  <si>
    <t>312230605000544</t>
  </si>
  <si>
    <t>MARAJO</t>
  </si>
  <si>
    <t>RUA NEUZA GONCALVES DE MORAES</t>
  </si>
  <si>
    <t>101059864</t>
  </si>
  <si>
    <t>312230605000544P</t>
  </si>
  <si>
    <t>35500-430</t>
  </si>
  <si>
    <t>312230605000075</t>
  </si>
  <si>
    <t>PORTO VELHO</t>
  </si>
  <si>
    <t>RUA RIO BRANCO</t>
  </si>
  <si>
    <t>938</t>
  </si>
  <si>
    <t>33604171</t>
  </si>
  <si>
    <t>312230605000075P</t>
  </si>
  <si>
    <t>35500-435</t>
  </si>
  <si>
    <t>312230605000078</t>
  </si>
  <si>
    <t>RUA SARGENTO VALERIO</t>
  </si>
  <si>
    <t>778</t>
  </si>
  <si>
    <t>193710997</t>
  </si>
  <si>
    <t>312230605000078P</t>
  </si>
  <si>
    <t>35501-244</t>
  </si>
  <si>
    <t>312230605000482</t>
  </si>
  <si>
    <t>RUA CAPELINHA</t>
  </si>
  <si>
    <t>651</t>
  </si>
  <si>
    <t>33623790</t>
  </si>
  <si>
    <t>312230605000482P</t>
  </si>
  <si>
    <t>35502-038</t>
  </si>
  <si>
    <t>312230605000034</t>
  </si>
  <si>
    <t>SANTO ANTONIO</t>
  </si>
  <si>
    <t>771</t>
  </si>
  <si>
    <t>193992639</t>
  </si>
  <si>
    <t>312230605000034P</t>
  </si>
  <si>
    <t>35502-041</t>
  </si>
  <si>
    <t>312230605000036</t>
  </si>
  <si>
    <t>IPIRANGA</t>
  </si>
  <si>
    <t>RUA ITAMBE</t>
  </si>
  <si>
    <t>404</t>
  </si>
  <si>
    <t>33554746</t>
  </si>
  <si>
    <t>312230605000036P</t>
  </si>
  <si>
    <t>35502-044</t>
  </si>
  <si>
    <t>312230605000257</t>
  </si>
  <si>
    <t>RUA DEZ DE OUTUBRO</t>
  </si>
  <si>
    <t>384</t>
  </si>
  <si>
    <t>33153139</t>
  </si>
  <si>
    <t>312230605000257P</t>
  </si>
  <si>
    <t>35501-635</t>
  </si>
  <si>
    <t>312230605000245</t>
  </si>
  <si>
    <t>BELVEDERE</t>
  </si>
  <si>
    <t>3711</t>
  </si>
  <si>
    <t>32782977</t>
  </si>
  <si>
    <t>312230605000245P</t>
  </si>
  <si>
    <t>35501-246</t>
  </si>
  <si>
    <t>312230605000324</t>
  </si>
  <si>
    <t>RUA JOSE LOURENCO</t>
  </si>
  <si>
    <t>98298401</t>
  </si>
  <si>
    <t>312230605000324P</t>
  </si>
  <si>
    <t>35501-842</t>
  </si>
  <si>
    <t>312230605000326</t>
  </si>
  <si>
    <t>BELA VISTA</t>
  </si>
  <si>
    <t>RUA TUCURUCA</t>
  </si>
  <si>
    <t>231</t>
  </si>
  <si>
    <t>221737355</t>
  </si>
  <si>
    <t>312230605000326P</t>
  </si>
  <si>
    <t>35501-333</t>
  </si>
  <si>
    <t>312230605000476</t>
  </si>
  <si>
    <t>RUA ASSUNCAO</t>
  </si>
  <si>
    <t>210</t>
  </si>
  <si>
    <t>33621348</t>
  </si>
  <si>
    <t>312230605000476P</t>
  </si>
  <si>
    <t>35501-322</t>
  </si>
  <si>
    <t>312230605000558</t>
  </si>
  <si>
    <t>RUA CARACAS</t>
  </si>
  <si>
    <t>545</t>
  </si>
  <si>
    <t>33621311</t>
  </si>
  <si>
    <t>312230605000558P</t>
  </si>
  <si>
    <t>35500-108</t>
  </si>
  <si>
    <t>312230605000163</t>
  </si>
  <si>
    <t>AFONSO PENA</t>
  </si>
  <si>
    <t>RUA NOVA SERRANA</t>
  </si>
  <si>
    <t>15</t>
  </si>
  <si>
    <t>194325211</t>
  </si>
  <si>
    <t>312230605000163P</t>
  </si>
  <si>
    <t>35500-091</t>
  </si>
  <si>
    <t>312230605000164</t>
  </si>
  <si>
    <t>SAO SEBASTIAO</t>
  </si>
  <si>
    <t>2930</t>
  </si>
  <si>
    <t>33679996</t>
  </si>
  <si>
    <t>312230605000164P</t>
  </si>
  <si>
    <t>35500-191</t>
  </si>
  <si>
    <t>312230605000178</t>
  </si>
  <si>
    <t>INDUSTRIAL</t>
  </si>
  <si>
    <t>RUA IBIRITE</t>
  </si>
  <si>
    <t>161</t>
  </si>
  <si>
    <t>88466383</t>
  </si>
  <si>
    <t>312230605000178P</t>
  </si>
  <si>
    <t>35500-198</t>
  </si>
  <si>
    <t>312230605000351</t>
  </si>
  <si>
    <t>RUA FORTALEZA</t>
  </si>
  <si>
    <t>88466533</t>
  </si>
  <si>
    <t>312230605000351P</t>
  </si>
  <si>
    <t>35500-011</t>
  </si>
  <si>
    <t>312230605000003</t>
  </si>
  <si>
    <t>CENTRO</t>
  </si>
  <si>
    <t>AVENIDA 7 DE SETEMBRO</t>
  </si>
  <si>
    <t>1084</t>
  </si>
  <si>
    <t>33499861</t>
  </si>
  <si>
    <t>312230605000003P</t>
  </si>
  <si>
    <t>35501-208</t>
  </si>
  <si>
    <t>312230605000147</t>
  </si>
  <si>
    <t>RUA ANITA GARIBALDI</t>
  </si>
  <si>
    <t>613</t>
  </si>
  <si>
    <t>33674128</t>
  </si>
  <si>
    <t>312230605000147P</t>
  </si>
  <si>
    <t>312230605000254</t>
  </si>
  <si>
    <t>485</t>
  </si>
  <si>
    <t>33152240</t>
  </si>
  <si>
    <t>312230605000254P</t>
  </si>
  <si>
    <t>35501-203</t>
  </si>
  <si>
    <t>312230605000138</t>
  </si>
  <si>
    <t>RUA FAGUNDES VARELA</t>
  </si>
  <si>
    <t>981</t>
  </si>
  <si>
    <t>33671574</t>
  </si>
  <si>
    <t>312230605000138P</t>
  </si>
  <si>
    <t>35501-202</t>
  </si>
  <si>
    <t>312230605000139</t>
  </si>
  <si>
    <t>RUA GERALDO SERRANO</t>
  </si>
  <si>
    <t>224154865</t>
  </si>
  <si>
    <t>312230605000139P</t>
  </si>
  <si>
    <t>35501-169</t>
  </si>
  <si>
    <t>312230605000148</t>
  </si>
  <si>
    <t>AVENIDA PARANA</t>
  </si>
  <si>
    <t>513</t>
  </si>
  <si>
    <t>33674414</t>
  </si>
  <si>
    <t>312230605000148P</t>
  </si>
  <si>
    <t>35501-223</t>
  </si>
  <si>
    <t>312230605000252</t>
  </si>
  <si>
    <t>RUA ALMIRANTE TAMANDARE</t>
  </si>
  <si>
    <t>460</t>
  </si>
  <si>
    <t>32784974</t>
  </si>
  <si>
    <t>312230605000252P</t>
  </si>
  <si>
    <t>35501-219</t>
  </si>
  <si>
    <t>312230605000519</t>
  </si>
  <si>
    <t>RUA ALMIRANTE BARROSO</t>
  </si>
  <si>
    <t>100917895</t>
  </si>
  <si>
    <t>312230605000519P</t>
  </si>
  <si>
    <t>35500-190</t>
  </si>
  <si>
    <t>312230605000180</t>
  </si>
  <si>
    <t>RUA ITAOBIM</t>
  </si>
  <si>
    <t>527</t>
  </si>
  <si>
    <t>33685955</t>
  </si>
  <si>
    <t>312230605000180P</t>
  </si>
  <si>
    <t>35500-172</t>
  </si>
  <si>
    <t>312230605000181</t>
  </si>
  <si>
    <t>RUA IBIRACI</t>
  </si>
  <si>
    <t>33686101</t>
  </si>
  <si>
    <t>312230605000181P</t>
  </si>
  <si>
    <t>35500-166</t>
  </si>
  <si>
    <t>312230605000264</t>
  </si>
  <si>
    <t>RUA QUELUZ</t>
  </si>
  <si>
    <t>115</t>
  </si>
  <si>
    <t>33155055</t>
  </si>
  <si>
    <t>312230605000264P</t>
  </si>
  <si>
    <t>35500-171</t>
  </si>
  <si>
    <t>312230605000265</t>
  </si>
  <si>
    <t>RUA MANTENA</t>
  </si>
  <si>
    <t>33155449</t>
  </si>
  <si>
    <t>312230605000265P</t>
  </si>
  <si>
    <t>35500-187</t>
  </si>
  <si>
    <t>312230605000266</t>
  </si>
  <si>
    <t>RUA ITUTINGA</t>
  </si>
  <si>
    <t>660</t>
  </si>
  <si>
    <t>33155597</t>
  </si>
  <si>
    <t>312230605000266P</t>
  </si>
  <si>
    <t>35500-169</t>
  </si>
  <si>
    <t>312230605000394</t>
  </si>
  <si>
    <t>RUA OLINDA</t>
  </si>
  <si>
    <t>51</t>
  </si>
  <si>
    <t>193968711</t>
  </si>
  <si>
    <t>312230605000394P</t>
  </si>
  <si>
    <t>35502-088</t>
  </si>
  <si>
    <t>312230605000528</t>
  </si>
  <si>
    <t>SANTA MARTA</t>
  </si>
  <si>
    <t>RUA JOAO GONTIJO DA FONSECA</t>
  </si>
  <si>
    <t>1002</t>
  </si>
  <si>
    <t>100657002</t>
  </si>
  <si>
    <t>312230605000528P</t>
  </si>
  <si>
    <t>35500-161</t>
  </si>
  <si>
    <t>312230605000635</t>
  </si>
  <si>
    <t>RUA CRISTOVAO TEIXEIRA</t>
  </si>
  <si>
    <t>391</t>
  </si>
  <si>
    <t>222008895</t>
  </si>
  <si>
    <t>312230605000179P</t>
  </si>
  <si>
    <t>35500-164</t>
  </si>
  <si>
    <t>312230605000636</t>
  </si>
  <si>
    <t>RUA FRANCISCO GONTIJO FONSECA</t>
  </si>
  <si>
    <t>621</t>
  </si>
  <si>
    <t>33685758</t>
  </si>
  <si>
    <t>35502-474</t>
  </si>
  <si>
    <t>312230605000332</t>
  </si>
  <si>
    <t>ALAMEDA RIO PERDIDO</t>
  </si>
  <si>
    <t>230</t>
  </si>
  <si>
    <t>33674681</t>
  </si>
  <si>
    <t>312230605000332P</t>
  </si>
  <si>
    <t>35500-026</t>
  </si>
  <si>
    <t>312230605000001</t>
  </si>
  <si>
    <t>RUA BAHIA</t>
  </si>
  <si>
    <t>842</t>
  </si>
  <si>
    <t>33499145</t>
  </si>
  <si>
    <t>312230605000001P</t>
  </si>
  <si>
    <t>35500-005</t>
  </si>
  <si>
    <t>312230605000011</t>
  </si>
  <si>
    <t>AVENIDA ANTONIO OLIMPIO DE MORAIS</t>
  </si>
  <si>
    <t>614</t>
  </si>
  <si>
    <t>33502575</t>
  </si>
  <si>
    <t>312230605000011P</t>
  </si>
  <si>
    <t>35500-009</t>
  </si>
  <si>
    <t>312230605000037</t>
  </si>
  <si>
    <t>RUA RIO DE JANEIRO</t>
  </si>
  <si>
    <t>1695</t>
  </si>
  <si>
    <t>33554981</t>
  </si>
  <si>
    <t>312230605000037P</t>
  </si>
  <si>
    <t>35500-030</t>
  </si>
  <si>
    <t>312230605000038</t>
  </si>
  <si>
    <t>JARDIM NOVA AMERICA</t>
  </si>
  <si>
    <t>RUA ESPIRITO SANTO</t>
  </si>
  <si>
    <t>1671</t>
  </si>
  <si>
    <t>88462693</t>
  </si>
  <si>
    <t>312230605000038P</t>
  </si>
  <si>
    <t>35500-029</t>
  </si>
  <si>
    <t>312230605000219</t>
  </si>
  <si>
    <t>RUA MARANHAO</t>
  </si>
  <si>
    <t>1416</t>
  </si>
  <si>
    <t>32776433</t>
  </si>
  <si>
    <t>312230605000219P</t>
  </si>
  <si>
    <t>35500-093</t>
  </si>
  <si>
    <t>312230605000640</t>
  </si>
  <si>
    <t>JARDIM CAPITAO SILVA</t>
  </si>
  <si>
    <t>AVENIDA CAPITAO SILVA</t>
  </si>
  <si>
    <t>550</t>
  </si>
  <si>
    <t>32776230</t>
  </si>
  <si>
    <t>312230605000218P</t>
  </si>
  <si>
    <t>35500-044</t>
  </si>
  <si>
    <t>312230605000009</t>
  </si>
  <si>
    <t>RUA CRISTAL</t>
  </si>
  <si>
    <t>107</t>
  </si>
  <si>
    <t>33501897</t>
  </si>
  <si>
    <t>312230605000009P</t>
  </si>
  <si>
    <t>35500-018</t>
  </si>
  <si>
    <t>312230605000010</t>
  </si>
  <si>
    <t>RUA ITAPECERICA</t>
  </si>
  <si>
    <t>588</t>
  </si>
  <si>
    <t>33502082</t>
  </si>
  <si>
    <t>312230605000010P</t>
  </si>
  <si>
    <t>35500-057</t>
  </si>
  <si>
    <t>312230605000211</t>
  </si>
  <si>
    <t>BECO JOSE FONSECA DE ANDRADE</t>
  </si>
  <si>
    <t>32774734</t>
  </si>
  <si>
    <t>312230605000211P</t>
  </si>
  <si>
    <t>35500-021</t>
  </si>
  <si>
    <t>312230605000451</t>
  </si>
  <si>
    <t>VILA CRUZEIRO</t>
  </si>
  <si>
    <t>AVENIDA DIVINO ESPIRITO SANTO</t>
  </si>
  <si>
    <t>711</t>
  </si>
  <si>
    <t>33555654</t>
  </si>
  <si>
    <t>312230605000451P</t>
  </si>
  <si>
    <t>35502-890</t>
  </si>
  <si>
    <t>312230605000503</t>
  </si>
  <si>
    <t>RESIDENCIAL MARISA PARDINI</t>
  </si>
  <si>
    <t>RUA JEFFERSON RIBEIRO ROCHA</t>
  </si>
  <si>
    <t>304</t>
  </si>
  <si>
    <t>100778578</t>
  </si>
  <si>
    <t>312230605000503P</t>
  </si>
  <si>
    <t>35500-538</t>
  </si>
  <si>
    <t>312230605000615</t>
  </si>
  <si>
    <t>SANTA ROSA</t>
  </si>
  <si>
    <t>RUA MOSCOU</t>
  </si>
  <si>
    <t>104853877</t>
  </si>
  <si>
    <t>312230605000307P</t>
  </si>
  <si>
    <t>35500-281</t>
  </si>
  <si>
    <t>312230605000057</t>
  </si>
  <si>
    <t>MANOEL VALINHAS</t>
  </si>
  <si>
    <t>RUA PLANALTO</t>
  </si>
  <si>
    <t>571</t>
  </si>
  <si>
    <t>221405184</t>
  </si>
  <si>
    <t>312230605000057P</t>
  </si>
  <si>
    <t>35503-104</t>
  </si>
  <si>
    <t>312230605000223</t>
  </si>
  <si>
    <t>RUA ZULMIRA FARIA QUADROS</t>
  </si>
  <si>
    <t>32777199</t>
  </si>
  <si>
    <t>312230605000223P</t>
  </si>
  <si>
    <t>35500-278</t>
  </si>
  <si>
    <t>312230605000386</t>
  </si>
  <si>
    <t>RUA NOSSA SENHORA DAS GRACAS</t>
  </si>
  <si>
    <t>283</t>
  </si>
  <si>
    <t>32777188</t>
  </si>
  <si>
    <t>312230605000386P</t>
  </si>
  <si>
    <t>35500-293</t>
  </si>
  <si>
    <t>312230605000387</t>
  </si>
  <si>
    <t>RUA CONCORDIA</t>
  </si>
  <si>
    <t>650</t>
  </si>
  <si>
    <t>32777895</t>
  </si>
  <si>
    <t>312230605000387P</t>
  </si>
  <si>
    <t>312230605000501</t>
  </si>
  <si>
    <t>321</t>
  </si>
  <si>
    <t>32777764</t>
  </si>
  <si>
    <t>312230605000501P</t>
  </si>
  <si>
    <t>35505-000</t>
  </si>
  <si>
    <t>312230610000013</t>
  </si>
  <si>
    <t>SANTO ANTONIO DOS CAMPOS</t>
  </si>
  <si>
    <t>RUA ANTONIO FRANCISCO SIMOES</t>
  </si>
  <si>
    <t>250</t>
  </si>
  <si>
    <t>193799097</t>
  </si>
  <si>
    <t>312230610000013P</t>
  </si>
  <si>
    <t>35500-047</t>
  </si>
  <si>
    <t>312230605000020</t>
  </si>
  <si>
    <t>RUA PROFESSORA ALICE SABATINI</t>
  </si>
  <si>
    <t>233</t>
  </si>
  <si>
    <t>33548750</t>
  </si>
  <si>
    <t>312230605000020P</t>
  </si>
  <si>
    <t>35500-098</t>
  </si>
  <si>
    <t>312230605000220</t>
  </si>
  <si>
    <t>RUA MENDES MOURAO</t>
  </si>
  <si>
    <t>267</t>
  </si>
  <si>
    <t>32776595</t>
  </si>
  <si>
    <t>312230605000220P</t>
  </si>
  <si>
    <t>35500-025</t>
  </si>
  <si>
    <t>312230605000450</t>
  </si>
  <si>
    <t>RUA RIO GRANDE DO SUL</t>
  </si>
  <si>
    <t>1660</t>
  </si>
  <si>
    <t>33555559</t>
  </si>
  <si>
    <t>312230605000450P</t>
  </si>
  <si>
    <t>35502-272</t>
  </si>
  <si>
    <t>312230605000597</t>
  </si>
  <si>
    <t>ICARAI</t>
  </si>
  <si>
    <t>RUA IGUACU</t>
  </si>
  <si>
    <t>785</t>
  </si>
  <si>
    <t>104632935</t>
  </si>
  <si>
    <t>312230605000268P</t>
  </si>
  <si>
    <t>35500-254</t>
  </si>
  <si>
    <t>312230605000047</t>
  </si>
  <si>
    <t>ESPIRITO SANTO</t>
  </si>
  <si>
    <t>RUA JOSE BALBINO PEREIRA</t>
  </si>
  <si>
    <t>166</t>
  </si>
  <si>
    <t>33558262</t>
  </si>
  <si>
    <t>312230605000047P</t>
  </si>
  <si>
    <t>35500-265</t>
  </si>
  <si>
    <t>312230605000059</t>
  </si>
  <si>
    <t>HALIM SOUKI</t>
  </si>
  <si>
    <t>RUA UBA</t>
  </si>
  <si>
    <t>33562159</t>
  </si>
  <si>
    <t>312230605000059P</t>
  </si>
  <si>
    <t>35500-209</t>
  </si>
  <si>
    <t>312230605000063</t>
  </si>
  <si>
    <t>ITAI</t>
  </si>
  <si>
    <t>RUA MARIO XISTO GONTIJO</t>
  </si>
  <si>
    <t>90</t>
  </si>
  <si>
    <t>33563526</t>
  </si>
  <si>
    <t>312230605000063P</t>
  </si>
  <si>
    <t>312230605000529</t>
  </si>
  <si>
    <t>194001322</t>
  </si>
  <si>
    <t>312230605000529P</t>
  </si>
  <si>
    <t>35502-179</t>
  </si>
  <si>
    <t>312230605000166</t>
  </si>
  <si>
    <t>NOVA FORTALEZA</t>
  </si>
  <si>
    <t>RUA VINTE E SETE DE AGOSTO</t>
  </si>
  <si>
    <t>131</t>
  </si>
  <si>
    <t>105059019</t>
  </si>
  <si>
    <t>312230605000166P</t>
  </si>
  <si>
    <t>35503-073</t>
  </si>
  <si>
    <t>312230605000397</t>
  </si>
  <si>
    <t>SERRA VERDE</t>
  </si>
  <si>
    <t>RUA FRANCISCA AMARAL RODRIGUES</t>
  </si>
  <si>
    <t>871</t>
  </si>
  <si>
    <t>104652432</t>
  </si>
  <si>
    <t>312230605000397P</t>
  </si>
  <si>
    <t>35500-075</t>
  </si>
  <si>
    <t>312230605000040</t>
  </si>
  <si>
    <t>SANTA CLARA</t>
  </si>
  <si>
    <t>RUA DIVINOPOLIS</t>
  </si>
  <si>
    <t>396</t>
  </si>
  <si>
    <t>33555846</t>
  </si>
  <si>
    <t>312230605000040P</t>
  </si>
  <si>
    <t>35500-072</t>
  </si>
  <si>
    <t>312230605000651</t>
  </si>
  <si>
    <t>RUA AGOSTINHO JOAQUIM DE SOUZA</t>
  </si>
  <si>
    <t>33684859</t>
  </si>
  <si>
    <t>312230605000177P</t>
  </si>
  <si>
    <t>35500-061</t>
  </si>
  <si>
    <t>312230605000652</t>
  </si>
  <si>
    <t>RUA TIRADENTES</t>
  </si>
  <si>
    <t>341</t>
  </si>
  <si>
    <t>33684628</t>
  </si>
  <si>
    <t>35501-409</t>
  </si>
  <si>
    <t>312230605000609</t>
  </si>
  <si>
    <t>REALENGO</t>
  </si>
  <si>
    <t>RUA SOLDADO DOMINGOS BRANDAO</t>
  </si>
  <si>
    <t>99469356</t>
  </si>
  <si>
    <t>312230605000406P</t>
  </si>
  <si>
    <t>35502-312</t>
  </si>
  <si>
    <t>312230605000543</t>
  </si>
  <si>
    <t>JARDIM CANDIDES</t>
  </si>
  <si>
    <t>RUA TAPAJOS</t>
  </si>
  <si>
    <t>480</t>
  </si>
  <si>
    <t>100793597</t>
  </si>
  <si>
    <t>312230605000543P</t>
  </si>
  <si>
    <t>35501-229</t>
  </si>
  <si>
    <t>312230605000120</t>
  </si>
  <si>
    <t>RUA CANAPOLIS</t>
  </si>
  <si>
    <t>261</t>
  </si>
  <si>
    <t>33619316</t>
  </si>
  <si>
    <t>312230605000120P</t>
  </si>
  <si>
    <t>35501-231</t>
  </si>
  <si>
    <t>312230605000121</t>
  </si>
  <si>
    <t>RUA CAPETINGA</t>
  </si>
  <si>
    <t>180</t>
  </si>
  <si>
    <t>33619515</t>
  </si>
  <si>
    <t>312230605000121P</t>
  </si>
  <si>
    <t>35501-295</t>
  </si>
  <si>
    <t>312230605000518</t>
  </si>
  <si>
    <t>RUA ALCEU AMOROSO LIMA</t>
  </si>
  <si>
    <t>140</t>
  </si>
  <si>
    <t>221737801</t>
  </si>
  <si>
    <t>312230605000518P</t>
  </si>
  <si>
    <t>35503-131</t>
  </si>
  <si>
    <t>312230605000338</t>
  </si>
  <si>
    <t>RESIDENCIAL DOUTOR WALCHIR RESENDE COSTA</t>
  </si>
  <si>
    <t>RUA JOAO PEREIRA NETO</t>
  </si>
  <si>
    <t>60</t>
  </si>
  <si>
    <t>33677254</t>
  </si>
  <si>
    <t>312230605000338P</t>
  </si>
  <si>
    <t>35502-066</t>
  </si>
  <si>
    <t>312230605000646</t>
  </si>
  <si>
    <t>RUA BRAULINO MICHELINE</t>
  </si>
  <si>
    <t>200</t>
  </si>
  <si>
    <t>221917254</t>
  </si>
  <si>
    <t>312230605000159P</t>
  </si>
  <si>
    <t>35501-251</t>
  </si>
  <si>
    <t>312230605000123</t>
  </si>
  <si>
    <t>RUA GUAPE</t>
  </si>
  <si>
    <t>852</t>
  </si>
  <si>
    <t>193713304</t>
  </si>
  <si>
    <t>312230605000123P</t>
  </si>
  <si>
    <t>35501-841</t>
  </si>
  <si>
    <t>312230605000127</t>
  </si>
  <si>
    <t>RUA CASSIMIRO DE ABREU</t>
  </si>
  <si>
    <t>33621765</t>
  </si>
  <si>
    <t>312230605000127P</t>
  </si>
  <si>
    <t>312230605000555</t>
  </si>
  <si>
    <t>710</t>
  </si>
  <si>
    <t>32782626</t>
  </si>
  <si>
    <t>312230605000555P</t>
  </si>
  <si>
    <t>35500-112</t>
  </si>
  <si>
    <t>312230605000258</t>
  </si>
  <si>
    <t>RUA DONA FRANCISCA</t>
  </si>
  <si>
    <t>219</t>
  </si>
  <si>
    <t>33153268</t>
  </si>
  <si>
    <t>312230605000258P</t>
  </si>
  <si>
    <t>312230605000579</t>
  </si>
  <si>
    <t>JARDIM AMERICA</t>
  </si>
  <si>
    <t>2096</t>
  </si>
  <si>
    <t>33678996</t>
  </si>
  <si>
    <t>312230605000579P</t>
  </si>
  <si>
    <t>35501-216</t>
  </si>
  <si>
    <t>312230605000118</t>
  </si>
  <si>
    <t>CATALAO</t>
  </si>
  <si>
    <t>RUA MARCILIO DIAS</t>
  </si>
  <si>
    <t>114</t>
  </si>
  <si>
    <t>33618580</t>
  </si>
  <si>
    <t>312230605000118P</t>
  </si>
  <si>
    <t>35501-222</t>
  </si>
  <si>
    <t>312230605000119</t>
  </si>
  <si>
    <t>RUA MARQUES DE OLINDA</t>
  </si>
  <si>
    <t>38</t>
  </si>
  <si>
    <t>33618954</t>
  </si>
  <si>
    <t>312230605000119P</t>
  </si>
  <si>
    <t>35502-125</t>
  </si>
  <si>
    <t>312230605000170</t>
  </si>
  <si>
    <t>NOSSA SENHORA DA CONCEICAO</t>
  </si>
  <si>
    <t>RUA ITALO CONSOLI</t>
  </si>
  <si>
    <t>511</t>
  </si>
  <si>
    <t>106973015</t>
  </si>
  <si>
    <t>312230605000170P</t>
  </si>
  <si>
    <t>35500-168</t>
  </si>
  <si>
    <t>312230605000182</t>
  </si>
  <si>
    <t>RUA RESPLENDOR</t>
  </si>
  <si>
    <t>33686553</t>
  </si>
  <si>
    <t>312230605000182P</t>
  </si>
  <si>
    <t>312230605000012</t>
  </si>
  <si>
    <t>433</t>
  </si>
  <si>
    <t>33502819</t>
  </si>
  <si>
    <t>312230605000012P</t>
  </si>
  <si>
    <t>35500-007</t>
  </si>
  <si>
    <t>312230605000209</t>
  </si>
  <si>
    <t>RUA MINAS GERAIS</t>
  </si>
  <si>
    <t>625</t>
  </si>
  <si>
    <t>88466749</t>
  </si>
  <si>
    <t>312230605000209P</t>
  </si>
  <si>
    <t>312230605000099</t>
  </si>
  <si>
    <t>1261</t>
  </si>
  <si>
    <t>33612580</t>
  </si>
  <si>
    <t>312230605000099P</t>
  </si>
  <si>
    <t>35501-183</t>
  </si>
  <si>
    <t>312230605000143</t>
  </si>
  <si>
    <t>ALAMEDA RIO BANANAL</t>
  </si>
  <si>
    <t>322</t>
  </si>
  <si>
    <t>33672863</t>
  </si>
  <si>
    <t>312230605000143P</t>
  </si>
  <si>
    <t>35502-481</t>
  </si>
  <si>
    <t>312230605000149</t>
  </si>
  <si>
    <t>ALAMEDA RIO CAIAPO</t>
  </si>
  <si>
    <t>400</t>
  </si>
  <si>
    <t>33674826</t>
  </si>
  <si>
    <t>312230605000149P</t>
  </si>
  <si>
    <t>35502-466</t>
  </si>
  <si>
    <t>312230605000150</t>
  </si>
  <si>
    <t>ALAMEDA RIO VERMELHO</t>
  </si>
  <si>
    <t>33675143</t>
  </si>
  <si>
    <t>312230605000150P</t>
  </si>
  <si>
    <t>35502-437</t>
  </si>
  <si>
    <t>312230605000255</t>
  </si>
  <si>
    <t>RUA JOSE FERNANDES XAVIER</t>
  </si>
  <si>
    <t>241</t>
  </si>
  <si>
    <t>194329249</t>
  </si>
  <si>
    <t>312230605000255P</t>
  </si>
  <si>
    <t>312230605000382</t>
  </si>
  <si>
    <t>FABIO NOTINI</t>
  </si>
  <si>
    <t>471</t>
  </si>
  <si>
    <t>109477300</t>
  </si>
  <si>
    <t>312230605000382P</t>
  </si>
  <si>
    <t>35500-522</t>
  </si>
  <si>
    <t>312230605000096</t>
  </si>
  <si>
    <t>RUA LAVINIA FONSECA</t>
  </si>
  <si>
    <t>1040</t>
  </si>
  <si>
    <t>33611118</t>
  </si>
  <si>
    <t>312230605000096P</t>
  </si>
  <si>
    <t>35500-533</t>
  </si>
  <si>
    <t>312230605000098</t>
  </si>
  <si>
    <t>RUA PERU</t>
  </si>
  <si>
    <t>220018139</t>
  </si>
  <si>
    <t>312230605000098P</t>
  </si>
  <si>
    <t>35500-524</t>
  </si>
  <si>
    <t>312230605000230</t>
  </si>
  <si>
    <t>RUA JOAQUIM MANOEL PEREIRA</t>
  </si>
  <si>
    <t>463</t>
  </si>
  <si>
    <t>193719099</t>
  </si>
  <si>
    <t>312230605000230P</t>
  </si>
  <si>
    <t>35500-531</t>
  </si>
  <si>
    <t>312230605000233</t>
  </si>
  <si>
    <t>RUA CHILE</t>
  </si>
  <si>
    <t>1320</t>
  </si>
  <si>
    <t>88467519</t>
  </si>
  <si>
    <t>312230605000233P</t>
  </si>
  <si>
    <t>35500-556</t>
  </si>
  <si>
    <t>312230605000305</t>
  </si>
  <si>
    <t>DONA ROSA</t>
  </si>
  <si>
    <t>RUA GUATEMALA</t>
  </si>
  <si>
    <t>193965401</t>
  </si>
  <si>
    <t>312230605000305P</t>
  </si>
  <si>
    <t>35500-764</t>
  </si>
  <si>
    <t>312230605000306</t>
  </si>
  <si>
    <t>RUA EDISON SILVA</t>
  </si>
  <si>
    <t>30</t>
  </si>
  <si>
    <t>33612170</t>
  </si>
  <si>
    <t>312230605000306P</t>
  </si>
  <si>
    <t>35502-512</t>
  </si>
  <si>
    <t>312230605000024</t>
  </si>
  <si>
    <t>AVENIDA DO CONTORNO</t>
  </si>
  <si>
    <t>1960</t>
  </si>
  <si>
    <t>33550017</t>
  </si>
  <si>
    <t>312230605000024P</t>
  </si>
  <si>
    <t>35502-635</t>
  </si>
  <si>
    <t>312230605000637</t>
  </si>
  <si>
    <t>AVENIDA DOUTOR PAULO DE MELO FREITAS</t>
  </si>
  <si>
    <t>100</t>
  </si>
  <si>
    <t>104735475</t>
  </si>
  <si>
    <t>312230605000395P</t>
  </si>
  <si>
    <t>35502-023</t>
  </si>
  <si>
    <t>312230605000639</t>
  </si>
  <si>
    <t>RUA PARAIBA</t>
  </si>
  <si>
    <t>1760</t>
  </si>
  <si>
    <t>221553610</t>
  </si>
  <si>
    <t>35500-037</t>
  </si>
  <si>
    <t>312230605000023</t>
  </si>
  <si>
    <t>AVENIDA OSWALDO MACHADO GONTIJO</t>
  </si>
  <si>
    <t>33549351</t>
  </si>
  <si>
    <t>312230605000023P</t>
  </si>
  <si>
    <t>35503-378</t>
  </si>
  <si>
    <t>312230605000101</t>
  </si>
  <si>
    <t>JUSA FONSECA</t>
  </si>
  <si>
    <t>RUA ALEXANDRINA FIGUEIREDO</t>
  </si>
  <si>
    <t>2150</t>
  </si>
  <si>
    <t>33613305</t>
  </si>
  <si>
    <t>312230605000101P</t>
  </si>
  <si>
    <t>35500-476</t>
  </si>
  <si>
    <t>312230605000310</t>
  </si>
  <si>
    <t>PARAISO</t>
  </si>
  <si>
    <t>RUA PADRE ABEL</t>
  </si>
  <si>
    <t>1580</t>
  </si>
  <si>
    <t>33612959</t>
  </si>
  <si>
    <t>312230605000310P</t>
  </si>
  <si>
    <t>35501-724</t>
  </si>
  <si>
    <t>312230605000313</t>
  </si>
  <si>
    <t>RUA ALMIRO DAS GRACAS MIQUELINO</t>
  </si>
  <si>
    <t>33613654</t>
  </si>
  <si>
    <t>312230605000313P</t>
  </si>
  <si>
    <t>35501-110</t>
  </si>
  <si>
    <t>312230605000471</t>
  </si>
  <si>
    <t>AVENIDA MARCIO NOTINI</t>
  </si>
  <si>
    <t>411</t>
  </si>
  <si>
    <t>33613897</t>
  </si>
  <si>
    <t>312230605000471P</t>
  </si>
  <si>
    <t>35500-512</t>
  </si>
  <si>
    <t>312230605000614</t>
  </si>
  <si>
    <t>RUA DINAMARCA</t>
  </si>
  <si>
    <t>106667876</t>
  </si>
  <si>
    <t>312230605000311P</t>
  </si>
  <si>
    <t>35500-763</t>
  </si>
  <si>
    <t>312230605000616</t>
  </si>
  <si>
    <t>930</t>
  </si>
  <si>
    <t>33611931</t>
  </si>
  <si>
    <t>35500-291</t>
  </si>
  <si>
    <t>312230605000048</t>
  </si>
  <si>
    <t>RUA NITEROI</t>
  </si>
  <si>
    <t>186</t>
  </si>
  <si>
    <t>88462961</t>
  </si>
  <si>
    <t>312230605000048P</t>
  </si>
  <si>
    <t>35500-290</t>
  </si>
  <si>
    <t>312230605000500</t>
  </si>
  <si>
    <t>RUA BOM PASTOR</t>
  </si>
  <si>
    <t>194009331</t>
  </si>
  <si>
    <t>312230605000500P</t>
  </si>
  <si>
    <t>312230610000002</t>
  </si>
  <si>
    <t>RUA JOSE CLEMENTINO PEREIRA</t>
  </si>
  <si>
    <t>110</t>
  </si>
  <si>
    <t>33160312</t>
  </si>
  <si>
    <t>312230610000002P</t>
  </si>
  <si>
    <t>312230610000003</t>
  </si>
  <si>
    <t>25</t>
  </si>
  <si>
    <t>33160725</t>
  </si>
  <si>
    <t>312230610000003P</t>
  </si>
  <si>
    <t>312230610000026</t>
  </si>
  <si>
    <t>RUA ANTONIO HELENA</t>
  </si>
  <si>
    <t>531</t>
  </si>
  <si>
    <t>33162810</t>
  </si>
  <si>
    <t>312230610000026P</t>
  </si>
  <si>
    <t>312230605000021</t>
  </si>
  <si>
    <t>1366</t>
  </si>
  <si>
    <t>33548911</t>
  </si>
  <si>
    <t>312230605000021P</t>
  </si>
  <si>
    <t>35502-263</t>
  </si>
  <si>
    <t>312230605000185</t>
  </si>
  <si>
    <t>RUA LIBERDADE</t>
  </si>
  <si>
    <t>530</t>
  </si>
  <si>
    <t>104632480</t>
  </si>
  <si>
    <t>312230605000185P</t>
  </si>
  <si>
    <t>35502-275</t>
  </si>
  <si>
    <t>312230605000355</t>
  </si>
  <si>
    <t>RUA JOSE MARTINS NETO</t>
  </si>
  <si>
    <t>641</t>
  </si>
  <si>
    <t>104639285</t>
  </si>
  <si>
    <t>312230605000355P</t>
  </si>
  <si>
    <t>35502-271</t>
  </si>
  <si>
    <t>312230605000492</t>
  </si>
  <si>
    <t>RUA ITARARE</t>
  </si>
  <si>
    <t>33687038</t>
  </si>
  <si>
    <t>312230605000492P</t>
  </si>
  <si>
    <t>35502-277</t>
  </si>
  <si>
    <t>312230605000588</t>
  </si>
  <si>
    <t>RUA KARINE</t>
  </si>
  <si>
    <t>193798230</t>
  </si>
  <si>
    <t>312230605000588P</t>
  </si>
  <si>
    <t>35500-312</t>
  </si>
  <si>
    <t>312230605000060</t>
  </si>
  <si>
    <t>RUA MALACACHETA</t>
  </si>
  <si>
    <t>33562407</t>
  </si>
  <si>
    <t>312230605000060P</t>
  </si>
  <si>
    <t>35500-262</t>
  </si>
  <si>
    <t>312230605000064</t>
  </si>
  <si>
    <t>RUA MINDURI</t>
  </si>
  <si>
    <t>216972999</t>
  </si>
  <si>
    <t>312230605000064P</t>
  </si>
  <si>
    <t>35500-257</t>
  </si>
  <si>
    <t>312230605000225</t>
  </si>
  <si>
    <t>RUA OURO FINO</t>
  </si>
  <si>
    <t>259</t>
  </si>
  <si>
    <t>88467156</t>
  </si>
  <si>
    <t>312230605000225P</t>
  </si>
  <si>
    <t>35502-006</t>
  </si>
  <si>
    <t>312230605000378</t>
  </si>
  <si>
    <t>QUINTINO</t>
  </si>
  <si>
    <t>RUA JESUS DE SOUZA</t>
  </si>
  <si>
    <t>32770382</t>
  </si>
  <si>
    <t>312230605000378P</t>
  </si>
  <si>
    <t>35502-098</t>
  </si>
  <si>
    <t>312230605000172</t>
  </si>
  <si>
    <t>CANDELARIA</t>
  </si>
  <si>
    <t>RUA NOVA ALMEIDA</t>
  </si>
  <si>
    <t>33682742</t>
  </si>
  <si>
    <t>312230605000172P</t>
  </si>
  <si>
    <t>35504-899</t>
  </si>
  <si>
    <t>312230605000263</t>
  </si>
  <si>
    <t>CONJUNTO HABITACIONAL DOM CRISTIANO</t>
  </si>
  <si>
    <t>RUA JOSIAS GONCALVES RIOS</t>
  </si>
  <si>
    <t>33154763</t>
  </si>
  <si>
    <t>312230605000263P</t>
  </si>
  <si>
    <t>35502-111</t>
  </si>
  <si>
    <t>312230605000348</t>
  </si>
  <si>
    <t>RUA CIDADE OCEANIA</t>
  </si>
  <si>
    <t>33682452</t>
  </si>
  <si>
    <t>312230605000348P</t>
  </si>
  <si>
    <t>35502-617</t>
  </si>
  <si>
    <t>312230605000398</t>
  </si>
  <si>
    <t>RESIDENCIAL FONTE BOA</t>
  </si>
  <si>
    <t>RUA CLAUDIO HENRIQUE VILELA</t>
  </si>
  <si>
    <t>100401375</t>
  </si>
  <si>
    <t>312230605000398P</t>
  </si>
  <si>
    <t>312230605000627</t>
  </si>
  <si>
    <t>88465951</t>
  </si>
  <si>
    <t>312230605000174P</t>
  </si>
  <si>
    <t>35502-824</t>
  </si>
  <si>
    <t>312230605000168</t>
  </si>
  <si>
    <t>RUA RODNEI DIAS ROCHA</t>
  </si>
  <si>
    <t>33681051</t>
  </si>
  <si>
    <t>312230605000168P</t>
  </si>
  <si>
    <t>35502-826</t>
  </si>
  <si>
    <t>312230605000260</t>
  </si>
  <si>
    <t>RUA FLAMINGO</t>
  </si>
  <si>
    <t>88467745</t>
  </si>
  <si>
    <t>312230605000260P</t>
  </si>
  <si>
    <t>35502-149</t>
  </si>
  <si>
    <t>312230605000526</t>
  </si>
  <si>
    <t>RUA PORTO PRINCIPE</t>
  </si>
  <si>
    <t>201</t>
  </si>
  <si>
    <t>33680811</t>
  </si>
  <si>
    <t>312230605000526P</t>
  </si>
  <si>
    <t>35500-485</t>
  </si>
  <si>
    <t>312230605000087</t>
  </si>
  <si>
    <t>PONTE FUNDA</t>
  </si>
  <si>
    <t>RUA NILO MACIEL</t>
  </si>
  <si>
    <t>120</t>
  </si>
  <si>
    <t>33607567</t>
  </si>
  <si>
    <t>312230605000087P</t>
  </si>
  <si>
    <t>35500-481</t>
  </si>
  <si>
    <t>312230605000229</t>
  </si>
  <si>
    <t>RUA DOMINGOS AGUIAR</t>
  </si>
  <si>
    <t>193987003</t>
  </si>
  <si>
    <t>312230605000229P</t>
  </si>
  <si>
    <t>35500-366</t>
  </si>
  <si>
    <t>312230605000401</t>
  </si>
  <si>
    <t>MANGABEIRAS</t>
  </si>
  <si>
    <t>RUA IRACY AMARAL</t>
  </si>
  <si>
    <t>48</t>
  </si>
  <si>
    <t>197143998</t>
  </si>
  <si>
    <t>312230605000401P</t>
  </si>
  <si>
    <t>35500-151</t>
  </si>
  <si>
    <t>312230605000490</t>
  </si>
  <si>
    <t>RUA PITANGUI</t>
  </si>
  <si>
    <t>33684336</t>
  </si>
  <si>
    <t>312230605000490P</t>
  </si>
  <si>
    <t>35500-370</t>
  </si>
  <si>
    <t>312230605000271</t>
  </si>
  <si>
    <t>AVENIDA ORION</t>
  </si>
  <si>
    <t>85</t>
  </si>
  <si>
    <t>33157400</t>
  </si>
  <si>
    <t>312230605000271P</t>
  </si>
  <si>
    <t>35500-001</t>
  </si>
  <si>
    <t>312230610000021</t>
  </si>
  <si>
    <t>VISTA ALEGRE</t>
  </si>
  <si>
    <t>RUA DONA JOSEFA</t>
  </si>
  <si>
    <t>211</t>
  </si>
  <si>
    <t>100426565</t>
  </si>
  <si>
    <t>312230610000021P</t>
  </si>
  <si>
    <t>35501-405</t>
  </si>
  <si>
    <t>312230605000404</t>
  </si>
  <si>
    <t>ITACOLOMI</t>
  </si>
  <si>
    <t>RUA SOLDADO GERALDO FERNANDES</t>
  </si>
  <si>
    <t>219044583</t>
  </si>
  <si>
    <t>312230605000404P</t>
  </si>
  <si>
    <t>35504-300</t>
  </si>
  <si>
    <t>312230605000604</t>
  </si>
  <si>
    <t>RUA PEDESTRE</t>
  </si>
  <si>
    <t>41</t>
  </si>
  <si>
    <t>32783269</t>
  </si>
  <si>
    <t>312230605000246P</t>
  </si>
  <si>
    <t>35501-015</t>
  </si>
  <si>
    <t>312230605000043</t>
  </si>
  <si>
    <t>RUA JOAO RODRIGUES DE OLIVEIRA</t>
  </si>
  <si>
    <t>65</t>
  </si>
  <si>
    <t>33556715</t>
  </si>
  <si>
    <t>312230605000043P</t>
  </si>
  <si>
    <t>35502-298</t>
  </si>
  <si>
    <t>312230605000508</t>
  </si>
  <si>
    <t>AVENIDA GUAJAJARAS</t>
  </si>
  <si>
    <t>1764</t>
  </si>
  <si>
    <t>106902077</t>
  </si>
  <si>
    <t>312230605000508P</t>
  </si>
  <si>
    <t>35502-315</t>
  </si>
  <si>
    <t>312230605000532</t>
  </si>
  <si>
    <t>RUA F</t>
  </si>
  <si>
    <t>385</t>
  </si>
  <si>
    <t>100894655</t>
  </si>
  <si>
    <t>312230605000532P</t>
  </si>
  <si>
    <t>312230605000533</t>
  </si>
  <si>
    <t>RUA E</t>
  </si>
  <si>
    <t>235</t>
  </si>
  <si>
    <t>194335458</t>
  </si>
  <si>
    <t>312230605000533P</t>
  </si>
  <si>
    <t>35501-589</t>
  </si>
  <si>
    <t>312230605000534</t>
  </si>
  <si>
    <t>SAO CRISTOVAO</t>
  </si>
  <si>
    <t>RUA MANGUEIRA</t>
  </si>
  <si>
    <t>101215454</t>
  </si>
  <si>
    <t>312230605000534P</t>
  </si>
  <si>
    <t>35501-588</t>
  </si>
  <si>
    <t>312230605000559</t>
  </si>
  <si>
    <t>JARDINOPOLIS</t>
  </si>
  <si>
    <t>RUA LIMEIRA</t>
  </si>
  <si>
    <t>194003145</t>
  </si>
  <si>
    <t>312230605000559P</t>
  </si>
  <si>
    <t>Base</t>
  </si>
  <si>
    <t>35501-816</t>
  </si>
  <si>
    <t>312230605000484</t>
  </si>
  <si>
    <t>BECO DA CERAMICA</t>
  </si>
  <si>
    <t>33673740</t>
  </si>
  <si>
    <t>312230605000484P</t>
  </si>
  <si>
    <t>312230605000485</t>
  </si>
  <si>
    <t>TRAVESSA MANOEL BANDEIRA</t>
  </si>
  <si>
    <t>73</t>
  </si>
  <si>
    <t>33673820</t>
  </si>
  <si>
    <t>312230605000485P</t>
  </si>
  <si>
    <t>35504-031</t>
  </si>
  <si>
    <t>312230605000262</t>
  </si>
  <si>
    <t>RUA DILSON RIBEIRO DE MOURA</t>
  </si>
  <si>
    <t>194329971</t>
  </si>
  <si>
    <t>312230605000262P</t>
  </si>
  <si>
    <t>35502-000</t>
  </si>
  <si>
    <t>312230605000421</t>
  </si>
  <si>
    <t>ANCHIETA</t>
  </si>
  <si>
    <t>TRAVESSA RODOVIA DOS BATISTAS</t>
  </si>
  <si>
    <t>61</t>
  </si>
  <si>
    <t>193790797</t>
  </si>
  <si>
    <t>312230605000421P</t>
  </si>
  <si>
    <t>312230605000669</t>
  </si>
  <si>
    <t>ALAMEDA UBALDO SCARIOLI</t>
  </si>
  <si>
    <t>197331748</t>
  </si>
  <si>
    <t>312230605000342P</t>
  </si>
  <si>
    <t>312230605000136</t>
  </si>
  <si>
    <t>880</t>
  </si>
  <si>
    <t>218005053</t>
  </si>
  <si>
    <t>312230605000136P</t>
  </si>
  <si>
    <t>35501-224</t>
  </si>
  <si>
    <t>312230605000241</t>
  </si>
  <si>
    <t>RUA JOSE DE ALENCAR</t>
  </si>
  <si>
    <t>32782162</t>
  </si>
  <si>
    <t>312230605000241P</t>
  </si>
  <si>
    <t>35501-285</t>
  </si>
  <si>
    <t>312230605000251</t>
  </si>
  <si>
    <t>1090</t>
  </si>
  <si>
    <t>32784884</t>
  </si>
  <si>
    <t>312230605000251P</t>
  </si>
  <si>
    <t>35501-266</t>
  </si>
  <si>
    <t>312230605000195</t>
  </si>
  <si>
    <t>SAO FRANCISCO</t>
  </si>
  <si>
    <t>RUA CECILIA MEIRELES</t>
  </si>
  <si>
    <t>32770149</t>
  </si>
  <si>
    <t>312230605000195P</t>
  </si>
  <si>
    <t>35501-263</t>
  </si>
  <si>
    <t>312230605000330</t>
  </si>
  <si>
    <t>RUA CRUZ E SOUZA</t>
  </si>
  <si>
    <t>1181</t>
  </si>
  <si>
    <t>33622625</t>
  </si>
  <si>
    <t>312230605000330P</t>
  </si>
  <si>
    <t>35501-249</t>
  </si>
  <si>
    <t>312230605000479</t>
  </si>
  <si>
    <t>SAO JUDAS</t>
  </si>
  <si>
    <t>RUA MEDINA</t>
  </si>
  <si>
    <t>1300</t>
  </si>
  <si>
    <t>33622897</t>
  </si>
  <si>
    <t>312230605000479P</t>
  </si>
  <si>
    <t>35501-170</t>
  </si>
  <si>
    <t>312230605000481</t>
  </si>
  <si>
    <t>2500</t>
  </si>
  <si>
    <t>197339498</t>
  </si>
  <si>
    <t>312230605000481P</t>
  </si>
  <si>
    <t>35501-523</t>
  </si>
  <si>
    <t>312230605000601</t>
  </si>
  <si>
    <t>JARDIM DAS ACACIAS</t>
  </si>
  <si>
    <t>RUA DO BAOBA</t>
  </si>
  <si>
    <t>100559348</t>
  </si>
  <si>
    <t>312230605000546P</t>
  </si>
  <si>
    <t>35501-522</t>
  </si>
  <si>
    <t>312230605000602</t>
  </si>
  <si>
    <t>RUA JOAQUIM IMBILINA</t>
  </si>
  <si>
    <t>320</t>
  </si>
  <si>
    <t>100559108</t>
  </si>
  <si>
    <t>312230605000605</t>
  </si>
  <si>
    <t>JARDIM BELVEDERE II</t>
  </si>
  <si>
    <t>286</t>
  </si>
  <si>
    <t>33622118</t>
  </si>
  <si>
    <t>312230605000517P</t>
  </si>
  <si>
    <t>35501-289</t>
  </si>
  <si>
    <t>312230605000606</t>
  </si>
  <si>
    <t>RUA JOAO ADELINO PIRES</t>
  </si>
  <si>
    <t>130</t>
  </si>
  <si>
    <t>33622015</t>
  </si>
  <si>
    <t>35500-443</t>
  </si>
  <si>
    <t>312230605000077</t>
  </si>
  <si>
    <t>RUA WENCESLAU BRAZ</t>
  </si>
  <si>
    <t>33604716</t>
  </si>
  <si>
    <t>312230605000077P</t>
  </si>
  <si>
    <t>312230605000483</t>
  </si>
  <si>
    <t>670</t>
  </si>
  <si>
    <t>33623817</t>
  </si>
  <si>
    <t>312230605000483P</t>
  </si>
  <si>
    <t>35502-026</t>
  </si>
  <si>
    <t>312230605000158</t>
  </si>
  <si>
    <t>2781</t>
  </si>
  <si>
    <t>33678191</t>
  </si>
  <si>
    <t>312230605000158P</t>
  </si>
  <si>
    <t>35502-039</t>
  </si>
  <si>
    <t>312230605000217</t>
  </si>
  <si>
    <t>VILA SANTO ANTONIO</t>
  </si>
  <si>
    <t>RUA CAPITOLIO</t>
  </si>
  <si>
    <t>499</t>
  </si>
  <si>
    <t>32775953</t>
  </si>
  <si>
    <t>312230605000217P</t>
  </si>
  <si>
    <t>35500-019</t>
  </si>
  <si>
    <t>312230605000561</t>
  </si>
  <si>
    <t>LEVINDO DE PAULA PEREIRA</t>
  </si>
  <si>
    <t>RUA SERRA DO CRISTAL</t>
  </si>
  <si>
    <t>33677920</t>
  </si>
  <si>
    <t>312230605000561P</t>
  </si>
  <si>
    <t>312230605000562</t>
  </si>
  <si>
    <t>815</t>
  </si>
  <si>
    <t>33677770</t>
  </si>
  <si>
    <t>312230605000562P</t>
  </si>
  <si>
    <t>35502-051</t>
  </si>
  <si>
    <t>312230605000563</t>
  </si>
  <si>
    <t>RUA PEDRO DE OLIVEIRA</t>
  </si>
  <si>
    <t>33677514</t>
  </si>
  <si>
    <t>312230605000563P</t>
  </si>
  <si>
    <t>312230605000645</t>
  </si>
  <si>
    <t>ORION</t>
  </si>
  <si>
    <t>221917483</t>
  </si>
  <si>
    <t>312230605000124</t>
  </si>
  <si>
    <t>260</t>
  </si>
  <si>
    <t>193955287</t>
  </si>
  <si>
    <t>312230605000124P</t>
  </si>
  <si>
    <t>35501-313</t>
  </si>
  <si>
    <t>312230605000126</t>
  </si>
  <si>
    <t>RUA ANTERO SILVA</t>
  </si>
  <si>
    <t>50</t>
  </si>
  <si>
    <t>33621519</t>
  </si>
  <si>
    <t>312230605000126P</t>
  </si>
  <si>
    <t>35501-321</t>
  </si>
  <si>
    <t>312230605000243</t>
  </si>
  <si>
    <t>BELVEDERE II</t>
  </si>
  <si>
    <t>RUA CAMPO VERDE</t>
  </si>
  <si>
    <t>32782459</t>
  </si>
  <si>
    <t>312230605000243P</t>
  </si>
  <si>
    <t>35501-324</t>
  </si>
  <si>
    <t>312230605000477</t>
  </si>
  <si>
    <t>RUA QUITO</t>
  </si>
  <si>
    <t>193793678</t>
  </si>
  <si>
    <t>312230605000477P</t>
  </si>
  <si>
    <t>35501-248</t>
  </si>
  <si>
    <t>312230605000480</t>
  </si>
  <si>
    <t>RUA CANDEIAS</t>
  </si>
  <si>
    <t>900</t>
  </si>
  <si>
    <t>33623214</t>
  </si>
  <si>
    <t>312230605000480P</t>
  </si>
  <si>
    <t>35501-326</t>
  </si>
  <si>
    <t>312230605000557</t>
  </si>
  <si>
    <t>RUA BOGOTA</t>
  </si>
  <si>
    <t>33621046</t>
  </si>
  <si>
    <t>312230605000557P</t>
  </si>
  <si>
    <t>312230605000341</t>
  </si>
  <si>
    <t>601</t>
  </si>
  <si>
    <t>33679627</t>
  </si>
  <si>
    <t>312230605000341P</t>
  </si>
  <si>
    <t>35502-630</t>
  </si>
  <si>
    <t>312230605000638</t>
  </si>
  <si>
    <t>RUA ANTONIO FAGUNDES SILVA</t>
  </si>
  <si>
    <t>104735359</t>
  </si>
  <si>
    <t>35501-210</t>
  </si>
  <si>
    <t>312230605000574</t>
  </si>
  <si>
    <t>RUA VIRIATO CORREA</t>
  </si>
  <si>
    <t>33618268</t>
  </si>
  <si>
    <t>312230605000574P</t>
  </si>
  <si>
    <t>35501-003</t>
  </si>
  <si>
    <t>312230605000323</t>
  </si>
  <si>
    <t>DOM PEDRO II</t>
  </si>
  <si>
    <t>RUA SAO JOAO DEL REI</t>
  </si>
  <si>
    <t>308</t>
  </si>
  <si>
    <t>33619689</t>
  </si>
  <si>
    <t>312230605000323P</t>
  </si>
  <si>
    <t>35503-822</t>
  </si>
  <si>
    <t>312230605000325</t>
  </si>
  <si>
    <t>RUA ALVARES AZEVEDO</t>
  </si>
  <si>
    <t>98301881</t>
  </si>
  <si>
    <t>312230605000325P</t>
  </si>
  <si>
    <t>35500-113</t>
  </si>
  <si>
    <t>312230605000578</t>
  </si>
  <si>
    <t>RUA DEZ DE JULHO</t>
  </si>
  <si>
    <t>377</t>
  </si>
  <si>
    <t>33678857</t>
  </si>
  <si>
    <t>312230605000578P</t>
  </si>
  <si>
    <t>35503-884</t>
  </si>
  <si>
    <t>312230605000580</t>
  </si>
  <si>
    <t>RUA DONA CHIQUINHA</t>
  </si>
  <si>
    <t>40</t>
  </si>
  <si>
    <t>33679265</t>
  </si>
  <si>
    <t>312230605000580P</t>
  </si>
  <si>
    <t>312230605000581</t>
  </si>
  <si>
    <t>253</t>
  </si>
  <si>
    <t>220449277</t>
  </si>
  <si>
    <t>312230605000581P</t>
  </si>
  <si>
    <t>312230605000116</t>
  </si>
  <si>
    <t>182</t>
  </si>
  <si>
    <t>194308690</t>
  </si>
  <si>
    <t>312230605000116P</t>
  </si>
  <si>
    <t>312230605000575</t>
  </si>
  <si>
    <t>VILA JOAO COTA</t>
  </si>
  <si>
    <t>VILA JOAO COTA 2</t>
  </si>
  <si>
    <t>113</t>
  </si>
  <si>
    <t>33618365</t>
  </si>
  <si>
    <t>312230605000575P</t>
  </si>
  <si>
    <t>312230605000659</t>
  </si>
  <si>
    <t>AVENIDA COLETORA</t>
  </si>
  <si>
    <t>101059393</t>
  </si>
  <si>
    <t>312230605000545P</t>
  </si>
  <si>
    <t>35501-534</t>
  </si>
  <si>
    <t>312230605000660</t>
  </si>
  <si>
    <t>RUA GERALDA SILVA FREITAS</t>
  </si>
  <si>
    <t>20</t>
  </si>
  <si>
    <t>101059521</t>
  </si>
  <si>
    <t>35501-099</t>
  </si>
  <si>
    <t>312230605000108</t>
  </si>
  <si>
    <t>NOSSA SENHORA DAS GRACAS</t>
  </si>
  <si>
    <t>RUA SOUZA LIMA</t>
  </si>
  <si>
    <t>33616121</t>
  </si>
  <si>
    <t>312230605000108P</t>
  </si>
  <si>
    <t>312230605000076</t>
  </si>
  <si>
    <t>33604466</t>
  </si>
  <si>
    <t>312230605000076P</t>
  </si>
  <si>
    <t>35501-265</t>
  </si>
  <si>
    <t>312230605000134</t>
  </si>
  <si>
    <t>RUA VINICIUS DE MORAES</t>
  </si>
  <si>
    <t>340</t>
  </si>
  <si>
    <t>224027173</t>
  </si>
  <si>
    <t>312230605000134P</t>
  </si>
  <si>
    <t>35501-261</t>
  </si>
  <si>
    <t>312230605000247</t>
  </si>
  <si>
    <t>RUA GUSTAVO CORSAO</t>
  </si>
  <si>
    <t>861</t>
  </si>
  <si>
    <t>32783720</t>
  </si>
  <si>
    <t>312230605000247P</t>
  </si>
  <si>
    <t>312230605000107</t>
  </si>
  <si>
    <t>ANTONIO FONSECA</t>
  </si>
  <si>
    <t>490</t>
  </si>
  <si>
    <t>33615855</t>
  </si>
  <si>
    <t>312230605000107P</t>
  </si>
  <si>
    <t>35501-053</t>
  </si>
  <si>
    <t>312230605000113</t>
  </si>
  <si>
    <t>RUA OSWALDO RAMOS GUIMARAES</t>
  </si>
  <si>
    <t>194081186</t>
  </si>
  <si>
    <t>312230605000113P</t>
  </si>
  <si>
    <t>35501-051</t>
  </si>
  <si>
    <t>312230605000114</t>
  </si>
  <si>
    <t>RUA JOSE AFONSO MICHELINE</t>
  </si>
  <si>
    <t>664</t>
  </si>
  <si>
    <t>33617623</t>
  </si>
  <si>
    <t>312230605000114P</t>
  </si>
  <si>
    <t>35501-089</t>
  </si>
  <si>
    <t>312230605000115</t>
  </si>
  <si>
    <t>RUA JOSE DA PAZ</t>
  </si>
  <si>
    <t>331</t>
  </si>
  <si>
    <t>88464532</t>
  </si>
  <si>
    <t>312230605000115P</t>
  </si>
  <si>
    <t>35501-741</t>
  </si>
  <si>
    <t>312230605000236</t>
  </si>
  <si>
    <t>RUA ADOLFO MACHADO</t>
  </si>
  <si>
    <t>32781267</t>
  </si>
  <si>
    <t>312230605000236P</t>
  </si>
  <si>
    <t>35501-247</t>
  </si>
  <si>
    <t>312230605000133</t>
  </si>
  <si>
    <t>RUA CAMPO BELO</t>
  </si>
  <si>
    <t>1620</t>
  </si>
  <si>
    <t>33624135</t>
  </si>
  <si>
    <t>312230605000133P</t>
  </si>
  <si>
    <t>35501-200</t>
  </si>
  <si>
    <t>312230605000248</t>
  </si>
  <si>
    <t>RUA ERICO VERISSIMO</t>
  </si>
  <si>
    <t>1955</t>
  </si>
  <si>
    <t>222891894</t>
  </si>
  <si>
    <t>312230605000248P</t>
  </si>
  <si>
    <t>35501-237</t>
  </si>
  <si>
    <t>312230605000249</t>
  </si>
  <si>
    <t>RUA CAMPO DO MEIO</t>
  </si>
  <si>
    <t>32784324</t>
  </si>
  <si>
    <t>312230605000249P</t>
  </si>
  <si>
    <t>35501-050</t>
  </si>
  <si>
    <t>312230605000240</t>
  </si>
  <si>
    <t>RUA SALIM AYRES DA SILVA</t>
  </si>
  <si>
    <t>32782036</t>
  </si>
  <si>
    <t>312230605000240P</t>
  </si>
  <si>
    <t>35501-507</t>
  </si>
  <si>
    <t>312230605000415</t>
  </si>
  <si>
    <t>JOAO ANTONIO GONCALVES</t>
  </si>
  <si>
    <t>RUA TRIANGULO MINEIRO</t>
  </si>
  <si>
    <t>291</t>
  </si>
  <si>
    <t>108970491</t>
  </si>
  <si>
    <t>312230605000415P</t>
  </si>
  <si>
    <t>35501-250</t>
  </si>
  <si>
    <t>312230605000478</t>
  </si>
  <si>
    <t>RUA MURIAE</t>
  </si>
  <si>
    <t>2091</t>
  </si>
  <si>
    <t>33623065</t>
  </si>
  <si>
    <t>312230605000478P</t>
  </si>
  <si>
    <t>35504-425</t>
  </si>
  <si>
    <t>312230605000600</t>
  </si>
  <si>
    <t>PADRE HERCULANO YANES</t>
  </si>
  <si>
    <t>AVENIDA LERY ROCHA</t>
  </si>
  <si>
    <t>1180</t>
  </si>
  <si>
    <t>100558921</t>
  </si>
  <si>
    <t>312230605000547P</t>
  </si>
  <si>
    <t>35501-107</t>
  </si>
  <si>
    <t>312230605000238</t>
  </si>
  <si>
    <t>RUA MARIA MADUREIRA</t>
  </si>
  <si>
    <t>32781603</t>
  </si>
  <si>
    <t>312230605000238P</t>
  </si>
  <si>
    <t>35501-221</t>
  </si>
  <si>
    <t>312230605000665</t>
  </si>
  <si>
    <t>RODOVIA MG 050</t>
  </si>
  <si>
    <t>119</t>
  </si>
  <si>
    <t>33672050</t>
  </si>
  <si>
    <t>312230605000140P</t>
  </si>
  <si>
    <t>312230605000004</t>
  </si>
  <si>
    <t>648</t>
  </si>
  <si>
    <t>33500137</t>
  </si>
  <si>
    <t>312230605000004P</t>
  </si>
  <si>
    <t>35500-008</t>
  </si>
  <si>
    <t>312230605000013</t>
  </si>
  <si>
    <t>RUA PERNAMBUCO</t>
  </si>
  <si>
    <t>33503272</t>
  </si>
  <si>
    <t>312230605000013P</t>
  </si>
  <si>
    <t>312230605000014</t>
  </si>
  <si>
    <t>867</t>
  </si>
  <si>
    <t>33546595</t>
  </si>
  <si>
    <t>312230605000014P</t>
  </si>
  <si>
    <t>35500-617</t>
  </si>
  <si>
    <t>312230605000005</t>
  </si>
  <si>
    <t>RUA GOIAS</t>
  </si>
  <si>
    <t>1286</t>
  </si>
  <si>
    <t>33500353</t>
  </si>
  <si>
    <t>312230605000005P</t>
  </si>
  <si>
    <t>35500-028</t>
  </si>
  <si>
    <t>312230605000006</t>
  </si>
  <si>
    <t>798</t>
  </si>
  <si>
    <t>33500810</t>
  </si>
  <si>
    <t>312230605000006P</t>
  </si>
  <si>
    <t>35500-006</t>
  </si>
  <si>
    <t>312230605000016</t>
  </si>
  <si>
    <t>SIDIL</t>
  </si>
  <si>
    <t>RUA SAO PAULO</t>
  </si>
  <si>
    <t>33547347</t>
  </si>
  <si>
    <t>312230605000016P</t>
  </si>
  <si>
    <t>35500-016</t>
  </si>
  <si>
    <t>312230605000017</t>
  </si>
  <si>
    <t>1220</t>
  </si>
  <si>
    <t>33548111</t>
  </si>
  <si>
    <t>312230605000018P</t>
  </si>
  <si>
    <t>312230605000033</t>
  </si>
  <si>
    <t>1830</t>
  </si>
  <si>
    <t>33553545</t>
  </si>
  <si>
    <t>312230605000033P</t>
  </si>
  <si>
    <t>312230605000029</t>
  </si>
  <si>
    <t>33552247</t>
  </si>
  <si>
    <t>312230605000029P</t>
  </si>
  <si>
    <t>35501-097</t>
  </si>
  <si>
    <t>312230605000109</t>
  </si>
  <si>
    <t>RUA DONA MARIA JOSE NOTINI</t>
  </si>
  <si>
    <t>88464239</t>
  </si>
  <si>
    <t>312230605000109P</t>
  </si>
  <si>
    <t>35502-033</t>
  </si>
  <si>
    <t>312230605000216</t>
  </si>
  <si>
    <t>RUA SANTA CATARINA</t>
  </si>
  <si>
    <t>32775705</t>
  </si>
  <si>
    <t>312230605000216P</t>
  </si>
  <si>
    <t>Comunidade e Cultura - Cultura local, tradição popular, pertencimento comunitário</t>
  </si>
  <si>
    <t>35500-457</t>
  </si>
  <si>
    <t>312230605000091</t>
  </si>
  <si>
    <t>2611</t>
  </si>
  <si>
    <t>33609049</t>
  </si>
  <si>
    <t>312230605000091P</t>
  </si>
  <si>
    <t>35504-632</t>
  </si>
  <si>
    <t>312230605000231</t>
  </si>
  <si>
    <t>RUA MARIA DO CARMO SOUZA</t>
  </si>
  <si>
    <t>101077419</t>
  </si>
  <si>
    <t>312230605000231P</t>
  </si>
  <si>
    <t>35502-847</t>
  </si>
  <si>
    <t>312230605000302</t>
  </si>
  <si>
    <t>RUA SARGENTO CALIOPIO</t>
  </si>
  <si>
    <t>33610736</t>
  </si>
  <si>
    <t>312230605000302P</t>
  </si>
  <si>
    <t>312230605000469</t>
  </si>
  <si>
    <t>921</t>
  </si>
  <si>
    <t>197337132</t>
  </si>
  <si>
    <t>312230605000469P</t>
  </si>
  <si>
    <t>35501-896</t>
  </si>
  <si>
    <t>312230605000666</t>
  </si>
  <si>
    <t>RUA PEDRO FRANCISCO DE OLIVEIRA</t>
  </si>
  <si>
    <t>1061</t>
  </si>
  <si>
    <t>100612839</t>
  </si>
  <si>
    <t>312230605000514P</t>
  </si>
  <si>
    <t>312230605000067</t>
  </si>
  <si>
    <t>ALTO SAO JOAO DE DEUS</t>
  </si>
  <si>
    <t>CORREDOR 1</t>
  </si>
  <si>
    <t>351</t>
  </si>
  <si>
    <t>33564539</t>
  </si>
  <si>
    <t>312230605000067P</t>
  </si>
  <si>
    <t>35500-235</t>
  </si>
  <si>
    <t>312230605000227</t>
  </si>
  <si>
    <t>RUA CALCARIO</t>
  </si>
  <si>
    <t>216909663</t>
  </si>
  <si>
    <t>312230605000227P</t>
  </si>
  <si>
    <t>35500-212</t>
  </si>
  <si>
    <t>312230605000066</t>
  </si>
  <si>
    <t>RUA FARADIM</t>
  </si>
  <si>
    <t>1138</t>
  </si>
  <si>
    <t>33564291</t>
  </si>
  <si>
    <t>312230605000066P</t>
  </si>
  <si>
    <t>35504-070</t>
  </si>
  <si>
    <t>312230605000103</t>
  </si>
  <si>
    <t>RUA MARCOS PECANHA</t>
  </si>
  <si>
    <t>680</t>
  </si>
  <si>
    <t>100889938</t>
  </si>
  <si>
    <t>312230605000103P</t>
  </si>
  <si>
    <t>35501-123</t>
  </si>
  <si>
    <t>312230605000504</t>
  </si>
  <si>
    <t>AVENIDA VILLAGE DOS PASSAROS</t>
  </si>
  <si>
    <t>106067439</t>
  </si>
  <si>
    <t>312230605000504P</t>
  </si>
  <si>
    <t>35501-864</t>
  </si>
  <si>
    <t>312230605000514</t>
  </si>
  <si>
    <t>RUA MADRE SILVA</t>
  </si>
  <si>
    <t>100612787</t>
  </si>
  <si>
    <t>312230605000553</t>
  </si>
  <si>
    <t>QUINTA DAS PALMEIRAS</t>
  </si>
  <si>
    <t>101052122</t>
  </si>
  <si>
    <t>312230605000553P</t>
  </si>
  <si>
    <t>35500-395</t>
  </si>
  <si>
    <t>312230605000291</t>
  </si>
  <si>
    <t>DEL REY</t>
  </si>
  <si>
    <t>RUA DAS CAMELIAS</t>
  </si>
  <si>
    <t>33562598</t>
  </si>
  <si>
    <t>312230605000291P</t>
  </si>
  <si>
    <t>35500-536</t>
  </si>
  <si>
    <t>312230605000090</t>
  </si>
  <si>
    <t>RUA HAVANA</t>
  </si>
  <si>
    <t>190</t>
  </si>
  <si>
    <t>88463669</t>
  </si>
  <si>
    <t>312230605000090P</t>
  </si>
  <si>
    <t>35500-241</t>
  </si>
  <si>
    <t>312230605000069</t>
  </si>
  <si>
    <t>RUA EDUARDO SOARES</t>
  </si>
  <si>
    <t>33564966</t>
  </si>
  <si>
    <t>312230605000069P</t>
  </si>
  <si>
    <t>35504-696</t>
  </si>
  <si>
    <t>312230605000584</t>
  </si>
  <si>
    <t>AVENIDA BERLIM</t>
  </si>
  <si>
    <t>1160</t>
  </si>
  <si>
    <t>221876569</t>
  </si>
  <si>
    <t>312230605000584P</t>
  </si>
  <si>
    <t>35504-702</t>
  </si>
  <si>
    <t>312230605000585</t>
  </si>
  <si>
    <t>RUA CELESTINO JOAQUIM ANTONIO</t>
  </si>
  <si>
    <t>165</t>
  </si>
  <si>
    <t>221765216</t>
  </si>
  <si>
    <t>312230605000585P</t>
  </si>
  <si>
    <t>35502-379</t>
  </si>
  <si>
    <t>312230605000591</t>
  </si>
  <si>
    <t>SAO SIMAO</t>
  </si>
  <si>
    <t>RUA SEM DENOMINACAO</t>
  </si>
  <si>
    <t>11</t>
  </si>
  <si>
    <t>101201182</t>
  </si>
  <si>
    <t>312230605000591P</t>
  </si>
  <si>
    <t>35500-562</t>
  </si>
  <si>
    <t>312230605000621</t>
  </si>
  <si>
    <t>104633762</t>
  </si>
  <si>
    <t>35501-080</t>
  </si>
  <si>
    <t>312230605000612</t>
  </si>
  <si>
    <t>RUA DONA JACINTA DE JESUS</t>
  </si>
  <si>
    <t>221662994</t>
  </si>
  <si>
    <t>35500-251</t>
  </si>
  <si>
    <t>312230605000294</t>
  </si>
  <si>
    <t>RUA DO OURO</t>
  </si>
  <si>
    <t>159</t>
  </si>
  <si>
    <t>33565208</t>
  </si>
  <si>
    <t>312230605000294P</t>
  </si>
  <si>
    <t>35501-000</t>
  </si>
  <si>
    <t>312230605000044</t>
  </si>
  <si>
    <t>AVENIDA CORONEL JULIO RIBEIRO GONTIJO</t>
  </si>
  <si>
    <t>305</t>
  </si>
  <si>
    <t>33557226</t>
  </si>
  <si>
    <t>312230605000044P</t>
  </si>
  <si>
    <t>312230605000384</t>
  </si>
  <si>
    <t>CORREGO DO PAIOL</t>
  </si>
  <si>
    <t>ESTRADA GOIABEIRA</t>
  </si>
  <si>
    <t>112604924</t>
  </si>
  <si>
    <t>312230605000384P</t>
  </si>
  <si>
    <t>35504-076</t>
  </si>
  <si>
    <t>312230605000445</t>
  </si>
  <si>
    <t>RUA PRIMO BATAGLINI</t>
  </si>
  <si>
    <t>104005560</t>
  </si>
  <si>
    <t>312230605000445P</t>
  </si>
  <si>
    <t>35501-118</t>
  </si>
  <si>
    <t>312230605000554</t>
  </si>
  <si>
    <t>RUA ZOMAR NOGUEIRA</t>
  </si>
  <si>
    <t>496</t>
  </si>
  <si>
    <t>101052150</t>
  </si>
  <si>
    <t>312230605000554P</t>
  </si>
  <si>
    <t>312230605000097</t>
  </si>
  <si>
    <t>800</t>
  </si>
  <si>
    <t>88464020</t>
  </si>
  <si>
    <t>312230605000097P</t>
  </si>
  <si>
    <t>312230605000298</t>
  </si>
  <si>
    <t>88463591</t>
  </si>
  <si>
    <t>312230605000298P</t>
  </si>
  <si>
    <t>35500-236</t>
  </si>
  <si>
    <t>312230605000576</t>
  </si>
  <si>
    <t>RUA MANGANES</t>
  </si>
  <si>
    <t>448</t>
  </si>
  <si>
    <t>33566217</t>
  </si>
  <si>
    <t>312230605000576P</t>
  </si>
  <si>
    <t>35502-147</t>
  </si>
  <si>
    <t>312230605000169</t>
  </si>
  <si>
    <t>AVENIDA DOS ROUXINOIS</t>
  </si>
  <si>
    <t>160</t>
  </si>
  <si>
    <t>33681374</t>
  </si>
  <si>
    <t>312230605000169P</t>
  </si>
  <si>
    <t>35502-141</t>
  </si>
  <si>
    <t>312230605000261</t>
  </si>
  <si>
    <t>RUA AUGUSTO DE LIMA</t>
  </si>
  <si>
    <t>33154356</t>
  </si>
  <si>
    <t>312230605000261P</t>
  </si>
  <si>
    <t>35502-152</t>
  </si>
  <si>
    <t>312230605000527</t>
  </si>
  <si>
    <t>RUA SAO FRANCISCO DE ASSIS</t>
  </si>
  <si>
    <t>280</t>
  </si>
  <si>
    <t>33680907</t>
  </si>
  <si>
    <t>312230605000527P</t>
  </si>
  <si>
    <t>35502-217</t>
  </si>
  <si>
    <t>312230605000551</t>
  </si>
  <si>
    <t>RUA MONT SERRAT</t>
  </si>
  <si>
    <t>33680076</t>
  </si>
  <si>
    <t>312230605000551P</t>
  </si>
  <si>
    <t>35500-358</t>
  </si>
  <si>
    <t>312230605000189</t>
  </si>
  <si>
    <t>RUA SAO JOAQUIM</t>
  </si>
  <si>
    <t>33688749</t>
  </si>
  <si>
    <t>312230605000189P</t>
  </si>
  <si>
    <t>35503-562</t>
  </si>
  <si>
    <t>312230605000293</t>
  </si>
  <si>
    <t>RUA BUTIA</t>
  </si>
  <si>
    <t>33563308</t>
  </si>
  <si>
    <t>312230605000293P</t>
  </si>
  <si>
    <t>35502-345</t>
  </si>
  <si>
    <t>312230605000362</t>
  </si>
  <si>
    <t>GRAJAU</t>
  </si>
  <si>
    <t>RUA ARMANDO GONTIJO DA FONSECA</t>
  </si>
  <si>
    <t>104426437</t>
  </si>
  <si>
    <t>312230605000362P</t>
  </si>
  <si>
    <t>35502-299</t>
  </si>
  <si>
    <t>312230605000509</t>
  </si>
  <si>
    <t>JARDIM DOS CANDIDES</t>
  </si>
  <si>
    <t>AVENIDA GOITACAZES</t>
  </si>
  <si>
    <t>1531</t>
  </si>
  <si>
    <t>33156814</t>
  </si>
  <si>
    <t>312230605000509P</t>
  </si>
  <si>
    <t>35502-398</t>
  </si>
  <si>
    <t>312230605000550</t>
  </si>
  <si>
    <t>RUA GUARACI GOMES</t>
  </si>
  <si>
    <t>101201270</t>
  </si>
  <si>
    <t>312230605000550P</t>
  </si>
  <si>
    <t>35502-350</t>
  </si>
  <si>
    <t>312230605000624</t>
  </si>
  <si>
    <t>RESIDENCIAL SAO FREI GALVAO III</t>
  </si>
  <si>
    <t>RUA DEZESSETE</t>
  </si>
  <si>
    <t>109548747</t>
  </si>
  <si>
    <t>312230605000531P</t>
  </si>
  <si>
    <t>35501-631</t>
  </si>
  <si>
    <t>312230605000410</t>
  </si>
  <si>
    <t>JARDIM COPACABANA</t>
  </si>
  <si>
    <t>RUA DOUTOR PAULO RACHID MENDES</t>
  </si>
  <si>
    <t>197334921</t>
  </si>
  <si>
    <t>312230605000410P</t>
  </si>
  <si>
    <t>35501-618</t>
  </si>
  <si>
    <t>312230605000411</t>
  </si>
  <si>
    <t>RUA NEUSIVAL SPAGNOL JUNIOR</t>
  </si>
  <si>
    <t>100327533</t>
  </si>
  <si>
    <t>312230605000411P</t>
  </si>
  <si>
    <t>35501-576</t>
  </si>
  <si>
    <t>312230605000498</t>
  </si>
  <si>
    <t>RUA PAU BRASIL</t>
  </si>
  <si>
    <t>570</t>
  </si>
  <si>
    <t>101227878</t>
  </si>
  <si>
    <t>312230605000498P</t>
  </si>
  <si>
    <t>35501-592</t>
  </si>
  <si>
    <t>312230605000499</t>
  </si>
  <si>
    <t>RUA CAJUEIRO</t>
  </si>
  <si>
    <t>481</t>
  </si>
  <si>
    <t>101228058</t>
  </si>
  <si>
    <t>312230605000499P</t>
  </si>
  <si>
    <t>35501-572</t>
  </si>
  <si>
    <t>312230605000537</t>
  </si>
  <si>
    <t>RUA ANGELIN</t>
  </si>
  <si>
    <t>100422157</t>
  </si>
  <si>
    <t>312230605000537P</t>
  </si>
  <si>
    <t>312230605000607</t>
  </si>
  <si>
    <t>100422624</t>
  </si>
  <si>
    <t>312230605000536P</t>
  </si>
  <si>
    <t>35500-387</t>
  </si>
  <si>
    <t>312230605000061</t>
  </si>
  <si>
    <t>RUA DO CRAVO</t>
  </si>
  <si>
    <t>801</t>
  </si>
  <si>
    <t>100746243</t>
  </si>
  <si>
    <t>312230605000061P</t>
  </si>
  <si>
    <t>35500-540</t>
  </si>
  <si>
    <t>312230605000617</t>
  </si>
  <si>
    <t>RUA CANADA</t>
  </si>
  <si>
    <t>1121</t>
  </si>
  <si>
    <t>33610994</t>
  </si>
  <si>
    <t>312230605000304P</t>
  </si>
  <si>
    <t>312230605000618</t>
  </si>
  <si>
    <t>951</t>
  </si>
  <si>
    <t>33611192</t>
  </si>
  <si>
    <t>35500-597</t>
  </si>
  <si>
    <t>312230605000312</t>
  </si>
  <si>
    <t>SAO BENTO</t>
  </si>
  <si>
    <t>RUA JUIZ DE FORA</t>
  </si>
  <si>
    <t>33613480</t>
  </si>
  <si>
    <t>312230605000312P</t>
  </si>
  <si>
    <t>35504-024</t>
  </si>
  <si>
    <t>312230605000502</t>
  </si>
  <si>
    <t>NOVO PARAISO</t>
  </si>
  <si>
    <t>RUA BATIDO DO SOL</t>
  </si>
  <si>
    <t>100778399</t>
  </si>
  <si>
    <t>312230605000502P</t>
  </si>
  <si>
    <t>35500-515</t>
  </si>
  <si>
    <t>312230605000613</t>
  </si>
  <si>
    <t>RUA CATALUNHA</t>
  </si>
  <si>
    <t>581</t>
  </si>
  <si>
    <t>106667721</t>
  </si>
  <si>
    <t>312230610000018</t>
  </si>
  <si>
    <t>SANTA CRUZ</t>
  </si>
  <si>
    <t>RUA JOAO CARNEIRO</t>
  </si>
  <si>
    <t>33160031</t>
  </si>
  <si>
    <t>312230610000018P</t>
  </si>
  <si>
    <t>312230610000027</t>
  </si>
  <si>
    <t>PRIMAVERA</t>
  </si>
  <si>
    <t>RUA NELSON ANTONIO DE SOUZA</t>
  </si>
  <si>
    <t>88468388</t>
  </si>
  <si>
    <t>312230610000027P</t>
  </si>
  <si>
    <t>312230610000031</t>
  </si>
  <si>
    <t>RUA ERNESTO C DA SILVEIRA</t>
  </si>
  <si>
    <t>88468323</t>
  </si>
  <si>
    <t>312230610000031P</t>
  </si>
  <si>
    <t>312230610000032</t>
  </si>
  <si>
    <t>FLORERMIDA</t>
  </si>
  <si>
    <t>RUA JOAO CLEMENTINO PEREIRA</t>
  </si>
  <si>
    <t>216024283</t>
  </si>
  <si>
    <t>312230610000032P</t>
  </si>
  <si>
    <t>35502-260</t>
  </si>
  <si>
    <t>312230605000589</t>
  </si>
  <si>
    <t>AVENIDA BELO HORIZONTE</t>
  </si>
  <si>
    <t>106070131</t>
  </si>
  <si>
    <t>312230605000589P</t>
  </si>
  <si>
    <t>35501-319</t>
  </si>
  <si>
    <t>312230605000073</t>
  </si>
  <si>
    <t>RUA BOCAIUVA</t>
  </si>
  <si>
    <t>129</t>
  </si>
  <si>
    <t>33566030</t>
  </si>
  <si>
    <t>312230605000073P</t>
  </si>
  <si>
    <t>35500-205</t>
  </si>
  <si>
    <t>312230605000577</t>
  </si>
  <si>
    <t>RUA TUPIS</t>
  </si>
  <si>
    <t>903</t>
  </si>
  <si>
    <t>33566172</t>
  </si>
  <si>
    <t>312230605000577P</t>
  </si>
  <si>
    <t>35502-511</t>
  </si>
  <si>
    <t>312230605000629</t>
  </si>
  <si>
    <t>AVENIDA TERRA E AREIA</t>
  </si>
  <si>
    <t>33682891</t>
  </si>
  <si>
    <t>312230605000173P</t>
  </si>
  <si>
    <t>35502-070</t>
  </si>
  <si>
    <t>312230605000632</t>
  </si>
  <si>
    <t>PROLONGAMENTO BOM PASTOR</t>
  </si>
  <si>
    <t>1440</t>
  </si>
  <si>
    <t>107176577</t>
  </si>
  <si>
    <t>312230605000171P</t>
  </si>
  <si>
    <t>35502-159</t>
  </si>
  <si>
    <t>312230605000488</t>
  </si>
  <si>
    <t>RUA VICENTE MATEUS</t>
  </si>
  <si>
    <t>6</t>
  </si>
  <si>
    <t>194333352</t>
  </si>
  <si>
    <t>312230605000488P</t>
  </si>
  <si>
    <t>35502-165</t>
  </si>
  <si>
    <t>312230605000489</t>
  </si>
  <si>
    <t>RUA DALILA MAGALHAES</t>
  </si>
  <si>
    <t>33680763</t>
  </si>
  <si>
    <t>312230605000489P</t>
  </si>
  <si>
    <t>35502-186</t>
  </si>
  <si>
    <t>312230605000552</t>
  </si>
  <si>
    <t>RUA ASSEMBLEIA</t>
  </si>
  <si>
    <t>567</t>
  </si>
  <si>
    <t>105997600</t>
  </si>
  <si>
    <t>312230605000552P</t>
  </si>
  <si>
    <t>35502-390</t>
  </si>
  <si>
    <t>312230605000548</t>
  </si>
  <si>
    <t>RUA ARISTIDES FERREIRA DO AMARAL</t>
  </si>
  <si>
    <t>101201229</t>
  </si>
  <si>
    <t>312230605000548P</t>
  </si>
  <si>
    <t>35500-372</t>
  </si>
  <si>
    <t>312230605000190</t>
  </si>
  <si>
    <t>RUA DIAMANTE</t>
  </si>
  <si>
    <t>193780880</t>
  </si>
  <si>
    <t>312230605000190P</t>
  </si>
  <si>
    <t>312230610000014</t>
  </si>
  <si>
    <t>RUA BERNADINA DE JESUS</t>
  </si>
  <si>
    <t>33162998</t>
  </si>
  <si>
    <t>312230610000014P</t>
  </si>
  <si>
    <t>35502-210</t>
  </si>
  <si>
    <t>312230605000672</t>
  </si>
  <si>
    <t>RESIDENCIAL SAO MIGUEL</t>
  </si>
  <si>
    <t>RUA 05</t>
  </si>
  <si>
    <t>107168812</t>
  </si>
  <si>
    <t>312230605000353P</t>
  </si>
  <si>
    <t>35501-427</t>
  </si>
  <si>
    <t>312230605000402</t>
  </si>
  <si>
    <t>SANTO ANDRE</t>
  </si>
  <si>
    <t>RUA WALDEMIRA ANTUNES DA SILVA</t>
  </si>
  <si>
    <t>106975372</t>
  </si>
  <si>
    <t>312230605000402P</t>
  </si>
  <si>
    <t>35501-363</t>
  </si>
  <si>
    <t>312230605000403</t>
  </si>
  <si>
    <t>VIVENDAS DA EXPOSICAO</t>
  </si>
  <si>
    <t>ALAMEDA AUGUSTO PEREIRA DA SILVA</t>
  </si>
  <si>
    <t>107275669</t>
  </si>
  <si>
    <t>312230605000403P</t>
  </si>
  <si>
    <t>35501-406</t>
  </si>
  <si>
    <t>312230605000405</t>
  </si>
  <si>
    <t>RUA PAULINO ROSA</t>
  </si>
  <si>
    <t>95</t>
  </si>
  <si>
    <t>99429941</t>
  </si>
  <si>
    <t>312230605000405P</t>
  </si>
  <si>
    <t>35501-547</t>
  </si>
  <si>
    <t>312230605000408</t>
  </si>
  <si>
    <t>GERALDO PEREIRA</t>
  </si>
  <si>
    <t>RUA ANGELINA VASCONCELOS CARRILHO</t>
  </si>
  <si>
    <t>193790449</t>
  </si>
  <si>
    <t>312230605000408P</t>
  </si>
  <si>
    <t>35501-387</t>
  </si>
  <si>
    <t>312230605000497</t>
  </si>
  <si>
    <t>RUA CABO FREI ORLANDO</t>
  </si>
  <si>
    <t>691</t>
  </si>
  <si>
    <t>110527685</t>
  </si>
  <si>
    <t>312230605000497P</t>
  </si>
  <si>
    <t>35501-335</t>
  </si>
  <si>
    <t>312230605000556</t>
  </si>
  <si>
    <t>RUA JOSE FARIA BARROS</t>
  </si>
  <si>
    <t>32782880</t>
  </si>
  <si>
    <t>312230605000556P</t>
  </si>
  <si>
    <t>312230605000603</t>
  </si>
  <si>
    <t>32783379</t>
  </si>
  <si>
    <t>35500-450</t>
  </si>
  <si>
    <t>312230605000668</t>
  </si>
  <si>
    <t>AVENIDA GABRIEL PASSOS</t>
  </si>
  <si>
    <t>33605923</t>
  </si>
  <si>
    <t>312230605000459P</t>
  </si>
  <si>
    <t>35502-285</t>
  </si>
  <si>
    <t>312230605000357</t>
  </si>
  <si>
    <t>CENTRO INDUSTRIAL</t>
  </si>
  <si>
    <t>RUA PREFEITO ANTONIO MARTINS GUIMARAES</t>
  </si>
  <si>
    <t>1051</t>
  </si>
  <si>
    <t>33688063</t>
  </si>
  <si>
    <t>312230605000357P</t>
  </si>
  <si>
    <t>35502-309</t>
  </si>
  <si>
    <t>312230605000494</t>
  </si>
  <si>
    <t>RUA GONCALVES MARTINS</t>
  </si>
  <si>
    <t>33688119</t>
  </si>
  <si>
    <t>312230605000494P</t>
  </si>
  <si>
    <t>312230605000542</t>
  </si>
  <si>
    <t>AVENIDA TAMARACA</t>
  </si>
  <si>
    <t>1361</t>
  </si>
  <si>
    <t>33156483</t>
  </si>
  <si>
    <t>312230605000542P</t>
  </si>
  <si>
    <t>312230605000590</t>
  </si>
  <si>
    <t>RUA A</t>
  </si>
  <si>
    <t>101201127</t>
  </si>
  <si>
    <t>312230605000590P</t>
  </si>
  <si>
    <t>35502-301</t>
  </si>
  <si>
    <t>312230605000673</t>
  </si>
  <si>
    <t>RUA PIRINEUS</t>
  </si>
  <si>
    <t>194006398</t>
  </si>
  <si>
    <t>312230605000358P</t>
  </si>
  <si>
    <t>35502-003</t>
  </si>
  <si>
    <t>312230605000370</t>
  </si>
  <si>
    <t>CACOCO DE BAIXO</t>
  </si>
  <si>
    <t>RUA DOIS</t>
  </si>
  <si>
    <t>87</t>
  </si>
  <si>
    <t>101216373</t>
  </si>
  <si>
    <t>312230605000370P</t>
  </si>
  <si>
    <t>35501-504</t>
  </si>
  <si>
    <t>312230605000372</t>
  </si>
  <si>
    <t>JATOBA</t>
  </si>
  <si>
    <t>ESTRADA SEM DENOMINACAO 4</t>
  </si>
  <si>
    <t>101216490</t>
  </si>
  <si>
    <t>312230605000372P</t>
  </si>
  <si>
    <t>312230605000375</t>
  </si>
  <si>
    <t>CACOCO DE CIMA</t>
  </si>
  <si>
    <t>101216603</t>
  </si>
  <si>
    <t>312230605000375P</t>
  </si>
  <si>
    <t>35501-601</t>
  </si>
  <si>
    <t>312230605000409</t>
  </si>
  <si>
    <t>JOAO PAULO II</t>
  </si>
  <si>
    <t>RUA AVENCAS</t>
  </si>
  <si>
    <t>104407489</t>
  </si>
  <si>
    <t>312230605000409P</t>
  </si>
  <si>
    <t>35501-586</t>
  </si>
  <si>
    <t>312230605000431</t>
  </si>
  <si>
    <t>ESTRADA DO PARI</t>
  </si>
  <si>
    <t>224054726</t>
  </si>
  <si>
    <t>312230605000431P</t>
  </si>
  <si>
    <t>35501-591</t>
  </si>
  <si>
    <t>312230605000535</t>
  </si>
  <si>
    <t>RUA GOIABEIRA</t>
  </si>
  <si>
    <t>1019</t>
  </si>
  <si>
    <t>101215653</t>
  </si>
  <si>
    <t>312230605000535P</t>
  </si>
  <si>
    <t>35501-566</t>
  </si>
  <si>
    <t>312230605000560</t>
  </si>
  <si>
    <t>RUA EMBUIA</t>
  </si>
  <si>
    <t>488</t>
  </si>
  <si>
    <t>224594552</t>
  </si>
  <si>
    <t>312230605000560P</t>
  </si>
  <si>
    <t>35501-527</t>
  </si>
  <si>
    <t>312230605000599</t>
  </si>
  <si>
    <t>RUA ROMUALDA CANDIDA</t>
  </si>
  <si>
    <t>1270</t>
  </si>
  <si>
    <t>100558969</t>
  </si>
  <si>
    <t>35501-568</t>
  </si>
  <si>
    <t>312230605000608</t>
  </si>
  <si>
    <t>RUA GUARITA</t>
  </si>
  <si>
    <t>354</t>
  </si>
  <si>
    <t>100422455</t>
  </si>
  <si>
    <t>35504-361</t>
  </si>
  <si>
    <t>312230605000670</t>
  </si>
  <si>
    <t>ESTRADA PARA GRANJA RADIL</t>
  </si>
  <si>
    <t>106904823</t>
  </si>
  <si>
    <t>312230605000442P</t>
  </si>
  <si>
    <t>312230605000428</t>
  </si>
  <si>
    <t>RUA VALDECI EXPEDITO DUARTE</t>
  </si>
  <si>
    <t>1201</t>
  </si>
  <si>
    <t>193970685</t>
  </si>
  <si>
    <t>312230605000428P</t>
  </si>
  <si>
    <t>35502-353</t>
  </si>
  <si>
    <t>312230605000429</t>
  </si>
  <si>
    <t>RUA QUATRO</t>
  </si>
  <si>
    <t>197145253</t>
  </si>
  <si>
    <t>312230605000429P</t>
  </si>
  <si>
    <t>Demografia por Sexo e Idade - Mulheres com 15–19 anos no setor</t>
  </si>
  <si>
    <t>312230605000453</t>
  </si>
  <si>
    <t>381</t>
  </si>
  <si>
    <t>33558998</t>
  </si>
  <si>
    <t>312230605000453P</t>
  </si>
  <si>
    <t>35502-273</t>
  </si>
  <si>
    <t>312230605000493</t>
  </si>
  <si>
    <t>RUA ITAPERUNA</t>
  </si>
  <si>
    <t>33686907</t>
  </si>
  <si>
    <t>312230605000493P</t>
  </si>
  <si>
    <t>35500-264</t>
  </si>
  <si>
    <t>312230605000226</t>
  </si>
  <si>
    <t>RUA UBERLANDIA</t>
  </si>
  <si>
    <t>32778420</t>
  </si>
  <si>
    <t>312230605000226P</t>
  </si>
  <si>
    <t>35502-101</t>
  </si>
  <si>
    <t>312230605000628</t>
  </si>
  <si>
    <t>RUA IRIRI</t>
  </si>
  <si>
    <t>536</t>
  </si>
  <si>
    <t>98022923</t>
  </si>
  <si>
    <t>35501-505</t>
  </si>
  <si>
    <t>312230605000128</t>
  </si>
  <si>
    <t>RODOVIA BR 494</t>
  </si>
  <si>
    <t>107655347</t>
  </si>
  <si>
    <t>312230605000128P</t>
  </si>
  <si>
    <t>312230605000516</t>
  </si>
  <si>
    <t>551</t>
  </si>
  <si>
    <t>223250352</t>
  </si>
  <si>
    <t>312230605000516P</t>
  </si>
  <si>
    <t>Demografia por Sexo e Idade - Mulheres com 20–24 anos no setor</t>
  </si>
  <si>
    <t>312230605000462</t>
  </si>
  <si>
    <t>1501</t>
  </si>
  <si>
    <t>100851063</t>
  </si>
  <si>
    <t>312230605000462P</t>
  </si>
  <si>
    <t>35502-451</t>
  </si>
  <si>
    <t>312230605000256</t>
  </si>
  <si>
    <t>RUA SERGIPE</t>
  </si>
  <si>
    <t>3178</t>
  </si>
  <si>
    <t>193961972</t>
  </si>
  <si>
    <t>312230605000256P</t>
  </si>
  <si>
    <t>312230605000496</t>
  </si>
  <si>
    <t>193973918</t>
  </si>
  <si>
    <t>312230605000496P</t>
  </si>
  <si>
    <t>Demografia por Sexo e Idade - Mulheres com 25–29 anos no setor</t>
  </si>
  <si>
    <t>35500-842</t>
  </si>
  <si>
    <t>312230605000456</t>
  </si>
  <si>
    <t>RUA MARECHAL FLORIANO</t>
  </si>
  <si>
    <t>104003996</t>
  </si>
  <si>
    <t>312230605000456P</t>
  </si>
  <si>
    <t>Demografia por Sexo e Idade - Mulheres com 30–34 anos no setor</t>
  </si>
  <si>
    <t>Educação - Alta escolaridade, superior/pós, qualificação elevada</t>
  </si>
  <si>
    <t>35500-153</t>
  </si>
  <si>
    <t>312230605000491</t>
  </si>
  <si>
    <t>RUA JOAO ESTEVES</t>
  </si>
  <si>
    <t>33684282</t>
  </si>
  <si>
    <t>312230605000491P</t>
  </si>
  <si>
    <t>Educação - Escolaridade média, ensino médio completo, formação básica</t>
  </si>
  <si>
    <t>35501-103</t>
  </si>
  <si>
    <t>312230605000393</t>
  </si>
  <si>
    <t>SANTOS DUMONT</t>
  </si>
  <si>
    <t>RUA MANAUS</t>
  </si>
  <si>
    <t>32781032</t>
  </si>
  <si>
    <t>312230605000393P</t>
  </si>
  <si>
    <t>Educação - Presença de universitários, ensino superior, campus</t>
  </si>
  <si>
    <t>Educação - Pós-graduação, alta qualificação, capital intelectual</t>
  </si>
  <si>
    <t>35501-019</t>
  </si>
  <si>
    <t>312230605000222</t>
  </si>
  <si>
    <t>RUA MAUA</t>
  </si>
  <si>
    <t>199</t>
  </si>
  <si>
    <t>32777178</t>
  </si>
  <si>
    <t>312230605000222P</t>
  </si>
  <si>
    <t>312230605000284</t>
  </si>
  <si>
    <t>33556808</t>
  </si>
  <si>
    <t>312230605000284P</t>
  </si>
  <si>
    <t>35504-453</t>
  </si>
  <si>
    <t>312230610000010</t>
  </si>
  <si>
    <t>DJALMA DUTRA</t>
  </si>
  <si>
    <t>ESTRADA DJALMA DUTRA PARA PEROBAS</t>
  </si>
  <si>
    <t>33162156</t>
  </si>
  <si>
    <t>312230610000010P</t>
  </si>
  <si>
    <t>35500-185</t>
  </si>
  <si>
    <t>312230605000582</t>
  </si>
  <si>
    <t>RUA ITAJUBA</t>
  </si>
  <si>
    <t>33683567</t>
  </si>
  <si>
    <t>312230605000582P</t>
  </si>
  <si>
    <t>312230605000511</t>
  </si>
  <si>
    <t>541</t>
  </si>
  <si>
    <t>33558646</t>
  </si>
  <si>
    <t>312230605000511P</t>
  </si>
  <si>
    <t>35504-724</t>
  </si>
  <si>
    <t>312230605000564</t>
  </si>
  <si>
    <t>JARDIM BRASILIA</t>
  </si>
  <si>
    <t>RUA CORONEL JOAO NOTINI</t>
  </si>
  <si>
    <t>33677617</t>
  </si>
  <si>
    <t>312230605000564P</t>
  </si>
  <si>
    <t>35500-063</t>
  </si>
  <si>
    <t>312230605000221</t>
  </si>
  <si>
    <t>RUA FREI CANECA</t>
  </si>
  <si>
    <t>31</t>
  </si>
  <si>
    <t>219462760</t>
  </si>
  <si>
    <t>312230605000221P</t>
  </si>
  <si>
    <t>Educação - Técnico e superior, formação profissional, diplomas</t>
  </si>
  <si>
    <t>35502-107</t>
  </si>
  <si>
    <t>312230605000630</t>
  </si>
  <si>
    <t>RUA MORRO VELHO</t>
  </si>
  <si>
    <t>106049371</t>
  </si>
  <si>
    <t>Família e Cuidado - Alta demanda por creche e cuidado infantil</t>
  </si>
  <si>
    <t>Família e Cuidado - Lares chefiados por mulheres, cuidado, renda</t>
  </si>
  <si>
    <t>35500-460</t>
  </si>
  <si>
    <t>312230605000297</t>
  </si>
  <si>
    <t>AVENIDA DO ACO</t>
  </si>
  <si>
    <t>1860</t>
  </si>
  <si>
    <t>194003960</t>
  </si>
  <si>
    <t>312230605000297P</t>
  </si>
  <si>
    <t>35500-530</t>
  </si>
  <si>
    <t>312230605000309</t>
  </si>
  <si>
    <t>RUA ARGENTINA</t>
  </si>
  <si>
    <t>1011</t>
  </si>
  <si>
    <t>109036087</t>
  </si>
  <si>
    <t>312230605000309P</t>
  </si>
  <si>
    <t>312230605000598</t>
  </si>
  <si>
    <t>860</t>
  </si>
  <si>
    <t>33156290</t>
  </si>
  <si>
    <t>Igualdade e Direitos - Aderência a pautas LGBT, tolerância e direitos</t>
  </si>
  <si>
    <t>Igualdade e Direitos - Aderência a pautas de igualdade de gênero</t>
  </si>
  <si>
    <t>Igualdade e Direitos - Sensibilidade a antirracismo, inclusão, equidade racial</t>
  </si>
  <si>
    <t>35500-497</t>
  </si>
  <si>
    <t>312230605000308</t>
  </si>
  <si>
    <t>DONA QUITA</t>
  </si>
  <si>
    <t>ESTRADA PARA FAZENDA CACHOEIRINHA</t>
  </si>
  <si>
    <t>33612449</t>
  </si>
  <si>
    <t>312230605000308P</t>
  </si>
  <si>
    <t>312230610000006</t>
  </si>
  <si>
    <t>LAJES</t>
  </si>
  <si>
    <t>ESTRADA PARA SITIO CORACAO DE OURO</t>
  </si>
  <si>
    <t>194327955</t>
  </si>
  <si>
    <t>312230610000006P</t>
  </si>
  <si>
    <t>312230605000373</t>
  </si>
  <si>
    <t>INHAME</t>
  </si>
  <si>
    <t>ESTRADA DVL 170</t>
  </si>
  <si>
    <t>197141297</t>
  </si>
  <si>
    <t>312230605000373P</t>
  </si>
  <si>
    <t>35500-424</t>
  </si>
  <si>
    <t>312230605000081</t>
  </si>
  <si>
    <t>RUA RODRIGUES ALVES</t>
  </si>
  <si>
    <t>86</t>
  </si>
  <si>
    <t>33605841</t>
  </si>
  <si>
    <t>312230605000081P</t>
  </si>
  <si>
    <t>35500-432</t>
  </si>
  <si>
    <t>312230605000444</t>
  </si>
  <si>
    <t>RUA FERNAO DIAS</t>
  </si>
  <si>
    <t>1124</t>
  </si>
  <si>
    <t>33603873</t>
  </si>
  <si>
    <t>312230605000444P</t>
  </si>
  <si>
    <t>312230610000020</t>
  </si>
  <si>
    <t>AVENIDA PRESIDENTE TANCREDO NEVES</t>
  </si>
  <si>
    <t>8071</t>
  </si>
  <si>
    <t>33160765</t>
  </si>
  <si>
    <t>312230610000020P</t>
  </si>
  <si>
    <t>35501-353</t>
  </si>
  <si>
    <t>312230610000034</t>
  </si>
  <si>
    <t>POSSES</t>
  </si>
  <si>
    <t>ESTRADA PARA POSSES</t>
  </si>
  <si>
    <t>2</t>
  </si>
  <si>
    <t>33161205</t>
  </si>
  <si>
    <t>312230610000034P</t>
  </si>
  <si>
    <t>312230610000035</t>
  </si>
  <si>
    <t>LAVA PES</t>
  </si>
  <si>
    <t>ESTRADA PARA LAVAPES</t>
  </si>
  <si>
    <t>33161256</t>
  </si>
  <si>
    <t>312230610000035P</t>
  </si>
  <si>
    <t>312230605000194</t>
  </si>
  <si>
    <t>RUA SEM DENOMINACAO 4</t>
  </si>
  <si>
    <t>101210604</t>
  </si>
  <si>
    <t>312230605000194P</t>
  </si>
  <si>
    <t>312230605000664</t>
  </si>
  <si>
    <t>JARDIM REAL</t>
  </si>
  <si>
    <t>194084275</t>
  </si>
  <si>
    <t>312230605000193P</t>
  </si>
  <si>
    <t>Meio Ambiente e Qualidade Urbana - Pressão ambiental, arborização, lixo, qualidade urbana</t>
  </si>
  <si>
    <t>Saúde - Alta demanda por UBS e saúde básica</t>
  </si>
  <si>
    <t>Saúde - Atenção primária, UBS, consultas, cobertura básica</t>
  </si>
  <si>
    <t>Saúde - Diferenças de acesso, cobertura, resultados de saúde</t>
  </si>
  <si>
    <t>312230605000426</t>
  </si>
  <si>
    <t>194100418</t>
  </si>
  <si>
    <t>312230605000426P</t>
  </si>
  <si>
    <t>35500-023</t>
  </si>
  <si>
    <t>312230605000041</t>
  </si>
  <si>
    <t>197307447</t>
  </si>
  <si>
    <t>312230605000041P</t>
  </si>
  <si>
    <t>35500-104</t>
  </si>
  <si>
    <t>312230605000160</t>
  </si>
  <si>
    <t>RUA MONTE SIAO</t>
  </si>
  <si>
    <t>123</t>
  </si>
  <si>
    <t>33678612</t>
  </si>
  <si>
    <t>312230605000160P</t>
  </si>
  <si>
    <t>Saúde - Pré-natal, parto, pediatria, proteção infantil</t>
  </si>
  <si>
    <t>Saúde - Queixa de falta de médico, atendimento insuficiente</t>
  </si>
  <si>
    <t>35500-284</t>
  </si>
  <si>
    <t>312230605000290</t>
  </si>
  <si>
    <t>ESTRADA PARA FAZENDAS</t>
  </si>
  <si>
    <t>224282191</t>
  </si>
  <si>
    <t>312230605000290P</t>
  </si>
  <si>
    <t>312230605000317</t>
  </si>
  <si>
    <t>CHACARAS CAMPO GRANDE</t>
  </si>
  <si>
    <t>ESTRADA SEM DENOMINACAO</t>
  </si>
  <si>
    <t>112604833</t>
  </si>
  <si>
    <t>312230605000317P</t>
  </si>
  <si>
    <t>312230605000571</t>
  </si>
  <si>
    <t>LAVRAS</t>
  </si>
  <si>
    <t>ESTRADA DENOMINACAO</t>
  </si>
  <si>
    <t>112608285</t>
  </si>
  <si>
    <t>312230605000571P</t>
  </si>
  <si>
    <t>35502-720</t>
  </si>
  <si>
    <t>312230605000676</t>
  </si>
  <si>
    <t>CHACARAS BEIRA RIO</t>
  </si>
  <si>
    <t>RUA JOAQUIM GERALDO DE OLIVEIRA</t>
  </si>
  <si>
    <t>194006611</t>
  </si>
  <si>
    <t>312230605000570P</t>
  </si>
  <si>
    <t>312230605000667</t>
  </si>
  <si>
    <t>AEROPORTO</t>
  </si>
  <si>
    <t>193965832</t>
  </si>
  <si>
    <t>312230605000314P</t>
  </si>
  <si>
    <t>312230610000012</t>
  </si>
  <si>
    <t>BRANQUINHOS</t>
  </si>
  <si>
    <t>RUA NOSSA SENHORA DO ROSARIO</t>
  </si>
  <si>
    <t>83</t>
  </si>
  <si>
    <t>33162472</t>
  </si>
  <si>
    <t>312230610000012P</t>
  </si>
  <si>
    <t>312230610000040</t>
  </si>
  <si>
    <t>FAZENDA LOPES PARA LAGOA</t>
  </si>
  <si>
    <t>117</t>
  </si>
  <si>
    <t>33163521</t>
  </si>
  <si>
    <t>312230610000040P</t>
  </si>
  <si>
    <t>312230610000008</t>
  </si>
  <si>
    <t>SERRA DAS PEROBAS</t>
  </si>
  <si>
    <t>ESTRADA PARA AMADEU LACERDA</t>
  </si>
  <si>
    <t>33161814</t>
  </si>
  <si>
    <t>312230610000008P</t>
  </si>
  <si>
    <t>312230610000023</t>
  </si>
  <si>
    <t>LAGOA</t>
  </si>
  <si>
    <t>RUA SEM DENOMINACAO TRES</t>
  </si>
  <si>
    <t>107849660</t>
  </si>
  <si>
    <t>312230610000023P</t>
  </si>
  <si>
    <t>35502-829</t>
  </si>
  <si>
    <t>312230610000016</t>
  </si>
  <si>
    <t>TAMBORIL</t>
  </si>
  <si>
    <t>ESTRADA PARA CACHOEIRA DO TAMBORIL</t>
  </si>
  <si>
    <t>33163460</t>
  </si>
  <si>
    <t>312230610000016P</t>
  </si>
  <si>
    <t>312230610000024</t>
  </si>
  <si>
    <t>ESTRADA PARA SITIO LOURENCO</t>
  </si>
  <si>
    <t>108198174</t>
  </si>
  <si>
    <t>312230610000024P</t>
  </si>
  <si>
    <t>312230610000030</t>
  </si>
  <si>
    <t>ESTRADA DVL 242 PARA TAMBORIL</t>
  </si>
  <si>
    <t>107774273</t>
  </si>
  <si>
    <t>312230610000030P</t>
  </si>
  <si>
    <t>312230610000038</t>
  </si>
  <si>
    <t>RUA GRANDE</t>
  </si>
  <si>
    <t>112603178</t>
  </si>
  <si>
    <t>312230610000038P</t>
  </si>
  <si>
    <t>312230605000593</t>
  </si>
  <si>
    <t>BOA VISTA</t>
  </si>
  <si>
    <t>RUA VILA ROMANA</t>
  </si>
  <si>
    <t>901</t>
  </si>
  <si>
    <t>194111319</t>
  </si>
  <si>
    <t>312230605000569P</t>
  </si>
  <si>
    <t>35500-377</t>
  </si>
  <si>
    <t>312230605000671</t>
  </si>
  <si>
    <t>MORRO DAS ANTENAS</t>
  </si>
  <si>
    <t>RUA ILIDIO JOSE DA FONSECA</t>
  </si>
  <si>
    <t>194330162</t>
  </si>
  <si>
    <t>312230605000292P</t>
  </si>
  <si>
    <t>312230605000366</t>
  </si>
  <si>
    <t>RESIDENCIAL VESPER</t>
  </si>
  <si>
    <t>RUA G</t>
  </si>
  <si>
    <t>197140715</t>
  </si>
  <si>
    <t>312230605000366P</t>
  </si>
  <si>
    <t>35501-320</t>
  </si>
  <si>
    <t>312230605000430</t>
  </si>
  <si>
    <t>RUA JANUARIO DE SOUZA ROCHA</t>
  </si>
  <si>
    <t>1</t>
  </si>
  <si>
    <t>99400854</t>
  </si>
  <si>
    <t>312230605000430P</t>
  </si>
  <si>
    <t>35502-284</t>
  </si>
  <si>
    <t>312230605000356</t>
  </si>
  <si>
    <t>JARDIM FLORAMAR</t>
  </si>
  <si>
    <t>RUA CONDE DE KELIDONIA</t>
  </si>
  <si>
    <t>33688094</t>
  </si>
  <si>
    <t>312230605000356P</t>
  </si>
  <si>
    <t>35502-287</t>
  </si>
  <si>
    <t>312230605000510</t>
  </si>
  <si>
    <t>DISTRITO INDUSTRIAL</t>
  </si>
  <si>
    <t>RUA BENEDITO GONCALVES</t>
  </si>
  <si>
    <t>2231</t>
  </si>
  <si>
    <t>33156428</t>
  </si>
  <si>
    <t>312230605000510P</t>
  </si>
  <si>
    <t>35501-506</t>
  </si>
  <si>
    <t>312230605000572</t>
  </si>
  <si>
    <t>CACHOEIRA DA PONTE DE FERRO</t>
  </si>
  <si>
    <t>28</t>
  </si>
  <si>
    <t>99378925</t>
  </si>
  <si>
    <t>312230605000572P</t>
  </si>
  <si>
    <t>312230605000573</t>
  </si>
  <si>
    <t>193731831</t>
  </si>
  <si>
    <t>312230605000573P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</si>
</sst>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D3D5-5C6B-40A7-960E-F88BF63B564E}">
  <dimension ref="A1:AZ684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0" customWidth="1"/>
    <col min="4" max="5" width="40" customWidth="1"/>
    <col min="6" max="6" width="15" customWidth="1"/>
    <col min="7" max="7" width="11" customWidth="1"/>
    <col min="8" max="9" width="17" customWidth="1"/>
    <col min="10" max="10" width="10" customWidth="1"/>
    <col min="11" max="11" width="40" customWidth="1"/>
    <col min="12" max="12" width="14" customWidth="1"/>
    <col min="13" max="13" width="40" customWidth="1"/>
    <col min="14" max="14" width="39" customWidth="1"/>
    <col min="15" max="15" width="17" customWidth="1"/>
    <col min="16" max="17" width="12" customWidth="1"/>
    <col min="18" max="18" width="22" customWidth="1"/>
    <col min="19" max="19" width="14" customWidth="1"/>
    <col min="20" max="20" width="32" customWidth="1"/>
    <col min="21" max="21" width="15" customWidth="1"/>
    <col min="22" max="22" width="20" customWidth="1"/>
    <col min="23" max="23" width="16" customWidth="1"/>
    <col min="24" max="24" width="21" customWidth="1"/>
    <col min="25" max="25" width="17" customWidth="1"/>
    <col min="26" max="26" width="24" customWidth="1"/>
    <col min="27" max="29" width="15" customWidth="1"/>
    <col min="30" max="30" width="10" customWidth="1"/>
    <col min="31" max="31" width="25" customWidth="1"/>
    <col min="32" max="32" width="21" customWidth="1"/>
    <col min="33" max="33" width="24" customWidth="1"/>
    <col min="34" max="34" width="20" customWidth="1"/>
    <col min="35" max="35" width="28" customWidth="1"/>
    <col min="36" max="36" width="31" customWidth="1"/>
    <col min="37" max="37" width="27" customWidth="1"/>
    <col min="38" max="39" width="21" customWidth="1"/>
    <col min="40" max="40" width="24" customWidth="1"/>
    <col min="41" max="41" width="25" customWidth="1"/>
    <col min="42" max="42" width="19" customWidth="1"/>
    <col min="43" max="43" width="20" customWidth="1"/>
    <col min="44" max="44" width="31" customWidth="1"/>
    <col min="45" max="45" width="32" customWidth="1"/>
    <col min="46" max="46" width="28" customWidth="1"/>
    <col min="47" max="47" width="29" customWidth="1"/>
    <col min="48" max="48" width="18" customWidth="1"/>
    <col min="49" max="49" width="14" customWidth="1"/>
    <col min="50" max="51" width="17" customWidth="1"/>
    <col min="52" max="52" width="21" customWidth="1"/>
  </cols>
  <sheetData>
    <row r="1" spans="1:5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62</v>
      </c>
      <c r="M2" t="s">
        <v>61</v>
      </c>
      <c r="N2" t="s">
        <v>63</v>
      </c>
      <c r="O2" t="s">
        <v>64</v>
      </c>
      <c r="P2">
        <v>-20.147940999999999</v>
      </c>
      <c r="Q2">
        <v>-44.906514000000001</v>
      </c>
      <c r="R2" s="2" t="str">
        <f>HYPERLINK("https://www.google.com/maps?q=-20.1479410,-44.9065140","Abrir no Google Maps")</f>
        <v>Abrir no Google Maps</v>
      </c>
      <c r="S2">
        <v>4</v>
      </c>
      <c r="T2">
        <v>308.67004994113421</v>
      </c>
      <c r="U2">
        <v>4</v>
      </c>
      <c r="V2">
        <v>0.3178149261484598</v>
      </c>
      <c r="W2">
        <v>1</v>
      </c>
      <c r="X2">
        <v>0.3178149261484598</v>
      </c>
      <c r="Y2">
        <v>747</v>
      </c>
      <c r="Z2">
        <v>274.71440454502522</v>
      </c>
      <c r="AA2">
        <v>198</v>
      </c>
      <c r="AB2">
        <v>332</v>
      </c>
      <c r="AC2">
        <v>536</v>
      </c>
      <c r="AD2">
        <v>28.41</v>
      </c>
      <c r="AE2">
        <v>542</v>
      </c>
      <c r="AF2">
        <v>20</v>
      </c>
      <c r="AG2">
        <v>180</v>
      </c>
      <c r="AH2">
        <v>129</v>
      </c>
      <c r="AI2">
        <v>3.69</v>
      </c>
      <c r="AJ2">
        <v>33.21</v>
      </c>
      <c r="AK2">
        <v>23.8</v>
      </c>
      <c r="AL2">
        <v>-20.147947799999969</v>
      </c>
      <c r="AM2">
        <v>-44.906591596129203</v>
      </c>
      <c r="AN2">
        <v>-20.147947799999969</v>
      </c>
      <c r="AO2">
        <v>-44.906591596129203</v>
      </c>
      <c r="AP2">
        <v>-20.147940999999999</v>
      </c>
      <c r="AQ2">
        <v>-44.906514000000001</v>
      </c>
      <c r="AR2">
        <v>8.1446636170570326</v>
      </c>
      <c r="AS2" t="s">
        <v>65</v>
      </c>
      <c r="AT2">
        <v>1</v>
      </c>
      <c r="AU2" t="s">
        <v>66</v>
      </c>
      <c r="AV2" t="s">
        <v>67</v>
      </c>
      <c r="AW2" t="s">
        <v>60</v>
      </c>
      <c r="AX2" t="s">
        <v>68</v>
      </c>
      <c r="AY2" t="s">
        <v>69</v>
      </c>
      <c r="AZ2" t="b">
        <v>1</v>
      </c>
    </row>
    <row r="3" spans="1:52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70</v>
      </c>
      <c r="H3" t="s">
        <v>71</v>
      </c>
      <c r="I3" t="s">
        <v>71</v>
      </c>
      <c r="J3" t="s">
        <v>60</v>
      </c>
      <c r="K3" t="s">
        <v>72</v>
      </c>
      <c r="L3" t="s">
        <v>62</v>
      </c>
      <c r="M3" t="s">
        <v>72</v>
      </c>
      <c r="N3" t="s">
        <v>73</v>
      </c>
      <c r="O3" t="s">
        <v>74</v>
      </c>
      <c r="P3">
        <v>-20.149349000000001</v>
      </c>
      <c r="Q3">
        <v>-44.910784</v>
      </c>
      <c r="R3" s="2" t="str">
        <f>HYPERLINK("https://www.google.com/maps?q=-20.1493490,-44.9107840","Abrir no Google Maps")</f>
        <v>Abrir no Google Maps</v>
      </c>
      <c r="S3">
        <v>4</v>
      </c>
      <c r="T3">
        <v>472.43876549769578</v>
      </c>
      <c r="U3">
        <v>4</v>
      </c>
      <c r="V3">
        <v>0.32965655109063269</v>
      </c>
      <c r="W3">
        <v>1</v>
      </c>
      <c r="X3">
        <v>0.32965655109063269</v>
      </c>
      <c r="Y3">
        <v>747</v>
      </c>
      <c r="Z3">
        <v>441.03921887407779</v>
      </c>
      <c r="AA3">
        <v>198</v>
      </c>
      <c r="AB3">
        <v>332</v>
      </c>
      <c r="AC3">
        <v>536</v>
      </c>
      <c r="AD3">
        <v>28.41</v>
      </c>
      <c r="AE3">
        <v>542</v>
      </c>
      <c r="AF3">
        <v>20</v>
      </c>
      <c r="AG3">
        <v>180</v>
      </c>
      <c r="AH3">
        <v>129</v>
      </c>
      <c r="AI3">
        <v>3.69</v>
      </c>
      <c r="AJ3">
        <v>33.21</v>
      </c>
      <c r="AK3">
        <v>23.8</v>
      </c>
      <c r="AL3">
        <v>-20.149403999999951</v>
      </c>
      <c r="AM3">
        <v>-44.91080895147438</v>
      </c>
      <c r="AN3">
        <v>-20.149403999999951</v>
      </c>
      <c r="AO3">
        <v>-44.91080895147438</v>
      </c>
      <c r="AP3">
        <v>-20.149349000000001</v>
      </c>
      <c r="AQ3">
        <v>-44.910784</v>
      </c>
      <c r="AR3">
        <v>6.6547592699416382</v>
      </c>
      <c r="AS3" t="s">
        <v>65</v>
      </c>
      <c r="AT3">
        <v>1</v>
      </c>
      <c r="AU3" t="s">
        <v>75</v>
      </c>
      <c r="AV3" t="s">
        <v>76</v>
      </c>
      <c r="AW3" t="s">
        <v>60</v>
      </c>
      <c r="AX3" t="s">
        <v>68</v>
      </c>
      <c r="AY3" t="s">
        <v>69</v>
      </c>
      <c r="AZ3" t="b">
        <v>1</v>
      </c>
    </row>
    <row r="4" spans="1:5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77</v>
      </c>
      <c r="H4" t="s">
        <v>78</v>
      </c>
      <c r="I4" t="s">
        <v>78</v>
      </c>
      <c r="J4" t="s">
        <v>60</v>
      </c>
      <c r="K4" t="s">
        <v>72</v>
      </c>
      <c r="L4" t="s">
        <v>62</v>
      </c>
      <c r="M4" t="s">
        <v>72</v>
      </c>
      <c r="N4" t="s">
        <v>79</v>
      </c>
      <c r="O4" t="s">
        <v>80</v>
      </c>
      <c r="P4">
        <v>-20.147821</v>
      </c>
      <c r="Q4">
        <v>-44.908887</v>
      </c>
      <c r="R4" s="2" t="str">
        <f>HYPERLINK("https://www.google.com/maps?q=-20.1478210,-44.9088870","Abrir no Google Maps")</f>
        <v>Abrir no Google Maps</v>
      </c>
      <c r="S4">
        <v>4</v>
      </c>
      <c r="T4">
        <v>232.2893841532152</v>
      </c>
      <c r="U4">
        <v>4</v>
      </c>
      <c r="V4">
        <v>0.34545760407908688</v>
      </c>
      <c r="W4">
        <v>1</v>
      </c>
      <c r="X4">
        <v>0.34545760407908688</v>
      </c>
      <c r="Y4">
        <v>747</v>
      </c>
      <c r="Z4">
        <v>195.3668648953757</v>
      </c>
      <c r="AA4">
        <v>198</v>
      </c>
      <c r="AB4">
        <v>332</v>
      </c>
      <c r="AC4">
        <v>536</v>
      </c>
      <c r="AD4">
        <v>28.41</v>
      </c>
      <c r="AE4">
        <v>542</v>
      </c>
      <c r="AF4">
        <v>20</v>
      </c>
      <c r="AG4">
        <v>180</v>
      </c>
      <c r="AH4">
        <v>129</v>
      </c>
      <c r="AI4">
        <v>3.69</v>
      </c>
      <c r="AJ4">
        <v>33.21</v>
      </c>
      <c r="AK4">
        <v>23.8</v>
      </c>
      <c r="AL4">
        <v>-20.147802849999952</v>
      </c>
      <c r="AM4">
        <v>-44.908989919229477</v>
      </c>
      <c r="AN4">
        <v>-20.147802849999952</v>
      </c>
      <c r="AO4">
        <v>-44.908989919229491</v>
      </c>
      <c r="AP4">
        <v>-20.147821</v>
      </c>
      <c r="AQ4">
        <v>-44.908887</v>
      </c>
      <c r="AR4">
        <v>10.944007761262529</v>
      </c>
      <c r="AS4" t="s">
        <v>65</v>
      </c>
      <c r="AT4">
        <v>1</v>
      </c>
      <c r="AU4" t="s">
        <v>81</v>
      </c>
      <c r="AV4" t="s">
        <v>82</v>
      </c>
      <c r="AW4" t="s">
        <v>60</v>
      </c>
      <c r="AX4" t="s">
        <v>68</v>
      </c>
      <c r="AY4" t="s">
        <v>69</v>
      </c>
      <c r="AZ4" t="b">
        <v>1</v>
      </c>
    </row>
    <row r="5" spans="1:52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83</v>
      </c>
      <c r="H5" t="s">
        <v>84</v>
      </c>
      <c r="I5" t="s">
        <v>84</v>
      </c>
      <c r="J5" t="s">
        <v>60</v>
      </c>
      <c r="K5" t="s">
        <v>61</v>
      </c>
      <c r="L5" t="s">
        <v>62</v>
      </c>
      <c r="M5" t="s">
        <v>61</v>
      </c>
      <c r="N5" t="s">
        <v>85</v>
      </c>
      <c r="O5" t="s">
        <v>86</v>
      </c>
      <c r="P5">
        <v>-20.149799000000002</v>
      </c>
      <c r="Q5">
        <v>-44.906517000000001</v>
      </c>
      <c r="R5" s="2" t="str">
        <f>HYPERLINK("https://www.google.com/maps?q=-20.1497990,-44.9065170","Abrir no Google Maps")</f>
        <v>Abrir no Google Maps</v>
      </c>
      <c r="S5">
        <v>4</v>
      </c>
      <c r="T5">
        <v>487.90051105537998</v>
      </c>
      <c r="U5">
        <v>4</v>
      </c>
      <c r="V5">
        <v>0.30162861606249802</v>
      </c>
      <c r="W5">
        <v>1</v>
      </c>
      <c r="X5">
        <v>0.30162861606249802</v>
      </c>
      <c r="Y5">
        <v>747</v>
      </c>
      <c r="Z5">
        <v>365.93785960107078</v>
      </c>
      <c r="AA5">
        <v>198</v>
      </c>
      <c r="AB5">
        <v>332</v>
      </c>
      <c r="AC5">
        <v>536</v>
      </c>
      <c r="AD5">
        <v>28.41</v>
      </c>
      <c r="AE5">
        <v>542</v>
      </c>
      <c r="AF5">
        <v>20</v>
      </c>
      <c r="AG5">
        <v>180</v>
      </c>
      <c r="AH5">
        <v>129</v>
      </c>
      <c r="AI5">
        <v>3.69</v>
      </c>
      <c r="AJ5">
        <v>33.21</v>
      </c>
      <c r="AK5">
        <v>23.8</v>
      </c>
      <c r="AL5">
        <v>-20.149879599999959</v>
      </c>
      <c r="AM5">
        <v>-44.906746466068469</v>
      </c>
      <c r="AN5">
        <v>-20.149879599999959</v>
      </c>
      <c r="AO5">
        <v>-44.906746466068469</v>
      </c>
      <c r="AP5">
        <v>-20.149799000000002</v>
      </c>
      <c r="AQ5">
        <v>-44.906517000000001</v>
      </c>
      <c r="AR5">
        <v>25.604276856970429</v>
      </c>
      <c r="AS5" t="s">
        <v>65</v>
      </c>
      <c r="AT5">
        <v>1</v>
      </c>
      <c r="AU5" t="s">
        <v>87</v>
      </c>
      <c r="AV5" t="s">
        <v>88</v>
      </c>
      <c r="AW5" t="s">
        <v>60</v>
      </c>
      <c r="AX5" t="s">
        <v>68</v>
      </c>
      <c r="AY5" t="s">
        <v>69</v>
      </c>
      <c r="AZ5" t="b">
        <v>1</v>
      </c>
    </row>
    <row r="6" spans="1:52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89</v>
      </c>
      <c r="H6" t="s">
        <v>90</v>
      </c>
      <c r="I6" t="s">
        <v>90</v>
      </c>
      <c r="J6" t="s">
        <v>60</v>
      </c>
      <c r="K6" t="s">
        <v>72</v>
      </c>
      <c r="L6" t="s">
        <v>62</v>
      </c>
      <c r="M6" t="s">
        <v>72</v>
      </c>
      <c r="N6" t="s">
        <v>91</v>
      </c>
      <c r="O6" t="s">
        <v>92</v>
      </c>
      <c r="P6">
        <v>-20.145848999999998</v>
      </c>
      <c r="Q6">
        <v>-44.908419000000002</v>
      </c>
      <c r="R6" s="2" t="str">
        <f>HYPERLINK("https://www.google.com/maps?q=-20.1458490,-44.9084190","Abrir no Google Maps")</f>
        <v>Abrir no Google Maps</v>
      </c>
      <c r="S6">
        <v>4</v>
      </c>
      <c r="T6">
        <v>0</v>
      </c>
      <c r="U6">
        <v>4</v>
      </c>
      <c r="V6">
        <v>0.32445902452112751</v>
      </c>
      <c r="W6">
        <v>1</v>
      </c>
      <c r="X6">
        <v>0.32445902452112751</v>
      </c>
      <c r="Y6">
        <v>747</v>
      </c>
      <c r="Z6">
        <v>136.08168502765241</v>
      </c>
      <c r="AA6">
        <v>198</v>
      </c>
      <c r="AB6">
        <v>332</v>
      </c>
      <c r="AC6">
        <v>536</v>
      </c>
      <c r="AD6">
        <v>28.41</v>
      </c>
      <c r="AE6">
        <v>542</v>
      </c>
      <c r="AF6">
        <v>20</v>
      </c>
      <c r="AG6">
        <v>180</v>
      </c>
      <c r="AH6">
        <v>129</v>
      </c>
      <c r="AI6">
        <v>3.69</v>
      </c>
      <c r="AJ6">
        <v>33.21</v>
      </c>
      <c r="AK6">
        <v>23.8</v>
      </c>
      <c r="AL6">
        <v>-20.14576979999995</v>
      </c>
      <c r="AM6">
        <v>-44.908436775053183</v>
      </c>
      <c r="AN6">
        <v>-20.14576979999995</v>
      </c>
      <c r="AO6">
        <v>-44.908436775053183</v>
      </c>
      <c r="AP6">
        <v>-20.145848999999998</v>
      </c>
      <c r="AQ6">
        <v>-44.908419000000002</v>
      </c>
      <c r="AR6">
        <v>9.0101247482327356</v>
      </c>
      <c r="AS6" t="s">
        <v>65</v>
      </c>
      <c r="AT6">
        <v>1</v>
      </c>
      <c r="AU6" t="s">
        <v>93</v>
      </c>
      <c r="AV6" t="s">
        <v>94</v>
      </c>
      <c r="AW6" t="s">
        <v>60</v>
      </c>
      <c r="AX6" t="s">
        <v>68</v>
      </c>
      <c r="AY6" t="s">
        <v>69</v>
      </c>
      <c r="AZ6" t="b">
        <v>1</v>
      </c>
    </row>
    <row r="7" spans="1:5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95</v>
      </c>
      <c r="H7" t="s">
        <v>96</v>
      </c>
      <c r="I7" t="s">
        <v>96</v>
      </c>
      <c r="J7" t="s">
        <v>60</v>
      </c>
      <c r="K7" t="s">
        <v>72</v>
      </c>
      <c r="L7" t="s">
        <v>62</v>
      </c>
      <c r="M7" t="s">
        <v>72</v>
      </c>
      <c r="N7" t="s">
        <v>97</v>
      </c>
      <c r="O7" t="s">
        <v>98</v>
      </c>
      <c r="P7">
        <v>-20.144062999999999</v>
      </c>
      <c r="Q7">
        <v>-44.909627999999998</v>
      </c>
      <c r="R7" s="2" t="str">
        <f>HYPERLINK("https://www.google.com/maps?q=-20.1440630,-44.9096280","Abrir no Google Maps")</f>
        <v>Abrir no Google Maps</v>
      </c>
      <c r="S7">
        <v>4</v>
      </c>
      <c r="T7">
        <v>205.27083326529291</v>
      </c>
      <c r="U7">
        <v>4</v>
      </c>
      <c r="V7">
        <v>0.31708653065465492</v>
      </c>
      <c r="W7">
        <v>1</v>
      </c>
      <c r="X7">
        <v>0.31708653065465492</v>
      </c>
      <c r="Y7">
        <v>747</v>
      </c>
      <c r="Z7">
        <v>336.75785483480968</v>
      </c>
      <c r="AA7">
        <v>198</v>
      </c>
      <c r="AB7">
        <v>332</v>
      </c>
      <c r="AC7">
        <v>536</v>
      </c>
      <c r="AD7">
        <v>28.41</v>
      </c>
      <c r="AE7">
        <v>542</v>
      </c>
      <c r="AF7">
        <v>20</v>
      </c>
      <c r="AG7">
        <v>180</v>
      </c>
      <c r="AH7">
        <v>129</v>
      </c>
      <c r="AI7">
        <v>3.69</v>
      </c>
      <c r="AJ7">
        <v>33.21</v>
      </c>
      <c r="AK7">
        <v>23.8</v>
      </c>
      <c r="AL7">
        <v>-20.144164099999951</v>
      </c>
      <c r="AM7">
        <v>-44.909420167767642</v>
      </c>
      <c r="AN7">
        <v>-20.144164099999951</v>
      </c>
      <c r="AO7">
        <v>-44.909420167767642</v>
      </c>
      <c r="AP7">
        <v>-20.144062999999999</v>
      </c>
      <c r="AQ7">
        <v>-44.909627999999998</v>
      </c>
      <c r="AR7">
        <v>24.46321571724976</v>
      </c>
      <c r="AS7" t="s">
        <v>65</v>
      </c>
      <c r="AT7">
        <v>1</v>
      </c>
      <c r="AU7" t="s">
        <v>99</v>
      </c>
      <c r="AV7" t="s">
        <v>94</v>
      </c>
      <c r="AW7" t="s">
        <v>60</v>
      </c>
      <c r="AX7" t="s">
        <v>68</v>
      </c>
      <c r="AY7" t="s">
        <v>69</v>
      </c>
      <c r="AZ7" t="b">
        <v>1</v>
      </c>
    </row>
    <row r="8" spans="1:5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100</v>
      </c>
      <c r="H8" t="s">
        <v>101</v>
      </c>
      <c r="I8" t="s">
        <v>101</v>
      </c>
      <c r="J8" t="s">
        <v>60</v>
      </c>
      <c r="K8" t="s">
        <v>61</v>
      </c>
      <c r="L8" t="s">
        <v>62</v>
      </c>
      <c r="M8" t="s">
        <v>61</v>
      </c>
      <c r="N8" t="s">
        <v>102</v>
      </c>
      <c r="O8" t="s">
        <v>103</v>
      </c>
      <c r="P8">
        <v>-20.151098999999999</v>
      </c>
      <c r="Q8">
        <v>-44.909699000000003</v>
      </c>
      <c r="R8" s="2" t="str">
        <f>HYPERLINK("https://www.google.com/maps?q=-20.1510990,-44.9096990","Abrir no Google Maps")</f>
        <v>Abrir no Google Maps</v>
      </c>
      <c r="S8">
        <v>4</v>
      </c>
      <c r="T8">
        <v>628.5023128813533</v>
      </c>
      <c r="U8">
        <v>4</v>
      </c>
      <c r="V8">
        <v>0.3526837705646495</v>
      </c>
      <c r="W8">
        <v>1</v>
      </c>
      <c r="X8">
        <v>0.3526837705646495</v>
      </c>
      <c r="Y8">
        <v>747</v>
      </c>
      <c r="Z8">
        <v>563.16456625265948</v>
      </c>
      <c r="AA8">
        <v>198</v>
      </c>
      <c r="AB8">
        <v>332</v>
      </c>
      <c r="AC8">
        <v>536</v>
      </c>
      <c r="AD8">
        <v>28.41</v>
      </c>
      <c r="AE8">
        <v>542</v>
      </c>
      <c r="AF8">
        <v>20</v>
      </c>
      <c r="AG8">
        <v>180</v>
      </c>
      <c r="AH8">
        <v>129</v>
      </c>
      <c r="AI8">
        <v>3.69</v>
      </c>
      <c r="AJ8">
        <v>33.21</v>
      </c>
      <c r="AK8">
        <v>23.8</v>
      </c>
      <c r="AL8">
        <v>-20.151307349999971</v>
      </c>
      <c r="AM8">
        <v>-44.909772836123523</v>
      </c>
      <c r="AN8">
        <v>-20.151307349999971</v>
      </c>
      <c r="AO8">
        <v>-44.909772836123523</v>
      </c>
      <c r="AP8">
        <v>-20.151098999999999</v>
      </c>
      <c r="AQ8">
        <v>-44.909699000000003</v>
      </c>
      <c r="AR8">
        <v>24.443417349564811</v>
      </c>
      <c r="AS8" t="s">
        <v>65</v>
      </c>
      <c r="AT8">
        <v>1</v>
      </c>
      <c r="AU8" t="s">
        <v>104</v>
      </c>
      <c r="AV8" t="s">
        <v>105</v>
      </c>
      <c r="AW8" t="s">
        <v>60</v>
      </c>
      <c r="AX8" t="s">
        <v>68</v>
      </c>
      <c r="AY8" t="s">
        <v>69</v>
      </c>
      <c r="AZ8" t="b">
        <v>1</v>
      </c>
    </row>
    <row r="9" spans="1:52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100</v>
      </c>
      <c r="H9" t="s">
        <v>106</v>
      </c>
      <c r="I9" t="s">
        <v>106</v>
      </c>
      <c r="J9" t="s">
        <v>60</v>
      </c>
      <c r="K9" t="s">
        <v>61</v>
      </c>
      <c r="L9" t="s">
        <v>62</v>
      </c>
      <c r="M9" t="s">
        <v>61</v>
      </c>
      <c r="N9" t="s">
        <v>102</v>
      </c>
      <c r="O9" t="s">
        <v>103</v>
      </c>
      <c r="P9">
        <v>-20.151107</v>
      </c>
      <c r="Q9">
        <v>-44.908918</v>
      </c>
      <c r="R9" s="2" t="str">
        <f>HYPERLINK("https://www.google.com/maps?q=-20.1511070,-44.9089180","Abrir no Google Maps")</f>
        <v>Abrir no Google Maps</v>
      </c>
      <c r="S9">
        <v>4</v>
      </c>
      <c r="T9">
        <v>615.86400245321579</v>
      </c>
      <c r="U9">
        <v>4</v>
      </c>
      <c r="V9">
        <v>0.36004820216927641</v>
      </c>
      <c r="W9">
        <v>0.85</v>
      </c>
      <c r="X9">
        <v>0.30604097184388501</v>
      </c>
      <c r="Y9">
        <v>747</v>
      </c>
      <c r="Z9">
        <v>535.34543763764702</v>
      </c>
      <c r="AA9">
        <v>198</v>
      </c>
      <c r="AB9">
        <v>332</v>
      </c>
      <c r="AC9">
        <v>536</v>
      </c>
      <c r="AD9">
        <v>28.41</v>
      </c>
      <c r="AE9">
        <v>542</v>
      </c>
      <c r="AF9">
        <v>20</v>
      </c>
      <c r="AG9">
        <v>180</v>
      </c>
      <c r="AH9">
        <v>129</v>
      </c>
      <c r="AI9">
        <v>3.69</v>
      </c>
      <c r="AJ9">
        <v>33.21</v>
      </c>
      <c r="AK9">
        <v>23.8</v>
      </c>
      <c r="AL9">
        <v>-20.151307349999971</v>
      </c>
      <c r="AM9">
        <v>-44.909024234051429</v>
      </c>
      <c r="AN9">
        <v>-20.151307349999971</v>
      </c>
      <c r="AO9">
        <v>-44.909024234051429</v>
      </c>
      <c r="AP9">
        <v>-20.151107</v>
      </c>
      <c r="AQ9">
        <v>-44.908918</v>
      </c>
      <c r="AR9">
        <v>24.91340747371116</v>
      </c>
      <c r="AS9" t="s">
        <v>65</v>
      </c>
      <c r="AT9">
        <v>1</v>
      </c>
      <c r="AU9" t="s">
        <v>107</v>
      </c>
      <c r="AV9" t="s">
        <v>105</v>
      </c>
      <c r="AW9" t="s">
        <v>60</v>
      </c>
      <c r="AX9" t="s">
        <v>68</v>
      </c>
      <c r="AY9" t="s">
        <v>69</v>
      </c>
      <c r="AZ9" t="b">
        <v>1</v>
      </c>
    </row>
    <row r="10" spans="1:52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108</v>
      </c>
      <c r="H10" t="s">
        <v>109</v>
      </c>
      <c r="I10" t="s">
        <v>109</v>
      </c>
      <c r="J10" t="s">
        <v>60</v>
      </c>
      <c r="K10" t="s">
        <v>110</v>
      </c>
      <c r="L10" t="s">
        <v>62</v>
      </c>
      <c r="M10" t="s">
        <v>110</v>
      </c>
      <c r="N10" t="s">
        <v>111</v>
      </c>
      <c r="O10" t="s">
        <v>112</v>
      </c>
      <c r="P10">
        <v>-20.122233999999999</v>
      </c>
      <c r="Q10">
        <v>-44.909194999999997</v>
      </c>
      <c r="R10" s="2" t="str">
        <f>HYPERLINK("https://www.google.com/maps?q=-20.1222340,-44.9091950","Abrir no Google Maps")</f>
        <v>Abrir no Google Maps</v>
      </c>
      <c r="S10">
        <v>4</v>
      </c>
      <c r="T10">
        <v>1171.396020763932</v>
      </c>
      <c r="U10">
        <v>4</v>
      </c>
      <c r="V10">
        <v>0.35165749861430168</v>
      </c>
      <c r="W10">
        <v>0.85</v>
      </c>
      <c r="X10">
        <v>0.29890887382215642</v>
      </c>
      <c r="Y10">
        <v>567</v>
      </c>
      <c r="Z10">
        <v>1238.711234283244</v>
      </c>
      <c r="AA10">
        <v>198</v>
      </c>
      <c r="AB10">
        <v>332</v>
      </c>
      <c r="AC10">
        <v>536</v>
      </c>
      <c r="AD10">
        <v>28.41</v>
      </c>
      <c r="AE10">
        <v>542</v>
      </c>
      <c r="AF10">
        <v>20</v>
      </c>
      <c r="AG10">
        <v>180</v>
      </c>
      <c r="AH10">
        <v>129</v>
      </c>
      <c r="AI10">
        <v>3.69</v>
      </c>
      <c r="AJ10">
        <v>33.21</v>
      </c>
      <c r="AK10">
        <v>23.8</v>
      </c>
      <c r="AL10">
        <v>-20.121881249999941</v>
      </c>
      <c r="AM10">
        <v>-44.909273766094323</v>
      </c>
      <c r="AN10">
        <v>-20.121881249999941</v>
      </c>
      <c r="AO10">
        <v>-44.909273766094323</v>
      </c>
      <c r="AP10">
        <v>-20.122233999999999</v>
      </c>
      <c r="AQ10">
        <v>-44.909194999999997</v>
      </c>
      <c r="AR10">
        <v>40.12192930593006</v>
      </c>
      <c r="AS10" t="s">
        <v>65</v>
      </c>
      <c r="AT10">
        <v>1</v>
      </c>
      <c r="AU10" t="s">
        <v>113</v>
      </c>
      <c r="AV10" t="s">
        <v>114</v>
      </c>
      <c r="AW10" t="s">
        <v>60</v>
      </c>
      <c r="AX10" t="s">
        <v>68</v>
      </c>
      <c r="AY10" t="s">
        <v>69</v>
      </c>
      <c r="AZ10" t="b">
        <v>1</v>
      </c>
    </row>
    <row r="11" spans="1:52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115</v>
      </c>
      <c r="H11" t="s">
        <v>116</v>
      </c>
      <c r="I11" t="s">
        <v>116</v>
      </c>
      <c r="J11" t="s">
        <v>60</v>
      </c>
      <c r="K11" t="s">
        <v>117</v>
      </c>
      <c r="L11" t="s">
        <v>62</v>
      </c>
      <c r="M11" t="s">
        <v>117</v>
      </c>
      <c r="N11" t="s">
        <v>118</v>
      </c>
      <c r="O11" t="s">
        <v>119</v>
      </c>
      <c r="P11">
        <v>-20.116992</v>
      </c>
      <c r="Q11">
        <v>-44.899355</v>
      </c>
      <c r="R11" s="2" t="str">
        <f>HYPERLINK("https://www.google.com/maps?q=-20.1169920,-44.8993550","Abrir no Google Maps")</f>
        <v>Abrir no Google Maps</v>
      </c>
      <c r="S11">
        <v>4</v>
      </c>
      <c r="T11">
        <v>0</v>
      </c>
      <c r="U11">
        <v>4</v>
      </c>
      <c r="V11">
        <v>0.30459953316597388</v>
      </c>
      <c r="W11">
        <v>1</v>
      </c>
      <c r="X11">
        <v>0.30459953316597388</v>
      </c>
      <c r="Y11">
        <v>567</v>
      </c>
      <c r="Z11">
        <v>54.913678078353321</v>
      </c>
      <c r="AA11">
        <v>198</v>
      </c>
      <c r="AB11">
        <v>332</v>
      </c>
      <c r="AC11">
        <v>536</v>
      </c>
      <c r="AD11">
        <v>28.41</v>
      </c>
      <c r="AE11">
        <v>542</v>
      </c>
      <c r="AF11">
        <v>20</v>
      </c>
      <c r="AG11">
        <v>180</v>
      </c>
      <c r="AH11">
        <v>129</v>
      </c>
      <c r="AI11">
        <v>3.69</v>
      </c>
      <c r="AJ11">
        <v>33.21</v>
      </c>
      <c r="AK11">
        <v>23.8</v>
      </c>
      <c r="AL11">
        <v>-20.117107749999949</v>
      </c>
      <c r="AM11">
        <v>-44.899271226243108</v>
      </c>
      <c r="AN11">
        <v>-20.117107749999949</v>
      </c>
      <c r="AO11">
        <v>-44.899271226243108</v>
      </c>
      <c r="AP11">
        <v>-20.116992</v>
      </c>
      <c r="AQ11">
        <v>-44.899355</v>
      </c>
      <c r="AR11">
        <v>15.579196044083419</v>
      </c>
      <c r="AS11" t="s">
        <v>65</v>
      </c>
      <c r="AT11">
        <v>1</v>
      </c>
      <c r="AU11" t="s">
        <v>120</v>
      </c>
      <c r="AV11" t="s">
        <v>121</v>
      </c>
      <c r="AW11" t="s">
        <v>60</v>
      </c>
      <c r="AX11" t="s">
        <v>68</v>
      </c>
      <c r="AY11" t="s">
        <v>69</v>
      </c>
      <c r="AZ11" t="b">
        <v>1</v>
      </c>
    </row>
    <row r="12" spans="1:52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122</v>
      </c>
      <c r="H12" t="s">
        <v>123</v>
      </c>
      <c r="I12" t="s">
        <v>123</v>
      </c>
      <c r="J12" t="s">
        <v>60</v>
      </c>
      <c r="K12" t="s">
        <v>117</v>
      </c>
      <c r="L12" t="s">
        <v>62</v>
      </c>
      <c r="M12" t="s">
        <v>117</v>
      </c>
      <c r="N12" t="s">
        <v>124</v>
      </c>
      <c r="O12" t="s">
        <v>125</v>
      </c>
      <c r="P12">
        <v>-20.11853</v>
      </c>
      <c r="Q12">
        <v>-44.896925000000003</v>
      </c>
      <c r="R12" s="2" t="str">
        <f>HYPERLINK("https://www.google.com/maps?q=-20.1185300,-44.8969250","Abrir no Google Maps")</f>
        <v>Abrir no Google Maps</v>
      </c>
      <c r="S12">
        <v>4</v>
      </c>
      <c r="T12">
        <v>325.32255721093247</v>
      </c>
      <c r="U12">
        <v>4</v>
      </c>
      <c r="V12">
        <v>0.30740965325209307</v>
      </c>
      <c r="W12">
        <v>1</v>
      </c>
      <c r="X12">
        <v>0.30740965325209307</v>
      </c>
      <c r="Y12">
        <v>567</v>
      </c>
      <c r="Z12">
        <v>306.04423478678871</v>
      </c>
      <c r="AA12">
        <v>198</v>
      </c>
      <c r="AB12">
        <v>332</v>
      </c>
      <c r="AC12">
        <v>536</v>
      </c>
      <c r="AD12">
        <v>28.41</v>
      </c>
      <c r="AE12">
        <v>542</v>
      </c>
      <c r="AF12">
        <v>20</v>
      </c>
      <c r="AG12">
        <v>180</v>
      </c>
      <c r="AH12">
        <v>129</v>
      </c>
      <c r="AI12">
        <v>3.69</v>
      </c>
      <c r="AJ12">
        <v>33.21</v>
      </c>
      <c r="AK12">
        <v>23.8</v>
      </c>
      <c r="AL12">
        <v>-20.118682499999949</v>
      </c>
      <c r="AM12">
        <v>-44.896643089287927</v>
      </c>
      <c r="AN12">
        <v>-20.118682499999949</v>
      </c>
      <c r="AO12">
        <v>-44.896643089287927</v>
      </c>
      <c r="AP12">
        <v>-20.11853</v>
      </c>
      <c r="AQ12">
        <v>-44.896925000000003</v>
      </c>
      <c r="AR12">
        <v>34.007698996886518</v>
      </c>
      <c r="AS12" t="s">
        <v>65</v>
      </c>
      <c r="AT12">
        <v>1</v>
      </c>
      <c r="AU12" t="s">
        <v>126</v>
      </c>
      <c r="AV12" t="s">
        <v>121</v>
      </c>
      <c r="AW12" t="s">
        <v>60</v>
      </c>
      <c r="AX12" t="s">
        <v>68</v>
      </c>
      <c r="AY12" t="s">
        <v>69</v>
      </c>
      <c r="AZ12" t="b">
        <v>1</v>
      </c>
    </row>
    <row r="13" spans="1:52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127</v>
      </c>
      <c r="H13" t="s">
        <v>128</v>
      </c>
      <c r="I13" t="s">
        <v>128</v>
      </c>
      <c r="J13" t="s">
        <v>60</v>
      </c>
      <c r="K13" t="s">
        <v>129</v>
      </c>
      <c r="L13" t="s">
        <v>62</v>
      </c>
      <c r="M13" t="s">
        <v>129</v>
      </c>
      <c r="N13" t="s">
        <v>130</v>
      </c>
      <c r="O13" t="s">
        <v>131</v>
      </c>
      <c r="P13">
        <v>-20.130752000000001</v>
      </c>
      <c r="Q13">
        <v>-44.865676999999998</v>
      </c>
      <c r="R13" s="2" t="str">
        <f>HYPERLINK("https://www.google.com/maps?q=-20.1307520,-44.8656770","Abrir no Google Maps")</f>
        <v>Abrir no Google Maps</v>
      </c>
      <c r="S13">
        <v>4</v>
      </c>
      <c r="T13">
        <v>666.25741128624747</v>
      </c>
      <c r="U13">
        <v>4</v>
      </c>
      <c r="V13">
        <v>0.31040510546172501</v>
      </c>
      <c r="W13">
        <v>1</v>
      </c>
      <c r="X13">
        <v>0.31040510546172501</v>
      </c>
      <c r="Y13">
        <v>387</v>
      </c>
      <c r="Z13">
        <v>838.7193965949632</v>
      </c>
      <c r="AA13">
        <v>198</v>
      </c>
      <c r="AB13">
        <v>332</v>
      </c>
      <c r="AC13">
        <v>536</v>
      </c>
      <c r="AD13">
        <v>28.41</v>
      </c>
      <c r="AE13">
        <v>542</v>
      </c>
      <c r="AF13">
        <v>20</v>
      </c>
      <c r="AG13">
        <v>180</v>
      </c>
      <c r="AH13">
        <v>129</v>
      </c>
      <c r="AI13">
        <v>3.69</v>
      </c>
      <c r="AJ13">
        <v>33.21</v>
      </c>
      <c r="AK13">
        <v>23.8</v>
      </c>
      <c r="AL13">
        <v>-20.130734049999969</v>
      </c>
      <c r="AM13">
        <v>-44.86564904282416</v>
      </c>
      <c r="AN13">
        <v>-20.130734049999969</v>
      </c>
      <c r="AO13">
        <v>-44.86564904282416</v>
      </c>
      <c r="AP13">
        <v>-20.130752000000001</v>
      </c>
      <c r="AQ13">
        <v>-44.865676999999998</v>
      </c>
      <c r="AR13">
        <v>3.539952280780454</v>
      </c>
      <c r="AS13" t="s">
        <v>65</v>
      </c>
      <c r="AT13">
        <v>1</v>
      </c>
      <c r="AU13" t="s">
        <v>132</v>
      </c>
      <c r="AV13" t="s">
        <v>133</v>
      </c>
      <c r="AW13" t="s">
        <v>60</v>
      </c>
      <c r="AX13" t="s">
        <v>68</v>
      </c>
      <c r="AY13" t="s">
        <v>69</v>
      </c>
      <c r="AZ13" t="b">
        <v>1</v>
      </c>
    </row>
    <row r="14" spans="1:52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134</v>
      </c>
      <c r="H14" t="s">
        <v>135</v>
      </c>
      <c r="I14" t="s">
        <v>135</v>
      </c>
      <c r="J14" t="s">
        <v>60</v>
      </c>
      <c r="K14" t="s">
        <v>136</v>
      </c>
      <c r="L14" t="s">
        <v>62</v>
      </c>
      <c r="M14" t="s">
        <v>136</v>
      </c>
      <c r="N14" t="s">
        <v>137</v>
      </c>
      <c r="O14" t="s">
        <v>138</v>
      </c>
      <c r="P14">
        <v>-20.165773000000002</v>
      </c>
      <c r="Q14">
        <v>-44.847566999999998</v>
      </c>
      <c r="R14" s="2" t="str">
        <f>HYPERLINK("https://www.google.com/maps?q=-20.1657730,-44.8475670","Abrir no Google Maps")</f>
        <v>Abrir no Google Maps</v>
      </c>
      <c r="S14">
        <v>4</v>
      </c>
      <c r="T14">
        <v>0</v>
      </c>
      <c r="U14">
        <v>4</v>
      </c>
      <c r="V14">
        <v>0.30533119398984221</v>
      </c>
      <c r="W14">
        <v>1</v>
      </c>
      <c r="X14">
        <v>0.30533119398984221</v>
      </c>
      <c r="Y14">
        <v>292</v>
      </c>
      <c r="Z14">
        <v>98.987346341524855</v>
      </c>
      <c r="AA14">
        <v>198</v>
      </c>
      <c r="AB14">
        <v>332</v>
      </c>
      <c r="AC14">
        <v>536</v>
      </c>
      <c r="AD14">
        <v>28.41</v>
      </c>
      <c r="AE14">
        <v>542</v>
      </c>
      <c r="AF14">
        <v>20</v>
      </c>
      <c r="AG14">
        <v>180</v>
      </c>
      <c r="AH14">
        <v>129</v>
      </c>
      <c r="AI14">
        <v>3.69</v>
      </c>
      <c r="AJ14">
        <v>33.21</v>
      </c>
      <c r="AK14">
        <v>23.8</v>
      </c>
      <c r="AL14">
        <v>-20.16565029999995</v>
      </c>
      <c r="AM14">
        <v>-44.847556627666897</v>
      </c>
      <c r="AN14">
        <v>-20.16565029999995</v>
      </c>
      <c r="AO14">
        <v>-44.847556627666897</v>
      </c>
      <c r="AP14">
        <v>-20.165773000000002</v>
      </c>
      <c r="AQ14">
        <v>-44.847566999999998</v>
      </c>
      <c r="AR14">
        <v>13.701900146251189</v>
      </c>
      <c r="AS14" t="s">
        <v>65</v>
      </c>
      <c r="AT14">
        <v>1</v>
      </c>
      <c r="AU14" t="s">
        <v>139</v>
      </c>
      <c r="AV14" t="s">
        <v>140</v>
      </c>
      <c r="AW14" t="s">
        <v>60</v>
      </c>
      <c r="AX14" t="s">
        <v>68</v>
      </c>
      <c r="AY14" t="s">
        <v>69</v>
      </c>
      <c r="AZ14" t="b">
        <v>1</v>
      </c>
    </row>
    <row r="15" spans="1:52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141</v>
      </c>
      <c r="H15" t="s">
        <v>142</v>
      </c>
      <c r="I15" t="s">
        <v>142</v>
      </c>
      <c r="J15" t="s">
        <v>60</v>
      </c>
      <c r="K15" t="s">
        <v>143</v>
      </c>
      <c r="L15" t="s">
        <v>62</v>
      </c>
      <c r="M15" t="s">
        <v>143</v>
      </c>
      <c r="N15" t="s">
        <v>144</v>
      </c>
      <c r="O15" t="s">
        <v>145</v>
      </c>
      <c r="P15">
        <v>-20.163377000000001</v>
      </c>
      <c r="Q15">
        <v>-44.843598</v>
      </c>
      <c r="R15" s="2" t="str">
        <f>HYPERLINK("https://www.google.com/maps?q=-20.1633770,-44.8435980","Abrir no Google Maps")</f>
        <v>Abrir no Google Maps</v>
      </c>
      <c r="S15">
        <v>4</v>
      </c>
      <c r="T15">
        <v>481.58374128635978</v>
      </c>
      <c r="U15">
        <v>4</v>
      </c>
      <c r="V15">
        <v>0.30087294684639321</v>
      </c>
      <c r="W15">
        <v>1</v>
      </c>
      <c r="X15">
        <v>0.30087294684639321</v>
      </c>
      <c r="Y15">
        <v>292</v>
      </c>
      <c r="Z15">
        <v>575.44522663909652</v>
      </c>
      <c r="AA15">
        <v>198</v>
      </c>
      <c r="AB15">
        <v>332</v>
      </c>
      <c r="AC15">
        <v>536</v>
      </c>
      <c r="AD15">
        <v>28.41</v>
      </c>
      <c r="AE15">
        <v>542</v>
      </c>
      <c r="AF15">
        <v>20</v>
      </c>
      <c r="AG15">
        <v>180</v>
      </c>
      <c r="AH15">
        <v>129</v>
      </c>
      <c r="AI15">
        <v>3.69</v>
      </c>
      <c r="AJ15">
        <v>33.21</v>
      </c>
      <c r="AK15">
        <v>23.8</v>
      </c>
      <c r="AL15">
        <v>-20.16343344999996</v>
      </c>
      <c r="AM15">
        <v>-44.843590796247732</v>
      </c>
      <c r="AN15">
        <v>-20.16343344999996</v>
      </c>
      <c r="AO15">
        <v>-44.843590796247732</v>
      </c>
      <c r="AP15">
        <v>-20.163377000000001</v>
      </c>
      <c r="AQ15">
        <v>-44.843598</v>
      </c>
      <c r="AR15">
        <v>6.3289415646640057</v>
      </c>
      <c r="AS15" t="s">
        <v>65</v>
      </c>
      <c r="AT15">
        <v>1</v>
      </c>
      <c r="AU15" t="s">
        <v>146</v>
      </c>
      <c r="AV15" t="s">
        <v>147</v>
      </c>
      <c r="AW15" t="s">
        <v>60</v>
      </c>
      <c r="AX15" t="s">
        <v>68</v>
      </c>
      <c r="AY15" t="s">
        <v>69</v>
      </c>
      <c r="AZ15" t="b">
        <v>1</v>
      </c>
    </row>
    <row r="16" spans="1:52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148</v>
      </c>
      <c r="H16" t="s">
        <v>149</v>
      </c>
      <c r="I16" t="s">
        <v>149</v>
      </c>
      <c r="J16" t="s">
        <v>60</v>
      </c>
      <c r="K16" t="s">
        <v>150</v>
      </c>
      <c r="L16" t="s">
        <v>62</v>
      </c>
      <c r="M16" t="s">
        <v>150</v>
      </c>
      <c r="N16" t="s">
        <v>151</v>
      </c>
      <c r="O16" t="s">
        <v>152</v>
      </c>
      <c r="P16">
        <v>-20.174192999999999</v>
      </c>
      <c r="Q16">
        <v>-44.850782000000002</v>
      </c>
      <c r="R16" s="2" t="str">
        <f>HYPERLINK("https://www.google.com/maps?q=-20.1741930,-44.8507820","Abrir no Google Maps")</f>
        <v>Abrir no Google Maps</v>
      </c>
      <c r="S16">
        <v>4</v>
      </c>
      <c r="T16">
        <v>994.93657848632188</v>
      </c>
      <c r="U16">
        <v>4</v>
      </c>
      <c r="V16">
        <v>0.29642689232291231</v>
      </c>
      <c r="W16">
        <v>1</v>
      </c>
      <c r="X16">
        <v>0.29642689232291231</v>
      </c>
      <c r="Y16">
        <v>292</v>
      </c>
      <c r="Z16">
        <v>948.95851793804729</v>
      </c>
      <c r="AA16">
        <v>198</v>
      </c>
      <c r="AB16">
        <v>332</v>
      </c>
      <c r="AC16">
        <v>536</v>
      </c>
      <c r="AD16">
        <v>28.41</v>
      </c>
      <c r="AE16">
        <v>542</v>
      </c>
      <c r="AF16">
        <v>20</v>
      </c>
      <c r="AG16">
        <v>180</v>
      </c>
      <c r="AH16">
        <v>129</v>
      </c>
      <c r="AI16">
        <v>3.69</v>
      </c>
      <c r="AJ16">
        <v>33.21</v>
      </c>
      <c r="AK16">
        <v>23.8</v>
      </c>
      <c r="AL16">
        <v>-20.174122099999941</v>
      </c>
      <c r="AM16">
        <v>-44.850744657037339</v>
      </c>
      <c r="AN16">
        <v>-20.174122099999941</v>
      </c>
      <c r="AO16">
        <v>-44.850744657037339</v>
      </c>
      <c r="AP16">
        <v>-20.174192999999999</v>
      </c>
      <c r="AQ16">
        <v>-44.850782000000002</v>
      </c>
      <c r="AR16">
        <v>8.8044534253701947</v>
      </c>
      <c r="AS16" t="s">
        <v>65</v>
      </c>
      <c r="AT16">
        <v>1</v>
      </c>
      <c r="AU16" t="s">
        <v>153</v>
      </c>
      <c r="AV16" t="s">
        <v>154</v>
      </c>
      <c r="AW16" t="s">
        <v>60</v>
      </c>
      <c r="AX16" t="s">
        <v>68</v>
      </c>
      <c r="AY16" t="s">
        <v>69</v>
      </c>
      <c r="AZ16" t="b">
        <v>1</v>
      </c>
    </row>
    <row r="17" spans="1:52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155</v>
      </c>
      <c r="H17" t="s">
        <v>156</v>
      </c>
      <c r="I17" t="s">
        <v>156</v>
      </c>
      <c r="J17" t="s">
        <v>60</v>
      </c>
      <c r="K17" t="s">
        <v>157</v>
      </c>
      <c r="L17" t="s">
        <v>62</v>
      </c>
      <c r="M17" t="s">
        <v>157</v>
      </c>
      <c r="N17" t="s">
        <v>158</v>
      </c>
      <c r="O17" t="s">
        <v>159</v>
      </c>
      <c r="P17">
        <v>-20.166302999999999</v>
      </c>
      <c r="Q17">
        <v>-44.880659999999999</v>
      </c>
      <c r="R17" s="2" t="str">
        <f>HYPERLINK("https://www.google.com/maps?q=-20.1663030,-44.8806600","Abrir no Google Maps")</f>
        <v>Abrir no Google Maps</v>
      </c>
      <c r="S17">
        <v>4</v>
      </c>
      <c r="T17">
        <v>504.41812426451338</v>
      </c>
      <c r="U17">
        <v>4</v>
      </c>
      <c r="V17">
        <v>0.29661351343884579</v>
      </c>
      <c r="W17">
        <v>1</v>
      </c>
      <c r="X17">
        <v>0.29661351343884579</v>
      </c>
      <c r="Y17">
        <v>232</v>
      </c>
      <c r="Z17">
        <v>279.57571553948952</v>
      </c>
      <c r="AA17">
        <v>198</v>
      </c>
      <c r="AB17">
        <v>332</v>
      </c>
      <c r="AC17">
        <v>536</v>
      </c>
      <c r="AD17">
        <v>28.41</v>
      </c>
      <c r="AE17">
        <v>542</v>
      </c>
      <c r="AF17">
        <v>20</v>
      </c>
      <c r="AG17">
        <v>180</v>
      </c>
      <c r="AH17">
        <v>129</v>
      </c>
      <c r="AI17">
        <v>3.69</v>
      </c>
      <c r="AJ17">
        <v>33.21</v>
      </c>
      <c r="AK17">
        <v>23.8</v>
      </c>
      <c r="AL17">
        <v>-20.166700449999951</v>
      </c>
      <c r="AM17">
        <v>-44.880573341714289</v>
      </c>
      <c r="AN17">
        <v>-20.166700449999951</v>
      </c>
      <c r="AO17">
        <v>-44.880573341714289</v>
      </c>
      <c r="AP17">
        <v>-20.166302999999999</v>
      </c>
      <c r="AQ17">
        <v>-44.880659999999999</v>
      </c>
      <c r="AR17">
        <v>45.161304979350312</v>
      </c>
      <c r="AS17" t="s">
        <v>65</v>
      </c>
      <c r="AT17">
        <v>1</v>
      </c>
      <c r="AU17" t="s">
        <v>160</v>
      </c>
      <c r="AV17" t="s">
        <v>161</v>
      </c>
      <c r="AW17" t="s">
        <v>60</v>
      </c>
      <c r="AX17" t="s">
        <v>68</v>
      </c>
      <c r="AY17" t="s">
        <v>69</v>
      </c>
      <c r="AZ17" t="b">
        <v>1</v>
      </c>
    </row>
    <row r="18" spans="1:52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162</v>
      </c>
      <c r="H18" t="s">
        <v>163</v>
      </c>
      <c r="I18" t="s">
        <v>163</v>
      </c>
      <c r="J18" t="s">
        <v>60</v>
      </c>
      <c r="K18" t="s">
        <v>164</v>
      </c>
      <c r="L18" t="s">
        <v>62</v>
      </c>
      <c r="M18" t="s">
        <v>164</v>
      </c>
      <c r="N18" t="s">
        <v>165</v>
      </c>
      <c r="O18" t="s">
        <v>166</v>
      </c>
      <c r="P18">
        <v>-20.175967</v>
      </c>
      <c r="Q18">
        <v>-44.876730000000002</v>
      </c>
      <c r="R18" s="2" t="str">
        <f>HYPERLINK("https://www.google.com/maps?q=-20.1759670,-44.8767300","Abrir no Google Maps")</f>
        <v>Abrir no Google Maps</v>
      </c>
      <c r="S18">
        <v>4</v>
      </c>
      <c r="T18">
        <v>692.5753730151132</v>
      </c>
      <c r="U18">
        <v>4</v>
      </c>
      <c r="V18">
        <v>0.29566150727982948</v>
      </c>
      <c r="W18">
        <v>1</v>
      </c>
      <c r="X18">
        <v>0.29566150727982948</v>
      </c>
      <c r="Y18">
        <v>232</v>
      </c>
      <c r="Z18">
        <v>686.15054949166824</v>
      </c>
      <c r="AA18">
        <v>198</v>
      </c>
      <c r="AB18">
        <v>332</v>
      </c>
      <c r="AC18">
        <v>536</v>
      </c>
      <c r="AD18">
        <v>28.41</v>
      </c>
      <c r="AE18">
        <v>542</v>
      </c>
      <c r="AF18">
        <v>20</v>
      </c>
      <c r="AG18">
        <v>180</v>
      </c>
      <c r="AH18">
        <v>129</v>
      </c>
      <c r="AI18">
        <v>3.69</v>
      </c>
      <c r="AJ18">
        <v>33.21</v>
      </c>
      <c r="AK18">
        <v>23.8</v>
      </c>
      <c r="AL18">
        <v>-20.17598664999997</v>
      </c>
      <c r="AM18">
        <v>-44.876806510253203</v>
      </c>
      <c r="AN18">
        <v>-20.17598664999997</v>
      </c>
      <c r="AO18">
        <v>-44.876806510253203</v>
      </c>
      <c r="AP18">
        <v>-20.175967</v>
      </c>
      <c r="AQ18">
        <v>-44.876730000000002</v>
      </c>
      <c r="AR18">
        <v>8.2883514287440097</v>
      </c>
      <c r="AS18" t="s">
        <v>65</v>
      </c>
      <c r="AT18">
        <v>1</v>
      </c>
      <c r="AU18" t="s">
        <v>167</v>
      </c>
      <c r="AV18" t="s">
        <v>168</v>
      </c>
      <c r="AW18" t="s">
        <v>60</v>
      </c>
      <c r="AX18" t="s">
        <v>68</v>
      </c>
      <c r="AY18" t="s">
        <v>69</v>
      </c>
      <c r="AZ18" t="b">
        <v>1</v>
      </c>
    </row>
    <row r="19" spans="1:52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169</v>
      </c>
      <c r="H19" t="s">
        <v>170</v>
      </c>
      <c r="I19" t="s">
        <v>170</v>
      </c>
      <c r="J19" t="s">
        <v>60</v>
      </c>
      <c r="K19" t="s">
        <v>171</v>
      </c>
      <c r="L19" t="s">
        <v>62</v>
      </c>
      <c r="M19" t="s">
        <v>171</v>
      </c>
      <c r="N19" t="s">
        <v>172</v>
      </c>
      <c r="O19" t="s">
        <v>173</v>
      </c>
      <c r="P19">
        <v>-20.15334</v>
      </c>
      <c r="Q19">
        <v>-44.891691000000002</v>
      </c>
      <c r="R19" s="2" t="str">
        <f>HYPERLINK("https://www.google.com/maps?q=-20.1533400,-44.8916910","Abrir no Google Maps")</f>
        <v>Abrir no Google Maps</v>
      </c>
      <c r="S19">
        <v>4</v>
      </c>
      <c r="T19">
        <v>263.82013116084107</v>
      </c>
      <c r="U19">
        <v>4</v>
      </c>
      <c r="V19">
        <v>0.29721242105769169</v>
      </c>
      <c r="W19">
        <v>1</v>
      </c>
      <c r="X19">
        <v>0.29721242105769169</v>
      </c>
      <c r="Y19">
        <v>129</v>
      </c>
      <c r="Z19">
        <v>72.771047355993247</v>
      </c>
      <c r="AA19">
        <v>198</v>
      </c>
      <c r="AB19">
        <v>332</v>
      </c>
      <c r="AC19">
        <v>536</v>
      </c>
      <c r="AD19">
        <v>28.41</v>
      </c>
      <c r="AE19">
        <v>542</v>
      </c>
      <c r="AF19">
        <v>20</v>
      </c>
      <c r="AG19">
        <v>180</v>
      </c>
      <c r="AH19">
        <v>129</v>
      </c>
      <c r="AI19">
        <v>3.69</v>
      </c>
      <c r="AJ19">
        <v>33.21</v>
      </c>
      <c r="AK19">
        <v>23.8</v>
      </c>
      <c r="AL19">
        <v>-20.153531799999971</v>
      </c>
      <c r="AM19">
        <v>-44.89196779651779</v>
      </c>
      <c r="AN19">
        <v>-20.153531799999971</v>
      </c>
      <c r="AO19">
        <v>-44.89196779651779</v>
      </c>
      <c r="AP19">
        <v>-20.15334</v>
      </c>
      <c r="AQ19">
        <v>-44.891691000000002</v>
      </c>
      <c r="AR19">
        <v>35.952871813310509</v>
      </c>
      <c r="AS19" t="s">
        <v>65</v>
      </c>
      <c r="AT19">
        <v>1</v>
      </c>
      <c r="AU19" t="s">
        <v>174</v>
      </c>
      <c r="AV19" t="s">
        <v>175</v>
      </c>
      <c r="AW19" t="s">
        <v>60</v>
      </c>
      <c r="AX19" t="s">
        <v>68</v>
      </c>
      <c r="AY19" t="s">
        <v>69</v>
      </c>
      <c r="AZ19" t="b">
        <v>1</v>
      </c>
    </row>
    <row r="20" spans="1:52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176</v>
      </c>
      <c r="H20" t="s">
        <v>177</v>
      </c>
      <c r="I20" t="s">
        <v>177</v>
      </c>
      <c r="J20" t="s">
        <v>60</v>
      </c>
      <c r="K20" t="s">
        <v>178</v>
      </c>
      <c r="L20" t="s">
        <v>62</v>
      </c>
      <c r="M20" t="s">
        <v>178</v>
      </c>
      <c r="N20" t="s">
        <v>179</v>
      </c>
      <c r="O20" t="s">
        <v>180</v>
      </c>
      <c r="P20">
        <v>-20.129152999999999</v>
      </c>
      <c r="Q20">
        <v>-44.859299</v>
      </c>
      <c r="R20" s="2" t="str">
        <f>HYPERLINK("https://www.google.com/maps?q=-20.1291530,-44.8592990","Abrir no Google Maps")</f>
        <v>Abrir no Google Maps</v>
      </c>
      <c r="S20">
        <v>4</v>
      </c>
      <c r="T20">
        <v>0</v>
      </c>
      <c r="U20">
        <v>4</v>
      </c>
      <c r="V20">
        <v>0.29666325610962158</v>
      </c>
      <c r="W20">
        <v>1</v>
      </c>
      <c r="X20">
        <v>0.29666325610962158</v>
      </c>
      <c r="Y20">
        <v>95</v>
      </c>
      <c r="Z20">
        <v>323.58963420291411</v>
      </c>
      <c r="AA20">
        <v>198</v>
      </c>
      <c r="AB20">
        <v>332</v>
      </c>
      <c r="AC20">
        <v>536</v>
      </c>
      <c r="AD20">
        <v>28.41</v>
      </c>
      <c r="AE20">
        <v>542</v>
      </c>
      <c r="AF20">
        <v>20</v>
      </c>
      <c r="AG20">
        <v>180</v>
      </c>
      <c r="AH20">
        <v>129</v>
      </c>
      <c r="AI20">
        <v>3.69</v>
      </c>
      <c r="AJ20">
        <v>33.21</v>
      </c>
      <c r="AK20">
        <v>23.8</v>
      </c>
      <c r="AL20">
        <v>-20.129260799999969</v>
      </c>
      <c r="AM20">
        <v>-44.859468344955843</v>
      </c>
      <c r="AN20">
        <v>-20.129260799999969</v>
      </c>
      <c r="AO20">
        <v>-44.859468344955843</v>
      </c>
      <c r="AP20">
        <v>-20.129152999999999</v>
      </c>
      <c r="AQ20">
        <v>-44.859299</v>
      </c>
      <c r="AR20">
        <v>21.38451122307773</v>
      </c>
      <c r="AS20" t="s">
        <v>65</v>
      </c>
      <c r="AT20">
        <v>1</v>
      </c>
      <c r="AU20" t="s">
        <v>181</v>
      </c>
      <c r="AV20" t="s">
        <v>182</v>
      </c>
      <c r="AW20" t="s">
        <v>60</v>
      </c>
      <c r="AX20" t="s">
        <v>68</v>
      </c>
      <c r="AY20" t="s">
        <v>69</v>
      </c>
      <c r="AZ20" t="b">
        <v>1</v>
      </c>
    </row>
    <row r="21" spans="1:52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57</v>
      </c>
      <c r="G21" t="s">
        <v>183</v>
      </c>
      <c r="H21" t="s">
        <v>184</v>
      </c>
      <c r="I21" t="s">
        <v>184</v>
      </c>
      <c r="J21" t="s">
        <v>60</v>
      </c>
      <c r="K21" t="s">
        <v>185</v>
      </c>
      <c r="L21" t="s">
        <v>62</v>
      </c>
      <c r="M21" t="s">
        <v>185</v>
      </c>
      <c r="N21" t="s">
        <v>186</v>
      </c>
      <c r="O21" t="s">
        <v>187</v>
      </c>
      <c r="P21">
        <v>-20.134855000000002</v>
      </c>
      <c r="Q21">
        <v>-44.860174000000001</v>
      </c>
      <c r="R21" s="2" t="str">
        <f>HYPERLINK("https://www.google.com/maps?q=-20.1348550,-44.8601740","Abrir no Google Maps")</f>
        <v>Abrir no Google Maps</v>
      </c>
      <c r="S21">
        <v>4</v>
      </c>
      <c r="T21">
        <v>625.96998974571841</v>
      </c>
      <c r="U21">
        <v>4</v>
      </c>
      <c r="V21">
        <v>0.30302094752324488</v>
      </c>
      <c r="W21">
        <v>1</v>
      </c>
      <c r="X21">
        <v>0.30302094752324488</v>
      </c>
      <c r="Y21">
        <v>95</v>
      </c>
      <c r="Z21">
        <v>257.67818504656498</v>
      </c>
      <c r="AA21">
        <v>198</v>
      </c>
      <c r="AB21">
        <v>332</v>
      </c>
      <c r="AC21">
        <v>536</v>
      </c>
      <c r="AD21">
        <v>28.41</v>
      </c>
      <c r="AE21">
        <v>542</v>
      </c>
      <c r="AF21">
        <v>20</v>
      </c>
      <c r="AG21">
        <v>180</v>
      </c>
      <c r="AH21">
        <v>129</v>
      </c>
      <c r="AI21">
        <v>3.69</v>
      </c>
      <c r="AJ21">
        <v>33.21</v>
      </c>
      <c r="AK21">
        <v>23.8</v>
      </c>
      <c r="AL21">
        <v>-20.134903999999981</v>
      </c>
      <c r="AM21">
        <v>-44.859880285335962</v>
      </c>
      <c r="AN21">
        <v>-20.134903999999981</v>
      </c>
      <c r="AO21">
        <v>-44.859880285335962</v>
      </c>
      <c r="AP21">
        <v>-20.134855000000002</v>
      </c>
      <c r="AQ21">
        <v>-44.860174000000001</v>
      </c>
      <c r="AR21">
        <v>31.178921696823132</v>
      </c>
      <c r="AS21" t="s">
        <v>65</v>
      </c>
      <c r="AT21">
        <v>1</v>
      </c>
      <c r="AU21" t="s">
        <v>188</v>
      </c>
      <c r="AV21" t="s">
        <v>189</v>
      </c>
      <c r="AW21" t="s">
        <v>60</v>
      </c>
      <c r="AX21" t="s">
        <v>68</v>
      </c>
      <c r="AY21" t="s">
        <v>69</v>
      </c>
      <c r="AZ21" t="b">
        <v>1</v>
      </c>
    </row>
    <row r="22" spans="1:52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190</v>
      </c>
      <c r="G22" t="s">
        <v>191</v>
      </c>
      <c r="H22" t="s">
        <v>192</v>
      </c>
      <c r="I22" t="s">
        <v>192</v>
      </c>
      <c r="J22" t="s">
        <v>60</v>
      </c>
      <c r="K22" t="s">
        <v>193</v>
      </c>
      <c r="L22" t="s">
        <v>62</v>
      </c>
      <c r="M22" t="s">
        <v>193</v>
      </c>
      <c r="N22" t="s">
        <v>194</v>
      </c>
      <c r="O22" t="s">
        <v>195</v>
      </c>
      <c r="P22">
        <v>-20.143266000000001</v>
      </c>
      <c r="Q22">
        <v>-44.912075000000002</v>
      </c>
      <c r="R22" s="2" t="str">
        <f>HYPERLINK("https://www.google.com/maps?q=-20.1432660,-44.9120750","Abrir no Google Maps")</f>
        <v>Abrir no Google Maps</v>
      </c>
      <c r="S22">
        <v>4</v>
      </c>
      <c r="T22">
        <v>467.04339396175408</v>
      </c>
      <c r="U22">
        <v>3</v>
      </c>
      <c r="V22">
        <v>0.28922960232783479</v>
      </c>
      <c r="W22">
        <v>1</v>
      </c>
      <c r="X22">
        <v>0.28922960232783479</v>
      </c>
      <c r="Y22">
        <v>747</v>
      </c>
      <c r="Z22">
        <v>585.1742452866996</v>
      </c>
      <c r="AA22">
        <v>198</v>
      </c>
      <c r="AB22">
        <v>332</v>
      </c>
      <c r="AC22">
        <v>536</v>
      </c>
      <c r="AD22">
        <v>28.41</v>
      </c>
      <c r="AE22">
        <v>542</v>
      </c>
      <c r="AF22">
        <v>20</v>
      </c>
      <c r="AG22">
        <v>180</v>
      </c>
      <c r="AH22">
        <v>129</v>
      </c>
      <c r="AI22">
        <v>3.69</v>
      </c>
      <c r="AJ22">
        <v>33.21</v>
      </c>
      <c r="AK22">
        <v>23.8</v>
      </c>
      <c r="AL22">
        <v>-20.143307949999951</v>
      </c>
      <c r="AM22">
        <v>-44.912066629431067</v>
      </c>
      <c r="AN22">
        <v>-20.143307949999951</v>
      </c>
      <c r="AO22">
        <v>-44.912066629431067</v>
      </c>
      <c r="AP22">
        <v>-20.143266000000001</v>
      </c>
      <c r="AQ22">
        <v>-44.912075000000002</v>
      </c>
      <c r="AR22">
        <v>4.751108024498329</v>
      </c>
      <c r="AS22" t="s">
        <v>65</v>
      </c>
      <c r="AT22">
        <v>1</v>
      </c>
      <c r="AU22" t="s">
        <v>196</v>
      </c>
      <c r="AV22" t="s">
        <v>197</v>
      </c>
      <c r="AW22" t="s">
        <v>60</v>
      </c>
      <c r="AX22" t="s">
        <v>68</v>
      </c>
      <c r="AY22" t="s">
        <v>69</v>
      </c>
      <c r="AZ22" t="b">
        <v>1</v>
      </c>
    </row>
    <row r="23" spans="1:52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190</v>
      </c>
      <c r="G23" t="s">
        <v>198</v>
      </c>
      <c r="H23" t="s">
        <v>199</v>
      </c>
      <c r="I23" t="s">
        <v>199</v>
      </c>
      <c r="J23" t="s">
        <v>60</v>
      </c>
      <c r="K23" t="s">
        <v>200</v>
      </c>
      <c r="L23" t="s">
        <v>62</v>
      </c>
      <c r="M23" t="s">
        <v>200</v>
      </c>
      <c r="N23" t="s">
        <v>201</v>
      </c>
      <c r="O23" t="s">
        <v>202</v>
      </c>
      <c r="P23">
        <v>-20.122433000000001</v>
      </c>
      <c r="Q23">
        <v>-44.897013999999999</v>
      </c>
      <c r="R23" s="2" t="str">
        <f>HYPERLINK("https://www.google.com/maps?q=-20.1224330,-44.8970140","Abrir no Google Maps")</f>
        <v>Abrir no Google Maps</v>
      </c>
      <c r="S23">
        <v>4</v>
      </c>
      <c r="T23">
        <v>616.04759279207849</v>
      </c>
      <c r="U23">
        <v>3</v>
      </c>
      <c r="V23">
        <v>0.33130275024010508</v>
      </c>
      <c r="W23">
        <v>0.85</v>
      </c>
      <c r="X23">
        <v>0.2816073377040893</v>
      </c>
      <c r="Y23">
        <v>567</v>
      </c>
      <c r="Z23">
        <v>655.51024138861465</v>
      </c>
      <c r="AA23">
        <v>198</v>
      </c>
      <c r="AB23">
        <v>332</v>
      </c>
      <c r="AC23">
        <v>536</v>
      </c>
      <c r="AD23">
        <v>28.41</v>
      </c>
      <c r="AE23">
        <v>542</v>
      </c>
      <c r="AF23">
        <v>20</v>
      </c>
      <c r="AG23">
        <v>180</v>
      </c>
      <c r="AH23">
        <v>129</v>
      </c>
      <c r="AI23">
        <v>3.69</v>
      </c>
      <c r="AJ23">
        <v>33.21</v>
      </c>
      <c r="AK23">
        <v>23.8</v>
      </c>
      <c r="AL23">
        <v>-20.122144949999949</v>
      </c>
      <c r="AM23">
        <v>-44.896761973125983</v>
      </c>
      <c r="AN23">
        <v>-20.122144949999949</v>
      </c>
      <c r="AO23">
        <v>-44.896761973125983</v>
      </c>
      <c r="AP23">
        <v>-20.122433000000001</v>
      </c>
      <c r="AQ23">
        <v>-44.897013999999999</v>
      </c>
      <c r="AR23">
        <v>41.499066772735389</v>
      </c>
      <c r="AS23" t="s">
        <v>65</v>
      </c>
      <c r="AT23">
        <v>1</v>
      </c>
      <c r="AU23" t="s">
        <v>203</v>
      </c>
      <c r="AV23" t="s">
        <v>204</v>
      </c>
      <c r="AW23" t="s">
        <v>60</v>
      </c>
      <c r="AX23" t="s">
        <v>68</v>
      </c>
      <c r="AY23" t="s">
        <v>69</v>
      </c>
      <c r="AZ23" t="b">
        <v>1</v>
      </c>
    </row>
    <row r="24" spans="1:52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190</v>
      </c>
      <c r="G24" t="s">
        <v>205</v>
      </c>
      <c r="H24" t="s">
        <v>206</v>
      </c>
      <c r="I24" t="s">
        <v>206</v>
      </c>
      <c r="J24" t="s">
        <v>60</v>
      </c>
      <c r="K24" t="s">
        <v>207</v>
      </c>
      <c r="L24" t="s">
        <v>62</v>
      </c>
      <c r="M24" t="s">
        <v>207</v>
      </c>
      <c r="N24" t="s">
        <v>208</v>
      </c>
      <c r="O24" t="s">
        <v>209</v>
      </c>
      <c r="P24">
        <v>-20.117533999999999</v>
      </c>
      <c r="Q24">
        <v>-44.892943000000002</v>
      </c>
      <c r="R24" s="2" t="str">
        <f>HYPERLINK("https://www.google.com/maps?q=-20.1175340,-44.8929430","Abrir no Google Maps")</f>
        <v>Abrir no Google Maps</v>
      </c>
      <c r="S24">
        <v>4</v>
      </c>
      <c r="T24">
        <v>601.98486688021592</v>
      </c>
      <c r="U24">
        <v>3</v>
      </c>
      <c r="V24">
        <v>0.3323331828401197</v>
      </c>
      <c r="W24">
        <v>0.85</v>
      </c>
      <c r="X24">
        <v>0.28248320541410171</v>
      </c>
      <c r="Y24">
        <v>567</v>
      </c>
      <c r="Z24">
        <v>574.59225706016446</v>
      </c>
      <c r="AA24">
        <v>198</v>
      </c>
      <c r="AB24">
        <v>332</v>
      </c>
      <c r="AC24">
        <v>536</v>
      </c>
      <c r="AD24">
        <v>28.41</v>
      </c>
      <c r="AE24">
        <v>542</v>
      </c>
      <c r="AF24">
        <v>20</v>
      </c>
      <c r="AG24">
        <v>180</v>
      </c>
      <c r="AH24">
        <v>129</v>
      </c>
      <c r="AI24">
        <v>3.69</v>
      </c>
      <c r="AJ24">
        <v>33.21</v>
      </c>
      <c r="AK24">
        <v>23.8</v>
      </c>
      <c r="AL24">
        <v>-20.11671494999996</v>
      </c>
      <c r="AM24">
        <v>-44.89352717833448</v>
      </c>
      <c r="AN24">
        <v>-20.11671494999996</v>
      </c>
      <c r="AO24">
        <v>-44.89352717833448</v>
      </c>
      <c r="AP24">
        <v>-20.117533999999999</v>
      </c>
      <c r="AQ24">
        <v>-44.892943000000002</v>
      </c>
      <c r="AR24">
        <v>109.7357164799156</v>
      </c>
      <c r="AS24" t="s">
        <v>65</v>
      </c>
      <c r="AT24">
        <v>1</v>
      </c>
      <c r="AU24" t="s">
        <v>210</v>
      </c>
      <c r="AV24" t="s">
        <v>211</v>
      </c>
      <c r="AW24" t="s">
        <v>60</v>
      </c>
      <c r="AX24" t="s">
        <v>68</v>
      </c>
      <c r="AY24" t="s">
        <v>69</v>
      </c>
      <c r="AZ24" t="b">
        <v>1</v>
      </c>
    </row>
    <row r="25" spans="1:52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190</v>
      </c>
      <c r="G25" t="s">
        <v>212</v>
      </c>
      <c r="H25" t="s">
        <v>213</v>
      </c>
      <c r="I25" t="s">
        <v>213</v>
      </c>
      <c r="J25" t="s">
        <v>60</v>
      </c>
      <c r="K25" t="s">
        <v>214</v>
      </c>
      <c r="L25" t="s">
        <v>62</v>
      </c>
      <c r="M25" t="s">
        <v>214</v>
      </c>
      <c r="N25" t="s">
        <v>215</v>
      </c>
      <c r="O25" t="s">
        <v>216</v>
      </c>
      <c r="P25">
        <v>-20.158149000000002</v>
      </c>
      <c r="Q25">
        <v>-44.872593000000002</v>
      </c>
      <c r="R25" s="2" t="str">
        <f>HYPERLINK("https://www.google.com/maps?q=-20.1581490,-44.8725930","Abrir no Google Maps")</f>
        <v>Abrir no Google Maps</v>
      </c>
      <c r="S25">
        <v>4</v>
      </c>
      <c r="T25">
        <v>0</v>
      </c>
      <c r="U25">
        <v>3</v>
      </c>
      <c r="V25">
        <v>0.28508073868853762</v>
      </c>
      <c r="W25">
        <v>1</v>
      </c>
      <c r="X25">
        <v>0.28508073868853762</v>
      </c>
      <c r="Y25">
        <v>531</v>
      </c>
      <c r="Z25">
        <v>127.8805352974544</v>
      </c>
      <c r="AA25">
        <v>198</v>
      </c>
      <c r="AB25">
        <v>332</v>
      </c>
      <c r="AC25">
        <v>536</v>
      </c>
      <c r="AD25">
        <v>28.41</v>
      </c>
      <c r="AE25">
        <v>542</v>
      </c>
      <c r="AF25">
        <v>20</v>
      </c>
      <c r="AG25">
        <v>180</v>
      </c>
      <c r="AH25">
        <v>129</v>
      </c>
      <c r="AI25">
        <v>3.69</v>
      </c>
      <c r="AJ25">
        <v>33.21</v>
      </c>
      <c r="AK25">
        <v>23.8</v>
      </c>
      <c r="AL25">
        <v>-20.158114249999951</v>
      </c>
      <c r="AM25">
        <v>-44.872583123264782</v>
      </c>
      <c r="AN25">
        <v>-20.158114249999951</v>
      </c>
      <c r="AO25">
        <v>-44.872583123264782</v>
      </c>
      <c r="AP25">
        <v>-20.158149000000002</v>
      </c>
      <c r="AQ25">
        <v>-44.872593000000002</v>
      </c>
      <c r="AR25">
        <v>4.0036956087599238</v>
      </c>
      <c r="AS25" t="s">
        <v>65</v>
      </c>
      <c r="AT25">
        <v>1</v>
      </c>
      <c r="AU25" t="s">
        <v>217</v>
      </c>
      <c r="AV25" t="s">
        <v>218</v>
      </c>
      <c r="AW25" t="s">
        <v>60</v>
      </c>
      <c r="AX25" t="s">
        <v>68</v>
      </c>
      <c r="AY25" t="s">
        <v>69</v>
      </c>
      <c r="AZ25" t="b">
        <v>1</v>
      </c>
    </row>
    <row r="26" spans="1:52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190</v>
      </c>
      <c r="G26" t="s">
        <v>219</v>
      </c>
      <c r="H26" t="s">
        <v>220</v>
      </c>
      <c r="I26" t="s">
        <v>220</v>
      </c>
      <c r="J26" t="s">
        <v>60</v>
      </c>
      <c r="K26" t="s">
        <v>214</v>
      </c>
      <c r="L26" t="s">
        <v>62</v>
      </c>
      <c r="M26" t="s">
        <v>214</v>
      </c>
      <c r="N26" t="s">
        <v>221</v>
      </c>
      <c r="O26" t="s">
        <v>222</v>
      </c>
      <c r="P26">
        <v>-20.158049999999999</v>
      </c>
      <c r="Q26">
        <v>-44.868823999999996</v>
      </c>
      <c r="R26" s="2" t="str">
        <f>HYPERLINK("https://www.google.com/maps?q=-20.1580500,-44.8688240","Abrir no Google Maps")</f>
        <v>Abrir no Google Maps</v>
      </c>
      <c r="S26">
        <v>4</v>
      </c>
      <c r="T26">
        <v>400.85705002223079</v>
      </c>
      <c r="U26">
        <v>3</v>
      </c>
      <c r="V26">
        <v>0.28230740338123989</v>
      </c>
      <c r="W26">
        <v>1</v>
      </c>
      <c r="X26">
        <v>0.28230740338123989</v>
      </c>
      <c r="Y26">
        <v>531</v>
      </c>
      <c r="Z26">
        <v>493.98501624607121</v>
      </c>
      <c r="AA26">
        <v>198</v>
      </c>
      <c r="AB26">
        <v>332</v>
      </c>
      <c r="AC26">
        <v>536</v>
      </c>
      <c r="AD26">
        <v>28.41</v>
      </c>
      <c r="AE26">
        <v>542</v>
      </c>
      <c r="AF26">
        <v>20</v>
      </c>
      <c r="AG26">
        <v>180</v>
      </c>
      <c r="AH26">
        <v>129</v>
      </c>
      <c r="AI26">
        <v>3.69</v>
      </c>
      <c r="AJ26">
        <v>33.21</v>
      </c>
      <c r="AK26">
        <v>23.8</v>
      </c>
      <c r="AL26">
        <v>-20.158020649999969</v>
      </c>
      <c r="AM26">
        <v>-44.868748475381317</v>
      </c>
      <c r="AN26">
        <v>-20.158020649999969</v>
      </c>
      <c r="AO26">
        <v>-44.868748475381331</v>
      </c>
      <c r="AP26">
        <v>-20.158049999999999</v>
      </c>
      <c r="AQ26">
        <v>-44.868823999999996</v>
      </c>
      <c r="AR26">
        <v>8.5419571471718818</v>
      </c>
      <c r="AS26" t="s">
        <v>65</v>
      </c>
      <c r="AT26">
        <v>1</v>
      </c>
      <c r="AU26" t="s">
        <v>223</v>
      </c>
      <c r="AV26" t="s">
        <v>224</v>
      </c>
      <c r="AW26" t="s">
        <v>60</v>
      </c>
      <c r="AX26" t="s">
        <v>68</v>
      </c>
      <c r="AY26" t="s">
        <v>69</v>
      </c>
      <c r="AZ26" t="b">
        <v>1</v>
      </c>
    </row>
    <row r="27" spans="1:52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190</v>
      </c>
      <c r="G27" t="s">
        <v>225</v>
      </c>
      <c r="H27" t="s">
        <v>226</v>
      </c>
      <c r="I27" t="s">
        <v>226</v>
      </c>
      <c r="J27" t="s">
        <v>60</v>
      </c>
      <c r="K27" t="s">
        <v>227</v>
      </c>
      <c r="L27" t="s">
        <v>62</v>
      </c>
      <c r="M27" t="s">
        <v>227</v>
      </c>
      <c r="N27" t="s">
        <v>228</v>
      </c>
      <c r="O27" t="s">
        <v>229</v>
      </c>
      <c r="P27">
        <v>-20.156986</v>
      </c>
      <c r="Q27">
        <v>-44.857474000000003</v>
      </c>
      <c r="R27" s="2" t="str">
        <f>HYPERLINK("https://www.google.com/maps?q=-20.1569860,-44.8574740","Abrir no Google Maps")</f>
        <v>Abrir no Google Maps</v>
      </c>
      <c r="S27">
        <v>4</v>
      </c>
      <c r="T27">
        <v>270.52797591847911</v>
      </c>
      <c r="U27">
        <v>3</v>
      </c>
      <c r="V27">
        <v>0.28702530608716997</v>
      </c>
      <c r="W27">
        <v>1</v>
      </c>
      <c r="X27">
        <v>0.28702530608716997</v>
      </c>
      <c r="Y27">
        <v>518</v>
      </c>
      <c r="Z27">
        <v>441.86584449256071</v>
      </c>
      <c r="AA27">
        <v>198</v>
      </c>
      <c r="AB27">
        <v>332</v>
      </c>
      <c r="AC27">
        <v>536</v>
      </c>
      <c r="AD27">
        <v>28.41</v>
      </c>
      <c r="AE27">
        <v>542</v>
      </c>
      <c r="AF27">
        <v>20</v>
      </c>
      <c r="AG27">
        <v>180</v>
      </c>
      <c r="AH27">
        <v>129</v>
      </c>
      <c r="AI27">
        <v>3.69</v>
      </c>
      <c r="AJ27">
        <v>33.21</v>
      </c>
      <c r="AK27">
        <v>23.8</v>
      </c>
      <c r="AL27">
        <v>-20.156957249999952</v>
      </c>
      <c r="AM27">
        <v>-44.857396682659299</v>
      </c>
      <c r="AN27">
        <v>-20.156957249999952</v>
      </c>
      <c r="AO27">
        <v>-44.857396682659299</v>
      </c>
      <c r="AP27">
        <v>-20.156986</v>
      </c>
      <c r="AQ27">
        <v>-44.857474000000003</v>
      </c>
      <c r="AR27">
        <v>8.6905800579264607</v>
      </c>
      <c r="AS27" t="s">
        <v>65</v>
      </c>
      <c r="AT27">
        <v>1</v>
      </c>
      <c r="AU27" t="s">
        <v>230</v>
      </c>
      <c r="AV27" t="s">
        <v>231</v>
      </c>
      <c r="AW27" t="s">
        <v>60</v>
      </c>
      <c r="AX27" t="s">
        <v>68</v>
      </c>
      <c r="AY27" t="s">
        <v>69</v>
      </c>
      <c r="AZ27" t="b">
        <v>1</v>
      </c>
    </row>
    <row r="28" spans="1:52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190</v>
      </c>
      <c r="G28" t="s">
        <v>232</v>
      </c>
      <c r="H28" t="s">
        <v>233</v>
      </c>
      <c r="I28" t="s">
        <v>233</v>
      </c>
      <c r="J28" t="s">
        <v>60</v>
      </c>
      <c r="K28" t="s">
        <v>227</v>
      </c>
      <c r="L28" t="s">
        <v>62</v>
      </c>
      <c r="M28" t="s">
        <v>227</v>
      </c>
      <c r="N28" t="s">
        <v>234</v>
      </c>
      <c r="O28" t="s">
        <v>235</v>
      </c>
      <c r="P28">
        <v>-20.158666</v>
      </c>
      <c r="Q28">
        <v>-44.861398999999999</v>
      </c>
      <c r="R28" s="2" t="str">
        <f>HYPERLINK("https://www.google.com/maps?q=-20.1586660,-44.8613990","Abrir no Google Maps")</f>
        <v>Abrir no Google Maps</v>
      </c>
      <c r="S28">
        <v>4</v>
      </c>
      <c r="T28">
        <v>330.01505397941582</v>
      </c>
      <c r="U28">
        <v>3</v>
      </c>
      <c r="V28">
        <v>0.29059747714336298</v>
      </c>
      <c r="W28">
        <v>1</v>
      </c>
      <c r="X28">
        <v>0.29059747714336298</v>
      </c>
      <c r="Y28">
        <v>518</v>
      </c>
      <c r="Z28">
        <v>251.8092920281106</v>
      </c>
      <c r="AA28">
        <v>198</v>
      </c>
      <c r="AB28">
        <v>332</v>
      </c>
      <c r="AC28">
        <v>536</v>
      </c>
      <c r="AD28">
        <v>28.41</v>
      </c>
      <c r="AE28">
        <v>542</v>
      </c>
      <c r="AF28">
        <v>20</v>
      </c>
      <c r="AG28">
        <v>180</v>
      </c>
      <c r="AH28">
        <v>129</v>
      </c>
      <c r="AI28">
        <v>3.69</v>
      </c>
      <c r="AJ28">
        <v>33.21</v>
      </c>
      <c r="AK28">
        <v>23.8</v>
      </c>
      <c r="AL28">
        <v>-20.158631449999969</v>
      </c>
      <c r="AM28">
        <v>-44.861424574758061</v>
      </c>
      <c r="AN28">
        <v>-20.158631449999969</v>
      </c>
      <c r="AO28">
        <v>-44.861424574758061</v>
      </c>
      <c r="AP28">
        <v>-20.158666</v>
      </c>
      <c r="AQ28">
        <v>-44.861398999999999</v>
      </c>
      <c r="AR28">
        <v>4.6835056709567411</v>
      </c>
      <c r="AS28" t="s">
        <v>65</v>
      </c>
      <c r="AT28">
        <v>1</v>
      </c>
      <c r="AU28" t="s">
        <v>236</v>
      </c>
      <c r="AV28" t="s">
        <v>237</v>
      </c>
      <c r="AW28" t="s">
        <v>60</v>
      </c>
      <c r="AX28" t="s">
        <v>68</v>
      </c>
      <c r="AY28" t="s">
        <v>69</v>
      </c>
      <c r="AZ28" t="b">
        <v>1</v>
      </c>
    </row>
    <row r="29" spans="1:52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190</v>
      </c>
      <c r="G29" t="s">
        <v>238</v>
      </c>
      <c r="H29" t="s">
        <v>239</v>
      </c>
      <c r="I29" t="s">
        <v>239</v>
      </c>
      <c r="J29" t="s">
        <v>60</v>
      </c>
      <c r="K29" t="s">
        <v>227</v>
      </c>
      <c r="L29" t="s">
        <v>62</v>
      </c>
      <c r="M29" t="s">
        <v>227</v>
      </c>
      <c r="N29" t="s">
        <v>240</v>
      </c>
      <c r="O29" t="s">
        <v>202</v>
      </c>
      <c r="P29">
        <v>-20.155833999999999</v>
      </c>
      <c r="Q29">
        <v>-44.859437999999997</v>
      </c>
      <c r="R29" s="2" t="str">
        <f>HYPERLINK("https://www.google.com/maps?q=-20.1558340,-44.8594380","Abrir no Google Maps")</f>
        <v>Abrir no Google Maps</v>
      </c>
      <c r="S29">
        <v>4</v>
      </c>
      <c r="T29">
        <v>381.00646482339403</v>
      </c>
      <c r="U29">
        <v>3</v>
      </c>
      <c r="V29">
        <v>0.29510151431209602</v>
      </c>
      <c r="W29">
        <v>1</v>
      </c>
      <c r="X29">
        <v>0.29510151431209602</v>
      </c>
      <c r="Y29">
        <v>518</v>
      </c>
      <c r="Z29">
        <v>484.9275363207239</v>
      </c>
      <c r="AA29">
        <v>198</v>
      </c>
      <c r="AB29">
        <v>332</v>
      </c>
      <c r="AC29">
        <v>536</v>
      </c>
      <c r="AD29">
        <v>28.41</v>
      </c>
      <c r="AE29">
        <v>542</v>
      </c>
      <c r="AF29">
        <v>20</v>
      </c>
      <c r="AG29">
        <v>180</v>
      </c>
      <c r="AH29">
        <v>129</v>
      </c>
      <c r="AI29">
        <v>3.69</v>
      </c>
      <c r="AJ29">
        <v>33.21</v>
      </c>
      <c r="AK29">
        <v>23.8</v>
      </c>
      <c r="AL29">
        <v>-20.155935399999979</v>
      </c>
      <c r="AM29">
        <v>-44.859367525422847</v>
      </c>
      <c r="AN29">
        <v>-20.155935399999979</v>
      </c>
      <c r="AO29">
        <v>-44.859367525422847</v>
      </c>
      <c r="AP29">
        <v>-20.155833999999999</v>
      </c>
      <c r="AQ29">
        <v>-44.859437999999997</v>
      </c>
      <c r="AR29">
        <v>13.477960508152201</v>
      </c>
      <c r="AS29" t="s">
        <v>65</v>
      </c>
      <c r="AT29">
        <v>1</v>
      </c>
      <c r="AU29" t="s">
        <v>241</v>
      </c>
      <c r="AV29" t="s">
        <v>242</v>
      </c>
      <c r="AW29" t="s">
        <v>60</v>
      </c>
      <c r="AX29" t="s">
        <v>68</v>
      </c>
      <c r="AY29" t="s">
        <v>69</v>
      </c>
      <c r="AZ29" t="b">
        <v>1</v>
      </c>
    </row>
    <row r="30" spans="1:52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190</v>
      </c>
      <c r="G30" t="s">
        <v>243</v>
      </c>
      <c r="H30" t="s">
        <v>244</v>
      </c>
      <c r="I30" t="s">
        <v>244</v>
      </c>
      <c r="J30" t="s">
        <v>60</v>
      </c>
      <c r="K30" t="s">
        <v>214</v>
      </c>
      <c r="L30" t="s">
        <v>62</v>
      </c>
      <c r="M30" t="s">
        <v>214</v>
      </c>
      <c r="N30" t="s">
        <v>245</v>
      </c>
      <c r="O30" t="s">
        <v>246</v>
      </c>
      <c r="P30">
        <v>-20.156296999999999</v>
      </c>
      <c r="Q30">
        <v>-44.873035999999999</v>
      </c>
      <c r="R30" s="2" t="str">
        <f>HYPERLINK("https://www.google.com/maps?q=-20.1562970,-44.8730360","Abrir no Google Maps")</f>
        <v>Abrir no Google Maps</v>
      </c>
      <c r="S30">
        <v>4</v>
      </c>
      <c r="T30">
        <v>198.04479306725889</v>
      </c>
      <c r="U30">
        <v>3</v>
      </c>
      <c r="V30">
        <v>0.28205931200154349</v>
      </c>
      <c r="W30">
        <v>1</v>
      </c>
      <c r="X30">
        <v>0.28205931200154349</v>
      </c>
      <c r="Y30">
        <v>305</v>
      </c>
      <c r="Z30">
        <v>267.7765515134916</v>
      </c>
      <c r="AA30">
        <v>198</v>
      </c>
      <c r="AB30">
        <v>332</v>
      </c>
      <c r="AC30">
        <v>536</v>
      </c>
      <c r="AD30">
        <v>28.41</v>
      </c>
      <c r="AE30">
        <v>542</v>
      </c>
      <c r="AF30">
        <v>20</v>
      </c>
      <c r="AG30">
        <v>180</v>
      </c>
      <c r="AH30">
        <v>129</v>
      </c>
      <c r="AI30">
        <v>3.69</v>
      </c>
      <c r="AJ30">
        <v>33.21</v>
      </c>
      <c r="AK30">
        <v>23.8</v>
      </c>
      <c r="AL30">
        <v>-20.156361349999941</v>
      </c>
      <c r="AM30">
        <v>-44.87296512500793</v>
      </c>
      <c r="AN30">
        <v>-20.156361349999941</v>
      </c>
      <c r="AO30">
        <v>-44.87296512500793</v>
      </c>
      <c r="AP30">
        <v>-20.156296999999999</v>
      </c>
      <c r="AQ30">
        <v>-44.873035999999999</v>
      </c>
      <c r="AR30">
        <v>10.304009356726979</v>
      </c>
      <c r="AS30" t="s">
        <v>65</v>
      </c>
      <c r="AT30">
        <v>1</v>
      </c>
      <c r="AU30" t="s">
        <v>247</v>
      </c>
      <c r="AV30" t="s">
        <v>248</v>
      </c>
      <c r="AW30" t="s">
        <v>60</v>
      </c>
      <c r="AX30" t="s">
        <v>68</v>
      </c>
      <c r="AY30" t="s">
        <v>69</v>
      </c>
      <c r="AZ30" t="b">
        <v>1</v>
      </c>
    </row>
    <row r="31" spans="1:52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190</v>
      </c>
      <c r="G31" t="s">
        <v>212</v>
      </c>
      <c r="H31" t="s">
        <v>249</v>
      </c>
      <c r="I31" t="s">
        <v>249</v>
      </c>
      <c r="J31" t="s">
        <v>60</v>
      </c>
      <c r="K31" t="s">
        <v>214</v>
      </c>
      <c r="L31" t="s">
        <v>62</v>
      </c>
      <c r="M31" t="s">
        <v>214</v>
      </c>
      <c r="N31" t="s">
        <v>215</v>
      </c>
      <c r="O31" t="s">
        <v>250</v>
      </c>
      <c r="P31">
        <v>-20.153901000000001</v>
      </c>
      <c r="Q31">
        <v>-44.873201000000002</v>
      </c>
      <c r="R31" s="2" t="str">
        <f>HYPERLINK("https://www.google.com/maps?q=-20.1539010,-44.8732010","Abrir no Google Maps")</f>
        <v>Abrir no Google Maps</v>
      </c>
      <c r="S31">
        <v>4</v>
      </c>
      <c r="T31">
        <v>478.23282142593177</v>
      </c>
      <c r="U31">
        <v>3</v>
      </c>
      <c r="V31">
        <v>0.28364049818653891</v>
      </c>
      <c r="W31">
        <v>1</v>
      </c>
      <c r="X31">
        <v>0.28364049818653891</v>
      </c>
      <c r="Y31">
        <v>305</v>
      </c>
      <c r="Z31">
        <v>392.82025973713081</v>
      </c>
      <c r="AA31">
        <v>198</v>
      </c>
      <c r="AB31">
        <v>332</v>
      </c>
      <c r="AC31">
        <v>536</v>
      </c>
      <c r="AD31">
        <v>28.41</v>
      </c>
      <c r="AE31">
        <v>542</v>
      </c>
      <c r="AF31">
        <v>20</v>
      </c>
      <c r="AG31">
        <v>180</v>
      </c>
      <c r="AH31">
        <v>129</v>
      </c>
      <c r="AI31">
        <v>3.69</v>
      </c>
      <c r="AJ31">
        <v>33.21</v>
      </c>
      <c r="AK31">
        <v>23.8</v>
      </c>
      <c r="AL31">
        <v>-20.153814849999971</v>
      </c>
      <c r="AM31">
        <v>-44.87304592111829</v>
      </c>
      <c r="AN31">
        <v>-20.153814849999971</v>
      </c>
      <c r="AO31">
        <v>-44.87304592111829</v>
      </c>
      <c r="AP31">
        <v>-20.153901000000001</v>
      </c>
      <c r="AQ31">
        <v>-44.873201000000002</v>
      </c>
      <c r="AR31">
        <v>18.831316146831309</v>
      </c>
      <c r="AS31" t="s">
        <v>65</v>
      </c>
      <c r="AT31">
        <v>1</v>
      </c>
      <c r="AU31" t="s">
        <v>251</v>
      </c>
      <c r="AV31" t="s">
        <v>252</v>
      </c>
      <c r="AW31" t="s">
        <v>60</v>
      </c>
      <c r="AX31" t="s">
        <v>68</v>
      </c>
      <c r="AY31" t="s">
        <v>69</v>
      </c>
      <c r="AZ31" t="b">
        <v>1</v>
      </c>
    </row>
    <row r="32" spans="1:52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190</v>
      </c>
      <c r="G32" t="s">
        <v>253</v>
      </c>
      <c r="H32" t="s">
        <v>254</v>
      </c>
      <c r="I32" t="s">
        <v>254</v>
      </c>
      <c r="J32" t="s">
        <v>60</v>
      </c>
      <c r="K32" t="s">
        <v>255</v>
      </c>
      <c r="L32" t="s">
        <v>62</v>
      </c>
      <c r="M32" t="s">
        <v>255</v>
      </c>
      <c r="N32" t="s">
        <v>256</v>
      </c>
      <c r="O32" t="s">
        <v>257</v>
      </c>
      <c r="P32">
        <v>-20.159638000000001</v>
      </c>
      <c r="Q32">
        <v>-44.849030999999997</v>
      </c>
      <c r="R32" s="2" t="str">
        <f>HYPERLINK("https://www.google.com/maps?q=-20.1596380,-44.8490310","Abrir no Google Maps")</f>
        <v>Abrir no Google Maps</v>
      </c>
      <c r="S32">
        <v>4</v>
      </c>
      <c r="T32">
        <v>691.81173220845892</v>
      </c>
      <c r="U32">
        <v>3</v>
      </c>
      <c r="V32">
        <v>0.28555805070581802</v>
      </c>
      <c r="W32">
        <v>1</v>
      </c>
      <c r="X32">
        <v>0.28555805070581802</v>
      </c>
      <c r="Y32">
        <v>292</v>
      </c>
      <c r="Z32">
        <v>678.56824923431736</v>
      </c>
      <c r="AA32">
        <v>198</v>
      </c>
      <c r="AB32">
        <v>332</v>
      </c>
      <c r="AC32">
        <v>536</v>
      </c>
      <c r="AD32">
        <v>28.41</v>
      </c>
      <c r="AE32">
        <v>542</v>
      </c>
      <c r="AF32">
        <v>20</v>
      </c>
      <c r="AG32">
        <v>180</v>
      </c>
      <c r="AH32">
        <v>129</v>
      </c>
      <c r="AI32">
        <v>3.69</v>
      </c>
      <c r="AJ32">
        <v>33.21</v>
      </c>
      <c r="AK32">
        <v>23.8</v>
      </c>
      <c r="AL32">
        <v>-20.159590049999959</v>
      </c>
      <c r="AM32">
        <v>-44.849181856774607</v>
      </c>
      <c r="AN32">
        <v>-20.159590049999959</v>
      </c>
      <c r="AO32">
        <v>-44.849181856774607</v>
      </c>
      <c r="AP32">
        <v>-20.159638000000001</v>
      </c>
      <c r="AQ32">
        <v>-44.849030999999997</v>
      </c>
      <c r="AR32">
        <v>16.643712040087191</v>
      </c>
      <c r="AS32" t="s">
        <v>65</v>
      </c>
      <c r="AT32">
        <v>1</v>
      </c>
      <c r="AU32" t="s">
        <v>258</v>
      </c>
      <c r="AV32" t="s">
        <v>259</v>
      </c>
      <c r="AW32" t="s">
        <v>60</v>
      </c>
      <c r="AX32" t="s">
        <v>68</v>
      </c>
      <c r="AY32" t="s">
        <v>69</v>
      </c>
      <c r="AZ32" t="b">
        <v>1</v>
      </c>
    </row>
    <row r="33" spans="1:52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190</v>
      </c>
      <c r="G33" t="s">
        <v>260</v>
      </c>
      <c r="H33" t="s">
        <v>261</v>
      </c>
      <c r="I33" t="s">
        <v>261</v>
      </c>
      <c r="J33" t="s">
        <v>60</v>
      </c>
      <c r="K33" t="s">
        <v>262</v>
      </c>
      <c r="L33" t="s">
        <v>62</v>
      </c>
      <c r="M33" t="s">
        <v>262</v>
      </c>
      <c r="N33" t="s">
        <v>263</v>
      </c>
      <c r="O33" t="s">
        <v>264</v>
      </c>
      <c r="P33">
        <v>-20.162230000000001</v>
      </c>
      <c r="Q33">
        <v>-44.850189</v>
      </c>
      <c r="R33" s="2" t="str">
        <f>HYPERLINK("https://www.google.com/maps?q=-20.1622300,-44.8501890","Abrir no Google Maps")</f>
        <v>Abrir no Google Maps</v>
      </c>
      <c r="S33">
        <v>4</v>
      </c>
      <c r="T33">
        <v>485.03737650296068</v>
      </c>
      <c r="U33">
        <v>3</v>
      </c>
      <c r="V33">
        <v>0.278944748268384</v>
      </c>
      <c r="W33">
        <v>1</v>
      </c>
      <c r="X33">
        <v>0.278944748268384</v>
      </c>
      <c r="Y33">
        <v>292</v>
      </c>
      <c r="Z33">
        <v>461.03925198673232</v>
      </c>
      <c r="AA33">
        <v>198</v>
      </c>
      <c r="AB33">
        <v>332</v>
      </c>
      <c r="AC33">
        <v>536</v>
      </c>
      <c r="AD33">
        <v>28.41</v>
      </c>
      <c r="AE33">
        <v>542</v>
      </c>
      <c r="AF33">
        <v>20</v>
      </c>
      <c r="AG33">
        <v>180</v>
      </c>
      <c r="AH33">
        <v>129</v>
      </c>
      <c r="AI33">
        <v>3.69</v>
      </c>
      <c r="AJ33">
        <v>33.21</v>
      </c>
      <c r="AK33">
        <v>23.8</v>
      </c>
      <c r="AL33">
        <v>-20.162067849999971</v>
      </c>
      <c r="AM33">
        <v>-44.850230909322903</v>
      </c>
      <c r="AN33">
        <v>-20.162067849999971</v>
      </c>
      <c r="AO33">
        <v>-44.850230909322903</v>
      </c>
      <c r="AP33">
        <v>-20.162230000000001</v>
      </c>
      <c r="AQ33">
        <v>-44.850189</v>
      </c>
      <c r="AR33">
        <v>18.574218491036259</v>
      </c>
      <c r="AS33" t="s">
        <v>65</v>
      </c>
      <c r="AT33">
        <v>1</v>
      </c>
      <c r="AU33" t="s">
        <v>265</v>
      </c>
      <c r="AV33" t="s">
        <v>266</v>
      </c>
      <c r="AW33" t="s">
        <v>60</v>
      </c>
      <c r="AX33" t="s">
        <v>68</v>
      </c>
      <c r="AY33" t="s">
        <v>69</v>
      </c>
      <c r="AZ33" t="b">
        <v>1</v>
      </c>
    </row>
    <row r="34" spans="1:52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190</v>
      </c>
      <c r="G34" t="s">
        <v>267</v>
      </c>
      <c r="H34" t="s">
        <v>268</v>
      </c>
      <c r="I34" t="s">
        <v>268</v>
      </c>
      <c r="J34" t="s">
        <v>60</v>
      </c>
      <c r="K34" t="s">
        <v>150</v>
      </c>
      <c r="L34" t="s">
        <v>62</v>
      </c>
      <c r="M34" t="s">
        <v>150</v>
      </c>
      <c r="N34" t="s">
        <v>269</v>
      </c>
      <c r="O34" t="s">
        <v>270</v>
      </c>
      <c r="P34">
        <v>-20.172367999999999</v>
      </c>
      <c r="Q34">
        <v>-44.848661</v>
      </c>
      <c r="R34" s="2" t="str">
        <f>HYPERLINK("https://www.google.com/maps?q=-20.1723680,-44.8486610","Abrir no Google Maps")</f>
        <v>Abrir no Google Maps</v>
      </c>
      <c r="S34">
        <v>4</v>
      </c>
      <c r="T34">
        <v>759.75892180950234</v>
      </c>
      <c r="U34">
        <v>3</v>
      </c>
      <c r="V34">
        <v>0.28778309846200301</v>
      </c>
      <c r="W34">
        <v>1</v>
      </c>
      <c r="X34">
        <v>0.28778309846200301</v>
      </c>
      <c r="Y34">
        <v>292</v>
      </c>
      <c r="Z34">
        <v>735.80511761487242</v>
      </c>
      <c r="AA34">
        <v>198</v>
      </c>
      <c r="AB34">
        <v>332</v>
      </c>
      <c r="AC34">
        <v>536</v>
      </c>
      <c r="AD34">
        <v>28.41</v>
      </c>
      <c r="AE34">
        <v>542</v>
      </c>
      <c r="AF34">
        <v>20</v>
      </c>
      <c r="AG34">
        <v>180</v>
      </c>
      <c r="AH34">
        <v>129</v>
      </c>
      <c r="AI34">
        <v>3.69</v>
      </c>
      <c r="AJ34">
        <v>33.21</v>
      </c>
      <c r="AK34">
        <v>23.8</v>
      </c>
      <c r="AL34">
        <v>-20.172435999999951</v>
      </c>
      <c r="AM34">
        <v>-44.84866233556005</v>
      </c>
      <c r="AN34">
        <v>-20.172435999999951</v>
      </c>
      <c r="AO34">
        <v>-44.84866233556005</v>
      </c>
      <c r="AP34">
        <v>-20.172367999999999</v>
      </c>
      <c r="AQ34">
        <v>-44.848661</v>
      </c>
      <c r="AR34">
        <v>7.5710462874877198</v>
      </c>
      <c r="AS34" t="s">
        <v>65</v>
      </c>
      <c r="AT34">
        <v>1</v>
      </c>
      <c r="AU34" t="s">
        <v>271</v>
      </c>
      <c r="AV34" t="s">
        <v>272</v>
      </c>
      <c r="AW34" t="s">
        <v>60</v>
      </c>
      <c r="AX34" t="s">
        <v>68</v>
      </c>
      <c r="AY34" t="s">
        <v>69</v>
      </c>
      <c r="AZ34" t="b">
        <v>1</v>
      </c>
    </row>
    <row r="35" spans="1:52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190</v>
      </c>
      <c r="G35" t="s">
        <v>273</v>
      </c>
      <c r="H35" t="s">
        <v>274</v>
      </c>
      <c r="I35" t="s">
        <v>274</v>
      </c>
      <c r="J35" t="s">
        <v>60</v>
      </c>
      <c r="K35" t="s">
        <v>143</v>
      </c>
      <c r="L35" t="s">
        <v>62</v>
      </c>
      <c r="M35" t="s">
        <v>143</v>
      </c>
      <c r="N35" t="s">
        <v>275</v>
      </c>
      <c r="O35" t="s">
        <v>276</v>
      </c>
      <c r="P35">
        <v>-20.171367</v>
      </c>
      <c r="Q35">
        <v>-44.844709999999999</v>
      </c>
      <c r="R35" s="2" t="str">
        <f>HYPERLINK("https://www.google.com/maps?q=-20.1713670,-44.8447100","Abrir no Google Maps")</f>
        <v>Abrir no Google Maps</v>
      </c>
      <c r="S35">
        <v>4</v>
      </c>
      <c r="T35">
        <v>700.36715126879801</v>
      </c>
      <c r="U35">
        <v>3</v>
      </c>
      <c r="V35">
        <v>0.28147561073353827</v>
      </c>
      <c r="W35">
        <v>1</v>
      </c>
      <c r="X35">
        <v>0.28147561073353827</v>
      </c>
      <c r="Y35">
        <v>292</v>
      </c>
      <c r="Z35">
        <v>767.70201658334747</v>
      </c>
      <c r="AA35">
        <v>198</v>
      </c>
      <c r="AB35">
        <v>332</v>
      </c>
      <c r="AC35">
        <v>536</v>
      </c>
      <c r="AD35">
        <v>28.41</v>
      </c>
      <c r="AE35">
        <v>542</v>
      </c>
      <c r="AF35">
        <v>20</v>
      </c>
      <c r="AG35">
        <v>180</v>
      </c>
      <c r="AH35">
        <v>129</v>
      </c>
      <c r="AI35">
        <v>3.69</v>
      </c>
      <c r="AJ35">
        <v>33.21</v>
      </c>
      <c r="AK35">
        <v>23.8</v>
      </c>
      <c r="AL35">
        <v>-20.17140124999997</v>
      </c>
      <c r="AM35">
        <v>-44.844758486699448</v>
      </c>
      <c r="AN35">
        <v>-20.171401249999981</v>
      </c>
      <c r="AO35">
        <v>-44.844758486699448</v>
      </c>
      <c r="AP35">
        <v>-20.171367</v>
      </c>
      <c r="AQ35">
        <v>-44.844709999999999</v>
      </c>
      <c r="AR35">
        <v>6.3408204899540994</v>
      </c>
      <c r="AS35" t="s">
        <v>65</v>
      </c>
      <c r="AT35">
        <v>1</v>
      </c>
      <c r="AU35" t="s">
        <v>277</v>
      </c>
      <c r="AV35" t="s">
        <v>278</v>
      </c>
      <c r="AW35" t="s">
        <v>60</v>
      </c>
      <c r="AX35" t="s">
        <v>68</v>
      </c>
      <c r="AY35" t="s">
        <v>69</v>
      </c>
      <c r="AZ35" t="b">
        <v>1</v>
      </c>
    </row>
    <row r="36" spans="1:52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190</v>
      </c>
      <c r="G36" t="s">
        <v>279</v>
      </c>
      <c r="H36" t="s">
        <v>280</v>
      </c>
      <c r="I36" t="s">
        <v>280</v>
      </c>
      <c r="J36" t="s">
        <v>60</v>
      </c>
      <c r="K36" t="s">
        <v>281</v>
      </c>
      <c r="L36" t="s">
        <v>62</v>
      </c>
      <c r="M36" t="s">
        <v>281</v>
      </c>
      <c r="N36" t="s">
        <v>282</v>
      </c>
      <c r="O36" t="s">
        <v>283</v>
      </c>
      <c r="P36">
        <v>-20.175312999999999</v>
      </c>
      <c r="Q36">
        <v>-44.848562999999999</v>
      </c>
      <c r="R36" s="2" t="str">
        <f>HYPERLINK("https://www.google.com/maps?q=-20.1753130,-44.8485630","Abrir no Google Maps")</f>
        <v>Abrir no Google Maps</v>
      </c>
      <c r="S36">
        <v>4</v>
      </c>
      <c r="T36">
        <v>1076.9164078034139</v>
      </c>
      <c r="U36">
        <v>3</v>
      </c>
      <c r="V36">
        <v>0.28486367553672498</v>
      </c>
      <c r="W36">
        <v>1</v>
      </c>
      <c r="X36">
        <v>0.28486367553672498</v>
      </c>
      <c r="Y36">
        <v>292</v>
      </c>
      <c r="Z36">
        <v>1035.650579259463</v>
      </c>
      <c r="AA36">
        <v>198</v>
      </c>
      <c r="AB36">
        <v>332</v>
      </c>
      <c r="AC36">
        <v>536</v>
      </c>
      <c r="AD36">
        <v>28.41</v>
      </c>
      <c r="AE36">
        <v>542</v>
      </c>
      <c r="AF36">
        <v>20</v>
      </c>
      <c r="AG36">
        <v>180</v>
      </c>
      <c r="AH36">
        <v>129</v>
      </c>
      <c r="AI36">
        <v>3.69</v>
      </c>
      <c r="AJ36">
        <v>33.21</v>
      </c>
      <c r="AK36">
        <v>23.8</v>
      </c>
      <c r="AL36">
        <v>-20.175338949999961</v>
      </c>
      <c r="AM36">
        <v>-44.848523168324952</v>
      </c>
      <c r="AN36">
        <v>-20.175338949999961</v>
      </c>
      <c r="AO36">
        <v>-44.848523168324952</v>
      </c>
      <c r="AP36">
        <v>-20.175312999999999</v>
      </c>
      <c r="AQ36">
        <v>-44.848562999999999</v>
      </c>
      <c r="AR36">
        <v>5.0662709576519056</v>
      </c>
      <c r="AS36" t="s">
        <v>65</v>
      </c>
      <c r="AT36">
        <v>1</v>
      </c>
      <c r="AU36" t="s">
        <v>284</v>
      </c>
      <c r="AV36" t="s">
        <v>285</v>
      </c>
      <c r="AW36" t="s">
        <v>60</v>
      </c>
      <c r="AX36" t="s">
        <v>68</v>
      </c>
      <c r="AY36" t="s">
        <v>69</v>
      </c>
      <c r="AZ36" t="b">
        <v>1</v>
      </c>
    </row>
    <row r="37" spans="1:52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190</v>
      </c>
      <c r="G37" t="s">
        <v>253</v>
      </c>
      <c r="H37" t="s">
        <v>286</v>
      </c>
      <c r="I37" t="s">
        <v>286</v>
      </c>
      <c r="J37" t="s">
        <v>60</v>
      </c>
      <c r="K37" t="s">
        <v>136</v>
      </c>
      <c r="L37" t="s">
        <v>62</v>
      </c>
      <c r="M37" t="s">
        <v>136</v>
      </c>
      <c r="N37" t="s">
        <v>256</v>
      </c>
      <c r="O37" t="s">
        <v>287</v>
      </c>
      <c r="P37">
        <v>-20.165067000000001</v>
      </c>
      <c r="Q37">
        <v>-44.851146999999997</v>
      </c>
      <c r="R37" s="2" t="str">
        <f>HYPERLINK("https://www.google.com/maps?q=-20.1650670,-44.8511470","Abrir no Google Maps")</f>
        <v>Abrir no Google Maps</v>
      </c>
      <c r="S37">
        <v>4</v>
      </c>
      <c r="T37">
        <v>374.14945573570043</v>
      </c>
      <c r="U37">
        <v>3</v>
      </c>
      <c r="V37">
        <v>0.28539879776784127</v>
      </c>
      <c r="W37">
        <v>1</v>
      </c>
      <c r="X37">
        <v>0.28539879776784127</v>
      </c>
      <c r="Y37">
        <v>292</v>
      </c>
      <c r="Z37">
        <v>295.9878686859272</v>
      </c>
      <c r="AA37">
        <v>198</v>
      </c>
      <c r="AB37">
        <v>332</v>
      </c>
      <c r="AC37">
        <v>536</v>
      </c>
      <c r="AD37">
        <v>28.41</v>
      </c>
      <c r="AE37">
        <v>542</v>
      </c>
      <c r="AF37">
        <v>20</v>
      </c>
      <c r="AG37">
        <v>180</v>
      </c>
      <c r="AH37">
        <v>129</v>
      </c>
      <c r="AI37">
        <v>3.69</v>
      </c>
      <c r="AJ37">
        <v>33.21</v>
      </c>
      <c r="AK37">
        <v>23.8</v>
      </c>
      <c r="AL37">
        <v>-20.164961799999961</v>
      </c>
      <c r="AM37">
        <v>-44.851062119796737</v>
      </c>
      <c r="AN37">
        <v>-20.164961799999961</v>
      </c>
      <c r="AO37">
        <v>-44.851062119796737</v>
      </c>
      <c r="AP37">
        <v>-20.165067000000001</v>
      </c>
      <c r="AQ37">
        <v>-44.851146999999997</v>
      </c>
      <c r="AR37">
        <v>14.690666366415</v>
      </c>
      <c r="AS37" t="s">
        <v>65</v>
      </c>
      <c r="AT37">
        <v>1</v>
      </c>
      <c r="AU37" t="s">
        <v>288</v>
      </c>
      <c r="AV37" t="s">
        <v>289</v>
      </c>
      <c r="AW37" t="s">
        <v>60</v>
      </c>
      <c r="AX37" t="s">
        <v>68</v>
      </c>
      <c r="AY37" t="s">
        <v>69</v>
      </c>
      <c r="AZ37" t="b">
        <v>1</v>
      </c>
    </row>
    <row r="38" spans="1:52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190</v>
      </c>
      <c r="G38" t="s">
        <v>290</v>
      </c>
      <c r="H38" t="s">
        <v>291</v>
      </c>
      <c r="I38" t="s">
        <v>291</v>
      </c>
      <c r="J38" t="s">
        <v>60</v>
      </c>
      <c r="K38" t="s">
        <v>143</v>
      </c>
      <c r="L38" t="s">
        <v>62</v>
      </c>
      <c r="M38" t="s">
        <v>143</v>
      </c>
      <c r="N38" t="s">
        <v>292</v>
      </c>
      <c r="O38" t="s">
        <v>293</v>
      </c>
      <c r="P38">
        <v>-20.164380999999999</v>
      </c>
      <c r="Q38">
        <v>-44.841638000000003</v>
      </c>
      <c r="R38" s="2" t="str">
        <f>HYPERLINK("https://www.google.com/maps?q=-20.1643810,-44.8416380","Abrir no Google Maps")</f>
        <v>Abrir no Google Maps</v>
      </c>
      <c r="S38">
        <v>4</v>
      </c>
      <c r="T38">
        <v>653.87342410001406</v>
      </c>
      <c r="U38">
        <v>3</v>
      </c>
      <c r="V38">
        <v>0.29262184478862852</v>
      </c>
      <c r="W38">
        <v>1</v>
      </c>
      <c r="X38">
        <v>0.29262184478862852</v>
      </c>
      <c r="Y38">
        <v>292</v>
      </c>
      <c r="Z38">
        <v>761.66023684754805</v>
      </c>
      <c r="AA38">
        <v>198</v>
      </c>
      <c r="AB38">
        <v>332</v>
      </c>
      <c r="AC38">
        <v>536</v>
      </c>
      <c r="AD38">
        <v>28.41</v>
      </c>
      <c r="AE38">
        <v>542</v>
      </c>
      <c r="AF38">
        <v>20</v>
      </c>
      <c r="AG38">
        <v>180</v>
      </c>
      <c r="AH38">
        <v>129</v>
      </c>
      <c r="AI38">
        <v>3.69</v>
      </c>
      <c r="AJ38">
        <v>33.21</v>
      </c>
      <c r="AK38">
        <v>23.8</v>
      </c>
      <c r="AL38">
        <v>-20.16420624999995</v>
      </c>
      <c r="AM38">
        <v>-44.841488984995642</v>
      </c>
      <c r="AN38">
        <v>-20.16420624999995</v>
      </c>
      <c r="AO38">
        <v>-44.841488984995642</v>
      </c>
      <c r="AP38">
        <v>-20.164380999999999</v>
      </c>
      <c r="AQ38">
        <v>-44.841638000000003</v>
      </c>
      <c r="AR38">
        <v>24.91789254993785</v>
      </c>
      <c r="AS38" t="s">
        <v>65</v>
      </c>
      <c r="AT38">
        <v>1</v>
      </c>
      <c r="AU38" t="s">
        <v>294</v>
      </c>
      <c r="AV38" t="s">
        <v>295</v>
      </c>
      <c r="AW38" t="s">
        <v>60</v>
      </c>
      <c r="AX38" t="s">
        <v>68</v>
      </c>
      <c r="AY38" t="s">
        <v>69</v>
      </c>
      <c r="AZ38" t="b">
        <v>1</v>
      </c>
    </row>
    <row r="39" spans="1:52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190</v>
      </c>
      <c r="G39" t="s">
        <v>253</v>
      </c>
      <c r="H39" t="s">
        <v>296</v>
      </c>
      <c r="I39" t="s">
        <v>296</v>
      </c>
      <c r="J39" t="s">
        <v>60</v>
      </c>
      <c r="K39" t="s">
        <v>136</v>
      </c>
      <c r="L39" t="s">
        <v>62</v>
      </c>
      <c r="M39" t="s">
        <v>136</v>
      </c>
      <c r="N39" t="s">
        <v>256</v>
      </c>
      <c r="O39" t="s">
        <v>297</v>
      </c>
      <c r="P39">
        <v>-20.168476999999999</v>
      </c>
      <c r="Q39">
        <v>-44.852528</v>
      </c>
      <c r="R39" s="2" t="str">
        <f>HYPERLINK("https://www.google.com/maps?q=-20.1684770,-44.8525280","Abrir no Google Maps")</f>
        <v>Abrir no Google Maps</v>
      </c>
      <c r="S39">
        <v>4</v>
      </c>
      <c r="T39">
        <v>587.16898087421623</v>
      </c>
      <c r="U39">
        <v>3</v>
      </c>
      <c r="V39">
        <v>0.2833037111781756</v>
      </c>
      <c r="W39">
        <v>1</v>
      </c>
      <c r="X39">
        <v>0.2833037111781756</v>
      </c>
      <c r="Y39">
        <v>292</v>
      </c>
      <c r="Z39">
        <v>471.75619463337938</v>
      </c>
      <c r="AA39">
        <v>198</v>
      </c>
      <c r="AB39">
        <v>332</v>
      </c>
      <c r="AC39">
        <v>536</v>
      </c>
      <c r="AD39">
        <v>28.41</v>
      </c>
      <c r="AE39">
        <v>542</v>
      </c>
      <c r="AF39">
        <v>20</v>
      </c>
      <c r="AG39">
        <v>180</v>
      </c>
      <c r="AH39">
        <v>129</v>
      </c>
      <c r="AI39">
        <v>3.69</v>
      </c>
      <c r="AJ39">
        <v>33.21</v>
      </c>
      <c r="AK39">
        <v>23.8</v>
      </c>
      <c r="AL39">
        <v>-20.16846514999995</v>
      </c>
      <c r="AM39">
        <v>-44.852319844682007</v>
      </c>
      <c r="AN39">
        <v>-20.168465149999939</v>
      </c>
      <c r="AO39">
        <v>-44.852319844682007</v>
      </c>
      <c r="AP39">
        <v>-20.168476999999999</v>
      </c>
      <c r="AQ39">
        <v>-44.852528</v>
      </c>
      <c r="AR39">
        <v>21.790984536052999</v>
      </c>
      <c r="AS39" t="s">
        <v>65</v>
      </c>
      <c r="AT39">
        <v>1</v>
      </c>
      <c r="AU39" t="s">
        <v>298</v>
      </c>
      <c r="AV39" t="s">
        <v>299</v>
      </c>
      <c r="AW39" t="s">
        <v>60</v>
      </c>
      <c r="AX39" t="s">
        <v>68</v>
      </c>
      <c r="AY39" t="s">
        <v>69</v>
      </c>
      <c r="AZ39" t="b">
        <v>1</v>
      </c>
    </row>
    <row r="40" spans="1:52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190</v>
      </c>
      <c r="G40" t="s">
        <v>300</v>
      </c>
      <c r="H40" t="s">
        <v>301</v>
      </c>
      <c r="I40" t="s">
        <v>301</v>
      </c>
      <c r="J40" t="s">
        <v>60</v>
      </c>
      <c r="K40" t="s">
        <v>150</v>
      </c>
      <c r="L40" t="s">
        <v>62</v>
      </c>
      <c r="M40" t="s">
        <v>150</v>
      </c>
      <c r="N40" t="s">
        <v>302</v>
      </c>
      <c r="O40" t="s">
        <v>303</v>
      </c>
      <c r="P40">
        <v>-20.172993000000002</v>
      </c>
      <c r="Q40">
        <v>-44.853588999999999</v>
      </c>
      <c r="R40" s="2" t="str">
        <f>HYPERLINK("https://www.google.com/maps?q=-20.1729930,-44.8535890","Abrir no Google Maps")</f>
        <v>Abrir no Google Maps</v>
      </c>
      <c r="S40">
        <v>4</v>
      </c>
      <c r="T40">
        <v>1041.446216907221</v>
      </c>
      <c r="U40">
        <v>3</v>
      </c>
      <c r="V40">
        <v>0.29122889855407141</v>
      </c>
      <c r="W40">
        <v>1</v>
      </c>
      <c r="X40">
        <v>0.29122889855407141</v>
      </c>
      <c r="Y40">
        <v>292</v>
      </c>
      <c r="Z40">
        <v>978.86270909763937</v>
      </c>
      <c r="AA40">
        <v>198</v>
      </c>
      <c r="AB40">
        <v>332</v>
      </c>
      <c r="AC40">
        <v>536</v>
      </c>
      <c r="AD40">
        <v>28.41</v>
      </c>
      <c r="AE40">
        <v>542</v>
      </c>
      <c r="AF40">
        <v>20</v>
      </c>
      <c r="AG40">
        <v>180</v>
      </c>
      <c r="AH40">
        <v>129</v>
      </c>
      <c r="AI40">
        <v>3.69</v>
      </c>
      <c r="AJ40">
        <v>33.21</v>
      </c>
      <c r="AK40">
        <v>23.8</v>
      </c>
      <c r="AL40">
        <v>-20.173142449999968</v>
      </c>
      <c r="AM40">
        <v>-44.853588035903172</v>
      </c>
      <c r="AN40">
        <v>-20.173142449999968</v>
      </c>
      <c r="AO40">
        <v>-44.853588035903172</v>
      </c>
      <c r="AP40">
        <v>-20.172993000000002</v>
      </c>
      <c r="AQ40">
        <v>-44.853588999999999</v>
      </c>
      <c r="AR40">
        <v>16.637078994259841</v>
      </c>
      <c r="AS40" t="s">
        <v>65</v>
      </c>
      <c r="AT40">
        <v>1</v>
      </c>
      <c r="AU40" t="s">
        <v>304</v>
      </c>
      <c r="AV40" t="s">
        <v>305</v>
      </c>
      <c r="AW40" t="s">
        <v>60</v>
      </c>
      <c r="AX40" t="s">
        <v>68</v>
      </c>
      <c r="AY40" t="s">
        <v>69</v>
      </c>
      <c r="AZ40" t="b">
        <v>1</v>
      </c>
    </row>
    <row r="41" spans="1:52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190</v>
      </c>
      <c r="G41" t="s">
        <v>306</v>
      </c>
      <c r="H41" t="s">
        <v>307</v>
      </c>
      <c r="I41" t="s">
        <v>307</v>
      </c>
      <c r="J41" t="s">
        <v>60</v>
      </c>
      <c r="K41" t="s">
        <v>143</v>
      </c>
      <c r="L41" t="s">
        <v>62</v>
      </c>
      <c r="M41" t="s">
        <v>143</v>
      </c>
      <c r="N41" t="s">
        <v>308</v>
      </c>
      <c r="O41" t="s">
        <v>309</v>
      </c>
      <c r="P41">
        <v>-20.167071</v>
      </c>
      <c r="Q41">
        <v>-44.842730000000003</v>
      </c>
      <c r="R41" s="2" t="str">
        <f>HYPERLINK("https://www.google.com/maps?q=-20.1670710,-44.8427300","Abrir no Google Maps")</f>
        <v>Abrir no Google Maps</v>
      </c>
      <c r="S41">
        <v>4</v>
      </c>
      <c r="T41">
        <v>535.14780070571521</v>
      </c>
      <c r="U41">
        <v>3</v>
      </c>
      <c r="V41">
        <v>0.2908041757202906</v>
      </c>
      <c r="W41">
        <v>1</v>
      </c>
      <c r="X41">
        <v>0.2908041757202906</v>
      </c>
      <c r="Y41">
        <v>292</v>
      </c>
      <c r="Z41">
        <v>582.78942050501109</v>
      </c>
      <c r="AA41">
        <v>198</v>
      </c>
      <c r="AB41">
        <v>332</v>
      </c>
      <c r="AC41">
        <v>536</v>
      </c>
      <c r="AD41">
        <v>28.41</v>
      </c>
      <c r="AE41">
        <v>542</v>
      </c>
      <c r="AF41">
        <v>20</v>
      </c>
      <c r="AG41">
        <v>180</v>
      </c>
      <c r="AH41">
        <v>129</v>
      </c>
      <c r="AI41">
        <v>3.69</v>
      </c>
      <c r="AJ41">
        <v>33.21</v>
      </c>
      <c r="AK41">
        <v>23.8</v>
      </c>
      <c r="AL41">
        <v>-20.167006799999971</v>
      </c>
      <c r="AM41">
        <v>-44.842640974693197</v>
      </c>
      <c r="AN41">
        <v>-20.167006799999971</v>
      </c>
      <c r="AO41">
        <v>-44.842640974693197</v>
      </c>
      <c r="AP41">
        <v>-20.167071</v>
      </c>
      <c r="AQ41">
        <v>-44.842730000000003</v>
      </c>
      <c r="AR41">
        <v>11.73100304278117</v>
      </c>
      <c r="AS41" t="s">
        <v>65</v>
      </c>
      <c r="AT41">
        <v>1</v>
      </c>
      <c r="AU41" t="s">
        <v>310</v>
      </c>
      <c r="AV41" t="s">
        <v>311</v>
      </c>
      <c r="AW41" t="s">
        <v>60</v>
      </c>
      <c r="AX41" t="s">
        <v>68</v>
      </c>
      <c r="AY41" t="s">
        <v>69</v>
      </c>
      <c r="AZ41" t="b">
        <v>1</v>
      </c>
    </row>
    <row r="42" spans="1:52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190</v>
      </c>
      <c r="G42" t="s">
        <v>312</v>
      </c>
      <c r="H42" t="s">
        <v>313</v>
      </c>
      <c r="I42" t="s">
        <v>313</v>
      </c>
      <c r="J42" t="s">
        <v>60</v>
      </c>
      <c r="K42" t="s">
        <v>143</v>
      </c>
      <c r="L42" t="s">
        <v>62</v>
      </c>
      <c r="M42" t="s">
        <v>143</v>
      </c>
      <c r="N42" t="s">
        <v>314</v>
      </c>
      <c r="O42" t="s">
        <v>315</v>
      </c>
      <c r="P42">
        <v>-20.168939000000002</v>
      </c>
      <c r="Q42">
        <v>-44.843286999999997</v>
      </c>
      <c r="R42" s="2" t="str">
        <f>HYPERLINK("https://www.google.com/maps?q=-20.1689390,-44.8432870","Abrir no Google Maps")</f>
        <v>Abrir no Google Maps</v>
      </c>
      <c r="S42">
        <v>4</v>
      </c>
      <c r="T42">
        <v>582.22902758915586</v>
      </c>
      <c r="U42">
        <v>3</v>
      </c>
      <c r="V42">
        <v>0.29061785534970641</v>
      </c>
      <c r="W42">
        <v>1</v>
      </c>
      <c r="X42">
        <v>0.29061785534970641</v>
      </c>
      <c r="Y42">
        <v>292</v>
      </c>
      <c r="Z42">
        <v>628.29035609472794</v>
      </c>
      <c r="AA42">
        <v>198</v>
      </c>
      <c r="AB42">
        <v>332</v>
      </c>
      <c r="AC42">
        <v>536</v>
      </c>
      <c r="AD42">
        <v>28.41</v>
      </c>
      <c r="AE42">
        <v>542</v>
      </c>
      <c r="AF42">
        <v>20</v>
      </c>
      <c r="AG42">
        <v>180</v>
      </c>
      <c r="AH42">
        <v>129</v>
      </c>
      <c r="AI42">
        <v>3.69</v>
      </c>
      <c r="AJ42">
        <v>33.21</v>
      </c>
      <c r="AK42">
        <v>23.8</v>
      </c>
      <c r="AL42">
        <v>-20.16917709999996</v>
      </c>
      <c r="AM42">
        <v>-44.84342194427667</v>
      </c>
      <c r="AN42">
        <v>-20.16917709999996</v>
      </c>
      <c r="AO42">
        <v>-44.84342194427667</v>
      </c>
      <c r="AP42">
        <v>-20.168939000000002</v>
      </c>
      <c r="AQ42">
        <v>-44.843286999999997</v>
      </c>
      <c r="AR42">
        <v>30.02272213565665</v>
      </c>
      <c r="AS42" t="s">
        <v>65</v>
      </c>
      <c r="AT42">
        <v>1</v>
      </c>
      <c r="AU42" t="s">
        <v>316</v>
      </c>
      <c r="AV42" t="s">
        <v>311</v>
      </c>
      <c r="AW42" t="s">
        <v>60</v>
      </c>
      <c r="AX42" t="s">
        <v>68</v>
      </c>
      <c r="AY42" t="s">
        <v>69</v>
      </c>
      <c r="AZ42" t="b">
        <v>1</v>
      </c>
    </row>
    <row r="43" spans="1:52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190</v>
      </c>
      <c r="G43" t="s">
        <v>260</v>
      </c>
      <c r="H43" t="s">
        <v>317</v>
      </c>
      <c r="I43" t="s">
        <v>317</v>
      </c>
      <c r="J43" t="s">
        <v>60</v>
      </c>
      <c r="K43" t="s">
        <v>255</v>
      </c>
      <c r="L43" t="s">
        <v>62</v>
      </c>
      <c r="M43" t="s">
        <v>255</v>
      </c>
      <c r="N43" t="s">
        <v>263</v>
      </c>
      <c r="O43" t="s">
        <v>318</v>
      </c>
      <c r="P43">
        <v>-20.163532</v>
      </c>
      <c r="Q43">
        <v>-44.846910999999999</v>
      </c>
      <c r="R43" s="2" t="str">
        <f>HYPERLINK("https://www.google.com/maps?q=-20.1635320,-44.8469110","Abrir no Google Maps")</f>
        <v>Abrir no Google Maps</v>
      </c>
      <c r="S43">
        <v>4</v>
      </c>
      <c r="T43">
        <v>259.92389401636012</v>
      </c>
      <c r="U43">
        <v>3</v>
      </c>
      <c r="V43">
        <v>0.29124053649795673</v>
      </c>
      <c r="W43">
        <v>1</v>
      </c>
      <c r="X43">
        <v>0.29124053649795673</v>
      </c>
      <c r="Y43">
        <v>292</v>
      </c>
      <c r="Z43">
        <v>316.26738966059708</v>
      </c>
      <c r="AA43">
        <v>198</v>
      </c>
      <c r="AB43">
        <v>332</v>
      </c>
      <c r="AC43">
        <v>536</v>
      </c>
      <c r="AD43">
        <v>28.41</v>
      </c>
      <c r="AE43">
        <v>542</v>
      </c>
      <c r="AF43">
        <v>20</v>
      </c>
      <c r="AG43">
        <v>180</v>
      </c>
      <c r="AH43">
        <v>129</v>
      </c>
      <c r="AI43">
        <v>3.69</v>
      </c>
      <c r="AJ43">
        <v>33.21</v>
      </c>
      <c r="AK43">
        <v>23.8</v>
      </c>
      <c r="AL43">
        <v>-20.16343344999996</v>
      </c>
      <c r="AM43">
        <v>-44.846734659744428</v>
      </c>
      <c r="AN43">
        <v>-20.16343344999996</v>
      </c>
      <c r="AO43">
        <v>-44.846734659744428</v>
      </c>
      <c r="AP43">
        <v>-20.163532</v>
      </c>
      <c r="AQ43">
        <v>-44.846910999999999</v>
      </c>
      <c r="AR43">
        <v>21.445575432006599</v>
      </c>
      <c r="AS43" t="s">
        <v>65</v>
      </c>
      <c r="AT43">
        <v>1</v>
      </c>
      <c r="AU43" t="s">
        <v>319</v>
      </c>
      <c r="AV43" t="s">
        <v>320</v>
      </c>
      <c r="AW43" t="s">
        <v>60</v>
      </c>
      <c r="AX43" t="s">
        <v>68</v>
      </c>
      <c r="AY43" t="s">
        <v>69</v>
      </c>
      <c r="AZ43" t="b">
        <v>1</v>
      </c>
    </row>
    <row r="44" spans="1:52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190</v>
      </c>
      <c r="G44" t="s">
        <v>321</v>
      </c>
      <c r="H44" t="s">
        <v>322</v>
      </c>
      <c r="I44" t="s">
        <v>322</v>
      </c>
      <c r="J44" t="s">
        <v>60</v>
      </c>
      <c r="K44" t="s">
        <v>323</v>
      </c>
      <c r="L44" t="s">
        <v>62</v>
      </c>
      <c r="M44" t="s">
        <v>323</v>
      </c>
      <c r="N44" t="s">
        <v>324</v>
      </c>
      <c r="O44" t="s">
        <v>325</v>
      </c>
      <c r="P44">
        <v>-20.151437999999999</v>
      </c>
      <c r="Q44">
        <v>-44.855761000000001</v>
      </c>
      <c r="R44" s="2" t="str">
        <f>HYPERLINK("https://www.google.com/maps?q=-20.1514380,-44.8557610","Abrir no Google Maps")</f>
        <v>Abrir no Google Maps</v>
      </c>
      <c r="S44">
        <v>4</v>
      </c>
      <c r="T44">
        <v>970.69989262042009</v>
      </c>
      <c r="U44">
        <v>3</v>
      </c>
      <c r="V44">
        <v>0.2782466975806544</v>
      </c>
      <c r="W44">
        <v>1</v>
      </c>
      <c r="X44">
        <v>0.2782466975806544</v>
      </c>
      <c r="Y44">
        <v>264</v>
      </c>
      <c r="Z44">
        <v>1041.0105988261671</v>
      </c>
      <c r="AA44">
        <v>198</v>
      </c>
      <c r="AB44">
        <v>332</v>
      </c>
      <c r="AC44">
        <v>536</v>
      </c>
      <c r="AD44">
        <v>28.41</v>
      </c>
      <c r="AE44">
        <v>542</v>
      </c>
      <c r="AF44">
        <v>20</v>
      </c>
      <c r="AG44">
        <v>180</v>
      </c>
      <c r="AH44">
        <v>129</v>
      </c>
      <c r="AI44">
        <v>3.69</v>
      </c>
      <c r="AJ44">
        <v>33.21</v>
      </c>
      <c r="AK44">
        <v>23.8</v>
      </c>
      <c r="AL44">
        <v>-20.15142824999996</v>
      </c>
      <c r="AM44">
        <v>-44.854100160898767</v>
      </c>
      <c r="AN44">
        <v>-20.15142824999996</v>
      </c>
      <c r="AO44">
        <v>-44.854100160898767</v>
      </c>
      <c r="AP44">
        <v>-20.151437999999999</v>
      </c>
      <c r="AQ44">
        <v>-44.855761000000001</v>
      </c>
      <c r="AR44">
        <v>173.57036632351381</v>
      </c>
      <c r="AS44" t="s">
        <v>65</v>
      </c>
      <c r="AT44">
        <v>1</v>
      </c>
      <c r="AU44" t="s">
        <v>326</v>
      </c>
      <c r="AV44" t="s">
        <v>327</v>
      </c>
      <c r="AW44" t="s">
        <v>60</v>
      </c>
      <c r="AX44" t="s">
        <v>68</v>
      </c>
      <c r="AY44" t="s">
        <v>69</v>
      </c>
      <c r="AZ44" t="b">
        <v>1</v>
      </c>
    </row>
    <row r="45" spans="1:52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190</v>
      </c>
      <c r="G45" t="s">
        <v>328</v>
      </c>
      <c r="H45" t="s">
        <v>329</v>
      </c>
      <c r="I45" t="s">
        <v>329</v>
      </c>
      <c r="J45" t="s">
        <v>60</v>
      </c>
      <c r="K45" t="s">
        <v>157</v>
      </c>
      <c r="L45" t="s">
        <v>62</v>
      </c>
      <c r="M45" t="s">
        <v>157</v>
      </c>
      <c r="N45" t="s">
        <v>330</v>
      </c>
      <c r="O45" t="s">
        <v>331</v>
      </c>
      <c r="P45">
        <v>-20.167981999999999</v>
      </c>
      <c r="Q45">
        <v>-44.885706999999996</v>
      </c>
      <c r="R45" s="2" t="str">
        <f>HYPERLINK("https://www.google.com/maps?q=-20.1679820,-44.8857070","Abrir no Google Maps")</f>
        <v>Abrir no Google Maps</v>
      </c>
      <c r="S45">
        <v>4</v>
      </c>
      <c r="T45">
        <v>594.70112534633722</v>
      </c>
      <c r="U45">
        <v>3</v>
      </c>
      <c r="V45">
        <v>0.2939061351404631</v>
      </c>
      <c r="W45">
        <v>1</v>
      </c>
      <c r="X45">
        <v>0.2939061351404631</v>
      </c>
      <c r="Y45">
        <v>232</v>
      </c>
      <c r="Z45">
        <v>560.38516624860983</v>
      </c>
      <c r="AA45">
        <v>198</v>
      </c>
      <c r="AB45">
        <v>332</v>
      </c>
      <c r="AC45">
        <v>536</v>
      </c>
      <c r="AD45">
        <v>28.41</v>
      </c>
      <c r="AE45">
        <v>542</v>
      </c>
      <c r="AF45">
        <v>20</v>
      </c>
      <c r="AG45">
        <v>180</v>
      </c>
      <c r="AH45">
        <v>129</v>
      </c>
      <c r="AI45">
        <v>3.69</v>
      </c>
      <c r="AJ45">
        <v>33.21</v>
      </c>
      <c r="AK45">
        <v>23.8</v>
      </c>
      <c r="AL45">
        <v>-20.167931149999959</v>
      </c>
      <c r="AM45">
        <v>-44.885606821741909</v>
      </c>
      <c r="AN45">
        <v>-20.167931149999959</v>
      </c>
      <c r="AO45">
        <v>-44.885606821741909</v>
      </c>
      <c r="AP45">
        <v>-20.167981999999999</v>
      </c>
      <c r="AQ45">
        <v>-44.885706999999996</v>
      </c>
      <c r="AR45">
        <v>11.90056149590643</v>
      </c>
      <c r="AS45" t="s">
        <v>65</v>
      </c>
      <c r="AT45">
        <v>1</v>
      </c>
      <c r="AU45" t="s">
        <v>332</v>
      </c>
      <c r="AV45" t="s">
        <v>333</v>
      </c>
      <c r="AW45" t="s">
        <v>60</v>
      </c>
      <c r="AX45" t="s">
        <v>68</v>
      </c>
      <c r="AY45" t="s">
        <v>69</v>
      </c>
      <c r="AZ45" t="b">
        <v>1</v>
      </c>
    </row>
    <row r="46" spans="1:52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190</v>
      </c>
      <c r="G46" t="s">
        <v>334</v>
      </c>
      <c r="H46" t="s">
        <v>335</v>
      </c>
      <c r="I46" t="s">
        <v>335</v>
      </c>
      <c r="J46" t="s">
        <v>60</v>
      </c>
      <c r="K46" t="s">
        <v>336</v>
      </c>
      <c r="L46" t="s">
        <v>62</v>
      </c>
      <c r="M46" t="s">
        <v>336</v>
      </c>
      <c r="N46" t="s">
        <v>337</v>
      </c>
      <c r="O46" t="s">
        <v>338</v>
      </c>
      <c r="P46">
        <v>-20.168142</v>
      </c>
      <c r="Q46">
        <v>-44.875697000000002</v>
      </c>
      <c r="R46" s="2" t="str">
        <f>HYPERLINK("https://www.google.com/maps?q=-20.1681420,-44.8756970","Abrir no Google Maps")</f>
        <v>Abrir no Google Maps</v>
      </c>
      <c r="S46">
        <v>4</v>
      </c>
      <c r="T46">
        <v>678.04878367834192</v>
      </c>
      <c r="U46">
        <v>3</v>
      </c>
      <c r="V46">
        <v>0.2903565997383184</v>
      </c>
      <c r="W46">
        <v>1</v>
      </c>
      <c r="X46">
        <v>0.2903565997383184</v>
      </c>
      <c r="Y46">
        <v>232</v>
      </c>
      <c r="Z46">
        <v>595.98467532792097</v>
      </c>
      <c r="AA46">
        <v>198</v>
      </c>
      <c r="AB46">
        <v>332</v>
      </c>
      <c r="AC46">
        <v>536</v>
      </c>
      <c r="AD46">
        <v>28.41</v>
      </c>
      <c r="AE46">
        <v>542</v>
      </c>
      <c r="AF46">
        <v>20</v>
      </c>
      <c r="AG46">
        <v>180</v>
      </c>
      <c r="AH46">
        <v>129</v>
      </c>
      <c r="AI46">
        <v>3.69</v>
      </c>
      <c r="AJ46">
        <v>33.21</v>
      </c>
      <c r="AK46">
        <v>23.8</v>
      </c>
      <c r="AL46">
        <v>-20.16787839999995</v>
      </c>
      <c r="AM46">
        <v>-44.875681825945229</v>
      </c>
      <c r="AN46">
        <v>-20.16787839999995</v>
      </c>
      <c r="AO46">
        <v>-44.875681825945229</v>
      </c>
      <c r="AP46">
        <v>-20.168142</v>
      </c>
      <c r="AQ46">
        <v>-44.875697000000002</v>
      </c>
      <c r="AR46">
        <v>29.386760063894371</v>
      </c>
      <c r="AS46" t="s">
        <v>65</v>
      </c>
      <c r="AT46">
        <v>1</v>
      </c>
      <c r="AU46" t="s">
        <v>339</v>
      </c>
      <c r="AV46" t="s">
        <v>340</v>
      </c>
      <c r="AW46" t="s">
        <v>60</v>
      </c>
      <c r="AX46" t="s">
        <v>68</v>
      </c>
      <c r="AY46" t="s">
        <v>69</v>
      </c>
      <c r="AZ46" t="b">
        <v>1</v>
      </c>
    </row>
    <row r="47" spans="1:52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190</v>
      </c>
      <c r="G47" t="s">
        <v>341</v>
      </c>
      <c r="H47" t="s">
        <v>342</v>
      </c>
      <c r="I47" t="s">
        <v>342</v>
      </c>
      <c r="J47" t="s">
        <v>60</v>
      </c>
      <c r="K47" t="s">
        <v>164</v>
      </c>
      <c r="L47" t="s">
        <v>62</v>
      </c>
      <c r="M47" t="s">
        <v>164</v>
      </c>
      <c r="N47" t="s">
        <v>343</v>
      </c>
      <c r="O47" t="s">
        <v>344</v>
      </c>
      <c r="P47">
        <v>-20.17606</v>
      </c>
      <c r="Q47">
        <v>-44.880409999999998</v>
      </c>
      <c r="R47" s="2" t="str">
        <f>HYPERLINK("https://www.google.com/maps?q=-20.1760600,-44.8804100","Abrir no Google Maps")</f>
        <v>Abrir no Google Maps</v>
      </c>
      <c r="S47">
        <v>4</v>
      </c>
      <c r="T47">
        <v>556.35468246023754</v>
      </c>
      <c r="U47">
        <v>3</v>
      </c>
      <c r="V47">
        <v>0.27724311352155651</v>
      </c>
      <c r="W47">
        <v>1</v>
      </c>
      <c r="X47">
        <v>0.27724311352155651</v>
      </c>
      <c r="Y47">
        <v>232</v>
      </c>
      <c r="Z47">
        <v>674.22003156100322</v>
      </c>
      <c r="AA47">
        <v>198</v>
      </c>
      <c r="AB47">
        <v>332</v>
      </c>
      <c r="AC47">
        <v>536</v>
      </c>
      <c r="AD47">
        <v>28.41</v>
      </c>
      <c r="AE47">
        <v>542</v>
      </c>
      <c r="AF47">
        <v>20</v>
      </c>
      <c r="AG47">
        <v>180</v>
      </c>
      <c r="AH47">
        <v>129</v>
      </c>
      <c r="AI47">
        <v>3.69</v>
      </c>
      <c r="AJ47">
        <v>33.21</v>
      </c>
      <c r="AK47">
        <v>23.8</v>
      </c>
      <c r="AL47">
        <v>-20.176226899999961</v>
      </c>
      <c r="AM47">
        <v>-44.880527903427911</v>
      </c>
      <c r="AN47">
        <v>-20.176226899999961</v>
      </c>
      <c r="AO47">
        <v>-44.880527903427911</v>
      </c>
      <c r="AP47">
        <v>-20.17606</v>
      </c>
      <c r="AQ47">
        <v>-44.880409999999998</v>
      </c>
      <c r="AR47">
        <v>22.292677247804349</v>
      </c>
      <c r="AS47" t="s">
        <v>65</v>
      </c>
      <c r="AT47">
        <v>1</v>
      </c>
      <c r="AU47" t="s">
        <v>345</v>
      </c>
      <c r="AV47" t="s">
        <v>346</v>
      </c>
      <c r="AW47" t="s">
        <v>60</v>
      </c>
      <c r="AX47" t="s">
        <v>68</v>
      </c>
      <c r="AY47" t="s">
        <v>69</v>
      </c>
      <c r="AZ47" t="b">
        <v>1</v>
      </c>
    </row>
    <row r="48" spans="1:52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190</v>
      </c>
      <c r="G48" t="s">
        <v>347</v>
      </c>
      <c r="H48" t="s">
        <v>348</v>
      </c>
      <c r="I48" t="s">
        <v>348</v>
      </c>
      <c r="J48" t="s">
        <v>60</v>
      </c>
      <c r="K48" t="s">
        <v>157</v>
      </c>
      <c r="L48" t="s">
        <v>62</v>
      </c>
      <c r="M48" t="s">
        <v>157</v>
      </c>
      <c r="N48" t="s">
        <v>349</v>
      </c>
      <c r="O48" t="s">
        <v>350</v>
      </c>
      <c r="P48">
        <v>-20.171206999999999</v>
      </c>
      <c r="Q48">
        <v>-44.881143999999999</v>
      </c>
      <c r="R48" s="2" t="str">
        <f>HYPERLINK("https://www.google.com/maps?q=-20.1712070,-44.8811440","Abrir no Google Maps")</f>
        <v>Abrir no Google Maps</v>
      </c>
      <c r="S48">
        <v>4</v>
      </c>
      <c r="T48">
        <v>0</v>
      </c>
      <c r="U48">
        <v>3</v>
      </c>
      <c r="V48">
        <v>0.2905842413959201</v>
      </c>
      <c r="W48">
        <v>1</v>
      </c>
      <c r="X48">
        <v>0.2905842413959201</v>
      </c>
      <c r="Y48">
        <v>232</v>
      </c>
      <c r="Z48">
        <v>184.81719774496389</v>
      </c>
      <c r="AA48">
        <v>198</v>
      </c>
      <c r="AB48">
        <v>332</v>
      </c>
      <c r="AC48">
        <v>536</v>
      </c>
      <c r="AD48">
        <v>28.41</v>
      </c>
      <c r="AE48">
        <v>542</v>
      </c>
      <c r="AF48">
        <v>20</v>
      </c>
      <c r="AG48">
        <v>180</v>
      </c>
      <c r="AH48">
        <v>129</v>
      </c>
      <c r="AI48">
        <v>3.69</v>
      </c>
      <c r="AJ48">
        <v>33.21</v>
      </c>
      <c r="AK48">
        <v>23.8</v>
      </c>
      <c r="AL48">
        <v>-20.171229949999969</v>
      </c>
      <c r="AM48">
        <v>-44.881113944480241</v>
      </c>
      <c r="AN48">
        <v>-20.171229949999969</v>
      </c>
      <c r="AO48">
        <v>-44.881113944480241</v>
      </c>
      <c r="AP48">
        <v>-20.171206999999999</v>
      </c>
      <c r="AQ48">
        <v>-44.881143999999999</v>
      </c>
      <c r="AR48">
        <v>4.0484763362859333</v>
      </c>
      <c r="AS48" t="s">
        <v>65</v>
      </c>
      <c r="AT48">
        <v>1</v>
      </c>
      <c r="AU48" t="s">
        <v>351</v>
      </c>
      <c r="AV48" t="s">
        <v>352</v>
      </c>
      <c r="AW48" t="s">
        <v>60</v>
      </c>
      <c r="AX48" t="s">
        <v>68</v>
      </c>
      <c r="AY48" t="s">
        <v>69</v>
      </c>
      <c r="AZ48" t="b">
        <v>1</v>
      </c>
    </row>
    <row r="49" spans="1:52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190</v>
      </c>
      <c r="G49" t="s">
        <v>353</v>
      </c>
      <c r="H49" t="s">
        <v>354</v>
      </c>
      <c r="I49" t="s">
        <v>354</v>
      </c>
      <c r="J49" t="s">
        <v>60</v>
      </c>
      <c r="K49" t="s">
        <v>355</v>
      </c>
      <c r="L49" t="s">
        <v>62</v>
      </c>
      <c r="M49" t="s">
        <v>355</v>
      </c>
      <c r="N49" t="s">
        <v>356</v>
      </c>
      <c r="O49" t="s">
        <v>357</v>
      </c>
      <c r="P49">
        <v>-20.147373999999999</v>
      </c>
      <c r="Q49">
        <v>-44.875141999999997</v>
      </c>
      <c r="R49" s="2" t="str">
        <f>HYPERLINK("https://www.google.com/maps?q=-20.1473740,-44.8751420","Abrir no Google Maps")</f>
        <v>Abrir no Google Maps</v>
      </c>
      <c r="S49">
        <v>4</v>
      </c>
      <c r="T49">
        <v>394.29708169591709</v>
      </c>
      <c r="U49">
        <v>3</v>
      </c>
      <c r="V49">
        <v>0.28852385244663697</v>
      </c>
      <c r="W49">
        <v>1</v>
      </c>
      <c r="X49">
        <v>0.28852385244663697</v>
      </c>
      <c r="Y49">
        <v>209</v>
      </c>
      <c r="Z49">
        <v>326.95034461828868</v>
      </c>
      <c r="AA49">
        <v>198</v>
      </c>
      <c r="AB49">
        <v>332</v>
      </c>
      <c r="AC49">
        <v>536</v>
      </c>
      <c r="AD49">
        <v>28.41</v>
      </c>
      <c r="AE49">
        <v>542</v>
      </c>
      <c r="AF49">
        <v>20</v>
      </c>
      <c r="AG49">
        <v>180</v>
      </c>
      <c r="AH49">
        <v>129</v>
      </c>
      <c r="AI49">
        <v>3.69</v>
      </c>
      <c r="AJ49">
        <v>33.21</v>
      </c>
      <c r="AK49">
        <v>23.8</v>
      </c>
      <c r="AL49">
        <v>-20.147207999999949</v>
      </c>
      <c r="AM49">
        <v>-44.875152120336942</v>
      </c>
      <c r="AN49">
        <v>-20.147207999999949</v>
      </c>
      <c r="AO49">
        <v>-44.875152120336942</v>
      </c>
      <c r="AP49">
        <v>-20.147373999999999</v>
      </c>
      <c r="AQ49">
        <v>-44.875141999999997</v>
      </c>
      <c r="AR49">
        <v>18.509363081081169</v>
      </c>
      <c r="AS49" t="s">
        <v>65</v>
      </c>
      <c r="AT49">
        <v>1</v>
      </c>
      <c r="AU49" t="s">
        <v>358</v>
      </c>
      <c r="AV49" t="s">
        <v>359</v>
      </c>
      <c r="AW49" t="s">
        <v>60</v>
      </c>
      <c r="AX49" t="s">
        <v>68</v>
      </c>
      <c r="AY49" t="s">
        <v>69</v>
      </c>
      <c r="AZ49" t="b">
        <v>1</v>
      </c>
    </row>
    <row r="50" spans="1:52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190</v>
      </c>
      <c r="G50" t="s">
        <v>360</v>
      </c>
      <c r="H50" t="s">
        <v>361</v>
      </c>
      <c r="I50" t="s">
        <v>361</v>
      </c>
      <c r="J50" t="s">
        <v>60</v>
      </c>
      <c r="K50" t="s">
        <v>362</v>
      </c>
      <c r="L50" t="s">
        <v>62</v>
      </c>
      <c r="M50" t="s">
        <v>362</v>
      </c>
      <c r="N50" t="s">
        <v>363</v>
      </c>
      <c r="O50" t="s">
        <v>235</v>
      </c>
      <c r="P50">
        <v>-20.143716999999999</v>
      </c>
      <c r="Q50">
        <v>-44.875278000000002</v>
      </c>
      <c r="R50" s="2" t="str">
        <f>HYPERLINK("https://www.google.com/maps?q=-20.1437170,-44.8752780","Abrir no Google Maps")</f>
        <v>Abrir no Google Maps</v>
      </c>
      <c r="S50">
        <v>4</v>
      </c>
      <c r="T50">
        <v>0</v>
      </c>
      <c r="U50">
        <v>3</v>
      </c>
      <c r="V50">
        <v>0.28450978444570629</v>
      </c>
      <c r="W50">
        <v>1</v>
      </c>
      <c r="X50">
        <v>0.28450978444570629</v>
      </c>
      <c r="Y50">
        <v>209</v>
      </c>
      <c r="Z50">
        <v>121.8438559354383</v>
      </c>
      <c r="AA50">
        <v>198</v>
      </c>
      <c r="AB50">
        <v>332</v>
      </c>
      <c r="AC50">
        <v>536</v>
      </c>
      <c r="AD50">
        <v>28.41</v>
      </c>
      <c r="AE50">
        <v>542</v>
      </c>
      <c r="AF50">
        <v>20</v>
      </c>
      <c r="AG50">
        <v>180</v>
      </c>
      <c r="AH50">
        <v>129</v>
      </c>
      <c r="AI50">
        <v>3.69</v>
      </c>
      <c r="AJ50">
        <v>33.21</v>
      </c>
      <c r="AK50">
        <v>23.8</v>
      </c>
      <c r="AL50">
        <v>-20.143665999999961</v>
      </c>
      <c r="AM50">
        <v>-44.875561853046079</v>
      </c>
      <c r="AN50">
        <v>-20.143665999999961</v>
      </c>
      <c r="AO50">
        <v>-44.875561853046079</v>
      </c>
      <c r="AP50">
        <v>-20.143716999999999</v>
      </c>
      <c r="AQ50">
        <v>-44.875278000000002</v>
      </c>
      <c r="AR50">
        <v>30.20407282671313</v>
      </c>
      <c r="AS50" t="s">
        <v>65</v>
      </c>
      <c r="AT50">
        <v>1</v>
      </c>
      <c r="AU50" t="s">
        <v>364</v>
      </c>
      <c r="AV50" t="s">
        <v>365</v>
      </c>
      <c r="AW50" t="s">
        <v>60</v>
      </c>
      <c r="AX50" t="s">
        <v>68</v>
      </c>
      <c r="AY50" t="s">
        <v>69</v>
      </c>
      <c r="AZ50" t="b">
        <v>1</v>
      </c>
    </row>
    <row r="51" spans="1:52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190</v>
      </c>
      <c r="G51" t="s">
        <v>366</v>
      </c>
      <c r="H51" t="s">
        <v>367</v>
      </c>
      <c r="I51" t="s">
        <v>367</v>
      </c>
      <c r="J51" t="s">
        <v>60</v>
      </c>
      <c r="K51" t="s">
        <v>368</v>
      </c>
      <c r="L51" t="s">
        <v>62</v>
      </c>
      <c r="M51" t="s">
        <v>368</v>
      </c>
      <c r="N51" t="s">
        <v>369</v>
      </c>
      <c r="O51" t="s">
        <v>370</v>
      </c>
      <c r="P51">
        <v>-20.144553999999999</v>
      </c>
      <c r="Q51">
        <v>-44.868183000000002</v>
      </c>
      <c r="R51" s="2" t="str">
        <f>HYPERLINK("https://www.google.com/maps?q=-20.1445540,-44.8681830","Abrir no Google Maps")</f>
        <v>Abrir no Google Maps</v>
      </c>
      <c r="S51">
        <v>4</v>
      </c>
      <c r="T51">
        <v>783.87848835431373</v>
      </c>
      <c r="U51">
        <v>3</v>
      </c>
      <c r="V51">
        <v>0.2934654013200888</v>
      </c>
      <c r="W51">
        <v>1</v>
      </c>
      <c r="X51">
        <v>0.2934654013200888</v>
      </c>
      <c r="Y51">
        <v>198</v>
      </c>
      <c r="Z51">
        <v>360.68413994394842</v>
      </c>
      <c r="AA51">
        <v>198</v>
      </c>
      <c r="AB51">
        <v>332</v>
      </c>
      <c r="AC51">
        <v>536</v>
      </c>
      <c r="AD51">
        <v>28.41</v>
      </c>
      <c r="AE51">
        <v>542</v>
      </c>
      <c r="AF51">
        <v>20</v>
      </c>
      <c r="AG51">
        <v>180</v>
      </c>
      <c r="AH51">
        <v>129</v>
      </c>
      <c r="AI51">
        <v>3.69</v>
      </c>
      <c r="AJ51">
        <v>33.21</v>
      </c>
      <c r="AK51">
        <v>23.8</v>
      </c>
      <c r="AL51">
        <v>-20.144487399999949</v>
      </c>
      <c r="AM51">
        <v>-44.868111936674481</v>
      </c>
      <c r="AN51">
        <v>-20.144487399999939</v>
      </c>
      <c r="AO51">
        <v>-44.868111936674481</v>
      </c>
      <c r="AP51">
        <v>-20.144553999999999</v>
      </c>
      <c r="AQ51">
        <v>-44.868183000000002</v>
      </c>
      <c r="AR51">
        <v>10.49400387332288</v>
      </c>
      <c r="AS51" t="s">
        <v>65</v>
      </c>
      <c r="AT51">
        <v>1</v>
      </c>
      <c r="AU51" t="s">
        <v>371</v>
      </c>
      <c r="AV51" t="s">
        <v>372</v>
      </c>
      <c r="AW51" t="s">
        <v>60</v>
      </c>
      <c r="AX51" t="s">
        <v>68</v>
      </c>
      <c r="AY51" t="s">
        <v>69</v>
      </c>
      <c r="AZ51" t="b">
        <v>1</v>
      </c>
    </row>
    <row r="52" spans="1:52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190</v>
      </c>
      <c r="G52" t="s">
        <v>373</v>
      </c>
      <c r="H52" t="s">
        <v>374</v>
      </c>
      <c r="I52" t="s">
        <v>374</v>
      </c>
      <c r="J52" t="s">
        <v>60</v>
      </c>
      <c r="K52" t="s">
        <v>375</v>
      </c>
      <c r="L52" t="s">
        <v>62</v>
      </c>
      <c r="M52" t="s">
        <v>375</v>
      </c>
      <c r="N52" t="s">
        <v>376</v>
      </c>
      <c r="O52" t="s">
        <v>377</v>
      </c>
      <c r="P52">
        <v>-20.178172</v>
      </c>
      <c r="Q52">
        <v>-44.882871999999999</v>
      </c>
      <c r="R52" s="2" t="str">
        <f>HYPERLINK("https://www.google.com/maps?q=-20.1781720,-44.8828720","Abrir no Google Maps")</f>
        <v>Abrir no Google Maps</v>
      </c>
      <c r="S52">
        <v>4</v>
      </c>
      <c r="T52">
        <v>817.23317190190858</v>
      </c>
      <c r="U52">
        <v>3</v>
      </c>
      <c r="V52">
        <v>0.28163071701148429</v>
      </c>
      <c r="W52">
        <v>1</v>
      </c>
      <c r="X52">
        <v>0.28163071701148429</v>
      </c>
      <c r="Y52">
        <v>101</v>
      </c>
      <c r="Z52">
        <v>845.03006728789421</v>
      </c>
      <c r="AA52">
        <v>198</v>
      </c>
      <c r="AB52">
        <v>332</v>
      </c>
      <c r="AC52">
        <v>536</v>
      </c>
      <c r="AD52">
        <v>28.41</v>
      </c>
      <c r="AE52">
        <v>542</v>
      </c>
      <c r="AF52">
        <v>20</v>
      </c>
      <c r="AG52">
        <v>180</v>
      </c>
      <c r="AH52">
        <v>129</v>
      </c>
      <c r="AI52">
        <v>3.69</v>
      </c>
      <c r="AJ52">
        <v>33.21</v>
      </c>
      <c r="AK52">
        <v>23.8</v>
      </c>
      <c r="AL52">
        <v>-20.178380049999959</v>
      </c>
      <c r="AM52">
        <v>-44.883070555357122</v>
      </c>
      <c r="AN52">
        <v>-20.178380049999959</v>
      </c>
      <c r="AO52">
        <v>-44.883070555357122</v>
      </c>
      <c r="AP52">
        <v>-20.178172</v>
      </c>
      <c r="AQ52">
        <v>-44.882871999999999</v>
      </c>
      <c r="AR52">
        <v>31.093588149250511</v>
      </c>
      <c r="AS52" t="s">
        <v>65</v>
      </c>
      <c r="AT52">
        <v>1</v>
      </c>
      <c r="AU52" t="s">
        <v>378</v>
      </c>
      <c r="AV52" t="s">
        <v>379</v>
      </c>
      <c r="AW52" t="s">
        <v>60</v>
      </c>
      <c r="AX52" t="s">
        <v>68</v>
      </c>
      <c r="AY52" t="s">
        <v>69</v>
      </c>
      <c r="AZ52" t="b">
        <v>1</v>
      </c>
    </row>
    <row r="53" spans="1:52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190</v>
      </c>
      <c r="G53" t="s">
        <v>380</v>
      </c>
      <c r="H53" t="s">
        <v>381</v>
      </c>
      <c r="I53" t="s">
        <v>381</v>
      </c>
      <c r="J53" t="s">
        <v>60</v>
      </c>
      <c r="K53" t="s">
        <v>72</v>
      </c>
      <c r="L53" t="s">
        <v>62</v>
      </c>
      <c r="M53" t="s">
        <v>72</v>
      </c>
      <c r="N53" t="s">
        <v>382</v>
      </c>
      <c r="O53" t="s">
        <v>383</v>
      </c>
      <c r="P53">
        <v>-20.147182000000001</v>
      </c>
      <c r="Q53">
        <v>-44.912728999999999</v>
      </c>
      <c r="R53" s="2" t="str">
        <f>HYPERLINK("https://www.google.com/maps?q=-20.1471820,-44.9127290","Abrir no Google Maps")</f>
        <v>Abrir no Google Maps</v>
      </c>
      <c r="S53">
        <v>3</v>
      </c>
      <c r="T53">
        <v>478.0141981540923</v>
      </c>
      <c r="U53">
        <v>4</v>
      </c>
      <c r="V53">
        <v>0.29754290594345378</v>
      </c>
      <c r="W53">
        <v>1</v>
      </c>
      <c r="X53">
        <v>0.29754290594345378</v>
      </c>
      <c r="Y53">
        <v>747</v>
      </c>
      <c r="Z53">
        <v>494.0254290673729</v>
      </c>
      <c r="AA53">
        <v>198</v>
      </c>
      <c r="AB53">
        <v>332</v>
      </c>
      <c r="AC53">
        <v>536</v>
      </c>
      <c r="AD53">
        <v>28.41</v>
      </c>
      <c r="AE53">
        <v>542</v>
      </c>
      <c r="AF53">
        <v>20</v>
      </c>
      <c r="AG53">
        <v>180</v>
      </c>
      <c r="AH53">
        <v>129</v>
      </c>
      <c r="AI53">
        <v>3.69</v>
      </c>
      <c r="AJ53">
        <v>33.21</v>
      </c>
      <c r="AK53">
        <v>23.8</v>
      </c>
      <c r="AL53">
        <v>-20.147375599999979</v>
      </c>
      <c r="AM53">
        <v>-44.912907472879468</v>
      </c>
      <c r="AN53">
        <v>-20.147375599999979</v>
      </c>
      <c r="AO53">
        <v>-44.912907472879468</v>
      </c>
      <c r="AP53">
        <v>-20.147182000000001</v>
      </c>
      <c r="AQ53">
        <v>-44.912728999999999</v>
      </c>
      <c r="AR53">
        <v>28.50197694184326</v>
      </c>
      <c r="AS53" t="s">
        <v>65</v>
      </c>
      <c r="AT53">
        <v>1</v>
      </c>
      <c r="AU53" t="s">
        <v>384</v>
      </c>
      <c r="AV53" t="s">
        <v>385</v>
      </c>
      <c r="AW53" t="s">
        <v>60</v>
      </c>
      <c r="AX53" t="s">
        <v>68</v>
      </c>
      <c r="AY53" t="s">
        <v>69</v>
      </c>
      <c r="AZ53" t="b">
        <v>1</v>
      </c>
    </row>
    <row r="54" spans="1:52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190</v>
      </c>
      <c r="G54" t="s">
        <v>386</v>
      </c>
      <c r="H54" t="s">
        <v>387</v>
      </c>
      <c r="I54" t="s">
        <v>387</v>
      </c>
      <c r="J54" t="s">
        <v>60</v>
      </c>
      <c r="K54" t="s">
        <v>388</v>
      </c>
      <c r="L54" t="s">
        <v>62</v>
      </c>
      <c r="M54" t="s">
        <v>388</v>
      </c>
      <c r="N54" t="s">
        <v>389</v>
      </c>
      <c r="O54" t="s">
        <v>357</v>
      </c>
      <c r="P54">
        <v>-20.161041999999998</v>
      </c>
      <c r="Q54">
        <v>-44.901242000000003</v>
      </c>
      <c r="R54" s="2" t="str">
        <f>HYPERLINK("https://www.google.com/maps?q=-20.1610420,-44.9012420","Abrir no Google Maps")</f>
        <v>Abrir no Google Maps</v>
      </c>
      <c r="S54">
        <v>3</v>
      </c>
      <c r="T54">
        <v>440.22183232279212</v>
      </c>
      <c r="U54">
        <v>4</v>
      </c>
      <c r="V54">
        <v>0.29877781759497568</v>
      </c>
      <c r="W54">
        <v>1</v>
      </c>
      <c r="X54">
        <v>0.29877781759497568</v>
      </c>
      <c r="Y54">
        <v>729</v>
      </c>
      <c r="Z54">
        <v>398.48306829302379</v>
      </c>
      <c r="AA54">
        <v>198</v>
      </c>
      <c r="AB54">
        <v>332</v>
      </c>
      <c r="AC54">
        <v>536</v>
      </c>
      <c r="AD54">
        <v>28.41</v>
      </c>
      <c r="AE54">
        <v>542</v>
      </c>
      <c r="AF54">
        <v>20</v>
      </c>
      <c r="AG54">
        <v>180</v>
      </c>
      <c r="AH54">
        <v>129</v>
      </c>
      <c r="AI54">
        <v>3.69</v>
      </c>
      <c r="AJ54">
        <v>33.21</v>
      </c>
      <c r="AK54">
        <v>23.8</v>
      </c>
      <c r="AL54">
        <v>-20.16176629999995</v>
      </c>
      <c r="AM54">
        <v>-44.901582787827898</v>
      </c>
      <c r="AN54">
        <v>-20.16176629999995</v>
      </c>
      <c r="AO54">
        <v>-44.901582787827898</v>
      </c>
      <c r="AP54">
        <v>-20.161041999999998</v>
      </c>
      <c r="AQ54">
        <v>-44.901242000000003</v>
      </c>
      <c r="AR54">
        <v>88.143369157892835</v>
      </c>
      <c r="AS54" t="s">
        <v>65</v>
      </c>
      <c r="AT54">
        <v>1</v>
      </c>
      <c r="AU54" t="s">
        <v>390</v>
      </c>
      <c r="AV54" t="s">
        <v>391</v>
      </c>
      <c r="AW54" t="s">
        <v>60</v>
      </c>
      <c r="AX54" t="s">
        <v>68</v>
      </c>
      <c r="AY54" t="s">
        <v>69</v>
      </c>
      <c r="AZ54" t="b">
        <v>1</v>
      </c>
    </row>
    <row r="55" spans="1:52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190</v>
      </c>
      <c r="G55" t="s">
        <v>392</v>
      </c>
      <c r="H55" t="s">
        <v>393</v>
      </c>
      <c r="I55" t="s">
        <v>393</v>
      </c>
      <c r="J55" t="s">
        <v>60</v>
      </c>
      <c r="K55" t="s">
        <v>388</v>
      </c>
      <c r="L55" t="s">
        <v>62</v>
      </c>
      <c r="M55" t="s">
        <v>388</v>
      </c>
      <c r="N55" t="s">
        <v>394</v>
      </c>
      <c r="O55" t="s">
        <v>395</v>
      </c>
      <c r="P55">
        <v>-20.158066999999999</v>
      </c>
      <c r="Q55">
        <v>-44.908164999999997</v>
      </c>
      <c r="R55" s="2" t="str">
        <f>HYPERLINK("https://www.google.com/maps?q=-20.1580670,-44.9081650","Abrir no Google Maps")</f>
        <v>Abrir no Google Maps</v>
      </c>
      <c r="S55">
        <v>3</v>
      </c>
      <c r="T55">
        <v>666.74434317993041</v>
      </c>
      <c r="U55">
        <v>4</v>
      </c>
      <c r="V55">
        <v>0.30411961935003551</v>
      </c>
      <c r="W55">
        <v>1</v>
      </c>
      <c r="X55">
        <v>0.30411961935003551</v>
      </c>
      <c r="Y55">
        <v>729</v>
      </c>
      <c r="Z55">
        <v>612.4323328215396</v>
      </c>
      <c r="AA55">
        <v>198</v>
      </c>
      <c r="AB55">
        <v>332</v>
      </c>
      <c r="AC55">
        <v>536</v>
      </c>
      <c r="AD55">
        <v>28.41</v>
      </c>
      <c r="AE55">
        <v>542</v>
      </c>
      <c r="AF55">
        <v>20</v>
      </c>
      <c r="AG55">
        <v>180</v>
      </c>
      <c r="AH55">
        <v>129</v>
      </c>
      <c r="AI55">
        <v>3.69</v>
      </c>
      <c r="AJ55">
        <v>33.21</v>
      </c>
      <c r="AK55">
        <v>23.8</v>
      </c>
      <c r="AL55">
        <v>-20.158151449999959</v>
      </c>
      <c r="AM55">
        <v>-44.908107718360938</v>
      </c>
      <c r="AN55">
        <v>-20.158151449999959</v>
      </c>
      <c r="AO55">
        <v>-44.908107718360938</v>
      </c>
      <c r="AP55">
        <v>-20.158066999999999</v>
      </c>
      <c r="AQ55">
        <v>-44.908164999999997</v>
      </c>
      <c r="AR55">
        <v>11.14497345894574</v>
      </c>
      <c r="AS55" t="s">
        <v>65</v>
      </c>
      <c r="AT55">
        <v>1</v>
      </c>
      <c r="AU55" t="s">
        <v>396</v>
      </c>
      <c r="AV55" t="s">
        <v>397</v>
      </c>
      <c r="AW55" t="s">
        <v>60</v>
      </c>
      <c r="AX55" t="s">
        <v>68</v>
      </c>
      <c r="AY55" t="s">
        <v>69</v>
      </c>
      <c r="AZ55" t="b">
        <v>1</v>
      </c>
    </row>
    <row r="56" spans="1:52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190</v>
      </c>
      <c r="G56" t="s">
        <v>398</v>
      </c>
      <c r="H56" t="s">
        <v>399</v>
      </c>
      <c r="I56" t="s">
        <v>399</v>
      </c>
      <c r="J56" t="s">
        <v>60</v>
      </c>
      <c r="K56" t="s">
        <v>388</v>
      </c>
      <c r="L56" t="s">
        <v>62</v>
      </c>
      <c r="M56" t="s">
        <v>388</v>
      </c>
      <c r="N56" t="s">
        <v>400</v>
      </c>
      <c r="O56" t="s">
        <v>401</v>
      </c>
      <c r="P56">
        <v>-20.160157000000002</v>
      </c>
      <c r="Q56">
        <v>-44.904347999999999</v>
      </c>
      <c r="R56" s="2" t="str">
        <f>HYPERLINK("https://www.google.com/maps?q=-20.1601570,-44.9043480","Abrir no Google Maps")</f>
        <v>Abrir no Google Maps</v>
      </c>
      <c r="S56">
        <v>3</v>
      </c>
      <c r="T56">
        <v>469.26088527154809</v>
      </c>
      <c r="U56">
        <v>4</v>
      </c>
      <c r="V56">
        <v>0.31783577415051201</v>
      </c>
      <c r="W56">
        <v>1</v>
      </c>
      <c r="X56">
        <v>0.31783577415051201</v>
      </c>
      <c r="Y56">
        <v>729</v>
      </c>
      <c r="Z56">
        <v>253.57832452309071</v>
      </c>
      <c r="AA56">
        <v>198</v>
      </c>
      <c r="AB56">
        <v>332</v>
      </c>
      <c r="AC56">
        <v>536</v>
      </c>
      <c r="AD56">
        <v>28.41</v>
      </c>
      <c r="AE56">
        <v>542</v>
      </c>
      <c r="AF56">
        <v>20</v>
      </c>
      <c r="AG56">
        <v>180</v>
      </c>
      <c r="AH56">
        <v>129</v>
      </c>
      <c r="AI56">
        <v>3.69</v>
      </c>
      <c r="AJ56">
        <v>33.21</v>
      </c>
      <c r="AK56">
        <v>23.8</v>
      </c>
      <c r="AL56">
        <v>-20.160007949999969</v>
      </c>
      <c r="AM56">
        <v>-44.904396608560482</v>
      </c>
      <c r="AN56">
        <v>-20.160007949999969</v>
      </c>
      <c r="AO56">
        <v>-44.904396608560482</v>
      </c>
      <c r="AP56">
        <v>-20.160157000000002</v>
      </c>
      <c r="AQ56">
        <v>-44.904347999999999</v>
      </c>
      <c r="AR56">
        <v>17.35237255387942</v>
      </c>
      <c r="AS56" t="s">
        <v>65</v>
      </c>
      <c r="AT56">
        <v>1</v>
      </c>
      <c r="AU56" t="s">
        <v>402</v>
      </c>
      <c r="AV56" t="s">
        <v>403</v>
      </c>
      <c r="AW56" t="s">
        <v>60</v>
      </c>
      <c r="AX56" t="s">
        <v>68</v>
      </c>
      <c r="AY56" t="s">
        <v>69</v>
      </c>
      <c r="AZ56" t="b">
        <v>1</v>
      </c>
    </row>
    <row r="57" spans="1:52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190</v>
      </c>
      <c r="G57" t="s">
        <v>404</v>
      </c>
      <c r="H57" t="s">
        <v>405</v>
      </c>
      <c r="I57" t="s">
        <v>405</v>
      </c>
      <c r="J57" t="s">
        <v>60</v>
      </c>
      <c r="K57" t="s">
        <v>388</v>
      </c>
      <c r="L57" t="s">
        <v>62</v>
      </c>
      <c r="M57" t="s">
        <v>388</v>
      </c>
      <c r="N57" t="s">
        <v>406</v>
      </c>
      <c r="O57" t="s">
        <v>407</v>
      </c>
      <c r="P57">
        <v>-20.162780999999999</v>
      </c>
      <c r="Q57">
        <v>-44.904437999999999</v>
      </c>
      <c r="R57" s="2" t="str">
        <f>HYPERLINK("https://www.google.com/maps?q=-20.1627810,-44.9044380","Abrir no Google Maps")</f>
        <v>Abrir no Google Maps</v>
      </c>
      <c r="S57">
        <v>3</v>
      </c>
      <c r="T57">
        <v>681.0891377731482</v>
      </c>
      <c r="U57">
        <v>4</v>
      </c>
      <c r="V57">
        <v>0.33018177622703471</v>
      </c>
      <c r="W57">
        <v>1</v>
      </c>
      <c r="X57">
        <v>0.33018177622703471</v>
      </c>
      <c r="Y57">
        <v>729</v>
      </c>
      <c r="Z57">
        <v>564.17713687218622</v>
      </c>
      <c r="AA57">
        <v>198</v>
      </c>
      <c r="AB57">
        <v>332</v>
      </c>
      <c r="AC57">
        <v>536</v>
      </c>
      <c r="AD57">
        <v>28.41</v>
      </c>
      <c r="AE57">
        <v>542</v>
      </c>
      <c r="AF57">
        <v>20</v>
      </c>
      <c r="AG57">
        <v>180</v>
      </c>
      <c r="AH57">
        <v>129</v>
      </c>
      <c r="AI57">
        <v>3.69</v>
      </c>
      <c r="AJ57">
        <v>33.21</v>
      </c>
      <c r="AK57">
        <v>23.8</v>
      </c>
      <c r="AL57">
        <v>-20.16295434999995</v>
      </c>
      <c r="AM57">
        <v>-44.904242686956152</v>
      </c>
      <c r="AN57">
        <v>-20.16295434999995</v>
      </c>
      <c r="AO57">
        <v>-44.904242686956152</v>
      </c>
      <c r="AP57">
        <v>-20.162780999999999</v>
      </c>
      <c r="AQ57">
        <v>-44.904437999999999</v>
      </c>
      <c r="AR57">
        <v>28.088191280523411</v>
      </c>
      <c r="AS57" t="s">
        <v>65</v>
      </c>
      <c r="AT57">
        <v>1</v>
      </c>
      <c r="AU57" t="s">
        <v>408</v>
      </c>
      <c r="AV57" t="s">
        <v>409</v>
      </c>
      <c r="AW57" t="s">
        <v>60</v>
      </c>
      <c r="AX57" t="s">
        <v>68</v>
      </c>
      <c r="AY57" t="s">
        <v>69</v>
      </c>
      <c r="AZ57" t="b">
        <v>1</v>
      </c>
    </row>
    <row r="58" spans="1:52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190</v>
      </c>
      <c r="G58" t="s">
        <v>410</v>
      </c>
      <c r="H58" t="s">
        <v>411</v>
      </c>
      <c r="I58" t="s">
        <v>411</v>
      </c>
      <c r="J58" t="s">
        <v>60</v>
      </c>
      <c r="K58" t="s">
        <v>388</v>
      </c>
      <c r="L58" t="s">
        <v>62</v>
      </c>
      <c r="M58" t="s">
        <v>388</v>
      </c>
      <c r="N58" t="s">
        <v>412</v>
      </c>
      <c r="O58" t="s">
        <v>413</v>
      </c>
      <c r="P58">
        <v>-20.161394000000001</v>
      </c>
      <c r="Q58">
        <v>-44.906725999999999</v>
      </c>
      <c r="R58" s="2" t="str">
        <f>HYPERLINK("https://www.google.com/maps?q=-20.1613940,-44.9067260","Abrir no Google Maps")</f>
        <v>Abrir no Google Maps</v>
      </c>
      <c r="S58">
        <v>3</v>
      </c>
      <c r="T58">
        <v>763.68157548493457</v>
      </c>
      <c r="U58">
        <v>4</v>
      </c>
      <c r="V58">
        <v>0.3185201190573923</v>
      </c>
      <c r="W58">
        <v>1</v>
      </c>
      <c r="X58">
        <v>0.3185201190573923</v>
      </c>
      <c r="Y58">
        <v>729</v>
      </c>
      <c r="Z58">
        <v>551.70379325948545</v>
      </c>
      <c r="AA58">
        <v>198</v>
      </c>
      <c r="AB58">
        <v>332</v>
      </c>
      <c r="AC58">
        <v>536</v>
      </c>
      <c r="AD58">
        <v>28.41</v>
      </c>
      <c r="AE58">
        <v>542</v>
      </c>
      <c r="AF58">
        <v>20</v>
      </c>
      <c r="AG58">
        <v>180</v>
      </c>
      <c r="AH58">
        <v>129</v>
      </c>
      <c r="AI58">
        <v>3.69</v>
      </c>
      <c r="AJ58">
        <v>33.21</v>
      </c>
      <c r="AK58">
        <v>23.8</v>
      </c>
      <c r="AL58">
        <v>-20.161371049999929</v>
      </c>
      <c r="AM58">
        <v>-44.906816797310228</v>
      </c>
      <c r="AN58">
        <v>-20.161371049999929</v>
      </c>
      <c r="AO58">
        <v>-44.906816797310228</v>
      </c>
      <c r="AP58">
        <v>-20.161394000000001</v>
      </c>
      <c r="AQ58">
        <v>-44.906725999999999</v>
      </c>
      <c r="AR58">
        <v>9.8261555662022495</v>
      </c>
      <c r="AS58" t="s">
        <v>65</v>
      </c>
      <c r="AT58">
        <v>1</v>
      </c>
      <c r="AU58" t="s">
        <v>414</v>
      </c>
      <c r="AV58" t="s">
        <v>415</v>
      </c>
      <c r="AW58" t="s">
        <v>60</v>
      </c>
      <c r="AX58" t="s">
        <v>68</v>
      </c>
      <c r="AY58" t="s">
        <v>69</v>
      </c>
      <c r="AZ58" t="b">
        <v>1</v>
      </c>
    </row>
    <row r="59" spans="1:52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190</v>
      </c>
      <c r="G59" t="s">
        <v>416</v>
      </c>
      <c r="H59" t="s">
        <v>417</v>
      </c>
      <c r="I59" t="s">
        <v>417</v>
      </c>
      <c r="J59" t="s">
        <v>60</v>
      </c>
      <c r="K59" t="s">
        <v>418</v>
      </c>
      <c r="L59" t="s">
        <v>62</v>
      </c>
      <c r="M59" t="s">
        <v>418</v>
      </c>
      <c r="N59" t="s">
        <v>419</v>
      </c>
      <c r="O59" t="s">
        <v>202</v>
      </c>
      <c r="P59">
        <v>-20.169886000000002</v>
      </c>
      <c r="Q59">
        <v>-44.913288000000001</v>
      </c>
      <c r="R59" s="2" t="str">
        <f>HYPERLINK("https://www.google.com/maps?q=-20.1698860,-44.9132880","Abrir no Google Maps")</f>
        <v>Abrir no Google Maps</v>
      </c>
      <c r="S59">
        <v>3</v>
      </c>
      <c r="T59">
        <v>422.88733632898152</v>
      </c>
      <c r="U59">
        <v>4</v>
      </c>
      <c r="V59">
        <v>0.32412159026955512</v>
      </c>
      <c r="W59">
        <v>1</v>
      </c>
      <c r="X59">
        <v>0.32412159026955512</v>
      </c>
      <c r="Y59">
        <v>723</v>
      </c>
      <c r="Z59">
        <v>128.65003864232261</v>
      </c>
      <c r="AA59">
        <v>198</v>
      </c>
      <c r="AB59">
        <v>332</v>
      </c>
      <c r="AC59">
        <v>536</v>
      </c>
      <c r="AD59">
        <v>28.41</v>
      </c>
      <c r="AE59">
        <v>542</v>
      </c>
      <c r="AF59">
        <v>20</v>
      </c>
      <c r="AG59">
        <v>180</v>
      </c>
      <c r="AH59">
        <v>129</v>
      </c>
      <c r="AI59">
        <v>3.69</v>
      </c>
      <c r="AJ59">
        <v>33.21</v>
      </c>
      <c r="AK59">
        <v>23.8</v>
      </c>
      <c r="AL59">
        <v>-20.16970024999998</v>
      </c>
      <c r="AM59">
        <v>-44.913502201257437</v>
      </c>
      <c r="AN59">
        <v>-20.16970024999998</v>
      </c>
      <c r="AO59">
        <v>-44.913502201257437</v>
      </c>
      <c r="AP59">
        <v>-20.169886000000002</v>
      </c>
      <c r="AQ59">
        <v>-44.913288000000001</v>
      </c>
      <c r="AR59">
        <v>30.47208587597606</v>
      </c>
      <c r="AS59" t="s">
        <v>65</v>
      </c>
      <c r="AT59">
        <v>1</v>
      </c>
      <c r="AU59" t="s">
        <v>420</v>
      </c>
      <c r="AV59" t="s">
        <v>421</v>
      </c>
      <c r="AW59" t="s">
        <v>60</v>
      </c>
      <c r="AX59" t="s">
        <v>68</v>
      </c>
      <c r="AY59" t="s">
        <v>69</v>
      </c>
      <c r="AZ59" t="b">
        <v>1</v>
      </c>
    </row>
    <row r="60" spans="1:52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190</v>
      </c>
      <c r="G60" t="s">
        <v>422</v>
      </c>
      <c r="H60" t="s">
        <v>423</v>
      </c>
      <c r="I60" t="s">
        <v>423</v>
      </c>
      <c r="J60" t="s">
        <v>60</v>
      </c>
      <c r="K60" t="s">
        <v>424</v>
      </c>
      <c r="L60" t="s">
        <v>62</v>
      </c>
      <c r="M60" t="s">
        <v>424</v>
      </c>
      <c r="N60" t="s">
        <v>425</v>
      </c>
      <c r="O60" t="s">
        <v>426</v>
      </c>
      <c r="P60">
        <v>-20.177748000000001</v>
      </c>
      <c r="Q60">
        <v>-44.912475000000001</v>
      </c>
      <c r="R60" s="2" t="str">
        <f>HYPERLINK("https://www.google.com/maps?q=-20.1777480,-44.9124750","Abrir no Google Maps")</f>
        <v>Abrir no Google Maps</v>
      </c>
      <c r="S60">
        <v>3</v>
      </c>
      <c r="T60">
        <v>657.07560140436533</v>
      </c>
      <c r="U60">
        <v>4</v>
      </c>
      <c r="V60">
        <v>0.30699606161885817</v>
      </c>
      <c r="W60">
        <v>1</v>
      </c>
      <c r="X60">
        <v>0.30699606161885817</v>
      </c>
      <c r="Y60">
        <v>723</v>
      </c>
      <c r="Z60">
        <v>796.94198000561175</v>
      </c>
      <c r="AA60">
        <v>198</v>
      </c>
      <c r="AB60">
        <v>332</v>
      </c>
      <c r="AC60">
        <v>536</v>
      </c>
      <c r="AD60">
        <v>28.41</v>
      </c>
      <c r="AE60">
        <v>542</v>
      </c>
      <c r="AF60">
        <v>20</v>
      </c>
      <c r="AG60">
        <v>180</v>
      </c>
      <c r="AH60">
        <v>129</v>
      </c>
      <c r="AI60">
        <v>3.69</v>
      </c>
      <c r="AJ60">
        <v>33.21</v>
      </c>
      <c r="AK60">
        <v>23.8</v>
      </c>
      <c r="AL60">
        <v>-20.177761749999949</v>
      </c>
      <c r="AM60">
        <v>-44.91263311624418</v>
      </c>
      <c r="AN60">
        <v>-20.177761749999949</v>
      </c>
      <c r="AO60">
        <v>-44.91263311624418</v>
      </c>
      <c r="AP60">
        <v>-20.177748000000001</v>
      </c>
      <c r="AQ60">
        <v>-44.912475000000001</v>
      </c>
      <c r="AR60">
        <v>16.591996803075372</v>
      </c>
      <c r="AS60" t="s">
        <v>65</v>
      </c>
      <c r="AT60">
        <v>1</v>
      </c>
      <c r="AU60" t="s">
        <v>427</v>
      </c>
      <c r="AV60" t="s">
        <v>428</v>
      </c>
      <c r="AW60" t="s">
        <v>60</v>
      </c>
      <c r="AX60" t="s">
        <v>68</v>
      </c>
      <c r="AY60" t="s">
        <v>69</v>
      </c>
      <c r="AZ60" t="b">
        <v>1</v>
      </c>
    </row>
    <row r="61" spans="1:52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190</v>
      </c>
      <c r="G61" t="s">
        <v>429</v>
      </c>
      <c r="H61" t="s">
        <v>430</v>
      </c>
      <c r="I61" t="s">
        <v>430</v>
      </c>
      <c r="J61" t="s">
        <v>60</v>
      </c>
      <c r="K61" t="s">
        <v>431</v>
      </c>
      <c r="L61" t="s">
        <v>62</v>
      </c>
      <c r="M61" t="s">
        <v>431</v>
      </c>
      <c r="N61" t="s">
        <v>432</v>
      </c>
      <c r="O61" t="s">
        <v>315</v>
      </c>
      <c r="P61">
        <v>-20.172698</v>
      </c>
      <c r="Q61">
        <v>-44.923842</v>
      </c>
      <c r="R61" s="2" t="str">
        <f>HYPERLINK("https://www.google.com/maps?q=-20.1726980,-44.9238420","Abrir no Google Maps")</f>
        <v>Abrir no Google Maps</v>
      </c>
      <c r="S61">
        <v>3</v>
      </c>
      <c r="T61">
        <v>1376.1843173402931</v>
      </c>
      <c r="U61">
        <v>4</v>
      </c>
      <c r="V61">
        <v>0.3661960693916349</v>
      </c>
      <c r="W61">
        <v>0.85</v>
      </c>
      <c r="X61">
        <v>0.31126665898288969</v>
      </c>
      <c r="Y61">
        <v>723</v>
      </c>
      <c r="Z61">
        <v>1101.340635002096</v>
      </c>
      <c r="AA61">
        <v>198</v>
      </c>
      <c r="AB61">
        <v>332</v>
      </c>
      <c r="AC61">
        <v>536</v>
      </c>
      <c r="AD61">
        <v>28.41</v>
      </c>
      <c r="AE61">
        <v>542</v>
      </c>
      <c r="AF61">
        <v>20</v>
      </c>
      <c r="AG61">
        <v>180</v>
      </c>
      <c r="AH61">
        <v>129</v>
      </c>
      <c r="AI61">
        <v>3.69</v>
      </c>
      <c r="AJ61">
        <v>33.21</v>
      </c>
      <c r="AK61">
        <v>23.8</v>
      </c>
      <c r="AL61">
        <v>-20.172942799999959</v>
      </c>
      <c r="AM61">
        <v>-44.923585372665762</v>
      </c>
      <c r="AN61">
        <v>-20.172942799999959</v>
      </c>
      <c r="AO61">
        <v>-44.923585372665762</v>
      </c>
      <c r="AP61">
        <v>-20.172698</v>
      </c>
      <c r="AQ61">
        <v>-44.923842</v>
      </c>
      <c r="AR61">
        <v>38.231981408478958</v>
      </c>
      <c r="AS61" t="s">
        <v>65</v>
      </c>
      <c r="AT61">
        <v>1</v>
      </c>
      <c r="AU61" t="s">
        <v>433</v>
      </c>
      <c r="AV61" t="s">
        <v>434</v>
      </c>
      <c r="AW61" t="s">
        <v>60</v>
      </c>
      <c r="AX61" t="s">
        <v>68</v>
      </c>
      <c r="AY61" t="s">
        <v>69</v>
      </c>
      <c r="AZ61" t="b">
        <v>1</v>
      </c>
    </row>
    <row r="62" spans="1:52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190</v>
      </c>
      <c r="G62" t="s">
        <v>435</v>
      </c>
      <c r="H62" t="s">
        <v>436</v>
      </c>
      <c r="I62" t="s">
        <v>436</v>
      </c>
      <c r="J62" t="s">
        <v>60</v>
      </c>
      <c r="K62" t="s">
        <v>437</v>
      </c>
      <c r="L62" t="s">
        <v>62</v>
      </c>
      <c r="M62" t="s">
        <v>437</v>
      </c>
      <c r="N62" t="s">
        <v>438</v>
      </c>
      <c r="O62" t="s">
        <v>439</v>
      </c>
      <c r="P62">
        <v>-20.145613000000001</v>
      </c>
      <c r="Q62">
        <v>-44.882375000000003</v>
      </c>
      <c r="R62" s="2" t="str">
        <f>HYPERLINK("https://www.google.com/maps?q=-20.1456130,-44.8823750","Abrir no Google Maps")</f>
        <v>Abrir no Google Maps</v>
      </c>
      <c r="S62">
        <v>3</v>
      </c>
      <c r="T62">
        <v>305.65092112314198</v>
      </c>
      <c r="U62">
        <v>4</v>
      </c>
      <c r="V62">
        <v>0.30517960094229268</v>
      </c>
      <c r="W62">
        <v>1</v>
      </c>
      <c r="X62">
        <v>0.30517960094229268</v>
      </c>
      <c r="Y62">
        <v>653</v>
      </c>
      <c r="Z62">
        <v>349.55297035282501</v>
      </c>
      <c r="AA62">
        <v>198</v>
      </c>
      <c r="AB62">
        <v>332</v>
      </c>
      <c r="AC62">
        <v>536</v>
      </c>
      <c r="AD62">
        <v>28.41</v>
      </c>
      <c r="AE62">
        <v>542</v>
      </c>
      <c r="AF62">
        <v>20</v>
      </c>
      <c r="AG62">
        <v>180</v>
      </c>
      <c r="AH62">
        <v>129</v>
      </c>
      <c r="AI62">
        <v>3.69</v>
      </c>
      <c r="AJ62">
        <v>33.21</v>
      </c>
      <c r="AK62">
        <v>23.8</v>
      </c>
      <c r="AL62">
        <v>-20.14550464999996</v>
      </c>
      <c r="AM62">
        <v>-44.882157007077737</v>
      </c>
      <c r="AN62">
        <v>-20.14550464999996</v>
      </c>
      <c r="AO62">
        <v>-44.882157007077737</v>
      </c>
      <c r="AP62">
        <v>-20.145613000000001</v>
      </c>
      <c r="AQ62">
        <v>-44.882375000000003</v>
      </c>
      <c r="AR62">
        <v>25.77819791856259</v>
      </c>
      <c r="AS62" t="s">
        <v>65</v>
      </c>
      <c r="AT62">
        <v>1</v>
      </c>
      <c r="AU62" t="s">
        <v>440</v>
      </c>
      <c r="AV62" t="s">
        <v>441</v>
      </c>
      <c r="AW62" t="s">
        <v>60</v>
      </c>
      <c r="AX62" t="s">
        <v>68</v>
      </c>
      <c r="AY62" t="s">
        <v>69</v>
      </c>
      <c r="AZ62" t="b">
        <v>1</v>
      </c>
    </row>
    <row r="63" spans="1:52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190</v>
      </c>
      <c r="G63" t="s">
        <v>442</v>
      </c>
      <c r="H63" t="s">
        <v>443</v>
      </c>
      <c r="I63" t="s">
        <v>443</v>
      </c>
      <c r="J63" t="s">
        <v>60</v>
      </c>
      <c r="K63" t="s">
        <v>437</v>
      </c>
      <c r="L63" t="s">
        <v>62</v>
      </c>
      <c r="M63" t="s">
        <v>437</v>
      </c>
      <c r="N63" t="s">
        <v>444</v>
      </c>
      <c r="O63" t="s">
        <v>445</v>
      </c>
      <c r="P63">
        <v>-20.149744999999999</v>
      </c>
      <c r="Q63">
        <v>-44.881385000000002</v>
      </c>
      <c r="R63" s="2" t="str">
        <f>HYPERLINK("https://www.google.com/maps?q=-20.1497450,-44.8813850","Abrir no Google Maps")</f>
        <v>Abrir no Google Maps</v>
      </c>
      <c r="S63">
        <v>3</v>
      </c>
      <c r="T63">
        <v>188.80690546111239</v>
      </c>
      <c r="U63">
        <v>4</v>
      </c>
      <c r="V63">
        <v>0.31953695200052351</v>
      </c>
      <c r="W63">
        <v>1</v>
      </c>
      <c r="X63">
        <v>0.31953695200052351</v>
      </c>
      <c r="Y63">
        <v>653</v>
      </c>
      <c r="Z63">
        <v>86.575080390731017</v>
      </c>
      <c r="AA63">
        <v>198</v>
      </c>
      <c r="AB63">
        <v>332</v>
      </c>
      <c r="AC63">
        <v>536</v>
      </c>
      <c r="AD63">
        <v>28.41</v>
      </c>
      <c r="AE63">
        <v>542</v>
      </c>
      <c r="AF63">
        <v>20</v>
      </c>
      <c r="AG63">
        <v>180</v>
      </c>
      <c r="AH63">
        <v>129</v>
      </c>
      <c r="AI63">
        <v>3.69</v>
      </c>
      <c r="AJ63">
        <v>33.21</v>
      </c>
      <c r="AK63">
        <v>23.8</v>
      </c>
      <c r="AL63">
        <v>-20.149645149999941</v>
      </c>
      <c r="AM63">
        <v>-44.881504585149607</v>
      </c>
      <c r="AN63">
        <v>-20.149645149999941</v>
      </c>
      <c r="AO63">
        <v>-44.881504585149607</v>
      </c>
      <c r="AP63">
        <v>-20.149744999999999</v>
      </c>
      <c r="AQ63">
        <v>-44.881385000000002</v>
      </c>
      <c r="AR63">
        <v>16.725323110840389</v>
      </c>
      <c r="AS63" t="s">
        <v>65</v>
      </c>
      <c r="AT63">
        <v>1</v>
      </c>
      <c r="AU63" t="s">
        <v>446</v>
      </c>
      <c r="AV63" t="s">
        <v>447</v>
      </c>
      <c r="AW63" t="s">
        <v>60</v>
      </c>
      <c r="AX63" t="s">
        <v>68</v>
      </c>
      <c r="AY63" t="s">
        <v>69</v>
      </c>
      <c r="AZ63" t="b">
        <v>1</v>
      </c>
    </row>
    <row r="64" spans="1:52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190</v>
      </c>
      <c r="G64" t="s">
        <v>448</v>
      </c>
      <c r="H64" t="s">
        <v>449</v>
      </c>
      <c r="I64" t="s">
        <v>449</v>
      </c>
      <c r="J64" t="s">
        <v>60</v>
      </c>
      <c r="K64" t="s">
        <v>388</v>
      </c>
      <c r="L64" t="s">
        <v>62</v>
      </c>
      <c r="M64" t="s">
        <v>388</v>
      </c>
      <c r="N64" t="s">
        <v>450</v>
      </c>
      <c r="O64" t="s">
        <v>451</v>
      </c>
      <c r="P64">
        <v>-20.163981</v>
      </c>
      <c r="Q64">
        <v>-44.907128999999998</v>
      </c>
      <c r="R64" s="2" t="str">
        <f>HYPERLINK("https://www.google.com/maps?q=-20.1639810,-44.9071290","Abrir no Google Maps")</f>
        <v>Abrir no Google Maps</v>
      </c>
      <c r="S64">
        <v>3</v>
      </c>
      <c r="T64">
        <v>782.50730806588319</v>
      </c>
      <c r="U64">
        <v>4</v>
      </c>
      <c r="V64">
        <v>0.32341404027987403</v>
      </c>
      <c r="W64">
        <v>1</v>
      </c>
      <c r="X64">
        <v>0.32341404027987403</v>
      </c>
      <c r="Y64">
        <v>639</v>
      </c>
      <c r="Z64">
        <v>710.90621453796166</v>
      </c>
      <c r="AA64">
        <v>198</v>
      </c>
      <c r="AB64">
        <v>332</v>
      </c>
      <c r="AC64">
        <v>536</v>
      </c>
      <c r="AD64">
        <v>28.41</v>
      </c>
      <c r="AE64">
        <v>542</v>
      </c>
      <c r="AF64">
        <v>20</v>
      </c>
      <c r="AG64">
        <v>180</v>
      </c>
      <c r="AH64">
        <v>129</v>
      </c>
      <c r="AI64">
        <v>3.69</v>
      </c>
      <c r="AJ64">
        <v>33.21</v>
      </c>
      <c r="AK64">
        <v>23.8</v>
      </c>
      <c r="AL64">
        <v>-20.163958349999969</v>
      </c>
      <c r="AM64">
        <v>-44.907180923930973</v>
      </c>
      <c r="AN64">
        <v>-20.163958349999969</v>
      </c>
      <c r="AO64">
        <v>-44.907180923930973</v>
      </c>
      <c r="AP64">
        <v>-20.163981</v>
      </c>
      <c r="AQ64">
        <v>-44.907128999999998</v>
      </c>
      <c r="AR64">
        <v>5.9831345092457884</v>
      </c>
      <c r="AS64" t="s">
        <v>65</v>
      </c>
      <c r="AT64">
        <v>1</v>
      </c>
      <c r="AU64" t="s">
        <v>452</v>
      </c>
      <c r="AV64" t="s">
        <v>453</v>
      </c>
      <c r="AW64" t="s">
        <v>60</v>
      </c>
      <c r="AX64" t="s">
        <v>68</v>
      </c>
      <c r="AY64" t="s">
        <v>69</v>
      </c>
      <c r="AZ64" t="b">
        <v>1</v>
      </c>
    </row>
    <row r="65" spans="1:52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190</v>
      </c>
      <c r="G65" t="s">
        <v>454</v>
      </c>
      <c r="H65" t="s">
        <v>455</v>
      </c>
      <c r="I65" t="s">
        <v>455</v>
      </c>
      <c r="J65" t="s">
        <v>60</v>
      </c>
      <c r="K65" t="s">
        <v>456</v>
      </c>
      <c r="L65" t="s">
        <v>62</v>
      </c>
      <c r="M65" t="s">
        <v>456</v>
      </c>
      <c r="N65" t="s">
        <v>102</v>
      </c>
      <c r="O65" t="s">
        <v>457</v>
      </c>
      <c r="P65">
        <v>-20.138373999999999</v>
      </c>
      <c r="Q65">
        <v>-44.903756999999999</v>
      </c>
      <c r="R65" s="2" t="str">
        <f>HYPERLINK("https://www.google.com/maps?q=-20.1383740,-44.9037570","Abrir no Google Maps")</f>
        <v>Abrir no Google Maps</v>
      </c>
      <c r="S65">
        <v>3</v>
      </c>
      <c r="T65">
        <v>357.59466273594461</v>
      </c>
      <c r="U65">
        <v>4</v>
      </c>
      <c r="V65">
        <v>0.3219162747190854</v>
      </c>
      <c r="W65">
        <v>1</v>
      </c>
      <c r="X65">
        <v>0.3219162747190854</v>
      </c>
      <c r="Y65">
        <v>581</v>
      </c>
      <c r="Z65">
        <v>406.92482694505992</v>
      </c>
      <c r="AA65">
        <v>198</v>
      </c>
      <c r="AB65">
        <v>332</v>
      </c>
      <c r="AC65">
        <v>536</v>
      </c>
      <c r="AD65">
        <v>28.41</v>
      </c>
      <c r="AE65">
        <v>542</v>
      </c>
      <c r="AF65">
        <v>20</v>
      </c>
      <c r="AG65">
        <v>180</v>
      </c>
      <c r="AH65">
        <v>129</v>
      </c>
      <c r="AI65">
        <v>3.69</v>
      </c>
      <c r="AJ65">
        <v>33.21</v>
      </c>
      <c r="AK65">
        <v>23.8</v>
      </c>
      <c r="AL65">
        <v>-20.138338199999961</v>
      </c>
      <c r="AM65">
        <v>-44.903768618976301</v>
      </c>
      <c r="AN65">
        <v>-20.138338199999961</v>
      </c>
      <c r="AO65">
        <v>-44.903768618976301</v>
      </c>
      <c r="AP65">
        <v>-20.138373999999999</v>
      </c>
      <c r="AQ65">
        <v>-44.903756999999999</v>
      </c>
      <c r="AR65">
        <v>4.1661625938922704</v>
      </c>
      <c r="AS65" t="s">
        <v>65</v>
      </c>
      <c r="AT65">
        <v>1</v>
      </c>
      <c r="AU65" t="s">
        <v>458</v>
      </c>
      <c r="AV65" t="s">
        <v>459</v>
      </c>
      <c r="AW65" t="s">
        <v>60</v>
      </c>
      <c r="AX65" t="s">
        <v>68</v>
      </c>
      <c r="AY65" t="s">
        <v>69</v>
      </c>
      <c r="AZ65" t="b">
        <v>1</v>
      </c>
    </row>
    <row r="66" spans="1:52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190</v>
      </c>
      <c r="G66" t="s">
        <v>460</v>
      </c>
      <c r="H66" t="s">
        <v>461</v>
      </c>
      <c r="I66" t="s">
        <v>461</v>
      </c>
      <c r="J66" t="s">
        <v>60</v>
      </c>
      <c r="K66" t="s">
        <v>462</v>
      </c>
      <c r="L66" t="s">
        <v>62</v>
      </c>
      <c r="M66" t="s">
        <v>462</v>
      </c>
      <c r="N66" t="s">
        <v>463</v>
      </c>
      <c r="O66" t="s">
        <v>464</v>
      </c>
      <c r="P66">
        <v>-20.137919</v>
      </c>
      <c r="Q66">
        <v>-44.905591000000001</v>
      </c>
      <c r="R66" s="2" t="str">
        <f>HYPERLINK("https://www.google.com/maps?q=-20.1379190,-44.9055910","Abrir no Google Maps")</f>
        <v>Abrir no Google Maps</v>
      </c>
      <c r="S66">
        <v>3</v>
      </c>
      <c r="T66">
        <v>262.01115919461103</v>
      </c>
      <c r="U66">
        <v>4</v>
      </c>
      <c r="V66">
        <v>0.33512787041069819</v>
      </c>
      <c r="W66">
        <v>1</v>
      </c>
      <c r="X66">
        <v>0.33512787041069819</v>
      </c>
      <c r="Y66">
        <v>581</v>
      </c>
      <c r="Z66">
        <v>318.63337303219271</v>
      </c>
      <c r="AA66">
        <v>198</v>
      </c>
      <c r="AB66">
        <v>332</v>
      </c>
      <c r="AC66">
        <v>536</v>
      </c>
      <c r="AD66">
        <v>28.41</v>
      </c>
      <c r="AE66">
        <v>542</v>
      </c>
      <c r="AF66">
        <v>20</v>
      </c>
      <c r="AG66">
        <v>180</v>
      </c>
      <c r="AH66">
        <v>129</v>
      </c>
      <c r="AI66">
        <v>3.69</v>
      </c>
      <c r="AJ66">
        <v>33.21</v>
      </c>
      <c r="AK66">
        <v>23.8</v>
      </c>
      <c r="AL66">
        <v>-20.13789079999998</v>
      </c>
      <c r="AM66">
        <v>-44.90548593520333</v>
      </c>
      <c r="AN66">
        <v>-20.13789079999998</v>
      </c>
      <c r="AO66">
        <v>-44.90548593520333</v>
      </c>
      <c r="AP66">
        <v>-20.137919</v>
      </c>
      <c r="AQ66">
        <v>-44.905591000000001</v>
      </c>
      <c r="AR66">
        <v>11.42072348298178</v>
      </c>
      <c r="AS66" t="s">
        <v>65</v>
      </c>
      <c r="AT66">
        <v>1</v>
      </c>
      <c r="AU66" t="s">
        <v>465</v>
      </c>
      <c r="AV66" t="s">
        <v>466</v>
      </c>
      <c r="AW66" t="s">
        <v>60</v>
      </c>
      <c r="AX66" t="s">
        <v>68</v>
      </c>
      <c r="AY66" t="s">
        <v>69</v>
      </c>
      <c r="AZ66" t="b">
        <v>1</v>
      </c>
    </row>
    <row r="67" spans="1:52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190</v>
      </c>
      <c r="G67" t="s">
        <v>467</v>
      </c>
      <c r="H67" t="s">
        <v>468</v>
      </c>
      <c r="I67" t="s">
        <v>468</v>
      </c>
      <c r="J67" t="s">
        <v>60</v>
      </c>
      <c r="K67" t="s">
        <v>462</v>
      </c>
      <c r="L67" t="s">
        <v>62</v>
      </c>
      <c r="M67" t="s">
        <v>462</v>
      </c>
      <c r="N67" t="s">
        <v>469</v>
      </c>
      <c r="O67" t="s">
        <v>470</v>
      </c>
      <c r="P67">
        <v>-20.138233</v>
      </c>
      <c r="Q67">
        <v>-44.908200000000001</v>
      </c>
      <c r="R67" s="2" t="str">
        <f>HYPERLINK("https://www.google.com/maps?q=-20.1382330,-44.9082000","Abrir no Google Maps")</f>
        <v>Abrir no Google Maps</v>
      </c>
      <c r="S67">
        <v>3</v>
      </c>
      <c r="T67">
        <v>0</v>
      </c>
      <c r="U67">
        <v>4</v>
      </c>
      <c r="V67">
        <v>0.33298555370371058</v>
      </c>
      <c r="W67">
        <v>1</v>
      </c>
      <c r="X67">
        <v>0.33298555370371058</v>
      </c>
      <c r="Y67">
        <v>581</v>
      </c>
      <c r="Z67">
        <v>153.18688302958171</v>
      </c>
      <c r="AA67">
        <v>198</v>
      </c>
      <c r="AB67">
        <v>332</v>
      </c>
      <c r="AC67">
        <v>536</v>
      </c>
      <c r="AD67">
        <v>28.41</v>
      </c>
      <c r="AE67">
        <v>542</v>
      </c>
      <c r="AF67">
        <v>20</v>
      </c>
      <c r="AG67">
        <v>180</v>
      </c>
      <c r="AH67">
        <v>129</v>
      </c>
      <c r="AI67">
        <v>3.69</v>
      </c>
      <c r="AJ67">
        <v>33.21</v>
      </c>
      <c r="AK67">
        <v>23.8</v>
      </c>
      <c r="AL67">
        <v>-20.138364899999971</v>
      </c>
      <c r="AM67">
        <v>-44.907942114873997</v>
      </c>
      <c r="AN67">
        <v>-20.138364899999971</v>
      </c>
      <c r="AO67">
        <v>-44.907942114873997</v>
      </c>
      <c r="AP67">
        <v>-20.138233</v>
      </c>
      <c r="AQ67">
        <v>-44.908200000000001</v>
      </c>
      <c r="AR67">
        <v>30.692690617986941</v>
      </c>
      <c r="AS67" t="s">
        <v>65</v>
      </c>
      <c r="AT67">
        <v>1</v>
      </c>
      <c r="AU67" t="s">
        <v>471</v>
      </c>
      <c r="AV67" t="s">
        <v>472</v>
      </c>
      <c r="AW67" t="s">
        <v>60</v>
      </c>
      <c r="AX67" t="s">
        <v>68</v>
      </c>
      <c r="AY67" t="s">
        <v>69</v>
      </c>
      <c r="AZ67" t="b">
        <v>1</v>
      </c>
    </row>
    <row r="68" spans="1:52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190</v>
      </c>
      <c r="G68" t="s">
        <v>473</v>
      </c>
      <c r="H68" t="s">
        <v>474</v>
      </c>
      <c r="I68" t="s">
        <v>474</v>
      </c>
      <c r="J68" t="s">
        <v>60</v>
      </c>
      <c r="K68" t="s">
        <v>475</v>
      </c>
      <c r="L68" t="s">
        <v>62</v>
      </c>
      <c r="M68" t="s">
        <v>475</v>
      </c>
      <c r="N68" t="s">
        <v>406</v>
      </c>
      <c r="O68" t="s">
        <v>476</v>
      </c>
      <c r="P68">
        <v>-20.177902</v>
      </c>
      <c r="Q68">
        <v>-44.908504000000001</v>
      </c>
      <c r="R68" s="2" t="str">
        <f>HYPERLINK("https://www.google.com/maps?q=-20.1779020,-44.9085040","Abrir no Google Maps")</f>
        <v>Abrir no Google Maps</v>
      </c>
      <c r="S68">
        <v>3</v>
      </c>
      <c r="T68">
        <v>656.92307673247149</v>
      </c>
      <c r="U68">
        <v>4</v>
      </c>
      <c r="V68">
        <v>0.2957105196655887</v>
      </c>
      <c r="W68">
        <v>1</v>
      </c>
      <c r="X68">
        <v>0.2957105196655887</v>
      </c>
      <c r="Y68">
        <v>578</v>
      </c>
      <c r="Z68">
        <v>635.01982153722327</v>
      </c>
      <c r="AA68">
        <v>198</v>
      </c>
      <c r="AB68">
        <v>332</v>
      </c>
      <c r="AC68">
        <v>536</v>
      </c>
      <c r="AD68">
        <v>28.41</v>
      </c>
      <c r="AE68">
        <v>542</v>
      </c>
      <c r="AF68">
        <v>20</v>
      </c>
      <c r="AG68">
        <v>180</v>
      </c>
      <c r="AH68">
        <v>129</v>
      </c>
      <c r="AI68">
        <v>3.69</v>
      </c>
      <c r="AJ68">
        <v>33.21</v>
      </c>
      <c r="AK68">
        <v>23.8</v>
      </c>
      <c r="AL68">
        <v>-20.177800399999938</v>
      </c>
      <c r="AM68">
        <v>-44.908361879701268</v>
      </c>
      <c r="AN68">
        <v>-20.177800399999938</v>
      </c>
      <c r="AO68">
        <v>-44.908361879701268</v>
      </c>
      <c r="AP68">
        <v>-20.177902</v>
      </c>
      <c r="AQ68">
        <v>-44.908504000000001</v>
      </c>
      <c r="AR68">
        <v>18.666463141775541</v>
      </c>
      <c r="AS68" t="s">
        <v>65</v>
      </c>
      <c r="AT68">
        <v>1</v>
      </c>
      <c r="AU68" t="s">
        <v>477</v>
      </c>
      <c r="AV68" t="s">
        <v>478</v>
      </c>
      <c r="AW68" t="s">
        <v>60</v>
      </c>
      <c r="AX68" t="s">
        <v>68</v>
      </c>
      <c r="AY68" t="s">
        <v>69</v>
      </c>
      <c r="AZ68" t="b">
        <v>1</v>
      </c>
    </row>
    <row r="69" spans="1:52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190</v>
      </c>
      <c r="G69" t="s">
        <v>479</v>
      </c>
      <c r="H69" t="s">
        <v>480</v>
      </c>
      <c r="I69" t="s">
        <v>480</v>
      </c>
      <c r="J69" t="s">
        <v>60</v>
      </c>
      <c r="K69" t="s">
        <v>388</v>
      </c>
      <c r="L69" t="s">
        <v>62</v>
      </c>
      <c r="M69" t="s">
        <v>388</v>
      </c>
      <c r="N69" t="s">
        <v>481</v>
      </c>
      <c r="O69" t="s">
        <v>315</v>
      </c>
      <c r="P69">
        <v>-20.166903999999999</v>
      </c>
      <c r="Q69">
        <v>-44.903492</v>
      </c>
      <c r="R69" s="2" t="str">
        <f>HYPERLINK("https://www.google.com/maps?q=-20.1669040,-44.9034920","Abrir no Google Maps")</f>
        <v>Abrir no Google Maps</v>
      </c>
      <c r="S69">
        <v>3</v>
      </c>
      <c r="T69">
        <v>517.12253532511602</v>
      </c>
      <c r="U69">
        <v>4</v>
      </c>
      <c r="V69">
        <v>0.30653167569655931</v>
      </c>
      <c r="W69">
        <v>1</v>
      </c>
      <c r="X69">
        <v>0.30653167569655931</v>
      </c>
      <c r="Y69">
        <v>578</v>
      </c>
      <c r="Z69">
        <v>721.79551240050432</v>
      </c>
      <c r="AA69">
        <v>198</v>
      </c>
      <c r="AB69">
        <v>332</v>
      </c>
      <c r="AC69">
        <v>536</v>
      </c>
      <c r="AD69">
        <v>28.41</v>
      </c>
      <c r="AE69">
        <v>542</v>
      </c>
      <c r="AF69">
        <v>20</v>
      </c>
      <c r="AG69">
        <v>180</v>
      </c>
      <c r="AH69">
        <v>129</v>
      </c>
      <c r="AI69">
        <v>3.69</v>
      </c>
      <c r="AJ69">
        <v>33.21</v>
      </c>
      <c r="AK69">
        <v>23.8</v>
      </c>
      <c r="AL69">
        <v>-20.166610649999971</v>
      </c>
      <c r="AM69">
        <v>-44.903452988928308</v>
      </c>
      <c r="AN69">
        <v>-20.166610649999971</v>
      </c>
      <c r="AO69">
        <v>-44.903452988928308</v>
      </c>
      <c r="AP69">
        <v>-20.166903999999999</v>
      </c>
      <c r="AQ69">
        <v>-44.903492</v>
      </c>
      <c r="AR69">
        <v>32.909175876856217</v>
      </c>
      <c r="AS69" t="s">
        <v>65</v>
      </c>
      <c r="AT69">
        <v>1</v>
      </c>
      <c r="AU69" t="s">
        <v>482</v>
      </c>
      <c r="AV69" t="s">
        <v>483</v>
      </c>
      <c r="AW69" t="s">
        <v>60</v>
      </c>
      <c r="AX69" t="s">
        <v>68</v>
      </c>
      <c r="AY69" t="s">
        <v>69</v>
      </c>
      <c r="AZ69" t="b">
        <v>1</v>
      </c>
    </row>
    <row r="70" spans="1:52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190</v>
      </c>
      <c r="G70" t="s">
        <v>484</v>
      </c>
      <c r="H70" t="s">
        <v>485</v>
      </c>
      <c r="I70" t="s">
        <v>485</v>
      </c>
      <c r="J70" t="s">
        <v>60</v>
      </c>
      <c r="K70" t="s">
        <v>486</v>
      </c>
      <c r="L70" t="s">
        <v>62</v>
      </c>
      <c r="M70" t="s">
        <v>486</v>
      </c>
      <c r="N70" t="s">
        <v>487</v>
      </c>
      <c r="O70" t="s">
        <v>488</v>
      </c>
      <c r="P70">
        <v>-20.173000999999999</v>
      </c>
      <c r="Q70">
        <v>-44.901876999999999</v>
      </c>
      <c r="R70" s="2" t="str">
        <f>HYPERLINK("https://www.google.com/maps?q=-20.1730010,-44.9018770","Abrir no Google Maps")</f>
        <v>Abrir no Google Maps</v>
      </c>
      <c r="S70">
        <v>3</v>
      </c>
      <c r="T70">
        <v>437.59695450783011</v>
      </c>
      <c r="U70">
        <v>4</v>
      </c>
      <c r="V70">
        <v>0.29638472932391852</v>
      </c>
      <c r="W70">
        <v>1</v>
      </c>
      <c r="X70">
        <v>0.29638472932391852</v>
      </c>
      <c r="Y70">
        <v>578</v>
      </c>
      <c r="Z70">
        <v>440.53629183653243</v>
      </c>
      <c r="AA70">
        <v>198</v>
      </c>
      <c r="AB70">
        <v>332</v>
      </c>
      <c r="AC70">
        <v>536</v>
      </c>
      <c r="AD70">
        <v>28.41</v>
      </c>
      <c r="AE70">
        <v>542</v>
      </c>
      <c r="AF70">
        <v>20</v>
      </c>
      <c r="AG70">
        <v>180</v>
      </c>
      <c r="AH70">
        <v>129</v>
      </c>
      <c r="AI70">
        <v>3.69</v>
      </c>
      <c r="AJ70">
        <v>33.21</v>
      </c>
      <c r="AK70">
        <v>23.8</v>
      </c>
      <c r="AL70">
        <v>-20.173065299999969</v>
      </c>
      <c r="AM70">
        <v>-44.902052686008687</v>
      </c>
      <c r="AN70">
        <v>-20.173065299999969</v>
      </c>
      <c r="AO70">
        <v>-44.902052686008687</v>
      </c>
      <c r="AP70">
        <v>-20.173000999999999</v>
      </c>
      <c r="AQ70">
        <v>-44.901876999999999</v>
      </c>
      <c r="AR70">
        <v>19.703745070768829</v>
      </c>
      <c r="AS70" t="s">
        <v>65</v>
      </c>
      <c r="AT70">
        <v>1</v>
      </c>
      <c r="AU70" t="s">
        <v>489</v>
      </c>
      <c r="AV70" t="s">
        <v>490</v>
      </c>
      <c r="AW70" t="s">
        <v>60</v>
      </c>
      <c r="AX70" t="s">
        <v>68</v>
      </c>
      <c r="AY70" t="s">
        <v>69</v>
      </c>
      <c r="AZ70" t="b">
        <v>1</v>
      </c>
    </row>
    <row r="71" spans="1:52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190</v>
      </c>
      <c r="G71" t="s">
        <v>491</v>
      </c>
      <c r="H71" t="s">
        <v>492</v>
      </c>
      <c r="I71" t="s">
        <v>492</v>
      </c>
      <c r="J71" t="s">
        <v>60</v>
      </c>
      <c r="K71" t="s">
        <v>475</v>
      </c>
      <c r="L71" t="s">
        <v>62</v>
      </c>
      <c r="M71" t="s">
        <v>475</v>
      </c>
      <c r="N71" t="s">
        <v>493</v>
      </c>
      <c r="O71" t="s">
        <v>494</v>
      </c>
      <c r="P71">
        <v>-20.175250999999999</v>
      </c>
      <c r="Q71">
        <v>-44.897357</v>
      </c>
      <c r="R71" s="2" t="str">
        <f>HYPERLINK("https://www.google.com/maps?q=-20.1752510,-44.8973570","Abrir no Google Maps")</f>
        <v>Abrir no Google Maps</v>
      </c>
      <c r="S71">
        <v>3</v>
      </c>
      <c r="T71">
        <v>992.29631678149951</v>
      </c>
      <c r="U71">
        <v>4</v>
      </c>
      <c r="V71">
        <v>0.29531678613933787</v>
      </c>
      <c r="W71">
        <v>1</v>
      </c>
      <c r="X71">
        <v>0.29531678613933787</v>
      </c>
      <c r="Y71">
        <v>578</v>
      </c>
      <c r="Z71">
        <v>1008.5871064168319</v>
      </c>
      <c r="AA71">
        <v>198</v>
      </c>
      <c r="AB71">
        <v>332</v>
      </c>
      <c r="AC71">
        <v>536</v>
      </c>
      <c r="AD71">
        <v>28.41</v>
      </c>
      <c r="AE71">
        <v>542</v>
      </c>
      <c r="AF71">
        <v>20</v>
      </c>
      <c r="AG71">
        <v>180</v>
      </c>
      <c r="AH71">
        <v>129</v>
      </c>
      <c r="AI71">
        <v>3.69</v>
      </c>
      <c r="AJ71">
        <v>33.21</v>
      </c>
      <c r="AK71">
        <v>23.8</v>
      </c>
      <c r="AL71">
        <v>-20.175290599999951</v>
      </c>
      <c r="AM71">
        <v>-44.897271931010721</v>
      </c>
      <c r="AN71">
        <v>-20.175290599999951</v>
      </c>
      <c r="AO71">
        <v>-44.897271931010721</v>
      </c>
      <c r="AP71">
        <v>-20.175250999999999</v>
      </c>
      <c r="AQ71">
        <v>-44.897357</v>
      </c>
      <c r="AR71">
        <v>9.921899108467926</v>
      </c>
      <c r="AS71" t="s">
        <v>65</v>
      </c>
      <c r="AT71">
        <v>1</v>
      </c>
      <c r="AU71" t="s">
        <v>495</v>
      </c>
      <c r="AV71" t="s">
        <v>496</v>
      </c>
      <c r="AW71" t="s">
        <v>60</v>
      </c>
      <c r="AX71" t="s">
        <v>68</v>
      </c>
      <c r="AY71" t="s">
        <v>69</v>
      </c>
      <c r="AZ71" t="b">
        <v>1</v>
      </c>
    </row>
    <row r="72" spans="1:52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190</v>
      </c>
      <c r="G72" t="s">
        <v>497</v>
      </c>
      <c r="H72" t="s">
        <v>498</v>
      </c>
      <c r="I72" t="s">
        <v>498</v>
      </c>
      <c r="J72" t="s">
        <v>60</v>
      </c>
      <c r="K72" t="s">
        <v>475</v>
      </c>
      <c r="L72" t="s">
        <v>62</v>
      </c>
      <c r="M72" t="s">
        <v>475</v>
      </c>
      <c r="N72" t="s">
        <v>499</v>
      </c>
      <c r="O72" t="s">
        <v>500</v>
      </c>
      <c r="P72">
        <v>-20.175492999999999</v>
      </c>
      <c r="Q72">
        <v>-44.900759000000001</v>
      </c>
      <c r="R72" s="2" t="str">
        <f>HYPERLINK("https://www.google.com/maps?q=-20.1754930,-44.9007590","Abrir no Google Maps")</f>
        <v>Abrir no Google Maps</v>
      </c>
      <c r="S72">
        <v>3</v>
      </c>
      <c r="T72">
        <v>753.30732354720431</v>
      </c>
      <c r="U72">
        <v>4</v>
      </c>
      <c r="V72">
        <v>0.3032016930603349</v>
      </c>
      <c r="W72">
        <v>1</v>
      </c>
      <c r="X72">
        <v>0.3032016930603349</v>
      </c>
      <c r="Y72">
        <v>578</v>
      </c>
      <c r="Z72">
        <v>695.28903655431702</v>
      </c>
      <c r="AA72">
        <v>198</v>
      </c>
      <c r="AB72">
        <v>332</v>
      </c>
      <c r="AC72">
        <v>536</v>
      </c>
      <c r="AD72">
        <v>28.41</v>
      </c>
      <c r="AE72">
        <v>542</v>
      </c>
      <c r="AF72">
        <v>20</v>
      </c>
      <c r="AG72">
        <v>180</v>
      </c>
      <c r="AH72">
        <v>129</v>
      </c>
      <c r="AI72">
        <v>3.69</v>
      </c>
      <c r="AJ72">
        <v>33.21</v>
      </c>
      <c r="AK72">
        <v>23.8</v>
      </c>
      <c r="AL72">
        <v>-20.175825999999969</v>
      </c>
      <c r="AM72">
        <v>-44.900600234646973</v>
      </c>
      <c r="AN72">
        <v>-20.175825999999969</v>
      </c>
      <c r="AO72">
        <v>-44.900600234646973</v>
      </c>
      <c r="AP72">
        <v>-20.175492999999999</v>
      </c>
      <c r="AQ72">
        <v>-44.900759000000001</v>
      </c>
      <c r="AR72">
        <v>40.612267304645073</v>
      </c>
      <c r="AS72" t="s">
        <v>65</v>
      </c>
      <c r="AT72">
        <v>1</v>
      </c>
      <c r="AU72" t="s">
        <v>501</v>
      </c>
      <c r="AV72" t="s">
        <v>502</v>
      </c>
      <c r="AW72" t="s">
        <v>60</v>
      </c>
      <c r="AX72" t="s">
        <v>68</v>
      </c>
      <c r="AY72" t="s">
        <v>69</v>
      </c>
      <c r="AZ72" t="b">
        <v>1</v>
      </c>
    </row>
    <row r="73" spans="1:52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190</v>
      </c>
      <c r="G73" t="s">
        <v>503</v>
      </c>
      <c r="H73" t="s">
        <v>504</v>
      </c>
      <c r="I73" t="s">
        <v>504</v>
      </c>
      <c r="J73" t="s">
        <v>60</v>
      </c>
      <c r="K73" t="s">
        <v>505</v>
      </c>
      <c r="L73" t="s">
        <v>62</v>
      </c>
      <c r="M73" t="s">
        <v>505</v>
      </c>
      <c r="N73" t="s">
        <v>506</v>
      </c>
      <c r="O73" t="s">
        <v>507</v>
      </c>
      <c r="P73">
        <v>-20.131428</v>
      </c>
      <c r="Q73">
        <v>-44.888921000000003</v>
      </c>
      <c r="R73" s="2" t="str">
        <f>HYPERLINK("https://www.google.com/maps?q=-20.1314280,-44.8889210","Abrir no Google Maps")</f>
        <v>Abrir no Google Maps</v>
      </c>
      <c r="S73">
        <v>3</v>
      </c>
      <c r="T73">
        <v>250.64150698244501</v>
      </c>
      <c r="U73">
        <v>4</v>
      </c>
      <c r="V73">
        <v>0.29883333846429161</v>
      </c>
      <c r="W73">
        <v>1</v>
      </c>
      <c r="X73">
        <v>0.29883333846429161</v>
      </c>
      <c r="Y73">
        <v>564</v>
      </c>
      <c r="Z73">
        <v>189.93933888952441</v>
      </c>
      <c r="AA73">
        <v>198</v>
      </c>
      <c r="AB73">
        <v>332</v>
      </c>
      <c r="AC73">
        <v>536</v>
      </c>
      <c r="AD73">
        <v>28.41</v>
      </c>
      <c r="AE73">
        <v>542</v>
      </c>
      <c r="AF73">
        <v>20</v>
      </c>
      <c r="AG73">
        <v>180</v>
      </c>
      <c r="AH73">
        <v>129</v>
      </c>
      <c r="AI73">
        <v>3.69</v>
      </c>
      <c r="AJ73">
        <v>33.21</v>
      </c>
      <c r="AK73">
        <v>23.8</v>
      </c>
      <c r="AL73">
        <v>-20.13123589999995</v>
      </c>
      <c r="AM73">
        <v>-44.888742396501762</v>
      </c>
      <c r="AN73">
        <v>-20.13123589999995</v>
      </c>
      <c r="AO73">
        <v>-44.888742396501762</v>
      </c>
      <c r="AP73">
        <v>-20.131428</v>
      </c>
      <c r="AQ73">
        <v>-44.888921000000003</v>
      </c>
      <c r="AR73">
        <v>28.386169462917032</v>
      </c>
      <c r="AS73" t="s">
        <v>65</v>
      </c>
      <c r="AT73">
        <v>1</v>
      </c>
      <c r="AU73" t="s">
        <v>508</v>
      </c>
      <c r="AV73" t="s">
        <v>509</v>
      </c>
      <c r="AW73" t="s">
        <v>60</v>
      </c>
      <c r="AX73" t="s">
        <v>68</v>
      </c>
      <c r="AY73" t="s">
        <v>69</v>
      </c>
      <c r="AZ73" t="b">
        <v>1</v>
      </c>
    </row>
    <row r="74" spans="1:52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190</v>
      </c>
      <c r="G74" t="s">
        <v>510</v>
      </c>
      <c r="H74" t="s">
        <v>511</v>
      </c>
      <c r="I74" t="s">
        <v>511</v>
      </c>
      <c r="J74" t="s">
        <v>60</v>
      </c>
      <c r="K74" t="s">
        <v>512</v>
      </c>
      <c r="L74" t="s">
        <v>62</v>
      </c>
      <c r="M74" t="s">
        <v>512</v>
      </c>
      <c r="N74" t="s">
        <v>406</v>
      </c>
      <c r="O74" t="s">
        <v>513</v>
      </c>
      <c r="P74">
        <v>-20.127853000000002</v>
      </c>
      <c r="Q74">
        <v>-44.891415000000002</v>
      </c>
      <c r="R74" s="2" t="str">
        <f>HYPERLINK("https://www.google.com/maps?q=-20.1278530,-44.8914150","Abrir no Google Maps")</f>
        <v>Abrir no Google Maps</v>
      </c>
      <c r="S74">
        <v>3</v>
      </c>
      <c r="T74">
        <v>340.86994528233612</v>
      </c>
      <c r="U74">
        <v>4</v>
      </c>
      <c r="V74">
        <v>0.30491289771843061</v>
      </c>
      <c r="W74">
        <v>1</v>
      </c>
      <c r="X74">
        <v>0.30491289771843061</v>
      </c>
      <c r="Y74">
        <v>564</v>
      </c>
      <c r="Z74">
        <v>294.18108015916812</v>
      </c>
      <c r="AA74">
        <v>198</v>
      </c>
      <c r="AB74">
        <v>332</v>
      </c>
      <c r="AC74">
        <v>536</v>
      </c>
      <c r="AD74">
        <v>28.41</v>
      </c>
      <c r="AE74">
        <v>542</v>
      </c>
      <c r="AF74">
        <v>20</v>
      </c>
      <c r="AG74">
        <v>180</v>
      </c>
      <c r="AH74">
        <v>129</v>
      </c>
      <c r="AI74">
        <v>3.69</v>
      </c>
      <c r="AJ74">
        <v>33.21</v>
      </c>
      <c r="AK74">
        <v>23.8</v>
      </c>
      <c r="AL74">
        <v>-20.12777399999996</v>
      </c>
      <c r="AM74">
        <v>-44.891400975758501</v>
      </c>
      <c r="AN74">
        <v>-20.12777399999996</v>
      </c>
      <c r="AO74">
        <v>-44.891400975758501</v>
      </c>
      <c r="AP74">
        <v>-20.127853000000002</v>
      </c>
      <c r="AQ74">
        <v>-44.891415000000002</v>
      </c>
      <c r="AR74">
        <v>8.9156059162975616</v>
      </c>
      <c r="AS74" t="s">
        <v>65</v>
      </c>
      <c r="AT74">
        <v>1</v>
      </c>
      <c r="AU74" t="s">
        <v>514</v>
      </c>
      <c r="AV74" t="s">
        <v>515</v>
      </c>
      <c r="AW74" t="s">
        <v>60</v>
      </c>
      <c r="AX74" t="s">
        <v>68</v>
      </c>
      <c r="AY74" t="s">
        <v>69</v>
      </c>
      <c r="AZ74" t="b">
        <v>1</v>
      </c>
    </row>
    <row r="75" spans="1:52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190</v>
      </c>
      <c r="G75" t="s">
        <v>516</v>
      </c>
      <c r="H75" t="s">
        <v>517</v>
      </c>
      <c r="I75" t="s">
        <v>517</v>
      </c>
      <c r="J75" t="s">
        <v>60</v>
      </c>
      <c r="K75" t="s">
        <v>518</v>
      </c>
      <c r="L75" t="s">
        <v>62</v>
      </c>
      <c r="M75" t="s">
        <v>518</v>
      </c>
      <c r="N75" t="s">
        <v>519</v>
      </c>
      <c r="O75" t="s">
        <v>520</v>
      </c>
      <c r="P75">
        <v>-20.124502</v>
      </c>
      <c r="Q75">
        <v>-44.888424000000001</v>
      </c>
      <c r="R75" s="2" t="str">
        <f>HYPERLINK("https://www.google.com/maps?q=-20.1245020,-44.8884240","Abrir no Google Maps")</f>
        <v>Abrir no Google Maps</v>
      </c>
      <c r="S75">
        <v>3</v>
      </c>
      <c r="T75">
        <v>483.42298121929559</v>
      </c>
      <c r="U75">
        <v>4</v>
      </c>
      <c r="V75">
        <v>0.33177807115466029</v>
      </c>
      <c r="W75">
        <v>1</v>
      </c>
      <c r="X75">
        <v>0.33177807115466029</v>
      </c>
      <c r="Y75">
        <v>564</v>
      </c>
      <c r="Z75">
        <v>565.43074237076587</v>
      </c>
      <c r="AA75">
        <v>198</v>
      </c>
      <c r="AB75">
        <v>332</v>
      </c>
      <c r="AC75">
        <v>536</v>
      </c>
      <c r="AD75">
        <v>28.41</v>
      </c>
      <c r="AE75">
        <v>542</v>
      </c>
      <c r="AF75">
        <v>20</v>
      </c>
      <c r="AG75">
        <v>180</v>
      </c>
      <c r="AH75">
        <v>129</v>
      </c>
      <c r="AI75">
        <v>3.69</v>
      </c>
      <c r="AJ75">
        <v>33.21</v>
      </c>
      <c r="AK75">
        <v>23.8</v>
      </c>
      <c r="AL75">
        <v>-20.124624949999941</v>
      </c>
      <c r="AM75">
        <v>-44.888432821777258</v>
      </c>
      <c r="AN75">
        <v>-20.124624949999941</v>
      </c>
      <c r="AO75">
        <v>-44.888432821777258</v>
      </c>
      <c r="AP75">
        <v>-20.124502</v>
      </c>
      <c r="AQ75">
        <v>-44.888424000000001</v>
      </c>
      <c r="AR75">
        <v>13.717819333897451</v>
      </c>
      <c r="AS75" t="s">
        <v>65</v>
      </c>
      <c r="AT75">
        <v>1</v>
      </c>
      <c r="AU75" t="s">
        <v>521</v>
      </c>
      <c r="AV75" t="s">
        <v>522</v>
      </c>
      <c r="AW75" t="s">
        <v>60</v>
      </c>
      <c r="AX75" t="s">
        <v>68</v>
      </c>
      <c r="AY75" t="s">
        <v>69</v>
      </c>
      <c r="AZ75" t="b">
        <v>1</v>
      </c>
    </row>
    <row r="76" spans="1:52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190</v>
      </c>
      <c r="G76" t="s">
        <v>523</v>
      </c>
      <c r="H76" t="s">
        <v>524</v>
      </c>
      <c r="I76" t="s">
        <v>524</v>
      </c>
      <c r="J76" t="s">
        <v>60</v>
      </c>
      <c r="K76" t="s">
        <v>518</v>
      </c>
      <c r="L76" t="s">
        <v>62</v>
      </c>
      <c r="M76" t="s">
        <v>518</v>
      </c>
      <c r="N76" t="s">
        <v>525</v>
      </c>
      <c r="O76" t="s">
        <v>331</v>
      </c>
      <c r="P76">
        <v>-20.126553000000001</v>
      </c>
      <c r="Q76">
        <v>-44.888599999999997</v>
      </c>
      <c r="R76" s="2" t="str">
        <f>HYPERLINK("https://www.google.com/maps?q=-20.1265530,-44.8886000","Abrir no Google Maps")</f>
        <v>Abrir no Google Maps</v>
      </c>
      <c r="S76">
        <v>3</v>
      </c>
      <c r="T76">
        <v>256.34043440603853</v>
      </c>
      <c r="U76">
        <v>4</v>
      </c>
      <c r="V76">
        <v>0.31086016624770602</v>
      </c>
      <c r="W76">
        <v>1</v>
      </c>
      <c r="X76">
        <v>0.31086016624770602</v>
      </c>
      <c r="Y76">
        <v>564</v>
      </c>
      <c r="Z76">
        <v>325.4404273055876</v>
      </c>
      <c r="AA76">
        <v>198</v>
      </c>
      <c r="AB76">
        <v>332</v>
      </c>
      <c r="AC76">
        <v>536</v>
      </c>
      <c r="AD76">
        <v>28.41</v>
      </c>
      <c r="AE76">
        <v>542</v>
      </c>
      <c r="AF76">
        <v>20</v>
      </c>
      <c r="AG76">
        <v>180</v>
      </c>
      <c r="AH76">
        <v>129</v>
      </c>
      <c r="AI76">
        <v>3.69</v>
      </c>
      <c r="AJ76">
        <v>33.21</v>
      </c>
      <c r="AK76">
        <v>23.8</v>
      </c>
      <c r="AL76">
        <v>-20.12669049999997</v>
      </c>
      <c r="AM76">
        <v>-44.888671289876577</v>
      </c>
      <c r="AN76">
        <v>-20.12669049999997</v>
      </c>
      <c r="AO76">
        <v>-44.888671289876577</v>
      </c>
      <c r="AP76">
        <v>-20.126553000000001</v>
      </c>
      <c r="AQ76">
        <v>-44.888599999999997</v>
      </c>
      <c r="AR76">
        <v>17.023861591720589</v>
      </c>
      <c r="AS76" t="s">
        <v>65</v>
      </c>
      <c r="AT76">
        <v>1</v>
      </c>
      <c r="AU76" t="s">
        <v>526</v>
      </c>
      <c r="AV76" t="s">
        <v>527</v>
      </c>
      <c r="AW76" t="s">
        <v>60</v>
      </c>
      <c r="AX76" t="s">
        <v>68</v>
      </c>
      <c r="AY76" t="s">
        <v>69</v>
      </c>
      <c r="AZ76" t="b">
        <v>1</v>
      </c>
    </row>
    <row r="77" spans="1:52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190</v>
      </c>
      <c r="G77" t="s">
        <v>528</v>
      </c>
      <c r="H77" t="s">
        <v>529</v>
      </c>
      <c r="I77" t="s">
        <v>529</v>
      </c>
      <c r="J77" t="s">
        <v>60</v>
      </c>
      <c r="K77" t="s">
        <v>530</v>
      </c>
      <c r="L77" t="s">
        <v>62</v>
      </c>
      <c r="M77" t="s">
        <v>530</v>
      </c>
      <c r="N77" t="s">
        <v>531</v>
      </c>
      <c r="O77" t="s">
        <v>532</v>
      </c>
      <c r="P77">
        <v>-20.142457</v>
      </c>
      <c r="Q77">
        <v>-44.891688000000002</v>
      </c>
      <c r="R77" s="2" t="str">
        <f>HYPERLINK("https://www.google.com/maps?q=-20.1424570,-44.8916880","Abrir no Google Maps")</f>
        <v>Abrir no Google Maps</v>
      </c>
      <c r="S77">
        <v>3</v>
      </c>
      <c r="T77">
        <v>0</v>
      </c>
      <c r="U77">
        <v>4</v>
      </c>
      <c r="V77">
        <v>0.33752665836871398</v>
      </c>
      <c r="W77">
        <v>1</v>
      </c>
      <c r="X77">
        <v>0.33752665836871398</v>
      </c>
      <c r="Y77">
        <v>557</v>
      </c>
      <c r="Z77">
        <v>42.611952255679803</v>
      </c>
      <c r="AA77">
        <v>198</v>
      </c>
      <c r="AB77">
        <v>332</v>
      </c>
      <c r="AC77">
        <v>536</v>
      </c>
      <c r="AD77">
        <v>28.41</v>
      </c>
      <c r="AE77">
        <v>542</v>
      </c>
      <c r="AF77">
        <v>20</v>
      </c>
      <c r="AG77">
        <v>180</v>
      </c>
      <c r="AH77">
        <v>129</v>
      </c>
      <c r="AI77">
        <v>3.69</v>
      </c>
      <c r="AJ77">
        <v>33.21</v>
      </c>
      <c r="AK77">
        <v>23.8</v>
      </c>
      <c r="AL77">
        <v>-20.142523099999948</v>
      </c>
      <c r="AM77">
        <v>-44.891523817588819</v>
      </c>
      <c r="AN77">
        <v>-20.142523099999948</v>
      </c>
      <c r="AO77">
        <v>-44.891523817588819</v>
      </c>
      <c r="AP77">
        <v>-20.142457</v>
      </c>
      <c r="AQ77">
        <v>-44.891688000000002</v>
      </c>
      <c r="AR77">
        <v>18.670129248632971</v>
      </c>
      <c r="AS77" t="s">
        <v>65</v>
      </c>
      <c r="AT77">
        <v>1</v>
      </c>
      <c r="AU77" t="s">
        <v>533</v>
      </c>
      <c r="AV77" t="s">
        <v>534</v>
      </c>
      <c r="AW77" t="s">
        <v>60</v>
      </c>
      <c r="AX77" t="s">
        <v>68</v>
      </c>
      <c r="AY77" t="s">
        <v>69</v>
      </c>
      <c r="AZ77" t="b">
        <v>1</v>
      </c>
    </row>
    <row r="78" spans="1:52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190</v>
      </c>
      <c r="G78" t="s">
        <v>535</v>
      </c>
      <c r="H78" t="s">
        <v>536</v>
      </c>
      <c r="I78" t="s">
        <v>536</v>
      </c>
      <c r="J78" t="s">
        <v>60</v>
      </c>
      <c r="K78" t="s">
        <v>388</v>
      </c>
      <c r="L78" t="s">
        <v>62</v>
      </c>
      <c r="M78" t="s">
        <v>388</v>
      </c>
      <c r="N78" t="s">
        <v>537</v>
      </c>
      <c r="O78" t="s">
        <v>538</v>
      </c>
      <c r="P78">
        <v>-20.150061999999998</v>
      </c>
      <c r="Q78">
        <v>-44.903379000000001</v>
      </c>
      <c r="R78" s="2" t="str">
        <f>HYPERLINK("https://www.google.com/maps?q=-20.1500620,-44.9033790","Abrir no Google Maps")</f>
        <v>Abrir no Google Maps</v>
      </c>
      <c r="S78">
        <v>3</v>
      </c>
      <c r="T78">
        <v>286.20313674219977</v>
      </c>
      <c r="U78">
        <v>4</v>
      </c>
      <c r="V78">
        <v>0.3224858467277178</v>
      </c>
      <c r="W78">
        <v>1</v>
      </c>
      <c r="X78">
        <v>0.3224858467277178</v>
      </c>
      <c r="Y78">
        <v>556</v>
      </c>
      <c r="Z78">
        <v>315.81851898667401</v>
      </c>
      <c r="AA78">
        <v>198</v>
      </c>
      <c r="AB78">
        <v>332</v>
      </c>
      <c r="AC78">
        <v>536</v>
      </c>
      <c r="AD78">
        <v>28.41</v>
      </c>
      <c r="AE78">
        <v>542</v>
      </c>
      <c r="AF78">
        <v>20</v>
      </c>
      <c r="AG78">
        <v>180</v>
      </c>
      <c r="AH78">
        <v>129</v>
      </c>
      <c r="AI78">
        <v>3.69</v>
      </c>
      <c r="AJ78">
        <v>33.21</v>
      </c>
      <c r="AK78">
        <v>23.8</v>
      </c>
      <c r="AL78">
        <v>-20.150084299999971</v>
      </c>
      <c r="AM78">
        <v>-44.903278407568479</v>
      </c>
      <c r="AN78">
        <v>-20.150084299999971</v>
      </c>
      <c r="AO78">
        <v>-44.903278407568479</v>
      </c>
      <c r="AP78">
        <v>-20.150061999999998</v>
      </c>
      <c r="AQ78">
        <v>-44.903379000000001</v>
      </c>
      <c r="AR78">
        <v>10.801687336134639</v>
      </c>
      <c r="AS78" t="s">
        <v>65</v>
      </c>
      <c r="AT78">
        <v>1</v>
      </c>
      <c r="AU78" t="s">
        <v>539</v>
      </c>
      <c r="AV78" t="s">
        <v>540</v>
      </c>
      <c r="AW78" t="s">
        <v>60</v>
      </c>
      <c r="AX78" t="s">
        <v>68</v>
      </c>
      <c r="AY78" t="s">
        <v>69</v>
      </c>
      <c r="AZ78" t="b">
        <v>1</v>
      </c>
    </row>
    <row r="79" spans="1:52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190</v>
      </c>
      <c r="G79" t="s">
        <v>398</v>
      </c>
      <c r="H79" t="s">
        <v>541</v>
      </c>
      <c r="I79" t="s">
        <v>541</v>
      </c>
      <c r="J79" t="s">
        <v>60</v>
      </c>
      <c r="K79" t="s">
        <v>388</v>
      </c>
      <c r="L79" t="s">
        <v>62</v>
      </c>
      <c r="M79" t="s">
        <v>388</v>
      </c>
      <c r="N79" t="s">
        <v>400</v>
      </c>
      <c r="O79" t="s">
        <v>542</v>
      </c>
      <c r="P79">
        <v>-20.151335</v>
      </c>
      <c r="Q79">
        <v>-44.901041999999997</v>
      </c>
      <c r="R79" s="2" t="str">
        <f>HYPERLINK("https://www.google.com/maps?q=-20.1513350,-44.9010420","Abrir no Google Maps")</f>
        <v>Abrir no Google Maps</v>
      </c>
      <c r="S79">
        <v>3</v>
      </c>
      <c r="T79">
        <v>0</v>
      </c>
      <c r="U79">
        <v>4</v>
      </c>
      <c r="V79">
        <v>0.30007201202603401</v>
      </c>
      <c r="W79">
        <v>1</v>
      </c>
      <c r="X79">
        <v>0.30007201202603401</v>
      </c>
      <c r="Y79">
        <v>556</v>
      </c>
      <c r="Z79">
        <v>137.71609036908939</v>
      </c>
      <c r="AA79">
        <v>198</v>
      </c>
      <c r="AB79">
        <v>332</v>
      </c>
      <c r="AC79">
        <v>536</v>
      </c>
      <c r="AD79">
        <v>28.41</v>
      </c>
      <c r="AE79">
        <v>542</v>
      </c>
      <c r="AF79">
        <v>20</v>
      </c>
      <c r="AG79">
        <v>180</v>
      </c>
      <c r="AH79">
        <v>129</v>
      </c>
      <c r="AI79">
        <v>3.69</v>
      </c>
      <c r="AJ79">
        <v>33.21</v>
      </c>
      <c r="AK79">
        <v>23.8</v>
      </c>
      <c r="AL79">
        <v>-20.15125899999995</v>
      </c>
      <c r="AM79">
        <v>-44.900838557594433</v>
      </c>
      <c r="AN79">
        <v>-20.15125899999995</v>
      </c>
      <c r="AO79">
        <v>-44.900838557594433</v>
      </c>
      <c r="AP79">
        <v>-20.151335</v>
      </c>
      <c r="AQ79">
        <v>-44.901041999999997</v>
      </c>
      <c r="AR79">
        <v>22.882363139483491</v>
      </c>
      <c r="AS79" t="s">
        <v>65</v>
      </c>
      <c r="AT79">
        <v>1</v>
      </c>
      <c r="AU79" t="s">
        <v>543</v>
      </c>
      <c r="AV79" t="s">
        <v>544</v>
      </c>
      <c r="AW79" t="s">
        <v>60</v>
      </c>
      <c r="AX79" t="s">
        <v>68</v>
      </c>
      <c r="AY79" t="s">
        <v>69</v>
      </c>
      <c r="AZ79" t="b">
        <v>1</v>
      </c>
    </row>
    <row r="80" spans="1:52" x14ac:dyDescent="0.3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190</v>
      </c>
      <c r="G80" t="s">
        <v>545</v>
      </c>
      <c r="H80" t="s">
        <v>546</v>
      </c>
      <c r="I80" t="s">
        <v>546</v>
      </c>
      <c r="J80" t="s">
        <v>60</v>
      </c>
      <c r="K80" t="s">
        <v>388</v>
      </c>
      <c r="L80" t="s">
        <v>62</v>
      </c>
      <c r="M80" t="s">
        <v>388</v>
      </c>
      <c r="N80" t="s">
        <v>547</v>
      </c>
      <c r="O80" t="s">
        <v>548</v>
      </c>
      <c r="P80">
        <v>-20.155839</v>
      </c>
      <c r="Q80">
        <v>-44.905655000000003</v>
      </c>
      <c r="R80" s="2" t="str">
        <f>HYPERLINK("https://www.google.com/maps?q=-20.1558390,-44.9056550","Abrir no Google Maps")</f>
        <v>Abrir no Google Maps</v>
      </c>
      <c r="S80">
        <v>3</v>
      </c>
      <c r="T80">
        <v>309.7643089121122</v>
      </c>
      <c r="U80">
        <v>4</v>
      </c>
      <c r="V80">
        <v>0.31276209199742527</v>
      </c>
      <c r="W80">
        <v>1</v>
      </c>
      <c r="X80">
        <v>0.31276209199742527</v>
      </c>
      <c r="Y80">
        <v>548</v>
      </c>
      <c r="Z80">
        <v>284.24281731793161</v>
      </c>
      <c r="AA80">
        <v>198</v>
      </c>
      <c r="AB80">
        <v>332</v>
      </c>
      <c r="AC80">
        <v>536</v>
      </c>
      <c r="AD80">
        <v>28.41</v>
      </c>
      <c r="AE80">
        <v>542</v>
      </c>
      <c r="AF80">
        <v>20</v>
      </c>
      <c r="AG80">
        <v>180</v>
      </c>
      <c r="AH80">
        <v>129</v>
      </c>
      <c r="AI80">
        <v>3.69</v>
      </c>
      <c r="AJ80">
        <v>33.21</v>
      </c>
      <c r="AK80">
        <v>23.8</v>
      </c>
      <c r="AL80">
        <v>-20.155913549999951</v>
      </c>
      <c r="AM80">
        <v>-44.905554508392683</v>
      </c>
      <c r="AN80">
        <v>-20.155913549999951</v>
      </c>
      <c r="AO80">
        <v>-44.905554508392669</v>
      </c>
      <c r="AP80">
        <v>-20.155839</v>
      </c>
      <c r="AQ80">
        <v>-44.905655000000003</v>
      </c>
      <c r="AR80">
        <v>13.384922093797449</v>
      </c>
      <c r="AS80" t="s">
        <v>65</v>
      </c>
      <c r="AT80">
        <v>1</v>
      </c>
      <c r="AU80" t="s">
        <v>549</v>
      </c>
      <c r="AV80" t="s">
        <v>550</v>
      </c>
      <c r="AW80" t="s">
        <v>60</v>
      </c>
      <c r="AX80" t="s">
        <v>68</v>
      </c>
      <c r="AY80" t="s">
        <v>69</v>
      </c>
      <c r="AZ80" t="b">
        <v>1</v>
      </c>
    </row>
    <row r="81" spans="1:52" x14ac:dyDescent="0.3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190</v>
      </c>
      <c r="G81" t="s">
        <v>551</v>
      </c>
      <c r="H81" t="s">
        <v>552</v>
      </c>
      <c r="I81" t="s">
        <v>552</v>
      </c>
      <c r="J81" t="s">
        <v>60</v>
      </c>
      <c r="K81" t="s">
        <v>388</v>
      </c>
      <c r="L81" t="s">
        <v>62</v>
      </c>
      <c r="M81" t="s">
        <v>388</v>
      </c>
      <c r="N81" t="s">
        <v>553</v>
      </c>
      <c r="O81" t="s">
        <v>315</v>
      </c>
      <c r="P81">
        <v>-20.153086999999999</v>
      </c>
      <c r="Q81">
        <v>-44.905451999999997</v>
      </c>
      <c r="R81" s="2" t="str">
        <f>HYPERLINK("https://www.google.com/maps?q=-20.1530870,-44.9054520","Abrir no Google Maps")</f>
        <v>Abrir no Google Maps</v>
      </c>
      <c r="S81">
        <v>3</v>
      </c>
      <c r="T81">
        <v>313.69387682409018</v>
      </c>
      <c r="U81">
        <v>4</v>
      </c>
      <c r="V81">
        <v>0.31108729378322098</v>
      </c>
      <c r="W81">
        <v>1</v>
      </c>
      <c r="X81">
        <v>0.31108729378322098</v>
      </c>
      <c r="Y81">
        <v>548</v>
      </c>
      <c r="Z81">
        <v>319.51605309906859</v>
      </c>
      <c r="AA81">
        <v>198</v>
      </c>
      <c r="AB81">
        <v>332</v>
      </c>
      <c r="AC81">
        <v>536</v>
      </c>
      <c r="AD81">
        <v>28.41</v>
      </c>
      <c r="AE81">
        <v>542</v>
      </c>
      <c r="AF81">
        <v>20</v>
      </c>
      <c r="AG81">
        <v>180</v>
      </c>
      <c r="AH81">
        <v>129</v>
      </c>
      <c r="AI81">
        <v>3.69</v>
      </c>
      <c r="AJ81">
        <v>33.21</v>
      </c>
      <c r="AK81">
        <v>23.8</v>
      </c>
      <c r="AL81">
        <v>-20.153043049999951</v>
      </c>
      <c r="AM81">
        <v>-44.905348275899513</v>
      </c>
      <c r="AN81">
        <v>-20.153043049999951</v>
      </c>
      <c r="AO81">
        <v>-44.905348275899513</v>
      </c>
      <c r="AP81">
        <v>-20.153086999999999</v>
      </c>
      <c r="AQ81">
        <v>-44.905451999999997</v>
      </c>
      <c r="AR81">
        <v>11.892619975648341</v>
      </c>
      <c r="AS81" t="s">
        <v>65</v>
      </c>
      <c r="AT81">
        <v>1</v>
      </c>
      <c r="AU81" t="s">
        <v>554</v>
      </c>
      <c r="AV81" t="s">
        <v>555</v>
      </c>
      <c r="AW81" t="s">
        <v>60</v>
      </c>
      <c r="AX81" t="s">
        <v>68</v>
      </c>
      <c r="AY81" t="s">
        <v>69</v>
      </c>
      <c r="AZ81" t="b">
        <v>1</v>
      </c>
    </row>
    <row r="82" spans="1:52" x14ac:dyDescent="0.3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190</v>
      </c>
      <c r="G82" t="s">
        <v>556</v>
      </c>
      <c r="H82" t="s">
        <v>557</v>
      </c>
      <c r="I82" t="s">
        <v>557</v>
      </c>
      <c r="J82" t="s">
        <v>60</v>
      </c>
      <c r="K82" t="s">
        <v>388</v>
      </c>
      <c r="L82" t="s">
        <v>62</v>
      </c>
      <c r="M82" t="s">
        <v>388</v>
      </c>
      <c r="N82" t="s">
        <v>558</v>
      </c>
      <c r="O82" t="s">
        <v>559</v>
      </c>
      <c r="P82">
        <v>-20.152670000000001</v>
      </c>
      <c r="Q82">
        <v>-44.902557999999999</v>
      </c>
      <c r="R82" s="2" t="str">
        <f>HYPERLINK("https://www.google.com/maps?q=-20.1526700,-44.9025580","Abrir no Google Maps")</f>
        <v>Abrir no Google Maps</v>
      </c>
      <c r="S82">
        <v>3</v>
      </c>
      <c r="T82">
        <v>228.56195217678911</v>
      </c>
      <c r="U82">
        <v>4</v>
      </c>
      <c r="V82">
        <v>0.31120165422184648</v>
      </c>
      <c r="W82">
        <v>1</v>
      </c>
      <c r="X82">
        <v>0.31120165422184648</v>
      </c>
      <c r="Y82">
        <v>548</v>
      </c>
      <c r="Z82">
        <v>250.63133895224919</v>
      </c>
      <c r="AA82">
        <v>198</v>
      </c>
      <c r="AB82">
        <v>332</v>
      </c>
      <c r="AC82">
        <v>536</v>
      </c>
      <c r="AD82">
        <v>28.41</v>
      </c>
      <c r="AE82">
        <v>542</v>
      </c>
      <c r="AF82">
        <v>20</v>
      </c>
      <c r="AG82">
        <v>180</v>
      </c>
      <c r="AH82">
        <v>129</v>
      </c>
      <c r="AI82">
        <v>3.69</v>
      </c>
      <c r="AJ82">
        <v>33.21</v>
      </c>
      <c r="AK82">
        <v>23.8</v>
      </c>
      <c r="AL82">
        <v>-20.152629799999939</v>
      </c>
      <c r="AM82">
        <v>-44.902604744705201</v>
      </c>
      <c r="AN82">
        <v>-20.152629799999939</v>
      </c>
      <c r="AO82">
        <v>-44.902604744705201</v>
      </c>
      <c r="AP82">
        <v>-20.152670000000001</v>
      </c>
      <c r="AQ82">
        <v>-44.902557999999999</v>
      </c>
      <c r="AR82">
        <v>6.6249428037111509</v>
      </c>
      <c r="AS82" t="s">
        <v>65</v>
      </c>
      <c r="AT82">
        <v>1</v>
      </c>
      <c r="AU82" t="s">
        <v>560</v>
      </c>
      <c r="AV82" t="s">
        <v>561</v>
      </c>
      <c r="AW82" t="s">
        <v>60</v>
      </c>
      <c r="AX82" t="s">
        <v>68</v>
      </c>
      <c r="AY82" t="s">
        <v>69</v>
      </c>
      <c r="AZ82" t="b">
        <v>1</v>
      </c>
    </row>
    <row r="83" spans="1:52" x14ac:dyDescent="0.3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190</v>
      </c>
      <c r="G83" t="s">
        <v>562</v>
      </c>
      <c r="H83" t="s">
        <v>563</v>
      </c>
      <c r="I83" t="s">
        <v>563</v>
      </c>
      <c r="J83" t="s">
        <v>60</v>
      </c>
      <c r="K83" t="s">
        <v>388</v>
      </c>
      <c r="L83" t="s">
        <v>62</v>
      </c>
      <c r="M83" t="s">
        <v>388</v>
      </c>
      <c r="N83" t="s">
        <v>564</v>
      </c>
      <c r="O83" t="s">
        <v>565</v>
      </c>
      <c r="P83">
        <v>-20.154432</v>
      </c>
      <c r="Q83">
        <v>-44.902977999999997</v>
      </c>
      <c r="R83" s="2" t="str">
        <f>HYPERLINK("https://www.google.com/maps?q=-20.1544320,-44.9029780","Abrir no Google Maps")</f>
        <v>Abrir no Google Maps</v>
      </c>
      <c r="S83">
        <v>3</v>
      </c>
      <c r="T83">
        <v>0</v>
      </c>
      <c r="U83">
        <v>4</v>
      </c>
      <c r="V83">
        <v>0.32090410584599338</v>
      </c>
      <c r="W83">
        <v>1</v>
      </c>
      <c r="X83">
        <v>0.32090410584599338</v>
      </c>
      <c r="Y83">
        <v>548</v>
      </c>
      <c r="Z83">
        <v>29.424211042533759</v>
      </c>
      <c r="AA83">
        <v>198</v>
      </c>
      <c r="AB83">
        <v>332</v>
      </c>
      <c r="AC83">
        <v>536</v>
      </c>
      <c r="AD83">
        <v>28.41</v>
      </c>
      <c r="AE83">
        <v>542</v>
      </c>
      <c r="AF83">
        <v>20</v>
      </c>
      <c r="AG83">
        <v>180</v>
      </c>
      <c r="AH83">
        <v>129</v>
      </c>
      <c r="AI83">
        <v>3.69</v>
      </c>
      <c r="AJ83">
        <v>33.21</v>
      </c>
      <c r="AK83">
        <v>23.8</v>
      </c>
      <c r="AL83">
        <v>-20.15467689999997</v>
      </c>
      <c r="AM83">
        <v>-44.902895281771222</v>
      </c>
      <c r="AN83">
        <v>-20.15467689999997</v>
      </c>
      <c r="AO83">
        <v>-44.902895281771222</v>
      </c>
      <c r="AP83">
        <v>-20.154432</v>
      </c>
      <c r="AQ83">
        <v>-44.902977999999997</v>
      </c>
      <c r="AR83">
        <v>28.5999270636025</v>
      </c>
      <c r="AS83" t="s">
        <v>65</v>
      </c>
      <c r="AT83">
        <v>1</v>
      </c>
      <c r="AU83" t="s">
        <v>566</v>
      </c>
      <c r="AV83" t="s">
        <v>567</v>
      </c>
      <c r="AW83" t="s">
        <v>60</v>
      </c>
      <c r="AX83" t="s">
        <v>68</v>
      </c>
      <c r="AY83" t="s">
        <v>69</v>
      </c>
      <c r="AZ83" t="b">
        <v>1</v>
      </c>
    </row>
    <row r="84" spans="1:52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190</v>
      </c>
      <c r="G84" t="s">
        <v>568</v>
      </c>
      <c r="H84" t="s">
        <v>569</v>
      </c>
      <c r="I84" t="s">
        <v>569</v>
      </c>
      <c r="J84" t="s">
        <v>60</v>
      </c>
      <c r="K84" t="s">
        <v>61</v>
      </c>
      <c r="L84" t="s">
        <v>62</v>
      </c>
      <c r="M84" t="s">
        <v>61</v>
      </c>
      <c r="N84" t="s">
        <v>570</v>
      </c>
      <c r="O84" t="s">
        <v>548</v>
      </c>
      <c r="P84">
        <v>-20.151508</v>
      </c>
      <c r="Q84">
        <v>-44.907826</v>
      </c>
      <c r="R84" s="2" t="str">
        <f>HYPERLINK("https://www.google.com/maps?q=-20.1515080,-44.9078260","Abrir no Google Maps")</f>
        <v>Abrir no Google Maps</v>
      </c>
      <c r="S84">
        <v>3</v>
      </c>
      <c r="T84">
        <v>567.15905416240514</v>
      </c>
      <c r="U84">
        <v>4</v>
      </c>
      <c r="V84">
        <v>0.38515729624465123</v>
      </c>
      <c r="W84">
        <v>0.85</v>
      </c>
      <c r="X84">
        <v>0.32738370180795351</v>
      </c>
      <c r="Y84">
        <v>548</v>
      </c>
      <c r="Z84">
        <v>560.49158010771464</v>
      </c>
      <c r="AA84">
        <v>198</v>
      </c>
      <c r="AB84">
        <v>332</v>
      </c>
      <c r="AC84">
        <v>536</v>
      </c>
      <c r="AD84">
        <v>28.41</v>
      </c>
      <c r="AE84">
        <v>542</v>
      </c>
      <c r="AF84">
        <v>20</v>
      </c>
      <c r="AG84">
        <v>180</v>
      </c>
      <c r="AH84">
        <v>129</v>
      </c>
      <c r="AI84">
        <v>3.69</v>
      </c>
      <c r="AJ84">
        <v>33.21</v>
      </c>
      <c r="AK84">
        <v>23.8</v>
      </c>
      <c r="AL84">
        <v>-20.15211779999996</v>
      </c>
      <c r="AM84">
        <v>-44.907597469593128</v>
      </c>
      <c r="AN84">
        <v>-20.15211779999996</v>
      </c>
      <c r="AO84">
        <v>-44.907597469593128</v>
      </c>
      <c r="AP84">
        <v>-20.151508</v>
      </c>
      <c r="AQ84">
        <v>-44.907826</v>
      </c>
      <c r="AR84">
        <v>71.961597929314735</v>
      </c>
      <c r="AS84" t="s">
        <v>65</v>
      </c>
      <c r="AT84">
        <v>1</v>
      </c>
      <c r="AU84" t="s">
        <v>571</v>
      </c>
      <c r="AV84" t="s">
        <v>572</v>
      </c>
      <c r="AW84" t="s">
        <v>60</v>
      </c>
      <c r="AX84" t="s">
        <v>68</v>
      </c>
      <c r="AY84" t="s">
        <v>69</v>
      </c>
      <c r="AZ84" t="b">
        <v>1</v>
      </c>
    </row>
    <row r="85" spans="1:52" x14ac:dyDescent="0.3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190</v>
      </c>
      <c r="G85" t="s">
        <v>573</v>
      </c>
      <c r="H85" t="s">
        <v>574</v>
      </c>
      <c r="I85" t="s">
        <v>574</v>
      </c>
      <c r="J85" t="s">
        <v>60</v>
      </c>
      <c r="K85" t="s">
        <v>207</v>
      </c>
      <c r="L85" t="s">
        <v>62</v>
      </c>
      <c r="M85" t="s">
        <v>207</v>
      </c>
      <c r="N85" t="s">
        <v>575</v>
      </c>
      <c r="O85" t="s">
        <v>576</v>
      </c>
      <c r="P85">
        <v>-20.121252999999999</v>
      </c>
      <c r="Q85">
        <v>-44.887988999999997</v>
      </c>
      <c r="R85" s="2" t="str">
        <f>HYPERLINK("https://www.google.com/maps?q=-20.1212530,-44.8879890","Abrir no Google Maps")</f>
        <v>Abrir no Google Maps</v>
      </c>
      <c r="S85">
        <v>3</v>
      </c>
      <c r="T85">
        <v>310.5511884274041</v>
      </c>
      <c r="U85">
        <v>4</v>
      </c>
      <c r="V85">
        <v>0.3341303136467863</v>
      </c>
      <c r="W85">
        <v>1</v>
      </c>
      <c r="X85">
        <v>0.3341303136467863</v>
      </c>
      <c r="Y85">
        <v>536</v>
      </c>
      <c r="Z85">
        <v>292.13362593122162</v>
      </c>
      <c r="AA85">
        <v>198</v>
      </c>
      <c r="AB85">
        <v>332</v>
      </c>
      <c r="AC85">
        <v>536</v>
      </c>
      <c r="AD85">
        <v>28.41</v>
      </c>
      <c r="AE85">
        <v>542</v>
      </c>
      <c r="AF85">
        <v>20</v>
      </c>
      <c r="AG85">
        <v>180</v>
      </c>
      <c r="AH85">
        <v>129</v>
      </c>
      <c r="AI85">
        <v>3.69</v>
      </c>
      <c r="AJ85">
        <v>33.21</v>
      </c>
      <c r="AK85">
        <v>23.8</v>
      </c>
      <c r="AL85">
        <v>-20.121103699999939</v>
      </c>
      <c r="AM85">
        <v>-44.888116617806723</v>
      </c>
      <c r="AN85">
        <v>-20.121103699999939</v>
      </c>
      <c r="AO85">
        <v>-44.888116617806723</v>
      </c>
      <c r="AP85">
        <v>-20.121252999999999</v>
      </c>
      <c r="AQ85">
        <v>-44.887988999999997</v>
      </c>
      <c r="AR85">
        <v>21.311159673382519</v>
      </c>
      <c r="AS85" t="s">
        <v>65</v>
      </c>
      <c r="AT85">
        <v>1</v>
      </c>
      <c r="AU85" t="s">
        <v>577</v>
      </c>
      <c r="AV85" t="s">
        <v>578</v>
      </c>
      <c r="AW85" t="s">
        <v>60</v>
      </c>
      <c r="AX85" t="s">
        <v>68</v>
      </c>
      <c r="AY85" t="s">
        <v>69</v>
      </c>
      <c r="AZ85" t="b">
        <v>1</v>
      </c>
    </row>
    <row r="86" spans="1:52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190</v>
      </c>
      <c r="G86" t="s">
        <v>579</v>
      </c>
      <c r="H86" t="s">
        <v>580</v>
      </c>
      <c r="I86" t="s">
        <v>580</v>
      </c>
      <c r="J86" t="s">
        <v>60</v>
      </c>
      <c r="K86" t="s">
        <v>117</v>
      </c>
      <c r="L86" t="s">
        <v>62</v>
      </c>
      <c r="M86" t="s">
        <v>117</v>
      </c>
      <c r="N86" t="s">
        <v>581</v>
      </c>
      <c r="O86" t="s">
        <v>338</v>
      </c>
      <c r="P86">
        <v>-20.119333000000001</v>
      </c>
      <c r="Q86">
        <v>-44.892454999999998</v>
      </c>
      <c r="R86" s="2" t="str">
        <f>HYPERLINK("https://www.google.com/maps?q=-20.1193330,-44.8924550","Abrir no Google Maps")</f>
        <v>Abrir no Google Maps</v>
      </c>
      <c r="S86">
        <v>3</v>
      </c>
      <c r="T86">
        <v>545.06582215852734</v>
      </c>
      <c r="U86">
        <v>4</v>
      </c>
      <c r="V86">
        <v>0.29958071022361998</v>
      </c>
      <c r="W86">
        <v>1</v>
      </c>
      <c r="X86">
        <v>0.29958071022361998</v>
      </c>
      <c r="Y86">
        <v>536</v>
      </c>
      <c r="Z86">
        <v>583.72689769042404</v>
      </c>
      <c r="AA86">
        <v>198</v>
      </c>
      <c r="AB86">
        <v>332</v>
      </c>
      <c r="AC86">
        <v>536</v>
      </c>
      <c r="AD86">
        <v>28.41</v>
      </c>
      <c r="AE86">
        <v>542</v>
      </c>
      <c r="AF86">
        <v>20</v>
      </c>
      <c r="AG86">
        <v>180</v>
      </c>
      <c r="AH86">
        <v>129</v>
      </c>
      <c r="AI86">
        <v>3.69</v>
      </c>
      <c r="AJ86">
        <v>33.21</v>
      </c>
      <c r="AK86">
        <v>23.8</v>
      </c>
      <c r="AL86">
        <v>-20.11966729999995</v>
      </c>
      <c r="AM86">
        <v>-44.892529474102908</v>
      </c>
      <c r="AN86">
        <v>-20.119667299999939</v>
      </c>
      <c r="AO86">
        <v>-44.892529474102908</v>
      </c>
      <c r="AP86">
        <v>-20.119333000000001</v>
      </c>
      <c r="AQ86">
        <v>-44.892454999999998</v>
      </c>
      <c r="AR86">
        <v>38.019750592693072</v>
      </c>
      <c r="AS86" t="s">
        <v>65</v>
      </c>
      <c r="AT86">
        <v>1</v>
      </c>
      <c r="AU86" t="s">
        <v>582</v>
      </c>
      <c r="AV86" t="s">
        <v>583</v>
      </c>
      <c r="AW86" t="s">
        <v>60</v>
      </c>
      <c r="AX86" t="s">
        <v>68</v>
      </c>
      <c r="AY86" t="s">
        <v>69</v>
      </c>
      <c r="AZ86" t="b">
        <v>1</v>
      </c>
    </row>
    <row r="87" spans="1:52" x14ac:dyDescent="0.3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190</v>
      </c>
      <c r="G87" t="s">
        <v>584</v>
      </c>
      <c r="H87" t="s">
        <v>585</v>
      </c>
      <c r="I87" t="s">
        <v>585</v>
      </c>
      <c r="J87" t="s">
        <v>60</v>
      </c>
      <c r="K87" t="s">
        <v>207</v>
      </c>
      <c r="L87" t="s">
        <v>62</v>
      </c>
      <c r="M87" t="s">
        <v>207</v>
      </c>
      <c r="N87" t="s">
        <v>586</v>
      </c>
      <c r="O87" t="s">
        <v>587</v>
      </c>
      <c r="P87">
        <v>-20.122596999999999</v>
      </c>
      <c r="Q87">
        <v>-44.889994999999999</v>
      </c>
      <c r="R87" s="2" t="str">
        <f>HYPERLINK("https://www.google.com/maps?q=-20.1225970,-44.8899950","Abrir no Google Maps")</f>
        <v>Abrir no Google Maps</v>
      </c>
      <c r="S87">
        <v>3</v>
      </c>
      <c r="T87">
        <v>548.23336486960989</v>
      </c>
      <c r="U87">
        <v>4</v>
      </c>
      <c r="V87">
        <v>0.30115348442983358</v>
      </c>
      <c r="W87">
        <v>1</v>
      </c>
      <c r="X87">
        <v>0.30115348442983358</v>
      </c>
      <c r="Y87">
        <v>536</v>
      </c>
      <c r="Z87">
        <v>547.28307523929982</v>
      </c>
      <c r="AA87">
        <v>198</v>
      </c>
      <c r="AB87">
        <v>332</v>
      </c>
      <c r="AC87">
        <v>536</v>
      </c>
      <c r="AD87">
        <v>28.41</v>
      </c>
      <c r="AE87">
        <v>542</v>
      </c>
      <c r="AF87">
        <v>20</v>
      </c>
      <c r="AG87">
        <v>180</v>
      </c>
      <c r="AH87">
        <v>129</v>
      </c>
      <c r="AI87">
        <v>3.69</v>
      </c>
      <c r="AJ87">
        <v>33.21</v>
      </c>
      <c r="AK87">
        <v>23.8</v>
      </c>
      <c r="AL87">
        <v>-20.122693899999941</v>
      </c>
      <c r="AM87">
        <v>-44.890039706276887</v>
      </c>
      <c r="AN87">
        <v>-20.122693899999941</v>
      </c>
      <c r="AO87">
        <v>-44.890039706276887</v>
      </c>
      <c r="AP87">
        <v>-20.122596999999999</v>
      </c>
      <c r="AQ87">
        <v>-44.889994999999999</v>
      </c>
      <c r="AR87">
        <v>11.75557400261394</v>
      </c>
      <c r="AS87" t="s">
        <v>65</v>
      </c>
      <c r="AT87">
        <v>1</v>
      </c>
      <c r="AU87" t="s">
        <v>588</v>
      </c>
      <c r="AV87" t="s">
        <v>589</v>
      </c>
      <c r="AW87" t="s">
        <v>60</v>
      </c>
      <c r="AX87" t="s">
        <v>68</v>
      </c>
      <c r="AY87" t="s">
        <v>69</v>
      </c>
      <c r="AZ87" t="b">
        <v>1</v>
      </c>
    </row>
    <row r="88" spans="1:52" x14ac:dyDescent="0.3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190</v>
      </c>
      <c r="G88" t="s">
        <v>590</v>
      </c>
      <c r="H88" t="s">
        <v>591</v>
      </c>
      <c r="I88" t="s">
        <v>591</v>
      </c>
      <c r="J88" t="s">
        <v>60</v>
      </c>
      <c r="K88" t="s">
        <v>207</v>
      </c>
      <c r="L88" t="s">
        <v>62</v>
      </c>
      <c r="M88" t="s">
        <v>207</v>
      </c>
      <c r="N88" t="s">
        <v>592</v>
      </c>
      <c r="O88" t="s">
        <v>565</v>
      </c>
      <c r="P88">
        <v>-20.118652000000001</v>
      </c>
      <c r="Q88">
        <v>-44.890574999999998</v>
      </c>
      <c r="R88" s="2" t="str">
        <f>HYPERLINK("https://www.google.com/maps?q=-20.1186520,-44.8905750","Abrir no Google Maps")</f>
        <v>Abrir no Google Maps</v>
      </c>
      <c r="S88">
        <v>3</v>
      </c>
      <c r="T88">
        <v>305.97870753615422</v>
      </c>
      <c r="U88">
        <v>4</v>
      </c>
      <c r="V88">
        <v>0.30768857955788859</v>
      </c>
      <c r="W88">
        <v>1</v>
      </c>
      <c r="X88">
        <v>0.30768857955788859</v>
      </c>
      <c r="Y88">
        <v>536</v>
      </c>
      <c r="Z88">
        <v>368.07356795447242</v>
      </c>
      <c r="AA88">
        <v>198</v>
      </c>
      <c r="AB88">
        <v>332</v>
      </c>
      <c r="AC88">
        <v>536</v>
      </c>
      <c r="AD88">
        <v>28.41</v>
      </c>
      <c r="AE88">
        <v>542</v>
      </c>
      <c r="AF88">
        <v>20</v>
      </c>
      <c r="AG88">
        <v>180</v>
      </c>
      <c r="AH88">
        <v>129</v>
      </c>
      <c r="AI88">
        <v>3.69</v>
      </c>
      <c r="AJ88">
        <v>33.21</v>
      </c>
      <c r="AK88">
        <v>23.8</v>
      </c>
      <c r="AL88">
        <v>-20.118589699999941</v>
      </c>
      <c r="AM88">
        <v>-44.890419442196389</v>
      </c>
      <c r="AN88">
        <v>-20.118589699999941</v>
      </c>
      <c r="AO88">
        <v>-44.890419442196389</v>
      </c>
      <c r="AP88">
        <v>-20.118652000000001</v>
      </c>
      <c r="AQ88">
        <v>-44.890574999999998</v>
      </c>
      <c r="AR88">
        <v>17.67731866347437</v>
      </c>
      <c r="AS88" t="s">
        <v>65</v>
      </c>
      <c r="AT88">
        <v>1</v>
      </c>
      <c r="AU88" t="s">
        <v>593</v>
      </c>
      <c r="AV88" t="s">
        <v>594</v>
      </c>
      <c r="AW88" t="s">
        <v>60</v>
      </c>
      <c r="AX88" t="s">
        <v>68</v>
      </c>
      <c r="AY88" t="s">
        <v>69</v>
      </c>
      <c r="AZ88" t="b">
        <v>1</v>
      </c>
    </row>
    <row r="89" spans="1:52" x14ac:dyDescent="0.3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190</v>
      </c>
      <c r="G89" t="s">
        <v>595</v>
      </c>
      <c r="H89" t="s">
        <v>596</v>
      </c>
      <c r="I89" t="s">
        <v>596</v>
      </c>
      <c r="J89" t="s">
        <v>60</v>
      </c>
      <c r="K89" t="s">
        <v>207</v>
      </c>
      <c r="L89" t="s">
        <v>62</v>
      </c>
      <c r="M89" t="s">
        <v>207</v>
      </c>
      <c r="N89" t="s">
        <v>597</v>
      </c>
      <c r="O89" t="s">
        <v>598</v>
      </c>
      <c r="P89">
        <v>-20.118335999999999</v>
      </c>
      <c r="Q89">
        <v>-44.887441000000003</v>
      </c>
      <c r="R89" s="2" t="str">
        <f>HYPERLINK("https://www.google.com/maps?q=-20.1183360,-44.8874410","Abrir no Google Maps")</f>
        <v>Abrir no Google Maps</v>
      </c>
      <c r="S89">
        <v>3</v>
      </c>
      <c r="T89">
        <v>0</v>
      </c>
      <c r="U89">
        <v>4</v>
      </c>
      <c r="V89">
        <v>0.3055838124026557</v>
      </c>
      <c r="W89">
        <v>1</v>
      </c>
      <c r="X89">
        <v>0.3055838124026557</v>
      </c>
      <c r="Y89">
        <v>536</v>
      </c>
      <c r="Z89">
        <v>70.729031566967279</v>
      </c>
      <c r="AA89">
        <v>198</v>
      </c>
      <c r="AB89">
        <v>332</v>
      </c>
      <c r="AC89">
        <v>536</v>
      </c>
      <c r="AD89">
        <v>28.41</v>
      </c>
      <c r="AE89">
        <v>542</v>
      </c>
      <c r="AF89">
        <v>20</v>
      </c>
      <c r="AG89">
        <v>180</v>
      </c>
      <c r="AH89">
        <v>129</v>
      </c>
      <c r="AI89">
        <v>3.69</v>
      </c>
      <c r="AJ89">
        <v>33.21</v>
      </c>
      <c r="AK89">
        <v>23.8</v>
      </c>
      <c r="AL89">
        <v>-20.118357999999969</v>
      </c>
      <c r="AM89">
        <v>-44.88750246616479</v>
      </c>
      <c r="AN89">
        <v>-20.118357999999969</v>
      </c>
      <c r="AO89">
        <v>-44.88750246616479</v>
      </c>
      <c r="AP89">
        <v>-20.118335999999999</v>
      </c>
      <c r="AQ89">
        <v>-44.887441000000003</v>
      </c>
      <c r="AR89">
        <v>6.875853437004074</v>
      </c>
      <c r="AS89" t="s">
        <v>65</v>
      </c>
      <c r="AT89">
        <v>1</v>
      </c>
      <c r="AU89" t="s">
        <v>599</v>
      </c>
      <c r="AV89" t="s">
        <v>600</v>
      </c>
      <c r="AW89" t="s">
        <v>60</v>
      </c>
      <c r="AX89" t="s">
        <v>68</v>
      </c>
      <c r="AY89" t="s">
        <v>69</v>
      </c>
      <c r="AZ89" t="b">
        <v>1</v>
      </c>
    </row>
    <row r="90" spans="1:52" x14ac:dyDescent="0.3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190</v>
      </c>
      <c r="G90" t="s">
        <v>601</v>
      </c>
      <c r="H90" t="s">
        <v>602</v>
      </c>
      <c r="I90" t="s">
        <v>602</v>
      </c>
      <c r="J90" t="s">
        <v>60</v>
      </c>
      <c r="K90" t="s">
        <v>117</v>
      </c>
      <c r="L90" t="s">
        <v>62</v>
      </c>
      <c r="M90" t="s">
        <v>117</v>
      </c>
      <c r="N90" t="s">
        <v>603</v>
      </c>
      <c r="O90" t="s">
        <v>604</v>
      </c>
      <c r="P90">
        <v>-20.122198999999998</v>
      </c>
      <c r="Q90">
        <v>-44.893118999999999</v>
      </c>
      <c r="R90" s="2" t="str">
        <f>HYPERLINK("https://www.google.com/maps?q=-20.1221990,-44.8931190","Abrir no Google Maps")</f>
        <v>Abrir no Google Maps</v>
      </c>
      <c r="S90">
        <v>3</v>
      </c>
      <c r="T90">
        <v>737.41475740297403</v>
      </c>
      <c r="U90">
        <v>4</v>
      </c>
      <c r="V90">
        <v>0.31282021997701359</v>
      </c>
      <c r="W90">
        <v>1</v>
      </c>
      <c r="X90">
        <v>0.31282021997701359</v>
      </c>
      <c r="Y90">
        <v>536</v>
      </c>
      <c r="Z90">
        <v>753.81321098979549</v>
      </c>
      <c r="AA90">
        <v>198</v>
      </c>
      <c r="AB90">
        <v>332</v>
      </c>
      <c r="AC90">
        <v>536</v>
      </c>
      <c r="AD90">
        <v>28.41</v>
      </c>
      <c r="AE90">
        <v>542</v>
      </c>
      <c r="AF90">
        <v>20</v>
      </c>
      <c r="AG90">
        <v>180</v>
      </c>
      <c r="AH90">
        <v>129</v>
      </c>
      <c r="AI90">
        <v>3.69</v>
      </c>
      <c r="AJ90">
        <v>33.21</v>
      </c>
      <c r="AK90">
        <v>23.8</v>
      </c>
      <c r="AL90">
        <v>-20.122192249999959</v>
      </c>
      <c r="AM90">
        <v>-44.893272469204263</v>
      </c>
      <c r="AN90">
        <v>-20.122192249999959</v>
      </c>
      <c r="AO90">
        <v>-44.893272469204263</v>
      </c>
      <c r="AP90">
        <v>-20.122198999999998</v>
      </c>
      <c r="AQ90">
        <v>-44.893118999999999</v>
      </c>
      <c r="AR90">
        <v>16.058980187178161</v>
      </c>
      <c r="AS90" t="s">
        <v>65</v>
      </c>
      <c r="AT90">
        <v>1</v>
      </c>
      <c r="AU90" t="s">
        <v>605</v>
      </c>
      <c r="AV90" t="s">
        <v>606</v>
      </c>
      <c r="AW90" t="s">
        <v>60</v>
      </c>
      <c r="AX90" t="s">
        <v>68</v>
      </c>
      <c r="AY90" t="s">
        <v>69</v>
      </c>
      <c r="AZ90" t="b">
        <v>1</v>
      </c>
    </row>
    <row r="91" spans="1:52" x14ac:dyDescent="0.3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190</v>
      </c>
      <c r="G91" t="s">
        <v>607</v>
      </c>
      <c r="H91" t="s">
        <v>608</v>
      </c>
      <c r="I91" t="s">
        <v>608</v>
      </c>
      <c r="J91" t="s">
        <v>60</v>
      </c>
      <c r="K91" t="s">
        <v>609</v>
      </c>
      <c r="L91" t="s">
        <v>62</v>
      </c>
      <c r="M91" t="s">
        <v>609</v>
      </c>
      <c r="N91" t="s">
        <v>610</v>
      </c>
      <c r="O91" t="s">
        <v>611</v>
      </c>
      <c r="P91">
        <v>-20.110476999999999</v>
      </c>
      <c r="Q91">
        <v>-44.887531000000003</v>
      </c>
      <c r="R91" s="2" t="str">
        <f>HYPERLINK("https://www.google.com/maps?q=-20.1104770,-44.8875310","Abrir no Google Maps")</f>
        <v>Abrir no Google Maps</v>
      </c>
      <c r="S91">
        <v>3</v>
      </c>
      <c r="T91">
        <v>862.67854008986569</v>
      </c>
      <c r="U91">
        <v>4</v>
      </c>
      <c r="V91">
        <v>0.30262038537267621</v>
      </c>
      <c r="W91">
        <v>1</v>
      </c>
      <c r="X91">
        <v>0.30262038537267621</v>
      </c>
      <c r="Y91">
        <v>536</v>
      </c>
      <c r="Z91">
        <v>797.51469292431113</v>
      </c>
      <c r="AA91">
        <v>198</v>
      </c>
      <c r="AB91">
        <v>332</v>
      </c>
      <c r="AC91">
        <v>536</v>
      </c>
      <c r="AD91">
        <v>28.41</v>
      </c>
      <c r="AE91">
        <v>542</v>
      </c>
      <c r="AF91">
        <v>20</v>
      </c>
      <c r="AG91">
        <v>180</v>
      </c>
      <c r="AH91">
        <v>129</v>
      </c>
      <c r="AI91">
        <v>3.69</v>
      </c>
      <c r="AJ91">
        <v>33.21</v>
      </c>
      <c r="AK91">
        <v>23.8</v>
      </c>
      <c r="AL91">
        <v>-20.11057859999994</v>
      </c>
      <c r="AM91">
        <v>-44.888034950185293</v>
      </c>
      <c r="AN91">
        <v>-20.11057859999994</v>
      </c>
      <c r="AO91">
        <v>-44.888034950185293</v>
      </c>
      <c r="AP91">
        <v>-20.110476999999999</v>
      </c>
      <c r="AQ91">
        <v>-44.887531000000003</v>
      </c>
      <c r="AR91">
        <v>53.879824494602957</v>
      </c>
      <c r="AS91" t="s">
        <v>65</v>
      </c>
      <c r="AT91">
        <v>1</v>
      </c>
      <c r="AU91" t="s">
        <v>612</v>
      </c>
      <c r="AV91" t="s">
        <v>613</v>
      </c>
      <c r="AW91" t="s">
        <v>60</v>
      </c>
      <c r="AX91" t="s">
        <v>68</v>
      </c>
      <c r="AY91" t="s">
        <v>69</v>
      </c>
      <c r="AZ91" t="b">
        <v>1</v>
      </c>
    </row>
    <row r="92" spans="1:52" x14ac:dyDescent="0.3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190</v>
      </c>
      <c r="G92" t="s">
        <v>614</v>
      </c>
      <c r="H92" t="s">
        <v>615</v>
      </c>
      <c r="I92" t="s">
        <v>615</v>
      </c>
      <c r="J92" t="s">
        <v>60</v>
      </c>
      <c r="K92" t="s">
        <v>207</v>
      </c>
      <c r="L92" t="s">
        <v>62</v>
      </c>
      <c r="M92" t="s">
        <v>207</v>
      </c>
      <c r="N92" t="s">
        <v>616</v>
      </c>
      <c r="O92" t="s">
        <v>617</v>
      </c>
      <c r="P92">
        <v>-20.123118999999999</v>
      </c>
      <c r="Q92">
        <v>-44.886259000000003</v>
      </c>
      <c r="R92" s="2" t="str">
        <f>HYPERLINK("https://www.google.com/maps?q=-20.1231190,-44.8862590","Abrir no Google Maps")</f>
        <v>Abrir no Google Maps</v>
      </c>
      <c r="S92">
        <v>3</v>
      </c>
      <c r="T92">
        <v>534.91642326845545</v>
      </c>
      <c r="U92">
        <v>4</v>
      </c>
      <c r="V92">
        <v>0.32453797939422141</v>
      </c>
      <c r="W92">
        <v>1</v>
      </c>
      <c r="X92">
        <v>0.32453797939422141</v>
      </c>
      <c r="Y92">
        <v>536</v>
      </c>
      <c r="Z92">
        <v>478.9192959851456</v>
      </c>
      <c r="AA92">
        <v>198</v>
      </c>
      <c r="AB92">
        <v>332</v>
      </c>
      <c r="AC92">
        <v>536</v>
      </c>
      <c r="AD92">
        <v>28.41</v>
      </c>
      <c r="AE92">
        <v>542</v>
      </c>
      <c r="AF92">
        <v>20</v>
      </c>
      <c r="AG92">
        <v>180</v>
      </c>
      <c r="AH92">
        <v>129</v>
      </c>
      <c r="AI92">
        <v>3.69</v>
      </c>
      <c r="AJ92">
        <v>33.21</v>
      </c>
      <c r="AK92">
        <v>23.8</v>
      </c>
      <c r="AL92">
        <v>-20.12305974999995</v>
      </c>
      <c r="AM92">
        <v>-44.886314469108633</v>
      </c>
      <c r="AN92">
        <v>-20.12305974999995</v>
      </c>
      <c r="AO92">
        <v>-44.886314469108633</v>
      </c>
      <c r="AP92">
        <v>-20.123118999999999</v>
      </c>
      <c r="AQ92">
        <v>-44.886259000000003</v>
      </c>
      <c r="AR92">
        <v>8.7817342078334093</v>
      </c>
      <c r="AS92" t="s">
        <v>65</v>
      </c>
      <c r="AT92">
        <v>1</v>
      </c>
      <c r="AU92" t="s">
        <v>618</v>
      </c>
      <c r="AV92" t="s">
        <v>619</v>
      </c>
      <c r="AW92" t="s">
        <v>60</v>
      </c>
      <c r="AX92" t="s">
        <v>68</v>
      </c>
      <c r="AY92" t="s">
        <v>69</v>
      </c>
      <c r="AZ92" t="b">
        <v>1</v>
      </c>
    </row>
    <row r="93" spans="1:52" x14ac:dyDescent="0.3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190</v>
      </c>
      <c r="G93" t="s">
        <v>620</v>
      </c>
      <c r="H93" t="s">
        <v>621</v>
      </c>
      <c r="I93" t="s">
        <v>621</v>
      </c>
      <c r="J93" t="s">
        <v>60</v>
      </c>
      <c r="K93" t="s">
        <v>207</v>
      </c>
      <c r="L93" t="s">
        <v>62</v>
      </c>
      <c r="M93" t="s">
        <v>207</v>
      </c>
      <c r="N93" t="s">
        <v>622</v>
      </c>
      <c r="O93" t="s">
        <v>623</v>
      </c>
      <c r="P93">
        <v>-20.120775999999999</v>
      </c>
      <c r="Q93">
        <v>-44.885562999999998</v>
      </c>
      <c r="R93" s="2" t="str">
        <f>HYPERLINK("https://www.google.com/maps?q=-20.1207760,-44.8855630","Abrir no Google Maps")</f>
        <v>Abrir no Google Maps</v>
      </c>
      <c r="S93">
        <v>3</v>
      </c>
      <c r="T93">
        <v>332.24231777761912</v>
      </c>
      <c r="U93">
        <v>4</v>
      </c>
      <c r="V93">
        <v>0.31713775448402831</v>
      </c>
      <c r="W93">
        <v>1</v>
      </c>
      <c r="X93">
        <v>0.31713775448402831</v>
      </c>
      <c r="Y93">
        <v>536</v>
      </c>
      <c r="Z93">
        <v>255.48165096313261</v>
      </c>
      <c r="AA93">
        <v>198</v>
      </c>
      <c r="AB93">
        <v>332</v>
      </c>
      <c r="AC93">
        <v>536</v>
      </c>
      <c r="AD93">
        <v>28.41</v>
      </c>
      <c r="AE93">
        <v>542</v>
      </c>
      <c r="AF93">
        <v>20</v>
      </c>
      <c r="AG93">
        <v>180</v>
      </c>
      <c r="AH93">
        <v>129</v>
      </c>
      <c r="AI93">
        <v>3.69</v>
      </c>
      <c r="AJ93">
        <v>33.21</v>
      </c>
      <c r="AK93">
        <v>23.8</v>
      </c>
      <c r="AL93">
        <v>-20.120783799999941</v>
      </c>
      <c r="AM93">
        <v>-44.885629603396453</v>
      </c>
      <c r="AN93">
        <v>-20.120783799999941</v>
      </c>
      <c r="AO93">
        <v>-44.885629603396453</v>
      </c>
      <c r="AP93">
        <v>-20.120775999999999</v>
      </c>
      <c r="AQ93">
        <v>-44.885562999999998</v>
      </c>
      <c r="AR93">
        <v>7.0157317818911196</v>
      </c>
      <c r="AS93" t="s">
        <v>65</v>
      </c>
      <c r="AT93">
        <v>1</v>
      </c>
      <c r="AU93" t="s">
        <v>624</v>
      </c>
      <c r="AV93" t="s">
        <v>619</v>
      </c>
      <c r="AW93" t="s">
        <v>60</v>
      </c>
      <c r="AX93" t="s">
        <v>68</v>
      </c>
      <c r="AY93" t="s">
        <v>69</v>
      </c>
      <c r="AZ93" t="b">
        <v>1</v>
      </c>
    </row>
    <row r="94" spans="1:52" x14ac:dyDescent="0.3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190</v>
      </c>
      <c r="G94" t="s">
        <v>625</v>
      </c>
      <c r="H94" t="s">
        <v>626</v>
      </c>
      <c r="I94" t="s">
        <v>626</v>
      </c>
      <c r="J94" t="s">
        <v>60</v>
      </c>
      <c r="K94" t="s">
        <v>193</v>
      </c>
      <c r="L94" t="s">
        <v>62</v>
      </c>
      <c r="M94" t="s">
        <v>193</v>
      </c>
      <c r="N94" t="s">
        <v>627</v>
      </c>
      <c r="O94" t="s">
        <v>628</v>
      </c>
      <c r="P94">
        <v>-20.145171999999999</v>
      </c>
      <c r="Q94">
        <v>-44.916764000000001</v>
      </c>
      <c r="R94" s="2" t="str">
        <f>HYPERLINK("https://www.google.com/maps?q=-20.1451720,-44.9167640","Abrir no Google Maps")</f>
        <v>Abrir no Google Maps</v>
      </c>
      <c r="S94">
        <v>3</v>
      </c>
      <c r="T94">
        <v>0</v>
      </c>
      <c r="U94">
        <v>4</v>
      </c>
      <c r="V94">
        <v>0.29594090971227149</v>
      </c>
      <c r="W94">
        <v>1</v>
      </c>
      <c r="X94">
        <v>0.29594090971227149</v>
      </c>
      <c r="Y94">
        <v>508</v>
      </c>
      <c r="Z94">
        <v>79.403393114466795</v>
      </c>
      <c r="AA94">
        <v>198</v>
      </c>
      <c r="AB94">
        <v>332</v>
      </c>
      <c r="AC94">
        <v>536</v>
      </c>
      <c r="AD94">
        <v>28.41</v>
      </c>
      <c r="AE94">
        <v>542</v>
      </c>
      <c r="AF94">
        <v>20</v>
      </c>
      <c r="AG94">
        <v>180</v>
      </c>
      <c r="AH94">
        <v>129</v>
      </c>
      <c r="AI94">
        <v>3.69</v>
      </c>
      <c r="AJ94">
        <v>33.21</v>
      </c>
      <c r="AK94">
        <v>23.8</v>
      </c>
      <c r="AL94">
        <v>-20.145089199999969</v>
      </c>
      <c r="AM94">
        <v>-44.916788127791321</v>
      </c>
      <c r="AN94">
        <v>-20.145089199999969</v>
      </c>
      <c r="AO94">
        <v>-44.916788127791321</v>
      </c>
      <c r="AP94">
        <v>-20.145171999999999</v>
      </c>
      <c r="AQ94">
        <v>-44.916764000000001</v>
      </c>
      <c r="AR94">
        <v>9.555991267747272</v>
      </c>
      <c r="AS94" t="s">
        <v>65</v>
      </c>
      <c r="AT94">
        <v>1</v>
      </c>
      <c r="AU94" t="s">
        <v>629</v>
      </c>
      <c r="AV94" t="s">
        <v>630</v>
      </c>
      <c r="AW94" t="s">
        <v>60</v>
      </c>
      <c r="AX94" t="s">
        <v>68</v>
      </c>
      <c r="AY94" t="s">
        <v>69</v>
      </c>
      <c r="AZ94" t="b">
        <v>1</v>
      </c>
    </row>
    <row r="95" spans="1:52" x14ac:dyDescent="0.3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190</v>
      </c>
      <c r="G95" t="s">
        <v>631</v>
      </c>
      <c r="H95" t="s">
        <v>632</v>
      </c>
      <c r="I95" t="s">
        <v>632</v>
      </c>
      <c r="J95" t="s">
        <v>60</v>
      </c>
      <c r="K95" t="s">
        <v>530</v>
      </c>
      <c r="L95" t="s">
        <v>62</v>
      </c>
      <c r="M95" t="s">
        <v>530</v>
      </c>
      <c r="N95" t="s">
        <v>633</v>
      </c>
      <c r="O95" t="s">
        <v>634</v>
      </c>
      <c r="P95">
        <v>-20.142136000000001</v>
      </c>
      <c r="Q95">
        <v>-44.893895999999998</v>
      </c>
      <c r="R95" s="2" t="str">
        <f>HYPERLINK("https://www.google.com/maps?q=-20.1421360,-44.8938960","Abrir no Google Maps")</f>
        <v>Abrir no Google Maps</v>
      </c>
      <c r="S95">
        <v>3</v>
      </c>
      <c r="T95">
        <v>252.77776243958951</v>
      </c>
      <c r="U95">
        <v>4</v>
      </c>
      <c r="V95">
        <v>0.35540788806806711</v>
      </c>
      <c r="W95">
        <v>1</v>
      </c>
      <c r="X95">
        <v>0.35540788806806711</v>
      </c>
      <c r="Y95">
        <v>505</v>
      </c>
      <c r="Z95">
        <v>331.79497003706751</v>
      </c>
      <c r="AA95">
        <v>198</v>
      </c>
      <c r="AB95">
        <v>332</v>
      </c>
      <c r="AC95">
        <v>536</v>
      </c>
      <c r="AD95">
        <v>28.41</v>
      </c>
      <c r="AE95">
        <v>542</v>
      </c>
      <c r="AF95">
        <v>20</v>
      </c>
      <c r="AG95">
        <v>180</v>
      </c>
      <c r="AH95">
        <v>129</v>
      </c>
      <c r="AI95">
        <v>3.69</v>
      </c>
      <c r="AJ95">
        <v>33.21</v>
      </c>
      <c r="AK95">
        <v>23.8</v>
      </c>
      <c r="AL95">
        <v>-20.142209999999949</v>
      </c>
      <c r="AM95">
        <v>-44.893919659400702</v>
      </c>
      <c r="AN95">
        <v>-20.142209999999949</v>
      </c>
      <c r="AO95">
        <v>-44.893919659400702</v>
      </c>
      <c r="AP95">
        <v>-20.142136000000001</v>
      </c>
      <c r="AQ95">
        <v>-44.893895999999998</v>
      </c>
      <c r="AR95">
        <v>8.6007875127343159</v>
      </c>
      <c r="AS95" t="s">
        <v>65</v>
      </c>
      <c r="AT95">
        <v>1</v>
      </c>
      <c r="AU95" t="s">
        <v>635</v>
      </c>
      <c r="AV95" t="s">
        <v>636</v>
      </c>
      <c r="AW95" t="s">
        <v>60</v>
      </c>
      <c r="AX95" t="s">
        <v>68</v>
      </c>
      <c r="AY95" t="s">
        <v>69</v>
      </c>
      <c r="AZ95" t="b">
        <v>1</v>
      </c>
    </row>
    <row r="96" spans="1:52" x14ac:dyDescent="0.3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190</v>
      </c>
      <c r="G96" t="s">
        <v>637</v>
      </c>
      <c r="H96" t="s">
        <v>638</v>
      </c>
      <c r="I96" t="s">
        <v>638</v>
      </c>
      <c r="J96" t="s">
        <v>60</v>
      </c>
      <c r="K96" t="s">
        <v>530</v>
      </c>
      <c r="L96" t="s">
        <v>62</v>
      </c>
      <c r="M96" t="s">
        <v>530</v>
      </c>
      <c r="N96" t="s">
        <v>639</v>
      </c>
      <c r="O96" t="s">
        <v>640</v>
      </c>
      <c r="P96">
        <v>-20.143090000000001</v>
      </c>
      <c r="Q96">
        <v>-44.888948999999997</v>
      </c>
      <c r="R96" s="2" t="str">
        <f>HYPERLINK("https://www.google.com/maps?q=-20.1430900,-44.8889490","Abrir no Google Maps")</f>
        <v>Abrir no Google Maps</v>
      </c>
      <c r="S96">
        <v>3</v>
      </c>
      <c r="T96">
        <v>264.88903234377068</v>
      </c>
      <c r="U96">
        <v>4</v>
      </c>
      <c r="V96">
        <v>0.3362185590256665</v>
      </c>
      <c r="W96">
        <v>1</v>
      </c>
      <c r="X96">
        <v>0.3362185590256665</v>
      </c>
      <c r="Y96">
        <v>478</v>
      </c>
      <c r="Z96">
        <v>216.60886577490871</v>
      </c>
      <c r="AA96">
        <v>198</v>
      </c>
      <c r="AB96">
        <v>332</v>
      </c>
      <c r="AC96">
        <v>536</v>
      </c>
      <c r="AD96">
        <v>28.41</v>
      </c>
      <c r="AE96">
        <v>542</v>
      </c>
      <c r="AF96">
        <v>20</v>
      </c>
      <c r="AG96">
        <v>180</v>
      </c>
      <c r="AH96">
        <v>129</v>
      </c>
      <c r="AI96">
        <v>3.69</v>
      </c>
      <c r="AJ96">
        <v>33.21</v>
      </c>
      <c r="AK96">
        <v>23.8</v>
      </c>
      <c r="AL96">
        <v>-20.14306029999997</v>
      </c>
      <c r="AM96">
        <v>-44.889053908028878</v>
      </c>
      <c r="AN96">
        <v>-20.14306029999997</v>
      </c>
      <c r="AO96">
        <v>-44.889053908028878</v>
      </c>
      <c r="AP96">
        <v>-20.143090000000001</v>
      </c>
      <c r="AQ96">
        <v>-44.888948999999997</v>
      </c>
      <c r="AR96">
        <v>11.451710102611671</v>
      </c>
      <c r="AS96" t="s">
        <v>65</v>
      </c>
      <c r="AT96">
        <v>1</v>
      </c>
      <c r="AU96" t="s">
        <v>641</v>
      </c>
      <c r="AV96" t="s">
        <v>642</v>
      </c>
      <c r="AW96" t="s">
        <v>60</v>
      </c>
      <c r="AX96" t="s">
        <v>68</v>
      </c>
      <c r="AY96" t="s">
        <v>69</v>
      </c>
      <c r="AZ96" t="b">
        <v>1</v>
      </c>
    </row>
    <row r="97" spans="1:52" x14ac:dyDescent="0.3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190</v>
      </c>
      <c r="G97" t="s">
        <v>643</v>
      </c>
      <c r="H97" t="s">
        <v>644</v>
      </c>
      <c r="I97" t="s">
        <v>644</v>
      </c>
      <c r="J97" t="s">
        <v>60</v>
      </c>
      <c r="K97" t="s">
        <v>462</v>
      </c>
      <c r="L97" t="s">
        <v>62</v>
      </c>
      <c r="M97" t="s">
        <v>462</v>
      </c>
      <c r="N97" t="s">
        <v>645</v>
      </c>
      <c r="O97" t="s">
        <v>646</v>
      </c>
      <c r="P97">
        <v>-20.138680000000001</v>
      </c>
      <c r="Q97">
        <v>-44.901313000000002</v>
      </c>
      <c r="R97" s="2" t="str">
        <f>HYPERLINK("https://www.google.com/maps?q=-20.1386800,-44.9013130","Abrir no Google Maps")</f>
        <v>Abrir no Google Maps</v>
      </c>
      <c r="S97">
        <v>3</v>
      </c>
      <c r="T97">
        <v>322.91859681380862</v>
      </c>
      <c r="U97">
        <v>4</v>
      </c>
      <c r="V97">
        <v>0.33128432452887979</v>
      </c>
      <c r="W97">
        <v>1</v>
      </c>
      <c r="X97">
        <v>0.33128432452887979</v>
      </c>
      <c r="Y97">
        <v>435</v>
      </c>
      <c r="Z97">
        <v>299.891766434874</v>
      </c>
      <c r="AA97">
        <v>198</v>
      </c>
      <c r="AB97">
        <v>332</v>
      </c>
      <c r="AC97">
        <v>536</v>
      </c>
      <c r="AD97">
        <v>28.41</v>
      </c>
      <c r="AE97">
        <v>542</v>
      </c>
      <c r="AF97">
        <v>20</v>
      </c>
      <c r="AG97">
        <v>180</v>
      </c>
      <c r="AH97">
        <v>129</v>
      </c>
      <c r="AI97">
        <v>3.69</v>
      </c>
      <c r="AJ97">
        <v>33.21</v>
      </c>
      <c r="AK97">
        <v>23.8</v>
      </c>
      <c r="AL97">
        <v>-20.13865734999996</v>
      </c>
      <c r="AM97">
        <v>-44.901255803238627</v>
      </c>
      <c r="AN97">
        <v>-20.13865734999996</v>
      </c>
      <c r="AO97">
        <v>-44.901255803238627</v>
      </c>
      <c r="AP97">
        <v>-20.138680000000001</v>
      </c>
      <c r="AQ97">
        <v>-44.901313000000002</v>
      </c>
      <c r="AR97">
        <v>6.4878640135702481</v>
      </c>
      <c r="AS97" t="s">
        <v>65</v>
      </c>
      <c r="AT97">
        <v>1</v>
      </c>
      <c r="AU97" t="s">
        <v>647</v>
      </c>
      <c r="AV97" t="s">
        <v>648</v>
      </c>
      <c r="AW97" t="s">
        <v>60</v>
      </c>
      <c r="AX97" t="s">
        <v>68</v>
      </c>
      <c r="AY97" t="s">
        <v>69</v>
      </c>
      <c r="AZ97" t="b">
        <v>1</v>
      </c>
    </row>
    <row r="98" spans="1:52" x14ac:dyDescent="0.3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190</v>
      </c>
      <c r="G98" t="s">
        <v>649</v>
      </c>
      <c r="H98" t="s">
        <v>650</v>
      </c>
      <c r="I98" t="s">
        <v>650</v>
      </c>
      <c r="J98" t="s">
        <v>60</v>
      </c>
      <c r="K98" t="s">
        <v>651</v>
      </c>
      <c r="L98" t="s">
        <v>62</v>
      </c>
      <c r="M98" t="s">
        <v>651</v>
      </c>
      <c r="N98" t="s">
        <v>652</v>
      </c>
      <c r="O98" t="s">
        <v>653</v>
      </c>
      <c r="P98">
        <v>-20.134566</v>
      </c>
      <c r="Q98">
        <v>-44.894970999999998</v>
      </c>
      <c r="R98" s="2" t="str">
        <f>HYPERLINK("https://www.google.com/maps?q=-20.1345660,-44.8949710","Abrir no Google Maps")</f>
        <v>Abrir no Google Maps</v>
      </c>
      <c r="S98">
        <v>3</v>
      </c>
      <c r="T98">
        <v>722.088947634291</v>
      </c>
      <c r="U98">
        <v>4</v>
      </c>
      <c r="V98">
        <v>0.34110269454964931</v>
      </c>
      <c r="W98">
        <v>1</v>
      </c>
      <c r="X98">
        <v>0.34110269454964931</v>
      </c>
      <c r="Y98">
        <v>435</v>
      </c>
      <c r="Z98">
        <v>510.93480096112631</v>
      </c>
      <c r="AA98">
        <v>198</v>
      </c>
      <c r="AB98">
        <v>332</v>
      </c>
      <c r="AC98">
        <v>536</v>
      </c>
      <c r="AD98">
        <v>28.41</v>
      </c>
      <c r="AE98">
        <v>542</v>
      </c>
      <c r="AF98">
        <v>20</v>
      </c>
      <c r="AG98">
        <v>180</v>
      </c>
      <c r="AH98">
        <v>129</v>
      </c>
      <c r="AI98">
        <v>3.69</v>
      </c>
      <c r="AJ98">
        <v>33.21</v>
      </c>
      <c r="AK98">
        <v>23.8</v>
      </c>
      <c r="AL98">
        <v>-20.134477649999951</v>
      </c>
      <c r="AM98">
        <v>-44.894921468906077</v>
      </c>
      <c r="AN98">
        <v>-20.134477649999951</v>
      </c>
      <c r="AO98">
        <v>-44.894921468906077</v>
      </c>
      <c r="AP98">
        <v>-20.134566</v>
      </c>
      <c r="AQ98">
        <v>-44.894970999999998</v>
      </c>
      <c r="AR98">
        <v>11.114372522967921</v>
      </c>
      <c r="AS98" t="s">
        <v>65</v>
      </c>
      <c r="AT98">
        <v>1</v>
      </c>
      <c r="AU98" t="s">
        <v>654</v>
      </c>
      <c r="AV98" t="s">
        <v>655</v>
      </c>
      <c r="AW98" t="s">
        <v>60</v>
      </c>
      <c r="AX98" t="s">
        <v>68</v>
      </c>
      <c r="AY98" t="s">
        <v>69</v>
      </c>
      <c r="AZ98" t="b">
        <v>1</v>
      </c>
    </row>
    <row r="99" spans="1:52" x14ac:dyDescent="0.3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190</v>
      </c>
      <c r="G99" t="s">
        <v>656</v>
      </c>
      <c r="H99" t="s">
        <v>657</v>
      </c>
      <c r="I99" t="s">
        <v>657</v>
      </c>
      <c r="J99" t="s">
        <v>60</v>
      </c>
      <c r="K99" t="s">
        <v>651</v>
      </c>
      <c r="L99" t="s">
        <v>62</v>
      </c>
      <c r="M99" t="s">
        <v>651</v>
      </c>
      <c r="N99" t="s">
        <v>658</v>
      </c>
      <c r="O99" t="s">
        <v>659</v>
      </c>
      <c r="P99">
        <v>-20.134922</v>
      </c>
      <c r="Q99">
        <v>-44.893098000000002</v>
      </c>
      <c r="R99" s="2" t="str">
        <f>HYPERLINK("https://www.google.com/maps?q=-20.1349220,-44.8930980","Abrir no Google Maps")</f>
        <v>Abrir no Google Maps</v>
      </c>
      <c r="S99">
        <v>3</v>
      </c>
      <c r="T99">
        <v>589.83980259734562</v>
      </c>
      <c r="U99">
        <v>4</v>
      </c>
      <c r="V99">
        <v>0.34855436125054101</v>
      </c>
      <c r="W99">
        <v>1</v>
      </c>
      <c r="X99">
        <v>0.34855436125054101</v>
      </c>
      <c r="Y99">
        <v>435</v>
      </c>
      <c r="Z99">
        <v>663.80986080131709</v>
      </c>
      <c r="AA99">
        <v>198</v>
      </c>
      <c r="AB99">
        <v>332</v>
      </c>
      <c r="AC99">
        <v>536</v>
      </c>
      <c r="AD99">
        <v>28.41</v>
      </c>
      <c r="AE99">
        <v>542</v>
      </c>
      <c r="AF99">
        <v>20</v>
      </c>
      <c r="AG99">
        <v>180</v>
      </c>
      <c r="AH99">
        <v>129</v>
      </c>
      <c r="AI99">
        <v>3.69</v>
      </c>
      <c r="AJ99">
        <v>33.21</v>
      </c>
      <c r="AK99">
        <v>23.8</v>
      </c>
      <c r="AL99">
        <v>-20.135021049999949</v>
      </c>
      <c r="AM99">
        <v>-44.893227478208203</v>
      </c>
      <c r="AN99">
        <v>-20.135021049999949</v>
      </c>
      <c r="AO99">
        <v>-44.893227478208203</v>
      </c>
      <c r="AP99">
        <v>-20.134922</v>
      </c>
      <c r="AQ99">
        <v>-44.893098000000002</v>
      </c>
      <c r="AR99">
        <v>17.455940349902249</v>
      </c>
      <c r="AS99" t="s">
        <v>65</v>
      </c>
      <c r="AT99">
        <v>1</v>
      </c>
      <c r="AU99" t="s">
        <v>660</v>
      </c>
      <c r="AV99" t="s">
        <v>661</v>
      </c>
      <c r="AW99" t="s">
        <v>60</v>
      </c>
      <c r="AX99" t="s">
        <v>68</v>
      </c>
      <c r="AY99" t="s">
        <v>69</v>
      </c>
      <c r="AZ99" t="b">
        <v>1</v>
      </c>
    </row>
    <row r="100" spans="1:52" x14ac:dyDescent="0.3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190</v>
      </c>
      <c r="G100" t="s">
        <v>662</v>
      </c>
      <c r="H100" t="s">
        <v>663</v>
      </c>
      <c r="I100" t="s">
        <v>663</v>
      </c>
      <c r="J100" t="s">
        <v>60</v>
      </c>
      <c r="K100" t="s">
        <v>664</v>
      </c>
      <c r="L100" t="s">
        <v>62</v>
      </c>
      <c r="M100" t="s">
        <v>664</v>
      </c>
      <c r="N100" t="s">
        <v>665</v>
      </c>
      <c r="O100" t="s">
        <v>666</v>
      </c>
      <c r="P100">
        <v>-20.13401</v>
      </c>
      <c r="Q100">
        <v>-44.896515999999998</v>
      </c>
      <c r="R100" s="2" t="str">
        <f>HYPERLINK("https://www.google.com/maps?q=-20.1340100,-44.8965160","Abrir no Google Maps")</f>
        <v>Abrir no Google Maps</v>
      </c>
      <c r="S100">
        <v>3</v>
      </c>
      <c r="T100">
        <v>577.93085469739992</v>
      </c>
      <c r="U100">
        <v>4</v>
      </c>
      <c r="V100">
        <v>0.36483328991563641</v>
      </c>
      <c r="W100">
        <v>0.85</v>
      </c>
      <c r="X100">
        <v>0.31010829642829102</v>
      </c>
      <c r="Y100">
        <v>435</v>
      </c>
      <c r="Z100">
        <v>334.84976208093428</v>
      </c>
      <c r="AA100">
        <v>198</v>
      </c>
      <c r="AB100">
        <v>332</v>
      </c>
      <c r="AC100">
        <v>536</v>
      </c>
      <c r="AD100">
        <v>28.41</v>
      </c>
      <c r="AE100">
        <v>542</v>
      </c>
      <c r="AF100">
        <v>20</v>
      </c>
      <c r="AG100">
        <v>180</v>
      </c>
      <c r="AH100">
        <v>129</v>
      </c>
      <c r="AI100">
        <v>3.69</v>
      </c>
      <c r="AJ100">
        <v>33.21</v>
      </c>
      <c r="AK100">
        <v>23.8</v>
      </c>
      <c r="AL100">
        <v>-20.134194999999949</v>
      </c>
      <c r="AM100">
        <v>-44.896421210298939</v>
      </c>
      <c r="AN100">
        <v>-20.134194999999949</v>
      </c>
      <c r="AO100">
        <v>-44.896421210298939</v>
      </c>
      <c r="AP100">
        <v>-20.13401</v>
      </c>
      <c r="AQ100">
        <v>-44.896515999999998</v>
      </c>
      <c r="AR100">
        <v>22.853284872316269</v>
      </c>
      <c r="AS100" t="s">
        <v>65</v>
      </c>
      <c r="AT100">
        <v>1</v>
      </c>
      <c r="AU100" t="s">
        <v>667</v>
      </c>
      <c r="AV100" t="s">
        <v>668</v>
      </c>
      <c r="AW100" t="s">
        <v>60</v>
      </c>
      <c r="AX100" t="s">
        <v>68</v>
      </c>
      <c r="AY100" t="s">
        <v>69</v>
      </c>
      <c r="AZ100" t="b">
        <v>1</v>
      </c>
    </row>
    <row r="101" spans="1:52" x14ac:dyDescent="0.3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190</v>
      </c>
      <c r="G101" t="s">
        <v>669</v>
      </c>
      <c r="H101" t="s">
        <v>670</v>
      </c>
      <c r="I101" t="s">
        <v>670</v>
      </c>
      <c r="J101" t="s">
        <v>60</v>
      </c>
      <c r="K101" t="s">
        <v>530</v>
      </c>
      <c r="L101" t="s">
        <v>62</v>
      </c>
      <c r="M101" t="s">
        <v>530</v>
      </c>
      <c r="N101" t="s">
        <v>671</v>
      </c>
      <c r="O101" t="s">
        <v>672</v>
      </c>
      <c r="P101">
        <v>-20.139036999999998</v>
      </c>
      <c r="Q101">
        <v>-44.889187</v>
      </c>
      <c r="R101" s="2" t="str">
        <f>HYPERLINK("https://www.google.com/maps?q=-20.1390370,-44.8891870","Abrir no Google Maps")</f>
        <v>Abrir no Google Maps</v>
      </c>
      <c r="S101">
        <v>3</v>
      </c>
      <c r="T101">
        <v>162.03713995333371</v>
      </c>
      <c r="U101">
        <v>4</v>
      </c>
      <c r="V101">
        <v>0.34635498235493167</v>
      </c>
      <c r="W101">
        <v>1</v>
      </c>
      <c r="X101">
        <v>0.34635498235493167</v>
      </c>
      <c r="Y101">
        <v>428</v>
      </c>
      <c r="Z101">
        <v>126.21352118044651</v>
      </c>
      <c r="AA101">
        <v>198</v>
      </c>
      <c r="AB101">
        <v>332</v>
      </c>
      <c r="AC101">
        <v>536</v>
      </c>
      <c r="AD101">
        <v>28.41</v>
      </c>
      <c r="AE101">
        <v>542</v>
      </c>
      <c r="AF101">
        <v>20</v>
      </c>
      <c r="AG101">
        <v>180</v>
      </c>
      <c r="AH101">
        <v>129</v>
      </c>
      <c r="AI101">
        <v>3.69</v>
      </c>
      <c r="AJ101">
        <v>33.21</v>
      </c>
      <c r="AK101">
        <v>23.8</v>
      </c>
      <c r="AL101">
        <v>-20.13900394999996</v>
      </c>
      <c r="AM101">
        <v>-44.889298503583859</v>
      </c>
      <c r="AN101">
        <v>-20.13900394999996</v>
      </c>
      <c r="AO101">
        <v>-44.889298503583859</v>
      </c>
      <c r="AP101">
        <v>-20.139036999999998</v>
      </c>
      <c r="AQ101">
        <v>-44.889187</v>
      </c>
      <c r="AR101">
        <v>12.220642731957311</v>
      </c>
      <c r="AS101" t="s">
        <v>65</v>
      </c>
      <c r="AT101">
        <v>1</v>
      </c>
      <c r="AU101" t="s">
        <v>673</v>
      </c>
      <c r="AV101" t="s">
        <v>674</v>
      </c>
      <c r="AW101" t="s">
        <v>60</v>
      </c>
      <c r="AX101" t="s">
        <v>68</v>
      </c>
      <c r="AY101" t="s">
        <v>69</v>
      </c>
      <c r="AZ101" t="b">
        <v>1</v>
      </c>
    </row>
    <row r="102" spans="1:52" x14ac:dyDescent="0.3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190</v>
      </c>
      <c r="G102" t="s">
        <v>675</v>
      </c>
      <c r="H102" t="s">
        <v>676</v>
      </c>
      <c r="I102" t="s">
        <v>676</v>
      </c>
      <c r="J102" t="s">
        <v>60</v>
      </c>
      <c r="K102" t="s">
        <v>530</v>
      </c>
      <c r="L102" t="s">
        <v>62</v>
      </c>
      <c r="M102" t="s">
        <v>530</v>
      </c>
      <c r="N102" t="s">
        <v>677</v>
      </c>
      <c r="O102" t="s">
        <v>678</v>
      </c>
      <c r="P102">
        <v>-20.140103</v>
      </c>
      <c r="Q102">
        <v>-44.887059999999998</v>
      </c>
      <c r="R102" s="2" t="str">
        <f>HYPERLINK("https://www.google.com/maps?q=-20.1401030,-44.8870600","Abrir no Google Maps")</f>
        <v>Abrir no Google Maps</v>
      </c>
      <c r="S102">
        <v>3</v>
      </c>
      <c r="T102">
        <v>202.19329492684349</v>
      </c>
      <c r="U102">
        <v>4</v>
      </c>
      <c r="V102">
        <v>0.35492794879552508</v>
      </c>
      <c r="W102">
        <v>1</v>
      </c>
      <c r="X102">
        <v>0.35492794879552508</v>
      </c>
      <c r="Y102">
        <v>428</v>
      </c>
      <c r="Z102">
        <v>144.95603883960419</v>
      </c>
      <c r="AA102">
        <v>198</v>
      </c>
      <c r="AB102">
        <v>332</v>
      </c>
      <c r="AC102">
        <v>536</v>
      </c>
      <c r="AD102">
        <v>28.41</v>
      </c>
      <c r="AE102">
        <v>542</v>
      </c>
      <c r="AF102">
        <v>20</v>
      </c>
      <c r="AG102">
        <v>180</v>
      </c>
      <c r="AH102">
        <v>129</v>
      </c>
      <c r="AI102">
        <v>3.69</v>
      </c>
      <c r="AJ102">
        <v>33.21</v>
      </c>
      <c r="AK102">
        <v>23.8</v>
      </c>
      <c r="AL102">
        <v>-20.13997164999995</v>
      </c>
      <c r="AM102">
        <v>-44.887075246455773</v>
      </c>
      <c r="AN102">
        <v>-20.13997164999995</v>
      </c>
      <c r="AO102">
        <v>-44.887075246455773</v>
      </c>
      <c r="AP102">
        <v>-20.140103</v>
      </c>
      <c r="AQ102">
        <v>-44.887059999999998</v>
      </c>
      <c r="AR102">
        <v>14.7084512385181</v>
      </c>
      <c r="AS102" t="s">
        <v>65</v>
      </c>
      <c r="AT102">
        <v>1</v>
      </c>
      <c r="AU102" t="s">
        <v>679</v>
      </c>
      <c r="AV102" t="s">
        <v>680</v>
      </c>
      <c r="AW102" t="s">
        <v>60</v>
      </c>
      <c r="AX102" t="s">
        <v>68</v>
      </c>
      <c r="AY102" t="s">
        <v>69</v>
      </c>
      <c r="AZ102" t="b">
        <v>1</v>
      </c>
    </row>
    <row r="103" spans="1:52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190</v>
      </c>
      <c r="G103" t="s">
        <v>681</v>
      </c>
      <c r="H103" t="s">
        <v>682</v>
      </c>
      <c r="I103" t="s">
        <v>682</v>
      </c>
      <c r="J103" t="s">
        <v>60</v>
      </c>
      <c r="K103" t="s">
        <v>530</v>
      </c>
      <c r="L103" t="s">
        <v>62</v>
      </c>
      <c r="M103" t="s">
        <v>530</v>
      </c>
      <c r="N103" t="s">
        <v>683</v>
      </c>
      <c r="O103" t="s">
        <v>173</v>
      </c>
      <c r="P103">
        <v>-20.138342999999999</v>
      </c>
      <c r="Q103">
        <v>-44.887732</v>
      </c>
      <c r="R103" s="2" t="str">
        <f>HYPERLINK("https://www.google.com/maps?q=-20.1383430,-44.8877320","Abrir no Google Maps")</f>
        <v>Abrir no Google Maps</v>
      </c>
      <c r="S103">
        <v>3</v>
      </c>
      <c r="T103">
        <v>0</v>
      </c>
      <c r="U103">
        <v>4</v>
      </c>
      <c r="V103">
        <v>0.35168467466399528</v>
      </c>
      <c r="W103">
        <v>1</v>
      </c>
      <c r="X103">
        <v>0.35168467466399528</v>
      </c>
      <c r="Y103">
        <v>428</v>
      </c>
      <c r="Z103">
        <v>82.685534812530861</v>
      </c>
      <c r="AA103">
        <v>198</v>
      </c>
      <c r="AB103">
        <v>332</v>
      </c>
      <c r="AC103">
        <v>536</v>
      </c>
      <c r="AD103">
        <v>28.41</v>
      </c>
      <c r="AE103">
        <v>542</v>
      </c>
      <c r="AF103">
        <v>20</v>
      </c>
      <c r="AG103">
        <v>180</v>
      </c>
      <c r="AH103">
        <v>129</v>
      </c>
      <c r="AI103">
        <v>3.69</v>
      </c>
      <c r="AJ103">
        <v>33.21</v>
      </c>
      <c r="AK103">
        <v>23.8</v>
      </c>
      <c r="AL103">
        <v>-20.138329099999961</v>
      </c>
      <c r="AM103">
        <v>-44.887922589375549</v>
      </c>
      <c r="AN103">
        <v>-20.138329099999961</v>
      </c>
      <c r="AO103">
        <v>-44.887922589375549</v>
      </c>
      <c r="AP103">
        <v>-20.138342999999999</v>
      </c>
      <c r="AQ103">
        <v>-44.887732</v>
      </c>
      <c r="AR103">
        <v>19.979335127307191</v>
      </c>
      <c r="AS103" t="s">
        <v>65</v>
      </c>
      <c r="AT103">
        <v>1</v>
      </c>
      <c r="AU103" t="s">
        <v>684</v>
      </c>
      <c r="AV103" t="s">
        <v>685</v>
      </c>
      <c r="AW103" t="s">
        <v>60</v>
      </c>
      <c r="AX103" t="s">
        <v>68</v>
      </c>
      <c r="AY103" t="s">
        <v>69</v>
      </c>
      <c r="AZ103" t="b">
        <v>1</v>
      </c>
    </row>
    <row r="104" spans="1:52" x14ac:dyDescent="0.3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190</v>
      </c>
      <c r="G104" t="s">
        <v>686</v>
      </c>
      <c r="H104" t="s">
        <v>687</v>
      </c>
      <c r="I104" t="s">
        <v>687</v>
      </c>
      <c r="J104" t="s">
        <v>60</v>
      </c>
      <c r="K104" t="s">
        <v>688</v>
      </c>
      <c r="L104" t="s">
        <v>62</v>
      </c>
      <c r="M104" t="s">
        <v>688</v>
      </c>
      <c r="N104" t="s">
        <v>689</v>
      </c>
      <c r="O104" t="s">
        <v>690</v>
      </c>
      <c r="P104">
        <v>-20.136451999999998</v>
      </c>
      <c r="Q104">
        <v>-44.891254000000004</v>
      </c>
      <c r="R104" s="2" t="str">
        <f>HYPERLINK("https://www.google.com/maps?q=-20.1364520,-44.8912540","Abrir no Google Maps")</f>
        <v>Abrir no Google Maps</v>
      </c>
      <c r="S104">
        <v>3</v>
      </c>
      <c r="T104">
        <v>397.58661308638909</v>
      </c>
      <c r="U104">
        <v>4</v>
      </c>
      <c r="V104">
        <v>0.35576419868948078</v>
      </c>
      <c r="W104">
        <v>1</v>
      </c>
      <c r="X104">
        <v>0.35576419868948078</v>
      </c>
      <c r="Y104">
        <v>428</v>
      </c>
      <c r="Z104">
        <v>449.62002896840892</v>
      </c>
      <c r="AA104">
        <v>198</v>
      </c>
      <c r="AB104">
        <v>332</v>
      </c>
      <c r="AC104">
        <v>536</v>
      </c>
      <c r="AD104">
        <v>28.41</v>
      </c>
      <c r="AE104">
        <v>542</v>
      </c>
      <c r="AF104">
        <v>20</v>
      </c>
      <c r="AG104">
        <v>180</v>
      </c>
      <c r="AH104">
        <v>129</v>
      </c>
      <c r="AI104">
        <v>3.69</v>
      </c>
      <c r="AJ104">
        <v>33.21</v>
      </c>
      <c r="AK104">
        <v>23.8</v>
      </c>
      <c r="AL104">
        <v>-20.136400499999951</v>
      </c>
      <c r="AM104">
        <v>-44.891173264034883</v>
      </c>
      <c r="AN104">
        <v>-20.136400499999951</v>
      </c>
      <c r="AO104">
        <v>-44.891173264034883</v>
      </c>
      <c r="AP104">
        <v>-20.136451999999998</v>
      </c>
      <c r="AQ104">
        <v>-44.891254000000004</v>
      </c>
      <c r="AR104">
        <v>10.20146066113916</v>
      </c>
      <c r="AS104" t="s">
        <v>65</v>
      </c>
      <c r="AT104">
        <v>1</v>
      </c>
      <c r="AU104" t="s">
        <v>691</v>
      </c>
      <c r="AV104" t="s">
        <v>692</v>
      </c>
      <c r="AW104" t="s">
        <v>60</v>
      </c>
      <c r="AX104" t="s">
        <v>68</v>
      </c>
      <c r="AY104" t="s">
        <v>69</v>
      </c>
      <c r="AZ104" t="b">
        <v>1</v>
      </c>
    </row>
    <row r="105" spans="1:52" x14ac:dyDescent="0.3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190</v>
      </c>
      <c r="G105" t="s">
        <v>693</v>
      </c>
      <c r="H105" t="s">
        <v>694</v>
      </c>
      <c r="I105" t="s">
        <v>694</v>
      </c>
      <c r="J105" t="s">
        <v>60</v>
      </c>
      <c r="K105" t="s">
        <v>695</v>
      </c>
      <c r="L105" t="s">
        <v>62</v>
      </c>
      <c r="M105" t="s">
        <v>695</v>
      </c>
      <c r="N105" t="s">
        <v>696</v>
      </c>
      <c r="O105" t="s">
        <v>697</v>
      </c>
      <c r="P105">
        <v>-20.174917000000001</v>
      </c>
      <c r="Q105">
        <v>-44.857677000000002</v>
      </c>
      <c r="R105" s="2" t="str">
        <f>HYPERLINK("https://www.google.com/maps?q=-20.1749170,-44.8576770","Abrir no Google Maps")</f>
        <v>Abrir no Google Maps</v>
      </c>
      <c r="S105">
        <v>3</v>
      </c>
      <c r="T105">
        <v>850.52349144267646</v>
      </c>
      <c r="U105">
        <v>4</v>
      </c>
      <c r="V105">
        <v>0.31476277397496299</v>
      </c>
      <c r="W105">
        <v>1</v>
      </c>
      <c r="X105">
        <v>0.31476277397496299</v>
      </c>
      <c r="Y105">
        <v>422</v>
      </c>
      <c r="Z105">
        <v>1042.4685698911451</v>
      </c>
      <c r="AA105">
        <v>198</v>
      </c>
      <c r="AB105">
        <v>332</v>
      </c>
      <c r="AC105">
        <v>536</v>
      </c>
      <c r="AD105">
        <v>28.41</v>
      </c>
      <c r="AE105">
        <v>542</v>
      </c>
      <c r="AF105">
        <v>20</v>
      </c>
      <c r="AG105">
        <v>180</v>
      </c>
      <c r="AH105">
        <v>129</v>
      </c>
      <c r="AI105">
        <v>3.69</v>
      </c>
      <c r="AJ105">
        <v>33.21</v>
      </c>
      <c r="AK105">
        <v>23.8</v>
      </c>
      <c r="AL105">
        <v>-20.17483459999994</v>
      </c>
      <c r="AM105">
        <v>-44.857715667542379</v>
      </c>
      <c r="AN105">
        <v>-20.17483459999994</v>
      </c>
      <c r="AO105">
        <v>-44.857715667542379</v>
      </c>
      <c r="AP105">
        <v>-20.174917000000001</v>
      </c>
      <c r="AQ105">
        <v>-44.857677000000002</v>
      </c>
      <c r="AR105">
        <v>10.02318555136439</v>
      </c>
      <c r="AS105" t="s">
        <v>65</v>
      </c>
      <c r="AT105">
        <v>1</v>
      </c>
      <c r="AU105" t="s">
        <v>698</v>
      </c>
      <c r="AV105" t="s">
        <v>699</v>
      </c>
      <c r="AW105" t="s">
        <v>60</v>
      </c>
      <c r="AX105" t="s">
        <v>68</v>
      </c>
      <c r="AY105" t="s">
        <v>69</v>
      </c>
      <c r="AZ105" t="b">
        <v>1</v>
      </c>
    </row>
    <row r="106" spans="1:52" x14ac:dyDescent="0.3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190</v>
      </c>
      <c r="G106" t="s">
        <v>700</v>
      </c>
      <c r="H106" t="s">
        <v>701</v>
      </c>
      <c r="I106" t="s">
        <v>701</v>
      </c>
      <c r="J106" t="s">
        <v>60</v>
      </c>
      <c r="K106" t="s">
        <v>702</v>
      </c>
      <c r="L106" t="s">
        <v>62</v>
      </c>
      <c r="M106" t="s">
        <v>702</v>
      </c>
      <c r="N106" t="s">
        <v>703</v>
      </c>
      <c r="O106" t="s">
        <v>315</v>
      </c>
      <c r="P106">
        <v>-20.172599000000002</v>
      </c>
      <c r="Q106">
        <v>-44.85915</v>
      </c>
      <c r="R106" s="2" t="str">
        <f>HYPERLINK("https://www.google.com/maps?q=-20.1725990,-44.8591500","Abrir no Google Maps")</f>
        <v>Abrir no Google Maps</v>
      </c>
      <c r="S106">
        <v>3</v>
      </c>
      <c r="T106">
        <v>665.1003223445598</v>
      </c>
      <c r="U106">
        <v>4</v>
      </c>
      <c r="V106">
        <v>0.31091265480130897</v>
      </c>
      <c r="W106">
        <v>1</v>
      </c>
      <c r="X106">
        <v>0.31091265480130897</v>
      </c>
      <c r="Y106">
        <v>422</v>
      </c>
      <c r="Z106">
        <v>843.09189615634341</v>
      </c>
      <c r="AA106">
        <v>198</v>
      </c>
      <c r="AB106">
        <v>332</v>
      </c>
      <c r="AC106">
        <v>536</v>
      </c>
      <c r="AD106">
        <v>28.41</v>
      </c>
      <c r="AE106">
        <v>542</v>
      </c>
      <c r="AF106">
        <v>20</v>
      </c>
      <c r="AG106">
        <v>180</v>
      </c>
      <c r="AH106">
        <v>129</v>
      </c>
      <c r="AI106">
        <v>3.69</v>
      </c>
      <c r="AJ106">
        <v>33.21</v>
      </c>
      <c r="AK106">
        <v>23.8</v>
      </c>
      <c r="AL106">
        <v>-20.172576899999971</v>
      </c>
      <c r="AM106">
        <v>-44.859040110359317</v>
      </c>
      <c r="AN106">
        <v>-20.172576899999971</v>
      </c>
      <c r="AO106">
        <v>-44.859040110359317</v>
      </c>
      <c r="AP106">
        <v>-20.172599000000002</v>
      </c>
      <c r="AQ106">
        <v>-44.85915</v>
      </c>
      <c r="AR106">
        <v>11.743118835828479</v>
      </c>
      <c r="AS106" t="s">
        <v>65</v>
      </c>
      <c r="AT106">
        <v>1</v>
      </c>
      <c r="AU106" t="s">
        <v>704</v>
      </c>
      <c r="AV106" t="s">
        <v>705</v>
      </c>
      <c r="AW106" t="s">
        <v>60</v>
      </c>
      <c r="AX106" t="s">
        <v>68</v>
      </c>
      <c r="AY106" t="s">
        <v>69</v>
      </c>
      <c r="AZ106" t="b">
        <v>1</v>
      </c>
    </row>
    <row r="107" spans="1:52" x14ac:dyDescent="0.3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190</v>
      </c>
      <c r="G107" t="s">
        <v>706</v>
      </c>
      <c r="H107" t="s">
        <v>707</v>
      </c>
      <c r="I107" t="s">
        <v>707</v>
      </c>
      <c r="J107" t="s">
        <v>60</v>
      </c>
      <c r="K107" t="s">
        <v>708</v>
      </c>
      <c r="L107" t="s">
        <v>62</v>
      </c>
      <c r="M107" t="s">
        <v>708</v>
      </c>
      <c r="N107" t="s">
        <v>709</v>
      </c>
      <c r="O107" t="s">
        <v>710</v>
      </c>
      <c r="P107">
        <v>-20.127054999999999</v>
      </c>
      <c r="Q107">
        <v>-44.872073</v>
      </c>
      <c r="R107" s="2" t="str">
        <f>HYPERLINK("https://www.google.com/maps?q=-20.1270550,-44.8720730","Abrir no Google Maps")</f>
        <v>Abrir no Google Maps</v>
      </c>
      <c r="S107">
        <v>3</v>
      </c>
      <c r="T107">
        <v>395.91108553086929</v>
      </c>
      <c r="U107">
        <v>4</v>
      </c>
      <c r="V107">
        <v>0.31273039134593561</v>
      </c>
      <c r="W107">
        <v>1</v>
      </c>
      <c r="X107">
        <v>0.31273039134593561</v>
      </c>
      <c r="Y107">
        <v>387</v>
      </c>
      <c r="Z107">
        <v>518.31496622382247</v>
      </c>
      <c r="AA107">
        <v>198</v>
      </c>
      <c r="AB107">
        <v>332</v>
      </c>
      <c r="AC107">
        <v>536</v>
      </c>
      <c r="AD107">
        <v>28.41</v>
      </c>
      <c r="AE107">
        <v>542</v>
      </c>
      <c r="AF107">
        <v>20</v>
      </c>
      <c r="AG107">
        <v>180</v>
      </c>
      <c r="AH107">
        <v>129</v>
      </c>
      <c r="AI107">
        <v>3.69</v>
      </c>
      <c r="AJ107">
        <v>33.21</v>
      </c>
      <c r="AK107">
        <v>23.8</v>
      </c>
      <c r="AL107">
        <v>-20.126854749999978</v>
      </c>
      <c r="AM107">
        <v>-44.871712455027861</v>
      </c>
      <c r="AN107">
        <v>-20.126854749999978</v>
      </c>
      <c r="AO107">
        <v>-44.871712455027861</v>
      </c>
      <c r="AP107">
        <v>-20.127054999999999</v>
      </c>
      <c r="AQ107">
        <v>-44.872073</v>
      </c>
      <c r="AR107">
        <v>43.784435535392717</v>
      </c>
      <c r="AS107" t="s">
        <v>65</v>
      </c>
      <c r="AT107">
        <v>1</v>
      </c>
      <c r="AU107" t="s">
        <v>711</v>
      </c>
      <c r="AV107" t="s">
        <v>712</v>
      </c>
      <c r="AW107" t="s">
        <v>60</v>
      </c>
      <c r="AX107" t="s">
        <v>68</v>
      </c>
      <c r="AY107" t="s">
        <v>69</v>
      </c>
      <c r="AZ107" t="b">
        <v>1</v>
      </c>
    </row>
    <row r="108" spans="1:52" x14ac:dyDescent="0.3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190</v>
      </c>
      <c r="G108" t="s">
        <v>713</v>
      </c>
      <c r="H108" t="s">
        <v>714</v>
      </c>
      <c r="I108" t="s">
        <v>714</v>
      </c>
      <c r="J108" t="s">
        <v>60</v>
      </c>
      <c r="K108" t="s">
        <v>708</v>
      </c>
      <c r="L108" t="s">
        <v>62</v>
      </c>
      <c r="M108" t="s">
        <v>708</v>
      </c>
      <c r="N108" t="s">
        <v>715</v>
      </c>
      <c r="O108" t="s">
        <v>604</v>
      </c>
      <c r="P108">
        <v>-20.133372000000001</v>
      </c>
      <c r="Q108">
        <v>-44.878864</v>
      </c>
      <c r="R108" s="2" t="str">
        <f>HYPERLINK("https://www.google.com/maps?q=-20.1333720,-44.8788640","Abrir no Google Maps")</f>
        <v>Abrir no Google Maps</v>
      </c>
      <c r="S108">
        <v>3</v>
      </c>
      <c r="T108">
        <v>719.22842848296966</v>
      </c>
      <c r="U108">
        <v>4</v>
      </c>
      <c r="V108">
        <v>0.33240711031723691</v>
      </c>
      <c r="W108">
        <v>1</v>
      </c>
      <c r="X108">
        <v>0.33240711031723691</v>
      </c>
      <c r="Y108">
        <v>387</v>
      </c>
      <c r="Z108">
        <v>630.8628365125652</v>
      </c>
      <c r="AA108">
        <v>198</v>
      </c>
      <c r="AB108">
        <v>332</v>
      </c>
      <c r="AC108">
        <v>536</v>
      </c>
      <c r="AD108">
        <v>28.41</v>
      </c>
      <c r="AE108">
        <v>542</v>
      </c>
      <c r="AF108">
        <v>20</v>
      </c>
      <c r="AG108">
        <v>180</v>
      </c>
      <c r="AH108">
        <v>129</v>
      </c>
      <c r="AI108">
        <v>3.69</v>
      </c>
      <c r="AJ108">
        <v>33.21</v>
      </c>
      <c r="AK108">
        <v>23.8</v>
      </c>
      <c r="AL108">
        <v>-20.133312349999951</v>
      </c>
      <c r="AM108">
        <v>-44.879452111094892</v>
      </c>
      <c r="AN108">
        <v>-20.133312349999951</v>
      </c>
      <c r="AO108">
        <v>-44.879452111094892</v>
      </c>
      <c r="AP108">
        <v>-20.133372000000001</v>
      </c>
      <c r="AQ108">
        <v>-44.878864</v>
      </c>
      <c r="AR108">
        <v>61.825649864116713</v>
      </c>
      <c r="AS108" t="s">
        <v>65</v>
      </c>
      <c r="AT108">
        <v>1</v>
      </c>
      <c r="AU108" t="s">
        <v>716</v>
      </c>
      <c r="AV108" t="s">
        <v>717</v>
      </c>
      <c r="AW108" t="s">
        <v>60</v>
      </c>
      <c r="AX108" t="s">
        <v>68</v>
      </c>
      <c r="AY108" t="s">
        <v>69</v>
      </c>
      <c r="AZ108" t="b">
        <v>1</v>
      </c>
    </row>
    <row r="109" spans="1:52" x14ac:dyDescent="0.3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190</v>
      </c>
      <c r="G109" t="s">
        <v>718</v>
      </c>
      <c r="H109" t="s">
        <v>719</v>
      </c>
      <c r="I109" t="s">
        <v>719</v>
      </c>
      <c r="J109" t="s">
        <v>60</v>
      </c>
      <c r="K109" t="s">
        <v>708</v>
      </c>
      <c r="L109" t="s">
        <v>62</v>
      </c>
      <c r="M109" t="s">
        <v>708</v>
      </c>
      <c r="N109" t="s">
        <v>720</v>
      </c>
      <c r="O109" t="s">
        <v>721</v>
      </c>
      <c r="P109">
        <v>-20.130344000000001</v>
      </c>
      <c r="Q109">
        <v>-44.878869000000002</v>
      </c>
      <c r="R109" s="2" t="str">
        <f>HYPERLINK("https://www.google.com/maps?q=-20.1303440,-44.8788690","Abrir no Google Maps")</f>
        <v>Abrir no Google Maps</v>
      </c>
      <c r="S109">
        <v>3</v>
      </c>
      <c r="T109">
        <v>556.14753541089829</v>
      </c>
      <c r="U109">
        <v>4</v>
      </c>
      <c r="V109">
        <v>0.3448774195827447</v>
      </c>
      <c r="W109">
        <v>1</v>
      </c>
      <c r="X109">
        <v>0.3448774195827447</v>
      </c>
      <c r="Y109">
        <v>387</v>
      </c>
      <c r="Z109">
        <v>521.53850378132177</v>
      </c>
      <c r="AA109">
        <v>198</v>
      </c>
      <c r="AB109">
        <v>332</v>
      </c>
      <c r="AC109">
        <v>536</v>
      </c>
      <c r="AD109">
        <v>28.41</v>
      </c>
      <c r="AE109">
        <v>542</v>
      </c>
      <c r="AF109">
        <v>20</v>
      </c>
      <c r="AG109">
        <v>180</v>
      </c>
      <c r="AH109">
        <v>129</v>
      </c>
      <c r="AI109">
        <v>3.69</v>
      </c>
      <c r="AJ109">
        <v>33.21</v>
      </c>
      <c r="AK109">
        <v>23.8</v>
      </c>
      <c r="AL109">
        <v>-20.13050289999995</v>
      </c>
      <c r="AM109">
        <v>-44.878831282856943</v>
      </c>
      <c r="AN109">
        <v>-20.13050289999995</v>
      </c>
      <c r="AO109">
        <v>-44.878831282856943</v>
      </c>
      <c r="AP109">
        <v>-20.130344000000001</v>
      </c>
      <c r="AQ109">
        <v>-44.878869000000002</v>
      </c>
      <c r="AR109">
        <v>18.122709277240279</v>
      </c>
      <c r="AS109" t="s">
        <v>65</v>
      </c>
      <c r="AT109">
        <v>1</v>
      </c>
      <c r="AU109" t="s">
        <v>722</v>
      </c>
      <c r="AV109" t="s">
        <v>723</v>
      </c>
      <c r="AW109" t="s">
        <v>60</v>
      </c>
      <c r="AX109" t="s">
        <v>68</v>
      </c>
      <c r="AY109" t="s">
        <v>69</v>
      </c>
      <c r="AZ109" t="b">
        <v>1</v>
      </c>
    </row>
    <row r="110" spans="1:52" x14ac:dyDescent="0.3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190</v>
      </c>
      <c r="G110" t="s">
        <v>724</v>
      </c>
      <c r="H110" t="s">
        <v>725</v>
      </c>
      <c r="I110" t="s">
        <v>725</v>
      </c>
      <c r="J110" t="s">
        <v>60</v>
      </c>
      <c r="K110" t="s">
        <v>708</v>
      </c>
      <c r="L110" t="s">
        <v>62</v>
      </c>
      <c r="M110" t="s">
        <v>708</v>
      </c>
      <c r="N110" t="s">
        <v>726</v>
      </c>
      <c r="O110" t="s">
        <v>727</v>
      </c>
      <c r="P110">
        <v>-20.131702000000001</v>
      </c>
      <c r="Q110">
        <v>-44.873930999999999</v>
      </c>
      <c r="R110" s="2" t="str">
        <f>HYPERLINK("https://www.google.com/maps?q=-20.1317020,-44.8739310","Abrir no Google Maps")</f>
        <v>Abrir no Google Maps</v>
      </c>
      <c r="S110">
        <v>3</v>
      </c>
      <c r="T110">
        <v>207.9085436463628</v>
      </c>
      <c r="U110">
        <v>4</v>
      </c>
      <c r="V110">
        <v>0.31745637257346382</v>
      </c>
      <c r="W110">
        <v>1</v>
      </c>
      <c r="X110">
        <v>0.31745637257346382</v>
      </c>
      <c r="Y110">
        <v>387</v>
      </c>
      <c r="Z110">
        <v>213.98086855276571</v>
      </c>
      <c r="AA110">
        <v>198</v>
      </c>
      <c r="AB110">
        <v>332</v>
      </c>
      <c r="AC110">
        <v>536</v>
      </c>
      <c r="AD110">
        <v>28.41</v>
      </c>
      <c r="AE110">
        <v>542</v>
      </c>
      <c r="AF110">
        <v>20</v>
      </c>
      <c r="AG110">
        <v>180</v>
      </c>
      <c r="AH110">
        <v>129</v>
      </c>
      <c r="AI110">
        <v>3.69</v>
      </c>
      <c r="AJ110">
        <v>33.21</v>
      </c>
      <c r="AK110">
        <v>23.8</v>
      </c>
      <c r="AL110">
        <v>-20.131807549999959</v>
      </c>
      <c r="AM110">
        <v>-44.874039553784442</v>
      </c>
      <c r="AN110">
        <v>-20.131807549999959</v>
      </c>
      <c r="AO110">
        <v>-44.874039553784442</v>
      </c>
      <c r="AP110">
        <v>-20.131702000000001</v>
      </c>
      <c r="AQ110">
        <v>-44.873930999999999</v>
      </c>
      <c r="AR110">
        <v>16.333643574998401</v>
      </c>
      <c r="AS110" t="s">
        <v>65</v>
      </c>
      <c r="AT110">
        <v>1</v>
      </c>
      <c r="AU110" t="s">
        <v>728</v>
      </c>
      <c r="AV110" t="s">
        <v>729</v>
      </c>
      <c r="AW110" t="s">
        <v>60</v>
      </c>
      <c r="AX110" t="s">
        <v>68</v>
      </c>
      <c r="AY110" t="s">
        <v>69</v>
      </c>
      <c r="AZ110" t="b">
        <v>1</v>
      </c>
    </row>
    <row r="111" spans="1:52" x14ac:dyDescent="0.3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190</v>
      </c>
      <c r="G111" t="s">
        <v>706</v>
      </c>
      <c r="H111" t="s">
        <v>730</v>
      </c>
      <c r="I111" t="s">
        <v>730</v>
      </c>
      <c r="J111" t="s">
        <v>60</v>
      </c>
      <c r="K111" t="s">
        <v>708</v>
      </c>
      <c r="L111" t="s">
        <v>62</v>
      </c>
      <c r="M111" t="s">
        <v>708</v>
      </c>
      <c r="N111" t="s">
        <v>709</v>
      </c>
      <c r="O111" t="s">
        <v>731</v>
      </c>
      <c r="P111">
        <v>-20.130037999999999</v>
      </c>
      <c r="Q111">
        <v>-44.873514</v>
      </c>
      <c r="R111" s="2" t="str">
        <f>HYPERLINK("https://www.google.com/maps?q=-20.1300380,-44.8735140","Abrir no Google Maps")</f>
        <v>Abrir no Google Maps</v>
      </c>
      <c r="S111">
        <v>3</v>
      </c>
      <c r="T111">
        <v>0</v>
      </c>
      <c r="U111">
        <v>4</v>
      </c>
      <c r="V111">
        <v>0.3271022479093405</v>
      </c>
      <c r="W111">
        <v>1</v>
      </c>
      <c r="X111">
        <v>0.3271022479093405</v>
      </c>
      <c r="Y111">
        <v>387</v>
      </c>
      <c r="Z111">
        <v>108.0014931591698</v>
      </c>
      <c r="AA111">
        <v>198</v>
      </c>
      <c r="AB111">
        <v>332</v>
      </c>
      <c r="AC111">
        <v>536</v>
      </c>
      <c r="AD111">
        <v>28.41</v>
      </c>
      <c r="AE111">
        <v>542</v>
      </c>
      <c r="AF111">
        <v>20</v>
      </c>
      <c r="AG111">
        <v>180</v>
      </c>
      <c r="AH111">
        <v>129</v>
      </c>
      <c r="AI111">
        <v>3.69</v>
      </c>
      <c r="AJ111">
        <v>33.21</v>
      </c>
      <c r="AK111">
        <v>23.8</v>
      </c>
      <c r="AL111">
        <v>-20.12998944999995</v>
      </c>
      <c r="AM111">
        <v>-44.873538114227337</v>
      </c>
      <c r="AN111">
        <v>-20.12998944999995</v>
      </c>
      <c r="AO111">
        <v>-44.873538114227337</v>
      </c>
      <c r="AP111">
        <v>-20.130037999999999</v>
      </c>
      <c r="AQ111">
        <v>-44.873514</v>
      </c>
      <c r="AR111">
        <v>5.9633928268280867</v>
      </c>
      <c r="AS111" t="s">
        <v>65</v>
      </c>
      <c r="AT111">
        <v>1</v>
      </c>
      <c r="AU111" t="s">
        <v>732</v>
      </c>
      <c r="AV111" t="s">
        <v>733</v>
      </c>
      <c r="AW111" t="s">
        <v>60</v>
      </c>
      <c r="AX111" t="s">
        <v>68</v>
      </c>
      <c r="AY111" t="s">
        <v>69</v>
      </c>
      <c r="AZ111" t="b">
        <v>1</v>
      </c>
    </row>
    <row r="112" spans="1:52" x14ac:dyDescent="0.3">
      <c r="A112" t="s">
        <v>52</v>
      </c>
      <c r="B112" t="s">
        <v>53</v>
      </c>
      <c r="C112" t="s">
        <v>54</v>
      </c>
      <c r="D112" t="s">
        <v>55</v>
      </c>
      <c r="E112" t="s">
        <v>56</v>
      </c>
      <c r="F112" t="s">
        <v>190</v>
      </c>
      <c r="G112" t="s">
        <v>734</v>
      </c>
      <c r="H112" t="s">
        <v>735</v>
      </c>
      <c r="I112" t="s">
        <v>735</v>
      </c>
      <c r="J112" t="s">
        <v>60</v>
      </c>
      <c r="K112" t="s">
        <v>736</v>
      </c>
      <c r="L112" t="s">
        <v>62</v>
      </c>
      <c r="M112" t="s">
        <v>736</v>
      </c>
      <c r="N112" t="s">
        <v>737</v>
      </c>
      <c r="O112" t="s">
        <v>738</v>
      </c>
      <c r="P112">
        <v>-20.113050000000001</v>
      </c>
      <c r="Q112">
        <v>-44.977640999999998</v>
      </c>
      <c r="R112" s="2" t="str">
        <f>HYPERLINK("https://www.google.com/maps?q=-20.1130500,-44.9776410","Abrir no Google Maps")</f>
        <v>Abrir no Google Maps</v>
      </c>
      <c r="S112">
        <v>3</v>
      </c>
      <c r="T112">
        <v>1057.751631532733</v>
      </c>
      <c r="U112">
        <v>4</v>
      </c>
      <c r="V112">
        <v>0.29558717446479371</v>
      </c>
      <c r="W112">
        <v>1</v>
      </c>
      <c r="X112">
        <v>0.29558717446479371</v>
      </c>
      <c r="Y112">
        <v>385</v>
      </c>
      <c r="Z112">
        <v>1001.029655866156</v>
      </c>
      <c r="AA112">
        <v>198</v>
      </c>
      <c r="AB112">
        <v>332</v>
      </c>
      <c r="AC112">
        <v>536</v>
      </c>
      <c r="AD112">
        <v>28.41</v>
      </c>
      <c r="AE112">
        <v>542</v>
      </c>
      <c r="AF112">
        <v>20</v>
      </c>
      <c r="AG112">
        <v>180</v>
      </c>
      <c r="AH112">
        <v>129</v>
      </c>
      <c r="AI112">
        <v>3.69</v>
      </c>
      <c r="AJ112">
        <v>33.21</v>
      </c>
      <c r="AK112">
        <v>23.8</v>
      </c>
      <c r="AL112">
        <v>-20.112977499999939</v>
      </c>
      <c r="AM112">
        <v>-44.977939579895221</v>
      </c>
      <c r="AN112">
        <v>-20.112977499999939</v>
      </c>
      <c r="AO112">
        <v>-44.977939579895221</v>
      </c>
      <c r="AP112">
        <v>-20.113050000000001</v>
      </c>
      <c r="AQ112">
        <v>-44.977640999999998</v>
      </c>
      <c r="AR112">
        <v>32.23754556505741</v>
      </c>
      <c r="AS112" t="s">
        <v>65</v>
      </c>
      <c r="AT112">
        <v>1</v>
      </c>
      <c r="AU112" t="s">
        <v>739</v>
      </c>
      <c r="AV112" t="s">
        <v>740</v>
      </c>
      <c r="AW112" t="s">
        <v>60</v>
      </c>
      <c r="AX112" t="s">
        <v>68</v>
      </c>
      <c r="AY112" t="s">
        <v>69</v>
      </c>
      <c r="AZ112" t="b">
        <v>1</v>
      </c>
    </row>
    <row r="113" spans="1:52" x14ac:dyDescent="0.3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190</v>
      </c>
      <c r="G113" t="s">
        <v>741</v>
      </c>
      <c r="H113" t="s">
        <v>742</v>
      </c>
      <c r="I113" t="s">
        <v>742</v>
      </c>
      <c r="J113" t="s">
        <v>60</v>
      </c>
      <c r="K113" t="s">
        <v>688</v>
      </c>
      <c r="L113" t="s">
        <v>62</v>
      </c>
      <c r="M113" t="s">
        <v>688</v>
      </c>
      <c r="N113" t="s">
        <v>743</v>
      </c>
      <c r="O113" t="s">
        <v>744</v>
      </c>
      <c r="P113">
        <v>-20.136733</v>
      </c>
      <c r="Q113">
        <v>-44.888140999999997</v>
      </c>
      <c r="R113" s="2" t="str">
        <f>HYPERLINK("https://www.google.com/maps?q=-20.1367330,-44.8881410","Abrir no Google Maps")</f>
        <v>Abrir no Google Maps</v>
      </c>
      <c r="S113">
        <v>3</v>
      </c>
      <c r="T113">
        <v>175.84339996559589</v>
      </c>
      <c r="U113">
        <v>4</v>
      </c>
      <c r="V113">
        <v>0.32838369066041079</v>
      </c>
      <c r="W113">
        <v>1</v>
      </c>
      <c r="X113">
        <v>0.32838369066041079</v>
      </c>
      <c r="Y113">
        <v>350</v>
      </c>
      <c r="Z113">
        <v>171.90575296051961</v>
      </c>
      <c r="AA113">
        <v>198</v>
      </c>
      <c r="AB113">
        <v>332</v>
      </c>
      <c r="AC113">
        <v>536</v>
      </c>
      <c r="AD113">
        <v>28.41</v>
      </c>
      <c r="AE113">
        <v>542</v>
      </c>
      <c r="AF113">
        <v>20</v>
      </c>
      <c r="AG113">
        <v>180</v>
      </c>
      <c r="AH113">
        <v>129</v>
      </c>
      <c r="AI113">
        <v>3.69</v>
      </c>
      <c r="AJ113">
        <v>33.21</v>
      </c>
      <c r="AK113">
        <v>23.8</v>
      </c>
      <c r="AL113">
        <v>-20.136726099999979</v>
      </c>
      <c r="AM113">
        <v>-44.888062077766982</v>
      </c>
      <c r="AN113">
        <v>-20.136726099999979</v>
      </c>
      <c r="AO113">
        <v>-44.888062077766982</v>
      </c>
      <c r="AP113">
        <v>-20.136733</v>
      </c>
      <c r="AQ113">
        <v>-44.888140999999997</v>
      </c>
      <c r="AR113">
        <v>8.2842769013797852</v>
      </c>
      <c r="AS113" t="s">
        <v>65</v>
      </c>
      <c r="AT113">
        <v>1</v>
      </c>
      <c r="AU113" t="s">
        <v>745</v>
      </c>
      <c r="AV113" t="s">
        <v>746</v>
      </c>
      <c r="AW113" t="s">
        <v>60</v>
      </c>
      <c r="AX113" t="s">
        <v>68</v>
      </c>
      <c r="AY113" t="s">
        <v>69</v>
      </c>
      <c r="AZ113" t="b">
        <v>1</v>
      </c>
    </row>
    <row r="114" spans="1:52" x14ac:dyDescent="0.3">
      <c r="A114" t="s">
        <v>52</v>
      </c>
      <c r="B114" t="s">
        <v>53</v>
      </c>
      <c r="C114" t="s">
        <v>54</v>
      </c>
      <c r="D114" t="s">
        <v>55</v>
      </c>
      <c r="E114" t="s">
        <v>56</v>
      </c>
      <c r="F114" t="s">
        <v>190</v>
      </c>
      <c r="G114" t="s">
        <v>747</v>
      </c>
      <c r="H114" t="s">
        <v>748</v>
      </c>
      <c r="I114" t="s">
        <v>748</v>
      </c>
      <c r="J114" t="s">
        <v>60</v>
      </c>
      <c r="K114" t="s">
        <v>505</v>
      </c>
      <c r="L114" t="s">
        <v>62</v>
      </c>
      <c r="M114" t="s">
        <v>505</v>
      </c>
      <c r="N114" t="s">
        <v>749</v>
      </c>
      <c r="O114" t="s">
        <v>750</v>
      </c>
      <c r="P114">
        <v>-20.135107000000001</v>
      </c>
      <c r="Q114">
        <v>-44.887521</v>
      </c>
      <c r="R114" s="2" t="str">
        <f>HYPERLINK("https://www.google.com/maps?q=-20.1351070,-44.8875210","Abrir no Google Maps")</f>
        <v>Abrir no Google Maps</v>
      </c>
      <c r="S114">
        <v>3</v>
      </c>
      <c r="T114">
        <v>0</v>
      </c>
      <c r="U114">
        <v>4</v>
      </c>
      <c r="V114">
        <v>0.30882161861053692</v>
      </c>
      <c r="W114">
        <v>1</v>
      </c>
      <c r="X114">
        <v>0.30882161861053692</v>
      </c>
      <c r="Y114">
        <v>350</v>
      </c>
      <c r="Z114">
        <v>162.3716242776689</v>
      </c>
      <c r="AA114">
        <v>198</v>
      </c>
      <c r="AB114">
        <v>332</v>
      </c>
      <c r="AC114">
        <v>536</v>
      </c>
      <c r="AD114">
        <v>28.41</v>
      </c>
      <c r="AE114">
        <v>542</v>
      </c>
      <c r="AF114">
        <v>20</v>
      </c>
      <c r="AG114">
        <v>180</v>
      </c>
      <c r="AH114">
        <v>129</v>
      </c>
      <c r="AI114">
        <v>3.69</v>
      </c>
      <c r="AJ114">
        <v>33.21</v>
      </c>
      <c r="AK114">
        <v>23.8</v>
      </c>
      <c r="AL114">
        <v>-20.13520169999995</v>
      </c>
      <c r="AM114">
        <v>-44.887587176802917</v>
      </c>
      <c r="AN114">
        <v>-20.13520169999995</v>
      </c>
      <c r="AO114">
        <v>-44.887587176802931</v>
      </c>
      <c r="AP114">
        <v>-20.135107000000001</v>
      </c>
      <c r="AQ114">
        <v>-44.887521</v>
      </c>
      <c r="AR114">
        <v>12.608438103029821</v>
      </c>
      <c r="AS114" t="s">
        <v>65</v>
      </c>
      <c r="AT114">
        <v>1</v>
      </c>
      <c r="AU114" t="s">
        <v>751</v>
      </c>
      <c r="AV114" t="s">
        <v>752</v>
      </c>
      <c r="AW114" t="s">
        <v>60</v>
      </c>
      <c r="AX114" t="s">
        <v>68</v>
      </c>
      <c r="AY114" t="s">
        <v>69</v>
      </c>
      <c r="AZ114" t="b">
        <v>1</v>
      </c>
    </row>
    <row r="115" spans="1:52" x14ac:dyDescent="0.3">
      <c r="A115" t="s">
        <v>52</v>
      </c>
      <c r="B115" t="s">
        <v>53</v>
      </c>
      <c r="C115" t="s">
        <v>54</v>
      </c>
      <c r="D115" t="s">
        <v>55</v>
      </c>
      <c r="E115" t="s">
        <v>56</v>
      </c>
      <c r="F115" t="s">
        <v>190</v>
      </c>
      <c r="G115" t="s">
        <v>753</v>
      </c>
      <c r="H115" t="s">
        <v>754</v>
      </c>
      <c r="I115" t="s">
        <v>754</v>
      </c>
      <c r="J115" t="s">
        <v>60</v>
      </c>
      <c r="K115" t="s">
        <v>688</v>
      </c>
      <c r="L115" t="s">
        <v>62</v>
      </c>
      <c r="M115" t="s">
        <v>688</v>
      </c>
      <c r="N115" t="s">
        <v>755</v>
      </c>
      <c r="O115" t="s">
        <v>756</v>
      </c>
      <c r="P115">
        <v>-20.135238000000001</v>
      </c>
      <c r="Q115">
        <v>-44.890405999999999</v>
      </c>
      <c r="R115" s="2" t="str">
        <f>HYPERLINK("https://www.google.com/maps?q=-20.1352380,-44.8904060","Abrir no Google Maps")</f>
        <v>Abrir no Google Maps</v>
      </c>
      <c r="S115">
        <v>3</v>
      </c>
      <c r="T115">
        <v>314.49904475975598</v>
      </c>
      <c r="U115">
        <v>4</v>
      </c>
      <c r="V115">
        <v>0.32177458120269009</v>
      </c>
      <c r="W115">
        <v>1</v>
      </c>
      <c r="X115">
        <v>0.32177458120269009</v>
      </c>
      <c r="Y115">
        <v>350</v>
      </c>
      <c r="Z115">
        <v>443.96798796176353</v>
      </c>
      <c r="AA115">
        <v>198</v>
      </c>
      <c r="AB115">
        <v>332</v>
      </c>
      <c r="AC115">
        <v>536</v>
      </c>
      <c r="AD115">
        <v>28.41</v>
      </c>
      <c r="AE115">
        <v>542</v>
      </c>
      <c r="AF115">
        <v>20</v>
      </c>
      <c r="AG115">
        <v>180</v>
      </c>
      <c r="AH115">
        <v>129</v>
      </c>
      <c r="AI115">
        <v>3.69</v>
      </c>
      <c r="AJ115">
        <v>33.21</v>
      </c>
      <c r="AK115">
        <v>23.8</v>
      </c>
      <c r="AL115">
        <v>-20.134851099999931</v>
      </c>
      <c r="AM115">
        <v>-44.890573293408117</v>
      </c>
      <c r="AN115">
        <v>-20.134851099999931</v>
      </c>
      <c r="AO115">
        <v>-44.890573293408131</v>
      </c>
      <c r="AP115">
        <v>-20.135238000000001</v>
      </c>
      <c r="AQ115">
        <v>-44.890405999999999</v>
      </c>
      <c r="AR115">
        <v>46.483580940434933</v>
      </c>
      <c r="AS115" t="s">
        <v>65</v>
      </c>
      <c r="AT115">
        <v>1</v>
      </c>
      <c r="AU115" t="s">
        <v>757</v>
      </c>
      <c r="AV115" t="s">
        <v>758</v>
      </c>
      <c r="AW115" t="s">
        <v>60</v>
      </c>
      <c r="AX115" t="s">
        <v>68</v>
      </c>
      <c r="AY115" t="s">
        <v>69</v>
      </c>
      <c r="AZ115" t="b">
        <v>1</v>
      </c>
    </row>
    <row r="116" spans="1:52" x14ac:dyDescent="0.3">
      <c r="A116" t="s">
        <v>52</v>
      </c>
      <c r="B116" t="s">
        <v>53</v>
      </c>
      <c r="C116" t="s">
        <v>54</v>
      </c>
      <c r="D116" t="s">
        <v>55</v>
      </c>
      <c r="E116" t="s">
        <v>56</v>
      </c>
      <c r="F116" t="s">
        <v>190</v>
      </c>
      <c r="G116" t="s">
        <v>759</v>
      </c>
      <c r="H116" t="s">
        <v>760</v>
      </c>
      <c r="I116" t="s">
        <v>760</v>
      </c>
      <c r="J116" t="s">
        <v>60</v>
      </c>
      <c r="K116" t="s">
        <v>761</v>
      </c>
      <c r="L116" t="s">
        <v>62</v>
      </c>
      <c r="M116" t="s">
        <v>761</v>
      </c>
      <c r="N116" t="s">
        <v>762</v>
      </c>
      <c r="O116" t="s">
        <v>763</v>
      </c>
      <c r="P116">
        <v>-20.118755</v>
      </c>
      <c r="Q116">
        <v>-44.850627000000003</v>
      </c>
      <c r="R116" s="2" t="str">
        <f>HYPERLINK("https://www.google.com/maps?q=-20.1187550,-44.8506270","Abrir no Google Maps")</f>
        <v>Abrir no Google Maps</v>
      </c>
      <c r="S116">
        <v>3</v>
      </c>
      <c r="T116">
        <v>848.81670834514034</v>
      </c>
      <c r="U116">
        <v>4</v>
      </c>
      <c r="V116">
        <v>0.29575146270813168</v>
      </c>
      <c r="W116">
        <v>1</v>
      </c>
      <c r="X116">
        <v>0.29575146270813168</v>
      </c>
      <c r="Y116">
        <v>350</v>
      </c>
      <c r="Z116">
        <v>443.51354125420028</v>
      </c>
      <c r="AA116">
        <v>198</v>
      </c>
      <c r="AB116">
        <v>332</v>
      </c>
      <c r="AC116">
        <v>536</v>
      </c>
      <c r="AD116">
        <v>28.41</v>
      </c>
      <c r="AE116">
        <v>542</v>
      </c>
      <c r="AF116">
        <v>20</v>
      </c>
      <c r="AG116">
        <v>180</v>
      </c>
      <c r="AH116">
        <v>129</v>
      </c>
      <c r="AI116">
        <v>3.69</v>
      </c>
      <c r="AJ116">
        <v>33.21</v>
      </c>
      <c r="AK116">
        <v>23.8</v>
      </c>
      <c r="AL116">
        <v>-20.11882464999994</v>
      </c>
      <c r="AM116">
        <v>-44.850497004056017</v>
      </c>
      <c r="AN116">
        <v>-20.11882464999994</v>
      </c>
      <c r="AO116">
        <v>-44.850497004056017</v>
      </c>
      <c r="AP116">
        <v>-20.118755</v>
      </c>
      <c r="AQ116">
        <v>-44.850627000000003</v>
      </c>
      <c r="AR116">
        <v>15.6445928866994</v>
      </c>
      <c r="AS116" t="s">
        <v>65</v>
      </c>
      <c r="AT116">
        <v>1</v>
      </c>
      <c r="AU116" t="s">
        <v>764</v>
      </c>
      <c r="AV116" t="s">
        <v>765</v>
      </c>
      <c r="AW116" t="s">
        <v>60</v>
      </c>
      <c r="AX116" t="s">
        <v>68</v>
      </c>
      <c r="AY116" t="s">
        <v>69</v>
      </c>
      <c r="AZ116" t="b">
        <v>1</v>
      </c>
    </row>
    <row r="117" spans="1:52" x14ac:dyDescent="0.3">
      <c r="A117" t="s">
        <v>52</v>
      </c>
      <c r="B117" t="s">
        <v>53</v>
      </c>
      <c r="C117" t="s">
        <v>54</v>
      </c>
      <c r="D117" t="s">
        <v>55</v>
      </c>
      <c r="E117" t="s">
        <v>56</v>
      </c>
      <c r="F117" t="s">
        <v>190</v>
      </c>
      <c r="G117" t="s">
        <v>766</v>
      </c>
      <c r="H117" t="s">
        <v>767</v>
      </c>
      <c r="I117" t="s">
        <v>767</v>
      </c>
      <c r="J117" t="s">
        <v>60</v>
      </c>
      <c r="K117" t="s">
        <v>768</v>
      </c>
      <c r="L117" t="s">
        <v>62</v>
      </c>
      <c r="M117" t="s">
        <v>768</v>
      </c>
      <c r="N117" t="s">
        <v>769</v>
      </c>
      <c r="O117" t="s">
        <v>770</v>
      </c>
      <c r="P117">
        <v>-20.135211000000002</v>
      </c>
      <c r="Q117">
        <v>-44.875359000000003</v>
      </c>
      <c r="R117" s="2" t="str">
        <f>HYPERLINK("https://www.google.com/maps?q=-20.1352110,-44.8753590","Abrir no Google Maps")</f>
        <v>Abrir no Google Maps</v>
      </c>
      <c r="S117">
        <v>3</v>
      </c>
      <c r="T117">
        <v>383.44405482521267</v>
      </c>
      <c r="U117">
        <v>4</v>
      </c>
      <c r="V117">
        <v>0.31656031931291778</v>
      </c>
      <c r="W117">
        <v>1</v>
      </c>
      <c r="X117">
        <v>0.31656031931291778</v>
      </c>
      <c r="Y117">
        <v>332</v>
      </c>
      <c r="Z117">
        <v>219.0766044611764</v>
      </c>
      <c r="AA117">
        <v>198</v>
      </c>
      <c r="AB117">
        <v>332</v>
      </c>
      <c r="AC117">
        <v>536</v>
      </c>
      <c r="AD117">
        <v>28.41</v>
      </c>
      <c r="AE117">
        <v>542</v>
      </c>
      <c r="AF117">
        <v>20</v>
      </c>
      <c r="AG117">
        <v>180</v>
      </c>
      <c r="AH117">
        <v>129</v>
      </c>
      <c r="AI117">
        <v>3.69</v>
      </c>
      <c r="AJ117">
        <v>33.21</v>
      </c>
      <c r="AK117">
        <v>23.8</v>
      </c>
      <c r="AL117">
        <v>-20.135125549999941</v>
      </c>
      <c r="AM117">
        <v>-44.875534947489427</v>
      </c>
      <c r="AN117">
        <v>-20.135125549999941</v>
      </c>
      <c r="AO117">
        <v>-44.875534947489427</v>
      </c>
      <c r="AP117">
        <v>-20.135211000000002</v>
      </c>
      <c r="AQ117">
        <v>-44.875359000000003</v>
      </c>
      <c r="AR117">
        <v>20.703969313709418</v>
      </c>
      <c r="AS117" t="s">
        <v>65</v>
      </c>
      <c r="AT117">
        <v>1</v>
      </c>
      <c r="AU117" t="s">
        <v>771</v>
      </c>
      <c r="AV117" t="s">
        <v>772</v>
      </c>
      <c r="AW117" t="s">
        <v>60</v>
      </c>
      <c r="AX117" t="s">
        <v>68</v>
      </c>
      <c r="AY117" t="s">
        <v>69</v>
      </c>
      <c r="AZ117" t="b">
        <v>1</v>
      </c>
    </row>
    <row r="118" spans="1:52" x14ac:dyDescent="0.3">
      <c r="A118" t="s">
        <v>52</v>
      </c>
      <c r="B118" t="s">
        <v>53</v>
      </c>
      <c r="C118" t="s">
        <v>54</v>
      </c>
      <c r="D118" t="s">
        <v>55</v>
      </c>
      <c r="E118" t="s">
        <v>56</v>
      </c>
      <c r="F118" t="s">
        <v>190</v>
      </c>
      <c r="G118" t="s">
        <v>773</v>
      </c>
      <c r="H118" t="s">
        <v>774</v>
      </c>
      <c r="I118" t="s">
        <v>774</v>
      </c>
      <c r="J118" t="s">
        <v>60</v>
      </c>
      <c r="K118" t="s">
        <v>775</v>
      </c>
      <c r="L118" t="s">
        <v>62</v>
      </c>
      <c r="M118" t="s">
        <v>775</v>
      </c>
      <c r="N118" t="s">
        <v>776</v>
      </c>
      <c r="O118" t="s">
        <v>250</v>
      </c>
      <c r="P118">
        <v>-20.135413</v>
      </c>
      <c r="Q118">
        <v>-44.868969999999997</v>
      </c>
      <c r="R118" s="2" t="str">
        <f>HYPERLINK("https://www.google.com/maps?q=-20.1354130,-44.8689700","Abrir no Google Maps")</f>
        <v>Abrir no Google Maps</v>
      </c>
      <c r="S118">
        <v>3</v>
      </c>
      <c r="T118">
        <v>403.5118397372845</v>
      </c>
      <c r="U118">
        <v>4</v>
      </c>
      <c r="V118">
        <v>0.29661496614286542</v>
      </c>
      <c r="W118">
        <v>1</v>
      </c>
      <c r="X118">
        <v>0.29661496614286542</v>
      </c>
      <c r="Y118">
        <v>332</v>
      </c>
      <c r="Z118">
        <v>455.74614750795899</v>
      </c>
      <c r="AA118">
        <v>198</v>
      </c>
      <c r="AB118">
        <v>332</v>
      </c>
      <c r="AC118">
        <v>536</v>
      </c>
      <c r="AD118">
        <v>28.41</v>
      </c>
      <c r="AE118">
        <v>542</v>
      </c>
      <c r="AF118">
        <v>20</v>
      </c>
      <c r="AG118">
        <v>180</v>
      </c>
      <c r="AH118">
        <v>129</v>
      </c>
      <c r="AI118">
        <v>3.69</v>
      </c>
      <c r="AJ118">
        <v>33.21</v>
      </c>
      <c r="AK118">
        <v>23.8</v>
      </c>
      <c r="AL118">
        <v>-20.13561149999995</v>
      </c>
      <c r="AM118">
        <v>-44.868817260088647</v>
      </c>
      <c r="AN118">
        <v>-20.13561149999995</v>
      </c>
      <c r="AO118">
        <v>-44.868817260088647</v>
      </c>
      <c r="AP118">
        <v>-20.135413</v>
      </c>
      <c r="AQ118">
        <v>-44.868969999999997</v>
      </c>
      <c r="AR118">
        <v>27.26024434808955</v>
      </c>
      <c r="AS118" t="s">
        <v>65</v>
      </c>
      <c r="AT118">
        <v>1</v>
      </c>
      <c r="AU118" t="s">
        <v>777</v>
      </c>
      <c r="AV118" t="s">
        <v>778</v>
      </c>
      <c r="AW118" t="s">
        <v>60</v>
      </c>
      <c r="AX118" t="s">
        <v>68</v>
      </c>
      <c r="AY118" t="s">
        <v>69</v>
      </c>
      <c r="AZ118" t="b">
        <v>1</v>
      </c>
    </row>
    <row r="119" spans="1:52" x14ac:dyDescent="0.3">
      <c r="A119" t="s">
        <v>52</v>
      </c>
      <c r="B119" t="s">
        <v>53</v>
      </c>
      <c r="C119" t="s">
        <v>54</v>
      </c>
      <c r="D119" t="s">
        <v>55</v>
      </c>
      <c r="E119" t="s">
        <v>56</v>
      </c>
      <c r="F119" t="s">
        <v>190</v>
      </c>
      <c r="G119" t="s">
        <v>779</v>
      </c>
      <c r="H119" t="s">
        <v>780</v>
      </c>
      <c r="I119" t="s">
        <v>780</v>
      </c>
      <c r="J119" t="s">
        <v>60</v>
      </c>
      <c r="K119" t="s">
        <v>781</v>
      </c>
      <c r="L119" t="s">
        <v>62</v>
      </c>
      <c r="M119" t="s">
        <v>781</v>
      </c>
      <c r="N119" t="s">
        <v>782</v>
      </c>
      <c r="O119" t="s">
        <v>783</v>
      </c>
      <c r="P119">
        <v>-20.137938999999999</v>
      </c>
      <c r="Q119">
        <v>-44.865873000000001</v>
      </c>
      <c r="R119" s="2" t="str">
        <f>HYPERLINK("https://www.google.com/maps?q=-20.1379390,-44.8658730","Abrir no Google Maps")</f>
        <v>Abrir no Google Maps</v>
      </c>
      <c r="S119">
        <v>3</v>
      </c>
      <c r="T119">
        <v>663.24596349877265</v>
      </c>
      <c r="U119">
        <v>4</v>
      </c>
      <c r="V119">
        <v>0.29957249979882461</v>
      </c>
      <c r="W119">
        <v>1</v>
      </c>
      <c r="X119">
        <v>0.29957249979882461</v>
      </c>
      <c r="Y119">
        <v>332</v>
      </c>
      <c r="Z119">
        <v>724.72470227972997</v>
      </c>
      <c r="AA119">
        <v>198</v>
      </c>
      <c r="AB119">
        <v>332</v>
      </c>
      <c r="AC119">
        <v>536</v>
      </c>
      <c r="AD119">
        <v>28.41</v>
      </c>
      <c r="AE119">
        <v>542</v>
      </c>
      <c r="AF119">
        <v>20</v>
      </c>
      <c r="AG119">
        <v>180</v>
      </c>
      <c r="AH119">
        <v>129</v>
      </c>
      <c r="AI119">
        <v>3.69</v>
      </c>
      <c r="AJ119">
        <v>33.21</v>
      </c>
      <c r="AK119">
        <v>23.8</v>
      </c>
      <c r="AL119">
        <v>-20.137865449999961</v>
      </c>
      <c r="AM119">
        <v>-44.866141027847057</v>
      </c>
      <c r="AN119">
        <v>-20.137865449999961</v>
      </c>
      <c r="AO119">
        <v>-44.866141027847057</v>
      </c>
      <c r="AP119">
        <v>-20.137938999999999</v>
      </c>
      <c r="AQ119">
        <v>-44.865873000000001</v>
      </c>
      <c r="AR119">
        <v>29.184856191831059</v>
      </c>
      <c r="AS119" t="s">
        <v>65</v>
      </c>
      <c r="AT119">
        <v>1</v>
      </c>
      <c r="AU119" t="s">
        <v>784</v>
      </c>
      <c r="AV119" t="s">
        <v>785</v>
      </c>
      <c r="AW119" t="s">
        <v>60</v>
      </c>
      <c r="AX119" t="s">
        <v>68</v>
      </c>
      <c r="AY119" t="s">
        <v>69</v>
      </c>
      <c r="AZ119" t="b">
        <v>1</v>
      </c>
    </row>
    <row r="120" spans="1:52" x14ac:dyDescent="0.3">
      <c r="A120" t="s">
        <v>52</v>
      </c>
      <c r="B120" t="s">
        <v>53</v>
      </c>
      <c r="C120" t="s">
        <v>54</v>
      </c>
      <c r="D120" t="s">
        <v>55</v>
      </c>
      <c r="E120" t="s">
        <v>56</v>
      </c>
      <c r="F120" t="s">
        <v>190</v>
      </c>
      <c r="G120" t="s">
        <v>607</v>
      </c>
      <c r="H120" t="s">
        <v>786</v>
      </c>
      <c r="I120" t="s">
        <v>786</v>
      </c>
      <c r="J120" t="s">
        <v>60</v>
      </c>
      <c r="K120" t="s">
        <v>609</v>
      </c>
      <c r="L120" t="s">
        <v>62</v>
      </c>
      <c r="M120" t="s">
        <v>609</v>
      </c>
      <c r="N120" t="s">
        <v>610</v>
      </c>
      <c r="O120" t="s">
        <v>315</v>
      </c>
      <c r="P120">
        <v>-20.108561999999999</v>
      </c>
      <c r="Q120">
        <v>-44.883811000000001</v>
      </c>
      <c r="R120" s="2" t="str">
        <f>HYPERLINK("https://www.google.com/maps?q=-20.1085620,-44.8838110","Abrir no Google Maps")</f>
        <v>Abrir no Google Maps</v>
      </c>
      <c r="S120">
        <v>3</v>
      </c>
      <c r="T120">
        <v>875.82813532572072</v>
      </c>
      <c r="U120">
        <v>4</v>
      </c>
      <c r="V120">
        <v>0.30098932227490482</v>
      </c>
      <c r="W120">
        <v>1</v>
      </c>
      <c r="X120">
        <v>0.30098932227490482</v>
      </c>
      <c r="Y120">
        <v>314</v>
      </c>
      <c r="Z120">
        <v>824.504668554717</v>
      </c>
      <c r="AA120">
        <v>198</v>
      </c>
      <c r="AB120">
        <v>332</v>
      </c>
      <c r="AC120">
        <v>536</v>
      </c>
      <c r="AD120">
        <v>28.41</v>
      </c>
      <c r="AE120">
        <v>542</v>
      </c>
      <c r="AF120">
        <v>20</v>
      </c>
      <c r="AG120">
        <v>180</v>
      </c>
      <c r="AH120">
        <v>129</v>
      </c>
      <c r="AI120">
        <v>3.69</v>
      </c>
      <c r="AJ120">
        <v>33.21</v>
      </c>
      <c r="AK120">
        <v>23.8</v>
      </c>
      <c r="AL120">
        <v>-20.108622949999951</v>
      </c>
      <c r="AM120">
        <v>-44.884300516660261</v>
      </c>
      <c r="AN120">
        <v>-20.108622949999951</v>
      </c>
      <c r="AO120">
        <v>-44.884300516660261</v>
      </c>
      <c r="AP120">
        <v>-20.108561999999999</v>
      </c>
      <c r="AQ120">
        <v>-44.883811000000001</v>
      </c>
      <c r="AR120">
        <v>51.619098272465493</v>
      </c>
      <c r="AS120" t="s">
        <v>65</v>
      </c>
      <c r="AT120">
        <v>1</v>
      </c>
      <c r="AU120" t="s">
        <v>787</v>
      </c>
      <c r="AV120" t="s">
        <v>788</v>
      </c>
      <c r="AW120" t="s">
        <v>60</v>
      </c>
      <c r="AX120" t="s">
        <v>68</v>
      </c>
      <c r="AY120" t="s">
        <v>69</v>
      </c>
      <c r="AZ120" t="b">
        <v>1</v>
      </c>
    </row>
    <row r="121" spans="1:52" x14ac:dyDescent="0.3">
      <c r="A121" t="s">
        <v>52</v>
      </c>
      <c r="B121" t="s">
        <v>53</v>
      </c>
      <c r="C121" t="s">
        <v>54</v>
      </c>
      <c r="D121" t="s">
        <v>55</v>
      </c>
      <c r="E121" t="s">
        <v>56</v>
      </c>
      <c r="F121" t="s">
        <v>190</v>
      </c>
      <c r="G121" t="s">
        <v>789</v>
      </c>
      <c r="H121" t="s">
        <v>790</v>
      </c>
      <c r="I121" t="s">
        <v>790</v>
      </c>
      <c r="J121" t="s">
        <v>60</v>
      </c>
      <c r="K121" t="s">
        <v>791</v>
      </c>
      <c r="L121" t="s">
        <v>62</v>
      </c>
      <c r="M121" t="s">
        <v>791</v>
      </c>
      <c r="N121" t="s">
        <v>792</v>
      </c>
      <c r="O121" t="s">
        <v>793</v>
      </c>
      <c r="P121">
        <v>-20.114263000000001</v>
      </c>
      <c r="Q121">
        <v>-44.910150000000002</v>
      </c>
      <c r="R121" s="2" t="str">
        <f>HYPERLINK("https://www.google.com/maps?q=-20.1142630,-44.9101500","Abrir no Google Maps")</f>
        <v>Abrir no Google Maps</v>
      </c>
      <c r="S121">
        <v>3</v>
      </c>
      <c r="T121">
        <v>1039.6249825628629</v>
      </c>
      <c r="U121">
        <v>4</v>
      </c>
      <c r="V121">
        <v>0.3012051231064003</v>
      </c>
      <c r="W121">
        <v>1</v>
      </c>
      <c r="X121">
        <v>0.3012051231064003</v>
      </c>
      <c r="Y121">
        <v>300</v>
      </c>
      <c r="Z121">
        <v>1156.8405524690361</v>
      </c>
      <c r="AA121">
        <v>198</v>
      </c>
      <c r="AB121">
        <v>332</v>
      </c>
      <c r="AC121">
        <v>536</v>
      </c>
      <c r="AD121">
        <v>28.41</v>
      </c>
      <c r="AE121">
        <v>542</v>
      </c>
      <c r="AF121">
        <v>20</v>
      </c>
      <c r="AG121">
        <v>180</v>
      </c>
      <c r="AH121">
        <v>129</v>
      </c>
      <c r="AI121">
        <v>3.69</v>
      </c>
      <c r="AJ121">
        <v>33.21</v>
      </c>
      <c r="AK121">
        <v>23.8</v>
      </c>
      <c r="AL121">
        <v>-20.113823899999939</v>
      </c>
      <c r="AM121">
        <v>-44.910704705968108</v>
      </c>
      <c r="AN121">
        <v>-20.113823899999939</v>
      </c>
      <c r="AO121">
        <v>-44.910704705968108</v>
      </c>
      <c r="AP121">
        <v>-20.114263000000001</v>
      </c>
      <c r="AQ121">
        <v>-44.910150000000002</v>
      </c>
      <c r="AR121">
        <v>75.838236800419978</v>
      </c>
      <c r="AS121" t="s">
        <v>65</v>
      </c>
      <c r="AT121">
        <v>1</v>
      </c>
      <c r="AU121" t="s">
        <v>794</v>
      </c>
      <c r="AV121" t="s">
        <v>795</v>
      </c>
      <c r="AW121" t="s">
        <v>60</v>
      </c>
      <c r="AX121" t="s">
        <v>68</v>
      </c>
      <c r="AY121" t="s">
        <v>69</v>
      </c>
      <c r="AZ121" t="b">
        <v>1</v>
      </c>
    </row>
    <row r="122" spans="1:52" x14ac:dyDescent="0.3">
      <c r="A122" t="s">
        <v>52</v>
      </c>
      <c r="B122" t="s">
        <v>53</v>
      </c>
      <c r="C122" t="s">
        <v>54</v>
      </c>
      <c r="D122" t="s">
        <v>55</v>
      </c>
      <c r="E122" t="s">
        <v>56</v>
      </c>
      <c r="F122" t="s">
        <v>190</v>
      </c>
      <c r="G122" t="s">
        <v>796</v>
      </c>
      <c r="H122" t="s">
        <v>797</v>
      </c>
      <c r="I122" t="s">
        <v>797</v>
      </c>
      <c r="J122" t="s">
        <v>60</v>
      </c>
      <c r="K122" t="s">
        <v>798</v>
      </c>
      <c r="L122" t="s">
        <v>62</v>
      </c>
      <c r="M122" t="s">
        <v>798</v>
      </c>
      <c r="N122" t="s">
        <v>799</v>
      </c>
      <c r="O122" t="s">
        <v>800</v>
      </c>
      <c r="P122">
        <v>-20.105681000000001</v>
      </c>
      <c r="Q122">
        <v>-44.902771999999999</v>
      </c>
      <c r="R122" s="2" t="str">
        <f>HYPERLINK("https://www.google.com/maps?q=-20.1056810,-44.9027720","Abrir no Google Maps")</f>
        <v>Abrir no Google Maps</v>
      </c>
      <c r="S122">
        <v>3</v>
      </c>
      <c r="T122">
        <v>654.76334876090721</v>
      </c>
      <c r="U122">
        <v>4</v>
      </c>
      <c r="V122">
        <v>0.3119973054159908</v>
      </c>
      <c r="W122">
        <v>1</v>
      </c>
      <c r="X122">
        <v>0.3119973054159908</v>
      </c>
      <c r="Y122">
        <v>300</v>
      </c>
      <c r="Z122">
        <v>473.90209409135377</v>
      </c>
      <c r="AA122">
        <v>198</v>
      </c>
      <c r="AB122">
        <v>332</v>
      </c>
      <c r="AC122">
        <v>536</v>
      </c>
      <c r="AD122">
        <v>28.41</v>
      </c>
      <c r="AE122">
        <v>542</v>
      </c>
      <c r="AF122">
        <v>20</v>
      </c>
      <c r="AG122">
        <v>180</v>
      </c>
      <c r="AH122">
        <v>129</v>
      </c>
      <c r="AI122">
        <v>3.69</v>
      </c>
      <c r="AJ122">
        <v>33.21</v>
      </c>
      <c r="AK122">
        <v>23.8</v>
      </c>
      <c r="AL122">
        <v>-20.105710249999959</v>
      </c>
      <c r="AM122">
        <v>-44.902887601574513</v>
      </c>
      <c r="AN122">
        <v>-20.105710249999959</v>
      </c>
      <c r="AO122">
        <v>-44.902887601574513</v>
      </c>
      <c r="AP122">
        <v>-20.105681000000001</v>
      </c>
      <c r="AQ122">
        <v>-44.902771999999999</v>
      </c>
      <c r="AR122">
        <v>12.5155291382583</v>
      </c>
      <c r="AS122" t="s">
        <v>65</v>
      </c>
      <c r="AT122">
        <v>1</v>
      </c>
      <c r="AU122" t="s">
        <v>801</v>
      </c>
      <c r="AV122" t="s">
        <v>802</v>
      </c>
      <c r="AW122" t="s">
        <v>60</v>
      </c>
      <c r="AX122" t="s">
        <v>68</v>
      </c>
      <c r="AY122" t="s">
        <v>69</v>
      </c>
      <c r="AZ122" t="b">
        <v>1</v>
      </c>
    </row>
    <row r="123" spans="1:52" x14ac:dyDescent="0.3">
      <c r="A123" t="s">
        <v>52</v>
      </c>
      <c r="B123" t="s">
        <v>53</v>
      </c>
      <c r="C123" t="s">
        <v>54</v>
      </c>
      <c r="D123" t="s">
        <v>55</v>
      </c>
      <c r="E123" t="s">
        <v>56</v>
      </c>
      <c r="F123" t="s">
        <v>190</v>
      </c>
      <c r="G123" t="s">
        <v>803</v>
      </c>
      <c r="H123" t="s">
        <v>804</v>
      </c>
      <c r="I123" t="s">
        <v>804</v>
      </c>
      <c r="J123" t="s">
        <v>60</v>
      </c>
      <c r="K123" t="s">
        <v>805</v>
      </c>
      <c r="L123" t="s">
        <v>62</v>
      </c>
      <c r="M123" t="s">
        <v>805</v>
      </c>
      <c r="N123" t="s">
        <v>806</v>
      </c>
      <c r="O123" t="s">
        <v>807</v>
      </c>
      <c r="P123">
        <v>-20.133293999999999</v>
      </c>
      <c r="Q123">
        <v>-44.886302000000001</v>
      </c>
      <c r="R123" s="2" t="str">
        <f>HYPERLINK("https://www.google.com/maps?q=-20.1332940,-44.8863020","Abrir no Google Maps")</f>
        <v>Abrir no Google Maps</v>
      </c>
      <c r="S123">
        <v>3</v>
      </c>
      <c r="T123">
        <v>0</v>
      </c>
      <c r="U123">
        <v>4</v>
      </c>
      <c r="V123">
        <v>0.3054002157530285</v>
      </c>
      <c r="W123">
        <v>1</v>
      </c>
      <c r="X123">
        <v>0.3054002157530285</v>
      </c>
      <c r="Y123">
        <v>259</v>
      </c>
      <c r="Z123">
        <v>76.358812960729097</v>
      </c>
      <c r="AA123">
        <v>198</v>
      </c>
      <c r="AB123">
        <v>332</v>
      </c>
      <c r="AC123">
        <v>536</v>
      </c>
      <c r="AD123">
        <v>28.41</v>
      </c>
      <c r="AE123">
        <v>542</v>
      </c>
      <c r="AF123">
        <v>20</v>
      </c>
      <c r="AG123">
        <v>180</v>
      </c>
      <c r="AH123">
        <v>129</v>
      </c>
      <c r="AI123">
        <v>3.69</v>
      </c>
      <c r="AJ123">
        <v>33.21</v>
      </c>
      <c r="AK123">
        <v>23.8</v>
      </c>
      <c r="AL123">
        <v>-20.133281749999949</v>
      </c>
      <c r="AM123">
        <v>-44.886395047959027</v>
      </c>
      <c r="AN123">
        <v>-20.133281749999949</v>
      </c>
      <c r="AO123">
        <v>-44.886395047959027</v>
      </c>
      <c r="AP123">
        <v>-20.133293999999999</v>
      </c>
      <c r="AQ123">
        <v>-44.886302000000001</v>
      </c>
      <c r="AR123">
        <v>9.8203037443031231</v>
      </c>
      <c r="AS123" t="s">
        <v>65</v>
      </c>
      <c r="AT123">
        <v>1</v>
      </c>
      <c r="AU123" t="s">
        <v>808</v>
      </c>
      <c r="AV123" t="s">
        <v>809</v>
      </c>
      <c r="AW123" t="s">
        <v>60</v>
      </c>
      <c r="AX123" t="s">
        <v>68</v>
      </c>
      <c r="AY123" t="s">
        <v>69</v>
      </c>
      <c r="AZ123" t="b">
        <v>1</v>
      </c>
    </row>
    <row r="124" spans="1:52" x14ac:dyDescent="0.3">
      <c r="A124" t="s">
        <v>52</v>
      </c>
      <c r="B124" t="s">
        <v>53</v>
      </c>
      <c r="C124" t="s">
        <v>54</v>
      </c>
      <c r="D124" t="s">
        <v>55</v>
      </c>
      <c r="E124" t="s">
        <v>56</v>
      </c>
      <c r="F124" t="s">
        <v>190</v>
      </c>
      <c r="G124" t="s">
        <v>810</v>
      </c>
      <c r="H124" t="s">
        <v>811</v>
      </c>
      <c r="I124" t="s">
        <v>811</v>
      </c>
      <c r="J124" t="s">
        <v>60</v>
      </c>
      <c r="K124" t="s">
        <v>805</v>
      </c>
      <c r="L124" t="s">
        <v>62</v>
      </c>
      <c r="M124" t="s">
        <v>805</v>
      </c>
      <c r="N124" t="s">
        <v>812</v>
      </c>
      <c r="O124" t="s">
        <v>309</v>
      </c>
      <c r="P124">
        <v>-20.129868999999999</v>
      </c>
      <c r="Q124">
        <v>-44.884247999999999</v>
      </c>
      <c r="R124" s="2" t="str">
        <f>HYPERLINK("https://www.google.com/maps?q=-20.1298690,-44.8842480","Abrir no Google Maps")</f>
        <v>Abrir no Google Maps</v>
      </c>
      <c r="S124">
        <v>3</v>
      </c>
      <c r="T124">
        <v>434.82198084080329</v>
      </c>
      <c r="U124">
        <v>4</v>
      </c>
      <c r="V124">
        <v>0.34407998264308898</v>
      </c>
      <c r="W124">
        <v>1</v>
      </c>
      <c r="X124">
        <v>0.34407998264308898</v>
      </c>
      <c r="Y124">
        <v>259</v>
      </c>
      <c r="Z124">
        <v>281.76247768049842</v>
      </c>
      <c r="AA124">
        <v>198</v>
      </c>
      <c r="AB124">
        <v>332</v>
      </c>
      <c r="AC124">
        <v>536</v>
      </c>
      <c r="AD124">
        <v>28.41</v>
      </c>
      <c r="AE124">
        <v>542</v>
      </c>
      <c r="AF124">
        <v>20</v>
      </c>
      <c r="AG124">
        <v>180</v>
      </c>
      <c r="AH124">
        <v>129</v>
      </c>
      <c r="AI124">
        <v>3.69</v>
      </c>
      <c r="AJ124">
        <v>33.21</v>
      </c>
      <c r="AK124">
        <v>23.8</v>
      </c>
      <c r="AL124">
        <v>-20.129927549999959</v>
      </c>
      <c r="AM124">
        <v>-44.884228133573217</v>
      </c>
      <c r="AN124">
        <v>-20.129927549999959</v>
      </c>
      <c r="AO124">
        <v>-44.884228133573217</v>
      </c>
      <c r="AP124">
        <v>-20.129868999999999</v>
      </c>
      <c r="AQ124">
        <v>-44.884247999999999</v>
      </c>
      <c r="AR124">
        <v>6.8405504803478081</v>
      </c>
      <c r="AS124" t="s">
        <v>65</v>
      </c>
      <c r="AT124">
        <v>1</v>
      </c>
      <c r="AU124" t="s">
        <v>813</v>
      </c>
      <c r="AV124" t="s">
        <v>814</v>
      </c>
      <c r="AW124" t="s">
        <v>60</v>
      </c>
      <c r="AX124" t="s">
        <v>68</v>
      </c>
      <c r="AY124" t="s">
        <v>69</v>
      </c>
      <c r="AZ124" t="b">
        <v>1</v>
      </c>
    </row>
    <row r="125" spans="1:52" x14ac:dyDescent="0.3">
      <c r="A125" t="s">
        <v>52</v>
      </c>
      <c r="B125" t="s">
        <v>53</v>
      </c>
      <c r="C125" t="s">
        <v>54</v>
      </c>
      <c r="D125" t="s">
        <v>55</v>
      </c>
      <c r="E125" t="s">
        <v>56</v>
      </c>
      <c r="F125" t="s">
        <v>190</v>
      </c>
      <c r="G125" t="s">
        <v>815</v>
      </c>
      <c r="H125" t="s">
        <v>816</v>
      </c>
      <c r="I125" t="s">
        <v>816</v>
      </c>
      <c r="J125" t="s">
        <v>60</v>
      </c>
      <c r="K125" t="s">
        <v>805</v>
      </c>
      <c r="L125" t="s">
        <v>62</v>
      </c>
      <c r="M125" t="s">
        <v>805</v>
      </c>
      <c r="N125" t="s">
        <v>817</v>
      </c>
      <c r="O125" t="s">
        <v>818</v>
      </c>
      <c r="P125">
        <v>-20.129894</v>
      </c>
      <c r="Q125">
        <v>-44.886285000000001</v>
      </c>
      <c r="R125" s="2" t="str">
        <f>HYPERLINK("https://www.google.com/maps?q=-20.1298940,-44.8862850","Abrir no Google Maps")</f>
        <v>Abrir no Google Maps</v>
      </c>
      <c r="S125">
        <v>3</v>
      </c>
      <c r="T125">
        <v>245.88570896460399</v>
      </c>
      <c r="U125">
        <v>4</v>
      </c>
      <c r="V125">
        <v>0.31939840323827617</v>
      </c>
      <c r="W125">
        <v>1</v>
      </c>
      <c r="X125">
        <v>0.31939840323827617</v>
      </c>
      <c r="Y125">
        <v>259</v>
      </c>
      <c r="Z125">
        <v>274.53833463725539</v>
      </c>
      <c r="AA125">
        <v>198</v>
      </c>
      <c r="AB125">
        <v>332</v>
      </c>
      <c r="AC125">
        <v>536</v>
      </c>
      <c r="AD125">
        <v>28.41</v>
      </c>
      <c r="AE125">
        <v>542</v>
      </c>
      <c r="AF125">
        <v>20</v>
      </c>
      <c r="AG125">
        <v>180</v>
      </c>
      <c r="AH125">
        <v>129</v>
      </c>
      <c r="AI125">
        <v>3.69</v>
      </c>
      <c r="AJ125">
        <v>33.21</v>
      </c>
      <c r="AK125">
        <v>23.8</v>
      </c>
      <c r="AL125">
        <v>-20.129900749999969</v>
      </c>
      <c r="AM125">
        <v>-44.886258682425179</v>
      </c>
      <c r="AN125">
        <v>-20.129900749999969</v>
      </c>
      <c r="AO125">
        <v>-44.886258682425179</v>
      </c>
      <c r="AP125">
        <v>-20.129894</v>
      </c>
      <c r="AQ125">
        <v>-44.886285000000001</v>
      </c>
      <c r="AR125">
        <v>2.851497427576585</v>
      </c>
      <c r="AS125" t="s">
        <v>65</v>
      </c>
      <c r="AT125">
        <v>1</v>
      </c>
      <c r="AU125" t="s">
        <v>819</v>
      </c>
      <c r="AV125" t="s">
        <v>814</v>
      </c>
      <c r="AW125" t="s">
        <v>60</v>
      </c>
      <c r="AX125" t="s">
        <v>68</v>
      </c>
      <c r="AY125" t="s">
        <v>69</v>
      </c>
      <c r="AZ125" t="b">
        <v>1</v>
      </c>
    </row>
    <row r="126" spans="1:52" x14ac:dyDescent="0.3">
      <c r="A126" t="s">
        <v>52</v>
      </c>
      <c r="B126" t="s">
        <v>53</v>
      </c>
      <c r="C126" t="s">
        <v>54</v>
      </c>
      <c r="D126" t="s">
        <v>55</v>
      </c>
      <c r="E126" t="s">
        <v>56</v>
      </c>
      <c r="F126" t="s">
        <v>190</v>
      </c>
      <c r="G126" t="s">
        <v>820</v>
      </c>
      <c r="H126" t="s">
        <v>821</v>
      </c>
      <c r="I126" t="s">
        <v>821</v>
      </c>
      <c r="J126" t="s">
        <v>60</v>
      </c>
      <c r="K126" t="s">
        <v>822</v>
      </c>
      <c r="L126" t="s">
        <v>62</v>
      </c>
      <c r="M126" t="s">
        <v>822</v>
      </c>
      <c r="N126" t="s">
        <v>823</v>
      </c>
      <c r="O126" t="s">
        <v>187</v>
      </c>
      <c r="P126">
        <v>-20.182960999999999</v>
      </c>
      <c r="Q126">
        <v>-44.902512999999999</v>
      </c>
      <c r="R126" s="2" t="str">
        <f>HYPERLINK("https://www.google.com/maps?q=-20.1829610,-44.9025130","Abrir no Google Maps")</f>
        <v>Abrir no Google Maps</v>
      </c>
      <c r="S126">
        <v>3</v>
      </c>
      <c r="T126">
        <v>908.09917748271926</v>
      </c>
      <c r="U126">
        <v>4</v>
      </c>
      <c r="V126">
        <v>0.32177217512548723</v>
      </c>
      <c r="W126">
        <v>1</v>
      </c>
      <c r="X126">
        <v>0.32177217512548723</v>
      </c>
      <c r="Y126">
        <v>135</v>
      </c>
      <c r="Z126">
        <v>562.42494356837676</v>
      </c>
      <c r="AA126">
        <v>198</v>
      </c>
      <c r="AB126">
        <v>332</v>
      </c>
      <c r="AC126">
        <v>536</v>
      </c>
      <c r="AD126">
        <v>28.41</v>
      </c>
      <c r="AE126">
        <v>542</v>
      </c>
      <c r="AF126">
        <v>20</v>
      </c>
      <c r="AG126">
        <v>180</v>
      </c>
      <c r="AH126">
        <v>129</v>
      </c>
      <c r="AI126">
        <v>3.69</v>
      </c>
      <c r="AJ126">
        <v>33.21</v>
      </c>
      <c r="AK126">
        <v>23.8</v>
      </c>
      <c r="AL126">
        <v>-20.18277184999997</v>
      </c>
      <c r="AM126">
        <v>-44.902421436048833</v>
      </c>
      <c r="AN126">
        <v>-20.18277184999997</v>
      </c>
      <c r="AO126">
        <v>-44.902421436048833</v>
      </c>
      <c r="AP126">
        <v>-20.182960999999999</v>
      </c>
      <c r="AQ126">
        <v>-44.902512999999999</v>
      </c>
      <c r="AR126">
        <v>23.127700959037089</v>
      </c>
      <c r="AS126" t="s">
        <v>65</v>
      </c>
      <c r="AT126">
        <v>1</v>
      </c>
      <c r="AU126" t="s">
        <v>824</v>
      </c>
      <c r="AV126" t="s">
        <v>825</v>
      </c>
      <c r="AW126" t="s">
        <v>60</v>
      </c>
      <c r="AX126" t="s">
        <v>68</v>
      </c>
      <c r="AY126" t="s">
        <v>69</v>
      </c>
      <c r="AZ126" t="b">
        <v>1</v>
      </c>
    </row>
    <row r="127" spans="1:52" x14ac:dyDescent="0.3">
      <c r="A127" t="s">
        <v>52</v>
      </c>
      <c r="B127" t="s">
        <v>53</v>
      </c>
      <c r="C127" t="s">
        <v>54</v>
      </c>
      <c r="D127" t="s">
        <v>55</v>
      </c>
      <c r="E127" t="s">
        <v>56</v>
      </c>
      <c r="F127" t="s">
        <v>190</v>
      </c>
      <c r="G127" t="s">
        <v>826</v>
      </c>
      <c r="H127" t="s">
        <v>827</v>
      </c>
      <c r="I127" t="s">
        <v>827</v>
      </c>
      <c r="J127" t="s">
        <v>60</v>
      </c>
      <c r="K127" t="s">
        <v>828</v>
      </c>
      <c r="L127" t="s">
        <v>62</v>
      </c>
      <c r="M127" t="s">
        <v>828</v>
      </c>
      <c r="N127" t="s">
        <v>829</v>
      </c>
      <c r="O127" t="s">
        <v>830</v>
      </c>
      <c r="P127">
        <v>-20.128309999999999</v>
      </c>
      <c r="Q127">
        <v>-44.8367</v>
      </c>
      <c r="R127" s="2" t="str">
        <f>HYPERLINK("https://www.google.com/maps?q=-20.1283100,-44.8367000","Abrir no Google Maps")</f>
        <v>Abrir no Google Maps</v>
      </c>
      <c r="S127">
        <v>3</v>
      </c>
      <c r="T127">
        <v>0</v>
      </c>
      <c r="U127">
        <v>4</v>
      </c>
      <c r="V127">
        <v>0.29761197139256951</v>
      </c>
      <c r="W127">
        <v>1</v>
      </c>
      <c r="X127">
        <v>0.29761197139256951</v>
      </c>
      <c r="Y127">
        <v>118</v>
      </c>
      <c r="Z127">
        <v>65.93296364139367</v>
      </c>
      <c r="AA127">
        <v>198</v>
      </c>
      <c r="AB127">
        <v>332</v>
      </c>
      <c r="AC127">
        <v>536</v>
      </c>
      <c r="AD127">
        <v>28.41</v>
      </c>
      <c r="AE127">
        <v>542</v>
      </c>
      <c r="AF127">
        <v>20</v>
      </c>
      <c r="AG127">
        <v>180</v>
      </c>
      <c r="AH127">
        <v>129</v>
      </c>
      <c r="AI127">
        <v>3.69</v>
      </c>
      <c r="AJ127">
        <v>33.21</v>
      </c>
      <c r="AK127">
        <v>23.8</v>
      </c>
      <c r="AL127">
        <v>-20.128383649999961</v>
      </c>
      <c r="AM127">
        <v>-44.836795615491283</v>
      </c>
      <c r="AN127">
        <v>-20.128383649999961</v>
      </c>
      <c r="AO127">
        <v>-44.836795615491283</v>
      </c>
      <c r="AP127">
        <v>-20.128309999999999</v>
      </c>
      <c r="AQ127">
        <v>-44.8367</v>
      </c>
      <c r="AR127">
        <v>12.92654496723039</v>
      </c>
      <c r="AS127" t="s">
        <v>65</v>
      </c>
      <c r="AT127">
        <v>1</v>
      </c>
      <c r="AU127" t="s">
        <v>831</v>
      </c>
      <c r="AV127" t="s">
        <v>832</v>
      </c>
      <c r="AW127" t="s">
        <v>60</v>
      </c>
      <c r="AX127" t="s">
        <v>68</v>
      </c>
      <c r="AY127" t="s">
        <v>69</v>
      </c>
      <c r="AZ127" t="b">
        <v>1</v>
      </c>
    </row>
    <row r="128" spans="1:52" x14ac:dyDescent="0.3">
      <c r="A128" t="s">
        <v>52</v>
      </c>
      <c r="B128" t="s">
        <v>53</v>
      </c>
      <c r="C128" t="s">
        <v>54</v>
      </c>
      <c r="D128" t="s">
        <v>55</v>
      </c>
      <c r="E128" t="s">
        <v>56</v>
      </c>
      <c r="F128" t="s">
        <v>190</v>
      </c>
      <c r="G128" t="s">
        <v>833</v>
      </c>
      <c r="H128" t="s">
        <v>834</v>
      </c>
      <c r="I128" t="s">
        <v>834</v>
      </c>
      <c r="J128" t="s">
        <v>60</v>
      </c>
      <c r="K128" t="s">
        <v>388</v>
      </c>
      <c r="L128" t="s">
        <v>62</v>
      </c>
      <c r="M128" t="s">
        <v>388</v>
      </c>
      <c r="N128" t="s">
        <v>835</v>
      </c>
      <c r="O128" t="s">
        <v>836</v>
      </c>
      <c r="P128">
        <v>-20.157906000000001</v>
      </c>
      <c r="Q128">
        <v>-44.900458999999998</v>
      </c>
      <c r="R128" s="2" t="str">
        <f>HYPERLINK("https://www.google.com/maps?q=-20.1579060,-44.9004590","Abrir no Google Maps")</f>
        <v>Abrir no Google Maps</v>
      </c>
      <c r="S128">
        <v>3</v>
      </c>
      <c r="T128">
        <v>0</v>
      </c>
      <c r="U128">
        <v>3</v>
      </c>
      <c r="V128">
        <v>0.28756611996203568</v>
      </c>
      <c r="W128">
        <v>1</v>
      </c>
      <c r="X128">
        <v>0.28756611996203568</v>
      </c>
      <c r="Y128">
        <v>729</v>
      </c>
      <c r="Z128">
        <v>203.63168486652771</v>
      </c>
      <c r="AA128">
        <v>198</v>
      </c>
      <c r="AB128">
        <v>332</v>
      </c>
      <c r="AC128">
        <v>536</v>
      </c>
      <c r="AD128">
        <v>28.41</v>
      </c>
      <c r="AE128">
        <v>542</v>
      </c>
      <c r="AF128">
        <v>20</v>
      </c>
      <c r="AG128">
        <v>180</v>
      </c>
      <c r="AH128">
        <v>129</v>
      </c>
      <c r="AI128">
        <v>3.69</v>
      </c>
      <c r="AJ128">
        <v>33.21</v>
      </c>
      <c r="AK128">
        <v>23.8</v>
      </c>
      <c r="AL128">
        <v>-20.157925749999951</v>
      </c>
      <c r="AM128">
        <v>-44.900484707799812</v>
      </c>
      <c r="AN128">
        <v>-20.157925749999951</v>
      </c>
      <c r="AO128">
        <v>-44.900484707799812</v>
      </c>
      <c r="AP128">
        <v>-20.157906000000001</v>
      </c>
      <c r="AQ128">
        <v>-44.900458999999998</v>
      </c>
      <c r="AR128">
        <v>3.4714515960382508</v>
      </c>
      <c r="AS128" t="s">
        <v>65</v>
      </c>
      <c r="AT128">
        <v>1</v>
      </c>
      <c r="AU128" t="s">
        <v>837</v>
      </c>
      <c r="AV128" t="s">
        <v>838</v>
      </c>
      <c r="AW128" t="s">
        <v>60</v>
      </c>
      <c r="AX128" t="s">
        <v>68</v>
      </c>
      <c r="AY128" t="s">
        <v>69</v>
      </c>
      <c r="AZ128" t="b">
        <v>1</v>
      </c>
    </row>
    <row r="129" spans="1:52" x14ac:dyDescent="0.3">
      <c r="A129" t="s">
        <v>52</v>
      </c>
      <c r="B129" t="s">
        <v>53</v>
      </c>
      <c r="C129" t="s">
        <v>54</v>
      </c>
      <c r="D129" t="s">
        <v>55</v>
      </c>
      <c r="E129" t="s">
        <v>56</v>
      </c>
      <c r="F129" t="s">
        <v>190</v>
      </c>
      <c r="G129" t="s">
        <v>839</v>
      </c>
      <c r="H129" t="s">
        <v>840</v>
      </c>
      <c r="I129" t="s">
        <v>840</v>
      </c>
      <c r="J129" t="s">
        <v>60</v>
      </c>
      <c r="K129" t="s">
        <v>388</v>
      </c>
      <c r="L129" t="s">
        <v>62</v>
      </c>
      <c r="M129" t="s">
        <v>388</v>
      </c>
      <c r="N129" t="s">
        <v>841</v>
      </c>
      <c r="O129" t="s">
        <v>842</v>
      </c>
      <c r="P129">
        <v>-20.159977999999999</v>
      </c>
      <c r="Q129">
        <v>-44.900207000000002</v>
      </c>
      <c r="R129" s="2" t="str">
        <f>HYPERLINK("https://www.google.com/maps?q=-20.1599780,-44.9002070","Abrir no Google Maps")</f>
        <v>Abrir no Google Maps</v>
      </c>
      <c r="S129">
        <v>3</v>
      </c>
      <c r="T129">
        <v>213.24333517300789</v>
      </c>
      <c r="U129">
        <v>3</v>
      </c>
      <c r="V129">
        <v>0.29379381682403422</v>
      </c>
      <c r="W129">
        <v>1</v>
      </c>
      <c r="X129">
        <v>0.29379381682403422</v>
      </c>
      <c r="Y129">
        <v>729</v>
      </c>
      <c r="Z129">
        <v>315.47173727880028</v>
      </c>
      <c r="AA129">
        <v>198</v>
      </c>
      <c r="AB129">
        <v>332</v>
      </c>
      <c r="AC129">
        <v>536</v>
      </c>
      <c r="AD129">
        <v>28.41</v>
      </c>
      <c r="AE129">
        <v>542</v>
      </c>
      <c r="AF129">
        <v>20</v>
      </c>
      <c r="AG129">
        <v>180</v>
      </c>
      <c r="AH129">
        <v>129</v>
      </c>
      <c r="AI129">
        <v>3.69</v>
      </c>
      <c r="AJ129">
        <v>33.21</v>
      </c>
      <c r="AK129">
        <v>23.8</v>
      </c>
      <c r="AL129">
        <v>-20.159825649999959</v>
      </c>
      <c r="AM129">
        <v>-44.900143828909613</v>
      </c>
      <c r="AN129">
        <v>-20.159825649999959</v>
      </c>
      <c r="AO129">
        <v>-44.900143828909613</v>
      </c>
      <c r="AP129">
        <v>-20.159977999999999</v>
      </c>
      <c r="AQ129">
        <v>-44.900207000000002</v>
      </c>
      <c r="AR129">
        <v>18.199073573580371</v>
      </c>
      <c r="AS129" t="s">
        <v>65</v>
      </c>
      <c r="AT129">
        <v>1</v>
      </c>
      <c r="AU129" t="s">
        <v>843</v>
      </c>
      <c r="AV129" t="s">
        <v>844</v>
      </c>
      <c r="AW129" t="s">
        <v>60</v>
      </c>
      <c r="AX129" t="s">
        <v>68</v>
      </c>
      <c r="AY129" t="s">
        <v>69</v>
      </c>
      <c r="AZ129" t="b">
        <v>1</v>
      </c>
    </row>
    <row r="130" spans="1:52" x14ac:dyDescent="0.3">
      <c r="A130" t="s">
        <v>52</v>
      </c>
      <c r="B130" t="s">
        <v>53</v>
      </c>
      <c r="C130" t="s">
        <v>54</v>
      </c>
      <c r="D130" t="s">
        <v>55</v>
      </c>
      <c r="E130" t="s">
        <v>56</v>
      </c>
      <c r="F130" t="s">
        <v>190</v>
      </c>
      <c r="G130" t="s">
        <v>845</v>
      </c>
      <c r="H130" t="s">
        <v>846</v>
      </c>
      <c r="I130" t="s">
        <v>846</v>
      </c>
      <c r="J130" t="s">
        <v>60</v>
      </c>
      <c r="K130" t="s">
        <v>424</v>
      </c>
      <c r="L130" t="s">
        <v>62</v>
      </c>
      <c r="M130" t="s">
        <v>424</v>
      </c>
      <c r="N130" t="s">
        <v>847</v>
      </c>
      <c r="O130" t="s">
        <v>848</v>
      </c>
      <c r="P130">
        <v>-20.175523999999999</v>
      </c>
      <c r="Q130">
        <v>-44.918016999999999</v>
      </c>
      <c r="R130" s="2" t="str">
        <f>HYPERLINK("https://www.google.com/maps?q=-20.1755240,-44.9180170","Abrir no Google Maps")</f>
        <v>Abrir no Google Maps</v>
      </c>
      <c r="S130">
        <v>3</v>
      </c>
      <c r="T130">
        <v>833.59191671824021</v>
      </c>
      <c r="U130">
        <v>3</v>
      </c>
      <c r="V130">
        <v>0.3357239469860937</v>
      </c>
      <c r="W130">
        <v>0.85</v>
      </c>
      <c r="X130">
        <v>0.28536535493817972</v>
      </c>
      <c r="Y130">
        <v>723</v>
      </c>
      <c r="Z130">
        <v>701.05790658871581</v>
      </c>
      <c r="AA130">
        <v>198</v>
      </c>
      <c r="AB130">
        <v>332</v>
      </c>
      <c r="AC130">
        <v>536</v>
      </c>
      <c r="AD130">
        <v>28.41</v>
      </c>
      <c r="AE130">
        <v>542</v>
      </c>
      <c r="AF130">
        <v>20</v>
      </c>
      <c r="AG130">
        <v>180</v>
      </c>
      <c r="AH130">
        <v>129</v>
      </c>
      <c r="AI130">
        <v>3.69</v>
      </c>
      <c r="AJ130">
        <v>33.21</v>
      </c>
      <c r="AK130">
        <v>23.8</v>
      </c>
      <c r="AL130">
        <v>-20.17533859999995</v>
      </c>
      <c r="AM130">
        <v>-44.917689627873088</v>
      </c>
      <c r="AN130">
        <v>-20.17533859999995</v>
      </c>
      <c r="AO130">
        <v>-44.917689627873088</v>
      </c>
      <c r="AP130">
        <v>-20.175523999999999</v>
      </c>
      <c r="AQ130">
        <v>-44.918016999999999</v>
      </c>
      <c r="AR130">
        <v>39.950898228213873</v>
      </c>
      <c r="AS130" t="s">
        <v>65</v>
      </c>
      <c r="AT130">
        <v>1</v>
      </c>
      <c r="AU130" t="s">
        <v>849</v>
      </c>
      <c r="AV130" t="s">
        <v>850</v>
      </c>
      <c r="AW130" t="s">
        <v>60</v>
      </c>
      <c r="AX130" t="s">
        <v>68</v>
      </c>
      <c r="AY130" t="s">
        <v>69</v>
      </c>
      <c r="AZ130" t="b">
        <v>1</v>
      </c>
    </row>
    <row r="131" spans="1:52" x14ac:dyDescent="0.3">
      <c r="A131" t="s">
        <v>52</v>
      </c>
      <c r="B131" t="s">
        <v>53</v>
      </c>
      <c r="C131" t="s">
        <v>54</v>
      </c>
      <c r="D131" t="s">
        <v>55</v>
      </c>
      <c r="E131" t="s">
        <v>56</v>
      </c>
      <c r="F131" t="s">
        <v>190</v>
      </c>
      <c r="G131" t="s">
        <v>851</v>
      </c>
      <c r="H131" t="s">
        <v>852</v>
      </c>
      <c r="I131" t="s">
        <v>852</v>
      </c>
      <c r="J131" t="s">
        <v>60</v>
      </c>
      <c r="K131" t="s">
        <v>853</v>
      </c>
      <c r="L131" t="s">
        <v>62</v>
      </c>
      <c r="M131" t="s">
        <v>853</v>
      </c>
      <c r="N131" t="s">
        <v>854</v>
      </c>
      <c r="O131" t="s">
        <v>855</v>
      </c>
      <c r="P131">
        <v>-20.127835000000001</v>
      </c>
      <c r="Q131">
        <v>-44.909329</v>
      </c>
      <c r="R131" s="2" t="str">
        <f>HYPERLINK("https://www.google.com/maps?q=-20.1278350,-44.9093290","Abrir no Google Maps")</f>
        <v>Abrir no Google Maps</v>
      </c>
      <c r="S131">
        <v>3</v>
      </c>
      <c r="T131">
        <v>1173.033690896357</v>
      </c>
      <c r="U131">
        <v>3</v>
      </c>
      <c r="V131">
        <v>0.28976667790965571</v>
      </c>
      <c r="W131">
        <v>1</v>
      </c>
      <c r="X131">
        <v>0.28976667790965571</v>
      </c>
      <c r="Y131">
        <v>581</v>
      </c>
      <c r="Z131">
        <v>1296.5011565926129</v>
      </c>
      <c r="AA131">
        <v>198</v>
      </c>
      <c r="AB131">
        <v>332</v>
      </c>
      <c r="AC131">
        <v>536</v>
      </c>
      <c r="AD131">
        <v>28.41</v>
      </c>
      <c r="AE131">
        <v>542</v>
      </c>
      <c r="AF131">
        <v>20</v>
      </c>
      <c r="AG131">
        <v>180</v>
      </c>
      <c r="AH131">
        <v>129</v>
      </c>
      <c r="AI131">
        <v>3.69</v>
      </c>
      <c r="AJ131">
        <v>33.21</v>
      </c>
      <c r="AK131">
        <v>23.8</v>
      </c>
      <c r="AL131">
        <v>-20.127852899999969</v>
      </c>
      <c r="AM131">
        <v>-44.909386667699948</v>
      </c>
      <c r="AN131">
        <v>-20.127852899999969</v>
      </c>
      <c r="AO131">
        <v>-44.909386667699948</v>
      </c>
      <c r="AP131">
        <v>-20.127835000000001</v>
      </c>
      <c r="AQ131">
        <v>-44.909329</v>
      </c>
      <c r="AR131">
        <v>6.3483385067119924</v>
      </c>
      <c r="AS131" t="s">
        <v>65</v>
      </c>
      <c r="AT131">
        <v>1</v>
      </c>
      <c r="AU131" t="s">
        <v>856</v>
      </c>
      <c r="AV131" t="s">
        <v>857</v>
      </c>
      <c r="AW131" t="s">
        <v>60</v>
      </c>
      <c r="AX131" t="s">
        <v>68</v>
      </c>
      <c r="AY131" t="s">
        <v>69</v>
      </c>
      <c r="AZ131" t="b">
        <v>1</v>
      </c>
    </row>
    <row r="132" spans="1:52" x14ac:dyDescent="0.3">
      <c r="A132" t="s">
        <v>52</v>
      </c>
      <c r="B132" t="s">
        <v>53</v>
      </c>
      <c r="C132" t="s">
        <v>54</v>
      </c>
      <c r="D132" t="s">
        <v>55</v>
      </c>
      <c r="E132" t="s">
        <v>56</v>
      </c>
      <c r="F132" t="s">
        <v>190</v>
      </c>
      <c r="G132" t="s">
        <v>858</v>
      </c>
      <c r="H132" t="s">
        <v>859</v>
      </c>
      <c r="I132" t="s">
        <v>859</v>
      </c>
      <c r="J132" t="s">
        <v>60</v>
      </c>
      <c r="K132" t="s">
        <v>462</v>
      </c>
      <c r="L132" t="s">
        <v>62</v>
      </c>
      <c r="M132" t="s">
        <v>462</v>
      </c>
      <c r="N132" t="s">
        <v>860</v>
      </c>
      <c r="O132" t="s">
        <v>861</v>
      </c>
      <c r="P132">
        <v>-20.139693999999999</v>
      </c>
      <c r="Q132">
        <v>-44.911256000000002</v>
      </c>
      <c r="R132" s="2" t="str">
        <f>HYPERLINK("https://www.google.com/maps?q=-20.1396940,-44.9112560","Abrir no Google Maps")</f>
        <v>Abrir no Google Maps</v>
      </c>
      <c r="S132">
        <v>3</v>
      </c>
      <c r="T132">
        <v>380.48036838042862</v>
      </c>
      <c r="U132">
        <v>3</v>
      </c>
      <c r="V132">
        <v>0.3445280894845309</v>
      </c>
      <c r="W132">
        <v>0.85</v>
      </c>
      <c r="X132">
        <v>0.29284887606185128</v>
      </c>
      <c r="Y132">
        <v>581</v>
      </c>
      <c r="Z132">
        <v>374.61146000000178</v>
      </c>
      <c r="AA132">
        <v>198</v>
      </c>
      <c r="AB132">
        <v>332</v>
      </c>
      <c r="AC132">
        <v>536</v>
      </c>
      <c r="AD132">
        <v>28.41</v>
      </c>
      <c r="AE132">
        <v>542</v>
      </c>
      <c r="AF132">
        <v>20</v>
      </c>
      <c r="AG132">
        <v>180</v>
      </c>
      <c r="AH132">
        <v>129</v>
      </c>
      <c r="AI132">
        <v>3.69</v>
      </c>
      <c r="AJ132">
        <v>33.21</v>
      </c>
      <c r="AK132">
        <v>23.8</v>
      </c>
      <c r="AL132">
        <v>-20.139768699999959</v>
      </c>
      <c r="AM132">
        <v>-44.911265351587588</v>
      </c>
      <c r="AN132">
        <v>-20.139768699999959</v>
      </c>
      <c r="AO132">
        <v>-44.911265351587588</v>
      </c>
      <c r="AP132">
        <v>-20.139693999999999</v>
      </c>
      <c r="AQ132">
        <v>-44.911256000000002</v>
      </c>
      <c r="AR132">
        <v>8.3728438666521061</v>
      </c>
      <c r="AS132" t="s">
        <v>65</v>
      </c>
      <c r="AT132">
        <v>1</v>
      </c>
      <c r="AU132" t="s">
        <v>862</v>
      </c>
      <c r="AV132" t="s">
        <v>863</v>
      </c>
      <c r="AW132" t="s">
        <v>60</v>
      </c>
      <c r="AX132" t="s">
        <v>68</v>
      </c>
      <c r="AY132" t="s">
        <v>69</v>
      </c>
      <c r="AZ132" t="b">
        <v>1</v>
      </c>
    </row>
    <row r="133" spans="1:52" x14ac:dyDescent="0.3">
      <c r="A133" t="s">
        <v>52</v>
      </c>
      <c r="B133" t="s">
        <v>53</v>
      </c>
      <c r="C133" t="s">
        <v>54</v>
      </c>
      <c r="D133" t="s">
        <v>55</v>
      </c>
      <c r="E133" t="s">
        <v>56</v>
      </c>
      <c r="F133" t="s">
        <v>190</v>
      </c>
      <c r="G133" t="s">
        <v>864</v>
      </c>
      <c r="H133" t="s">
        <v>865</v>
      </c>
      <c r="I133" t="s">
        <v>865</v>
      </c>
      <c r="J133" t="s">
        <v>60</v>
      </c>
      <c r="K133" t="s">
        <v>486</v>
      </c>
      <c r="L133" t="s">
        <v>62</v>
      </c>
      <c r="M133" t="s">
        <v>486</v>
      </c>
      <c r="N133" t="s">
        <v>866</v>
      </c>
      <c r="O133" t="s">
        <v>867</v>
      </c>
      <c r="P133">
        <v>-20.170919000000001</v>
      </c>
      <c r="Q133">
        <v>-44.905451999999997</v>
      </c>
      <c r="R133" s="2" t="str">
        <f>HYPERLINK("https://www.google.com/maps?q=-20.1709190,-44.9054520","Abrir no Google Maps")</f>
        <v>Abrir no Google Maps</v>
      </c>
      <c r="S133">
        <v>3</v>
      </c>
      <c r="T133">
        <v>0</v>
      </c>
      <c r="U133">
        <v>3</v>
      </c>
      <c r="V133">
        <v>0.29385830152207698</v>
      </c>
      <c r="W133">
        <v>1</v>
      </c>
      <c r="X133">
        <v>0.29385830152207698</v>
      </c>
      <c r="Y133">
        <v>578</v>
      </c>
      <c r="Z133">
        <v>205.34598855748419</v>
      </c>
      <c r="AA133">
        <v>198</v>
      </c>
      <c r="AB133">
        <v>332</v>
      </c>
      <c r="AC133">
        <v>536</v>
      </c>
      <c r="AD133">
        <v>28.41</v>
      </c>
      <c r="AE133">
        <v>542</v>
      </c>
      <c r="AF133">
        <v>20</v>
      </c>
      <c r="AG133">
        <v>180</v>
      </c>
      <c r="AH133">
        <v>129</v>
      </c>
      <c r="AI133">
        <v>3.69</v>
      </c>
      <c r="AJ133">
        <v>33.21</v>
      </c>
      <c r="AK133">
        <v>23.8</v>
      </c>
      <c r="AL133">
        <v>-20.170854399999939</v>
      </c>
      <c r="AM133">
        <v>-44.905524839633358</v>
      </c>
      <c r="AN133">
        <v>-20.170854399999939</v>
      </c>
      <c r="AO133">
        <v>-44.905524839633358</v>
      </c>
      <c r="AP133">
        <v>-20.170919000000001</v>
      </c>
      <c r="AQ133">
        <v>-44.905451999999997</v>
      </c>
      <c r="AR133">
        <v>10.471140355179269</v>
      </c>
      <c r="AS133" t="s">
        <v>65</v>
      </c>
      <c r="AT133">
        <v>1</v>
      </c>
      <c r="AU133" t="s">
        <v>868</v>
      </c>
      <c r="AV133" t="s">
        <v>869</v>
      </c>
      <c r="AW133" t="s">
        <v>60</v>
      </c>
      <c r="AX133" t="s">
        <v>68</v>
      </c>
      <c r="AY133" t="s">
        <v>69</v>
      </c>
      <c r="AZ133" t="b">
        <v>1</v>
      </c>
    </row>
    <row r="134" spans="1:52" x14ac:dyDescent="0.3">
      <c r="A134" t="s">
        <v>52</v>
      </c>
      <c r="B134" t="s">
        <v>53</v>
      </c>
      <c r="C134" t="s">
        <v>54</v>
      </c>
      <c r="D134" t="s">
        <v>55</v>
      </c>
      <c r="E134" t="s">
        <v>56</v>
      </c>
      <c r="F134" t="s">
        <v>190</v>
      </c>
      <c r="G134" t="s">
        <v>870</v>
      </c>
      <c r="H134" t="s">
        <v>871</v>
      </c>
      <c r="I134" t="s">
        <v>871</v>
      </c>
      <c r="J134" t="s">
        <v>60</v>
      </c>
      <c r="K134" t="s">
        <v>475</v>
      </c>
      <c r="L134" t="s">
        <v>62</v>
      </c>
      <c r="M134" t="s">
        <v>475</v>
      </c>
      <c r="N134" t="s">
        <v>872</v>
      </c>
      <c r="O134" t="s">
        <v>507</v>
      </c>
      <c r="P134">
        <v>-20.176269999999999</v>
      </c>
      <c r="Q134">
        <v>-44.909323999999998</v>
      </c>
      <c r="R134" s="2" t="str">
        <f>HYPERLINK("https://www.google.com/maps?q=-20.1762700,-44.9093240","Abrir no Google Maps")</f>
        <v>Abrir no Google Maps</v>
      </c>
      <c r="S134">
        <v>3</v>
      </c>
      <c r="T134">
        <v>472.42731136821368</v>
      </c>
      <c r="U134">
        <v>3</v>
      </c>
      <c r="V134">
        <v>0.28007025873498709</v>
      </c>
      <c r="W134">
        <v>1</v>
      </c>
      <c r="X134">
        <v>0.28007025873498709</v>
      </c>
      <c r="Y134">
        <v>578</v>
      </c>
      <c r="Z134">
        <v>495.19726726344601</v>
      </c>
      <c r="AA134">
        <v>198</v>
      </c>
      <c r="AB134">
        <v>332</v>
      </c>
      <c r="AC134">
        <v>536</v>
      </c>
      <c r="AD134">
        <v>28.41</v>
      </c>
      <c r="AE134">
        <v>542</v>
      </c>
      <c r="AF134">
        <v>20</v>
      </c>
      <c r="AG134">
        <v>180</v>
      </c>
      <c r="AH134">
        <v>129</v>
      </c>
      <c r="AI134">
        <v>3.69</v>
      </c>
      <c r="AJ134">
        <v>33.21</v>
      </c>
      <c r="AK134">
        <v>23.8</v>
      </c>
      <c r="AL134">
        <v>-20.17630284999996</v>
      </c>
      <c r="AM134">
        <v>-44.909199064318948</v>
      </c>
      <c r="AN134">
        <v>-20.17630284999996</v>
      </c>
      <c r="AO134">
        <v>-44.909199064318948</v>
      </c>
      <c r="AP134">
        <v>-20.176269999999999</v>
      </c>
      <c r="AQ134">
        <v>-44.909323999999998</v>
      </c>
      <c r="AR134">
        <v>13.55691308737447</v>
      </c>
      <c r="AS134" t="s">
        <v>65</v>
      </c>
      <c r="AT134">
        <v>1</v>
      </c>
      <c r="AU134" t="s">
        <v>873</v>
      </c>
      <c r="AV134" t="s">
        <v>874</v>
      </c>
      <c r="AW134" t="s">
        <v>60</v>
      </c>
      <c r="AX134" t="s">
        <v>68</v>
      </c>
      <c r="AY134" t="s">
        <v>69</v>
      </c>
      <c r="AZ134" t="b">
        <v>1</v>
      </c>
    </row>
    <row r="135" spans="1:52" x14ac:dyDescent="0.3">
      <c r="A135" t="s">
        <v>52</v>
      </c>
      <c r="B135" t="s">
        <v>53</v>
      </c>
      <c r="C135" t="s">
        <v>54</v>
      </c>
      <c r="D135" t="s">
        <v>55</v>
      </c>
      <c r="E135" t="s">
        <v>56</v>
      </c>
      <c r="F135" t="s">
        <v>190</v>
      </c>
      <c r="G135" t="s">
        <v>497</v>
      </c>
      <c r="H135" t="s">
        <v>875</v>
      </c>
      <c r="I135" t="s">
        <v>875</v>
      </c>
      <c r="J135" t="s">
        <v>60</v>
      </c>
      <c r="K135" t="s">
        <v>475</v>
      </c>
      <c r="L135" t="s">
        <v>62</v>
      </c>
      <c r="M135" t="s">
        <v>475</v>
      </c>
      <c r="N135" t="s">
        <v>499</v>
      </c>
      <c r="O135" t="s">
        <v>876</v>
      </c>
      <c r="P135">
        <v>-20.177212999999998</v>
      </c>
      <c r="Q135">
        <v>-44.904026999999999</v>
      </c>
      <c r="R135" s="2" t="str">
        <f>HYPERLINK("https://www.google.com/maps?q=-20.1772130,-44.9040270","Abrir no Google Maps")</f>
        <v>Abrir no Google Maps</v>
      </c>
      <c r="S135">
        <v>3</v>
      </c>
      <c r="T135">
        <v>706.4159561113795</v>
      </c>
      <c r="U135">
        <v>3</v>
      </c>
      <c r="V135">
        <v>0.28951594663008667</v>
      </c>
      <c r="W135">
        <v>1</v>
      </c>
      <c r="X135">
        <v>0.28951594663008667</v>
      </c>
      <c r="Y135">
        <v>578</v>
      </c>
      <c r="Z135">
        <v>588.7160518608398</v>
      </c>
      <c r="AA135">
        <v>198</v>
      </c>
      <c r="AB135">
        <v>332</v>
      </c>
      <c r="AC135">
        <v>536</v>
      </c>
      <c r="AD135">
        <v>28.41</v>
      </c>
      <c r="AE135">
        <v>542</v>
      </c>
      <c r="AF135">
        <v>20</v>
      </c>
      <c r="AG135">
        <v>180</v>
      </c>
      <c r="AH135">
        <v>129</v>
      </c>
      <c r="AI135">
        <v>3.69</v>
      </c>
      <c r="AJ135">
        <v>33.21</v>
      </c>
      <c r="AK135">
        <v>23.8</v>
      </c>
      <c r="AL135">
        <v>-20.177090199999949</v>
      </c>
      <c r="AM135">
        <v>-44.904078820930181</v>
      </c>
      <c r="AN135">
        <v>-20.177090199999949</v>
      </c>
      <c r="AO135">
        <v>-44.904078820930181</v>
      </c>
      <c r="AP135">
        <v>-20.177212999999998</v>
      </c>
      <c r="AQ135">
        <v>-44.904026999999999</v>
      </c>
      <c r="AR135">
        <v>14.7034129632295</v>
      </c>
      <c r="AS135" t="s">
        <v>65</v>
      </c>
      <c r="AT135">
        <v>1</v>
      </c>
      <c r="AU135" t="s">
        <v>877</v>
      </c>
      <c r="AV135" t="s">
        <v>878</v>
      </c>
      <c r="AW135" t="s">
        <v>60</v>
      </c>
      <c r="AX135" t="s">
        <v>68</v>
      </c>
      <c r="AY135" t="s">
        <v>69</v>
      </c>
      <c r="AZ135" t="b">
        <v>1</v>
      </c>
    </row>
    <row r="136" spans="1:52" x14ac:dyDescent="0.3">
      <c r="A136" t="s">
        <v>52</v>
      </c>
      <c r="B136" t="s">
        <v>53</v>
      </c>
      <c r="C136" t="s">
        <v>54</v>
      </c>
      <c r="D136" t="s">
        <v>55</v>
      </c>
      <c r="E136" t="s">
        <v>56</v>
      </c>
      <c r="F136" t="s">
        <v>190</v>
      </c>
      <c r="G136" t="s">
        <v>879</v>
      </c>
      <c r="H136" t="s">
        <v>880</v>
      </c>
      <c r="I136" t="s">
        <v>880</v>
      </c>
      <c r="J136" t="s">
        <v>60</v>
      </c>
      <c r="K136" t="s">
        <v>505</v>
      </c>
      <c r="L136" t="s">
        <v>62</v>
      </c>
      <c r="M136" t="s">
        <v>505</v>
      </c>
      <c r="N136" t="s">
        <v>881</v>
      </c>
      <c r="O136" t="s">
        <v>882</v>
      </c>
      <c r="P136">
        <v>-20.133452999999999</v>
      </c>
      <c r="Q136">
        <v>-44.890571999999999</v>
      </c>
      <c r="R136" s="2" t="str">
        <f>HYPERLINK("https://www.google.com/maps?q=-20.1334530,-44.8905720","Abrir no Google Maps")</f>
        <v>Abrir no Google Maps</v>
      </c>
      <c r="S136">
        <v>3</v>
      </c>
      <c r="T136">
        <v>373.51332104809921</v>
      </c>
      <c r="U136">
        <v>3</v>
      </c>
      <c r="V136">
        <v>0.28907526766359581</v>
      </c>
      <c r="W136">
        <v>1</v>
      </c>
      <c r="X136">
        <v>0.28907526766359581</v>
      </c>
      <c r="Y136">
        <v>564</v>
      </c>
      <c r="Z136">
        <v>422.34693311930448</v>
      </c>
      <c r="AA136">
        <v>198</v>
      </c>
      <c r="AB136">
        <v>332</v>
      </c>
      <c r="AC136">
        <v>536</v>
      </c>
      <c r="AD136">
        <v>28.41</v>
      </c>
      <c r="AE136">
        <v>542</v>
      </c>
      <c r="AF136">
        <v>20</v>
      </c>
      <c r="AG136">
        <v>180</v>
      </c>
      <c r="AH136">
        <v>129</v>
      </c>
      <c r="AI136">
        <v>3.69</v>
      </c>
      <c r="AJ136">
        <v>33.21</v>
      </c>
      <c r="AK136">
        <v>23.8</v>
      </c>
      <c r="AL136">
        <v>-20.133421549999952</v>
      </c>
      <c r="AM136">
        <v>-44.890623456009052</v>
      </c>
      <c r="AN136">
        <v>-20.133421549999952</v>
      </c>
      <c r="AO136">
        <v>-44.890623456009052</v>
      </c>
      <c r="AP136">
        <v>-20.133452999999999</v>
      </c>
      <c r="AQ136">
        <v>-44.890571999999999</v>
      </c>
      <c r="AR136">
        <v>6.4172139275452773</v>
      </c>
      <c r="AS136" t="s">
        <v>65</v>
      </c>
      <c r="AT136">
        <v>1</v>
      </c>
      <c r="AU136" t="s">
        <v>883</v>
      </c>
      <c r="AV136" t="s">
        <v>884</v>
      </c>
      <c r="AW136" t="s">
        <v>60</v>
      </c>
      <c r="AX136" t="s">
        <v>68</v>
      </c>
      <c r="AY136" t="s">
        <v>69</v>
      </c>
      <c r="AZ136" t="b">
        <v>1</v>
      </c>
    </row>
    <row r="137" spans="1:52" x14ac:dyDescent="0.3">
      <c r="A137" t="s">
        <v>52</v>
      </c>
      <c r="B137" t="s">
        <v>53</v>
      </c>
      <c r="C137" t="s">
        <v>54</v>
      </c>
      <c r="D137" t="s">
        <v>55</v>
      </c>
      <c r="E137" t="s">
        <v>56</v>
      </c>
      <c r="F137" t="s">
        <v>190</v>
      </c>
      <c r="G137" t="s">
        <v>649</v>
      </c>
      <c r="H137" t="s">
        <v>885</v>
      </c>
      <c r="I137" t="s">
        <v>885</v>
      </c>
      <c r="J137" t="s">
        <v>60</v>
      </c>
      <c r="K137" t="s">
        <v>886</v>
      </c>
      <c r="L137" t="s">
        <v>62</v>
      </c>
      <c r="M137" t="s">
        <v>886</v>
      </c>
      <c r="N137" t="s">
        <v>652</v>
      </c>
      <c r="O137" t="s">
        <v>887</v>
      </c>
      <c r="P137">
        <v>-20.132252000000001</v>
      </c>
      <c r="Q137">
        <v>-44.894159000000002</v>
      </c>
      <c r="R137" s="2" t="str">
        <f>HYPERLINK("https://www.google.com/maps?q=-20.1322520,-44.8941590","Abrir no Google Maps")</f>
        <v>Abrir no Google Maps</v>
      </c>
      <c r="S137">
        <v>3</v>
      </c>
      <c r="T137">
        <v>699.5004749448899</v>
      </c>
      <c r="U137">
        <v>3</v>
      </c>
      <c r="V137">
        <v>0.32600493769209787</v>
      </c>
      <c r="W137">
        <v>0.85</v>
      </c>
      <c r="X137">
        <v>0.27710419703828321</v>
      </c>
      <c r="Y137">
        <v>564</v>
      </c>
      <c r="Z137">
        <v>522.21103586457991</v>
      </c>
      <c r="AA137">
        <v>198</v>
      </c>
      <c r="AB137">
        <v>332</v>
      </c>
      <c r="AC137">
        <v>536</v>
      </c>
      <c r="AD137">
        <v>28.41</v>
      </c>
      <c r="AE137">
        <v>542</v>
      </c>
      <c r="AF137">
        <v>20</v>
      </c>
      <c r="AG137">
        <v>180</v>
      </c>
      <c r="AH137">
        <v>129</v>
      </c>
      <c r="AI137">
        <v>3.69</v>
      </c>
      <c r="AJ137">
        <v>33.21</v>
      </c>
      <c r="AK137">
        <v>23.8</v>
      </c>
      <c r="AL137">
        <v>-20.132285999999969</v>
      </c>
      <c r="AM137">
        <v>-44.894119001288672</v>
      </c>
      <c r="AN137">
        <v>-20.132285999999969</v>
      </c>
      <c r="AO137">
        <v>-44.894119001288672</v>
      </c>
      <c r="AP137">
        <v>-20.132252000000001</v>
      </c>
      <c r="AQ137">
        <v>-44.894159000000002</v>
      </c>
      <c r="AR137">
        <v>5.6393921063261629</v>
      </c>
      <c r="AS137" t="s">
        <v>65</v>
      </c>
      <c r="AT137">
        <v>1</v>
      </c>
      <c r="AU137" t="s">
        <v>888</v>
      </c>
      <c r="AV137" t="s">
        <v>889</v>
      </c>
      <c r="AW137" t="s">
        <v>60</v>
      </c>
      <c r="AX137" t="s">
        <v>68</v>
      </c>
      <c r="AY137" t="s">
        <v>69</v>
      </c>
      <c r="AZ137" t="b">
        <v>1</v>
      </c>
    </row>
    <row r="138" spans="1:52" x14ac:dyDescent="0.3">
      <c r="A138" t="s">
        <v>52</v>
      </c>
      <c r="B138" t="s">
        <v>53</v>
      </c>
      <c r="C138" t="s">
        <v>54</v>
      </c>
      <c r="D138" t="s">
        <v>55</v>
      </c>
      <c r="E138" t="s">
        <v>56</v>
      </c>
      <c r="F138" t="s">
        <v>190</v>
      </c>
      <c r="G138" t="s">
        <v>890</v>
      </c>
      <c r="H138" t="s">
        <v>891</v>
      </c>
      <c r="I138" t="s">
        <v>891</v>
      </c>
      <c r="J138" t="s">
        <v>60</v>
      </c>
      <c r="K138" t="s">
        <v>892</v>
      </c>
      <c r="L138" t="s">
        <v>62</v>
      </c>
      <c r="M138" t="s">
        <v>892</v>
      </c>
      <c r="N138" t="s">
        <v>893</v>
      </c>
      <c r="O138" t="s">
        <v>894</v>
      </c>
      <c r="P138">
        <v>-20.152519000000002</v>
      </c>
      <c r="Q138">
        <v>-44.899177000000002</v>
      </c>
      <c r="R138" s="2" t="str">
        <f>HYPERLINK("https://www.google.com/maps?q=-20.1525190,-44.8991770","Abrir no Google Maps")</f>
        <v>Abrir no Google Maps</v>
      </c>
      <c r="S138">
        <v>3</v>
      </c>
      <c r="T138">
        <v>211.80188552994721</v>
      </c>
      <c r="U138">
        <v>3</v>
      </c>
      <c r="V138">
        <v>0.2806567794999183</v>
      </c>
      <c r="W138">
        <v>1</v>
      </c>
      <c r="X138">
        <v>0.2806567794999183</v>
      </c>
      <c r="Y138">
        <v>556</v>
      </c>
      <c r="Z138">
        <v>290.34804137107091</v>
      </c>
      <c r="AA138">
        <v>198</v>
      </c>
      <c r="AB138">
        <v>332</v>
      </c>
      <c r="AC138">
        <v>536</v>
      </c>
      <c r="AD138">
        <v>28.41</v>
      </c>
      <c r="AE138">
        <v>542</v>
      </c>
      <c r="AF138">
        <v>20</v>
      </c>
      <c r="AG138">
        <v>180</v>
      </c>
      <c r="AH138">
        <v>129</v>
      </c>
      <c r="AI138">
        <v>3.69</v>
      </c>
      <c r="AJ138">
        <v>33.21</v>
      </c>
      <c r="AK138">
        <v>23.8</v>
      </c>
      <c r="AL138">
        <v>-20.152516249999959</v>
      </c>
      <c r="AM138">
        <v>-44.899310431333959</v>
      </c>
      <c r="AN138">
        <v>-20.152516249999959</v>
      </c>
      <c r="AO138">
        <v>-44.899310431333959</v>
      </c>
      <c r="AP138">
        <v>-20.152519000000002</v>
      </c>
      <c r="AQ138">
        <v>-44.899177000000002</v>
      </c>
      <c r="AR138">
        <v>13.947583284957719</v>
      </c>
      <c r="AS138" t="s">
        <v>65</v>
      </c>
      <c r="AT138">
        <v>1</v>
      </c>
      <c r="AU138" t="s">
        <v>895</v>
      </c>
      <c r="AV138" t="s">
        <v>896</v>
      </c>
      <c r="AW138" t="s">
        <v>60</v>
      </c>
      <c r="AX138" t="s">
        <v>68</v>
      </c>
      <c r="AY138" t="s">
        <v>69</v>
      </c>
      <c r="AZ138" t="b">
        <v>1</v>
      </c>
    </row>
    <row r="139" spans="1:52" x14ac:dyDescent="0.3">
      <c r="A139" t="s">
        <v>52</v>
      </c>
      <c r="B139" t="s">
        <v>53</v>
      </c>
      <c r="C139" t="s">
        <v>54</v>
      </c>
      <c r="D139" t="s">
        <v>55</v>
      </c>
      <c r="E139" t="s">
        <v>56</v>
      </c>
      <c r="F139" t="s">
        <v>190</v>
      </c>
      <c r="G139" t="s">
        <v>897</v>
      </c>
      <c r="H139" t="s">
        <v>898</v>
      </c>
      <c r="I139" t="s">
        <v>898</v>
      </c>
      <c r="J139" t="s">
        <v>60</v>
      </c>
      <c r="K139" t="s">
        <v>892</v>
      </c>
      <c r="L139" t="s">
        <v>62</v>
      </c>
      <c r="M139" t="s">
        <v>892</v>
      </c>
      <c r="N139" t="s">
        <v>899</v>
      </c>
      <c r="O139" t="s">
        <v>900</v>
      </c>
      <c r="P139">
        <v>-20.154885</v>
      </c>
      <c r="Q139">
        <v>-44.899890999999997</v>
      </c>
      <c r="R139" s="2" t="str">
        <f>HYPERLINK("https://www.google.com/maps?q=-20.1548850,-44.8998910","Abrir no Google Maps")</f>
        <v>Abrir no Google Maps</v>
      </c>
      <c r="S139">
        <v>3</v>
      </c>
      <c r="T139">
        <v>314.66339661014308</v>
      </c>
      <c r="U139">
        <v>3</v>
      </c>
      <c r="V139">
        <v>0.28506693111022491</v>
      </c>
      <c r="W139">
        <v>1</v>
      </c>
      <c r="X139">
        <v>0.28506693111022491</v>
      </c>
      <c r="Y139">
        <v>548</v>
      </c>
      <c r="Z139">
        <v>319.02252584834253</v>
      </c>
      <c r="AA139">
        <v>198</v>
      </c>
      <c r="AB139">
        <v>332</v>
      </c>
      <c r="AC139">
        <v>536</v>
      </c>
      <c r="AD139">
        <v>28.41</v>
      </c>
      <c r="AE139">
        <v>542</v>
      </c>
      <c r="AF139">
        <v>20</v>
      </c>
      <c r="AG139">
        <v>180</v>
      </c>
      <c r="AH139">
        <v>129</v>
      </c>
      <c r="AI139">
        <v>3.69</v>
      </c>
      <c r="AJ139">
        <v>33.21</v>
      </c>
      <c r="AK139">
        <v>23.8</v>
      </c>
      <c r="AL139">
        <v>-20.154906649999951</v>
      </c>
      <c r="AM139">
        <v>-44.899894072543653</v>
      </c>
      <c r="AN139">
        <v>-20.154906649999951</v>
      </c>
      <c r="AO139">
        <v>-44.899894072543653</v>
      </c>
      <c r="AP139">
        <v>-20.154885</v>
      </c>
      <c r="AQ139">
        <v>-44.899890999999997</v>
      </c>
      <c r="AR139">
        <v>2.431373123904943</v>
      </c>
      <c r="AS139" t="s">
        <v>65</v>
      </c>
      <c r="AT139">
        <v>1</v>
      </c>
      <c r="AU139" t="s">
        <v>901</v>
      </c>
      <c r="AV139" t="s">
        <v>902</v>
      </c>
      <c r="AW139" t="s">
        <v>60</v>
      </c>
      <c r="AX139" t="s">
        <v>68</v>
      </c>
      <c r="AY139" t="s">
        <v>69</v>
      </c>
      <c r="AZ139" t="b">
        <v>1</v>
      </c>
    </row>
    <row r="140" spans="1:52" x14ac:dyDescent="0.3">
      <c r="A140" t="s">
        <v>52</v>
      </c>
      <c r="B140" t="s">
        <v>53</v>
      </c>
      <c r="C140" t="s">
        <v>54</v>
      </c>
      <c r="D140" t="s">
        <v>55</v>
      </c>
      <c r="E140" t="s">
        <v>56</v>
      </c>
      <c r="F140" t="s">
        <v>190</v>
      </c>
      <c r="G140" t="s">
        <v>903</v>
      </c>
      <c r="H140" t="s">
        <v>904</v>
      </c>
      <c r="I140" t="s">
        <v>904</v>
      </c>
      <c r="J140" t="s">
        <v>60</v>
      </c>
      <c r="K140" t="s">
        <v>905</v>
      </c>
      <c r="L140" t="s">
        <v>62</v>
      </c>
      <c r="M140" t="s">
        <v>905</v>
      </c>
      <c r="N140" t="s">
        <v>906</v>
      </c>
      <c r="O140" t="s">
        <v>907</v>
      </c>
      <c r="P140">
        <v>-20.112969</v>
      </c>
      <c r="Q140">
        <v>-44.891264</v>
      </c>
      <c r="R140" s="2" t="str">
        <f>HYPERLINK("https://www.google.com/maps?q=-20.1129690,-44.8912640","Abrir no Google Maps")</f>
        <v>Abrir no Google Maps</v>
      </c>
      <c r="S140">
        <v>3</v>
      </c>
      <c r="T140">
        <v>760.33197426397032</v>
      </c>
      <c r="U140">
        <v>3</v>
      </c>
      <c r="V140">
        <v>0.27873024513592098</v>
      </c>
      <c r="W140">
        <v>1</v>
      </c>
      <c r="X140">
        <v>0.27873024513592098</v>
      </c>
      <c r="Y140">
        <v>536</v>
      </c>
      <c r="Z140">
        <v>755.3791742519096</v>
      </c>
      <c r="AA140">
        <v>198</v>
      </c>
      <c r="AB140">
        <v>332</v>
      </c>
      <c r="AC140">
        <v>536</v>
      </c>
      <c r="AD140">
        <v>28.41</v>
      </c>
      <c r="AE140">
        <v>542</v>
      </c>
      <c r="AF140">
        <v>20</v>
      </c>
      <c r="AG140">
        <v>180</v>
      </c>
      <c r="AH140">
        <v>129</v>
      </c>
      <c r="AI140">
        <v>3.69</v>
      </c>
      <c r="AJ140">
        <v>33.21</v>
      </c>
      <c r="AK140">
        <v>23.8</v>
      </c>
      <c r="AL140">
        <v>-20.11260604999995</v>
      </c>
      <c r="AM140">
        <v>-44.891480970454502</v>
      </c>
      <c r="AN140">
        <v>-20.11260604999995</v>
      </c>
      <c r="AO140">
        <v>-44.891480970454502</v>
      </c>
      <c r="AP140">
        <v>-20.112969</v>
      </c>
      <c r="AQ140">
        <v>-44.891264</v>
      </c>
      <c r="AR140">
        <v>46.334053708506183</v>
      </c>
      <c r="AS140" t="s">
        <v>65</v>
      </c>
      <c r="AT140">
        <v>1</v>
      </c>
      <c r="AU140" t="s">
        <v>908</v>
      </c>
      <c r="AV140" t="s">
        <v>909</v>
      </c>
      <c r="AW140" t="s">
        <v>60</v>
      </c>
      <c r="AX140" t="s">
        <v>68</v>
      </c>
      <c r="AY140" t="s">
        <v>69</v>
      </c>
      <c r="AZ140" t="b">
        <v>1</v>
      </c>
    </row>
    <row r="141" spans="1:52" x14ac:dyDescent="0.3">
      <c r="A141" t="s">
        <v>52</v>
      </c>
      <c r="B141" t="s">
        <v>53</v>
      </c>
      <c r="C141" t="s">
        <v>54</v>
      </c>
      <c r="D141" t="s">
        <v>55</v>
      </c>
      <c r="E141" t="s">
        <v>56</v>
      </c>
      <c r="F141" t="s">
        <v>190</v>
      </c>
      <c r="G141" t="s">
        <v>910</v>
      </c>
      <c r="H141" t="s">
        <v>911</v>
      </c>
      <c r="I141" t="s">
        <v>911</v>
      </c>
      <c r="J141" t="s">
        <v>60</v>
      </c>
      <c r="K141" t="s">
        <v>207</v>
      </c>
      <c r="L141" t="s">
        <v>62</v>
      </c>
      <c r="M141" t="s">
        <v>207</v>
      </c>
      <c r="N141" t="s">
        <v>912</v>
      </c>
      <c r="O141" t="s">
        <v>548</v>
      </c>
      <c r="P141">
        <v>-20.116987000000002</v>
      </c>
      <c r="Q141">
        <v>-44.885240000000003</v>
      </c>
      <c r="R141" s="2" t="str">
        <f>HYPERLINK("https://www.google.com/maps?q=-20.1169870,-44.8852400","Abrir no Google Maps")</f>
        <v>Abrir no Google Maps</v>
      </c>
      <c r="S141">
        <v>3</v>
      </c>
      <c r="T141">
        <v>283.94804862214067</v>
      </c>
      <c r="U141">
        <v>3</v>
      </c>
      <c r="V141">
        <v>0.29130623134027273</v>
      </c>
      <c r="W141">
        <v>1</v>
      </c>
      <c r="X141">
        <v>0.29130623134027273</v>
      </c>
      <c r="Y141">
        <v>536</v>
      </c>
      <c r="Z141">
        <v>297.39410031170689</v>
      </c>
      <c r="AA141">
        <v>198</v>
      </c>
      <c r="AB141">
        <v>332</v>
      </c>
      <c r="AC141">
        <v>536</v>
      </c>
      <c r="AD141">
        <v>28.41</v>
      </c>
      <c r="AE141">
        <v>542</v>
      </c>
      <c r="AF141">
        <v>20</v>
      </c>
      <c r="AG141">
        <v>180</v>
      </c>
      <c r="AH141">
        <v>129</v>
      </c>
      <c r="AI141">
        <v>3.69</v>
      </c>
      <c r="AJ141">
        <v>33.21</v>
      </c>
      <c r="AK141">
        <v>23.8</v>
      </c>
      <c r="AL141">
        <v>-20.116999599999961</v>
      </c>
      <c r="AM141">
        <v>-44.885197873315192</v>
      </c>
      <c r="AN141">
        <v>-20.116999599999961</v>
      </c>
      <c r="AO141">
        <v>-44.885197873315192</v>
      </c>
      <c r="AP141">
        <v>-20.116987000000002</v>
      </c>
      <c r="AQ141">
        <v>-44.885240000000003</v>
      </c>
      <c r="AR141">
        <v>4.6214387870334246</v>
      </c>
      <c r="AS141" t="s">
        <v>65</v>
      </c>
      <c r="AT141">
        <v>1</v>
      </c>
      <c r="AU141" t="s">
        <v>913</v>
      </c>
      <c r="AV141" t="s">
        <v>914</v>
      </c>
      <c r="AW141" t="s">
        <v>60</v>
      </c>
      <c r="AX141" t="s">
        <v>68</v>
      </c>
      <c r="AY141" t="s">
        <v>69</v>
      </c>
      <c r="AZ141" t="b">
        <v>1</v>
      </c>
    </row>
    <row r="142" spans="1:52" x14ac:dyDescent="0.3">
      <c r="A142" t="s">
        <v>52</v>
      </c>
      <c r="B142" t="s">
        <v>53</v>
      </c>
      <c r="C142" t="s">
        <v>54</v>
      </c>
      <c r="D142" t="s">
        <v>55</v>
      </c>
      <c r="E142" t="s">
        <v>56</v>
      </c>
      <c r="F142" t="s">
        <v>190</v>
      </c>
      <c r="G142" t="s">
        <v>637</v>
      </c>
      <c r="H142" t="s">
        <v>915</v>
      </c>
      <c r="I142" t="s">
        <v>915</v>
      </c>
      <c r="J142" t="s">
        <v>60</v>
      </c>
      <c r="K142" t="s">
        <v>530</v>
      </c>
      <c r="L142" t="s">
        <v>62</v>
      </c>
      <c r="M142" t="s">
        <v>530</v>
      </c>
      <c r="N142" t="s">
        <v>639</v>
      </c>
      <c r="O142" t="s">
        <v>916</v>
      </c>
      <c r="P142">
        <v>-20.144821</v>
      </c>
      <c r="Q142">
        <v>-44.88937</v>
      </c>
      <c r="R142" s="2" t="str">
        <f>HYPERLINK("https://www.google.com/maps?q=-20.1448210,-44.8893700","Abrir no Google Maps")</f>
        <v>Abrir no Google Maps</v>
      </c>
      <c r="S142">
        <v>3</v>
      </c>
      <c r="T142">
        <v>256.58219197259177</v>
      </c>
      <c r="U142">
        <v>3</v>
      </c>
      <c r="V142">
        <v>0.340518686199692</v>
      </c>
      <c r="W142">
        <v>0.85</v>
      </c>
      <c r="X142">
        <v>0.28944088326973821</v>
      </c>
      <c r="Y142">
        <v>527</v>
      </c>
      <c r="Z142">
        <v>177.1895281295705</v>
      </c>
      <c r="AA142">
        <v>198</v>
      </c>
      <c r="AB142">
        <v>332</v>
      </c>
      <c r="AC142">
        <v>536</v>
      </c>
      <c r="AD142">
        <v>28.41</v>
      </c>
      <c r="AE142">
        <v>542</v>
      </c>
      <c r="AF142">
        <v>20</v>
      </c>
      <c r="AG142">
        <v>180</v>
      </c>
      <c r="AH142">
        <v>129</v>
      </c>
      <c r="AI142">
        <v>3.69</v>
      </c>
      <c r="AJ142">
        <v>33.21</v>
      </c>
      <c r="AK142">
        <v>23.8</v>
      </c>
      <c r="AL142">
        <v>-20.144812799999951</v>
      </c>
      <c r="AM142">
        <v>-44.8892780390361</v>
      </c>
      <c r="AN142">
        <v>-20.144812799999951</v>
      </c>
      <c r="AO142">
        <v>-44.8892780390361</v>
      </c>
      <c r="AP142">
        <v>-20.144821</v>
      </c>
      <c r="AQ142">
        <v>-44.88937</v>
      </c>
      <c r="AR142">
        <v>9.6540941010892158</v>
      </c>
      <c r="AS142" t="s">
        <v>65</v>
      </c>
      <c r="AT142">
        <v>1</v>
      </c>
      <c r="AU142" t="s">
        <v>917</v>
      </c>
      <c r="AV142" t="s">
        <v>918</v>
      </c>
      <c r="AW142" t="s">
        <v>60</v>
      </c>
      <c r="AX142" t="s">
        <v>68</v>
      </c>
      <c r="AY142" t="s">
        <v>69</v>
      </c>
      <c r="AZ142" t="b">
        <v>1</v>
      </c>
    </row>
    <row r="143" spans="1:52" x14ac:dyDescent="0.3">
      <c r="A143" t="s">
        <v>52</v>
      </c>
      <c r="B143" t="s">
        <v>53</v>
      </c>
      <c r="C143" t="s">
        <v>54</v>
      </c>
      <c r="D143" t="s">
        <v>55</v>
      </c>
      <c r="E143" t="s">
        <v>56</v>
      </c>
      <c r="F143" t="s">
        <v>190</v>
      </c>
      <c r="G143" t="s">
        <v>919</v>
      </c>
      <c r="H143" t="s">
        <v>920</v>
      </c>
      <c r="I143" t="s">
        <v>920</v>
      </c>
      <c r="J143" t="s">
        <v>60</v>
      </c>
      <c r="K143" t="s">
        <v>530</v>
      </c>
      <c r="L143" t="s">
        <v>62</v>
      </c>
      <c r="M143" t="s">
        <v>530</v>
      </c>
      <c r="N143" t="s">
        <v>921</v>
      </c>
      <c r="O143" t="s">
        <v>922</v>
      </c>
      <c r="P143">
        <v>-20.144537</v>
      </c>
      <c r="Q143">
        <v>-44.891530000000003</v>
      </c>
      <c r="R143" s="2" t="str">
        <f>HYPERLINK("https://www.google.com/maps?q=-20.1445370,-44.8915300","Abrir no Google Maps")</f>
        <v>Abrir no Google Maps</v>
      </c>
      <c r="S143">
        <v>3</v>
      </c>
      <c r="T143">
        <v>0</v>
      </c>
      <c r="U143">
        <v>3</v>
      </c>
      <c r="V143">
        <v>0.34360172446314119</v>
      </c>
      <c r="W143">
        <v>0.85</v>
      </c>
      <c r="X143">
        <v>0.29206146579366998</v>
      </c>
      <c r="Y143">
        <v>527</v>
      </c>
      <c r="Z143">
        <v>80.350679251421383</v>
      </c>
      <c r="AA143">
        <v>198</v>
      </c>
      <c r="AB143">
        <v>332</v>
      </c>
      <c r="AC143">
        <v>536</v>
      </c>
      <c r="AD143">
        <v>28.41</v>
      </c>
      <c r="AE143">
        <v>542</v>
      </c>
      <c r="AF143">
        <v>20</v>
      </c>
      <c r="AG143">
        <v>180</v>
      </c>
      <c r="AH143">
        <v>129</v>
      </c>
      <c r="AI143">
        <v>3.69</v>
      </c>
      <c r="AJ143">
        <v>33.21</v>
      </c>
      <c r="AK143">
        <v>23.8</v>
      </c>
      <c r="AL143">
        <v>-20.144700699999959</v>
      </c>
      <c r="AM143">
        <v>-44.891730278075883</v>
      </c>
      <c r="AN143">
        <v>-20.144700699999959</v>
      </c>
      <c r="AO143">
        <v>-44.891730278075883</v>
      </c>
      <c r="AP143">
        <v>-20.144537</v>
      </c>
      <c r="AQ143">
        <v>-44.891530000000003</v>
      </c>
      <c r="AR143">
        <v>27.752313800143739</v>
      </c>
      <c r="AS143" t="s">
        <v>65</v>
      </c>
      <c r="AT143">
        <v>1</v>
      </c>
      <c r="AU143" t="s">
        <v>923</v>
      </c>
      <c r="AV143" t="s">
        <v>924</v>
      </c>
      <c r="AW143" t="s">
        <v>60</v>
      </c>
      <c r="AX143" t="s">
        <v>68</v>
      </c>
      <c r="AY143" t="s">
        <v>69</v>
      </c>
      <c r="AZ143" t="b">
        <v>1</v>
      </c>
    </row>
    <row r="144" spans="1:52" x14ac:dyDescent="0.3">
      <c r="A144" t="s">
        <v>52</v>
      </c>
      <c r="B144" t="s">
        <v>53</v>
      </c>
      <c r="C144" t="s">
        <v>54</v>
      </c>
      <c r="D144" t="s">
        <v>55</v>
      </c>
      <c r="E144" t="s">
        <v>56</v>
      </c>
      <c r="F144" t="s">
        <v>190</v>
      </c>
      <c r="G144" t="s">
        <v>232</v>
      </c>
      <c r="H144" t="s">
        <v>925</v>
      </c>
      <c r="I144" t="s">
        <v>925</v>
      </c>
      <c r="J144" t="s">
        <v>60</v>
      </c>
      <c r="K144" t="s">
        <v>702</v>
      </c>
      <c r="L144" t="s">
        <v>62</v>
      </c>
      <c r="M144" t="s">
        <v>702</v>
      </c>
      <c r="N144" t="s">
        <v>234</v>
      </c>
      <c r="O144" t="s">
        <v>926</v>
      </c>
      <c r="P144">
        <v>-20.165887999999999</v>
      </c>
      <c r="Q144">
        <v>-44.865220000000001</v>
      </c>
      <c r="R144" s="2" t="str">
        <f>HYPERLINK("https://www.google.com/maps?q=-20.1658880,-44.8652200","Abrir no Google Maps")</f>
        <v>Abrir no Google Maps</v>
      </c>
      <c r="S144">
        <v>3</v>
      </c>
      <c r="T144">
        <v>711.71706763776342</v>
      </c>
      <c r="U144">
        <v>3</v>
      </c>
      <c r="V144">
        <v>0.28854386030186641</v>
      </c>
      <c r="W144">
        <v>1</v>
      </c>
      <c r="X144">
        <v>0.28854386030186641</v>
      </c>
      <c r="Y144">
        <v>518</v>
      </c>
      <c r="Z144">
        <v>801.45781285603209</v>
      </c>
      <c r="AA144">
        <v>198</v>
      </c>
      <c r="AB144">
        <v>332</v>
      </c>
      <c r="AC144">
        <v>536</v>
      </c>
      <c r="AD144">
        <v>28.41</v>
      </c>
      <c r="AE144">
        <v>542</v>
      </c>
      <c r="AF144">
        <v>20</v>
      </c>
      <c r="AG144">
        <v>180</v>
      </c>
      <c r="AH144">
        <v>129</v>
      </c>
      <c r="AI144">
        <v>3.69</v>
      </c>
      <c r="AJ144">
        <v>33.21</v>
      </c>
      <c r="AK144">
        <v>23.8</v>
      </c>
      <c r="AL144">
        <v>-20.165865449999959</v>
      </c>
      <c r="AM144">
        <v>-44.865240434761468</v>
      </c>
      <c r="AN144">
        <v>-20.165865449999959</v>
      </c>
      <c r="AO144">
        <v>-44.865240434761468</v>
      </c>
      <c r="AP144">
        <v>-20.165887999999999</v>
      </c>
      <c r="AQ144">
        <v>-44.865220000000001</v>
      </c>
      <c r="AR144">
        <v>3.2956262004279409</v>
      </c>
      <c r="AS144" t="s">
        <v>65</v>
      </c>
      <c r="AT144">
        <v>1</v>
      </c>
      <c r="AU144" t="s">
        <v>927</v>
      </c>
      <c r="AV144" t="s">
        <v>928</v>
      </c>
      <c r="AW144" t="s">
        <v>60</v>
      </c>
      <c r="AX144" t="s">
        <v>68</v>
      </c>
      <c r="AY144" t="s">
        <v>69</v>
      </c>
      <c r="AZ144" t="b">
        <v>1</v>
      </c>
    </row>
    <row r="145" spans="1:52" x14ac:dyDescent="0.3">
      <c r="A145" t="s">
        <v>52</v>
      </c>
      <c r="B145" t="s">
        <v>53</v>
      </c>
      <c r="C145" t="s">
        <v>54</v>
      </c>
      <c r="D145" t="s">
        <v>55</v>
      </c>
      <c r="E145" t="s">
        <v>56</v>
      </c>
      <c r="F145" t="s">
        <v>190</v>
      </c>
      <c r="G145" t="s">
        <v>929</v>
      </c>
      <c r="H145" t="s">
        <v>930</v>
      </c>
      <c r="I145" t="s">
        <v>930</v>
      </c>
      <c r="J145" t="s">
        <v>60</v>
      </c>
      <c r="K145" t="s">
        <v>72</v>
      </c>
      <c r="L145" t="s">
        <v>62</v>
      </c>
      <c r="M145" t="s">
        <v>72</v>
      </c>
      <c r="N145" t="s">
        <v>931</v>
      </c>
      <c r="O145" t="s">
        <v>932</v>
      </c>
      <c r="P145">
        <v>-20.144780999999998</v>
      </c>
      <c r="Q145">
        <v>-44.914259000000001</v>
      </c>
      <c r="R145" s="2" t="str">
        <f>HYPERLINK("https://www.google.com/maps?q=-20.1447810,-44.9142590","Abrir no Google Maps")</f>
        <v>Abrir no Google Maps</v>
      </c>
      <c r="S145">
        <v>3</v>
      </c>
      <c r="T145">
        <v>256.09363485874093</v>
      </c>
      <c r="U145">
        <v>3</v>
      </c>
      <c r="V145">
        <v>0.29417603770395462</v>
      </c>
      <c r="W145">
        <v>1</v>
      </c>
      <c r="X145">
        <v>0.29417603770395462</v>
      </c>
      <c r="Y145">
        <v>508</v>
      </c>
      <c r="Z145">
        <v>318.29766547935321</v>
      </c>
      <c r="AA145">
        <v>198</v>
      </c>
      <c r="AB145">
        <v>332</v>
      </c>
      <c r="AC145">
        <v>536</v>
      </c>
      <c r="AD145">
        <v>28.41</v>
      </c>
      <c r="AE145">
        <v>542</v>
      </c>
      <c r="AF145">
        <v>20</v>
      </c>
      <c r="AG145">
        <v>180</v>
      </c>
      <c r="AH145">
        <v>129</v>
      </c>
      <c r="AI145">
        <v>3.69</v>
      </c>
      <c r="AJ145">
        <v>33.21</v>
      </c>
      <c r="AK145">
        <v>23.8</v>
      </c>
      <c r="AL145">
        <v>-20.144721899999951</v>
      </c>
      <c r="AM145">
        <v>-44.914368749511411</v>
      </c>
      <c r="AN145">
        <v>-20.144721899999951</v>
      </c>
      <c r="AO145">
        <v>-44.914368749511411</v>
      </c>
      <c r="AP145">
        <v>-20.144780999999998</v>
      </c>
      <c r="AQ145">
        <v>-44.914259000000001</v>
      </c>
      <c r="AR145">
        <v>13.22280973360979</v>
      </c>
      <c r="AS145" t="s">
        <v>65</v>
      </c>
      <c r="AT145">
        <v>1</v>
      </c>
      <c r="AU145" t="s">
        <v>933</v>
      </c>
      <c r="AV145" t="s">
        <v>934</v>
      </c>
      <c r="AW145" t="s">
        <v>60</v>
      </c>
      <c r="AX145" t="s">
        <v>68</v>
      </c>
      <c r="AY145" t="s">
        <v>69</v>
      </c>
      <c r="AZ145" t="b">
        <v>1</v>
      </c>
    </row>
    <row r="146" spans="1:52" x14ac:dyDescent="0.3">
      <c r="A146" t="s">
        <v>52</v>
      </c>
      <c r="B146" t="s">
        <v>53</v>
      </c>
      <c r="C146" t="s">
        <v>54</v>
      </c>
      <c r="D146" t="s">
        <v>55</v>
      </c>
      <c r="E146" t="s">
        <v>56</v>
      </c>
      <c r="F146" t="s">
        <v>190</v>
      </c>
      <c r="G146" t="s">
        <v>935</v>
      </c>
      <c r="H146" t="s">
        <v>936</v>
      </c>
      <c r="I146" t="s">
        <v>936</v>
      </c>
      <c r="J146" t="s">
        <v>60</v>
      </c>
      <c r="K146" t="s">
        <v>193</v>
      </c>
      <c r="L146" t="s">
        <v>62</v>
      </c>
      <c r="M146" t="s">
        <v>193</v>
      </c>
      <c r="N146" t="s">
        <v>937</v>
      </c>
      <c r="O146" t="s">
        <v>938</v>
      </c>
      <c r="P146">
        <v>-20.144727</v>
      </c>
      <c r="Q146">
        <v>-44.919978999999998</v>
      </c>
      <c r="R146" s="2" t="str">
        <f>HYPERLINK("https://www.google.com/maps?q=-20.1447270,-44.9199790","Abrir no Google Maps")</f>
        <v>Abrir no Google Maps</v>
      </c>
      <c r="S146">
        <v>3</v>
      </c>
      <c r="T146">
        <v>341.13992759662477</v>
      </c>
      <c r="U146">
        <v>3</v>
      </c>
      <c r="V146">
        <v>0.28933775277831197</v>
      </c>
      <c r="W146">
        <v>1</v>
      </c>
      <c r="X146">
        <v>0.28933775277831197</v>
      </c>
      <c r="Y146">
        <v>508</v>
      </c>
      <c r="Z146">
        <v>274.58151985101409</v>
      </c>
      <c r="AA146">
        <v>198</v>
      </c>
      <c r="AB146">
        <v>332</v>
      </c>
      <c r="AC146">
        <v>536</v>
      </c>
      <c r="AD146">
        <v>28.41</v>
      </c>
      <c r="AE146">
        <v>542</v>
      </c>
      <c r="AF146">
        <v>20</v>
      </c>
      <c r="AG146">
        <v>180</v>
      </c>
      <c r="AH146">
        <v>129</v>
      </c>
      <c r="AI146">
        <v>3.69</v>
      </c>
      <c r="AJ146">
        <v>33.21</v>
      </c>
      <c r="AK146">
        <v>23.8</v>
      </c>
      <c r="AL146">
        <v>-20.144771099999961</v>
      </c>
      <c r="AM146">
        <v>-44.92003491095209</v>
      </c>
      <c r="AN146">
        <v>-20.144771099999961</v>
      </c>
      <c r="AO146">
        <v>-44.92003491095209</v>
      </c>
      <c r="AP146">
        <v>-20.144727</v>
      </c>
      <c r="AQ146">
        <v>-44.919978999999998</v>
      </c>
      <c r="AR146">
        <v>7.6317760459664177</v>
      </c>
      <c r="AS146" t="s">
        <v>65</v>
      </c>
      <c r="AT146">
        <v>1</v>
      </c>
      <c r="AU146" t="s">
        <v>939</v>
      </c>
      <c r="AV146" t="s">
        <v>940</v>
      </c>
      <c r="AW146" t="s">
        <v>60</v>
      </c>
      <c r="AX146" t="s">
        <v>68</v>
      </c>
      <c r="AY146" t="s">
        <v>69</v>
      </c>
      <c r="AZ146" t="b">
        <v>1</v>
      </c>
    </row>
    <row r="147" spans="1:52" x14ac:dyDescent="0.3">
      <c r="A147" t="s">
        <v>52</v>
      </c>
      <c r="B147" t="s">
        <v>53</v>
      </c>
      <c r="C147" t="s">
        <v>54</v>
      </c>
      <c r="D147" t="s">
        <v>55</v>
      </c>
      <c r="E147" t="s">
        <v>56</v>
      </c>
      <c r="F147" t="s">
        <v>190</v>
      </c>
      <c r="G147" t="s">
        <v>941</v>
      </c>
      <c r="H147" t="s">
        <v>942</v>
      </c>
      <c r="I147" t="s">
        <v>942</v>
      </c>
      <c r="J147" t="s">
        <v>60</v>
      </c>
      <c r="K147" t="s">
        <v>193</v>
      </c>
      <c r="L147" t="s">
        <v>62</v>
      </c>
      <c r="M147" t="s">
        <v>193</v>
      </c>
      <c r="N147" t="s">
        <v>943</v>
      </c>
      <c r="O147" t="s">
        <v>257</v>
      </c>
      <c r="P147">
        <v>-20.142042</v>
      </c>
      <c r="Q147">
        <v>-44.917906000000002</v>
      </c>
      <c r="R147" s="2" t="str">
        <f>HYPERLINK("https://www.google.com/maps?q=-20.1420420,-44.9179060","Abrir no Google Maps")</f>
        <v>Abrir no Google Maps</v>
      </c>
      <c r="S147">
        <v>3</v>
      </c>
      <c r="T147">
        <v>373.14048213045743</v>
      </c>
      <c r="U147">
        <v>3</v>
      </c>
      <c r="V147">
        <v>0.28094243835284011</v>
      </c>
      <c r="W147">
        <v>1</v>
      </c>
      <c r="X147">
        <v>0.28094243835284011</v>
      </c>
      <c r="Y147">
        <v>508</v>
      </c>
      <c r="Z147">
        <v>271.52693841106122</v>
      </c>
      <c r="AA147">
        <v>198</v>
      </c>
      <c r="AB147">
        <v>332</v>
      </c>
      <c r="AC147">
        <v>536</v>
      </c>
      <c r="AD147">
        <v>28.41</v>
      </c>
      <c r="AE147">
        <v>542</v>
      </c>
      <c r="AF147">
        <v>20</v>
      </c>
      <c r="AG147">
        <v>180</v>
      </c>
      <c r="AH147">
        <v>129</v>
      </c>
      <c r="AI147">
        <v>3.69</v>
      </c>
      <c r="AJ147">
        <v>33.21</v>
      </c>
      <c r="AK147">
        <v>23.8</v>
      </c>
      <c r="AL147">
        <v>-20.14198914999994</v>
      </c>
      <c r="AM147">
        <v>-44.918192618397512</v>
      </c>
      <c r="AN147">
        <v>-20.14198914999994</v>
      </c>
      <c r="AO147">
        <v>-44.918192618397512</v>
      </c>
      <c r="AP147">
        <v>-20.142042</v>
      </c>
      <c r="AQ147">
        <v>-44.917906000000002</v>
      </c>
      <c r="AR147">
        <v>30.527314493281139</v>
      </c>
      <c r="AS147" t="s">
        <v>65</v>
      </c>
      <c r="AT147">
        <v>1</v>
      </c>
      <c r="AU147" t="s">
        <v>944</v>
      </c>
      <c r="AV147" t="s">
        <v>945</v>
      </c>
      <c r="AW147" t="s">
        <v>60</v>
      </c>
      <c r="AX147" t="s">
        <v>68</v>
      </c>
      <c r="AY147" t="s">
        <v>69</v>
      </c>
      <c r="AZ147" t="b">
        <v>1</v>
      </c>
    </row>
    <row r="148" spans="1:52" x14ac:dyDescent="0.3">
      <c r="A148" t="s">
        <v>52</v>
      </c>
      <c r="B148" t="s">
        <v>53</v>
      </c>
      <c r="C148" t="s">
        <v>54</v>
      </c>
      <c r="D148" t="s">
        <v>55</v>
      </c>
      <c r="E148" t="s">
        <v>56</v>
      </c>
      <c r="F148" t="s">
        <v>190</v>
      </c>
      <c r="G148" t="s">
        <v>946</v>
      </c>
      <c r="H148" t="s">
        <v>947</v>
      </c>
      <c r="I148" t="s">
        <v>947</v>
      </c>
      <c r="J148" t="s">
        <v>60</v>
      </c>
      <c r="K148" t="s">
        <v>193</v>
      </c>
      <c r="L148" t="s">
        <v>62</v>
      </c>
      <c r="M148" t="s">
        <v>193</v>
      </c>
      <c r="N148" t="s">
        <v>948</v>
      </c>
      <c r="O148" t="s">
        <v>949</v>
      </c>
      <c r="P148">
        <v>-20.141646000000001</v>
      </c>
      <c r="Q148">
        <v>-44.920682999999997</v>
      </c>
      <c r="R148" s="2" t="str">
        <f>HYPERLINK("https://www.google.com/maps?q=-20.1416460,-44.9206830","Abrir no Google Maps")</f>
        <v>Abrir no Google Maps</v>
      </c>
      <c r="S148">
        <v>3</v>
      </c>
      <c r="T148">
        <v>538.41742581974165</v>
      </c>
      <c r="U148">
        <v>3</v>
      </c>
      <c r="V148">
        <v>0.2935555970898292</v>
      </c>
      <c r="W148">
        <v>1</v>
      </c>
      <c r="X148">
        <v>0.2935555970898292</v>
      </c>
      <c r="Y148">
        <v>508</v>
      </c>
      <c r="Z148">
        <v>459.99626097363068</v>
      </c>
      <c r="AA148">
        <v>198</v>
      </c>
      <c r="AB148">
        <v>332</v>
      </c>
      <c r="AC148">
        <v>536</v>
      </c>
      <c r="AD148">
        <v>28.41</v>
      </c>
      <c r="AE148">
        <v>542</v>
      </c>
      <c r="AF148">
        <v>20</v>
      </c>
      <c r="AG148">
        <v>180</v>
      </c>
      <c r="AH148">
        <v>129</v>
      </c>
      <c r="AI148">
        <v>3.69</v>
      </c>
      <c r="AJ148">
        <v>33.21</v>
      </c>
      <c r="AK148">
        <v>23.8</v>
      </c>
      <c r="AL148">
        <v>-20.141877549999979</v>
      </c>
      <c r="AM148">
        <v>-44.920658074778594</v>
      </c>
      <c r="AN148">
        <v>-20.141877549999979</v>
      </c>
      <c r="AO148">
        <v>-44.920658074778594</v>
      </c>
      <c r="AP148">
        <v>-20.141646000000001</v>
      </c>
      <c r="AQ148">
        <v>-44.920682999999997</v>
      </c>
      <c r="AR148">
        <v>25.907443828287509</v>
      </c>
      <c r="AS148" t="s">
        <v>65</v>
      </c>
      <c r="AT148">
        <v>1</v>
      </c>
      <c r="AU148" t="s">
        <v>950</v>
      </c>
      <c r="AV148" t="s">
        <v>951</v>
      </c>
      <c r="AW148" t="s">
        <v>60</v>
      </c>
      <c r="AX148" t="s">
        <v>68</v>
      </c>
      <c r="AY148" t="s">
        <v>69</v>
      </c>
      <c r="AZ148" t="b">
        <v>1</v>
      </c>
    </row>
    <row r="149" spans="1:52" x14ac:dyDescent="0.3">
      <c r="A149" t="s">
        <v>52</v>
      </c>
      <c r="B149" t="s">
        <v>53</v>
      </c>
      <c r="C149" t="s">
        <v>54</v>
      </c>
      <c r="D149" t="s">
        <v>55</v>
      </c>
      <c r="E149" t="s">
        <v>56</v>
      </c>
      <c r="F149" t="s">
        <v>190</v>
      </c>
      <c r="G149" t="s">
        <v>935</v>
      </c>
      <c r="H149" t="s">
        <v>952</v>
      </c>
      <c r="I149" t="s">
        <v>952</v>
      </c>
      <c r="J149" t="s">
        <v>60</v>
      </c>
      <c r="K149" t="s">
        <v>953</v>
      </c>
      <c r="L149" t="s">
        <v>62</v>
      </c>
      <c r="M149" t="s">
        <v>953</v>
      </c>
      <c r="N149" t="s">
        <v>937</v>
      </c>
      <c r="O149" t="s">
        <v>954</v>
      </c>
      <c r="P149">
        <v>-20.147273999999999</v>
      </c>
      <c r="Q149">
        <v>-44.920006000000001</v>
      </c>
      <c r="R149" s="2" t="str">
        <f>HYPERLINK("https://www.google.com/maps?q=-20.1472740,-44.9200060","Abrir no Google Maps")</f>
        <v>Abrir no Google Maps</v>
      </c>
      <c r="S149">
        <v>3</v>
      </c>
      <c r="T149">
        <v>459.0606352701667</v>
      </c>
      <c r="U149">
        <v>3</v>
      </c>
      <c r="V149">
        <v>0.3293918178008573</v>
      </c>
      <c r="W149">
        <v>0.85</v>
      </c>
      <c r="X149">
        <v>0.27998304513072869</v>
      </c>
      <c r="Y149">
        <v>508</v>
      </c>
      <c r="Z149">
        <v>450.79650119449559</v>
      </c>
      <c r="AA149">
        <v>198</v>
      </c>
      <c r="AB149">
        <v>332</v>
      </c>
      <c r="AC149">
        <v>536</v>
      </c>
      <c r="AD149">
        <v>28.41</v>
      </c>
      <c r="AE149">
        <v>542</v>
      </c>
      <c r="AF149">
        <v>20</v>
      </c>
      <c r="AG149">
        <v>180</v>
      </c>
      <c r="AH149">
        <v>129</v>
      </c>
      <c r="AI149">
        <v>3.69</v>
      </c>
      <c r="AJ149">
        <v>33.21</v>
      </c>
      <c r="AK149">
        <v>23.8</v>
      </c>
      <c r="AL149">
        <v>-20.14804539999994</v>
      </c>
      <c r="AM149">
        <v>-44.919869714952483</v>
      </c>
      <c r="AN149">
        <v>-20.14804539999994</v>
      </c>
      <c r="AO149">
        <v>-44.919869714952483</v>
      </c>
      <c r="AP149">
        <v>-20.147273999999999</v>
      </c>
      <c r="AQ149">
        <v>-44.920006000000001</v>
      </c>
      <c r="AR149">
        <v>87.045401840517783</v>
      </c>
      <c r="AS149" t="s">
        <v>65</v>
      </c>
      <c r="AT149">
        <v>1</v>
      </c>
      <c r="AU149" t="s">
        <v>955</v>
      </c>
      <c r="AV149" t="s">
        <v>956</v>
      </c>
      <c r="AW149" t="s">
        <v>60</v>
      </c>
      <c r="AX149" t="s">
        <v>68</v>
      </c>
      <c r="AY149" t="s">
        <v>69</v>
      </c>
      <c r="AZ149" t="b">
        <v>1</v>
      </c>
    </row>
    <row r="150" spans="1:52" x14ac:dyDescent="0.3">
      <c r="A150" t="s">
        <v>52</v>
      </c>
      <c r="B150" t="s">
        <v>53</v>
      </c>
      <c r="C150" t="s">
        <v>54</v>
      </c>
      <c r="D150" t="s">
        <v>55</v>
      </c>
      <c r="E150" t="s">
        <v>56</v>
      </c>
      <c r="F150" t="s">
        <v>190</v>
      </c>
      <c r="G150" t="s">
        <v>957</v>
      </c>
      <c r="H150" t="s">
        <v>958</v>
      </c>
      <c r="I150" t="s">
        <v>958</v>
      </c>
      <c r="J150" t="s">
        <v>60</v>
      </c>
      <c r="K150" t="s">
        <v>262</v>
      </c>
      <c r="L150" t="s">
        <v>62</v>
      </c>
      <c r="M150" t="s">
        <v>262</v>
      </c>
      <c r="N150" t="s">
        <v>959</v>
      </c>
      <c r="O150" t="s">
        <v>960</v>
      </c>
      <c r="P150">
        <v>-20.165469999999999</v>
      </c>
      <c r="Q150">
        <v>-44.854308000000003</v>
      </c>
      <c r="R150" s="2" t="str">
        <f>HYPERLINK("https://www.google.com/maps?q=-20.1654700,-44.8543080","Abrir no Google Maps")</f>
        <v>Abrir no Google Maps</v>
      </c>
      <c r="S150">
        <v>3</v>
      </c>
      <c r="T150">
        <v>555.06043712641599</v>
      </c>
      <c r="U150">
        <v>3</v>
      </c>
      <c r="V150">
        <v>0.28796031752524581</v>
      </c>
      <c r="W150">
        <v>1</v>
      </c>
      <c r="X150">
        <v>0.28796031752524581</v>
      </c>
      <c r="Y150">
        <v>491</v>
      </c>
      <c r="Z150">
        <v>423.16855805320131</v>
      </c>
      <c r="AA150">
        <v>198</v>
      </c>
      <c r="AB150">
        <v>332</v>
      </c>
      <c r="AC150">
        <v>536</v>
      </c>
      <c r="AD150">
        <v>28.41</v>
      </c>
      <c r="AE150">
        <v>542</v>
      </c>
      <c r="AF150">
        <v>20</v>
      </c>
      <c r="AG150">
        <v>180</v>
      </c>
      <c r="AH150">
        <v>129</v>
      </c>
      <c r="AI150">
        <v>3.69</v>
      </c>
      <c r="AJ150">
        <v>33.21</v>
      </c>
      <c r="AK150">
        <v>23.8</v>
      </c>
      <c r="AL150">
        <v>-20.165538449999961</v>
      </c>
      <c r="AM150">
        <v>-44.854274624633042</v>
      </c>
      <c r="AN150">
        <v>-20.165538449999961</v>
      </c>
      <c r="AO150">
        <v>-44.854274624633042</v>
      </c>
      <c r="AP150">
        <v>-20.165469999999999</v>
      </c>
      <c r="AQ150">
        <v>-44.854308000000003</v>
      </c>
      <c r="AR150">
        <v>8.3800661572970956</v>
      </c>
      <c r="AS150" t="s">
        <v>65</v>
      </c>
      <c r="AT150">
        <v>1</v>
      </c>
      <c r="AU150" t="s">
        <v>961</v>
      </c>
      <c r="AV150" t="s">
        <v>962</v>
      </c>
      <c r="AW150" t="s">
        <v>60</v>
      </c>
      <c r="AX150" t="s">
        <v>68</v>
      </c>
      <c r="AY150" t="s">
        <v>69</v>
      </c>
      <c r="AZ150" t="b">
        <v>1</v>
      </c>
    </row>
    <row r="151" spans="1:52" x14ac:dyDescent="0.3">
      <c r="A151" t="s">
        <v>52</v>
      </c>
      <c r="B151" t="s">
        <v>53</v>
      </c>
      <c r="C151" t="s">
        <v>54</v>
      </c>
      <c r="D151" t="s">
        <v>55</v>
      </c>
      <c r="E151" t="s">
        <v>56</v>
      </c>
      <c r="F151" t="s">
        <v>190</v>
      </c>
      <c r="G151" t="s">
        <v>963</v>
      </c>
      <c r="H151" t="s">
        <v>964</v>
      </c>
      <c r="I151" t="s">
        <v>964</v>
      </c>
      <c r="J151" t="s">
        <v>60</v>
      </c>
      <c r="K151" t="s">
        <v>702</v>
      </c>
      <c r="L151" t="s">
        <v>62</v>
      </c>
      <c r="M151" t="s">
        <v>702</v>
      </c>
      <c r="N151" t="s">
        <v>965</v>
      </c>
      <c r="O151" t="s">
        <v>960</v>
      </c>
      <c r="P151">
        <v>-20.164622000000001</v>
      </c>
      <c r="Q151">
        <v>-44.860289999999999</v>
      </c>
      <c r="R151" s="2" t="str">
        <f>HYPERLINK("https://www.google.com/maps?q=-20.1646220,-44.8602900","Abrir no Google Maps")</f>
        <v>Abrir no Google Maps</v>
      </c>
      <c r="S151">
        <v>3</v>
      </c>
      <c r="T151">
        <v>393.43725605569188</v>
      </c>
      <c r="U151">
        <v>3</v>
      </c>
      <c r="V151">
        <v>0.29337466625135789</v>
      </c>
      <c r="W151">
        <v>1</v>
      </c>
      <c r="X151">
        <v>0.29337466625135789</v>
      </c>
      <c r="Y151">
        <v>491</v>
      </c>
      <c r="Z151">
        <v>358.96336458076678</v>
      </c>
      <c r="AA151">
        <v>198</v>
      </c>
      <c r="AB151">
        <v>332</v>
      </c>
      <c r="AC151">
        <v>536</v>
      </c>
      <c r="AD151">
        <v>28.41</v>
      </c>
      <c r="AE151">
        <v>542</v>
      </c>
      <c r="AF151">
        <v>20</v>
      </c>
      <c r="AG151">
        <v>180</v>
      </c>
      <c r="AH151">
        <v>129</v>
      </c>
      <c r="AI151">
        <v>3.69</v>
      </c>
      <c r="AJ151">
        <v>33.21</v>
      </c>
      <c r="AK151">
        <v>23.8</v>
      </c>
      <c r="AL151">
        <v>-20.164560849999951</v>
      </c>
      <c r="AM151">
        <v>-44.860330680844072</v>
      </c>
      <c r="AN151">
        <v>-20.164560849999951</v>
      </c>
      <c r="AO151">
        <v>-44.860330680844072</v>
      </c>
      <c r="AP151">
        <v>-20.164622000000001</v>
      </c>
      <c r="AQ151">
        <v>-44.860289999999999</v>
      </c>
      <c r="AR151">
        <v>8.0255448908437454</v>
      </c>
      <c r="AS151" t="s">
        <v>65</v>
      </c>
      <c r="AT151">
        <v>1</v>
      </c>
      <c r="AU151" t="s">
        <v>966</v>
      </c>
      <c r="AV151" t="s">
        <v>967</v>
      </c>
      <c r="AW151" t="s">
        <v>60</v>
      </c>
      <c r="AX151" t="s">
        <v>68</v>
      </c>
      <c r="AY151" t="s">
        <v>69</v>
      </c>
      <c r="AZ151" t="b">
        <v>1</v>
      </c>
    </row>
    <row r="152" spans="1:52" x14ac:dyDescent="0.3">
      <c r="A152" t="s">
        <v>52</v>
      </c>
      <c r="B152" t="s">
        <v>53</v>
      </c>
      <c r="C152" t="s">
        <v>54</v>
      </c>
      <c r="D152" t="s">
        <v>55</v>
      </c>
      <c r="E152" t="s">
        <v>56</v>
      </c>
      <c r="F152" t="s">
        <v>190</v>
      </c>
      <c r="G152" t="s">
        <v>968</v>
      </c>
      <c r="H152" t="s">
        <v>969</v>
      </c>
      <c r="I152" t="s">
        <v>969</v>
      </c>
      <c r="J152" t="s">
        <v>60</v>
      </c>
      <c r="K152" t="s">
        <v>262</v>
      </c>
      <c r="L152" t="s">
        <v>62</v>
      </c>
      <c r="M152" t="s">
        <v>262</v>
      </c>
      <c r="N152" t="s">
        <v>970</v>
      </c>
      <c r="O152" t="s">
        <v>971</v>
      </c>
      <c r="P152">
        <v>-20.163060999999999</v>
      </c>
      <c r="Q152">
        <v>-44.854047000000001</v>
      </c>
      <c r="R152" s="2" t="str">
        <f>HYPERLINK("https://www.google.com/maps?q=-20.1630610,-44.8540470","Abrir no Google Maps")</f>
        <v>Abrir no Google Maps</v>
      </c>
      <c r="S152">
        <v>3</v>
      </c>
      <c r="T152">
        <v>418.63868463200271</v>
      </c>
      <c r="U152">
        <v>3</v>
      </c>
      <c r="V152">
        <v>0.2861794060547172</v>
      </c>
      <c r="W152">
        <v>1</v>
      </c>
      <c r="X152">
        <v>0.2861794060547172</v>
      </c>
      <c r="Y152">
        <v>491</v>
      </c>
      <c r="Z152">
        <v>339.19068595447408</v>
      </c>
      <c r="AA152">
        <v>198</v>
      </c>
      <c r="AB152">
        <v>332</v>
      </c>
      <c r="AC152">
        <v>536</v>
      </c>
      <c r="AD152">
        <v>28.41</v>
      </c>
      <c r="AE152">
        <v>542</v>
      </c>
      <c r="AF152">
        <v>20</v>
      </c>
      <c r="AG152">
        <v>180</v>
      </c>
      <c r="AH152">
        <v>129</v>
      </c>
      <c r="AI152">
        <v>3.69</v>
      </c>
      <c r="AJ152">
        <v>33.21</v>
      </c>
      <c r="AK152">
        <v>23.8</v>
      </c>
      <c r="AL152">
        <v>-20.163118949999959</v>
      </c>
      <c r="AM152">
        <v>-44.854106723889032</v>
      </c>
      <c r="AN152">
        <v>-20.163118949999959</v>
      </c>
      <c r="AO152">
        <v>-44.854106723889032</v>
      </c>
      <c r="AP152">
        <v>-20.163060999999999</v>
      </c>
      <c r="AQ152">
        <v>-44.854047000000001</v>
      </c>
      <c r="AR152">
        <v>8.9758322935491428</v>
      </c>
      <c r="AS152" t="s">
        <v>65</v>
      </c>
      <c r="AT152">
        <v>1</v>
      </c>
      <c r="AU152" t="s">
        <v>972</v>
      </c>
      <c r="AV152" t="s">
        <v>973</v>
      </c>
      <c r="AW152" t="s">
        <v>60</v>
      </c>
      <c r="AX152" t="s">
        <v>68</v>
      </c>
      <c r="AY152" t="s">
        <v>69</v>
      </c>
      <c r="AZ152" t="b">
        <v>1</v>
      </c>
    </row>
    <row r="153" spans="1:52" x14ac:dyDescent="0.3">
      <c r="A153" t="s">
        <v>52</v>
      </c>
      <c r="B153" t="s">
        <v>53</v>
      </c>
      <c r="C153" t="s">
        <v>54</v>
      </c>
      <c r="D153" t="s">
        <v>55</v>
      </c>
      <c r="E153" t="s">
        <v>56</v>
      </c>
      <c r="F153" t="s">
        <v>190</v>
      </c>
      <c r="G153" t="s">
        <v>974</v>
      </c>
      <c r="H153" t="s">
        <v>975</v>
      </c>
      <c r="I153" t="s">
        <v>975</v>
      </c>
      <c r="J153" t="s">
        <v>60</v>
      </c>
      <c r="K153" t="s">
        <v>702</v>
      </c>
      <c r="L153" t="s">
        <v>62</v>
      </c>
      <c r="M153" t="s">
        <v>702</v>
      </c>
      <c r="N153" t="s">
        <v>976</v>
      </c>
      <c r="O153" t="s">
        <v>977</v>
      </c>
      <c r="P153">
        <v>-20.167021999999999</v>
      </c>
      <c r="Q153">
        <v>-44.863095000000001</v>
      </c>
      <c r="R153" s="2" t="str">
        <f>HYPERLINK("https://www.google.com/maps?q=-20.1670220,-44.8630950","Abrir no Google Maps")</f>
        <v>Abrir no Google Maps</v>
      </c>
      <c r="S153">
        <v>3</v>
      </c>
      <c r="T153">
        <v>629.02897442495839</v>
      </c>
      <c r="U153">
        <v>3</v>
      </c>
      <c r="V153">
        <v>0.28584216686044311</v>
      </c>
      <c r="W153">
        <v>1</v>
      </c>
      <c r="X153">
        <v>0.28584216686044311</v>
      </c>
      <c r="Y153">
        <v>491</v>
      </c>
      <c r="Z153">
        <v>693.48000708961661</v>
      </c>
      <c r="AA153">
        <v>198</v>
      </c>
      <c r="AB153">
        <v>332</v>
      </c>
      <c r="AC153">
        <v>536</v>
      </c>
      <c r="AD153">
        <v>28.41</v>
      </c>
      <c r="AE153">
        <v>542</v>
      </c>
      <c r="AF153">
        <v>20</v>
      </c>
      <c r="AG153">
        <v>180</v>
      </c>
      <c r="AH153">
        <v>129</v>
      </c>
      <c r="AI153">
        <v>3.69</v>
      </c>
      <c r="AJ153">
        <v>33.21</v>
      </c>
      <c r="AK153">
        <v>23.8</v>
      </c>
      <c r="AL153">
        <v>-20.167032199999941</v>
      </c>
      <c r="AM153">
        <v>-44.863123980291967</v>
      </c>
      <c r="AN153">
        <v>-20.167032199999941</v>
      </c>
      <c r="AO153">
        <v>-44.863123980291967</v>
      </c>
      <c r="AP153">
        <v>-20.167021999999999</v>
      </c>
      <c r="AQ153">
        <v>-44.863095000000001</v>
      </c>
      <c r="AR153">
        <v>3.2341734571542871</v>
      </c>
      <c r="AS153" t="s">
        <v>65</v>
      </c>
      <c r="AT153">
        <v>1</v>
      </c>
      <c r="AU153" t="s">
        <v>978</v>
      </c>
      <c r="AV153" t="s">
        <v>979</v>
      </c>
      <c r="AW153" t="s">
        <v>60</v>
      </c>
      <c r="AX153" t="s">
        <v>68</v>
      </c>
      <c r="AY153" t="s">
        <v>69</v>
      </c>
      <c r="AZ153" t="b">
        <v>1</v>
      </c>
    </row>
    <row r="154" spans="1:52" x14ac:dyDescent="0.3">
      <c r="A154" t="s">
        <v>52</v>
      </c>
      <c r="B154" t="s">
        <v>53</v>
      </c>
      <c r="C154" t="s">
        <v>54</v>
      </c>
      <c r="D154" t="s">
        <v>55</v>
      </c>
      <c r="E154" t="s">
        <v>56</v>
      </c>
      <c r="F154" t="s">
        <v>190</v>
      </c>
      <c r="G154" t="s">
        <v>980</v>
      </c>
      <c r="H154" t="s">
        <v>981</v>
      </c>
      <c r="I154" t="s">
        <v>981</v>
      </c>
      <c r="J154" t="s">
        <v>60</v>
      </c>
      <c r="K154" t="s">
        <v>982</v>
      </c>
      <c r="L154" t="s">
        <v>62</v>
      </c>
      <c r="M154" t="s">
        <v>982</v>
      </c>
      <c r="N154" t="s">
        <v>983</v>
      </c>
      <c r="O154" t="s">
        <v>264</v>
      </c>
      <c r="P154">
        <v>-20.166967</v>
      </c>
      <c r="Q154">
        <v>-44.859355000000001</v>
      </c>
      <c r="R154" s="2" t="str">
        <f>HYPERLINK("https://www.google.com/maps?q=-20.1669670,-44.8593550","Abrir no Google Maps")</f>
        <v>Abrir no Google Maps</v>
      </c>
      <c r="S154">
        <v>3</v>
      </c>
      <c r="T154">
        <v>577.54934865824521</v>
      </c>
      <c r="U154">
        <v>3</v>
      </c>
      <c r="V154">
        <v>0.27951766564198788</v>
      </c>
      <c r="W154">
        <v>1</v>
      </c>
      <c r="X154">
        <v>0.27951766564198788</v>
      </c>
      <c r="Y154">
        <v>491</v>
      </c>
      <c r="Z154">
        <v>433.59782149216659</v>
      </c>
      <c r="AA154">
        <v>198</v>
      </c>
      <c r="AB154">
        <v>332</v>
      </c>
      <c r="AC154">
        <v>536</v>
      </c>
      <c r="AD154">
        <v>28.41</v>
      </c>
      <c r="AE154">
        <v>542</v>
      </c>
      <c r="AF154">
        <v>20</v>
      </c>
      <c r="AG154">
        <v>180</v>
      </c>
      <c r="AH154">
        <v>129</v>
      </c>
      <c r="AI154">
        <v>3.69</v>
      </c>
      <c r="AJ154">
        <v>33.21</v>
      </c>
      <c r="AK154">
        <v>23.8</v>
      </c>
      <c r="AL154">
        <v>-20.16694954999997</v>
      </c>
      <c r="AM154">
        <v>-44.859100695938046</v>
      </c>
      <c r="AN154">
        <v>-20.16694954999997</v>
      </c>
      <c r="AO154">
        <v>-44.859100695938046</v>
      </c>
      <c r="AP154">
        <v>-20.166967</v>
      </c>
      <c r="AQ154">
        <v>-44.859355000000001</v>
      </c>
      <c r="AR154">
        <v>26.644458793923111</v>
      </c>
      <c r="AS154" t="s">
        <v>65</v>
      </c>
      <c r="AT154">
        <v>1</v>
      </c>
      <c r="AU154" t="s">
        <v>984</v>
      </c>
      <c r="AV154" t="s">
        <v>985</v>
      </c>
      <c r="AW154" t="s">
        <v>60</v>
      </c>
      <c r="AX154" t="s">
        <v>68</v>
      </c>
      <c r="AY154" t="s">
        <v>69</v>
      </c>
      <c r="AZ154" t="b">
        <v>1</v>
      </c>
    </row>
    <row r="155" spans="1:52" x14ac:dyDescent="0.3">
      <c r="A155" t="s">
        <v>52</v>
      </c>
      <c r="B155" t="s">
        <v>53</v>
      </c>
      <c r="C155" t="s">
        <v>54</v>
      </c>
      <c r="D155" t="s">
        <v>55</v>
      </c>
      <c r="E155" t="s">
        <v>56</v>
      </c>
      <c r="F155" t="s">
        <v>190</v>
      </c>
      <c r="G155" t="s">
        <v>986</v>
      </c>
      <c r="H155" t="s">
        <v>987</v>
      </c>
      <c r="I155" t="s">
        <v>987</v>
      </c>
      <c r="J155" t="s">
        <v>60</v>
      </c>
      <c r="K155" t="s">
        <v>702</v>
      </c>
      <c r="L155" t="s">
        <v>62</v>
      </c>
      <c r="M155" t="s">
        <v>702</v>
      </c>
      <c r="N155" t="s">
        <v>988</v>
      </c>
      <c r="O155" t="s">
        <v>989</v>
      </c>
      <c r="P155">
        <v>-20.1691</v>
      </c>
      <c r="Q155">
        <v>-44.860813999999998</v>
      </c>
      <c r="R155" s="2" t="str">
        <f>HYPERLINK("https://www.google.com/maps?q=-20.1691000,-44.8608140","Abrir no Google Maps")</f>
        <v>Abrir no Google Maps</v>
      </c>
      <c r="S155">
        <v>3</v>
      </c>
      <c r="T155">
        <v>596.11124105675003</v>
      </c>
      <c r="U155">
        <v>3</v>
      </c>
      <c r="V155">
        <v>0.27742131732611702</v>
      </c>
      <c r="W155">
        <v>1</v>
      </c>
      <c r="X155">
        <v>0.27742131732611702</v>
      </c>
      <c r="Y155">
        <v>491</v>
      </c>
      <c r="Z155">
        <v>741.65354053819078</v>
      </c>
      <c r="AA155">
        <v>198</v>
      </c>
      <c r="AB155">
        <v>332</v>
      </c>
      <c r="AC155">
        <v>536</v>
      </c>
      <c r="AD155">
        <v>28.41</v>
      </c>
      <c r="AE155">
        <v>542</v>
      </c>
      <c r="AF155">
        <v>20</v>
      </c>
      <c r="AG155">
        <v>180</v>
      </c>
      <c r="AH155">
        <v>129</v>
      </c>
      <c r="AI155">
        <v>3.69</v>
      </c>
      <c r="AJ155">
        <v>33.21</v>
      </c>
      <c r="AK155">
        <v>23.8</v>
      </c>
      <c r="AL155">
        <v>-20.168995449999951</v>
      </c>
      <c r="AM155">
        <v>-44.86088900357106</v>
      </c>
      <c r="AN155">
        <v>-20.168995449999951</v>
      </c>
      <c r="AO155">
        <v>-44.86088900357106</v>
      </c>
      <c r="AP155">
        <v>-20.1691</v>
      </c>
      <c r="AQ155">
        <v>-44.860813999999998</v>
      </c>
      <c r="AR155">
        <v>14.03138702725616</v>
      </c>
      <c r="AS155" t="s">
        <v>65</v>
      </c>
      <c r="AT155">
        <v>1</v>
      </c>
      <c r="AU155" t="s">
        <v>990</v>
      </c>
      <c r="AV155" t="s">
        <v>991</v>
      </c>
      <c r="AW155" t="s">
        <v>60</v>
      </c>
      <c r="AX155" t="s">
        <v>68</v>
      </c>
      <c r="AY155" t="s">
        <v>69</v>
      </c>
      <c r="AZ155" t="b">
        <v>1</v>
      </c>
    </row>
    <row r="156" spans="1:52" x14ac:dyDescent="0.3">
      <c r="A156" t="s">
        <v>52</v>
      </c>
      <c r="B156" t="s">
        <v>53</v>
      </c>
      <c r="C156" t="s">
        <v>54</v>
      </c>
      <c r="D156" t="s">
        <v>55</v>
      </c>
      <c r="E156" t="s">
        <v>56</v>
      </c>
      <c r="F156" t="s">
        <v>190</v>
      </c>
      <c r="G156" t="s">
        <v>992</v>
      </c>
      <c r="H156" t="s">
        <v>993</v>
      </c>
      <c r="I156" t="s">
        <v>993</v>
      </c>
      <c r="J156" t="s">
        <v>60</v>
      </c>
      <c r="K156" t="s">
        <v>530</v>
      </c>
      <c r="L156" t="s">
        <v>62</v>
      </c>
      <c r="M156" t="s">
        <v>530</v>
      </c>
      <c r="N156" t="s">
        <v>994</v>
      </c>
      <c r="O156" t="s">
        <v>995</v>
      </c>
      <c r="P156">
        <v>-20.144141000000001</v>
      </c>
      <c r="Q156">
        <v>-44.884635000000003</v>
      </c>
      <c r="R156" s="2" t="str">
        <f>HYPERLINK("https://www.google.com/maps?q=-20.1441410,-44.8846350","Abrir no Google Maps")</f>
        <v>Abrir no Google Maps</v>
      </c>
      <c r="S156">
        <v>3</v>
      </c>
      <c r="T156">
        <v>0</v>
      </c>
      <c r="U156">
        <v>3</v>
      </c>
      <c r="V156">
        <v>0.33802679593972862</v>
      </c>
      <c r="W156">
        <v>0.85</v>
      </c>
      <c r="X156">
        <v>0.28732277654876931</v>
      </c>
      <c r="Y156">
        <v>478</v>
      </c>
      <c r="Z156">
        <v>252.29400768218821</v>
      </c>
      <c r="AA156">
        <v>198</v>
      </c>
      <c r="AB156">
        <v>332</v>
      </c>
      <c r="AC156">
        <v>536</v>
      </c>
      <c r="AD156">
        <v>28.41</v>
      </c>
      <c r="AE156">
        <v>542</v>
      </c>
      <c r="AF156">
        <v>20</v>
      </c>
      <c r="AG156">
        <v>180</v>
      </c>
      <c r="AH156">
        <v>129</v>
      </c>
      <c r="AI156">
        <v>3.69</v>
      </c>
      <c r="AJ156">
        <v>33.21</v>
      </c>
      <c r="AK156">
        <v>23.8</v>
      </c>
      <c r="AL156">
        <v>-20.144119999999951</v>
      </c>
      <c r="AM156">
        <v>-44.884814928637752</v>
      </c>
      <c r="AN156">
        <v>-20.144119999999951</v>
      </c>
      <c r="AO156">
        <v>-44.884814928637752</v>
      </c>
      <c r="AP156">
        <v>-20.144141000000001</v>
      </c>
      <c r="AQ156">
        <v>-44.884635000000003</v>
      </c>
      <c r="AR156">
        <v>18.949181367223549</v>
      </c>
      <c r="AS156" t="s">
        <v>65</v>
      </c>
      <c r="AT156">
        <v>1</v>
      </c>
      <c r="AU156" t="s">
        <v>996</v>
      </c>
      <c r="AV156" t="s">
        <v>997</v>
      </c>
      <c r="AW156" t="s">
        <v>60</v>
      </c>
      <c r="AX156" t="s">
        <v>68</v>
      </c>
      <c r="AY156" t="s">
        <v>69</v>
      </c>
      <c r="AZ156" t="b">
        <v>1</v>
      </c>
    </row>
    <row r="157" spans="1:52" x14ac:dyDescent="0.3">
      <c r="A157" t="s">
        <v>52</v>
      </c>
      <c r="B157" t="s">
        <v>53</v>
      </c>
      <c r="C157" t="s">
        <v>54</v>
      </c>
      <c r="D157" t="s">
        <v>55</v>
      </c>
      <c r="E157" t="s">
        <v>56</v>
      </c>
      <c r="F157" t="s">
        <v>190</v>
      </c>
      <c r="G157" t="s">
        <v>998</v>
      </c>
      <c r="H157" t="s">
        <v>999</v>
      </c>
      <c r="I157" t="s">
        <v>999</v>
      </c>
      <c r="J157" t="s">
        <v>60</v>
      </c>
      <c r="K157" t="s">
        <v>200</v>
      </c>
      <c r="L157" t="s">
        <v>62</v>
      </c>
      <c r="M157" t="s">
        <v>200</v>
      </c>
      <c r="N157" t="s">
        <v>1000</v>
      </c>
      <c r="O157" t="s">
        <v>1001</v>
      </c>
      <c r="P157">
        <v>-20.128198000000001</v>
      </c>
      <c r="Q157">
        <v>-44.897989000000003</v>
      </c>
      <c r="R157" s="2" t="str">
        <f>HYPERLINK("https://www.google.com/maps?q=-20.1281980,-44.8979890","Abrir no Google Maps")</f>
        <v>Abrir no Google Maps</v>
      </c>
      <c r="S157">
        <v>3</v>
      </c>
      <c r="T157">
        <v>764.99274209740315</v>
      </c>
      <c r="U157">
        <v>3</v>
      </c>
      <c r="V157">
        <v>0.3419269892109767</v>
      </c>
      <c r="W157">
        <v>0.85</v>
      </c>
      <c r="X157">
        <v>0.2906379408293302</v>
      </c>
      <c r="Y157">
        <v>435</v>
      </c>
      <c r="Z157">
        <v>666.56370235056943</v>
      </c>
      <c r="AA157">
        <v>198</v>
      </c>
      <c r="AB157">
        <v>332</v>
      </c>
      <c r="AC157">
        <v>536</v>
      </c>
      <c r="AD157">
        <v>28.41</v>
      </c>
      <c r="AE157">
        <v>542</v>
      </c>
      <c r="AF157">
        <v>20</v>
      </c>
      <c r="AG157">
        <v>180</v>
      </c>
      <c r="AH157">
        <v>129</v>
      </c>
      <c r="AI157">
        <v>3.69</v>
      </c>
      <c r="AJ157">
        <v>33.21</v>
      </c>
      <c r="AK157">
        <v>23.8</v>
      </c>
      <c r="AL157">
        <v>-20.129869449999941</v>
      </c>
      <c r="AM157">
        <v>-44.897878269453869</v>
      </c>
      <c r="AN157">
        <v>-20.129869449999941</v>
      </c>
      <c r="AO157">
        <v>-44.897878269453869</v>
      </c>
      <c r="AP157">
        <v>-20.128198000000001</v>
      </c>
      <c r="AQ157">
        <v>-44.897989000000003</v>
      </c>
      <c r="AR157">
        <v>186.42541239811899</v>
      </c>
      <c r="AS157" t="s">
        <v>65</v>
      </c>
      <c r="AT157">
        <v>1</v>
      </c>
      <c r="AU157" t="s">
        <v>1002</v>
      </c>
      <c r="AV157" t="s">
        <v>1003</v>
      </c>
      <c r="AW157" t="s">
        <v>60</v>
      </c>
      <c r="AX157" t="s">
        <v>68</v>
      </c>
      <c r="AY157" t="s">
        <v>69</v>
      </c>
      <c r="AZ157" t="b">
        <v>1</v>
      </c>
    </row>
    <row r="158" spans="1:52" x14ac:dyDescent="0.3">
      <c r="A158" t="s">
        <v>52</v>
      </c>
      <c r="B158" t="s">
        <v>53</v>
      </c>
      <c r="C158" t="s">
        <v>54</v>
      </c>
      <c r="D158" t="s">
        <v>55</v>
      </c>
      <c r="E158" t="s">
        <v>56</v>
      </c>
      <c r="F158" t="s">
        <v>190</v>
      </c>
      <c r="G158" t="s">
        <v>1004</v>
      </c>
      <c r="H158" t="s">
        <v>1005</v>
      </c>
      <c r="I158" t="s">
        <v>1005</v>
      </c>
      <c r="J158" t="s">
        <v>60</v>
      </c>
      <c r="K158" t="s">
        <v>664</v>
      </c>
      <c r="L158" t="s">
        <v>62</v>
      </c>
      <c r="M158" t="s">
        <v>664</v>
      </c>
      <c r="N158" t="s">
        <v>1006</v>
      </c>
      <c r="O158" t="s">
        <v>1007</v>
      </c>
      <c r="P158">
        <v>-20.136424000000002</v>
      </c>
      <c r="Q158">
        <v>-44.902287999999999</v>
      </c>
      <c r="R158" s="2" t="str">
        <f>HYPERLINK("https://www.google.com/maps?q=-20.1364240,-44.9022880","Abrir no Google Maps")</f>
        <v>Abrir no Google Maps</v>
      </c>
      <c r="S158">
        <v>3</v>
      </c>
      <c r="T158">
        <v>0</v>
      </c>
      <c r="U158">
        <v>3</v>
      </c>
      <c r="V158">
        <v>0.34674796310193512</v>
      </c>
      <c r="W158">
        <v>0.85</v>
      </c>
      <c r="X158">
        <v>0.29473576863664491</v>
      </c>
      <c r="Y158">
        <v>435</v>
      </c>
      <c r="Z158">
        <v>273.7310860392941</v>
      </c>
      <c r="AA158">
        <v>198</v>
      </c>
      <c r="AB158">
        <v>332</v>
      </c>
      <c r="AC158">
        <v>536</v>
      </c>
      <c r="AD158">
        <v>28.41</v>
      </c>
      <c r="AE158">
        <v>542</v>
      </c>
      <c r="AF158">
        <v>20</v>
      </c>
      <c r="AG158">
        <v>180</v>
      </c>
      <c r="AH158">
        <v>129</v>
      </c>
      <c r="AI158">
        <v>3.69</v>
      </c>
      <c r="AJ158">
        <v>33.21</v>
      </c>
      <c r="AK158">
        <v>23.8</v>
      </c>
      <c r="AL158">
        <v>-20.135768749999951</v>
      </c>
      <c r="AM158">
        <v>-44.901693772064696</v>
      </c>
      <c r="AN158">
        <v>-20.135768749999951</v>
      </c>
      <c r="AO158">
        <v>-44.901693772064696</v>
      </c>
      <c r="AP158">
        <v>-20.136424000000002</v>
      </c>
      <c r="AQ158">
        <v>-44.902287999999999</v>
      </c>
      <c r="AR158">
        <v>95.800830031045166</v>
      </c>
      <c r="AS158" t="s">
        <v>65</v>
      </c>
      <c r="AT158">
        <v>1</v>
      </c>
      <c r="AU158" t="s">
        <v>1008</v>
      </c>
      <c r="AV158" t="s">
        <v>668</v>
      </c>
      <c r="AW158" t="s">
        <v>60</v>
      </c>
      <c r="AX158" t="s">
        <v>68</v>
      </c>
      <c r="AY158" t="s">
        <v>69</v>
      </c>
      <c r="AZ158" t="b">
        <v>1</v>
      </c>
    </row>
    <row r="159" spans="1:52" x14ac:dyDescent="0.3">
      <c r="A159" t="s">
        <v>52</v>
      </c>
      <c r="B159" t="s">
        <v>53</v>
      </c>
      <c r="C159" t="s">
        <v>54</v>
      </c>
      <c r="D159" t="s">
        <v>55</v>
      </c>
      <c r="E159" t="s">
        <v>56</v>
      </c>
      <c r="F159" t="s">
        <v>190</v>
      </c>
      <c r="G159" t="s">
        <v>1009</v>
      </c>
      <c r="H159" t="s">
        <v>1010</v>
      </c>
      <c r="I159" t="s">
        <v>1010</v>
      </c>
      <c r="J159" t="s">
        <v>60</v>
      </c>
      <c r="K159" t="s">
        <v>530</v>
      </c>
      <c r="L159" t="s">
        <v>62</v>
      </c>
      <c r="M159" t="s">
        <v>530</v>
      </c>
      <c r="N159" t="s">
        <v>1011</v>
      </c>
      <c r="O159" t="s">
        <v>315</v>
      </c>
      <c r="P159">
        <v>-20.141300999999999</v>
      </c>
      <c r="Q159">
        <v>-44.887509999999999</v>
      </c>
      <c r="R159" s="2" t="str">
        <f>HYPERLINK("https://www.google.com/maps?q=-20.1413010,-44.8875100","Abrir no Google Maps")</f>
        <v>Abrir no Google Maps</v>
      </c>
      <c r="S159">
        <v>3</v>
      </c>
      <c r="T159">
        <v>351.30731383872319</v>
      </c>
      <c r="U159">
        <v>3</v>
      </c>
      <c r="V159">
        <v>0.3416037443823296</v>
      </c>
      <c r="W159">
        <v>0.85</v>
      </c>
      <c r="X159">
        <v>0.29036318272498007</v>
      </c>
      <c r="Y159">
        <v>428</v>
      </c>
      <c r="Z159">
        <v>285.79917278216982</v>
      </c>
      <c r="AA159">
        <v>198</v>
      </c>
      <c r="AB159">
        <v>332</v>
      </c>
      <c r="AC159">
        <v>536</v>
      </c>
      <c r="AD159">
        <v>28.41</v>
      </c>
      <c r="AE159">
        <v>542</v>
      </c>
      <c r="AF159">
        <v>20</v>
      </c>
      <c r="AG159">
        <v>180</v>
      </c>
      <c r="AH159">
        <v>129</v>
      </c>
      <c r="AI159">
        <v>3.69</v>
      </c>
      <c r="AJ159">
        <v>33.21</v>
      </c>
      <c r="AK159">
        <v>23.8</v>
      </c>
      <c r="AL159">
        <v>-20.141454249999949</v>
      </c>
      <c r="AM159">
        <v>-44.887331612944081</v>
      </c>
      <c r="AN159">
        <v>-20.141454249999949</v>
      </c>
      <c r="AO159">
        <v>-44.887331612944081</v>
      </c>
      <c r="AP159">
        <v>-20.141300999999999</v>
      </c>
      <c r="AQ159">
        <v>-44.887509999999999</v>
      </c>
      <c r="AR159">
        <v>25.270963110561588</v>
      </c>
      <c r="AS159" t="s">
        <v>65</v>
      </c>
      <c r="AT159">
        <v>1</v>
      </c>
      <c r="AU159" t="s">
        <v>1012</v>
      </c>
      <c r="AV159" t="s">
        <v>1013</v>
      </c>
      <c r="AW159" t="s">
        <v>60</v>
      </c>
      <c r="AX159" t="s">
        <v>68</v>
      </c>
      <c r="AY159" t="s">
        <v>69</v>
      </c>
      <c r="AZ159" t="b">
        <v>1</v>
      </c>
    </row>
    <row r="160" spans="1:52" x14ac:dyDescent="0.3">
      <c r="A160" t="s">
        <v>52</v>
      </c>
      <c r="B160" t="s">
        <v>53</v>
      </c>
      <c r="C160" t="s">
        <v>54</v>
      </c>
      <c r="D160" t="s">
        <v>55</v>
      </c>
      <c r="E160" t="s">
        <v>56</v>
      </c>
      <c r="F160" t="s">
        <v>190</v>
      </c>
      <c r="G160" t="s">
        <v>1014</v>
      </c>
      <c r="H160" t="s">
        <v>1015</v>
      </c>
      <c r="I160" t="s">
        <v>1015</v>
      </c>
      <c r="J160" t="s">
        <v>60</v>
      </c>
      <c r="K160" t="s">
        <v>1016</v>
      </c>
      <c r="L160" t="s">
        <v>62</v>
      </c>
      <c r="M160" t="s">
        <v>1016</v>
      </c>
      <c r="N160" t="s">
        <v>1017</v>
      </c>
      <c r="O160" t="s">
        <v>1018</v>
      </c>
      <c r="P160">
        <v>-20.174461000000001</v>
      </c>
      <c r="Q160">
        <v>-44.868710999999998</v>
      </c>
      <c r="R160" s="2" t="str">
        <f>HYPERLINK("https://www.google.com/maps?q=-20.1744610,-44.8687110","Abrir no Google Maps")</f>
        <v>Abrir no Google Maps</v>
      </c>
      <c r="S160">
        <v>3</v>
      </c>
      <c r="T160">
        <v>435.39504742850158</v>
      </c>
      <c r="U160">
        <v>3</v>
      </c>
      <c r="V160">
        <v>0.28701157560556961</v>
      </c>
      <c r="W160">
        <v>1</v>
      </c>
      <c r="X160">
        <v>0.28701157560556961</v>
      </c>
      <c r="Y160">
        <v>422</v>
      </c>
      <c r="Z160">
        <v>264.99958639233438</v>
      </c>
      <c r="AA160">
        <v>198</v>
      </c>
      <c r="AB160">
        <v>332</v>
      </c>
      <c r="AC160">
        <v>536</v>
      </c>
      <c r="AD160">
        <v>28.41</v>
      </c>
      <c r="AE160">
        <v>542</v>
      </c>
      <c r="AF160">
        <v>20</v>
      </c>
      <c r="AG160">
        <v>180</v>
      </c>
      <c r="AH160">
        <v>129</v>
      </c>
      <c r="AI160">
        <v>3.69</v>
      </c>
      <c r="AJ160">
        <v>33.21</v>
      </c>
      <c r="AK160">
        <v>23.8</v>
      </c>
      <c r="AL160">
        <v>-20.174459749999951</v>
      </c>
      <c r="AM160">
        <v>-44.868877789186897</v>
      </c>
      <c r="AN160">
        <v>-20.174459749999951</v>
      </c>
      <c r="AO160">
        <v>-44.868877789186897</v>
      </c>
      <c r="AP160">
        <v>-20.174461000000001</v>
      </c>
      <c r="AQ160">
        <v>-44.868710999999998</v>
      </c>
      <c r="AR160">
        <v>17.42838555603738</v>
      </c>
      <c r="AS160" t="s">
        <v>65</v>
      </c>
      <c r="AT160">
        <v>1</v>
      </c>
      <c r="AU160" t="s">
        <v>1019</v>
      </c>
      <c r="AV160" t="s">
        <v>1020</v>
      </c>
      <c r="AW160" t="s">
        <v>60</v>
      </c>
      <c r="AX160" t="s">
        <v>68</v>
      </c>
      <c r="AY160" t="s">
        <v>69</v>
      </c>
      <c r="AZ160" t="b">
        <v>1</v>
      </c>
    </row>
    <row r="161" spans="1:52" x14ac:dyDescent="0.3">
      <c r="A161" t="s">
        <v>52</v>
      </c>
      <c r="B161" t="s">
        <v>53</v>
      </c>
      <c r="C161" t="s">
        <v>54</v>
      </c>
      <c r="D161" t="s">
        <v>55</v>
      </c>
      <c r="E161" t="s">
        <v>56</v>
      </c>
      <c r="F161" t="s">
        <v>190</v>
      </c>
      <c r="G161" t="s">
        <v>1021</v>
      </c>
      <c r="H161" t="s">
        <v>1022</v>
      </c>
      <c r="I161" t="s">
        <v>1022</v>
      </c>
      <c r="J161" t="s">
        <v>60</v>
      </c>
      <c r="K161" t="s">
        <v>1023</v>
      </c>
      <c r="L161" t="s">
        <v>62</v>
      </c>
      <c r="M161" t="s">
        <v>1023</v>
      </c>
      <c r="N161" t="s">
        <v>1024</v>
      </c>
      <c r="O161" t="s">
        <v>1025</v>
      </c>
      <c r="P161">
        <v>-20.169588999999998</v>
      </c>
      <c r="Q161">
        <v>-44.866636</v>
      </c>
      <c r="R161" s="2" t="str">
        <f>HYPERLINK("https://www.google.com/maps?q=-20.1695890,-44.8666360","Abrir no Google Maps")</f>
        <v>Abrir no Google Maps</v>
      </c>
      <c r="S161">
        <v>3</v>
      </c>
      <c r="T161">
        <v>326.02709617860302</v>
      </c>
      <c r="U161">
        <v>3</v>
      </c>
      <c r="V161">
        <v>0.28901284069455241</v>
      </c>
      <c r="W161">
        <v>1</v>
      </c>
      <c r="X161">
        <v>0.28901284069455241</v>
      </c>
      <c r="Y161">
        <v>422</v>
      </c>
      <c r="Z161">
        <v>333.05362278862168</v>
      </c>
      <c r="AA161">
        <v>198</v>
      </c>
      <c r="AB161">
        <v>332</v>
      </c>
      <c r="AC161">
        <v>536</v>
      </c>
      <c r="AD161">
        <v>28.41</v>
      </c>
      <c r="AE161">
        <v>542</v>
      </c>
      <c r="AF161">
        <v>20</v>
      </c>
      <c r="AG161">
        <v>180</v>
      </c>
      <c r="AH161">
        <v>129</v>
      </c>
      <c r="AI161">
        <v>3.69</v>
      </c>
      <c r="AJ161">
        <v>33.21</v>
      </c>
      <c r="AK161">
        <v>23.8</v>
      </c>
      <c r="AL161">
        <v>-20.16956104999997</v>
      </c>
      <c r="AM161">
        <v>-44.866560528183591</v>
      </c>
      <c r="AN161">
        <v>-20.16956104999997</v>
      </c>
      <c r="AO161">
        <v>-44.866560528183591</v>
      </c>
      <c r="AP161">
        <v>-20.169588999999998</v>
      </c>
      <c r="AQ161">
        <v>-44.866636</v>
      </c>
      <c r="AR161">
        <v>8.4778927137831293</v>
      </c>
      <c r="AS161" t="s">
        <v>65</v>
      </c>
      <c r="AT161">
        <v>1</v>
      </c>
      <c r="AU161" t="s">
        <v>1026</v>
      </c>
      <c r="AV161" t="s">
        <v>1027</v>
      </c>
      <c r="AW161" t="s">
        <v>60</v>
      </c>
      <c r="AX161" t="s">
        <v>68</v>
      </c>
      <c r="AY161" t="s">
        <v>69</v>
      </c>
      <c r="AZ161" t="b">
        <v>1</v>
      </c>
    </row>
    <row r="162" spans="1:52" x14ac:dyDescent="0.3">
      <c r="A162" t="s">
        <v>52</v>
      </c>
      <c r="B162" t="s">
        <v>53</v>
      </c>
      <c r="C162" t="s">
        <v>54</v>
      </c>
      <c r="D162" t="s">
        <v>55</v>
      </c>
      <c r="E162" t="s">
        <v>56</v>
      </c>
      <c r="F162" t="s">
        <v>190</v>
      </c>
      <c r="G162" t="s">
        <v>1028</v>
      </c>
      <c r="H162" t="s">
        <v>1029</v>
      </c>
      <c r="I162" t="s">
        <v>1029</v>
      </c>
      <c r="J162" t="s">
        <v>60</v>
      </c>
      <c r="K162" t="s">
        <v>1016</v>
      </c>
      <c r="L162" t="s">
        <v>62</v>
      </c>
      <c r="M162" t="s">
        <v>1016</v>
      </c>
      <c r="N162" t="s">
        <v>1030</v>
      </c>
      <c r="O162" t="s">
        <v>855</v>
      </c>
      <c r="P162">
        <v>-20.169778000000001</v>
      </c>
      <c r="Q162">
        <v>-44.871940000000002</v>
      </c>
      <c r="R162" s="2" t="str">
        <f>HYPERLINK("https://www.google.com/maps?q=-20.1697780,-44.8719400","Abrir no Google Maps")</f>
        <v>Abrir no Google Maps</v>
      </c>
      <c r="S162">
        <v>3</v>
      </c>
      <c r="T162">
        <v>730.45462447863167</v>
      </c>
      <c r="U162">
        <v>3</v>
      </c>
      <c r="V162">
        <v>0.29205578075656041</v>
      </c>
      <c r="W162">
        <v>1</v>
      </c>
      <c r="X162">
        <v>0.29205578075656041</v>
      </c>
      <c r="Y162">
        <v>422</v>
      </c>
      <c r="Z162">
        <v>600.74952959765801</v>
      </c>
      <c r="AA162">
        <v>198</v>
      </c>
      <c r="AB162">
        <v>332</v>
      </c>
      <c r="AC162">
        <v>536</v>
      </c>
      <c r="AD162">
        <v>28.41</v>
      </c>
      <c r="AE162">
        <v>542</v>
      </c>
      <c r="AF162">
        <v>20</v>
      </c>
      <c r="AG162">
        <v>180</v>
      </c>
      <c r="AH162">
        <v>129</v>
      </c>
      <c r="AI162">
        <v>3.69</v>
      </c>
      <c r="AJ162">
        <v>33.21</v>
      </c>
      <c r="AK162">
        <v>23.8</v>
      </c>
      <c r="AL162">
        <v>-20.169770599999961</v>
      </c>
      <c r="AM162">
        <v>-44.871857291666629</v>
      </c>
      <c r="AN162">
        <v>-20.169770599999961</v>
      </c>
      <c r="AO162">
        <v>-44.871857291666629</v>
      </c>
      <c r="AP162">
        <v>-20.169778000000001</v>
      </c>
      <c r="AQ162">
        <v>-44.871940000000002</v>
      </c>
      <c r="AR162">
        <v>8.6816379320830315</v>
      </c>
      <c r="AS162" t="s">
        <v>65</v>
      </c>
      <c r="AT162">
        <v>1</v>
      </c>
      <c r="AU162" t="s">
        <v>1031</v>
      </c>
      <c r="AV162" t="s">
        <v>1032</v>
      </c>
      <c r="AW162" t="s">
        <v>60</v>
      </c>
      <c r="AX162" t="s">
        <v>68</v>
      </c>
      <c r="AY162" t="s">
        <v>69</v>
      </c>
      <c r="AZ162" t="b">
        <v>1</v>
      </c>
    </row>
    <row r="163" spans="1:52" x14ac:dyDescent="0.3">
      <c r="A163" t="s">
        <v>52</v>
      </c>
      <c r="B163" t="s">
        <v>53</v>
      </c>
      <c r="C163" t="s">
        <v>54</v>
      </c>
      <c r="D163" t="s">
        <v>55</v>
      </c>
      <c r="E163" t="s">
        <v>56</v>
      </c>
      <c r="F163" t="s">
        <v>190</v>
      </c>
      <c r="G163" t="s">
        <v>1033</v>
      </c>
      <c r="H163" t="s">
        <v>1034</v>
      </c>
      <c r="I163" t="s">
        <v>1034</v>
      </c>
      <c r="J163" t="s">
        <v>60</v>
      </c>
      <c r="K163" t="s">
        <v>1016</v>
      </c>
      <c r="L163" t="s">
        <v>62</v>
      </c>
      <c r="M163" t="s">
        <v>1016</v>
      </c>
      <c r="N163" t="s">
        <v>1035</v>
      </c>
      <c r="O163" t="s">
        <v>1036</v>
      </c>
      <c r="P163">
        <v>-20.176404999999999</v>
      </c>
      <c r="Q163">
        <v>-44.871102</v>
      </c>
      <c r="R163" s="2" t="str">
        <f>HYPERLINK("https://www.google.com/maps?q=-20.1764050,-44.8711020","Abrir no Google Maps")</f>
        <v>Abrir no Google Maps</v>
      </c>
      <c r="S163">
        <v>3</v>
      </c>
      <c r="T163">
        <v>746.17794449655105</v>
      </c>
      <c r="U163">
        <v>3</v>
      </c>
      <c r="V163">
        <v>0.2786395359118079</v>
      </c>
      <c r="W163">
        <v>1</v>
      </c>
      <c r="X163">
        <v>0.2786395359118079</v>
      </c>
      <c r="Y163">
        <v>422</v>
      </c>
      <c r="Z163">
        <v>532.61564453099913</v>
      </c>
      <c r="AA163">
        <v>198</v>
      </c>
      <c r="AB163">
        <v>332</v>
      </c>
      <c r="AC163">
        <v>536</v>
      </c>
      <c r="AD163">
        <v>28.41</v>
      </c>
      <c r="AE163">
        <v>542</v>
      </c>
      <c r="AF163">
        <v>20</v>
      </c>
      <c r="AG163">
        <v>180</v>
      </c>
      <c r="AH163">
        <v>129</v>
      </c>
      <c r="AI163">
        <v>3.69</v>
      </c>
      <c r="AJ163">
        <v>33.21</v>
      </c>
      <c r="AK163">
        <v>23.8</v>
      </c>
      <c r="AL163">
        <v>-20.176464949999971</v>
      </c>
      <c r="AM163">
        <v>-44.871010194676387</v>
      </c>
      <c r="AN163">
        <v>-20.176464949999971</v>
      </c>
      <c r="AO163">
        <v>-44.871010194676387</v>
      </c>
      <c r="AP163">
        <v>-20.176404999999999</v>
      </c>
      <c r="AQ163">
        <v>-44.871102</v>
      </c>
      <c r="AR163">
        <v>11.68571547850415</v>
      </c>
      <c r="AS163" t="s">
        <v>65</v>
      </c>
      <c r="AT163">
        <v>1</v>
      </c>
      <c r="AU163" t="s">
        <v>1037</v>
      </c>
      <c r="AV163" t="s">
        <v>1038</v>
      </c>
      <c r="AW163" t="s">
        <v>60</v>
      </c>
      <c r="AX163" t="s">
        <v>68</v>
      </c>
      <c r="AY163" t="s">
        <v>69</v>
      </c>
      <c r="AZ163" t="b">
        <v>1</v>
      </c>
    </row>
    <row r="164" spans="1:52" x14ac:dyDescent="0.3">
      <c r="A164" t="s">
        <v>52</v>
      </c>
      <c r="B164" t="s">
        <v>53</v>
      </c>
      <c r="C164" t="s">
        <v>54</v>
      </c>
      <c r="D164" t="s">
        <v>55</v>
      </c>
      <c r="E164" t="s">
        <v>56</v>
      </c>
      <c r="F164" t="s">
        <v>190</v>
      </c>
      <c r="G164" t="s">
        <v>1039</v>
      </c>
      <c r="H164" t="s">
        <v>1040</v>
      </c>
      <c r="I164" t="s">
        <v>1040</v>
      </c>
      <c r="J164" t="s">
        <v>60</v>
      </c>
      <c r="K164" t="s">
        <v>1023</v>
      </c>
      <c r="L164" t="s">
        <v>62</v>
      </c>
      <c r="M164" t="s">
        <v>1023</v>
      </c>
      <c r="N164" t="s">
        <v>1041</v>
      </c>
      <c r="O164" t="s">
        <v>738</v>
      </c>
      <c r="P164">
        <v>-20.172284000000001</v>
      </c>
      <c r="Q164">
        <v>-44.865392999999997</v>
      </c>
      <c r="R164" s="2" t="str">
        <f>HYPERLINK("https://www.google.com/maps?q=-20.1722840,-44.8653930","Abrir no Google Maps")</f>
        <v>Abrir no Google Maps</v>
      </c>
      <c r="S164">
        <v>3</v>
      </c>
      <c r="T164">
        <v>0</v>
      </c>
      <c r="U164">
        <v>3</v>
      </c>
      <c r="V164">
        <v>0.2877840931733498</v>
      </c>
      <c r="W164">
        <v>1</v>
      </c>
      <c r="X164">
        <v>0.2877840931733498</v>
      </c>
      <c r="Y164">
        <v>422</v>
      </c>
      <c r="Z164">
        <v>202.96804500763591</v>
      </c>
      <c r="AA164">
        <v>198</v>
      </c>
      <c r="AB164">
        <v>332</v>
      </c>
      <c r="AC164">
        <v>536</v>
      </c>
      <c r="AD164">
        <v>28.41</v>
      </c>
      <c r="AE164">
        <v>542</v>
      </c>
      <c r="AF164">
        <v>20</v>
      </c>
      <c r="AG164">
        <v>180</v>
      </c>
      <c r="AH164">
        <v>129</v>
      </c>
      <c r="AI164">
        <v>3.69</v>
      </c>
      <c r="AJ164">
        <v>33.21</v>
      </c>
      <c r="AK164">
        <v>23.8</v>
      </c>
      <c r="AL164">
        <v>-20.17229514999994</v>
      </c>
      <c r="AM164">
        <v>-44.865398249858011</v>
      </c>
      <c r="AN164">
        <v>-20.17229514999994</v>
      </c>
      <c r="AO164">
        <v>-44.865398249858011</v>
      </c>
      <c r="AP164">
        <v>-20.172284000000001</v>
      </c>
      <c r="AQ164">
        <v>-44.865392999999997</v>
      </c>
      <c r="AR164">
        <v>1.357036084497409</v>
      </c>
      <c r="AS164" t="s">
        <v>65</v>
      </c>
      <c r="AT164">
        <v>1</v>
      </c>
      <c r="AU164" t="s">
        <v>1042</v>
      </c>
      <c r="AV164" t="s">
        <v>1043</v>
      </c>
      <c r="AW164" t="s">
        <v>60</v>
      </c>
      <c r="AX164" t="s">
        <v>68</v>
      </c>
      <c r="AY164" t="s">
        <v>69</v>
      </c>
      <c r="AZ164" t="b">
        <v>1</v>
      </c>
    </row>
    <row r="165" spans="1:52" x14ac:dyDescent="0.3">
      <c r="A165" t="s">
        <v>52</v>
      </c>
      <c r="B165" t="s">
        <v>53</v>
      </c>
      <c r="C165" t="s">
        <v>54</v>
      </c>
      <c r="D165" t="s">
        <v>55</v>
      </c>
      <c r="E165" t="s">
        <v>56</v>
      </c>
      <c r="F165" t="s">
        <v>190</v>
      </c>
      <c r="G165" t="s">
        <v>1044</v>
      </c>
      <c r="H165" t="s">
        <v>1045</v>
      </c>
      <c r="I165" t="s">
        <v>1045</v>
      </c>
      <c r="J165" t="s">
        <v>60</v>
      </c>
      <c r="K165" t="s">
        <v>702</v>
      </c>
      <c r="L165" t="s">
        <v>62</v>
      </c>
      <c r="M165" t="s">
        <v>702</v>
      </c>
      <c r="N165" t="s">
        <v>983</v>
      </c>
      <c r="O165" t="s">
        <v>1046</v>
      </c>
      <c r="P165">
        <v>-20.172056000000001</v>
      </c>
      <c r="Q165">
        <v>-44.861556999999998</v>
      </c>
      <c r="R165" s="2" t="str">
        <f>HYPERLINK("https://www.google.com/maps?q=-20.1720560,-44.8615570","Abrir no Google Maps")</f>
        <v>Abrir no Google Maps</v>
      </c>
      <c r="S165">
        <v>3</v>
      </c>
      <c r="T165">
        <v>387.50881633442719</v>
      </c>
      <c r="U165">
        <v>3</v>
      </c>
      <c r="V165">
        <v>0.29512891560818838</v>
      </c>
      <c r="W165">
        <v>1</v>
      </c>
      <c r="X165">
        <v>0.29512891560818838</v>
      </c>
      <c r="Y165">
        <v>422</v>
      </c>
      <c r="Z165">
        <v>592.01060063884404</v>
      </c>
      <c r="AA165">
        <v>198</v>
      </c>
      <c r="AB165">
        <v>332</v>
      </c>
      <c r="AC165">
        <v>536</v>
      </c>
      <c r="AD165">
        <v>28.41</v>
      </c>
      <c r="AE165">
        <v>542</v>
      </c>
      <c r="AF165">
        <v>20</v>
      </c>
      <c r="AG165">
        <v>180</v>
      </c>
      <c r="AH165">
        <v>129</v>
      </c>
      <c r="AI165">
        <v>3.69</v>
      </c>
      <c r="AJ165">
        <v>33.21</v>
      </c>
      <c r="AK165">
        <v>23.8</v>
      </c>
      <c r="AL165">
        <v>-20.171880149999961</v>
      </c>
      <c r="AM165">
        <v>-44.861715860253369</v>
      </c>
      <c r="AN165">
        <v>-20.171880149999961</v>
      </c>
      <c r="AO165">
        <v>-44.861715860253369</v>
      </c>
      <c r="AP165">
        <v>-20.172056000000001</v>
      </c>
      <c r="AQ165">
        <v>-44.861556999999998</v>
      </c>
      <c r="AR165">
        <v>25.66616443825145</v>
      </c>
      <c r="AS165" t="s">
        <v>65</v>
      </c>
      <c r="AT165">
        <v>1</v>
      </c>
      <c r="AU165" t="s">
        <v>1047</v>
      </c>
      <c r="AV165" t="s">
        <v>705</v>
      </c>
      <c r="AW165" t="s">
        <v>60</v>
      </c>
      <c r="AX165" t="s">
        <v>68</v>
      </c>
      <c r="AY165" t="s">
        <v>69</v>
      </c>
      <c r="AZ165" t="b">
        <v>1</v>
      </c>
    </row>
    <row r="166" spans="1:52" x14ac:dyDescent="0.3">
      <c r="A166" t="s">
        <v>52</v>
      </c>
      <c r="B166" t="s">
        <v>53</v>
      </c>
      <c r="C166" t="s">
        <v>54</v>
      </c>
      <c r="D166" t="s">
        <v>55</v>
      </c>
      <c r="E166" t="s">
        <v>56</v>
      </c>
      <c r="F166" t="s">
        <v>190</v>
      </c>
      <c r="G166" t="s">
        <v>1048</v>
      </c>
      <c r="H166" t="s">
        <v>1049</v>
      </c>
      <c r="I166" t="s">
        <v>1049</v>
      </c>
      <c r="J166" t="s">
        <v>60</v>
      </c>
      <c r="K166" t="s">
        <v>708</v>
      </c>
      <c r="L166" t="s">
        <v>62</v>
      </c>
      <c r="M166" t="s">
        <v>708</v>
      </c>
      <c r="N166" t="s">
        <v>1050</v>
      </c>
      <c r="O166" t="s">
        <v>1051</v>
      </c>
      <c r="P166">
        <v>-20.128316000000002</v>
      </c>
      <c r="Q166">
        <v>-44.878137000000002</v>
      </c>
      <c r="R166" s="2" t="str">
        <f>HYPERLINK("https://www.google.com/maps?q=-20.1283160,-44.8781370","Abrir no Google Maps")</f>
        <v>Abrir no Google Maps</v>
      </c>
      <c r="S166">
        <v>3</v>
      </c>
      <c r="T166">
        <v>513.28053815499243</v>
      </c>
      <c r="U166">
        <v>3</v>
      </c>
      <c r="V166">
        <v>0.28789842486557221</v>
      </c>
      <c r="W166">
        <v>1</v>
      </c>
      <c r="X166">
        <v>0.28789842486557221</v>
      </c>
      <c r="Y166">
        <v>387</v>
      </c>
      <c r="Z166">
        <v>385.74604528561741</v>
      </c>
      <c r="AA166">
        <v>198</v>
      </c>
      <c r="AB166">
        <v>332</v>
      </c>
      <c r="AC166">
        <v>536</v>
      </c>
      <c r="AD166">
        <v>28.41</v>
      </c>
      <c r="AE166">
        <v>542</v>
      </c>
      <c r="AF166">
        <v>20</v>
      </c>
      <c r="AG166">
        <v>180</v>
      </c>
      <c r="AH166">
        <v>129</v>
      </c>
      <c r="AI166">
        <v>3.69</v>
      </c>
      <c r="AJ166">
        <v>33.21</v>
      </c>
      <c r="AK166">
        <v>23.8</v>
      </c>
      <c r="AL166">
        <v>-20.128308349999969</v>
      </c>
      <c r="AM166">
        <v>-44.878115052779357</v>
      </c>
      <c r="AN166">
        <v>-20.128308349999969</v>
      </c>
      <c r="AO166">
        <v>-44.878115052779357</v>
      </c>
      <c r="AP166">
        <v>-20.128316000000002</v>
      </c>
      <c r="AQ166">
        <v>-44.878137000000002</v>
      </c>
      <c r="AR166">
        <v>2.4469186172207671</v>
      </c>
      <c r="AS166" t="s">
        <v>65</v>
      </c>
      <c r="AT166">
        <v>1</v>
      </c>
      <c r="AU166" t="s">
        <v>1052</v>
      </c>
      <c r="AV166" t="s">
        <v>1053</v>
      </c>
      <c r="AW166" t="s">
        <v>60</v>
      </c>
      <c r="AX166" t="s">
        <v>68</v>
      </c>
      <c r="AY166" t="s">
        <v>69</v>
      </c>
      <c r="AZ166" t="b">
        <v>1</v>
      </c>
    </row>
    <row r="167" spans="1:52" x14ac:dyDescent="0.3">
      <c r="A167" t="s">
        <v>52</v>
      </c>
      <c r="B167" t="s">
        <v>53</v>
      </c>
      <c r="C167" t="s">
        <v>54</v>
      </c>
      <c r="D167" t="s">
        <v>55</v>
      </c>
      <c r="E167" t="s">
        <v>56</v>
      </c>
      <c r="F167" t="s">
        <v>190</v>
      </c>
      <c r="G167" t="s">
        <v>1054</v>
      </c>
      <c r="H167" t="s">
        <v>1055</v>
      </c>
      <c r="I167" t="s">
        <v>1055</v>
      </c>
      <c r="J167" t="s">
        <v>60</v>
      </c>
      <c r="K167" t="s">
        <v>708</v>
      </c>
      <c r="L167" t="s">
        <v>62</v>
      </c>
      <c r="M167" t="s">
        <v>708</v>
      </c>
      <c r="N167" t="s">
        <v>1056</v>
      </c>
      <c r="O167" t="s">
        <v>315</v>
      </c>
      <c r="P167">
        <v>-20.130849000000001</v>
      </c>
      <c r="Q167">
        <v>-44.870922999999998</v>
      </c>
      <c r="R167" s="2" t="str">
        <f>HYPERLINK("https://www.google.com/maps?q=-20.1308490,-44.8709230","Abrir no Google Maps")</f>
        <v>Abrir no Google Maps</v>
      </c>
      <c r="S167">
        <v>3</v>
      </c>
      <c r="T167">
        <v>288.83865075380498</v>
      </c>
      <c r="U167">
        <v>3</v>
      </c>
      <c r="V167">
        <v>0.33933045655019373</v>
      </c>
      <c r="W167">
        <v>0.85</v>
      </c>
      <c r="X167">
        <v>0.28843088806766459</v>
      </c>
      <c r="Y167">
        <v>387</v>
      </c>
      <c r="Z167">
        <v>347.59283577270531</v>
      </c>
      <c r="AA167">
        <v>198</v>
      </c>
      <c r="AB167">
        <v>332</v>
      </c>
      <c r="AC167">
        <v>536</v>
      </c>
      <c r="AD167">
        <v>28.41</v>
      </c>
      <c r="AE167">
        <v>542</v>
      </c>
      <c r="AF167">
        <v>20</v>
      </c>
      <c r="AG167">
        <v>180</v>
      </c>
      <c r="AH167">
        <v>129</v>
      </c>
      <c r="AI167">
        <v>3.69</v>
      </c>
      <c r="AJ167">
        <v>33.21</v>
      </c>
      <c r="AK167">
        <v>23.8</v>
      </c>
      <c r="AL167">
        <v>-20.130950899999959</v>
      </c>
      <c r="AM167">
        <v>-44.87096892838121</v>
      </c>
      <c r="AN167">
        <v>-20.130950899999959</v>
      </c>
      <c r="AO167">
        <v>-44.87096892838121</v>
      </c>
      <c r="AP167">
        <v>-20.130849000000001</v>
      </c>
      <c r="AQ167">
        <v>-44.870922999999998</v>
      </c>
      <c r="AR167">
        <v>12.31742795843153</v>
      </c>
      <c r="AS167" t="s">
        <v>65</v>
      </c>
      <c r="AT167">
        <v>1</v>
      </c>
      <c r="AU167" t="s">
        <v>1057</v>
      </c>
      <c r="AV167" t="s">
        <v>1058</v>
      </c>
      <c r="AW167" t="s">
        <v>60</v>
      </c>
      <c r="AX167" t="s">
        <v>68</v>
      </c>
      <c r="AY167" t="s">
        <v>69</v>
      </c>
      <c r="AZ167" t="b">
        <v>1</v>
      </c>
    </row>
    <row r="168" spans="1:52" x14ac:dyDescent="0.3">
      <c r="A168" t="s">
        <v>52</v>
      </c>
      <c r="B168" t="s">
        <v>53</v>
      </c>
      <c r="C168" t="s">
        <v>54</v>
      </c>
      <c r="D168" t="s">
        <v>55</v>
      </c>
      <c r="E168" t="s">
        <v>56</v>
      </c>
      <c r="F168" t="s">
        <v>190</v>
      </c>
      <c r="G168" t="s">
        <v>734</v>
      </c>
      <c r="H168" t="s">
        <v>1059</v>
      </c>
      <c r="I168" t="s">
        <v>1059</v>
      </c>
      <c r="J168" t="s">
        <v>60</v>
      </c>
      <c r="K168" t="s">
        <v>736</v>
      </c>
      <c r="L168" t="s">
        <v>62</v>
      </c>
      <c r="M168" t="s">
        <v>736</v>
      </c>
      <c r="N168" t="s">
        <v>1060</v>
      </c>
      <c r="O168" t="s">
        <v>1061</v>
      </c>
      <c r="P168">
        <v>-20.104700000000001</v>
      </c>
      <c r="Q168">
        <v>-44.972988000000001</v>
      </c>
      <c r="R168" s="2" t="str">
        <f>HYPERLINK("https://www.google.com/maps?q=-20.1047000,-44.9729880","Abrir no Google Maps")</f>
        <v>Abrir no Google Maps</v>
      </c>
      <c r="S168">
        <v>3</v>
      </c>
      <c r="T168">
        <v>0</v>
      </c>
      <c r="U168">
        <v>3</v>
      </c>
      <c r="V168">
        <v>0.28929907328801679</v>
      </c>
      <c r="W168">
        <v>1</v>
      </c>
      <c r="X168">
        <v>0.28929907328801679</v>
      </c>
      <c r="Y168">
        <v>385</v>
      </c>
      <c r="Z168">
        <v>130.87424695814411</v>
      </c>
      <c r="AA168">
        <v>198</v>
      </c>
      <c r="AB168">
        <v>332</v>
      </c>
      <c r="AC168">
        <v>536</v>
      </c>
      <c r="AD168">
        <v>28.41</v>
      </c>
      <c r="AE168">
        <v>542</v>
      </c>
      <c r="AF168">
        <v>20</v>
      </c>
      <c r="AG168">
        <v>180</v>
      </c>
      <c r="AH168">
        <v>129</v>
      </c>
      <c r="AI168">
        <v>3.69</v>
      </c>
      <c r="AJ168">
        <v>33.21</v>
      </c>
      <c r="AK168">
        <v>23.8</v>
      </c>
      <c r="AL168">
        <v>-20.104640449999948</v>
      </c>
      <c r="AM168">
        <v>-44.972990283032523</v>
      </c>
      <c r="AN168">
        <v>-20.104640449999948</v>
      </c>
      <c r="AO168">
        <v>-44.972990283032509</v>
      </c>
      <c r="AP168">
        <v>-20.104700000000001</v>
      </c>
      <c r="AQ168">
        <v>-44.972988000000001</v>
      </c>
      <c r="AR168">
        <v>6.6334007529191332</v>
      </c>
      <c r="AS168" t="s">
        <v>65</v>
      </c>
      <c r="AT168">
        <v>1</v>
      </c>
      <c r="AU168" t="s">
        <v>1062</v>
      </c>
      <c r="AV168" t="s">
        <v>1063</v>
      </c>
      <c r="AW168" t="s">
        <v>60</v>
      </c>
      <c r="AX168" t="s">
        <v>68</v>
      </c>
      <c r="AY168" t="s">
        <v>69</v>
      </c>
      <c r="AZ168" t="b">
        <v>1</v>
      </c>
    </row>
    <row r="169" spans="1:52" x14ac:dyDescent="0.3">
      <c r="A169" t="s">
        <v>52</v>
      </c>
      <c r="B169" t="s">
        <v>53</v>
      </c>
      <c r="C169" t="s">
        <v>54</v>
      </c>
      <c r="D169" t="s">
        <v>55</v>
      </c>
      <c r="E169" t="s">
        <v>56</v>
      </c>
      <c r="F169" t="s">
        <v>190</v>
      </c>
      <c r="G169" t="s">
        <v>734</v>
      </c>
      <c r="H169" t="s">
        <v>1064</v>
      </c>
      <c r="I169" t="s">
        <v>1064</v>
      </c>
      <c r="J169" t="s">
        <v>60</v>
      </c>
      <c r="K169" t="s">
        <v>530</v>
      </c>
      <c r="L169" t="s">
        <v>62</v>
      </c>
      <c r="M169" t="s">
        <v>530</v>
      </c>
      <c r="N169" t="s">
        <v>1060</v>
      </c>
      <c r="O169" t="s">
        <v>1065</v>
      </c>
      <c r="P169">
        <v>-20.102878</v>
      </c>
      <c r="Q169">
        <v>-44.974297</v>
      </c>
      <c r="R169" s="2" t="str">
        <f>HYPERLINK("https://www.google.com/maps?q=-20.1028780,-44.9742970","Abrir no Google Maps")</f>
        <v>Abrir no Google Maps</v>
      </c>
      <c r="S169">
        <v>3</v>
      </c>
      <c r="T169">
        <v>261.64376156647683</v>
      </c>
      <c r="U169">
        <v>3</v>
      </c>
      <c r="V169">
        <v>0.28372425638557092</v>
      </c>
      <c r="W169">
        <v>1</v>
      </c>
      <c r="X169">
        <v>0.28372425638557092</v>
      </c>
      <c r="Y169">
        <v>385</v>
      </c>
      <c r="Z169">
        <v>272.78931550338098</v>
      </c>
      <c r="AA169">
        <v>198</v>
      </c>
      <c r="AB169">
        <v>332</v>
      </c>
      <c r="AC169">
        <v>536</v>
      </c>
      <c r="AD169">
        <v>28.41</v>
      </c>
      <c r="AE169">
        <v>542</v>
      </c>
      <c r="AF169">
        <v>20</v>
      </c>
      <c r="AG169">
        <v>180</v>
      </c>
      <c r="AH169">
        <v>129</v>
      </c>
      <c r="AI169">
        <v>3.69</v>
      </c>
      <c r="AJ169">
        <v>33.21</v>
      </c>
      <c r="AK169">
        <v>23.8</v>
      </c>
      <c r="AL169">
        <v>-20.102914199999962</v>
      </c>
      <c r="AM169">
        <v>-44.974700580584418</v>
      </c>
      <c r="AN169">
        <v>-20.102914199999962</v>
      </c>
      <c r="AO169">
        <v>-44.974700580584418</v>
      </c>
      <c r="AP169">
        <v>-20.102878</v>
      </c>
      <c r="AQ169">
        <v>-44.974297</v>
      </c>
      <c r="AR169">
        <v>42.381535645626968</v>
      </c>
      <c r="AS169" t="s">
        <v>65</v>
      </c>
      <c r="AT169">
        <v>1</v>
      </c>
      <c r="AU169" t="s">
        <v>1066</v>
      </c>
      <c r="AV169" t="s">
        <v>1067</v>
      </c>
      <c r="AW169" t="s">
        <v>60</v>
      </c>
      <c r="AX169" t="s">
        <v>68</v>
      </c>
      <c r="AY169" t="s">
        <v>69</v>
      </c>
      <c r="AZ169" t="b">
        <v>1</v>
      </c>
    </row>
    <row r="170" spans="1:52" x14ac:dyDescent="0.3">
      <c r="A170" t="s">
        <v>52</v>
      </c>
      <c r="B170" t="s">
        <v>53</v>
      </c>
      <c r="C170" t="s">
        <v>54</v>
      </c>
      <c r="D170" t="s">
        <v>55</v>
      </c>
      <c r="E170" t="s">
        <v>56</v>
      </c>
      <c r="F170" t="s">
        <v>190</v>
      </c>
      <c r="G170" t="s">
        <v>734</v>
      </c>
      <c r="H170" t="s">
        <v>1068</v>
      </c>
      <c r="I170" t="s">
        <v>1068</v>
      </c>
      <c r="J170" t="s">
        <v>60</v>
      </c>
      <c r="K170" t="s">
        <v>736</v>
      </c>
      <c r="L170" t="s">
        <v>62</v>
      </c>
      <c r="M170" t="s">
        <v>736</v>
      </c>
      <c r="N170" t="s">
        <v>1069</v>
      </c>
      <c r="O170" t="s">
        <v>1070</v>
      </c>
      <c r="P170">
        <v>-20.110289999999999</v>
      </c>
      <c r="Q170">
        <v>-44.981574000000002</v>
      </c>
      <c r="R170" s="2" t="str">
        <f>HYPERLINK("https://www.google.com/maps?q=-20.1102900,-44.9815740","Abrir no Google Maps")</f>
        <v>Abrir no Google Maps</v>
      </c>
      <c r="S170">
        <v>3</v>
      </c>
      <c r="T170">
        <v>1081.8012210194311</v>
      </c>
      <c r="U170">
        <v>3</v>
      </c>
      <c r="V170">
        <v>0.2831245308544324</v>
      </c>
      <c r="W170">
        <v>1</v>
      </c>
      <c r="X170">
        <v>0.2831245308544324</v>
      </c>
      <c r="Y170">
        <v>385</v>
      </c>
      <c r="Z170">
        <v>1009.915869278438</v>
      </c>
      <c r="AA170">
        <v>198</v>
      </c>
      <c r="AB170">
        <v>332</v>
      </c>
      <c r="AC170">
        <v>536</v>
      </c>
      <c r="AD170">
        <v>28.41</v>
      </c>
      <c r="AE170">
        <v>542</v>
      </c>
      <c r="AF170">
        <v>20</v>
      </c>
      <c r="AG170">
        <v>180</v>
      </c>
      <c r="AH170">
        <v>129</v>
      </c>
      <c r="AI170">
        <v>3.69</v>
      </c>
      <c r="AJ170">
        <v>33.21</v>
      </c>
      <c r="AK170">
        <v>23.8</v>
      </c>
      <c r="AL170">
        <v>-20.110281699999941</v>
      </c>
      <c r="AM170">
        <v>-44.98144213076452</v>
      </c>
      <c r="AN170">
        <v>-20.110281699999941</v>
      </c>
      <c r="AO170">
        <v>-44.98144213076452</v>
      </c>
      <c r="AP170">
        <v>-20.110289999999999</v>
      </c>
      <c r="AQ170">
        <v>-44.981574000000002</v>
      </c>
      <c r="AR170">
        <v>13.815631287504781</v>
      </c>
      <c r="AS170" t="s">
        <v>65</v>
      </c>
      <c r="AT170">
        <v>1</v>
      </c>
      <c r="AU170" t="s">
        <v>1071</v>
      </c>
      <c r="AV170" t="s">
        <v>1072</v>
      </c>
      <c r="AW170" t="s">
        <v>60</v>
      </c>
      <c r="AX170" t="s">
        <v>68</v>
      </c>
      <c r="AY170" t="s">
        <v>69</v>
      </c>
      <c r="AZ170" t="b">
        <v>1</v>
      </c>
    </row>
    <row r="171" spans="1:52" x14ac:dyDescent="0.3">
      <c r="A171" t="s">
        <v>52</v>
      </c>
      <c r="B171" t="s">
        <v>53</v>
      </c>
      <c r="C171" t="s">
        <v>54</v>
      </c>
      <c r="D171" t="s">
        <v>55</v>
      </c>
      <c r="E171" t="s">
        <v>56</v>
      </c>
      <c r="F171" t="s">
        <v>190</v>
      </c>
      <c r="G171" t="s">
        <v>1009</v>
      </c>
      <c r="H171" t="s">
        <v>1073</v>
      </c>
      <c r="I171" t="s">
        <v>1073</v>
      </c>
      <c r="J171" t="s">
        <v>60</v>
      </c>
      <c r="K171" t="s">
        <v>805</v>
      </c>
      <c r="L171" t="s">
        <v>62</v>
      </c>
      <c r="M171" t="s">
        <v>805</v>
      </c>
      <c r="N171" t="s">
        <v>1011</v>
      </c>
      <c r="O171" t="s">
        <v>1074</v>
      </c>
      <c r="P171">
        <v>-20.137049000000001</v>
      </c>
      <c r="Q171">
        <v>-44.885832000000001</v>
      </c>
      <c r="R171" s="2" t="str">
        <f>HYPERLINK("https://www.google.com/maps?q=-20.1370490,-44.8858320","Abrir no Google Maps")</f>
        <v>Abrir no Google Maps</v>
      </c>
      <c r="S171">
        <v>3</v>
      </c>
      <c r="T171">
        <v>255.2207994789398</v>
      </c>
      <c r="U171">
        <v>3</v>
      </c>
      <c r="V171">
        <v>0.34654119819252271</v>
      </c>
      <c r="W171">
        <v>0.85</v>
      </c>
      <c r="X171">
        <v>0.29456001846364432</v>
      </c>
      <c r="Y171">
        <v>350</v>
      </c>
      <c r="Z171">
        <v>122.85075315998721</v>
      </c>
      <c r="AA171">
        <v>198</v>
      </c>
      <c r="AB171">
        <v>332</v>
      </c>
      <c r="AC171">
        <v>536</v>
      </c>
      <c r="AD171">
        <v>28.41</v>
      </c>
      <c r="AE171">
        <v>542</v>
      </c>
      <c r="AF171">
        <v>20</v>
      </c>
      <c r="AG171">
        <v>180</v>
      </c>
      <c r="AH171">
        <v>129</v>
      </c>
      <c r="AI171">
        <v>3.69</v>
      </c>
      <c r="AJ171">
        <v>33.21</v>
      </c>
      <c r="AK171">
        <v>23.8</v>
      </c>
      <c r="AL171">
        <v>-20.136876799999978</v>
      </c>
      <c r="AM171">
        <v>-44.885908665033703</v>
      </c>
      <c r="AN171">
        <v>-20.136876799999989</v>
      </c>
      <c r="AO171">
        <v>-44.885908665033703</v>
      </c>
      <c r="AP171">
        <v>-20.137049000000001</v>
      </c>
      <c r="AQ171">
        <v>-44.885832000000001</v>
      </c>
      <c r="AR171">
        <v>20.776552041735069</v>
      </c>
      <c r="AS171" t="s">
        <v>65</v>
      </c>
      <c r="AT171">
        <v>1</v>
      </c>
      <c r="AU171" t="s">
        <v>1075</v>
      </c>
      <c r="AV171" t="s">
        <v>1076</v>
      </c>
      <c r="AW171" t="s">
        <v>60</v>
      </c>
      <c r="AX171" t="s">
        <v>68</v>
      </c>
      <c r="AY171" t="s">
        <v>69</v>
      </c>
      <c r="AZ171" t="b">
        <v>1</v>
      </c>
    </row>
    <row r="172" spans="1:52" x14ac:dyDescent="0.3">
      <c r="A172" t="s">
        <v>52</v>
      </c>
      <c r="B172" t="s">
        <v>53</v>
      </c>
      <c r="C172" t="s">
        <v>54</v>
      </c>
      <c r="D172" t="s">
        <v>55</v>
      </c>
      <c r="E172" t="s">
        <v>56</v>
      </c>
      <c r="F172" t="s">
        <v>190</v>
      </c>
      <c r="G172" t="s">
        <v>1077</v>
      </c>
      <c r="H172" t="s">
        <v>1078</v>
      </c>
      <c r="I172" t="s">
        <v>1078</v>
      </c>
      <c r="J172" t="s">
        <v>60</v>
      </c>
      <c r="K172" t="s">
        <v>761</v>
      </c>
      <c r="L172" t="s">
        <v>62</v>
      </c>
      <c r="M172" t="s">
        <v>761</v>
      </c>
      <c r="N172" t="s">
        <v>1079</v>
      </c>
      <c r="O172" t="s">
        <v>1080</v>
      </c>
      <c r="P172">
        <v>-20.119579999999999</v>
      </c>
      <c r="Q172">
        <v>-44.855030999999997</v>
      </c>
      <c r="R172" s="2" t="str">
        <f>HYPERLINK("https://www.google.com/maps?q=-20.1195800,-44.8550310","Abrir no Google Maps")</f>
        <v>Abrir no Google Maps</v>
      </c>
      <c r="S172">
        <v>3</v>
      </c>
      <c r="T172">
        <v>800.32085104254202</v>
      </c>
      <c r="U172">
        <v>3</v>
      </c>
      <c r="V172">
        <v>0.2795890220404646</v>
      </c>
      <c r="W172">
        <v>1</v>
      </c>
      <c r="X172">
        <v>0.2795890220404646</v>
      </c>
      <c r="Y172">
        <v>350</v>
      </c>
      <c r="Z172">
        <v>431.56201899267722</v>
      </c>
      <c r="AA172">
        <v>198</v>
      </c>
      <c r="AB172">
        <v>332</v>
      </c>
      <c r="AC172">
        <v>536</v>
      </c>
      <c r="AD172">
        <v>28.41</v>
      </c>
      <c r="AE172">
        <v>542</v>
      </c>
      <c r="AF172">
        <v>20</v>
      </c>
      <c r="AG172">
        <v>180</v>
      </c>
      <c r="AH172">
        <v>129</v>
      </c>
      <c r="AI172">
        <v>3.69</v>
      </c>
      <c r="AJ172">
        <v>33.21</v>
      </c>
      <c r="AK172">
        <v>23.8</v>
      </c>
      <c r="AL172">
        <v>-20.119806999999948</v>
      </c>
      <c r="AM172">
        <v>-44.855901548391778</v>
      </c>
      <c r="AN172">
        <v>-20.119806999999948</v>
      </c>
      <c r="AO172">
        <v>-44.855901548391778</v>
      </c>
      <c r="AP172">
        <v>-20.119579999999999</v>
      </c>
      <c r="AQ172">
        <v>-44.855030999999997</v>
      </c>
      <c r="AR172">
        <v>94.439141250965164</v>
      </c>
      <c r="AS172" t="s">
        <v>65</v>
      </c>
      <c r="AT172">
        <v>1</v>
      </c>
      <c r="AU172" t="s">
        <v>1081</v>
      </c>
      <c r="AV172" t="s">
        <v>1082</v>
      </c>
      <c r="AW172" t="s">
        <v>60</v>
      </c>
      <c r="AX172" t="s">
        <v>68</v>
      </c>
      <c r="AY172" t="s">
        <v>69</v>
      </c>
      <c r="AZ172" t="b">
        <v>1</v>
      </c>
    </row>
    <row r="173" spans="1:52" x14ac:dyDescent="0.3">
      <c r="A173" t="s">
        <v>52</v>
      </c>
      <c r="B173" t="s">
        <v>53</v>
      </c>
      <c r="C173" t="s">
        <v>54</v>
      </c>
      <c r="D173" t="s">
        <v>55</v>
      </c>
      <c r="E173" t="s">
        <v>56</v>
      </c>
      <c r="F173" t="s">
        <v>190</v>
      </c>
      <c r="G173" t="s">
        <v>1083</v>
      </c>
      <c r="H173" t="s">
        <v>1084</v>
      </c>
      <c r="I173" t="s">
        <v>1084</v>
      </c>
      <c r="J173" t="s">
        <v>60</v>
      </c>
      <c r="K173" t="s">
        <v>761</v>
      </c>
      <c r="L173" t="s">
        <v>62</v>
      </c>
      <c r="M173" t="s">
        <v>761</v>
      </c>
      <c r="N173" t="s">
        <v>1085</v>
      </c>
      <c r="O173" t="s">
        <v>1086</v>
      </c>
      <c r="P173">
        <v>-20.124312</v>
      </c>
      <c r="Q173">
        <v>-44.850425000000001</v>
      </c>
      <c r="R173" s="2" t="str">
        <f>HYPERLINK("https://www.google.com/maps?q=-20.1243120,-44.8504250","Abrir no Google Maps")</f>
        <v>Abrir no Google Maps</v>
      </c>
      <c r="S173">
        <v>3</v>
      </c>
      <c r="T173">
        <v>0</v>
      </c>
      <c r="U173">
        <v>3</v>
      </c>
      <c r="V173">
        <v>0.28642130580237679</v>
      </c>
      <c r="W173">
        <v>1</v>
      </c>
      <c r="X173">
        <v>0.28642130580237679</v>
      </c>
      <c r="Y173">
        <v>350</v>
      </c>
      <c r="Z173">
        <v>380.24040721202471</v>
      </c>
      <c r="AA173">
        <v>198</v>
      </c>
      <c r="AB173">
        <v>332</v>
      </c>
      <c r="AC173">
        <v>536</v>
      </c>
      <c r="AD173">
        <v>28.41</v>
      </c>
      <c r="AE173">
        <v>542</v>
      </c>
      <c r="AF173">
        <v>20</v>
      </c>
      <c r="AG173">
        <v>180</v>
      </c>
      <c r="AH173">
        <v>129</v>
      </c>
      <c r="AI173">
        <v>3.69</v>
      </c>
      <c r="AJ173">
        <v>33.21</v>
      </c>
      <c r="AK173">
        <v>23.8</v>
      </c>
      <c r="AL173">
        <v>-20.126267499999951</v>
      </c>
      <c r="AM173">
        <v>-44.852460192840908</v>
      </c>
      <c r="AN173">
        <v>-20.126267499999951</v>
      </c>
      <c r="AO173">
        <v>-44.852460192840908</v>
      </c>
      <c r="AP173">
        <v>-20.124312</v>
      </c>
      <c r="AQ173">
        <v>-44.850425000000001</v>
      </c>
      <c r="AR173">
        <v>304.36574074135672</v>
      </c>
      <c r="AS173" t="s">
        <v>65</v>
      </c>
      <c r="AT173">
        <v>1</v>
      </c>
      <c r="AU173" t="s">
        <v>1087</v>
      </c>
      <c r="AV173" t="s">
        <v>1088</v>
      </c>
      <c r="AW173" t="s">
        <v>60</v>
      </c>
      <c r="AX173" t="s">
        <v>68</v>
      </c>
      <c r="AY173" t="s">
        <v>69</v>
      </c>
      <c r="AZ173" t="b">
        <v>1</v>
      </c>
    </row>
    <row r="174" spans="1:52" x14ac:dyDescent="0.3">
      <c r="A174" t="s">
        <v>52</v>
      </c>
      <c r="B174" t="s">
        <v>53</v>
      </c>
      <c r="C174" t="s">
        <v>54</v>
      </c>
      <c r="D174" t="s">
        <v>55</v>
      </c>
      <c r="E174" t="s">
        <v>56</v>
      </c>
      <c r="F174" t="s">
        <v>190</v>
      </c>
      <c r="G174" t="s">
        <v>1089</v>
      </c>
      <c r="H174" t="s">
        <v>1090</v>
      </c>
      <c r="I174" t="s">
        <v>1090</v>
      </c>
      <c r="J174" t="s">
        <v>60</v>
      </c>
      <c r="K174" t="s">
        <v>761</v>
      </c>
      <c r="L174" t="s">
        <v>62</v>
      </c>
      <c r="M174" t="s">
        <v>761</v>
      </c>
      <c r="N174" t="s">
        <v>1091</v>
      </c>
      <c r="O174" t="s">
        <v>86</v>
      </c>
      <c r="P174">
        <v>-20.116182999999999</v>
      </c>
      <c r="Q174">
        <v>-44.850524</v>
      </c>
      <c r="R174" s="2" t="str">
        <f>HYPERLINK("https://www.google.com/maps?q=-20.1161830,-44.8505240","Abrir no Google Maps")</f>
        <v>Abrir no Google Maps</v>
      </c>
      <c r="S174">
        <v>3</v>
      </c>
      <c r="T174">
        <v>1142.6607426309961</v>
      </c>
      <c r="U174">
        <v>3</v>
      </c>
      <c r="V174">
        <v>0.29025746513703982</v>
      </c>
      <c r="W174">
        <v>1</v>
      </c>
      <c r="X174">
        <v>0.29025746513703982</v>
      </c>
      <c r="Y174">
        <v>350</v>
      </c>
      <c r="Z174">
        <v>723.44841640590141</v>
      </c>
      <c r="AA174">
        <v>198</v>
      </c>
      <c r="AB174">
        <v>332</v>
      </c>
      <c r="AC174">
        <v>536</v>
      </c>
      <c r="AD174">
        <v>28.41</v>
      </c>
      <c r="AE174">
        <v>542</v>
      </c>
      <c r="AF174">
        <v>20</v>
      </c>
      <c r="AG174">
        <v>180</v>
      </c>
      <c r="AH174">
        <v>129</v>
      </c>
      <c r="AI174">
        <v>3.69</v>
      </c>
      <c r="AJ174">
        <v>33.21</v>
      </c>
      <c r="AK174">
        <v>23.8</v>
      </c>
      <c r="AL174">
        <v>-20.11605684999995</v>
      </c>
      <c r="AM174">
        <v>-44.850832861808193</v>
      </c>
      <c r="AN174">
        <v>-20.11605684999995</v>
      </c>
      <c r="AO174">
        <v>-44.850832861808193</v>
      </c>
      <c r="AP174">
        <v>-20.116182999999999</v>
      </c>
      <c r="AQ174">
        <v>-44.850524</v>
      </c>
      <c r="AR174">
        <v>35.207009729928053</v>
      </c>
      <c r="AS174" t="s">
        <v>65</v>
      </c>
      <c r="AT174">
        <v>1</v>
      </c>
      <c r="AU174" t="s">
        <v>1092</v>
      </c>
      <c r="AV174" t="s">
        <v>1093</v>
      </c>
      <c r="AW174" t="s">
        <v>60</v>
      </c>
      <c r="AX174" t="s">
        <v>68</v>
      </c>
      <c r="AY174" t="s">
        <v>69</v>
      </c>
      <c r="AZ174" t="b">
        <v>1</v>
      </c>
    </row>
    <row r="175" spans="1:52" x14ac:dyDescent="0.3">
      <c r="A175" t="s">
        <v>52</v>
      </c>
      <c r="B175" t="s">
        <v>53</v>
      </c>
      <c r="C175" t="s">
        <v>54</v>
      </c>
      <c r="D175" t="s">
        <v>55</v>
      </c>
      <c r="E175" t="s">
        <v>56</v>
      </c>
      <c r="F175" t="s">
        <v>190</v>
      </c>
      <c r="G175" t="s">
        <v>1094</v>
      </c>
      <c r="H175" t="s">
        <v>1095</v>
      </c>
      <c r="I175" t="s">
        <v>1095</v>
      </c>
      <c r="J175" t="s">
        <v>60</v>
      </c>
      <c r="K175" t="s">
        <v>761</v>
      </c>
      <c r="L175" t="s">
        <v>62</v>
      </c>
      <c r="M175" t="s">
        <v>761</v>
      </c>
      <c r="N175" t="s">
        <v>1096</v>
      </c>
      <c r="O175" t="s">
        <v>1070</v>
      </c>
      <c r="P175">
        <v>-20.122955999999999</v>
      </c>
      <c r="Q175">
        <v>-44.847842</v>
      </c>
      <c r="R175" s="2" t="str">
        <f>HYPERLINK("https://www.google.com/maps?q=-20.1229560,-44.8478420","Abrir no Google Maps")</f>
        <v>Abrir no Google Maps</v>
      </c>
      <c r="S175">
        <v>3</v>
      </c>
      <c r="T175">
        <v>611.23533866709147</v>
      </c>
      <c r="U175">
        <v>3</v>
      </c>
      <c r="V175">
        <v>0.2856904438370752</v>
      </c>
      <c r="W175">
        <v>1</v>
      </c>
      <c r="X175">
        <v>0.2856904438370752</v>
      </c>
      <c r="Y175">
        <v>350</v>
      </c>
      <c r="Z175">
        <v>567.3129443637539</v>
      </c>
      <c r="AA175">
        <v>198</v>
      </c>
      <c r="AB175">
        <v>332</v>
      </c>
      <c r="AC175">
        <v>536</v>
      </c>
      <c r="AD175">
        <v>28.41</v>
      </c>
      <c r="AE175">
        <v>542</v>
      </c>
      <c r="AF175">
        <v>20</v>
      </c>
      <c r="AG175">
        <v>180</v>
      </c>
      <c r="AH175">
        <v>129</v>
      </c>
      <c r="AI175">
        <v>3.69</v>
      </c>
      <c r="AJ175">
        <v>33.21</v>
      </c>
      <c r="AK175">
        <v>23.8</v>
      </c>
      <c r="AL175">
        <v>-20.122854299999972</v>
      </c>
      <c r="AM175">
        <v>-44.847862495675152</v>
      </c>
      <c r="AN175">
        <v>-20.122854299999972</v>
      </c>
      <c r="AO175">
        <v>-44.847862495675152</v>
      </c>
      <c r="AP175">
        <v>-20.122955999999999</v>
      </c>
      <c r="AQ175">
        <v>-44.847842</v>
      </c>
      <c r="AR175">
        <v>11.522154044835331</v>
      </c>
      <c r="AS175" t="s">
        <v>65</v>
      </c>
      <c r="AT175">
        <v>1</v>
      </c>
      <c r="AU175" t="s">
        <v>1097</v>
      </c>
      <c r="AV175" t="s">
        <v>1098</v>
      </c>
      <c r="AW175" t="s">
        <v>60</v>
      </c>
      <c r="AX175" t="s">
        <v>68</v>
      </c>
      <c r="AY175" t="s">
        <v>69</v>
      </c>
      <c r="AZ175" t="b">
        <v>1</v>
      </c>
    </row>
    <row r="176" spans="1:52" x14ac:dyDescent="0.3">
      <c r="A176" t="s">
        <v>52</v>
      </c>
      <c r="B176" t="s">
        <v>53</v>
      </c>
      <c r="C176" t="s">
        <v>54</v>
      </c>
      <c r="D176" t="s">
        <v>55</v>
      </c>
      <c r="E176" t="s">
        <v>56</v>
      </c>
      <c r="F176" t="s">
        <v>190</v>
      </c>
      <c r="G176" t="s">
        <v>1099</v>
      </c>
      <c r="H176" t="s">
        <v>1100</v>
      </c>
      <c r="I176" t="s">
        <v>1100</v>
      </c>
      <c r="J176" t="s">
        <v>60</v>
      </c>
      <c r="K176" t="s">
        <v>781</v>
      </c>
      <c r="L176" t="s">
        <v>62</v>
      </c>
      <c r="M176" t="s">
        <v>781</v>
      </c>
      <c r="N176" t="s">
        <v>1101</v>
      </c>
      <c r="O176" t="s">
        <v>235</v>
      </c>
      <c r="P176">
        <v>-20.136811999999999</v>
      </c>
      <c r="Q176">
        <v>-44.872388000000001</v>
      </c>
      <c r="R176" s="2" t="str">
        <f>HYPERLINK("https://www.google.com/maps?q=-20.1368120,-44.8723880","Abrir no Google Maps")</f>
        <v>Abrir no Google Maps</v>
      </c>
      <c r="S176">
        <v>3</v>
      </c>
      <c r="T176">
        <v>0</v>
      </c>
      <c r="U176">
        <v>3</v>
      </c>
      <c r="V176">
        <v>0.29296466073484839</v>
      </c>
      <c r="W176">
        <v>1</v>
      </c>
      <c r="X176">
        <v>0.29296466073484839</v>
      </c>
      <c r="Y176">
        <v>332</v>
      </c>
      <c r="Z176">
        <v>121.0319884418894</v>
      </c>
      <c r="AA176">
        <v>198</v>
      </c>
      <c r="AB176">
        <v>332</v>
      </c>
      <c r="AC176">
        <v>536</v>
      </c>
      <c r="AD176">
        <v>28.41</v>
      </c>
      <c r="AE176">
        <v>542</v>
      </c>
      <c r="AF176">
        <v>20</v>
      </c>
      <c r="AG176">
        <v>180</v>
      </c>
      <c r="AH176">
        <v>129</v>
      </c>
      <c r="AI176">
        <v>3.69</v>
      </c>
      <c r="AJ176">
        <v>33.21</v>
      </c>
      <c r="AK176">
        <v>23.8</v>
      </c>
      <c r="AL176">
        <v>-20.136943099999939</v>
      </c>
      <c r="AM176">
        <v>-44.872411407897907</v>
      </c>
      <c r="AN176">
        <v>-20.136943099999939</v>
      </c>
      <c r="AO176">
        <v>-44.872411407897907</v>
      </c>
      <c r="AP176">
        <v>-20.136811999999999</v>
      </c>
      <c r="AQ176">
        <v>-44.872388000000001</v>
      </c>
      <c r="AR176">
        <v>14.79769012694347</v>
      </c>
      <c r="AS176" t="s">
        <v>65</v>
      </c>
      <c r="AT176">
        <v>1</v>
      </c>
      <c r="AU176" t="s">
        <v>1102</v>
      </c>
      <c r="AV176" t="s">
        <v>1103</v>
      </c>
      <c r="AW176" t="s">
        <v>60</v>
      </c>
      <c r="AX176" t="s">
        <v>68</v>
      </c>
      <c r="AY176" t="s">
        <v>69</v>
      </c>
      <c r="AZ176" t="b">
        <v>1</v>
      </c>
    </row>
    <row r="177" spans="1:52" x14ac:dyDescent="0.3">
      <c r="A177" t="s">
        <v>52</v>
      </c>
      <c r="B177" t="s">
        <v>53</v>
      </c>
      <c r="C177" t="s">
        <v>54</v>
      </c>
      <c r="D177" t="s">
        <v>55</v>
      </c>
      <c r="E177" t="s">
        <v>56</v>
      </c>
      <c r="F177" t="s">
        <v>190</v>
      </c>
      <c r="G177" t="s">
        <v>1104</v>
      </c>
      <c r="H177" t="s">
        <v>1105</v>
      </c>
      <c r="I177" t="s">
        <v>1105</v>
      </c>
      <c r="J177" t="s">
        <v>60</v>
      </c>
      <c r="K177" t="s">
        <v>781</v>
      </c>
      <c r="L177" t="s">
        <v>62</v>
      </c>
      <c r="M177" t="s">
        <v>781</v>
      </c>
      <c r="N177" t="s">
        <v>1106</v>
      </c>
      <c r="O177" t="s">
        <v>1080</v>
      </c>
      <c r="P177">
        <v>-20.138683</v>
      </c>
      <c r="Q177">
        <v>-44.868507999999999</v>
      </c>
      <c r="R177" s="2" t="str">
        <f>HYPERLINK("https://www.google.com/maps?q=-20.1386830,-44.8685080","Abrir no Google Maps")</f>
        <v>Abrir no Google Maps</v>
      </c>
      <c r="S177">
        <v>3</v>
      </c>
      <c r="T177">
        <v>450.88210098833099</v>
      </c>
      <c r="U177">
        <v>3</v>
      </c>
      <c r="V177">
        <v>0.2898546463018038</v>
      </c>
      <c r="W177">
        <v>1</v>
      </c>
      <c r="X177">
        <v>0.2898546463018038</v>
      </c>
      <c r="Y177">
        <v>332</v>
      </c>
      <c r="Z177">
        <v>601.27669048153166</v>
      </c>
      <c r="AA177">
        <v>198</v>
      </c>
      <c r="AB177">
        <v>332</v>
      </c>
      <c r="AC177">
        <v>536</v>
      </c>
      <c r="AD177">
        <v>28.41</v>
      </c>
      <c r="AE177">
        <v>542</v>
      </c>
      <c r="AF177">
        <v>20</v>
      </c>
      <c r="AG177">
        <v>180</v>
      </c>
      <c r="AH177">
        <v>129</v>
      </c>
      <c r="AI177">
        <v>3.69</v>
      </c>
      <c r="AJ177">
        <v>33.21</v>
      </c>
      <c r="AK177">
        <v>23.8</v>
      </c>
      <c r="AL177">
        <v>-20.13870544999995</v>
      </c>
      <c r="AM177">
        <v>-44.868521774012208</v>
      </c>
      <c r="AN177">
        <v>-20.138705449999939</v>
      </c>
      <c r="AO177">
        <v>-44.868521774012208</v>
      </c>
      <c r="AP177">
        <v>-20.138683</v>
      </c>
      <c r="AQ177">
        <v>-44.868507999999999</v>
      </c>
      <c r="AR177">
        <v>2.8841042175322271</v>
      </c>
      <c r="AS177" t="s">
        <v>65</v>
      </c>
      <c r="AT177">
        <v>1</v>
      </c>
      <c r="AU177" t="s">
        <v>1107</v>
      </c>
      <c r="AV177" t="s">
        <v>1108</v>
      </c>
      <c r="AW177" t="s">
        <v>60</v>
      </c>
      <c r="AX177" t="s">
        <v>68</v>
      </c>
      <c r="AY177" t="s">
        <v>69</v>
      </c>
      <c r="AZ177" t="b">
        <v>1</v>
      </c>
    </row>
    <row r="178" spans="1:52" x14ac:dyDescent="0.3">
      <c r="A178" t="s">
        <v>52</v>
      </c>
      <c r="B178" t="s">
        <v>53</v>
      </c>
      <c r="C178" t="s">
        <v>54</v>
      </c>
      <c r="D178" t="s">
        <v>55</v>
      </c>
      <c r="E178" t="s">
        <v>56</v>
      </c>
      <c r="F178" t="s">
        <v>190</v>
      </c>
      <c r="G178" t="s">
        <v>1109</v>
      </c>
      <c r="H178" t="s">
        <v>1110</v>
      </c>
      <c r="I178" t="s">
        <v>1110</v>
      </c>
      <c r="J178" t="s">
        <v>60</v>
      </c>
      <c r="K178" t="s">
        <v>768</v>
      </c>
      <c r="L178" t="s">
        <v>62</v>
      </c>
      <c r="M178" t="s">
        <v>768</v>
      </c>
      <c r="N178" t="s">
        <v>1111</v>
      </c>
      <c r="O178" t="s">
        <v>1112</v>
      </c>
      <c r="P178">
        <v>-20.135508000000002</v>
      </c>
      <c r="Q178">
        <v>-44.871786999999998</v>
      </c>
      <c r="R178" s="2" t="str">
        <f>HYPERLINK("https://www.google.com/maps?q=-20.1355080,-44.8717870","Abrir no Google Maps")</f>
        <v>Abrir no Google Maps</v>
      </c>
      <c r="S178">
        <v>3</v>
      </c>
      <c r="T178">
        <v>167.5382405548801</v>
      </c>
      <c r="U178">
        <v>3</v>
      </c>
      <c r="V178">
        <v>0.28367858458013018</v>
      </c>
      <c r="W178">
        <v>1</v>
      </c>
      <c r="X178">
        <v>0.28367858458013018</v>
      </c>
      <c r="Y178">
        <v>332</v>
      </c>
      <c r="Z178">
        <v>179.76671916562941</v>
      </c>
      <c r="AA178">
        <v>198</v>
      </c>
      <c r="AB178">
        <v>332</v>
      </c>
      <c r="AC178">
        <v>536</v>
      </c>
      <c r="AD178">
        <v>28.41</v>
      </c>
      <c r="AE178">
        <v>542</v>
      </c>
      <c r="AF178">
        <v>20</v>
      </c>
      <c r="AG178">
        <v>180</v>
      </c>
      <c r="AH178">
        <v>129</v>
      </c>
      <c r="AI178">
        <v>3.69</v>
      </c>
      <c r="AJ178">
        <v>33.21</v>
      </c>
      <c r="AK178">
        <v>23.8</v>
      </c>
      <c r="AL178">
        <v>-20.135532899999959</v>
      </c>
      <c r="AM178">
        <v>-44.871828172735903</v>
      </c>
      <c r="AN178">
        <v>-20.135532899999959</v>
      </c>
      <c r="AO178">
        <v>-44.871828172735903</v>
      </c>
      <c r="AP178">
        <v>-20.135508000000002</v>
      </c>
      <c r="AQ178">
        <v>-44.871786999999998</v>
      </c>
      <c r="AR178">
        <v>5.1186859635787858</v>
      </c>
      <c r="AS178" t="s">
        <v>65</v>
      </c>
      <c r="AT178">
        <v>1</v>
      </c>
      <c r="AU178" t="s">
        <v>1113</v>
      </c>
      <c r="AV178" t="s">
        <v>1114</v>
      </c>
      <c r="AW178" t="s">
        <v>60</v>
      </c>
      <c r="AX178" t="s">
        <v>68</v>
      </c>
      <c r="AY178" t="s">
        <v>69</v>
      </c>
      <c r="AZ178" t="b">
        <v>1</v>
      </c>
    </row>
    <row r="179" spans="1:52" x14ac:dyDescent="0.3">
      <c r="A179" t="s">
        <v>52</v>
      </c>
      <c r="B179" t="s">
        <v>53</v>
      </c>
      <c r="C179" t="s">
        <v>54</v>
      </c>
      <c r="D179" t="s">
        <v>55</v>
      </c>
      <c r="E179" t="s">
        <v>56</v>
      </c>
      <c r="F179" t="s">
        <v>190</v>
      </c>
      <c r="G179" t="s">
        <v>1115</v>
      </c>
      <c r="H179" t="s">
        <v>1116</v>
      </c>
      <c r="I179" t="s">
        <v>1116</v>
      </c>
      <c r="J179" t="s">
        <v>60</v>
      </c>
      <c r="K179" t="s">
        <v>1117</v>
      </c>
      <c r="L179" t="s">
        <v>62</v>
      </c>
      <c r="M179" t="s">
        <v>1117</v>
      </c>
      <c r="N179" t="s">
        <v>1118</v>
      </c>
      <c r="O179" t="s">
        <v>74</v>
      </c>
      <c r="P179">
        <v>-20.171123000000001</v>
      </c>
      <c r="Q179">
        <v>-44.944929999999999</v>
      </c>
      <c r="R179" s="2" t="str">
        <f>HYPERLINK("https://www.google.com/maps?q=-20.1711230,-44.9449300","Abrir no Google Maps")</f>
        <v>Abrir no Google Maps</v>
      </c>
      <c r="S179">
        <v>3</v>
      </c>
      <c r="T179">
        <v>2450.5355520785151</v>
      </c>
      <c r="U179">
        <v>3</v>
      </c>
      <c r="V179">
        <v>0.33229886939983089</v>
      </c>
      <c r="W179">
        <v>0.85</v>
      </c>
      <c r="X179">
        <v>0.28245403898985633</v>
      </c>
      <c r="Y179">
        <v>331</v>
      </c>
      <c r="Z179">
        <v>2306.317072968428</v>
      </c>
      <c r="AA179">
        <v>198</v>
      </c>
      <c r="AB179">
        <v>332</v>
      </c>
      <c r="AC179">
        <v>536</v>
      </c>
      <c r="AD179">
        <v>28.41</v>
      </c>
      <c r="AE179">
        <v>542</v>
      </c>
      <c r="AF179">
        <v>20</v>
      </c>
      <c r="AG179">
        <v>180</v>
      </c>
      <c r="AH179">
        <v>129</v>
      </c>
      <c r="AI179">
        <v>3.69</v>
      </c>
      <c r="AJ179">
        <v>33.21</v>
      </c>
      <c r="AK179">
        <v>23.8</v>
      </c>
      <c r="AL179">
        <v>-20.170858699999972</v>
      </c>
      <c r="AM179">
        <v>-44.945018498005382</v>
      </c>
      <c r="AN179">
        <v>-20.170858699999972</v>
      </c>
      <c r="AO179">
        <v>-44.945018498005382</v>
      </c>
      <c r="AP179">
        <v>-20.171123000000001</v>
      </c>
      <c r="AQ179">
        <v>-44.944929999999999</v>
      </c>
      <c r="AR179">
        <v>30.840896798881371</v>
      </c>
      <c r="AS179" t="s">
        <v>65</v>
      </c>
      <c r="AT179">
        <v>1</v>
      </c>
      <c r="AU179" t="s">
        <v>1119</v>
      </c>
      <c r="AV179" t="s">
        <v>1120</v>
      </c>
      <c r="AW179" t="s">
        <v>60</v>
      </c>
      <c r="AX179" t="s">
        <v>68</v>
      </c>
      <c r="AY179" t="s">
        <v>69</v>
      </c>
      <c r="AZ179" t="b">
        <v>1</v>
      </c>
    </row>
    <row r="180" spans="1:52" x14ac:dyDescent="0.3">
      <c r="A180" t="s">
        <v>52</v>
      </c>
      <c r="B180" t="s">
        <v>53</v>
      </c>
      <c r="C180" t="s">
        <v>54</v>
      </c>
      <c r="D180" t="s">
        <v>55</v>
      </c>
      <c r="E180" t="s">
        <v>56</v>
      </c>
      <c r="F180" t="s">
        <v>190</v>
      </c>
      <c r="G180" t="s">
        <v>1121</v>
      </c>
      <c r="H180" t="s">
        <v>1122</v>
      </c>
      <c r="I180" t="s">
        <v>1122</v>
      </c>
      <c r="J180" t="s">
        <v>60</v>
      </c>
      <c r="K180" t="s">
        <v>1123</v>
      </c>
      <c r="L180" t="s">
        <v>62</v>
      </c>
      <c r="M180" t="s">
        <v>1123</v>
      </c>
      <c r="N180" t="s">
        <v>1124</v>
      </c>
      <c r="O180" t="s">
        <v>74</v>
      </c>
      <c r="P180">
        <v>-20.105318</v>
      </c>
      <c r="Q180">
        <v>-44.879216</v>
      </c>
      <c r="R180" s="2" t="str">
        <f>HYPERLINK("https://www.google.com/maps?q=-20.1053180,-44.8792160","Abrir no Google Maps")</f>
        <v>Abrir no Google Maps</v>
      </c>
      <c r="S180">
        <v>3</v>
      </c>
      <c r="T180">
        <v>318.57668516180911</v>
      </c>
      <c r="U180">
        <v>3</v>
      </c>
      <c r="V180">
        <v>0.28179335097221692</v>
      </c>
      <c r="W180">
        <v>1</v>
      </c>
      <c r="X180">
        <v>0.28179335097221692</v>
      </c>
      <c r="Y180">
        <v>314</v>
      </c>
      <c r="Z180">
        <v>207.50829098881519</v>
      </c>
      <c r="AA180">
        <v>198</v>
      </c>
      <c r="AB180">
        <v>332</v>
      </c>
      <c r="AC180">
        <v>536</v>
      </c>
      <c r="AD180">
        <v>28.41</v>
      </c>
      <c r="AE180">
        <v>542</v>
      </c>
      <c r="AF180">
        <v>20</v>
      </c>
      <c r="AG180">
        <v>180</v>
      </c>
      <c r="AH180">
        <v>129</v>
      </c>
      <c r="AI180">
        <v>3.69</v>
      </c>
      <c r="AJ180">
        <v>33.21</v>
      </c>
      <c r="AK180">
        <v>23.8</v>
      </c>
      <c r="AL180">
        <v>-20.105361049999939</v>
      </c>
      <c r="AM180">
        <v>-44.87924613740698</v>
      </c>
      <c r="AN180">
        <v>-20.105361049999939</v>
      </c>
      <c r="AO180">
        <v>-44.87924613740698</v>
      </c>
      <c r="AP180">
        <v>-20.105318</v>
      </c>
      <c r="AQ180">
        <v>-44.879216</v>
      </c>
      <c r="AR180">
        <v>5.7351338374851242</v>
      </c>
      <c r="AS180" t="s">
        <v>65</v>
      </c>
      <c r="AT180">
        <v>1</v>
      </c>
      <c r="AU180" t="s">
        <v>1125</v>
      </c>
      <c r="AV180" t="s">
        <v>1126</v>
      </c>
      <c r="AW180" t="s">
        <v>60</v>
      </c>
      <c r="AX180" t="s">
        <v>68</v>
      </c>
      <c r="AY180" t="s">
        <v>69</v>
      </c>
      <c r="AZ180" t="b">
        <v>1</v>
      </c>
    </row>
    <row r="181" spans="1:52" x14ac:dyDescent="0.3">
      <c r="A181" t="s">
        <v>52</v>
      </c>
      <c r="B181" t="s">
        <v>53</v>
      </c>
      <c r="C181" t="s">
        <v>54</v>
      </c>
      <c r="D181" t="s">
        <v>55</v>
      </c>
      <c r="E181" t="s">
        <v>56</v>
      </c>
      <c r="F181" t="s">
        <v>190</v>
      </c>
      <c r="G181" t="s">
        <v>1127</v>
      </c>
      <c r="H181" t="s">
        <v>1128</v>
      </c>
      <c r="I181" t="s">
        <v>1128</v>
      </c>
      <c r="J181" t="s">
        <v>60</v>
      </c>
      <c r="K181" t="s">
        <v>1129</v>
      </c>
      <c r="L181" t="s">
        <v>62</v>
      </c>
      <c r="M181" t="s">
        <v>1129</v>
      </c>
      <c r="N181" t="s">
        <v>1130</v>
      </c>
      <c r="O181" t="s">
        <v>357</v>
      </c>
      <c r="P181">
        <v>-20.106638</v>
      </c>
      <c r="Q181">
        <v>-44.883538000000001</v>
      </c>
      <c r="R181" s="2" t="str">
        <f>HYPERLINK("https://www.google.com/maps?q=-20.1066380,-44.8835380","Abrir no Google Maps")</f>
        <v>Abrir no Google Maps</v>
      </c>
      <c r="S181">
        <v>3</v>
      </c>
      <c r="T181">
        <v>754.03514396665969</v>
      </c>
      <c r="U181">
        <v>3</v>
      </c>
      <c r="V181">
        <v>0.27864135620218222</v>
      </c>
      <c r="W181">
        <v>1</v>
      </c>
      <c r="X181">
        <v>0.27864135620218222</v>
      </c>
      <c r="Y181">
        <v>314</v>
      </c>
      <c r="Z181">
        <v>584.1161650721092</v>
      </c>
      <c r="AA181">
        <v>198</v>
      </c>
      <c r="AB181">
        <v>332</v>
      </c>
      <c r="AC181">
        <v>536</v>
      </c>
      <c r="AD181">
        <v>28.41</v>
      </c>
      <c r="AE181">
        <v>542</v>
      </c>
      <c r="AF181">
        <v>20</v>
      </c>
      <c r="AG181">
        <v>180</v>
      </c>
      <c r="AH181">
        <v>129</v>
      </c>
      <c r="AI181">
        <v>3.69</v>
      </c>
      <c r="AJ181">
        <v>33.21</v>
      </c>
      <c r="AK181">
        <v>23.8</v>
      </c>
      <c r="AL181">
        <v>-20.106599599999949</v>
      </c>
      <c r="AM181">
        <v>-44.883527947279568</v>
      </c>
      <c r="AN181">
        <v>-20.106599599999949</v>
      </c>
      <c r="AO181">
        <v>-44.883527947279568</v>
      </c>
      <c r="AP181">
        <v>-20.106638</v>
      </c>
      <c r="AQ181">
        <v>-44.883538000000001</v>
      </c>
      <c r="AR181">
        <v>4.4019630384815924</v>
      </c>
      <c r="AS181" t="s">
        <v>65</v>
      </c>
      <c r="AT181">
        <v>1</v>
      </c>
      <c r="AU181" t="s">
        <v>1131</v>
      </c>
      <c r="AV181" t="s">
        <v>1132</v>
      </c>
      <c r="AW181" t="s">
        <v>60</v>
      </c>
      <c r="AX181" t="s">
        <v>68</v>
      </c>
      <c r="AY181" t="s">
        <v>69</v>
      </c>
      <c r="AZ181" t="b">
        <v>1</v>
      </c>
    </row>
    <row r="182" spans="1:52" x14ac:dyDescent="0.3">
      <c r="A182" t="s">
        <v>52</v>
      </c>
      <c r="B182" t="s">
        <v>53</v>
      </c>
      <c r="C182" t="s">
        <v>54</v>
      </c>
      <c r="D182" t="s">
        <v>55</v>
      </c>
      <c r="E182" t="s">
        <v>56</v>
      </c>
      <c r="F182" t="s">
        <v>190</v>
      </c>
      <c r="G182" t="s">
        <v>1133</v>
      </c>
      <c r="H182" t="s">
        <v>1134</v>
      </c>
      <c r="I182" t="s">
        <v>1134</v>
      </c>
      <c r="J182" t="s">
        <v>60</v>
      </c>
      <c r="K182" t="s">
        <v>1123</v>
      </c>
      <c r="L182" t="s">
        <v>62</v>
      </c>
      <c r="M182" t="s">
        <v>1123</v>
      </c>
      <c r="N182" t="s">
        <v>1135</v>
      </c>
      <c r="O182" t="s">
        <v>138</v>
      </c>
      <c r="P182">
        <v>-20.106113000000001</v>
      </c>
      <c r="Q182">
        <v>-44.876035999999999</v>
      </c>
      <c r="R182" s="2" t="str">
        <f>HYPERLINK("https://www.google.com/maps?q=-20.1061130,-44.8760360","Abrir no Google Maps")</f>
        <v>Abrir no Google Maps</v>
      </c>
      <c r="S182">
        <v>3</v>
      </c>
      <c r="T182">
        <v>0</v>
      </c>
      <c r="U182">
        <v>3</v>
      </c>
      <c r="V182">
        <v>0.28425959824762181</v>
      </c>
      <c r="W182">
        <v>1</v>
      </c>
      <c r="X182">
        <v>0.28425959824762181</v>
      </c>
      <c r="Y182">
        <v>314</v>
      </c>
      <c r="Z182">
        <v>98.504848991092999</v>
      </c>
      <c r="AA182">
        <v>198</v>
      </c>
      <c r="AB182">
        <v>332</v>
      </c>
      <c r="AC182">
        <v>536</v>
      </c>
      <c r="AD182">
        <v>28.41</v>
      </c>
      <c r="AE182">
        <v>542</v>
      </c>
      <c r="AF182">
        <v>20</v>
      </c>
      <c r="AG182">
        <v>180</v>
      </c>
      <c r="AH182">
        <v>129</v>
      </c>
      <c r="AI182">
        <v>3.69</v>
      </c>
      <c r="AJ182">
        <v>33.21</v>
      </c>
      <c r="AK182">
        <v>23.8</v>
      </c>
      <c r="AL182">
        <v>-20.106190249999941</v>
      </c>
      <c r="AM182">
        <v>-44.876327742253288</v>
      </c>
      <c r="AN182">
        <v>-20.106190249999941</v>
      </c>
      <c r="AO182">
        <v>-44.876327742253288</v>
      </c>
      <c r="AP182">
        <v>-20.106113000000001</v>
      </c>
      <c r="AQ182">
        <v>-44.876035999999999</v>
      </c>
      <c r="AR182">
        <v>31.686742853465731</v>
      </c>
      <c r="AS182" t="s">
        <v>65</v>
      </c>
      <c r="AT182">
        <v>1</v>
      </c>
      <c r="AU182" t="s">
        <v>1136</v>
      </c>
      <c r="AV182" t="s">
        <v>1137</v>
      </c>
      <c r="AW182" t="s">
        <v>60</v>
      </c>
      <c r="AX182" t="s">
        <v>68</v>
      </c>
      <c r="AY182" t="s">
        <v>69</v>
      </c>
      <c r="AZ182" t="b">
        <v>1</v>
      </c>
    </row>
    <row r="183" spans="1:52" x14ac:dyDescent="0.3">
      <c r="A183" t="s">
        <v>52</v>
      </c>
      <c r="B183" t="s">
        <v>53</v>
      </c>
      <c r="C183" t="s">
        <v>54</v>
      </c>
      <c r="D183" t="s">
        <v>55</v>
      </c>
      <c r="E183" t="s">
        <v>56</v>
      </c>
      <c r="F183" t="s">
        <v>190</v>
      </c>
      <c r="G183" t="s">
        <v>1138</v>
      </c>
      <c r="H183" t="s">
        <v>1139</v>
      </c>
      <c r="I183" t="s">
        <v>1139</v>
      </c>
      <c r="J183" t="s">
        <v>60</v>
      </c>
      <c r="K183" t="s">
        <v>1140</v>
      </c>
      <c r="L183" t="s">
        <v>62</v>
      </c>
      <c r="M183" t="s">
        <v>1140</v>
      </c>
      <c r="N183" t="s">
        <v>1141</v>
      </c>
      <c r="O183" t="s">
        <v>293</v>
      </c>
      <c r="P183">
        <v>-20.103041999999999</v>
      </c>
      <c r="Q183">
        <v>-44.882694999999998</v>
      </c>
      <c r="R183" s="2" t="str">
        <f>HYPERLINK("https://www.google.com/maps?q=-20.1030420,-44.8826950","Abrir no Google Maps")</f>
        <v>Abrir no Google Maps</v>
      </c>
      <c r="S183">
        <v>3</v>
      </c>
      <c r="T183">
        <v>764.07293048598467</v>
      </c>
      <c r="U183">
        <v>3</v>
      </c>
      <c r="V183">
        <v>0.2913719271659313</v>
      </c>
      <c r="W183">
        <v>1</v>
      </c>
      <c r="X183">
        <v>0.2913719271659313</v>
      </c>
      <c r="Y183">
        <v>314</v>
      </c>
      <c r="Z183">
        <v>696.03268335706969</v>
      </c>
      <c r="AA183">
        <v>198</v>
      </c>
      <c r="AB183">
        <v>332</v>
      </c>
      <c r="AC183">
        <v>536</v>
      </c>
      <c r="AD183">
        <v>28.41</v>
      </c>
      <c r="AE183">
        <v>542</v>
      </c>
      <c r="AF183">
        <v>20</v>
      </c>
      <c r="AG183">
        <v>180</v>
      </c>
      <c r="AH183">
        <v>129</v>
      </c>
      <c r="AI183">
        <v>3.69</v>
      </c>
      <c r="AJ183">
        <v>33.21</v>
      </c>
      <c r="AK183">
        <v>23.8</v>
      </c>
      <c r="AL183">
        <v>-20.10298734999995</v>
      </c>
      <c r="AM183">
        <v>-44.882802925792483</v>
      </c>
      <c r="AN183">
        <v>-20.10298734999995</v>
      </c>
      <c r="AO183">
        <v>-44.882802925792483</v>
      </c>
      <c r="AP183">
        <v>-20.103041999999999</v>
      </c>
      <c r="AQ183">
        <v>-44.882694999999998</v>
      </c>
      <c r="AR183">
        <v>12.8180317775525</v>
      </c>
      <c r="AS183" t="s">
        <v>65</v>
      </c>
      <c r="AT183">
        <v>1</v>
      </c>
      <c r="AU183" t="s">
        <v>1142</v>
      </c>
      <c r="AV183" t="s">
        <v>1143</v>
      </c>
      <c r="AW183" t="s">
        <v>60</v>
      </c>
      <c r="AX183" t="s">
        <v>68</v>
      </c>
      <c r="AY183" t="s">
        <v>69</v>
      </c>
      <c r="AZ183" t="b">
        <v>1</v>
      </c>
    </row>
    <row r="184" spans="1:52" x14ac:dyDescent="0.3">
      <c r="A184" t="s">
        <v>52</v>
      </c>
      <c r="B184" t="s">
        <v>53</v>
      </c>
      <c r="C184" t="s">
        <v>54</v>
      </c>
      <c r="D184" t="s">
        <v>55</v>
      </c>
      <c r="E184" t="s">
        <v>56</v>
      </c>
      <c r="F184" t="s">
        <v>190</v>
      </c>
      <c r="G184" t="s">
        <v>1133</v>
      </c>
      <c r="H184" t="s">
        <v>1144</v>
      </c>
      <c r="I184" t="s">
        <v>1144</v>
      </c>
      <c r="J184" t="s">
        <v>60</v>
      </c>
      <c r="K184" t="s">
        <v>1123</v>
      </c>
      <c r="L184" t="s">
        <v>62</v>
      </c>
      <c r="M184" t="s">
        <v>1123</v>
      </c>
      <c r="N184" t="s">
        <v>1135</v>
      </c>
      <c r="O184" t="s">
        <v>907</v>
      </c>
      <c r="P184">
        <v>-20.100351</v>
      </c>
      <c r="Q184">
        <v>-44.878037999999997</v>
      </c>
      <c r="R184" s="2" t="str">
        <f>HYPERLINK("https://www.google.com/maps?q=-20.1003510,-44.8780380","Abrir no Google Maps")</f>
        <v>Abrir no Google Maps</v>
      </c>
      <c r="S184">
        <v>3</v>
      </c>
      <c r="T184">
        <v>665.56785712469116</v>
      </c>
      <c r="U184">
        <v>3</v>
      </c>
      <c r="V184">
        <v>0.2833622195021977</v>
      </c>
      <c r="W184">
        <v>1</v>
      </c>
      <c r="X184">
        <v>0.2833622195021977</v>
      </c>
      <c r="Y184">
        <v>314</v>
      </c>
      <c r="Z184">
        <v>584.8532299266725</v>
      </c>
      <c r="AA184">
        <v>198</v>
      </c>
      <c r="AB184">
        <v>332</v>
      </c>
      <c r="AC184">
        <v>536</v>
      </c>
      <c r="AD184">
        <v>28.41</v>
      </c>
      <c r="AE184">
        <v>542</v>
      </c>
      <c r="AF184">
        <v>20</v>
      </c>
      <c r="AG184">
        <v>180</v>
      </c>
      <c r="AH184">
        <v>129</v>
      </c>
      <c r="AI184">
        <v>3.69</v>
      </c>
      <c r="AJ184">
        <v>33.21</v>
      </c>
      <c r="AK184">
        <v>23.8</v>
      </c>
      <c r="AL184">
        <v>-20.100420499999959</v>
      </c>
      <c r="AM184">
        <v>-44.878125332575927</v>
      </c>
      <c r="AN184">
        <v>-20.100420499999959</v>
      </c>
      <c r="AO184">
        <v>-44.878125332575927</v>
      </c>
      <c r="AP184">
        <v>-20.100351</v>
      </c>
      <c r="AQ184">
        <v>-44.878037999999997</v>
      </c>
      <c r="AR184">
        <v>11.966993892024719</v>
      </c>
      <c r="AS184" t="s">
        <v>65</v>
      </c>
      <c r="AT184">
        <v>1</v>
      </c>
      <c r="AU184" t="s">
        <v>1145</v>
      </c>
      <c r="AV184" t="s">
        <v>1146</v>
      </c>
      <c r="AW184" t="s">
        <v>60</v>
      </c>
      <c r="AX184" t="s">
        <v>68</v>
      </c>
      <c r="AY184" t="s">
        <v>69</v>
      </c>
      <c r="AZ184" t="b">
        <v>1</v>
      </c>
    </row>
    <row r="185" spans="1:52" x14ac:dyDescent="0.3">
      <c r="A185" t="s">
        <v>52</v>
      </c>
      <c r="B185" t="s">
        <v>53</v>
      </c>
      <c r="C185" t="s">
        <v>54</v>
      </c>
      <c r="D185" t="s">
        <v>55</v>
      </c>
      <c r="E185" t="s">
        <v>56</v>
      </c>
      <c r="F185" t="s">
        <v>190</v>
      </c>
      <c r="G185" t="s">
        <v>1147</v>
      </c>
      <c r="H185" t="s">
        <v>1148</v>
      </c>
      <c r="I185" t="s">
        <v>1148</v>
      </c>
      <c r="J185" t="s">
        <v>60</v>
      </c>
      <c r="K185" t="s">
        <v>798</v>
      </c>
      <c r="L185" t="s">
        <v>62</v>
      </c>
      <c r="M185" t="s">
        <v>798</v>
      </c>
      <c r="N185" t="s">
        <v>1149</v>
      </c>
      <c r="O185" t="s">
        <v>836</v>
      </c>
      <c r="P185">
        <v>-20.112448000000001</v>
      </c>
      <c r="Q185">
        <v>-44.904887000000002</v>
      </c>
      <c r="R185" s="2" t="str">
        <f>HYPERLINK("https://www.google.com/maps?q=-20.1124480,-44.9048870","Abrir no Google Maps")</f>
        <v>Abrir no Google Maps</v>
      </c>
      <c r="S185">
        <v>3</v>
      </c>
      <c r="T185">
        <v>404.16588765758058</v>
      </c>
      <c r="U185">
        <v>3</v>
      </c>
      <c r="V185">
        <v>0.28255635979401822</v>
      </c>
      <c r="W185">
        <v>1</v>
      </c>
      <c r="X185">
        <v>0.28255635979401822</v>
      </c>
      <c r="Y185">
        <v>300</v>
      </c>
      <c r="Z185">
        <v>435.21165957304731</v>
      </c>
      <c r="AA185">
        <v>198</v>
      </c>
      <c r="AB185">
        <v>332</v>
      </c>
      <c r="AC185">
        <v>536</v>
      </c>
      <c r="AD185">
        <v>28.41</v>
      </c>
      <c r="AE185">
        <v>542</v>
      </c>
      <c r="AF185">
        <v>20</v>
      </c>
      <c r="AG185">
        <v>180</v>
      </c>
      <c r="AH185">
        <v>129</v>
      </c>
      <c r="AI185">
        <v>3.69</v>
      </c>
      <c r="AJ185">
        <v>33.21</v>
      </c>
      <c r="AK185">
        <v>23.8</v>
      </c>
      <c r="AL185">
        <v>-20.11243479999996</v>
      </c>
      <c r="AM185">
        <v>-44.904803228053026</v>
      </c>
      <c r="AN185">
        <v>-20.11243479999996</v>
      </c>
      <c r="AO185">
        <v>-44.904803228053026</v>
      </c>
      <c r="AP185">
        <v>-20.112448000000001</v>
      </c>
      <c r="AQ185">
        <v>-44.904887000000002</v>
      </c>
      <c r="AR185">
        <v>8.8792525353759544</v>
      </c>
      <c r="AS185" t="s">
        <v>65</v>
      </c>
      <c r="AT185">
        <v>1</v>
      </c>
      <c r="AU185" t="s">
        <v>1150</v>
      </c>
      <c r="AV185" t="s">
        <v>1151</v>
      </c>
      <c r="AW185" t="s">
        <v>60</v>
      </c>
      <c r="AX185" t="s">
        <v>68</v>
      </c>
      <c r="AY185" t="s">
        <v>69</v>
      </c>
      <c r="AZ185" t="b">
        <v>1</v>
      </c>
    </row>
    <row r="186" spans="1:52" x14ac:dyDescent="0.3">
      <c r="A186" t="s">
        <v>52</v>
      </c>
      <c r="B186" t="s">
        <v>53</v>
      </c>
      <c r="C186" t="s">
        <v>54</v>
      </c>
      <c r="D186" t="s">
        <v>55</v>
      </c>
      <c r="E186" t="s">
        <v>56</v>
      </c>
      <c r="F186" t="s">
        <v>190</v>
      </c>
      <c r="G186" t="s">
        <v>1152</v>
      </c>
      <c r="H186" t="s">
        <v>1153</v>
      </c>
      <c r="I186" t="s">
        <v>1153</v>
      </c>
      <c r="J186" t="s">
        <v>60</v>
      </c>
      <c r="K186" t="s">
        <v>798</v>
      </c>
      <c r="L186" t="s">
        <v>62</v>
      </c>
      <c r="M186" t="s">
        <v>798</v>
      </c>
      <c r="N186" t="s">
        <v>1154</v>
      </c>
      <c r="O186" t="s">
        <v>293</v>
      </c>
      <c r="P186">
        <v>-20.112477999999999</v>
      </c>
      <c r="Q186">
        <v>-44.903066000000003</v>
      </c>
      <c r="R186" s="2" t="str">
        <f>HYPERLINK("https://www.google.com/maps?q=-20.1124780,-44.9030660","Abrir no Google Maps")</f>
        <v>Abrir no Google Maps</v>
      </c>
      <c r="S186">
        <v>3</v>
      </c>
      <c r="T186">
        <v>246.8131690803576</v>
      </c>
      <c r="U186">
        <v>3</v>
      </c>
      <c r="V186">
        <v>0.29061962335801211</v>
      </c>
      <c r="W186">
        <v>1</v>
      </c>
      <c r="X186">
        <v>0.29061962335801211</v>
      </c>
      <c r="Y186">
        <v>300</v>
      </c>
      <c r="Z186">
        <v>335.63974056009812</v>
      </c>
      <c r="AA186">
        <v>198</v>
      </c>
      <c r="AB186">
        <v>332</v>
      </c>
      <c r="AC186">
        <v>536</v>
      </c>
      <c r="AD186">
        <v>28.41</v>
      </c>
      <c r="AE186">
        <v>542</v>
      </c>
      <c r="AF186">
        <v>20</v>
      </c>
      <c r="AG186">
        <v>180</v>
      </c>
      <c r="AH186">
        <v>129</v>
      </c>
      <c r="AI186">
        <v>3.69</v>
      </c>
      <c r="AJ186">
        <v>33.21</v>
      </c>
      <c r="AK186">
        <v>23.8</v>
      </c>
      <c r="AL186">
        <v>-20.112499949999972</v>
      </c>
      <c r="AM186">
        <v>-44.903143791889391</v>
      </c>
      <c r="AN186">
        <v>-20.112499949999972</v>
      </c>
      <c r="AO186">
        <v>-44.903143791889391</v>
      </c>
      <c r="AP186">
        <v>-20.112477999999999</v>
      </c>
      <c r="AQ186">
        <v>-44.903066000000003</v>
      </c>
      <c r="AR186">
        <v>8.4908959019572912</v>
      </c>
      <c r="AS186" t="s">
        <v>65</v>
      </c>
      <c r="AT186">
        <v>1</v>
      </c>
      <c r="AU186" t="s">
        <v>1155</v>
      </c>
      <c r="AV186" t="s">
        <v>1156</v>
      </c>
      <c r="AW186" t="s">
        <v>60</v>
      </c>
      <c r="AX186" t="s">
        <v>68</v>
      </c>
      <c r="AY186" t="s">
        <v>69</v>
      </c>
      <c r="AZ186" t="b">
        <v>1</v>
      </c>
    </row>
    <row r="187" spans="1:52" x14ac:dyDescent="0.3">
      <c r="A187" t="s">
        <v>52</v>
      </c>
      <c r="B187" t="s">
        <v>53</v>
      </c>
      <c r="C187" t="s">
        <v>54</v>
      </c>
      <c r="D187" t="s">
        <v>55</v>
      </c>
      <c r="E187" t="s">
        <v>56</v>
      </c>
      <c r="F187" t="s">
        <v>190</v>
      </c>
      <c r="G187" t="s">
        <v>1157</v>
      </c>
      <c r="H187" t="s">
        <v>1158</v>
      </c>
      <c r="I187" t="s">
        <v>1158</v>
      </c>
      <c r="J187" t="s">
        <v>60</v>
      </c>
      <c r="K187" t="s">
        <v>791</v>
      </c>
      <c r="L187" t="s">
        <v>62</v>
      </c>
      <c r="M187" t="s">
        <v>791</v>
      </c>
      <c r="N187" t="s">
        <v>1159</v>
      </c>
      <c r="O187" t="s">
        <v>1160</v>
      </c>
      <c r="P187">
        <v>-20.108114</v>
      </c>
      <c r="Q187">
        <v>-44.905804000000003</v>
      </c>
      <c r="R187" s="2" t="str">
        <f>HYPERLINK("https://www.google.com/maps?q=-20.1081140,-44.9058040","Abrir no Google Maps")</f>
        <v>Abrir no Google Maps</v>
      </c>
      <c r="S187">
        <v>3</v>
      </c>
      <c r="T187">
        <v>603.1428230097074</v>
      </c>
      <c r="U187">
        <v>3</v>
      </c>
      <c r="V187">
        <v>0.28559339418374508</v>
      </c>
      <c r="W187">
        <v>1</v>
      </c>
      <c r="X187">
        <v>0.28559339418374508</v>
      </c>
      <c r="Y187">
        <v>300</v>
      </c>
      <c r="Z187">
        <v>444.71482981499793</v>
      </c>
      <c r="AA187">
        <v>198</v>
      </c>
      <c r="AB187">
        <v>332</v>
      </c>
      <c r="AC187">
        <v>536</v>
      </c>
      <c r="AD187">
        <v>28.41</v>
      </c>
      <c r="AE187">
        <v>542</v>
      </c>
      <c r="AF187">
        <v>20</v>
      </c>
      <c r="AG187">
        <v>180</v>
      </c>
      <c r="AH187">
        <v>129</v>
      </c>
      <c r="AI187">
        <v>3.69</v>
      </c>
      <c r="AJ187">
        <v>33.21</v>
      </c>
      <c r="AK187">
        <v>23.8</v>
      </c>
      <c r="AL187">
        <v>-20.108146549999962</v>
      </c>
      <c r="AM187">
        <v>-44.905744943453513</v>
      </c>
      <c r="AN187">
        <v>-20.108146549999962</v>
      </c>
      <c r="AO187">
        <v>-44.905744943453513</v>
      </c>
      <c r="AP187">
        <v>-20.108114</v>
      </c>
      <c r="AQ187">
        <v>-44.905804000000003</v>
      </c>
      <c r="AR187">
        <v>7.1582799138071884</v>
      </c>
      <c r="AS187" t="s">
        <v>65</v>
      </c>
      <c r="AT187">
        <v>1</v>
      </c>
      <c r="AU187" t="s">
        <v>1161</v>
      </c>
      <c r="AV187" t="s">
        <v>1162</v>
      </c>
      <c r="AW187" t="s">
        <v>60</v>
      </c>
      <c r="AX187" t="s">
        <v>68</v>
      </c>
      <c r="AY187" t="s">
        <v>69</v>
      </c>
      <c r="AZ187" t="b">
        <v>1</v>
      </c>
    </row>
    <row r="188" spans="1:52" x14ac:dyDescent="0.3">
      <c r="A188" t="s">
        <v>52</v>
      </c>
      <c r="B188" t="s">
        <v>53</v>
      </c>
      <c r="C188" t="s">
        <v>54</v>
      </c>
      <c r="D188" t="s">
        <v>55</v>
      </c>
      <c r="E188" t="s">
        <v>56</v>
      </c>
      <c r="F188" t="s">
        <v>190</v>
      </c>
      <c r="G188" t="s">
        <v>1163</v>
      </c>
      <c r="H188" t="s">
        <v>1164</v>
      </c>
      <c r="I188" t="s">
        <v>1164</v>
      </c>
      <c r="J188" t="s">
        <v>60</v>
      </c>
      <c r="K188" t="s">
        <v>1165</v>
      </c>
      <c r="L188" t="s">
        <v>62</v>
      </c>
      <c r="M188" t="s">
        <v>1165</v>
      </c>
      <c r="N188" t="s">
        <v>1166</v>
      </c>
      <c r="O188" t="s">
        <v>1167</v>
      </c>
      <c r="P188">
        <v>-20.155543000000002</v>
      </c>
      <c r="Q188">
        <v>-44.863444000000001</v>
      </c>
      <c r="R188" s="2" t="str">
        <f>HYPERLINK("https://www.google.com/maps?q=-20.1555430,-44.8634440","Abrir no Google Maps")</f>
        <v>Abrir no Google Maps</v>
      </c>
      <c r="S188">
        <v>3</v>
      </c>
      <c r="T188">
        <v>314.02353400254742</v>
      </c>
      <c r="U188">
        <v>3</v>
      </c>
      <c r="V188">
        <v>0.28801572729265029</v>
      </c>
      <c r="W188">
        <v>1</v>
      </c>
      <c r="X188">
        <v>0.28801572729265029</v>
      </c>
      <c r="Y188">
        <v>264</v>
      </c>
      <c r="Z188">
        <v>282.65065866463459</v>
      </c>
      <c r="AA188">
        <v>198</v>
      </c>
      <c r="AB188">
        <v>332</v>
      </c>
      <c r="AC188">
        <v>536</v>
      </c>
      <c r="AD188">
        <v>28.41</v>
      </c>
      <c r="AE188">
        <v>542</v>
      </c>
      <c r="AF188">
        <v>20</v>
      </c>
      <c r="AG188">
        <v>180</v>
      </c>
      <c r="AH188">
        <v>129</v>
      </c>
      <c r="AI188">
        <v>3.69</v>
      </c>
      <c r="AJ188">
        <v>33.21</v>
      </c>
      <c r="AK188">
        <v>23.8</v>
      </c>
      <c r="AL188">
        <v>-20.155436449999939</v>
      </c>
      <c r="AM188">
        <v>-44.863557722691183</v>
      </c>
      <c r="AN188">
        <v>-20.155436449999939</v>
      </c>
      <c r="AO188">
        <v>-44.863557722691183</v>
      </c>
      <c r="AP188">
        <v>-20.155543000000002</v>
      </c>
      <c r="AQ188">
        <v>-44.863444000000001</v>
      </c>
      <c r="AR188">
        <v>16.790610674079979</v>
      </c>
      <c r="AS188" t="s">
        <v>65</v>
      </c>
      <c r="AT188">
        <v>1</v>
      </c>
      <c r="AU188" t="s">
        <v>1168</v>
      </c>
      <c r="AV188" t="s">
        <v>1169</v>
      </c>
      <c r="AW188" t="s">
        <v>60</v>
      </c>
      <c r="AX188" t="s">
        <v>68</v>
      </c>
      <c r="AY188" t="s">
        <v>69</v>
      </c>
      <c r="AZ188" t="b">
        <v>1</v>
      </c>
    </row>
    <row r="189" spans="1:52" x14ac:dyDescent="0.3">
      <c r="A189" t="s">
        <v>52</v>
      </c>
      <c r="B189" t="s">
        <v>53</v>
      </c>
      <c r="C189" t="s">
        <v>54</v>
      </c>
      <c r="D189" t="s">
        <v>55</v>
      </c>
      <c r="E189" t="s">
        <v>56</v>
      </c>
      <c r="F189" t="s">
        <v>190</v>
      </c>
      <c r="G189" t="s">
        <v>1170</v>
      </c>
      <c r="H189" t="s">
        <v>1171</v>
      </c>
      <c r="I189" t="s">
        <v>1171</v>
      </c>
      <c r="J189" t="s">
        <v>60</v>
      </c>
      <c r="K189" t="s">
        <v>1165</v>
      </c>
      <c r="L189" t="s">
        <v>62</v>
      </c>
      <c r="M189" t="s">
        <v>1165</v>
      </c>
      <c r="N189" t="s">
        <v>1172</v>
      </c>
      <c r="O189" t="s">
        <v>1160</v>
      </c>
      <c r="P189">
        <v>-20.158208999999999</v>
      </c>
      <c r="Q189">
        <v>-44.865242000000002</v>
      </c>
      <c r="R189" s="2" t="str">
        <f>HYPERLINK("https://www.google.com/maps?q=-20.1582090,-44.8652420","Abrir no Google Maps")</f>
        <v>Abrir no Google Maps</v>
      </c>
      <c r="S189">
        <v>3</v>
      </c>
      <c r="T189">
        <v>529.55269054560301</v>
      </c>
      <c r="U189">
        <v>3</v>
      </c>
      <c r="V189">
        <v>0.2767382330094218</v>
      </c>
      <c r="W189">
        <v>1</v>
      </c>
      <c r="X189">
        <v>0.2767382330094218</v>
      </c>
      <c r="Y189">
        <v>264</v>
      </c>
      <c r="Z189">
        <v>576.82525833351326</v>
      </c>
      <c r="AA189">
        <v>198</v>
      </c>
      <c r="AB189">
        <v>332</v>
      </c>
      <c r="AC189">
        <v>536</v>
      </c>
      <c r="AD189">
        <v>28.41</v>
      </c>
      <c r="AE189">
        <v>542</v>
      </c>
      <c r="AF189">
        <v>20</v>
      </c>
      <c r="AG189">
        <v>180</v>
      </c>
      <c r="AH189">
        <v>129</v>
      </c>
      <c r="AI189">
        <v>3.69</v>
      </c>
      <c r="AJ189">
        <v>33.21</v>
      </c>
      <c r="AK189">
        <v>23.8</v>
      </c>
      <c r="AL189">
        <v>-20.15813384999996</v>
      </c>
      <c r="AM189">
        <v>-44.865189279062598</v>
      </c>
      <c r="AN189">
        <v>-20.15813384999996</v>
      </c>
      <c r="AO189">
        <v>-44.865189279062598</v>
      </c>
      <c r="AP189">
        <v>-20.158208999999999</v>
      </c>
      <c r="AQ189">
        <v>-44.865242000000002</v>
      </c>
      <c r="AR189">
        <v>10.01690313145691</v>
      </c>
      <c r="AS189" t="s">
        <v>65</v>
      </c>
      <c r="AT189">
        <v>1</v>
      </c>
      <c r="AU189" t="s">
        <v>1173</v>
      </c>
      <c r="AV189" t="s">
        <v>1174</v>
      </c>
      <c r="AW189" t="s">
        <v>60</v>
      </c>
      <c r="AX189" t="s">
        <v>68</v>
      </c>
      <c r="AY189" t="s">
        <v>69</v>
      </c>
      <c r="AZ189" t="b">
        <v>1</v>
      </c>
    </row>
    <row r="190" spans="1:52" x14ac:dyDescent="0.3">
      <c r="A190" t="s">
        <v>52</v>
      </c>
      <c r="B190" t="s">
        <v>53</v>
      </c>
      <c r="C190" t="s">
        <v>54</v>
      </c>
      <c r="D190" t="s">
        <v>55</v>
      </c>
      <c r="E190" t="s">
        <v>56</v>
      </c>
      <c r="F190" t="s">
        <v>190</v>
      </c>
      <c r="G190" t="s">
        <v>1175</v>
      </c>
      <c r="H190" t="s">
        <v>1176</v>
      </c>
      <c r="I190" t="s">
        <v>1176</v>
      </c>
      <c r="J190" t="s">
        <v>60</v>
      </c>
      <c r="K190" t="s">
        <v>1177</v>
      </c>
      <c r="L190" t="s">
        <v>62</v>
      </c>
      <c r="M190" t="s">
        <v>1177</v>
      </c>
      <c r="N190" t="s">
        <v>1178</v>
      </c>
      <c r="O190" t="s">
        <v>1179</v>
      </c>
      <c r="P190">
        <v>-20.153393000000001</v>
      </c>
      <c r="Q190">
        <v>-44.865701999999999</v>
      </c>
      <c r="R190" s="2" t="str">
        <f>HYPERLINK("https://www.google.com/maps?q=-20.1533930,-44.8657020","Abrir no Google Maps")</f>
        <v>Abrir no Google Maps</v>
      </c>
      <c r="S190">
        <v>3</v>
      </c>
      <c r="T190">
        <v>0</v>
      </c>
      <c r="U190">
        <v>3</v>
      </c>
      <c r="V190">
        <v>0.28534507532002101</v>
      </c>
      <c r="W190">
        <v>1</v>
      </c>
      <c r="X190">
        <v>0.28534507532002101</v>
      </c>
      <c r="Y190">
        <v>264</v>
      </c>
      <c r="Z190">
        <v>187.61117597536</v>
      </c>
      <c r="AA190">
        <v>198</v>
      </c>
      <c r="AB190">
        <v>332</v>
      </c>
      <c r="AC190">
        <v>536</v>
      </c>
      <c r="AD190">
        <v>28.41</v>
      </c>
      <c r="AE190">
        <v>542</v>
      </c>
      <c r="AF190">
        <v>20</v>
      </c>
      <c r="AG190">
        <v>180</v>
      </c>
      <c r="AH190">
        <v>129</v>
      </c>
      <c r="AI190">
        <v>3.69</v>
      </c>
      <c r="AJ190">
        <v>33.21</v>
      </c>
      <c r="AK190">
        <v>23.8</v>
      </c>
      <c r="AL190">
        <v>-20.153365199999971</v>
      </c>
      <c r="AM190">
        <v>-44.865611713780503</v>
      </c>
      <c r="AN190">
        <v>-20.153365199999971</v>
      </c>
      <c r="AO190">
        <v>-44.865611713780503</v>
      </c>
      <c r="AP190">
        <v>-20.153393000000001</v>
      </c>
      <c r="AQ190">
        <v>-44.865701999999999</v>
      </c>
      <c r="AR190">
        <v>9.9298532940923003</v>
      </c>
      <c r="AS190" t="s">
        <v>65</v>
      </c>
      <c r="AT190">
        <v>1</v>
      </c>
      <c r="AU190" t="s">
        <v>1180</v>
      </c>
      <c r="AV190" t="s">
        <v>1181</v>
      </c>
      <c r="AW190" t="s">
        <v>60</v>
      </c>
      <c r="AX190" t="s">
        <v>68</v>
      </c>
      <c r="AY190" t="s">
        <v>69</v>
      </c>
      <c r="AZ190" t="b">
        <v>1</v>
      </c>
    </row>
    <row r="191" spans="1:52" x14ac:dyDescent="0.3">
      <c r="A191" t="s">
        <v>52</v>
      </c>
      <c r="B191" t="s">
        <v>53</v>
      </c>
      <c r="C191" t="s">
        <v>54</v>
      </c>
      <c r="D191" t="s">
        <v>55</v>
      </c>
      <c r="E191" t="s">
        <v>56</v>
      </c>
      <c r="F191" t="s">
        <v>190</v>
      </c>
      <c r="G191" t="s">
        <v>1182</v>
      </c>
      <c r="H191" t="s">
        <v>1183</v>
      </c>
      <c r="I191" t="s">
        <v>1183</v>
      </c>
      <c r="J191" t="s">
        <v>60</v>
      </c>
      <c r="K191" t="s">
        <v>207</v>
      </c>
      <c r="L191" t="s">
        <v>62</v>
      </c>
      <c r="M191" t="s">
        <v>207</v>
      </c>
      <c r="N191" t="s">
        <v>1184</v>
      </c>
      <c r="O191" t="s">
        <v>257</v>
      </c>
      <c r="P191">
        <v>-20.126885000000001</v>
      </c>
      <c r="Q191">
        <v>-44.884162000000003</v>
      </c>
      <c r="R191" s="2" t="str">
        <f>HYPERLINK("https://www.google.com/maps?q=-20.1268850,-44.8841620","Abrir no Google Maps")</f>
        <v>Abrir no Google Maps</v>
      </c>
      <c r="S191">
        <v>3</v>
      </c>
      <c r="T191">
        <v>514.13587937491741</v>
      </c>
      <c r="U191">
        <v>3</v>
      </c>
      <c r="V191">
        <v>0.33050821785572748</v>
      </c>
      <c r="W191">
        <v>0.85</v>
      </c>
      <c r="X191">
        <v>0.28093198517736828</v>
      </c>
      <c r="Y191">
        <v>259</v>
      </c>
      <c r="Z191">
        <v>611.64962394743804</v>
      </c>
      <c r="AA191">
        <v>198</v>
      </c>
      <c r="AB191">
        <v>332</v>
      </c>
      <c r="AC191">
        <v>536</v>
      </c>
      <c r="AD191">
        <v>28.41</v>
      </c>
      <c r="AE191">
        <v>542</v>
      </c>
      <c r="AF191">
        <v>20</v>
      </c>
      <c r="AG191">
        <v>180</v>
      </c>
      <c r="AH191">
        <v>129</v>
      </c>
      <c r="AI191">
        <v>3.69</v>
      </c>
      <c r="AJ191">
        <v>33.21</v>
      </c>
      <c r="AK191">
        <v>23.8</v>
      </c>
      <c r="AL191">
        <v>-20.12682359999997</v>
      </c>
      <c r="AM191">
        <v>-44.884056486492632</v>
      </c>
      <c r="AN191">
        <v>-20.12682359999997</v>
      </c>
      <c r="AO191">
        <v>-44.884056486492632</v>
      </c>
      <c r="AP191">
        <v>-20.126885000000001</v>
      </c>
      <c r="AQ191">
        <v>-44.884162000000003</v>
      </c>
      <c r="AR191">
        <v>12.97479989794236</v>
      </c>
      <c r="AS191" t="s">
        <v>65</v>
      </c>
      <c r="AT191">
        <v>1</v>
      </c>
      <c r="AU191" t="s">
        <v>1185</v>
      </c>
      <c r="AV191" t="s">
        <v>1186</v>
      </c>
      <c r="AW191" t="s">
        <v>60</v>
      </c>
      <c r="AX191" t="s">
        <v>68</v>
      </c>
      <c r="AY191" t="s">
        <v>69</v>
      </c>
      <c r="AZ191" t="b">
        <v>1</v>
      </c>
    </row>
    <row r="192" spans="1:52" x14ac:dyDescent="0.3">
      <c r="A192" t="s">
        <v>52</v>
      </c>
      <c r="B192" t="s">
        <v>53</v>
      </c>
      <c r="C192" t="s">
        <v>54</v>
      </c>
      <c r="D192" t="s">
        <v>55</v>
      </c>
      <c r="E192" t="s">
        <v>56</v>
      </c>
      <c r="F192" t="s">
        <v>190</v>
      </c>
      <c r="G192" t="s">
        <v>1187</v>
      </c>
      <c r="H192" t="s">
        <v>1188</v>
      </c>
      <c r="I192" t="s">
        <v>1188</v>
      </c>
      <c r="J192" t="s">
        <v>60</v>
      </c>
      <c r="K192" t="s">
        <v>1177</v>
      </c>
      <c r="L192" t="s">
        <v>62</v>
      </c>
      <c r="M192" t="s">
        <v>1177</v>
      </c>
      <c r="N192" t="s">
        <v>1189</v>
      </c>
      <c r="O192" t="s">
        <v>1190</v>
      </c>
      <c r="P192">
        <v>-20.151606999999998</v>
      </c>
      <c r="Q192">
        <v>-44.870784999999998</v>
      </c>
      <c r="R192" s="2" t="str">
        <f>HYPERLINK("https://www.google.com/maps?q=-20.1516070,-44.8707850","Abrir no Google Maps")</f>
        <v>Abrir no Google Maps</v>
      </c>
      <c r="S192">
        <v>3</v>
      </c>
      <c r="T192">
        <v>592.7601508996878</v>
      </c>
      <c r="U192">
        <v>3</v>
      </c>
      <c r="V192">
        <v>0.28139545743802707</v>
      </c>
      <c r="W192">
        <v>1</v>
      </c>
      <c r="X192">
        <v>0.28139545743802707</v>
      </c>
      <c r="Y192">
        <v>198</v>
      </c>
      <c r="Z192">
        <v>605.75141653963317</v>
      </c>
      <c r="AA192">
        <v>198</v>
      </c>
      <c r="AB192">
        <v>332</v>
      </c>
      <c r="AC192">
        <v>536</v>
      </c>
      <c r="AD192">
        <v>28.41</v>
      </c>
      <c r="AE192">
        <v>542</v>
      </c>
      <c r="AF192">
        <v>20</v>
      </c>
      <c r="AG192">
        <v>180</v>
      </c>
      <c r="AH192">
        <v>129</v>
      </c>
      <c r="AI192">
        <v>3.69</v>
      </c>
      <c r="AJ192">
        <v>33.21</v>
      </c>
      <c r="AK192">
        <v>23.8</v>
      </c>
      <c r="AL192">
        <v>-20.151457849999961</v>
      </c>
      <c r="AM192">
        <v>-44.870912038726253</v>
      </c>
      <c r="AN192">
        <v>-20.151457849999961</v>
      </c>
      <c r="AO192">
        <v>-44.870912038726253</v>
      </c>
      <c r="AP192">
        <v>-20.151606999999998</v>
      </c>
      <c r="AQ192">
        <v>-44.870784999999998</v>
      </c>
      <c r="AR192">
        <v>21.258671186047941</v>
      </c>
      <c r="AS192" t="s">
        <v>65</v>
      </c>
      <c r="AT192">
        <v>1</v>
      </c>
      <c r="AU192" t="s">
        <v>1191</v>
      </c>
      <c r="AV192" t="s">
        <v>1192</v>
      </c>
      <c r="AW192" t="s">
        <v>60</v>
      </c>
      <c r="AX192" t="s">
        <v>68</v>
      </c>
      <c r="AY192" t="s">
        <v>69</v>
      </c>
      <c r="AZ192" t="b">
        <v>1</v>
      </c>
    </row>
    <row r="193" spans="1:52" x14ac:dyDescent="0.3">
      <c r="A193" t="s">
        <v>52</v>
      </c>
      <c r="B193" t="s">
        <v>53</v>
      </c>
      <c r="C193" t="s">
        <v>54</v>
      </c>
      <c r="D193" t="s">
        <v>55</v>
      </c>
      <c r="E193" t="s">
        <v>56</v>
      </c>
      <c r="F193" t="s">
        <v>190</v>
      </c>
      <c r="G193" t="s">
        <v>1193</v>
      </c>
      <c r="H193" t="s">
        <v>1194</v>
      </c>
      <c r="I193" t="s">
        <v>1194</v>
      </c>
      <c r="J193" t="s">
        <v>60</v>
      </c>
      <c r="K193" t="s">
        <v>1195</v>
      </c>
      <c r="L193" t="s">
        <v>62</v>
      </c>
      <c r="M193" t="s">
        <v>1195</v>
      </c>
      <c r="N193" t="s">
        <v>1196</v>
      </c>
      <c r="O193" t="s">
        <v>1197</v>
      </c>
      <c r="P193">
        <v>-20.105342</v>
      </c>
      <c r="Q193">
        <v>-44.964716000000003</v>
      </c>
      <c r="R193" s="2" t="str">
        <f>HYPERLINK("https://www.google.com/maps?q=-20.1053420,-44.9647160","Abrir no Google Maps")</f>
        <v>Abrir no Google Maps</v>
      </c>
      <c r="S193">
        <v>3</v>
      </c>
      <c r="T193">
        <v>893.28710125086457</v>
      </c>
      <c r="U193">
        <v>3</v>
      </c>
      <c r="V193">
        <v>0.284930812898951</v>
      </c>
      <c r="W193">
        <v>1</v>
      </c>
      <c r="X193">
        <v>0.284930812898951</v>
      </c>
      <c r="Y193">
        <v>187</v>
      </c>
      <c r="Z193">
        <v>592.18957175243293</v>
      </c>
      <c r="AA193">
        <v>198</v>
      </c>
      <c r="AB193">
        <v>332</v>
      </c>
      <c r="AC193">
        <v>536</v>
      </c>
      <c r="AD193">
        <v>28.41</v>
      </c>
      <c r="AE193">
        <v>542</v>
      </c>
      <c r="AF193">
        <v>20</v>
      </c>
      <c r="AG193">
        <v>180</v>
      </c>
      <c r="AH193">
        <v>129</v>
      </c>
      <c r="AI193">
        <v>3.69</v>
      </c>
      <c r="AJ193">
        <v>33.21</v>
      </c>
      <c r="AK193">
        <v>23.8</v>
      </c>
      <c r="AL193">
        <v>-20.105505699999949</v>
      </c>
      <c r="AM193">
        <v>-44.964494228377532</v>
      </c>
      <c r="AN193">
        <v>-20.105505699999949</v>
      </c>
      <c r="AO193">
        <v>-44.964494228377532</v>
      </c>
      <c r="AP193">
        <v>-20.105342</v>
      </c>
      <c r="AQ193">
        <v>-44.964716000000003</v>
      </c>
      <c r="AR193">
        <v>29.48797728637869</v>
      </c>
      <c r="AS193" t="s">
        <v>65</v>
      </c>
      <c r="AT193">
        <v>1</v>
      </c>
      <c r="AU193" t="s">
        <v>1198</v>
      </c>
      <c r="AV193" t="s">
        <v>1199</v>
      </c>
      <c r="AW193" t="s">
        <v>60</v>
      </c>
      <c r="AX193" t="s">
        <v>68</v>
      </c>
      <c r="AY193" t="s">
        <v>69</v>
      </c>
      <c r="AZ193" t="b">
        <v>1</v>
      </c>
    </row>
    <row r="194" spans="1:52" x14ac:dyDescent="0.3">
      <c r="A194" t="s">
        <v>52</v>
      </c>
      <c r="B194" t="s">
        <v>53</v>
      </c>
      <c r="C194" t="s">
        <v>54</v>
      </c>
      <c r="D194" t="s">
        <v>55</v>
      </c>
      <c r="E194" t="s">
        <v>56</v>
      </c>
      <c r="F194" t="s">
        <v>190</v>
      </c>
      <c r="G194" t="s">
        <v>1200</v>
      </c>
      <c r="H194" t="s">
        <v>1201</v>
      </c>
      <c r="I194" t="s">
        <v>1201</v>
      </c>
      <c r="J194" t="s">
        <v>60</v>
      </c>
      <c r="K194" t="s">
        <v>1202</v>
      </c>
      <c r="L194" t="s">
        <v>62</v>
      </c>
      <c r="M194" t="s">
        <v>1202</v>
      </c>
      <c r="N194" t="s">
        <v>1203</v>
      </c>
      <c r="O194" t="s">
        <v>710</v>
      </c>
      <c r="P194">
        <v>-20.191745999999998</v>
      </c>
      <c r="Q194">
        <v>-44.904957000000003</v>
      </c>
      <c r="R194" s="2" t="str">
        <f>HYPERLINK("https://www.google.com/maps?q=-20.1917460,-44.9049570","Abrir no Google Maps")</f>
        <v>Abrir no Google Maps</v>
      </c>
      <c r="S194">
        <v>3</v>
      </c>
      <c r="T194">
        <v>882.9384716293963</v>
      </c>
      <c r="U194">
        <v>3</v>
      </c>
      <c r="V194">
        <v>0.2790401734036525</v>
      </c>
      <c r="W194">
        <v>1</v>
      </c>
      <c r="X194">
        <v>0.2790401734036525</v>
      </c>
      <c r="Y194">
        <v>135</v>
      </c>
      <c r="Z194">
        <v>802.45927673397398</v>
      </c>
      <c r="AA194">
        <v>198</v>
      </c>
      <c r="AB194">
        <v>332</v>
      </c>
      <c r="AC194">
        <v>536</v>
      </c>
      <c r="AD194">
        <v>28.41</v>
      </c>
      <c r="AE194">
        <v>542</v>
      </c>
      <c r="AF194">
        <v>20</v>
      </c>
      <c r="AG194">
        <v>180</v>
      </c>
      <c r="AH194">
        <v>129</v>
      </c>
      <c r="AI194">
        <v>3.69</v>
      </c>
      <c r="AJ194">
        <v>33.21</v>
      </c>
      <c r="AK194">
        <v>23.8</v>
      </c>
      <c r="AL194">
        <v>-20.19172654999997</v>
      </c>
      <c r="AM194">
        <v>-44.904976932073851</v>
      </c>
      <c r="AN194">
        <v>-20.19172654999997</v>
      </c>
      <c r="AO194">
        <v>-44.904976932073851</v>
      </c>
      <c r="AP194">
        <v>-20.191745999999998</v>
      </c>
      <c r="AQ194">
        <v>-44.904957000000003</v>
      </c>
      <c r="AR194">
        <v>3.004110632807953</v>
      </c>
      <c r="AS194" t="s">
        <v>65</v>
      </c>
      <c r="AT194">
        <v>1</v>
      </c>
      <c r="AU194" t="s">
        <v>1204</v>
      </c>
      <c r="AV194" t="s">
        <v>1205</v>
      </c>
      <c r="AW194" t="s">
        <v>60</v>
      </c>
      <c r="AX194" t="s">
        <v>68</v>
      </c>
      <c r="AY194" t="s">
        <v>69</v>
      </c>
      <c r="AZ194" t="b">
        <v>1</v>
      </c>
    </row>
    <row r="195" spans="1:52" x14ac:dyDescent="0.3">
      <c r="A195" t="s">
        <v>52</v>
      </c>
      <c r="B195" t="s">
        <v>53</v>
      </c>
      <c r="C195" t="s">
        <v>54</v>
      </c>
      <c r="D195" t="s">
        <v>55</v>
      </c>
      <c r="E195" t="s">
        <v>56</v>
      </c>
      <c r="F195" t="s">
        <v>190</v>
      </c>
      <c r="G195" t="s">
        <v>1206</v>
      </c>
      <c r="H195" t="s">
        <v>1207</v>
      </c>
      <c r="I195" t="s">
        <v>1207</v>
      </c>
      <c r="J195" t="s">
        <v>60</v>
      </c>
      <c r="K195" t="s">
        <v>475</v>
      </c>
      <c r="L195" t="s">
        <v>62</v>
      </c>
      <c r="M195" t="s">
        <v>475</v>
      </c>
      <c r="N195" t="s">
        <v>1208</v>
      </c>
      <c r="O195" t="s">
        <v>1209</v>
      </c>
      <c r="P195">
        <v>-20.180554999999998</v>
      </c>
      <c r="Q195">
        <v>-44.905642999999998</v>
      </c>
      <c r="R195" s="2" t="str">
        <f>HYPERLINK("https://www.google.com/maps?q=-20.1805550,-44.9056430","Abrir no Google Maps")</f>
        <v>Abrir no Google Maps</v>
      </c>
      <c r="S195">
        <v>3</v>
      </c>
      <c r="T195">
        <v>768.13826761541702</v>
      </c>
      <c r="U195">
        <v>3</v>
      </c>
      <c r="V195">
        <v>0.28604318535470591</v>
      </c>
      <c r="W195">
        <v>1</v>
      </c>
      <c r="X195">
        <v>0.28604318535470591</v>
      </c>
      <c r="Y195">
        <v>135</v>
      </c>
      <c r="Z195">
        <v>442.64437152702573</v>
      </c>
      <c r="AA195">
        <v>198</v>
      </c>
      <c r="AB195">
        <v>332</v>
      </c>
      <c r="AC195">
        <v>536</v>
      </c>
      <c r="AD195">
        <v>28.41</v>
      </c>
      <c r="AE195">
        <v>542</v>
      </c>
      <c r="AF195">
        <v>20</v>
      </c>
      <c r="AG195">
        <v>180</v>
      </c>
      <c r="AH195">
        <v>129</v>
      </c>
      <c r="AI195">
        <v>3.69</v>
      </c>
      <c r="AJ195">
        <v>33.21</v>
      </c>
      <c r="AK195">
        <v>23.8</v>
      </c>
      <c r="AL195">
        <v>-20.180439499999949</v>
      </c>
      <c r="AM195">
        <v>-44.905757266135502</v>
      </c>
      <c r="AN195">
        <v>-20.180439499999949</v>
      </c>
      <c r="AO195">
        <v>-44.905757266135502</v>
      </c>
      <c r="AP195">
        <v>-20.180554999999998</v>
      </c>
      <c r="AQ195">
        <v>-44.905642999999998</v>
      </c>
      <c r="AR195">
        <v>17.545924993698129</v>
      </c>
      <c r="AS195" t="s">
        <v>65</v>
      </c>
      <c r="AT195">
        <v>1</v>
      </c>
      <c r="AU195" t="s">
        <v>1210</v>
      </c>
      <c r="AV195" t="s">
        <v>1211</v>
      </c>
      <c r="AW195" t="s">
        <v>60</v>
      </c>
      <c r="AX195" t="s">
        <v>68</v>
      </c>
      <c r="AY195" t="s">
        <v>69</v>
      </c>
      <c r="AZ195" t="b">
        <v>1</v>
      </c>
    </row>
    <row r="196" spans="1:52" x14ac:dyDescent="0.3">
      <c r="A196" t="s">
        <v>52</v>
      </c>
      <c r="B196" t="s">
        <v>53</v>
      </c>
      <c r="C196" t="s">
        <v>54</v>
      </c>
      <c r="D196" t="s">
        <v>55</v>
      </c>
      <c r="E196" t="s">
        <v>56</v>
      </c>
      <c r="F196" t="s">
        <v>190</v>
      </c>
      <c r="G196" t="s">
        <v>1212</v>
      </c>
      <c r="H196" t="s">
        <v>1213</v>
      </c>
      <c r="I196" t="s">
        <v>1213</v>
      </c>
      <c r="J196" t="s">
        <v>60</v>
      </c>
      <c r="K196" t="s">
        <v>171</v>
      </c>
      <c r="L196" t="s">
        <v>62</v>
      </c>
      <c r="M196" t="s">
        <v>171</v>
      </c>
      <c r="N196" t="s">
        <v>1214</v>
      </c>
      <c r="O196" t="s">
        <v>1215</v>
      </c>
      <c r="P196">
        <v>-20.152812999999998</v>
      </c>
      <c r="Q196">
        <v>-44.889853000000002</v>
      </c>
      <c r="R196" s="2" t="str">
        <f>HYPERLINK("https://www.google.com/maps?q=-20.1528130,-44.8898530","Abrir no Google Maps")</f>
        <v>Abrir no Google Maps</v>
      </c>
      <c r="S196">
        <v>3</v>
      </c>
      <c r="T196">
        <v>404.11054739579231</v>
      </c>
      <c r="U196">
        <v>3</v>
      </c>
      <c r="V196">
        <v>0.29515826409955559</v>
      </c>
      <c r="W196">
        <v>1</v>
      </c>
      <c r="X196">
        <v>0.29515826409955559</v>
      </c>
      <c r="Y196">
        <v>129</v>
      </c>
      <c r="Z196">
        <v>222.94297160630171</v>
      </c>
      <c r="AA196">
        <v>198</v>
      </c>
      <c r="AB196">
        <v>332</v>
      </c>
      <c r="AC196">
        <v>536</v>
      </c>
      <c r="AD196">
        <v>28.41</v>
      </c>
      <c r="AE196">
        <v>542</v>
      </c>
      <c r="AF196">
        <v>20</v>
      </c>
      <c r="AG196">
        <v>180</v>
      </c>
      <c r="AH196">
        <v>129</v>
      </c>
      <c r="AI196">
        <v>3.69</v>
      </c>
      <c r="AJ196">
        <v>33.21</v>
      </c>
      <c r="AK196">
        <v>23.8</v>
      </c>
      <c r="AL196">
        <v>-20.152851999999971</v>
      </c>
      <c r="AM196">
        <v>-44.889864659228088</v>
      </c>
      <c r="AN196">
        <v>-20.152851999999971</v>
      </c>
      <c r="AO196">
        <v>-44.889864659228088</v>
      </c>
      <c r="AP196">
        <v>-20.152812999999998</v>
      </c>
      <c r="AQ196">
        <v>-44.889853000000002</v>
      </c>
      <c r="AR196">
        <v>4.5092186597325066</v>
      </c>
      <c r="AS196" t="s">
        <v>65</v>
      </c>
      <c r="AT196">
        <v>1</v>
      </c>
      <c r="AU196" t="s">
        <v>1216</v>
      </c>
      <c r="AV196" t="s">
        <v>1217</v>
      </c>
      <c r="AW196" t="s">
        <v>60</v>
      </c>
      <c r="AX196" t="s">
        <v>68</v>
      </c>
      <c r="AY196" t="s">
        <v>69</v>
      </c>
      <c r="AZ196" t="b">
        <v>1</v>
      </c>
    </row>
    <row r="197" spans="1:52" x14ac:dyDescent="0.3">
      <c r="A197" t="s">
        <v>52</v>
      </c>
      <c r="B197" t="s">
        <v>53</v>
      </c>
      <c r="C197" t="s">
        <v>54</v>
      </c>
      <c r="D197" t="s">
        <v>55</v>
      </c>
      <c r="E197" t="s">
        <v>56</v>
      </c>
      <c r="F197" t="s">
        <v>190</v>
      </c>
      <c r="G197" t="s">
        <v>1218</v>
      </c>
      <c r="H197" t="s">
        <v>1219</v>
      </c>
      <c r="I197" t="s">
        <v>1219</v>
      </c>
      <c r="J197" t="s">
        <v>60</v>
      </c>
      <c r="K197" t="s">
        <v>828</v>
      </c>
      <c r="L197" t="s">
        <v>62</v>
      </c>
      <c r="M197" t="s">
        <v>828</v>
      </c>
      <c r="N197" t="s">
        <v>1220</v>
      </c>
      <c r="O197" t="s">
        <v>1221</v>
      </c>
      <c r="P197">
        <v>-20.132722000000001</v>
      </c>
      <c r="Q197">
        <v>-44.843550999999998</v>
      </c>
      <c r="R197" s="2" t="str">
        <f>HYPERLINK("https://www.google.com/maps?q=-20.1327220,-44.8435510","Abrir no Google Maps")</f>
        <v>Abrir no Google Maps</v>
      </c>
      <c r="S197">
        <v>3</v>
      </c>
      <c r="T197">
        <v>846.88659580558431</v>
      </c>
      <c r="U197">
        <v>3</v>
      </c>
      <c r="V197">
        <v>0.2873071407575376</v>
      </c>
      <c r="W197">
        <v>1</v>
      </c>
      <c r="X197">
        <v>0.2873071407575376</v>
      </c>
      <c r="Y197">
        <v>118</v>
      </c>
      <c r="Z197">
        <v>797.91643890712305</v>
      </c>
      <c r="AA197">
        <v>198</v>
      </c>
      <c r="AB197">
        <v>332</v>
      </c>
      <c r="AC197">
        <v>536</v>
      </c>
      <c r="AD197">
        <v>28.41</v>
      </c>
      <c r="AE197">
        <v>542</v>
      </c>
      <c r="AF197">
        <v>20</v>
      </c>
      <c r="AG197">
        <v>180</v>
      </c>
      <c r="AH197">
        <v>129</v>
      </c>
      <c r="AI197">
        <v>3.69</v>
      </c>
      <c r="AJ197">
        <v>33.21</v>
      </c>
      <c r="AK197">
        <v>23.8</v>
      </c>
      <c r="AL197">
        <v>-20.132714949999979</v>
      </c>
      <c r="AM197">
        <v>-44.843475702545703</v>
      </c>
      <c r="AN197">
        <v>-20.132714949999979</v>
      </c>
      <c r="AO197">
        <v>-44.843475702545703</v>
      </c>
      <c r="AP197">
        <v>-20.132722000000001</v>
      </c>
      <c r="AQ197">
        <v>-44.843550999999998</v>
      </c>
      <c r="AR197">
        <v>7.9089820822755481</v>
      </c>
      <c r="AS197" t="s">
        <v>65</v>
      </c>
      <c r="AT197">
        <v>1</v>
      </c>
      <c r="AU197" t="s">
        <v>1222</v>
      </c>
      <c r="AV197" t="s">
        <v>1223</v>
      </c>
      <c r="AW197" t="s">
        <v>60</v>
      </c>
      <c r="AX197" t="s">
        <v>68</v>
      </c>
      <c r="AY197" t="s">
        <v>69</v>
      </c>
      <c r="AZ197" t="b">
        <v>1</v>
      </c>
    </row>
    <row r="198" spans="1:52" x14ac:dyDescent="0.3">
      <c r="A198" t="s">
        <v>52</v>
      </c>
      <c r="B198" t="s">
        <v>53</v>
      </c>
      <c r="C198" t="s">
        <v>54</v>
      </c>
      <c r="D198" t="s">
        <v>55</v>
      </c>
      <c r="E198" t="s">
        <v>56</v>
      </c>
      <c r="F198" t="s">
        <v>190</v>
      </c>
      <c r="G198" t="s">
        <v>1224</v>
      </c>
      <c r="H198" t="s">
        <v>1225</v>
      </c>
      <c r="I198" t="s">
        <v>1225</v>
      </c>
      <c r="J198" t="s">
        <v>60</v>
      </c>
      <c r="K198" t="s">
        <v>828</v>
      </c>
      <c r="L198" t="s">
        <v>62</v>
      </c>
      <c r="M198" t="s">
        <v>828</v>
      </c>
      <c r="N198" t="s">
        <v>1226</v>
      </c>
      <c r="O198" t="s">
        <v>1227</v>
      </c>
      <c r="P198">
        <v>-20.135355000000001</v>
      </c>
      <c r="Q198">
        <v>-44.835469000000003</v>
      </c>
      <c r="R198" s="2" t="str">
        <f>HYPERLINK("https://www.google.com/maps?q=-20.1353550,-44.8354690","Abrir no Google Maps")</f>
        <v>Abrir no Google Maps</v>
      </c>
      <c r="S198">
        <v>3</v>
      </c>
      <c r="T198">
        <v>751.16107206095137</v>
      </c>
      <c r="U198">
        <v>3</v>
      </c>
      <c r="V198">
        <v>0.33576109550801958</v>
      </c>
      <c r="W198">
        <v>0.85</v>
      </c>
      <c r="X198">
        <v>0.28539693118181658</v>
      </c>
      <c r="Y198">
        <v>118</v>
      </c>
      <c r="Z198">
        <v>677.63401865784431</v>
      </c>
      <c r="AA198">
        <v>198</v>
      </c>
      <c r="AB198">
        <v>332</v>
      </c>
      <c r="AC198">
        <v>536</v>
      </c>
      <c r="AD198">
        <v>28.41</v>
      </c>
      <c r="AE198">
        <v>542</v>
      </c>
      <c r="AF198">
        <v>20</v>
      </c>
      <c r="AG198">
        <v>180</v>
      </c>
      <c r="AH198">
        <v>129</v>
      </c>
      <c r="AI198">
        <v>3.69</v>
      </c>
      <c r="AJ198">
        <v>33.21</v>
      </c>
      <c r="AK198">
        <v>23.8</v>
      </c>
      <c r="AL198">
        <v>-20.134961199999939</v>
      </c>
      <c r="AM198">
        <v>-44.835020399356488</v>
      </c>
      <c r="AN198">
        <v>-20.134961199999939</v>
      </c>
      <c r="AO198">
        <v>-44.835020399356488</v>
      </c>
      <c r="AP198">
        <v>-20.135355000000001</v>
      </c>
      <c r="AQ198">
        <v>-44.835469000000003</v>
      </c>
      <c r="AR198">
        <v>64.187783608237439</v>
      </c>
      <c r="AS198" t="s">
        <v>65</v>
      </c>
      <c r="AT198">
        <v>1</v>
      </c>
      <c r="AU198" t="s">
        <v>1228</v>
      </c>
      <c r="AV198" t="s">
        <v>1229</v>
      </c>
      <c r="AW198" t="s">
        <v>60</v>
      </c>
      <c r="AX198" t="s">
        <v>68</v>
      </c>
      <c r="AY198" t="s">
        <v>69</v>
      </c>
      <c r="AZ198" t="b">
        <v>1</v>
      </c>
    </row>
    <row r="199" spans="1:52" x14ac:dyDescent="0.3">
      <c r="A199" t="s">
        <v>52</v>
      </c>
      <c r="B199" t="s">
        <v>53</v>
      </c>
      <c r="C199" t="s">
        <v>54</v>
      </c>
      <c r="D199" t="s">
        <v>55</v>
      </c>
      <c r="E199" t="s">
        <v>56</v>
      </c>
      <c r="F199" t="s">
        <v>190</v>
      </c>
      <c r="G199" t="s">
        <v>1224</v>
      </c>
      <c r="H199" t="s">
        <v>1230</v>
      </c>
      <c r="I199" t="s">
        <v>1230</v>
      </c>
      <c r="J199" t="s">
        <v>60</v>
      </c>
      <c r="K199" t="s">
        <v>828</v>
      </c>
      <c r="L199" t="s">
        <v>62</v>
      </c>
      <c r="M199" t="s">
        <v>828</v>
      </c>
      <c r="N199" t="s">
        <v>1231</v>
      </c>
      <c r="O199" t="s">
        <v>1232</v>
      </c>
      <c r="P199">
        <v>-20.136106000000002</v>
      </c>
      <c r="Q199">
        <v>-44.838470999999998</v>
      </c>
      <c r="R199" s="2" t="str">
        <f>HYPERLINK("https://www.google.com/maps?q=-20.1361060,-44.8384710","Abrir no Google Maps")</f>
        <v>Abrir no Google Maps</v>
      </c>
      <c r="S199">
        <v>3</v>
      </c>
      <c r="T199">
        <v>910.01690137237858</v>
      </c>
      <c r="U199">
        <v>3</v>
      </c>
      <c r="V199">
        <v>0.28320662215381709</v>
      </c>
      <c r="W199">
        <v>1</v>
      </c>
      <c r="X199">
        <v>0.28320662215381709</v>
      </c>
      <c r="Y199">
        <v>118</v>
      </c>
      <c r="Z199">
        <v>892.76979321439796</v>
      </c>
      <c r="AA199">
        <v>198</v>
      </c>
      <c r="AB199">
        <v>332</v>
      </c>
      <c r="AC199">
        <v>536</v>
      </c>
      <c r="AD199">
        <v>28.41</v>
      </c>
      <c r="AE199">
        <v>542</v>
      </c>
      <c r="AF199">
        <v>20</v>
      </c>
      <c r="AG199">
        <v>180</v>
      </c>
      <c r="AH199">
        <v>129</v>
      </c>
      <c r="AI199">
        <v>3.69</v>
      </c>
      <c r="AJ199">
        <v>33.21</v>
      </c>
      <c r="AK199">
        <v>23.8</v>
      </c>
      <c r="AL199">
        <v>-20.136356149999951</v>
      </c>
      <c r="AM199">
        <v>-44.838929886373997</v>
      </c>
      <c r="AN199">
        <v>-20.136356149999951</v>
      </c>
      <c r="AO199">
        <v>-44.838929886373997</v>
      </c>
      <c r="AP199">
        <v>-20.136106000000002</v>
      </c>
      <c r="AQ199">
        <v>-44.838470999999998</v>
      </c>
      <c r="AR199">
        <v>55.458802856549369</v>
      </c>
      <c r="AS199" t="s">
        <v>65</v>
      </c>
      <c r="AT199">
        <v>1</v>
      </c>
      <c r="AU199" t="s">
        <v>1233</v>
      </c>
      <c r="AV199" t="s">
        <v>1234</v>
      </c>
      <c r="AW199" t="s">
        <v>60</v>
      </c>
      <c r="AX199" t="s">
        <v>68</v>
      </c>
      <c r="AY199" t="s">
        <v>69</v>
      </c>
      <c r="AZ199" t="b">
        <v>1</v>
      </c>
    </row>
    <row r="200" spans="1:52" x14ac:dyDescent="0.3">
      <c r="A200" t="s">
        <v>52</v>
      </c>
      <c r="B200" t="s">
        <v>53</v>
      </c>
      <c r="C200" t="s">
        <v>54</v>
      </c>
      <c r="D200" t="s">
        <v>55</v>
      </c>
      <c r="E200" t="s">
        <v>56</v>
      </c>
      <c r="F200" t="s">
        <v>190</v>
      </c>
      <c r="G200" t="s">
        <v>1235</v>
      </c>
      <c r="H200" t="s">
        <v>1236</v>
      </c>
      <c r="I200" t="s">
        <v>1236</v>
      </c>
      <c r="J200" t="s">
        <v>60</v>
      </c>
      <c r="K200" t="s">
        <v>1237</v>
      </c>
      <c r="L200" t="s">
        <v>62</v>
      </c>
      <c r="M200" t="s">
        <v>1237</v>
      </c>
      <c r="N200" t="s">
        <v>1238</v>
      </c>
      <c r="O200" t="s">
        <v>315</v>
      </c>
      <c r="P200">
        <v>-20.199687000000001</v>
      </c>
      <c r="Q200">
        <v>-44.941882999999997</v>
      </c>
      <c r="R200" s="2" t="str">
        <f>HYPERLINK("https://www.google.com/maps?q=-20.1996870,-44.9418830","Abrir no Google Maps")</f>
        <v>Abrir no Google Maps</v>
      </c>
      <c r="S200">
        <v>3</v>
      </c>
      <c r="T200">
        <v>928.80393950893483</v>
      </c>
      <c r="U200">
        <v>3</v>
      </c>
      <c r="V200">
        <v>0.27633941366687609</v>
      </c>
      <c r="W200">
        <v>1</v>
      </c>
      <c r="X200">
        <v>0.27633941366687609</v>
      </c>
      <c r="Y200">
        <v>113</v>
      </c>
      <c r="Z200">
        <v>798.11967422937732</v>
      </c>
      <c r="AA200">
        <v>198</v>
      </c>
      <c r="AB200">
        <v>332</v>
      </c>
      <c r="AC200">
        <v>536</v>
      </c>
      <c r="AD200">
        <v>28.41</v>
      </c>
      <c r="AE200">
        <v>542</v>
      </c>
      <c r="AF200">
        <v>20</v>
      </c>
      <c r="AG200">
        <v>180</v>
      </c>
      <c r="AH200">
        <v>129</v>
      </c>
      <c r="AI200">
        <v>3.69</v>
      </c>
      <c r="AJ200">
        <v>33.21</v>
      </c>
      <c r="AK200">
        <v>23.8</v>
      </c>
      <c r="AL200">
        <v>-20.199663899999958</v>
      </c>
      <c r="AM200">
        <v>-44.941858448694838</v>
      </c>
      <c r="AN200">
        <v>-20.199663899999958</v>
      </c>
      <c r="AO200">
        <v>-44.941858448694838</v>
      </c>
      <c r="AP200">
        <v>-20.199687000000001</v>
      </c>
      <c r="AQ200">
        <v>-44.941882999999997</v>
      </c>
      <c r="AR200">
        <v>3.632019521873886</v>
      </c>
      <c r="AS200" t="s">
        <v>65</v>
      </c>
      <c r="AT200">
        <v>1</v>
      </c>
      <c r="AU200" t="s">
        <v>1239</v>
      </c>
      <c r="AV200" t="s">
        <v>1240</v>
      </c>
      <c r="AW200" t="s">
        <v>60</v>
      </c>
      <c r="AX200" t="s">
        <v>68</v>
      </c>
      <c r="AY200" t="s">
        <v>69</v>
      </c>
      <c r="AZ200" t="b">
        <v>1</v>
      </c>
    </row>
    <row r="201" spans="1:52" x14ac:dyDescent="0.3">
      <c r="A201" t="s">
        <v>52</v>
      </c>
      <c r="B201" t="s">
        <v>53</v>
      </c>
      <c r="C201" t="s">
        <v>54</v>
      </c>
      <c r="D201" t="s">
        <v>55</v>
      </c>
      <c r="E201" t="s">
        <v>56</v>
      </c>
      <c r="F201" t="s">
        <v>190</v>
      </c>
      <c r="G201" t="s">
        <v>1241</v>
      </c>
      <c r="H201" t="s">
        <v>1242</v>
      </c>
      <c r="I201" t="s">
        <v>1242</v>
      </c>
      <c r="J201" t="s">
        <v>60</v>
      </c>
      <c r="K201" t="s">
        <v>1243</v>
      </c>
      <c r="L201" t="s">
        <v>62</v>
      </c>
      <c r="M201" t="s">
        <v>1243</v>
      </c>
      <c r="N201" t="s">
        <v>1244</v>
      </c>
      <c r="O201" t="s">
        <v>315</v>
      </c>
      <c r="P201">
        <v>-20.188538000000001</v>
      </c>
      <c r="Q201">
        <v>-44.930104</v>
      </c>
      <c r="R201" s="2" t="str">
        <f>HYPERLINK("https://www.google.com/maps?q=-20.1885380,-44.9301040","Abrir no Google Maps")</f>
        <v>Abrir no Google Maps</v>
      </c>
      <c r="S201">
        <v>3</v>
      </c>
      <c r="T201">
        <v>928.27105405717066</v>
      </c>
      <c r="U201">
        <v>3</v>
      </c>
      <c r="V201">
        <v>0.27933246455404659</v>
      </c>
      <c r="W201">
        <v>1</v>
      </c>
      <c r="X201">
        <v>0.27933246455404659</v>
      </c>
      <c r="Y201">
        <v>113</v>
      </c>
      <c r="Z201">
        <v>1111.4269393179579</v>
      </c>
      <c r="AA201">
        <v>198</v>
      </c>
      <c r="AB201">
        <v>332</v>
      </c>
      <c r="AC201">
        <v>536</v>
      </c>
      <c r="AD201">
        <v>28.41</v>
      </c>
      <c r="AE201">
        <v>542</v>
      </c>
      <c r="AF201">
        <v>20</v>
      </c>
      <c r="AG201">
        <v>180</v>
      </c>
      <c r="AH201">
        <v>129</v>
      </c>
      <c r="AI201">
        <v>3.69</v>
      </c>
      <c r="AJ201">
        <v>33.21</v>
      </c>
      <c r="AK201">
        <v>23.8</v>
      </c>
      <c r="AL201">
        <v>-20.18852899999996</v>
      </c>
      <c r="AM201">
        <v>-44.930083089036543</v>
      </c>
      <c r="AN201">
        <v>-20.18852899999996</v>
      </c>
      <c r="AO201">
        <v>-44.930083089036543</v>
      </c>
      <c r="AP201">
        <v>-20.188538000000001</v>
      </c>
      <c r="AQ201">
        <v>-44.930104</v>
      </c>
      <c r="AR201">
        <v>2.4035564137158438</v>
      </c>
      <c r="AS201" t="s">
        <v>65</v>
      </c>
      <c r="AT201">
        <v>1</v>
      </c>
      <c r="AU201" t="s">
        <v>1245</v>
      </c>
      <c r="AV201" t="s">
        <v>1246</v>
      </c>
      <c r="AW201" t="s">
        <v>60</v>
      </c>
      <c r="AX201" t="s">
        <v>68</v>
      </c>
      <c r="AY201" t="s">
        <v>69</v>
      </c>
      <c r="AZ201" t="b">
        <v>1</v>
      </c>
    </row>
    <row r="202" spans="1:52" x14ac:dyDescent="0.3">
      <c r="A202" t="s">
        <v>52</v>
      </c>
      <c r="B202" t="s">
        <v>53</v>
      </c>
      <c r="C202" t="s">
        <v>54</v>
      </c>
      <c r="D202" t="s">
        <v>55</v>
      </c>
      <c r="E202" t="s">
        <v>56</v>
      </c>
      <c r="F202" t="s">
        <v>1247</v>
      </c>
      <c r="G202" t="s">
        <v>58</v>
      </c>
      <c r="H202" t="s">
        <v>59</v>
      </c>
      <c r="I202" t="s">
        <v>59</v>
      </c>
      <c r="J202" t="s">
        <v>60</v>
      </c>
      <c r="K202" t="s">
        <v>61</v>
      </c>
      <c r="L202" t="s">
        <v>62</v>
      </c>
      <c r="M202" t="s">
        <v>61</v>
      </c>
      <c r="N202" t="s">
        <v>63</v>
      </c>
      <c r="O202" t="s">
        <v>64</v>
      </c>
      <c r="P202">
        <v>-20.147940999999999</v>
      </c>
      <c r="Q202">
        <v>-44.906514000000001</v>
      </c>
      <c r="R202" s="2" t="str">
        <f>HYPERLINK("https://www.google.com/maps?q=-20.1479410,-44.9065140","Abrir no Google Maps")</f>
        <v>Abrir no Google Maps</v>
      </c>
      <c r="S202">
        <v>4</v>
      </c>
      <c r="T202">
        <v>308.67004994113421</v>
      </c>
      <c r="U202">
        <v>4</v>
      </c>
      <c r="V202">
        <v>0.3178149261484598</v>
      </c>
      <c r="W202">
        <v>1</v>
      </c>
      <c r="X202">
        <v>0.3178149261484598</v>
      </c>
      <c r="Y202">
        <v>747</v>
      </c>
      <c r="Z202">
        <v>274.71440454502522</v>
      </c>
      <c r="AA202">
        <v>198</v>
      </c>
      <c r="AB202">
        <v>332</v>
      </c>
      <c r="AC202">
        <v>536</v>
      </c>
      <c r="AD202">
        <v>28.41</v>
      </c>
      <c r="AE202">
        <v>542</v>
      </c>
      <c r="AF202">
        <v>20</v>
      </c>
      <c r="AG202">
        <v>180</v>
      </c>
      <c r="AH202">
        <v>129</v>
      </c>
      <c r="AI202">
        <v>3.69</v>
      </c>
      <c r="AJ202">
        <v>33.21</v>
      </c>
      <c r="AK202">
        <v>23.8</v>
      </c>
      <c r="AL202">
        <v>-20.147947799999969</v>
      </c>
      <c r="AM202">
        <v>-44.906591596129203</v>
      </c>
      <c r="AN202">
        <v>-20.147947799999969</v>
      </c>
      <c r="AO202">
        <v>-44.906591596129203</v>
      </c>
      <c r="AP202">
        <v>-20.147940999999999</v>
      </c>
      <c r="AQ202">
        <v>-44.906514000000001</v>
      </c>
      <c r="AR202">
        <v>8.1446636170570326</v>
      </c>
      <c r="AS202" t="s">
        <v>65</v>
      </c>
      <c r="AT202">
        <v>1</v>
      </c>
      <c r="AU202" t="s">
        <v>66</v>
      </c>
      <c r="AV202" t="s">
        <v>67</v>
      </c>
      <c r="AW202" t="s">
        <v>60</v>
      </c>
      <c r="AX202" t="s">
        <v>68</v>
      </c>
      <c r="AY202" t="s">
        <v>69</v>
      </c>
      <c r="AZ202" t="b">
        <v>1</v>
      </c>
    </row>
    <row r="203" spans="1:52" x14ac:dyDescent="0.3">
      <c r="A203" t="s">
        <v>52</v>
      </c>
      <c r="B203" t="s">
        <v>53</v>
      </c>
      <c r="C203" t="s">
        <v>54</v>
      </c>
      <c r="D203" t="s">
        <v>55</v>
      </c>
      <c r="E203" t="s">
        <v>56</v>
      </c>
      <c r="F203" t="s">
        <v>1247</v>
      </c>
      <c r="G203" t="s">
        <v>70</v>
      </c>
      <c r="H203" t="s">
        <v>71</v>
      </c>
      <c r="I203" t="s">
        <v>71</v>
      </c>
      <c r="J203" t="s">
        <v>60</v>
      </c>
      <c r="K203" t="s">
        <v>72</v>
      </c>
      <c r="L203" t="s">
        <v>62</v>
      </c>
      <c r="M203" t="s">
        <v>72</v>
      </c>
      <c r="N203" t="s">
        <v>73</v>
      </c>
      <c r="O203" t="s">
        <v>74</v>
      </c>
      <c r="P203">
        <v>-20.149349000000001</v>
      </c>
      <c r="Q203">
        <v>-44.910784</v>
      </c>
      <c r="R203" s="2" t="str">
        <f>HYPERLINK("https://www.google.com/maps?q=-20.1493490,-44.9107840","Abrir no Google Maps")</f>
        <v>Abrir no Google Maps</v>
      </c>
      <c r="S203">
        <v>4</v>
      </c>
      <c r="T203">
        <v>472.43876549769578</v>
      </c>
      <c r="U203">
        <v>4</v>
      </c>
      <c r="V203">
        <v>0.32965655109063269</v>
      </c>
      <c r="W203">
        <v>1</v>
      </c>
      <c r="X203">
        <v>0.32965655109063269</v>
      </c>
      <c r="Y203">
        <v>747</v>
      </c>
      <c r="Z203">
        <v>441.03921887407779</v>
      </c>
      <c r="AA203">
        <v>198</v>
      </c>
      <c r="AB203">
        <v>332</v>
      </c>
      <c r="AC203">
        <v>536</v>
      </c>
      <c r="AD203">
        <v>28.41</v>
      </c>
      <c r="AE203">
        <v>542</v>
      </c>
      <c r="AF203">
        <v>20</v>
      </c>
      <c r="AG203">
        <v>180</v>
      </c>
      <c r="AH203">
        <v>129</v>
      </c>
      <c r="AI203">
        <v>3.69</v>
      </c>
      <c r="AJ203">
        <v>33.21</v>
      </c>
      <c r="AK203">
        <v>23.8</v>
      </c>
      <c r="AL203">
        <v>-20.149403999999951</v>
      </c>
      <c r="AM203">
        <v>-44.91080895147438</v>
      </c>
      <c r="AN203">
        <v>-20.149403999999951</v>
      </c>
      <c r="AO203">
        <v>-44.91080895147438</v>
      </c>
      <c r="AP203">
        <v>-20.149349000000001</v>
      </c>
      <c r="AQ203">
        <v>-44.910784</v>
      </c>
      <c r="AR203">
        <v>6.6547592699416382</v>
      </c>
      <c r="AS203" t="s">
        <v>65</v>
      </c>
      <c r="AT203">
        <v>1</v>
      </c>
      <c r="AU203" t="s">
        <v>75</v>
      </c>
      <c r="AV203" t="s">
        <v>76</v>
      </c>
      <c r="AW203" t="s">
        <v>60</v>
      </c>
      <c r="AX203" t="s">
        <v>68</v>
      </c>
      <c r="AY203" t="s">
        <v>69</v>
      </c>
      <c r="AZ203" t="b">
        <v>1</v>
      </c>
    </row>
    <row r="204" spans="1:52" x14ac:dyDescent="0.3">
      <c r="A204" t="s">
        <v>52</v>
      </c>
      <c r="B204" t="s">
        <v>53</v>
      </c>
      <c r="C204" t="s">
        <v>54</v>
      </c>
      <c r="D204" t="s">
        <v>55</v>
      </c>
      <c r="E204" t="s">
        <v>56</v>
      </c>
      <c r="F204" t="s">
        <v>1247</v>
      </c>
      <c r="G204" t="s">
        <v>77</v>
      </c>
      <c r="H204" t="s">
        <v>78</v>
      </c>
      <c r="I204" t="s">
        <v>78</v>
      </c>
      <c r="J204" t="s">
        <v>60</v>
      </c>
      <c r="K204" t="s">
        <v>72</v>
      </c>
      <c r="L204" t="s">
        <v>62</v>
      </c>
      <c r="M204" t="s">
        <v>72</v>
      </c>
      <c r="N204" t="s">
        <v>79</v>
      </c>
      <c r="O204" t="s">
        <v>80</v>
      </c>
      <c r="P204">
        <v>-20.147821</v>
      </c>
      <c r="Q204">
        <v>-44.908887</v>
      </c>
      <c r="R204" s="2" t="str">
        <f>HYPERLINK("https://www.google.com/maps?q=-20.1478210,-44.9088870","Abrir no Google Maps")</f>
        <v>Abrir no Google Maps</v>
      </c>
      <c r="S204">
        <v>4</v>
      </c>
      <c r="T204">
        <v>232.2893841532152</v>
      </c>
      <c r="U204">
        <v>4</v>
      </c>
      <c r="V204">
        <v>0.34545760407908688</v>
      </c>
      <c r="W204">
        <v>1</v>
      </c>
      <c r="X204">
        <v>0.34545760407908688</v>
      </c>
      <c r="Y204">
        <v>747</v>
      </c>
      <c r="Z204">
        <v>195.3668648953757</v>
      </c>
      <c r="AA204">
        <v>198</v>
      </c>
      <c r="AB204">
        <v>332</v>
      </c>
      <c r="AC204">
        <v>536</v>
      </c>
      <c r="AD204">
        <v>28.41</v>
      </c>
      <c r="AE204">
        <v>542</v>
      </c>
      <c r="AF204">
        <v>20</v>
      </c>
      <c r="AG204">
        <v>180</v>
      </c>
      <c r="AH204">
        <v>129</v>
      </c>
      <c r="AI204">
        <v>3.69</v>
      </c>
      <c r="AJ204">
        <v>33.21</v>
      </c>
      <c r="AK204">
        <v>23.8</v>
      </c>
      <c r="AL204">
        <v>-20.147802849999952</v>
      </c>
      <c r="AM204">
        <v>-44.908989919229477</v>
      </c>
      <c r="AN204">
        <v>-20.147802849999952</v>
      </c>
      <c r="AO204">
        <v>-44.908989919229491</v>
      </c>
      <c r="AP204">
        <v>-20.147821</v>
      </c>
      <c r="AQ204">
        <v>-44.908887</v>
      </c>
      <c r="AR204">
        <v>10.944007761262529</v>
      </c>
      <c r="AS204" t="s">
        <v>65</v>
      </c>
      <c r="AT204">
        <v>1</v>
      </c>
      <c r="AU204" t="s">
        <v>81</v>
      </c>
      <c r="AV204" t="s">
        <v>82</v>
      </c>
      <c r="AW204" t="s">
        <v>60</v>
      </c>
      <c r="AX204" t="s">
        <v>68</v>
      </c>
      <c r="AY204" t="s">
        <v>69</v>
      </c>
      <c r="AZ204" t="b">
        <v>1</v>
      </c>
    </row>
    <row r="205" spans="1:52" x14ac:dyDescent="0.3">
      <c r="A205" t="s">
        <v>52</v>
      </c>
      <c r="B205" t="s">
        <v>53</v>
      </c>
      <c r="C205" t="s">
        <v>54</v>
      </c>
      <c r="D205" t="s">
        <v>55</v>
      </c>
      <c r="E205" t="s">
        <v>56</v>
      </c>
      <c r="F205" t="s">
        <v>1247</v>
      </c>
      <c r="G205" t="s">
        <v>83</v>
      </c>
      <c r="H205" t="s">
        <v>84</v>
      </c>
      <c r="I205" t="s">
        <v>84</v>
      </c>
      <c r="J205" t="s">
        <v>60</v>
      </c>
      <c r="K205" t="s">
        <v>61</v>
      </c>
      <c r="L205" t="s">
        <v>62</v>
      </c>
      <c r="M205" t="s">
        <v>61</v>
      </c>
      <c r="N205" t="s">
        <v>85</v>
      </c>
      <c r="O205" t="s">
        <v>86</v>
      </c>
      <c r="P205">
        <v>-20.149799000000002</v>
      </c>
      <c r="Q205">
        <v>-44.906517000000001</v>
      </c>
      <c r="R205" s="2" t="str">
        <f>HYPERLINK("https://www.google.com/maps?q=-20.1497990,-44.9065170","Abrir no Google Maps")</f>
        <v>Abrir no Google Maps</v>
      </c>
      <c r="S205">
        <v>4</v>
      </c>
      <c r="T205">
        <v>487.90051105537998</v>
      </c>
      <c r="U205">
        <v>4</v>
      </c>
      <c r="V205">
        <v>0.30162861606249802</v>
      </c>
      <c r="W205">
        <v>1</v>
      </c>
      <c r="X205">
        <v>0.30162861606249802</v>
      </c>
      <c r="Y205">
        <v>747</v>
      </c>
      <c r="Z205">
        <v>365.93785960107078</v>
      </c>
      <c r="AA205">
        <v>198</v>
      </c>
      <c r="AB205">
        <v>332</v>
      </c>
      <c r="AC205">
        <v>536</v>
      </c>
      <c r="AD205">
        <v>28.41</v>
      </c>
      <c r="AE205">
        <v>542</v>
      </c>
      <c r="AF205">
        <v>20</v>
      </c>
      <c r="AG205">
        <v>180</v>
      </c>
      <c r="AH205">
        <v>129</v>
      </c>
      <c r="AI205">
        <v>3.69</v>
      </c>
      <c r="AJ205">
        <v>33.21</v>
      </c>
      <c r="AK205">
        <v>23.8</v>
      </c>
      <c r="AL205">
        <v>-20.149879599999959</v>
      </c>
      <c r="AM205">
        <v>-44.906746466068469</v>
      </c>
      <c r="AN205">
        <v>-20.149879599999959</v>
      </c>
      <c r="AO205">
        <v>-44.906746466068469</v>
      </c>
      <c r="AP205">
        <v>-20.149799000000002</v>
      </c>
      <c r="AQ205">
        <v>-44.906517000000001</v>
      </c>
      <c r="AR205">
        <v>25.604276856970429</v>
      </c>
      <c r="AS205" t="s">
        <v>65</v>
      </c>
      <c r="AT205">
        <v>1</v>
      </c>
      <c r="AU205" t="s">
        <v>87</v>
      </c>
      <c r="AV205" t="s">
        <v>88</v>
      </c>
      <c r="AW205" t="s">
        <v>60</v>
      </c>
      <c r="AX205" t="s">
        <v>68</v>
      </c>
      <c r="AY205" t="s">
        <v>69</v>
      </c>
      <c r="AZ205" t="b">
        <v>1</v>
      </c>
    </row>
    <row r="206" spans="1:52" x14ac:dyDescent="0.3">
      <c r="A206" t="s">
        <v>52</v>
      </c>
      <c r="B206" t="s">
        <v>53</v>
      </c>
      <c r="C206" t="s">
        <v>54</v>
      </c>
      <c r="D206" t="s">
        <v>55</v>
      </c>
      <c r="E206" t="s">
        <v>56</v>
      </c>
      <c r="F206" t="s">
        <v>1247</v>
      </c>
      <c r="G206" t="s">
        <v>89</v>
      </c>
      <c r="H206" t="s">
        <v>90</v>
      </c>
      <c r="I206" t="s">
        <v>90</v>
      </c>
      <c r="J206" t="s">
        <v>60</v>
      </c>
      <c r="K206" t="s">
        <v>72</v>
      </c>
      <c r="L206" t="s">
        <v>62</v>
      </c>
      <c r="M206" t="s">
        <v>72</v>
      </c>
      <c r="N206" t="s">
        <v>91</v>
      </c>
      <c r="O206" t="s">
        <v>92</v>
      </c>
      <c r="P206">
        <v>-20.145848999999998</v>
      </c>
      <c r="Q206">
        <v>-44.908419000000002</v>
      </c>
      <c r="R206" s="2" t="str">
        <f>HYPERLINK("https://www.google.com/maps?q=-20.1458490,-44.9084190","Abrir no Google Maps")</f>
        <v>Abrir no Google Maps</v>
      </c>
      <c r="S206">
        <v>4</v>
      </c>
      <c r="T206">
        <v>0</v>
      </c>
      <c r="U206">
        <v>4</v>
      </c>
      <c r="V206">
        <v>0.32445902452112751</v>
      </c>
      <c r="W206">
        <v>1</v>
      </c>
      <c r="X206">
        <v>0.32445902452112751</v>
      </c>
      <c r="Y206">
        <v>747</v>
      </c>
      <c r="Z206">
        <v>136.08168502765241</v>
      </c>
      <c r="AA206">
        <v>198</v>
      </c>
      <c r="AB206">
        <v>332</v>
      </c>
      <c r="AC206">
        <v>536</v>
      </c>
      <c r="AD206">
        <v>28.41</v>
      </c>
      <c r="AE206">
        <v>542</v>
      </c>
      <c r="AF206">
        <v>20</v>
      </c>
      <c r="AG206">
        <v>180</v>
      </c>
      <c r="AH206">
        <v>129</v>
      </c>
      <c r="AI206">
        <v>3.69</v>
      </c>
      <c r="AJ206">
        <v>33.21</v>
      </c>
      <c r="AK206">
        <v>23.8</v>
      </c>
      <c r="AL206">
        <v>-20.14576979999995</v>
      </c>
      <c r="AM206">
        <v>-44.908436775053183</v>
      </c>
      <c r="AN206">
        <v>-20.14576979999995</v>
      </c>
      <c r="AO206">
        <v>-44.908436775053183</v>
      </c>
      <c r="AP206">
        <v>-20.145848999999998</v>
      </c>
      <c r="AQ206">
        <v>-44.908419000000002</v>
      </c>
      <c r="AR206">
        <v>9.0101247482327356</v>
      </c>
      <c r="AS206" t="s">
        <v>65</v>
      </c>
      <c r="AT206">
        <v>1</v>
      </c>
      <c r="AU206" t="s">
        <v>93</v>
      </c>
      <c r="AV206" t="s">
        <v>94</v>
      </c>
      <c r="AW206" t="s">
        <v>60</v>
      </c>
      <c r="AX206" t="s">
        <v>68</v>
      </c>
      <c r="AY206" t="s">
        <v>69</v>
      </c>
      <c r="AZ206" t="b">
        <v>1</v>
      </c>
    </row>
    <row r="207" spans="1:52" x14ac:dyDescent="0.3">
      <c r="A207" t="s">
        <v>52</v>
      </c>
      <c r="B207" t="s">
        <v>53</v>
      </c>
      <c r="C207" t="s">
        <v>54</v>
      </c>
      <c r="D207" t="s">
        <v>55</v>
      </c>
      <c r="E207" t="s">
        <v>56</v>
      </c>
      <c r="F207" t="s">
        <v>1247</v>
      </c>
      <c r="G207" t="s">
        <v>95</v>
      </c>
      <c r="H207" t="s">
        <v>96</v>
      </c>
      <c r="I207" t="s">
        <v>96</v>
      </c>
      <c r="J207" t="s">
        <v>60</v>
      </c>
      <c r="K207" t="s">
        <v>72</v>
      </c>
      <c r="L207" t="s">
        <v>62</v>
      </c>
      <c r="M207" t="s">
        <v>72</v>
      </c>
      <c r="N207" t="s">
        <v>97</v>
      </c>
      <c r="O207" t="s">
        <v>98</v>
      </c>
      <c r="P207">
        <v>-20.144062999999999</v>
      </c>
      <c r="Q207">
        <v>-44.909627999999998</v>
      </c>
      <c r="R207" s="2" t="str">
        <f>HYPERLINK("https://www.google.com/maps?q=-20.1440630,-44.9096280","Abrir no Google Maps")</f>
        <v>Abrir no Google Maps</v>
      </c>
      <c r="S207">
        <v>4</v>
      </c>
      <c r="T207">
        <v>205.27083326529291</v>
      </c>
      <c r="U207">
        <v>4</v>
      </c>
      <c r="V207">
        <v>0.31708653065465492</v>
      </c>
      <c r="W207">
        <v>1</v>
      </c>
      <c r="X207">
        <v>0.31708653065465492</v>
      </c>
      <c r="Y207">
        <v>747</v>
      </c>
      <c r="Z207">
        <v>336.75785483480968</v>
      </c>
      <c r="AA207">
        <v>198</v>
      </c>
      <c r="AB207">
        <v>332</v>
      </c>
      <c r="AC207">
        <v>536</v>
      </c>
      <c r="AD207">
        <v>28.41</v>
      </c>
      <c r="AE207">
        <v>542</v>
      </c>
      <c r="AF207">
        <v>20</v>
      </c>
      <c r="AG207">
        <v>180</v>
      </c>
      <c r="AH207">
        <v>129</v>
      </c>
      <c r="AI207">
        <v>3.69</v>
      </c>
      <c r="AJ207">
        <v>33.21</v>
      </c>
      <c r="AK207">
        <v>23.8</v>
      </c>
      <c r="AL207">
        <v>-20.144164099999951</v>
      </c>
      <c r="AM207">
        <v>-44.909420167767642</v>
      </c>
      <c r="AN207">
        <v>-20.144164099999951</v>
      </c>
      <c r="AO207">
        <v>-44.909420167767642</v>
      </c>
      <c r="AP207">
        <v>-20.144062999999999</v>
      </c>
      <c r="AQ207">
        <v>-44.909627999999998</v>
      </c>
      <c r="AR207">
        <v>24.46321571724976</v>
      </c>
      <c r="AS207" t="s">
        <v>65</v>
      </c>
      <c r="AT207">
        <v>1</v>
      </c>
      <c r="AU207" t="s">
        <v>99</v>
      </c>
      <c r="AV207" t="s">
        <v>94</v>
      </c>
      <c r="AW207" t="s">
        <v>60</v>
      </c>
      <c r="AX207" t="s">
        <v>68</v>
      </c>
      <c r="AY207" t="s">
        <v>69</v>
      </c>
      <c r="AZ207" t="b">
        <v>1</v>
      </c>
    </row>
    <row r="208" spans="1:52" x14ac:dyDescent="0.3">
      <c r="A208" t="s">
        <v>52</v>
      </c>
      <c r="B208" t="s">
        <v>53</v>
      </c>
      <c r="C208" t="s">
        <v>54</v>
      </c>
      <c r="D208" t="s">
        <v>55</v>
      </c>
      <c r="E208" t="s">
        <v>56</v>
      </c>
      <c r="F208" t="s">
        <v>1247</v>
      </c>
      <c r="G208" t="s">
        <v>100</v>
      </c>
      <c r="H208" t="s">
        <v>101</v>
      </c>
      <c r="I208" t="s">
        <v>101</v>
      </c>
      <c r="J208" t="s">
        <v>60</v>
      </c>
      <c r="K208" t="s">
        <v>61</v>
      </c>
      <c r="L208" t="s">
        <v>62</v>
      </c>
      <c r="M208" t="s">
        <v>61</v>
      </c>
      <c r="N208" t="s">
        <v>102</v>
      </c>
      <c r="O208" t="s">
        <v>103</v>
      </c>
      <c r="P208">
        <v>-20.151098999999999</v>
      </c>
      <c r="Q208">
        <v>-44.909699000000003</v>
      </c>
      <c r="R208" s="2" t="str">
        <f>HYPERLINK("https://www.google.com/maps?q=-20.1510990,-44.9096990","Abrir no Google Maps")</f>
        <v>Abrir no Google Maps</v>
      </c>
      <c r="S208">
        <v>4</v>
      </c>
      <c r="T208">
        <v>628.5023128813533</v>
      </c>
      <c r="U208">
        <v>4</v>
      </c>
      <c r="V208">
        <v>0.3526837705646495</v>
      </c>
      <c r="W208">
        <v>1</v>
      </c>
      <c r="X208">
        <v>0.3526837705646495</v>
      </c>
      <c r="Y208">
        <v>747</v>
      </c>
      <c r="Z208">
        <v>563.16456625265948</v>
      </c>
      <c r="AA208">
        <v>198</v>
      </c>
      <c r="AB208">
        <v>332</v>
      </c>
      <c r="AC208">
        <v>536</v>
      </c>
      <c r="AD208">
        <v>28.41</v>
      </c>
      <c r="AE208">
        <v>542</v>
      </c>
      <c r="AF208">
        <v>20</v>
      </c>
      <c r="AG208">
        <v>180</v>
      </c>
      <c r="AH208">
        <v>129</v>
      </c>
      <c r="AI208">
        <v>3.69</v>
      </c>
      <c r="AJ208">
        <v>33.21</v>
      </c>
      <c r="AK208">
        <v>23.8</v>
      </c>
      <c r="AL208">
        <v>-20.151307349999971</v>
      </c>
      <c r="AM208">
        <v>-44.909772836123523</v>
      </c>
      <c r="AN208">
        <v>-20.151307349999971</v>
      </c>
      <c r="AO208">
        <v>-44.909772836123523</v>
      </c>
      <c r="AP208">
        <v>-20.151098999999999</v>
      </c>
      <c r="AQ208">
        <v>-44.909699000000003</v>
      </c>
      <c r="AR208">
        <v>24.443417349564811</v>
      </c>
      <c r="AS208" t="s">
        <v>65</v>
      </c>
      <c r="AT208">
        <v>1</v>
      </c>
      <c r="AU208" t="s">
        <v>104</v>
      </c>
      <c r="AV208" t="s">
        <v>105</v>
      </c>
      <c r="AW208" t="s">
        <v>60</v>
      </c>
      <c r="AX208" t="s">
        <v>68</v>
      </c>
      <c r="AY208" t="s">
        <v>69</v>
      </c>
      <c r="AZ208" t="b">
        <v>1</v>
      </c>
    </row>
    <row r="209" spans="1:52" x14ac:dyDescent="0.3">
      <c r="A209" t="s">
        <v>52</v>
      </c>
      <c r="B209" t="s">
        <v>53</v>
      </c>
      <c r="C209" t="s">
        <v>54</v>
      </c>
      <c r="D209" t="s">
        <v>55</v>
      </c>
      <c r="E209" t="s">
        <v>56</v>
      </c>
      <c r="F209" t="s">
        <v>1247</v>
      </c>
      <c r="G209" t="s">
        <v>100</v>
      </c>
      <c r="H209" t="s">
        <v>106</v>
      </c>
      <c r="I209" t="s">
        <v>106</v>
      </c>
      <c r="J209" t="s">
        <v>60</v>
      </c>
      <c r="K209" t="s">
        <v>61</v>
      </c>
      <c r="L209" t="s">
        <v>62</v>
      </c>
      <c r="M209" t="s">
        <v>61</v>
      </c>
      <c r="N209" t="s">
        <v>102</v>
      </c>
      <c r="O209" t="s">
        <v>103</v>
      </c>
      <c r="P209">
        <v>-20.151107</v>
      </c>
      <c r="Q209">
        <v>-44.908918</v>
      </c>
      <c r="R209" s="2" t="str">
        <f>HYPERLINK("https://www.google.com/maps?q=-20.1511070,-44.9089180","Abrir no Google Maps")</f>
        <v>Abrir no Google Maps</v>
      </c>
      <c r="S209">
        <v>4</v>
      </c>
      <c r="T209">
        <v>615.86400245321579</v>
      </c>
      <c r="U209">
        <v>4</v>
      </c>
      <c r="V209">
        <v>0.36004820216927641</v>
      </c>
      <c r="W209">
        <v>0.85</v>
      </c>
      <c r="X209">
        <v>0.30604097184388501</v>
      </c>
      <c r="Y209">
        <v>747</v>
      </c>
      <c r="Z209">
        <v>535.34543763764702</v>
      </c>
      <c r="AA209">
        <v>198</v>
      </c>
      <c r="AB209">
        <v>332</v>
      </c>
      <c r="AC209">
        <v>536</v>
      </c>
      <c r="AD209">
        <v>28.41</v>
      </c>
      <c r="AE209">
        <v>542</v>
      </c>
      <c r="AF209">
        <v>20</v>
      </c>
      <c r="AG209">
        <v>180</v>
      </c>
      <c r="AH209">
        <v>129</v>
      </c>
      <c r="AI209">
        <v>3.69</v>
      </c>
      <c r="AJ209">
        <v>33.21</v>
      </c>
      <c r="AK209">
        <v>23.8</v>
      </c>
      <c r="AL209">
        <v>-20.151307349999971</v>
      </c>
      <c r="AM209">
        <v>-44.909024234051429</v>
      </c>
      <c r="AN209">
        <v>-20.151307349999971</v>
      </c>
      <c r="AO209">
        <v>-44.909024234051429</v>
      </c>
      <c r="AP209">
        <v>-20.151107</v>
      </c>
      <c r="AQ209">
        <v>-44.908918</v>
      </c>
      <c r="AR209">
        <v>24.91340747371116</v>
      </c>
      <c r="AS209" t="s">
        <v>65</v>
      </c>
      <c r="AT209">
        <v>1</v>
      </c>
      <c r="AU209" t="s">
        <v>107</v>
      </c>
      <c r="AV209" t="s">
        <v>105</v>
      </c>
      <c r="AW209" t="s">
        <v>60</v>
      </c>
      <c r="AX209" t="s">
        <v>68</v>
      </c>
      <c r="AY209" t="s">
        <v>69</v>
      </c>
      <c r="AZ209" t="b">
        <v>1</v>
      </c>
    </row>
    <row r="210" spans="1:52" x14ac:dyDescent="0.3">
      <c r="A210" t="s">
        <v>52</v>
      </c>
      <c r="B210" t="s">
        <v>53</v>
      </c>
      <c r="C210" t="s">
        <v>54</v>
      </c>
      <c r="D210" t="s">
        <v>55</v>
      </c>
      <c r="E210" t="s">
        <v>56</v>
      </c>
      <c r="F210" t="s">
        <v>1247</v>
      </c>
      <c r="G210" t="s">
        <v>108</v>
      </c>
      <c r="H210" t="s">
        <v>109</v>
      </c>
      <c r="I210" t="s">
        <v>109</v>
      </c>
      <c r="J210" t="s">
        <v>60</v>
      </c>
      <c r="K210" t="s">
        <v>110</v>
      </c>
      <c r="L210" t="s">
        <v>62</v>
      </c>
      <c r="M210" t="s">
        <v>110</v>
      </c>
      <c r="N210" t="s">
        <v>111</v>
      </c>
      <c r="O210" t="s">
        <v>112</v>
      </c>
      <c r="P210">
        <v>-20.122233999999999</v>
      </c>
      <c r="Q210">
        <v>-44.909194999999997</v>
      </c>
      <c r="R210" s="2" t="str">
        <f>HYPERLINK("https://www.google.com/maps?q=-20.1222340,-44.9091950","Abrir no Google Maps")</f>
        <v>Abrir no Google Maps</v>
      </c>
      <c r="S210">
        <v>4</v>
      </c>
      <c r="T210">
        <v>1171.396020763932</v>
      </c>
      <c r="U210">
        <v>4</v>
      </c>
      <c r="V210">
        <v>0.35165749861430168</v>
      </c>
      <c r="W210">
        <v>0.85</v>
      </c>
      <c r="X210">
        <v>0.29890887382215642</v>
      </c>
      <c r="Y210">
        <v>567</v>
      </c>
      <c r="Z210">
        <v>1238.711234283244</v>
      </c>
      <c r="AA210">
        <v>198</v>
      </c>
      <c r="AB210">
        <v>332</v>
      </c>
      <c r="AC210">
        <v>536</v>
      </c>
      <c r="AD210">
        <v>28.41</v>
      </c>
      <c r="AE210">
        <v>542</v>
      </c>
      <c r="AF210">
        <v>20</v>
      </c>
      <c r="AG210">
        <v>180</v>
      </c>
      <c r="AH210">
        <v>129</v>
      </c>
      <c r="AI210">
        <v>3.69</v>
      </c>
      <c r="AJ210">
        <v>33.21</v>
      </c>
      <c r="AK210">
        <v>23.8</v>
      </c>
      <c r="AL210">
        <v>-20.121881249999941</v>
      </c>
      <c r="AM210">
        <v>-44.909273766094323</v>
      </c>
      <c r="AN210">
        <v>-20.121881249999941</v>
      </c>
      <c r="AO210">
        <v>-44.909273766094323</v>
      </c>
      <c r="AP210">
        <v>-20.122233999999999</v>
      </c>
      <c r="AQ210">
        <v>-44.909194999999997</v>
      </c>
      <c r="AR210">
        <v>40.12192930593006</v>
      </c>
      <c r="AS210" t="s">
        <v>65</v>
      </c>
      <c r="AT210">
        <v>1</v>
      </c>
      <c r="AU210" t="s">
        <v>113</v>
      </c>
      <c r="AV210" t="s">
        <v>114</v>
      </c>
      <c r="AW210" t="s">
        <v>60</v>
      </c>
      <c r="AX210" t="s">
        <v>68</v>
      </c>
      <c r="AY210" t="s">
        <v>69</v>
      </c>
      <c r="AZ210" t="b">
        <v>1</v>
      </c>
    </row>
    <row r="211" spans="1:52" x14ac:dyDescent="0.3">
      <c r="A211" t="s">
        <v>52</v>
      </c>
      <c r="B211" t="s">
        <v>53</v>
      </c>
      <c r="C211" t="s">
        <v>54</v>
      </c>
      <c r="D211" t="s">
        <v>55</v>
      </c>
      <c r="E211" t="s">
        <v>56</v>
      </c>
      <c r="F211" t="s">
        <v>1247</v>
      </c>
      <c r="G211" t="s">
        <v>115</v>
      </c>
      <c r="H211" t="s">
        <v>116</v>
      </c>
      <c r="I211" t="s">
        <v>116</v>
      </c>
      <c r="J211" t="s">
        <v>60</v>
      </c>
      <c r="K211" t="s">
        <v>117</v>
      </c>
      <c r="L211" t="s">
        <v>62</v>
      </c>
      <c r="M211" t="s">
        <v>117</v>
      </c>
      <c r="N211" t="s">
        <v>118</v>
      </c>
      <c r="O211" t="s">
        <v>119</v>
      </c>
      <c r="P211">
        <v>-20.116992</v>
      </c>
      <c r="Q211">
        <v>-44.899355</v>
      </c>
      <c r="R211" s="2" t="str">
        <f>HYPERLINK("https://www.google.com/maps?q=-20.1169920,-44.8993550","Abrir no Google Maps")</f>
        <v>Abrir no Google Maps</v>
      </c>
      <c r="S211">
        <v>4</v>
      </c>
      <c r="T211">
        <v>0</v>
      </c>
      <c r="U211">
        <v>4</v>
      </c>
      <c r="V211">
        <v>0.30459953316597388</v>
      </c>
      <c r="W211">
        <v>1</v>
      </c>
      <c r="X211">
        <v>0.30459953316597388</v>
      </c>
      <c r="Y211">
        <v>567</v>
      </c>
      <c r="Z211">
        <v>54.913678078353321</v>
      </c>
      <c r="AA211">
        <v>198</v>
      </c>
      <c r="AB211">
        <v>332</v>
      </c>
      <c r="AC211">
        <v>536</v>
      </c>
      <c r="AD211">
        <v>28.41</v>
      </c>
      <c r="AE211">
        <v>542</v>
      </c>
      <c r="AF211">
        <v>20</v>
      </c>
      <c r="AG211">
        <v>180</v>
      </c>
      <c r="AH211">
        <v>129</v>
      </c>
      <c r="AI211">
        <v>3.69</v>
      </c>
      <c r="AJ211">
        <v>33.21</v>
      </c>
      <c r="AK211">
        <v>23.8</v>
      </c>
      <c r="AL211">
        <v>-20.117107749999949</v>
      </c>
      <c r="AM211">
        <v>-44.899271226243108</v>
      </c>
      <c r="AN211">
        <v>-20.117107749999949</v>
      </c>
      <c r="AO211">
        <v>-44.899271226243108</v>
      </c>
      <c r="AP211">
        <v>-20.116992</v>
      </c>
      <c r="AQ211">
        <v>-44.899355</v>
      </c>
      <c r="AR211">
        <v>15.579196044083419</v>
      </c>
      <c r="AS211" t="s">
        <v>65</v>
      </c>
      <c r="AT211">
        <v>1</v>
      </c>
      <c r="AU211" t="s">
        <v>120</v>
      </c>
      <c r="AV211" t="s">
        <v>121</v>
      </c>
      <c r="AW211" t="s">
        <v>60</v>
      </c>
      <c r="AX211" t="s">
        <v>68</v>
      </c>
      <c r="AY211" t="s">
        <v>69</v>
      </c>
      <c r="AZ211" t="b">
        <v>1</v>
      </c>
    </row>
    <row r="212" spans="1:52" x14ac:dyDescent="0.3">
      <c r="A212" t="s">
        <v>52</v>
      </c>
      <c r="B212" t="s">
        <v>53</v>
      </c>
      <c r="C212" t="s">
        <v>54</v>
      </c>
      <c r="D212" t="s">
        <v>55</v>
      </c>
      <c r="E212" t="s">
        <v>56</v>
      </c>
      <c r="F212" t="s">
        <v>1247</v>
      </c>
      <c r="G212" t="s">
        <v>122</v>
      </c>
      <c r="H212" t="s">
        <v>123</v>
      </c>
      <c r="I212" t="s">
        <v>123</v>
      </c>
      <c r="J212" t="s">
        <v>60</v>
      </c>
      <c r="K212" t="s">
        <v>117</v>
      </c>
      <c r="L212" t="s">
        <v>62</v>
      </c>
      <c r="M212" t="s">
        <v>117</v>
      </c>
      <c r="N212" t="s">
        <v>124</v>
      </c>
      <c r="O212" t="s">
        <v>125</v>
      </c>
      <c r="P212">
        <v>-20.11853</v>
      </c>
      <c r="Q212">
        <v>-44.896925000000003</v>
      </c>
      <c r="R212" s="2" t="str">
        <f>HYPERLINK("https://www.google.com/maps?q=-20.1185300,-44.8969250","Abrir no Google Maps")</f>
        <v>Abrir no Google Maps</v>
      </c>
      <c r="S212">
        <v>4</v>
      </c>
      <c r="T212">
        <v>325.32255721093247</v>
      </c>
      <c r="U212">
        <v>4</v>
      </c>
      <c r="V212">
        <v>0.30740965325209307</v>
      </c>
      <c r="W212">
        <v>1</v>
      </c>
      <c r="X212">
        <v>0.30740965325209307</v>
      </c>
      <c r="Y212">
        <v>567</v>
      </c>
      <c r="Z212">
        <v>306.04423478678871</v>
      </c>
      <c r="AA212">
        <v>198</v>
      </c>
      <c r="AB212">
        <v>332</v>
      </c>
      <c r="AC212">
        <v>536</v>
      </c>
      <c r="AD212">
        <v>28.41</v>
      </c>
      <c r="AE212">
        <v>542</v>
      </c>
      <c r="AF212">
        <v>20</v>
      </c>
      <c r="AG212">
        <v>180</v>
      </c>
      <c r="AH212">
        <v>129</v>
      </c>
      <c r="AI212">
        <v>3.69</v>
      </c>
      <c r="AJ212">
        <v>33.21</v>
      </c>
      <c r="AK212">
        <v>23.8</v>
      </c>
      <c r="AL212">
        <v>-20.118682499999949</v>
      </c>
      <c r="AM212">
        <v>-44.896643089287927</v>
      </c>
      <c r="AN212">
        <v>-20.118682499999949</v>
      </c>
      <c r="AO212">
        <v>-44.896643089287927</v>
      </c>
      <c r="AP212">
        <v>-20.11853</v>
      </c>
      <c r="AQ212">
        <v>-44.896925000000003</v>
      </c>
      <c r="AR212">
        <v>34.007698996886518</v>
      </c>
      <c r="AS212" t="s">
        <v>65</v>
      </c>
      <c r="AT212">
        <v>1</v>
      </c>
      <c r="AU212" t="s">
        <v>126</v>
      </c>
      <c r="AV212" t="s">
        <v>121</v>
      </c>
      <c r="AW212" t="s">
        <v>60</v>
      </c>
      <c r="AX212" t="s">
        <v>68</v>
      </c>
      <c r="AY212" t="s">
        <v>69</v>
      </c>
      <c r="AZ212" t="b">
        <v>1</v>
      </c>
    </row>
    <row r="213" spans="1:52" x14ac:dyDescent="0.3">
      <c r="A213" t="s">
        <v>52</v>
      </c>
      <c r="B213" t="s">
        <v>53</v>
      </c>
      <c r="C213" t="s">
        <v>54</v>
      </c>
      <c r="D213" t="s">
        <v>55</v>
      </c>
      <c r="E213" t="s">
        <v>56</v>
      </c>
      <c r="F213" t="s">
        <v>1247</v>
      </c>
      <c r="G213" t="s">
        <v>191</v>
      </c>
      <c r="H213" t="s">
        <v>192</v>
      </c>
      <c r="I213" t="s">
        <v>192</v>
      </c>
      <c r="J213" t="s">
        <v>60</v>
      </c>
      <c r="K213" t="s">
        <v>193</v>
      </c>
      <c r="L213" t="s">
        <v>62</v>
      </c>
      <c r="M213" t="s">
        <v>193</v>
      </c>
      <c r="N213" t="s">
        <v>194</v>
      </c>
      <c r="O213" t="s">
        <v>195</v>
      </c>
      <c r="P213">
        <v>-20.143266000000001</v>
      </c>
      <c r="Q213">
        <v>-44.912075000000002</v>
      </c>
      <c r="R213" s="2" t="str">
        <f>HYPERLINK("https://www.google.com/maps?q=-20.1432660,-44.9120750","Abrir no Google Maps")</f>
        <v>Abrir no Google Maps</v>
      </c>
      <c r="S213">
        <v>4</v>
      </c>
      <c r="T213">
        <v>467.04339396175408</v>
      </c>
      <c r="U213">
        <v>3</v>
      </c>
      <c r="V213">
        <v>0.28922960232783479</v>
      </c>
      <c r="W213">
        <v>1</v>
      </c>
      <c r="X213">
        <v>0.28922960232783479</v>
      </c>
      <c r="Y213">
        <v>747</v>
      </c>
      <c r="Z213">
        <v>585.1742452866996</v>
      </c>
      <c r="AA213">
        <v>198</v>
      </c>
      <c r="AB213">
        <v>332</v>
      </c>
      <c r="AC213">
        <v>536</v>
      </c>
      <c r="AD213">
        <v>28.41</v>
      </c>
      <c r="AE213">
        <v>542</v>
      </c>
      <c r="AF213">
        <v>20</v>
      </c>
      <c r="AG213">
        <v>180</v>
      </c>
      <c r="AH213">
        <v>129</v>
      </c>
      <c r="AI213">
        <v>3.69</v>
      </c>
      <c r="AJ213">
        <v>33.21</v>
      </c>
      <c r="AK213">
        <v>23.8</v>
      </c>
      <c r="AL213">
        <v>-20.143307949999951</v>
      </c>
      <c r="AM213">
        <v>-44.912066629431067</v>
      </c>
      <c r="AN213">
        <v>-20.143307949999951</v>
      </c>
      <c r="AO213">
        <v>-44.912066629431067</v>
      </c>
      <c r="AP213">
        <v>-20.143266000000001</v>
      </c>
      <c r="AQ213">
        <v>-44.912075000000002</v>
      </c>
      <c r="AR213">
        <v>4.751108024498329</v>
      </c>
      <c r="AS213" t="s">
        <v>65</v>
      </c>
      <c r="AT213">
        <v>1</v>
      </c>
      <c r="AU213" t="s">
        <v>196</v>
      </c>
      <c r="AV213" t="s">
        <v>197</v>
      </c>
      <c r="AW213" t="s">
        <v>60</v>
      </c>
      <c r="AX213" t="s">
        <v>68</v>
      </c>
      <c r="AY213" t="s">
        <v>69</v>
      </c>
      <c r="AZ213" t="b">
        <v>1</v>
      </c>
    </row>
    <row r="214" spans="1:52" x14ac:dyDescent="0.3">
      <c r="A214" t="s">
        <v>52</v>
      </c>
      <c r="B214" t="s">
        <v>53</v>
      </c>
      <c r="C214" t="s">
        <v>54</v>
      </c>
      <c r="D214" t="s">
        <v>55</v>
      </c>
      <c r="E214" t="s">
        <v>56</v>
      </c>
      <c r="F214" t="s">
        <v>1247</v>
      </c>
      <c r="G214" t="s">
        <v>198</v>
      </c>
      <c r="H214" t="s">
        <v>199</v>
      </c>
      <c r="I214" t="s">
        <v>199</v>
      </c>
      <c r="J214" t="s">
        <v>60</v>
      </c>
      <c r="K214" t="s">
        <v>200</v>
      </c>
      <c r="L214" t="s">
        <v>62</v>
      </c>
      <c r="M214" t="s">
        <v>200</v>
      </c>
      <c r="N214" t="s">
        <v>201</v>
      </c>
      <c r="O214" t="s">
        <v>202</v>
      </c>
      <c r="P214">
        <v>-20.122433000000001</v>
      </c>
      <c r="Q214">
        <v>-44.897013999999999</v>
      </c>
      <c r="R214" s="2" t="str">
        <f>HYPERLINK("https://www.google.com/maps?q=-20.1224330,-44.8970140","Abrir no Google Maps")</f>
        <v>Abrir no Google Maps</v>
      </c>
      <c r="S214">
        <v>4</v>
      </c>
      <c r="T214">
        <v>616.04759279207849</v>
      </c>
      <c r="U214">
        <v>3</v>
      </c>
      <c r="V214">
        <v>0.33130275024010508</v>
      </c>
      <c r="W214">
        <v>0.85</v>
      </c>
      <c r="X214">
        <v>0.2816073377040893</v>
      </c>
      <c r="Y214">
        <v>567</v>
      </c>
      <c r="Z214">
        <v>655.51024138861465</v>
      </c>
      <c r="AA214">
        <v>198</v>
      </c>
      <c r="AB214">
        <v>332</v>
      </c>
      <c r="AC214">
        <v>536</v>
      </c>
      <c r="AD214">
        <v>28.41</v>
      </c>
      <c r="AE214">
        <v>542</v>
      </c>
      <c r="AF214">
        <v>20</v>
      </c>
      <c r="AG214">
        <v>180</v>
      </c>
      <c r="AH214">
        <v>129</v>
      </c>
      <c r="AI214">
        <v>3.69</v>
      </c>
      <c r="AJ214">
        <v>33.21</v>
      </c>
      <c r="AK214">
        <v>23.8</v>
      </c>
      <c r="AL214">
        <v>-20.122144949999949</v>
      </c>
      <c r="AM214">
        <v>-44.896761973125983</v>
      </c>
      <c r="AN214">
        <v>-20.122144949999949</v>
      </c>
      <c r="AO214">
        <v>-44.896761973125983</v>
      </c>
      <c r="AP214">
        <v>-20.122433000000001</v>
      </c>
      <c r="AQ214">
        <v>-44.897013999999999</v>
      </c>
      <c r="AR214">
        <v>41.499066772735389</v>
      </c>
      <c r="AS214" t="s">
        <v>65</v>
      </c>
      <c r="AT214">
        <v>1</v>
      </c>
      <c r="AU214" t="s">
        <v>203</v>
      </c>
      <c r="AV214" t="s">
        <v>204</v>
      </c>
      <c r="AW214" t="s">
        <v>60</v>
      </c>
      <c r="AX214" t="s">
        <v>68</v>
      </c>
      <c r="AY214" t="s">
        <v>69</v>
      </c>
      <c r="AZ214" t="b">
        <v>1</v>
      </c>
    </row>
    <row r="215" spans="1:52" x14ac:dyDescent="0.3">
      <c r="A215" t="s">
        <v>52</v>
      </c>
      <c r="B215" t="s">
        <v>53</v>
      </c>
      <c r="C215" t="s">
        <v>54</v>
      </c>
      <c r="D215" t="s">
        <v>55</v>
      </c>
      <c r="E215" t="s">
        <v>56</v>
      </c>
      <c r="F215" t="s">
        <v>1247</v>
      </c>
      <c r="G215" t="s">
        <v>205</v>
      </c>
      <c r="H215" t="s">
        <v>206</v>
      </c>
      <c r="I215" t="s">
        <v>206</v>
      </c>
      <c r="J215" t="s">
        <v>60</v>
      </c>
      <c r="K215" t="s">
        <v>207</v>
      </c>
      <c r="L215" t="s">
        <v>62</v>
      </c>
      <c r="M215" t="s">
        <v>207</v>
      </c>
      <c r="N215" t="s">
        <v>208</v>
      </c>
      <c r="O215" t="s">
        <v>209</v>
      </c>
      <c r="P215">
        <v>-20.117533999999999</v>
      </c>
      <c r="Q215">
        <v>-44.892943000000002</v>
      </c>
      <c r="R215" s="2" t="str">
        <f>HYPERLINK("https://www.google.com/maps?q=-20.1175340,-44.8929430","Abrir no Google Maps")</f>
        <v>Abrir no Google Maps</v>
      </c>
      <c r="S215">
        <v>4</v>
      </c>
      <c r="T215">
        <v>601.98486688021592</v>
      </c>
      <c r="U215">
        <v>3</v>
      </c>
      <c r="V215">
        <v>0.3323331828401197</v>
      </c>
      <c r="W215">
        <v>0.85</v>
      </c>
      <c r="X215">
        <v>0.28248320541410171</v>
      </c>
      <c r="Y215">
        <v>567</v>
      </c>
      <c r="Z215">
        <v>574.59225706016446</v>
      </c>
      <c r="AA215">
        <v>198</v>
      </c>
      <c r="AB215">
        <v>332</v>
      </c>
      <c r="AC215">
        <v>536</v>
      </c>
      <c r="AD215">
        <v>28.41</v>
      </c>
      <c r="AE215">
        <v>542</v>
      </c>
      <c r="AF215">
        <v>20</v>
      </c>
      <c r="AG215">
        <v>180</v>
      </c>
      <c r="AH215">
        <v>129</v>
      </c>
      <c r="AI215">
        <v>3.69</v>
      </c>
      <c r="AJ215">
        <v>33.21</v>
      </c>
      <c r="AK215">
        <v>23.8</v>
      </c>
      <c r="AL215">
        <v>-20.11671494999996</v>
      </c>
      <c r="AM215">
        <v>-44.89352717833448</v>
      </c>
      <c r="AN215">
        <v>-20.11671494999996</v>
      </c>
      <c r="AO215">
        <v>-44.89352717833448</v>
      </c>
      <c r="AP215">
        <v>-20.117533999999999</v>
      </c>
      <c r="AQ215">
        <v>-44.892943000000002</v>
      </c>
      <c r="AR215">
        <v>109.7357164799156</v>
      </c>
      <c r="AS215" t="s">
        <v>65</v>
      </c>
      <c r="AT215">
        <v>1</v>
      </c>
      <c r="AU215" t="s">
        <v>210</v>
      </c>
      <c r="AV215" t="s">
        <v>211</v>
      </c>
      <c r="AW215" t="s">
        <v>60</v>
      </c>
      <c r="AX215" t="s">
        <v>68</v>
      </c>
      <c r="AY215" t="s">
        <v>69</v>
      </c>
      <c r="AZ215" t="b">
        <v>1</v>
      </c>
    </row>
    <row r="216" spans="1:52" x14ac:dyDescent="0.3">
      <c r="A216" t="s">
        <v>52</v>
      </c>
      <c r="B216" t="s">
        <v>53</v>
      </c>
      <c r="C216" t="s">
        <v>54</v>
      </c>
      <c r="D216" t="s">
        <v>55</v>
      </c>
      <c r="E216" t="s">
        <v>56</v>
      </c>
      <c r="F216" t="s">
        <v>1247</v>
      </c>
      <c r="G216" t="s">
        <v>1248</v>
      </c>
      <c r="H216" t="s">
        <v>1249</v>
      </c>
      <c r="I216" t="s">
        <v>1249</v>
      </c>
      <c r="J216" t="s">
        <v>60</v>
      </c>
      <c r="K216" t="s">
        <v>61</v>
      </c>
      <c r="L216" t="s">
        <v>62</v>
      </c>
      <c r="M216" t="s">
        <v>61</v>
      </c>
      <c r="N216" t="s">
        <v>1250</v>
      </c>
      <c r="O216" t="s">
        <v>202</v>
      </c>
      <c r="P216">
        <v>-20.145337999999999</v>
      </c>
      <c r="Q216">
        <v>-44.906260000000003</v>
      </c>
      <c r="R216" s="2" t="str">
        <f>HYPERLINK("https://www.google.com/maps?q=-20.1453380,-44.9062600","Abrir no Google Maps")</f>
        <v>Abrir no Google Maps</v>
      </c>
      <c r="S216">
        <v>4</v>
      </c>
      <c r="T216">
        <v>231.8105263092443</v>
      </c>
      <c r="U216">
        <v>2</v>
      </c>
      <c r="V216">
        <v>0.28422758058748249</v>
      </c>
      <c r="W216">
        <v>0.85</v>
      </c>
      <c r="X216">
        <v>0.2415934434993601</v>
      </c>
      <c r="Y216">
        <v>747</v>
      </c>
      <c r="Z216">
        <v>210.09098260239841</v>
      </c>
      <c r="AA216">
        <v>198</v>
      </c>
      <c r="AB216">
        <v>332</v>
      </c>
      <c r="AC216">
        <v>536</v>
      </c>
      <c r="AD216">
        <v>28.41</v>
      </c>
      <c r="AE216">
        <v>542</v>
      </c>
      <c r="AF216">
        <v>20</v>
      </c>
      <c r="AG216">
        <v>180</v>
      </c>
      <c r="AH216">
        <v>129</v>
      </c>
      <c r="AI216">
        <v>3.69</v>
      </c>
      <c r="AJ216">
        <v>33.21</v>
      </c>
      <c r="AK216">
        <v>23.8</v>
      </c>
      <c r="AL216">
        <v>-20.14545934999995</v>
      </c>
      <c r="AM216">
        <v>-44.906243174283489</v>
      </c>
      <c r="AN216">
        <v>-20.14545934999995</v>
      </c>
      <c r="AO216">
        <v>-44.906243174283489</v>
      </c>
      <c r="AP216">
        <v>-20.145337999999999</v>
      </c>
      <c r="AQ216">
        <v>-44.906260000000003</v>
      </c>
      <c r="AR216">
        <v>13.622651392262521</v>
      </c>
      <c r="AS216" t="s">
        <v>65</v>
      </c>
      <c r="AT216">
        <v>1</v>
      </c>
      <c r="AU216" t="s">
        <v>1251</v>
      </c>
      <c r="AV216" t="s">
        <v>1252</v>
      </c>
      <c r="AW216" t="s">
        <v>60</v>
      </c>
      <c r="AX216" t="s">
        <v>68</v>
      </c>
      <c r="AY216" t="s">
        <v>69</v>
      </c>
      <c r="AZ216" t="b">
        <v>1</v>
      </c>
    </row>
    <row r="217" spans="1:52" x14ac:dyDescent="0.3">
      <c r="A217" t="s">
        <v>52</v>
      </c>
      <c r="B217" t="s">
        <v>53</v>
      </c>
      <c r="C217" t="s">
        <v>54</v>
      </c>
      <c r="D217" t="s">
        <v>55</v>
      </c>
      <c r="E217" t="s">
        <v>56</v>
      </c>
      <c r="F217" t="s">
        <v>1247</v>
      </c>
      <c r="G217" t="s">
        <v>83</v>
      </c>
      <c r="H217" t="s">
        <v>1253</v>
      </c>
      <c r="I217" t="s">
        <v>1253</v>
      </c>
      <c r="J217" t="s">
        <v>60</v>
      </c>
      <c r="K217" t="s">
        <v>72</v>
      </c>
      <c r="L217" t="s">
        <v>62</v>
      </c>
      <c r="M217" t="s">
        <v>72</v>
      </c>
      <c r="N217" t="s">
        <v>1254</v>
      </c>
      <c r="O217" t="s">
        <v>1255</v>
      </c>
      <c r="P217">
        <v>-20.147164</v>
      </c>
      <c r="Q217">
        <v>-44.905259000000001</v>
      </c>
      <c r="R217" s="2" t="str">
        <f>HYPERLINK("https://www.google.com/maps?q=-20.1471640,-44.9052590","Abrir no Google Maps")</f>
        <v>Abrir no Google Maps</v>
      </c>
      <c r="S217">
        <v>4</v>
      </c>
      <c r="T217">
        <v>364.08569180502712</v>
      </c>
      <c r="U217">
        <v>2</v>
      </c>
      <c r="V217">
        <v>0.29781249133370041</v>
      </c>
      <c r="W217">
        <v>0.85</v>
      </c>
      <c r="X217">
        <v>0.25314061763364543</v>
      </c>
      <c r="Y217">
        <v>747</v>
      </c>
      <c r="Z217">
        <v>309.89238988435022</v>
      </c>
      <c r="AA217">
        <v>198</v>
      </c>
      <c r="AB217">
        <v>332</v>
      </c>
      <c r="AC217">
        <v>536</v>
      </c>
      <c r="AD217">
        <v>28.41</v>
      </c>
      <c r="AE217">
        <v>542</v>
      </c>
      <c r="AF217">
        <v>20</v>
      </c>
      <c r="AG217">
        <v>180</v>
      </c>
      <c r="AH217">
        <v>129</v>
      </c>
      <c r="AI217">
        <v>3.69</v>
      </c>
      <c r="AJ217">
        <v>33.21</v>
      </c>
      <c r="AK217">
        <v>23.8</v>
      </c>
      <c r="AL217">
        <v>-20.14718674999995</v>
      </c>
      <c r="AM217">
        <v>-44.905292621565764</v>
      </c>
      <c r="AN217">
        <v>-20.147186749999939</v>
      </c>
      <c r="AO217">
        <v>-44.905292621565764</v>
      </c>
      <c r="AP217">
        <v>-20.147164</v>
      </c>
      <c r="AQ217">
        <v>-44.905259000000001</v>
      </c>
      <c r="AR217">
        <v>4.3312880650984971</v>
      </c>
      <c r="AS217" t="s">
        <v>65</v>
      </c>
      <c r="AT217">
        <v>1</v>
      </c>
      <c r="AU217" t="s">
        <v>1256</v>
      </c>
      <c r="AV217" t="s">
        <v>1257</v>
      </c>
      <c r="AW217" t="s">
        <v>60</v>
      </c>
      <c r="AX217" t="s">
        <v>68</v>
      </c>
      <c r="AY217" t="s">
        <v>69</v>
      </c>
      <c r="AZ217" t="b">
        <v>1</v>
      </c>
    </row>
    <row r="218" spans="1:52" x14ac:dyDescent="0.3">
      <c r="A218" t="s">
        <v>52</v>
      </c>
      <c r="B218" t="s">
        <v>53</v>
      </c>
      <c r="C218" t="s">
        <v>54</v>
      </c>
      <c r="D218" t="s">
        <v>55</v>
      </c>
      <c r="E218" t="s">
        <v>56</v>
      </c>
      <c r="F218" t="s">
        <v>1247</v>
      </c>
      <c r="G218" t="s">
        <v>1258</v>
      </c>
      <c r="H218" t="s">
        <v>1259</v>
      </c>
      <c r="I218" t="s">
        <v>1259</v>
      </c>
      <c r="J218" t="s">
        <v>60</v>
      </c>
      <c r="K218" t="s">
        <v>905</v>
      </c>
      <c r="L218" t="s">
        <v>62</v>
      </c>
      <c r="M218" t="s">
        <v>905</v>
      </c>
      <c r="N218" t="s">
        <v>1260</v>
      </c>
      <c r="O218" t="s">
        <v>628</v>
      </c>
      <c r="P218">
        <v>-20.113569999999999</v>
      </c>
      <c r="Q218">
        <v>-44.897216</v>
      </c>
      <c r="R218" s="2" t="str">
        <f>HYPERLINK("https://www.google.com/maps?q=-20.1135700,-44.8972160","Abrir no Google Maps")</f>
        <v>Abrir no Google Maps</v>
      </c>
      <c r="S218">
        <v>4</v>
      </c>
      <c r="T218">
        <v>418.54368277643368</v>
      </c>
      <c r="U218">
        <v>2</v>
      </c>
      <c r="V218">
        <v>0.284637398033808</v>
      </c>
      <c r="W218">
        <v>0.85</v>
      </c>
      <c r="X218">
        <v>0.24194178832873681</v>
      </c>
      <c r="Y218">
        <v>567</v>
      </c>
      <c r="Z218">
        <v>315.02989622191018</v>
      </c>
      <c r="AA218">
        <v>198</v>
      </c>
      <c r="AB218">
        <v>332</v>
      </c>
      <c r="AC218">
        <v>536</v>
      </c>
      <c r="AD218">
        <v>28.41</v>
      </c>
      <c r="AE218">
        <v>542</v>
      </c>
      <c r="AF218">
        <v>20</v>
      </c>
      <c r="AG218">
        <v>180</v>
      </c>
      <c r="AH218">
        <v>129</v>
      </c>
      <c r="AI218">
        <v>3.69</v>
      </c>
      <c r="AJ218">
        <v>33.21</v>
      </c>
      <c r="AK218">
        <v>23.8</v>
      </c>
      <c r="AL218">
        <v>-20.113750149999959</v>
      </c>
      <c r="AM218">
        <v>-44.897427949999937</v>
      </c>
      <c r="AN218">
        <v>-20.113750149999959</v>
      </c>
      <c r="AO218">
        <v>-44.897427949999937</v>
      </c>
      <c r="AP218">
        <v>-20.113569999999999</v>
      </c>
      <c r="AQ218">
        <v>-44.897216</v>
      </c>
      <c r="AR218">
        <v>29.883644534822711</v>
      </c>
      <c r="AS218" t="s">
        <v>65</v>
      </c>
      <c r="AT218">
        <v>1</v>
      </c>
      <c r="AU218" t="s">
        <v>1261</v>
      </c>
      <c r="AV218" t="s">
        <v>1262</v>
      </c>
      <c r="AW218" t="s">
        <v>60</v>
      </c>
      <c r="AX218" t="s">
        <v>68</v>
      </c>
      <c r="AY218" t="s">
        <v>69</v>
      </c>
      <c r="AZ218" t="b">
        <v>1</v>
      </c>
    </row>
    <row r="219" spans="1:52" x14ac:dyDescent="0.3">
      <c r="A219" t="s">
        <v>52</v>
      </c>
      <c r="B219" t="s">
        <v>53</v>
      </c>
      <c r="C219" t="s">
        <v>54</v>
      </c>
      <c r="D219" t="s">
        <v>55</v>
      </c>
      <c r="E219" t="s">
        <v>56</v>
      </c>
      <c r="F219" t="s">
        <v>1247</v>
      </c>
      <c r="G219" t="s">
        <v>1263</v>
      </c>
      <c r="H219" t="s">
        <v>1264</v>
      </c>
      <c r="I219" t="s">
        <v>1264</v>
      </c>
      <c r="J219" t="s">
        <v>60</v>
      </c>
      <c r="K219" t="s">
        <v>1265</v>
      </c>
      <c r="L219" t="s">
        <v>62</v>
      </c>
      <c r="M219" t="s">
        <v>1265</v>
      </c>
      <c r="N219" t="s">
        <v>1266</v>
      </c>
      <c r="O219" t="s">
        <v>1267</v>
      </c>
      <c r="P219">
        <v>-20.116924000000001</v>
      </c>
      <c r="Q219">
        <v>-44.906587000000002</v>
      </c>
      <c r="R219" s="2" t="str">
        <f>HYPERLINK("https://www.google.com/maps?q=-20.1169240,-44.9065870","Abrir no Google Maps")</f>
        <v>Abrir no Google Maps</v>
      </c>
      <c r="S219">
        <v>4</v>
      </c>
      <c r="T219">
        <v>745.10453961787857</v>
      </c>
      <c r="U219">
        <v>1</v>
      </c>
      <c r="V219">
        <v>0.25653911636560239</v>
      </c>
      <c r="W219">
        <v>0.85</v>
      </c>
      <c r="X219">
        <v>0.218058248910762</v>
      </c>
      <c r="Y219">
        <v>567</v>
      </c>
      <c r="Z219">
        <v>816.44456345071217</v>
      </c>
      <c r="AA219">
        <v>198</v>
      </c>
      <c r="AB219">
        <v>332</v>
      </c>
      <c r="AC219">
        <v>536</v>
      </c>
      <c r="AD219">
        <v>28.41</v>
      </c>
      <c r="AE219">
        <v>542</v>
      </c>
      <c r="AF219">
        <v>20</v>
      </c>
      <c r="AG219">
        <v>180</v>
      </c>
      <c r="AH219">
        <v>129</v>
      </c>
      <c r="AI219">
        <v>3.69</v>
      </c>
      <c r="AJ219">
        <v>33.21</v>
      </c>
      <c r="AK219">
        <v>23.8</v>
      </c>
      <c r="AL219">
        <v>-20.117279149999941</v>
      </c>
      <c r="AM219">
        <v>-44.906397211815133</v>
      </c>
      <c r="AN219">
        <v>-20.117279149999941</v>
      </c>
      <c r="AO219">
        <v>-44.906397211815133</v>
      </c>
      <c r="AP219">
        <v>-20.116924000000001</v>
      </c>
      <c r="AQ219">
        <v>-44.906587000000002</v>
      </c>
      <c r="AR219">
        <v>44.233430660980403</v>
      </c>
      <c r="AS219" t="s">
        <v>65</v>
      </c>
      <c r="AT219">
        <v>1</v>
      </c>
      <c r="AU219" t="s">
        <v>1268</v>
      </c>
      <c r="AV219" t="s">
        <v>1269</v>
      </c>
      <c r="AW219" t="s">
        <v>60</v>
      </c>
      <c r="AX219" t="s">
        <v>68</v>
      </c>
      <c r="AY219" t="s">
        <v>69</v>
      </c>
      <c r="AZ219" t="b">
        <v>1</v>
      </c>
    </row>
    <row r="220" spans="1:52" x14ac:dyDescent="0.3">
      <c r="A220" t="s">
        <v>52</v>
      </c>
      <c r="B220" t="s">
        <v>53</v>
      </c>
      <c r="C220" t="s">
        <v>54</v>
      </c>
      <c r="D220" t="s">
        <v>55</v>
      </c>
      <c r="E220" t="s">
        <v>56</v>
      </c>
      <c r="F220" t="s">
        <v>1247</v>
      </c>
      <c r="G220" t="s">
        <v>1127</v>
      </c>
      <c r="H220" t="s">
        <v>1270</v>
      </c>
      <c r="I220" t="s">
        <v>1270</v>
      </c>
      <c r="J220" t="s">
        <v>60</v>
      </c>
      <c r="K220" t="s">
        <v>200</v>
      </c>
      <c r="L220" t="s">
        <v>62</v>
      </c>
      <c r="M220" t="s">
        <v>200</v>
      </c>
      <c r="N220" t="s">
        <v>1271</v>
      </c>
      <c r="O220" t="s">
        <v>315</v>
      </c>
      <c r="P220">
        <v>-20.123483</v>
      </c>
      <c r="Q220">
        <v>-44.904159</v>
      </c>
      <c r="R220" s="2" t="str">
        <f>HYPERLINK("https://www.google.com/maps?q=-20.1234830,-44.9041590","Abrir no Google Maps")</f>
        <v>Abrir no Google Maps</v>
      </c>
      <c r="S220">
        <v>4</v>
      </c>
      <c r="T220">
        <v>1046.2792913459141</v>
      </c>
      <c r="U220">
        <v>1</v>
      </c>
      <c r="V220">
        <v>0.1358308966861598</v>
      </c>
      <c r="W220">
        <v>0.85</v>
      </c>
      <c r="X220">
        <v>0.11545626218323581</v>
      </c>
      <c r="Y220">
        <v>567</v>
      </c>
      <c r="Z220">
        <v>1072.1273144328541</v>
      </c>
      <c r="AA220">
        <v>198</v>
      </c>
      <c r="AB220">
        <v>332</v>
      </c>
      <c r="AC220">
        <v>536</v>
      </c>
      <c r="AD220">
        <v>28.41</v>
      </c>
      <c r="AE220">
        <v>542</v>
      </c>
      <c r="AF220">
        <v>20</v>
      </c>
      <c r="AG220">
        <v>180</v>
      </c>
      <c r="AH220">
        <v>129</v>
      </c>
      <c r="AI220">
        <v>3.69</v>
      </c>
      <c r="AJ220">
        <v>33.21</v>
      </c>
      <c r="AK220">
        <v>23.8</v>
      </c>
      <c r="AL220">
        <v>-20.12548399999994</v>
      </c>
      <c r="AM220">
        <v>-44.903913990586467</v>
      </c>
      <c r="AN220">
        <v>-20.12548399999994</v>
      </c>
      <c r="AO220">
        <v>-44.903913990586467</v>
      </c>
      <c r="AP220">
        <v>-20.123483</v>
      </c>
      <c r="AQ220">
        <v>-44.904159</v>
      </c>
      <c r="AR220">
        <v>224.218591682908</v>
      </c>
      <c r="AS220" t="s">
        <v>65</v>
      </c>
      <c r="AT220">
        <v>1</v>
      </c>
      <c r="AU220" t="s">
        <v>1272</v>
      </c>
      <c r="AV220" t="s">
        <v>1273</v>
      </c>
      <c r="AW220" t="s">
        <v>60</v>
      </c>
      <c r="AX220" t="s">
        <v>68</v>
      </c>
      <c r="AY220" t="s">
        <v>69</v>
      </c>
      <c r="AZ220" t="b">
        <v>1</v>
      </c>
    </row>
    <row r="221" spans="1:52" x14ac:dyDescent="0.3">
      <c r="A221" t="s">
        <v>52</v>
      </c>
      <c r="B221" t="s">
        <v>53</v>
      </c>
      <c r="C221" t="s">
        <v>54</v>
      </c>
      <c r="D221" t="s">
        <v>55</v>
      </c>
      <c r="E221" t="s">
        <v>56</v>
      </c>
      <c r="F221" t="s">
        <v>1247</v>
      </c>
      <c r="G221" t="s">
        <v>380</v>
      </c>
      <c r="H221" t="s">
        <v>381</v>
      </c>
      <c r="I221" t="s">
        <v>381</v>
      </c>
      <c r="J221" t="s">
        <v>60</v>
      </c>
      <c r="K221" t="s">
        <v>72</v>
      </c>
      <c r="L221" t="s">
        <v>62</v>
      </c>
      <c r="M221" t="s">
        <v>72</v>
      </c>
      <c r="N221" t="s">
        <v>382</v>
      </c>
      <c r="O221" t="s">
        <v>383</v>
      </c>
      <c r="P221">
        <v>-20.147182000000001</v>
      </c>
      <c r="Q221">
        <v>-44.912728999999999</v>
      </c>
      <c r="R221" s="2" t="str">
        <f>HYPERLINK("https://www.google.com/maps?q=-20.1471820,-44.9127290","Abrir no Google Maps")</f>
        <v>Abrir no Google Maps</v>
      </c>
      <c r="S221">
        <v>3</v>
      </c>
      <c r="T221">
        <v>478.0141981540923</v>
      </c>
      <c r="U221">
        <v>4</v>
      </c>
      <c r="V221">
        <v>0.29754290594345378</v>
      </c>
      <c r="W221">
        <v>1</v>
      </c>
      <c r="X221">
        <v>0.29754290594345378</v>
      </c>
      <c r="Y221">
        <v>747</v>
      </c>
      <c r="Z221">
        <v>494.0254290673729</v>
      </c>
      <c r="AA221">
        <v>198</v>
      </c>
      <c r="AB221">
        <v>332</v>
      </c>
      <c r="AC221">
        <v>536</v>
      </c>
      <c r="AD221">
        <v>28.41</v>
      </c>
      <c r="AE221">
        <v>542</v>
      </c>
      <c r="AF221">
        <v>20</v>
      </c>
      <c r="AG221">
        <v>180</v>
      </c>
      <c r="AH221">
        <v>129</v>
      </c>
      <c r="AI221">
        <v>3.69</v>
      </c>
      <c r="AJ221">
        <v>33.21</v>
      </c>
      <c r="AK221">
        <v>23.8</v>
      </c>
      <c r="AL221">
        <v>-20.147375599999979</v>
      </c>
      <c r="AM221">
        <v>-44.912907472879468</v>
      </c>
      <c r="AN221">
        <v>-20.147375599999979</v>
      </c>
      <c r="AO221">
        <v>-44.912907472879468</v>
      </c>
      <c r="AP221">
        <v>-20.147182000000001</v>
      </c>
      <c r="AQ221">
        <v>-44.912728999999999</v>
      </c>
      <c r="AR221">
        <v>28.50197694184326</v>
      </c>
      <c r="AS221" t="s">
        <v>65</v>
      </c>
      <c r="AT221">
        <v>1</v>
      </c>
      <c r="AU221" t="s">
        <v>384</v>
      </c>
      <c r="AV221" t="s">
        <v>385</v>
      </c>
      <c r="AW221" t="s">
        <v>60</v>
      </c>
      <c r="AX221" t="s">
        <v>68</v>
      </c>
      <c r="AY221" t="s">
        <v>69</v>
      </c>
      <c r="AZ221" t="b">
        <v>1</v>
      </c>
    </row>
    <row r="222" spans="1:52" x14ac:dyDescent="0.3">
      <c r="A222" t="s">
        <v>52</v>
      </c>
      <c r="B222" t="s">
        <v>53</v>
      </c>
      <c r="C222" t="s">
        <v>54</v>
      </c>
      <c r="D222" t="s">
        <v>55</v>
      </c>
      <c r="E222" t="s">
        <v>56</v>
      </c>
      <c r="F222" t="s">
        <v>1247</v>
      </c>
      <c r="G222" t="s">
        <v>386</v>
      </c>
      <c r="H222" t="s">
        <v>387</v>
      </c>
      <c r="I222" t="s">
        <v>387</v>
      </c>
      <c r="J222" t="s">
        <v>60</v>
      </c>
      <c r="K222" t="s">
        <v>388</v>
      </c>
      <c r="L222" t="s">
        <v>62</v>
      </c>
      <c r="M222" t="s">
        <v>388</v>
      </c>
      <c r="N222" t="s">
        <v>389</v>
      </c>
      <c r="O222" t="s">
        <v>357</v>
      </c>
      <c r="P222">
        <v>-20.161041999999998</v>
      </c>
      <c r="Q222">
        <v>-44.901242000000003</v>
      </c>
      <c r="R222" s="2" t="str">
        <f>HYPERLINK("https://www.google.com/maps?q=-20.1610420,-44.9012420","Abrir no Google Maps")</f>
        <v>Abrir no Google Maps</v>
      </c>
      <c r="S222">
        <v>3</v>
      </c>
      <c r="T222">
        <v>440.22183232279212</v>
      </c>
      <c r="U222">
        <v>4</v>
      </c>
      <c r="V222">
        <v>0.29877781759497568</v>
      </c>
      <c r="W222">
        <v>1</v>
      </c>
      <c r="X222">
        <v>0.29877781759497568</v>
      </c>
      <c r="Y222">
        <v>729</v>
      </c>
      <c r="Z222">
        <v>398.48306829302379</v>
      </c>
      <c r="AA222">
        <v>198</v>
      </c>
      <c r="AB222">
        <v>332</v>
      </c>
      <c r="AC222">
        <v>536</v>
      </c>
      <c r="AD222">
        <v>28.41</v>
      </c>
      <c r="AE222">
        <v>542</v>
      </c>
      <c r="AF222">
        <v>20</v>
      </c>
      <c r="AG222">
        <v>180</v>
      </c>
      <c r="AH222">
        <v>129</v>
      </c>
      <c r="AI222">
        <v>3.69</v>
      </c>
      <c r="AJ222">
        <v>33.21</v>
      </c>
      <c r="AK222">
        <v>23.8</v>
      </c>
      <c r="AL222">
        <v>-20.16176629999995</v>
      </c>
      <c r="AM222">
        <v>-44.901582787827898</v>
      </c>
      <c r="AN222">
        <v>-20.16176629999995</v>
      </c>
      <c r="AO222">
        <v>-44.901582787827898</v>
      </c>
      <c r="AP222">
        <v>-20.161041999999998</v>
      </c>
      <c r="AQ222">
        <v>-44.901242000000003</v>
      </c>
      <c r="AR222">
        <v>88.143369157892835</v>
      </c>
      <c r="AS222" t="s">
        <v>65</v>
      </c>
      <c r="AT222">
        <v>1</v>
      </c>
      <c r="AU222" t="s">
        <v>390</v>
      </c>
      <c r="AV222" t="s">
        <v>391</v>
      </c>
      <c r="AW222" t="s">
        <v>60</v>
      </c>
      <c r="AX222" t="s">
        <v>68</v>
      </c>
      <c r="AY222" t="s">
        <v>69</v>
      </c>
      <c r="AZ222" t="b">
        <v>1</v>
      </c>
    </row>
    <row r="223" spans="1:52" x14ac:dyDescent="0.3">
      <c r="A223" t="s">
        <v>52</v>
      </c>
      <c r="B223" t="s">
        <v>53</v>
      </c>
      <c r="C223" t="s">
        <v>54</v>
      </c>
      <c r="D223" t="s">
        <v>55</v>
      </c>
      <c r="E223" t="s">
        <v>56</v>
      </c>
      <c r="F223" t="s">
        <v>1247</v>
      </c>
      <c r="G223" t="s">
        <v>392</v>
      </c>
      <c r="H223" t="s">
        <v>393</v>
      </c>
      <c r="I223" t="s">
        <v>393</v>
      </c>
      <c r="J223" t="s">
        <v>60</v>
      </c>
      <c r="K223" t="s">
        <v>388</v>
      </c>
      <c r="L223" t="s">
        <v>62</v>
      </c>
      <c r="M223" t="s">
        <v>388</v>
      </c>
      <c r="N223" t="s">
        <v>394</v>
      </c>
      <c r="O223" t="s">
        <v>395</v>
      </c>
      <c r="P223">
        <v>-20.158066999999999</v>
      </c>
      <c r="Q223">
        <v>-44.908164999999997</v>
      </c>
      <c r="R223" s="2" t="str">
        <f>HYPERLINK("https://www.google.com/maps?q=-20.1580670,-44.9081650","Abrir no Google Maps")</f>
        <v>Abrir no Google Maps</v>
      </c>
      <c r="S223">
        <v>3</v>
      </c>
      <c r="T223">
        <v>666.74434317993041</v>
      </c>
      <c r="U223">
        <v>4</v>
      </c>
      <c r="V223">
        <v>0.30411961935003551</v>
      </c>
      <c r="W223">
        <v>1</v>
      </c>
      <c r="X223">
        <v>0.30411961935003551</v>
      </c>
      <c r="Y223">
        <v>729</v>
      </c>
      <c r="Z223">
        <v>612.4323328215396</v>
      </c>
      <c r="AA223">
        <v>198</v>
      </c>
      <c r="AB223">
        <v>332</v>
      </c>
      <c r="AC223">
        <v>536</v>
      </c>
      <c r="AD223">
        <v>28.41</v>
      </c>
      <c r="AE223">
        <v>542</v>
      </c>
      <c r="AF223">
        <v>20</v>
      </c>
      <c r="AG223">
        <v>180</v>
      </c>
      <c r="AH223">
        <v>129</v>
      </c>
      <c r="AI223">
        <v>3.69</v>
      </c>
      <c r="AJ223">
        <v>33.21</v>
      </c>
      <c r="AK223">
        <v>23.8</v>
      </c>
      <c r="AL223">
        <v>-20.158151449999959</v>
      </c>
      <c r="AM223">
        <v>-44.908107718360938</v>
      </c>
      <c r="AN223">
        <v>-20.158151449999959</v>
      </c>
      <c r="AO223">
        <v>-44.908107718360938</v>
      </c>
      <c r="AP223">
        <v>-20.158066999999999</v>
      </c>
      <c r="AQ223">
        <v>-44.908164999999997</v>
      </c>
      <c r="AR223">
        <v>11.14497345894574</v>
      </c>
      <c r="AS223" t="s">
        <v>65</v>
      </c>
      <c r="AT223">
        <v>1</v>
      </c>
      <c r="AU223" t="s">
        <v>396</v>
      </c>
      <c r="AV223" t="s">
        <v>397</v>
      </c>
      <c r="AW223" t="s">
        <v>60</v>
      </c>
      <c r="AX223" t="s">
        <v>68</v>
      </c>
      <c r="AY223" t="s">
        <v>69</v>
      </c>
      <c r="AZ223" t="b">
        <v>1</v>
      </c>
    </row>
    <row r="224" spans="1:52" x14ac:dyDescent="0.3">
      <c r="A224" t="s">
        <v>52</v>
      </c>
      <c r="B224" t="s">
        <v>53</v>
      </c>
      <c r="C224" t="s">
        <v>54</v>
      </c>
      <c r="D224" t="s">
        <v>55</v>
      </c>
      <c r="E224" t="s">
        <v>56</v>
      </c>
      <c r="F224" t="s">
        <v>1247</v>
      </c>
      <c r="G224" t="s">
        <v>398</v>
      </c>
      <c r="H224" t="s">
        <v>399</v>
      </c>
      <c r="I224" t="s">
        <v>399</v>
      </c>
      <c r="J224" t="s">
        <v>60</v>
      </c>
      <c r="K224" t="s">
        <v>388</v>
      </c>
      <c r="L224" t="s">
        <v>62</v>
      </c>
      <c r="M224" t="s">
        <v>388</v>
      </c>
      <c r="N224" t="s">
        <v>400</v>
      </c>
      <c r="O224" t="s">
        <v>401</v>
      </c>
      <c r="P224">
        <v>-20.160157000000002</v>
      </c>
      <c r="Q224">
        <v>-44.904347999999999</v>
      </c>
      <c r="R224" s="2" t="str">
        <f>HYPERLINK("https://www.google.com/maps?q=-20.1601570,-44.9043480","Abrir no Google Maps")</f>
        <v>Abrir no Google Maps</v>
      </c>
      <c r="S224">
        <v>3</v>
      </c>
      <c r="T224">
        <v>469.26088527154809</v>
      </c>
      <c r="U224">
        <v>4</v>
      </c>
      <c r="V224">
        <v>0.31783577415051201</v>
      </c>
      <c r="W224">
        <v>1</v>
      </c>
      <c r="X224">
        <v>0.31783577415051201</v>
      </c>
      <c r="Y224">
        <v>729</v>
      </c>
      <c r="Z224">
        <v>253.57832452309071</v>
      </c>
      <c r="AA224">
        <v>198</v>
      </c>
      <c r="AB224">
        <v>332</v>
      </c>
      <c r="AC224">
        <v>536</v>
      </c>
      <c r="AD224">
        <v>28.41</v>
      </c>
      <c r="AE224">
        <v>542</v>
      </c>
      <c r="AF224">
        <v>20</v>
      </c>
      <c r="AG224">
        <v>180</v>
      </c>
      <c r="AH224">
        <v>129</v>
      </c>
      <c r="AI224">
        <v>3.69</v>
      </c>
      <c r="AJ224">
        <v>33.21</v>
      </c>
      <c r="AK224">
        <v>23.8</v>
      </c>
      <c r="AL224">
        <v>-20.160007949999969</v>
      </c>
      <c r="AM224">
        <v>-44.904396608560482</v>
      </c>
      <c r="AN224">
        <v>-20.160007949999969</v>
      </c>
      <c r="AO224">
        <v>-44.904396608560482</v>
      </c>
      <c r="AP224">
        <v>-20.160157000000002</v>
      </c>
      <c r="AQ224">
        <v>-44.904347999999999</v>
      </c>
      <c r="AR224">
        <v>17.35237255387942</v>
      </c>
      <c r="AS224" t="s">
        <v>65</v>
      </c>
      <c r="AT224">
        <v>1</v>
      </c>
      <c r="AU224" t="s">
        <v>402</v>
      </c>
      <c r="AV224" t="s">
        <v>403</v>
      </c>
      <c r="AW224" t="s">
        <v>60</v>
      </c>
      <c r="AX224" t="s">
        <v>68</v>
      </c>
      <c r="AY224" t="s">
        <v>69</v>
      </c>
      <c r="AZ224" t="b">
        <v>1</v>
      </c>
    </row>
    <row r="225" spans="1:52" x14ac:dyDescent="0.3">
      <c r="A225" t="s">
        <v>52</v>
      </c>
      <c r="B225" t="s">
        <v>53</v>
      </c>
      <c r="C225" t="s">
        <v>54</v>
      </c>
      <c r="D225" t="s">
        <v>55</v>
      </c>
      <c r="E225" t="s">
        <v>56</v>
      </c>
      <c r="F225" t="s">
        <v>1247</v>
      </c>
      <c r="G225" t="s">
        <v>404</v>
      </c>
      <c r="H225" t="s">
        <v>405</v>
      </c>
      <c r="I225" t="s">
        <v>405</v>
      </c>
      <c r="J225" t="s">
        <v>60</v>
      </c>
      <c r="K225" t="s">
        <v>388</v>
      </c>
      <c r="L225" t="s">
        <v>62</v>
      </c>
      <c r="M225" t="s">
        <v>388</v>
      </c>
      <c r="N225" t="s">
        <v>406</v>
      </c>
      <c r="O225" t="s">
        <v>407</v>
      </c>
      <c r="P225">
        <v>-20.162780999999999</v>
      </c>
      <c r="Q225">
        <v>-44.904437999999999</v>
      </c>
      <c r="R225" s="2" t="str">
        <f>HYPERLINK("https://www.google.com/maps?q=-20.1627810,-44.9044380","Abrir no Google Maps")</f>
        <v>Abrir no Google Maps</v>
      </c>
      <c r="S225">
        <v>3</v>
      </c>
      <c r="T225">
        <v>681.0891377731482</v>
      </c>
      <c r="U225">
        <v>4</v>
      </c>
      <c r="V225">
        <v>0.33018177622703471</v>
      </c>
      <c r="W225">
        <v>1</v>
      </c>
      <c r="X225">
        <v>0.33018177622703471</v>
      </c>
      <c r="Y225">
        <v>729</v>
      </c>
      <c r="Z225">
        <v>564.17713687218622</v>
      </c>
      <c r="AA225">
        <v>198</v>
      </c>
      <c r="AB225">
        <v>332</v>
      </c>
      <c r="AC225">
        <v>536</v>
      </c>
      <c r="AD225">
        <v>28.41</v>
      </c>
      <c r="AE225">
        <v>542</v>
      </c>
      <c r="AF225">
        <v>20</v>
      </c>
      <c r="AG225">
        <v>180</v>
      </c>
      <c r="AH225">
        <v>129</v>
      </c>
      <c r="AI225">
        <v>3.69</v>
      </c>
      <c r="AJ225">
        <v>33.21</v>
      </c>
      <c r="AK225">
        <v>23.8</v>
      </c>
      <c r="AL225">
        <v>-20.16295434999995</v>
      </c>
      <c r="AM225">
        <v>-44.904242686956152</v>
      </c>
      <c r="AN225">
        <v>-20.16295434999995</v>
      </c>
      <c r="AO225">
        <v>-44.904242686956152</v>
      </c>
      <c r="AP225">
        <v>-20.162780999999999</v>
      </c>
      <c r="AQ225">
        <v>-44.904437999999999</v>
      </c>
      <c r="AR225">
        <v>28.088191280523411</v>
      </c>
      <c r="AS225" t="s">
        <v>65</v>
      </c>
      <c r="AT225">
        <v>1</v>
      </c>
      <c r="AU225" t="s">
        <v>408</v>
      </c>
      <c r="AV225" t="s">
        <v>409</v>
      </c>
      <c r="AW225" t="s">
        <v>60</v>
      </c>
      <c r="AX225" t="s">
        <v>68</v>
      </c>
      <c r="AY225" t="s">
        <v>69</v>
      </c>
      <c r="AZ225" t="b">
        <v>1</v>
      </c>
    </row>
    <row r="226" spans="1:52" x14ac:dyDescent="0.3">
      <c r="A226" t="s">
        <v>52</v>
      </c>
      <c r="B226" t="s">
        <v>53</v>
      </c>
      <c r="C226" t="s">
        <v>54</v>
      </c>
      <c r="D226" t="s">
        <v>55</v>
      </c>
      <c r="E226" t="s">
        <v>56</v>
      </c>
      <c r="F226" t="s">
        <v>1247</v>
      </c>
      <c r="G226" t="s">
        <v>410</v>
      </c>
      <c r="H226" t="s">
        <v>411</v>
      </c>
      <c r="I226" t="s">
        <v>411</v>
      </c>
      <c r="J226" t="s">
        <v>60</v>
      </c>
      <c r="K226" t="s">
        <v>388</v>
      </c>
      <c r="L226" t="s">
        <v>62</v>
      </c>
      <c r="M226" t="s">
        <v>388</v>
      </c>
      <c r="N226" t="s">
        <v>412</v>
      </c>
      <c r="O226" t="s">
        <v>413</v>
      </c>
      <c r="P226">
        <v>-20.161394000000001</v>
      </c>
      <c r="Q226">
        <v>-44.906725999999999</v>
      </c>
      <c r="R226" s="2" t="str">
        <f>HYPERLINK("https://www.google.com/maps?q=-20.1613940,-44.9067260","Abrir no Google Maps")</f>
        <v>Abrir no Google Maps</v>
      </c>
      <c r="S226">
        <v>3</v>
      </c>
      <c r="T226">
        <v>763.68157548493457</v>
      </c>
      <c r="U226">
        <v>4</v>
      </c>
      <c r="V226">
        <v>0.3185201190573923</v>
      </c>
      <c r="W226">
        <v>1</v>
      </c>
      <c r="X226">
        <v>0.3185201190573923</v>
      </c>
      <c r="Y226">
        <v>729</v>
      </c>
      <c r="Z226">
        <v>551.70379325948545</v>
      </c>
      <c r="AA226">
        <v>198</v>
      </c>
      <c r="AB226">
        <v>332</v>
      </c>
      <c r="AC226">
        <v>536</v>
      </c>
      <c r="AD226">
        <v>28.41</v>
      </c>
      <c r="AE226">
        <v>542</v>
      </c>
      <c r="AF226">
        <v>20</v>
      </c>
      <c r="AG226">
        <v>180</v>
      </c>
      <c r="AH226">
        <v>129</v>
      </c>
      <c r="AI226">
        <v>3.69</v>
      </c>
      <c r="AJ226">
        <v>33.21</v>
      </c>
      <c r="AK226">
        <v>23.8</v>
      </c>
      <c r="AL226">
        <v>-20.161371049999929</v>
      </c>
      <c r="AM226">
        <v>-44.906816797310228</v>
      </c>
      <c r="AN226">
        <v>-20.161371049999929</v>
      </c>
      <c r="AO226">
        <v>-44.906816797310228</v>
      </c>
      <c r="AP226">
        <v>-20.161394000000001</v>
      </c>
      <c r="AQ226">
        <v>-44.906725999999999</v>
      </c>
      <c r="AR226">
        <v>9.8261555662022495</v>
      </c>
      <c r="AS226" t="s">
        <v>65</v>
      </c>
      <c r="AT226">
        <v>1</v>
      </c>
      <c r="AU226" t="s">
        <v>414</v>
      </c>
      <c r="AV226" t="s">
        <v>415</v>
      </c>
      <c r="AW226" t="s">
        <v>60</v>
      </c>
      <c r="AX226" t="s">
        <v>68</v>
      </c>
      <c r="AY226" t="s">
        <v>69</v>
      </c>
      <c r="AZ226" t="b">
        <v>1</v>
      </c>
    </row>
    <row r="227" spans="1:52" x14ac:dyDescent="0.3">
      <c r="A227" t="s">
        <v>52</v>
      </c>
      <c r="B227" t="s">
        <v>53</v>
      </c>
      <c r="C227" t="s">
        <v>54</v>
      </c>
      <c r="D227" t="s">
        <v>55</v>
      </c>
      <c r="E227" t="s">
        <v>56</v>
      </c>
      <c r="F227" t="s">
        <v>1247</v>
      </c>
      <c r="G227" t="s">
        <v>416</v>
      </c>
      <c r="H227" t="s">
        <v>417</v>
      </c>
      <c r="I227" t="s">
        <v>417</v>
      </c>
      <c r="J227" t="s">
        <v>60</v>
      </c>
      <c r="K227" t="s">
        <v>418</v>
      </c>
      <c r="L227" t="s">
        <v>62</v>
      </c>
      <c r="M227" t="s">
        <v>418</v>
      </c>
      <c r="N227" t="s">
        <v>419</v>
      </c>
      <c r="O227" t="s">
        <v>202</v>
      </c>
      <c r="P227">
        <v>-20.169886000000002</v>
      </c>
      <c r="Q227">
        <v>-44.913288000000001</v>
      </c>
      <c r="R227" s="2" t="str">
        <f>HYPERLINK("https://www.google.com/maps?q=-20.1698860,-44.9132880","Abrir no Google Maps")</f>
        <v>Abrir no Google Maps</v>
      </c>
      <c r="S227">
        <v>3</v>
      </c>
      <c r="T227">
        <v>422.88733632898152</v>
      </c>
      <c r="U227">
        <v>4</v>
      </c>
      <c r="V227">
        <v>0.32412159026955512</v>
      </c>
      <c r="W227">
        <v>1</v>
      </c>
      <c r="X227">
        <v>0.32412159026955512</v>
      </c>
      <c r="Y227">
        <v>723</v>
      </c>
      <c r="Z227">
        <v>128.65003864232261</v>
      </c>
      <c r="AA227">
        <v>198</v>
      </c>
      <c r="AB227">
        <v>332</v>
      </c>
      <c r="AC227">
        <v>536</v>
      </c>
      <c r="AD227">
        <v>28.41</v>
      </c>
      <c r="AE227">
        <v>542</v>
      </c>
      <c r="AF227">
        <v>20</v>
      </c>
      <c r="AG227">
        <v>180</v>
      </c>
      <c r="AH227">
        <v>129</v>
      </c>
      <c r="AI227">
        <v>3.69</v>
      </c>
      <c r="AJ227">
        <v>33.21</v>
      </c>
      <c r="AK227">
        <v>23.8</v>
      </c>
      <c r="AL227">
        <v>-20.16970024999998</v>
      </c>
      <c r="AM227">
        <v>-44.913502201257437</v>
      </c>
      <c r="AN227">
        <v>-20.16970024999998</v>
      </c>
      <c r="AO227">
        <v>-44.913502201257437</v>
      </c>
      <c r="AP227">
        <v>-20.169886000000002</v>
      </c>
      <c r="AQ227">
        <v>-44.913288000000001</v>
      </c>
      <c r="AR227">
        <v>30.47208587597606</v>
      </c>
      <c r="AS227" t="s">
        <v>65</v>
      </c>
      <c r="AT227">
        <v>1</v>
      </c>
      <c r="AU227" t="s">
        <v>420</v>
      </c>
      <c r="AV227" t="s">
        <v>421</v>
      </c>
      <c r="AW227" t="s">
        <v>60</v>
      </c>
      <c r="AX227" t="s">
        <v>68</v>
      </c>
      <c r="AY227" t="s">
        <v>69</v>
      </c>
      <c r="AZ227" t="b">
        <v>1</v>
      </c>
    </row>
    <row r="228" spans="1:52" x14ac:dyDescent="0.3">
      <c r="A228" t="s">
        <v>52</v>
      </c>
      <c r="B228" t="s">
        <v>53</v>
      </c>
      <c r="C228" t="s">
        <v>54</v>
      </c>
      <c r="D228" t="s">
        <v>55</v>
      </c>
      <c r="E228" t="s">
        <v>56</v>
      </c>
      <c r="F228" t="s">
        <v>1247</v>
      </c>
      <c r="G228" t="s">
        <v>422</v>
      </c>
      <c r="H228" t="s">
        <v>423</v>
      </c>
      <c r="I228" t="s">
        <v>423</v>
      </c>
      <c r="J228" t="s">
        <v>60</v>
      </c>
      <c r="K228" t="s">
        <v>424</v>
      </c>
      <c r="L228" t="s">
        <v>62</v>
      </c>
      <c r="M228" t="s">
        <v>424</v>
      </c>
      <c r="N228" t="s">
        <v>425</v>
      </c>
      <c r="O228" t="s">
        <v>426</v>
      </c>
      <c r="P228">
        <v>-20.177748000000001</v>
      </c>
      <c r="Q228">
        <v>-44.912475000000001</v>
      </c>
      <c r="R228" s="2" t="str">
        <f>HYPERLINK("https://www.google.com/maps?q=-20.1777480,-44.9124750","Abrir no Google Maps")</f>
        <v>Abrir no Google Maps</v>
      </c>
      <c r="S228">
        <v>3</v>
      </c>
      <c r="T228">
        <v>657.07560140436533</v>
      </c>
      <c r="U228">
        <v>4</v>
      </c>
      <c r="V228">
        <v>0.30699606161885817</v>
      </c>
      <c r="W228">
        <v>1</v>
      </c>
      <c r="X228">
        <v>0.30699606161885817</v>
      </c>
      <c r="Y228">
        <v>723</v>
      </c>
      <c r="Z228">
        <v>796.94198000561175</v>
      </c>
      <c r="AA228">
        <v>198</v>
      </c>
      <c r="AB228">
        <v>332</v>
      </c>
      <c r="AC228">
        <v>536</v>
      </c>
      <c r="AD228">
        <v>28.41</v>
      </c>
      <c r="AE228">
        <v>542</v>
      </c>
      <c r="AF228">
        <v>20</v>
      </c>
      <c r="AG228">
        <v>180</v>
      </c>
      <c r="AH228">
        <v>129</v>
      </c>
      <c r="AI228">
        <v>3.69</v>
      </c>
      <c r="AJ228">
        <v>33.21</v>
      </c>
      <c r="AK228">
        <v>23.8</v>
      </c>
      <c r="AL228">
        <v>-20.177761749999949</v>
      </c>
      <c r="AM228">
        <v>-44.91263311624418</v>
      </c>
      <c r="AN228">
        <v>-20.177761749999949</v>
      </c>
      <c r="AO228">
        <v>-44.91263311624418</v>
      </c>
      <c r="AP228">
        <v>-20.177748000000001</v>
      </c>
      <c r="AQ228">
        <v>-44.912475000000001</v>
      </c>
      <c r="AR228">
        <v>16.591996803075372</v>
      </c>
      <c r="AS228" t="s">
        <v>65</v>
      </c>
      <c r="AT228">
        <v>1</v>
      </c>
      <c r="AU228" t="s">
        <v>427</v>
      </c>
      <c r="AV228" t="s">
        <v>428</v>
      </c>
      <c r="AW228" t="s">
        <v>60</v>
      </c>
      <c r="AX228" t="s">
        <v>68</v>
      </c>
      <c r="AY228" t="s">
        <v>69</v>
      </c>
      <c r="AZ228" t="b">
        <v>1</v>
      </c>
    </row>
    <row r="229" spans="1:52" x14ac:dyDescent="0.3">
      <c r="A229" t="s">
        <v>52</v>
      </c>
      <c r="B229" t="s">
        <v>53</v>
      </c>
      <c r="C229" t="s">
        <v>54</v>
      </c>
      <c r="D229" t="s">
        <v>55</v>
      </c>
      <c r="E229" t="s">
        <v>56</v>
      </c>
      <c r="F229" t="s">
        <v>1247</v>
      </c>
      <c r="G229" t="s">
        <v>429</v>
      </c>
      <c r="H229" t="s">
        <v>430</v>
      </c>
      <c r="I229" t="s">
        <v>430</v>
      </c>
      <c r="J229" t="s">
        <v>60</v>
      </c>
      <c r="K229" t="s">
        <v>431</v>
      </c>
      <c r="L229" t="s">
        <v>62</v>
      </c>
      <c r="M229" t="s">
        <v>431</v>
      </c>
      <c r="N229" t="s">
        <v>432</v>
      </c>
      <c r="O229" t="s">
        <v>315</v>
      </c>
      <c r="P229">
        <v>-20.172698</v>
      </c>
      <c r="Q229">
        <v>-44.923842</v>
      </c>
      <c r="R229" s="2" t="str">
        <f>HYPERLINK("https://www.google.com/maps?q=-20.1726980,-44.9238420","Abrir no Google Maps")</f>
        <v>Abrir no Google Maps</v>
      </c>
      <c r="S229">
        <v>3</v>
      </c>
      <c r="T229">
        <v>1376.1843173402931</v>
      </c>
      <c r="U229">
        <v>4</v>
      </c>
      <c r="V229">
        <v>0.3661960693916349</v>
      </c>
      <c r="W229">
        <v>0.85</v>
      </c>
      <c r="X229">
        <v>0.31126665898288969</v>
      </c>
      <c r="Y229">
        <v>723</v>
      </c>
      <c r="Z229">
        <v>1101.340635002096</v>
      </c>
      <c r="AA229">
        <v>198</v>
      </c>
      <c r="AB229">
        <v>332</v>
      </c>
      <c r="AC229">
        <v>536</v>
      </c>
      <c r="AD229">
        <v>28.41</v>
      </c>
      <c r="AE229">
        <v>542</v>
      </c>
      <c r="AF229">
        <v>20</v>
      </c>
      <c r="AG229">
        <v>180</v>
      </c>
      <c r="AH229">
        <v>129</v>
      </c>
      <c r="AI229">
        <v>3.69</v>
      </c>
      <c r="AJ229">
        <v>33.21</v>
      </c>
      <c r="AK229">
        <v>23.8</v>
      </c>
      <c r="AL229">
        <v>-20.172942799999959</v>
      </c>
      <c r="AM229">
        <v>-44.923585372665762</v>
      </c>
      <c r="AN229">
        <v>-20.172942799999959</v>
      </c>
      <c r="AO229">
        <v>-44.923585372665762</v>
      </c>
      <c r="AP229">
        <v>-20.172698</v>
      </c>
      <c r="AQ229">
        <v>-44.923842</v>
      </c>
      <c r="AR229">
        <v>38.231981408478958</v>
      </c>
      <c r="AS229" t="s">
        <v>65</v>
      </c>
      <c r="AT229">
        <v>1</v>
      </c>
      <c r="AU229" t="s">
        <v>433</v>
      </c>
      <c r="AV229" t="s">
        <v>434</v>
      </c>
      <c r="AW229" t="s">
        <v>60</v>
      </c>
      <c r="AX229" t="s">
        <v>68</v>
      </c>
      <c r="AY229" t="s">
        <v>69</v>
      </c>
      <c r="AZ229" t="b">
        <v>1</v>
      </c>
    </row>
    <row r="230" spans="1:52" x14ac:dyDescent="0.3">
      <c r="A230" t="s">
        <v>52</v>
      </c>
      <c r="B230" t="s">
        <v>53</v>
      </c>
      <c r="C230" t="s">
        <v>54</v>
      </c>
      <c r="D230" t="s">
        <v>55</v>
      </c>
      <c r="E230" t="s">
        <v>56</v>
      </c>
      <c r="F230" t="s">
        <v>1247</v>
      </c>
      <c r="G230" t="s">
        <v>435</v>
      </c>
      <c r="H230" t="s">
        <v>436</v>
      </c>
      <c r="I230" t="s">
        <v>436</v>
      </c>
      <c r="J230" t="s">
        <v>60</v>
      </c>
      <c r="K230" t="s">
        <v>437</v>
      </c>
      <c r="L230" t="s">
        <v>62</v>
      </c>
      <c r="M230" t="s">
        <v>437</v>
      </c>
      <c r="N230" t="s">
        <v>438</v>
      </c>
      <c r="O230" t="s">
        <v>439</v>
      </c>
      <c r="P230">
        <v>-20.145613000000001</v>
      </c>
      <c r="Q230">
        <v>-44.882375000000003</v>
      </c>
      <c r="R230" s="2" t="str">
        <f>HYPERLINK("https://www.google.com/maps?q=-20.1456130,-44.8823750","Abrir no Google Maps")</f>
        <v>Abrir no Google Maps</v>
      </c>
      <c r="S230">
        <v>3</v>
      </c>
      <c r="T230">
        <v>305.65092112314198</v>
      </c>
      <c r="U230">
        <v>4</v>
      </c>
      <c r="V230">
        <v>0.30517960094229268</v>
      </c>
      <c r="W230">
        <v>1</v>
      </c>
      <c r="X230">
        <v>0.30517960094229268</v>
      </c>
      <c r="Y230">
        <v>653</v>
      </c>
      <c r="Z230">
        <v>349.55297035282501</v>
      </c>
      <c r="AA230">
        <v>198</v>
      </c>
      <c r="AB230">
        <v>332</v>
      </c>
      <c r="AC230">
        <v>536</v>
      </c>
      <c r="AD230">
        <v>28.41</v>
      </c>
      <c r="AE230">
        <v>542</v>
      </c>
      <c r="AF230">
        <v>20</v>
      </c>
      <c r="AG230">
        <v>180</v>
      </c>
      <c r="AH230">
        <v>129</v>
      </c>
      <c r="AI230">
        <v>3.69</v>
      </c>
      <c r="AJ230">
        <v>33.21</v>
      </c>
      <c r="AK230">
        <v>23.8</v>
      </c>
      <c r="AL230">
        <v>-20.14550464999996</v>
      </c>
      <c r="AM230">
        <v>-44.882157007077737</v>
      </c>
      <c r="AN230">
        <v>-20.14550464999996</v>
      </c>
      <c r="AO230">
        <v>-44.882157007077737</v>
      </c>
      <c r="AP230">
        <v>-20.145613000000001</v>
      </c>
      <c r="AQ230">
        <v>-44.882375000000003</v>
      </c>
      <c r="AR230">
        <v>25.77819791856259</v>
      </c>
      <c r="AS230" t="s">
        <v>65</v>
      </c>
      <c r="AT230">
        <v>1</v>
      </c>
      <c r="AU230" t="s">
        <v>440</v>
      </c>
      <c r="AV230" t="s">
        <v>441</v>
      </c>
      <c r="AW230" t="s">
        <v>60</v>
      </c>
      <c r="AX230" t="s">
        <v>68</v>
      </c>
      <c r="AY230" t="s">
        <v>69</v>
      </c>
      <c r="AZ230" t="b">
        <v>1</v>
      </c>
    </row>
    <row r="231" spans="1:52" x14ac:dyDescent="0.3">
      <c r="A231" t="s">
        <v>52</v>
      </c>
      <c r="B231" t="s">
        <v>53</v>
      </c>
      <c r="C231" t="s">
        <v>54</v>
      </c>
      <c r="D231" t="s">
        <v>55</v>
      </c>
      <c r="E231" t="s">
        <v>56</v>
      </c>
      <c r="F231" t="s">
        <v>1247</v>
      </c>
      <c r="G231" t="s">
        <v>442</v>
      </c>
      <c r="H231" t="s">
        <v>443</v>
      </c>
      <c r="I231" t="s">
        <v>443</v>
      </c>
      <c r="J231" t="s">
        <v>60</v>
      </c>
      <c r="K231" t="s">
        <v>437</v>
      </c>
      <c r="L231" t="s">
        <v>62</v>
      </c>
      <c r="M231" t="s">
        <v>437</v>
      </c>
      <c r="N231" t="s">
        <v>444</v>
      </c>
      <c r="O231" t="s">
        <v>445</v>
      </c>
      <c r="P231">
        <v>-20.149744999999999</v>
      </c>
      <c r="Q231">
        <v>-44.881385000000002</v>
      </c>
      <c r="R231" s="2" t="str">
        <f>HYPERLINK("https://www.google.com/maps?q=-20.1497450,-44.8813850","Abrir no Google Maps")</f>
        <v>Abrir no Google Maps</v>
      </c>
      <c r="S231">
        <v>3</v>
      </c>
      <c r="T231">
        <v>188.80690546111239</v>
      </c>
      <c r="U231">
        <v>4</v>
      </c>
      <c r="V231">
        <v>0.31953695200052351</v>
      </c>
      <c r="W231">
        <v>1</v>
      </c>
      <c r="X231">
        <v>0.31953695200052351</v>
      </c>
      <c r="Y231">
        <v>653</v>
      </c>
      <c r="Z231">
        <v>86.575080390731017</v>
      </c>
      <c r="AA231">
        <v>198</v>
      </c>
      <c r="AB231">
        <v>332</v>
      </c>
      <c r="AC231">
        <v>536</v>
      </c>
      <c r="AD231">
        <v>28.41</v>
      </c>
      <c r="AE231">
        <v>542</v>
      </c>
      <c r="AF231">
        <v>20</v>
      </c>
      <c r="AG231">
        <v>180</v>
      </c>
      <c r="AH231">
        <v>129</v>
      </c>
      <c r="AI231">
        <v>3.69</v>
      </c>
      <c r="AJ231">
        <v>33.21</v>
      </c>
      <c r="AK231">
        <v>23.8</v>
      </c>
      <c r="AL231">
        <v>-20.149645149999941</v>
      </c>
      <c r="AM231">
        <v>-44.881504585149607</v>
      </c>
      <c r="AN231">
        <v>-20.149645149999941</v>
      </c>
      <c r="AO231">
        <v>-44.881504585149607</v>
      </c>
      <c r="AP231">
        <v>-20.149744999999999</v>
      </c>
      <c r="AQ231">
        <v>-44.881385000000002</v>
      </c>
      <c r="AR231">
        <v>16.725323110840389</v>
      </c>
      <c r="AS231" t="s">
        <v>65</v>
      </c>
      <c r="AT231">
        <v>1</v>
      </c>
      <c r="AU231" t="s">
        <v>446</v>
      </c>
      <c r="AV231" t="s">
        <v>447</v>
      </c>
      <c r="AW231" t="s">
        <v>60</v>
      </c>
      <c r="AX231" t="s">
        <v>68</v>
      </c>
      <c r="AY231" t="s">
        <v>69</v>
      </c>
      <c r="AZ231" t="b">
        <v>1</v>
      </c>
    </row>
    <row r="232" spans="1:52" x14ac:dyDescent="0.3">
      <c r="A232" t="s">
        <v>52</v>
      </c>
      <c r="B232" t="s">
        <v>53</v>
      </c>
      <c r="C232" t="s">
        <v>54</v>
      </c>
      <c r="D232" t="s">
        <v>55</v>
      </c>
      <c r="E232" t="s">
        <v>56</v>
      </c>
      <c r="F232" t="s">
        <v>1247</v>
      </c>
      <c r="G232" t="s">
        <v>448</v>
      </c>
      <c r="H232" t="s">
        <v>449</v>
      </c>
      <c r="I232" t="s">
        <v>449</v>
      </c>
      <c r="J232" t="s">
        <v>60</v>
      </c>
      <c r="K232" t="s">
        <v>388</v>
      </c>
      <c r="L232" t="s">
        <v>62</v>
      </c>
      <c r="M232" t="s">
        <v>388</v>
      </c>
      <c r="N232" t="s">
        <v>450</v>
      </c>
      <c r="O232" t="s">
        <v>451</v>
      </c>
      <c r="P232">
        <v>-20.163981</v>
      </c>
      <c r="Q232">
        <v>-44.907128999999998</v>
      </c>
      <c r="R232" s="2" t="str">
        <f>HYPERLINK("https://www.google.com/maps?q=-20.1639810,-44.9071290","Abrir no Google Maps")</f>
        <v>Abrir no Google Maps</v>
      </c>
      <c r="S232">
        <v>3</v>
      </c>
      <c r="T232">
        <v>782.50730806588319</v>
      </c>
      <c r="U232">
        <v>4</v>
      </c>
      <c r="V232">
        <v>0.32341404027987403</v>
      </c>
      <c r="W232">
        <v>1</v>
      </c>
      <c r="X232">
        <v>0.32341404027987403</v>
      </c>
      <c r="Y232">
        <v>639</v>
      </c>
      <c r="Z232">
        <v>710.90621453796166</v>
      </c>
      <c r="AA232">
        <v>198</v>
      </c>
      <c r="AB232">
        <v>332</v>
      </c>
      <c r="AC232">
        <v>536</v>
      </c>
      <c r="AD232">
        <v>28.41</v>
      </c>
      <c r="AE232">
        <v>542</v>
      </c>
      <c r="AF232">
        <v>20</v>
      </c>
      <c r="AG232">
        <v>180</v>
      </c>
      <c r="AH232">
        <v>129</v>
      </c>
      <c r="AI232">
        <v>3.69</v>
      </c>
      <c r="AJ232">
        <v>33.21</v>
      </c>
      <c r="AK232">
        <v>23.8</v>
      </c>
      <c r="AL232">
        <v>-20.163958349999969</v>
      </c>
      <c r="AM232">
        <v>-44.907180923930973</v>
      </c>
      <c r="AN232">
        <v>-20.163958349999969</v>
      </c>
      <c r="AO232">
        <v>-44.907180923930973</v>
      </c>
      <c r="AP232">
        <v>-20.163981</v>
      </c>
      <c r="AQ232">
        <v>-44.907128999999998</v>
      </c>
      <c r="AR232">
        <v>5.9831345092457884</v>
      </c>
      <c r="AS232" t="s">
        <v>65</v>
      </c>
      <c r="AT232">
        <v>1</v>
      </c>
      <c r="AU232" t="s">
        <v>452</v>
      </c>
      <c r="AV232" t="s">
        <v>453</v>
      </c>
      <c r="AW232" t="s">
        <v>60</v>
      </c>
      <c r="AX232" t="s">
        <v>68</v>
      </c>
      <c r="AY232" t="s">
        <v>69</v>
      </c>
      <c r="AZ232" t="b">
        <v>1</v>
      </c>
    </row>
    <row r="233" spans="1:52" x14ac:dyDescent="0.3">
      <c r="A233" t="s">
        <v>52</v>
      </c>
      <c r="B233" t="s">
        <v>53</v>
      </c>
      <c r="C233" t="s">
        <v>54</v>
      </c>
      <c r="D233" t="s">
        <v>55</v>
      </c>
      <c r="E233" t="s">
        <v>56</v>
      </c>
      <c r="F233" t="s">
        <v>1247</v>
      </c>
      <c r="G233" t="s">
        <v>454</v>
      </c>
      <c r="H233" t="s">
        <v>455</v>
      </c>
      <c r="I233" t="s">
        <v>455</v>
      </c>
      <c r="J233" t="s">
        <v>60</v>
      </c>
      <c r="K233" t="s">
        <v>456</v>
      </c>
      <c r="L233" t="s">
        <v>62</v>
      </c>
      <c r="M233" t="s">
        <v>456</v>
      </c>
      <c r="N233" t="s">
        <v>102</v>
      </c>
      <c r="O233" t="s">
        <v>457</v>
      </c>
      <c r="P233">
        <v>-20.138373999999999</v>
      </c>
      <c r="Q233">
        <v>-44.903756999999999</v>
      </c>
      <c r="R233" s="2" t="str">
        <f>HYPERLINK("https://www.google.com/maps?q=-20.1383740,-44.9037570","Abrir no Google Maps")</f>
        <v>Abrir no Google Maps</v>
      </c>
      <c r="S233">
        <v>3</v>
      </c>
      <c r="T233">
        <v>357.59466273594461</v>
      </c>
      <c r="U233">
        <v>4</v>
      </c>
      <c r="V233">
        <v>0.3219162747190854</v>
      </c>
      <c r="W233">
        <v>1</v>
      </c>
      <c r="X233">
        <v>0.3219162747190854</v>
      </c>
      <c r="Y233">
        <v>581</v>
      </c>
      <c r="Z233">
        <v>406.92482694505992</v>
      </c>
      <c r="AA233">
        <v>198</v>
      </c>
      <c r="AB233">
        <v>332</v>
      </c>
      <c r="AC233">
        <v>536</v>
      </c>
      <c r="AD233">
        <v>28.41</v>
      </c>
      <c r="AE233">
        <v>542</v>
      </c>
      <c r="AF233">
        <v>20</v>
      </c>
      <c r="AG233">
        <v>180</v>
      </c>
      <c r="AH233">
        <v>129</v>
      </c>
      <c r="AI233">
        <v>3.69</v>
      </c>
      <c r="AJ233">
        <v>33.21</v>
      </c>
      <c r="AK233">
        <v>23.8</v>
      </c>
      <c r="AL233">
        <v>-20.138338199999961</v>
      </c>
      <c r="AM233">
        <v>-44.903768618976301</v>
      </c>
      <c r="AN233">
        <v>-20.138338199999961</v>
      </c>
      <c r="AO233">
        <v>-44.903768618976301</v>
      </c>
      <c r="AP233">
        <v>-20.138373999999999</v>
      </c>
      <c r="AQ233">
        <v>-44.903756999999999</v>
      </c>
      <c r="AR233">
        <v>4.1661625938922704</v>
      </c>
      <c r="AS233" t="s">
        <v>65</v>
      </c>
      <c r="AT233">
        <v>1</v>
      </c>
      <c r="AU233" t="s">
        <v>458</v>
      </c>
      <c r="AV233" t="s">
        <v>459</v>
      </c>
      <c r="AW233" t="s">
        <v>60</v>
      </c>
      <c r="AX233" t="s">
        <v>68</v>
      </c>
      <c r="AY233" t="s">
        <v>69</v>
      </c>
      <c r="AZ233" t="b">
        <v>1</v>
      </c>
    </row>
    <row r="234" spans="1:52" x14ac:dyDescent="0.3">
      <c r="A234" t="s">
        <v>52</v>
      </c>
      <c r="B234" t="s">
        <v>53</v>
      </c>
      <c r="C234" t="s">
        <v>54</v>
      </c>
      <c r="D234" t="s">
        <v>55</v>
      </c>
      <c r="E234" t="s">
        <v>56</v>
      </c>
      <c r="F234" t="s">
        <v>1247</v>
      </c>
      <c r="G234" t="s">
        <v>460</v>
      </c>
      <c r="H234" t="s">
        <v>461</v>
      </c>
      <c r="I234" t="s">
        <v>461</v>
      </c>
      <c r="J234" t="s">
        <v>60</v>
      </c>
      <c r="K234" t="s">
        <v>462</v>
      </c>
      <c r="L234" t="s">
        <v>62</v>
      </c>
      <c r="M234" t="s">
        <v>462</v>
      </c>
      <c r="N234" t="s">
        <v>463</v>
      </c>
      <c r="O234" t="s">
        <v>464</v>
      </c>
      <c r="P234">
        <v>-20.137919</v>
      </c>
      <c r="Q234">
        <v>-44.905591000000001</v>
      </c>
      <c r="R234" s="2" t="str">
        <f>HYPERLINK("https://www.google.com/maps?q=-20.1379190,-44.9055910","Abrir no Google Maps")</f>
        <v>Abrir no Google Maps</v>
      </c>
      <c r="S234">
        <v>3</v>
      </c>
      <c r="T234">
        <v>262.01115919461103</v>
      </c>
      <c r="U234">
        <v>4</v>
      </c>
      <c r="V234">
        <v>0.33512787041069819</v>
      </c>
      <c r="W234">
        <v>1</v>
      </c>
      <c r="X234">
        <v>0.33512787041069819</v>
      </c>
      <c r="Y234">
        <v>581</v>
      </c>
      <c r="Z234">
        <v>318.63337303219271</v>
      </c>
      <c r="AA234">
        <v>198</v>
      </c>
      <c r="AB234">
        <v>332</v>
      </c>
      <c r="AC234">
        <v>536</v>
      </c>
      <c r="AD234">
        <v>28.41</v>
      </c>
      <c r="AE234">
        <v>542</v>
      </c>
      <c r="AF234">
        <v>20</v>
      </c>
      <c r="AG234">
        <v>180</v>
      </c>
      <c r="AH234">
        <v>129</v>
      </c>
      <c r="AI234">
        <v>3.69</v>
      </c>
      <c r="AJ234">
        <v>33.21</v>
      </c>
      <c r="AK234">
        <v>23.8</v>
      </c>
      <c r="AL234">
        <v>-20.13789079999998</v>
      </c>
      <c r="AM234">
        <v>-44.90548593520333</v>
      </c>
      <c r="AN234">
        <v>-20.13789079999998</v>
      </c>
      <c r="AO234">
        <v>-44.90548593520333</v>
      </c>
      <c r="AP234">
        <v>-20.137919</v>
      </c>
      <c r="AQ234">
        <v>-44.905591000000001</v>
      </c>
      <c r="AR234">
        <v>11.42072348298178</v>
      </c>
      <c r="AS234" t="s">
        <v>65</v>
      </c>
      <c r="AT234">
        <v>1</v>
      </c>
      <c r="AU234" t="s">
        <v>465</v>
      </c>
      <c r="AV234" t="s">
        <v>466</v>
      </c>
      <c r="AW234" t="s">
        <v>60</v>
      </c>
      <c r="AX234" t="s">
        <v>68</v>
      </c>
      <c r="AY234" t="s">
        <v>69</v>
      </c>
      <c r="AZ234" t="b">
        <v>1</v>
      </c>
    </row>
    <row r="235" spans="1:52" x14ac:dyDescent="0.3">
      <c r="A235" t="s">
        <v>52</v>
      </c>
      <c r="B235" t="s">
        <v>53</v>
      </c>
      <c r="C235" t="s">
        <v>54</v>
      </c>
      <c r="D235" t="s">
        <v>55</v>
      </c>
      <c r="E235" t="s">
        <v>56</v>
      </c>
      <c r="F235" t="s">
        <v>1247</v>
      </c>
      <c r="G235" t="s">
        <v>467</v>
      </c>
      <c r="H235" t="s">
        <v>468</v>
      </c>
      <c r="I235" t="s">
        <v>468</v>
      </c>
      <c r="J235" t="s">
        <v>60</v>
      </c>
      <c r="K235" t="s">
        <v>462</v>
      </c>
      <c r="L235" t="s">
        <v>62</v>
      </c>
      <c r="M235" t="s">
        <v>462</v>
      </c>
      <c r="N235" t="s">
        <v>469</v>
      </c>
      <c r="O235" t="s">
        <v>470</v>
      </c>
      <c r="P235">
        <v>-20.138233</v>
      </c>
      <c r="Q235">
        <v>-44.908200000000001</v>
      </c>
      <c r="R235" s="2" t="str">
        <f>HYPERLINK("https://www.google.com/maps?q=-20.1382330,-44.9082000","Abrir no Google Maps")</f>
        <v>Abrir no Google Maps</v>
      </c>
      <c r="S235">
        <v>3</v>
      </c>
      <c r="T235">
        <v>0</v>
      </c>
      <c r="U235">
        <v>4</v>
      </c>
      <c r="V235">
        <v>0.33298555370371058</v>
      </c>
      <c r="W235">
        <v>1</v>
      </c>
      <c r="X235">
        <v>0.33298555370371058</v>
      </c>
      <c r="Y235">
        <v>581</v>
      </c>
      <c r="Z235">
        <v>153.18688302958171</v>
      </c>
      <c r="AA235">
        <v>198</v>
      </c>
      <c r="AB235">
        <v>332</v>
      </c>
      <c r="AC235">
        <v>536</v>
      </c>
      <c r="AD235">
        <v>28.41</v>
      </c>
      <c r="AE235">
        <v>542</v>
      </c>
      <c r="AF235">
        <v>20</v>
      </c>
      <c r="AG235">
        <v>180</v>
      </c>
      <c r="AH235">
        <v>129</v>
      </c>
      <c r="AI235">
        <v>3.69</v>
      </c>
      <c r="AJ235">
        <v>33.21</v>
      </c>
      <c r="AK235">
        <v>23.8</v>
      </c>
      <c r="AL235">
        <v>-20.138364899999971</v>
      </c>
      <c r="AM235">
        <v>-44.907942114873997</v>
      </c>
      <c r="AN235">
        <v>-20.138364899999971</v>
      </c>
      <c r="AO235">
        <v>-44.907942114873997</v>
      </c>
      <c r="AP235">
        <v>-20.138233</v>
      </c>
      <c r="AQ235">
        <v>-44.908200000000001</v>
      </c>
      <c r="AR235">
        <v>30.692690617986941</v>
      </c>
      <c r="AS235" t="s">
        <v>65</v>
      </c>
      <c r="AT235">
        <v>1</v>
      </c>
      <c r="AU235" t="s">
        <v>471</v>
      </c>
      <c r="AV235" t="s">
        <v>472</v>
      </c>
      <c r="AW235" t="s">
        <v>60</v>
      </c>
      <c r="AX235" t="s">
        <v>68</v>
      </c>
      <c r="AY235" t="s">
        <v>69</v>
      </c>
      <c r="AZ235" t="b">
        <v>1</v>
      </c>
    </row>
    <row r="236" spans="1:52" x14ac:dyDescent="0.3">
      <c r="A236" t="s">
        <v>52</v>
      </c>
      <c r="B236" t="s">
        <v>53</v>
      </c>
      <c r="C236" t="s">
        <v>54</v>
      </c>
      <c r="D236" t="s">
        <v>55</v>
      </c>
      <c r="E236" t="s">
        <v>56</v>
      </c>
      <c r="F236" t="s">
        <v>1247</v>
      </c>
      <c r="G236" t="s">
        <v>473</v>
      </c>
      <c r="H236" t="s">
        <v>474</v>
      </c>
      <c r="I236" t="s">
        <v>474</v>
      </c>
      <c r="J236" t="s">
        <v>60</v>
      </c>
      <c r="K236" t="s">
        <v>475</v>
      </c>
      <c r="L236" t="s">
        <v>62</v>
      </c>
      <c r="M236" t="s">
        <v>475</v>
      </c>
      <c r="N236" t="s">
        <v>406</v>
      </c>
      <c r="O236" t="s">
        <v>476</v>
      </c>
      <c r="P236">
        <v>-20.177902</v>
      </c>
      <c r="Q236">
        <v>-44.908504000000001</v>
      </c>
      <c r="R236" s="2" t="str">
        <f>HYPERLINK("https://www.google.com/maps?q=-20.1779020,-44.9085040","Abrir no Google Maps")</f>
        <v>Abrir no Google Maps</v>
      </c>
      <c r="S236">
        <v>3</v>
      </c>
      <c r="T236">
        <v>656.92307673247149</v>
      </c>
      <c r="U236">
        <v>4</v>
      </c>
      <c r="V236">
        <v>0.2957105196655887</v>
      </c>
      <c r="W236">
        <v>1</v>
      </c>
      <c r="X236">
        <v>0.2957105196655887</v>
      </c>
      <c r="Y236">
        <v>578</v>
      </c>
      <c r="Z236">
        <v>635.01982153722327</v>
      </c>
      <c r="AA236">
        <v>198</v>
      </c>
      <c r="AB236">
        <v>332</v>
      </c>
      <c r="AC236">
        <v>536</v>
      </c>
      <c r="AD236">
        <v>28.41</v>
      </c>
      <c r="AE236">
        <v>542</v>
      </c>
      <c r="AF236">
        <v>20</v>
      </c>
      <c r="AG236">
        <v>180</v>
      </c>
      <c r="AH236">
        <v>129</v>
      </c>
      <c r="AI236">
        <v>3.69</v>
      </c>
      <c r="AJ236">
        <v>33.21</v>
      </c>
      <c r="AK236">
        <v>23.8</v>
      </c>
      <c r="AL236">
        <v>-20.177800399999938</v>
      </c>
      <c r="AM236">
        <v>-44.908361879701268</v>
      </c>
      <c r="AN236">
        <v>-20.177800399999938</v>
      </c>
      <c r="AO236">
        <v>-44.908361879701268</v>
      </c>
      <c r="AP236">
        <v>-20.177902</v>
      </c>
      <c r="AQ236">
        <v>-44.908504000000001</v>
      </c>
      <c r="AR236">
        <v>18.666463141775541</v>
      </c>
      <c r="AS236" t="s">
        <v>65</v>
      </c>
      <c r="AT236">
        <v>1</v>
      </c>
      <c r="AU236" t="s">
        <v>477</v>
      </c>
      <c r="AV236" t="s">
        <v>478</v>
      </c>
      <c r="AW236" t="s">
        <v>60</v>
      </c>
      <c r="AX236" t="s">
        <v>68</v>
      </c>
      <c r="AY236" t="s">
        <v>69</v>
      </c>
      <c r="AZ236" t="b">
        <v>1</v>
      </c>
    </row>
    <row r="237" spans="1:52" x14ac:dyDescent="0.3">
      <c r="A237" t="s">
        <v>52</v>
      </c>
      <c r="B237" t="s">
        <v>53</v>
      </c>
      <c r="C237" t="s">
        <v>54</v>
      </c>
      <c r="D237" t="s">
        <v>55</v>
      </c>
      <c r="E237" t="s">
        <v>56</v>
      </c>
      <c r="F237" t="s">
        <v>1247</v>
      </c>
      <c r="G237" t="s">
        <v>479</v>
      </c>
      <c r="H237" t="s">
        <v>480</v>
      </c>
      <c r="I237" t="s">
        <v>480</v>
      </c>
      <c r="J237" t="s">
        <v>60</v>
      </c>
      <c r="K237" t="s">
        <v>388</v>
      </c>
      <c r="L237" t="s">
        <v>62</v>
      </c>
      <c r="M237" t="s">
        <v>388</v>
      </c>
      <c r="N237" t="s">
        <v>481</v>
      </c>
      <c r="O237" t="s">
        <v>315</v>
      </c>
      <c r="P237">
        <v>-20.166903999999999</v>
      </c>
      <c r="Q237">
        <v>-44.903492</v>
      </c>
      <c r="R237" s="2" t="str">
        <f>HYPERLINK("https://www.google.com/maps?q=-20.1669040,-44.9034920","Abrir no Google Maps")</f>
        <v>Abrir no Google Maps</v>
      </c>
      <c r="S237">
        <v>3</v>
      </c>
      <c r="T237">
        <v>517.12253532511602</v>
      </c>
      <c r="U237">
        <v>4</v>
      </c>
      <c r="V237">
        <v>0.30653167569655931</v>
      </c>
      <c r="W237">
        <v>1</v>
      </c>
      <c r="X237">
        <v>0.30653167569655931</v>
      </c>
      <c r="Y237">
        <v>578</v>
      </c>
      <c r="Z237">
        <v>721.79551240050432</v>
      </c>
      <c r="AA237">
        <v>198</v>
      </c>
      <c r="AB237">
        <v>332</v>
      </c>
      <c r="AC237">
        <v>536</v>
      </c>
      <c r="AD237">
        <v>28.41</v>
      </c>
      <c r="AE237">
        <v>542</v>
      </c>
      <c r="AF237">
        <v>20</v>
      </c>
      <c r="AG237">
        <v>180</v>
      </c>
      <c r="AH237">
        <v>129</v>
      </c>
      <c r="AI237">
        <v>3.69</v>
      </c>
      <c r="AJ237">
        <v>33.21</v>
      </c>
      <c r="AK237">
        <v>23.8</v>
      </c>
      <c r="AL237">
        <v>-20.166610649999971</v>
      </c>
      <c r="AM237">
        <v>-44.903452988928308</v>
      </c>
      <c r="AN237">
        <v>-20.166610649999971</v>
      </c>
      <c r="AO237">
        <v>-44.903452988928308</v>
      </c>
      <c r="AP237">
        <v>-20.166903999999999</v>
      </c>
      <c r="AQ237">
        <v>-44.903492</v>
      </c>
      <c r="AR237">
        <v>32.909175876856217</v>
      </c>
      <c r="AS237" t="s">
        <v>65</v>
      </c>
      <c r="AT237">
        <v>1</v>
      </c>
      <c r="AU237" t="s">
        <v>482</v>
      </c>
      <c r="AV237" t="s">
        <v>483</v>
      </c>
      <c r="AW237" t="s">
        <v>60</v>
      </c>
      <c r="AX237" t="s">
        <v>68</v>
      </c>
      <c r="AY237" t="s">
        <v>69</v>
      </c>
      <c r="AZ237" t="b">
        <v>1</v>
      </c>
    </row>
    <row r="238" spans="1:52" x14ac:dyDescent="0.3">
      <c r="A238" t="s">
        <v>52</v>
      </c>
      <c r="B238" t="s">
        <v>53</v>
      </c>
      <c r="C238" t="s">
        <v>54</v>
      </c>
      <c r="D238" t="s">
        <v>55</v>
      </c>
      <c r="E238" t="s">
        <v>56</v>
      </c>
      <c r="F238" t="s">
        <v>1247</v>
      </c>
      <c r="G238" t="s">
        <v>484</v>
      </c>
      <c r="H238" t="s">
        <v>485</v>
      </c>
      <c r="I238" t="s">
        <v>485</v>
      </c>
      <c r="J238" t="s">
        <v>60</v>
      </c>
      <c r="K238" t="s">
        <v>486</v>
      </c>
      <c r="L238" t="s">
        <v>62</v>
      </c>
      <c r="M238" t="s">
        <v>486</v>
      </c>
      <c r="N238" t="s">
        <v>487</v>
      </c>
      <c r="O238" t="s">
        <v>488</v>
      </c>
      <c r="P238">
        <v>-20.173000999999999</v>
      </c>
      <c r="Q238">
        <v>-44.901876999999999</v>
      </c>
      <c r="R238" s="2" t="str">
        <f>HYPERLINK("https://www.google.com/maps?q=-20.1730010,-44.9018770","Abrir no Google Maps")</f>
        <v>Abrir no Google Maps</v>
      </c>
      <c r="S238">
        <v>3</v>
      </c>
      <c r="T238">
        <v>437.59695450783011</v>
      </c>
      <c r="U238">
        <v>4</v>
      </c>
      <c r="V238">
        <v>0.29638472932391852</v>
      </c>
      <c r="W238">
        <v>1</v>
      </c>
      <c r="X238">
        <v>0.29638472932391852</v>
      </c>
      <c r="Y238">
        <v>578</v>
      </c>
      <c r="Z238">
        <v>440.53629183653243</v>
      </c>
      <c r="AA238">
        <v>198</v>
      </c>
      <c r="AB238">
        <v>332</v>
      </c>
      <c r="AC238">
        <v>536</v>
      </c>
      <c r="AD238">
        <v>28.41</v>
      </c>
      <c r="AE238">
        <v>542</v>
      </c>
      <c r="AF238">
        <v>20</v>
      </c>
      <c r="AG238">
        <v>180</v>
      </c>
      <c r="AH238">
        <v>129</v>
      </c>
      <c r="AI238">
        <v>3.69</v>
      </c>
      <c r="AJ238">
        <v>33.21</v>
      </c>
      <c r="AK238">
        <v>23.8</v>
      </c>
      <c r="AL238">
        <v>-20.173065299999969</v>
      </c>
      <c r="AM238">
        <v>-44.902052686008687</v>
      </c>
      <c r="AN238">
        <v>-20.173065299999969</v>
      </c>
      <c r="AO238">
        <v>-44.902052686008687</v>
      </c>
      <c r="AP238">
        <v>-20.173000999999999</v>
      </c>
      <c r="AQ238">
        <v>-44.901876999999999</v>
      </c>
      <c r="AR238">
        <v>19.703745070768829</v>
      </c>
      <c r="AS238" t="s">
        <v>65</v>
      </c>
      <c r="AT238">
        <v>1</v>
      </c>
      <c r="AU238" t="s">
        <v>489</v>
      </c>
      <c r="AV238" t="s">
        <v>490</v>
      </c>
      <c r="AW238" t="s">
        <v>60</v>
      </c>
      <c r="AX238" t="s">
        <v>68</v>
      </c>
      <c r="AY238" t="s">
        <v>69</v>
      </c>
      <c r="AZ238" t="b">
        <v>1</v>
      </c>
    </row>
    <row r="239" spans="1:52" x14ac:dyDescent="0.3">
      <c r="A239" t="s">
        <v>52</v>
      </c>
      <c r="B239" t="s">
        <v>53</v>
      </c>
      <c r="C239" t="s">
        <v>54</v>
      </c>
      <c r="D239" t="s">
        <v>55</v>
      </c>
      <c r="E239" t="s">
        <v>56</v>
      </c>
      <c r="F239" t="s">
        <v>1247</v>
      </c>
      <c r="G239" t="s">
        <v>491</v>
      </c>
      <c r="H239" t="s">
        <v>492</v>
      </c>
      <c r="I239" t="s">
        <v>492</v>
      </c>
      <c r="J239" t="s">
        <v>60</v>
      </c>
      <c r="K239" t="s">
        <v>475</v>
      </c>
      <c r="L239" t="s">
        <v>62</v>
      </c>
      <c r="M239" t="s">
        <v>475</v>
      </c>
      <c r="N239" t="s">
        <v>493</v>
      </c>
      <c r="O239" t="s">
        <v>494</v>
      </c>
      <c r="P239">
        <v>-20.175250999999999</v>
      </c>
      <c r="Q239">
        <v>-44.897357</v>
      </c>
      <c r="R239" s="2" t="str">
        <f>HYPERLINK("https://www.google.com/maps?q=-20.1752510,-44.8973570","Abrir no Google Maps")</f>
        <v>Abrir no Google Maps</v>
      </c>
      <c r="S239">
        <v>3</v>
      </c>
      <c r="T239">
        <v>992.29631678149951</v>
      </c>
      <c r="U239">
        <v>4</v>
      </c>
      <c r="V239">
        <v>0.29531678613933787</v>
      </c>
      <c r="W239">
        <v>1</v>
      </c>
      <c r="X239">
        <v>0.29531678613933787</v>
      </c>
      <c r="Y239">
        <v>578</v>
      </c>
      <c r="Z239">
        <v>1008.5871064168319</v>
      </c>
      <c r="AA239">
        <v>198</v>
      </c>
      <c r="AB239">
        <v>332</v>
      </c>
      <c r="AC239">
        <v>536</v>
      </c>
      <c r="AD239">
        <v>28.41</v>
      </c>
      <c r="AE239">
        <v>542</v>
      </c>
      <c r="AF239">
        <v>20</v>
      </c>
      <c r="AG239">
        <v>180</v>
      </c>
      <c r="AH239">
        <v>129</v>
      </c>
      <c r="AI239">
        <v>3.69</v>
      </c>
      <c r="AJ239">
        <v>33.21</v>
      </c>
      <c r="AK239">
        <v>23.8</v>
      </c>
      <c r="AL239">
        <v>-20.175290599999951</v>
      </c>
      <c r="AM239">
        <v>-44.897271931010721</v>
      </c>
      <c r="AN239">
        <v>-20.175290599999951</v>
      </c>
      <c r="AO239">
        <v>-44.897271931010721</v>
      </c>
      <c r="AP239">
        <v>-20.175250999999999</v>
      </c>
      <c r="AQ239">
        <v>-44.897357</v>
      </c>
      <c r="AR239">
        <v>9.921899108467926</v>
      </c>
      <c r="AS239" t="s">
        <v>65</v>
      </c>
      <c r="AT239">
        <v>1</v>
      </c>
      <c r="AU239" t="s">
        <v>495</v>
      </c>
      <c r="AV239" t="s">
        <v>496</v>
      </c>
      <c r="AW239" t="s">
        <v>60</v>
      </c>
      <c r="AX239" t="s">
        <v>68</v>
      </c>
      <c r="AY239" t="s">
        <v>69</v>
      </c>
      <c r="AZ239" t="b">
        <v>1</v>
      </c>
    </row>
    <row r="240" spans="1:52" x14ac:dyDescent="0.3">
      <c r="A240" t="s">
        <v>52</v>
      </c>
      <c r="B240" t="s">
        <v>53</v>
      </c>
      <c r="C240" t="s">
        <v>54</v>
      </c>
      <c r="D240" t="s">
        <v>55</v>
      </c>
      <c r="E240" t="s">
        <v>56</v>
      </c>
      <c r="F240" t="s">
        <v>1247</v>
      </c>
      <c r="G240" t="s">
        <v>497</v>
      </c>
      <c r="H240" t="s">
        <v>498</v>
      </c>
      <c r="I240" t="s">
        <v>498</v>
      </c>
      <c r="J240" t="s">
        <v>60</v>
      </c>
      <c r="K240" t="s">
        <v>475</v>
      </c>
      <c r="L240" t="s">
        <v>62</v>
      </c>
      <c r="M240" t="s">
        <v>475</v>
      </c>
      <c r="N240" t="s">
        <v>499</v>
      </c>
      <c r="O240" t="s">
        <v>500</v>
      </c>
      <c r="P240">
        <v>-20.175492999999999</v>
      </c>
      <c r="Q240">
        <v>-44.900759000000001</v>
      </c>
      <c r="R240" s="2" t="str">
        <f>HYPERLINK("https://www.google.com/maps?q=-20.1754930,-44.9007590","Abrir no Google Maps")</f>
        <v>Abrir no Google Maps</v>
      </c>
      <c r="S240">
        <v>3</v>
      </c>
      <c r="T240">
        <v>753.30732354720431</v>
      </c>
      <c r="U240">
        <v>4</v>
      </c>
      <c r="V240">
        <v>0.3032016930603349</v>
      </c>
      <c r="W240">
        <v>1</v>
      </c>
      <c r="X240">
        <v>0.3032016930603349</v>
      </c>
      <c r="Y240">
        <v>578</v>
      </c>
      <c r="Z240">
        <v>695.28903655431702</v>
      </c>
      <c r="AA240">
        <v>198</v>
      </c>
      <c r="AB240">
        <v>332</v>
      </c>
      <c r="AC240">
        <v>536</v>
      </c>
      <c r="AD240">
        <v>28.41</v>
      </c>
      <c r="AE240">
        <v>542</v>
      </c>
      <c r="AF240">
        <v>20</v>
      </c>
      <c r="AG240">
        <v>180</v>
      </c>
      <c r="AH240">
        <v>129</v>
      </c>
      <c r="AI240">
        <v>3.69</v>
      </c>
      <c r="AJ240">
        <v>33.21</v>
      </c>
      <c r="AK240">
        <v>23.8</v>
      </c>
      <c r="AL240">
        <v>-20.175825999999969</v>
      </c>
      <c r="AM240">
        <v>-44.900600234646973</v>
      </c>
      <c r="AN240">
        <v>-20.175825999999969</v>
      </c>
      <c r="AO240">
        <v>-44.900600234646973</v>
      </c>
      <c r="AP240">
        <v>-20.175492999999999</v>
      </c>
      <c r="AQ240">
        <v>-44.900759000000001</v>
      </c>
      <c r="AR240">
        <v>40.612267304645073</v>
      </c>
      <c r="AS240" t="s">
        <v>65</v>
      </c>
      <c r="AT240">
        <v>1</v>
      </c>
      <c r="AU240" t="s">
        <v>501</v>
      </c>
      <c r="AV240" t="s">
        <v>502</v>
      </c>
      <c r="AW240" t="s">
        <v>60</v>
      </c>
      <c r="AX240" t="s">
        <v>68</v>
      </c>
      <c r="AY240" t="s">
        <v>69</v>
      </c>
      <c r="AZ240" t="b">
        <v>1</v>
      </c>
    </row>
    <row r="241" spans="1:52" x14ac:dyDescent="0.3">
      <c r="A241" t="s">
        <v>52</v>
      </c>
      <c r="B241" t="s">
        <v>53</v>
      </c>
      <c r="C241" t="s">
        <v>54</v>
      </c>
      <c r="D241" t="s">
        <v>55</v>
      </c>
      <c r="E241" t="s">
        <v>56</v>
      </c>
      <c r="F241" t="s">
        <v>1247</v>
      </c>
      <c r="G241" t="s">
        <v>503</v>
      </c>
      <c r="H241" t="s">
        <v>504</v>
      </c>
      <c r="I241" t="s">
        <v>504</v>
      </c>
      <c r="J241" t="s">
        <v>60</v>
      </c>
      <c r="K241" t="s">
        <v>505</v>
      </c>
      <c r="L241" t="s">
        <v>62</v>
      </c>
      <c r="M241" t="s">
        <v>505</v>
      </c>
      <c r="N241" t="s">
        <v>506</v>
      </c>
      <c r="O241" t="s">
        <v>507</v>
      </c>
      <c r="P241">
        <v>-20.131428</v>
      </c>
      <c r="Q241">
        <v>-44.888921000000003</v>
      </c>
      <c r="R241" s="2" t="str">
        <f>HYPERLINK("https://www.google.com/maps?q=-20.1314280,-44.8889210","Abrir no Google Maps")</f>
        <v>Abrir no Google Maps</v>
      </c>
      <c r="S241">
        <v>3</v>
      </c>
      <c r="T241">
        <v>250.64150698244501</v>
      </c>
      <c r="U241">
        <v>4</v>
      </c>
      <c r="V241">
        <v>0.29883333846429161</v>
      </c>
      <c r="W241">
        <v>1</v>
      </c>
      <c r="X241">
        <v>0.29883333846429161</v>
      </c>
      <c r="Y241">
        <v>564</v>
      </c>
      <c r="Z241">
        <v>189.93933888952441</v>
      </c>
      <c r="AA241">
        <v>198</v>
      </c>
      <c r="AB241">
        <v>332</v>
      </c>
      <c r="AC241">
        <v>536</v>
      </c>
      <c r="AD241">
        <v>28.41</v>
      </c>
      <c r="AE241">
        <v>542</v>
      </c>
      <c r="AF241">
        <v>20</v>
      </c>
      <c r="AG241">
        <v>180</v>
      </c>
      <c r="AH241">
        <v>129</v>
      </c>
      <c r="AI241">
        <v>3.69</v>
      </c>
      <c r="AJ241">
        <v>33.21</v>
      </c>
      <c r="AK241">
        <v>23.8</v>
      </c>
      <c r="AL241">
        <v>-20.13123589999995</v>
      </c>
      <c r="AM241">
        <v>-44.888742396501762</v>
      </c>
      <c r="AN241">
        <v>-20.13123589999995</v>
      </c>
      <c r="AO241">
        <v>-44.888742396501762</v>
      </c>
      <c r="AP241">
        <v>-20.131428</v>
      </c>
      <c r="AQ241">
        <v>-44.888921000000003</v>
      </c>
      <c r="AR241">
        <v>28.386169462917032</v>
      </c>
      <c r="AS241" t="s">
        <v>65</v>
      </c>
      <c r="AT241">
        <v>1</v>
      </c>
      <c r="AU241" t="s">
        <v>508</v>
      </c>
      <c r="AV241" t="s">
        <v>509</v>
      </c>
      <c r="AW241" t="s">
        <v>60</v>
      </c>
      <c r="AX241" t="s">
        <v>68</v>
      </c>
      <c r="AY241" t="s">
        <v>69</v>
      </c>
      <c r="AZ241" t="b">
        <v>1</v>
      </c>
    </row>
    <row r="242" spans="1:52" x14ac:dyDescent="0.3">
      <c r="A242" t="s">
        <v>52</v>
      </c>
      <c r="B242" t="s">
        <v>53</v>
      </c>
      <c r="C242" t="s">
        <v>54</v>
      </c>
      <c r="D242" t="s">
        <v>55</v>
      </c>
      <c r="E242" t="s">
        <v>56</v>
      </c>
      <c r="F242" t="s">
        <v>1247</v>
      </c>
      <c r="G242" t="s">
        <v>510</v>
      </c>
      <c r="H242" t="s">
        <v>511</v>
      </c>
      <c r="I242" t="s">
        <v>511</v>
      </c>
      <c r="J242" t="s">
        <v>60</v>
      </c>
      <c r="K242" t="s">
        <v>512</v>
      </c>
      <c r="L242" t="s">
        <v>62</v>
      </c>
      <c r="M242" t="s">
        <v>512</v>
      </c>
      <c r="N242" t="s">
        <v>406</v>
      </c>
      <c r="O242" t="s">
        <v>513</v>
      </c>
      <c r="P242">
        <v>-20.127853000000002</v>
      </c>
      <c r="Q242">
        <v>-44.891415000000002</v>
      </c>
      <c r="R242" s="2" t="str">
        <f>HYPERLINK("https://www.google.com/maps?q=-20.1278530,-44.8914150","Abrir no Google Maps")</f>
        <v>Abrir no Google Maps</v>
      </c>
      <c r="S242">
        <v>3</v>
      </c>
      <c r="T242">
        <v>340.86994528233612</v>
      </c>
      <c r="U242">
        <v>4</v>
      </c>
      <c r="V242">
        <v>0.30491289771843061</v>
      </c>
      <c r="W242">
        <v>1</v>
      </c>
      <c r="X242">
        <v>0.30491289771843061</v>
      </c>
      <c r="Y242">
        <v>564</v>
      </c>
      <c r="Z242">
        <v>294.18108015916812</v>
      </c>
      <c r="AA242">
        <v>198</v>
      </c>
      <c r="AB242">
        <v>332</v>
      </c>
      <c r="AC242">
        <v>536</v>
      </c>
      <c r="AD242">
        <v>28.41</v>
      </c>
      <c r="AE242">
        <v>542</v>
      </c>
      <c r="AF242">
        <v>20</v>
      </c>
      <c r="AG242">
        <v>180</v>
      </c>
      <c r="AH242">
        <v>129</v>
      </c>
      <c r="AI242">
        <v>3.69</v>
      </c>
      <c r="AJ242">
        <v>33.21</v>
      </c>
      <c r="AK242">
        <v>23.8</v>
      </c>
      <c r="AL242">
        <v>-20.12777399999996</v>
      </c>
      <c r="AM242">
        <v>-44.891400975758501</v>
      </c>
      <c r="AN242">
        <v>-20.12777399999996</v>
      </c>
      <c r="AO242">
        <v>-44.891400975758501</v>
      </c>
      <c r="AP242">
        <v>-20.127853000000002</v>
      </c>
      <c r="AQ242">
        <v>-44.891415000000002</v>
      </c>
      <c r="AR242">
        <v>8.9156059162975616</v>
      </c>
      <c r="AS242" t="s">
        <v>65</v>
      </c>
      <c r="AT242">
        <v>1</v>
      </c>
      <c r="AU242" t="s">
        <v>514</v>
      </c>
      <c r="AV242" t="s">
        <v>515</v>
      </c>
      <c r="AW242" t="s">
        <v>60</v>
      </c>
      <c r="AX242" t="s">
        <v>68</v>
      </c>
      <c r="AY242" t="s">
        <v>69</v>
      </c>
      <c r="AZ242" t="b">
        <v>1</v>
      </c>
    </row>
    <row r="243" spans="1:52" x14ac:dyDescent="0.3">
      <c r="A243" t="s">
        <v>52</v>
      </c>
      <c r="B243" t="s">
        <v>53</v>
      </c>
      <c r="C243" t="s">
        <v>54</v>
      </c>
      <c r="D243" t="s">
        <v>55</v>
      </c>
      <c r="E243" t="s">
        <v>56</v>
      </c>
      <c r="F243" t="s">
        <v>1247</v>
      </c>
      <c r="G243" t="s">
        <v>516</v>
      </c>
      <c r="H243" t="s">
        <v>517</v>
      </c>
      <c r="I243" t="s">
        <v>517</v>
      </c>
      <c r="J243" t="s">
        <v>60</v>
      </c>
      <c r="K243" t="s">
        <v>518</v>
      </c>
      <c r="L243" t="s">
        <v>62</v>
      </c>
      <c r="M243" t="s">
        <v>518</v>
      </c>
      <c r="N243" t="s">
        <v>519</v>
      </c>
      <c r="O243" t="s">
        <v>520</v>
      </c>
      <c r="P243">
        <v>-20.124502</v>
      </c>
      <c r="Q243">
        <v>-44.888424000000001</v>
      </c>
      <c r="R243" s="2" t="str">
        <f>HYPERLINK("https://www.google.com/maps?q=-20.1245020,-44.8884240","Abrir no Google Maps")</f>
        <v>Abrir no Google Maps</v>
      </c>
      <c r="S243">
        <v>3</v>
      </c>
      <c r="T243">
        <v>483.42298121929559</v>
      </c>
      <c r="U243">
        <v>4</v>
      </c>
      <c r="V243">
        <v>0.33177807115466029</v>
      </c>
      <c r="W243">
        <v>1</v>
      </c>
      <c r="X243">
        <v>0.33177807115466029</v>
      </c>
      <c r="Y243">
        <v>564</v>
      </c>
      <c r="Z243">
        <v>565.43074237076587</v>
      </c>
      <c r="AA243">
        <v>198</v>
      </c>
      <c r="AB243">
        <v>332</v>
      </c>
      <c r="AC243">
        <v>536</v>
      </c>
      <c r="AD243">
        <v>28.41</v>
      </c>
      <c r="AE243">
        <v>542</v>
      </c>
      <c r="AF243">
        <v>20</v>
      </c>
      <c r="AG243">
        <v>180</v>
      </c>
      <c r="AH243">
        <v>129</v>
      </c>
      <c r="AI243">
        <v>3.69</v>
      </c>
      <c r="AJ243">
        <v>33.21</v>
      </c>
      <c r="AK243">
        <v>23.8</v>
      </c>
      <c r="AL243">
        <v>-20.124624949999941</v>
      </c>
      <c r="AM243">
        <v>-44.888432821777258</v>
      </c>
      <c r="AN243">
        <v>-20.124624949999941</v>
      </c>
      <c r="AO243">
        <v>-44.888432821777258</v>
      </c>
      <c r="AP243">
        <v>-20.124502</v>
      </c>
      <c r="AQ243">
        <v>-44.888424000000001</v>
      </c>
      <c r="AR243">
        <v>13.717819333897451</v>
      </c>
      <c r="AS243" t="s">
        <v>65</v>
      </c>
      <c r="AT243">
        <v>1</v>
      </c>
      <c r="AU243" t="s">
        <v>521</v>
      </c>
      <c r="AV243" t="s">
        <v>522</v>
      </c>
      <c r="AW243" t="s">
        <v>60</v>
      </c>
      <c r="AX243" t="s">
        <v>68</v>
      </c>
      <c r="AY243" t="s">
        <v>69</v>
      </c>
      <c r="AZ243" t="b">
        <v>1</v>
      </c>
    </row>
    <row r="244" spans="1:52" x14ac:dyDescent="0.3">
      <c r="A244" t="s">
        <v>52</v>
      </c>
      <c r="B244" t="s">
        <v>53</v>
      </c>
      <c r="C244" t="s">
        <v>54</v>
      </c>
      <c r="D244" t="s">
        <v>55</v>
      </c>
      <c r="E244" t="s">
        <v>56</v>
      </c>
      <c r="F244" t="s">
        <v>1247</v>
      </c>
      <c r="G244" t="s">
        <v>523</v>
      </c>
      <c r="H244" t="s">
        <v>524</v>
      </c>
      <c r="I244" t="s">
        <v>524</v>
      </c>
      <c r="J244" t="s">
        <v>60</v>
      </c>
      <c r="K244" t="s">
        <v>518</v>
      </c>
      <c r="L244" t="s">
        <v>62</v>
      </c>
      <c r="M244" t="s">
        <v>518</v>
      </c>
      <c r="N244" t="s">
        <v>525</v>
      </c>
      <c r="O244" t="s">
        <v>331</v>
      </c>
      <c r="P244">
        <v>-20.126553000000001</v>
      </c>
      <c r="Q244">
        <v>-44.888599999999997</v>
      </c>
      <c r="R244" s="2" t="str">
        <f>HYPERLINK("https://www.google.com/maps?q=-20.1265530,-44.8886000","Abrir no Google Maps")</f>
        <v>Abrir no Google Maps</v>
      </c>
      <c r="S244">
        <v>3</v>
      </c>
      <c r="T244">
        <v>256.34043440603853</v>
      </c>
      <c r="U244">
        <v>4</v>
      </c>
      <c r="V244">
        <v>0.31086016624770602</v>
      </c>
      <c r="W244">
        <v>1</v>
      </c>
      <c r="X244">
        <v>0.31086016624770602</v>
      </c>
      <c r="Y244">
        <v>564</v>
      </c>
      <c r="Z244">
        <v>325.4404273055876</v>
      </c>
      <c r="AA244">
        <v>198</v>
      </c>
      <c r="AB244">
        <v>332</v>
      </c>
      <c r="AC244">
        <v>536</v>
      </c>
      <c r="AD244">
        <v>28.41</v>
      </c>
      <c r="AE244">
        <v>542</v>
      </c>
      <c r="AF244">
        <v>20</v>
      </c>
      <c r="AG244">
        <v>180</v>
      </c>
      <c r="AH244">
        <v>129</v>
      </c>
      <c r="AI244">
        <v>3.69</v>
      </c>
      <c r="AJ244">
        <v>33.21</v>
      </c>
      <c r="AK244">
        <v>23.8</v>
      </c>
      <c r="AL244">
        <v>-20.12669049999997</v>
      </c>
      <c r="AM244">
        <v>-44.888671289876577</v>
      </c>
      <c r="AN244">
        <v>-20.12669049999997</v>
      </c>
      <c r="AO244">
        <v>-44.888671289876577</v>
      </c>
      <c r="AP244">
        <v>-20.126553000000001</v>
      </c>
      <c r="AQ244">
        <v>-44.888599999999997</v>
      </c>
      <c r="AR244">
        <v>17.023861591720589</v>
      </c>
      <c r="AS244" t="s">
        <v>65</v>
      </c>
      <c r="AT244">
        <v>1</v>
      </c>
      <c r="AU244" t="s">
        <v>526</v>
      </c>
      <c r="AV244" t="s">
        <v>527</v>
      </c>
      <c r="AW244" t="s">
        <v>60</v>
      </c>
      <c r="AX244" t="s">
        <v>68</v>
      </c>
      <c r="AY244" t="s">
        <v>69</v>
      </c>
      <c r="AZ244" t="b">
        <v>1</v>
      </c>
    </row>
    <row r="245" spans="1:52" x14ac:dyDescent="0.3">
      <c r="A245" t="s">
        <v>52</v>
      </c>
      <c r="B245" t="s">
        <v>53</v>
      </c>
      <c r="C245" t="s">
        <v>54</v>
      </c>
      <c r="D245" t="s">
        <v>55</v>
      </c>
      <c r="E245" t="s">
        <v>56</v>
      </c>
      <c r="F245" t="s">
        <v>1247</v>
      </c>
      <c r="G245" t="s">
        <v>528</v>
      </c>
      <c r="H245" t="s">
        <v>529</v>
      </c>
      <c r="I245" t="s">
        <v>529</v>
      </c>
      <c r="J245" t="s">
        <v>60</v>
      </c>
      <c r="K245" t="s">
        <v>530</v>
      </c>
      <c r="L245" t="s">
        <v>62</v>
      </c>
      <c r="M245" t="s">
        <v>530</v>
      </c>
      <c r="N245" t="s">
        <v>531</v>
      </c>
      <c r="O245" t="s">
        <v>532</v>
      </c>
      <c r="P245">
        <v>-20.142457</v>
      </c>
      <c r="Q245">
        <v>-44.891688000000002</v>
      </c>
      <c r="R245" s="2" t="str">
        <f>HYPERLINK("https://www.google.com/maps?q=-20.1424570,-44.8916880","Abrir no Google Maps")</f>
        <v>Abrir no Google Maps</v>
      </c>
      <c r="S245">
        <v>3</v>
      </c>
      <c r="T245">
        <v>0</v>
      </c>
      <c r="U245">
        <v>4</v>
      </c>
      <c r="V245">
        <v>0.33752665836871398</v>
      </c>
      <c r="W245">
        <v>1</v>
      </c>
      <c r="X245">
        <v>0.33752665836871398</v>
      </c>
      <c r="Y245">
        <v>557</v>
      </c>
      <c r="Z245">
        <v>42.611952255679803</v>
      </c>
      <c r="AA245">
        <v>198</v>
      </c>
      <c r="AB245">
        <v>332</v>
      </c>
      <c r="AC245">
        <v>536</v>
      </c>
      <c r="AD245">
        <v>28.41</v>
      </c>
      <c r="AE245">
        <v>542</v>
      </c>
      <c r="AF245">
        <v>20</v>
      </c>
      <c r="AG245">
        <v>180</v>
      </c>
      <c r="AH245">
        <v>129</v>
      </c>
      <c r="AI245">
        <v>3.69</v>
      </c>
      <c r="AJ245">
        <v>33.21</v>
      </c>
      <c r="AK245">
        <v>23.8</v>
      </c>
      <c r="AL245">
        <v>-20.142523099999948</v>
      </c>
      <c r="AM245">
        <v>-44.891523817588819</v>
      </c>
      <c r="AN245">
        <v>-20.142523099999948</v>
      </c>
      <c r="AO245">
        <v>-44.891523817588819</v>
      </c>
      <c r="AP245">
        <v>-20.142457</v>
      </c>
      <c r="AQ245">
        <v>-44.891688000000002</v>
      </c>
      <c r="AR245">
        <v>18.670129248632971</v>
      </c>
      <c r="AS245" t="s">
        <v>65</v>
      </c>
      <c r="AT245">
        <v>1</v>
      </c>
      <c r="AU245" t="s">
        <v>533</v>
      </c>
      <c r="AV245" t="s">
        <v>534</v>
      </c>
      <c r="AW245" t="s">
        <v>60</v>
      </c>
      <c r="AX245" t="s">
        <v>68</v>
      </c>
      <c r="AY245" t="s">
        <v>69</v>
      </c>
      <c r="AZ245" t="b">
        <v>1</v>
      </c>
    </row>
    <row r="246" spans="1:52" x14ac:dyDescent="0.3">
      <c r="A246" t="s">
        <v>52</v>
      </c>
      <c r="B246" t="s">
        <v>53</v>
      </c>
      <c r="C246" t="s">
        <v>54</v>
      </c>
      <c r="D246" t="s">
        <v>55</v>
      </c>
      <c r="E246" t="s">
        <v>56</v>
      </c>
      <c r="F246" t="s">
        <v>1247</v>
      </c>
      <c r="G246" t="s">
        <v>535</v>
      </c>
      <c r="H246" t="s">
        <v>536</v>
      </c>
      <c r="I246" t="s">
        <v>536</v>
      </c>
      <c r="J246" t="s">
        <v>60</v>
      </c>
      <c r="K246" t="s">
        <v>388</v>
      </c>
      <c r="L246" t="s">
        <v>62</v>
      </c>
      <c r="M246" t="s">
        <v>388</v>
      </c>
      <c r="N246" t="s">
        <v>537</v>
      </c>
      <c r="O246" t="s">
        <v>538</v>
      </c>
      <c r="P246">
        <v>-20.150061999999998</v>
      </c>
      <c r="Q246">
        <v>-44.903379000000001</v>
      </c>
      <c r="R246" s="2" t="str">
        <f>HYPERLINK("https://www.google.com/maps?q=-20.1500620,-44.9033790","Abrir no Google Maps")</f>
        <v>Abrir no Google Maps</v>
      </c>
      <c r="S246">
        <v>3</v>
      </c>
      <c r="T246">
        <v>286.20313674219977</v>
      </c>
      <c r="U246">
        <v>4</v>
      </c>
      <c r="V246">
        <v>0.3224858467277178</v>
      </c>
      <c r="W246">
        <v>1</v>
      </c>
      <c r="X246">
        <v>0.3224858467277178</v>
      </c>
      <c r="Y246">
        <v>556</v>
      </c>
      <c r="Z246">
        <v>315.81851898667401</v>
      </c>
      <c r="AA246">
        <v>198</v>
      </c>
      <c r="AB246">
        <v>332</v>
      </c>
      <c r="AC246">
        <v>536</v>
      </c>
      <c r="AD246">
        <v>28.41</v>
      </c>
      <c r="AE246">
        <v>542</v>
      </c>
      <c r="AF246">
        <v>20</v>
      </c>
      <c r="AG246">
        <v>180</v>
      </c>
      <c r="AH246">
        <v>129</v>
      </c>
      <c r="AI246">
        <v>3.69</v>
      </c>
      <c r="AJ246">
        <v>33.21</v>
      </c>
      <c r="AK246">
        <v>23.8</v>
      </c>
      <c r="AL246">
        <v>-20.150084299999971</v>
      </c>
      <c r="AM246">
        <v>-44.903278407568479</v>
      </c>
      <c r="AN246">
        <v>-20.150084299999971</v>
      </c>
      <c r="AO246">
        <v>-44.903278407568479</v>
      </c>
      <c r="AP246">
        <v>-20.150061999999998</v>
      </c>
      <c r="AQ246">
        <v>-44.903379000000001</v>
      </c>
      <c r="AR246">
        <v>10.801687336134639</v>
      </c>
      <c r="AS246" t="s">
        <v>65</v>
      </c>
      <c r="AT246">
        <v>1</v>
      </c>
      <c r="AU246" t="s">
        <v>539</v>
      </c>
      <c r="AV246" t="s">
        <v>540</v>
      </c>
      <c r="AW246" t="s">
        <v>60</v>
      </c>
      <c r="AX246" t="s">
        <v>68</v>
      </c>
      <c r="AY246" t="s">
        <v>69</v>
      </c>
      <c r="AZ246" t="b">
        <v>1</v>
      </c>
    </row>
    <row r="247" spans="1:52" x14ac:dyDescent="0.3">
      <c r="A247" t="s">
        <v>52</v>
      </c>
      <c r="B247" t="s">
        <v>53</v>
      </c>
      <c r="C247" t="s">
        <v>54</v>
      </c>
      <c r="D247" t="s">
        <v>55</v>
      </c>
      <c r="E247" t="s">
        <v>56</v>
      </c>
      <c r="F247" t="s">
        <v>1247</v>
      </c>
      <c r="G247" t="s">
        <v>398</v>
      </c>
      <c r="H247" t="s">
        <v>541</v>
      </c>
      <c r="I247" t="s">
        <v>541</v>
      </c>
      <c r="J247" t="s">
        <v>60</v>
      </c>
      <c r="K247" t="s">
        <v>388</v>
      </c>
      <c r="L247" t="s">
        <v>62</v>
      </c>
      <c r="M247" t="s">
        <v>388</v>
      </c>
      <c r="N247" t="s">
        <v>400</v>
      </c>
      <c r="O247" t="s">
        <v>542</v>
      </c>
      <c r="P247">
        <v>-20.151335</v>
      </c>
      <c r="Q247">
        <v>-44.901041999999997</v>
      </c>
      <c r="R247" s="2" t="str">
        <f>HYPERLINK("https://www.google.com/maps?q=-20.1513350,-44.9010420","Abrir no Google Maps")</f>
        <v>Abrir no Google Maps</v>
      </c>
      <c r="S247">
        <v>3</v>
      </c>
      <c r="T247">
        <v>0</v>
      </c>
      <c r="U247">
        <v>4</v>
      </c>
      <c r="V247">
        <v>0.30007201202603401</v>
      </c>
      <c r="W247">
        <v>1</v>
      </c>
      <c r="X247">
        <v>0.30007201202603401</v>
      </c>
      <c r="Y247">
        <v>556</v>
      </c>
      <c r="Z247">
        <v>137.71609036908939</v>
      </c>
      <c r="AA247">
        <v>198</v>
      </c>
      <c r="AB247">
        <v>332</v>
      </c>
      <c r="AC247">
        <v>536</v>
      </c>
      <c r="AD247">
        <v>28.41</v>
      </c>
      <c r="AE247">
        <v>542</v>
      </c>
      <c r="AF247">
        <v>20</v>
      </c>
      <c r="AG247">
        <v>180</v>
      </c>
      <c r="AH247">
        <v>129</v>
      </c>
      <c r="AI247">
        <v>3.69</v>
      </c>
      <c r="AJ247">
        <v>33.21</v>
      </c>
      <c r="AK247">
        <v>23.8</v>
      </c>
      <c r="AL247">
        <v>-20.15125899999995</v>
      </c>
      <c r="AM247">
        <v>-44.900838557594433</v>
      </c>
      <c r="AN247">
        <v>-20.15125899999995</v>
      </c>
      <c r="AO247">
        <v>-44.900838557594433</v>
      </c>
      <c r="AP247">
        <v>-20.151335</v>
      </c>
      <c r="AQ247">
        <v>-44.901041999999997</v>
      </c>
      <c r="AR247">
        <v>22.882363139483491</v>
      </c>
      <c r="AS247" t="s">
        <v>65</v>
      </c>
      <c r="AT247">
        <v>1</v>
      </c>
      <c r="AU247" t="s">
        <v>543</v>
      </c>
      <c r="AV247" t="s">
        <v>544</v>
      </c>
      <c r="AW247" t="s">
        <v>60</v>
      </c>
      <c r="AX247" t="s">
        <v>68</v>
      </c>
      <c r="AY247" t="s">
        <v>69</v>
      </c>
      <c r="AZ247" t="b">
        <v>1</v>
      </c>
    </row>
    <row r="248" spans="1:52" x14ac:dyDescent="0.3">
      <c r="A248" t="s">
        <v>52</v>
      </c>
      <c r="B248" t="s">
        <v>53</v>
      </c>
      <c r="C248" t="s">
        <v>54</v>
      </c>
      <c r="D248" t="s">
        <v>55</v>
      </c>
      <c r="E248" t="s">
        <v>56</v>
      </c>
      <c r="F248" t="s">
        <v>1247</v>
      </c>
      <c r="G248" t="s">
        <v>545</v>
      </c>
      <c r="H248" t="s">
        <v>546</v>
      </c>
      <c r="I248" t="s">
        <v>546</v>
      </c>
      <c r="J248" t="s">
        <v>60</v>
      </c>
      <c r="K248" t="s">
        <v>388</v>
      </c>
      <c r="L248" t="s">
        <v>62</v>
      </c>
      <c r="M248" t="s">
        <v>388</v>
      </c>
      <c r="N248" t="s">
        <v>547</v>
      </c>
      <c r="O248" t="s">
        <v>548</v>
      </c>
      <c r="P248">
        <v>-20.155839</v>
      </c>
      <c r="Q248">
        <v>-44.905655000000003</v>
      </c>
      <c r="R248" s="2" t="str">
        <f>HYPERLINK("https://www.google.com/maps?q=-20.1558390,-44.9056550","Abrir no Google Maps")</f>
        <v>Abrir no Google Maps</v>
      </c>
      <c r="S248">
        <v>3</v>
      </c>
      <c r="T248">
        <v>309.7643089121122</v>
      </c>
      <c r="U248">
        <v>4</v>
      </c>
      <c r="V248">
        <v>0.31276209199742527</v>
      </c>
      <c r="W248">
        <v>1</v>
      </c>
      <c r="X248">
        <v>0.31276209199742527</v>
      </c>
      <c r="Y248">
        <v>548</v>
      </c>
      <c r="Z248">
        <v>284.24281731793161</v>
      </c>
      <c r="AA248">
        <v>198</v>
      </c>
      <c r="AB248">
        <v>332</v>
      </c>
      <c r="AC248">
        <v>536</v>
      </c>
      <c r="AD248">
        <v>28.41</v>
      </c>
      <c r="AE248">
        <v>542</v>
      </c>
      <c r="AF248">
        <v>20</v>
      </c>
      <c r="AG248">
        <v>180</v>
      </c>
      <c r="AH248">
        <v>129</v>
      </c>
      <c r="AI248">
        <v>3.69</v>
      </c>
      <c r="AJ248">
        <v>33.21</v>
      </c>
      <c r="AK248">
        <v>23.8</v>
      </c>
      <c r="AL248">
        <v>-20.155913549999951</v>
      </c>
      <c r="AM248">
        <v>-44.905554508392683</v>
      </c>
      <c r="AN248">
        <v>-20.155913549999951</v>
      </c>
      <c r="AO248">
        <v>-44.905554508392669</v>
      </c>
      <c r="AP248">
        <v>-20.155839</v>
      </c>
      <c r="AQ248">
        <v>-44.905655000000003</v>
      </c>
      <c r="AR248">
        <v>13.384922093797449</v>
      </c>
      <c r="AS248" t="s">
        <v>65</v>
      </c>
      <c r="AT248">
        <v>1</v>
      </c>
      <c r="AU248" t="s">
        <v>549</v>
      </c>
      <c r="AV248" t="s">
        <v>550</v>
      </c>
      <c r="AW248" t="s">
        <v>60</v>
      </c>
      <c r="AX248" t="s">
        <v>68</v>
      </c>
      <c r="AY248" t="s">
        <v>69</v>
      </c>
      <c r="AZ248" t="b">
        <v>1</v>
      </c>
    </row>
    <row r="249" spans="1:52" x14ac:dyDescent="0.3">
      <c r="A249" t="s">
        <v>52</v>
      </c>
      <c r="B249" t="s">
        <v>53</v>
      </c>
      <c r="C249" t="s">
        <v>54</v>
      </c>
      <c r="D249" t="s">
        <v>55</v>
      </c>
      <c r="E249" t="s">
        <v>56</v>
      </c>
      <c r="F249" t="s">
        <v>1247</v>
      </c>
      <c r="G249" t="s">
        <v>551</v>
      </c>
      <c r="H249" t="s">
        <v>552</v>
      </c>
      <c r="I249" t="s">
        <v>552</v>
      </c>
      <c r="J249" t="s">
        <v>60</v>
      </c>
      <c r="K249" t="s">
        <v>388</v>
      </c>
      <c r="L249" t="s">
        <v>62</v>
      </c>
      <c r="M249" t="s">
        <v>388</v>
      </c>
      <c r="N249" t="s">
        <v>553</v>
      </c>
      <c r="O249" t="s">
        <v>315</v>
      </c>
      <c r="P249">
        <v>-20.153086999999999</v>
      </c>
      <c r="Q249">
        <v>-44.905451999999997</v>
      </c>
      <c r="R249" s="2" t="str">
        <f>HYPERLINK("https://www.google.com/maps?q=-20.1530870,-44.9054520","Abrir no Google Maps")</f>
        <v>Abrir no Google Maps</v>
      </c>
      <c r="S249">
        <v>3</v>
      </c>
      <c r="T249">
        <v>313.69387682409018</v>
      </c>
      <c r="U249">
        <v>4</v>
      </c>
      <c r="V249">
        <v>0.31108729378322098</v>
      </c>
      <c r="W249">
        <v>1</v>
      </c>
      <c r="X249">
        <v>0.31108729378322098</v>
      </c>
      <c r="Y249">
        <v>548</v>
      </c>
      <c r="Z249">
        <v>319.51605309906859</v>
      </c>
      <c r="AA249">
        <v>198</v>
      </c>
      <c r="AB249">
        <v>332</v>
      </c>
      <c r="AC249">
        <v>536</v>
      </c>
      <c r="AD249">
        <v>28.41</v>
      </c>
      <c r="AE249">
        <v>542</v>
      </c>
      <c r="AF249">
        <v>20</v>
      </c>
      <c r="AG249">
        <v>180</v>
      </c>
      <c r="AH249">
        <v>129</v>
      </c>
      <c r="AI249">
        <v>3.69</v>
      </c>
      <c r="AJ249">
        <v>33.21</v>
      </c>
      <c r="AK249">
        <v>23.8</v>
      </c>
      <c r="AL249">
        <v>-20.153043049999951</v>
      </c>
      <c r="AM249">
        <v>-44.905348275899513</v>
      </c>
      <c r="AN249">
        <v>-20.153043049999951</v>
      </c>
      <c r="AO249">
        <v>-44.905348275899513</v>
      </c>
      <c r="AP249">
        <v>-20.153086999999999</v>
      </c>
      <c r="AQ249">
        <v>-44.905451999999997</v>
      </c>
      <c r="AR249">
        <v>11.892619975648341</v>
      </c>
      <c r="AS249" t="s">
        <v>65</v>
      </c>
      <c r="AT249">
        <v>1</v>
      </c>
      <c r="AU249" t="s">
        <v>554</v>
      </c>
      <c r="AV249" t="s">
        <v>555</v>
      </c>
      <c r="AW249" t="s">
        <v>60</v>
      </c>
      <c r="AX249" t="s">
        <v>68</v>
      </c>
      <c r="AY249" t="s">
        <v>69</v>
      </c>
      <c r="AZ249" t="b">
        <v>1</v>
      </c>
    </row>
    <row r="250" spans="1:52" x14ac:dyDescent="0.3">
      <c r="A250" t="s">
        <v>52</v>
      </c>
      <c r="B250" t="s">
        <v>53</v>
      </c>
      <c r="C250" t="s">
        <v>54</v>
      </c>
      <c r="D250" t="s">
        <v>55</v>
      </c>
      <c r="E250" t="s">
        <v>56</v>
      </c>
      <c r="F250" t="s">
        <v>1247</v>
      </c>
      <c r="G250" t="s">
        <v>556</v>
      </c>
      <c r="H250" t="s">
        <v>557</v>
      </c>
      <c r="I250" t="s">
        <v>557</v>
      </c>
      <c r="J250" t="s">
        <v>60</v>
      </c>
      <c r="K250" t="s">
        <v>388</v>
      </c>
      <c r="L250" t="s">
        <v>62</v>
      </c>
      <c r="M250" t="s">
        <v>388</v>
      </c>
      <c r="N250" t="s">
        <v>558</v>
      </c>
      <c r="O250" t="s">
        <v>559</v>
      </c>
      <c r="P250">
        <v>-20.152670000000001</v>
      </c>
      <c r="Q250">
        <v>-44.902557999999999</v>
      </c>
      <c r="R250" s="2" t="str">
        <f>HYPERLINK("https://www.google.com/maps?q=-20.1526700,-44.9025580","Abrir no Google Maps")</f>
        <v>Abrir no Google Maps</v>
      </c>
      <c r="S250">
        <v>3</v>
      </c>
      <c r="T250">
        <v>228.56195217678911</v>
      </c>
      <c r="U250">
        <v>4</v>
      </c>
      <c r="V250">
        <v>0.31120165422184648</v>
      </c>
      <c r="W250">
        <v>1</v>
      </c>
      <c r="X250">
        <v>0.31120165422184648</v>
      </c>
      <c r="Y250">
        <v>548</v>
      </c>
      <c r="Z250">
        <v>250.63133895224919</v>
      </c>
      <c r="AA250">
        <v>198</v>
      </c>
      <c r="AB250">
        <v>332</v>
      </c>
      <c r="AC250">
        <v>536</v>
      </c>
      <c r="AD250">
        <v>28.41</v>
      </c>
      <c r="AE250">
        <v>542</v>
      </c>
      <c r="AF250">
        <v>20</v>
      </c>
      <c r="AG250">
        <v>180</v>
      </c>
      <c r="AH250">
        <v>129</v>
      </c>
      <c r="AI250">
        <v>3.69</v>
      </c>
      <c r="AJ250">
        <v>33.21</v>
      </c>
      <c r="AK250">
        <v>23.8</v>
      </c>
      <c r="AL250">
        <v>-20.152629799999939</v>
      </c>
      <c r="AM250">
        <v>-44.902604744705201</v>
      </c>
      <c r="AN250">
        <v>-20.152629799999939</v>
      </c>
      <c r="AO250">
        <v>-44.902604744705201</v>
      </c>
      <c r="AP250">
        <v>-20.152670000000001</v>
      </c>
      <c r="AQ250">
        <v>-44.902557999999999</v>
      </c>
      <c r="AR250">
        <v>6.6249428037111509</v>
      </c>
      <c r="AS250" t="s">
        <v>65</v>
      </c>
      <c r="AT250">
        <v>1</v>
      </c>
      <c r="AU250" t="s">
        <v>560</v>
      </c>
      <c r="AV250" t="s">
        <v>561</v>
      </c>
      <c r="AW250" t="s">
        <v>60</v>
      </c>
      <c r="AX250" t="s">
        <v>68</v>
      </c>
      <c r="AY250" t="s">
        <v>69</v>
      </c>
      <c r="AZ250" t="b">
        <v>1</v>
      </c>
    </row>
    <row r="251" spans="1:52" x14ac:dyDescent="0.3">
      <c r="A251" t="s">
        <v>52</v>
      </c>
      <c r="B251" t="s">
        <v>53</v>
      </c>
      <c r="C251" t="s">
        <v>54</v>
      </c>
      <c r="D251" t="s">
        <v>55</v>
      </c>
      <c r="E251" t="s">
        <v>56</v>
      </c>
      <c r="F251" t="s">
        <v>1247</v>
      </c>
      <c r="G251" t="s">
        <v>562</v>
      </c>
      <c r="H251" t="s">
        <v>563</v>
      </c>
      <c r="I251" t="s">
        <v>563</v>
      </c>
      <c r="J251" t="s">
        <v>60</v>
      </c>
      <c r="K251" t="s">
        <v>388</v>
      </c>
      <c r="L251" t="s">
        <v>62</v>
      </c>
      <c r="M251" t="s">
        <v>388</v>
      </c>
      <c r="N251" t="s">
        <v>564</v>
      </c>
      <c r="O251" t="s">
        <v>565</v>
      </c>
      <c r="P251">
        <v>-20.154432</v>
      </c>
      <c r="Q251">
        <v>-44.902977999999997</v>
      </c>
      <c r="R251" s="2" t="str">
        <f>HYPERLINK("https://www.google.com/maps?q=-20.1544320,-44.9029780","Abrir no Google Maps")</f>
        <v>Abrir no Google Maps</v>
      </c>
      <c r="S251">
        <v>3</v>
      </c>
      <c r="T251">
        <v>0</v>
      </c>
      <c r="U251">
        <v>4</v>
      </c>
      <c r="V251">
        <v>0.32090410584599338</v>
      </c>
      <c r="W251">
        <v>1</v>
      </c>
      <c r="X251">
        <v>0.32090410584599338</v>
      </c>
      <c r="Y251">
        <v>548</v>
      </c>
      <c r="Z251">
        <v>29.424211042533759</v>
      </c>
      <c r="AA251">
        <v>198</v>
      </c>
      <c r="AB251">
        <v>332</v>
      </c>
      <c r="AC251">
        <v>536</v>
      </c>
      <c r="AD251">
        <v>28.41</v>
      </c>
      <c r="AE251">
        <v>542</v>
      </c>
      <c r="AF251">
        <v>20</v>
      </c>
      <c r="AG251">
        <v>180</v>
      </c>
      <c r="AH251">
        <v>129</v>
      </c>
      <c r="AI251">
        <v>3.69</v>
      </c>
      <c r="AJ251">
        <v>33.21</v>
      </c>
      <c r="AK251">
        <v>23.8</v>
      </c>
      <c r="AL251">
        <v>-20.15467689999997</v>
      </c>
      <c r="AM251">
        <v>-44.902895281771222</v>
      </c>
      <c r="AN251">
        <v>-20.15467689999997</v>
      </c>
      <c r="AO251">
        <v>-44.902895281771222</v>
      </c>
      <c r="AP251">
        <v>-20.154432</v>
      </c>
      <c r="AQ251">
        <v>-44.902977999999997</v>
      </c>
      <c r="AR251">
        <v>28.5999270636025</v>
      </c>
      <c r="AS251" t="s">
        <v>65</v>
      </c>
      <c r="AT251">
        <v>1</v>
      </c>
      <c r="AU251" t="s">
        <v>566</v>
      </c>
      <c r="AV251" t="s">
        <v>567</v>
      </c>
      <c r="AW251" t="s">
        <v>60</v>
      </c>
      <c r="AX251" t="s">
        <v>68</v>
      </c>
      <c r="AY251" t="s">
        <v>69</v>
      </c>
      <c r="AZ251" t="b">
        <v>1</v>
      </c>
    </row>
    <row r="252" spans="1:52" x14ac:dyDescent="0.3">
      <c r="A252" t="s">
        <v>52</v>
      </c>
      <c r="B252" t="s">
        <v>53</v>
      </c>
      <c r="C252" t="s">
        <v>54</v>
      </c>
      <c r="D252" t="s">
        <v>55</v>
      </c>
      <c r="E252" t="s">
        <v>56</v>
      </c>
      <c r="F252" t="s">
        <v>1247</v>
      </c>
      <c r="G252" t="s">
        <v>568</v>
      </c>
      <c r="H252" t="s">
        <v>569</v>
      </c>
      <c r="I252" t="s">
        <v>569</v>
      </c>
      <c r="J252" t="s">
        <v>60</v>
      </c>
      <c r="K252" t="s">
        <v>61</v>
      </c>
      <c r="L252" t="s">
        <v>62</v>
      </c>
      <c r="M252" t="s">
        <v>61</v>
      </c>
      <c r="N252" t="s">
        <v>570</v>
      </c>
      <c r="O252" t="s">
        <v>548</v>
      </c>
      <c r="P252">
        <v>-20.151508</v>
      </c>
      <c r="Q252">
        <v>-44.907826</v>
      </c>
      <c r="R252" s="2" t="str">
        <f>HYPERLINK("https://www.google.com/maps?q=-20.1515080,-44.9078260","Abrir no Google Maps")</f>
        <v>Abrir no Google Maps</v>
      </c>
      <c r="S252">
        <v>3</v>
      </c>
      <c r="T252">
        <v>567.15905416240514</v>
      </c>
      <c r="U252">
        <v>4</v>
      </c>
      <c r="V252">
        <v>0.38515729624465123</v>
      </c>
      <c r="W252">
        <v>0.85</v>
      </c>
      <c r="X252">
        <v>0.32738370180795351</v>
      </c>
      <c r="Y252">
        <v>548</v>
      </c>
      <c r="Z252">
        <v>560.49158010771464</v>
      </c>
      <c r="AA252">
        <v>198</v>
      </c>
      <c r="AB252">
        <v>332</v>
      </c>
      <c r="AC252">
        <v>536</v>
      </c>
      <c r="AD252">
        <v>28.41</v>
      </c>
      <c r="AE252">
        <v>542</v>
      </c>
      <c r="AF252">
        <v>20</v>
      </c>
      <c r="AG252">
        <v>180</v>
      </c>
      <c r="AH252">
        <v>129</v>
      </c>
      <c r="AI252">
        <v>3.69</v>
      </c>
      <c r="AJ252">
        <v>33.21</v>
      </c>
      <c r="AK252">
        <v>23.8</v>
      </c>
      <c r="AL252">
        <v>-20.15211779999996</v>
      </c>
      <c r="AM252">
        <v>-44.907597469593128</v>
      </c>
      <c r="AN252">
        <v>-20.15211779999996</v>
      </c>
      <c r="AO252">
        <v>-44.907597469593128</v>
      </c>
      <c r="AP252">
        <v>-20.151508</v>
      </c>
      <c r="AQ252">
        <v>-44.907826</v>
      </c>
      <c r="AR252">
        <v>71.961597929314735</v>
      </c>
      <c r="AS252" t="s">
        <v>65</v>
      </c>
      <c r="AT252">
        <v>1</v>
      </c>
      <c r="AU252" t="s">
        <v>571</v>
      </c>
      <c r="AV252" t="s">
        <v>572</v>
      </c>
      <c r="AW252" t="s">
        <v>60</v>
      </c>
      <c r="AX252" t="s">
        <v>68</v>
      </c>
      <c r="AY252" t="s">
        <v>69</v>
      </c>
      <c r="AZ252" t="b">
        <v>1</v>
      </c>
    </row>
    <row r="253" spans="1:52" x14ac:dyDescent="0.3">
      <c r="A253" t="s">
        <v>52</v>
      </c>
      <c r="B253" t="s">
        <v>53</v>
      </c>
      <c r="C253" t="s">
        <v>54</v>
      </c>
      <c r="D253" t="s">
        <v>55</v>
      </c>
      <c r="E253" t="s">
        <v>56</v>
      </c>
      <c r="F253" t="s">
        <v>1247</v>
      </c>
      <c r="G253" t="s">
        <v>833</v>
      </c>
      <c r="H253" t="s">
        <v>834</v>
      </c>
      <c r="I253" t="s">
        <v>834</v>
      </c>
      <c r="J253" t="s">
        <v>60</v>
      </c>
      <c r="K253" t="s">
        <v>388</v>
      </c>
      <c r="L253" t="s">
        <v>62</v>
      </c>
      <c r="M253" t="s">
        <v>388</v>
      </c>
      <c r="N253" t="s">
        <v>835</v>
      </c>
      <c r="O253" t="s">
        <v>836</v>
      </c>
      <c r="P253">
        <v>-20.157906000000001</v>
      </c>
      <c r="Q253">
        <v>-44.900458999999998</v>
      </c>
      <c r="R253" s="2" t="str">
        <f>HYPERLINK("https://www.google.com/maps?q=-20.1579060,-44.9004590","Abrir no Google Maps")</f>
        <v>Abrir no Google Maps</v>
      </c>
      <c r="S253">
        <v>3</v>
      </c>
      <c r="T253">
        <v>0</v>
      </c>
      <c r="U253">
        <v>3</v>
      </c>
      <c r="V253">
        <v>0.28756611996203568</v>
      </c>
      <c r="W253">
        <v>1</v>
      </c>
      <c r="X253">
        <v>0.28756611996203568</v>
      </c>
      <c r="Y253">
        <v>729</v>
      </c>
      <c r="Z253">
        <v>203.63168486652771</v>
      </c>
      <c r="AA253">
        <v>198</v>
      </c>
      <c r="AB253">
        <v>332</v>
      </c>
      <c r="AC253">
        <v>536</v>
      </c>
      <c r="AD253">
        <v>28.41</v>
      </c>
      <c r="AE253">
        <v>542</v>
      </c>
      <c r="AF253">
        <v>20</v>
      </c>
      <c r="AG253">
        <v>180</v>
      </c>
      <c r="AH253">
        <v>129</v>
      </c>
      <c r="AI253">
        <v>3.69</v>
      </c>
      <c r="AJ253">
        <v>33.21</v>
      </c>
      <c r="AK253">
        <v>23.8</v>
      </c>
      <c r="AL253">
        <v>-20.157925749999951</v>
      </c>
      <c r="AM253">
        <v>-44.900484707799812</v>
      </c>
      <c r="AN253">
        <v>-20.157925749999951</v>
      </c>
      <c r="AO253">
        <v>-44.900484707799812</v>
      </c>
      <c r="AP253">
        <v>-20.157906000000001</v>
      </c>
      <c r="AQ253">
        <v>-44.900458999999998</v>
      </c>
      <c r="AR253">
        <v>3.4714515960382508</v>
      </c>
      <c r="AS253" t="s">
        <v>65</v>
      </c>
      <c r="AT253">
        <v>1</v>
      </c>
      <c r="AU253" t="s">
        <v>837</v>
      </c>
      <c r="AV253" t="s">
        <v>838</v>
      </c>
      <c r="AW253" t="s">
        <v>60</v>
      </c>
      <c r="AX253" t="s">
        <v>68</v>
      </c>
      <c r="AY253" t="s">
        <v>69</v>
      </c>
      <c r="AZ253" t="b">
        <v>1</v>
      </c>
    </row>
    <row r="254" spans="1:52" x14ac:dyDescent="0.3">
      <c r="A254" t="s">
        <v>52</v>
      </c>
      <c r="B254" t="s">
        <v>53</v>
      </c>
      <c r="C254" t="s">
        <v>54</v>
      </c>
      <c r="D254" t="s">
        <v>55</v>
      </c>
      <c r="E254" t="s">
        <v>56</v>
      </c>
      <c r="F254" t="s">
        <v>1247</v>
      </c>
      <c r="G254" t="s">
        <v>839</v>
      </c>
      <c r="H254" t="s">
        <v>840</v>
      </c>
      <c r="I254" t="s">
        <v>840</v>
      </c>
      <c r="J254" t="s">
        <v>60</v>
      </c>
      <c r="K254" t="s">
        <v>388</v>
      </c>
      <c r="L254" t="s">
        <v>62</v>
      </c>
      <c r="M254" t="s">
        <v>388</v>
      </c>
      <c r="N254" t="s">
        <v>841</v>
      </c>
      <c r="O254" t="s">
        <v>842</v>
      </c>
      <c r="P254">
        <v>-20.159977999999999</v>
      </c>
      <c r="Q254">
        <v>-44.900207000000002</v>
      </c>
      <c r="R254" s="2" t="str">
        <f>HYPERLINK("https://www.google.com/maps?q=-20.1599780,-44.9002070","Abrir no Google Maps")</f>
        <v>Abrir no Google Maps</v>
      </c>
      <c r="S254">
        <v>3</v>
      </c>
      <c r="T254">
        <v>213.24333517300789</v>
      </c>
      <c r="U254">
        <v>3</v>
      </c>
      <c r="V254">
        <v>0.29379381682403422</v>
      </c>
      <c r="W254">
        <v>1</v>
      </c>
      <c r="X254">
        <v>0.29379381682403422</v>
      </c>
      <c r="Y254">
        <v>729</v>
      </c>
      <c r="Z254">
        <v>315.47173727880028</v>
      </c>
      <c r="AA254">
        <v>198</v>
      </c>
      <c r="AB254">
        <v>332</v>
      </c>
      <c r="AC254">
        <v>536</v>
      </c>
      <c r="AD254">
        <v>28.41</v>
      </c>
      <c r="AE254">
        <v>542</v>
      </c>
      <c r="AF254">
        <v>20</v>
      </c>
      <c r="AG254">
        <v>180</v>
      </c>
      <c r="AH254">
        <v>129</v>
      </c>
      <c r="AI254">
        <v>3.69</v>
      </c>
      <c r="AJ254">
        <v>33.21</v>
      </c>
      <c r="AK254">
        <v>23.8</v>
      </c>
      <c r="AL254">
        <v>-20.159825649999959</v>
      </c>
      <c r="AM254">
        <v>-44.900143828909613</v>
      </c>
      <c r="AN254">
        <v>-20.159825649999959</v>
      </c>
      <c r="AO254">
        <v>-44.900143828909613</v>
      </c>
      <c r="AP254">
        <v>-20.159977999999999</v>
      </c>
      <c r="AQ254">
        <v>-44.900207000000002</v>
      </c>
      <c r="AR254">
        <v>18.199073573580371</v>
      </c>
      <c r="AS254" t="s">
        <v>65</v>
      </c>
      <c r="AT254">
        <v>1</v>
      </c>
      <c r="AU254" t="s">
        <v>843</v>
      </c>
      <c r="AV254" t="s">
        <v>844</v>
      </c>
      <c r="AW254" t="s">
        <v>60</v>
      </c>
      <c r="AX254" t="s">
        <v>68</v>
      </c>
      <c r="AY254" t="s">
        <v>69</v>
      </c>
      <c r="AZ254" t="b">
        <v>1</v>
      </c>
    </row>
    <row r="255" spans="1:52" x14ac:dyDescent="0.3">
      <c r="A255" t="s">
        <v>52</v>
      </c>
      <c r="B255" t="s">
        <v>53</v>
      </c>
      <c r="C255" t="s">
        <v>54</v>
      </c>
      <c r="D255" t="s">
        <v>55</v>
      </c>
      <c r="E255" t="s">
        <v>56</v>
      </c>
      <c r="F255" t="s">
        <v>1247</v>
      </c>
      <c r="G255" t="s">
        <v>845</v>
      </c>
      <c r="H255" t="s">
        <v>846</v>
      </c>
      <c r="I255" t="s">
        <v>846</v>
      </c>
      <c r="J255" t="s">
        <v>60</v>
      </c>
      <c r="K255" t="s">
        <v>424</v>
      </c>
      <c r="L255" t="s">
        <v>62</v>
      </c>
      <c r="M255" t="s">
        <v>424</v>
      </c>
      <c r="N255" t="s">
        <v>847</v>
      </c>
      <c r="O255" t="s">
        <v>848</v>
      </c>
      <c r="P255">
        <v>-20.175523999999999</v>
      </c>
      <c r="Q255">
        <v>-44.918016999999999</v>
      </c>
      <c r="R255" s="2" t="str">
        <f>HYPERLINK("https://www.google.com/maps?q=-20.1755240,-44.9180170","Abrir no Google Maps")</f>
        <v>Abrir no Google Maps</v>
      </c>
      <c r="S255">
        <v>3</v>
      </c>
      <c r="T255">
        <v>833.59191671824021</v>
      </c>
      <c r="U255">
        <v>3</v>
      </c>
      <c r="V255">
        <v>0.3357239469860937</v>
      </c>
      <c r="W255">
        <v>0.85</v>
      </c>
      <c r="X255">
        <v>0.28536535493817972</v>
      </c>
      <c r="Y255">
        <v>723</v>
      </c>
      <c r="Z255">
        <v>701.05790658871581</v>
      </c>
      <c r="AA255">
        <v>198</v>
      </c>
      <c r="AB255">
        <v>332</v>
      </c>
      <c r="AC255">
        <v>536</v>
      </c>
      <c r="AD255">
        <v>28.41</v>
      </c>
      <c r="AE255">
        <v>542</v>
      </c>
      <c r="AF255">
        <v>20</v>
      </c>
      <c r="AG255">
        <v>180</v>
      </c>
      <c r="AH255">
        <v>129</v>
      </c>
      <c r="AI255">
        <v>3.69</v>
      </c>
      <c r="AJ255">
        <v>33.21</v>
      </c>
      <c r="AK255">
        <v>23.8</v>
      </c>
      <c r="AL255">
        <v>-20.17533859999995</v>
      </c>
      <c r="AM255">
        <v>-44.917689627873088</v>
      </c>
      <c r="AN255">
        <v>-20.17533859999995</v>
      </c>
      <c r="AO255">
        <v>-44.917689627873088</v>
      </c>
      <c r="AP255">
        <v>-20.175523999999999</v>
      </c>
      <c r="AQ255">
        <v>-44.918016999999999</v>
      </c>
      <c r="AR255">
        <v>39.950898228213873</v>
      </c>
      <c r="AS255" t="s">
        <v>65</v>
      </c>
      <c r="AT255">
        <v>1</v>
      </c>
      <c r="AU255" t="s">
        <v>849</v>
      </c>
      <c r="AV255" t="s">
        <v>850</v>
      </c>
      <c r="AW255" t="s">
        <v>60</v>
      </c>
      <c r="AX255" t="s">
        <v>68</v>
      </c>
      <c r="AY255" t="s">
        <v>69</v>
      </c>
      <c r="AZ255" t="b">
        <v>1</v>
      </c>
    </row>
    <row r="256" spans="1:52" x14ac:dyDescent="0.3">
      <c r="A256" t="s">
        <v>52</v>
      </c>
      <c r="B256" t="s">
        <v>53</v>
      </c>
      <c r="C256" t="s">
        <v>54</v>
      </c>
      <c r="D256" t="s">
        <v>55</v>
      </c>
      <c r="E256" t="s">
        <v>56</v>
      </c>
      <c r="F256" t="s">
        <v>1247</v>
      </c>
      <c r="G256" t="s">
        <v>851</v>
      </c>
      <c r="H256" t="s">
        <v>852</v>
      </c>
      <c r="I256" t="s">
        <v>852</v>
      </c>
      <c r="J256" t="s">
        <v>60</v>
      </c>
      <c r="K256" t="s">
        <v>853</v>
      </c>
      <c r="L256" t="s">
        <v>62</v>
      </c>
      <c r="M256" t="s">
        <v>853</v>
      </c>
      <c r="N256" t="s">
        <v>854</v>
      </c>
      <c r="O256" t="s">
        <v>855</v>
      </c>
      <c r="P256">
        <v>-20.127835000000001</v>
      </c>
      <c r="Q256">
        <v>-44.909329</v>
      </c>
      <c r="R256" s="2" t="str">
        <f>HYPERLINK("https://www.google.com/maps?q=-20.1278350,-44.9093290","Abrir no Google Maps")</f>
        <v>Abrir no Google Maps</v>
      </c>
      <c r="S256">
        <v>3</v>
      </c>
      <c r="T256">
        <v>1173.033690896357</v>
      </c>
      <c r="U256">
        <v>3</v>
      </c>
      <c r="V256">
        <v>0.28976667790965571</v>
      </c>
      <c r="W256">
        <v>1</v>
      </c>
      <c r="X256">
        <v>0.28976667790965571</v>
      </c>
      <c r="Y256">
        <v>581</v>
      </c>
      <c r="Z256">
        <v>1296.5011565926129</v>
      </c>
      <c r="AA256">
        <v>198</v>
      </c>
      <c r="AB256">
        <v>332</v>
      </c>
      <c r="AC256">
        <v>536</v>
      </c>
      <c r="AD256">
        <v>28.41</v>
      </c>
      <c r="AE256">
        <v>542</v>
      </c>
      <c r="AF256">
        <v>20</v>
      </c>
      <c r="AG256">
        <v>180</v>
      </c>
      <c r="AH256">
        <v>129</v>
      </c>
      <c r="AI256">
        <v>3.69</v>
      </c>
      <c r="AJ256">
        <v>33.21</v>
      </c>
      <c r="AK256">
        <v>23.8</v>
      </c>
      <c r="AL256">
        <v>-20.127852899999969</v>
      </c>
      <c r="AM256">
        <v>-44.909386667699948</v>
      </c>
      <c r="AN256">
        <v>-20.127852899999969</v>
      </c>
      <c r="AO256">
        <v>-44.909386667699948</v>
      </c>
      <c r="AP256">
        <v>-20.127835000000001</v>
      </c>
      <c r="AQ256">
        <v>-44.909329</v>
      </c>
      <c r="AR256">
        <v>6.3483385067119924</v>
      </c>
      <c r="AS256" t="s">
        <v>65</v>
      </c>
      <c r="AT256">
        <v>1</v>
      </c>
      <c r="AU256" t="s">
        <v>856</v>
      </c>
      <c r="AV256" t="s">
        <v>857</v>
      </c>
      <c r="AW256" t="s">
        <v>60</v>
      </c>
      <c r="AX256" t="s">
        <v>68</v>
      </c>
      <c r="AY256" t="s">
        <v>69</v>
      </c>
      <c r="AZ256" t="b">
        <v>1</v>
      </c>
    </row>
    <row r="257" spans="1:52" x14ac:dyDescent="0.3">
      <c r="A257" t="s">
        <v>52</v>
      </c>
      <c r="B257" t="s">
        <v>53</v>
      </c>
      <c r="C257" t="s">
        <v>54</v>
      </c>
      <c r="D257" t="s">
        <v>55</v>
      </c>
      <c r="E257" t="s">
        <v>56</v>
      </c>
      <c r="F257" t="s">
        <v>1247</v>
      </c>
      <c r="G257" t="s">
        <v>858</v>
      </c>
      <c r="H257" t="s">
        <v>859</v>
      </c>
      <c r="I257" t="s">
        <v>859</v>
      </c>
      <c r="J257" t="s">
        <v>60</v>
      </c>
      <c r="K257" t="s">
        <v>462</v>
      </c>
      <c r="L257" t="s">
        <v>62</v>
      </c>
      <c r="M257" t="s">
        <v>462</v>
      </c>
      <c r="N257" t="s">
        <v>860</v>
      </c>
      <c r="O257" t="s">
        <v>861</v>
      </c>
      <c r="P257">
        <v>-20.139693999999999</v>
      </c>
      <c r="Q257">
        <v>-44.911256000000002</v>
      </c>
      <c r="R257" s="2" t="str">
        <f>HYPERLINK("https://www.google.com/maps?q=-20.1396940,-44.9112560","Abrir no Google Maps")</f>
        <v>Abrir no Google Maps</v>
      </c>
      <c r="S257">
        <v>3</v>
      </c>
      <c r="T257">
        <v>380.48036838042862</v>
      </c>
      <c r="U257">
        <v>3</v>
      </c>
      <c r="V257">
        <v>0.3445280894845309</v>
      </c>
      <c r="W257">
        <v>0.85</v>
      </c>
      <c r="X257">
        <v>0.29284887606185128</v>
      </c>
      <c r="Y257">
        <v>581</v>
      </c>
      <c r="Z257">
        <v>374.61146000000178</v>
      </c>
      <c r="AA257">
        <v>198</v>
      </c>
      <c r="AB257">
        <v>332</v>
      </c>
      <c r="AC257">
        <v>536</v>
      </c>
      <c r="AD257">
        <v>28.41</v>
      </c>
      <c r="AE257">
        <v>542</v>
      </c>
      <c r="AF257">
        <v>20</v>
      </c>
      <c r="AG257">
        <v>180</v>
      </c>
      <c r="AH257">
        <v>129</v>
      </c>
      <c r="AI257">
        <v>3.69</v>
      </c>
      <c r="AJ257">
        <v>33.21</v>
      </c>
      <c r="AK257">
        <v>23.8</v>
      </c>
      <c r="AL257">
        <v>-20.139768699999959</v>
      </c>
      <c r="AM257">
        <v>-44.911265351587588</v>
      </c>
      <c r="AN257">
        <v>-20.139768699999959</v>
      </c>
      <c r="AO257">
        <v>-44.911265351587588</v>
      </c>
      <c r="AP257">
        <v>-20.139693999999999</v>
      </c>
      <c r="AQ257">
        <v>-44.911256000000002</v>
      </c>
      <c r="AR257">
        <v>8.3728438666521061</v>
      </c>
      <c r="AS257" t="s">
        <v>65</v>
      </c>
      <c r="AT257">
        <v>1</v>
      </c>
      <c r="AU257" t="s">
        <v>862</v>
      </c>
      <c r="AV257" t="s">
        <v>863</v>
      </c>
      <c r="AW257" t="s">
        <v>60</v>
      </c>
      <c r="AX257" t="s">
        <v>68</v>
      </c>
      <c r="AY257" t="s">
        <v>69</v>
      </c>
      <c r="AZ257" t="b">
        <v>1</v>
      </c>
    </row>
    <row r="258" spans="1:52" x14ac:dyDescent="0.3">
      <c r="A258" t="s">
        <v>52</v>
      </c>
      <c r="B258" t="s">
        <v>53</v>
      </c>
      <c r="C258" t="s">
        <v>54</v>
      </c>
      <c r="D258" t="s">
        <v>55</v>
      </c>
      <c r="E258" t="s">
        <v>56</v>
      </c>
      <c r="F258" t="s">
        <v>1247</v>
      </c>
      <c r="G258" t="s">
        <v>864</v>
      </c>
      <c r="H258" t="s">
        <v>865</v>
      </c>
      <c r="I258" t="s">
        <v>865</v>
      </c>
      <c r="J258" t="s">
        <v>60</v>
      </c>
      <c r="K258" t="s">
        <v>486</v>
      </c>
      <c r="L258" t="s">
        <v>62</v>
      </c>
      <c r="M258" t="s">
        <v>486</v>
      </c>
      <c r="N258" t="s">
        <v>866</v>
      </c>
      <c r="O258" t="s">
        <v>867</v>
      </c>
      <c r="P258">
        <v>-20.170919000000001</v>
      </c>
      <c r="Q258">
        <v>-44.905451999999997</v>
      </c>
      <c r="R258" s="2" t="str">
        <f>HYPERLINK("https://www.google.com/maps?q=-20.1709190,-44.9054520","Abrir no Google Maps")</f>
        <v>Abrir no Google Maps</v>
      </c>
      <c r="S258">
        <v>3</v>
      </c>
      <c r="T258">
        <v>0</v>
      </c>
      <c r="U258">
        <v>3</v>
      </c>
      <c r="V258">
        <v>0.29385830152207698</v>
      </c>
      <c r="W258">
        <v>1</v>
      </c>
      <c r="X258">
        <v>0.29385830152207698</v>
      </c>
      <c r="Y258">
        <v>578</v>
      </c>
      <c r="Z258">
        <v>205.34598855748419</v>
      </c>
      <c r="AA258">
        <v>198</v>
      </c>
      <c r="AB258">
        <v>332</v>
      </c>
      <c r="AC258">
        <v>536</v>
      </c>
      <c r="AD258">
        <v>28.41</v>
      </c>
      <c r="AE258">
        <v>542</v>
      </c>
      <c r="AF258">
        <v>20</v>
      </c>
      <c r="AG258">
        <v>180</v>
      </c>
      <c r="AH258">
        <v>129</v>
      </c>
      <c r="AI258">
        <v>3.69</v>
      </c>
      <c r="AJ258">
        <v>33.21</v>
      </c>
      <c r="AK258">
        <v>23.8</v>
      </c>
      <c r="AL258">
        <v>-20.170854399999939</v>
      </c>
      <c r="AM258">
        <v>-44.905524839633358</v>
      </c>
      <c r="AN258">
        <v>-20.170854399999939</v>
      </c>
      <c r="AO258">
        <v>-44.905524839633358</v>
      </c>
      <c r="AP258">
        <v>-20.170919000000001</v>
      </c>
      <c r="AQ258">
        <v>-44.905451999999997</v>
      </c>
      <c r="AR258">
        <v>10.471140355179269</v>
      </c>
      <c r="AS258" t="s">
        <v>65</v>
      </c>
      <c r="AT258">
        <v>1</v>
      </c>
      <c r="AU258" t="s">
        <v>868</v>
      </c>
      <c r="AV258" t="s">
        <v>869</v>
      </c>
      <c r="AW258" t="s">
        <v>60</v>
      </c>
      <c r="AX258" t="s">
        <v>68</v>
      </c>
      <c r="AY258" t="s">
        <v>69</v>
      </c>
      <c r="AZ258" t="b">
        <v>1</v>
      </c>
    </row>
    <row r="259" spans="1:52" x14ac:dyDescent="0.3">
      <c r="A259" t="s">
        <v>52</v>
      </c>
      <c r="B259" t="s">
        <v>53</v>
      </c>
      <c r="C259" t="s">
        <v>54</v>
      </c>
      <c r="D259" t="s">
        <v>55</v>
      </c>
      <c r="E259" t="s">
        <v>56</v>
      </c>
      <c r="F259" t="s">
        <v>1247</v>
      </c>
      <c r="G259" t="s">
        <v>870</v>
      </c>
      <c r="H259" t="s">
        <v>871</v>
      </c>
      <c r="I259" t="s">
        <v>871</v>
      </c>
      <c r="J259" t="s">
        <v>60</v>
      </c>
      <c r="K259" t="s">
        <v>475</v>
      </c>
      <c r="L259" t="s">
        <v>62</v>
      </c>
      <c r="M259" t="s">
        <v>475</v>
      </c>
      <c r="N259" t="s">
        <v>872</v>
      </c>
      <c r="O259" t="s">
        <v>507</v>
      </c>
      <c r="P259">
        <v>-20.176269999999999</v>
      </c>
      <c r="Q259">
        <v>-44.909323999999998</v>
      </c>
      <c r="R259" s="2" t="str">
        <f>HYPERLINK("https://www.google.com/maps?q=-20.1762700,-44.9093240","Abrir no Google Maps")</f>
        <v>Abrir no Google Maps</v>
      </c>
      <c r="S259">
        <v>3</v>
      </c>
      <c r="T259">
        <v>472.42731136821368</v>
      </c>
      <c r="U259">
        <v>3</v>
      </c>
      <c r="V259">
        <v>0.28007025873498709</v>
      </c>
      <c r="W259">
        <v>1</v>
      </c>
      <c r="X259">
        <v>0.28007025873498709</v>
      </c>
      <c r="Y259">
        <v>578</v>
      </c>
      <c r="Z259">
        <v>495.19726726344601</v>
      </c>
      <c r="AA259">
        <v>198</v>
      </c>
      <c r="AB259">
        <v>332</v>
      </c>
      <c r="AC259">
        <v>536</v>
      </c>
      <c r="AD259">
        <v>28.41</v>
      </c>
      <c r="AE259">
        <v>542</v>
      </c>
      <c r="AF259">
        <v>20</v>
      </c>
      <c r="AG259">
        <v>180</v>
      </c>
      <c r="AH259">
        <v>129</v>
      </c>
      <c r="AI259">
        <v>3.69</v>
      </c>
      <c r="AJ259">
        <v>33.21</v>
      </c>
      <c r="AK259">
        <v>23.8</v>
      </c>
      <c r="AL259">
        <v>-20.17630284999996</v>
      </c>
      <c r="AM259">
        <v>-44.909199064318948</v>
      </c>
      <c r="AN259">
        <v>-20.17630284999996</v>
      </c>
      <c r="AO259">
        <v>-44.909199064318948</v>
      </c>
      <c r="AP259">
        <v>-20.176269999999999</v>
      </c>
      <c r="AQ259">
        <v>-44.909323999999998</v>
      </c>
      <c r="AR259">
        <v>13.55691308737447</v>
      </c>
      <c r="AS259" t="s">
        <v>65</v>
      </c>
      <c r="AT259">
        <v>1</v>
      </c>
      <c r="AU259" t="s">
        <v>873</v>
      </c>
      <c r="AV259" t="s">
        <v>874</v>
      </c>
      <c r="AW259" t="s">
        <v>60</v>
      </c>
      <c r="AX259" t="s">
        <v>68</v>
      </c>
      <c r="AY259" t="s">
        <v>69</v>
      </c>
      <c r="AZ259" t="b">
        <v>1</v>
      </c>
    </row>
    <row r="260" spans="1:52" x14ac:dyDescent="0.3">
      <c r="A260" t="s">
        <v>52</v>
      </c>
      <c r="B260" t="s">
        <v>53</v>
      </c>
      <c r="C260" t="s">
        <v>54</v>
      </c>
      <c r="D260" t="s">
        <v>55</v>
      </c>
      <c r="E260" t="s">
        <v>56</v>
      </c>
      <c r="F260" t="s">
        <v>1247</v>
      </c>
      <c r="G260" t="s">
        <v>497</v>
      </c>
      <c r="H260" t="s">
        <v>875</v>
      </c>
      <c r="I260" t="s">
        <v>875</v>
      </c>
      <c r="J260" t="s">
        <v>60</v>
      </c>
      <c r="K260" t="s">
        <v>475</v>
      </c>
      <c r="L260" t="s">
        <v>62</v>
      </c>
      <c r="M260" t="s">
        <v>475</v>
      </c>
      <c r="N260" t="s">
        <v>499</v>
      </c>
      <c r="O260" t="s">
        <v>876</v>
      </c>
      <c r="P260">
        <v>-20.177212999999998</v>
      </c>
      <c r="Q260">
        <v>-44.904026999999999</v>
      </c>
      <c r="R260" s="2" t="str">
        <f>HYPERLINK("https://www.google.com/maps?q=-20.1772130,-44.9040270","Abrir no Google Maps")</f>
        <v>Abrir no Google Maps</v>
      </c>
      <c r="S260">
        <v>3</v>
      </c>
      <c r="T260">
        <v>706.4159561113795</v>
      </c>
      <c r="U260">
        <v>3</v>
      </c>
      <c r="V260">
        <v>0.28951594663008667</v>
      </c>
      <c r="W260">
        <v>1</v>
      </c>
      <c r="X260">
        <v>0.28951594663008667</v>
      </c>
      <c r="Y260">
        <v>578</v>
      </c>
      <c r="Z260">
        <v>588.7160518608398</v>
      </c>
      <c r="AA260">
        <v>198</v>
      </c>
      <c r="AB260">
        <v>332</v>
      </c>
      <c r="AC260">
        <v>536</v>
      </c>
      <c r="AD260">
        <v>28.41</v>
      </c>
      <c r="AE260">
        <v>542</v>
      </c>
      <c r="AF260">
        <v>20</v>
      </c>
      <c r="AG260">
        <v>180</v>
      </c>
      <c r="AH260">
        <v>129</v>
      </c>
      <c r="AI260">
        <v>3.69</v>
      </c>
      <c r="AJ260">
        <v>33.21</v>
      </c>
      <c r="AK260">
        <v>23.8</v>
      </c>
      <c r="AL260">
        <v>-20.177090199999949</v>
      </c>
      <c r="AM260">
        <v>-44.904078820930181</v>
      </c>
      <c r="AN260">
        <v>-20.177090199999949</v>
      </c>
      <c r="AO260">
        <v>-44.904078820930181</v>
      </c>
      <c r="AP260">
        <v>-20.177212999999998</v>
      </c>
      <c r="AQ260">
        <v>-44.904026999999999</v>
      </c>
      <c r="AR260">
        <v>14.7034129632295</v>
      </c>
      <c r="AS260" t="s">
        <v>65</v>
      </c>
      <c r="AT260">
        <v>1</v>
      </c>
      <c r="AU260" t="s">
        <v>877</v>
      </c>
      <c r="AV260" t="s">
        <v>878</v>
      </c>
      <c r="AW260" t="s">
        <v>60</v>
      </c>
      <c r="AX260" t="s">
        <v>68</v>
      </c>
      <c r="AY260" t="s">
        <v>69</v>
      </c>
      <c r="AZ260" t="b">
        <v>1</v>
      </c>
    </row>
    <row r="261" spans="1:52" x14ac:dyDescent="0.3">
      <c r="A261" t="s">
        <v>52</v>
      </c>
      <c r="B261" t="s">
        <v>53</v>
      </c>
      <c r="C261" t="s">
        <v>54</v>
      </c>
      <c r="D261" t="s">
        <v>55</v>
      </c>
      <c r="E261" t="s">
        <v>56</v>
      </c>
      <c r="F261" t="s">
        <v>1247</v>
      </c>
      <c r="G261" t="s">
        <v>879</v>
      </c>
      <c r="H261" t="s">
        <v>880</v>
      </c>
      <c r="I261" t="s">
        <v>880</v>
      </c>
      <c r="J261" t="s">
        <v>60</v>
      </c>
      <c r="K261" t="s">
        <v>505</v>
      </c>
      <c r="L261" t="s">
        <v>62</v>
      </c>
      <c r="M261" t="s">
        <v>505</v>
      </c>
      <c r="N261" t="s">
        <v>881</v>
      </c>
      <c r="O261" t="s">
        <v>882</v>
      </c>
      <c r="P261">
        <v>-20.133452999999999</v>
      </c>
      <c r="Q261">
        <v>-44.890571999999999</v>
      </c>
      <c r="R261" s="2" t="str">
        <f>HYPERLINK("https://www.google.com/maps?q=-20.1334530,-44.8905720","Abrir no Google Maps")</f>
        <v>Abrir no Google Maps</v>
      </c>
      <c r="S261">
        <v>3</v>
      </c>
      <c r="T261">
        <v>373.51332104809921</v>
      </c>
      <c r="U261">
        <v>3</v>
      </c>
      <c r="V261">
        <v>0.28907526766359581</v>
      </c>
      <c r="W261">
        <v>1</v>
      </c>
      <c r="X261">
        <v>0.28907526766359581</v>
      </c>
      <c r="Y261">
        <v>564</v>
      </c>
      <c r="Z261">
        <v>422.34693311930448</v>
      </c>
      <c r="AA261">
        <v>198</v>
      </c>
      <c r="AB261">
        <v>332</v>
      </c>
      <c r="AC261">
        <v>536</v>
      </c>
      <c r="AD261">
        <v>28.41</v>
      </c>
      <c r="AE261">
        <v>542</v>
      </c>
      <c r="AF261">
        <v>20</v>
      </c>
      <c r="AG261">
        <v>180</v>
      </c>
      <c r="AH261">
        <v>129</v>
      </c>
      <c r="AI261">
        <v>3.69</v>
      </c>
      <c r="AJ261">
        <v>33.21</v>
      </c>
      <c r="AK261">
        <v>23.8</v>
      </c>
      <c r="AL261">
        <v>-20.133421549999952</v>
      </c>
      <c r="AM261">
        <v>-44.890623456009052</v>
      </c>
      <c r="AN261">
        <v>-20.133421549999952</v>
      </c>
      <c r="AO261">
        <v>-44.890623456009052</v>
      </c>
      <c r="AP261">
        <v>-20.133452999999999</v>
      </c>
      <c r="AQ261">
        <v>-44.890571999999999</v>
      </c>
      <c r="AR261">
        <v>6.4172139275452773</v>
      </c>
      <c r="AS261" t="s">
        <v>65</v>
      </c>
      <c r="AT261">
        <v>1</v>
      </c>
      <c r="AU261" t="s">
        <v>883</v>
      </c>
      <c r="AV261" t="s">
        <v>884</v>
      </c>
      <c r="AW261" t="s">
        <v>60</v>
      </c>
      <c r="AX261" t="s">
        <v>68</v>
      </c>
      <c r="AY261" t="s">
        <v>69</v>
      </c>
      <c r="AZ261" t="b">
        <v>1</v>
      </c>
    </row>
    <row r="262" spans="1:52" x14ac:dyDescent="0.3">
      <c r="A262" t="s">
        <v>52</v>
      </c>
      <c r="B262" t="s">
        <v>53</v>
      </c>
      <c r="C262" t="s">
        <v>54</v>
      </c>
      <c r="D262" t="s">
        <v>55</v>
      </c>
      <c r="E262" t="s">
        <v>56</v>
      </c>
      <c r="F262" t="s">
        <v>1247</v>
      </c>
      <c r="G262" t="s">
        <v>649</v>
      </c>
      <c r="H262" t="s">
        <v>885</v>
      </c>
      <c r="I262" t="s">
        <v>885</v>
      </c>
      <c r="J262" t="s">
        <v>60</v>
      </c>
      <c r="K262" t="s">
        <v>886</v>
      </c>
      <c r="L262" t="s">
        <v>62</v>
      </c>
      <c r="M262" t="s">
        <v>886</v>
      </c>
      <c r="N262" t="s">
        <v>652</v>
      </c>
      <c r="O262" t="s">
        <v>887</v>
      </c>
      <c r="P262">
        <v>-20.132252000000001</v>
      </c>
      <c r="Q262">
        <v>-44.894159000000002</v>
      </c>
      <c r="R262" s="2" t="str">
        <f>HYPERLINK("https://www.google.com/maps?q=-20.1322520,-44.8941590","Abrir no Google Maps")</f>
        <v>Abrir no Google Maps</v>
      </c>
      <c r="S262">
        <v>3</v>
      </c>
      <c r="T262">
        <v>699.5004749448899</v>
      </c>
      <c r="U262">
        <v>3</v>
      </c>
      <c r="V262">
        <v>0.32600493769209787</v>
      </c>
      <c r="W262">
        <v>0.85</v>
      </c>
      <c r="X262">
        <v>0.27710419703828321</v>
      </c>
      <c r="Y262">
        <v>564</v>
      </c>
      <c r="Z262">
        <v>522.21103586457991</v>
      </c>
      <c r="AA262">
        <v>198</v>
      </c>
      <c r="AB262">
        <v>332</v>
      </c>
      <c r="AC262">
        <v>536</v>
      </c>
      <c r="AD262">
        <v>28.41</v>
      </c>
      <c r="AE262">
        <v>542</v>
      </c>
      <c r="AF262">
        <v>20</v>
      </c>
      <c r="AG262">
        <v>180</v>
      </c>
      <c r="AH262">
        <v>129</v>
      </c>
      <c r="AI262">
        <v>3.69</v>
      </c>
      <c r="AJ262">
        <v>33.21</v>
      </c>
      <c r="AK262">
        <v>23.8</v>
      </c>
      <c r="AL262">
        <v>-20.132285999999969</v>
      </c>
      <c r="AM262">
        <v>-44.894119001288672</v>
      </c>
      <c r="AN262">
        <v>-20.132285999999969</v>
      </c>
      <c r="AO262">
        <v>-44.894119001288672</v>
      </c>
      <c r="AP262">
        <v>-20.132252000000001</v>
      </c>
      <c r="AQ262">
        <v>-44.894159000000002</v>
      </c>
      <c r="AR262">
        <v>5.6393921063261629</v>
      </c>
      <c r="AS262" t="s">
        <v>65</v>
      </c>
      <c r="AT262">
        <v>1</v>
      </c>
      <c r="AU262" t="s">
        <v>888</v>
      </c>
      <c r="AV262" t="s">
        <v>889</v>
      </c>
      <c r="AW262" t="s">
        <v>60</v>
      </c>
      <c r="AX262" t="s">
        <v>68</v>
      </c>
      <c r="AY262" t="s">
        <v>69</v>
      </c>
      <c r="AZ262" t="b">
        <v>1</v>
      </c>
    </row>
    <row r="263" spans="1:52" x14ac:dyDescent="0.3">
      <c r="A263" t="s">
        <v>52</v>
      </c>
      <c r="B263" t="s">
        <v>53</v>
      </c>
      <c r="C263" t="s">
        <v>54</v>
      </c>
      <c r="D263" t="s">
        <v>55</v>
      </c>
      <c r="E263" t="s">
        <v>56</v>
      </c>
      <c r="F263" t="s">
        <v>1247</v>
      </c>
      <c r="G263" t="s">
        <v>890</v>
      </c>
      <c r="H263" t="s">
        <v>891</v>
      </c>
      <c r="I263" t="s">
        <v>891</v>
      </c>
      <c r="J263" t="s">
        <v>60</v>
      </c>
      <c r="K263" t="s">
        <v>892</v>
      </c>
      <c r="L263" t="s">
        <v>62</v>
      </c>
      <c r="M263" t="s">
        <v>892</v>
      </c>
      <c r="N263" t="s">
        <v>893</v>
      </c>
      <c r="O263" t="s">
        <v>894</v>
      </c>
      <c r="P263">
        <v>-20.152519000000002</v>
      </c>
      <c r="Q263">
        <v>-44.899177000000002</v>
      </c>
      <c r="R263" s="2" t="str">
        <f>HYPERLINK("https://www.google.com/maps?q=-20.1525190,-44.8991770","Abrir no Google Maps")</f>
        <v>Abrir no Google Maps</v>
      </c>
      <c r="S263">
        <v>3</v>
      </c>
      <c r="T263">
        <v>211.80188552994721</v>
      </c>
      <c r="U263">
        <v>3</v>
      </c>
      <c r="V263">
        <v>0.2806567794999183</v>
      </c>
      <c r="W263">
        <v>1</v>
      </c>
      <c r="X263">
        <v>0.2806567794999183</v>
      </c>
      <c r="Y263">
        <v>556</v>
      </c>
      <c r="Z263">
        <v>290.34804137107091</v>
      </c>
      <c r="AA263">
        <v>198</v>
      </c>
      <c r="AB263">
        <v>332</v>
      </c>
      <c r="AC263">
        <v>536</v>
      </c>
      <c r="AD263">
        <v>28.41</v>
      </c>
      <c r="AE263">
        <v>542</v>
      </c>
      <c r="AF263">
        <v>20</v>
      </c>
      <c r="AG263">
        <v>180</v>
      </c>
      <c r="AH263">
        <v>129</v>
      </c>
      <c r="AI263">
        <v>3.69</v>
      </c>
      <c r="AJ263">
        <v>33.21</v>
      </c>
      <c r="AK263">
        <v>23.8</v>
      </c>
      <c r="AL263">
        <v>-20.152516249999959</v>
      </c>
      <c r="AM263">
        <v>-44.899310431333959</v>
      </c>
      <c r="AN263">
        <v>-20.152516249999959</v>
      </c>
      <c r="AO263">
        <v>-44.899310431333959</v>
      </c>
      <c r="AP263">
        <v>-20.152519000000002</v>
      </c>
      <c r="AQ263">
        <v>-44.899177000000002</v>
      </c>
      <c r="AR263">
        <v>13.947583284957719</v>
      </c>
      <c r="AS263" t="s">
        <v>65</v>
      </c>
      <c r="AT263">
        <v>1</v>
      </c>
      <c r="AU263" t="s">
        <v>895</v>
      </c>
      <c r="AV263" t="s">
        <v>896</v>
      </c>
      <c r="AW263" t="s">
        <v>60</v>
      </c>
      <c r="AX263" t="s">
        <v>68</v>
      </c>
      <c r="AY263" t="s">
        <v>69</v>
      </c>
      <c r="AZ263" t="b">
        <v>1</v>
      </c>
    </row>
    <row r="264" spans="1:52" x14ac:dyDescent="0.3">
      <c r="A264" t="s">
        <v>52</v>
      </c>
      <c r="B264" t="s">
        <v>53</v>
      </c>
      <c r="C264" t="s">
        <v>54</v>
      </c>
      <c r="D264" t="s">
        <v>55</v>
      </c>
      <c r="E264" t="s">
        <v>56</v>
      </c>
      <c r="F264" t="s">
        <v>1247</v>
      </c>
      <c r="G264" t="s">
        <v>897</v>
      </c>
      <c r="H264" t="s">
        <v>898</v>
      </c>
      <c r="I264" t="s">
        <v>898</v>
      </c>
      <c r="J264" t="s">
        <v>60</v>
      </c>
      <c r="K264" t="s">
        <v>892</v>
      </c>
      <c r="L264" t="s">
        <v>62</v>
      </c>
      <c r="M264" t="s">
        <v>892</v>
      </c>
      <c r="N264" t="s">
        <v>899</v>
      </c>
      <c r="O264" t="s">
        <v>900</v>
      </c>
      <c r="P264">
        <v>-20.154885</v>
      </c>
      <c r="Q264">
        <v>-44.899890999999997</v>
      </c>
      <c r="R264" s="2" t="str">
        <f>HYPERLINK("https://www.google.com/maps?q=-20.1548850,-44.8998910","Abrir no Google Maps")</f>
        <v>Abrir no Google Maps</v>
      </c>
      <c r="S264">
        <v>3</v>
      </c>
      <c r="T264">
        <v>314.66339661014308</v>
      </c>
      <c r="U264">
        <v>3</v>
      </c>
      <c r="V264">
        <v>0.28506693111022491</v>
      </c>
      <c r="W264">
        <v>1</v>
      </c>
      <c r="X264">
        <v>0.28506693111022491</v>
      </c>
      <c r="Y264">
        <v>548</v>
      </c>
      <c r="Z264">
        <v>319.02252584834253</v>
      </c>
      <c r="AA264">
        <v>198</v>
      </c>
      <c r="AB264">
        <v>332</v>
      </c>
      <c r="AC264">
        <v>536</v>
      </c>
      <c r="AD264">
        <v>28.41</v>
      </c>
      <c r="AE264">
        <v>542</v>
      </c>
      <c r="AF264">
        <v>20</v>
      </c>
      <c r="AG264">
        <v>180</v>
      </c>
      <c r="AH264">
        <v>129</v>
      </c>
      <c r="AI264">
        <v>3.69</v>
      </c>
      <c r="AJ264">
        <v>33.21</v>
      </c>
      <c r="AK264">
        <v>23.8</v>
      </c>
      <c r="AL264">
        <v>-20.154906649999951</v>
      </c>
      <c r="AM264">
        <v>-44.899894072543653</v>
      </c>
      <c r="AN264">
        <v>-20.154906649999951</v>
      </c>
      <c r="AO264">
        <v>-44.899894072543653</v>
      </c>
      <c r="AP264">
        <v>-20.154885</v>
      </c>
      <c r="AQ264">
        <v>-44.899890999999997</v>
      </c>
      <c r="AR264">
        <v>2.431373123904943</v>
      </c>
      <c r="AS264" t="s">
        <v>65</v>
      </c>
      <c r="AT264">
        <v>1</v>
      </c>
      <c r="AU264" t="s">
        <v>901</v>
      </c>
      <c r="AV264" t="s">
        <v>902</v>
      </c>
      <c r="AW264" t="s">
        <v>60</v>
      </c>
      <c r="AX264" t="s">
        <v>68</v>
      </c>
      <c r="AY264" t="s">
        <v>69</v>
      </c>
      <c r="AZ264" t="b">
        <v>1</v>
      </c>
    </row>
    <row r="265" spans="1:52" x14ac:dyDescent="0.3">
      <c r="A265" t="s">
        <v>52</v>
      </c>
      <c r="B265" t="s">
        <v>53</v>
      </c>
      <c r="C265" t="s">
        <v>54</v>
      </c>
      <c r="D265" t="s">
        <v>55</v>
      </c>
      <c r="E265" t="s">
        <v>56</v>
      </c>
      <c r="F265" t="s">
        <v>1247</v>
      </c>
      <c r="G265" t="s">
        <v>839</v>
      </c>
      <c r="H265" t="s">
        <v>1274</v>
      </c>
      <c r="I265" t="s">
        <v>1274</v>
      </c>
      <c r="J265" t="s">
        <v>60</v>
      </c>
      <c r="K265" t="s">
        <v>388</v>
      </c>
      <c r="L265" t="s">
        <v>62</v>
      </c>
      <c r="M265" t="s">
        <v>388</v>
      </c>
      <c r="N265" t="s">
        <v>841</v>
      </c>
      <c r="O265" t="s">
        <v>1275</v>
      </c>
      <c r="P265">
        <v>-20.157979999999998</v>
      </c>
      <c r="Q265">
        <v>-44.906365999999998</v>
      </c>
      <c r="R265" s="2" t="str">
        <f>HYPERLINK("https://www.google.com/maps?q=-20.1579800,-44.9063660","Abrir no Google Maps")</f>
        <v>Abrir no Google Maps</v>
      </c>
      <c r="S265">
        <v>3</v>
      </c>
      <c r="T265">
        <v>519.48953004348823</v>
      </c>
      <c r="U265">
        <v>2</v>
      </c>
      <c r="V265">
        <v>0.29498427528074961</v>
      </c>
      <c r="W265">
        <v>0.85</v>
      </c>
      <c r="X265">
        <v>0.25073663398863721</v>
      </c>
      <c r="Y265">
        <v>729</v>
      </c>
      <c r="Z265">
        <v>393.22938248316768</v>
      </c>
      <c r="AA265">
        <v>198</v>
      </c>
      <c r="AB265">
        <v>332</v>
      </c>
      <c r="AC265">
        <v>536</v>
      </c>
      <c r="AD265">
        <v>28.41</v>
      </c>
      <c r="AE265">
        <v>542</v>
      </c>
      <c r="AF265">
        <v>20</v>
      </c>
      <c r="AG265">
        <v>180</v>
      </c>
      <c r="AH265">
        <v>129</v>
      </c>
      <c r="AI265">
        <v>3.69</v>
      </c>
      <c r="AJ265">
        <v>33.21</v>
      </c>
      <c r="AK265">
        <v>23.8</v>
      </c>
      <c r="AL265">
        <v>-20.157977799999941</v>
      </c>
      <c r="AM265">
        <v>-44.906429896327573</v>
      </c>
      <c r="AN265">
        <v>-20.157977799999941</v>
      </c>
      <c r="AO265">
        <v>-44.906429896327573</v>
      </c>
      <c r="AP265">
        <v>-20.157979999999998</v>
      </c>
      <c r="AQ265">
        <v>-44.906365999999998</v>
      </c>
      <c r="AR265">
        <v>6.6817330699236734</v>
      </c>
      <c r="AS265" t="s">
        <v>65</v>
      </c>
      <c r="AT265">
        <v>1</v>
      </c>
      <c r="AU265" t="s">
        <v>1276</v>
      </c>
      <c r="AV265" t="s">
        <v>1277</v>
      </c>
      <c r="AW265" t="s">
        <v>60</v>
      </c>
      <c r="AX265" t="s">
        <v>68</v>
      </c>
      <c r="AY265" t="s">
        <v>69</v>
      </c>
      <c r="AZ265" t="b">
        <v>1</v>
      </c>
    </row>
    <row r="266" spans="1:52" x14ac:dyDescent="0.3">
      <c r="A266" t="s">
        <v>52</v>
      </c>
      <c r="B266" t="s">
        <v>53</v>
      </c>
      <c r="C266" t="s">
        <v>54</v>
      </c>
      <c r="D266" t="s">
        <v>55</v>
      </c>
      <c r="E266" t="s">
        <v>56</v>
      </c>
      <c r="F266" t="s">
        <v>1247</v>
      </c>
      <c r="G266" t="s">
        <v>1278</v>
      </c>
      <c r="H266" t="s">
        <v>1279</v>
      </c>
      <c r="I266" t="s">
        <v>1279</v>
      </c>
      <c r="J266" t="s">
        <v>60</v>
      </c>
      <c r="K266" t="s">
        <v>388</v>
      </c>
      <c r="L266" t="s">
        <v>62</v>
      </c>
      <c r="M266" t="s">
        <v>388</v>
      </c>
      <c r="N266" t="s">
        <v>1280</v>
      </c>
      <c r="O266" t="s">
        <v>216</v>
      </c>
      <c r="P266">
        <v>-20.15681</v>
      </c>
      <c r="Q266">
        <v>-44.899290999999998</v>
      </c>
      <c r="R266" s="2" t="str">
        <f>HYPERLINK("https://www.google.com/maps?q=-20.1568100,-44.8992910","Abrir no Google Maps")</f>
        <v>Abrir no Google Maps</v>
      </c>
      <c r="S266">
        <v>3</v>
      </c>
      <c r="T266">
        <v>180.10162979749811</v>
      </c>
      <c r="U266">
        <v>2</v>
      </c>
      <c r="V266">
        <v>0.28929790512850628</v>
      </c>
      <c r="W266">
        <v>0.85</v>
      </c>
      <c r="X266">
        <v>0.24590321935923029</v>
      </c>
      <c r="Y266">
        <v>729</v>
      </c>
      <c r="Z266">
        <v>368.06065118133841</v>
      </c>
      <c r="AA266">
        <v>198</v>
      </c>
      <c r="AB266">
        <v>332</v>
      </c>
      <c r="AC266">
        <v>536</v>
      </c>
      <c r="AD266">
        <v>28.41</v>
      </c>
      <c r="AE266">
        <v>542</v>
      </c>
      <c r="AF266">
        <v>20</v>
      </c>
      <c r="AG266">
        <v>180</v>
      </c>
      <c r="AH266">
        <v>129</v>
      </c>
      <c r="AI266">
        <v>3.69</v>
      </c>
      <c r="AJ266">
        <v>33.21</v>
      </c>
      <c r="AK266">
        <v>23.8</v>
      </c>
      <c r="AL266">
        <v>-20.156785649999961</v>
      </c>
      <c r="AM266">
        <v>-44.899254812291332</v>
      </c>
      <c r="AN266">
        <v>-20.156785649999961</v>
      </c>
      <c r="AO266">
        <v>-44.899254812291332</v>
      </c>
      <c r="AP266">
        <v>-20.15681</v>
      </c>
      <c r="AQ266">
        <v>-44.899290999999998</v>
      </c>
      <c r="AR266">
        <v>4.6528211992813118</v>
      </c>
      <c r="AS266" t="s">
        <v>65</v>
      </c>
      <c r="AT266">
        <v>1</v>
      </c>
      <c r="AU266" t="s">
        <v>1281</v>
      </c>
      <c r="AV266" t="s">
        <v>1282</v>
      </c>
      <c r="AW266" t="s">
        <v>60</v>
      </c>
      <c r="AX266" t="s">
        <v>68</v>
      </c>
      <c r="AY266" t="s">
        <v>69</v>
      </c>
      <c r="AZ266" t="b">
        <v>1</v>
      </c>
    </row>
    <row r="267" spans="1:52" x14ac:dyDescent="0.3">
      <c r="A267" t="s">
        <v>52</v>
      </c>
      <c r="B267" t="s">
        <v>53</v>
      </c>
      <c r="C267" t="s">
        <v>54</v>
      </c>
      <c r="D267" t="s">
        <v>55</v>
      </c>
      <c r="E267" t="s">
        <v>56</v>
      </c>
      <c r="F267" t="s">
        <v>1247</v>
      </c>
      <c r="G267" t="s">
        <v>1283</v>
      </c>
      <c r="H267" t="s">
        <v>1284</v>
      </c>
      <c r="I267" t="s">
        <v>1284</v>
      </c>
      <c r="J267" t="s">
        <v>60</v>
      </c>
      <c r="K267" t="s">
        <v>388</v>
      </c>
      <c r="L267" t="s">
        <v>62</v>
      </c>
      <c r="M267" t="s">
        <v>388</v>
      </c>
      <c r="N267" t="s">
        <v>400</v>
      </c>
      <c r="O267" t="s">
        <v>1285</v>
      </c>
      <c r="P267">
        <v>-20.156977999999999</v>
      </c>
      <c r="Q267">
        <v>-44.90325</v>
      </c>
      <c r="R267" s="2" t="str">
        <f>HYPERLINK("https://www.google.com/maps?q=-20.1569780,-44.9032500","Abrir no Google Maps")</f>
        <v>Abrir no Google Maps</v>
      </c>
      <c r="S267">
        <v>3</v>
      </c>
      <c r="T267">
        <v>256.05633739092571</v>
      </c>
      <c r="U267">
        <v>2</v>
      </c>
      <c r="V267">
        <v>0.28816146917945212</v>
      </c>
      <c r="W267">
        <v>0.85</v>
      </c>
      <c r="X267">
        <v>0.24493724880253431</v>
      </c>
      <c r="Y267">
        <v>729</v>
      </c>
      <c r="Z267">
        <v>162.99447055889971</v>
      </c>
      <c r="AA267">
        <v>198</v>
      </c>
      <c r="AB267">
        <v>332</v>
      </c>
      <c r="AC267">
        <v>536</v>
      </c>
      <c r="AD267">
        <v>28.41</v>
      </c>
      <c r="AE267">
        <v>542</v>
      </c>
      <c r="AF267">
        <v>20</v>
      </c>
      <c r="AG267">
        <v>180</v>
      </c>
      <c r="AH267">
        <v>129</v>
      </c>
      <c r="AI267">
        <v>3.69</v>
      </c>
      <c r="AJ267">
        <v>33.21</v>
      </c>
      <c r="AK267">
        <v>23.8</v>
      </c>
      <c r="AL267">
        <v>-20.15696524999996</v>
      </c>
      <c r="AM267">
        <v>-44.903258102626708</v>
      </c>
      <c r="AN267">
        <v>-20.15696524999996</v>
      </c>
      <c r="AO267">
        <v>-44.903258102626708</v>
      </c>
      <c r="AP267">
        <v>-20.156977999999999</v>
      </c>
      <c r="AQ267">
        <v>-44.90325</v>
      </c>
      <c r="AR267">
        <v>1.6527147033629741</v>
      </c>
      <c r="AS267" t="s">
        <v>65</v>
      </c>
      <c r="AT267">
        <v>1</v>
      </c>
      <c r="AU267" t="s">
        <v>1286</v>
      </c>
      <c r="AV267" t="s">
        <v>1287</v>
      </c>
      <c r="AW267" t="s">
        <v>60</v>
      </c>
      <c r="AX267" t="s">
        <v>68</v>
      </c>
      <c r="AY267" t="s">
        <v>69</v>
      </c>
      <c r="AZ267" t="b">
        <v>1</v>
      </c>
    </row>
    <row r="268" spans="1:52" x14ac:dyDescent="0.3">
      <c r="A268" t="s">
        <v>52</v>
      </c>
      <c r="B268" t="s">
        <v>53</v>
      </c>
      <c r="C268" t="s">
        <v>54</v>
      </c>
      <c r="D268" t="s">
        <v>55</v>
      </c>
      <c r="E268" t="s">
        <v>56</v>
      </c>
      <c r="F268" t="s">
        <v>1247</v>
      </c>
      <c r="G268" t="s">
        <v>1288</v>
      </c>
      <c r="H268" t="s">
        <v>1289</v>
      </c>
      <c r="I268" t="s">
        <v>1289</v>
      </c>
      <c r="J268" t="s">
        <v>60</v>
      </c>
      <c r="K268" t="s">
        <v>1290</v>
      </c>
      <c r="L268" t="s">
        <v>62</v>
      </c>
      <c r="M268" t="s">
        <v>1290</v>
      </c>
      <c r="N268" t="s">
        <v>1291</v>
      </c>
      <c r="O268" t="s">
        <v>315</v>
      </c>
      <c r="P268">
        <v>-20.171008</v>
      </c>
      <c r="Q268">
        <v>-44.918908999999999</v>
      </c>
      <c r="R268" s="2" t="str">
        <f>HYPERLINK("https://www.google.com/maps?q=-20.1710080,-44.9189090","Abrir no Google Maps")</f>
        <v>Abrir no Google Maps</v>
      </c>
      <c r="S268">
        <v>3</v>
      </c>
      <c r="T268">
        <v>972.86786700299888</v>
      </c>
      <c r="U268">
        <v>2</v>
      </c>
      <c r="V268">
        <v>0.3086077050958958</v>
      </c>
      <c r="W268">
        <v>0.85</v>
      </c>
      <c r="X268">
        <v>0.26231654933151138</v>
      </c>
      <c r="Y268">
        <v>723</v>
      </c>
      <c r="Z268">
        <v>690.55600110253613</v>
      </c>
      <c r="AA268">
        <v>198</v>
      </c>
      <c r="AB268">
        <v>332</v>
      </c>
      <c r="AC268">
        <v>536</v>
      </c>
      <c r="AD268">
        <v>28.41</v>
      </c>
      <c r="AE268">
        <v>542</v>
      </c>
      <c r="AF268">
        <v>20</v>
      </c>
      <c r="AG268">
        <v>180</v>
      </c>
      <c r="AH268">
        <v>129</v>
      </c>
      <c r="AI268">
        <v>3.69</v>
      </c>
      <c r="AJ268">
        <v>33.21</v>
      </c>
      <c r="AK268">
        <v>23.8</v>
      </c>
      <c r="AL268">
        <v>-20.171738249999979</v>
      </c>
      <c r="AM268">
        <v>-44.919736490382917</v>
      </c>
      <c r="AN268">
        <v>-20.171738249999979</v>
      </c>
      <c r="AO268">
        <v>-44.919736490382931</v>
      </c>
      <c r="AP268">
        <v>-20.171008</v>
      </c>
      <c r="AQ268">
        <v>-44.918908999999999</v>
      </c>
      <c r="AR268">
        <v>118.678920061485</v>
      </c>
      <c r="AS268" t="s">
        <v>65</v>
      </c>
      <c r="AT268">
        <v>1</v>
      </c>
      <c r="AU268" t="s">
        <v>1292</v>
      </c>
      <c r="AV268" t="s">
        <v>1293</v>
      </c>
      <c r="AW268" t="s">
        <v>60</v>
      </c>
      <c r="AX268" t="s">
        <v>68</v>
      </c>
      <c r="AY268" t="s">
        <v>69</v>
      </c>
      <c r="AZ268" t="b">
        <v>1</v>
      </c>
    </row>
    <row r="269" spans="1:52" x14ac:dyDescent="0.3">
      <c r="A269" t="s">
        <v>52</v>
      </c>
      <c r="B269" t="s">
        <v>53</v>
      </c>
      <c r="C269" t="s">
        <v>54</v>
      </c>
      <c r="D269" t="s">
        <v>55</v>
      </c>
      <c r="E269" t="s">
        <v>56</v>
      </c>
      <c r="F269" t="s">
        <v>1247</v>
      </c>
      <c r="G269" t="s">
        <v>1294</v>
      </c>
      <c r="H269" t="s">
        <v>1295</v>
      </c>
      <c r="I269" t="s">
        <v>1295</v>
      </c>
      <c r="J269" t="s">
        <v>60</v>
      </c>
      <c r="K269" t="s">
        <v>418</v>
      </c>
      <c r="L269" t="s">
        <v>62</v>
      </c>
      <c r="M269" t="s">
        <v>418</v>
      </c>
      <c r="N269" t="s">
        <v>1296</v>
      </c>
      <c r="O269" t="s">
        <v>1297</v>
      </c>
      <c r="P269">
        <v>-20.169899999999998</v>
      </c>
      <c r="Q269">
        <v>-44.916176999999998</v>
      </c>
      <c r="R269" s="2" t="str">
        <f>HYPERLINK("https://www.google.com/maps?q=-20.1699000,-44.9161770","Abrir no Google Maps")</f>
        <v>Abrir no Google Maps</v>
      </c>
      <c r="S269">
        <v>3</v>
      </c>
      <c r="T269">
        <v>658.15251036568407</v>
      </c>
      <c r="U269">
        <v>2</v>
      </c>
      <c r="V269">
        <v>0.30250436574190359</v>
      </c>
      <c r="W269">
        <v>0.85</v>
      </c>
      <c r="X269">
        <v>0.25712871088061812</v>
      </c>
      <c r="Y269">
        <v>723</v>
      </c>
      <c r="Z269">
        <v>400.39092274559039</v>
      </c>
      <c r="AA269">
        <v>198</v>
      </c>
      <c r="AB269">
        <v>332</v>
      </c>
      <c r="AC269">
        <v>536</v>
      </c>
      <c r="AD269">
        <v>28.41</v>
      </c>
      <c r="AE269">
        <v>542</v>
      </c>
      <c r="AF269">
        <v>20</v>
      </c>
      <c r="AG269">
        <v>180</v>
      </c>
      <c r="AH269">
        <v>129</v>
      </c>
      <c r="AI269">
        <v>3.69</v>
      </c>
      <c r="AJ269">
        <v>33.21</v>
      </c>
      <c r="AK269">
        <v>23.8</v>
      </c>
      <c r="AL269">
        <v>-20.169898399999941</v>
      </c>
      <c r="AM269">
        <v>-44.916247682868359</v>
      </c>
      <c r="AN269">
        <v>-20.169898399999941</v>
      </c>
      <c r="AO269">
        <v>-44.916247682868359</v>
      </c>
      <c r="AP269">
        <v>-20.169899999999998</v>
      </c>
      <c r="AQ269">
        <v>-44.916176999999998</v>
      </c>
      <c r="AR269">
        <v>7.388028048308902</v>
      </c>
      <c r="AS269" t="s">
        <v>65</v>
      </c>
      <c r="AT269">
        <v>1</v>
      </c>
      <c r="AU269" t="s">
        <v>1298</v>
      </c>
      <c r="AV269" t="s">
        <v>1299</v>
      </c>
      <c r="AW269" t="s">
        <v>60</v>
      </c>
      <c r="AX269" t="s">
        <v>68</v>
      </c>
      <c r="AY269" t="s">
        <v>69</v>
      </c>
      <c r="AZ269" t="b">
        <v>1</v>
      </c>
    </row>
    <row r="270" spans="1:52" x14ac:dyDescent="0.3">
      <c r="A270" t="s">
        <v>52</v>
      </c>
      <c r="B270" t="s">
        <v>53</v>
      </c>
      <c r="C270" t="s">
        <v>54</v>
      </c>
      <c r="D270" t="s">
        <v>55</v>
      </c>
      <c r="E270" t="s">
        <v>56</v>
      </c>
      <c r="F270" t="s">
        <v>1247</v>
      </c>
      <c r="G270" t="s">
        <v>1300</v>
      </c>
      <c r="H270" t="s">
        <v>1301</v>
      </c>
      <c r="I270" t="s">
        <v>1301</v>
      </c>
      <c r="J270" t="s">
        <v>60</v>
      </c>
      <c r="K270" t="s">
        <v>1302</v>
      </c>
      <c r="L270" t="s">
        <v>62</v>
      </c>
      <c r="M270" t="s">
        <v>1302</v>
      </c>
      <c r="N270" t="s">
        <v>1303</v>
      </c>
      <c r="O270" t="s">
        <v>1304</v>
      </c>
      <c r="P270">
        <v>-20.166618</v>
      </c>
      <c r="Q270">
        <v>-44.912920999999997</v>
      </c>
      <c r="R270" s="2" t="str">
        <f>HYPERLINK("https://www.google.com/maps?q=-20.1666180,-44.9129210","Abrir no Google Maps")</f>
        <v>Abrir no Google Maps</v>
      </c>
      <c r="S270">
        <v>3</v>
      </c>
      <c r="T270">
        <v>636.32880156364706</v>
      </c>
      <c r="U270">
        <v>2</v>
      </c>
      <c r="V270">
        <v>0.30307490768978268</v>
      </c>
      <c r="W270">
        <v>0.85</v>
      </c>
      <c r="X270">
        <v>0.25761367153631531</v>
      </c>
      <c r="Y270">
        <v>723</v>
      </c>
      <c r="Z270">
        <v>407.62145176971592</v>
      </c>
      <c r="AA270">
        <v>198</v>
      </c>
      <c r="AB270">
        <v>332</v>
      </c>
      <c r="AC270">
        <v>536</v>
      </c>
      <c r="AD270">
        <v>28.41</v>
      </c>
      <c r="AE270">
        <v>542</v>
      </c>
      <c r="AF270">
        <v>20</v>
      </c>
      <c r="AG270">
        <v>180</v>
      </c>
      <c r="AH270">
        <v>129</v>
      </c>
      <c r="AI270">
        <v>3.69</v>
      </c>
      <c r="AJ270">
        <v>33.21</v>
      </c>
      <c r="AK270">
        <v>23.8</v>
      </c>
      <c r="AL270">
        <v>-20.166924799999951</v>
      </c>
      <c r="AM270">
        <v>-44.912868681724092</v>
      </c>
      <c r="AN270">
        <v>-20.166924799999951</v>
      </c>
      <c r="AO270">
        <v>-44.912868681724092</v>
      </c>
      <c r="AP270">
        <v>-20.166618</v>
      </c>
      <c r="AQ270">
        <v>-44.912920999999997</v>
      </c>
      <c r="AR270">
        <v>34.587771860198139</v>
      </c>
      <c r="AS270" t="s">
        <v>65</v>
      </c>
      <c r="AT270">
        <v>1</v>
      </c>
      <c r="AU270" t="s">
        <v>1305</v>
      </c>
      <c r="AV270" t="s">
        <v>1306</v>
      </c>
      <c r="AW270" t="s">
        <v>60</v>
      </c>
      <c r="AX270" t="s">
        <v>68</v>
      </c>
      <c r="AY270" t="s">
        <v>69</v>
      </c>
      <c r="AZ270" t="b">
        <v>1</v>
      </c>
    </row>
    <row r="271" spans="1:52" x14ac:dyDescent="0.3">
      <c r="A271" t="s">
        <v>52</v>
      </c>
      <c r="B271" t="s">
        <v>53</v>
      </c>
      <c r="C271" t="s">
        <v>54</v>
      </c>
      <c r="D271" t="s">
        <v>55</v>
      </c>
      <c r="E271" t="s">
        <v>56</v>
      </c>
      <c r="F271" t="s">
        <v>1247</v>
      </c>
      <c r="G271" t="s">
        <v>1307</v>
      </c>
      <c r="H271" t="s">
        <v>1308</v>
      </c>
      <c r="I271" t="s">
        <v>1308</v>
      </c>
      <c r="J271" t="s">
        <v>60</v>
      </c>
      <c r="K271" t="s">
        <v>1302</v>
      </c>
      <c r="L271" t="s">
        <v>62</v>
      </c>
      <c r="M271" t="s">
        <v>1302</v>
      </c>
      <c r="N271" t="s">
        <v>558</v>
      </c>
      <c r="O271" t="s">
        <v>1309</v>
      </c>
      <c r="P271">
        <v>-20.169051</v>
      </c>
      <c r="Q271">
        <v>-44.910093000000003</v>
      </c>
      <c r="R271" s="2" t="str">
        <f>HYPERLINK("https://www.google.com/maps?q=-20.1690510,-44.9100930","Abrir no Google Maps")</f>
        <v>Abrir no Google Maps</v>
      </c>
      <c r="S271">
        <v>3</v>
      </c>
      <c r="T271">
        <v>375.90504489887479</v>
      </c>
      <c r="U271">
        <v>2</v>
      </c>
      <c r="V271">
        <v>0.3116689717700038</v>
      </c>
      <c r="W271">
        <v>0.85</v>
      </c>
      <c r="X271">
        <v>0.26491862600450322</v>
      </c>
      <c r="Y271">
        <v>723</v>
      </c>
      <c r="Z271">
        <v>456.19893675176831</v>
      </c>
      <c r="AA271">
        <v>198</v>
      </c>
      <c r="AB271">
        <v>332</v>
      </c>
      <c r="AC271">
        <v>536</v>
      </c>
      <c r="AD271">
        <v>28.41</v>
      </c>
      <c r="AE271">
        <v>542</v>
      </c>
      <c r="AF271">
        <v>20</v>
      </c>
      <c r="AG271">
        <v>180</v>
      </c>
      <c r="AH271">
        <v>129</v>
      </c>
      <c r="AI271">
        <v>3.69</v>
      </c>
      <c r="AJ271">
        <v>33.21</v>
      </c>
      <c r="AK271">
        <v>23.8</v>
      </c>
      <c r="AL271">
        <v>-20.168810949999941</v>
      </c>
      <c r="AM271">
        <v>-44.910156475447927</v>
      </c>
      <c r="AN271">
        <v>-20.168810949999941</v>
      </c>
      <c r="AO271">
        <v>-44.910156475447927</v>
      </c>
      <c r="AP271">
        <v>-20.169051</v>
      </c>
      <c r="AQ271">
        <v>-44.910093000000003</v>
      </c>
      <c r="AR271">
        <v>27.533232396417059</v>
      </c>
      <c r="AS271" t="s">
        <v>65</v>
      </c>
      <c r="AT271">
        <v>1</v>
      </c>
      <c r="AU271" t="s">
        <v>1310</v>
      </c>
      <c r="AV271" t="s">
        <v>1311</v>
      </c>
      <c r="AW271" t="s">
        <v>60</v>
      </c>
      <c r="AX271" t="s">
        <v>68</v>
      </c>
      <c r="AY271" t="s">
        <v>69</v>
      </c>
      <c r="AZ271" t="b">
        <v>1</v>
      </c>
    </row>
    <row r="272" spans="1:52" x14ac:dyDescent="0.3">
      <c r="A272" t="s">
        <v>52</v>
      </c>
      <c r="B272" t="s">
        <v>53</v>
      </c>
      <c r="C272" t="s">
        <v>54</v>
      </c>
      <c r="D272" t="s">
        <v>55</v>
      </c>
      <c r="E272" t="s">
        <v>56</v>
      </c>
      <c r="F272" t="s">
        <v>1247</v>
      </c>
      <c r="G272" t="s">
        <v>1312</v>
      </c>
      <c r="H272" t="s">
        <v>1313</v>
      </c>
      <c r="I272" t="s">
        <v>1313</v>
      </c>
      <c r="J272" t="s">
        <v>60</v>
      </c>
      <c r="K272" t="s">
        <v>1314</v>
      </c>
      <c r="L272" t="s">
        <v>62</v>
      </c>
      <c r="M272" t="s">
        <v>1314</v>
      </c>
      <c r="N272" t="s">
        <v>1315</v>
      </c>
      <c r="O272" t="s">
        <v>315</v>
      </c>
      <c r="P272">
        <v>-20.179649999999999</v>
      </c>
      <c r="Q272">
        <v>-44.927177</v>
      </c>
      <c r="R272" s="2" t="str">
        <f>HYPERLINK("https://www.google.com/maps?q=-20.1796500,-44.9271770","Abrir no Google Maps")</f>
        <v>Abrir no Google Maps</v>
      </c>
      <c r="S272">
        <v>3</v>
      </c>
      <c r="T272">
        <v>1742.181438658615</v>
      </c>
      <c r="U272">
        <v>2</v>
      </c>
      <c r="V272">
        <v>0.29133343928902561</v>
      </c>
      <c r="W272">
        <v>0.85</v>
      </c>
      <c r="X272">
        <v>0.24763342339567179</v>
      </c>
      <c r="Y272">
        <v>723</v>
      </c>
      <c r="Z272">
        <v>1801.262037027635</v>
      </c>
      <c r="AA272">
        <v>198</v>
      </c>
      <c r="AB272">
        <v>332</v>
      </c>
      <c r="AC272">
        <v>536</v>
      </c>
      <c r="AD272">
        <v>28.41</v>
      </c>
      <c r="AE272">
        <v>542</v>
      </c>
      <c r="AF272">
        <v>20</v>
      </c>
      <c r="AG272">
        <v>180</v>
      </c>
      <c r="AH272">
        <v>129</v>
      </c>
      <c r="AI272">
        <v>3.69</v>
      </c>
      <c r="AJ272">
        <v>33.21</v>
      </c>
      <c r="AK272">
        <v>23.8</v>
      </c>
      <c r="AL272">
        <v>-20.18058599999998</v>
      </c>
      <c r="AM272">
        <v>-44.926708474999977</v>
      </c>
      <c r="AN272">
        <v>-20.18058599999998</v>
      </c>
      <c r="AO272">
        <v>-44.926708474999977</v>
      </c>
      <c r="AP272">
        <v>-20.179649999999999</v>
      </c>
      <c r="AQ272">
        <v>-44.927177</v>
      </c>
      <c r="AR272">
        <v>115.1226868075416</v>
      </c>
      <c r="AS272" t="s">
        <v>65</v>
      </c>
      <c r="AT272">
        <v>1</v>
      </c>
      <c r="AU272" t="s">
        <v>1316</v>
      </c>
      <c r="AV272" t="s">
        <v>1317</v>
      </c>
      <c r="AW272" t="s">
        <v>60</v>
      </c>
      <c r="AX272" t="s">
        <v>68</v>
      </c>
      <c r="AY272" t="s">
        <v>69</v>
      </c>
      <c r="AZ272" t="b">
        <v>1</v>
      </c>
    </row>
    <row r="273" spans="1:52" x14ac:dyDescent="0.3">
      <c r="A273" t="s">
        <v>52</v>
      </c>
      <c r="B273" t="s">
        <v>53</v>
      </c>
      <c r="C273" t="s">
        <v>54</v>
      </c>
      <c r="D273" t="s">
        <v>55</v>
      </c>
      <c r="E273" t="s">
        <v>56</v>
      </c>
      <c r="F273" t="s">
        <v>1247</v>
      </c>
      <c r="G273" t="s">
        <v>1318</v>
      </c>
      <c r="H273" t="s">
        <v>1319</v>
      </c>
      <c r="I273" t="s">
        <v>1319</v>
      </c>
      <c r="J273" t="s">
        <v>60</v>
      </c>
      <c r="K273" t="s">
        <v>1314</v>
      </c>
      <c r="L273" t="s">
        <v>62</v>
      </c>
      <c r="M273" t="s">
        <v>1314</v>
      </c>
      <c r="N273" t="s">
        <v>1320</v>
      </c>
      <c r="O273" t="s">
        <v>1321</v>
      </c>
      <c r="P273">
        <v>-20.178615000000001</v>
      </c>
      <c r="Q273">
        <v>-44.924697999999999</v>
      </c>
      <c r="R273" s="2" t="str">
        <f>HYPERLINK("https://www.google.com/maps?q=-20.1786150,-44.9246980","Abrir no Google Maps")</f>
        <v>Abrir no Google Maps</v>
      </c>
      <c r="S273">
        <v>3</v>
      </c>
      <c r="T273">
        <v>1583.462557226148</v>
      </c>
      <c r="U273">
        <v>2</v>
      </c>
      <c r="V273">
        <v>0.2813505431040404</v>
      </c>
      <c r="W273">
        <v>0.85</v>
      </c>
      <c r="X273">
        <v>0.2391479616384343</v>
      </c>
      <c r="Y273">
        <v>723</v>
      </c>
      <c r="Z273">
        <v>1414.1542726995031</v>
      </c>
      <c r="AA273">
        <v>198</v>
      </c>
      <c r="AB273">
        <v>332</v>
      </c>
      <c r="AC273">
        <v>536</v>
      </c>
      <c r="AD273">
        <v>28.41</v>
      </c>
      <c r="AE273">
        <v>542</v>
      </c>
      <c r="AF273">
        <v>20</v>
      </c>
      <c r="AG273">
        <v>180</v>
      </c>
      <c r="AH273">
        <v>129</v>
      </c>
      <c r="AI273">
        <v>3.69</v>
      </c>
      <c r="AJ273">
        <v>33.21</v>
      </c>
      <c r="AK273">
        <v>23.8</v>
      </c>
      <c r="AL273">
        <v>-20.17821329999995</v>
      </c>
      <c r="AM273">
        <v>-44.924188563452951</v>
      </c>
      <c r="AN273">
        <v>-20.17821329999995</v>
      </c>
      <c r="AO273">
        <v>-44.924188563452951</v>
      </c>
      <c r="AP273">
        <v>-20.178615000000001</v>
      </c>
      <c r="AQ273">
        <v>-44.924697999999999</v>
      </c>
      <c r="AR273">
        <v>69.520116290580319</v>
      </c>
      <c r="AS273" t="s">
        <v>65</v>
      </c>
      <c r="AT273">
        <v>1</v>
      </c>
      <c r="AU273" t="s">
        <v>1322</v>
      </c>
      <c r="AV273" t="s">
        <v>1317</v>
      </c>
      <c r="AW273" t="s">
        <v>60</v>
      </c>
      <c r="AX273" t="s">
        <v>68</v>
      </c>
      <c r="AY273" t="s">
        <v>69</v>
      </c>
      <c r="AZ273" t="b">
        <v>1</v>
      </c>
    </row>
    <row r="274" spans="1:52" x14ac:dyDescent="0.3">
      <c r="A274" t="s">
        <v>52</v>
      </c>
      <c r="B274" t="s">
        <v>53</v>
      </c>
      <c r="C274" t="s">
        <v>54</v>
      </c>
      <c r="D274" t="s">
        <v>55</v>
      </c>
      <c r="E274" t="s">
        <v>56</v>
      </c>
      <c r="F274" t="s">
        <v>1247</v>
      </c>
      <c r="G274" t="s">
        <v>422</v>
      </c>
      <c r="H274" t="s">
        <v>1323</v>
      </c>
      <c r="I274" t="s">
        <v>1323</v>
      </c>
      <c r="J274" t="s">
        <v>60</v>
      </c>
      <c r="K274" t="s">
        <v>1324</v>
      </c>
      <c r="L274" t="s">
        <v>62</v>
      </c>
      <c r="M274" t="s">
        <v>1324</v>
      </c>
      <c r="N274" t="s">
        <v>425</v>
      </c>
      <c r="O274" t="s">
        <v>1325</v>
      </c>
      <c r="P274">
        <v>-20.175142000000001</v>
      </c>
      <c r="Q274">
        <v>-44.913783000000002</v>
      </c>
      <c r="R274" s="2" t="str">
        <f>HYPERLINK("https://www.google.com/maps?q=-20.1751420,-44.9137830","Abrir no Google Maps")</f>
        <v>Abrir no Google Maps</v>
      </c>
      <c r="S274">
        <v>3</v>
      </c>
      <c r="T274">
        <v>495.73888273066677</v>
      </c>
      <c r="U274">
        <v>2</v>
      </c>
      <c r="V274">
        <v>0.31227448531190521</v>
      </c>
      <c r="W274">
        <v>0.85</v>
      </c>
      <c r="X274">
        <v>0.26543331251511942</v>
      </c>
      <c r="Y274">
        <v>723</v>
      </c>
      <c r="Z274">
        <v>488.51574748236328</v>
      </c>
      <c r="AA274">
        <v>198</v>
      </c>
      <c r="AB274">
        <v>332</v>
      </c>
      <c r="AC274">
        <v>536</v>
      </c>
      <c r="AD274">
        <v>28.41</v>
      </c>
      <c r="AE274">
        <v>542</v>
      </c>
      <c r="AF274">
        <v>20</v>
      </c>
      <c r="AG274">
        <v>180</v>
      </c>
      <c r="AH274">
        <v>129</v>
      </c>
      <c r="AI274">
        <v>3.69</v>
      </c>
      <c r="AJ274">
        <v>33.21</v>
      </c>
      <c r="AK274">
        <v>23.8</v>
      </c>
      <c r="AL274">
        <v>-20.175195199999958</v>
      </c>
      <c r="AM274">
        <v>-44.913964122548052</v>
      </c>
      <c r="AN274">
        <v>-20.175195199999958</v>
      </c>
      <c r="AO274">
        <v>-44.913964122548052</v>
      </c>
      <c r="AP274">
        <v>-20.175142000000001</v>
      </c>
      <c r="AQ274">
        <v>-44.913783000000002</v>
      </c>
      <c r="AR274">
        <v>19.830402633152101</v>
      </c>
      <c r="AS274" t="s">
        <v>65</v>
      </c>
      <c r="AT274">
        <v>1</v>
      </c>
      <c r="AU274" t="s">
        <v>1326</v>
      </c>
      <c r="AV274" t="s">
        <v>1327</v>
      </c>
      <c r="AW274" t="s">
        <v>60</v>
      </c>
      <c r="AX274" t="s">
        <v>68</v>
      </c>
      <c r="AY274" t="s">
        <v>69</v>
      </c>
      <c r="AZ274" t="b">
        <v>1</v>
      </c>
    </row>
    <row r="275" spans="1:52" x14ac:dyDescent="0.3">
      <c r="A275" t="s">
        <v>52</v>
      </c>
      <c r="B275" t="s">
        <v>53</v>
      </c>
      <c r="C275" t="s">
        <v>54</v>
      </c>
      <c r="D275" t="s">
        <v>55</v>
      </c>
      <c r="E275" t="s">
        <v>56</v>
      </c>
      <c r="F275" t="s">
        <v>1247</v>
      </c>
      <c r="G275" t="s">
        <v>1328</v>
      </c>
      <c r="H275" t="s">
        <v>1329</v>
      </c>
      <c r="I275" t="s">
        <v>1329</v>
      </c>
      <c r="J275" t="s">
        <v>60</v>
      </c>
      <c r="K275" t="s">
        <v>1324</v>
      </c>
      <c r="L275" t="s">
        <v>62</v>
      </c>
      <c r="M275" t="s">
        <v>1324</v>
      </c>
      <c r="N275" t="s">
        <v>1330</v>
      </c>
      <c r="O275" t="s">
        <v>1331</v>
      </c>
      <c r="P275">
        <v>-20.172984</v>
      </c>
      <c r="Q275">
        <v>-44.915225999999997</v>
      </c>
      <c r="R275" s="2" t="str">
        <f>HYPERLINK("https://www.google.com/maps?q=-20.1729840,-44.9152260","Abrir no Google Maps")</f>
        <v>Abrir no Google Maps</v>
      </c>
      <c r="S275">
        <v>3</v>
      </c>
      <c r="T275">
        <v>498.21203543103741</v>
      </c>
      <c r="U275">
        <v>2</v>
      </c>
      <c r="V275">
        <v>0.3120365229614836</v>
      </c>
      <c r="W275">
        <v>0.85</v>
      </c>
      <c r="X275">
        <v>0.26523104451726098</v>
      </c>
      <c r="Y275">
        <v>723</v>
      </c>
      <c r="Z275">
        <v>297.36167326949931</v>
      </c>
      <c r="AA275">
        <v>198</v>
      </c>
      <c r="AB275">
        <v>332</v>
      </c>
      <c r="AC275">
        <v>536</v>
      </c>
      <c r="AD275">
        <v>28.41</v>
      </c>
      <c r="AE275">
        <v>542</v>
      </c>
      <c r="AF275">
        <v>20</v>
      </c>
      <c r="AG275">
        <v>180</v>
      </c>
      <c r="AH275">
        <v>129</v>
      </c>
      <c r="AI275">
        <v>3.69</v>
      </c>
      <c r="AJ275">
        <v>33.21</v>
      </c>
      <c r="AK275">
        <v>23.8</v>
      </c>
      <c r="AL275">
        <v>-20.172838899999959</v>
      </c>
      <c r="AM275">
        <v>-44.915158011603552</v>
      </c>
      <c r="AN275">
        <v>-20.172838899999959</v>
      </c>
      <c r="AO275">
        <v>-44.915158011603552</v>
      </c>
      <c r="AP275">
        <v>-20.172984</v>
      </c>
      <c r="AQ275">
        <v>-44.915225999999997</v>
      </c>
      <c r="AR275">
        <v>17.645788305942119</v>
      </c>
      <c r="AS275" t="s">
        <v>65</v>
      </c>
      <c r="AT275">
        <v>1</v>
      </c>
      <c r="AU275" t="s">
        <v>1332</v>
      </c>
      <c r="AV275" t="s">
        <v>1327</v>
      </c>
      <c r="AW275" t="s">
        <v>60</v>
      </c>
      <c r="AX275" t="s">
        <v>68</v>
      </c>
      <c r="AY275" t="s">
        <v>69</v>
      </c>
      <c r="AZ275" t="b">
        <v>1</v>
      </c>
    </row>
    <row r="276" spans="1:52" x14ac:dyDescent="0.3">
      <c r="A276" t="s">
        <v>52</v>
      </c>
      <c r="B276" t="s">
        <v>53</v>
      </c>
      <c r="C276" t="s">
        <v>54</v>
      </c>
      <c r="D276" t="s">
        <v>55</v>
      </c>
      <c r="E276" t="s">
        <v>56</v>
      </c>
      <c r="F276" t="s">
        <v>1247</v>
      </c>
      <c r="G276" t="s">
        <v>1333</v>
      </c>
      <c r="H276" t="s">
        <v>1334</v>
      </c>
      <c r="I276" t="s">
        <v>1334</v>
      </c>
      <c r="J276" t="s">
        <v>60</v>
      </c>
      <c r="K276" t="s">
        <v>437</v>
      </c>
      <c r="L276" t="s">
        <v>62</v>
      </c>
      <c r="M276" t="s">
        <v>437</v>
      </c>
      <c r="N276" t="s">
        <v>1335</v>
      </c>
      <c r="O276" t="s">
        <v>807</v>
      </c>
      <c r="P276">
        <v>-20.148</v>
      </c>
      <c r="Q276">
        <v>-44.880944999999997</v>
      </c>
      <c r="R276" s="2" t="str">
        <f>HYPERLINK("https://www.google.com/maps?q=-20.1480000,-44.8809450","Abrir no Google Maps")</f>
        <v>Abrir no Google Maps</v>
      </c>
      <c r="S276">
        <v>3</v>
      </c>
      <c r="T276">
        <v>0</v>
      </c>
      <c r="U276">
        <v>2</v>
      </c>
      <c r="V276">
        <v>0.29583912298236881</v>
      </c>
      <c r="W276">
        <v>0.85</v>
      </c>
      <c r="X276">
        <v>0.2514632545350135</v>
      </c>
      <c r="Y276">
        <v>653</v>
      </c>
      <c r="Z276">
        <v>108.2792411420544</v>
      </c>
      <c r="AA276">
        <v>198</v>
      </c>
      <c r="AB276">
        <v>332</v>
      </c>
      <c r="AC276">
        <v>536</v>
      </c>
      <c r="AD276">
        <v>28.41</v>
      </c>
      <c r="AE276">
        <v>542</v>
      </c>
      <c r="AF276">
        <v>20</v>
      </c>
      <c r="AG276">
        <v>180</v>
      </c>
      <c r="AH276">
        <v>129</v>
      </c>
      <c r="AI276">
        <v>3.69</v>
      </c>
      <c r="AJ276">
        <v>33.21</v>
      </c>
      <c r="AK276">
        <v>23.8</v>
      </c>
      <c r="AL276">
        <v>-20.14802099999994</v>
      </c>
      <c r="AM276">
        <v>-44.880951206225959</v>
      </c>
      <c r="AN276">
        <v>-20.14802099999994</v>
      </c>
      <c r="AO276">
        <v>-44.880951206225959</v>
      </c>
      <c r="AP276">
        <v>-20.148</v>
      </c>
      <c r="AQ276">
        <v>-44.880944999999997</v>
      </c>
      <c r="AR276">
        <v>2.4260288619737169</v>
      </c>
      <c r="AS276" t="s">
        <v>65</v>
      </c>
      <c r="AT276">
        <v>1</v>
      </c>
      <c r="AU276" t="s">
        <v>1336</v>
      </c>
      <c r="AV276" t="s">
        <v>1337</v>
      </c>
      <c r="AW276" t="s">
        <v>60</v>
      </c>
      <c r="AX276" t="s">
        <v>68</v>
      </c>
      <c r="AY276" t="s">
        <v>69</v>
      </c>
      <c r="AZ276" t="b">
        <v>1</v>
      </c>
    </row>
    <row r="277" spans="1:52" x14ac:dyDescent="0.3">
      <c r="A277" t="s">
        <v>52</v>
      </c>
      <c r="B277" t="s">
        <v>53</v>
      </c>
      <c r="C277" t="s">
        <v>54</v>
      </c>
      <c r="D277" t="s">
        <v>55</v>
      </c>
      <c r="E277" t="s">
        <v>56</v>
      </c>
      <c r="F277" t="s">
        <v>1247</v>
      </c>
      <c r="G277" t="s">
        <v>479</v>
      </c>
      <c r="H277" t="s">
        <v>1338</v>
      </c>
      <c r="I277" t="s">
        <v>1338</v>
      </c>
      <c r="J277" t="s">
        <v>60</v>
      </c>
      <c r="K277" t="s">
        <v>1302</v>
      </c>
      <c r="L277" t="s">
        <v>62</v>
      </c>
      <c r="M277" t="s">
        <v>1302</v>
      </c>
      <c r="N277" t="s">
        <v>481</v>
      </c>
      <c r="O277" t="s">
        <v>1339</v>
      </c>
      <c r="P277">
        <v>-20.165590000000002</v>
      </c>
      <c r="Q277">
        <v>-44.907876000000002</v>
      </c>
      <c r="R277" s="2" t="str">
        <f>HYPERLINK("https://www.google.com/maps?q=-20.1655900,-44.9078760","Abrir no Google Maps")</f>
        <v>Abrir no Google Maps</v>
      </c>
      <c r="S277">
        <v>3</v>
      </c>
      <c r="T277">
        <v>626.07643944893005</v>
      </c>
      <c r="U277">
        <v>2</v>
      </c>
      <c r="V277">
        <v>0.30950345190702011</v>
      </c>
      <c r="W277">
        <v>0.85</v>
      </c>
      <c r="X277">
        <v>0.26307793412096708</v>
      </c>
      <c r="Y277">
        <v>639</v>
      </c>
      <c r="Z277">
        <v>723.2656461789519</v>
      </c>
      <c r="AA277">
        <v>198</v>
      </c>
      <c r="AB277">
        <v>332</v>
      </c>
      <c r="AC277">
        <v>536</v>
      </c>
      <c r="AD277">
        <v>28.41</v>
      </c>
      <c r="AE277">
        <v>542</v>
      </c>
      <c r="AF277">
        <v>20</v>
      </c>
      <c r="AG277">
        <v>180</v>
      </c>
      <c r="AH277">
        <v>129</v>
      </c>
      <c r="AI277">
        <v>3.69</v>
      </c>
      <c r="AJ277">
        <v>33.21</v>
      </c>
      <c r="AK277">
        <v>23.8</v>
      </c>
      <c r="AL277">
        <v>-20.16561419999994</v>
      </c>
      <c r="AM277">
        <v>-44.907783360572083</v>
      </c>
      <c r="AN277">
        <v>-20.16561419999994</v>
      </c>
      <c r="AO277">
        <v>-44.907783360572083</v>
      </c>
      <c r="AP277">
        <v>-20.165590000000002</v>
      </c>
      <c r="AQ277">
        <v>-44.907876000000002</v>
      </c>
      <c r="AR277">
        <v>10.04831364257741</v>
      </c>
      <c r="AS277" t="s">
        <v>65</v>
      </c>
      <c r="AT277">
        <v>1</v>
      </c>
      <c r="AU277" t="s">
        <v>1340</v>
      </c>
      <c r="AV277" t="s">
        <v>1341</v>
      </c>
      <c r="AW277" t="s">
        <v>60</v>
      </c>
      <c r="AX277" t="s">
        <v>68</v>
      </c>
      <c r="AY277" t="s">
        <v>69</v>
      </c>
      <c r="AZ277" t="b">
        <v>1</v>
      </c>
    </row>
    <row r="278" spans="1:52" x14ac:dyDescent="0.3">
      <c r="A278" t="s">
        <v>52</v>
      </c>
      <c r="B278" t="s">
        <v>53</v>
      </c>
      <c r="C278" t="s">
        <v>54</v>
      </c>
      <c r="D278" t="s">
        <v>55</v>
      </c>
      <c r="E278" t="s">
        <v>56</v>
      </c>
      <c r="F278" t="s">
        <v>1247</v>
      </c>
      <c r="G278" t="s">
        <v>1342</v>
      </c>
      <c r="H278" t="s">
        <v>1343</v>
      </c>
      <c r="I278" t="s">
        <v>1343</v>
      </c>
      <c r="J278" t="s">
        <v>60</v>
      </c>
      <c r="K278" t="s">
        <v>462</v>
      </c>
      <c r="L278" t="s">
        <v>62</v>
      </c>
      <c r="M278" t="s">
        <v>462</v>
      </c>
      <c r="N278" t="s">
        <v>921</v>
      </c>
      <c r="O278" t="s">
        <v>1344</v>
      </c>
      <c r="P278">
        <v>-20.137526000000001</v>
      </c>
      <c r="Q278">
        <v>-44.912452999999999</v>
      </c>
      <c r="R278" s="2" t="str">
        <f>HYPERLINK("https://www.google.com/maps?q=-20.1375260,-44.9124530","Abrir no Google Maps")</f>
        <v>Abrir no Google Maps</v>
      </c>
      <c r="S278">
        <v>3</v>
      </c>
      <c r="T278">
        <v>446.95091416730708</v>
      </c>
      <c r="U278">
        <v>2</v>
      </c>
      <c r="V278">
        <v>0.30250691719960909</v>
      </c>
      <c r="W278">
        <v>0.85</v>
      </c>
      <c r="X278">
        <v>0.25713087961966768</v>
      </c>
      <c r="Y278">
        <v>581</v>
      </c>
      <c r="Z278">
        <v>507.4747778269288</v>
      </c>
      <c r="AA278">
        <v>198</v>
      </c>
      <c r="AB278">
        <v>332</v>
      </c>
      <c r="AC278">
        <v>536</v>
      </c>
      <c r="AD278">
        <v>28.41</v>
      </c>
      <c r="AE278">
        <v>542</v>
      </c>
      <c r="AF278">
        <v>20</v>
      </c>
      <c r="AG278">
        <v>180</v>
      </c>
      <c r="AH278">
        <v>129</v>
      </c>
      <c r="AI278">
        <v>3.69</v>
      </c>
      <c r="AJ278">
        <v>33.21</v>
      </c>
      <c r="AK278">
        <v>23.8</v>
      </c>
      <c r="AL278">
        <v>-20.136672649999959</v>
      </c>
      <c r="AM278">
        <v>-44.911825104396357</v>
      </c>
      <c r="AN278">
        <v>-20.136672649999959</v>
      </c>
      <c r="AO278">
        <v>-44.911825104396357</v>
      </c>
      <c r="AP278">
        <v>-20.137526000000001</v>
      </c>
      <c r="AQ278">
        <v>-44.912452999999999</v>
      </c>
      <c r="AR278">
        <v>115.45843265992529</v>
      </c>
      <c r="AS278" t="s">
        <v>65</v>
      </c>
      <c r="AT278">
        <v>1</v>
      </c>
      <c r="AU278" t="s">
        <v>1345</v>
      </c>
      <c r="AV278" t="s">
        <v>1346</v>
      </c>
      <c r="AW278" t="s">
        <v>60</v>
      </c>
      <c r="AX278" t="s">
        <v>68</v>
      </c>
      <c r="AY278" t="s">
        <v>69</v>
      </c>
      <c r="AZ278" t="b">
        <v>1</v>
      </c>
    </row>
    <row r="279" spans="1:52" x14ac:dyDescent="0.3">
      <c r="A279" t="s">
        <v>52</v>
      </c>
      <c r="B279" t="s">
        <v>53</v>
      </c>
      <c r="C279" t="s">
        <v>54</v>
      </c>
      <c r="D279" t="s">
        <v>55</v>
      </c>
      <c r="E279" t="s">
        <v>56</v>
      </c>
      <c r="F279" t="s">
        <v>1247</v>
      </c>
      <c r="G279" t="s">
        <v>1347</v>
      </c>
      <c r="H279" t="s">
        <v>1348</v>
      </c>
      <c r="I279" t="s">
        <v>1348</v>
      </c>
      <c r="J279" t="s">
        <v>60</v>
      </c>
      <c r="K279" t="s">
        <v>1349</v>
      </c>
      <c r="L279" t="s">
        <v>62</v>
      </c>
      <c r="M279" t="s">
        <v>1349</v>
      </c>
      <c r="N279" t="s">
        <v>1350</v>
      </c>
      <c r="O279" t="s">
        <v>1351</v>
      </c>
      <c r="P279">
        <v>-20.140426999999999</v>
      </c>
      <c r="Q279">
        <v>-44.905327999999997</v>
      </c>
      <c r="R279" s="2" t="str">
        <f>HYPERLINK("https://www.google.com/maps?q=-20.1404270,-44.9053280","Abrir no Google Maps")</f>
        <v>Abrir no Google Maps</v>
      </c>
      <c r="S279">
        <v>3</v>
      </c>
      <c r="T279">
        <v>359.5810968231857</v>
      </c>
      <c r="U279">
        <v>2</v>
      </c>
      <c r="V279">
        <v>0.32433883900231442</v>
      </c>
      <c r="W279">
        <v>0.85</v>
      </c>
      <c r="X279">
        <v>0.27568801315196723</v>
      </c>
      <c r="Y279">
        <v>581</v>
      </c>
      <c r="Z279">
        <v>292.370097058873</v>
      </c>
      <c r="AA279">
        <v>198</v>
      </c>
      <c r="AB279">
        <v>332</v>
      </c>
      <c r="AC279">
        <v>536</v>
      </c>
      <c r="AD279">
        <v>28.41</v>
      </c>
      <c r="AE279">
        <v>542</v>
      </c>
      <c r="AF279">
        <v>20</v>
      </c>
      <c r="AG279">
        <v>180</v>
      </c>
      <c r="AH279">
        <v>129</v>
      </c>
      <c r="AI279">
        <v>3.69</v>
      </c>
      <c r="AJ279">
        <v>33.21</v>
      </c>
      <c r="AK279">
        <v>23.8</v>
      </c>
      <c r="AL279">
        <v>-20.140465449999969</v>
      </c>
      <c r="AM279">
        <v>-44.905317129037229</v>
      </c>
      <c r="AN279">
        <v>-20.140465449999969</v>
      </c>
      <c r="AO279">
        <v>-44.905317129037229</v>
      </c>
      <c r="AP279">
        <v>-20.140426999999999</v>
      </c>
      <c r="AQ279">
        <v>-44.905327999999997</v>
      </c>
      <c r="AR279">
        <v>4.4284788644958706</v>
      </c>
      <c r="AS279" t="s">
        <v>65</v>
      </c>
      <c r="AT279">
        <v>1</v>
      </c>
      <c r="AU279" t="s">
        <v>1352</v>
      </c>
      <c r="AV279" t="s">
        <v>1353</v>
      </c>
      <c r="AW279" t="s">
        <v>60</v>
      </c>
      <c r="AX279" t="s">
        <v>68</v>
      </c>
      <c r="AY279" t="s">
        <v>69</v>
      </c>
      <c r="AZ279" t="b">
        <v>1</v>
      </c>
    </row>
    <row r="280" spans="1:52" x14ac:dyDescent="0.3">
      <c r="A280" t="s">
        <v>52</v>
      </c>
      <c r="B280" t="s">
        <v>53</v>
      </c>
      <c r="C280" t="s">
        <v>54</v>
      </c>
      <c r="D280" t="s">
        <v>55</v>
      </c>
      <c r="E280" t="s">
        <v>56</v>
      </c>
      <c r="F280" t="s">
        <v>1247</v>
      </c>
      <c r="G280" t="s">
        <v>1354</v>
      </c>
      <c r="H280" t="s">
        <v>1355</v>
      </c>
      <c r="I280" t="s">
        <v>1355</v>
      </c>
      <c r="J280" t="s">
        <v>60</v>
      </c>
      <c r="K280" t="s">
        <v>1356</v>
      </c>
      <c r="L280" t="s">
        <v>62</v>
      </c>
      <c r="M280" t="s">
        <v>1356</v>
      </c>
      <c r="N280" t="s">
        <v>1357</v>
      </c>
      <c r="O280" t="s">
        <v>315</v>
      </c>
      <c r="P280">
        <v>-20.132080999999999</v>
      </c>
      <c r="Q280">
        <v>-44.908614</v>
      </c>
      <c r="R280" s="2" t="str">
        <f>HYPERLINK("https://www.google.com/maps?q=-20.1320810,-44.9086140","Abrir no Google Maps")</f>
        <v>Abrir no Google Maps</v>
      </c>
      <c r="S280">
        <v>3</v>
      </c>
      <c r="T280">
        <v>701.02570959373259</v>
      </c>
      <c r="U280">
        <v>2</v>
      </c>
      <c r="V280">
        <v>0.28586787685755749</v>
      </c>
      <c r="W280">
        <v>0.85</v>
      </c>
      <c r="X280">
        <v>0.24298769532892389</v>
      </c>
      <c r="Y280">
        <v>581</v>
      </c>
      <c r="Z280">
        <v>811.38061352229215</v>
      </c>
      <c r="AA280">
        <v>198</v>
      </c>
      <c r="AB280">
        <v>332</v>
      </c>
      <c r="AC280">
        <v>536</v>
      </c>
      <c r="AD280">
        <v>28.41</v>
      </c>
      <c r="AE280">
        <v>542</v>
      </c>
      <c r="AF280">
        <v>20</v>
      </c>
      <c r="AG280">
        <v>180</v>
      </c>
      <c r="AH280">
        <v>129</v>
      </c>
      <c r="AI280">
        <v>3.69</v>
      </c>
      <c r="AJ280">
        <v>33.21</v>
      </c>
      <c r="AK280">
        <v>23.8</v>
      </c>
      <c r="AL280">
        <v>-20.132063499999951</v>
      </c>
      <c r="AM280">
        <v>-44.908630454878519</v>
      </c>
      <c r="AN280">
        <v>-20.132063499999951</v>
      </c>
      <c r="AO280">
        <v>-44.908630454878519</v>
      </c>
      <c r="AP280">
        <v>-20.132080999999999</v>
      </c>
      <c r="AQ280">
        <v>-44.908614</v>
      </c>
      <c r="AR280">
        <v>2.5986425761911551</v>
      </c>
      <c r="AS280" t="s">
        <v>65</v>
      </c>
      <c r="AT280">
        <v>1</v>
      </c>
      <c r="AU280" t="s">
        <v>1358</v>
      </c>
      <c r="AV280" t="s">
        <v>1359</v>
      </c>
      <c r="AW280" t="s">
        <v>60</v>
      </c>
      <c r="AX280" t="s">
        <v>68</v>
      </c>
      <c r="AY280" t="s">
        <v>69</v>
      </c>
      <c r="AZ280" t="b">
        <v>1</v>
      </c>
    </row>
    <row r="281" spans="1:52" x14ac:dyDescent="0.3">
      <c r="A281" t="s">
        <v>52</v>
      </c>
      <c r="B281" t="s">
        <v>53</v>
      </c>
      <c r="C281" t="s">
        <v>54</v>
      </c>
      <c r="D281" t="s">
        <v>55</v>
      </c>
      <c r="E281" t="s">
        <v>56</v>
      </c>
      <c r="F281" t="s">
        <v>1247</v>
      </c>
      <c r="G281" t="s">
        <v>858</v>
      </c>
      <c r="H281" t="s">
        <v>1360</v>
      </c>
      <c r="I281" t="s">
        <v>1360</v>
      </c>
      <c r="J281" t="s">
        <v>60</v>
      </c>
      <c r="K281" t="s">
        <v>1356</v>
      </c>
      <c r="L281" t="s">
        <v>62</v>
      </c>
      <c r="M281" t="s">
        <v>1356</v>
      </c>
      <c r="N281" t="s">
        <v>860</v>
      </c>
      <c r="O281" t="s">
        <v>1361</v>
      </c>
      <c r="P281">
        <v>-20.134969000000002</v>
      </c>
      <c r="Q281">
        <v>-44.909384000000003</v>
      </c>
      <c r="R281" s="2" t="str">
        <f>HYPERLINK("https://www.google.com/maps?q=-20.1349690,-44.9093840","Abrir no Google Maps")</f>
        <v>Abrir no Google Maps</v>
      </c>
      <c r="S281">
        <v>3</v>
      </c>
      <c r="T281">
        <v>413.6655911675532</v>
      </c>
      <c r="U281">
        <v>2</v>
      </c>
      <c r="V281">
        <v>0.3064336499614323</v>
      </c>
      <c r="W281">
        <v>0.85</v>
      </c>
      <c r="X281">
        <v>0.26046860246721742</v>
      </c>
      <c r="Y281">
        <v>581</v>
      </c>
      <c r="Z281">
        <v>555.30228470489919</v>
      </c>
      <c r="AA281">
        <v>198</v>
      </c>
      <c r="AB281">
        <v>332</v>
      </c>
      <c r="AC281">
        <v>536</v>
      </c>
      <c r="AD281">
        <v>28.41</v>
      </c>
      <c r="AE281">
        <v>542</v>
      </c>
      <c r="AF281">
        <v>20</v>
      </c>
      <c r="AG281">
        <v>180</v>
      </c>
      <c r="AH281">
        <v>129</v>
      </c>
      <c r="AI281">
        <v>3.69</v>
      </c>
      <c r="AJ281">
        <v>33.21</v>
      </c>
      <c r="AK281">
        <v>23.8</v>
      </c>
      <c r="AL281">
        <v>-20.134922099999951</v>
      </c>
      <c r="AM281">
        <v>-44.909483975879112</v>
      </c>
      <c r="AN281">
        <v>-20.134922099999951</v>
      </c>
      <c r="AO281">
        <v>-44.909483975879112</v>
      </c>
      <c r="AP281">
        <v>-20.134969000000002</v>
      </c>
      <c r="AQ281">
        <v>-44.909384000000003</v>
      </c>
      <c r="AR281">
        <v>11.68085867639515</v>
      </c>
      <c r="AS281" t="s">
        <v>65</v>
      </c>
      <c r="AT281">
        <v>1</v>
      </c>
      <c r="AU281" t="s">
        <v>1362</v>
      </c>
      <c r="AV281" t="s">
        <v>1363</v>
      </c>
      <c r="AW281" t="s">
        <v>60</v>
      </c>
      <c r="AX281" t="s">
        <v>68</v>
      </c>
      <c r="AY281" t="s">
        <v>69</v>
      </c>
      <c r="AZ281" t="b">
        <v>1</v>
      </c>
    </row>
    <row r="282" spans="1:52" x14ac:dyDescent="0.3">
      <c r="A282" t="s">
        <v>52</v>
      </c>
      <c r="B282" t="s">
        <v>53</v>
      </c>
      <c r="C282" t="s">
        <v>54</v>
      </c>
      <c r="D282" t="s">
        <v>55</v>
      </c>
      <c r="E282" t="s">
        <v>56</v>
      </c>
      <c r="F282" t="s">
        <v>1247</v>
      </c>
      <c r="G282" t="s">
        <v>1364</v>
      </c>
      <c r="H282" t="s">
        <v>1365</v>
      </c>
      <c r="I282" t="s">
        <v>1365</v>
      </c>
      <c r="J282" t="s">
        <v>60</v>
      </c>
      <c r="K282" t="s">
        <v>1356</v>
      </c>
      <c r="L282" t="s">
        <v>62</v>
      </c>
      <c r="M282" t="s">
        <v>1356</v>
      </c>
      <c r="N282" t="s">
        <v>1366</v>
      </c>
      <c r="O282" t="s">
        <v>548</v>
      </c>
      <c r="P282">
        <v>-20.131240999999999</v>
      </c>
      <c r="Q282">
        <v>-44.910567999999998</v>
      </c>
      <c r="R282" s="2" t="str">
        <f>HYPERLINK("https://www.google.com/maps?q=-20.1312410,-44.9105680","Abrir no Google Maps")</f>
        <v>Abrir no Google Maps</v>
      </c>
      <c r="S282">
        <v>3</v>
      </c>
      <c r="T282">
        <v>822.61354861726704</v>
      </c>
      <c r="U282">
        <v>2</v>
      </c>
      <c r="V282">
        <v>0.29354667805740758</v>
      </c>
      <c r="W282">
        <v>0.85</v>
      </c>
      <c r="X282">
        <v>0.2495146763487964</v>
      </c>
      <c r="Y282">
        <v>581</v>
      </c>
      <c r="Z282">
        <v>982.3990834787046</v>
      </c>
      <c r="AA282">
        <v>198</v>
      </c>
      <c r="AB282">
        <v>332</v>
      </c>
      <c r="AC282">
        <v>536</v>
      </c>
      <c r="AD282">
        <v>28.41</v>
      </c>
      <c r="AE282">
        <v>542</v>
      </c>
      <c r="AF282">
        <v>20</v>
      </c>
      <c r="AG282">
        <v>180</v>
      </c>
      <c r="AH282">
        <v>129</v>
      </c>
      <c r="AI282">
        <v>3.69</v>
      </c>
      <c r="AJ282">
        <v>33.21</v>
      </c>
      <c r="AK282">
        <v>23.8</v>
      </c>
      <c r="AL282">
        <v>-20.131367099999981</v>
      </c>
      <c r="AM282">
        <v>-44.910597350758543</v>
      </c>
      <c r="AN282">
        <v>-20.131367099999981</v>
      </c>
      <c r="AO282">
        <v>-44.910597350758543</v>
      </c>
      <c r="AP282">
        <v>-20.131240999999999</v>
      </c>
      <c r="AQ282">
        <v>-44.910567999999998</v>
      </c>
      <c r="AR282">
        <v>14.36874794070623</v>
      </c>
      <c r="AS282" t="s">
        <v>65</v>
      </c>
      <c r="AT282">
        <v>1</v>
      </c>
      <c r="AU282" t="s">
        <v>1367</v>
      </c>
      <c r="AV282" t="s">
        <v>1368</v>
      </c>
      <c r="AW282" t="s">
        <v>60</v>
      </c>
      <c r="AX282" t="s">
        <v>68</v>
      </c>
      <c r="AY282" t="s">
        <v>69</v>
      </c>
      <c r="AZ282" t="b">
        <v>1</v>
      </c>
    </row>
    <row r="283" spans="1:52" x14ac:dyDescent="0.3">
      <c r="A283" t="s">
        <v>52</v>
      </c>
      <c r="B283" t="s">
        <v>53</v>
      </c>
      <c r="C283" t="s">
        <v>54</v>
      </c>
      <c r="D283" t="s">
        <v>55</v>
      </c>
      <c r="E283" t="s">
        <v>56</v>
      </c>
      <c r="F283" t="s">
        <v>1247</v>
      </c>
      <c r="G283" t="s">
        <v>1364</v>
      </c>
      <c r="H283" t="s">
        <v>1369</v>
      </c>
      <c r="I283" t="s">
        <v>1369</v>
      </c>
      <c r="J283" t="s">
        <v>60</v>
      </c>
      <c r="K283" t="s">
        <v>1370</v>
      </c>
      <c r="L283" t="s">
        <v>62</v>
      </c>
      <c r="M283" t="s">
        <v>1370</v>
      </c>
      <c r="N283" t="s">
        <v>1366</v>
      </c>
      <c r="O283" t="s">
        <v>989</v>
      </c>
      <c r="P283">
        <v>-20.141185</v>
      </c>
      <c r="Q283">
        <v>-44.914200999999998</v>
      </c>
      <c r="R283" s="2" t="str">
        <f>HYPERLINK("https://www.google.com/maps?q=-20.1411850,-44.9142010","Abrir no Google Maps")</f>
        <v>Abrir no Google Maps</v>
      </c>
      <c r="S283">
        <v>3</v>
      </c>
      <c r="T283">
        <v>512.52588459346453</v>
      </c>
      <c r="U283">
        <v>2</v>
      </c>
      <c r="V283">
        <v>0.2975005985287143</v>
      </c>
      <c r="W283">
        <v>0.85</v>
      </c>
      <c r="X283">
        <v>0.25287550874940717</v>
      </c>
      <c r="Y283">
        <v>581</v>
      </c>
      <c r="Z283">
        <v>473.10673043319349</v>
      </c>
      <c r="AA283">
        <v>198</v>
      </c>
      <c r="AB283">
        <v>332</v>
      </c>
      <c r="AC283">
        <v>536</v>
      </c>
      <c r="AD283">
        <v>28.41</v>
      </c>
      <c r="AE283">
        <v>542</v>
      </c>
      <c r="AF283">
        <v>20</v>
      </c>
      <c r="AG283">
        <v>180</v>
      </c>
      <c r="AH283">
        <v>129</v>
      </c>
      <c r="AI283">
        <v>3.69</v>
      </c>
      <c r="AJ283">
        <v>33.21</v>
      </c>
      <c r="AK283">
        <v>23.8</v>
      </c>
      <c r="AL283">
        <v>-20.14133909999995</v>
      </c>
      <c r="AM283">
        <v>-44.913910219286038</v>
      </c>
      <c r="AN283">
        <v>-20.14133909999995</v>
      </c>
      <c r="AO283">
        <v>-44.913910219286038</v>
      </c>
      <c r="AP283">
        <v>-20.141185</v>
      </c>
      <c r="AQ283">
        <v>-44.914200999999998</v>
      </c>
      <c r="AR283">
        <v>34.897514361429593</v>
      </c>
      <c r="AS283" t="s">
        <v>65</v>
      </c>
      <c r="AT283">
        <v>1</v>
      </c>
      <c r="AU283" t="s">
        <v>1371</v>
      </c>
      <c r="AV283" t="s">
        <v>863</v>
      </c>
      <c r="AW283" t="s">
        <v>60</v>
      </c>
      <c r="AX283" t="s">
        <v>68</v>
      </c>
      <c r="AY283" t="s">
        <v>69</v>
      </c>
      <c r="AZ283" t="b">
        <v>1</v>
      </c>
    </row>
    <row r="284" spans="1:52" x14ac:dyDescent="0.3">
      <c r="A284" t="s">
        <v>52</v>
      </c>
      <c r="B284" t="s">
        <v>53</v>
      </c>
      <c r="C284" t="s">
        <v>54</v>
      </c>
      <c r="D284" t="s">
        <v>55</v>
      </c>
      <c r="E284" t="s">
        <v>56</v>
      </c>
      <c r="F284" t="s">
        <v>1247</v>
      </c>
      <c r="G284" t="s">
        <v>1300</v>
      </c>
      <c r="H284" t="s">
        <v>1372</v>
      </c>
      <c r="I284" t="s">
        <v>1372</v>
      </c>
      <c r="J284" t="s">
        <v>60</v>
      </c>
      <c r="K284" t="s">
        <v>486</v>
      </c>
      <c r="L284" t="s">
        <v>62</v>
      </c>
      <c r="M284" t="s">
        <v>486</v>
      </c>
      <c r="N284" t="s">
        <v>1303</v>
      </c>
      <c r="O284" t="s">
        <v>1373</v>
      </c>
      <c r="P284">
        <v>-20.170458</v>
      </c>
      <c r="Q284">
        <v>-44.900936000000002</v>
      </c>
      <c r="R284" s="2" t="str">
        <f>HYPERLINK("https://www.google.com/maps?q=-20.1704580,-44.9009360","Abrir no Google Maps")</f>
        <v>Abrir no Google Maps</v>
      </c>
      <c r="S284">
        <v>3</v>
      </c>
      <c r="T284">
        <v>470.55793133653339</v>
      </c>
      <c r="U284">
        <v>2</v>
      </c>
      <c r="V284">
        <v>0.31517681205458969</v>
      </c>
      <c r="W284">
        <v>0.85</v>
      </c>
      <c r="X284">
        <v>0.26790029024640122</v>
      </c>
      <c r="Y284">
        <v>578</v>
      </c>
      <c r="Z284">
        <v>645.48909402437766</v>
      </c>
      <c r="AA284">
        <v>198</v>
      </c>
      <c r="AB284">
        <v>332</v>
      </c>
      <c r="AC284">
        <v>536</v>
      </c>
      <c r="AD284">
        <v>28.41</v>
      </c>
      <c r="AE284">
        <v>542</v>
      </c>
      <c r="AF284">
        <v>20</v>
      </c>
      <c r="AG284">
        <v>180</v>
      </c>
      <c r="AH284">
        <v>129</v>
      </c>
      <c r="AI284">
        <v>3.69</v>
      </c>
      <c r="AJ284">
        <v>33.21</v>
      </c>
      <c r="AK284">
        <v>23.8</v>
      </c>
      <c r="AL284">
        <v>-20.17025029999996</v>
      </c>
      <c r="AM284">
        <v>-44.901067235372473</v>
      </c>
      <c r="AN284">
        <v>-20.17025029999996</v>
      </c>
      <c r="AO284">
        <v>-44.901067235372473</v>
      </c>
      <c r="AP284">
        <v>-20.170458</v>
      </c>
      <c r="AQ284">
        <v>-44.900936000000002</v>
      </c>
      <c r="AR284">
        <v>26.88195352459519</v>
      </c>
      <c r="AS284" t="s">
        <v>65</v>
      </c>
      <c r="AT284">
        <v>1</v>
      </c>
      <c r="AU284" t="s">
        <v>1374</v>
      </c>
      <c r="AV284" t="s">
        <v>1375</v>
      </c>
      <c r="AW284" t="s">
        <v>60</v>
      </c>
      <c r="AX284" t="s">
        <v>68</v>
      </c>
      <c r="AY284" t="s">
        <v>69</v>
      </c>
      <c r="AZ284" t="b">
        <v>1</v>
      </c>
    </row>
    <row r="285" spans="1:52" x14ac:dyDescent="0.3">
      <c r="A285" t="s">
        <v>52</v>
      </c>
      <c r="B285" t="s">
        <v>53</v>
      </c>
      <c r="C285" t="s">
        <v>54</v>
      </c>
      <c r="D285" t="s">
        <v>55</v>
      </c>
      <c r="E285" t="s">
        <v>56</v>
      </c>
      <c r="F285" t="s">
        <v>1247</v>
      </c>
      <c r="G285" t="s">
        <v>1376</v>
      </c>
      <c r="H285" t="s">
        <v>1377</v>
      </c>
      <c r="I285" t="s">
        <v>1377</v>
      </c>
      <c r="J285" t="s">
        <v>60</v>
      </c>
      <c r="K285" t="s">
        <v>475</v>
      </c>
      <c r="L285" t="s">
        <v>62</v>
      </c>
      <c r="M285" t="s">
        <v>475</v>
      </c>
      <c r="N285" t="s">
        <v>1378</v>
      </c>
      <c r="O285" t="s">
        <v>1379</v>
      </c>
      <c r="P285">
        <v>-20.175298000000002</v>
      </c>
      <c r="Q285">
        <v>-44.904794000000003</v>
      </c>
      <c r="R285" s="2" t="str">
        <f>HYPERLINK("https://www.google.com/maps?q=-20.1752980,-44.9047940","Abrir no Google Maps")</f>
        <v>Abrir no Google Maps</v>
      </c>
      <c r="S285">
        <v>3</v>
      </c>
      <c r="T285">
        <v>497.7557906927301</v>
      </c>
      <c r="U285">
        <v>2</v>
      </c>
      <c r="V285">
        <v>0.28397260164439753</v>
      </c>
      <c r="W285">
        <v>0.85</v>
      </c>
      <c r="X285">
        <v>0.24137671139773789</v>
      </c>
      <c r="Y285">
        <v>578</v>
      </c>
      <c r="Z285">
        <v>363.80816567363502</v>
      </c>
      <c r="AA285">
        <v>198</v>
      </c>
      <c r="AB285">
        <v>332</v>
      </c>
      <c r="AC285">
        <v>536</v>
      </c>
      <c r="AD285">
        <v>28.41</v>
      </c>
      <c r="AE285">
        <v>542</v>
      </c>
      <c r="AF285">
        <v>20</v>
      </c>
      <c r="AG285">
        <v>180</v>
      </c>
      <c r="AH285">
        <v>129</v>
      </c>
      <c r="AI285">
        <v>3.69</v>
      </c>
      <c r="AJ285">
        <v>33.21</v>
      </c>
      <c r="AK285">
        <v>23.8</v>
      </c>
      <c r="AL285">
        <v>-20.17530484999995</v>
      </c>
      <c r="AM285">
        <v>-44.904834224351781</v>
      </c>
      <c r="AN285">
        <v>-20.17530484999995</v>
      </c>
      <c r="AO285">
        <v>-44.904834224351781</v>
      </c>
      <c r="AP285">
        <v>-20.175298000000002</v>
      </c>
      <c r="AQ285">
        <v>-44.904794000000003</v>
      </c>
      <c r="AR285">
        <v>4.2716392411563806</v>
      </c>
      <c r="AS285" t="s">
        <v>65</v>
      </c>
      <c r="AT285">
        <v>1</v>
      </c>
      <c r="AU285" t="s">
        <v>1380</v>
      </c>
      <c r="AV285" t="s">
        <v>1381</v>
      </c>
      <c r="AW285" t="s">
        <v>60</v>
      </c>
      <c r="AX285" t="s">
        <v>68</v>
      </c>
      <c r="AY285" t="s">
        <v>69</v>
      </c>
      <c r="AZ285" t="b">
        <v>1</v>
      </c>
    </row>
    <row r="286" spans="1:52" x14ac:dyDescent="0.3">
      <c r="A286" t="s">
        <v>52</v>
      </c>
      <c r="B286" t="s">
        <v>53</v>
      </c>
      <c r="C286" t="s">
        <v>54</v>
      </c>
      <c r="D286" t="s">
        <v>55</v>
      </c>
      <c r="E286" t="s">
        <v>56</v>
      </c>
      <c r="F286" t="s">
        <v>1247</v>
      </c>
      <c r="G286" t="s">
        <v>1382</v>
      </c>
      <c r="H286" t="s">
        <v>1383</v>
      </c>
      <c r="I286" t="s">
        <v>1383</v>
      </c>
      <c r="J286" t="s">
        <v>60</v>
      </c>
      <c r="K286" t="s">
        <v>1384</v>
      </c>
      <c r="L286" t="s">
        <v>62</v>
      </c>
      <c r="M286" t="s">
        <v>1384</v>
      </c>
      <c r="N286" t="s">
        <v>1385</v>
      </c>
      <c r="O286" t="s">
        <v>1379</v>
      </c>
      <c r="P286">
        <v>-20.168914999999998</v>
      </c>
      <c r="Q286">
        <v>-44.897015000000003</v>
      </c>
      <c r="R286" s="2" t="str">
        <f>HYPERLINK("https://www.google.com/maps?q=-20.1689150,-44.8970150","Abrir no Google Maps")</f>
        <v>Abrir no Google Maps</v>
      </c>
      <c r="S286">
        <v>3</v>
      </c>
      <c r="T286">
        <v>1082.4313448281291</v>
      </c>
      <c r="U286">
        <v>2</v>
      </c>
      <c r="V286">
        <v>0.2918064216605421</v>
      </c>
      <c r="W286">
        <v>0.85</v>
      </c>
      <c r="X286">
        <v>0.2480354584114608</v>
      </c>
      <c r="Y286">
        <v>578</v>
      </c>
      <c r="Z286">
        <v>1085.6751638476369</v>
      </c>
      <c r="AA286">
        <v>198</v>
      </c>
      <c r="AB286">
        <v>332</v>
      </c>
      <c r="AC286">
        <v>536</v>
      </c>
      <c r="AD286">
        <v>28.41</v>
      </c>
      <c r="AE286">
        <v>542</v>
      </c>
      <c r="AF286">
        <v>20</v>
      </c>
      <c r="AG286">
        <v>180</v>
      </c>
      <c r="AH286">
        <v>129</v>
      </c>
      <c r="AI286">
        <v>3.69</v>
      </c>
      <c r="AJ286">
        <v>33.21</v>
      </c>
      <c r="AK286">
        <v>23.8</v>
      </c>
      <c r="AL286">
        <v>-20.168195549999979</v>
      </c>
      <c r="AM286">
        <v>-44.895555997240763</v>
      </c>
      <c r="AN286">
        <v>-20.168195549999979</v>
      </c>
      <c r="AO286">
        <v>-44.895555997240763</v>
      </c>
      <c r="AP286">
        <v>-20.168914999999998</v>
      </c>
      <c r="AQ286">
        <v>-44.897015000000003</v>
      </c>
      <c r="AR286">
        <v>172.21377736735809</v>
      </c>
      <c r="AS286" t="s">
        <v>65</v>
      </c>
      <c r="AT286">
        <v>1</v>
      </c>
      <c r="AU286" t="s">
        <v>1386</v>
      </c>
      <c r="AV286" t="s">
        <v>1387</v>
      </c>
      <c r="AW286" t="s">
        <v>60</v>
      </c>
      <c r="AX286" t="s">
        <v>68</v>
      </c>
      <c r="AY286" t="s">
        <v>69</v>
      </c>
      <c r="AZ286" t="b">
        <v>1</v>
      </c>
    </row>
    <row r="287" spans="1:52" x14ac:dyDescent="0.3">
      <c r="A287" t="s">
        <v>52</v>
      </c>
      <c r="B287" t="s">
        <v>53</v>
      </c>
      <c r="C287" t="s">
        <v>54</v>
      </c>
      <c r="D287" t="s">
        <v>55</v>
      </c>
      <c r="E287" t="s">
        <v>56</v>
      </c>
      <c r="F287" t="s">
        <v>1247</v>
      </c>
      <c r="G287" t="s">
        <v>1388</v>
      </c>
      <c r="H287" t="s">
        <v>1389</v>
      </c>
      <c r="I287" t="s">
        <v>1389</v>
      </c>
      <c r="J287" t="s">
        <v>60</v>
      </c>
      <c r="K287" t="s">
        <v>475</v>
      </c>
      <c r="L287" t="s">
        <v>62</v>
      </c>
      <c r="M287" t="s">
        <v>475</v>
      </c>
      <c r="N287" t="s">
        <v>1390</v>
      </c>
      <c r="O287" t="s">
        <v>855</v>
      </c>
      <c r="P287">
        <v>-20.173748</v>
      </c>
      <c r="Q287">
        <v>-44.894596999999997</v>
      </c>
      <c r="R287" s="2" t="str">
        <f>HYPERLINK("https://www.google.com/maps?q=-20.1737480,-44.8945970","Abrir no Google Maps")</f>
        <v>Abrir no Google Maps</v>
      </c>
      <c r="S287">
        <v>3</v>
      </c>
      <c r="T287">
        <v>1217.388518792701</v>
      </c>
      <c r="U287">
        <v>2</v>
      </c>
      <c r="V287">
        <v>0.30270749646018041</v>
      </c>
      <c r="W287">
        <v>0.85</v>
      </c>
      <c r="X287">
        <v>0.25730137199115333</v>
      </c>
      <c r="Y287">
        <v>578</v>
      </c>
      <c r="Z287">
        <v>1268.0048337091989</v>
      </c>
      <c r="AA287">
        <v>198</v>
      </c>
      <c r="AB287">
        <v>332</v>
      </c>
      <c r="AC287">
        <v>536</v>
      </c>
      <c r="AD287">
        <v>28.41</v>
      </c>
      <c r="AE287">
        <v>542</v>
      </c>
      <c r="AF287">
        <v>20</v>
      </c>
      <c r="AG287">
        <v>180</v>
      </c>
      <c r="AH287">
        <v>129</v>
      </c>
      <c r="AI287">
        <v>3.69</v>
      </c>
      <c r="AJ287">
        <v>33.21</v>
      </c>
      <c r="AK287">
        <v>23.8</v>
      </c>
      <c r="AL287">
        <v>-20.173821999999941</v>
      </c>
      <c r="AM287">
        <v>-44.894306105833543</v>
      </c>
      <c r="AN287">
        <v>-20.173821999999941</v>
      </c>
      <c r="AO287">
        <v>-44.894306105833543</v>
      </c>
      <c r="AP287">
        <v>-20.173748</v>
      </c>
      <c r="AQ287">
        <v>-44.894596999999997</v>
      </c>
      <c r="AR287">
        <v>31.492193006406161</v>
      </c>
      <c r="AS287" t="s">
        <v>65</v>
      </c>
      <c r="AT287">
        <v>1</v>
      </c>
      <c r="AU287" t="s">
        <v>1391</v>
      </c>
      <c r="AV287" t="s">
        <v>1392</v>
      </c>
      <c r="AW287" t="s">
        <v>60</v>
      </c>
      <c r="AX287" t="s">
        <v>68</v>
      </c>
      <c r="AY287" t="s">
        <v>69</v>
      </c>
      <c r="AZ287" t="b">
        <v>1</v>
      </c>
    </row>
    <row r="288" spans="1:52" x14ac:dyDescent="0.3">
      <c r="A288" t="s">
        <v>52</v>
      </c>
      <c r="B288" t="s">
        <v>53</v>
      </c>
      <c r="C288" t="s">
        <v>54</v>
      </c>
      <c r="D288" t="s">
        <v>55</v>
      </c>
      <c r="E288" t="s">
        <v>56</v>
      </c>
      <c r="F288" t="s">
        <v>1247</v>
      </c>
      <c r="G288" t="s">
        <v>1393</v>
      </c>
      <c r="H288" t="s">
        <v>1394</v>
      </c>
      <c r="I288" t="s">
        <v>1394</v>
      </c>
      <c r="J288" t="s">
        <v>60</v>
      </c>
      <c r="K288" t="s">
        <v>388</v>
      </c>
      <c r="L288" t="s">
        <v>62</v>
      </c>
      <c r="M288" t="s">
        <v>388</v>
      </c>
      <c r="N288" t="s">
        <v>1395</v>
      </c>
      <c r="O288" t="s">
        <v>1396</v>
      </c>
      <c r="P288">
        <v>-20.167425000000001</v>
      </c>
      <c r="Q288">
        <v>-44.907733999999998</v>
      </c>
      <c r="R288" s="2" t="str">
        <f>HYPERLINK("https://www.google.com/maps?q=-20.1674250,-44.9077340","Abrir no Google Maps")</f>
        <v>Abrir no Google Maps</v>
      </c>
      <c r="S288">
        <v>3</v>
      </c>
      <c r="T288">
        <v>424.62372109792739</v>
      </c>
      <c r="U288">
        <v>2</v>
      </c>
      <c r="V288">
        <v>0.30553597513142172</v>
      </c>
      <c r="W288">
        <v>0.85</v>
      </c>
      <c r="X288">
        <v>0.25970557886170847</v>
      </c>
      <c r="Y288">
        <v>578</v>
      </c>
      <c r="Z288">
        <v>559.08337206965382</v>
      </c>
      <c r="AA288">
        <v>198</v>
      </c>
      <c r="AB288">
        <v>332</v>
      </c>
      <c r="AC288">
        <v>536</v>
      </c>
      <c r="AD288">
        <v>28.41</v>
      </c>
      <c r="AE288">
        <v>542</v>
      </c>
      <c r="AF288">
        <v>20</v>
      </c>
      <c r="AG288">
        <v>180</v>
      </c>
      <c r="AH288">
        <v>129</v>
      </c>
      <c r="AI288">
        <v>3.69</v>
      </c>
      <c r="AJ288">
        <v>33.21</v>
      </c>
      <c r="AK288">
        <v>23.8</v>
      </c>
      <c r="AL288">
        <v>-20.167592099999951</v>
      </c>
      <c r="AM288">
        <v>-44.907664214502859</v>
      </c>
      <c r="AN288">
        <v>-20.167592099999951</v>
      </c>
      <c r="AO288">
        <v>-44.907664214502859</v>
      </c>
      <c r="AP288">
        <v>-20.167425000000001</v>
      </c>
      <c r="AQ288">
        <v>-44.907733999999998</v>
      </c>
      <c r="AR288">
        <v>19.979863459652229</v>
      </c>
      <c r="AS288" t="s">
        <v>65</v>
      </c>
      <c r="AT288">
        <v>1</v>
      </c>
      <c r="AU288" t="s">
        <v>1397</v>
      </c>
      <c r="AV288" t="s">
        <v>1398</v>
      </c>
      <c r="AW288" t="s">
        <v>60</v>
      </c>
      <c r="AX288" t="s">
        <v>68</v>
      </c>
      <c r="AY288" t="s">
        <v>69</v>
      </c>
      <c r="AZ288" t="b">
        <v>1</v>
      </c>
    </row>
    <row r="289" spans="1:52" x14ac:dyDescent="0.3">
      <c r="A289" t="s">
        <v>52</v>
      </c>
      <c r="B289" t="s">
        <v>53</v>
      </c>
      <c r="C289" t="s">
        <v>54</v>
      </c>
      <c r="D289" t="s">
        <v>55</v>
      </c>
      <c r="E289" t="s">
        <v>56</v>
      </c>
      <c r="F289" t="s">
        <v>1247</v>
      </c>
      <c r="G289" t="s">
        <v>1399</v>
      </c>
      <c r="H289" t="s">
        <v>1400</v>
      </c>
      <c r="I289" t="s">
        <v>1400</v>
      </c>
      <c r="J289" t="s">
        <v>60</v>
      </c>
      <c r="K289" t="s">
        <v>475</v>
      </c>
      <c r="L289" t="s">
        <v>62</v>
      </c>
      <c r="M289" t="s">
        <v>475</v>
      </c>
      <c r="N289" t="s">
        <v>1401</v>
      </c>
      <c r="O289" t="s">
        <v>1080</v>
      </c>
      <c r="P289">
        <v>-20.178809000000001</v>
      </c>
      <c r="Q289">
        <v>-44.900204000000002</v>
      </c>
      <c r="R289" s="2" t="str">
        <f>HYPERLINK("https://www.google.com/maps?q=-20.1788090,-44.9002040","Abrir no Google Maps")</f>
        <v>Abrir no Google Maps</v>
      </c>
      <c r="S289">
        <v>3</v>
      </c>
      <c r="T289">
        <v>1015.86498565614</v>
      </c>
      <c r="U289">
        <v>2</v>
      </c>
      <c r="V289">
        <v>0.28568978704935999</v>
      </c>
      <c r="W289">
        <v>0.85</v>
      </c>
      <c r="X289">
        <v>0.24283631899195601</v>
      </c>
      <c r="Y289">
        <v>578</v>
      </c>
      <c r="Z289">
        <v>954.77111474428102</v>
      </c>
      <c r="AA289">
        <v>198</v>
      </c>
      <c r="AB289">
        <v>332</v>
      </c>
      <c r="AC289">
        <v>536</v>
      </c>
      <c r="AD289">
        <v>28.41</v>
      </c>
      <c r="AE289">
        <v>542</v>
      </c>
      <c r="AF289">
        <v>20</v>
      </c>
      <c r="AG289">
        <v>180</v>
      </c>
      <c r="AH289">
        <v>129</v>
      </c>
      <c r="AI289">
        <v>3.69</v>
      </c>
      <c r="AJ289">
        <v>33.21</v>
      </c>
      <c r="AK289">
        <v>23.8</v>
      </c>
      <c r="AL289">
        <v>-20.178590099999951</v>
      </c>
      <c r="AM289">
        <v>-44.90029029928732</v>
      </c>
      <c r="AN289">
        <v>-20.178590099999951</v>
      </c>
      <c r="AO289">
        <v>-44.90029029928732</v>
      </c>
      <c r="AP289">
        <v>-20.178809000000001</v>
      </c>
      <c r="AQ289">
        <v>-44.900204000000002</v>
      </c>
      <c r="AR289">
        <v>25.982812999798391</v>
      </c>
      <c r="AS289" t="s">
        <v>65</v>
      </c>
      <c r="AT289">
        <v>1</v>
      </c>
      <c r="AU289" t="s">
        <v>1402</v>
      </c>
      <c r="AV289" t="s">
        <v>1403</v>
      </c>
      <c r="AW289" t="s">
        <v>60</v>
      </c>
      <c r="AX289" t="s">
        <v>68</v>
      </c>
      <c r="AY289" t="s">
        <v>69</v>
      </c>
      <c r="AZ289" t="b">
        <v>1</v>
      </c>
    </row>
    <row r="290" spans="1:52" x14ac:dyDescent="0.3">
      <c r="A290" t="s">
        <v>52</v>
      </c>
      <c r="B290" t="s">
        <v>53</v>
      </c>
      <c r="C290" t="s">
        <v>54</v>
      </c>
      <c r="D290" t="s">
        <v>55</v>
      </c>
      <c r="E290" t="s">
        <v>56</v>
      </c>
      <c r="F290" t="s">
        <v>1247</v>
      </c>
      <c r="G290" t="s">
        <v>815</v>
      </c>
      <c r="H290" t="s">
        <v>1404</v>
      </c>
      <c r="I290" t="s">
        <v>1404</v>
      </c>
      <c r="J290" t="s">
        <v>60</v>
      </c>
      <c r="K290" t="s">
        <v>512</v>
      </c>
      <c r="L290" t="s">
        <v>62</v>
      </c>
      <c r="M290" t="s">
        <v>512</v>
      </c>
      <c r="N290" t="s">
        <v>817</v>
      </c>
      <c r="O290" t="s">
        <v>1405</v>
      </c>
      <c r="P290">
        <v>-20.129069999999999</v>
      </c>
      <c r="Q290">
        <v>-44.888452000000001</v>
      </c>
      <c r="R290" s="2" t="str">
        <f>HYPERLINK("https://www.google.com/maps?q=-20.1290700,-44.8884520","Abrir no Google Maps")</f>
        <v>Abrir no Google Maps</v>
      </c>
      <c r="S290">
        <v>3</v>
      </c>
      <c r="T290">
        <v>0</v>
      </c>
      <c r="U290">
        <v>2</v>
      </c>
      <c r="V290">
        <v>0.3104917793451839</v>
      </c>
      <c r="W290">
        <v>0.85</v>
      </c>
      <c r="X290">
        <v>0.26391801244340629</v>
      </c>
      <c r="Y290">
        <v>564</v>
      </c>
      <c r="Z290">
        <v>95.870354837220688</v>
      </c>
      <c r="AA290">
        <v>198</v>
      </c>
      <c r="AB290">
        <v>332</v>
      </c>
      <c r="AC290">
        <v>536</v>
      </c>
      <c r="AD290">
        <v>28.41</v>
      </c>
      <c r="AE290">
        <v>542</v>
      </c>
      <c r="AF290">
        <v>20</v>
      </c>
      <c r="AG290">
        <v>180</v>
      </c>
      <c r="AH290">
        <v>129</v>
      </c>
      <c r="AI290">
        <v>3.69</v>
      </c>
      <c r="AJ290">
        <v>33.21</v>
      </c>
      <c r="AK290">
        <v>23.8</v>
      </c>
      <c r="AL290">
        <v>-20.12899334999997</v>
      </c>
      <c r="AM290">
        <v>-44.888406102471222</v>
      </c>
      <c r="AN290">
        <v>-20.12899334999997</v>
      </c>
      <c r="AO290">
        <v>-44.888406102471222</v>
      </c>
      <c r="AP290">
        <v>-20.129069999999999</v>
      </c>
      <c r="AQ290">
        <v>-44.888452000000001</v>
      </c>
      <c r="AR290">
        <v>9.7887731150376265</v>
      </c>
      <c r="AS290" t="s">
        <v>65</v>
      </c>
      <c r="AT290">
        <v>1</v>
      </c>
      <c r="AU290" t="s">
        <v>1406</v>
      </c>
      <c r="AV290" t="s">
        <v>1407</v>
      </c>
      <c r="AW290" t="s">
        <v>60</v>
      </c>
      <c r="AX290" t="s">
        <v>68</v>
      </c>
      <c r="AY290" t="s">
        <v>69</v>
      </c>
      <c r="AZ290" t="b">
        <v>1</v>
      </c>
    </row>
    <row r="291" spans="1:52" x14ac:dyDescent="0.3">
      <c r="A291" t="s">
        <v>52</v>
      </c>
      <c r="B291" t="s">
        <v>53</v>
      </c>
      <c r="C291" t="s">
        <v>54</v>
      </c>
      <c r="D291" t="s">
        <v>55</v>
      </c>
      <c r="E291" t="s">
        <v>56</v>
      </c>
      <c r="F291" t="s">
        <v>1247</v>
      </c>
      <c r="G291" t="s">
        <v>1408</v>
      </c>
      <c r="H291" t="s">
        <v>1409</v>
      </c>
      <c r="I291" t="s">
        <v>1409</v>
      </c>
      <c r="J291" t="s">
        <v>60</v>
      </c>
      <c r="K291" t="s">
        <v>200</v>
      </c>
      <c r="L291" t="s">
        <v>62</v>
      </c>
      <c r="M291" t="s">
        <v>200</v>
      </c>
      <c r="N291" t="s">
        <v>1410</v>
      </c>
      <c r="O291" t="s">
        <v>1001</v>
      </c>
      <c r="P291">
        <v>-20.126062999999998</v>
      </c>
      <c r="Q291">
        <v>-44.894936999999999</v>
      </c>
      <c r="R291" s="2" t="str">
        <f>HYPERLINK("https://www.google.com/maps?q=-20.1260630,-44.8949370","Abrir no Google Maps")</f>
        <v>Abrir no Google Maps</v>
      </c>
      <c r="S291">
        <v>3</v>
      </c>
      <c r="T291">
        <v>747.3122077966558</v>
      </c>
      <c r="U291">
        <v>2</v>
      </c>
      <c r="V291">
        <v>0.30068288434345358</v>
      </c>
      <c r="W291">
        <v>0.85</v>
      </c>
      <c r="X291">
        <v>0.25558045169193561</v>
      </c>
      <c r="Y291">
        <v>564</v>
      </c>
      <c r="Z291">
        <v>693.80888866206885</v>
      </c>
      <c r="AA291">
        <v>198</v>
      </c>
      <c r="AB291">
        <v>332</v>
      </c>
      <c r="AC291">
        <v>536</v>
      </c>
      <c r="AD291">
        <v>28.41</v>
      </c>
      <c r="AE291">
        <v>542</v>
      </c>
      <c r="AF291">
        <v>20</v>
      </c>
      <c r="AG291">
        <v>180</v>
      </c>
      <c r="AH291">
        <v>129</v>
      </c>
      <c r="AI291">
        <v>3.69</v>
      </c>
      <c r="AJ291">
        <v>33.21</v>
      </c>
      <c r="AK291">
        <v>23.8</v>
      </c>
      <c r="AL291">
        <v>-20.126099149999959</v>
      </c>
      <c r="AM291">
        <v>-44.894866076436763</v>
      </c>
      <c r="AN291">
        <v>-20.126099149999959</v>
      </c>
      <c r="AO291">
        <v>-44.894866076436749</v>
      </c>
      <c r="AP291">
        <v>-20.126062999999998</v>
      </c>
      <c r="AQ291">
        <v>-44.894936999999999</v>
      </c>
      <c r="AR291">
        <v>8.4349593682699737</v>
      </c>
      <c r="AS291" t="s">
        <v>65</v>
      </c>
      <c r="AT291">
        <v>1</v>
      </c>
      <c r="AU291" t="s">
        <v>1411</v>
      </c>
      <c r="AV291" t="s">
        <v>1003</v>
      </c>
      <c r="AW291" t="s">
        <v>60</v>
      </c>
      <c r="AX291" t="s">
        <v>68</v>
      </c>
      <c r="AY291" t="s">
        <v>69</v>
      </c>
      <c r="AZ291" t="b">
        <v>1</v>
      </c>
    </row>
    <row r="292" spans="1:52" x14ac:dyDescent="0.3">
      <c r="A292" t="s">
        <v>52</v>
      </c>
      <c r="B292" t="s">
        <v>53</v>
      </c>
      <c r="C292" t="s">
        <v>54</v>
      </c>
      <c r="D292" t="s">
        <v>55</v>
      </c>
      <c r="E292" t="s">
        <v>56</v>
      </c>
      <c r="F292" t="s">
        <v>1247</v>
      </c>
      <c r="G292" t="s">
        <v>1412</v>
      </c>
      <c r="H292" t="s">
        <v>1413</v>
      </c>
      <c r="I292" t="s">
        <v>1413</v>
      </c>
      <c r="J292" t="s">
        <v>60</v>
      </c>
      <c r="K292" t="s">
        <v>892</v>
      </c>
      <c r="L292" t="s">
        <v>62</v>
      </c>
      <c r="M292" t="s">
        <v>892</v>
      </c>
      <c r="N292" t="s">
        <v>1414</v>
      </c>
      <c r="O292" t="s">
        <v>293</v>
      </c>
      <c r="P292">
        <v>-20.150780999999998</v>
      </c>
      <c r="Q292">
        <v>-44.897972000000003</v>
      </c>
      <c r="R292" s="2" t="str">
        <f>HYPERLINK("https://www.google.com/maps?q=-20.1507810,-44.8979720","Abrir no Google Maps")</f>
        <v>Abrir no Google Maps</v>
      </c>
      <c r="S292">
        <v>3</v>
      </c>
      <c r="T292">
        <v>306.36394634674508</v>
      </c>
      <c r="U292">
        <v>2</v>
      </c>
      <c r="V292">
        <v>0.28210436813092449</v>
      </c>
      <c r="W292">
        <v>0.85</v>
      </c>
      <c r="X292">
        <v>0.23978871291128581</v>
      </c>
      <c r="Y292">
        <v>556</v>
      </c>
      <c r="Z292">
        <v>233.85692443628571</v>
      </c>
      <c r="AA292">
        <v>198</v>
      </c>
      <c r="AB292">
        <v>332</v>
      </c>
      <c r="AC292">
        <v>536</v>
      </c>
      <c r="AD292">
        <v>28.41</v>
      </c>
      <c r="AE292">
        <v>542</v>
      </c>
      <c r="AF292">
        <v>20</v>
      </c>
      <c r="AG292">
        <v>180</v>
      </c>
      <c r="AH292">
        <v>129</v>
      </c>
      <c r="AI292">
        <v>3.69</v>
      </c>
      <c r="AJ292">
        <v>33.21</v>
      </c>
      <c r="AK292">
        <v>23.8</v>
      </c>
      <c r="AL292">
        <v>-20.15074609999996</v>
      </c>
      <c r="AM292">
        <v>-44.89795774234689</v>
      </c>
      <c r="AN292">
        <v>-20.15074609999996</v>
      </c>
      <c r="AO292">
        <v>-44.89795774234689</v>
      </c>
      <c r="AP292">
        <v>-20.150780999999998</v>
      </c>
      <c r="AQ292">
        <v>-44.897972000000003</v>
      </c>
      <c r="AR292">
        <v>4.160995809097348</v>
      </c>
      <c r="AS292" t="s">
        <v>65</v>
      </c>
      <c r="AT292">
        <v>1</v>
      </c>
      <c r="AU292" t="s">
        <v>1415</v>
      </c>
      <c r="AV292" t="s">
        <v>1416</v>
      </c>
      <c r="AW292" t="s">
        <v>60</v>
      </c>
      <c r="AX292" t="s">
        <v>68</v>
      </c>
      <c r="AY292" t="s">
        <v>69</v>
      </c>
      <c r="AZ292" t="b">
        <v>1</v>
      </c>
    </row>
    <row r="293" spans="1:52" x14ac:dyDescent="0.3">
      <c r="A293" t="s">
        <v>52</v>
      </c>
      <c r="B293" t="s">
        <v>53</v>
      </c>
      <c r="C293" t="s">
        <v>54</v>
      </c>
      <c r="D293" t="s">
        <v>55</v>
      </c>
      <c r="E293" t="s">
        <v>56</v>
      </c>
      <c r="F293" t="s">
        <v>1247</v>
      </c>
      <c r="G293" t="s">
        <v>1417</v>
      </c>
      <c r="H293" t="s">
        <v>1418</v>
      </c>
      <c r="I293" t="s">
        <v>1418</v>
      </c>
      <c r="J293" t="s">
        <v>60</v>
      </c>
      <c r="K293" t="s">
        <v>1419</v>
      </c>
      <c r="L293" t="s">
        <v>62</v>
      </c>
      <c r="M293" t="s">
        <v>1419</v>
      </c>
      <c r="N293" t="s">
        <v>1420</v>
      </c>
      <c r="O293" t="s">
        <v>1421</v>
      </c>
      <c r="P293">
        <v>-20.159427000000001</v>
      </c>
      <c r="Q293">
        <v>-44.897143</v>
      </c>
      <c r="R293" s="2" t="str">
        <f>HYPERLINK("https://www.google.com/maps?q=-20.1594270,-44.8971430","Abrir no Google Maps")</f>
        <v>Abrir no Google Maps</v>
      </c>
      <c r="S293">
        <v>3</v>
      </c>
      <c r="T293">
        <v>392.64349875646298</v>
      </c>
      <c r="U293">
        <v>1</v>
      </c>
      <c r="V293">
        <v>0.26626823081833978</v>
      </c>
      <c r="W293">
        <v>0.85</v>
      </c>
      <c r="X293">
        <v>0.2263279961955888</v>
      </c>
      <c r="Y293">
        <v>729</v>
      </c>
      <c r="Z293">
        <v>550.20062797366995</v>
      </c>
      <c r="AA293">
        <v>198</v>
      </c>
      <c r="AB293">
        <v>332</v>
      </c>
      <c r="AC293">
        <v>536</v>
      </c>
      <c r="AD293">
        <v>28.41</v>
      </c>
      <c r="AE293">
        <v>542</v>
      </c>
      <c r="AF293">
        <v>20</v>
      </c>
      <c r="AG293">
        <v>180</v>
      </c>
      <c r="AH293">
        <v>129</v>
      </c>
      <c r="AI293">
        <v>3.69</v>
      </c>
      <c r="AJ293">
        <v>33.21</v>
      </c>
      <c r="AK293">
        <v>23.8</v>
      </c>
      <c r="AL293">
        <v>-20.15946549999995</v>
      </c>
      <c r="AM293">
        <v>-44.89709959354267</v>
      </c>
      <c r="AN293">
        <v>-20.15946549999995</v>
      </c>
      <c r="AO293">
        <v>-44.89709959354267</v>
      </c>
      <c r="AP293">
        <v>-20.159427000000001</v>
      </c>
      <c r="AQ293">
        <v>-44.897143</v>
      </c>
      <c r="AR293">
        <v>6.2404649979039286</v>
      </c>
      <c r="AS293" t="s">
        <v>65</v>
      </c>
      <c r="AT293">
        <v>1</v>
      </c>
      <c r="AU293" t="s">
        <v>1422</v>
      </c>
      <c r="AV293" t="s">
        <v>1423</v>
      </c>
      <c r="AW293" t="s">
        <v>60</v>
      </c>
      <c r="AX293" t="s">
        <v>68</v>
      </c>
      <c r="AY293" t="s">
        <v>69</v>
      </c>
      <c r="AZ293" t="b">
        <v>1</v>
      </c>
    </row>
    <row r="294" spans="1:52" x14ac:dyDescent="0.3">
      <c r="A294" t="s">
        <v>52</v>
      </c>
      <c r="B294" t="s">
        <v>53</v>
      </c>
      <c r="C294" t="s">
        <v>54</v>
      </c>
      <c r="D294" t="s">
        <v>55</v>
      </c>
      <c r="E294" t="s">
        <v>56</v>
      </c>
      <c r="F294" t="s">
        <v>1247</v>
      </c>
      <c r="G294" t="s">
        <v>1424</v>
      </c>
      <c r="H294" t="s">
        <v>1425</v>
      </c>
      <c r="I294" t="s">
        <v>1425</v>
      </c>
      <c r="J294" t="s">
        <v>60</v>
      </c>
      <c r="K294" t="s">
        <v>1324</v>
      </c>
      <c r="L294" t="s">
        <v>62</v>
      </c>
      <c r="M294" t="s">
        <v>1324</v>
      </c>
      <c r="N294" t="s">
        <v>1426</v>
      </c>
      <c r="O294" t="s">
        <v>938</v>
      </c>
      <c r="P294">
        <v>-20.172844999999999</v>
      </c>
      <c r="Q294">
        <v>-44.909215000000003</v>
      </c>
      <c r="R294" s="2" t="str">
        <f>HYPERLINK("https://www.google.com/maps?q=-20.1728450,-44.9092150","Abrir no Google Maps")</f>
        <v>Abrir no Google Maps</v>
      </c>
      <c r="S294">
        <v>3</v>
      </c>
      <c r="T294">
        <v>0</v>
      </c>
      <c r="U294">
        <v>1</v>
      </c>
      <c r="V294">
        <v>0.2692944155092592</v>
      </c>
      <c r="W294">
        <v>0.85</v>
      </c>
      <c r="X294">
        <v>0.2289002531828703</v>
      </c>
      <c r="Y294">
        <v>578</v>
      </c>
      <c r="Z294">
        <v>365.56549317689053</v>
      </c>
      <c r="AA294">
        <v>198</v>
      </c>
      <c r="AB294">
        <v>332</v>
      </c>
      <c r="AC294">
        <v>536</v>
      </c>
      <c r="AD294">
        <v>28.41</v>
      </c>
      <c r="AE294">
        <v>542</v>
      </c>
      <c r="AF294">
        <v>20</v>
      </c>
      <c r="AG294">
        <v>180</v>
      </c>
      <c r="AH294">
        <v>129</v>
      </c>
      <c r="AI294">
        <v>3.69</v>
      </c>
      <c r="AJ294">
        <v>33.21</v>
      </c>
      <c r="AK294">
        <v>23.8</v>
      </c>
      <c r="AL294">
        <v>-20.172197349999941</v>
      </c>
      <c r="AM294">
        <v>-44.910438675762883</v>
      </c>
      <c r="AN294">
        <v>-20.172197349999941</v>
      </c>
      <c r="AO294">
        <v>-44.910438675762883</v>
      </c>
      <c r="AP294">
        <v>-20.172844999999999</v>
      </c>
      <c r="AQ294">
        <v>-44.909215000000003</v>
      </c>
      <c r="AR294">
        <v>146.78922919749749</v>
      </c>
      <c r="AS294" t="s">
        <v>65</v>
      </c>
      <c r="AT294">
        <v>1</v>
      </c>
      <c r="AU294" t="s">
        <v>1427</v>
      </c>
      <c r="AV294" t="s">
        <v>1428</v>
      </c>
      <c r="AW294" t="s">
        <v>60</v>
      </c>
      <c r="AX294" t="s">
        <v>68</v>
      </c>
      <c r="AY294" t="s">
        <v>69</v>
      </c>
      <c r="AZ294" t="b">
        <v>1</v>
      </c>
    </row>
    <row r="295" spans="1:52" x14ac:dyDescent="0.3">
      <c r="A295" t="s">
        <v>52</v>
      </c>
      <c r="B295" t="s">
        <v>53</v>
      </c>
      <c r="C295" t="s">
        <v>54</v>
      </c>
      <c r="D295" t="s">
        <v>55</v>
      </c>
      <c r="E295" t="s">
        <v>56</v>
      </c>
      <c r="F295" t="s">
        <v>1247</v>
      </c>
      <c r="G295" t="s">
        <v>1429</v>
      </c>
      <c r="H295" t="s">
        <v>1430</v>
      </c>
      <c r="I295" t="s">
        <v>1430</v>
      </c>
      <c r="J295" t="s">
        <v>60</v>
      </c>
      <c r="K295" t="s">
        <v>505</v>
      </c>
      <c r="L295" t="s">
        <v>62</v>
      </c>
      <c r="M295" t="s">
        <v>505</v>
      </c>
      <c r="N295" t="s">
        <v>1431</v>
      </c>
      <c r="O295" t="s">
        <v>1432</v>
      </c>
      <c r="P295">
        <v>-20.132069000000001</v>
      </c>
      <c r="Q295">
        <v>-44.891694000000001</v>
      </c>
      <c r="R295" s="2" t="str">
        <f>HYPERLINK("https://www.google.com/maps?q=-20.1320690,-44.8916940","Abrir no Google Maps")</f>
        <v>Abrir no Google Maps</v>
      </c>
      <c r="S295">
        <v>3</v>
      </c>
      <c r="T295">
        <v>463.84477613866852</v>
      </c>
      <c r="U295">
        <v>1</v>
      </c>
      <c r="V295">
        <v>0.27208592891163669</v>
      </c>
      <c r="W295">
        <v>0.85</v>
      </c>
      <c r="X295">
        <v>0.2312730395748912</v>
      </c>
      <c r="Y295">
        <v>564</v>
      </c>
      <c r="Z295">
        <v>349.6044774510159</v>
      </c>
      <c r="AA295">
        <v>198</v>
      </c>
      <c r="AB295">
        <v>332</v>
      </c>
      <c r="AC295">
        <v>536</v>
      </c>
      <c r="AD295">
        <v>28.41</v>
      </c>
      <c r="AE295">
        <v>542</v>
      </c>
      <c r="AF295">
        <v>20</v>
      </c>
      <c r="AG295">
        <v>180</v>
      </c>
      <c r="AH295">
        <v>129</v>
      </c>
      <c r="AI295">
        <v>3.69</v>
      </c>
      <c r="AJ295">
        <v>33.21</v>
      </c>
      <c r="AK295">
        <v>23.8</v>
      </c>
      <c r="AL295">
        <v>-20.131860799999941</v>
      </c>
      <c r="AM295">
        <v>-44.891643045551348</v>
      </c>
      <c r="AN295">
        <v>-20.131860799999941</v>
      </c>
      <c r="AO295">
        <v>-44.891643045551348</v>
      </c>
      <c r="AP295">
        <v>-20.132069000000001</v>
      </c>
      <c r="AQ295">
        <v>-44.891694000000001</v>
      </c>
      <c r="AR295">
        <v>23.780836080569209</v>
      </c>
      <c r="AS295" t="s">
        <v>65</v>
      </c>
      <c r="AT295">
        <v>1</v>
      </c>
      <c r="AU295" t="s">
        <v>1433</v>
      </c>
      <c r="AV295" t="s">
        <v>1434</v>
      </c>
      <c r="AW295" t="s">
        <v>60</v>
      </c>
      <c r="AX295" t="s">
        <v>68</v>
      </c>
      <c r="AY295" t="s">
        <v>69</v>
      </c>
      <c r="AZ295" t="b">
        <v>1</v>
      </c>
    </row>
    <row r="296" spans="1:52" x14ac:dyDescent="0.3">
      <c r="A296" t="s">
        <v>52</v>
      </c>
      <c r="B296" t="s">
        <v>53</v>
      </c>
      <c r="C296" t="s">
        <v>54</v>
      </c>
      <c r="D296" t="s">
        <v>55</v>
      </c>
      <c r="E296" t="s">
        <v>56</v>
      </c>
      <c r="F296" t="s">
        <v>1247</v>
      </c>
      <c r="G296" t="s">
        <v>1435</v>
      </c>
      <c r="H296" t="s">
        <v>1436</v>
      </c>
      <c r="I296" t="s">
        <v>1436</v>
      </c>
      <c r="J296" t="s">
        <v>60</v>
      </c>
      <c r="K296" t="s">
        <v>886</v>
      </c>
      <c r="L296" t="s">
        <v>62</v>
      </c>
      <c r="M296" t="s">
        <v>886</v>
      </c>
      <c r="N296" t="s">
        <v>1437</v>
      </c>
      <c r="O296" t="s">
        <v>1438</v>
      </c>
      <c r="P296">
        <v>-20.131108000000001</v>
      </c>
      <c r="Q296">
        <v>-44.893228000000001</v>
      </c>
      <c r="R296" s="2" t="str">
        <f>HYPERLINK("https://www.google.com/maps?q=-20.1311080,-44.8932280","Abrir no Google Maps")</f>
        <v>Abrir no Google Maps</v>
      </c>
      <c r="S296">
        <v>3</v>
      </c>
      <c r="T296">
        <v>548.07497919430136</v>
      </c>
      <c r="U296">
        <v>1</v>
      </c>
      <c r="V296">
        <v>0.25573160676322509</v>
      </c>
      <c r="W296">
        <v>0.85</v>
      </c>
      <c r="X296">
        <v>0.21737186574874129</v>
      </c>
      <c r="Y296">
        <v>564</v>
      </c>
      <c r="Z296">
        <v>369.17139216388432</v>
      </c>
      <c r="AA296">
        <v>198</v>
      </c>
      <c r="AB296">
        <v>332</v>
      </c>
      <c r="AC296">
        <v>536</v>
      </c>
      <c r="AD296">
        <v>28.41</v>
      </c>
      <c r="AE296">
        <v>542</v>
      </c>
      <c r="AF296">
        <v>20</v>
      </c>
      <c r="AG296">
        <v>180</v>
      </c>
      <c r="AH296">
        <v>129</v>
      </c>
      <c r="AI296">
        <v>3.69</v>
      </c>
      <c r="AJ296">
        <v>33.21</v>
      </c>
      <c r="AK296">
        <v>23.8</v>
      </c>
      <c r="AL296">
        <v>-20.13103294999997</v>
      </c>
      <c r="AM296">
        <v>-44.89318457893738</v>
      </c>
      <c r="AN296">
        <v>-20.13103294999997</v>
      </c>
      <c r="AO296">
        <v>-44.89318457893738</v>
      </c>
      <c r="AP296">
        <v>-20.131108000000001</v>
      </c>
      <c r="AQ296">
        <v>-44.893228000000001</v>
      </c>
      <c r="AR296">
        <v>9.5076426885244203</v>
      </c>
      <c r="AS296" t="s">
        <v>65</v>
      </c>
      <c r="AT296">
        <v>1</v>
      </c>
      <c r="AU296" t="s">
        <v>1439</v>
      </c>
      <c r="AV296" t="s">
        <v>1440</v>
      </c>
      <c r="AW296" t="s">
        <v>60</v>
      </c>
      <c r="AX296" t="s">
        <v>68</v>
      </c>
      <c r="AY296" t="s">
        <v>69</v>
      </c>
      <c r="AZ296" t="b">
        <v>1</v>
      </c>
    </row>
    <row r="297" spans="1:52" x14ac:dyDescent="0.3">
      <c r="A297" t="s">
        <v>52</v>
      </c>
      <c r="B297" t="s">
        <v>53</v>
      </c>
      <c r="C297" t="s">
        <v>54</v>
      </c>
      <c r="D297" t="s">
        <v>55</v>
      </c>
      <c r="E297" t="s">
        <v>56</v>
      </c>
      <c r="F297" t="s">
        <v>1247</v>
      </c>
      <c r="G297" t="s">
        <v>503</v>
      </c>
      <c r="H297" t="s">
        <v>1441</v>
      </c>
      <c r="I297" t="s">
        <v>1441</v>
      </c>
      <c r="J297" t="s">
        <v>60</v>
      </c>
      <c r="K297" t="s">
        <v>512</v>
      </c>
      <c r="L297" t="s">
        <v>62</v>
      </c>
      <c r="M297" t="s">
        <v>512</v>
      </c>
      <c r="N297" t="s">
        <v>506</v>
      </c>
      <c r="O297" t="s">
        <v>1442</v>
      </c>
      <c r="P297">
        <v>-20.13036</v>
      </c>
      <c r="Q297">
        <v>-44.891019</v>
      </c>
      <c r="R297" s="2" t="str">
        <f>HYPERLINK("https://www.google.com/maps?q=-20.1303600,-44.8910190","Abrir no Google Maps")</f>
        <v>Abrir no Google Maps</v>
      </c>
      <c r="S297">
        <v>3</v>
      </c>
      <c r="T297">
        <v>313.17410616307359</v>
      </c>
      <c r="U297">
        <v>1</v>
      </c>
      <c r="V297">
        <v>0.27531851419759867</v>
      </c>
      <c r="W297">
        <v>0.85</v>
      </c>
      <c r="X297">
        <v>0.23402073706795889</v>
      </c>
      <c r="Y297">
        <v>564</v>
      </c>
      <c r="Z297">
        <v>208.43159293494489</v>
      </c>
      <c r="AA297">
        <v>198</v>
      </c>
      <c r="AB297">
        <v>332</v>
      </c>
      <c r="AC297">
        <v>536</v>
      </c>
      <c r="AD297">
        <v>28.41</v>
      </c>
      <c r="AE297">
        <v>542</v>
      </c>
      <c r="AF297">
        <v>20</v>
      </c>
      <c r="AG297">
        <v>180</v>
      </c>
      <c r="AH297">
        <v>129</v>
      </c>
      <c r="AI297">
        <v>3.69</v>
      </c>
      <c r="AJ297">
        <v>33.21</v>
      </c>
      <c r="AK297">
        <v>23.8</v>
      </c>
      <c r="AL297">
        <v>-20.130100449999961</v>
      </c>
      <c r="AM297">
        <v>-44.891163633475301</v>
      </c>
      <c r="AN297">
        <v>-20.130100449999961</v>
      </c>
      <c r="AO297">
        <v>-44.891163633475301</v>
      </c>
      <c r="AP297">
        <v>-20.13036</v>
      </c>
      <c r="AQ297">
        <v>-44.891019</v>
      </c>
      <c r="AR297">
        <v>32.608854575381159</v>
      </c>
      <c r="AS297" t="s">
        <v>65</v>
      </c>
      <c r="AT297">
        <v>1</v>
      </c>
      <c r="AU297" t="s">
        <v>1443</v>
      </c>
      <c r="AV297" t="s">
        <v>1444</v>
      </c>
      <c r="AW297" t="s">
        <v>60</v>
      </c>
      <c r="AX297" t="s">
        <v>68</v>
      </c>
      <c r="AY297" t="s">
        <v>69</v>
      </c>
      <c r="AZ297" t="b">
        <v>1</v>
      </c>
    </row>
    <row r="298" spans="1:52" x14ac:dyDescent="0.3">
      <c r="A298" t="s">
        <v>52</v>
      </c>
      <c r="B298" t="s">
        <v>53</v>
      </c>
      <c r="C298" t="s">
        <v>54</v>
      </c>
      <c r="D298" t="s">
        <v>55</v>
      </c>
      <c r="E298" t="s">
        <v>56</v>
      </c>
      <c r="F298" t="s">
        <v>1247</v>
      </c>
      <c r="G298" t="s">
        <v>473</v>
      </c>
      <c r="H298" t="s">
        <v>1445</v>
      </c>
      <c r="I298" t="s">
        <v>1445</v>
      </c>
      <c r="J298" t="s">
        <v>60</v>
      </c>
      <c r="K298" t="s">
        <v>892</v>
      </c>
      <c r="L298" t="s">
        <v>62</v>
      </c>
      <c r="M298" t="s">
        <v>892</v>
      </c>
      <c r="N298" t="s">
        <v>406</v>
      </c>
      <c r="O298" t="s">
        <v>1446</v>
      </c>
      <c r="P298">
        <v>-20.14941</v>
      </c>
      <c r="Q298">
        <v>-44.899535</v>
      </c>
      <c r="R298" s="2" t="str">
        <f>HYPERLINK("https://www.google.com/maps?q=-20.1494100,-44.8995350","Abrir no Google Maps")</f>
        <v>Abrir no Google Maps</v>
      </c>
      <c r="S298">
        <v>3</v>
      </c>
      <c r="T298">
        <v>249.83945591849931</v>
      </c>
      <c r="U298">
        <v>1</v>
      </c>
      <c r="V298">
        <v>0.2723346400163193</v>
      </c>
      <c r="W298">
        <v>0.85</v>
      </c>
      <c r="X298">
        <v>0.23148444401387139</v>
      </c>
      <c r="Y298">
        <v>556</v>
      </c>
      <c r="Z298">
        <v>156.62360082488701</v>
      </c>
      <c r="AA298">
        <v>198</v>
      </c>
      <c r="AB298">
        <v>332</v>
      </c>
      <c r="AC298">
        <v>536</v>
      </c>
      <c r="AD298">
        <v>28.41</v>
      </c>
      <c r="AE298">
        <v>542</v>
      </c>
      <c r="AF298">
        <v>20</v>
      </c>
      <c r="AG298">
        <v>180</v>
      </c>
      <c r="AH298">
        <v>129</v>
      </c>
      <c r="AI298">
        <v>3.69</v>
      </c>
      <c r="AJ298">
        <v>33.21</v>
      </c>
      <c r="AK298">
        <v>23.8</v>
      </c>
      <c r="AL298">
        <v>-20.149341899999939</v>
      </c>
      <c r="AM298">
        <v>-44.899575902083967</v>
      </c>
      <c r="AN298">
        <v>-20.149341899999939</v>
      </c>
      <c r="AO298">
        <v>-44.899575902083967</v>
      </c>
      <c r="AP298">
        <v>-20.14941</v>
      </c>
      <c r="AQ298">
        <v>-44.899535</v>
      </c>
      <c r="AR298">
        <v>8.7029725999778709</v>
      </c>
      <c r="AS298" t="s">
        <v>65</v>
      </c>
      <c r="AT298">
        <v>1</v>
      </c>
      <c r="AU298" t="s">
        <v>1447</v>
      </c>
      <c r="AV298" t="s">
        <v>1448</v>
      </c>
      <c r="AW298" t="s">
        <v>60</v>
      </c>
      <c r="AX298" t="s">
        <v>68</v>
      </c>
      <c r="AY298" t="s">
        <v>69</v>
      </c>
      <c r="AZ298" t="b">
        <v>1</v>
      </c>
    </row>
    <row r="299" spans="1:52" x14ac:dyDescent="0.3">
      <c r="A299" t="s">
        <v>52</v>
      </c>
      <c r="B299" t="s">
        <v>53</v>
      </c>
      <c r="C299" t="s">
        <v>54</v>
      </c>
      <c r="D299" t="s">
        <v>55</v>
      </c>
      <c r="E299" t="s">
        <v>56</v>
      </c>
      <c r="F299" t="s">
        <v>1247</v>
      </c>
      <c r="G299" t="s">
        <v>1127</v>
      </c>
      <c r="H299" t="s">
        <v>1449</v>
      </c>
      <c r="I299" t="s">
        <v>1449</v>
      </c>
      <c r="J299" t="s">
        <v>60</v>
      </c>
      <c r="K299" t="s">
        <v>1450</v>
      </c>
      <c r="L299" t="s">
        <v>62</v>
      </c>
      <c r="M299" t="s">
        <v>1450</v>
      </c>
      <c r="N299" t="s">
        <v>1451</v>
      </c>
      <c r="O299" t="s">
        <v>1452</v>
      </c>
      <c r="P299">
        <v>-20.152612000000001</v>
      </c>
      <c r="Q299">
        <v>-44.897098</v>
      </c>
      <c r="R299" s="2" t="str">
        <f>HYPERLINK("https://www.google.com/maps?q=-20.1526120,-44.8970980","Abrir no Google Maps")</f>
        <v>Abrir no Google Maps</v>
      </c>
      <c r="S299">
        <v>3</v>
      </c>
      <c r="T299">
        <v>418.6283592063233</v>
      </c>
      <c r="U299">
        <v>1</v>
      </c>
      <c r="V299">
        <v>0.27281736548694241</v>
      </c>
      <c r="W299">
        <v>0.85</v>
      </c>
      <c r="X299">
        <v>0.23189476066390111</v>
      </c>
      <c r="Y299">
        <v>556</v>
      </c>
      <c r="Z299">
        <v>387.16462225830952</v>
      </c>
      <c r="AA299">
        <v>198</v>
      </c>
      <c r="AB299">
        <v>332</v>
      </c>
      <c r="AC299">
        <v>536</v>
      </c>
      <c r="AD299">
        <v>28.41</v>
      </c>
      <c r="AE299">
        <v>542</v>
      </c>
      <c r="AF299">
        <v>20</v>
      </c>
      <c r="AG299">
        <v>180</v>
      </c>
      <c r="AH299">
        <v>129</v>
      </c>
      <c r="AI299">
        <v>3.69</v>
      </c>
      <c r="AJ299">
        <v>33.21</v>
      </c>
      <c r="AK299">
        <v>23.8</v>
      </c>
      <c r="AL299">
        <v>-20.15253669999996</v>
      </c>
      <c r="AM299">
        <v>-44.897068126936119</v>
      </c>
      <c r="AN299">
        <v>-20.15253669999996</v>
      </c>
      <c r="AO299">
        <v>-44.897068126936119</v>
      </c>
      <c r="AP299">
        <v>-20.152612000000001</v>
      </c>
      <c r="AQ299">
        <v>-44.897098</v>
      </c>
      <c r="AR299">
        <v>8.9448699164987104</v>
      </c>
      <c r="AS299" t="s">
        <v>65</v>
      </c>
      <c r="AT299">
        <v>1</v>
      </c>
      <c r="AU299" t="s">
        <v>1453</v>
      </c>
      <c r="AV299" t="s">
        <v>1454</v>
      </c>
      <c r="AW299" t="s">
        <v>60</v>
      </c>
      <c r="AX299" t="s">
        <v>68</v>
      </c>
      <c r="AY299" t="s">
        <v>69</v>
      </c>
      <c r="AZ299" t="b">
        <v>1</v>
      </c>
    </row>
    <row r="300" spans="1:52" x14ac:dyDescent="0.3">
      <c r="A300" t="s">
        <v>52</v>
      </c>
      <c r="B300" t="s">
        <v>53</v>
      </c>
      <c r="C300" t="s">
        <v>54</v>
      </c>
      <c r="D300" t="s">
        <v>55</v>
      </c>
      <c r="E300" t="s">
        <v>56</v>
      </c>
      <c r="F300" t="s">
        <v>1247</v>
      </c>
      <c r="G300" t="s">
        <v>1127</v>
      </c>
      <c r="H300" t="s">
        <v>1455</v>
      </c>
      <c r="I300" t="s">
        <v>1455</v>
      </c>
      <c r="J300" t="s">
        <v>60</v>
      </c>
      <c r="K300" t="s">
        <v>431</v>
      </c>
      <c r="L300" t="s">
        <v>62</v>
      </c>
      <c r="M300" t="s">
        <v>431</v>
      </c>
      <c r="N300" t="s">
        <v>1456</v>
      </c>
      <c r="O300" t="s">
        <v>1001</v>
      </c>
      <c r="P300">
        <v>-20.168237999999999</v>
      </c>
      <c r="Q300">
        <v>-44.924250999999998</v>
      </c>
      <c r="R300" s="2" t="str">
        <f>HYPERLINK("https://www.google.com/maps?q=-20.1682380,-44.9242510","Abrir no Google Maps")</f>
        <v>Abrir no Google Maps</v>
      </c>
      <c r="S300">
        <v>2</v>
      </c>
      <c r="T300">
        <v>1220.188820430971</v>
      </c>
      <c r="U300">
        <v>4</v>
      </c>
      <c r="V300">
        <v>0.38475853276275379</v>
      </c>
      <c r="W300">
        <v>0.85</v>
      </c>
      <c r="X300">
        <v>0.32704475284834073</v>
      </c>
      <c r="Y300">
        <v>723</v>
      </c>
      <c r="Z300">
        <v>1092.4377883150901</v>
      </c>
      <c r="AA300">
        <v>198</v>
      </c>
      <c r="AB300">
        <v>332</v>
      </c>
      <c r="AC300">
        <v>536</v>
      </c>
      <c r="AD300">
        <v>28.41</v>
      </c>
      <c r="AE300">
        <v>542</v>
      </c>
      <c r="AF300">
        <v>20</v>
      </c>
      <c r="AG300">
        <v>180</v>
      </c>
      <c r="AH300">
        <v>129</v>
      </c>
      <c r="AI300">
        <v>3.69</v>
      </c>
      <c r="AJ300">
        <v>33.21</v>
      </c>
      <c r="AK300">
        <v>23.8</v>
      </c>
      <c r="AL300">
        <v>-20.168394999999951</v>
      </c>
      <c r="AM300">
        <v>-44.923548168580673</v>
      </c>
      <c r="AN300">
        <v>-20.168394999999951</v>
      </c>
      <c r="AO300">
        <v>-44.923548168580673</v>
      </c>
      <c r="AP300">
        <v>-20.168237999999999</v>
      </c>
      <c r="AQ300">
        <v>-44.924250999999998</v>
      </c>
      <c r="AR300">
        <v>75.492755104934275</v>
      </c>
      <c r="AS300" t="s">
        <v>65</v>
      </c>
      <c r="AT300">
        <v>1</v>
      </c>
      <c r="AU300" t="s">
        <v>1457</v>
      </c>
      <c r="AV300" t="s">
        <v>1458</v>
      </c>
      <c r="AW300" t="s">
        <v>60</v>
      </c>
      <c r="AX300" t="s">
        <v>68</v>
      </c>
      <c r="AY300" t="s">
        <v>69</v>
      </c>
      <c r="AZ300" t="b">
        <v>1</v>
      </c>
    </row>
    <row r="301" spans="1:52" x14ac:dyDescent="0.3">
      <c r="A301" t="s">
        <v>52</v>
      </c>
      <c r="B301" t="s">
        <v>53</v>
      </c>
      <c r="C301" t="s">
        <v>54</v>
      </c>
      <c r="D301" t="s">
        <v>55</v>
      </c>
      <c r="E301" t="s">
        <v>56</v>
      </c>
      <c r="F301" t="s">
        <v>1247</v>
      </c>
      <c r="G301" t="s">
        <v>1459</v>
      </c>
      <c r="H301" t="s">
        <v>1460</v>
      </c>
      <c r="I301" t="s">
        <v>1460</v>
      </c>
      <c r="J301" t="s">
        <v>60</v>
      </c>
      <c r="K301" t="s">
        <v>431</v>
      </c>
      <c r="L301" t="s">
        <v>62</v>
      </c>
      <c r="M301" t="s">
        <v>431</v>
      </c>
      <c r="N301" t="s">
        <v>1461</v>
      </c>
      <c r="O301" t="s">
        <v>1462</v>
      </c>
      <c r="P301">
        <v>-20.170182</v>
      </c>
      <c r="Q301">
        <v>-44.922556999999998</v>
      </c>
      <c r="R301" s="2" t="str">
        <f>HYPERLINK("https://www.google.com/maps?q=-20.1701820,-44.9225570","Abrir no Google Maps")</f>
        <v>Abrir no Google Maps</v>
      </c>
      <c r="S301">
        <v>2</v>
      </c>
      <c r="T301">
        <v>1189.3885679843149</v>
      </c>
      <c r="U301">
        <v>4</v>
      </c>
      <c r="V301">
        <v>0.36853493707210477</v>
      </c>
      <c r="W301">
        <v>0.85</v>
      </c>
      <c r="X301">
        <v>0.31325469651128912</v>
      </c>
      <c r="Y301">
        <v>723</v>
      </c>
      <c r="Z301">
        <v>961.89164604479117</v>
      </c>
      <c r="AA301">
        <v>198</v>
      </c>
      <c r="AB301">
        <v>332</v>
      </c>
      <c r="AC301">
        <v>536</v>
      </c>
      <c r="AD301">
        <v>28.41</v>
      </c>
      <c r="AE301">
        <v>542</v>
      </c>
      <c r="AF301">
        <v>20</v>
      </c>
      <c r="AG301">
        <v>180</v>
      </c>
      <c r="AH301">
        <v>129</v>
      </c>
      <c r="AI301">
        <v>3.69</v>
      </c>
      <c r="AJ301">
        <v>33.21</v>
      </c>
      <c r="AK301">
        <v>23.8</v>
      </c>
      <c r="AL301">
        <v>-20.169385449999961</v>
      </c>
      <c r="AM301">
        <v>-44.922107101898007</v>
      </c>
      <c r="AN301">
        <v>-20.169385449999961</v>
      </c>
      <c r="AO301">
        <v>-44.922107101898007</v>
      </c>
      <c r="AP301">
        <v>-20.170182</v>
      </c>
      <c r="AQ301">
        <v>-44.922556999999998</v>
      </c>
      <c r="AR301">
        <v>100.36329580049031</v>
      </c>
      <c r="AS301" t="s">
        <v>65</v>
      </c>
      <c r="AT301">
        <v>1</v>
      </c>
      <c r="AU301" t="s">
        <v>1463</v>
      </c>
      <c r="AV301" t="s">
        <v>1458</v>
      </c>
      <c r="AW301" t="s">
        <v>60</v>
      </c>
      <c r="AX301" t="s">
        <v>68</v>
      </c>
      <c r="AY301" t="s">
        <v>69</v>
      </c>
      <c r="AZ301" t="b">
        <v>1</v>
      </c>
    </row>
    <row r="302" spans="1:52" x14ac:dyDescent="0.3">
      <c r="A302" t="s">
        <v>52</v>
      </c>
      <c r="B302" t="s">
        <v>53</v>
      </c>
      <c r="C302" t="s">
        <v>54</v>
      </c>
      <c r="D302" t="s">
        <v>55</v>
      </c>
      <c r="E302" t="s">
        <v>56</v>
      </c>
      <c r="F302" t="s">
        <v>1247</v>
      </c>
      <c r="G302" t="s">
        <v>1464</v>
      </c>
      <c r="H302" t="s">
        <v>1465</v>
      </c>
      <c r="I302" t="s">
        <v>1465</v>
      </c>
      <c r="J302" t="s">
        <v>60</v>
      </c>
      <c r="K302" t="s">
        <v>1466</v>
      </c>
      <c r="L302" t="s">
        <v>62</v>
      </c>
      <c r="M302" t="s">
        <v>1466</v>
      </c>
      <c r="N302" t="s">
        <v>1467</v>
      </c>
      <c r="O302" t="s">
        <v>145</v>
      </c>
      <c r="P302">
        <v>-20.160509999999999</v>
      </c>
      <c r="Q302">
        <v>-44.884123000000002</v>
      </c>
      <c r="R302" s="2" t="str">
        <f>HYPERLINK("https://www.google.com/maps?q=-20.1605100,-44.8841230","Abrir no Google Maps")</f>
        <v>Abrir no Google Maps</v>
      </c>
      <c r="S302">
        <v>2</v>
      </c>
      <c r="T302">
        <v>650.04961276595373</v>
      </c>
      <c r="U302">
        <v>4</v>
      </c>
      <c r="V302">
        <v>0.29966311963073727</v>
      </c>
      <c r="W302">
        <v>1</v>
      </c>
      <c r="X302">
        <v>0.29966311963073727</v>
      </c>
      <c r="Y302">
        <v>671</v>
      </c>
      <c r="Z302">
        <v>591.49066685698506</v>
      </c>
      <c r="AA302">
        <v>198</v>
      </c>
      <c r="AB302">
        <v>332</v>
      </c>
      <c r="AC302">
        <v>536</v>
      </c>
      <c r="AD302">
        <v>28.41</v>
      </c>
      <c r="AE302">
        <v>542</v>
      </c>
      <c r="AF302">
        <v>20</v>
      </c>
      <c r="AG302">
        <v>180</v>
      </c>
      <c r="AH302">
        <v>129</v>
      </c>
      <c r="AI302">
        <v>3.69</v>
      </c>
      <c r="AJ302">
        <v>33.21</v>
      </c>
      <c r="AK302">
        <v>23.8</v>
      </c>
      <c r="AL302">
        <v>-20.16056479999995</v>
      </c>
      <c r="AM302">
        <v>-44.88424978393428</v>
      </c>
      <c r="AN302">
        <v>-20.160564799999939</v>
      </c>
      <c r="AO302">
        <v>-44.88424978393428</v>
      </c>
      <c r="AP302">
        <v>-20.160509999999999</v>
      </c>
      <c r="AQ302">
        <v>-44.884123000000002</v>
      </c>
      <c r="AR302">
        <v>14.585823463739541</v>
      </c>
      <c r="AS302" t="s">
        <v>65</v>
      </c>
      <c r="AT302">
        <v>1</v>
      </c>
      <c r="AU302" t="s">
        <v>1468</v>
      </c>
      <c r="AV302" t="s">
        <v>1469</v>
      </c>
      <c r="AW302" t="s">
        <v>60</v>
      </c>
      <c r="AX302" t="s">
        <v>68</v>
      </c>
      <c r="AY302" t="s">
        <v>69</v>
      </c>
      <c r="AZ302" t="b">
        <v>1</v>
      </c>
    </row>
    <row r="303" spans="1:52" x14ac:dyDescent="0.3">
      <c r="A303" t="s">
        <v>52</v>
      </c>
      <c r="B303" t="s">
        <v>53</v>
      </c>
      <c r="C303" t="s">
        <v>54</v>
      </c>
      <c r="D303" t="s">
        <v>55</v>
      </c>
      <c r="E303" t="s">
        <v>56</v>
      </c>
      <c r="F303" t="s">
        <v>1247</v>
      </c>
      <c r="G303" t="s">
        <v>1333</v>
      </c>
      <c r="H303" t="s">
        <v>1470</v>
      </c>
      <c r="I303" t="s">
        <v>1470</v>
      </c>
      <c r="J303" t="s">
        <v>60</v>
      </c>
      <c r="K303" t="s">
        <v>437</v>
      </c>
      <c r="L303" t="s">
        <v>62</v>
      </c>
      <c r="M303" t="s">
        <v>437</v>
      </c>
      <c r="N303" t="s">
        <v>1335</v>
      </c>
      <c r="O303" t="s">
        <v>900</v>
      </c>
      <c r="P303">
        <v>-20.147047000000001</v>
      </c>
      <c r="Q303">
        <v>-44.883921999999998</v>
      </c>
      <c r="R303" s="2" t="str">
        <f>HYPERLINK("https://www.google.com/maps?q=-20.1470470,-44.8839220","Abrir no Google Maps")</f>
        <v>Abrir no Google Maps</v>
      </c>
      <c r="S303">
        <v>2</v>
      </c>
      <c r="T303">
        <v>296.4098018832658</v>
      </c>
      <c r="U303">
        <v>4</v>
      </c>
      <c r="V303">
        <v>0.31879238764271017</v>
      </c>
      <c r="W303">
        <v>1</v>
      </c>
      <c r="X303">
        <v>0.31879238764271017</v>
      </c>
      <c r="Y303">
        <v>653</v>
      </c>
      <c r="Z303">
        <v>299.72271006042178</v>
      </c>
      <c r="AA303">
        <v>198</v>
      </c>
      <c r="AB303">
        <v>332</v>
      </c>
      <c r="AC303">
        <v>536</v>
      </c>
      <c r="AD303">
        <v>28.41</v>
      </c>
      <c r="AE303">
        <v>542</v>
      </c>
      <c r="AF303">
        <v>20</v>
      </c>
      <c r="AG303">
        <v>180</v>
      </c>
      <c r="AH303">
        <v>129</v>
      </c>
      <c r="AI303">
        <v>3.69</v>
      </c>
      <c r="AJ303">
        <v>33.21</v>
      </c>
      <c r="AK303">
        <v>23.8</v>
      </c>
      <c r="AL303">
        <v>-20.147074949999929</v>
      </c>
      <c r="AM303">
        <v>-44.883796511502347</v>
      </c>
      <c r="AN303">
        <v>-20.147074949999929</v>
      </c>
      <c r="AO303">
        <v>-44.883796511502347</v>
      </c>
      <c r="AP303">
        <v>-20.147047000000001</v>
      </c>
      <c r="AQ303">
        <v>-44.883921999999998</v>
      </c>
      <c r="AR303">
        <v>13.47864632994</v>
      </c>
      <c r="AS303" t="s">
        <v>65</v>
      </c>
      <c r="AT303">
        <v>1</v>
      </c>
      <c r="AU303" t="s">
        <v>1471</v>
      </c>
      <c r="AV303" t="s">
        <v>1472</v>
      </c>
      <c r="AW303" t="s">
        <v>60</v>
      </c>
      <c r="AX303" t="s">
        <v>68</v>
      </c>
      <c r="AY303" t="s">
        <v>69</v>
      </c>
      <c r="AZ303" t="b">
        <v>1</v>
      </c>
    </row>
    <row r="304" spans="1:52" x14ac:dyDescent="0.3">
      <c r="A304" t="s">
        <v>52</v>
      </c>
      <c r="B304" t="s">
        <v>53</v>
      </c>
      <c r="C304" t="s">
        <v>54</v>
      </c>
      <c r="D304" t="s">
        <v>55</v>
      </c>
      <c r="E304" t="s">
        <v>56</v>
      </c>
      <c r="F304" t="s">
        <v>1247</v>
      </c>
      <c r="G304" t="s">
        <v>1473</v>
      </c>
      <c r="H304" t="s">
        <v>1474</v>
      </c>
      <c r="I304" t="s">
        <v>1474</v>
      </c>
      <c r="J304" t="s">
        <v>60</v>
      </c>
      <c r="K304" t="s">
        <v>1302</v>
      </c>
      <c r="L304" t="s">
        <v>62</v>
      </c>
      <c r="M304" t="s">
        <v>1302</v>
      </c>
      <c r="N304" t="s">
        <v>1475</v>
      </c>
      <c r="O304" t="s">
        <v>1476</v>
      </c>
      <c r="P304">
        <v>-20.161372</v>
      </c>
      <c r="Q304">
        <v>-44.914636999999999</v>
      </c>
      <c r="R304" s="2" t="str">
        <f>HYPERLINK("https://www.google.com/maps?q=-20.1613720,-44.9146370","Abrir no Google Maps")</f>
        <v>Abrir no Google Maps</v>
      </c>
      <c r="S304">
        <v>2</v>
      </c>
      <c r="T304">
        <v>0</v>
      </c>
      <c r="U304">
        <v>4</v>
      </c>
      <c r="V304">
        <v>0.32090961336741508</v>
      </c>
      <c r="W304">
        <v>1</v>
      </c>
      <c r="X304">
        <v>0.32090961336741508</v>
      </c>
      <c r="Y304">
        <v>639</v>
      </c>
      <c r="Z304">
        <v>81.742669907651447</v>
      </c>
      <c r="AA304">
        <v>198</v>
      </c>
      <c r="AB304">
        <v>332</v>
      </c>
      <c r="AC304">
        <v>536</v>
      </c>
      <c r="AD304">
        <v>28.41</v>
      </c>
      <c r="AE304">
        <v>542</v>
      </c>
      <c r="AF304">
        <v>20</v>
      </c>
      <c r="AG304">
        <v>180</v>
      </c>
      <c r="AH304">
        <v>129</v>
      </c>
      <c r="AI304">
        <v>3.69</v>
      </c>
      <c r="AJ304">
        <v>33.21</v>
      </c>
      <c r="AK304">
        <v>23.8</v>
      </c>
      <c r="AL304">
        <v>-20.161294499999961</v>
      </c>
      <c r="AM304">
        <v>-44.914614684493202</v>
      </c>
      <c r="AN304">
        <v>-20.161294499999961</v>
      </c>
      <c r="AO304">
        <v>-44.914614684493202</v>
      </c>
      <c r="AP304">
        <v>-20.161372</v>
      </c>
      <c r="AQ304">
        <v>-44.914636999999999</v>
      </c>
      <c r="AR304">
        <v>8.9369058443944862</v>
      </c>
      <c r="AS304" t="s">
        <v>65</v>
      </c>
      <c r="AT304">
        <v>1</v>
      </c>
      <c r="AU304" t="s">
        <v>1477</v>
      </c>
      <c r="AV304" t="s">
        <v>1478</v>
      </c>
      <c r="AW304" t="s">
        <v>60</v>
      </c>
      <c r="AX304" t="s">
        <v>68</v>
      </c>
      <c r="AY304" t="s">
        <v>69</v>
      </c>
      <c r="AZ304" t="b">
        <v>1</v>
      </c>
    </row>
    <row r="305" spans="1:52" x14ac:dyDescent="0.3">
      <c r="A305" t="s">
        <v>52</v>
      </c>
      <c r="B305" t="s">
        <v>53</v>
      </c>
      <c r="C305" t="s">
        <v>54</v>
      </c>
      <c r="D305" t="s">
        <v>55</v>
      </c>
      <c r="E305" t="s">
        <v>56</v>
      </c>
      <c r="F305" t="s">
        <v>1247</v>
      </c>
      <c r="G305" t="s">
        <v>1479</v>
      </c>
      <c r="H305" t="s">
        <v>1480</v>
      </c>
      <c r="I305" t="s">
        <v>1480</v>
      </c>
      <c r="J305" t="s">
        <v>60</v>
      </c>
      <c r="K305" t="s">
        <v>1302</v>
      </c>
      <c r="L305" t="s">
        <v>62</v>
      </c>
      <c r="M305" t="s">
        <v>1302</v>
      </c>
      <c r="N305" t="s">
        <v>1481</v>
      </c>
      <c r="O305" t="s">
        <v>1482</v>
      </c>
      <c r="P305">
        <v>-20.164655</v>
      </c>
      <c r="Q305">
        <v>-44.912697000000001</v>
      </c>
      <c r="R305" s="2" t="str">
        <f>HYPERLINK("https://www.google.com/maps?q=-20.1646550,-44.9126970","Abrir no Google Maps")</f>
        <v>Abrir no Google Maps</v>
      </c>
      <c r="S305">
        <v>2</v>
      </c>
      <c r="T305">
        <v>441.50274004930441</v>
      </c>
      <c r="U305">
        <v>4</v>
      </c>
      <c r="V305">
        <v>0.31355164243084171</v>
      </c>
      <c r="W305">
        <v>1</v>
      </c>
      <c r="X305">
        <v>0.31355164243084171</v>
      </c>
      <c r="Y305">
        <v>639</v>
      </c>
      <c r="Z305">
        <v>311.03317029936522</v>
      </c>
      <c r="AA305">
        <v>198</v>
      </c>
      <c r="AB305">
        <v>332</v>
      </c>
      <c r="AC305">
        <v>536</v>
      </c>
      <c r="AD305">
        <v>28.41</v>
      </c>
      <c r="AE305">
        <v>542</v>
      </c>
      <c r="AF305">
        <v>20</v>
      </c>
      <c r="AG305">
        <v>180</v>
      </c>
      <c r="AH305">
        <v>129</v>
      </c>
      <c r="AI305">
        <v>3.69</v>
      </c>
      <c r="AJ305">
        <v>33.21</v>
      </c>
      <c r="AK305">
        <v>23.8</v>
      </c>
      <c r="AL305">
        <v>-20.164702999999971</v>
      </c>
      <c r="AM305">
        <v>-44.912418857911163</v>
      </c>
      <c r="AN305">
        <v>-20.164702999999971</v>
      </c>
      <c r="AO305">
        <v>-44.912418857911163</v>
      </c>
      <c r="AP305">
        <v>-20.164655</v>
      </c>
      <c r="AQ305">
        <v>-44.912697000000001</v>
      </c>
      <c r="AR305">
        <v>29.552017409892429</v>
      </c>
      <c r="AS305" t="s">
        <v>65</v>
      </c>
      <c r="AT305">
        <v>1</v>
      </c>
      <c r="AU305" t="s">
        <v>1483</v>
      </c>
      <c r="AV305" t="s">
        <v>1484</v>
      </c>
      <c r="AW305" t="s">
        <v>60</v>
      </c>
      <c r="AX305" t="s">
        <v>68</v>
      </c>
      <c r="AY305" t="s">
        <v>69</v>
      </c>
      <c r="AZ305" t="b">
        <v>1</v>
      </c>
    </row>
    <row r="306" spans="1:52" x14ac:dyDescent="0.3">
      <c r="A306" t="s">
        <v>52</v>
      </c>
      <c r="B306" t="s">
        <v>53</v>
      </c>
      <c r="C306" t="s">
        <v>54</v>
      </c>
      <c r="D306" t="s">
        <v>55</v>
      </c>
      <c r="E306" t="s">
        <v>56</v>
      </c>
      <c r="F306" t="s">
        <v>1247</v>
      </c>
      <c r="G306" t="s">
        <v>1464</v>
      </c>
      <c r="H306" t="s">
        <v>1485</v>
      </c>
      <c r="I306" t="s">
        <v>1485</v>
      </c>
      <c r="J306" t="s">
        <v>60</v>
      </c>
      <c r="K306" t="s">
        <v>1486</v>
      </c>
      <c r="L306" t="s">
        <v>62</v>
      </c>
      <c r="M306" t="s">
        <v>1486</v>
      </c>
      <c r="N306" t="s">
        <v>1467</v>
      </c>
      <c r="O306" t="s">
        <v>1487</v>
      </c>
      <c r="P306">
        <v>-20.162842000000001</v>
      </c>
      <c r="Q306">
        <v>-44.883769999999998</v>
      </c>
      <c r="R306" s="2" t="str">
        <f>HYPERLINK("https://www.google.com/maps?q=-20.1628420,-44.8837700","Abrir no Google Maps")</f>
        <v>Abrir no Google Maps</v>
      </c>
      <c r="S306">
        <v>2</v>
      </c>
      <c r="T306">
        <v>659.67909450906006</v>
      </c>
      <c r="U306">
        <v>3</v>
      </c>
      <c r="V306">
        <v>0.27652303178874521</v>
      </c>
      <c r="W306">
        <v>1</v>
      </c>
      <c r="X306">
        <v>0.27652303178874521</v>
      </c>
      <c r="Y306">
        <v>671</v>
      </c>
      <c r="Z306">
        <v>566.23107864368092</v>
      </c>
      <c r="AA306">
        <v>198</v>
      </c>
      <c r="AB306">
        <v>332</v>
      </c>
      <c r="AC306">
        <v>536</v>
      </c>
      <c r="AD306">
        <v>28.41</v>
      </c>
      <c r="AE306">
        <v>542</v>
      </c>
      <c r="AF306">
        <v>20</v>
      </c>
      <c r="AG306">
        <v>180</v>
      </c>
      <c r="AH306">
        <v>129</v>
      </c>
      <c r="AI306">
        <v>3.69</v>
      </c>
      <c r="AJ306">
        <v>33.21</v>
      </c>
      <c r="AK306">
        <v>23.8</v>
      </c>
      <c r="AL306">
        <v>-20.162791299999949</v>
      </c>
      <c r="AM306">
        <v>-44.883966852092939</v>
      </c>
      <c r="AN306">
        <v>-20.162791299999949</v>
      </c>
      <c r="AO306">
        <v>-44.883966852092939</v>
      </c>
      <c r="AP306">
        <v>-20.162842000000001</v>
      </c>
      <c r="AQ306">
        <v>-44.883769999999998</v>
      </c>
      <c r="AR306">
        <v>21.33085532825611</v>
      </c>
      <c r="AS306" t="s">
        <v>65</v>
      </c>
      <c r="AT306">
        <v>1</v>
      </c>
      <c r="AU306" t="s">
        <v>1488</v>
      </c>
      <c r="AV306" t="s">
        <v>1489</v>
      </c>
      <c r="AW306" t="s">
        <v>60</v>
      </c>
      <c r="AX306" t="s">
        <v>68</v>
      </c>
      <c r="AY306" t="s">
        <v>69</v>
      </c>
      <c r="AZ306" t="b">
        <v>1</v>
      </c>
    </row>
    <row r="307" spans="1:52" x14ac:dyDescent="0.3">
      <c r="A307" t="s">
        <v>52</v>
      </c>
      <c r="B307" t="s">
        <v>53</v>
      </c>
      <c r="C307" t="s">
        <v>54</v>
      </c>
      <c r="D307" t="s">
        <v>55</v>
      </c>
      <c r="E307" t="s">
        <v>56</v>
      </c>
      <c r="F307" t="s">
        <v>1247</v>
      </c>
      <c r="G307" t="s">
        <v>1490</v>
      </c>
      <c r="H307" t="s">
        <v>1491</v>
      </c>
      <c r="I307" t="s">
        <v>1491</v>
      </c>
      <c r="J307" t="s">
        <v>60</v>
      </c>
      <c r="K307" t="s">
        <v>336</v>
      </c>
      <c r="L307" t="s">
        <v>62</v>
      </c>
      <c r="M307" t="s">
        <v>336</v>
      </c>
      <c r="N307" t="s">
        <v>1492</v>
      </c>
      <c r="O307" t="s">
        <v>842</v>
      </c>
      <c r="P307">
        <v>-20.164228999999999</v>
      </c>
      <c r="Q307">
        <v>-44.876455999999997</v>
      </c>
      <c r="R307" s="2" t="str">
        <f>HYPERLINK("https://www.google.com/maps?q=-20.1642290,-44.8764560","Abrir no Google Maps")</f>
        <v>Abrir no Google Maps</v>
      </c>
      <c r="S307">
        <v>2</v>
      </c>
      <c r="T307">
        <v>420.00990411628987</v>
      </c>
      <c r="U307">
        <v>3</v>
      </c>
      <c r="V307">
        <v>0.28536377019806308</v>
      </c>
      <c r="W307">
        <v>1</v>
      </c>
      <c r="X307">
        <v>0.28536377019806308</v>
      </c>
      <c r="Y307">
        <v>671</v>
      </c>
      <c r="Z307">
        <v>375.90194920648611</v>
      </c>
      <c r="AA307">
        <v>198</v>
      </c>
      <c r="AB307">
        <v>332</v>
      </c>
      <c r="AC307">
        <v>536</v>
      </c>
      <c r="AD307">
        <v>28.41</v>
      </c>
      <c r="AE307">
        <v>542</v>
      </c>
      <c r="AF307">
        <v>20</v>
      </c>
      <c r="AG307">
        <v>180</v>
      </c>
      <c r="AH307">
        <v>129</v>
      </c>
      <c r="AI307">
        <v>3.69</v>
      </c>
      <c r="AJ307">
        <v>33.21</v>
      </c>
      <c r="AK307">
        <v>23.8</v>
      </c>
      <c r="AL307">
        <v>-20.164255749999938</v>
      </c>
      <c r="AM307">
        <v>-44.876471676086922</v>
      </c>
      <c r="AN307">
        <v>-20.164255749999938</v>
      </c>
      <c r="AO307">
        <v>-44.876471676086922</v>
      </c>
      <c r="AP307">
        <v>-20.164228999999999</v>
      </c>
      <c r="AQ307">
        <v>-44.876455999999997</v>
      </c>
      <c r="AR307">
        <v>3.3986375813953771</v>
      </c>
      <c r="AS307" t="s">
        <v>65</v>
      </c>
      <c r="AT307">
        <v>1</v>
      </c>
      <c r="AU307" t="s">
        <v>1493</v>
      </c>
      <c r="AV307" t="s">
        <v>1494</v>
      </c>
      <c r="AW307" t="s">
        <v>60</v>
      </c>
      <c r="AX307" t="s">
        <v>68</v>
      </c>
      <c r="AY307" t="s">
        <v>69</v>
      </c>
      <c r="AZ307" t="b">
        <v>1</v>
      </c>
    </row>
    <row r="308" spans="1:52" x14ac:dyDescent="0.3">
      <c r="A308" t="s">
        <v>52</v>
      </c>
      <c r="B308" t="s">
        <v>53</v>
      </c>
      <c r="C308" t="s">
        <v>54</v>
      </c>
      <c r="D308" t="s">
        <v>55</v>
      </c>
      <c r="E308" t="s">
        <v>56</v>
      </c>
      <c r="F308" t="s">
        <v>1247</v>
      </c>
      <c r="G308" t="s">
        <v>1495</v>
      </c>
      <c r="H308" t="s">
        <v>1496</v>
      </c>
      <c r="I308" t="s">
        <v>1496</v>
      </c>
      <c r="J308" t="s">
        <v>60</v>
      </c>
      <c r="K308" t="s">
        <v>1466</v>
      </c>
      <c r="L308" t="s">
        <v>62</v>
      </c>
      <c r="M308" t="s">
        <v>1466</v>
      </c>
      <c r="N308" t="s">
        <v>1497</v>
      </c>
      <c r="O308" t="s">
        <v>1498</v>
      </c>
      <c r="P308">
        <v>-20.163160999999999</v>
      </c>
      <c r="Q308">
        <v>-44.880460999999997</v>
      </c>
      <c r="R308" s="2" t="str">
        <f>HYPERLINK("https://www.google.com/maps?q=-20.1631610,-44.8804610","Abrir no Google Maps")</f>
        <v>Abrir no Google Maps</v>
      </c>
      <c r="S308">
        <v>2</v>
      </c>
      <c r="T308">
        <v>372.63783804650222</v>
      </c>
      <c r="U308">
        <v>3</v>
      </c>
      <c r="V308">
        <v>0.28646413251015029</v>
      </c>
      <c r="W308">
        <v>1</v>
      </c>
      <c r="X308">
        <v>0.28646413251015029</v>
      </c>
      <c r="Y308">
        <v>671</v>
      </c>
      <c r="Z308">
        <v>250.43144487082299</v>
      </c>
      <c r="AA308">
        <v>198</v>
      </c>
      <c r="AB308">
        <v>332</v>
      </c>
      <c r="AC308">
        <v>536</v>
      </c>
      <c r="AD308">
        <v>28.41</v>
      </c>
      <c r="AE308">
        <v>542</v>
      </c>
      <c r="AF308">
        <v>20</v>
      </c>
      <c r="AG308">
        <v>180</v>
      </c>
      <c r="AH308">
        <v>129</v>
      </c>
      <c r="AI308">
        <v>3.69</v>
      </c>
      <c r="AJ308">
        <v>33.21</v>
      </c>
      <c r="AK308">
        <v>23.8</v>
      </c>
      <c r="AL308">
        <v>-20.163296749999969</v>
      </c>
      <c r="AM308">
        <v>-44.88037544059182</v>
      </c>
      <c r="AN308">
        <v>-20.163296749999969</v>
      </c>
      <c r="AO308">
        <v>-44.88037544059182</v>
      </c>
      <c r="AP308">
        <v>-20.163160999999999</v>
      </c>
      <c r="AQ308">
        <v>-44.880460999999997</v>
      </c>
      <c r="AR308">
        <v>17.558482416121191</v>
      </c>
      <c r="AS308" t="s">
        <v>65</v>
      </c>
      <c r="AT308">
        <v>1</v>
      </c>
      <c r="AU308" t="s">
        <v>1499</v>
      </c>
      <c r="AV308" t="s">
        <v>1500</v>
      </c>
      <c r="AW308" t="s">
        <v>60</v>
      </c>
      <c r="AX308" t="s">
        <v>68</v>
      </c>
      <c r="AY308" t="s">
        <v>69</v>
      </c>
      <c r="AZ308" t="b">
        <v>1</v>
      </c>
    </row>
    <row r="309" spans="1:52" x14ac:dyDescent="0.3">
      <c r="A309" t="s">
        <v>52</v>
      </c>
      <c r="B309" t="s">
        <v>53</v>
      </c>
      <c r="C309" t="s">
        <v>54</v>
      </c>
      <c r="D309" t="s">
        <v>55</v>
      </c>
      <c r="E309" t="s">
        <v>56</v>
      </c>
      <c r="F309" t="s">
        <v>1247</v>
      </c>
      <c r="G309" t="s">
        <v>1501</v>
      </c>
      <c r="H309" t="s">
        <v>1502</v>
      </c>
      <c r="I309" t="s">
        <v>1502</v>
      </c>
      <c r="J309" t="s">
        <v>60</v>
      </c>
      <c r="K309" t="s">
        <v>1466</v>
      </c>
      <c r="L309" t="s">
        <v>62</v>
      </c>
      <c r="M309" t="s">
        <v>1466</v>
      </c>
      <c r="N309" t="s">
        <v>1503</v>
      </c>
      <c r="O309" t="s">
        <v>1504</v>
      </c>
      <c r="P309">
        <v>-20.159618999999999</v>
      </c>
      <c r="Q309">
        <v>-44.880065000000002</v>
      </c>
      <c r="R309" s="2" t="str">
        <f>HYPERLINK("https://www.google.com/maps?q=-20.1596190,-44.8800650","Abrir no Google Maps")</f>
        <v>Abrir no Google Maps</v>
      </c>
      <c r="S309">
        <v>2</v>
      </c>
      <c r="T309">
        <v>243.9950282285559</v>
      </c>
      <c r="U309">
        <v>3</v>
      </c>
      <c r="V309">
        <v>0.28452327400349331</v>
      </c>
      <c r="W309">
        <v>1</v>
      </c>
      <c r="X309">
        <v>0.28452327400349331</v>
      </c>
      <c r="Y309">
        <v>671</v>
      </c>
      <c r="Z309">
        <v>265.31354384517681</v>
      </c>
      <c r="AA309">
        <v>198</v>
      </c>
      <c r="AB309">
        <v>332</v>
      </c>
      <c r="AC309">
        <v>536</v>
      </c>
      <c r="AD309">
        <v>28.41</v>
      </c>
      <c r="AE309">
        <v>542</v>
      </c>
      <c r="AF309">
        <v>20</v>
      </c>
      <c r="AG309">
        <v>180</v>
      </c>
      <c r="AH309">
        <v>129</v>
      </c>
      <c r="AI309">
        <v>3.69</v>
      </c>
      <c r="AJ309">
        <v>33.21</v>
      </c>
      <c r="AK309">
        <v>23.8</v>
      </c>
      <c r="AL309">
        <v>-20.159689949999969</v>
      </c>
      <c r="AM309">
        <v>-44.880075072344489</v>
      </c>
      <c r="AN309">
        <v>-20.159689949999969</v>
      </c>
      <c r="AO309">
        <v>-44.880075072344489</v>
      </c>
      <c r="AP309">
        <v>-20.159618999999999</v>
      </c>
      <c r="AQ309">
        <v>-44.880065000000002</v>
      </c>
      <c r="AR309">
        <v>7.9679809486040876</v>
      </c>
      <c r="AS309" t="s">
        <v>65</v>
      </c>
      <c r="AT309">
        <v>1</v>
      </c>
      <c r="AU309" t="s">
        <v>1505</v>
      </c>
      <c r="AV309" t="s">
        <v>1506</v>
      </c>
      <c r="AW309" t="s">
        <v>60</v>
      </c>
      <c r="AX309" t="s">
        <v>68</v>
      </c>
      <c r="AY309" t="s">
        <v>69</v>
      </c>
      <c r="AZ309" t="b">
        <v>1</v>
      </c>
    </row>
    <row r="310" spans="1:52" x14ac:dyDescent="0.3">
      <c r="A310" t="s">
        <v>52</v>
      </c>
      <c r="B310" t="s">
        <v>53</v>
      </c>
      <c r="C310" t="s">
        <v>54</v>
      </c>
      <c r="D310" t="s">
        <v>55</v>
      </c>
      <c r="E310" t="s">
        <v>56</v>
      </c>
      <c r="F310" t="s">
        <v>1247</v>
      </c>
      <c r="G310" t="s">
        <v>1507</v>
      </c>
      <c r="H310" t="s">
        <v>1508</v>
      </c>
      <c r="I310" t="s">
        <v>1508</v>
      </c>
      <c r="J310" t="s">
        <v>60</v>
      </c>
      <c r="K310" t="s">
        <v>1466</v>
      </c>
      <c r="L310" t="s">
        <v>62</v>
      </c>
      <c r="M310" t="s">
        <v>1466</v>
      </c>
      <c r="N310" t="s">
        <v>1509</v>
      </c>
      <c r="O310" t="s">
        <v>270</v>
      </c>
      <c r="P310">
        <v>-20.164501999999999</v>
      </c>
      <c r="Q310">
        <v>-44.883226999999998</v>
      </c>
      <c r="R310" s="2" t="str">
        <f>HYPERLINK("https://www.google.com/maps?q=-20.1645020,-44.8832270","Abrir no Google Maps")</f>
        <v>Abrir no Google Maps</v>
      </c>
      <c r="S310">
        <v>2</v>
      </c>
      <c r="T310">
        <v>691.62667420887726</v>
      </c>
      <c r="U310">
        <v>3</v>
      </c>
      <c r="V310">
        <v>0.28524231498215857</v>
      </c>
      <c r="W310">
        <v>1</v>
      </c>
      <c r="X310">
        <v>0.28524231498215857</v>
      </c>
      <c r="Y310">
        <v>671</v>
      </c>
      <c r="Z310">
        <v>591.13935302436732</v>
      </c>
      <c r="AA310">
        <v>198</v>
      </c>
      <c r="AB310">
        <v>332</v>
      </c>
      <c r="AC310">
        <v>536</v>
      </c>
      <c r="AD310">
        <v>28.41</v>
      </c>
      <c r="AE310">
        <v>542</v>
      </c>
      <c r="AF310">
        <v>20</v>
      </c>
      <c r="AG310">
        <v>180</v>
      </c>
      <c r="AH310">
        <v>129</v>
      </c>
      <c r="AI310">
        <v>3.69</v>
      </c>
      <c r="AJ310">
        <v>33.21</v>
      </c>
      <c r="AK310">
        <v>23.8</v>
      </c>
      <c r="AL310">
        <v>-20.164470149999939</v>
      </c>
      <c r="AM310">
        <v>-44.883357321672527</v>
      </c>
      <c r="AN310">
        <v>-20.164470149999939</v>
      </c>
      <c r="AO310">
        <v>-44.883357321672527</v>
      </c>
      <c r="AP310">
        <v>-20.164501999999999</v>
      </c>
      <c r="AQ310">
        <v>-44.883226999999998</v>
      </c>
      <c r="AR310">
        <v>14.072184947340521</v>
      </c>
      <c r="AS310" t="s">
        <v>65</v>
      </c>
      <c r="AT310">
        <v>1</v>
      </c>
      <c r="AU310" t="s">
        <v>1510</v>
      </c>
      <c r="AV310" t="s">
        <v>1511</v>
      </c>
      <c r="AW310" t="s">
        <v>60</v>
      </c>
      <c r="AX310" t="s">
        <v>68</v>
      </c>
      <c r="AY310" t="s">
        <v>69</v>
      </c>
      <c r="AZ310" t="b">
        <v>1</v>
      </c>
    </row>
    <row r="311" spans="1:52" x14ac:dyDescent="0.3">
      <c r="A311" t="s">
        <v>52</v>
      </c>
      <c r="B311" t="s">
        <v>53</v>
      </c>
      <c r="C311" t="s">
        <v>54</v>
      </c>
      <c r="D311" t="s">
        <v>55</v>
      </c>
      <c r="E311" t="s">
        <v>56</v>
      </c>
      <c r="F311" t="s">
        <v>1247</v>
      </c>
      <c r="G311" t="s">
        <v>1512</v>
      </c>
      <c r="H311" t="s">
        <v>1513</v>
      </c>
      <c r="I311" t="s">
        <v>1513</v>
      </c>
      <c r="J311" t="s">
        <v>60</v>
      </c>
      <c r="K311" t="s">
        <v>1302</v>
      </c>
      <c r="L311" t="s">
        <v>62</v>
      </c>
      <c r="M311" t="s">
        <v>1302</v>
      </c>
      <c r="N311" t="s">
        <v>1514</v>
      </c>
      <c r="O311" t="s">
        <v>1515</v>
      </c>
      <c r="P311">
        <v>-20.163709000000001</v>
      </c>
      <c r="Q311">
        <v>-44.916074999999999</v>
      </c>
      <c r="R311" s="2" t="str">
        <f>HYPERLINK("https://www.google.com/maps?q=-20.1637090,-44.9160750","Abrir no Google Maps")</f>
        <v>Abrir no Google Maps</v>
      </c>
      <c r="S311">
        <v>2</v>
      </c>
      <c r="T311">
        <v>305.09593452131332</v>
      </c>
      <c r="U311">
        <v>3</v>
      </c>
      <c r="V311">
        <v>0.27888224210503032</v>
      </c>
      <c r="W311">
        <v>1</v>
      </c>
      <c r="X311">
        <v>0.27888224210503032</v>
      </c>
      <c r="Y311">
        <v>639</v>
      </c>
      <c r="Z311">
        <v>289.37841230131949</v>
      </c>
      <c r="AA311">
        <v>198</v>
      </c>
      <c r="AB311">
        <v>332</v>
      </c>
      <c r="AC311">
        <v>536</v>
      </c>
      <c r="AD311">
        <v>28.41</v>
      </c>
      <c r="AE311">
        <v>542</v>
      </c>
      <c r="AF311">
        <v>20</v>
      </c>
      <c r="AG311">
        <v>180</v>
      </c>
      <c r="AH311">
        <v>129</v>
      </c>
      <c r="AI311">
        <v>3.69</v>
      </c>
      <c r="AJ311">
        <v>33.21</v>
      </c>
      <c r="AK311">
        <v>23.8</v>
      </c>
      <c r="AL311">
        <v>-20.163666449999969</v>
      </c>
      <c r="AM311">
        <v>-44.916102906827042</v>
      </c>
      <c r="AN311">
        <v>-20.163666449999969</v>
      </c>
      <c r="AO311">
        <v>-44.916102906827042</v>
      </c>
      <c r="AP311">
        <v>-20.163709000000001</v>
      </c>
      <c r="AQ311">
        <v>-44.916074999999999</v>
      </c>
      <c r="AR311">
        <v>5.5623892025550603</v>
      </c>
      <c r="AS311" t="s">
        <v>65</v>
      </c>
      <c r="AT311">
        <v>1</v>
      </c>
      <c r="AU311" t="s">
        <v>1516</v>
      </c>
      <c r="AV311" t="s">
        <v>1517</v>
      </c>
      <c r="AW311" t="s">
        <v>60</v>
      </c>
      <c r="AX311" t="s">
        <v>68</v>
      </c>
      <c r="AY311" t="s">
        <v>69</v>
      </c>
      <c r="AZ311" t="b">
        <v>1</v>
      </c>
    </row>
    <row r="312" spans="1:52" x14ac:dyDescent="0.3">
      <c r="A312" t="s">
        <v>52</v>
      </c>
      <c r="B312" t="s">
        <v>53</v>
      </c>
      <c r="C312" t="s">
        <v>54</v>
      </c>
      <c r="D312" t="s">
        <v>55</v>
      </c>
      <c r="E312" t="s">
        <v>56</v>
      </c>
      <c r="F312" t="s">
        <v>1247</v>
      </c>
      <c r="G312" t="s">
        <v>1518</v>
      </c>
      <c r="H312" t="s">
        <v>1519</v>
      </c>
      <c r="I312" t="s">
        <v>1519</v>
      </c>
      <c r="J312" t="s">
        <v>60</v>
      </c>
      <c r="K312" t="s">
        <v>1302</v>
      </c>
      <c r="L312" t="s">
        <v>62</v>
      </c>
      <c r="M312" t="s">
        <v>1302</v>
      </c>
      <c r="N312" t="s">
        <v>1520</v>
      </c>
      <c r="O312" t="s">
        <v>1521</v>
      </c>
      <c r="P312">
        <v>-20.16263</v>
      </c>
      <c r="Q312">
        <v>-44.910342999999997</v>
      </c>
      <c r="R312" s="2" t="str">
        <f>HYPERLINK("https://www.google.com/maps?q=-20.1626300,-44.9103430","Abrir no Google Maps")</f>
        <v>Abrir no Google Maps</v>
      </c>
      <c r="S312">
        <v>2</v>
      </c>
      <c r="T312">
        <v>492.63980270666781</v>
      </c>
      <c r="U312">
        <v>3</v>
      </c>
      <c r="V312">
        <v>0.29385597444052231</v>
      </c>
      <c r="W312">
        <v>1</v>
      </c>
      <c r="X312">
        <v>0.29385597444052231</v>
      </c>
      <c r="Y312">
        <v>639</v>
      </c>
      <c r="Z312">
        <v>412.49960371731271</v>
      </c>
      <c r="AA312">
        <v>198</v>
      </c>
      <c r="AB312">
        <v>332</v>
      </c>
      <c r="AC312">
        <v>536</v>
      </c>
      <c r="AD312">
        <v>28.41</v>
      </c>
      <c r="AE312">
        <v>542</v>
      </c>
      <c r="AF312">
        <v>20</v>
      </c>
      <c r="AG312">
        <v>180</v>
      </c>
      <c r="AH312">
        <v>129</v>
      </c>
      <c r="AI312">
        <v>3.69</v>
      </c>
      <c r="AJ312">
        <v>33.21</v>
      </c>
      <c r="AK312">
        <v>23.8</v>
      </c>
      <c r="AL312">
        <v>-20.162579949999952</v>
      </c>
      <c r="AM312">
        <v>-44.910101148008863</v>
      </c>
      <c r="AN312">
        <v>-20.162579949999952</v>
      </c>
      <c r="AO312">
        <v>-44.910101148008863</v>
      </c>
      <c r="AP312">
        <v>-20.16263</v>
      </c>
      <c r="AQ312">
        <v>-44.910342999999997</v>
      </c>
      <c r="AR312">
        <v>25.879932474893501</v>
      </c>
      <c r="AS312" t="s">
        <v>65</v>
      </c>
      <c r="AT312">
        <v>1</v>
      </c>
      <c r="AU312" t="s">
        <v>1522</v>
      </c>
      <c r="AV312" t="s">
        <v>1523</v>
      </c>
      <c r="AW312" t="s">
        <v>60</v>
      </c>
      <c r="AX312" t="s">
        <v>68</v>
      </c>
      <c r="AY312" t="s">
        <v>69</v>
      </c>
      <c r="AZ312" t="b">
        <v>1</v>
      </c>
    </row>
    <row r="313" spans="1:52" x14ac:dyDescent="0.3">
      <c r="A313" t="s">
        <v>52</v>
      </c>
      <c r="B313" t="s">
        <v>53</v>
      </c>
      <c r="C313" t="s">
        <v>54</v>
      </c>
      <c r="D313" t="s">
        <v>55</v>
      </c>
      <c r="E313" t="s">
        <v>56</v>
      </c>
      <c r="F313" t="s">
        <v>1247</v>
      </c>
      <c r="G313" t="s">
        <v>1524</v>
      </c>
      <c r="H313" t="s">
        <v>1525</v>
      </c>
      <c r="I313" t="s">
        <v>1525</v>
      </c>
      <c r="J313" t="s">
        <v>60</v>
      </c>
      <c r="K313" t="s">
        <v>1302</v>
      </c>
      <c r="L313" t="s">
        <v>62</v>
      </c>
      <c r="M313" t="s">
        <v>1302</v>
      </c>
      <c r="N313" t="s">
        <v>1526</v>
      </c>
      <c r="O313" t="s">
        <v>303</v>
      </c>
      <c r="P313">
        <v>-20.159873000000001</v>
      </c>
      <c r="Q313">
        <v>-44.911431999999998</v>
      </c>
      <c r="R313" s="2" t="str">
        <f>HYPERLINK("https://www.google.com/maps?q=-20.1598730,-44.9114320","Abrir no Google Maps")</f>
        <v>Abrir no Google Maps</v>
      </c>
      <c r="S313">
        <v>2</v>
      </c>
      <c r="T313">
        <v>359.34785817593553</v>
      </c>
      <c r="U313">
        <v>3</v>
      </c>
      <c r="V313">
        <v>0.28714583817898459</v>
      </c>
      <c r="W313">
        <v>1</v>
      </c>
      <c r="X313">
        <v>0.28714583817898459</v>
      </c>
      <c r="Y313">
        <v>639</v>
      </c>
      <c r="Z313">
        <v>388.13505700247691</v>
      </c>
      <c r="AA313">
        <v>198</v>
      </c>
      <c r="AB313">
        <v>332</v>
      </c>
      <c r="AC313">
        <v>536</v>
      </c>
      <c r="AD313">
        <v>28.41</v>
      </c>
      <c r="AE313">
        <v>542</v>
      </c>
      <c r="AF313">
        <v>20</v>
      </c>
      <c r="AG313">
        <v>180</v>
      </c>
      <c r="AH313">
        <v>129</v>
      </c>
      <c r="AI313">
        <v>3.69</v>
      </c>
      <c r="AJ313">
        <v>33.21</v>
      </c>
      <c r="AK313">
        <v>23.8</v>
      </c>
      <c r="AL313">
        <v>-20.159583599999969</v>
      </c>
      <c r="AM313">
        <v>-44.911691929105316</v>
      </c>
      <c r="AN313">
        <v>-20.159583599999969</v>
      </c>
      <c r="AO313">
        <v>-44.911691929105316</v>
      </c>
      <c r="AP313">
        <v>-20.159873000000001</v>
      </c>
      <c r="AQ313">
        <v>-44.911431999999998</v>
      </c>
      <c r="AR313">
        <v>42.138811218570019</v>
      </c>
      <c r="AS313" t="s">
        <v>65</v>
      </c>
      <c r="AT313">
        <v>1</v>
      </c>
      <c r="AU313" t="s">
        <v>1527</v>
      </c>
      <c r="AV313" t="s">
        <v>1528</v>
      </c>
      <c r="AW313" t="s">
        <v>60</v>
      </c>
      <c r="AX313" t="s">
        <v>68</v>
      </c>
      <c r="AY313" t="s">
        <v>69</v>
      </c>
      <c r="AZ313" t="b">
        <v>1</v>
      </c>
    </row>
    <row r="314" spans="1:52" x14ac:dyDescent="0.3">
      <c r="A314" t="s">
        <v>52</v>
      </c>
      <c r="B314" t="s">
        <v>53</v>
      </c>
      <c r="C314" t="s">
        <v>54</v>
      </c>
      <c r="D314" t="s">
        <v>55</v>
      </c>
      <c r="E314" t="s">
        <v>56</v>
      </c>
      <c r="F314" t="s">
        <v>1247</v>
      </c>
      <c r="G314" t="s">
        <v>1529</v>
      </c>
      <c r="H314" t="s">
        <v>1530</v>
      </c>
      <c r="I314" t="s">
        <v>1530</v>
      </c>
      <c r="J314" t="s">
        <v>60</v>
      </c>
      <c r="K314" t="s">
        <v>1466</v>
      </c>
      <c r="L314" t="s">
        <v>62</v>
      </c>
      <c r="M314" t="s">
        <v>1466</v>
      </c>
      <c r="N314" t="s">
        <v>1531</v>
      </c>
      <c r="O314" t="s">
        <v>145</v>
      </c>
      <c r="P314">
        <v>-20.162952000000001</v>
      </c>
      <c r="Q314">
        <v>-44.877612999999997</v>
      </c>
      <c r="R314" s="2" t="str">
        <f>HYPERLINK("https://www.google.com/maps?q=-20.1629520,-44.8776130","Abrir no Google Maps")</f>
        <v>Abrir no Google Maps</v>
      </c>
      <c r="S314">
        <v>2</v>
      </c>
      <c r="T314">
        <v>229.91388913695721</v>
      </c>
      <c r="U314">
        <v>2</v>
      </c>
      <c r="V314">
        <v>0.2953430079114176</v>
      </c>
      <c r="W314">
        <v>0.85</v>
      </c>
      <c r="X314">
        <v>0.25104155672470502</v>
      </c>
      <c r="Y314">
        <v>671</v>
      </c>
      <c r="Z314">
        <v>157.6775523644973</v>
      </c>
      <c r="AA314">
        <v>198</v>
      </c>
      <c r="AB314">
        <v>332</v>
      </c>
      <c r="AC314">
        <v>536</v>
      </c>
      <c r="AD314">
        <v>28.41</v>
      </c>
      <c r="AE314">
        <v>542</v>
      </c>
      <c r="AF314">
        <v>20</v>
      </c>
      <c r="AG314">
        <v>180</v>
      </c>
      <c r="AH314">
        <v>129</v>
      </c>
      <c r="AI314">
        <v>3.69</v>
      </c>
      <c r="AJ314">
        <v>33.21</v>
      </c>
      <c r="AK314">
        <v>23.8</v>
      </c>
      <c r="AL314">
        <v>-20.16278829999996</v>
      </c>
      <c r="AM314">
        <v>-44.877564655204168</v>
      </c>
      <c r="AN314">
        <v>-20.16278829999996</v>
      </c>
      <c r="AO314">
        <v>-44.877564655204168</v>
      </c>
      <c r="AP314">
        <v>-20.162952000000001</v>
      </c>
      <c r="AQ314">
        <v>-44.877612999999997</v>
      </c>
      <c r="AR314">
        <v>18.91038935762678</v>
      </c>
      <c r="AS314" t="s">
        <v>65</v>
      </c>
      <c r="AT314">
        <v>1</v>
      </c>
      <c r="AU314" t="s">
        <v>1532</v>
      </c>
      <c r="AV314" t="s">
        <v>1533</v>
      </c>
      <c r="AW314" t="s">
        <v>60</v>
      </c>
      <c r="AX314" t="s">
        <v>68</v>
      </c>
      <c r="AY314" t="s">
        <v>69</v>
      </c>
      <c r="AZ314" t="b">
        <v>1</v>
      </c>
    </row>
    <row r="315" spans="1:52" x14ac:dyDescent="0.3">
      <c r="A315" t="s">
        <v>52</v>
      </c>
      <c r="B315" t="s">
        <v>53</v>
      </c>
      <c r="C315" t="s">
        <v>54</v>
      </c>
      <c r="D315" t="s">
        <v>55</v>
      </c>
      <c r="E315" t="s">
        <v>56</v>
      </c>
      <c r="F315" t="s">
        <v>1247</v>
      </c>
      <c r="G315" t="s">
        <v>1534</v>
      </c>
      <c r="H315" t="s">
        <v>1535</v>
      </c>
      <c r="I315" t="s">
        <v>1535</v>
      </c>
      <c r="J315" t="s">
        <v>60</v>
      </c>
      <c r="K315" t="s">
        <v>1536</v>
      </c>
      <c r="L315" t="s">
        <v>62</v>
      </c>
      <c r="M315" t="s">
        <v>1536</v>
      </c>
      <c r="N315" t="s">
        <v>1537</v>
      </c>
      <c r="O315" t="s">
        <v>1538</v>
      </c>
      <c r="P315">
        <v>-20.164618999999998</v>
      </c>
      <c r="Q315">
        <v>-44.921776999999999</v>
      </c>
      <c r="R315" s="2" t="str">
        <f>HYPERLINK("https://www.google.com/maps?q=-20.1646190,-44.9217770","Abrir no Google Maps")</f>
        <v>Abrir no Google Maps</v>
      </c>
      <c r="S315">
        <v>2</v>
      </c>
      <c r="T315">
        <v>835.70698013544222</v>
      </c>
      <c r="U315">
        <v>2</v>
      </c>
      <c r="V315">
        <v>0.2813797760902742</v>
      </c>
      <c r="W315">
        <v>0.85</v>
      </c>
      <c r="X315">
        <v>0.2391728096767331</v>
      </c>
      <c r="Y315">
        <v>639</v>
      </c>
      <c r="Z315">
        <v>821.59880323911125</v>
      </c>
      <c r="AA315">
        <v>198</v>
      </c>
      <c r="AB315">
        <v>332</v>
      </c>
      <c r="AC315">
        <v>536</v>
      </c>
      <c r="AD315">
        <v>28.41</v>
      </c>
      <c r="AE315">
        <v>542</v>
      </c>
      <c r="AF315">
        <v>20</v>
      </c>
      <c r="AG315">
        <v>180</v>
      </c>
      <c r="AH315">
        <v>129</v>
      </c>
      <c r="AI315">
        <v>3.69</v>
      </c>
      <c r="AJ315">
        <v>33.21</v>
      </c>
      <c r="AK315">
        <v>23.8</v>
      </c>
      <c r="AL315">
        <v>-20.164312499999969</v>
      </c>
      <c r="AM315">
        <v>-44.921945691824099</v>
      </c>
      <c r="AN315">
        <v>-20.164312499999969</v>
      </c>
      <c r="AO315">
        <v>-44.921945691824099</v>
      </c>
      <c r="AP315">
        <v>-20.164618999999998</v>
      </c>
      <c r="AQ315">
        <v>-44.921776999999999</v>
      </c>
      <c r="AR315">
        <v>38.404224975746608</v>
      </c>
      <c r="AS315" t="s">
        <v>65</v>
      </c>
      <c r="AT315">
        <v>1</v>
      </c>
      <c r="AU315" t="s">
        <v>1539</v>
      </c>
      <c r="AV315" t="s">
        <v>1540</v>
      </c>
      <c r="AW315" t="s">
        <v>60</v>
      </c>
      <c r="AX315" t="s">
        <v>68</v>
      </c>
      <c r="AY315" t="s">
        <v>69</v>
      </c>
      <c r="AZ315" t="b">
        <v>1</v>
      </c>
    </row>
    <row r="316" spans="1:52" x14ac:dyDescent="0.3">
      <c r="A316" t="s">
        <v>52</v>
      </c>
      <c r="B316" t="s">
        <v>53</v>
      </c>
      <c r="C316" t="s">
        <v>54</v>
      </c>
      <c r="D316" t="s">
        <v>55</v>
      </c>
      <c r="E316" t="s">
        <v>56</v>
      </c>
      <c r="F316" t="s">
        <v>1247</v>
      </c>
      <c r="G316" t="s">
        <v>1541</v>
      </c>
      <c r="H316" t="s">
        <v>1542</v>
      </c>
      <c r="I316" t="s">
        <v>1542</v>
      </c>
      <c r="J316" t="s">
        <v>60</v>
      </c>
      <c r="K316" t="s">
        <v>1302</v>
      </c>
      <c r="L316" t="s">
        <v>62</v>
      </c>
      <c r="M316" t="s">
        <v>1302</v>
      </c>
      <c r="N316" t="s">
        <v>1543</v>
      </c>
      <c r="O316" t="s">
        <v>1544</v>
      </c>
      <c r="P316">
        <v>-20.166267999999999</v>
      </c>
      <c r="Q316">
        <v>-44.916902</v>
      </c>
      <c r="R316" s="2" t="str">
        <f>HYPERLINK("https://www.google.com/maps?q=-20.1662680,-44.9169020","Abrir no Google Maps")</f>
        <v>Abrir no Google Maps</v>
      </c>
      <c r="S316">
        <v>2</v>
      </c>
      <c r="T316">
        <v>580.14556008922216</v>
      </c>
      <c r="U316">
        <v>2</v>
      </c>
      <c r="V316">
        <v>0.2841374648503453</v>
      </c>
      <c r="W316">
        <v>0.85</v>
      </c>
      <c r="X316">
        <v>0.24151684512279351</v>
      </c>
      <c r="Y316">
        <v>639</v>
      </c>
      <c r="Z316">
        <v>590.87477783185614</v>
      </c>
      <c r="AA316">
        <v>198</v>
      </c>
      <c r="AB316">
        <v>332</v>
      </c>
      <c r="AC316">
        <v>536</v>
      </c>
      <c r="AD316">
        <v>28.41</v>
      </c>
      <c r="AE316">
        <v>542</v>
      </c>
      <c r="AF316">
        <v>20</v>
      </c>
      <c r="AG316">
        <v>180</v>
      </c>
      <c r="AH316">
        <v>129</v>
      </c>
      <c r="AI316">
        <v>3.69</v>
      </c>
      <c r="AJ316">
        <v>33.21</v>
      </c>
      <c r="AK316">
        <v>23.8</v>
      </c>
      <c r="AL316">
        <v>-20.165891749999961</v>
      </c>
      <c r="AM316">
        <v>-44.917283075074913</v>
      </c>
      <c r="AN316">
        <v>-20.165891749999961</v>
      </c>
      <c r="AO316">
        <v>-44.917283075074913</v>
      </c>
      <c r="AP316">
        <v>-20.166267999999999</v>
      </c>
      <c r="AQ316">
        <v>-44.916902</v>
      </c>
      <c r="AR316">
        <v>57.792534087281872</v>
      </c>
      <c r="AS316" t="s">
        <v>65</v>
      </c>
      <c r="AT316">
        <v>1</v>
      </c>
      <c r="AU316" t="s">
        <v>1545</v>
      </c>
      <c r="AV316" t="s">
        <v>1546</v>
      </c>
      <c r="AW316" t="s">
        <v>60</v>
      </c>
      <c r="AX316" t="s">
        <v>68</v>
      </c>
      <c r="AY316" t="s">
        <v>69</v>
      </c>
      <c r="AZ316" t="b">
        <v>1</v>
      </c>
    </row>
    <row r="317" spans="1:52" x14ac:dyDescent="0.3">
      <c r="A317" t="s">
        <v>52</v>
      </c>
      <c r="B317" t="s">
        <v>53</v>
      </c>
      <c r="C317" t="s">
        <v>54</v>
      </c>
      <c r="D317" t="s">
        <v>55</v>
      </c>
      <c r="E317" t="s">
        <v>56</v>
      </c>
      <c r="F317" t="s">
        <v>1247</v>
      </c>
      <c r="G317" t="s">
        <v>1547</v>
      </c>
      <c r="H317" t="s">
        <v>1548</v>
      </c>
      <c r="I317" t="s">
        <v>1548</v>
      </c>
      <c r="J317" t="s">
        <v>60</v>
      </c>
      <c r="K317" t="s">
        <v>1549</v>
      </c>
      <c r="L317" t="s">
        <v>62</v>
      </c>
      <c r="M317" t="s">
        <v>1549</v>
      </c>
      <c r="N317" t="s">
        <v>1550</v>
      </c>
      <c r="O317" t="s">
        <v>1551</v>
      </c>
      <c r="P317">
        <v>-20.173258000000001</v>
      </c>
      <c r="Q317">
        <v>-44.930354000000001</v>
      </c>
      <c r="R317" s="2" t="str">
        <f>HYPERLINK("https://www.google.com/maps?q=-20.1732580,-44.9303540","Abrir no Google Maps")</f>
        <v>Abrir no Google Maps</v>
      </c>
      <c r="S317">
        <v>2</v>
      </c>
      <c r="T317">
        <v>2023.802197028052</v>
      </c>
      <c r="U317">
        <v>1</v>
      </c>
      <c r="V317">
        <v>0.2716602517411299</v>
      </c>
      <c r="W317">
        <v>0.85</v>
      </c>
      <c r="X317">
        <v>0.23091121397996039</v>
      </c>
      <c r="Y317">
        <v>723</v>
      </c>
      <c r="Z317">
        <v>1727.7445576555911</v>
      </c>
      <c r="AA317">
        <v>198</v>
      </c>
      <c r="AB317">
        <v>332</v>
      </c>
      <c r="AC317">
        <v>536</v>
      </c>
      <c r="AD317">
        <v>28.41</v>
      </c>
      <c r="AE317">
        <v>542</v>
      </c>
      <c r="AF317">
        <v>20</v>
      </c>
      <c r="AG317">
        <v>180</v>
      </c>
      <c r="AH317">
        <v>129</v>
      </c>
      <c r="AI317">
        <v>3.69</v>
      </c>
      <c r="AJ317">
        <v>33.21</v>
      </c>
      <c r="AK317">
        <v>23.8</v>
      </c>
      <c r="AL317">
        <v>-20.172996449999939</v>
      </c>
      <c r="AM317">
        <v>-44.930058436825973</v>
      </c>
      <c r="AN317">
        <v>-20.172996449999939</v>
      </c>
      <c r="AO317">
        <v>-44.930058436825973</v>
      </c>
      <c r="AP317">
        <v>-20.173258000000001</v>
      </c>
      <c r="AQ317">
        <v>-44.930354000000001</v>
      </c>
      <c r="AR317">
        <v>42.444455141884362</v>
      </c>
      <c r="AS317" t="s">
        <v>65</v>
      </c>
      <c r="AT317">
        <v>1</v>
      </c>
      <c r="AU317" t="s">
        <v>1552</v>
      </c>
      <c r="AV317" t="s">
        <v>1553</v>
      </c>
      <c r="AW317" t="s">
        <v>60</v>
      </c>
      <c r="AX317" t="s">
        <v>68</v>
      </c>
      <c r="AY317" t="s">
        <v>69</v>
      </c>
      <c r="AZ317" t="b">
        <v>1</v>
      </c>
    </row>
    <row r="318" spans="1:52" x14ac:dyDescent="0.3">
      <c r="A318" t="s">
        <v>52</v>
      </c>
      <c r="B318" t="s">
        <v>53</v>
      </c>
      <c r="C318" t="s">
        <v>54</v>
      </c>
      <c r="D318" t="s">
        <v>55</v>
      </c>
      <c r="E318" t="s">
        <v>56</v>
      </c>
      <c r="F318" t="s">
        <v>1247</v>
      </c>
      <c r="G318" t="s">
        <v>1554</v>
      </c>
      <c r="H318" t="s">
        <v>1555</v>
      </c>
      <c r="I318" t="s">
        <v>1555</v>
      </c>
      <c r="J318" t="s">
        <v>60</v>
      </c>
      <c r="K318" t="s">
        <v>1466</v>
      </c>
      <c r="L318" t="s">
        <v>62</v>
      </c>
      <c r="M318" t="s">
        <v>1466</v>
      </c>
      <c r="N318" t="s">
        <v>1556</v>
      </c>
      <c r="O318" t="s">
        <v>989</v>
      </c>
      <c r="P318">
        <v>-20.160997999999999</v>
      </c>
      <c r="Q318">
        <v>-44.878385999999999</v>
      </c>
      <c r="R318" s="2" t="str">
        <f>HYPERLINK("https://www.google.com/maps?q=-20.1609980,-44.8783860","Abrir no Google Maps")</f>
        <v>Abrir no Google Maps</v>
      </c>
      <c r="S318">
        <v>2</v>
      </c>
      <c r="T318">
        <v>0</v>
      </c>
      <c r="U318">
        <v>1</v>
      </c>
      <c r="V318">
        <v>0.2717574832050525</v>
      </c>
      <c r="W318">
        <v>0.85</v>
      </c>
      <c r="X318">
        <v>0.23099386072429459</v>
      </c>
      <c r="Y318">
        <v>671</v>
      </c>
      <c r="Z318">
        <v>74.014802531188664</v>
      </c>
      <c r="AA318">
        <v>198</v>
      </c>
      <c r="AB318">
        <v>332</v>
      </c>
      <c r="AC318">
        <v>536</v>
      </c>
      <c r="AD318">
        <v>28.41</v>
      </c>
      <c r="AE318">
        <v>542</v>
      </c>
      <c r="AF318">
        <v>20</v>
      </c>
      <c r="AG318">
        <v>180</v>
      </c>
      <c r="AH318">
        <v>129</v>
      </c>
      <c r="AI318">
        <v>3.69</v>
      </c>
      <c r="AJ318">
        <v>33.21</v>
      </c>
      <c r="AK318">
        <v>23.8</v>
      </c>
      <c r="AL318">
        <v>-20.160758199999979</v>
      </c>
      <c r="AM318">
        <v>-44.878032519747983</v>
      </c>
      <c r="AN318">
        <v>-20.160758199999979</v>
      </c>
      <c r="AO318">
        <v>-44.878032519747983</v>
      </c>
      <c r="AP318">
        <v>-20.160997999999999</v>
      </c>
      <c r="AQ318">
        <v>-44.878385999999999</v>
      </c>
      <c r="AR318">
        <v>45.574638830261883</v>
      </c>
      <c r="AS318" t="s">
        <v>65</v>
      </c>
      <c r="AT318">
        <v>1</v>
      </c>
      <c r="AU318" t="s">
        <v>1557</v>
      </c>
      <c r="AV318" t="s">
        <v>1558</v>
      </c>
      <c r="AW318" t="s">
        <v>60</v>
      </c>
      <c r="AX318" t="s">
        <v>68</v>
      </c>
      <c r="AY318" t="s">
        <v>69</v>
      </c>
      <c r="AZ318" t="b">
        <v>1</v>
      </c>
    </row>
    <row r="319" spans="1:52" x14ac:dyDescent="0.3">
      <c r="A319" t="s">
        <v>52</v>
      </c>
      <c r="B319" t="s">
        <v>53</v>
      </c>
      <c r="C319" t="s">
        <v>54</v>
      </c>
      <c r="D319" t="s">
        <v>55</v>
      </c>
      <c r="E319" t="s">
        <v>56</v>
      </c>
      <c r="F319" t="s">
        <v>1247</v>
      </c>
      <c r="G319" t="s">
        <v>1559</v>
      </c>
      <c r="H319" t="s">
        <v>1560</v>
      </c>
      <c r="I319" t="s">
        <v>1560</v>
      </c>
      <c r="J319" t="s">
        <v>60</v>
      </c>
      <c r="K319" t="s">
        <v>61</v>
      </c>
      <c r="L319" t="s">
        <v>62</v>
      </c>
      <c r="M319" t="s">
        <v>61</v>
      </c>
      <c r="N319" t="s">
        <v>1561</v>
      </c>
      <c r="O319" t="s">
        <v>1562</v>
      </c>
      <c r="P319">
        <v>-20.154959000000002</v>
      </c>
      <c r="Q319">
        <v>-44.91525</v>
      </c>
      <c r="R319" s="2" t="str">
        <f>HYPERLINK("https://www.google.com/maps?q=-20.1549590,-44.9152500","Abrir no Google Maps")</f>
        <v>Abrir no Google Maps</v>
      </c>
      <c r="S319">
        <v>2</v>
      </c>
      <c r="T319">
        <v>738.36411213380245</v>
      </c>
      <c r="U319">
        <v>1</v>
      </c>
      <c r="V319">
        <v>0</v>
      </c>
      <c r="W319">
        <v>0.85</v>
      </c>
      <c r="X319">
        <v>0</v>
      </c>
      <c r="Y319">
        <v>639</v>
      </c>
      <c r="Z319">
        <v>860.82840850294542</v>
      </c>
      <c r="AA319">
        <v>198</v>
      </c>
      <c r="AB319">
        <v>332</v>
      </c>
      <c r="AC319">
        <v>536</v>
      </c>
      <c r="AD319">
        <v>28.41</v>
      </c>
      <c r="AE319">
        <v>542</v>
      </c>
      <c r="AF319">
        <v>20</v>
      </c>
      <c r="AG319">
        <v>180</v>
      </c>
      <c r="AH319">
        <v>129</v>
      </c>
      <c r="AI319">
        <v>3.69</v>
      </c>
      <c r="AJ319">
        <v>33.21</v>
      </c>
      <c r="AK319">
        <v>23.8</v>
      </c>
      <c r="AL319">
        <v>-20.154629849999939</v>
      </c>
      <c r="AM319">
        <v>-44.914951620624052</v>
      </c>
      <c r="AN319">
        <v>-20.154629849999939</v>
      </c>
      <c r="AO319">
        <v>-44.914951620624052</v>
      </c>
      <c r="AP319">
        <v>-20.154959000000002</v>
      </c>
      <c r="AQ319">
        <v>-44.91525</v>
      </c>
      <c r="AR319">
        <v>48.11297170616912</v>
      </c>
      <c r="AS319" t="s">
        <v>65</v>
      </c>
      <c r="AT319">
        <v>1</v>
      </c>
      <c r="AU319" t="s">
        <v>1563</v>
      </c>
      <c r="AV319" t="s">
        <v>1564</v>
      </c>
      <c r="AW319" t="s">
        <v>60</v>
      </c>
      <c r="AX319" t="s">
        <v>68</v>
      </c>
      <c r="AY319" t="s">
        <v>69</v>
      </c>
      <c r="AZ319" t="b">
        <v>1</v>
      </c>
    </row>
    <row r="320" spans="1:52" x14ac:dyDescent="0.3">
      <c r="A320" t="s">
        <v>52</v>
      </c>
      <c r="B320" t="s">
        <v>53</v>
      </c>
      <c r="C320" t="s">
        <v>54</v>
      </c>
      <c r="D320" t="s">
        <v>55</v>
      </c>
      <c r="E320" t="s">
        <v>56</v>
      </c>
      <c r="F320" t="s">
        <v>1247</v>
      </c>
      <c r="G320" t="s">
        <v>631</v>
      </c>
      <c r="H320" t="s">
        <v>1565</v>
      </c>
      <c r="I320" t="s">
        <v>1565</v>
      </c>
      <c r="J320" t="s">
        <v>60</v>
      </c>
      <c r="K320" t="s">
        <v>530</v>
      </c>
      <c r="L320" t="s">
        <v>62</v>
      </c>
      <c r="M320" t="s">
        <v>530</v>
      </c>
      <c r="N320" t="s">
        <v>633</v>
      </c>
      <c r="O320" t="s">
        <v>1566</v>
      </c>
      <c r="P320">
        <v>-20.143915</v>
      </c>
      <c r="Q320">
        <v>-44.8947</v>
      </c>
      <c r="R320" s="2" t="str">
        <f>HYPERLINK("https://www.google.com/maps?q=-20.1439150,-44.8947000","Abrir no Google Maps")</f>
        <v>Abrir no Google Maps</v>
      </c>
      <c r="S320">
        <v>1</v>
      </c>
      <c r="T320">
        <v>327.74435325417051</v>
      </c>
      <c r="U320">
        <v>4</v>
      </c>
      <c r="V320">
        <v>0.3493382291425578</v>
      </c>
      <c r="W320">
        <v>1</v>
      </c>
      <c r="X320">
        <v>0.3493382291425578</v>
      </c>
      <c r="Y320">
        <v>602</v>
      </c>
      <c r="Z320">
        <v>236.41345279429891</v>
      </c>
      <c r="AA320">
        <v>198</v>
      </c>
      <c r="AB320">
        <v>332</v>
      </c>
      <c r="AC320">
        <v>536</v>
      </c>
      <c r="AD320">
        <v>28.41</v>
      </c>
      <c r="AE320">
        <v>542</v>
      </c>
      <c r="AF320">
        <v>20</v>
      </c>
      <c r="AG320">
        <v>180</v>
      </c>
      <c r="AH320">
        <v>129</v>
      </c>
      <c r="AI320">
        <v>3.69</v>
      </c>
      <c r="AJ320">
        <v>33.21</v>
      </c>
      <c r="AK320">
        <v>23.8</v>
      </c>
      <c r="AL320">
        <v>-20.143900549999959</v>
      </c>
      <c r="AM320">
        <v>-44.894835636584318</v>
      </c>
      <c r="AN320">
        <v>-20.143900549999959</v>
      </c>
      <c r="AO320">
        <v>-44.894835636584318</v>
      </c>
      <c r="AP320">
        <v>-20.143915</v>
      </c>
      <c r="AQ320">
        <v>-44.8947</v>
      </c>
      <c r="AR320">
        <v>14.266440053785869</v>
      </c>
      <c r="AS320" t="s">
        <v>65</v>
      </c>
      <c r="AT320">
        <v>1</v>
      </c>
      <c r="AU320" t="s">
        <v>1567</v>
      </c>
      <c r="AV320" t="s">
        <v>1568</v>
      </c>
      <c r="AW320" t="s">
        <v>60</v>
      </c>
      <c r="AX320" t="s">
        <v>68</v>
      </c>
      <c r="AY320" t="s">
        <v>69</v>
      </c>
      <c r="AZ320" t="b">
        <v>1</v>
      </c>
    </row>
    <row r="321" spans="1:52" x14ac:dyDescent="0.3">
      <c r="A321" t="s">
        <v>52</v>
      </c>
      <c r="B321" t="s">
        <v>53</v>
      </c>
      <c r="C321" t="s">
        <v>54</v>
      </c>
      <c r="D321" t="s">
        <v>55</v>
      </c>
      <c r="E321" t="s">
        <v>56</v>
      </c>
      <c r="F321" t="s">
        <v>1247</v>
      </c>
      <c r="G321" t="s">
        <v>1569</v>
      </c>
      <c r="H321" t="s">
        <v>1570</v>
      </c>
      <c r="I321" t="s">
        <v>1570</v>
      </c>
      <c r="J321" t="s">
        <v>60</v>
      </c>
      <c r="K321" t="s">
        <v>530</v>
      </c>
      <c r="L321" t="s">
        <v>62</v>
      </c>
      <c r="M321" t="s">
        <v>530</v>
      </c>
      <c r="N321" t="s">
        <v>1571</v>
      </c>
      <c r="O321" t="s">
        <v>598</v>
      </c>
      <c r="P321">
        <v>-20.146418000000001</v>
      </c>
      <c r="Q321">
        <v>-44.893861999999999</v>
      </c>
      <c r="R321" s="2" t="str">
        <f>HYPERLINK("https://www.google.com/maps?q=-20.1464180,-44.8938620","Abrir no Google Maps")</f>
        <v>Abrir no Google Maps</v>
      </c>
      <c r="S321">
        <v>1</v>
      </c>
      <c r="T321">
        <v>0</v>
      </c>
      <c r="U321">
        <v>4</v>
      </c>
      <c r="V321">
        <v>0.36522856206927828</v>
      </c>
      <c r="W321">
        <v>0.85</v>
      </c>
      <c r="X321">
        <v>0.31044427775888661</v>
      </c>
      <c r="Y321">
        <v>602</v>
      </c>
      <c r="Z321">
        <v>124.5475134899211</v>
      </c>
      <c r="AA321">
        <v>198</v>
      </c>
      <c r="AB321">
        <v>332</v>
      </c>
      <c r="AC321">
        <v>536</v>
      </c>
      <c r="AD321">
        <v>28.41</v>
      </c>
      <c r="AE321">
        <v>542</v>
      </c>
      <c r="AF321">
        <v>20</v>
      </c>
      <c r="AG321">
        <v>180</v>
      </c>
      <c r="AH321">
        <v>129</v>
      </c>
      <c r="AI321">
        <v>3.69</v>
      </c>
      <c r="AJ321">
        <v>33.21</v>
      </c>
      <c r="AK321">
        <v>23.8</v>
      </c>
      <c r="AL321">
        <v>-20.146753399999941</v>
      </c>
      <c r="AM321">
        <v>-44.893993355901941</v>
      </c>
      <c r="AN321">
        <v>-20.146753399999941</v>
      </c>
      <c r="AO321">
        <v>-44.893993355901941</v>
      </c>
      <c r="AP321">
        <v>-20.146418000000001</v>
      </c>
      <c r="AQ321">
        <v>-44.893861999999999</v>
      </c>
      <c r="AR321">
        <v>39.780457157851913</v>
      </c>
      <c r="AS321" t="s">
        <v>65</v>
      </c>
      <c r="AT321">
        <v>1</v>
      </c>
      <c r="AU321" t="s">
        <v>1572</v>
      </c>
      <c r="AV321" t="s">
        <v>1573</v>
      </c>
      <c r="AW321" t="s">
        <v>60</v>
      </c>
      <c r="AX321" t="s">
        <v>68</v>
      </c>
      <c r="AY321" t="s">
        <v>69</v>
      </c>
      <c r="AZ321" t="b">
        <v>1</v>
      </c>
    </row>
    <row r="322" spans="1:52" x14ac:dyDescent="0.3">
      <c r="A322" t="s">
        <v>52</v>
      </c>
      <c r="B322" t="s">
        <v>53</v>
      </c>
      <c r="C322" t="s">
        <v>54</v>
      </c>
      <c r="D322" t="s">
        <v>55</v>
      </c>
      <c r="E322" t="s">
        <v>56</v>
      </c>
      <c r="F322" t="s">
        <v>1247</v>
      </c>
      <c r="G322" t="s">
        <v>1569</v>
      </c>
      <c r="H322" t="s">
        <v>1574</v>
      </c>
      <c r="I322" t="s">
        <v>1574</v>
      </c>
      <c r="J322" t="s">
        <v>60</v>
      </c>
      <c r="K322" t="s">
        <v>530</v>
      </c>
      <c r="L322" t="s">
        <v>62</v>
      </c>
      <c r="M322" t="s">
        <v>530</v>
      </c>
      <c r="N322" t="s">
        <v>1571</v>
      </c>
      <c r="O322" t="s">
        <v>1575</v>
      </c>
      <c r="P322">
        <v>-20.14554</v>
      </c>
      <c r="Q322">
        <v>-44.895606000000001</v>
      </c>
      <c r="R322" s="2" t="str">
        <f>HYPERLINK("https://www.google.com/maps?q=-20.1455400,-44.8956060","Abrir no Google Maps")</f>
        <v>Abrir no Google Maps</v>
      </c>
      <c r="S322">
        <v>1</v>
      </c>
      <c r="T322">
        <v>218.66647838959381</v>
      </c>
      <c r="U322">
        <v>4</v>
      </c>
      <c r="V322">
        <v>0.34936713767696681</v>
      </c>
      <c r="W322">
        <v>1</v>
      </c>
      <c r="X322">
        <v>0.34936713767696681</v>
      </c>
      <c r="Y322">
        <v>602</v>
      </c>
      <c r="Z322">
        <v>263.6501043391637</v>
      </c>
      <c r="AA322">
        <v>198</v>
      </c>
      <c r="AB322">
        <v>332</v>
      </c>
      <c r="AC322">
        <v>536</v>
      </c>
      <c r="AD322">
        <v>28.41</v>
      </c>
      <c r="AE322">
        <v>542</v>
      </c>
      <c r="AF322">
        <v>20</v>
      </c>
      <c r="AG322">
        <v>180</v>
      </c>
      <c r="AH322">
        <v>129</v>
      </c>
      <c r="AI322">
        <v>3.69</v>
      </c>
      <c r="AJ322">
        <v>33.21</v>
      </c>
      <c r="AK322">
        <v>23.8</v>
      </c>
      <c r="AL322">
        <v>-20.145504749999962</v>
      </c>
      <c r="AM322">
        <v>-44.89561499588882</v>
      </c>
      <c r="AN322">
        <v>-20.145504749999962</v>
      </c>
      <c r="AO322">
        <v>-44.89561499588882</v>
      </c>
      <c r="AP322">
        <v>-20.14554</v>
      </c>
      <c r="AQ322">
        <v>-44.895606000000001</v>
      </c>
      <c r="AR322">
        <v>4.0350843151508604</v>
      </c>
      <c r="AS322" t="s">
        <v>65</v>
      </c>
      <c r="AT322">
        <v>1</v>
      </c>
      <c r="AU322" t="s">
        <v>1576</v>
      </c>
      <c r="AV322" t="s">
        <v>1577</v>
      </c>
      <c r="AW322" t="s">
        <v>60</v>
      </c>
      <c r="AX322" t="s">
        <v>68</v>
      </c>
      <c r="AY322" t="s">
        <v>69</v>
      </c>
      <c r="AZ322" t="b">
        <v>1</v>
      </c>
    </row>
    <row r="323" spans="1:52" x14ac:dyDescent="0.3">
      <c r="A323" t="s">
        <v>52</v>
      </c>
      <c r="B323" t="s">
        <v>53</v>
      </c>
      <c r="C323" t="s">
        <v>54</v>
      </c>
      <c r="D323" t="s">
        <v>55</v>
      </c>
      <c r="E323" t="s">
        <v>56</v>
      </c>
      <c r="F323" t="s">
        <v>1247</v>
      </c>
      <c r="G323" t="s">
        <v>1578</v>
      </c>
      <c r="H323" t="s">
        <v>1579</v>
      </c>
      <c r="I323" t="s">
        <v>1579</v>
      </c>
      <c r="J323" t="s">
        <v>60</v>
      </c>
      <c r="K323" t="s">
        <v>530</v>
      </c>
      <c r="L323" t="s">
        <v>62</v>
      </c>
      <c r="M323" t="s">
        <v>530</v>
      </c>
      <c r="N323" t="s">
        <v>1580</v>
      </c>
      <c r="O323" t="s">
        <v>1581</v>
      </c>
      <c r="P323">
        <v>-20.143713999999999</v>
      </c>
      <c r="Q323">
        <v>-44.897387999999999</v>
      </c>
      <c r="R323" s="2" t="str">
        <f>HYPERLINK("https://www.google.com/maps?q=-20.1437140,-44.8973880","Abrir no Google Maps")</f>
        <v>Abrir no Google Maps</v>
      </c>
      <c r="S323">
        <v>1</v>
      </c>
      <c r="T323">
        <v>354.74438118735611</v>
      </c>
      <c r="U323">
        <v>4</v>
      </c>
      <c r="V323">
        <v>0.36248091621745893</v>
      </c>
      <c r="W323">
        <v>1</v>
      </c>
      <c r="X323">
        <v>0.36248091621745893</v>
      </c>
      <c r="Y323">
        <v>588</v>
      </c>
      <c r="Z323">
        <v>336.29881064197872</v>
      </c>
      <c r="AA323">
        <v>198</v>
      </c>
      <c r="AB323">
        <v>332</v>
      </c>
      <c r="AC323">
        <v>536</v>
      </c>
      <c r="AD323">
        <v>28.41</v>
      </c>
      <c r="AE323">
        <v>542</v>
      </c>
      <c r="AF323">
        <v>20</v>
      </c>
      <c r="AG323">
        <v>180</v>
      </c>
      <c r="AH323">
        <v>129</v>
      </c>
      <c r="AI323">
        <v>3.69</v>
      </c>
      <c r="AJ323">
        <v>33.21</v>
      </c>
      <c r="AK323">
        <v>23.8</v>
      </c>
      <c r="AL323">
        <v>-20.14371329999997</v>
      </c>
      <c r="AM323">
        <v>-44.897384604125257</v>
      </c>
      <c r="AN323">
        <v>-20.14371329999997</v>
      </c>
      <c r="AO323">
        <v>-44.897384604125257</v>
      </c>
      <c r="AP323">
        <v>-20.143713999999999</v>
      </c>
      <c r="AQ323">
        <v>-44.897387999999999</v>
      </c>
      <c r="AR323">
        <v>0.36335934693921551</v>
      </c>
      <c r="AS323" t="s">
        <v>65</v>
      </c>
      <c r="AT323">
        <v>1</v>
      </c>
      <c r="AU323" t="s">
        <v>1582</v>
      </c>
      <c r="AV323" t="s">
        <v>1583</v>
      </c>
      <c r="AW323" t="s">
        <v>60</v>
      </c>
      <c r="AX323" t="s">
        <v>68</v>
      </c>
      <c r="AY323" t="s">
        <v>69</v>
      </c>
      <c r="AZ323" t="b">
        <v>1</v>
      </c>
    </row>
    <row r="324" spans="1:52" x14ac:dyDescent="0.3">
      <c r="A324" t="s">
        <v>52</v>
      </c>
      <c r="B324" t="s">
        <v>53</v>
      </c>
      <c r="C324" t="s">
        <v>54</v>
      </c>
      <c r="D324" t="s">
        <v>55</v>
      </c>
      <c r="E324" t="s">
        <v>56</v>
      </c>
      <c r="F324" t="s">
        <v>1247</v>
      </c>
      <c r="G324" t="s">
        <v>1584</v>
      </c>
      <c r="H324" t="s">
        <v>1585</v>
      </c>
      <c r="I324" t="s">
        <v>1585</v>
      </c>
      <c r="J324" t="s">
        <v>60</v>
      </c>
      <c r="K324" t="s">
        <v>530</v>
      </c>
      <c r="L324" t="s">
        <v>62</v>
      </c>
      <c r="M324" t="s">
        <v>530</v>
      </c>
      <c r="N324" t="s">
        <v>406</v>
      </c>
      <c r="O324" t="s">
        <v>1586</v>
      </c>
      <c r="P324">
        <v>-20.141316</v>
      </c>
      <c r="Q324">
        <v>-44.896424000000003</v>
      </c>
      <c r="R324" s="2" t="str">
        <f>HYPERLINK("https://www.google.com/maps?q=-20.1413160,-44.8964240","Abrir no Google Maps")</f>
        <v>Abrir no Google Maps</v>
      </c>
      <c r="S324">
        <v>1</v>
      </c>
      <c r="T324">
        <v>236.6687095166524</v>
      </c>
      <c r="U324">
        <v>4</v>
      </c>
      <c r="V324">
        <v>0.34705380501948918</v>
      </c>
      <c r="W324">
        <v>1</v>
      </c>
      <c r="X324">
        <v>0.34705380501948918</v>
      </c>
      <c r="Y324">
        <v>588</v>
      </c>
      <c r="Z324">
        <v>255.50729797374251</v>
      </c>
      <c r="AA324">
        <v>198</v>
      </c>
      <c r="AB324">
        <v>332</v>
      </c>
      <c r="AC324">
        <v>536</v>
      </c>
      <c r="AD324">
        <v>28.41</v>
      </c>
      <c r="AE324">
        <v>542</v>
      </c>
      <c r="AF324">
        <v>20</v>
      </c>
      <c r="AG324">
        <v>180</v>
      </c>
      <c r="AH324">
        <v>129</v>
      </c>
      <c r="AI324">
        <v>3.69</v>
      </c>
      <c r="AJ324">
        <v>33.21</v>
      </c>
      <c r="AK324">
        <v>23.8</v>
      </c>
      <c r="AL324">
        <v>-20.141468299999961</v>
      </c>
      <c r="AM324">
        <v>-44.896566678331098</v>
      </c>
      <c r="AN324">
        <v>-20.141468299999961</v>
      </c>
      <c r="AO324">
        <v>-44.896566678331098</v>
      </c>
      <c r="AP324">
        <v>-20.141316</v>
      </c>
      <c r="AQ324">
        <v>-44.896424000000003</v>
      </c>
      <c r="AR324">
        <v>22.578666373759301</v>
      </c>
      <c r="AS324" t="s">
        <v>65</v>
      </c>
      <c r="AT324">
        <v>1</v>
      </c>
      <c r="AU324" t="s">
        <v>1587</v>
      </c>
      <c r="AV324" t="s">
        <v>1588</v>
      </c>
      <c r="AW324" t="s">
        <v>60</v>
      </c>
      <c r="AX324" t="s">
        <v>68</v>
      </c>
      <c r="AY324" t="s">
        <v>69</v>
      </c>
      <c r="AZ324" t="b">
        <v>1</v>
      </c>
    </row>
    <row r="325" spans="1:52" x14ac:dyDescent="0.3">
      <c r="A325" t="s">
        <v>52</v>
      </c>
      <c r="B325" t="s">
        <v>53</v>
      </c>
      <c r="C325" t="s">
        <v>54</v>
      </c>
      <c r="D325" t="s">
        <v>55</v>
      </c>
      <c r="E325" t="s">
        <v>56</v>
      </c>
      <c r="F325" t="s">
        <v>1247</v>
      </c>
      <c r="G325" t="s">
        <v>1589</v>
      </c>
      <c r="H325" t="s">
        <v>1590</v>
      </c>
      <c r="I325" t="s">
        <v>1590</v>
      </c>
      <c r="J325" t="s">
        <v>60</v>
      </c>
      <c r="K325" t="s">
        <v>1591</v>
      </c>
      <c r="L325" t="s">
        <v>62</v>
      </c>
      <c r="M325" t="s">
        <v>1591</v>
      </c>
      <c r="N325" t="s">
        <v>1592</v>
      </c>
      <c r="O325" t="s">
        <v>659</v>
      </c>
      <c r="P325">
        <v>-20.140789000000002</v>
      </c>
      <c r="Q325">
        <v>-44.898631000000002</v>
      </c>
      <c r="R325" s="2" t="str">
        <f>HYPERLINK("https://www.google.com/maps?q=-20.1407890,-44.8986310","Abrir no Google Maps")</f>
        <v>Abrir no Google Maps</v>
      </c>
      <c r="S325">
        <v>1</v>
      </c>
      <c r="T325">
        <v>0</v>
      </c>
      <c r="U325">
        <v>4</v>
      </c>
      <c r="V325">
        <v>0.3238037088924175</v>
      </c>
      <c r="W325">
        <v>1</v>
      </c>
      <c r="X325">
        <v>0.3238037088924175</v>
      </c>
      <c r="Y325">
        <v>588</v>
      </c>
      <c r="Z325">
        <v>51.152636251897107</v>
      </c>
      <c r="AA325">
        <v>198</v>
      </c>
      <c r="AB325">
        <v>332</v>
      </c>
      <c r="AC325">
        <v>536</v>
      </c>
      <c r="AD325">
        <v>28.41</v>
      </c>
      <c r="AE325">
        <v>542</v>
      </c>
      <c r="AF325">
        <v>20</v>
      </c>
      <c r="AG325">
        <v>180</v>
      </c>
      <c r="AH325">
        <v>129</v>
      </c>
      <c r="AI325">
        <v>3.69</v>
      </c>
      <c r="AJ325">
        <v>33.21</v>
      </c>
      <c r="AK325">
        <v>23.8</v>
      </c>
      <c r="AL325">
        <v>-20.140759399999951</v>
      </c>
      <c r="AM325">
        <v>-44.898703172474903</v>
      </c>
      <c r="AN325">
        <v>-20.140759399999951</v>
      </c>
      <c r="AO325">
        <v>-44.898703172474903</v>
      </c>
      <c r="AP325">
        <v>-20.140789000000002</v>
      </c>
      <c r="AQ325">
        <v>-44.898631000000002</v>
      </c>
      <c r="AR325">
        <v>8.2312502179962053</v>
      </c>
      <c r="AS325" t="s">
        <v>65</v>
      </c>
      <c r="AT325">
        <v>1</v>
      </c>
      <c r="AU325" t="s">
        <v>1593</v>
      </c>
      <c r="AV325" t="s">
        <v>1594</v>
      </c>
      <c r="AW325" t="s">
        <v>60</v>
      </c>
      <c r="AX325" t="s">
        <v>68</v>
      </c>
      <c r="AY325" t="s">
        <v>69</v>
      </c>
      <c r="AZ325" t="b">
        <v>1</v>
      </c>
    </row>
    <row r="326" spans="1:52" x14ac:dyDescent="0.3">
      <c r="A326" t="s">
        <v>52</v>
      </c>
      <c r="B326" t="s">
        <v>53</v>
      </c>
      <c r="C326" t="s">
        <v>54</v>
      </c>
      <c r="D326" t="s">
        <v>55</v>
      </c>
      <c r="E326" t="s">
        <v>56</v>
      </c>
      <c r="F326" t="s">
        <v>1247</v>
      </c>
      <c r="G326" t="s">
        <v>1595</v>
      </c>
      <c r="H326" t="s">
        <v>1596</v>
      </c>
      <c r="I326" t="s">
        <v>1596</v>
      </c>
      <c r="J326" t="s">
        <v>60</v>
      </c>
      <c r="K326" t="s">
        <v>530</v>
      </c>
      <c r="L326" t="s">
        <v>62</v>
      </c>
      <c r="M326" t="s">
        <v>530</v>
      </c>
      <c r="N326" t="s">
        <v>1006</v>
      </c>
      <c r="O326" t="s">
        <v>1597</v>
      </c>
      <c r="P326">
        <v>-20.139135</v>
      </c>
      <c r="Q326">
        <v>-44.895907000000001</v>
      </c>
      <c r="R326" s="2" t="str">
        <f>HYPERLINK("https://www.google.com/maps?q=-20.1391350,-44.8959070","Abrir no Google Maps")</f>
        <v>Abrir no Google Maps</v>
      </c>
      <c r="S326">
        <v>1</v>
      </c>
      <c r="T326">
        <v>324.98342996447241</v>
      </c>
      <c r="U326">
        <v>4</v>
      </c>
      <c r="V326">
        <v>0.34290516387266201</v>
      </c>
      <c r="W326">
        <v>1</v>
      </c>
      <c r="X326">
        <v>0.34290516387266201</v>
      </c>
      <c r="Y326">
        <v>588</v>
      </c>
      <c r="Z326">
        <v>411.69998599301618</v>
      </c>
      <c r="AA326">
        <v>198</v>
      </c>
      <c r="AB326">
        <v>332</v>
      </c>
      <c r="AC326">
        <v>536</v>
      </c>
      <c r="AD326">
        <v>28.41</v>
      </c>
      <c r="AE326">
        <v>542</v>
      </c>
      <c r="AF326">
        <v>20</v>
      </c>
      <c r="AG326">
        <v>180</v>
      </c>
      <c r="AH326">
        <v>129</v>
      </c>
      <c r="AI326">
        <v>3.69</v>
      </c>
      <c r="AJ326">
        <v>33.21</v>
      </c>
      <c r="AK326">
        <v>23.8</v>
      </c>
      <c r="AL326">
        <v>-20.139299649999941</v>
      </c>
      <c r="AM326">
        <v>-44.896005009217312</v>
      </c>
      <c r="AN326">
        <v>-20.139299649999941</v>
      </c>
      <c r="AO326">
        <v>-44.896005009217312</v>
      </c>
      <c r="AP326">
        <v>-20.139135</v>
      </c>
      <c r="AQ326">
        <v>-44.895907000000001</v>
      </c>
      <c r="AR326">
        <v>20.996943428875841</v>
      </c>
      <c r="AS326" t="s">
        <v>65</v>
      </c>
      <c r="AT326">
        <v>1</v>
      </c>
      <c r="AU326" t="s">
        <v>1598</v>
      </c>
      <c r="AV326" t="s">
        <v>1599</v>
      </c>
      <c r="AW326" t="s">
        <v>60</v>
      </c>
      <c r="AX326" t="s">
        <v>68</v>
      </c>
      <c r="AY326" t="s">
        <v>69</v>
      </c>
      <c r="AZ326" t="b">
        <v>1</v>
      </c>
    </row>
    <row r="327" spans="1:52" x14ac:dyDescent="0.3">
      <c r="A327" t="s">
        <v>52</v>
      </c>
      <c r="B327" t="s">
        <v>53</v>
      </c>
      <c r="C327" t="s">
        <v>54</v>
      </c>
      <c r="D327" t="s">
        <v>55</v>
      </c>
      <c r="E327" t="s">
        <v>56</v>
      </c>
      <c r="F327" t="s">
        <v>1247</v>
      </c>
      <c r="G327" t="s">
        <v>1342</v>
      </c>
      <c r="H327" t="s">
        <v>1600</v>
      </c>
      <c r="I327" t="s">
        <v>1600</v>
      </c>
      <c r="J327" t="s">
        <v>60</v>
      </c>
      <c r="K327" t="s">
        <v>462</v>
      </c>
      <c r="L327" t="s">
        <v>62</v>
      </c>
      <c r="M327" t="s">
        <v>462</v>
      </c>
      <c r="N327" t="s">
        <v>921</v>
      </c>
      <c r="O327" t="s">
        <v>1601</v>
      </c>
      <c r="P327">
        <v>-20.140741999999999</v>
      </c>
      <c r="Q327">
        <v>-44.902729000000001</v>
      </c>
      <c r="R327" s="2" t="str">
        <f>HYPERLINK("https://www.google.com/maps?q=-20.1407420,-44.9027290","Abrir no Google Maps")</f>
        <v>Abrir no Google Maps</v>
      </c>
      <c r="S327">
        <v>1</v>
      </c>
      <c r="T327">
        <v>373.97936588503438</v>
      </c>
      <c r="U327">
        <v>4</v>
      </c>
      <c r="V327">
        <v>0.32122722811949722</v>
      </c>
      <c r="W327">
        <v>1</v>
      </c>
      <c r="X327">
        <v>0.32122722811949722</v>
      </c>
      <c r="Y327">
        <v>588</v>
      </c>
      <c r="Z327">
        <v>427.55758539734131</v>
      </c>
      <c r="AA327">
        <v>198</v>
      </c>
      <c r="AB327">
        <v>332</v>
      </c>
      <c r="AC327">
        <v>536</v>
      </c>
      <c r="AD327">
        <v>28.41</v>
      </c>
      <c r="AE327">
        <v>542</v>
      </c>
      <c r="AF327">
        <v>20</v>
      </c>
      <c r="AG327">
        <v>180</v>
      </c>
      <c r="AH327">
        <v>129</v>
      </c>
      <c r="AI327">
        <v>3.69</v>
      </c>
      <c r="AJ327">
        <v>33.21</v>
      </c>
      <c r="AK327">
        <v>23.8</v>
      </c>
      <c r="AL327">
        <v>-20.140729549999971</v>
      </c>
      <c r="AM327">
        <v>-44.902779454814521</v>
      </c>
      <c r="AN327">
        <v>-20.140729549999971</v>
      </c>
      <c r="AO327">
        <v>-44.902779454814521</v>
      </c>
      <c r="AP327">
        <v>-20.140741999999999</v>
      </c>
      <c r="AQ327">
        <v>-44.902729000000001</v>
      </c>
      <c r="AR327">
        <v>5.4522610212697993</v>
      </c>
      <c r="AS327" t="s">
        <v>65</v>
      </c>
      <c r="AT327">
        <v>1</v>
      </c>
      <c r="AU327" t="s">
        <v>1602</v>
      </c>
      <c r="AV327" t="s">
        <v>1603</v>
      </c>
      <c r="AW327" t="s">
        <v>60</v>
      </c>
      <c r="AX327" t="s">
        <v>68</v>
      </c>
      <c r="AY327" t="s">
        <v>69</v>
      </c>
      <c r="AZ327" t="b">
        <v>1</v>
      </c>
    </row>
    <row r="328" spans="1:52" x14ac:dyDescent="0.3">
      <c r="A328" t="s">
        <v>52</v>
      </c>
      <c r="B328" t="s">
        <v>53</v>
      </c>
      <c r="C328" t="s">
        <v>54</v>
      </c>
      <c r="D328" t="s">
        <v>55</v>
      </c>
      <c r="E328" t="s">
        <v>56</v>
      </c>
      <c r="F328" t="s">
        <v>1247</v>
      </c>
      <c r="G328" t="s">
        <v>1584</v>
      </c>
      <c r="H328" t="s">
        <v>1604</v>
      </c>
      <c r="I328" t="s">
        <v>1604</v>
      </c>
      <c r="J328" t="s">
        <v>60</v>
      </c>
      <c r="K328" t="s">
        <v>530</v>
      </c>
      <c r="L328" t="s">
        <v>62</v>
      </c>
      <c r="M328" t="s">
        <v>530</v>
      </c>
      <c r="N328" t="s">
        <v>406</v>
      </c>
      <c r="O328" t="s">
        <v>1267</v>
      </c>
      <c r="P328">
        <v>-20.147068000000001</v>
      </c>
      <c r="Q328">
        <v>-44.898629999999997</v>
      </c>
      <c r="R328" s="2" t="str">
        <f>HYPERLINK("https://www.google.com/maps?q=-20.1470680,-44.8986300","Abrir no Google Maps")</f>
        <v>Abrir no Google Maps</v>
      </c>
      <c r="S328">
        <v>1</v>
      </c>
      <c r="T328">
        <v>468.5580266389448</v>
      </c>
      <c r="U328">
        <v>4</v>
      </c>
      <c r="V328">
        <v>0.3281998150140879</v>
      </c>
      <c r="W328">
        <v>1</v>
      </c>
      <c r="X328">
        <v>0.3281998150140879</v>
      </c>
      <c r="Y328">
        <v>556</v>
      </c>
      <c r="Z328">
        <v>447.77738134922419</v>
      </c>
      <c r="AA328">
        <v>198</v>
      </c>
      <c r="AB328">
        <v>332</v>
      </c>
      <c r="AC328">
        <v>536</v>
      </c>
      <c r="AD328">
        <v>28.41</v>
      </c>
      <c r="AE328">
        <v>542</v>
      </c>
      <c r="AF328">
        <v>20</v>
      </c>
      <c r="AG328">
        <v>180</v>
      </c>
      <c r="AH328">
        <v>129</v>
      </c>
      <c r="AI328">
        <v>3.69</v>
      </c>
      <c r="AJ328">
        <v>33.21</v>
      </c>
      <c r="AK328">
        <v>23.8</v>
      </c>
      <c r="AL328">
        <v>-20.14701759999997</v>
      </c>
      <c r="AM328">
        <v>-44.898633710342303</v>
      </c>
      <c r="AN328">
        <v>-20.14701759999997</v>
      </c>
      <c r="AO328">
        <v>-44.898633710342303</v>
      </c>
      <c r="AP328">
        <v>-20.147068000000001</v>
      </c>
      <c r="AQ328">
        <v>-44.898629999999997</v>
      </c>
      <c r="AR328">
        <v>5.6239118246064832</v>
      </c>
      <c r="AS328" t="s">
        <v>65</v>
      </c>
      <c r="AT328">
        <v>1</v>
      </c>
      <c r="AU328" t="s">
        <v>1605</v>
      </c>
      <c r="AV328" t="s">
        <v>1606</v>
      </c>
      <c r="AW328" t="s">
        <v>60</v>
      </c>
      <c r="AX328" t="s">
        <v>68</v>
      </c>
      <c r="AY328" t="s">
        <v>69</v>
      </c>
      <c r="AZ328" t="b">
        <v>1</v>
      </c>
    </row>
    <row r="329" spans="1:52" x14ac:dyDescent="0.3">
      <c r="A329" t="s">
        <v>52</v>
      </c>
      <c r="B329" t="s">
        <v>53</v>
      </c>
      <c r="C329" t="s">
        <v>54</v>
      </c>
      <c r="D329" t="s">
        <v>55</v>
      </c>
      <c r="E329" t="s">
        <v>56</v>
      </c>
      <c r="F329" t="s">
        <v>1247</v>
      </c>
      <c r="G329" t="s">
        <v>1607</v>
      </c>
      <c r="H329" t="s">
        <v>1608</v>
      </c>
      <c r="I329" t="s">
        <v>1608</v>
      </c>
      <c r="J329" t="s">
        <v>60</v>
      </c>
      <c r="K329" t="s">
        <v>1486</v>
      </c>
      <c r="L329" t="s">
        <v>62</v>
      </c>
      <c r="M329" t="s">
        <v>1486</v>
      </c>
      <c r="N329" t="s">
        <v>1609</v>
      </c>
      <c r="O329" t="s">
        <v>1255</v>
      </c>
      <c r="P329">
        <v>-20.157689000000001</v>
      </c>
      <c r="Q329">
        <v>-44.883887000000001</v>
      </c>
      <c r="R329" s="2" t="str">
        <f>HYPERLINK("https://www.google.com/maps?q=-20.1576890,-44.8838870","Abrir no Google Maps")</f>
        <v>Abrir no Google Maps</v>
      </c>
      <c r="S329">
        <v>1</v>
      </c>
      <c r="T329">
        <v>603.38424821205774</v>
      </c>
      <c r="U329">
        <v>3</v>
      </c>
      <c r="V329">
        <v>0.28498657794366927</v>
      </c>
      <c r="W329">
        <v>1</v>
      </c>
      <c r="X329">
        <v>0.28498657794366927</v>
      </c>
      <c r="Y329">
        <v>671</v>
      </c>
      <c r="Z329">
        <v>682.48636898467089</v>
      </c>
      <c r="AA329">
        <v>198</v>
      </c>
      <c r="AB329">
        <v>332</v>
      </c>
      <c r="AC329">
        <v>536</v>
      </c>
      <c r="AD329">
        <v>28.41</v>
      </c>
      <c r="AE329">
        <v>542</v>
      </c>
      <c r="AF329">
        <v>20</v>
      </c>
      <c r="AG329">
        <v>180</v>
      </c>
      <c r="AH329">
        <v>129</v>
      </c>
      <c r="AI329">
        <v>3.69</v>
      </c>
      <c r="AJ329">
        <v>33.21</v>
      </c>
      <c r="AK329">
        <v>23.8</v>
      </c>
      <c r="AL329">
        <v>-20.157732249999949</v>
      </c>
      <c r="AM329">
        <v>-44.883829923283272</v>
      </c>
      <c r="AN329">
        <v>-20.157732249999949</v>
      </c>
      <c r="AO329">
        <v>-44.883829923283272</v>
      </c>
      <c r="AP329">
        <v>-20.157689000000001</v>
      </c>
      <c r="AQ329">
        <v>-44.883887000000001</v>
      </c>
      <c r="AR329">
        <v>7.6652901074925257</v>
      </c>
      <c r="AS329" t="s">
        <v>65</v>
      </c>
      <c r="AT329">
        <v>1</v>
      </c>
      <c r="AU329" t="s">
        <v>1610</v>
      </c>
      <c r="AV329" t="s">
        <v>1611</v>
      </c>
      <c r="AW329" t="s">
        <v>60</v>
      </c>
      <c r="AX329" t="s">
        <v>68</v>
      </c>
      <c r="AY329" t="s">
        <v>69</v>
      </c>
      <c r="AZ329" t="b">
        <v>1</v>
      </c>
    </row>
    <row r="330" spans="1:52" x14ac:dyDescent="0.3">
      <c r="A330" t="s">
        <v>52</v>
      </c>
      <c r="B330" t="s">
        <v>53</v>
      </c>
      <c r="C330" t="s">
        <v>54</v>
      </c>
      <c r="D330" t="s">
        <v>55</v>
      </c>
      <c r="E330" t="s">
        <v>56</v>
      </c>
      <c r="F330" t="s">
        <v>1247</v>
      </c>
      <c r="G330" t="s">
        <v>1612</v>
      </c>
      <c r="H330" t="s">
        <v>1613</v>
      </c>
      <c r="I330" t="s">
        <v>1613</v>
      </c>
      <c r="J330" t="s">
        <v>60</v>
      </c>
      <c r="K330" t="s">
        <v>1349</v>
      </c>
      <c r="L330" t="s">
        <v>62</v>
      </c>
      <c r="M330" t="s">
        <v>1349</v>
      </c>
      <c r="N330" t="s">
        <v>1614</v>
      </c>
      <c r="O330" t="s">
        <v>710</v>
      </c>
      <c r="P330">
        <v>-20.141335999999999</v>
      </c>
      <c r="Q330">
        <v>-44.901133000000002</v>
      </c>
      <c r="R330" s="2" t="str">
        <f>HYPERLINK("https://www.google.com/maps?q=-20.1413360,-44.9011330","Abrir no Google Maps")</f>
        <v>Abrir no Google Maps</v>
      </c>
      <c r="S330">
        <v>1</v>
      </c>
      <c r="T330">
        <v>257.92927430829218</v>
      </c>
      <c r="U330">
        <v>3</v>
      </c>
      <c r="V330">
        <v>0.32675111105278748</v>
      </c>
      <c r="W330">
        <v>0.85</v>
      </c>
      <c r="X330">
        <v>0.27773844439486928</v>
      </c>
      <c r="Y330">
        <v>588</v>
      </c>
      <c r="Z330">
        <v>252.62617475231269</v>
      </c>
      <c r="AA330">
        <v>198</v>
      </c>
      <c r="AB330">
        <v>332</v>
      </c>
      <c r="AC330">
        <v>536</v>
      </c>
      <c r="AD330">
        <v>28.41</v>
      </c>
      <c r="AE330">
        <v>542</v>
      </c>
      <c r="AF330">
        <v>20</v>
      </c>
      <c r="AG330">
        <v>180</v>
      </c>
      <c r="AH330">
        <v>129</v>
      </c>
      <c r="AI330">
        <v>3.69</v>
      </c>
      <c r="AJ330">
        <v>33.21</v>
      </c>
      <c r="AK330">
        <v>23.8</v>
      </c>
      <c r="AL330">
        <v>-20.141297649999959</v>
      </c>
      <c r="AM330">
        <v>-44.901104406351408</v>
      </c>
      <c r="AN330">
        <v>-20.141297649999959</v>
      </c>
      <c r="AO330">
        <v>-44.901104406351408</v>
      </c>
      <c r="AP330">
        <v>-20.141335999999999</v>
      </c>
      <c r="AQ330">
        <v>-44.901133000000002</v>
      </c>
      <c r="AR330">
        <v>5.211130154459668</v>
      </c>
      <c r="AS330" t="s">
        <v>65</v>
      </c>
      <c r="AT330">
        <v>1</v>
      </c>
      <c r="AU330" t="s">
        <v>1615</v>
      </c>
      <c r="AV330" t="s">
        <v>1616</v>
      </c>
      <c r="AW330" t="s">
        <v>60</v>
      </c>
      <c r="AX330" t="s">
        <v>68</v>
      </c>
      <c r="AY330" t="s">
        <v>69</v>
      </c>
      <c r="AZ330" t="b">
        <v>1</v>
      </c>
    </row>
    <row r="331" spans="1:52" x14ac:dyDescent="0.3">
      <c r="A331" t="s">
        <v>52</v>
      </c>
      <c r="B331" t="s">
        <v>53</v>
      </c>
      <c r="C331" t="s">
        <v>54</v>
      </c>
      <c r="D331" t="s">
        <v>55</v>
      </c>
      <c r="E331" t="s">
        <v>1617</v>
      </c>
      <c r="F331" t="s">
        <v>57</v>
      </c>
      <c r="G331" t="s">
        <v>219</v>
      </c>
      <c r="H331" t="s">
        <v>220</v>
      </c>
      <c r="I331" t="s">
        <v>220</v>
      </c>
      <c r="J331" t="s">
        <v>60</v>
      </c>
      <c r="K331" t="s">
        <v>214</v>
      </c>
      <c r="L331" t="s">
        <v>62</v>
      </c>
      <c r="M331" t="s">
        <v>214</v>
      </c>
      <c r="N331" t="s">
        <v>221</v>
      </c>
      <c r="O331" t="s">
        <v>222</v>
      </c>
      <c r="P331">
        <v>-20.158049999999999</v>
      </c>
      <c r="Q331">
        <v>-44.868823999999996</v>
      </c>
      <c r="R331" s="2" t="str">
        <f>HYPERLINK("https://www.google.com/maps?q=-20.1580500,-44.8688240","Abrir no Google Maps")</f>
        <v>Abrir no Google Maps</v>
      </c>
      <c r="S331">
        <v>4</v>
      </c>
      <c r="T331">
        <v>400.85705002223079</v>
      </c>
      <c r="U331">
        <v>4</v>
      </c>
      <c r="V331">
        <v>0.437227414330218</v>
      </c>
      <c r="W331">
        <v>1</v>
      </c>
      <c r="X331">
        <v>0.437227414330218</v>
      </c>
      <c r="Y331">
        <v>531</v>
      </c>
      <c r="Z331">
        <v>493.98501624607121</v>
      </c>
      <c r="AA331">
        <v>198</v>
      </c>
      <c r="AB331">
        <v>332</v>
      </c>
      <c r="AC331">
        <v>536</v>
      </c>
      <c r="AD331">
        <v>33.19</v>
      </c>
      <c r="AE331">
        <v>542</v>
      </c>
      <c r="AF331">
        <v>42</v>
      </c>
      <c r="AG331">
        <v>173</v>
      </c>
      <c r="AH331">
        <v>129</v>
      </c>
      <c r="AI331">
        <v>7.75</v>
      </c>
      <c r="AJ331">
        <v>31.92</v>
      </c>
      <c r="AK331">
        <v>23.8</v>
      </c>
      <c r="AL331">
        <v>-20.158020649999969</v>
      </c>
      <c r="AM331">
        <v>-44.868748475381317</v>
      </c>
      <c r="AN331">
        <v>-20.158020649999969</v>
      </c>
      <c r="AO331">
        <v>-44.868748475381331</v>
      </c>
      <c r="AP331">
        <v>-20.158049999999999</v>
      </c>
      <c r="AQ331">
        <v>-44.868823999999996</v>
      </c>
      <c r="AR331">
        <v>8.5419571471718818</v>
      </c>
      <c r="AS331" t="s">
        <v>65</v>
      </c>
      <c r="AT331">
        <v>1</v>
      </c>
      <c r="AU331" t="s">
        <v>223</v>
      </c>
      <c r="AV331" t="s">
        <v>224</v>
      </c>
      <c r="AW331" t="s">
        <v>60</v>
      </c>
      <c r="AX331" t="s">
        <v>68</v>
      </c>
      <c r="AY331" t="s">
        <v>69</v>
      </c>
      <c r="AZ331" t="b">
        <v>1</v>
      </c>
    </row>
    <row r="332" spans="1:52" x14ac:dyDescent="0.3">
      <c r="A332" t="s">
        <v>52</v>
      </c>
      <c r="B332" t="s">
        <v>53</v>
      </c>
      <c r="C332" t="s">
        <v>54</v>
      </c>
      <c r="D332" t="s">
        <v>55</v>
      </c>
      <c r="E332" t="s">
        <v>1617</v>
      </c>
      <c r="F332" t="s">
        <v>57</v>
      </c>
      <c r="G332" t="s">
        <v>225</v>
      </c>
      <c r="H332" t="s">
        <v>226</v>
      </c>
      <c r="I332" t="s">
        <v>226</v>
      </c>
      <c r="J332" t="s">
        <v>60</v>
      </c>
      <c r="K332" t="s">
        <v>227</v>
      </c>
      <c r="L332" t="s">
        <v>62</v>
      </c>
      <c r="M332" t="s">
        <v>227</v>
      </c>
      <c r="N332" t="s">
        <v>228</v>
      </c>
      <c r="O332" t="s">
        <v>229</v>
      </c>
      <c r="P332">
        <v>-20.156986</v>
      </c>
      <c r="Q332">
        <v>-44.857474000000003</v>
      </c>
      <c r="R332" s="2" t="str">
        <f>HYPERLINK("https://www.google.com/maps?q=-20.1569860,-44.8574740","Abrir no Google Maps")</f>
        <v>Abrir no Google Maps</v>
      </c>
      <c r="S332">
        <v>4</v>
      </c>
      <c r="T332">
        <v>270.52797591847911</v>
      </c>
      <c r="U332">
        <v>4</v>
      </c>
      <c r="V332">
        <v>0.45093270281053571</v>
      </c>
      <c r="W332">
        <v>1</v>
      </c>
      <c r="X332">
        <v>0.45093270281053571</v>
      </c>
      <c r="Y332">
        <v>518</v>
      </c>
      <c r="Z332">
        <v>441.86584449256071</v>
      </c>
      <c r="AA332">
        <v>198</v>
      </c>
      <c r="AB332">
        <v>332</v>
      </c>
      <c r="AC332">
        <v>536</v>
      </c>
      <c r="AD332">
        <v>33.19</v>
      </c>
      <c r="AE332">
        <v>542</v>
      </c>
      <c r="AF332">
        <v>42</v>
      </c>
      <c r="AG332">
        <v>173</v>
      </c>
      <c r="AH332">
        <v>129</v>
      </c>
      <c r="AI332">
        <v>7.75</v>
      </c>
      <c r="AJ332">
        <v>31.92</v>
      </c>
      <c r="AK332">
        <v>23.8</v>
      </c>
      <c r="AL332">
        <v>-20.156957249999952</v>
      </c>
      <c r="AM332">
        <v>-44.857396682659299</v>
      </c>
      <c r="AN332">
        <v>-20.156957249999952</v>
      </c>
      <c r="AO332">
        <v>-44.857396682659299</v>
      </c>
      <c r="AP332">
        <v>-20.156986</v>
      </c>
      <c r="AQ332">
        <v>-44.857474000000003</v>
      </c>
      <c r="AR332">
        <v>8.6905800579264607</v>
      </c>
      <c r="AS332" t="s">
        <v>65</v>
      </c>
      <c r="AT332">
        <v>1</v>
      </c>
      <c r="AU332" t="s">
        <v>230</v>
      </c>
      <c r="AV332" t="s">
        <v>231</v>
      </c>
      <c r="AW332" t="s">
        <v>60</v>
      </c>
      <c r="AX332" t="s">
        <v>68</v>
      </c>
      <c r="AY332" t="s">
        <v>69</v>
      </c>
      <c r="AZ332" t="b">
        <v>1</v>
      </c>
    </row>
    <row r="333" spans="1:52" x14ac:dyDescent="0.3">
      <c r="A333" t="s">
        <v>52</v>
      </c>
      <c r="B333" t="s">
        <v>53</v>
      </c>
      <c r="C333" t="s">
        <v>54</v>
      </c>
      <c r="D333" t="s">
        <v>55</v>
      </c>
      <c r="E333" t="s">
        <v>1617</v>
      </c>
      <c r="F333" t="s">
        <v>57</v>
      </c>
      <c r="G333" t="s">
        <v>238</v>
      </c>
      <c r="H333" t="s">
        <v>239</v>
      </c>
      <c r="I333" t="s">
        <v>239</v>
      </c>
      <c r="J333" t="s">
        <v>60</v>
      </c>
      <c r="K333" t="s">
        <v>227</v>
      </c>
      <c r="L333" t="s">
        <v>62</v>
      </c>
      <c r="M333" t="s">
        <v>227</v>
      </c>
      <c r="N333" t="s">
        <v>240</v>
      </c>
      <c r="O333" t="s">
        <v>202</v>
      </c>
      <c r="P333">
        <v>-20.155833999999999</v>
      </c>
      <c r="Q333">
        <v>-44.859437999999997</v>
      </c>
      <c r="R333" s="2" t="str">
        <f>HYPERLINK("https://www.google.com/maps?q=-20.1558340,-44.8594380","Abrir no Google Maps")</f>
        <v>Abrir no Google Maps</v>
      </c>
      <c r="S333">
        <v>4</v>
      </c>
      <c r="T333">
        <v>381.00646482339403</v>
      </c>
      <c r="U333">
        <v>4</v>
      </c>
      <c r="V333">
        <v>0.44545029239766071</v>
      </c>
      <c r="W333">
        <v>1</v>
      </c>
      <c r="X333">
        <v>0.44545029239766071</v>
      </c>
      <c r="Y333">
        <v>518</v>
      </c>
      <c r="Z333">
        <v>484.9275363207239</v>
      </c>
      <c r="AA333">
        <v>198</v>
      </c>
      <c r="AB333">
        <v>332</v>
      </c>
      <c r="AC333">
        <v>536</v>
      </c>
      <c r="AD333">
        <v>33.19</v>
      </c>
      <c r="AE333">
        <v>542</v>
      </c>
      <c r="AF333">
        <v>42</v>
      </c>
      <c r="AG333">
        <v>173</v>
      </c>
      <c r="AH333">
        <v>129</v>
      </c>
      <c r="AI333">
        <v>7.75</v>
      </c>
      <c r="AJ333">
        <v>31.92</v>
      </c>
      <c r="AK333">
        <v>23.8</v>
      </c>
      <c r="AL333">
        <v>-20.155935399999979</v>
      </c>
      <c r="AM333">
        <v>-44.859367525422847</v>
      </c>
      <c r="AN333">
        <v>-20.155935399999979</v>
      </c>
      <c r="AO333">
        <v>-44.859367525422847</v>
      </c>
      <c r="AP333">
        <v>-20.155833999999999</v>
      </c>
      <c r="AQ333">
        <v>-44.859437999999997</v>
      </c>
      <c r="AR333">
        <v>13.477960508152201</v>
      </c>
      <c r="AS333" t="s">
        <v>65</v>
      </c>
      <c r="AT333">
        <v>1</v>
      </c>
      <c r="AU333" t="s">
        <v>241</v>
      </c>
      <c r="AV333" t="s">
        <v>242</v>
      </c>
      <c r="AW333" t="s">
        <v>60</v>
      </c>
      <c r="AX333" t="s">
        <v>68</v>
      </c>
      <c r="AY333" t="s">
        <v>69</v>
      </c>
      <c r="AZ333" t="b">
        <v>1</v>
      </c>
    </row>
    <row r="334" spans="1:52" x14ac:dyDescent="0.3">
      <c r="A334" t="s">
        <v>52</v>
      </c>
      <c r="B334" t="s">
        <v>53</v>
      </c>
      <c r="C334" t="s">
        <v>54</v>
      </c>
      <c r="D334" t="s">
        <v>55</v>
      </c>
      <c r="E334" t="s">
        <v>1617</v>
      </c>
      <c r="F334" t="s">
        <v>57</v>
      </c>
      <c r="G334" t="s">
        <v>1618</v>
      </c>
      <c r="H334" t="s">
        <v>1619</v>
      </c>
      <c r="I334" t="s">
        <v>1619</v>
      </c>
      <c r="J334" t="s">
        <v>60</v>
      </c>
      <c r="K334" t="s">
        <v>227</v>
      </c>
      <c r="L334" t="s">
        <v>62</v>
      </c>
      <c r="M334" t="s">
        <v>227</v>
      </c>
      <c r="N334" t="s">
        <v>228</v>
      </c>
      <c r="O334" t="s">
        <v>1620</v>
      </c>
      <c r="P334">
        <v>-20.159497999999999</v>
      </c>
      <c r="Q334">
        <v>-44.852925999999997</v>
      </c>
      <c r="R334" s="2" t="str">
        <f>HYPERLINK("https://www.google.com/maps?q=-20.1594980,-44.8529260","Abrir no Google Maps")</f>
        <v>Abrir no Google Maps</v>
      </c>
      <c r="S334">
        <v>4</v>
      </c>
      <c r="T334">
        <v>560.11627509727657</v>
      </c>
      <c r="U334">
        <v>4</v>
      </c>
      <c r="V334">
        <v>0.47037920587761789</v>
      </c>
      <c r="W334">
        <v>1</v>
      </c>
      <c r="X334">
        <v>0.47037920587761789</v>
      </c>
      <c r="Y334">
        <v>491</v>
      </c>
      <c r="Z334">
        <v>609.25494989442086</v>
      </c>
      <c r="AA334">
        <v>198</v>
      </c>
      <c r="AB334">
        <v>332</v>
      </c>
      <c r="AC334">
        <v>536</v>
      </c>
      <c r="AD334">
        <v>33.19</v>
      </c>
      <c r="AE334">
        <v>542</v>
      </c>
      <c r="AF334">
        <v>42</v>
      </c>
      <c r="AG334">
        <v>173</v>
      </c>
      <c r="AH334">
        <v>129</v>
      </c>
      <c r="AI334">
        <v>7.75</v>
      </c>
      <c r="AJ334">
        <v>31.92</v>
      </c>
      <c r="AK334">
        <v>23.8</v>
      </c>
      <c r="AL334">
        <v>-20.159495399999969</v>
      </c>
      <c r="AM334">
        <v>-44.85297928977559</v>
      </c>
      <c r="AN334">
        <v>-20.159495399999969</v>
      </c>
      <c r="AO334">
        <v>-44.85297928977559</v>
      </c>
      <c r="AP334">
        <v>-20.159497999999999</v>
      </c>
      <c r="AQ334">
        <v>-44.852925999999997</v>
      </c>
      <c r="AR334">
        <v>5.5763081103260701</v>
      </c>
      <c r="AS334" t="s">
        <v>65</v>
      </c>
      <c r="AT334">
        <v>1</v>
      </c>
      <c r="AU334" t="s">
        <v>1621</v>
      </c>
      <c r="AV334" t="s">
        <v>1622</v>
      </c>
      <c r="AW334" t="s">
        <v>60</v>
      </c>
      <c r="AX334" t="s">
        <v>68</v>
      </c>
      <c r="AY334" t="s">
        <v>69</v>
      </c>
      <c r="AZ334" t="b">
        <v>1</v>
      </c>
    </row>
    <row r="335" spans="1:52" x14ac:dyDescent="0.3">
      <c r="A335" t="s">
        <v>52</v>
      </c>
      <c r="B335" t="s">
        <v>53</v>
      </c>
      <c r="C335" t="s">
        <v>54</v>
      </c>
      <c r="D335" t="s">
        <v>55</v>
      </c>
      <c r="E335" t="s">
        <v>1617</v>
      </c>
      <c r="F335" t="s">
        <v>57</v>
      </c>
      <c r="G335" t="s">
        <v>253</v>
      </c>
      <c r="H335" t="s">
        <v>254</v>
      </c>
      <c r="I335" t="s">
        <v>254</v>
      </c>
      <c r="J335" t="s">
        <v>60</v>
      </c>
      <c r="K335" t="s">
        <v>255</v>
      </c>
      <c r="L335" t="s">
        <v>62</v>
      </c>
      <c r="M335" t="s">
        <v>255</v>
      </c>
      <c r="N335" t="s">
        <v>256</v>
      </c>
      <c r="O335" t="s">
        <v>257</v>
      </c>
      <c r="P335">
        <v>-20.159638000000001</v>
      </c>
      <c r="Q335">
        <v>-44.849030999999997</v>
      </c>
      <c r="R335" s="2" t="str">
        <f>HYPERLINK("https://www.google.com/maps?q=-20.1596380,-44.8490310","Abrir no Google Maps")</f>
        <v>Abrir no Google Maps</v>
      </c>
      <c r="S335">
        <v>4</v>
      </c>
      <c r="T335">
        <v>691.81173220845892</v>
      </c>
      <c r="U335">
        <v>4</v>
      </c>
      <c r="V335">
        <v>0.47562971954883582</v>
      </c>
      <c r="W335">
        <v>1</v>
      </c>
      <c r="X335">
        <v>0.47562971954883582</v>
      </c>
      <c r="Y335">
        <v>292</v>
      </c>
      <c r="Z335">
        <v>678.56824923431736</v>
      </c>
      <c r="AA335">
        <v>198</v>
      </c>
      <c r="AB335">
        <v>332</v>
      </c>
      <c r="AC335">
        <v>536</v>
      </c>
      <c r="AD335">
        <v>33.19</v>
      </c>
      <c r="AE335">
        <v>542</v>
      </c>
      <c r="AF335">
        <v>42</v>
      </c>
      <c r="AG335">
        <v>173</v>
      </c>
      <c r="AH335">
        <v>129</v>
      </c>
      <c r="AI335">
        <v>7.75</v>
      </c>
      <c r="AJ335">
        <v>31.92</v>
      </c>
      <c r="AK335">
        <v>23.8</v>
      </c>
      <c r="AL335">
        <v>-20.159590049999959</v>
      </c>
      <c r="AM335">
        <v>-44.849181856774607</v>
      </c>
      <c r="AN335">
        <v>-20.159590049999959</v>
      </c>
      <c r="AO335">
        <v>-44.849181856774607</v>
      </c>
      <c r="AP335">
        <v>-20.159638000000001</v>
      </c>
      <c r="AQ335">
        <v>-44.849030999999997</v>
      </c>
      <c r="AR335">
        <v>16.643712040087191</v>
      </c>
      <c r="AS335" t="s">
        <v>65</v>
      </c>
      <c r="AT335">
        <v>1</v>
      </c>
      <c r="AU335" t="s">
        <v>258</v>
      </c>
      <c r="AV335" t="s">
        <v>259</v>
      </c>
      <c r="AW335" t="s">
        <v>60</v>
      </c>
      <c r="AX335" t="s">
        <v>68</v>
      </c>
      <c r="AY335" t="s">
        <v>69</v>
      </c>
      <c r="AZ335" t="b">
        <v>1</v>
      </c>
    </row>
    <row r="336" spans="1:52" x14ac:dyDescent="0.3">
      <c r="A336" t="s">
        <v>52</v>
      </c>
      <c r="B336" t="s">
        <v>53</v>
      </c>
      <c r="C336" t="s">
        <v>54</v>
      </c>
      <c r="D336" t="s">
        <v>55</v>
      </c>
      <c r="E336" t="s">
        <v>1617</v>
      </c>
      <c r="F336" t="s">
        <v>57</v>
      </c>
      <c r="G336" t="s">
        <v>1623</v>
      </c>
      <c r="H336" t="s">
        <v>1624</v>
      </c>
      <c r="I336" t="s">
        <v>1624</v>
      </c>
      <c r="J336" t="s">
        <v>60</v>
      </c>
      <c r="K336" t="s">
        <v>281</v>
      </c>
      <c r="L336" t="s">
        <v>62</v>
      </c>
      <c r="M336" t="s">
        <v>281</v>
      </c>
      <c r="N336" t="s">
        <v>1625</v>
      </c>
      <c r="O336" t="s">
        <v>1538</v>
      </c>
      <c r="P336">
        <v>-20.177247000000001</v>
      </c>
      <c r="Q336">
        <v>-44.848650999999997</v>
      </c>
      <c r="R336" s="2" t="str">
        <f>HYPERLINK("https://www.google.com/maps?q=-20.1772470,-44.8486510","Abrir no Google Maps")</f>
        <v>Abrir no Google Maps</v>
      </c>
      <c r="S336">
        <v>4</v>
      </c>
      <c r="T336">
        <v>1293.074917502197</v>
      </c>
      <c r="U336">
        <v>4</v>
      </c>
      <c r="V336">
        <v>0.51013297380178169</v>
      </c>
      <c r="W336">
        <v>1</v>
      </c>
      <c r="X336">
        <v>0.51013297380178169</v>
      </c>
      <c r="Y336">
        <v>292</v>
      </c>
      <c r="Z336">
        <v>1225.3954943545491</v>
      </c>
      <c r="AA336">
        <v>198</v>
      </c>
      <c r="AB336">
        <v>332</v>
      </c>
      <c r="AC336">
        <v>536</v>
      </c>
      <c r="AD336">
        <v>33.19</v>
      </c>
      <c r="AE336">
        <v>542</v>
      </c>
      <c r="AF336">
        <v>42</v>
      </c>
      <c r="AG336">
        <v>173</v>
      </c>
      <c r="AH336">
        <v>129</v>
      </c>
      <c r="AI336">
        <v>7.75</v>
      </c>
      <c r="AJ336">
        <v>31.92</v>
      </c>
      <c r="AK336">
        <v>23.8</v>
      </c>
      <c r="AL336">
        <v>-20.17729789999996</v>
      </c>
      <c r="AM336">
        <v>-44.848543982702637</v>
      </c>
      <c r="AN336">
        <v>-20.17729789999996</v>
      </c>
      <c r="AO336">
        <v>-44.848543982702637</v>
      </c>
      <c r="AP336">
        <v>-20.177247000000001</v>
      </c>
      <c r="AQ336">
        <v>-44.848650999999997</v>
      </c>
      <c r="AR336">
        <v>12.53570773213052</v>
      </c>
      <c r="AS336" t="s">
        <v>65</v>
      </c>
      <c r="AT336">
        <v>1</v>
      </c>
      <c r="AU336" t="s">
        <v>1626</v>
      </c>
      <c r="AV336" t="s">
        <v>1627</v>
      </c>
      <c r="AW336" t="s">
        <v>60</v>
      </c>
      <c r="AX336" t="s">
        <v>68</v>
      </c>
      <c r="AY336" t="s">
        <v>69</v>
      </c>
      <c r="AZ336" t="b">
        <v>1</v>
      </c>
    </row>
    <row r="337" spans="1:52" x14ac:dyDescent="0.3">
      <c r="A337" t="s">
        <v>52</v>
      </c>
      <c r="B337" t="s">
        <v>53</v>
      </c>
      <c r="C337" t="s">
        <v>54</v>
      </c>
      <c r="D337" t="s">
        <v>55</v>
      </c>
      <c r="E337" t="s">
        <v>1617</v>
      </c>
      <c r="F337" t="s">
        <v>57</v>
      </c>
      <c r="G337" t="s">
        <v>260</v>
      </c>
      <c r="H337" t="s">
        <v>261</v>
      </c>
      <c r="I337" t="s">
        <v>261</v>
      </c>
      <c r="J337" t="s">
        <v>60</v>
      </c>
      <c r="K337" t="s">
        <v>262</v>
      </c>
      <c r="L337" t="s">
        <v>62</v>
      </c>
      <c r="M337" t="s">
        <v>262</v>
      </c>
      <c r="N337" t="s">
        <v>263</v>
      </c>
      <c r="O337" t="s">
        <v>264</v>
      </c>
      <c r="P337">
        <v>-20.162230000000001</v>
      </c>
      <c r="Q337">
        <v>-44.850189</v>
      </c>
      <c r="R337" s="2" t="str">
        <f>HYPERLINK("https://www.google.com/maps?q=-20.1622300,-44.8501890","Abrir no Google Maps")</f>
        <v>Abrir no Google Maps</v>
      </c>
      <c r="S337">
        <v>4</v>
      </c>
      <c r="T337">
        <v>485.03737650296068</v>
      </c>
      <c r="U337">
        <v>4</v>
      </c>
      <c r="V337">
        <v>0.4707874865156419</v>
      </c>
      <c r="W337">
        <v>1</v>
      </c>
      <c r="X337">
        <v>0.4707874865156419</v>
      </c>
      <c r="Y337">
        <v>292</v>
      </c>
      <c r="Z337">
        <v>461.03925198673232</v>
      </c>
      <c r="AA337">
        <v>198</v>
      </c>
      <c r="AB337">
        <v>332</v>
      </c>
      <c r="AC337">
        <v>536</v>
      </c>
      <c r="AD337">
        <v>33.19</v>
      </c>
      <c r="AE337">
        <v>542</v>
      </c>
      <c r="AF337">
        <v>42</v>
      </c>
      <c r="AG337">
        <v>173</v>
      </c>
      <c r="AH337">
        <v>129</v>
      </c>
      <c r="AI337">
        <v>7.75</v>
      </c>
      <c r="AJ337">
        <v>31.92</v>
      </c>
      <c r="AK337">
        <v>23.8</v>
      </c>
      <c r="AL337">
        <v>-20.162067849999971</v>
      </c>
      <c r="AM337">
        <v>-44.850230909322903</v>
      </c>
      <c r="AN337">
        <v>-20.162067849999971</v>
      </c>
      <c r="AO337">
        <v>-44.850230909322903</v>
      </c>
      <c r="AP337">
        <v>-20.162230000000001</v>
      </c>
      <c r="AQ337">
        <v>-44.850189</v>
      </c>
      <c r="AR337">
        <v>18.574218491036259</v>
      </c>
      <c r="AS337" t="s">
        <v>65</v>
      </c>
      <c r="AT337">
        <v>1</v>
      </c>
      <c r="AU337" t="s">
        <v>265</v>
      </c>
      <c r="AV337" t="s">
        <v>266</v>
      </c>
      <c r="AW337" t="s">
        <v>60</v>
      </c>
      <c r="AX337" t="s">
        <v>68</v>
      </c>
      <c r="AY337" t="s">
        <v>69</v>
      </c>
      <c r="AZ337" t="b">
        <v>1</v>
      </c>
    </row>
    <row r="338" spans="1:52" x14ac:dyDescent="0.3">
      <c r="A338" t="s">
        <v>52</v>
      </c>
      <c r="B338" t="s">
        <v>53</v>
      </c>
      <c r="C338" t="s">
        <v>54</v>
      </c>
      <c r="D338" t="s">
        <v>55</v>
      </c>
      <c r="E338" t="s">
        <v>1617</v>
      </c>
      <c r="F338" t="s">
        <v>57</v>
      </c>
      <c r="G338" t="s">
        <v>1628</v>
      </c>
      <c r="H338" t="s">
        <v>1629</v>
      </c>
      <c r="I338" t="s">
        <v>1629</v>
      </c>
      <c r="J338" t="s">
        <v>60</v>
      </c>
      <c r="K338" t="s">
        <v>136</v>
      </c>
      <c r="L338" t="s">
        <v>62</v>
      </c>
      <c r="M338" t="s">
        <v>136</v>
      </c>
      <c r="N338" t="s">
        <v>1630</v>
      </c>
      <c r="O338" t="s">
        <v>103</v>
      </c>
      <c r="P338">
        <v>-20.169488999999999</v>
      </c>
      <c r="Q338">
        <v>-44.848812000000002</v>
      </c>
      <c r="R338" s="2" t="str">
        <f>HYPERLINK("https://www.google.com/maps?q=-20.1694890,-44.8488120","Abrir no Google Maps")</f>
        <v>Abrir no Google Maps</v>
      </c>
      <c r="S338">
        <v>4</v>
      </c>
      <c r="T338">
        <v>426.92881761579793</v>
      </c>
      <c r="U338">
        <v>4</v>
      </c>
      <c r="V338">
        <v>0.5069387055922101</v>
      </c>
      <c r="W338">
        <v>1</v>
      </c>
      <c r="X338">
        <v>0.5069387055922101</v>
      </c>
      <c r="Y338">
        <v>292</v>
      </c>
      <c r="Z338">
        <v>345.01829288722871</v>
      </c>
      <c r="AA338">
        <v>198</v>
      </c>
      <c r="AB338">
        <v>332</v>
      </c>
      <c r="AC338">
        <v>536</v>
      </c>
      <c r="AD338">
        <v>33.19</v>
      </c>
      <c r="AE338">
        <v>542</v>
      </c>
      <c r="AF338">
        <v>42</v>
      </c>
      <c r="AG338">
        <v>173</v>
      </c>
      <c r="AH338">
        <v>129</v>
      </c>
      <c r="AI338">
        <v>7.75</v>
      </c>
      <c r="AJ338">
        <v>31.92</v>
      </c>
      <c r="AK338">
        <v>23.8</v>
      </c>
      <c r="AL338">
        <v>-20.169293749999959</v>
      </c>
      <c r="AM338">
        <v>-44.848899945665508</v>
      </c>
      <c r="AN338">
        <v>-20.169293749999959</v>
      </c>
      <c r="AO338">
        <v>-44.848899945665508</v>
      </c>
      <c r="AP338">
        <v>-20.169488999999999</v>
      </c>
      <c r="AQ338">
        <v>-44.848812000000002</v>
      </c>
      <c r="AR338">
        <v>23.598134321543789</v>
      </c>
      <c r="AS338" t="s">
        <v>65</v>
      </c>
      <c r="AT338">
        <v>1</v>
      </c>
      <c r="AU338" t="s">
        <v>1631</v>
      </c>
      <c r="AV338" t="s">
        <v>1632</v>
      </c>
      <c r="AW338" t="s">
        <v>60</v>
      </c>
      <c r="AX338" t="s">
        <v>68</v>
      </c>
      <c r="AY338" t="s">
        <v>69</v>
      </c>
      <c r="AZ338" t="b">
        <v>1</v>
      </c>
    </row>
    <row r="339" spans="1:52" x14ac:dyDescent="0.3">
      <c r="A339" t="s">
        <v>52</v>
      </c>
      <c r="B339" t="s">
        <v>53</v>
      </c>
      <c r="C339" t="s">
        <v>54</v>
      </c>
      <c r="D339" t="s">
        <v>55</v>
      </c>
      <c r="E339" t="s">
        <v>1617</v>
      </c>
      <c r="F339" t="s">
        <v>57</v>
      </c>
      <c r="G339" t="s">
        <v>267</v>
      </c>
      <c r="H339" t="s">
        <v>268</v>
      </c>
      <c r="I339" t="s">
        <v>268</v>
      </c>
      <c r="J339" t="s">
        <v>60</v>
      </c>
      <c r="K339" t="s">
        <v>150</v>
      </c>
      <c r="L339" t="s">
        <v>62</v>
      </c>
      <c r="M339" t="s">
        <v>150</v>
      </c>
      <c r="N339" t="s">
        <v>269</v>
      </c>
      <c r="O339" t="s">
        <v>270</v>
      </c>
      <c r="P339">
        <v>-20.172367999999999</v>
      </c>
      <c r="Q339">
        <v>-44.848661</v>
      </c>
      <c r="R339" s="2" t="str">
        <f>HYPERLINK("https://www.google.com/maps?q=-20.1723680,-44.8486610","Abrir no Google Maps")</f>
        <v>Abrir no Google Maps</v>
      </c>
      <c r="S339">
        <v>4</v>
      </c>
      <c r="T339">
        <v>759.75892180950234</v>
      </c>
      <c r="U339">
        <v>4</v>
      </c>
      <c r="V339">
        <v>0.5083606605349289</v>
      </c>
      <c r="W339">
        <v>1</v>
      </c>
      <c r="X339">
        <v>0.5083606605349289</v>
      </c>
      <c r="Y339">
        <v>292</v>
      </c>
      <c r="Z339">
        <v>735.80511761487242</v>
      </c>
      <c r="AA339">
        <v>198</v>
      </c>
      <c r="AB339">
        <v>332</v>
      </c>
      <c r="AC339">
        <v>536</v>
      </c>
      <c r="AD339">
        <v>33.19</v>
      </c>
      <c r="AE339">
        <v>542</v>
      </c>
      <c r="AF339">
        <v>42</v>
      </c>
      <c r="AG339">
        <v>173</v>
      </c>
      <c r="AH339">
        <v>129</v>
      </c>
      <c r="AI339">
        <v>7.75</v>
      </c>
      <c r="AJ339">
        <v>31.92</v>
      </c>
      <c r="AK339">
        <v>23.8</v>
      </c>
      <c r="AL339">
        <v>-20.172435999999951</v>
      </c>
      <c r="AM339">
        <v>-44.84866233556005</v>
      </c>
      <c r="AN339">
        <v>-20.172435999999951</v>
      </c>
      <c r="AO339">
        <v>-44.84866233556005</v>
      </c>
      <c r="AP339">
        <v>-20.172367999999999</v>
      </c>
      <c r="AQ339">
        <v>-44.848661</v>
      </c>
      <c r="AR339">
        <v>7.5710462874877198</v>
      </c>
      <c r="AS339" t="s">
        <v>65</v>
      </c>
      <c r="AT339">
        <v>1</v>
      </c>
      <c r="AU339" t="s">
        <v>271</v>
      </c>
      <c r="AV339" t="s">
        <v>272</v>
      </c>
      <c r="AW339" t="s">
        <v>60</v>
      </c>
      <c r="AX339" t="s">
        <v>68</v>
      </c>
      <c r="AY339" t="s">
        <v>69</v>
      </c>
      <c r="AZ339" t="b">
        <v>1</v>
      </c>
    </row>
    <row r="340" spans="1:52" x14ac:dyDescent="0.3">
      <c r="A340" t="s">
        <v>52</v>
      </c>
      <c r="B340" t="s">
        <v>53</v>
      </c>
      <c r="C340" t="s">
        <v>54</v>
      </c>
      <c r="D340" t="s">
        <v>55</v>
      </c>
      <c r="E340" t="s">
        <v>1617</v>
      </c>
      <c r="F340" t="s">
        <v>57</v>
      </c>
      <c r="G340" t="s">
        <v>273</v>
      </c>
      <c r="H340" t="s">
        <v>274</v>
      </c>
      <c r="I340" t="s">
        <v>274</v>
      </c>
      <c r="J340" t="s">
        <v>60</v>
      </c>
      <c r="K340" t="s">
        <v>143</v>
      </c>
      <c r="L340" t="s">
        <v>62</v>
      </c>
      <c r="M340" t="s">
        <v>143</v>
      </c>
      <c r="N340" t="s">
        <v>275</v>
      </c>
      <c r="O340" t="s">
        <v>276</v>
      </c>
      <c r="P340">
        <v>-20.171367</v>
      </c>
      <c r="Q340">
        <v>-44.844709999999999</v>
      </c>
      <c r="R340" s="2" t="str">
        <f>HYPERLINK("https://www.google.com/maps?q=-20.1713670,-44.8447100","Abrir no Google Maps")</f>
        <v>Abrir no Google Maps</v>
      </c>
      <c r="S340">
        <v>4</v>
      </c>
      <c r="T340">
        <v>700.36715126879801</v>
      </c>
      <c r="U340">
        <v>4</v>
      </c>
      <c r="V340">
        <v>0.49829480863963621</v>
      </c>
      <c r="W340">
        <v>1</v>
      </c>
      <c r="X340">
        <v>0.49829480863963621</v>
      </c>
      <c r="Y340">
        <v>292</v>
      </c>
      <c r="Z340">
        <v>767.70201658334747</v>
      </c>
      <c r="AA340">
        <v>198</v>
      </c>
      <c r="AB340">
        <v>332</v>
      </c>
      <c r="AC340">
        <v>536</v>
      </c>
      <c r="AD340">
        <v>33.19</v>
      </c>
      <c r="AE340">
        <v>542</v>
      </c>
      <c r="AF340">
        <v>42</v>
      </c>
      <c r="AG340">
        <v>173</v>
      </c>
      <c r="AH340">
        <v>129</v>
      </c>
      <c r="AI340">
        <v>7.75</v>
      </c>
      <c r="AJ340">
        <v>31.92</v>
      </c>
      <c r="AK340">
        <v>23.8</v>
      </c>
      <c r="AL340">
        <v>-20.17140124999997</v>
      </c>
      <c r="AM340">
        <v>-44.844758486699448</v>
      </c>
      <c r="AN340">
        <v>-20.171401249999981</v>
      </c>
      <c r="AO340">
        <v>-44.844758486699448</v>
      </c>
      <c r="AP340">
        <v>-20.171367</v>
      </c>
      <c r="AQ340">
        <v>-44.844709999999999</v>
      </c>
      <c r="AR340">
        <v>6.3408204899540994</v>
      </c>
      <c r="AS340" t="s">
        <v>65</v>
      </c>
      <c r="AT340">
        <v>1</v>
      </c>
      <c r="AU340" t="s">
        <v>277</v>
      </c>
      <c r="AV340" t="s">
        <v>278</v>
      </c>
      <c r="AW340" t="s">
        <v>60</v>
      </c>
      <c r="AX340" t="s">
        <v>68</v>
      </c>
      <c r="AY340" t="s">
        <v>69</v>
      </c>
      <c r="AZ340" t="b">
        <v>1</v>
      </c>
    </row>
    <row r="341" spans="1:52" x14ac:dyDescent="0.3">
      <c r="A341" t="s">
        <v>52</v>
      </c>
      <c r="B341" t="s">
        <v>53</v>
      </c>
      <c r="C341" t="s">
        <v>54</v>
      </c>
      <c r="D341" t="s">
        <v>55</v>
      </c>
      <c r="E341" t="s">
        <v>1617</v>
      </c>
      <c r="F341" t="s">
        <v>57</v>
      </c>
      <c r="G341" t="s">
        <v>279</v>
      </c>
      <c r="H341" t="s">
        <v>280</v>
      </c>
      <c r="I341" t="s">
        <v>280</v>
      </c>
      <c r="J341" t="s">
        <v>60</v>
      </c>
      <c r="K341" t="s">
        <v>281</v>
      </c>
      <c r="L341" t="s">
        <v>62</v>
      </c>
      <c r="M341" t="s">
        <v>281</v>
      </c>
      <c r="N341" t="s">
        <v>282</v>
      </c>
      <c r="O341" t="s">
        <v>283</v>
      </c>
      <c r="P341">
        <v>-20.175312999999999</v>
      </c>
      <c r="Q341">
        <v>-44.848562999999999</v>
      </c>
      <c r="R341" s="2" t="str">
        <f>HYPERLINK("https://www.google.com/maps?q=-20.1753130,-44.8485630","Abrir no Google Maps")</f>
        <v>Abrir no Google Maps</v>
      </c>
      <c r="S341">
        <v>4</v>
      </c>
      <c r="T341">
        <v>1076.9164078034139</v>
      </c>
      <c r="U341">
        <v>4</v>
      </c>
      <c r="V341">
        <v>0.53433900407584622</v>
      </c>
      <c r="W341">
        <v>1</v>
      </c>
      <c r="X341">
        <v>0.53433900407584622</v>
      </c>
      <c r="Y341">
        <v>292</v>
      </c>
      <c r="Z341">
        <v>1035.650579259463</v>
      </c>
      <c r="AA341">
        <v>198</v>
      </c>
      <c r="AB341">
        <v>332</v>
      </c>
      <c r="AC341">
        <v>536</v>
      </c>
      <c r="AD341">
        <v>33.19</v>
      </c>
      <c r="AE341">
        <v>542</v>
      </c>
      <c r="AF341">
        <v>42</v>
      </c>
      <c r="AG341">
        <v>173</v>
      </c>
      <c r="AH341">
        <v>129</v>
      </c>
      <c r="AI341">
        <v>7.75</v>
      </c>
      <c r="AJ341">
        <v>31.92</v>
      </c>
      <c r="AK341">
        <v>23.8</v>
      </c>
      <c r="AL341">
        <v>-20.175338949999961</v>
      </c>
      <c r="AM341">
        <v>-44.848523168324952</v>
      </c>
      <c r="AN341">
        <v>-20.175338949999961</v>
      </c>
      <c r="AO341">
        <v>-44.848523168324952</v>
      </c>
      <c r="AP341">
        <v>-20.175312999999999</v>
      </c>
      <c r="AQ341">
        <v>-44.848562999999999</v>
      </c>
      <c r="AR341">
        <v>5.0662709576519056</v>
      </c>
      <c r="AS341" t="s">
        <v>65</v>
      </c>
      <c r="AT341">
        <v>1</v>
      </c>
      <c r="AU341" t="s">
        <v>284</v>
      </c>
      <c r="AV341" t="s">
        <v>285</v>
      </c>
      <c r="AW341" t="s">
        <v>60</v>
      </c>
      <c r="AX341" t="s">
        <v>68</v>
      </c>
      <c r="AY341" t="s">
        <v>69</v>
      </c>
      <c r="AZ341" t="b">
        <v>1</v>
      </c>
    </row>
    <row r="342" spans="1:52" x14ac:dyDescent="0.3">
      <c r="A342" t="s">
        <v>52</v>
      </c>
      <c r="B342" t="s">
        <v>53</v>
      </c>
      <c r="C342" t="s">
        <v>54</v>
      </c>
      <c r="D342" t="s">
        <v>55</v>
      </c>
      <c r="E342" t="s">
        <v>1617</v>
      </c>
      <c r="F342" t="s">
        <v>57</v>
      </c>
      <c r="G342" t="s">
        <v>134</v>
      </c>
      <c r="H342" t="s">
        <v>135</v>
      </c>
      <c r="I342" t="s">
        <v>135</v>
      </c>
      <c r="J342" t="s">
        <v>60</v>
      </c>
      <c r="K342" t="s">
        <v>136</v>
      </c>
      <c r="L342" t="s">
        <v>62</v>
      </c>
      <c r="M342" t="s">
        <v>136</v>
      </c>
      <c r="N342" t="s">
        <v>137</v>
      </c>
      <c r="O342" t="s">
        <v>138</v>
      </c>
      <c r="P342">
        <v>-20.165773000000002</v>
      </c>
      <c r="Q342">
        <v>-44.847566999999998</v>
      </c>
      <c r="R342" s="2" t="str">
        <f>HYPERLINK("https://www.google.com/maps?q=-20.1657730,-44.8475670","Abrir no Google Maps")</f>
        <v>Abrir no Google Maps</v>
      </c>
      <c r="S342">
        <v>4</v>
      </c>
      <c r="T342">
        <v>0</v>
      </c>
      <c r="U342">
        <v>4</v>
      </c>
      <c r="V342">
        <v>0.46966051720222668</v>
      </c>
      <c r="W342">
        <v>1</v>
      </c>
      <c r="X342">
        <v>0.46966051720222668</v>
      </c>
      <c r="Y342">
        <v>292</v>
      </c>
      <c r="Z342">
        <v>98.987346341524855</v>
      </c>
      <c r="AA342">
        <v>198</v>
      </c>
      <c r="AB342">
        <v>332</v>
      </c>
      <c r="AC342">
        <v>536</v>
      </c>
      <c r="AD342">
        <v>33.19</v>
      </c>
      <c r="AE342">
        <v>542</v>
      </c>
      <c r="AF342">
        <v>42</v>
      </c>
      <c r="AG342">
        <v>173</v>
      </c>
      <c r="AH342">
        <v>129</v>
      </c>
      <c r="AI342">
        <v>7.75</v>
      </c>
      <c r="AJ342">
        <v>31.92</v>
      </c>
      <c r="AK342">
        <v>23.8</v>
      </c>
      <c r="AL342">
        <v>-20.16565029999995</v>
      </c>
      <c r="AM342">
        <v>-44.847556627666897</v>
      </c>
      <c r="AN342">
        <v>-20.16565029999995</v>
      </c>
      <c r="AO342">
        <v>-44.847556627666897</v>
      </c>
      <c r="AP342">
        <v>-20.165773000000002</v>
      </c>
      <c r="AQ342">
        <v>-44.847566999999998</v>
      </c>
      <c r="AR342">
        <v>13.701900146251189</v>
      </c>
      <c r="AS342" t="s">
        <v>65</v>
      </c>
      <c r="AT342">
        <v>1</v>
      </c>
      <c r="AU342" t="s">
        <v>139</v>
      </c>
      <c r="AV342" t="s">
        <v>140</v>
      </c>
      <c r="AW342" t="s">
        <v>60</v>
      </c>
      <c r="AX342" t="s">
        <v>68</v>
      </c>
      <c r="AY342" t="s">
        <v>69</v>
      </c>
      <c r="AZ342" t="b">
        <v>1</v>
      </c>
    </row>
    <row r="343" spans="1:52" x14ac:dyDescent="0.3">
      <c r="A343" t="s">
        <v>52</v>
      </c>
      <c r="B343" t="s">
        <v>53</v>
      </c>
      <c r="C343" t="s">
        <v>54</v>
      </c>
      <c r="D343" t="s">
        <v>55</v>
      </c>
      <c r="E343" t="s">
        <v>1617</v>
      </c>
      <c r="F343" t="s">
        <v>57</v>
      </c>
      <c r="G343" t="s">
        <v>253</v>
      </c>
      <c r="H343" t="s">
        <v>286</v>
      </c>
      <c r="I343" t="s">
        <v>286</v>
      </c>
      <c r="J343" t="s">
        <v>60</v>
      </c>
      <c r="K343" t="s">
        <v>136</v>
      </c>
      <c r="L343" t="s">
        <v>62</v>
      </c>
      <c r="M343" t="s">
        <v>136</v>
      </c>
      <c r="N343" t="s">
        <v>256</v>
      </c>
      <c r="O343" t="s">
        <v>287</v>
      </c>
      <c r="P343">
        <v>-20.165067000000001</v>
      </c>
      <c r="Q343">
        <v>-44.851146999999997</v>
      </c>
      <c r="R343" s="2" t="str">
        <f>HYPERLINK("https://www.google.com/maps?q=-20.1650670,-44.8511470","Abrir no Google Maps")</f>
        <v>Abrir no Google Maps</v>
      </c>
      <c r="S343">
        <v>4</v>
      </c>
      <c r="T343">
        <v>374.14945573570043</v>
      </c>
      <c r="U343">
        <v>4</v>
      </c>
      <c r="V343">
        <v>0.47688946298026719</v>
      </c>
      <c r="W343">
        <v>1</v>
      </c>
      <c r="X343">
        <v>0.47688946298026719</v>
      </c>
      <c r="Y343">
        <v>292</v>
      </c>
      <c r="Z343">
        <v>295.9878686859272</v>
      </c>
      <c r="AA343">
        <v>198</v>
      </c>
      <c r="AB343">
        <v>332</v>
      </c>
      <c r="AC343">
        <v>536</v>
      </c>
      <c r="AD343">
        <v>33.19</v>
      </c>
      <c r="AE343">
        <v>542</v>
      </c>
      <c r="AF343">
        <v>42</v>
      </c>
      <c r="AG343">
        <v>173</v>
      </c>
      <c r="AH343">
        <v>129</v>
      </c>
      <c r="AI343">
        <v>7.75</v>
      </c>
      <c r="AJ343">
        <v>31.92</v>
      </c>
      <c r="AK343">
        <v>23.8</v>
      </c>
      <c r="AL343">
        <v>-20.164961799999961</v>
      </c>
      <c r="AM343">
        <v>-44.851062119796737</v>
      </c>
      <c r="AN343">
        <v>-20.164961799999961</v>
      </c>
      <c r="AO343">
        <v>-44.851062119796737</v>
      </c>
      <c r="AP343">
        <v>-20.165067000000001</v>
      </c>
      <c r="AQ343">
        <v>-44.851146999999997</v>
      </c>
      <c r="AR343">
        <v>14.690666366415</v>
      </c>
      <c r="AS343" t="s">
        <v>65</v>
      </c>
      <c r="AT343">
        <v>1</v>
      </c>
      <c r="AU343" t="s">
        <v>288</v>
      </c>
      <c r="AV343" t="s">
        <v>289</v>
      </c>
      <c r="AW343" t="s">
        <v>60</v>
      </c>
      <c r="AX343" t="s">
        <v>68</v>
      </c>
      <c r="AY343" t="s">
        <v>69</v>
      </c>
      <c r="AZ343" t="b">
        <v>1</v>
      </c>
    </row>
    <row r="344" spans="1:52" x14ac:dyDescent="0.3">
      <c r="A344" t="s">
        <v>52</v>
      </c>
      <c r="B344" t="s">
        <v>53</v>
      </c>
      <c r="C344" t="s">
        <v>54</v>
      </c>
      <c r="D344" t="s">
        <v>55</v>
      </c>
      <c r="E344" t="s">
        <v>1617</v>
      </c>
      <c r="F344" t="s">
        <v>57</v>
      </c>
      <c r="G344" t="s">
        <v>141</v>
      </c>
      <c r="H344" t="s">
        <v>142</v>
      </c>
      <c r="I344" t="s">
        <v>142</v>
      </c>
      <c r="J344" t="s">
        <v>60</v>
      </c>
      <c r="K344" t="s">
        <v>143</v>
      </c>
      <c r="L344" t="s">
        <v>62</v>
      </c>
      <c r="M344" t="s">
        <v>143</v>
      </c>
      <c r="N344" t="s">
        <v>144</v>
      </c>
      <c r="O344" t="s">
        <v>145</v>
      </c>
      <c r="P344">
        <v>-20.163377000000001</v>
      </c>
      <c r="Q344">
        <v>-44.843598</v>
      </c>
      <c r="R344" s="2" t="str">
        <f>HYPERLINK("https://www.google.com/maps?q=-20.1633770,-44.8435980","Abrir no Google Maps")</f>
        <v>Abrir no Google Maps</v>
      </c>
      <c r="S344">
        <v>4</v>
      </c>
      <c r="T344">
        <v>481.58374128635978</v>
      </c>
      <c r="U344">
        <v>4</v>
      </c>
      <c r="V344">
        <v>0.4681577395435747</v>
      </c>
      <c r="W344">
        <v>1</v>
      </c>
      <c r="X344">
        <v>0.4681577395435747</v>
      </c>
      <c r="Y344">
        <v>292</v>
      </c>
      <c r="Z344">
        <v>575.44522663909652</v>
      </c>
      <c r="AA344">
        <v>198</v>
      </c>
      <c r="AB344">
        <v>332</v>
      </c>
      <c r="AC344">
        <v>536</v>
      </c>
      <c r="AD344">
        <v>33.19</v>
      </c>
      <c r="AE344">
        <v>542</v>
      </c>
      <c r="AF344">
        <v>42</v>
      </c>
      <c r="AG344">
        <v>173</v>
      </c>
      <c r="AH344">
        <v>129</v>
      </c>
      <c r="AI344">
        <v>7.75</v>
      </c>
      <c r="AJ344">
        <v>31.92</v>
      </c>
      <c r="AK344">
        <v>23.8</v>
      </c>
      <c r="AL344">
        <v>-20.16343344999996</v>
      </c>
      <c r="AM344">
        <v>-44.843590796247732</v>
      </c>
      <c r="AN344">
        <v>-20.16343344999996</v>
      </c>
      <c r="AO344">
        <v>-44.843590796247732</v>
      </c>
      <c r="AP344">
        <v>-20.163377000000001</v>
      </c>
      <c r="AQ344">
        <v>-44.843598</v>
      </c>
      <c r="AR344">
        <v>6.3289415646640057</v>
      </c>
      <c r="AS344" t="s">
        <v>65</v>
      </c>
      <c r="AT344">
        <v>1</v>
      </c>
      <c r="AU344" t="s">
        <v>146</v>
      </c>
      <c r="AV344" t="s">
        <v>147</v>
      </c>
      <c r="AW344" t="s">
        <v>60</v>
      </c>
      <c r="AX344" t="s">
        <v>68</v>
      </c>
      <c r="AY344" t="s">
        <v>69</v>
      </c>
      <c r="AZ344" t="b">
        <v>1</v>
      </c>
    </row>
    <row r="345" spans="1:52" x14ac:dyDescent="0.3">
      <c r="A345" t="s">
        <v>52</v>
      </c>
      <c r="B345" t="s">
        <v>53</v>
      </c>
      <c r="C345" t="s">
        <v>54</v>
      </c>
      <c r="D345" t="s">
        <v>55</v>
      </c>
      <c r="E345" t="s">
        <v>1617</v>
      </c>
      <c r="F345" t="s">
        <v>57</v>
      </c>
      <c r="G345" t="s">
        <v>290</v>
      </c>
      <c r="H345" t="s">
        <v>291</v>
      </c>
      <c r="I345" t="s">
        <v>291</v>
      </c>
      <c r="J345" t="s">
        <v>60</v>
      </c>
      <c r="K345" t="s">
        <v>143</v>
      </c>
      <c r="L345" t="s">
        <v>62</v>
      </c>
      <c r="M345" t="s">
        <v>143</v>
      </c>
      <c r="N345" t="s">
        <v>292</v>
      </c>
      <c r="O345" t="s">
        <v>293</v>
      </c>
      <c r="P345">
        <v>-20.164380999999999</v>
      </c>
      <c r="Q345">
        <v>-44.841638000000003</v>
      </c>
      <c r="R345" s="2" t="str">
        <f>HYPERLINK("https://www.google.com/maps?q=-20.1643810,-44.8416380","Abrir no Google Maps")</f>
        <v>Abrir no Google Maps</v>
      </c>
      <c r="S345">
        <v>4</v>
      </c>
      <c r="T345">
        <v>653.87342410001406</v>
      </c>
      <c r="U345">
        <v>4</v>
      </c>
      <c r="V345">
        <v>0.45463414634146349</v>
      </c>
      <c r="W345">
        <v>1</v>
      </c>
      <c r="X345">
        <v>0.45463414634146349</v>
      </c>
      <c r="Y345">
        <v>292</v>
      </c>
      <c r="Z345">
        <v>761.66023684754805</v>
      </c>
      <c r="AA345">
        <v>198</v>
      </c>
      <c r="AB345">
        <v>332</v>
      </c>
      <c r="AC345">
        <v>536</v>
      </c>
      <c r="AD345">
        <v>33.19</v>
      </c>
      <c r="AE345">
        <v>542</v>
      </c>
      <c r="AF345">
        <v>42</v>
      </c>
      <c r="AG345">
        <v>173</v>
      </c>
      <c r="AH345">
        <v>129</v>
      </c>
      <c r="AI345">
        <v>7.75</v>
      </c>
      <c r="AJ345">
        <v>31.92</v>
      </c>
      <c r="AK345">
        <v>23.8</v>
      </c>
      <c r="AL345">
        <v>-20.16420624999995</v>
      </c>
      <c r="AM345">
        <v>-44.841488984995642</v>
      </c>
      <c r="AN345">
        <v>-20.16420624999995</v>
      </c>
      <c r="AO345">
        <v>-44.841488984995642</v>
      </c>
      <c r="AP345">
        <v>-20.164380999999999</v>
      </c>
      <c r="AQ345">
        <v>-44.841638000000003</v>
      </c>
      <c r="AR345">
        <v>24.91789254993785</v>
      </c>
      <c r="AS345" t="s">
        <v>65</v>
      </c>
      <c r="AT345">
        <v>1</v>
      </c>
      <c r="AU345" t="s">
        <v>294</v>
      </c>
      <c r="AV345" t="s">
        <v>295</v>
      </c>
      <c r="AW345" t="s">
        <v>60</v>
      </c>
      <c r="AX345" t="s">
        <v>68</v>
      </c>
      <c r="AY345" t="s">
        <v>69</v>
      </c>
      <c r="AZ345" t="b">
        <v>1</v>
      </c>
    </row>
    <row r="346" spans="1:52" x14ac:dyDescent="0.3">
      <c r="A346" t="s">
        <v>52</v>
      </c>
      <c r="B346" t="s">
        <v>53</v>
      </c>
      <c r="C346" t="s">
        <v>54</v>
      </c>
      <c r="D346" t="s">
        <v>55</v>
      </c>
      <c r="E346" t="s">
        <v>1617</v>
      </c>
      <c r="F346" t="s">
        <v>57</v>
      </c>
      <c r="G346" t="s">
        <v>253</v>
      </c>
      <c r="H346" t="s">
        <v>296</v>
      </c>
      <c r="I346" t="s">
        <v>296</v>
      </c>
      <c r="J346" t="s">
        <v>60</v>
      </c>
      <c r="K346" t="s">
        <v>136</v>
      </c>
      <c r="L346" t="s">
        <v>62</v>
      </c>
      <c r="M346" t="s">
        <v>136</v>
      </c>
      <c r="N346" t="s">
        <v>256</v>
      </c>
      <c r="O346" t="s">
        <v>297</v>
      </c>
      <c r="P346">
        <v>-20.168476999999999</v>
      </c>
      <c r="Q346">
        <v>-44.852528</v>
      </c>
      <c r="R346" s="2" t="str">
        <f>HYPERLINK("https://www.google.com/maps?q=-20.1684770,-44.8525280","Abrir no Google Maps")</f>
        <v>Abrir no Google Maps</v>
      </c>
      <c r="S346">
        <v>4</v>
      </c>
      <c r="T346">
        <v>587.16898087421623</v>
      </c>
      <c r="U346">
        <v>4</v>
      </c>
      <c r="V346">
        <v>0.4698801620319657</v>
      </c>
      <c r="W346">
        <v>1</v>
      </c>
      <c r="X346">
        <v>0.4698801620319657</v>
      </c>
      <c r="Y346">
        <v>292</v>
      </c>
      <c r="Z346">
        <v>471.75619463337938</v>
      </c>
      <c r="AA346">
        <v>198</v>
      </c>
      <c r="AB346">
        <v>332</v>
      </c>
      <c r="AC346">
        <v>536</v>
      </c>
      <c r="AD346">
        <v>33.19</v>
      </c>
      <c r="AE346">
        <v>542</v>
      </c>
      <c r="AF346">
        <v>42</v>
      </c>
      <c r="AG346">
        <v>173</v>
      </c>
      <c r="AH346">
        <v>129</v>
      </c>
      <c r="AI346">
        <v>7.75</v>
      </c>
      <c r="AJ346">
        <v>31.92</v>
      </c>
      <c r="AK346">
        <v>23.8</v>
      </c>
      <c r="AL346">
        <v>-20.16846514999995</v>
      </c>
      <c r="AM346">
        <v>-44.852319844682007</v>
      </c>
      <c r="AN346">
        <v>-20.168465149999939</v>
      </c>
      <c r="AO346">
        <v>-44.852319844682007</v>
      </c>
      <c r="AP346">
        <v>-20.168476999999999</v>
      </c>
      <c r="AQ346">
        <v>-44.852528</v>
      </c>
      <c r="AR346">
        <v>21.790984536052999</v>
      </c>
      <c r="AS346" t="s">
        <v>65</v>
      </c>
      <c r="AT346">
        <v>1</v>
      </c>
      <c r="AU346" t="s">
        <v>298</v>
      </c>
      <c r="AV346" t="s">
        <v>299</v>
      </c>
      <c r="AW346" t="s">
        <v>60</v>
      </c>
      <c r="AX346" t="s">
        <v>68</v>
      </c>
      <c r="AY346" t="s">
        <v>69</v>
      </c>
      <c r="AZ346" t="b">
        <v>1</v>
      </c>
    </row>
    <row r="347" spans="1:52" x14ac:dyDescent="0.3">
      <c r="A347" t="s">
        <v>52</v>
      </c>
      <c r="B347" t="s">
        <v>53</v>
      </c>
      <c r="C347" t="s">
        <v>54</v>
      </c>
      <c r="D347" t="s">
        <v>55</v>
      </c>
      <c r="E347" t="s">
        <v>1617</v>
      </c>
      <c r="F347" t="s">
        <v>57</v>
      </c>
      <c r="G347" t="s">
        <v>253</v>
      </c>
      <c r="H347" t="s">
        <v>1633</v>
      </c>
      <c r="I347" t="s">
        <v>1633</v>
      </c>
      <c r="J347" t="s">
        <v>60</v>
      </c>
      <c r="K347" t="s">
        <v>982</v>
      </c>
      <c r="L347" t="s">
        <v>62</v>
      </c>
      <c r="M347" t="s">
        <v>982</v>
      </c>
      <c r="N347" t="s">
        <v>256</v>
      </c>
      <c r="O347" t="s">
        <v>1634</v>
      </c>
      <c r="P347">
        <v>-20.170407000000001</v>
      </c>
      <c r="Q347">
        <v>-44.853330999999997</v>
      </c>
      <c r="R347" s="2" t="str">
        <f>HYPERLINK("https://www.google.com/maps?q=-20.1704070,-44.8533310","Abrir no Google Maps")</f>
        <v>Abrir no Google Maps</v>
      </c>
      <c r="S347">
        <v>4</v>
      </c>
      <c r="T347">
        <v>801.41180076523165</v>
      </c>
      <c r="U347">
        <v>4</v>
      </c>
      <c r="V347">
        <v>0.50921228124277229</v>
      </c>
      <c r="W347">
        <v>1</v>
      </c>
      <c r="X347">
        <v>0.50921228124277229</v>
      </c>
      <c r="Y347">
        <v>292</v>
      </c>
      <c r="Z347">
        <v>726.46828777213966</v>
      </c>
      <c r="AA347">
        <v>198</v>
      </c>
      <c r="AB347">
        <v>332</v>
      </c>
      <c r="AC347">
        <v>536</v>
      </c>
      <c r="AD347">
        <v>33.19</v>
      </c>
      <c r="AE347">
        <v>542</v>
      </c>
      <c r="AF347">
        <v>42</v>
      </c>
      <c r="AG347">
        <v>173</v>
      </c>
      <c r="AH347">
        <v>129</v>
      </c>
      <c r="AI347">
        <v>7.75</v>
      </c>
      <c r="AJ347">
        <v>31.92</v>
      </c>
      <c r="AK347">
        <v>23.8</v>
      </c>
      <c r="AL347">
        <v>-20.170412849999959</v>
      </c>
      <c r="AM347">
        <v>-44.853334311192633</v>
      </c>
      <c r="AN347">
        <v>-20.170412849999959</v>
      </c>
      <c r="AO347">
        <v>-44.853334311192633</v>
      </c>
      <c r="AP347">
        <v>-20.170407000000001</v>
      </c>
      <c r="AQ347">
        <v>-44.853330999999997</v>
      </c>
      <c r="AR347">
        <v>0.73743023728700929</v>
      </c>
      <c r="AS347" t="s">
        <v>65</v>
      </c>
      <c r="AT347">
        <v>1</v>
      </c>
      <c r="AU347" t="s">
        <v>1635</v>
      </c>
      <c r="AV347" t="s">
        <v>1636</v>
      </c>
      <c r="AW347" t="s">
        <v>60</v>
      </c>
      <c r="AX347" t="s">
        <v>68</v>
      </c>
      <c r="AY347" t="s">
        <v>69</v>
      </c>
      <c r="AZ347" t="b">
        <v>1</v>
      </c>
    </row>
    <row r="348" spans="1:52" x14ac:dyDescent="0.3">
      <c r="A348" t="s">
        <v>52</v>
      </c>
      <c r="B348" t="s">
        <v>53</v>
      </c>
      <c r="C348" t="s">
        <v>54</v>
      </c>
      <c r="D348" t="s">
        <v>55</v>
      </c>
      <c r="E348" t="s">
        <v>1617</v>
      </c>
      <c r="F348" t="s">
        <v>57</v>
      </c>
      <c r="G348" t="s">
        <v>148</v>
      </c>
      <c r="H348" t="s">
        <v>149</v>
      </c>
      <c r="I348" t="s">
        <v>149</v>
      </c>
      <c r="J348" t="s">
        <v>60</v>
      </c>
      <c r="K348" t="s">
        <v>150</v>
      </c>
      <c r="L348" t="s">
        <v>62</v>
      </c>
      <c r="M348" t="s">
        <v>150</v>
      </c>
      <c r="N348" t="s">
        <v>151</v>
      </c>
      <c r="O348" t="s">
        <v>152</v>
      </c>
      <c r="P348">
        <v>-20.174192999999999</v>
      </c>
      <c r="Q348">
        <v>-44.850782000000002</v>
      </c>
      <c r="R348" s="2" t="str">
        <f>HYPERLINK("https://www.google.com/maps?q=-20.1741930,-44.8507820","Abrir no Google Maps")</f>
        <v>Abrir no Google Maps</v>
      </c>
      <c r="S348">
        <v>4</v>
      </c>
      <c r="T348">
        <v>994.93657848632188</v>
      </c>
      <c r="U348">
        <v>4</v>
      </c>
      <c r="V348">
        <v>0.50213203868656542</v>
      </c>
      <c r="W348">
        <v>1</v>
      </c>
      <c r="X348">
        <v>0.50213203868656542</v>
      </c>
      <c r="Y348">
        <v>292</v>
      </c>
      <c r="Z348">
        <v>948.95851793804729</v>
      </c>
      <c r="AA348">
        <v>198</v>
      </c>
      <c r="AB348">
        <v>332</v>
      </c>
      <c r="AC348">
        <v>536</v>
      </c>
      <c r="AD348">
        <v>33.19</v>
      </c>
      <c r="AE348">
        <v>542</v>
      </c>
      <c r="AF348">
        <v>42</v>
      </c>
      <c r="AG348">
        <v>173</v>
      </c>
      <c r="AH348">
        <v>129</v>
      </c>
      <c r="AI348">
        <v>7.75</v>
      </c>
      <c r="AJ348">
        <v>31.92</v>
      </c>
      <c r="AK348">
        <v>23.8</v>
      </c>
      <c r="AL348">
        <v>-20.174122099999941</v>
      </c>
      <c r="AM348">
        <v>-44.850744657037339</v>
      </c>
      <c r="AN348">
        <v>-20.174122099999941</v>
      </c>
      <c r="AO348">
        <v>-44.850744657037339</v>
      </c>
      <c r="AP348">
        <v>-20.174192999999999</v>
      </c>
      <c r="AQ348">
        <v>-44.850782000000002</v>
      </c>
      <c r="AR348">
        <v>8.8044534253701947</v>
      </c>
      <c r="AS348" t="s">
        <v>65</v>
      </c>
      <c r="AT348">
        <v>1</v>
      </c>
      <c r="AU348" t="s">
        <v>153</v>
      </c>
      <c r="AV348" t="s">
        <v>154</v>
      </c>
      <c r="AW348" t="s">
        <v>60</v>
      </c>
      <c r="AX348" t="s">
        <v>68</v>
      </c>
      <c r="AY348" t="s">
        <v>69</v>
      </c>
      <c r="AZ348" t="b">
        <v>1</v>
      </c>
    </row>
    <row r="349" spans="1:52" x14ac:dyDescent="0.3">
      <c r="A349" t="s">
        <v>52</v>
      </c>
      <c r="B349" t="s">
        <v>53</v>
      </c>
      <c r="C349" t="s">
        <v>54</v>
      </c>
      <c r="D349" t="s">
        <v>55</v>
      </c>
      <c r="E349" t="s">
        <v>1617</v>
      </c>
      <c r="F349" t="s">
        <v>57</v>
      </c>
      <c r="G349" t="s">
        <v>300</v>
      </c>
      <c r="H349" t="s">
        <v>301</v>
      </c>
      <c r="I349" t="s">
        <v>301</v>
      </c>
      <c r="J349" t="s">
        <v>60</v>
      </c>
      <c r="K349" t="s">
        <v>150</v>
      </c>
      <c r="L349" t="s">
        <v>62</v>
      </c>
      <c r="M349" t="s">
        <v>150</v>
      </c>
      <c r="N349" t="s">
        <v>302</v>
      </c>
      <c r="O349" t="s">
        <v>303</v>
      </c>
      <c r="P349">
        <v>-20.172993000000002</v>
      </c>
      <c r="Q349">
        <v>-44.853588999999999</v>
      </c>
      <c r="R349" s="2" t="str">
        <f>HYPERLINK("https://www.google.com/maps?q=-20.1729930,-44.8535890","Abrir no Google Maps")</f>
        <v>Abrir no Google Maps</v>
      </c>
      <c r="S349">
        <v>4</v>
      </c>
      <c r="T349">
        <v>1041.446216907221</v>
      </c>
      <c r="U349">
        <v>4</v>
      </c>
      <c r="V349">
        <v>0.470179632442082</v>
      </c>
      <c r="W349">
        <v>1</v>
      </c>
      <c r="X349">
        <v>0.470179632442082</v>
      </c>
      <c r="Y349">
        <v>292</v>
      </c>
      <c r="Z349">
        <v>978.86270909763937</v>
      </c>
      <c r="AA349">
        <v>198</v>
      </c>
      <c r="AB349">
        <v>332</v>
      </c>
      <c r="AC349">
        <v>536</v>
      </c>
      <c r="AD349">
        <v>33.19</v>
      </c>
      <c r="AE349">
        <v>542</v>
      </c>
      <c r="AF349">
        <v>42</v>
      </c>
      <c r="AG349">
        <v>173</v>
      </c>
      <c r="AH349">
        <v>129</v>
      </c>
      <c r="AI349">
        <v>7.75</v>
      </c>
      <c r="AJ349">
        <v>31.92</v>
      </c>
      <c r="AK349">
        <v>23.8</v>
      </c>
      <c r="AL349">
        <v>-20.173142449999968</v>
      </c>
      <c r="AM349">
        <v>-44.853588035903172</v>
      </c>
      <c r="AN349">
        <v>-20.173142449999968</v>
      </c>
      <c r="AO349">
        <v>-44.853588035903172</v>
      </c>
      <c r="AP349">
        <v>-20.172993000000002</v>
      </c>
      <c r="AQ349">
        <v>-44.853588999999999</v>
      </c>
      <c r="AR349">
        <v>16.637078994259841</v>
      </c>
      <c r="AS349" t="s">
        <v>65</v>
      </c>
      <c r="AT349">
        <v>1</v>
      </c>
      <c r="AU349" t="s">
        <v>304</v>
      </c>
      <c r="AV349" t="s">
        <v>305</v>
      </c>
      <c r="AW349" t="s">
        <v>60</v>
      </c>
      <c r="AX349" t="s">
        <v>68</v>
      </c>
      <c r="AY349" t="s">
        <v>69</v>
      </c>
      <c r="AZ349" t="b">
        <v>1</v>
      </c>
    </row>
    <row r="350" spans="1:52" x14ac:dyDescent="0.3">
      <c r="A350" t="s">
        <v>52</v>
      </c>
      <c r="B350" t="s">
        <v>53</v>
      </c>
      <c r="C350" t="s">
        <v>54</v>
      </c>
      <c r="D350" t="s">
        <v>55</v>
      </c>
      <c r="E350" t="s">
        <v>1617</v>
      </c>
      <c r="F350" t="s">
        <v>57</v>
      </c>
      <c r="G350" t="s">
        <v>306</v>
      </c>
      <c r="H350" t="s">
        <v>307</v>
      </c>
      <c r="I350" t="s">
        <v>307</v>
      </c>
      <c r="J350" t="s">
        <v>60</v>
      </c>
      <c r="K350" t="s">
        <v>143</v>
      </c>
      <c r="L350" t="s">
        <v>62</v>
      </c>
      <c r="M350" t="s">
        <v>143</v>
      </c>
      <c r="N350" t="s">
        <v>308</v>
      </c>
      <c r="O350" t="s">
        <v>309</v>
      </c>
      <c r="P350">
        <v>-20.167071</v>
      </c>
      <c r="Q350">
        <v>-44.842730000000003</v>
      </c>
      <c r="R350" s="2" t="str">
        <f>HYPERLINK("https://www.google.com/maps?q=-20.1670710,-44.8427300","Abrir no Google Maps")</f>
        <v>Abrir no Google Maps</v>
      </c>
      <c r="S350">
        <v>4</v>
      </c>
      <c r="T350">
        <v>535.14780070571521</v>
      </c>
      <c r="U350">
        <v>4</v>
      </c>
      <c r="V350">
        <v>0.47425093242961808</v>
      </c>
      <c r="W350">
        <v>1</v>
      </c>
      <c r="X350">
        <v>0.47425093242961808</v>
      </c>
      <c r="Y350">
        <v>292</v>
      </c>
      <c r="Z350">
        <v>582.78942050501109</v>
      </c>
      <c r="AA350">
        <v>198</v>
      </c>
      <c r="AB350">
        <v>332</v>
      </c>
      <c r="AC350">
        <v>536</v>
      </c>
      <c r="AD350">
        <v>33.19</v>
      </c>
      <c r="AE350">
        <v>542</v>
      </c>
      <c r="AF350">
        <v>42</v>
      </c>
      <c r="AG350">
        <v>173</v>
      </c>
      <c r="AH350">
        <v>129</v>
      </c>
      <c r="AI350">
        <v>7.75</v>
      </c>
      <c r="AJ350">
        <v>31.92</v>
      </c>
      <c r="AK350">
        <v>23.8</v>
      </c>
      <c r="AL350">
        <v>-20.167006799999971</v>
      </c>
      <c r="AM350">
        <v>-44.842640974693197</v>
      </c>
      <c r="AN350">
        <v>-20.167006799999971</v>
      </c>
      <c r="AO350">
        <v>-44.842640974693197</v>
      </c>
      <c r="AP350">
        <v>-20.167071</v>
      </c>
      <c r="AQ350">
        <v>-44.842730000000003</v>
      </c>
      <c r="AR350">
        <v>11.73100304278117</v>
      </c>
      <c r="AS350" t="s">
        <v>65</v>
      </c>
      <c r="AT350">
        <v>1</v>
      </c>
      <c r="AU350" t="s">
        <v>310</v>
      </c>
      <c r="AV350" t="s">
        <v>311</v>
      </c>
      <c r="AW350" t="s">
        <v>60</v>
      </c>
      <c r="AX350" t="s">
        <v>68</v>
      </c>
      <c r="AY350" t="s">
        <v>69</v>
      </c>
      <c r="AZ350" t="b">
        <v>1</v>
      </c>
    </row>
    <row r="351" spans="1:52" x14ac:dyDescent="0.3">
      <c r="A351" t="s">
        <v>52</v>
      </c>
      <c r="B351" t="s">
        <v>53</v>
      </c>
      <c r="C351" t="s">
        <v>54</v>
      </c>
      <c r="D351" t="s">
        <v>55</v>
      </c>
      <c r="E351" t="s">
        <v>1617</v>
      </c>
      <c r="F351" t="s">
        <v>57</v>
      </c>
      <c r="G351" t="s">
        <v>312</v>
      </c>
      <c r="H351" t="s">
        <v>313</v>
      </c>
      <c r="I351" t="s">
        <v>313</v>
      </c>
      <c r="J351" t="s">
        <v>60</v>
      </c>
      <c r="K351" t="s">
        <v>143</v>
      </c>
      <c r="L351" t="s">
        <v>62</v>
      </c>
      <c r="M351" t="s">
        <v>143</v>
      </c>
      <c r="N351" t="s">
        <v>314</v>
      </c>
      <c r="O351" t="s">
        <v>315</v>
      </c>
      <c r="P351">
        <v>-20.168939000000002</v>
      </c>
      <c r="Q351">
        <v>-44.843286999999997</v>
      </c>
      <c r="R351" s="2" t="str">
        <f>HYPERLINK("https://www.google.com/maps?q=-20.1689390,-44.8432870","Abrir no Google Maps")</f>
        <v>Abrir no Google Maps</v>
      </c>
      <c r="S351">
        <v>4</v>
      </c>
      <c r="T351">
        <v>582.22902758915586</v>
      </c>
      <c r="U351">
        <v>4</v>
      </c>
      <c r="V351">
        <v>0.47054580209127411</v>
      </c>
      <c r="W351">
        <v>1</v>
      </c>
      <c r="X351">
        <v>0.47054580209127411</v>
      </c>
      <c r="Y351">
        <v>292</v>
      </c>
      <c r="Z351">
        <v>628.29035609472794</v>
      </c>
      <c r="AA351">
        <v>198</v>
      </c>
      <c r="AB351">
        <v>332</v>
      </c>
      <c r="AC351">
        <v>536</v>
      </c>
      <c r="AD351">
        <v>33.19</v>
      </c>
      <c r="AE351">
        <v>542</v>
      </c>
      <c r="AF351">
        <v>42</v>
      </c>
      <c r="AG351">
        <v>173</v>
      </c>
      <c r="AH351">
        <v>129</v>
      </c>
      <c r="AI351">
        <v>7.75</v>
      </c>
      <c r="AJ351">
        <v>31.92</v>
      </c>
      <c r="AK351">
        <v>23.8</v>
      </c>
      <c r="AL351">
        <v>-20.16917709999996</v>
      </c>
      <c r="AM351">
        <v>-44.84342194427667</v>
      </c>
      <c r="AN351">
        <v>-20.16917709999996</v>
      </c>
      <c r="AO351">
        <v>-44.84342194427667</v>
      </c>
      <c r="AP351">
        <v>-20.168939000000002</v>
      </c>
      <c r="AQ351">
        <v>-44.843286999999997</v>
      </c>
      <c r="AR351">
        <v>30.02272213565665</v>
      </c>
      <c r="AS351" t="s">
        <v>65</v>
      </c>
      <c r="AT351">
        <v>1</v>
      </c>
      <c r="AU351" t="s">
        <v>316</v>
      </c>
      <c r="AV351" t="s">
        <v>311</v>
      </c>
      <c r="AW351" t="s">
        <v>60</v>
      </c>
      <c r="AX351" t="s">
        <v>68</v>
      </c>
      <c r="AY351" t="s">
        <v>69</v>
      </c>
      <c r="AZ351" t="b">
        <v>1</v>
      </c>
    </row>
    <row r="352" spans="1:52" x14ac:dyDescent="0.3">
      <c r="A352" t="s">
        <v>52</v>
      </c>
      <c r="B352" t="s">
        <v>53</v>
      </c>
      <c r="C352" t="s">
        <v>54</v>
      </c>
      <c r="D352" t="s">
        <v>55</v>
      </c>
      <c r="E352" t="s">
        <v>1617</v>
      </c>
      <c r="F352" t="s">
        <v>57</v>
      </c>
      <c r="G352" t="s">
        <v>260</v>
      </c>
      <c r="H352" t="s">
        <v>317</v>
      </c>
      <c r="I352" t="s">
        <v>317</v>
      </c>
      <c r="J352" t="s">
        <v>60</v>
      </c>
      <c r="K352" t="s">
        <v>255</v>
      </c>
      <c r="L352" t="s">
        <v>62</v>
      </c>
      <c r="M352" t="s">
        <v>255</v>
      </c>
      <c r="N352" t="s">
        <v>263</v>
      </c>
      <c r="O352" t="s">
        <v>318</v>
      </c>
      <c r="P352">
        <v>-20.163532</v>
      </c>
      <c r="Q352">
        <v>-44.846910999999999</v>
      </c>
      <c r="R352" s="2" t="str">
        <f>HYPERLINK("https://www.google.com/maps?q=-20.1635320,-44.8469110","Abrir no Google Maps")</f>
        <v>Abrir no Google Maps</v>
      </c>
      <c r="S352">
        <v>4</v>
      </c>
      <c r="T352">
        <v>259.92389401636012</v>
      </c>
      <c r="U352">
        <v>4</v>
      </c>
      <c r="V352">
        <v>0.48344959495949591</v>
      </c>
      <c r="W352">
        <v>1</v>
      </c>
      <c r="X352">
        <v>0.48344959495949591</v>
      </c>
      <c r="Y352">
        <v>292</v>
      </c>
      <c r="Z352">
        <v>316.26738966059708</v>
      </c>
      <c r="AA352">
        <v>198</v>
      </c>
      <c r="AB352">
        <v>332</v>
      </c>
      <c r="AC352">
        <v>536</v>
      </c>
      <c r="AD352">
        <v>33.19</v>
      </c>
      <c r="AE352">
        <v>542</v>
      </c>
      <c r="AF352">
        <v>42</v>
      </c>
      <c r="AG352">
        <v>173</v>
      </c>
      <c r="AH352">
        <v>129</v>
      </c>
      <c r="AI352">
        <v>7.75</v>
      </c>
      <c r="AJ352">
        <v>31.92</v>
      </c>
      <c r="AK352">
        <v>23.8</v>
      </c>
      <c r="AL352">
        <v>-20.16343344999996</v>
      </c>
      <c r="AM352">
        <v>-44.846734659744428</v>
      </c>
      <c r="AN352">
        <v>-20.16343344999996</v>
      </c>
      <c r="AO352">
        <v>-44.846734659744428</v>
      </c>
      <c r="AP352">
        <v>-20.163532</v>
      </c>
      <c r="AQ352">
        <v>-44.846910999999999</v>
      </c>
      <c r="AR352">
        <v>21.445575432006599</v>
      </c>
      <c r="AS352" t="s">
        <v>65</v>
      </c>
      <c r="AT352">
        <v>1</v>
      </c>
      <c r="AU352" t="s">
        <v>319</v>
      </c>
      <c r="AV352" t="s">
        <v>320</v>
      </c>
      <c r="AW352" t="s">
        <v>60</v>
      </c>
      <c r="AX352" t="s">
        <v>68</v>
      </c>
      <c r="AY352" t="s">
        <v>69</v>
      </c>
      <c r="AZ352" t="b">
        <v>1</v>
      </c>
    </row>
    <row r="353" spans="1:52" x14ac:dyDescent="0.3">
      <c r="A353" t="s">
        <v>52</v>
      </c>
      <c r="B353" t="s">
        <v>53</v>
      </c>
      <c r="C353" t="s">
        <v>54</v>
      </c>
      <c r="D353" t="s">
        <v>55</v>
      </c>
      <c r="E353" t="s">
        <v>1617</v>
      </c>
      <c r="F353" t="s">
        <v>57</v>
      </c>
      <c r="G353" t="s">
        <v>321</v>
      </c>
      <c r="H353" t="s">
        <v>322</v>
      </c>
      <c r="I353" t="s">
        <v>322</v>
      </c>
      <c r="J353" t="s">
        <v>60</v>
      </c>
      <c r="K353" t="s">
        <v>323</v>
      </c>
      <c r="L353" t="s">
        <v>62</v>
      </c>
      <c r="M353" t="s">
        <v>323</v>
      </c>
      <c r="N353" t="s">
        <v>324</v>
      </c>
      <c r="O353" t="s">
        <v>325</v>
      </c>
      <c r="P353">
        <v>-20.151437999999999</v>
      </c>
      <c r="Q353">
        <v>-44.855761000000001</v>
      </c>
      <c r="R353" s="2" t="str">
        <f>HYPERLINK("https://www.google.com/maps?q=-20.1514380,-44.8557610","Abrir no Google Maps")</f>
        <v>Abrir no Google Maps</v>
      </c>
      <c r="S353">
        <v>4</v>
      </c>
      <c r="T353">
        <v>970.69989262042009</v>
      </c>
      <c r="U353">
        <v>4</v>
      </c>
      <c r="V353">
        <v>0.50728134367543354</v>
      </c>
      <c r="W353">
        <v>1</v>
      </c>
      <c r="X353">
        <v>0.50728134367543354</v>
      </c>
      <c r="Y353">
        <v>264</v>
      </c>
      <c r="Z353">
        <v>1041.0105988261671</v>
      </c>
      <c r="AA353">
        <v>198</v>
      </c>
      <c r="AB353">
        <v>332</v>
      </c>
      <c r="AC353">
        <v>536</v>
      </c>
      <c r="AD353">
        <v>33.19</v>
      </c>
      <c r="AE353">
        <v>542</v>
      </c>
      <c r="AF353">
        <v>42</v>
      </c>
      <c r="AG353">
        <v>173</v>
      </c>
      <c r="AH353">
        <v>129</v>
      </c>
      <c r="AI353">
        <v>7.75</v>
      </c>
      <c r="AJ353">
        <v>31.92</v>
      </c>
      <c r="AK353">
        <v>23.8</v>
      </c>
      <c r="AL353">
        <v>-20.15142824999996</v>
      </c>
      <c r="AM353">
        <v>-44.854100160898767</v>
      </c>
      <c r="AN353">
        <v>-20.15142824999996</v>
      </c>
      <c r="AO353">
        <v>-44.854100160898767</v>
      </c>
      <c r="AP353">
        <v>-20.151437999999999</v>
      </c>
      <c r="AQ353">
        <v>-44.855761000000001</v>
      </c>
      <c r="AR353">
        <v>173.57036632351381</v>
      </c>
      <c r="AS353" t="s">
        <v>65</v>
      </c>
      <c r="AT353">
        <v>1</v>
      </c>
      <c r="AU353" t="s">
        <v>326</v>
      </c>
      <c r="AV353" t="s">
        <v>327</v>
      </c>
      <c r="AW353" t="s">
        <v>60</v>
      </c>
      <c r="AX353" t="s">
        <v>68</v>
      </c>
      <c r="AY353" t="s">
        <v>69</v>
      </c>
      <c r="AZ353" t="b">
        <v>1</v>
      </c>
    </row>
    <row r="354" spans="1:52" x14ac:dyDescent="0.3">
      <c r="A354" t="s">
        <v>52</v>
      </c>
      <c r="B354" t="s">
        <v>53</v>
      </c>
      <c r="C354" t="s">
        <v>54</v>
      </c>
      <c r="D354" t="s">
        <v>55</v>
      </c>
      <c r="E354" t="s">
        <v>1617</v>
      </c>
      <c r="F354" t="s">
        <v>57</v>
      </c>
      <c r="G354" t="s">
        <v>328</v>
      </c>
      <c r="H354" t="s">
        <v>329</v>
      </c>
      <c r="I354" t="s">
        <v>329</v>
      </c>
      <c r="J354" t="s">
        <v>60</v>
      </c>
      <c r="K354" t="s">
        <v>157</v>
      </c>
      <c r="L354" t="s">
        <v>62</v>
      </c>
      <c r="M354" t="s">
        <v>157</v>
      </c>
      <c r="N354" t="s">
        <v>330</v>
      </c>
      <c r="O354" t="s">
        <v>331</v>
      </c>
      <c r="P354">
        <v>-20.167981999999999</v>
      </c>
      <c r="Q354">
        <v>-44.885706999999996</v>
      </c>
      <c r="R354" s="2" t="str">
        <f>HYPERLINK("https://www.google.com/maps?q=-20.1679820,-44.8857070","Abrir no Google Maps")</f>
        <v>Abrir no Google Maps</v>
      </c>
      <c r="S354">
        <v>4</v>
      </c>
      <c r="T354">
        <v>594.70112534633722</v>
      </c>
      <c r="U354">
        <v>4</v>
      </c>
      <c r="V354">
        <v>0.44561296638746872</v>
      </c>
      <c r="W354">
        <v>1</v>
      </c>
      <c r="X354">
        <v>0.44561296638746872</v>
      </c>
      <c r="Y354">
        <v>232</v>
      </c>
      <c r="Z354">
        <v>560.38516624860983</v>
      </c>
      <c r="AA354">
        <v>198</v>
      </c>
      <c r="AB354">
        <v>332</v>
      </c>
      <c r="AC354">
        <v>536</v>
      </c>
      <c r="AD354">
        <v>33.19</v>
      </c>
      <c r="AE354">
        <v>542</v>
      </c>
      <c r="AF354">
        <v>42</v>
      </c>
      <c r="AG354">
        <v>173</v>
      </c>
      <c r="AH354">
        <v>129</v>
      </c>
      <c r="AI354">
        <v>7.75</v>
      </c>
      <c r="AJ354">
        <v>31.92</v>
      </c>
      <c r="AK354">
        <v>23.8</v>
      </c>
      <c r="AL354">
        <v>-20.167931149999959</v>
      </c>
      <c r="AM354">
        <v>-44.885606821741909</v>
      </c>
      <c r="AN354">
        <v>-20.167931149999959</v>
      </c>
      <c r="AO354">
        <v>-44.885606821741909</v>
      </c>
      <c r="AP354">
        <v>-20.167981999999999</v>
      </c>
      <c r="AQ354">
        <v>-44.885706999999996</v>
      </c>
      <c r="AR354">
        <v>11.90056149590643</v>
      </c>
      <c r="AS354" t="s">
        <v>65</v>
      </c>
      <c r="AT354">
        <v>1</v>
      </c>
      <c r="AU354" t="s">
        <v>332</v>
      </c>
      <c r="AV354" t="s">
        <v>333</v>
      </c>
      <c r="AW354" t="s">
        <v>60</v>
      </c>
      <c r="AX354" t="s">
        <v>68</v>
      </c>
      <c r="AY354" t="s">
        <v>69</v>
      </c>
      <c r="AZ354" t="b">
        <v>1</v>
      </c>
    </row>
    <row r="355" spans="1:52" x14ac:dyDescent="0.3">
      <c r="A355" t="s">
        <v>52</v>
      </c>
      <c r="B355" t="s">
        <v>53</v>
      </c>
      <c r="C355" t="s">
        <v>54</v>
      </c>
      <c r="D355" t="s">
        <v>55</v>
      </c>
      <c r="E355" t="s">
        <v>1617</v>
      </c>
      <c r="F355" t="s">
        <v>57</v>
      </c>
      <c r="G355" t="s">
        <v>334</v>
      </c>
      <c r="H355" t="s">
        <v>335</v>
      </c>
      <c r="I355" t="s">
        <v>335</v>
      </c>
      <c r="J355" t="s">
        <v>60</v>
      </c>
      <c r="K355" t="s">
        <v>336</v>
      </c>
      <c r="L355" t="s">
        <v>62</v>
      </c>
      <c r="M355" t="s">
        <v>336</v>
      </c>
      <c r="N355" t="s">
        <v>337</v>
      </c>
      <c r="O355" t="s">
        <v>338</v>
      </c>
      <c r="P355">
        <v>-20.168142</v>
      </c>
      <c r="Q355">
        <v>-44.875697000000002</v>
      </c>
      <c r="R355" s="2" t="str">
        <f>HYPERLINK("https://www.google.com/maps?q=-20.1681420,-44.8756970","Abrir no Google Maps")</f>
        <v>Abrir no Google Maps</v>
      </c>
      <c r="S355">
        <v>4</v>
      </c>
      <c r="T355">
        <v>678.04878367834192</v>
      </c>
      <c r="U355">
        <v>4</v>
      </c>
      <c r="V355">
        <v>0.4367782819275956</v>
      </c>
      <c r="W355">
        <v>1</v>
      </c>
      <c r="X355">
        <v>0.4367782819275956</v>
      </c>
      <c r="Y355">
        <v>232</v>
      </c>
      <c r="Z355">
        <v>595.98467532792097</v>
      </c>
      <c r="AA355">
        <v>198</v>
      </c>
      <c r="AB355">
        <v>332</v>
      </c>
      <c r="AC355">
        <v>536</v>
      </c>
      <c r="AD355">
        <v>33.19</v>
      </c>
      <c r="AE355">
        <v>542</v>
      </c>
      <c r="AF355">
        <v>42</v>
      </c>
      <c r="AG355">
        <v>173</v>
      </c>
      <c r="AH355">
        <v>129</v>
      </c>
      <c r="AI355">
        <v>7.75</v>
      </c>
      <c r="AJ355">
        <v>31.92</v>
      </c>
      <c r="AK355">
        <v>23.8</v>
      </c>
      <c r="AL355">
        <v>-20.16787839999995</v>
      </c>
      <c r="AM355">
        <v>-44.875681825945229</v>
      </c>
      <c r="AN355">
        <v>-20.16787839999995</v>
      </c>
      <c r="AO355">
        <v>-44.875681825945229</v>
      </c>
      <c r="AP355">
        <v>-20.168142</v>
      </c>
      <c r="AQ355">
        <v>-44.875697000000002</v>
      </c>
      <c r="AR355">
        <v>29.386760063894371</v>
      </c>
      <c r="AS355" t="s">
        <v>65</v>
      </c>
      <c r="AT355">
        <v>1</v>
      </c>
      <c r="AU355" t="s">
        <v>339</v>
      </c>
      <c r="AV355" t="s">
        <v>340</v>
      </c>
      <c r="AW355" t="s">
        <v>60</v>
      </c>
      <c r="AX355" t="s">
        <v>68</v>
      </c>
      <c r="AY355" t="s">
        <v>69</v>
      </c>
      <c r="AZ355" t="b">
        <v>1</v>
      </c>
    </row>
    <row r="356" spans="1:52" x14ac:dyDescent="0.3">
      <c r="A356" t="s">
        <v>52</v>
      </c>
      <c r="B356" t="s">
        <v>53</v>
      </c>
      <c r="C356" t="s">
        <v>54</v>
      </c>
      <c r="D356" t="s">
        <v>55</v>
      </c>
      <c r="E356" t="s">
        <v>1617</v>
      </c>
      <c r="F356" t="s">
        <v>57</v>
      </c>
      <c r="G356" t="s">
        <v>155</v>
      </c>
      <c r="H356" t="s">
        <v>156</v>
      </c>
      <c r="I356" t="s">
        <v>156</v>
      </c>
      <c r="J356" t="s">
        <v>60</v>
      </c>
      <c r="K356" t="s">
        <v>157</v>
      </c>
      <c r="L356" t="s">
        <v>62</v>
      </c>
      <c r="M356" t="s">
        <v>157</v>
      </c>
      <c r="N356" t="s">
        <v>158</v>
      </c>
      <c r="O356" t="s">
        <v>159</v>
      </c>
      <c r="P356">
        <v>-20.166302999999999</v>
      </c>
      <c r="Q356">
        <v>-44.880659999999999</v>
      </c>
      <c r="R356" s="2" t="str">
        <f>HYPERLINK("https://www.google.com/maps?q=-20.1663030,-44.8806600","Abrir no Google Maps")</f>
        <v>Abrir no Google Maps</v>
      </c>
      <c r="S356">
        <v>4</v>
      </c>
      <c r="T356">
        <v>504.41812426451338</v>
      </c>
      <c r="U356">
        <v>4</v>
      </c>
      <c r="V356">
        <v>0.45133908606440298</v>
      </c>
      <c r="W356">
        <v>1</v>
      </c>
      <c r="X356">
        <v>0.45133908606440298</v>
      </c>
      <c r="Y356">
        <v>232</v>
      </c>
      <c r="Z356">
        <v>279.57571553948952</v>
      </c>
      <c r="AA356">
        <v>198</v>
      </c>
      <c r="AB356">
        <v>332</v>
      </c>
      <c r="AC356">
        <v>536</v>
      </c>
      <c r="AD356">
        <v>33.19</v>
      </c>
      <c r="AE356">
        <v>542</v>
      </c>
      <c r="AF356">
        <v>42</v>
      </c>
      <c r="AG356">
        <v>173</v>
      </c>
      <c r="AH356">
        <v>129</v>
      </c>
      <c r="AI356">
        <v>7.75</v>
      </c>
      <c r="AJ356">
        <v>31.92</v>
      </c>
      <c r="AK356">
        <v>23.8</v>
      </c>
      <c r="AL356">
        <v>-20.166700449999951</v>
      </c>
      <c r="AM356">
        <v>-44.880573341714289</v>
      </c>
      <c r="AN356">
        <v>-20.166700449999951</v>
      </c>
      <c r="AO356">
        <v>-44.880573341714289</v>
      </c>
      <c r="AP356">
        <v>-20.166302999999999</v>
      </c>
      <c r="AQ356">
        <v>-44.880659999999999</v>
      </c>
      <c r="AR356">
        <v>45.161304979350312</v>
      </c>
      <c r="AS356" t="s">
        <v>65</v>
      </c>
      <c r="AT356">
        <v>1</v>
      </c>
      <c r="AU356" t="s">
        <v>160</v>
      </c>
      <c r="AV356" t="s">
        <v>161</v>
      </c>
      <c r="AW356" t="s">
        <v>60</v>
      </c>
      <c r="AX356" t="s">
        <v>68</v>
      </c>
      <c r="AY356" t="s">
        <v>69</v>
      </c>
      <c r="AZ356" t="b">
        <v>1</v>
      </c>
    </row>
    <row r="357" spans="1:52" x14ac:dyDescent="0.3">
      <c r="A357" t="s">
        <v>52</v>
      </c>
      <c r="B357" t="s">
        <v>53</v>
      </c>
      <c r="C357" t="s">
        <v>54</v>
      </c>
      <c r="D357" t="s">
        <v>55</v>
      </c>
      <c r="E357" t="s">
        <v>1617</v>
      </c>
      <c r="F357" t="s">
        <v>57</v>
      </c>
      <c r="G357" t="s">
        <v>341</v>
      </c>
      <c r="H357" t="s">
        <v>342</v>
      </c>
      <c r="I357" t="s">
        <v>342</v>
      </c>
      <c r="J357" t="s">
        <v>60</v>
      </c>
      <c r="K357" t="s">
        <v>164</v>
      </c>
      <c r="L357" t="s">
        <v>62</v>
      </c>
      <c r="M357" t="s">
        <v>164</v>
      </c>
      <c r="N357" t="s">
        <v>343</v>
      </c>
      <c r="O357" t="s">
        <v>344</v>
      </c>
      <c r="P357">
        <v>-20.17606</v>
      </c>
      <c r="Q357">
        <v>-44.880409999999998</v>
      </c>
      <c r="R357" s="2" t="str">
        <f>HYPERLINK("https://www.google.com/maps?q=-20.1760600,-44.8804100","Abrir no Google Maps")</f>
        <v>Abrir no Google Maps</v>
      </c>
      <c r="S357">
        <v>4</v>
      </c>
      <c r="T357">
        <v>556.35468246023754</v>
      </c>
      <c r="U357">
        <v>4</v>
      </c>
      <c r="V357">
        <v>0.47627568392626518</v>
      </c>
      <c r="W357">
        <v>1</v>
      </c>
      <c r="X357">
        <v>0.47627568392626518</v>
      </c>
      <c r="Y357">
        <v>232</v>
      </c>
      <c r="Z357">
        <v>674.22003156100322</v>
      </c>
      <c r="AA357">
        <v>198</v>
      </c>
      <c r="AB357">
        <v>332</v>
      </c>
      <c r="AC357">
        <v>536</v>
      </c>
      <c r="AD357">
        <v>33.19</v>
      </c>
      <c r="AE357">
        <v>542</v>
      </c>
      <c r="AF357">
        <v>42</v>
      </c>
      <c r="AG357">
        <v>173</v>
      </c>
      <c r="AH357">
        <v>129</v>
      </c>
      <c r="AI357">
        <v>7.75</v>
      </c>
      <c r="AJ357">
        <v>31.92</v>
      </c>
      <c r="AK357">
        <v>23.8</v>
      </c>
      <c r="AL357">
        <v>-20.176226899999961</v>
      </c>
      <c r="AM357">
        <v>-44.880527903427911</v>
      </c>
      <c r="AN357">
        <v>-20.176226899999961</v>
      </c>
      <c r="AO357">
        <v>-44.880527903427911</v>
      </c>
      <c r="AP357">
        <v>-20.17606</v>
      </c>
      <c r="AQ357">
        <v>-44.880409999999998</v>
      </c>
      <c r="AR357">
        <v>22.292677247804349</v>
      </c>
      <c r="AS357" t="s">
        <v>65</v>
      </c>
      <c r="AT357">
        <v>1</v>
      </c>
      <c r="AU357" t="s">
        <v>345</v>
      </c>
      <c r="AV357" t="s">
        <v>346</v>
      </c>
      <c r="AW357" t="s">
        <v>60</v>
      </c>
      <c r="AX357" t="s">
        <v>68</v>
      </c>
      <c r="AY357" t="s">
        <v>69</v>
      </c>
      <c r="AZ357" t="b">
        <v>1</v>
      </c>
    </row>
    <row r="358" spans="1:52" x14ac:dyDescent="0.3">
      <c r="A358" t="s">
        <v>52</v>
      </c>
      <c r="B358" t="s">
        <v>53</v>
      </c>
      <c r="C358" t="s">
        <v>54</v>
      </c>
      <c r="D358" t="s">
        <v>55</v>
      </c>
      <c r="E358" t="s">
        <v>1617</v>
      </c>
      <c r="F358" t="s">
        <v>57</v>
      </c>
      <c r="G358" t="s">
        <v>162</v>
      </c>
      <c r="H358" t="s">
        <v>163</v>
      </c>
      <c r="I358" t="s">
        <v>163</v>
      </c>
      <c r="J358" t="s">
        <v>60</v>
      </c>
      <c r="K358" t="s">
        <v>164</v>
      </c>
      <c r="L358" t="s">
        <v>62</v>
      </c>
      <c r="M358" t="s">
        <v>164</v>
      </c>
      <c r="N358" t="s">
        <v>165</v>
      </c>
      <c r="O358" t="s">
        <v>166</v>
      </c>
      <c r="P358">
        <v>-20.175967</v>
      </c>
      <c r="Q358">
        <v>-44.876730000000002</v>
      </c>
      <c r="R358" s="2" t="str">
        <f>HYPERLINK("https://www.google.com/maps?q=-20.1759670,-44.8767300","Abrir no Google Maps")</f>
        <v>Abrir no Google Maps</v>
      </c>
      <c r="S358">
        <v>4</v>
      </c>
      <c r="T358">
        <v>692.5753730151132</v>
      </c>
      <c r="U358">
        <v>4</v>
      </c>
      <c r="V358">
        <v>0.46405152574793029</v>
      </c>
      <c r="W358">
        <v>1</v>
      </c>
      <c r="X358">
        <v>0.46405152574793029</v>
      </c>
      <c r="Y358">
        <v>232</v>
      </c>
      <c r="Z358">
        <v>686.15054949166824</v>
      </c>
      <c r="AA358">
        <v>198</v>
      </c>
      <c r="AB358">
        <v>332</v>
      </c>
      <c r="AC358">
        <v>536</v>
      </c>
      <c r="AD358">
        <v>33.19</v>
      </c>
      <c r="AE358">
        <v>542</v>
      </c>
      <c r="AF358">
        <v>42</v>
      </c>
      <c r="AG358">
        <v>173</v>
      </c>
      <c r="AH358">
        <v>129</v>
      </c>
      <c r="AI358">
        <v>7.75</v>
      </c>
      <c r="AJ358">
        <v>31.92</v>
      </c>
      <c r="AK358">
        <v>23.8</v>
      </c>
      <c r="AL358">
        <v>-20.17598664999997</v>
      </c>
      <c r="AM358">
        <v>-44.876806510253203</v>
      </c>
      <c r="AN358">
        <v>-20.17598664999997</v>
      </c>
      <c r="AO358">
        <v>-44.876806510253203</v>
      </c>
      <c r="AP358">
        <v>-20.175967</v>
      </c>
      <c r="AQ358">
        <v>-44.876730000000002</v>
      </c>
      <c r="AR358">
        <v>8.2883514287440097</v>
      </c>
      <c r="AS358" t="s">
        <v>65</v>
      </c>
      <c r="AT358">
        <v>1</v>
      </c>
      <c r="AU358" t="s">
        <v>167</v>
      </c>
      <c r="AV358" t="s">
        <v>168</v>
      </c>
      <c r="AW358" t="s">
        <v>60</v>
      </c>
      <c r="AX358" t="s">
        <v>68</v>
      </c>
      <c r="AY358" t="s">
        <v>69</v>
      </c>
      <c r="AZ358" t="b">
        <v>1</v>
      </c>
    </row>
    <row r="359" spans="1:52" x14ac:dyDescent="0.3">
      <c r="A359" t="s">
        <v>52</v>
      </c>
      <c r="B359" t="s">
        <v>53</v>
      </c>
      <c r="C359" t="s">
        <v>54</v>
      </c>
      <c r="D359" t="s">
        <v>55</v>
      </c>
      <c r="E359" t="s">
        <v>1617</v>
      </c>
      <c r="F359" t="s">
        <v>57</v>
      </c>
      <c r="G359" t="s">
        <v>347</v>
      </c>
      <c r="H359" t="s">
        <v>348</v>
      </c>
      <c r="I359" t="s">
        <v>348</v>
      </c>
      <c r="J359" t="s">
        <v>60</v>
      </c>
      <c r="K359" t="s">
        <v>157</v>
      </c>
      <c r="L359" t="s">
        <v>62</v>
      </c>
      <c r="M359" t="s">
        <v>157</v>
      </c>
      <c r="N359" t="s">
        <v>349</v>
      </c>
      <c r="O359" t="s">
        <v>350</v>
      </c>
      <c r="P359">
        <v>-20.171206999999999</v>
      </c>
      <c r="Q359">
        <v>-44.881143999999999</v>
      </c>
      <c r="R359" s="2" t="str">
        <f>HYPERLINK("https://www.google.com/maps?q=-20.1712070,-44.8811440","Abrir no Google Maps")</f>
        <v>Abrir no Google Maps</v>
      </c>
      <c r="S359">
        <v>4</v>
      </c>
      <c r="T359">
        <v>0</v>
      </c>
      <c r="U359">
        <v>4</v>
      </c>
      <c r="V359">
        <v>0.458167641325536</v>
      </c>
      <c r="W359">
        <v>1</v>
      </c>
      <c r="X359">
        <v>0.458167641325536</v>
      </c>
      <c r="Y359">
        <v>232</v>
      </c>
      <c r="Z359">
        <v>184.81719774496389</v>
      </c>
      <c r="AA359">
        <v>198</v>
      </c>
      <c r="AB359">
        <v>332</v>
      </c>
      <c r="AC359">
        <v>536</v>
      </c>
      <c r="AD359">
        <v>33.19</v>
      </c>
      <c r="AE359">
        <v>542</v>
      </c>
      <c r="AF359">
        <v>42</v>
      </c>
      <c r="AG359">
        <v>173</v>
      </c>
      <c r="AH359">
        <v>129</v>
      </c>
      <c r="AI359">
        <v>7.75</v>
      </c>
      <c r="AJ359">
        <v>31.92</v>
      </c>
      <c r="AK359">
        <v>23.8</v>
      </c>
      <c r="AL359">
        <v>-20.171229949999969</v>
      </c>
      <c r="AM359">
        <v>-44.881113944480241</v>
      </c>
      <c r="AN359">
        <v>-20.171229949999969</v>
      </c>
      <c r="AO359">
        <v>-44.881113944480241</v>
      </c>
      <c r="AP359">
        <v>-20.171206999999999</v>
      </c>
      <c r="AQ359">
        <v>-44.881143999999999</v>
      </c>
      <c r="AR359">
        <v>4.0484763362859333</v>
      </c>
      <c r="AS359" t="s">
        <v>65</v>
      </c>
      <c r="AT359">
        <v>1</v>
      </c>
      <c r="AU359" t="s">
        <v>351</v>
      </c>
      <c r="AV359" t="s">
        <v>352</v>
      </c>
      <c r="AW359" t="s">
        <v>60</v>
      </c>
      <c r="AX359" t="s">
        <v>68</v>
      </c>
      <c r="AY359" t="s">
        <v>69</v>
      </c>
      <c r="AZ359" t="b">
        <v>1</v>
      </c>
    </row>
    <row r="360" spans="1:52" x14ac:dyDescent="0.3">
      <c r="A360" t="s">
        <v>52</v>
      </c>
      <c r="B360" t="s">
        <v>53</v>
      </c>
      <c r="C360" t="s">
        <v>54</v>
      </c>
      <c r="D360" t="s">
        <v>55</v>
      </c>
      <c r="E360" t="s">
        <v>1617</v>
      </c>
      <c r="F360" t="s">
        <v>57</v>
      </c>
      <c r="G360" t="s">
        <v>1637</v>
      </c>
      <c r="H360" t="s">
        <v>1638</v>
      </c>
      <c r="I360" t="s">
        <v>1638</v>
      </c>
      <c r="J360" t="s">
        <v>60</v>
      </c>
      <c r="K360" t="s">
        <v>375</v>
      </c>
      <c r="L360" t="s">
        <v>62</v>
      </c>
      <c r="M360" t="s">
        <v>375</v>
      </c>
      <c r="N360" t="s">
        <v>1639</v>
      </c>
      <c r="O360" t="s">
        <v>1640</v>
      </c>
      <c r="P360">
        <v>-20.179231999999999</v>
      </c>
      <c r="Q360">
        <v>-44.885683999999998</v>
      </c>
      <c r="R360" s="2" t="str">
        <f>HYPERLINK("https://www.google.com/maps?q=-20.1792320,-44.8856840","Abrir no Google Maps")</f>
        <v>Abrir no Google Maps</v>
      </c>
      <c r="S360">
        <v>4</v>
      </c>
      <c r="T360">
        <v>801.46262351669486</v>
      </c>
      <c r="U360">
        <v>4</v>
      </c>
      <c r="V360">
        <v>0.5636363636363636</v>
      </c>
      <c r="W360">
        <v>0.85</v>
      </c>
      <c r="X360">
        <v>0.47909090909090912</v>
      </c>
      <c r="Y360">
        <v>232</v>
      </c>
      <c r="Z360">
        <v>1050.1168515236079</v>
      </c>
      <c r="AA360">
        <v>198</v>
      </c>
      <c r="AB360">
        <v>332</v>
      </c>
      <c r="AC360">
        <v>536</v>
      </c>
      <c r="AD360">
        <v>33.19</v>
      </c>
      <c r="AE360">
        <v>542</v>
      </c>
      <c r="AF360">
        <v>42</v>
      </c>
      <c r="AG360">
        <v>173</v>
      </c>
      <c r="AH360">
        <v>129</v>
      </c>
      <c r="AI360">
        <v>7.75</v>
      </c>
      <c r="AJ360">
        <v>31.92</v>
      </c>
      <c r="AK360">
        <v>23.8</v>
      </c>
      <c r="AL360">
        <v>-20.174313549999969</v>
      </c>
      <c r="AM360">
        <v>-44.888054159272059</v>
      </c>
      <c r="AN360">
        <v>-20.174313549999969</v>
      </c>
      <c r="AO360">
        <v>-44.888054159272059</v>
      </c>
      <c r="AP360">
        <v>-20.179231999999999</v>
      </c>
      <c r="AQ360">
        <v>-44.885683999999998</v>
      </c>
      <c r="AR360">
        <v>600.92840546618686</v>
      </c>
      <c r="AS360" t="s">
        <v>65</v>
      </c>
      <c r="AT360">
        <v>1</v>
      </c>
      <c r="AU360" t="s">
        <v>1641</v>
      </c>
      <c r="AV360" t="s">
        <v>1642</v>
      </c>
      <c r="AW360" t="s">
        <v>60</v>
      </c>
      <c r="AX360" t="s">
        <v>68</v>
      </c>
      <c r="AY360" t="s">
        <v>69</v>
      </c>
      <c r="AZ360" t="b">
        <v>1</v>
      </c>
    </row>
    <row r="361" spans="1:52" x14ac:dyDescent="0.3">
      <c r="A361" t="s">
        <v>52</v>
      </c>
      <c r="B361" t="s">
        <v>53</v>
      </c>
      <c r="C361" t="s">
        <v>54</v>
      </c>
      <c r="D361" t="s">
        <v>55</v>
      </c>
      <c r="E361" t="s">
        <v>1617</v>
      </c>
      <c r="F361" t="s">
        <v>57</v>
      </c>
      <c r="G361" t="s">
        <v>1127</v>
      </c>
      <c r="H361" t="s">
        <v>1643</v>
      </c>
      <c r="I361" t="s">
        <v>1643</v>
      </c>
      <c r="J361" t="s">
        <v>60</v>
      </c>
      <c r="K361" t="s">
        <v>1644</v>
      </c>
      <c r="L361" t="s">
        <v>62</v>
      </c>
      <c r="M361" t="s">
        <v>1644</v>
      </c>
      <c r="N361" t="s">
        <v>1645</v>
      </c>
      <c r="O361" t="s">
        <v>1646</v>
      </c>
      <c r="P361">
        <v>-20.144261</v>
      </c>
      <c r="Q361">
        <v>-44.872231999999997</v>
      </c>
      <c r="R361" s="2" t="str">
        <f>HYPERLINK("https://www.google.com/maps?q=-20.1442610,-44.8722320","Abrir no Google Maps")</f>
        <v>Abrir no Google Maps</v>
      </c>
      <c r="S361">
        <v>4</v>
      </c>
      <c r="T361">
        <v>347.76810049345352</v>
      </c>
      <c r="U361">
        <v>4</v>
      </c>
      <c r="V361">
        <v>0.52455613903475862</v>
      </c>
      <c r="W361">
        <v>0.85</v>
      </c>
      <c r="X361">
        <v>0.44587271817954482</v>
      </c>
      <c r="Y361">
        <v>209</v>
      </c>
      <c r="Z361">
        <v>239.9249814054366</v>
      </c>
      <c r="AA361">
        <v>198</v>
      </c>
      <c r="AB361">
        <v>332</v>
      </c>
      <c r="AC361">
        <v>536</v>
      </c>
      <c r="AD361">
        <v>33.19</v>
      </c>
      <c r="AE361">
        <v>542</v>
      </c>
      <c r="AF361">
        <v>42</v>
      </c>
      <c r="AG361">
        <v>173</v>
      </c>
      <c r="AH361">
        <v>129</v>
      </c>
      <c r="AI361">
        <v>7.75</v>
      </c>
      <c r="AJ361">
        <v>31.92</v>
      </c>
      <c r="AK361">
        <v>23.8</v>
      </c>
      <c r="AL361">
        <v>-20.144283649999949</v>
      </c>
      <c r="AM361">
        <v>-44.872299150008573</v>
      </c>
      <c r="AN361">
        <v>-20.144283649999949</v>
      </c>
      <c r="AO361">
        <v>-44.872299150008573</v>
      </c>
      <c r="AP361">
        <v>-20.144261</v>
      </c>
      <c r="AQ361">
        <v>-44.872231999999997</v>
      </c>
      <c r="AR361">
        <v>7.4570759248114484</v>
      </c>
      <c r="AS361" t="s">
        <v>65</v>
      </c>
      <c r="AT361">
        <v>1</v>
      </c>
      <c r="AU361" t="s">
        <v>1647</v>
      </c>
      <c r="AV361" t="s">
        <v>1648</v>
      </c>
      <c r="AW361" t="s">
        <v>60</v>
      </c>
      <c r="AX361" t="s">
        <v>68</v>
      </c>
      <c r="AY361" t="s">
        <v>69</v>
      </c>
      <c r="AZ361" t="b">
        <v>1</v>
      </c>
    </row>
    <row r="362" spans="1:52" x14ac:dyDescent="0.3">
      <c r="A362" t="s">
        <v>52</v>
      </c>
      <c r="B362" t="s">
        <v>53</v>
      </c>
      <c r="C362" t="s">
        <v>54</v>
      </c>
      <c r="D362" t="s">
        <v>55</v>
      </c>
      <c r="E362" t="s">
        <v>1617</v>
      </c>
      <c r="F362" t="s">
        <v>57</v>
      </c>
      <c r="G362" t="s">
        <v>353</v>
      </c>
      <c r="H362" t="s">
        <v>354</v>
      </c>
      <c r="I362" t="s">
        <v>354</v>
      </c>
      <c r="J362" t="s">
        <v>60</v>
      </c>
      <c r="K362" t="s">
        <v>355</v>
      </c>
      <c r="L362" t="s">
        <v>62</v>
      </c>
      <c r="M362" t="s">
        <v>355</v>
      </c>
      <c r="N362" t="s">
        <v>356</v>
      </c>
      <c r="O362" t="s">
        <v>357</v>
      </c>
      <c r="P362">
        <v>-20.147373999999999</v>
      </c>
      <c r="Q362">
        <v>-44.875141999999997</v>
      </c>
      <c r="R362" s="2" t="str">
        <f>HYPERLINK("https://www.google.com/maps?q=-20.1473740,-44.8751420","Abrir no Google Maps")</f>
        <v>Abrir no Google Maps</v>
      </c>
      <c r="S362">
        <v>4</v>
      </c>
      <c r="T362">
        <v>394.29708169591709</v>
      </c>
      <c r="U362">
        <v>4</v>
      </c>
      <c r="V362">
        <v>0.4479382889200561</v>
      </c>
      <c r="W362">
        <v>1</v>
      </c>
      <c r="X362">
        <v>0.4479382889200561</v>
      </c>
      <c r="Y362">
        <v>209</v>
      </c>
      <c r="Z362">
        <v>326.95034461828868</v>
      </c>
      <c r="AA362">
        <v>198</v>
      </c>
      <c r="AB362">
        <v>332</v>
      </c>
      <c r="AC362">
        <v>536</v>
      </c>
      <c r="AD362">
        <v>33.19</v>
      </c>
      <c r="AE362">
        <v>542</v>
      </c>
      <c r="AF362">
        <v>42</v>
      </c>
      <c r="AG362">
        <v>173</v>
      </c>
      <c r="AH362">
        <v>129</v>
      </c>
      <c r="AI362">
        <v>7.75</v>
      </c>
      <c r="AJ362">
        <v>31.92</v>
      </c>
      <c r="AK362">
        <v>23.8</v>
      </c>
      <c r="AL362">
        <v>-20.147207999999949</v>
      </c>
      <c r="AM362">
        <v>-44.875152120336942</v>
      </c>
      <c r="AN362">
        <v>-20.147207999999949</v>
      </c>
      <c r="AO362">
        <v>-44.875152120336942</v>
      </c>
      <c r="AP362">
        <v>-20.147373999999999</v>
      </c>
      <c r="AQ362">
        <v>-44.875141999999997</v>
      </c>
      <c r="AR362">
        <v>18.509363081081169</v>
      </c>
      <c r="AS362" t="s">
        <v>65</v>
      </c>
      <c r="AT362">
        <v>1</v>
      </c>
      <c r="AU362" t="s">
        <v>358</v>
      </c>
      <c r="AV362" t="s">
        <v>359</v>
      </c>
      <c r="AW362" t="s">
        <v>60</v>
      </c>
      <c r="AX362" t="s">
        <v>68</v>
      </c>
      <c r="AY362" t="s">
        <v>69</v>
      </c>
      <c r="AZ362" t="b">
        <v>1</v>
      </c>
    </row>
    <row r="363" spans="1:52" x14ac:dyDescent="0.3">
      <c r="A363" t="s">
        <v>52</v>
      </c>
      <c r="B363" t="s">
        <v>53</v>
      </c>
      <c r="C363" t="s">
        <v>54</v>
      </c>
      <c r="D363" t="s">
        <v>55</v>
      </c>
      <c r="E363" t="s">
        <v>1617</v>
      </c>
      <c r="F363" t="s">
        <v>57</v>
      </c>
      <c r="G363" t="s">
        <v>1649</v>
      </c>
      <c r="H363" t="s">
        <v>1650</v>
      </c>
      <c r="I363" t="s">
        <v>1650</v>
      </c>
      <c r="J363" t="s">
        <v>60</v>
      </c>
      <c r="K363" t="s">
        <v>355</v>
      </c>
      <c r="L363" t="s">
        <v>62</v>
      </c>
      <c r="M363" t="s">
        <v>355</v>
      </c>
      <c r="N363" t="s">
        <v>1651</v>
      </c>
      <c r="O363" t="s">
        <v>293</v>
      </c>
      <c r="P363">
        <v>-20.141983</v>
      </c>
      <c r="Q363">
        <v>-44.871161000000001</v>
      </c>
      <c r="R363" s="2" t="str">
        <f>HYPERLINK("https://www.google.com/maps?q=-20.1419830,-44.8711610","Abrir no Google Maps")</f>
        <v>Abrir no Google Maps</v>
      </c>
      <c r="S363">
        <v>4</v>
      </c>
      <c r="T363">
        <v>492.40092389187612</v>
      </c>
      <c r="U363">
        <v>4</v>
      </c>
      <c r="V363">
        <v>0.51529794502686066</v>
      </c>
      <c r="W363">
        <v>1</v>
      </c>
      <c r="X363">
        <v>0.51529794502686066</v>
      </c>
      <c r="Y363">
        <v>209</v>
      </c>
      <c r="Z363">
        <v>425.51195583014947</v>
      </c>
      <c r="AA363">
        <v>198</v>
      </c>
      <c r="AB363">
        <v>332</v>
      </c>
      <c r="AC363">
        <v>536</v>
      </c>
      <c r="AD363">
        <v>33.19</v>
      </c>
      <c r="AE363">
        <v>542</v>
      </c>
      <c r="AF363">
        <v>42</v>
      </c>
      <c r="AG363">
        <v>173</v>
      </c>
      <c r="AH363">
        <v>129</v>
      </c>
      <c r="AI363">
        <v>7.75</v>
      </c>
      <c r="AJ363">
        <v>31.92</v>
      </c>
      <c r="AK363">
        <v>23.8</v>
      </c>
      <c r="AL363">
        <v>-20.142006349999971</v>
      </c>
      <c r="AM363">
        <v>-44.871190369486733</v>
      </c>
      <c r="AN363">
        <v>-20.142006349999981</v>
      </c>
      <c r="AO363">
        <v>-44.871190369486733</v>
      </c>
      <c r="AP363">
        <v>-20.141983</v>
      </c>
      <c r="AQ363">
        <v>-44.871161000000001</v>
      </c>
      <c r="AR363">
        <v>4.0221964388318616</v>
      </c>
      <c r="AS363" t="s">
        <v>65</v>
      </c>
      <c r="AT363">
        <v>1</v>
      </c>
      <c r="AU363" t="s">
        <v>1652</v>
      </c>
      <c r="AV363" t="s">
        <v>1653</v>
      </c>
      <c r="AW363" t="s">
        <v>60</v>
      </c>
      <c r="AX363" t="s">
        <v>68</v>
      </c>
      <c r="AY363" t="s">
        <v>69</v>
      </c>
      <c r="AZ363" t="b">
        <v>1</v>
      </c>
    </row>
    <row r="364" spans="1:52" x14ac:dyDescent="0.3">
      <c r="A364" t="s">
        <v>52</v>
      </c>
      <c r="B364" t="s">
        <v>53</v>
      </c>
      <c r="C364" t="s">
        <v>54</v>
      </c>
      <c r="D364" t="s">
        <v>55</v>
      </c>
      <c r="E364" t="s">
        <v>1617</v>
      </c>
      <c r="F364" t="s">
        <v>57</v>
      </c>
      <c r="G364" t="s">
        <v>1654</v>
      </c>
      <c r="H364" t="s">
        <v>1655</v>
      </c>
      <c r="I364" t="s">
        <v>1655</v>
      </c>
      <c r="J364" t="s">
        <v>60</v>
      </c>
      <c r="K364" t="s">
        <v>368</v>
      </c>
      <c r="L364" t="s">
        <v>62</v>
      </c>
      <c r="M364" t="s">
        <v>368</v>
      </c>
      <c r="N364" t="s">
        <v>1656</v>
      </c>
      <c r="O364" t="s">
        <v>1657</v>
      </c>
      <c r="P364">
        <v>-20.143647999999999</v>
      </c>
      <c r="Q364">
        <v>-44.870466</v>
      </c>
      <c r="R364" s="2" t="str">
        <f>HYPERLINK("https://www.google.com/maps?q=-20.1436480,-44.8704660","Abrir no Google Maps")</f>
        <v>Abrir no Google Maps</v>
      </c>
      <c r="S364">
        <v>4</v>
      </c>
      <c r="T364">
        <v>545.81556277505979</v>
      </c>
      <c r="U364">
        <v>4</v>
      </c>
      <c r="V364">
        <v>0.47251128534093612</v>
      </c>
      <c r="W364">
        <v>1</v>
      </c>
      <c r="X364">
        <v>0.47251128534093612</v>
      </c>
      <c r="Y364">
        <v>198</v>
      </c>
      <c r="Z364">
        <v>258.83396188518708</v>
      </c>
      <c r="AA364">
        <v>198</v>
      </c>
      <c r="AB364">
        <v>332</v>
      </c>
      <c r="AC364">
        <v>536</v>
      </c>
      <c r="AD364">
        <v>33.19</v>
      </c>
      <c r="AE364">
        <v>542</v>
      </c>
      <c r="AF364">
        <v>42</v>
      </c>
      <c r="AG364">
        <v>173</v>
      </c>
      <c r="AH364">
        <v>129</v>
      </c>
      <c r="AI364">
        <v>7.75</v>
      </c>
      <c r="AJ364">
        <v>31.92</v>
      </c>
      <c r="AK364">
        <v>23.8</v>
      </c>
      <c r="AL364">
        <v>-20.143704099999951</v>
      </c>
      <c r="AM364">
        <v>-44.870339403868741</v>
      </c>
      <c r="AN364">
        <v>-20.143704099999951</v>
      </c>
      <c r="AO364">
        <v>-44.870339403868741</v>
      </c>
      <c r="AP364">
        <v>-20.143647999999999</v>
      </c>
      <c r="AQ364">
        <v>-44.870466</v>
      </c>
      <c r="AR364">
        <v>14.63048136060379</v>
      </c>
      <c r="AS364" t="s">
        <v>65</v>
      </c>
      <c r="AT364">
        <v>1</v>
      </c>
      <c r="AU364" t="s">
        <v>1658</v>
      </c>
      <c r="AV364" t="s">
        <v>1659</v>
      </c>
      <c r="AW364" t="s">
        <v>60</v>
      </c>
      <c r="AX364" t="s">
        <v>68</v>
      </c>
      <c r="AY364" t="s">
        <v>69</v>
      </c>
      <c r="AZ364" t="b">
        <v>1</v>
      </c>
    </row>
    <row r="365" spans="1:52" x14ac:dyDescent="0.3">
      <c r="A365" t="s">
        <v>52</v>
      </c>
      <c r="B365" t="s">
        <v>53</v>
      </c>
      <c r="C365" t="s">
        <v>54</v>
      </c>
      <c r="D365" t="s">
        <v>55</v>
      </c>
      <c r="E365" t="s">
        <v>1617</v>
      </c>
      <c r="F365" t="s">
        <v>57</v>
      </c>
      <c r="G365" t="s">
        <v>1660</v>
      </c>
      <c r="H365" t="s">
        <v>1661</v>
      </c>
      <c r="I365" t="s">
        <v>1661</v>
      </c>
      <c r="J365" t="s">
        <v>60</v>
      </c>
      <c r="K365" t="s">
        <v>164</v>
      </c>
      <c r="L365" t="s">
        <v>62</v>
      </c>
      <c r="M365" t="s">
        <v>164</v>
      </c>
      <c r="N365" t="s">
        <v>1662</v>
      </c>
      <c r="O365" t="s">
        <v>1663</v>
      </c>
      <c r="P365">
        <v>-20.181692000000002</v>
      </c>
      <c r="Q365">
        <v>-44.877276000000002</v>
      </c>
      <c r="R365" s="2" t="str">
        <f>HYPERLINK("https://www.google.com/maps?q=-20.1816920,-44.8772760","Abrir no Google Maps")</f>
        <v>Abrir no Google Maps</v>
      </c>
      <c r="S365">
        <v>4</v>
      </c>
      <c r="T365">
        <v>630.49689192580956</v>
      </c>
      <c r="U365">
        <v>4</v>
      </c>
      <c r="V365">
        <v>0.48741673077237829</v>
      </c>
      <c r="W365">
        <v>1</v>
      </c>
      <c r="X365">
        <v>0.48741673077237829</v>
      </c>
      <c r="Y365">
        <v>101</v>
      </c>
      <c r="Z365">
        <v>732.81472992851411</v>
      </c>
      <c r="AA365">
        <v>198</v>
      </c>
      <c r="AB365">
        <v>332</v>
      </c>
      <c r="AC365">
        <v>536</v>
      </c>
      <c r="AD365">
        <v>33.19</v>
      </c>
      <c r="AE365">
        <v>542</v>
      </c>
      <c r="AF365">
        <v>42</v>
      </c>
      <c r="AG365">
        <v>173</v>
      </c>
      <c r="AH365">
        <v>129</v>
      </c>
      <c r="AI365">
        <v>7.75</v>
      </c>
      <c r="AJ365">
        <v>31.92</v>
      </c>
      <c r="AK365">
        <v>23.8</v>
      </c>
      <c r="AL365">
        <v>-20.181644349999971</v>
      </c>
      <c r="AM365">
        <v>-44.876890970787557</v>
      </c>
      <c r="AN365">
        <v>-20.181644349999971</v>
      </c>
      <c r="AO365">
        <v>-44.876890970787557</v>
      </c>
      <c r="AP365">
        <v>-20.181692000000002</v>
      </c>
      <c r="AQ365">
        <v>-44.877276000000002</v>
      </c>
      <c r="AR365">
        <v>40.578104107908509</v>
      </c>
      <c r="AS365" t="s">
        <v>65</v>
      </c>
      <c r="AT365">
        <v>1</v>
      </c>
      <c r="AU365" t="s">
        <v>1664</v>
      </c>
      <c r="AV365" t="s">
        <v>1665</v>
      </c>
      <c r="AW365" t="s">
        <v>60</v>
      </c>
      <c r="AX365" t="s">
        <v>68</v>
      </c>
      <c r="AY365" t="s">
        <v>69</v>
      </c>
      <c r="AZ365" t="b">
        <v>1</v>
      </c>
    </row>
    <row r="366" spans="1:52" x14ac:dyDescent="0.3">
      <c r="A366" t="s">
        <v>52</v>
      </c>
      <c r="B366" t="s">
        <v>53</v>
      </c>
      <c r="C366" t="s">
        <v>54</v>
      </c>
      <c r="D366" t="s">
        <v>55</v>
      </c>
      <c r="E366" t="s">
        <v>1617</v>
      </c>
      <c r="F366" t="s">
        <v>57</v>
      </c>
      <c r="G366" t="s">
        <v>1666</v>
      </c>
      <c r="H366" t="s">
        <v>1667</v>
      </c>
      <c r="I366" t="s">
        <v>1667</v>
      </c>
      <c r="J366" t="s">
        <v>60</v>
      </c>
      <c r="K366" t="s">
        <v>164</v>
      </c>
      <c r="L366" t="s">
        <v>62</v>
      </c>
      <c r="M366" t="s">
        <v>164</v>
      </c>
      <c r="N366" t="s">
        <v>1668</v>
      </c>
      <c r="O366" t="s">
        <v>977</v>
      </c>
      <c r="P366">
        <v>-20.188607999999999</v>
      </c>
      <c r="Q366">
        <v>-44.884746999999997</v>
      </c>
      <c r="R366" s="2" t="str">
        <f>HYPERLINK("https://www.google.com/maps?q=-20.1886080,-44.8847470","Abrir no Google Maps")</f>
        <v>Abrir no Google Maps</v>
      </c>
      <c r="S366">
        <v>4</v>
      </c>
      <c r="T366">
        <v>501.52638987448978</v>
      </c>
      <c r="U366">
        <v>4</v>
      </c>
      <c r="V366">
        <v>0.53398159567403469</v>
      </c>
      <c r="W366">
        <v>0.85</v>
      </c>
      <c r="X366">
        <v>0.45388435632292939</v>
      </c>
      <c r="Y366">
        <v>101</v>
      </c>
      <c r="Z366">
        <v>489.47740203600989</v>
      </c>
      <c r="AA366">
        <v>198</v>
      </c>
      <c r="AB366">
        <v>332</v>
      </c>
      <c r="AC366">
        <v>536</v>
      </c>
      <c r="AD366">
        <v>33.19</v>
      </c>
      <c r="AE366">
        <v>542</v>
      </c>
      <c r="AF366">
        <v>42</v>
      </c>
      <c r="AG366">
        <v>173</v>
      </c>
      <c r="AH366">
        <v>129</v>
      </c>
      <c r="AI366">
        <v>7.75</v>
      </c>
      <c r="AJ366">
        <v>31.92</v>
      </c>
      <c r="AK366">
        <v>23.8</v>
      </c>
      <c r="AL366">
        <v>-20.188808899999941</v>
      </c>
      <c r="AM366">
        <v>-44.884623554762321</v>
      </c>
      <c r="AN366">
        <v>-20.188808899999941</v>
      </c>
      <c r="AO366">
        <v>-44.884623554762321</v>
      </c>
      <c r="AP366">
        <v>-20.188607999999999</v>
      </c>
      <c r="AQ366">
        <v>-44.884746999999997</v>
      </c>
      <c r="AR366">
        <v>25.8167710394147</v>
      </c>
      <c r="AS366" t="s">
        <v>65</v>
      </c>
      <c r="AT366">
        <v>1</v>
      </c>
      <c r="AU366" t="s">
        <v>1669</v>
      </c>
      <c r="AV366" t="s">
        <v>1670</v>
      </c>
      <c r="AW366" t="s">
        <v>60</v>
      </c>
      <c r="AX366" t="s">
        <v>68</v>
      </c>
      <c r="AY366" t="s">
        <v>69</v>
      </c>
      <c r="AZ366" t="b">
        <v>1</v>
      </c>
    </row>
    <row r="367" spans="1:52" x14ac:dyDescent="0.3">
      <c r="A367" t="s">
        <v>52</v>
      </c>
      <c r="B367" t="s">
        <v>53</v>
      </c>
      <c r="C367" t="s">
        <v>54</v>
      </c>
      <c r="D367" t="s">
        <v>55</v>
      </c>
      <c r="E367" t="s">
        <v>1617</v>
      </c>
      <c r="F367" t="s">
        <v>57</v>
      </c>
      <c r="G367" t="s">
        <v>373</v>
      </c>
      <c r="H367" t="s">
        <v>374</v>
      </c>
      <c r="I367" t="s">
        <v>374</v>
      </c>
      <c r="J367" t="s">
        <v>60</v>
      </c>
      <c r="K367" t="s">
        <v>375</v>
      </c>
      <c r="L367" t="s">
        <v>62</v>
      </c>
      <c r="M367" t="s">
        <v>375</v>
      </c>
      <c r="N367" t="s">
        <v>376</v>
      </c>
      <c r="O367" t="s">
        <v>377</v>
      </c>
      <c r="P367">
        <v>-20.178172</v>
      </c>
      <c r="Q367">
        <v>-44.882871999999999</v>
      </c>
      <c r="R367" s="2" t="str">
        <f>HYPERLINK("https://www.google.com/maps?q=-20.1781720,-44.8828720","Abrir no Google Maps")</f>
        <v>Abrir no Google Maps</v>
      </c>
      <c r="S367">
        <v>4</v>
      </c>
      <c r="T367">
        <v>817.23317190190858</v>
      </c>
      <c r="U367">
        <v>4</v>
      </c>
      <c r="V367">
        <v>0.52301315789473679</v>
      </c>
      <c r="W367">
        <v>1</v>
      </c>
      <c r="X367">
        <v>0.52301315789473679</v>
      </c>
      <c r="Y367">
        <v>101</v>
      </c>
      <c r="Z367">
        <v>845.03006728789421</v>
      </c>
      <c r="AA367">
        <v>198</v>
      </c>
      <c r="AB367">
        <v>332</v>
      </c>
      <c r="AC367">
        <v>536</v>
      </c>
      <c r="AD367">
        <v>33.19</v>
      </c>
      <c r="AE367">
        <v>542</v>
      </c>
      <c r="AF367">
        <v>42</v>
      </c>
      <c r="AG367">
        <v>173</v>
      </c>
      <c r="AH367">
        <v>129</v>
      </c>
      <c r="AI367">
        <v>7.75</v>
      </c>
      <c r="AJ367">
        <v>31.92</v>
      </c>
      <c r="AK367">
        <v>23.8</v>
      </c>
      <c r="AL367">
        <v>-20.178380049999959</v>
      </c>
      <c r="AM367">
        <v>-44.883070555357122</v>
      </c>
      <c r="AN367">
        <v>-20.178380049999959</v>
      </c>
      <c r="AO367">
        <v>-44.883070555357122</v>
      </c>
      <c r="AP367">
        <v>-20.178172</v>
      </c>
      <c r="AQ367">
        <v>-44.882871999999999</v>
      </c>
      <c r="AR367">
        <v>31.093588149250511</v>
      </c>
      <c r="AS367" t="s">
        <v>65</v>
      </c>
      <c r="AT367">
        <v>1</v>
      </c>
      <c r="AU367" t="s">
        <v>378</v>
      </c>
      <c r="AV367" t="s">
        <v>379</v>
      </c>
      <c r="AW367" t="s">
        <v>60</v>
      </c>
      <c r="AX367" t="s">
        <v>68</v>
      </c>
      <c r="AY367" t="s">
        <v>69</v>
      </c>
      <c r="AZ367" t="b">
        <v>1</v>
      </c>
    </row>
    <row r="368" spans="1:52" x14ac:dyDescent="0.3">
      <c r="A368" t="s">
        <v>52</v>
      </c>
      <c r="B368" t="s">
        <v>53</v>
      </c>
      <c r="C368" t="s">
        <v>54</v>
      </c>
      <c r="D368" t="s">
        <v>55</v>
      </c>
      <c r="E368" t="s">
        <v>1617</v>
      </c>
      <c r="F368" t="s">
        <v>57</v>
      </c>
      <c r="G368" t="s">
        <v>1671</v>
      </c>
      <c r="H368" t="s">
        <v>1672</v>
      </c>
      <c r="I368" t="s">
        <v>1672</v>
      </c>
      <c r="J368" t="s">
        <v>60</v>
      </c>
      <c r="K368" t="s">
        <v>375</v>
      </c>
      <c r="L368" t="s">
        <v>62</v>
      </c>
      <c r="M368" t="s">
        <v>375</v>
      </c>
      <c r="N368" t="s">
        <v>1673</v>
      </c>
      <c r="O368" t="s">
        <v>370</v>
      </c>
      <c r="P368">
        <v>-20.180724000000001</v>
      </c>
      <c r="Q368">
        <v>-44.886913999999997</v>
      </c>
      <c r="R368" s="2" t="str">
        <f>HYPERLINK("https://www.google.com/maps?q=-20.1807240,-44.8869140","Abrir no Google Maps")</f>
        <v>Abrir no Google Maps</v>
      </c>
      <c r="S368">
        <v>4</v>
      </c>
      <c r="T368">
        <v>814.7424073839951</v>
      </c>
      <c r="U368">
        <v>4</v>
      </c>
      <c r="V368">
        <v>0.52092786641057043</v>
      </c>
      <c r="W368">
        <v>1</v>
      </c>
      <c r="X368">
        <v>0.52092786641057043</v>
      </c>
      <c r="Y368">
        <v>101</v>
      </c>
      <c r="Z368">
        <v>808.23656795472721</v>
      </c>
      <c r="AA368">
        <v>198</v>
      </c>
      <c r="AB368">
        <v>332</v>
      </c>
      <c r="AC368">
        <v>536</v>
      </c>
      <c r="AD368">
        <v>33.19</v>
      </c>
      <c r="AE368">
        <v>542</v>
      </c>
      <c r="AF368">
        <v>42</v>
      </c>
      <c r="AG368">
        <v>173</v>
      </c>
      <c r="AH368">
        <v>129</v>
      </c>
      <c r="AI368">
        <v>7.75</v>
      </c>
      <c r="AJ368">
        <v>31.92</v>
      </c>
      <c r="AK368">
        <v>23.8</v>
      </c>
      <c r="AL368">
        <v>-20.18071869999994</v>
      </c>
      <c r="AM368">
        <v>-44.886927989725393</v>
      </c>
      <c r="AN368">
        <v>-20.18071869999994</v>
      </c>
      <c r="AO368">
        <v>-44.886927989725393</v>
      </c>
      <c r="AP368">
        <v>-20.180724000000001</v>
      </c>
      <c r="AQ368">
        <v>-44.886913999999997</v>
      </c>
      <c r="AR368">
        <v>1.5763090046691759</v>
      </c>
      <c r="AS368" t="s">
        <v>65</v>
      </c>
      <c r="AT368">
        <v>1</v>
      </c>
      <c r="AU368" t="s">
        <v>1674</v>
      </c>
      <c r="AV368" t="s">
        <v>1642</v>
      </c>
      <c r="AW368" t="s">
        <v>60</v>
      </c>
      <c r="AX368" t="s">
        <v>68</v>
      </c>
      <c r="AY368" t="s">
        <v>69</v>
      </c>
      <c r="AZ368" t="b">
        <v>1</v>
      </c>
    </row>
    <row r="369" spans="1:52" x14ac:dyDescent="0.3">
      <c r="A369" t="s">
        <v>52</v>
      </c>
      <c r="B369" t="s">
        <v>53</v>
      </c>
      <c r="C369" t="s">
        <v>54</v>
      </c>
      <c r="D369" t="s">
        <v>55</v>
      </c>
      <c r="E369" t="s">
        <v>1617</v>
      </c>
      <c r="F369" t="s">
        <v>57</v>
      </c>
      <c r="G369" t="s">
        <v>1671</v>
      </c>
      <c r="H369" t="s">
        <v>1675</v>
      </c>
      <c r="I369" t="s">
        <v>1675</v>
      </c>
      <c r="J369" t="s">
        <v>60</v>
      </c>
      <c r="K369" t="s">
        <v>1676</v>
      </c>
      <c r="L369" t="s">
        <v>62</v>
      </c>
      <c r="M369" t="s">
        <v>1676</v>
      </c>
      <c r="N369" t="s">
        <v>1673</v>
      </c>
      <c r="O369" t="s">
        <v>283</v>
      </c>
      <c r="P369">
        <v>-20.183022000000001</v>
      </c>
      <c r="Q369">
        <v>-44.885517</v>
      </c>
      <c r="R369" s="2" t="str">
        <f>HYPERLINK("https://www.google.com/maps?q=-20.1830220,-44.8855170","Abrir no Google Maps")</f>
        <v>Abrir no Google Maps</v>
      </c>
      <c r="S369">
        <v>4</v>
      </c>
      <c r="T369">
        <v>532.27605375591554</v>
      </c>
      <c r="U369">
        <v>4</v>
      </c>
      <c r="V369">
        <v>0.55145859034460076</v>
      </c>
      <c r="W369">
        <v>0.85</v>
      </c>
      <c r="X369">
        <v>0.46873980179291058</v>
      </c>
      <c r="Y369">
        <v>101</v>
      </c>
      <c r="Z369">
        <v>549.01511922042539</v>
      </c>
      <c r="AA369">
        <v>198</v>
      </c>
      <c r="AB369">
        <v>332</v>
      </c>
      <c r="AC369">
        <v>536</v>
      </c>
      <c r="AD369">
        <v>33.19</v>
      </c>
      <c r="AE369">
        <v>542</v>
      </c>
      <c r="AF369">
        <v>42</v>
      </c>
      <c r="AG369">
        <v>173</v>
      </c>
      <c r="AH369">
        <v>129</v>
      </c>
      <c r="AI369">
        <v>7.75</v>
      </c>
      <c r="AJ369">
        <v>31.92</v>
      </c>
      <c r="AK369">
        <v>23.8</v>
      </c>
      <c r="AL369">
        <v>-20.182930199999959</v>
      </c>
      <c r="AM369">
        <v>-44.885344551029888</v>
      </c>
      <c r="AN369">
        <v>-20.182930199999959</v>
      </c>
      <c r="AO369">
        <v>-44.885344551029888</v>
      </c>
      <c r="AP369">
        <v>-20.183022000000001</v>
      </c>
      <c r="AQ369">
        <v>-44.885517</v>
      </c>
      <c r="AR369">
        <v>20.714454632752489</v>
      </c>
      <c r="AS369" t="s">
        <v>65</v>
      </c>
      <c r="AT369">
        <v>1</v>
      </c>
      <c r="AU369" t="s">
        <v>1677</v>
      </c>
      <c r="AV369" t="s">
        <v>1678</v>
      </c>
      <c r="AW369" t="s">
        <v>60</v>
      </c>
      <c r="AX369" t="s">
        <v>68</v>
      </c>
      <c r="AY369" t="s">
        <v>69</v>
      </c>
      <c r="AZ369" t="b">
        <v>1</v>
      </c>
    </row>
    <row r="370" spans="1:52" x14ac:dyDescent="0.3">
      <c r="A370" t="s">
        <v>52</v>
      </c>
      <c r="B370" t="s">
        <v>53</v>
      </c>
      <c r="C370" t="s">
        <v>54</v>
      </c>
      <c r="D370" t="s">
        <v>55</v>
      </c>
      <c r="E370" t="s">
        <v>1617</v>
      </c>
      <c r="F370" t="s">
        <v>57</v>
      </c>
      <c r="G370" t="s">
        <v>176</v>
      </c>
      <c r="H370" t="s">
        <v>177</v>
      </c>
      <c r="I370" t="s">
        <v>177</v>
      </c>
      <c r="J370" t="s">
        <v>60</v>
      </c>
      <c r="K370" t="s">
        <v>178</v>
      </c>
      <c r="L370" t="s">
        <v>62</v>
      </c>
      <c r="M370" t="s">
        <v>178</v>
      </c>
      <c r="N370" t="s">
        <v>179</v>
      </c>
      <c r="O370" t="s">
        <v>180</v>
      </c>
      <c r="P370">
        <v>-20.129152999999999</v>
      </c>
      <c r="Q370">
        <v>-44.859299</v>
      </c>
      <c r="R370" s="2" t="str">
        <f>HYPERLINK("https://www.google.com/maps?q=-20.1291530,-44.8592990","Abrir no Google Maps")</f>
        <v>Abrir no Google Maps</v>
      </c>
      <c r="S370">
        <v>4</v>
      </c>
      <c r="T370">
        <v>0</v>
      </c>
      <c r="U370">
        <v>4</v>
      </c>
      <c r="V370">
        <v>0.4722879300878477</v>
      </c>
      <c r="W370">
        <v>1</v>
      </c>
      <c r="X370">
        <v>0.4722879300878477</v>
      </c>
      <c r="Y370">
        <v>95</v>
      </c>
      <c r="Z370">
        <v>323.58963420291411</v>
      </c>
      <c r="AA370">
        <v>198</v>
      </c>
      <c r="AB370">
        <v>332</v>
      </c>
      <c r="AC370">
        <v>536</v>
      </c>
      <c r="AD370">
        <v>33.19</v>
      </c>
      <c r="AE370">
        <v>542</v>
      </c>
      <c r="AF370">
        <v>42</v>
      </c>
      <c r="AG370">
        <v>173</v>
      </c>
      <c r="AH370">
        <v>129</v>
      </c>
      <c r="AI370">
        <v>7.75</v>
      </c>
      <c r="AJ370">
        <v>31.92</v>
      </c>
      <c r="AK370">
        <v>23.8</v>
      </c>
      <c r="AL370">
        <v>-20.129260799999969</v>
      </c>
      <c r="AM370">
        <v>-44.859468344955843</v>
      </c>
      <c r="AN370">
        <v>-20.129260799999969</v>
      </c>
      <c r="AO370">
        <v>-44.859468344955843</v>
      </c>
      <c r="AP370">
        <v>-20.129152999999999</v>
      </c>
      <c r="AQ370">
        <v>-44.859299</v>
      </c>
      <c r="AR370">
        <v>21.38451122307773</v>
      </c>
      <c r="AS370" t="s">
        <v>65</v>
      </c>
      <c r="AT370">
        <v>1</v>
      </c>
      <c r="AU370" t="s">
        <v>181</v>
      </c>
      <c r="AV370" t="s">
        <v>182</v>
      </c>
      <c r="AW370" t="s">
        <v>60</v>
      </c>
      <c r="AX370" t="s">
        <v>68</v>
      </c>
      <c r="AY370" t="s">
        <v>69</v>
      </c>
      <c r="AZ370" t="b">
        <v>1</v>
      </c>
    </row>
    <row r="371" spans="1:52" x14ac:dyDescent="0.3">
      <c r="A371" t="s">
        <v>52</v>
      </c>
      <c r="B371" t="s">
        <v>53</v>
      </c>
      <c r="C371" t="s">
        <v>54</v>
      </c>
      <c r="D371" t="s">
        <v>55</v>
      </c>
      <c r="E371" t="s">
        <v>1617</v>
      </c>
      <c r="F371" t="s">
        <v>57</v>
      </c>
      <c r="G371" t="s">
        <v>1679</v>
      </c>
      <c r="H371" t="s">
        <v>1680</v>
      </c>
      <c r="I371" t="s">
        <v>1680</v>
      </c>
      <c r="J371" t="s">
        <v>60</v>
      </c>
      <c r="K371" t="s">
        <v>1681</v>
      </c>
      <c r="L371" t="s">
        <v>62</v>
      </c>
      <c r="M371" t="s">
        <v>1681</v>
      </c>
      <c r="N371" t="s">
        <v>1682</v>
      </c>
      <c r="O371" t="s">
        <v>315</v>
      </c>
      <c r="P371">
        <v>-20.136075999999999</v>
      </c>
      <c r="Q371">
        <v>-44.854410999999999</v>
      </c>
      <c r="R371" s="2" t="str">
        <f>HYPERLINK("https://www.google.com/maps?q=-20.1360760,-44.8544110","Abrir no Google Maps")</f>
        <v>Abrir no Google Maps</v>
      </c>
      <c r="S371">
        <v>4</v>
      </c>
      <c r="T371">
        <v>923.14535705095284</v>
      </c>
      <c r="U371">
        <v>4</v>
      </c>
      <c r="V371">
        <v>0.4561142140155357</v>
      </c>
      <c r="W371">
        <v>1</v>
      </c>
      <c r="X371">
        <v>0.4561142140155357</v>
      </c>
      <c r="Y371">
        <v>95</v>
      </c>
      <c r="Z371">
        <v>512.25410822465881</v>
      </c>
      <c r="AA371">
        <v>198</v>
      </c>
      <c r="AB371">
        <v>332</v>
      </c>
      <c r="AC371">
        <v>536</v>
      </c>
      <c r="AD371">
        <v>33.19</v>
      </c>
      <c r="AE371">
        <v>542</v>
      </c>
      <c r="AF371">
        <v>42</v>
      </c>
      <c r="AG371">
        <v>173</v>
      </c>
      <c r="AH371">
        <v>129</v>
      </c>
      <c r="AI371">
        <v>7.75</v>
      </c>
      <c r="AJ371">
        <v>31.92</v>
      </c>
      <c r="AK371">
        <v>23.8</v>
      </c>
      <c r="AL371">
        <v>-20.13612434999996</v>
      </c>
      <c r="AM371">
        <v>-44.854448179058288</v>
      </c>
      <c r="AN371">
        <v>-20.13612434999996</v>
      </c>
      <c r="AO371">
        <v>-44.854448179058288</v>
      </c>
      <c r="AP371">
        <v>-20.136075999999999</v>
      </c>
      <c r="AQ371">
        <v>-44.854410999999999</v>
      </c>
      <c r="AR371">
        <v>6.6384360450222868</v>
      </c>
      <c r="AS371" t="s">
        <v>65</v>
      </c>
      <c r="AT371">
        <v>1</v>
      </c>
      <c r="AU371" t="s">
        <v>1683</v>
      </c>
      <c r="AV371" t="s">
        <v>1684</v>
      </c>
      <c r="AW371" t="s">
        <v>60</v>
      </c>
      <c r="AX371" t="s">
        <v>68</v>
      </c>
      <c r="AY371" t="s">
        <v>69</v>
      </c>
      <c r="AZ371" t="b">
        <v>1</v>
      </c>
    </row>
    <row r="372" spans="1:52" x14ac:dyDescent="0.3">
      <c r="A372" t="s">
        <v>52</v>
      </c>
      <c r="B372" t="s">
        <v>53</v>
      </c>
      <c r="C372" t="s">
        <v>54</v>
      </c>
      <c r="D372" t="s">
        <v>55</v>
      </c>
      <c r="E372" t="s">
        <v>1617</v>
      </c>
      <c r="F372" t="s">
        <v>57</v>
      </c>
      <c r="G372" t="s">
        <v>183</v>
      </c>
      <c r="H372" t="s">
        <v>184</v>
      </c>
      <c r="I372" t="s">
        <v>184</v>
      </c>
      <c r="J372" t="s">
        <v>60</v>
      </c>
      <c r="K372" t="s">
        <v>185</v>
      </c>
      <c r="L372" t="s">
        <v>62</v>
      </c>
      <c r="M372" t="s">
        <v>185</v>
      </c>
      <c r="N372" t="s">
        <v>186</v>
      </c>
      <c r="O372" t="s">
        <v>187</v>
      </c>
      <c r="P372">
        <v>-20.134855000000002</v>
      </c>
      <c r="Q372">
        <v>-44.860174000000001</v>
      </c>
      <c r="R372" s="2" t="str">
        <f>HYPERLINK("https://www.google.com/maps?q=-20.1348550,-44.8601740","Abrir no Google Maps")</f>
        <v>Abrir no Google Maps</v>
      </c>
      <c r="S372">
        <v>4</v>
      </c>
      <c r="T372">
        <v>625.96998974571841</v>
      </c>
      <c r="U372">
        <v>4</v>
      </c>
      <c r="V372">
        <v>0.44306523235313527</v>
      </c>
      <c r="W372">
        <v>1</v>
      </c>
      <c r="X372">
        <v>0.44306523235313527</v>
      </c>
      <c r="Y372">
        <v>95</v>
      </c>
      <c r="Z372">
        <v>257.67818504656498</v>
      </c>
      <c r="AA372">
        <v>198</v>
      </c>
      <c r="AB372">
        <v>332</v>
      </c>
      <c r="AC372">
        <v>536</v>
      </c>
      <c r="AD372">
        <v>33.19</v>
      </c>
      <c r="AE372">
        <v>542</v>
      </c>
      <c r="AF372">
        <v>42</v>
      </c>
      <c r="AG372">
        <v>173</v>
      </c>
      <c r="AH372">
        <v>129</v>
      </c>
      <c r="AI372">
        <v>7.75</v>
      </c>
      <c r="AJ372">
        <v>31.92</v>
      </c>
      <c r="AK372">
        <v>23.8</v>
      </c>
      <c r="AL372">
        <v>-20.134903999999981</v>
      </c>
      <c r="AM372">
        <v>-44.859880285335962</v>
      </c>
      <c r="AN372">
        <v>-20.134903999999981</v>
      </c>
      <c r="AO372">
        <v>-44.859880285335962</v>
      </c>
      <c r="AP372">
        <v>-20.134855000000002</v>
      </c>
      <c r="AQ372">
        <v>-44.860174000000001</v>
      </c>
      <c r="AR372">
        <v>31.178921696823132</v>
      </c>
      <c r="AS372" t="s">
        <v>65</v>
      </c>
      <c r="AT372">
        <v>1</v>
      </c>
      <c r="AU372" t="s">
        <v>188</v>
      </c>
      <c r="AV372" t="s">
        <v>189</v>
      </c>
      <c r="AW372" t="s">
        <v>60</v>
      </c>
      <c r="AX372" t="s">
        <v>68</v>
      </c>
      <c r="AY372" t="s">
        <v>69</v>
      </c>
      <c r="AZ372" t="b">
        <v>1</v>
      </c>
    </row>
    <row r="373" spans="1:52" x14ac:dyDescent="0.3">
      <c r="A373" t="s">
        <v>52</v>
      </c>
      <c r="B373" t="s">
        <v>53</v>
      </c>
      <c r="C373" t="s">
        <v>54</v>
      </c>
      <c r="D373" t="s">
        <v>55</v>
      </c>
      <c r="E373" t="s">
        <v>1617</v>
      </c>
      <c r="F373" t="s">
        <v>190</v>
      </c>
      <c r="G373" t="s">
        <v>191</v>
      </c>
      <c r="H373" t="s">
        <v>192</v>
      </c>
      <c r="I373" t="s">
        <v>192</v>
      </c>
      <c r="J373" t="s">
        <v>60</v>
      </c>
      <c r="K373" t="s">
        <v>193</v>
      </c>
      <c r="L373" t="s">
        <v>62</v>
      </c>
      <c r="M373" t="s">
        <v>193</v>
      </c>
      <c r="N373" t="s">
        <v>194</v>
      </c>
      <c r="O373" t="s">
        <v>195</v>
      </c>
      <c r="P373">
        <v>-20.143266000000001</v>
      </c>
      <c r="Q373">
        <v>-44.912075000000002</v>
      </c>
      <c r="R373" s="2" t="str">
        <f>HYPERLINK("https://www.google.com/maps?q=-20.1432660,-44.9120750","Abrir no Google Maps")</f>
        <v>Abrir no Google Maps</v>
      </c>
      <c r="S373">
        <v>4</v>
      </c>
      <c r="T373">
        <v>467.04339396175408</v>
      </c>
      <c r="U373">
        <v>3</v>
      </c>
      <c r="V373">
        <v>0.41350374783778587</v>
      </c>
      <c r="W373">
        <v>1</v>
      </c>
      <c r="X373">
        <v>0.41350374783778587</v>
      </c>
      <c r="Y373">
        <v>747</v>
      </c>
      <c r="Z373">
        <v>585.1742452866996</v>
      </c>
      <c r="AA373">
        <v>198</v>
      </c>
      <c r="AB373">
        <v>332</v>
      </c>
      <c r="AC373">
        <v>536</v>
      </c>
      <c r="AD373">
        <v>33.19</v>
      </c>
      <c r="AE373">
        <v>542</v>
      </c>
      <c r="AF373">
        <v>42</v>
      </c>
      <c r="AG373">
        <v>173</v>
      </c>
      <c r="AH373">
        <v>129</v>
      </c>
      <c r="AI373">
        <v>7.75</v>
      </c>
      <c r="AJ373">
        <v>31.92</v>
      </c>
      <c r="AK373">
        <v>23.8</v>
      </c>
      <c r="AL373">
        <v>-20.143307949999951</v>
      </c>
      <c r="AM373">
        <v>-44.912066629431067</v>
      </c>
      <c r="AN373">
        <v>-20.143307949999951</v>
      </c>
      <c r="AO373">
        <v>-44.912066629431067</v>
      </c>
      <c r="AP373">
        <v>-20.143266000000001</v>
      </c>
      <c r="AQ373">
        <v>-44.912075000000002</v>
      </c>
      <c r="AR373">
        <v>4.751108024498329</v>
      </c>
      <c r="AS373" t="s">
        <v>65</v>
      </c>
      <c r="AT373">
        <v>1</v>
      </c>
      <c r="AU373" t="s">
        <v>196</v>
      </c>
      <c r="AV373" t="s">
        <v>197</v>
      </c>
      <c r="AW373" t="s">
        <v>60</v>
      </c>
      <c r="AX373" t="s">
        <v>68</v>
      </c>
      <c r="AY373" t="s">
        <v>69</v>
      </c>
      <c r="AZ373" t="b">
        <v>1</v>
      </c>
    </row>
    <row r="374" spans="1:52" x14ac:dyDescent="0.3">
      <c r="A374" t="s">
        <v>52</v>
      </c>
      <c r="B374" t="s">
        <v>53</v>
      </c>
      <c r="C374" t="s">
        <v>54</v>
      </c>
      <c r="D374" t="s">
        <v>55</v>
      </c>
      <c r="E374" t="s">
        <v>1617</v>
      </c>
      <c r="F374" t="s">
        <v>190</v>
      </c>
      <c r="G374" t="s">
        <v>83</v>
      </c>
      <c r="H374" t="s">
        <v>84</v>
      </c>
      <c r="I374" t="s">
        <v>84</v>
      </c>
      <c r="J374" t="s">
        <v>60</v>
      </c>
      <c r="K374" t="s">
        <v>61</v>
      </c>
      <c r="L374" t="s">
        <v>62</v>
      </c>
      <c r="M374" t="s">
        <v>61</v>
      </c>
      <c r="N374" t="s">
        <v>85</v>
      </c>
      <c r="O374" t="s">
        <v>86</v>
      </c>
      <c r="P374">
        <v>-20.149799000000002</v>
      </c>
      <c r="Q374">
        <v>-44.906517000000001</v>
      </c>
      <c r="R374" s="2" t="str">
        <f>HYPERLINK("https://www.google.com/maps?q=-20.1497990,-44.9065170","Abrir no Google Maps")</f>
        <v>Abrir no Google Maps</v>
      </c>
      <c r="S374">
        <v>4</v>
      </c>
      <c r="T374">
        <v>487.90051105537998</v>
      </c>
      <c r="U374">
        <v>3</v>
      </c>
      <c r="V374">
        <v>0.39118742829150072</v>
      </c>
      <c r="W374">
        <v>1</v>
      </c>
      <c r="X374">
        <v>0.39118742829150072</v>
      </c>
      <c r="Y374">
        <v>747</v>
      </c>
      <c r="Z374">
        <v>365.93785960107078</v>
      </c>
      <c r="AA374">
        <v>198</v>
      </c>
      <c r="AB374">
        <v>332</v>
      </c>
      <c r="AC374">
        <v>536</v>
      </c>
      <c r="AD374">
        <v>33.19</v>
      </c>
      <c r="AE374">
        <v>542</v>
      </c>
      <c r="AF374">
        <v>42</v>
      </c>
      <c r="AG374">
        <v>173</v>
      </c>
      <c r="AH374">
        <v>129</v>
      </c>
      <c r="AI374">
        <v>7.75</v>
      </c>
      <c r="AJ374">
        <v>31.92</v>
      </c>
      <c r="AK374">
        <v>23.8</v>
      </c>
      <c r="AL374">
        <v>-20.149879599999959</v>
      </c>
      <c r="AM374">
        <v>-44.906746466068469</v>
      </c>
      <c r="AN374">
        <v>-20.149879599999959</v>
      </c>
      <c r="AO374">
        <v>-44.906746466068469</v>
      </c>
      <c r="AP374">
        <v>-20.149799000000002</v>
      </c>
      <c r="AQ374">
        <v>-44.906517000000001</v>
      </c>
      <c r="AR374">
        <v>25.604276856970429</v>
      </c>
      <c r="AS374" t="s">
        <v>65</v>
      </c>
      <c r="AT374">
        <v>1</v>
      </c>
      <c r="AU374" t="s">
        <v>87</v>
      </c>
      <c r="AV374" t="s">
        <v>88</v>
      </c>
      <c r="AW374" t="s">
        <v>60</v>
      </c>
      <c r="AX374" t="s">
        <v>68</v>
      </c>
      <c r="AY374" t="s">
        <v>69</v>
      </c>
      <c r="AZ374" t="b">
        <v>1</v>
      </c>
    </row>
    <row r="375" spans="1:52" x14ac:dyDescent="0.3">
      <c r="A375" t="s">
        <v>52</v>
      </c>
      <c r="B375" t="s">
        <v>53</v>
      </c>
      <c r="C375" t="s">
        <v>54</v>
      </c>
      <c r="D375" t="s">
        <v>55</v>
      </c>
      <c r="E375" t="s">
        <v>1617</v>
      </c>
      <c r="F375" t="s">
        <v>190</v>
      </c>
      <c r="G375" t="s">
        <v>115</v>
      </c>
      <c r="H375" t="s">
        <v>116</v>
      </c>
      <c r="I375" t="s">
        <v>116</v>
      </c>
      <c r="J375" t="s">
        <v>60</v>
      </c>
      <c r="K375" t="s">
        <v>117</v>
      </c>
      <c r="L375" t="s">
        <v>62</v>
      </c>
      <c r="M375" t="s">
        <v>117</v>
      </c>
      <c r="N375" t="s">
        <v>118</v>
      </c>
      <c r="O375" t="s">
        <v>119</v>
      </c>
      <c r="P375">
        <v>-20.116992</v>
      </c>
      <c r="Q375">
        <v>-44.899355</v>
      </c>
      <c r="R375" s="2" t="str">
        <f>HYPERLINK("https://www.google.com/maps?q=-20.1169920,-44.8993550","Abrir no Google Maps")</f>
        <v>Abrir no Google Maps</v>
      </c>
      <c r="S375">
        <v>4</v>
      </c>
      <c r="T375">
        <v>0</v>
      </c>
      <c r="U375">
        <v>3</v>
      </c>
      <c r="V375">
        <v>0.37994368638367271</v>
      </c>
      <c r="W375">
        <v>1</v>
      </c>
      <c r="X375">
        <v>0.37994368638367271</v>
      </c>
      <c r="Y375">
        <v>567</v>
      </c>
      <c r="Z375">
        <v>54.913678078353321</v>
      </c>
      <c r="AA375">
        <v>198</v>
      </c>
      <c r="AB375">
        <v>332</v>
      </c>
      <c r="AC375">
        <v>536</v>
      </c>
      <c r="AD375">
        <v>33.19</v>
      </c>
      <c r="AE375">
        <v>542</v>
      </c>
      <c r="AF375">
        <v>42</v>
      </c>
      <c r="AG375">
        <v>173</v>
      </c>
      <c r="AH375">
        <v>129</v>
      </c>
      <c r="AI375">
        <v>7.75</v>
      </c>
      <c r="AJ375">
        <v>31.92</v>
      </c>
      <c r="AK375">
        <v>23.8</v>
      </c>
      <c r="AL375">
        <v>-20.117107749999949</v>
      </c>
      <c r="AM375">
        <v>-44.899271226243108</v>
      </c>
      <c r="AN375">
        <v>-20.117107749999949</v>
      </c>
      <c r="AO375">
        <v>-44.899271226243108</v>
      </c>
      <c r="AP375">
        <v>-20.116992</v>
      </c>
      <c r="AQ375">
        <v>-44.899355</v>
      </c>
      <c r="AR375">
        <v>15.579196044083419</v>
      </c>
      <c r="AS375" t="s">
        <v>65</v>
      </c>
      <c r="AT375">
        <v>1</v>
      </c>
      <c r="AU375" t="s">
        <v>120</v>
      </c>
      <c r="AV375" t="s">
        <v>121</v>
      </c>
      <c r="AW375" t="s">
        <v>60</v>
      </c>
      <c r="AX375" t="s">
        <v>68</v>
      </c>
      <c r="AY375" t="s">
        <v>69</v>
      </c>
      <c r="AZ375" t="b">
        <v>1</v>
      </c>
    </row>
    <row r="376" spans="1:52" x14ac:dyDescent="0.3">
      <c r="A376" t="s">
        <v>52</v>
      </c>
      <c r="B376" t="s">
        <v>53</v>
      </c>
      <c r="C376" t="s">
        <v>54</v>
      </c>
      <c r="D376" t="s">
        <v>55</v>
      </c>
      <c r="E376" t="s">
        <v>1617</v>
      </c>
      <c r="F376" t="s">
        <v>190</v>
      </c>
      <c r="G376" t="s">
        <v>212</v>
      </c>
      <c r="H376" t="s">
        <v>213</v>
      </c>
      <c r="I376" t="s">
        <v>213</v>
      </c>
      <c r="J376" t="s">
        <v>60</v>
      </c>
      <c r="K376" t="s">
        <v>214</v>
      </c>
      <c r="L376" t="s">
        <v>62</v>
      </c>
      <c r="M376" t="s">
        <v>214</v>
      </c>
      <c r="N376" t="s">
        <v>215</v>
      </c>
      <c r="O376" t="s">
        <v>216</v>
      </c>
      <c r="P376">
        <v>-20.158149000000002</v>
      </c>
      <c r="Q376">
        <v>-44.872593000000002</v>
      </c>
      <c r="R376" s="2" t="str">
        <f>HYPERLINK("https://www.google.com/maps?q=-20.1581490,-44.8725930","Abrir no Google Maps")</f>
        <v>Abrir no Google Maps</v>
      </c>
      <c r="S376">
        <v>4</v>
      </c>
      <c r="T376">
        <v>0</v>
      </c>
      <c r="U376">
        <v>3</v>
      </c>
      <c r="V376">
        <v>0.4173607973496421</v>
      </c>
      <c r="W376">
        <v>1</v>
      </c>
      <c r="X376">
        <v>0.4173607973496421</v>
      </c>
      <c r="Y376">
        <v>531</v>
      </c>
      <c r="Z376">
        <v>127.8805352974544</v>
      </c>
      <c r="AA376">
        <v>198</v>
      </c>
      <c r="AB376">
        <v>332</v>
      </c>
      <c r="AC376">
        <v>536</v>
      </c>
      <c r="AD376">
        <v>33.19</v>
      </c>
      <c r="AE376">
        <v>542</v>
      </c>
      <c r="AF376">
        <v>42</v>
      </c>
      <c r="AG376">
        <v>173</v>
      </c>
      <c r="AH376">
        <v>129</v>
      </c>
      <c r="AI376">
        <v>7.75</v>
      </c>
      <c r="AJ376">
        <v>31.92</v>
      </c>
      <c r="AK376">
        <v>23.8</v>
      </c>
      <c r="AL376">
        <v>-20.158114249999951</v>
      </c>
      <c r="AM376">
        <v>-44.872583123264782</v>
      </c>
      <c r="AN376">
        <v>-20.158114249999951</v>
      </c>
      <c r="AO376">
        <v>-44.872583123264782</v>
      </c>
      <c r="AP376">
        <v>-20.158149000000002</v>
      </c>
      <c r="AQ376">
        <v>-44.872593000000002</v>
      </c>
      <c r="AR376">
        <v>4.0036956087599238</v>
      </c>
      <c r="AS376" t="s">
        <v>65</v>
      </c>
      <c r="AT376">
        <v>1</v>
      </c>
      <c r="AU376" t="s">
        <v>217</v>
      </c>
      <c r="AV376" t="s">
        <v>218</v>
      </c>
      <c r="AW376" t="s">
        <v>60</v>
      </c>
      <c r="AX376" t="s">
        <v>68</v>
      </c>
      <c r="AY376" t="s">
        <v>69</v>
      </c>
      <c r="AZ376" t="b">
        <v>1</v>
      </c>
    </row>
    <row r="377" spans="1:52" x14ac:dyDescent="0.3">
      <c r="A377" t="s">
        <v>52</v>
      </c>
      <c r="B377" t="s">
        <v>53</v>
      </c>
      <c r="C377" t="s">
        <v>54</v>
      </c>
      <c r="D377" t="s">
        <v>55</v>
      </c>
      <c r="E377" t="s">
        <v>1617</v>
      </c>
      <c r="F377" t="s">
        <v>190</v>
      </c>
      <c r="G377" t="s">
        <v>232</v>
      </c>
      <c r="H377" t="s">
        <v>233</v>
      </c>
      <c r="I377" t="s">
        <v>233</v>
      </c>
      <c r="J377" t="s">
        <v>60</v>
      </c>
      <c r="K377" t="s">
        <v>227</v>
      </c>
      <c r="L377" t="s">
        <v>62</v>
      </c>
      <c r="M377" t="s">
        <v>227</v>
      </c>
      <c r="N377" t="s">
        <v>234</v>
      </c>
      <c r="O377" t="s">
        <v>235</v>
      </c>
      <c r="P377">
        <v>-20.158666</v>
      </c>
      <c r="Q377">
        <v>-44.861398999999999</v>
      </c>
      <c r="R377" s="2" t="str">
        <f>HYPERLINK("https://www.google.com/maps?q=-20.1586660,-44.8613990","Abrir no Google Maps")</f>
        <v>Abrir no Google Maps</v>
      </c>
      <c r="S377">
        <v>4</v>
      </c>
      <c r="T377">
        <v>330.01505397941582</v>
      </c>
      <c r="U377">
        <v>3</v>
      </c>
      <c r="V377">
        <v>0.4209221231016767</v>
      </c>
      <c r="W377">
        <v>1</v>
      </c>
      <c r="X377">
        <v>0.4209221231016767</v>
      </c>
      <c r="Y377">
        <v>518</v>
      </c>
      <c r="Z377">
        <v>251.8092920281106</v>
      </c>
      <c r="AA377">
        <v>198</v>
      </c>
      <c r="AB377">
        <v>332</v>
      </c>
      <c r="AC377">
        <v>536</v>
      </c>
      <c r="AD377">
        <v>33.19</v>
      </c>
      <c r="AE377">
        <v>542</v>
      </c>
      <c r="AF377">
        <v>42</v>
      </c>
      <c r="AG377">
        <v>173</v>
      </c>
      <c r="AH377">
        <v>129</v>
      </c>
      <c r="AI377">
        <v>7.75</v>
      </c>
      <c r="AJ377">
        <v>31.92</v>
      </c>
      <c r="AK377">
        <v>23.8</v>
      </c>
      <c r="AL377">
        <v>-20.158631449999969</v>
      </c>
      <c r="AM377">
        <v>-44.861424574758061</v>
      </c>
      <c r="AN377">
        <v>-20.158631449999969</v>
      </c>
      <c r="AO377">
        <v>-44.861424574758061</v>
      </c>
      <c r="AP377">
        <v>-20.158666</v>
      </c>
      <c r="AQ377">
        <v>-44.861398999999999</v>
      </c>
      <c r="AR377">
        <v>4.6835056709567411</v>
      </c>
      <c r="AS377" t="s">
        <v>65</v>
      </c>
      <c r="AT377">
        <v>1</v>
      </c>
      <c r="AU377" t="s">
        <v>236</v>
      </c>
      <c r="AV377" t="s">
        <v>237</v>
      </c>
      <c r="AW377" t="s">
        <v>60</v>
      </c>
      <c r="AX377" t="s">
        <v>68</v>
      </c>
      <c r="AY377" t="s">
        <v>69</v>
      </c>
      <c r="AZ377" t="b">
        <v>1</v>
      </c>
    </row>
    <row r="378" spans="1:52" x14ac:dyDescent="0.3">
      <c r="A378" t="s">
        <v>52</v>
      </c>
      <c r="B378" t="s">
        <v>53</v>
      </c>
      <c r="C378" t="s">
        <v>54</v>
      </c>
      <c r="D378" t="s">
        <v>55</v>
      </c>
      <c r="E378" t="s">
        <v>1617</v>
      </c>
      <c r="F378" t="s">
        <v>190</v>
      </c>
      <c r="G378" t="s">
        <v>1685</v>
      </c>
      <c r="H378" t="s">
        <v>1686</v>
      </c>
      <c r="I378" t="s">
        <v>1686</v>
      </c>
      <c r="J378" t="s">
        <v>60</v>
      </c>
      <c r="K378" t="s">
        <v>262</v>
      </c>
      <c r="L378" t="s">
        <v>62</v>
      </c>
      <c r="M378" t="s">
        <v>262</v>
      </c>
      <c r="N378" t="s">
        <v>1687</v>
      </c>
      <c r="O378" t="s">
        <v>1688</v>
      </c>
      <c r="P378">
        <v>-20.159354</v>
      </c>
      <c r="Q378">
        <v>-44.855550000000001</v>
      </c>
      <c r="R378" s="2" t="str">
        <f>HYPERLINK("https://www.google.com/maps?q=-20.1593540,-44.8555500","Abrir no Google Maps")</f>
        <v>Abrir no Google Maps</v>
      </c>
      <c r="S378">
        <v>4</v>
      </c>
      <c r="T378">
        <v>274.97810369746082</v>
      </c>
      <c r="U378">
        <v>3</v>
      </c>
      <c r="V378">
        <v>0.46175710594315239</v>
      </c>
      <c r="W378">
        <v>0.85</v>
      </c>
      <c r="X378">
        <v>0.39249354005167952</v>
      </c>
      <c r="Y378">
        <v>491</v>
      </c>
      <c r="Z378">
        <v>435.37144349550522</v>
      </c>
      <c r="AA378">
        <v>198</v>
      </c>
      <c r="AB378">
        <v>332</v>
      </c>
      <c r="AC378">
        <v>536</v>
      </c>
      <c r="AD378">
        <v>33.19</v>
      </c>
      <c r="AE378">
        <v>542</v>
      </c>
      <c r="AF378">
        <v>42</v>
      </c>
      <c r="AG378">
        <v>173</v>
      </c>
      <c r="AH378">
        <v>129</v>
      </c>
      <c r="AI378">
        <v>7.75</v>
      </c>
      <c r="AJ378">
        <v>31.92</v>
      </c>
      <c r="AK378">
        <v>23.8</v>
      </c>
      <c r="AL378">
        <v>-20.159411649999949</v>
      </c>
      <c r="AM378">
        <v>-44.855707414762733</v>
      </c>
      <c r="AN378">
        <v>-20.159411649999949</v>
      </c>
      <c r="AO378">
        <v>-44.855707414762733</v>
      </c>
      <c r="AP378">
        <v>-20.159354</v>
      </c>
      <c r="AQ378">
        <v>-44.855550000000001</v>
      </c>
      <c r="AR378">
        <v>17.65741114106341</v>
      </c>
      <c r="AS378" t="s">
        <v>65</v>
      </c>
      <c r="AT378">
        <v>1</v>
      </c>
      <c r="AU378" t="s">
        <v>1689</v>
      </c>
      <c r="AV378" t="s">
        <v>1690</v>
      </c>
      <c r="AW378" t="s">
        <v>60</v>
      </c>
      <c r="AX378" t="s">
        <v>68</v>
      </c>
      <c r="AY378" t="s">
        <v>69</v>
      </c>
      <c r="AZ378" t="b">
        <v>1</v>
      </c>
    </row>
    <row r="379" spans="1:52" x14ac:dyDescent="0.3">
      <c r="A379" t="s">
        <v>52</v>
      </c>
      <c r="B379" t="s">
        <v>53</v>
      </c>
      <c r="C379" t="s">
        <v>54</v>
      </c>
      <c r="D379" t="s">
        <v>55</v>
      </c>
      <c r="E379" t="s">
        <v>1617</v>
      </c>
      <c r="F379" t="s">
        <v>190</v>
      </c>
      <c r="G379" t="s">
        <v>1691</v>
      </c>
      <c r="H379" t="s">
        <v>1692</v>
      </c>
      <c r="I379" t="s">
        <v>1692</v>
      </c>
      <c r="J379" t="s">
        <v>60</v>
      </c>
      <c r="K379" t="s">
        <v>355</v>
      </c>
      <c r="L379" t="s">
        <v>62</v>
      </c>
      <c r="M379" t="s">
        <v>355</v>
      </c>
      <c r="N379" t="s">
        <v>1693</v>
      </c>
      <c r="O379" t="s">
        <v>1446</v>
      </c>
      <c r="P379">
        <v>-20.14547</v>
      </c>
      <c r="Q379">
        <v>-44.877133999999998</v>
      </c>
      <c r="R379" s="2" t="str">
        <f>HYPERLINK("https://www.google.com/maps?q=-20.1454700,-44.8771340","Abrir no Google Maps")</f>
        <v>Abrir no Google Maps</v>
      </c>
      <c r="S379">
        <v>4</v>
      </c>
      <c r="T379">
        <v>258.39225185862313</v>
      </c>
      <c r="U379">
        <v>3</v>
      </c>
      <c r="V379">
        <v>0.46610101010101002</v>
      </c>
      <c r="W379">
        <v>0.85</v>
      </c>
      <c r="X379">
        <v>0.39618585858585847</v>
      </c>
      <c r="Y379">
        <v>465</v>
      </c>
      <c r="Z379">
        <v>177.55740786989961</v>
      </c>
      <c r="AA379">
        <v>198</v>
      </c>
      <c r="AB379">
        <v>332</v>
      </c>
      <c r="AC379">
        <v>536</v>
      </c>
      <c r="AD379">
        <v>33.19</v>
      </c>
      <c r="AE379">
        <v>542</v>
      </c>
      <c r="AF379">
        <v>42</v>
      </c>
      <c r="AG379">
        <v>173</v>
      </c>
      <c r="AH379">
        <v>129</v>
      </c>
      <c r="AI379">
        <v>7.75</v>
      </c>
      <c r="AJ379">
        <v>31.92</v>
      </c>
      <c r="AK379">
        <v>23.8</v>
      </c>
      <c r="AL379">
        <v>-20.14545944999994</v>
      </c>
      <c r="AM379">
        <v>-44.877145069822348</v>
      </c>
      <c r="AN379">
        <v>-20.14545944999994</v>
      </c>
      <c r="AO379">
        <v>-44.877145069822348</v>
      </c>
      <c r="AP379">
        <v>-20.14547</v>
      </c>
      <c r="AQ379">
        <v>-44.877133999999998</v>
      </c>
      <c r="AR379">
        <v>1.6485448005145531</v>
      </c>
      <c r="AS379" t="s">
        <v>65</v>
      </c>
      <c r="AT379">
        <v>1</v>
      </c>
      <c r="AU379" t="s">
        <v>1694</v>
      </c>
      <c r="AV379" t="s">
        <v>1695</v>
      </c>
      <c r="AW379" t="s">
        <v>60</v>
      </c>
      <c r="AX379" t="s">
        <v>68</v>
      </c>
      <c r="AY379" t="s">
        <v>69</v>
      </c>
      <c r="AZ379" t="b">
        <v>1</v>
      </c>
    </row>
    <row r="380" spans="1:52" x14ac:dyDescent="0.3">
      <c r="A380" t="s">
        <v>52</v>
      </c>
      <c r="B380" t="s">
        <v>53</v>
      </c>
      <c r="C380" t="s">
        <v>54</v>
      </c>
      <c r="D380" t="s">
        <v>55</v>
      </c>
      <c r="E380" t="s">
        <v>1617</v>
      </c>
      <c r="F380" t="s">
        <v>190</v>
      </c>
      <c r="G380" t="s">
        <v>127</v>
      </c>
      <c r="H380" t="s">
        <v>128</v>
      </c>
      <c r="I380" t="s">
        <v>128</v>
      </c>
      <c r="J380" t="s">
        <v>60</v>
      </c>
      <c r="K380" t="s">
        <v>129</v>
      </c>
      <c r="L380" t="s">
        <v>62</v>
      </c>
      <c r="M380" t="s">
        <v>129</v>
      </c>
      <c r="N380" t="s">
        <v>130</v>
      </c>
      <c r="O380" t="s">
        <v>131</v>
      </c>
      <c r="P380">
        <v>-20.130752000000001</v>
      </c>
      <c r="Q380">
        <v>-44.865676999999998</v>
      </c>
      <c r="R380" s="2" t="str">
        <f>HYPERLINK("https://www.google.com/maps?q=-20.1307520,-44.8656770","Abrir no Google Maps")</f>
        <v>Abrir no Google Maps</v>
      </c>
      <c r="S380">
        <v>4</v>
      </c>
      <c r="T380">
        <v>666.25741128624747</v>
      </c>
      <c r="U380">
        <v>3</v>
      </c>
      <c r="V380">
        <v>0.38314228968648029</v>
      </c>
      <c r="W380">
        <v>1</v>
      </c>
      <c r="X380">
        <v>0.38314228968648029</v>
      </c>
      <c r="Y380">
        <v>387</v>
      </c>
      <c r="Z380">
        <v>838.7193965949632</v>
      </c>
      <c r="AA380">
        <v>198</v>
      </c>
      <c r="AB380">
        <v>332</v>
      </c>
      <c r="AC380">
        <v>536</v>
      </c>
      <c r="AD380">
        <v>33.19</v>
      </c>
      <c r="AE380">
        <v>542</v>
      </c>
      <c r="AF380">
        <v>42</v>
      </c>
      <c r="AG380">
        <v>173</v>
      </c>
      <c r="AH380">
        <v>129</v>
      </c>
      <c r="AI380">
        <v>7.75</v>
      </c>
      <c r="AJ380">
        <v>31.92</v>
      </c>
      <c r="AK380">
        <v>23.8</v>
      </c>
      <c r="AL380">
        <v>-20.130734049999969</v>
      </c>
      <c r="AM380">
        <v>-44.86564904282416</v>
      </c>
      <c r="AN380">
        <v>-20.130734049999969</v>
      </c>
      <c r="AO380">
        <v>-44.86564904282416</v>
      </c>
      <c r="AP380">
        <v>-20.130752000000001</v>
      </c>
      <c r="AQ380">
        <v>-44.865676999999998</v>
      </c>
      <c r="AR380">
        <v>3.539952280780454</v>
      </c>
      <c r="AS380" t="s">
        <v>65</v>
      </c>
      <c r="AT380">
        <v>1</v>
      </c>
      <c r="AU380" t="s">
        <v>132</v>
      </c>
      <c r="AV380" t="s">
        <v>133</v>
      </c>
      <c r="AW380" t="s">
        <v>60</v>
      </c>
      <c r="AX380" t="s">
        <v>68</v>
      </c>
      <c r="AY380" t="s">
        <v>69</v>
      </c>
      <c r="AZ380" t="b">
        <v>1</v>
      </c>
    </row>
    <row r="381" spans="1:52" x14ac:dyDescent="0.3">
      <c r="A381" t="s">
        <v>52</v>
      </c>
      <c r="B381" t="s">
        <v>53</v>
      </c>
      <c r="C381" t="s">
        <v>54</v>
      </c>
      <c r="D381" t="s">
        <v>55</v>
      </c>
      <c r="E381" t="s">
        <v>1617</v>
      </c>
      <c r="F381" t="s">
        <v>190</v>
      </c>
      <c r="G381" t="s">
        <v>243</v>
      </c>
      <c r="H381" t="s">
        <v>244</v>
      </c>
      <c r="I381" t="s">
        <v>244</v>
      </c>
      <c r="J381" t="s">
        <v>60</v>
      </c>
      <c r="K381" t="s">
        <v>214</v>
      </c>
      <c r="L381" t="s">
        <v>62</v>
      </c>
      <c r="M381" t="s">
        <v>214</v>
      </c>
      <c r="N381" t="s">
        <v>245</v>
      </c>
      <c r="O381" t="s">
        <v>246</v>
      </c>
      <c r="P381">
        <v>-20.156296999999999</v>
      </c>
      <c r="Q381">
        <v>-44.873035999999999</v>
      </c>
      <c r="R381" s="2" t="str">
        <f>HYPERLINK("https://www.google.com/maps?q=-20.1562970,-44.8730360","Abrir no Google Maps")</f>
        <v>Abrir no Google Maps</v>
      </c>
      <c r="S381">
        <v>4</v>
      </c>
      <c r="T381">
        <v>198.04479306725889</v>
      </c>
      <c r="U381">
        <v>3</v>
      </c>
      <c r="V381">
        <v>0.4077991906616924</v>
      </c>
      <c r="W381">
        <v>1</v>
      </c>
      <c r="X381">
        <v>0.4077991906616924</v>
      </c>
      <c r="Y381">
        <v>305</v>
      </c>
      <c r="Z381">
        <v>267.7765515134916</v>
      </c>
      <c r="AA381">
        <v>198</v>
      </c>
      <c r="AB381">
        <v>332</v>
      </c>
      <c r="AC381">
        <v>536</v>
      </c>
      <c r="AD381">
        <v>33.19</v>
      </c>
      <c r="AE381">
        <v>542</v>
      </c>
      <c r="AF381">
        <v>42</v>
      </c>
      <c r="AG381">
        <v>173</v>
      </c>
      <c r="AH381">
        <v>129</v>
      </c>
      <c r="AI381">
        <v>7.75</v>
      </c>
      <c r="AJ381">
        <v>31.92</v>
      </c>
      <c r="AK381">
        <v>23.8</v>
      </c>
      <c r="AL381">
        <v>-20.156361349999941</v>
      </c>
      <c r="AM381">
        <v>-44.87296512500793</v>
      </c>
      <c r="AN381">
        <v>-20.156361349999941</v>
      </c>
      <c r="AO381">
        <v>-44.87296512500793</v>
      </c>
      <c r="AP381">
        <v>-20.156296999999999</v>
      </c>
      <c r="AQ381">
        <v>-44.873035999999999</v>
      </c>
      <c r="AR381">
        <v>10.304009356726979</v>
      </c>
      <c r="AS381" t="s">
        <v>65</v>
      </c>
      <c r="AT381">
        <v>1</v>
      </c>
      <c r="AU381" t="s">
        <v>247</v>
      </c>
      <c r="AV381" t="s">
        <v>248</v>
      </c>
      <c r="AW381" t="s">
        <v>60</v>
      </c>
      <c r="AX381" t="s">
        <v>68</v>
      </c>
      <c r="AY381" t="s">
        <v>69</v>
      </c>
      <c r="AZ381" t="b">
        <v>1</v>
      </c>
    </row>
    <row r="382" spans="1:52" x14ac:dyDescent="0.3">
      <c r="A382" t="s">
        <v>52</v>
      </c>
      <c r="B382" t="s">
        <v>53</v>
      </c>
      <c r="C382" t="s">
        <v>54</v>
      </c>
      <c r="D382" t="s">
        <v>55</v>
      </c>
      <c r="E382" t="s">
        <v>1617</v>
      </c>
      <c r="F382" t="s">
        <v>190</v>
      </c>
      <c r="G382" t="s">
        <v>212</v>
      </c>
      <c r="H382" t="s">
        <v>249</v>
      </c>
      <c r="I382" t="s">
        <v>249</v>
      </c>
      <c r="J382" t="s">
        <v>60</v>
      </c>
      <c r="K382" t="s">
        <v>214</v>
      </c>
      <c r="L382" t="s">
        <v>62</v>
      </c>
      <c r="M382" t="s">
        <v>214</v>
      </c>
      <c r="N382" t="s">
        <v>215</v>
      </c>
      <c r="O382" t="s">
        <v>250</v>
      </c>
      <c r="P382">
        <v>-20.153901000000001</v>
      </c>
      <c r="Q382">
        <v>-44.873201000000002</v>
      </c>
      <c r="R382" s="2" t="str">
        <f>HYPERLINK("https://www.google.com/maps?q=-20.1539010,-44.8732010","Abrir no Google Maps")</f>
        <v>Abrir no Google Maps</v>
      </c>
      <c r="S382">
        <v>4</v>
      </c>
      <c r="T382">
        <v>478.23282142593177</v>
      </c>
      <c r="U382">
        <v>3</v>
      </c>
      <c r="V382">
        <v>0.4222411222411222</v>
      </c>
      <c r="W382">
        <v>1</v>
      </c>
      <c r="X382">
        <v>0.4222411222411222</v>
      </c>
      <c r="Y382">
        <v>305</v>
      </c>
      <c r="Z382">
        <v>392.82025973713081</v>
      </c>
      <c r="AA382">
        <v>198</v>
      </c>
      <c r="AB382">
        <v>332</v>
      </c>
      <c r="AC382">
        <v>536</v>
      </c>
      <c r="AD382">
        <v>33.19</v>
      </c>
      <c r="AE382">
        <v>542</v>
      </c>
      <c r="AF382">
        <v>42</v>
      </c>
      <c r="AG382">
        <v>173</v>
      </c>
      <c r="AH382">
        <v>129</v>
      </c>
      <c r="AI382">
        <v>7.75</v>
      </c>
      <c r="AJ382">
        <v>31.92</v>
      </c>
      <c r="AK382">
        <v>23.8</v>
      </c>
      <c r="AL382">
        <v>-20.153814849999971</v>
      </c>
      <c r="AM382">
        <v>-44.87304592111829</v>
      </c>
      <c r="AN382">
        <v>-20.153814849999971</v>
      </c>
      <c r="AO382">
        <v>-44.87304592111829</v>
      </c>
      <c r="AP382">
        <v>-20.153901000000001</v>
      </c>
      <c r="AQ382">
        <v>-44.873201000000002</v>
      </c>
      <c r="AR382">
        <v>18.831316146831309</v>
      </c>
      <c r="AS382" t="s">
        <v>65</v>
      </c>
      <c r="AT382">
        <v>1</v>
      </c>
      <c r="AU382" t="s">
        <v>251</v>
      </c>
      <c r="AV382" t="s">
        <v>252</v>
      </c>
      <c r="AW382" t="s">
        <v>60</v>
      </c>
      <c r="AX382" t="s">
        <v>68</v>
      </c>
      <c r="AY382" t="s">
        <v>69</v>
      </c>
      <c r="AZ382" t="b">
        <v>1</v>
      </c>
    </row>
    <row r="383" spans="1:52" x14ac:dyDescent="0.3">
      <c r="A383" t="s">
        <v>52</v>
      </c>
      <c r="B383" t="s">
        <v>53</v>
      </c>
      <c r="C383" t="s">
        <v>54</v>
      </c>
      <c r="D383" t="s">
        <v>55</v>
      </c>
      <c r="E383" t="s">
        <v>1617</v>
      </c>
      <c r="F383" t="s">
        <v>190</v>
      </c>
      <c r="G383" t="s">
        <v>1696</v>
      </c>
      <c r="H383" t="s">
        <v>1697</v>
      </c>
      <c r="I383" t="s">
        <v>1697</v>
      </c>
      <c r="J383" t="s">
        <v>60</v>
      </c>
      <c r="K383" t="s">
        <v>143</v>
      </c>
      <c r="L383" t="s">
        <v>62</v>
      </c>
      <c r="M383" t="s">
        <v>143</v>
      </c>
      <c r="N383" t="s">
        <v>1698</v>
      </c>
      <c r="O383" t="s">
        <v>1699</v>
      </c>
      <c r="P383">
        <v>-20.164061</v>
      </c>
      <c r="Q383">
        <v>-44.839478</v>
      </c>
      <c r="R383" s="2" t="str">
        <f>HYPERLINK("https://www.google.com/maps?q=-20.1640610,-44.8394780","Abrir no Google Maps")</f>
        <v>Abrir no Google Maps</v>
      </c>
      <c r="S383">
        <v>4</v>
      </c>
      <c r="T383">
        <v>877.73340935244505</v>
      </c>
      <c r="U383">
        <v>3</v>
      </c>
      <c r="V383">
        <v>0.47849252761533467</v>
      </c>
      <c r="W383">
        <v>0.85</v>
      </c>
      <c r="X383">
        <v>0.40671864847303452</v>
      </c>
      <c r="Y383">
        <v>292</v>
      </c>
      <c r="Z383">
        <v>961.72330387274496</v>
      </c>
      <c r="AA383">
        <v>198</v>
      </c>
      <c r="AB383">
        <v>332</v>
      </c>
      <c r="AC383">
        <v>536</v>
      </c>
      <c r="AD383">
        <v>33.19</v>
      </c>
      <c r="AE383">
        <v>542</v>
      </c>
      <c r="AF383">
        <v>42</v>
      </c>
      <c r="AG383">
        <v>173</v>
      </c>
      <c r="AH383">
        <v>129</v>
      </c>
      <c r="AI383">
        <v>7.75</v>
      </c>
      <c r="AJ383">
        <v>31.92</v>
      </c>
      <c r="AK383">
        <v>23.8</v>
      </c>
      <c r="AL383">
        <v>-20.164152949999931</v>
      </c>
      <c r="AM383">
        <v>-44.839307994949444</v>
      </c>
      <c r="AN383">
        <v>-20.164152949999931</v>
      </c>
      <c r="AO383">
        <v>-44.839307994949444</v>
      </c>
      <c r="AP383">
        <v>-20.164061</v>
      </c>
      <c r="AQ383">
        <v>-44.839478</v>
      </c>
      <c r="AR383">
        <v>20.50291216141127</v>
      </c>
      <c r="AS383" t="s">
        <v>65</v>
      </c>
      <c r="AT383">
        <v>1</v>
      </c>
      <c r="AU383" t="s">
        <v>1700</v>
      </c>
      <c r="AV383" t="s">
        <v>1701</v>
      </c>
      <c r="AW383" t="s">
        <v>60</v>
      </c>
      <c r="AX383" t="s">
        <v>68</v>
      </c>
      <c r="AY383" t="s">
        <v>69</v>
      </c>
      <c r="AZ383" t="b">
        <v>1</v>
      </c>
    </row>
    <row r="384" spans="1:52" x14ac:dyDescent="0.3">
      <c r="A384" t="s">
        <v>52</v>
      </c>
      <c r="B384" t="s">
        <v>53</v>
      </c>
      <c r="C384" t="s">
        <v>54</v>
      </c>
      <c r="D384" t="s">
        <v>55</v>
      </c>
      <c r="E384" t="s">
        <v>1617</v>
      </c>
      <c r="F384" t="s">
        <v>190</v>
      </c>
      <c r="G384" t="s">
        <v>1702</v>
      </c>
      <c r="H384" t="s">
        <v>1703</v>
      </c>
      <c r="I384" t="s">
        <v>1703</v>
      </c>
      <c r="J384" t="s">
        <v>60</v>
      </c>
      <c r="K384" t="s">
        <v>143</v>
      </c>
      <c r="L384" t="s">
        <v>62</v>
      </c>
      <c r="M384" t="s">
        <v>143</v>
      </c>
      <c r="N384" t="s">
        <v>1704</v>
      </c>
      <c r="O384" t="s">
        <v>1705</v>
      </c>
      <c r="P384">
        <v>-20.166733000000001</v>
      </c>
      <c r="Q384">
        <v>-44.837273000000003</v>
      </c>
      <c r="R384" s="2" t="str">
        <f>HYPERLINK("https://www.google.com/maps?q=-20.1667330,-44.8372730","Abrir no Google Maps")</f>
        <v>Abrir no Google Maps</v>
      </c>
      <c r="S384">
        <v>4</v>
      </c>
      <c r="T384">
        <v>1092.9004991941661</v>
      </c>
      <c r="U384">
        <v>3</v>
      </c>
      <c r="V384">
        <v>0.46434955312810322</v>
      </c>
      <c r="W384">
        <v>0.85</v>
      </c>
      <c r="X384">
        <v>0.39469712015888769</v>
      </c>
      <c r="Y384">
        <v>292</v>
      </c>
      <c r="Z384">
        <v>1132.696229139676</v>
      </c>
      <c r="AA384">
        <v>198</v>
      </c>
      <c r="AB384">
        <v>332</v>
      </c>
      <c r="AC384">
        <v>536</v>
      </c>
      <c r="AD384">
        <v>33.19</v>
      </c>
      <c r="AE384">
        <v>542</v>
      </c>
      <c r="AF384">
        <v>42</v>
      </c>
      <c r="AG384">
        <v>173</v>
      </c>
      <c r="AH384">
        <v>129</v>
      </c>
      <c r="AI384">
        <v>7.75</v>
      </c>
      <c r="AJ384">
        <v>31.92</v>
      </c>
      <c r="AK384">
        <v>23.8</v>
      </c>
      <c r="AL384">
        <v>-20.166934899999941</v>
      </c>
      <c r="AM384">
        <v>-44.837186632575722</v>
      </c>
      <c r="AN384">
        <v>-20.166934899999941</v>
      </c>
      <c r="AO384">
        <v>-44.837186632575722</v>
      </c>
      <c r="AP384">
        <v>-20.166733000000001</v>
      </c>
      <c r="AQ384">
        <v>-44.837273000000003</v>
      </c>
      <c r="AR384">
        <v>24.219800989920522</v>
      </c>
      <c r="AS384" t="s">
        <v>65</v>
      </c>
      <c r="AT384">
        <v>1</v>
      </c>
      <c r="AU384" t="s">
        <v>1706</v>
      </c>
      <c r="AV384" t="s">
        <v>1707</v>
      </c>
      <c r="AW384" t="s">
        <v>60</v>
      </c>
      <c r="AX384" t="s">
        <v>68</v>
      </c>
      <c r="AY384" t="s">
        <v>69</v>
      </c>
      <c r="AZ384" t="b">
        <v>1</v>
      </c>
    </row>
    <row r="385" spans="1:52" x14ac:dyDescent="0.3">
      <c r="A385" t="s">
        <v>52</v>
      </c>
      <c r="B385" t="s">
        <v>53</v>
      </c>
      <c r="C385" t="s">
        <v>54</v>
      </c>
      <c r="D385" t="s">
        <v>55</v>
      </c>
      <c r="E385" t="s">
        <v>1617</v>
      </c>
      <c r="F385" t="s">
        <v>190</v>
      </c>
      <c r="G385" t="s">
        <v>1708</v>
      </c>
      <c r="H385" t="s">
        <v>1709</v>
      </c>
      <c r="I385" t="s">
        <v>1709</v>
      </c>
      <c r="J385" t="s">
        <v>60</v>
      </c>
      <c r="K385" t="s">
        <v>1710</v>
      </c>
      <c r="L385" t="s">
        <v>62</v>
      </c>
      <c r="M385" t="s">
        <v>1710</v>
      </c>
      <c r="N385" t="s">
        <v>1711</v>
      </c>
      <c r="O385" t="s">
        <v>1712</v>
      </c>
      <c r="P385">
        <v>-20.15184</v>
      </c>
      <c r="Q385">
        <v>-44.83925</v>
      </c>
      <c r="R385" s="2" t="str">
        <f>HYPERLINK("https://www.google.com/maps?q=-20.1518400,-44.8392500","Abrir no Google Maps")</f>
        <v>Abrir no Google Maps</v>
      </c>
      <c r="S385">
        <v>4</v>
      </c>
      <c r="T385">
        <v>1728.5795777153901</v>
      </c>
      <c r="U385">
        <v>3</v>
      </c>
      <c r="V385">
        <v>0.5035460992907802</v>
      </c>
      <c r="W385">
        <v>0.85</v>
      </c>
      <c r="X385">
        <v>0.42801418439716321</v>
      </c>
      <c r="Y385">
        <v>292</v>
      </c>
      <c r="Z385">
        <v>1820.006956919507</v>
      </c>
      <c r="AA385">
        <v>198</v>
      </c>
      <c r="AB385">
        <v>332</v>
      </c>
      <c r="AC385">
        <v>536</v>
      </c>
      <c r="AD385">
        <v>33.19</v>
      </c>
      <c r="AE385">
        <v>542</v>
      </c>
      <c r="AF385">
        <v>42</v>
      </c>
      <c r="AG385">
        <v>173</v>
      </c>
      <c r="AH385">
        <v>129</v>
      </c>
      <c r="AI385">
        <v>7.75</v>
      </c>
      <c r="AJ385">
        <v>31.92</v>
      </c>
      <c r="AK385">
        <v>23.8</v>
      </c>
      <c r="AL385">
        <v>-20.151719099999951</v>
      </c>
      <c r="AM385">
        <v>-44.840074931592113</v>
      </c>
      <c r="AN385">
        <v>-20.151719099999951</v>
      </c>
      <c r="AO385">
        <v>-44.840074931592113</v>
      </c>
      <c r="AP385">
        <v>-20.15184</v>
      </c>
      <c r="AQ385">
        <v>-44.83925</v>
      </c>
      <c r="AR385">
        <v>87.254018820689481</v>
      </c>
      <c r="AS385" t="s">
        <v>65</v>
      </c>
      <c r="AT385">
        <v>1</v>
      </c>
      <c r="AU385" t="s">
        <v>1713</v>
      </c>
      <c r="AV385" t="s">
        <v>1714</v>
      </c>
      <c r="AW385" t="s">
        <v>60</v>
      </c>
      <c r="AX385" t="s">
        <v>68</v>
      </c>
      <c r="AY385" t="s">
        <v>69</v>
      </c>
      <c r="AZ385" t="b">
        <v>1</v>
      </c>
    </row>
    <row r="386" spans="1:52" x14ac:dyDescent="0.3">
      <c r="A386" t="s">
        <v>52</v>
      </c>
      <c r="B386" t="s">
        <v>53</v>
      </c>
      <c r="C386" t="s">
        <v>54</v>
      </c>
      <c r="D386" t="s">
        <v>55</v>
      </c>
      <c r="E386" t="s">
        <v>1617</v>
      </c>
      <c r="F386" t="s">
        <v>190</v>
      </c>
      <c r="G386" t="s">
        <v>1715</v>
      </c>
      <c r="H386" t="s">
        <v>1716</v>
      </c>
      <c r="I386" t="s">
        <v>1716</v>
      </c>
      <c r="J386" t="s">
        <v>60</v>
      </c>
      <c r="K386" t="s">
        <v>255</v>
      </c>
      <c r="L386" t="s">
        <v>62</v>
      </c>
      <c r="M386" t="s">
        <v>255</v>
      </c>
      <c r="N386" t="s">
        <v>1698</v>
      </c>
      <c r="O386" t="s">
        <v>315</v>
      </c>
      <c r="P386">
        <v>-20.161683</v>
      </c>
      <c r="Q386">
        <v>-44.845424999999999</v>
      </c>
      <c r="R386" s="2" t="str">
        <f>HYPERLINK("https://www.google.com/maps?q=-20.1616830,-44.8454250","Abrir no Google Maps")</f>
        <v>Abrir no Google Maps</v>
      </c>
      <c r="S386">
        <v>4</v>
      </c>
      <c r="T386">
        <v>524.43989478411606</v>
      </c>
      <c r="U386">
        <v>3</v>
      </c>
      <c r="V386">
        <v>0.4470254342431762</v>
      </c>
      <c r="W386">
        <v>0.85</v>
      </c>
      <c r="X386">
        <v>0.37997161910669969</v>
      </c>
      <c r="Y386">
        <v>292</v>
      </c>
      <c r="Z386">
        <v>608.20869498965567</v>
      </c>
      <c r="AA386">
        <v>198</v>
      </c>
      <c r="AB386">
        <v>332</v>
      </c>
      <c r="AC386">
        <v>536</v>
      </c>
      <c r="AD386">
        <v>33.19</v>
      </c>
      <c r="AE386">
        <v>542</v>
      </c>
      <c r="AF386">
        <v>42</v>
      </c>
      <c r="AG386">
        <v>173</v>
      </c>
      <c r="AH386">
        <v>129</v>
      </c>
      <c r="AI386">
        <v>7.75</v>
      </c>
      <c r="AJ386">
        <v>31.92</v>
      </c>
      <c r="AK386">
        <v>23.8</v>
      </c>
      <c r="AL386">
        <v>-20.161451749999941</v>
      </c>
      <c r="AM386">
        <v>-44.845228942326678</v>
      </c>
      <c r="AN386">
        <v>-20.161451749999941</v>
      </c>
      <c r="AO386">
        <v>-44.845228942326678</v>
      </c>
      <c r="AP386">
        <v>-20.161683</v>
      </c>
      <c r="AQ386">
        <v>-44.845424999999999</v>
      </c>
      <c r="AR386">
        <v>32.900447293752777</v>
      </c>
      <c r="AS386" t="s">
        <v>65</v>
      </c>
      <c r="AT386">
        <v>1</v>
      </c>
      <c r="AU386" t="s">
        <v>1717</v>
      </c>
      <c r="AV386" t="s">
        <v>320</v>
      </c>
      <c r="AW386" t="s">
        <v>60</v>
      </c>
      <c r="AX386" t="s">
        <v>68</v>
      </c>
      <c r="AY386" t="s">
        <v>69</v>
      </c>
      <c r="AZ386" t="b">
        <v>1</v>
      </c>
    </row>
    <row r="387" spans="1:52" x14ac:dyDescent="0.3">
      <c r="A387" t="s">
        <v>52</v>
      </c>
      <c r="B387" t="s">
        <v>53</v>
      </c>
      <c r="C387" t="s">
        <v>54</v>
      </c>
      <c r="D387" t="s">
        <v>55</v>
      </c>
      <c r="E387" t="s">
        <v>1617</v>
      </c>
      <c r="F387" t="s">
        <v>190</v>
      </c>
      <c r="G387" t="s">
        <v>1718</v>
      </c>
      <c r="H387" t="s">
        <v>1719</v>
      </c>
      <c r="I387" t="s">
        <v>1719</v>
      </c>
      <c r="J387" t="s">
        <v>60</v>
      </c>
      <c r="K387" t="s">
        <v>157</v>
      </c>
      <c r="L387" t="s">
        <v>62</v>
      </c>
      <c r="M387" t="s">
        <v>157</v>
      </c>
      <c r="N387" t="s">
        <v>1720</v>
      </c>
      <c r="O387" t="s">
        <v>1504</v>
      </c>
      <c r="P387">
        <v>-20.171738999999999</v>
      </c>
      <c r="Q387">
        <v>-44.883522999999997</v>
      </c>
      <c r="R387" s="2" t="str">
        <f>HYPERLINK("https://www.google.com/maps?q=-20.1717390,-44.8835230","Abrir no Google Maps")</f>
        <v>Abrir no Google Maps</v>
      </c>
      <c r="S387">
        <v>4</v>
      </c>
      <c r="T387">
        <v>256.99601600395061</v>
      </c>
      <c r="U387">
        <v>3</v>
      </c>
      <c r="V387">
        <v>0.44801518026565468</v>
      </c>
      <c r="W387">
        <v>0.85</v>
      </c>
      <c r="X387">
        <v>0.38081290322580652</v>
      </c>
      <c r="Y387">
        <v>232</v>
      </c>
      <c r="Z387">
        <v>340.87195921482072</v>
      </c>
      <c r="AA387">
        <v>198</v>
      </c>
      <c r="AB387">
        <v>332</v>
      </c>
      <c r="AC387">
        <v>536</v>
      </c>
      <c r="AD387">
        <v>33.19</v>
      </c>
      <c r="AE387">
        <v>542</v>
      </c>
      <c r="AF387">
        <v>42</v>
      </c>
      <c r="AG387">
        <v>173</v>
      </c>
      <c r="AH387">
        <v>129</v>
      </c>
      <c r="AI387">
        <v>7.75</v>
      </c>
      <c r="AJ387">
        <v>31.92</v>
      </c>
      <c r="AK387">
        <v>23.8</v>
      </c>
      <c r="AL387">
        <v>-20.171852049999959</v>
      </c>
      <c r="AM387">
        <v>-44.883483547306533</v>
      </c>
      <c r="AN387">
        <v>-20.171852049999959</v>
      </c>
      <c r="AO387">
        <v>-44.883483547306533</v>
      </c>
      <c r="AP387">
        <v>-20.171738999999999</v>
      </c>
      <c r="AQ387">
        <v>-44.883522999999997</v>
      </c>
      <c r="AR387">
        <v>13.24274259208917</v>
      </c>
      <c r="AS387" t="s">
        <v>65</v>
      </c>
      <c r="AT387">
        <v>1</v>
      </c>
      <c r="AU387" t="s">
        <v>1721</v>
      </c>
      <c r="AV387" t="s">
        <v>352</v>
      </c>
      <c r="AW387" t="s">
        <v>60</v>
      </c>
      <c r="AX387" t="s">
        <v>68</v>
      </c>
      <c r="AY387" t="s">
        <v>69</v>
      </c>
      <c r="AZ387" t="b">
        <v>1</v>
      </c>
    </row>
    <row r="388" spans="1:52" x14ac:dyDescent="0.3">
      <c r="A388" t="s">
        <v>52</v>
      </c>
      <c r="B388" t="s">
        <v>53</v>
      </c>
      <c r="C388" t="s">
        <v>54</v>
      </c>
      <c r="D388" t="s">
        <v>55</v>
      </c>
      <c r="E388" t="s">
        <v>1617</v>
      </c>
      <c r="F388" t="s">
        <v>190</v>
      </c>
      <c r="G388" t="s">
        <v>360</v>
      </c>
      <c r="H388" t="s">
        <v>361</v>
      </c>
      <c r="I388" t="s">
        <v>361</v>
      </c>
      <c r="J388" t="s">
        <v>60</v>
      </c>
      <c r="K388" t="s">
        <v>362</v>
      </c>
      <c r="L388" t="s">
        <v>62</v>
      </c>
      <c r="M388" t="s">
        <v>362</v>
      </c>
      <c r="N388" t="s">
        <v>363</v>
      </c>
      <c r="O388" t="s">
        <v>235</v>
      </c>
      <c r="P388">
        <v>-20.143716999999999</v>
      </c>
      <c r="Q388">
        <v>-44.875278000000002</v>
      </c>
      <c r="R388" s="2" t="str">
        <f>HYPERLINK("https://www.google.com/maps?q=-20.1437170,-44.8752780","Abrir no Google Maps")</f>
        <v>Abrir no Google Maps</v>
      </c>
      <c r="S388">
        <v>4</v>
      </c>
      <c r="T388">
        <v>0</v>
      </c>
      <c r="U388">
        <v>3</v>
      </c>
      <c r="V388">
        <v>0.40873901789492018</v>
      </c>
      <c r="W388">
        <v>1</v>
      </c>
      <c r="X388">
        <v>0.40873901789492018</v>
      </c>
      <c r="Y388">
        <v>209</v>
      </c>
      <c r="Z388">
        <v>121.8438559354383</v>
      </c>
      <c r="AA388">
        <v>198</v>
      </c>
      <c r="AB388">
        <v>332</v>
      </c>
      <c r="AC388">
        <v>536</v>
      </c>
      <c r="AD388">
        <v>33.19</v>
      </c>
      <c r="AE388">
        <v>542</v>
      </c>
      <c r="AF388">
        <v>42</v>
      </c>
      <c r="AG388">
        <v>173</v>
      </c>
      <c r="AH388">
        <v>129</v>
      </c>
      <c r="AI388">
        <v>7.75</v>
      </c>
      <c r="AJ388">
        <v>31.92</v>
      </c>
      <c r="AK388">
        <v>23.8</v>
      </c>
      <c r="AL388">
        <v>-20.143665999999961</v>
      </c>
      <c r="AM388">
        <v>-44.875561853046079</v>
      </c>
      <c r="AN388">
        <v>-20.143665999999961</v>
      </c>
      <c r="AO388">
        <v>-44.875561853046079</v>
      </c>
      <c r="AP388">
        <v>-20.143716999999999</v>
      </c>
      <c r="AQ388">
        <v>-44.875278000000002</v>
      </c>
      <c r="AR388">
        <v>30.20407282671313</v>
      </c>
      <c r="AS388" t="s">
        <v>65</v>
      </c>
      <c r="AT388">
        <v>1</v>
      </c>
      <c r="AU388" t="s">
        <v>364</v>
      </c>
      <c r="AV388" t="s">
        <v>365</v>
      </c>
      <c r="AW388" t="s">
        <v>60</v>
      </c>
      <c r="AX388" t="s">
        <v>68</v>
      </c>
      <c r="AY388" t="s">
        <v>69</v>
      </c>
      <c r="AZ388" t="b">
        <v>1</v>
      </c>
    </row>
    <row r="389" spans="1:52" x14ac:dyDescent="0.3">
      <c r="A389" t="s">
        <v>52</v>
      </c>
      <c r="B389" t="s">
        <v>53</v>
      </c>
      <c r="C389" t="s">
        <v>54</v>
      </c>
      <c r="D389" t="s">
        <v>55</v>
      </c>
      <c r="E389" t="s">
        <v>1617</v>
      </c>
      <c r="F389" t="s">
        <v>190</v>
      </c>
      <c r="G389" t="s">
        <v>1722</v>
      </c>
      <c r="H389" t="s">
        <v>1723</v>
      </c>
      <c r="I389" t="s">
        <v>1723</v>
      </c>
      <c r="J389" t="s">
        <v>60</v>
      </c>
      <c r="K389" t="s">
        <v>355</v>
      </c>
      <c r="L389" t="s">
        <v>62</v>
      </c>
      <c r="M389" t="s">
        <v>355</v>
      </c>
      <c r="N389" t="s">
        <v>1724</v>
      </c>
      <c r="O389" t="s">
        <v>1725</v>
      </c>
      <c r="P389">
        <v>-20.143581999999999</v>
      </c>
      <c r="Q389">
        <v>-44.873627999999997</v>
      </c>
      <c r="R389" s="2" t="str">
        <f>HYPERLINK("https://www.google.com/maps?q=-20.1435820,-44.8736280","Abrir no Google Maps")</f>
        <v>Abrir no Google Maps</v>
      </c>
      <c r="S389">
        <v>4</v>
      </c>
      <c r="T389">
        <v>208.52786918687181</v>
      </c>
      <c r="U389">
        <v>3</v>
      </c>
      <c r="V389">
        <v>0.45110596707818928</v>
      </c>
      <c r="W389">
        <v>0.85</v>
      </c>
      <c r="X389">
        <v>0.38344007201646091</v>
      </c>
      <c r="Y389">
        <v>209</v>
      </c>
      <c r="Z389">
        <v>128.3269726321931</v>
      </c>
      <c r="AA389">
        <v>198</v>
      </c>
      <c r="AB389">
        <v>332</v>
      </c>
      <c r="AC389">
        <v>536</v>
      </c>
      <c r="AD389">
        <v>33.19</v>
      </c>
      <c r="AE389">
        <v>542</v>
      </c>
      <c r="AF389">
        <v>42</v>
      </c>
      <c r="AG389">
        <v>173</v>
      </c>
      <c r="AH389">
        <v>129</v>
      </c>
      <c r="AI389">
        <v>7.75</v>
      </c>
      <c r="AJ389">
        <v>31.92</v>
      </c>
      <c r="AK389">
        <v>23.8</v>
      </c>
      <c r="AL389">
        <v>-20.143898149999959</v>
      </c>
      <c r="AM389">
        <v>-44.873581764571512</v>
      </c>
      <c r="AN389">
        <v>-20.143898149999959</v>
      </c>
      <c r="AO389">
        <v>-44.873581764571512</v>
      </c>
      <c r="AP389">
        <v>-20.143581999999999</v>
      </c>
      <c r="AQ389">
        <v>-44.873627999999997</v>
      </c>
      <c r="AR389">
        <v>35.5239912670961</v>
      </c>
      <c r="AS389" t="s">
        <v>65</v>
      </c>
      <c r="AT389">
        <v>1</v>
      </c>
      <c r="AU389" t="s">
        <v>1726</v>
      </c>
      <c r="AV389" t="s">
        <v>1727</v>
      </c>
      <c r="AW389" t="s">
        <v>60</v>
      </c>
      <c r="AX389" t="s">
        <v>68</v>
      </c>
      <c r="AY389" t="s">
        <v>69</v>
      </c>
      <c r="AZ389" t="b">
        <v>1</v>
      </c>
    </row>
    <row r="390" spans="1:52" x14ac:dyDescent="0.3">
      <c r="A390" t="s">
        <v>52</v>
      </c>
      <c r="B390" t="s">
        <v>53</v>
      </c>
      <c r="C390" t="s">
        <v>54</v>
      </c>
      <c r="D390" t="s">
        <v>55</v>
      </c>
      <c r="E390" t="s">
        <v>1617</v>
      </c>
      <c r="F390" t="s">
        <v>190</v>
      </c>
      <c r="G390" t="s">
        <v>366</v>
      </c>
      <c r="H390" t="s">
        <v>367</v>
      </c>
      <c r="I390" t="s">
        <v>367</v>
      </c>
      <c r="J390" t="s">
        <v>60</v>
      </c>
      <c r="K390" t="s">
        <v>368</v>
      </c>
      <c r="L390" t="s">
        <v>62</v>
      </c>
      <c r="M390" t="s">
        <v>368</v>
      </c>
      <c r="N390" t="s">
        <v>369</v>
      </c>
      <c r="O390" t="s">
        <v>370</v>
      </c>
      <c r="P390">
        <v>-20.144553999999999</v>
      </c>
      <c r="Q390">
        <v>-44.868183000000002</v>
      </c>
      <c r="R390" s="2" t="str">
        <f>HYPERLINK("https://www.google.com/maps?q=-20.1445540,-44.8681830","Abrir no Google Maps")</f>
        <v>Abrir no Google Maps</v>
      </c>
      <c r="S390">
        <v>4</v>
      </c>
      <c r="T390">
        <v>783.87848835431373</v>
      </c>
      <c r="U390">
        <v>3</v>
      </c>
      <c r="V390">
        <v>0.4293891226740591</v>
      </c>
      <c r="W390">
        <v>1</v>
      </c>
      <c r="X390">
        <v>0.4293891226740591</v>
      </c>
      <c r="Y390">
        <v>198</v>
      </c>
      <c r="Z390">
        <v>360.68413994394842</v>
      </c>
      <c r="AA390">
        <v>198</v>
      </c>
      <c r="AB390">
        <v>332</v>
      </c>
      <c r="AC390">
        <v>536</v>
      </c>
      <c r="AD390">
        <v>33.19</v>
      </c>
      <c r="AE390">
        <v>542</v>
      </c>
      <c r="AF390">
        <v>42</v>
      </c>
      <c r="AG390">
        <v>173</v>
      </c>
      <c r="AH390">
        <v>129</v>
      </c>
      <c r="AI390">
        <v>7.75</v>
      </c>
      <c r="AJ390">
        <v>31.92</v>
      </c>
      <c r="AK390">
        <v>23.8</v>
      </c>
      <c r="AL390">
        <v>-20.144487399999949</v>
      </c>
      <c r="AM390">
        <v>-44.868111936674481</v>
      </c>
      <c r="AN390">
        <v>-20.144487399999939</v>
      </c>
      <c r="AO390">
        <v>-44.868111936674481</v>
      </c>
      <c r="AP390">
        <v>-20.144553999999999</v>
      </c>
      <c r="AQ390">
        <v>-44.868183000000002</v>
      </c>
      <c r="AR390">
        <v>10.49400387332288</v>
      </c>
      <c r="AS390" t="s">
        <v>65</v>
      </c>
      <c r="AT390">
        <v>1</v>
      </c>
      <c r="AU390" t="s">
        <v>371</v>
      </c>
      <c r="AV390" t="s">
        <v>372</v>
      </c>
      <c r="AW390" t="s">
        <v>60</v>
      </c>
      <c r="AX390" t="s">
        <v>68</v>
      </c>
      <c r="AY390" t="s">
        <v>69</v>
      </c>
      <c r="AZ390" t="b">
        <v>1</v>
      </c>
    </row>
    <row r="391" spans="1:52" x14ac:dyDescent="0.3">
      <c r="A391" t="s">
        <v>52</v>
      </c>
      <c r="B391" t="s">
        <v>53</v>
      </c>
      <c r="C391" t="s">
        <v>54</v>
      </c>
      <c r="D391" t="s">
        <v>55</v>
      </c>
      <c r="E391" t="s">
        <v>1617</v>
      </c>
      <c r="F391" t="s">
        <v>190</v>
      </c>
      <c r="G391" t="s">
        <v>1728</v>
      </c>
      <c r="H391" t="s">
        <v>1729</v>
      </c>
      <c r="I391" t="s">
        <v>1729</v>
      </c>
      <c r="J391" t="s">
        <v>60</v>
      </c>
      <c r="K391" t="s">
        <v>171</v>
      </c>
      <c r="L391" t="s">
        <v>62</v>
      </c>
      <c r="M391" t="s">
        <v>171</v>
      </c>
      <c r="N391" t="s">
        <v>1730</v>
      </c>
      <c r="O391" t="s">
        <v>1731</v>
      </c>
      <c r="P391">
        <v>-20.153237000000001</v>
      </c>
      <c r="Q391">
        <v>-44.893830999999999</v>
      </c>
      <c r="R391" s="2" t="str">
        <f>HYPERLINK("https://www.google.com/maps?q=-20.1532370,-44.8938310","Abrir no Google Maps")</f>
        <v>Abrir no Google Maps</v>
      </c>
      <c r="S391">
        <v>4</v>
      </c>
      <c r="T391">
        <v>413.69072684661631</v>
      </c>
      <c r="U391">
        <v>3</v>
      </c>
      <c r="V391">
        <v>0.40506222452683432</v>
      </c>
      <c r="W391">
        <v>1</v>
      </c>
      <c r="X391">
        <v>0.40506222452683432</v>
      </c>
      <c r="Y391">
        <v>129</v>
      </c>
      <c r="Z391">
        <v>276.95856023076033</v>
      </c>
      <c r="AA391">
        <v>198</v>
      </c>
      <c r="AB391">
        <v>332</v>
      </c>
      <c r="AC391">
        <v>536</v>
      </c>
      <c r="AD391">
        <v>33.19</v>
      </c>
      <c r="AE391">
        <v>542</v>
      </c>
      <c r="AF391">
        <v>42</v>
      </c>
      <c r="AG391">
        <v>173</v>
      </c>
      <c r="AH391">
        <v>129</v>
      </c>
      <c r="AI391">
        <v>7.75</v>
      </c>
      <c r="AJ391">
        <v>31.92</v>
      </c>
      <c r="AK391">
        <v>23.8</v>
      </c>
      <c r="AL391">
        <v>-20.15278304999995</v>
      </c>
      <c r="AM391">
        <v>-44.894325691070982</v>
      </c>
      <c r="AN391">
        <v>-20.15278304999995</v>
      </c>
      <c r="AO391">
        <v>-44.894325691070982</v>
      </c>
      <c r="AP391">
        <v>-20.153237000000001</v>
      </c>
      <c r="AQ391">
        <v>-44.893830999999999</v>
      </c>
      <c r="AR391">
        <v>72.293093135883012</v>
      </c>
      <c r="AS391" t="s">
        <v>65</v>
      </c>
      <c r="AT391">
        <v>1</v>
      </c>
      <c r="AU391" t="s">
        <v>1732</v>
      </c>
      <c r="AV391" t="s">
        <v>1733</v>
      </c>
      <c r="AW391" t="s">
        <v>60</v>
      </c>
      <c r="AX391" t="s">
        <v>68</v>
      </c>
      <c r="AY391" t="s">
        <v>69</v>
      </c>
      <c r="AZ391" t="b">
        <v>1</v>
      </c>
    </row>
    <row r="392" spans="1:52" x14ac:dyDescent="0.3">
      <c r="A392" t="s">
        <v>52</v>
      </c>
      <c r="B392" t="s">
        <v>53</v>
      </c>
      <c r="C392" t="s">
        <v>54</v>
      </c>
      <c r="D392" t="s">
        <v>55</v>
      </c>
      <c r="E392" t="s">
        <v>1617</v>
      </c>
      <c r="F392" t="s">
        <v>190</v>
      </c>
      <c r="G392" t="s">
        <v>1193</v>
      </c>
      <c r="H392" t="s">
        <v>1734</v>
      </c>
      <c r="I392" t="s">
        <v>1734</v>
      </c>
      <c r="J392" t="s">
        <v>60</v>
      </c>
      <c r="K392" t="s">
        <v>1735</v>
      </c>
      <c r="L392" t="s">
        <v>62</v>
      </c>
      <c r="M392" t="s">
        <v>1735</v>
      </c>
      <c r="N392" t="s">
        <v>1736</v>
      </c>
      <c r="O392" t="s">
        <v>315</v>
      </c>
      <c r="P392">
        <v>-20.200367</v>
      </c>
      <c r="Q392">
        <v>-44.880668999999997</v>
      </c>
      <c r="R392" s="2" t="str">
        <f>HYPERLINK("https://www.google.com/maps?q=-20.2003670,-44.8806690","Abrir no Google Maps")</f>
        <v>Abrir no Google Maps</v>
      </c>
      <c r="S392">
        <v>4</v>
      </c>
      <c r="T392">
        <v>1820.469679459095</v>
      </c>
      <c r="U392">
        <v>3</v>
      </c>
      <c r="V392">
        <v>0.45536062378167641</v>
      </c>
      <c r="W392">
        <v>0.85</v>
      </c>
      <c r="X392">
        <v>0.38705653021442488</v>
      </c>
      <c r="Y392">
        <v>101</v>
      </c>
      <c r="Z392">
        <v>1841.9598393829469</v>
      </c>
      <c r="AA392">
        <v>198</v>
      </c>
      <c r="AB392">
        <v>332</v>
      </c>
      <c r="AC392">
        <v>536</v>
      </c>
      <c r="AD392">
        <v>33.19</v>
      </c>
      <c r="AE392">
        <v>542</v>
      </c>
      <c r="AF392">
        <v>42</v>
      </c>
      <c r="AG392">
        <v>173</v>
      </c>
      <c r="AH392">
        <v>129</v>
      </c>
      <c r="AI392">
        <v>7.75</v>
      </c>
      <c r="AJ392">
        <v>31.92</v>
      </c>
      <c r="AK392">
        <v>23.8</v>
      </c>
      <c r="AL392">
        <v>-20.202122099999968</v>
      </c>
      <c r="AM392">
        <v>-44.88131085114675</v>
      </c>
      <c r="AN392">
        <v>-20.202122099999968</v>
      </c>
      <c r="AO392">
        <v>-44.88131085114675</v>
      </c>
      <c r="AP392">
        <v>-20.200367</v>
      </c>
      <c r="AQ392">
        <v>-44.880668999999997</v>
      </c>
      <c r="AR392">
        <v>206.56442547254821</v>
      </c>
      <c r="AS392" t="s">
        <v>65</v>
      </c>
      <c r="AT392">
        <v>1</v>
      </c>
      <c r="AU392" t="s">
        <v>1737</v>
      </c>
      <c r="AV392" t="s">
        <v>1738</v>
      </c>
      <c r="AW392" t="s">
        <v>60</v>
      </c>
      <c r="AX392" t="s">
        <v>68</v>
      </c>
      <c r="AY392" t="s">
        <v>69</v>
      </c>
      <c r="AZ392" t="b">
        <v>1</v>
      </c>
    </row>
    <row r="393" spans="1:52" x14ac:dyDescent="0.3">
      <c r="A393" t="s">
        <v>52</v>
      </c>
      <c r="B393" t="s">
        <v>53</v>
      </c>
      <c r="C393" t="s">
        <v>54</v>
      </c>
      <c r="D393" t="s">
        <v>55</v>
      </c>
      <c r="E393" t="s">
        <v>1617</v>
      </c>
      <c r="F393" t="s">
        <v>190</v>
      </c>
      <c r="G393" t="s">
        <v>1739</v>
      </c>
      <c r="H393" t="s">
        <v>1740</v>
      </c>
      <c r="I393" t="s">
        <v>1740</v>
      </c>
      <c r="J393" t="s">
        <v>60</v>
      </c>
      <c r="K393" t="s">
        <v>164</v>
      </c>
      <c r="L393" t="s">
        <v>62</v>
      </c>
      <c r="M393" t="s">
        <v>164</v>
      </c>
      <c r="N393" t="s">
        <v>1741</v>
      </c>
      <c r="O393" t="s">
        <v>395</v>
      </c>
      <c r="P393">
        <v>-20.185585</v>
      </c>
      <c r="Q393">
        <v>-44.881284000000001</v>
      </c>
      <c r="R393" s="2" t="str">
        <f>HYPERLINK("https://www.google.com/maps?q=-20.1855850,-44.8812840","Abrir no Google Maps")</f>
        <v>Abrir no Google Maps</v>
      </c>
      <c r="S393">
        <v>4</v>
      </c>
      <c r="T393">
        <v>0</v>
      </c>
      <c r="U393">
        <v>3</v>
      </c>
      <c r="V393">
        <v>0.50029556650246298</v>
      </c>
      <c r="W393">
        <v>0.85</v>
      </c>
      <c r="X393">
        <v>0.42525123152709349</v>
      </c>
      <c r="Y393">
        <v>101</v>
      </c>
      <c r="Z393">
        <v>50.899335234186083</v>
      </c>
      <c r="AA393">
        <v>198</v>
      </c>
      <c r="AB393">
        <v>332</v>
      </c>
      <c r="AC393">
        <v>536</v>
      </c>
      <c r="AD393">
        <v>33.19</v>
      </c>
      <c r="AE393">
        <v>542</v>
      </c>
      <c r="AF393">
        <v>42</v>
      </c>
      <c r="AG393">
        <v>173</v>
      </c>
      <c r="AH393">
        <v>129</v>
      </c>
      <c r="AI393">
        <v>7.75</v>
      </c>
      <c r="AJ393">
        <v>31.92</v>
      </c>
      <c r="AK393">
        <v>23.8</v>
      </c>
      <c r="AL393">
        <v>-20.185672099999952</v>
      </c>
      <c r="AM393">
        <v>-44.881158973926922</v>
      </c>
      <c r="AN393">
        <v>-20.185672099999952</v>
      </c>
      <c r="AO393">
        <v>-44.881158973926922</v>
      </c>
      <c r="AP393">
        <v>-20.185585</v>
      </c>
      <c r="AQ393">
        <v>-44.881284000000001</v>
      </c>
      <c r="AR393">
        <v>16.268229707677129</v>
      </c>
      <c r="AS393" t="s">
        <v>65</v>
      </c>
      <c r="AT393">
        <v>1</v>
      </c>
      <c r="AU393" t="s">
        <v>1742</v>
      </c>
      <c r="AV393" t="s">
        <v>1743</v>
      </c>
      <c r="AW393" t="s">
        <v>60</v>
      </c>
      <c r="AX393" t="s">
        <v>68</v>
      </c>
      <c r="AY393" t="s">
        <v>69</v>
      </c>
      <c r="AZ393" t="b">
        <v>1</v>
      </c>
    </row>
    <row r="394" spans="1:52" x14ac:dyDescent="0.3">
      <c r="A394" t="s">
        <v>52</v>
      </c>
      <c r="B394" t="s">
        <v>53</v>
      </c>
      <c r="C394" t="s">
        <v>54</v>
      </c>
      <c r="D394" t="s">
        <v>55</v>
      </c>
      <c r="E394" t="s">
        <v>1617</v>
      </c>
      <c r="F394" t="s">
        <v>190</v>
      </c>
      <c r="G394" t="s">
        <v>1744</v>
      </c>
      <c r="H394" t="s">
        <v>1745</v>
      </c>
      <c r="I394" t="s">
        <v>1745</v>
      </c>
      <c r="J394" t="s">
        <v>60</v>
      </c>
      <c r="K394" t="s">
        <v>1676</v>
      </c>
      <c r="L394" t="s">
        <v>62</v>
      </c>
      <c r="M394" t="s">
        <v>1676</v>
      </c>
      <c r="N394" t="s">
        <v>1746</v>
      </c>
      <c r="O394" t="s">
        <v>1747</v>
      </c>
      <c r="P394">
        <v>-20.180457000000001</v>
      </c>
      <c r="Q394">
        <v>-44.880989</v>
      </c>
      <c r="R394" s="2" t="str">
        <f>HYPERLINK("https://www.google.com/maps?q=-20.1804570,-44.8809890","Abrir no Google Maps")</f>
        <v>Abrir no Google Maps</v>
      </c>
      <c r="S394">
        <v>4</v>
      </c>
      <c r="T394">
        <v>594.60456790345131</v>
      </c>
      <c r="U394">
        <v>3</v>
      </c>
      <c r="V394">
        <v>0.47475288993131182</v>
      </c>
      <c r="W394">
        <v>0.85</v>
      </c>
      <c r="X394">
        <v>0.40353995644161511</v>
      </c>
      <c r="Y394">
        <v>101</v>
      </c>
      <c r="Z394">
        <v>644.27072665474043</v>
      </c>
      <c r="AA394">
        <v>198</v>
      </c>
      <c r="AB394">
        <v>332</v>
      </c>
      <c r="AC394">
        <v>536</v>
      </c>
      <c r="AD394">
        <v>33.19</v>
      </c>
      <c r="AE394">
        <v>542</v>
      </c>
      <c r="AF394">
        <v>42</v>
      </c>
      <c r="AG394">
        <v>173</v>
      </c>
      <c r="AH394">
        <v>129</v>
      </c>
      <c r="AI394">
        <v>7.75</v>
      </c>
      <c r="AJ394">
        <v>31.92</v>
      </c>
      <c r="AK394">
        <v>23.8</v>
      </c>
      <c r="AL394">
        <v>-20.180299249999969</v>
      </c>
      <c r="AM394">
        <v>-44.881100391239819</v>
      </c>
      <c r="AN394">
        <v>-20.180299249999969</v>
      </c>
      <c r="AO394">
        <v>-44.881100391239819</v>
      </c>
      <c r="AP394">
        <v>-20.180457000000001</v>
      </c>
      <c r="AQ394">
        <v>-44.880989</v>
      </c>
      <c r="AR394">
        <v>21.067561465339171</v>
      </c>
      <c r="AS394" t="s">
        <v>65</v>
      </c>
      <c r="AT394">
        <v>1</v>
      </c>
      <c r="AU394" t="s">
        <v>1748</v>
      </c>
      <c r="AV394" t="s">
        <v>1749</v>
      </c>
      <c r="AW394" t="s">
        <v>60</v>
      </c>
      <c r="AX394" t="s">
        <v>68</v>
      </c>
      <c r="AY394" t="s">
        <v>69</v>
      </c>
      <c r="AZ394" t="b">
        <v>1</v>
      </c>
    </row>
    <row r="395" spans="1:52" x14ac:dyDescent="0.3">
      <c r="A395" t="s">
        <v>52</v>
      </c>
      <c r="B395" t="s">
        <v>53</v>
      </c>
      <c r="C395" t="s">
        <v>54</v>
      </c>
      <c r="D395" t="s">
        <v>55</v>
      </c>
      <c r="E395" t="s">
        <v>1617</v>
      </c>
      <c r="F395" t="s">
        <v>190</v>
      </c>
      <c r="G395" t="s">
        <v>851</v>
      </c>
      <c r="H395" t="s">
        <v>852</v>
      </c>
      <c r="I395" t="s">
        <v>852</v>
      </c>
      <c r="J395" t="s">
        <v>60</v>
      </c>
      <c r="K395" t="s">
        <v>853</v>
      </c>
      <c r="L395" t="s">
        <v>62</v>
      </c>
      <c r="M395" t="s">
        <v>853</v>
      </c>
      <c r="N395" t="s">
        <v>854</v>
      </c>
      <c r="O395" t="s">
        <v>855</v>
      </c>
      <c r="P395">
        <v>-20.127835000000001</v>
      </c>
      <c r="Q395">
        <v>-44.909329</v>
      </c>
      <c r="R395" s="2" t="str">
        <f>HYPERLINK("https://www.google.com/maps?q=-20.1278350,-44.9093290","Abrir no Google Maps")</f>
        <v>Abrir no Google Maps</v>
      </c>
      <c r="S395">
        <v>3</v>
      </c>
      <c r="T395">
        <v>1173.033690896357</v>
      </c>
      <c r="U395">
        <v>4</v>
      </c>
      <c r="V395">
        <v>0.43638933151225429</v>
      </c>
      <c r="W395">
        <v>1</v>
      </c>
      <c r="X395">
        <v>0.43638933151225429</v>
      </c>
      <c r="Y395">
        <v>581</v>
      </c>
      <c r="Z395">
        <v>1296.5011565926129</v>
      </c>
      <c r="AA395">
        <v>198</v>
      </c>
      <c r="AB395">
        <v>332</v>
      </c>
      <c r="AC395">
        <v>536</v>
      </c>
      <c r="AD395">
        <v>33.19</v>
      </c>
      <c r="AE395">
        <v>542</v>
      </c>
      <c r="AF395">
        <v>42</v>
      </c>
      <c r="AG395">
        <v>173</v>
      </c>
      <c r="AH395">
        <v>129</v>
      </c>
      <c r="AI395">
        <v>7.75</v>
      </c>
      <c r="AJ395">
        <v>31.92</v>
      </c>
      <c r="AK395">
        <v>23.8</v>
      </c>
      <c r="AL395">
        <v>-20.127852899999969</v>
      </c>
      <c r="AM395">
        <v>-44.909386667699948</v>
      </c>
      <c r="AN395">
        <v>-20.127852899999969</v>
      </c>
      <c r="AO395">
        <v>-44.909386667699948</v>
      </c>
      <c r="AP395">
        <v>-20.127835000000001</v>
      </c>
      <c r="AQ395">
        <v>-44.909329</v>
      </c>
      <c r="AR395">
        <v>6.3483385067119924</v>
      </c>
      <c r="AS395" t="s">
        <v>65</v>
      </c>
      <c r="AT395">
        <v>1</v>
      </c>
      <c r="AU395" t="s">
        <v>856</v>
      </c>
      <c r="AV395" t="s">
        <v>857</v>
      </c>
      <c r="AW395" t="s">
        <v>60</v>
      </c>
      <c r="AX395" t="s">
        <v>68</v>
      </c>
      <c r="AY395" t="s">
        <v>69</v>
      </c>
      <c r="AZ395" t="b">
        <v>1</v>
      </c>
    </row>
    <row r="396" spans="1:52" x14ac:dyDescent="0.3">
      <c r="A396" t="s">
        <v>52</v>
      </c>
      <c r="B396" t="s">
        <v>53</v>
      </c>
      <c r="C396" t="s">
        <v>54</v>
      </c>
      <c r="D396" t="s">
        <v>55</v>
      </c>
      <c r="E396" t="s">
        <v>1617</v>
      </c>
      <c r="F396" t="s">
        <v>190</v>
      </c>
      <c r="G396" t="s">
        <v>870</v>
      </c>
      <c r="H396" t="s">
        <v>871</v>
      </c>
      <c r="I396" t="s">
        <v>871</v>
      </c>
      <c r="J396" t="s">
        <v>60</v>
      </c>
      <c r="K396" t="s">
        <v>475</v>
      </c>
      <c r="L396" t="s">
        <v>62</v>
      </c>
      <c r="M396" t="s">
        <v>475</v>
      </c>
      <c r="N396" t="s">
        <v>872</v>
      </c>
      <c r="O396" t="s">
        <v>507</v>
      </c>
      <c r="P396">
        <v>-20.176269999999999</v>
      </c>
      <c r="Q396">
        <v>-44.909323999999998</v>
      </c>
      <c r="R396" s="2" t="str">
        <f>HYPERLINK("https://www.google.com/maps?q=-20.1762700,-44.9093240","Abrir no Google Maps")</f>
        <v>Abrir no Google Maps</v>
      </c>
      <c r="S396">
        <v>3</v>
      </c>
      <c r="T396">
        <v>472.42731136821368</v>
      </c>
      <c r="U396">
        <v>4</v>
      </c>
      <c r="V396">
        <v>0.46851987428360148</v>
      </c>
      <c r="W396">
        <v>1</v>
      </c>
      <c r="X396">
        <v>0.46851987428360148</v>
      </c>
      <c r="Y396">
        <v>578</v>
      </c>
      <c r="Z396">
        <v>495.19726726344601</v>
      </c>
      <c r="AA396">
        <v>198</v>
      </c>
      <c r="AB396">
        <v>332</v>
      </c>
      <c r="AC396">
        <v>536</v>
      </c>
      <c r="AD396">
        <v>33.19</v>
      </c>
      <c r="AE396">
        <v>542</v>
      </c>
      <c r="AF396">
        <v>42</v>
      </c>
      <c r="AG396">
        <v>173</v>
      </c>
      <c r="AH396">
        <v>129</v>
      </c>
      <c r="AI396">
        <v>7.75</v>
      </c>
      <c r="AJ396">
        <v>31.92</v>
      </c>
      <c r="AK396">
        <v>23.8</v>
      </c>
      <c r="AL396">
        <v>-20.17630284999996</v>
      </c>
      <c r="AM396">
        <v>-44.909199064318948</v>
      </c>
      <c r="AN396">
        <v>-20.17630284999996</v>
      </c>
      <c r="AO396">
        <v>-44.909199064318948</v>
      </c>
      <c r="AP396">
        <v>-20.176269999999999</v>
      </c>
      <c r="AQ396">
        <v>-44.909323999999998</v>
      </c>
      <c r="AR396">
        <v>13.55691308737447</v>
      </c>
      <c r="AS396" t="s">
        <v>65</v>
      </c>
      <c r="AT396">
        <v>1</v>
      </c>
      <c r="AU396" t="s">
        <v>873</v>
      </c>
      <c r="AV396" t="s">
        <v>874</v>
      </c>
      <c r="AW396" t="s">
        <v>60</v>
      </c>
      <c r="AX396" t="s">
        <v>68</v>
      </c>
      <c r="AY396" t="s">
        <v>69</v>
      </c>
      <c r="AZ396" t="b">
        <v>1</v>
      </c>
    </row>
    <row r="397" spans="1:52" x14ac:dyDescent="0.3">
      <c r="A397" t="s">
        <v>52</v>
      </c>
      <c r="B397" t="s">
        <v>53</v>
      </c>
      <c r="C397" t="s">
        <v>54</v>
      </c>
      <c r="D397" t="s">
        <v>55</v>
      </c>
      <c r="E397" t="s">
        <v>1617</v>
      </c>
      <c r="F397" t="s">
        <v>190</v>
      </c>
      <c r="G397" t="s">
        <v>473</v>
      </c>
      <c r="H397" t="s">
        <v>474</v>
      </c>
      <c r="I397" t="s">
        <v>474</v>
      </c>
      <c r="J397" t="s">
        <v>60</v>
      </c>
      <c r="K397" t="s">
        <v>475</v>
      </c>
      <c r="L397" t="s">
        <v>62</v>
      </c>
      <c r="M397" t="s">
        <v>475</v>
      </c>
      <c r="N397" t="s">
        <v>406</v>
      </c>
      <c r="O397" t="s">
        <v>476</v>
      </c>
      <c r="P397">
        <v>-20.177902</v>
      </c>
      <c r="Q397">
        <v>-44.908504000000001</v>
      </c>
      <c r="R397" s="2" t="str">
        <f>HYPERLINK("https://www.google.com/maps?q=-20.1779020,-44.9085040","Abrir no Google Maps")</f>
        <v>Abrir no Google Maps</v>
      </c>
      <c r="S397">
        <v>3</v>
      </c>
      <c r="T397">
        <v>656.92307673247149</v>
      </c>
      <c r="U397">
        <v>4</v>
      </c>
      <c r="V397">
        <v>0.4470292018170019</v>
      </c>
      <c r="W397">
        <v>1</v>
      </c>
      <c r="X397">
        <v>0.4470292018170019</v>
      </c>
      <c r="Y397">
        <v>578</v>
      </c>
      <c r="Z397">
        <v>635.01982153722327</v>
      </c>
      <c r="AA397">
        <v>198</v>
      </c>
      <c r="AB397">
        <v>332</v>
      </c>
      <c r="AC397">
        <v>536</v>
      </c>
      <c r="AD397">
        <v>33.19</v>
      </c>
      <c r="AE397">
        <v>542</v>
      </c>
      <c r="AF397">
        <v>42</v>
      </c>
      <c r="AG397">
        <v>173</v>
      </c>
      <c r="AH397">
        <v>129</v>
      </c>
      <c r="AI397">
        <v>7.75</v>
      </c>
      <c r="AJ397">
        <v>31.92</v>
      </c>
      <c r="AK397">
        <v>23.8</v>
      </c>
      <c r="AL397">
        <v>-20.177800399999938</v>
      </c>
      <c r="AM397">
        <v>-44.908361879701268</v>
      </c>
      <c r="AN397">
        <v>-20.177800399999938</v>
      </c>
      <c r="AO397">
        <v>-44.908361879701268</v>
      </c>
      <c r="AP397">
        <v>-20.177902</v>
      </c>
      <c r="AQ397">
        <v>-44.908504000000001</v>
      </c>
      <c r="AR397">
        <v>18.666463141775541</v>
      </c>
      <c r="AS397" t="s">
        <v>65</v>
      </c>
      <c r="AT397">
        <v>1</v>
      </c>
      <c r="AU397" t="s">
        <v>477</v>
      </c>
      <c r="AV397" t="s">
        <v>478</v>
      </c>
      <c r="AW397" t="s">
        <v>60</v>
      </c>
      <c r="AX397" t="s">
        <v>68</v>
      </c>
      <c r="AY397" t="s">
        <v>69</v>
      </c>
      <c r="AZ397" t="b">
        <v>1</v>
      </c>
    </row>
    <row r="398" spans="1:52" x14ac:dyDescent="0.3">
      <c r="A398" t="s">
        <v>52</v>
      </c>
      <c r="B398" t="s">
        <v>53</v>
      </c>
      <c r="C398" t="s">
        <v>54</v>
      </c>
      <c r="D398" t="s">
        <v>55</v>
      </c>
      <c r="E398" t="s">
        <v>1617</v>
      </c>
      <c r="F398" t="s">
        <v>190</v>
      </c>
      <c r="G398" t="s">
        <v>497</v>
      </c>
      <c r="H398" t="s">
        <v>875</v>
      </c>
      <c r="I398" t="s">
        <v>875</v>
      </c>
      <c r="J398" t="s">
        <v>60</v>
      </c>
      <c r="K398" t="s">
        <v>475</v>
      </c>
      <c r="L398" t="s">
        <v>62</v>
      </c>
      <c r="M398" t="s">
        <v>475</v>
      </c>
      <c r="N398" t="s">
        <v>499</v>
      </c>
      <c r="O398" t="s">
        <v>876</v>
      </c>
      <c r="P398">
        <v>-20.177212999999998</v>
      </c>
      <c r="Q398">
        <v>-44.904026999999999</v>
      </c>
      <c r="R398" s="2" t="str">
        <f>HYPERLINK("https://www.google.com/maps?q=-20.1772130,-44.9040270","Abrir no Google Maps")</f>
        <v>Abrir no Google Maps</v>
      </c>
      <c r="S398">
        <v>3</v>
      </c>
      <c r="T398">
        <v>706.4159561113795</v>
      </c>
      <c r="U398">
        <v>4</v>
      </c>
      <c r="V398">
        <v>0.43738906964084517</v>
      </c>
      <c r="W398">
        <v>1</v>
      </c>
      <c r="X398">
        <v>0.43738906964084517</v>
      </c>
      <c r="Y398">
        <v>578</v>
      </c>
      <c r="Z398">
        <v>588.7160518608398</v>
      </c>
      <c r="AA398">
        <v>198</v>
      </c>
      <c r="AB398">
        <v>332</v>
      </c>
      <c r="AC398">
        <v>536</v>
      </c>
      <c r="AD398">
        <v>33.19</v>
      </c>
      <c r="AE398">
        <v>542</v>
      </c>
      <c r="AF398">
        <v>42</v>
      </c>
      <c r="AG398">
        <v>173</v>
      </c>
      <c r="AH398">
        <v>129</v>
      </c>
      <c r="AI398">
        <v>7.75</v>
      </c>
      <c r="AJ398">
        <v>31.92</v>
      </c>
      <c r="AK398">
        <v>23.8</v>
      </c>
      <c r="AL398">
        <v>-20.177090199999949</v>
      </c>
      <c r="AM398">
        <v>-44.904078820930181</v>
      </c>
      <c r="AN398">
        <v>-20.177090199999949</v>
      </c>
      <c r="AO398">
        <v>-44.904078820930181</v>
      </c>
      <c r="AP398">
        <v>-20.177212999999998</v>
      </c>
      <c r="AQ398">
        <v>-44.904026999999999</v>
      </c>
      <c r="AR398">
        <v>14.7034129632295</v>
      </c>
      <c r="AS398" t="s">
        <v>65</v>
      </c>
      <c r="AT398">
        <v>1</v>
      </c>
      <c r="AU398" t="s">
        <v>877</v>
      </c>
      <c r="AV398" t="s">
        <v>878</v>
      </c>
      <c r="AW398" t="s">
        <v>60</v>
      </c>
      <c r="AX398" t="s">
        <v>68</v>
      </c>
      <c r="AY398" t="s">
        <v>69</v>
      </c>
      <c r="AZ398" t="b">
        <v>1</v>
      </c>
    </row>
    <row r="399" spans="1:52" x14ac:dyDescent="0.3">
      <c r="A399" t="s">
        <v>52</v>
      </c>
      <c r="B399" t="s">
        <v>53</v>
      </c>
      <c r="C399" t="s">
        <v>54</v>
      </c>
      <c r="D399" t="s">
        <v>55</v>
      </c>
      <c r="E399" t="s">
        <v>1617</v>
      </c>
      <c r="F399" t="s">
        <v>190</v>
      </c>
      <c r="G399" t="s">
        <v>903</v>
      </c>
      <c r="H399" t="s">
        <v>904</v>
      </c>
      <c r="I399" t="s">
        <v>904</v>
      </c>
      <c r="J399" t="s">
        <v>60</v>
      </c>
      <c r="K399" t="s">
        <v>905</v>
      </c>
      <c r="L399" t="s">
        <v>62</v>
      </c>
      <c r="M399" t="s">
        <v>905</v>
      </c>
      <c r="N399" t="s">
        <v>906</v>
      </c>
      <c r="O399" t="s">
        <v>907</v>
      </c>
      <c r="P399">
        <v>-20.112969</v>
      </c>
      <c r="Q399">
        <v>-44.891264</v>
      </c>
      <c r="R399" s="2" t="str">
        <f>HYPERLINK("https://www.google.com/maps?q=-20.1129690,-44.8912640","Abrir no Google Maps")</f>
        <v>Abrir no Google Maps</v>
      </c>
      <c r="S399">
        <v>3</v>
      </c>
      <c r="T399">
        <v>760.33197426397032</v>
      </c>
      <c r="U399">
        <v>4</v>
      </c>
      <c r="V399">
        <v>0.45556080283353001</v>
      </c>
      <c r="W399">
        <v>1</v>
      </c>
      <c r="X399">
        <v>0.45556080283353001</v>
      </c>
      <c r="Y399">
        <v>536</v>
      </c>
      <c r="Z399">
        <v>755.3791742519096</v>
      </c>
      <c r="AA399">
        <v>198</v>
      </c>
      <c r="AB399">
        <v>332</v>
      </c>
      <c r="AC399">
        <v>536</v>
      </c>
      <c r="AD399">
        <v>33.19</v>
      </c>
      <c r="AE399">
        <v>542</v>
      </c>
      <c r="AF399">
        <v>42</v>
      </c>
      <c r="AG399">
        <v>173</v>
      </c>
      <c r="AH399">
        <v>129</v>
      </c>
      <c r="AI399">
        <v>7.75</v>
      </c>
      <c r="AJ399">
        <v>31.92</v>
      </c>
      <c r="AK399">
        <v>23.8</v>
      </c>
      <c r="AL399">
        <v>-20.11260604999995</v>
      </c>
      <c r="AM399">
        <v>-44.891480970454502</v>
      </c>
      <c r="AN399">
        <v>-20.11260604999995</v>
      </c>
      <c r="AO399">
        <v>-44.891480970454502</v>
      </c>
      <c r="AP399">
        <v>-20.112969</v>
      </c>
      <c r="AQ399">
        <v>-44.891264</v>
      </c>
      <c r="AR399">
        <v>46.334053708506183</v>
      </c>
      <c r="AS399" t="s">
        <v>65</v>
      </c>
      <c r="AT399">
        <v>1</v>
      </c>
      <c r="AU399" t="s">
        <v>908</v>
      </c>
      <c r="AV399" t="s">
        <v>909</v>
      </c>
      <c r="AW399" t="s">
        <v>60</v>
      </c>
      <c r="AX399" t="s">
        <v>68</v>
      </c>
      <c r="AY399" t="s">
        <v>69</v>
      </c>
      <c r="AZ399" t="b">
        <v>1</v>
      </c>
    </row>
    <row r="400" spans="1:52" x14ac:dyDescent="0.3">
      <c r="A400" t="s">
        <v>52</v>
      </c>
      <c r="B400" t="s">
        <v>53</v>
      </c>
      <c r="C400" t="s">
        <v>54</v>
      </c>
      <c r="D400" t="s">
        <v>55</v>
      </c>
      <c r="E400" t="s">
        <v>1617</v>
      </c>
      <c r="F400" t="s">
        <v>190</v>
      </c>
      <c r="G400" t="s">
        <v>935</v>
      </c>
      <c r="H400" t="s">
        <v>936</v>
      </c>
      <c r="I400" t="s">
        <v>936</v>
      </c>
      <c r="J400" t="s">
        <v>60</v>
      </c>
      <c r="K400" t="s">
        <v>193</v>
      </c>
      <c r="L400" t="s">
        <v>62</v>
      </c>
      <c r="M400" t="s">
        <v>193</v>
      </c>
      <c r="N400" t="s">
        <v>937</v>
      </c>
      <c r="O400" t="s">
        <v>938</v>
      </c>
      <c r="P400">
        <v>-20.144727</v>
      </c>
      <c r="Q400">
        <v>-44.919978999999998</v>
      </c>
      <c r="R400" s="2" t="str">
        <f>HYPERLINK("https://www.google.com/maps?q=-20.1447270,-44.9199790","Abrir no Google Maps")</f>
        <v>Abrir no Google Maps</v>
      </c>
      <c r="S400">
        <v>3</v>
      </c>
      <c r="T400">
        <v>341.13992759662477</v>
      </c>
      <c r="U400">
        <v>4</v>
      </c>
      <c r="V400">
        <v>0.44804474043715847</v>
      </c>
      <c r="W400">
        <v>1</v>
      </c>
      <c r="X400">
        <v>0.44804474043715847</v>
      </c>
      <c r="Y400">
        <v>508</v>
      </c>
      <c r="Z400">
        <v>274.58151985101409</v>
      </c>
      <c r="AA400">
        <v>198</v>
      </c>
      <c r="AB400">
        <v>332</v>
      </c>
      <c r="AC400">
        <v>536</v>
      </c>
      <c r="AD400">
        <v>33.19</v>
      </c>
      <c r="AE400">
        <v>542</v>
      </c>
      <c r="AF400">
        <v>42</v>
      </c>
      <c r="AG400">
        <v>173</v>
      </c>
      <c r="AH400">
        <v>129</v>
      </c>
      <c r="AI400">
        <v>7.75</v>
      </c>
      <c r="AJ400">
        <v>31.92</v>
      </c>
      <c r="AK400">
        <v>23.8</v>
      </c>
      <c r="AL400">
        <v>-20.144771099999961</v>
      </c>
      <c r="AM400">
        <v>-44.92003491095209</v>
      </c>
      <c r="AN400">
        <v>-20.144771099999961</v>
      </c>
      <c r="AO400">
        <v>-44.92003491095209</v>
      </c>
      <c r="AP400">
        <v>-20.144727</v>
      </c>
      <c r="AQ400">
        <v>-44.919978999999998</v>
      </c>
      <c r="AR400">
        <v>7.6317760459664177</v>
      </c>
      <c r="AS400" t="s">
        <v>65</v>
      </c>
      <c r="AT400">
        <v>1</v>
      </c>
      <c r="AU400" t="s">
        <v>939</v>
      </c>
      <c r="AV400" t="s">
        <v>940</v>
      </c>
      <c r="AW400" t="s">
        <v>60</v>
      </c>
      <c r="AX400" t="s">
        <v>68</v>
      </c>
      <c r="AY400" t="s">
        <v>69</v>
      </c>
      <c r="AZ400" t="b">
        <v>1</v>
      </c>
    </row>
    <row r="401" spans="1:52" x14ac:dyDescent="0.3">
      <c r="A401" t="s">
        <v>52</v>
      </c>
      <c r="B401" t="s">
        <v>53</v>
      </c>
      <c r="C401" t="s">
        <v>54</v>
      </c>
      <c r="D401" t="s">
        <v>55</v>
      </c>
      <c r="E401" t="s">
        <v>1617</v>
      </c>
      <c r="F401" t="s">
        <v>190</v>
      </c>
      <c r="G401" t="s">
        <v>941</v>
      </c>
      <c r="H401" t="s">
        <v>942</v>
      </c>
      <c r="I401" t="s">
        <v>942</v>
      </c>
      <c r="J401" t="s">
        <v>60</v>
      </c>
      <c r="K401" t="s">
        <v>193</v>
      </c>
      <c r="L401" t="s">
        <v>62</v>
      </c>
      <c r="M401" t="s">
        <v>193</v>
      </c>
      <c r="N401" t="s">
        <v>943</v>
      </c>
      <c r="O401" t="s">
        <v>257</v>
      </c>
      <c r="P401">
        <v>-20.142042</v>
      </c>
      <c r="Q401">
        <v>-44.917906000000002</v>
      </c>
      <c r="R401" s="2" t="str">
        <f>HYPERLINK("https://www.google.com/maps?q=-20.1420420,-44.9179060","Abrir no Google Maps")</f>
        <v>Abrir no Google Maps</v>
      </c>
      <c r="S401">
        <v>3</v>
      </c>
      <c r="T401">
        <v>373.14048213045743</v>
      </c>
      <c r="U401">
        <v>4</v>
      </c>
      <c r="V401">
        <v>0.45343251329787232</v>
      </c>
      <c r="W401">
        <v>1</v>
      </c>
      <c r="X401">
        <v>0.45343251329787232</v>
      </c>
      <c r="Y401">
        <v>508</v>
      </c>
      <c r="Z401">
        <v>271.52693841106122</v>
      </c>
      <c r="AA401">
        <v>198</v>
      </c>
      <c r="AB401">
        <v>332</v>
      </c>
      <c r="AC401">
        <v>536</v>
      </c>
      <c r="AD401">
        <v>33.19</v>
      </c>
      <c r="AE401">
        <v>542</v>
      </c>
      <c r="AF401">
        <v>42</v>
      </c>
      <c r="AG401">
        <v>173</v>
      </c>
      <c r="AH401">
        <v>129</v>
      </c>
      <c r="AI401">
        <v>7.75</v>
      </c>
      <c r="AJ401">
        <v>31.92</v>
      </c>
      <c r="AK401">
        <v>23.8</v>
      </c>
      <c r="AL401">
        <v>-20.14198914999994</v>
      </c>
      <c r="AM401">
        <v>-44.918192618397512</v>
      </c>
      <c r="AN401">
        <v>-20.14198914999994</v>
      </c>
      <c r="AO401">
        <v>-44.918192618397512</v>
      </c>
      <c r="AP401">
        <v>-20.142042</v>
      </c>
      <c r="AQ401">
        <v>-44.917906000000002</v>
      </c>
      <c r="AR401">
        <v>30.527314493281139</v>
      </c>
      <c r="AS401" t="s">
        <v>65</v>
      </c>
      <c r="AT401">
        <v>1</v>
      </c>
      <c r="AU401" t="s">
        <v>944</v>
      </c>
      <c r="AV401" t="s">
        <v>945</v>
      </c>
      <c r="AW401" t="s">
        <v>60</v>
      </c>
      <c r="AX401" t="s">
        <v>68</v>
      </c>
      <c r="AY401" t="s">
        <v>69</v>
      </c>
      <c r="AZ401" t="b">
        <v>1</v>
      </c>
    </row>
    <row r="402" spans="1:52" x14ac:dyDescent="0.3">
      <c r="A402" t="s">
        <v>52</v>
      </c>
      <c r="B402" t="s">
        <v>53</v>
      </c>
      <c r="C402" t="s">
        <v>54</v>
      </c>
      <c r="D402" t="s">
        <v>55</v>
      </c>
      <c r="E402" t="s">
        <v>1617</v>
      </c>
      <c r="F402" t="s">
        <v>190</v>
      </c>
      <c r="G402" t="s">
        <v>957</v>
      </c>
      <c r="H402" t="s">
        <v>958</v>
      </c>
      <c r="I402" t="s">
        <v>958</v>
      </c>
      <c r="J402" t="s">
        <v>60</v>
      </c>
      <c r="K402" t="s">
        <v>262</v>
      </c>
      <c r="L402" t="s">
        <v>62</v>
      </c>
      <c r="M402" t="s">
        <v>262</v>
      </c>
      <c r="N402" t="s">
        <v>959</v>
      </c>
      <c r="O402" t="s">
        <v>960</v>
      </c>
      <c r="P402">
        <v>-20.165469999999999</v>
      </c>
      <c r="Q402">
        <v>-44.854308000000003</v>
      </c>
      <c r="R402" s="2" t="str">
        <f>HYPERLINK("https://www.google.com/maps?q=-20.1654700,-44.8543080","Abrir no Google Maps")</f>
        <v>Abrir no Google Maps</v>
      </c>
      <c r="S402">
        <v>3</v>
      </c>
      <c r="T402">
        <v>555.06043712641599</v>
      </c>
      <c r="U402">
        <v>4</v>
      </c>
      <c r="V402">
        <v>0.46332242545076269</v>
      </c>
      <c r="W402">
        <v>1</v>
      </c>
      <c r="X402">
        <v>0.46332242545076269</v>
      </c>
      <c r="Y402">
        <v>491</v>
      </c>
      <c r="Z402">
        <v>423.16855805320131</v>
      </c>
      <c r="AA402">
        <v>198</v>
      </c>
      <c r="AB402">
        <v>332</v>
      </c>
      <c r="AC402">
        <v>536</v>
      </c>
      <c r="AD402">
        <v>33.19</v>
      </c>
      <c r="AE402">
        <v>542</v>
      </c>
      <c r="AF402">
        <v>42</v>
      </c>
      <c r="AG402">
        <v>173</v>
      </c>
      <c r="AH402">
        <v>129</v>
      </c>
      <c r="AI402">
        <v>7.75</v>
      </c>
      <c r="AJ402">
        <v>31.92</v>
      </c>
      <c r="AK402">
        <v>23.8</v>
      </c>
      <c r="AL402">
        <v>-20.165538449999961</v>
      </c>
      <c r="AM402">
        <v>-44.854274624633042</v>
      </c>
      <c r="AN402">
        <v>-20.165538449999961</v>
      </c>
      <c r="AO402">
        <v>-44.854274624633042</v>
      </c>
      <c r="AP402">
        <v>-20.165469999999999</v>
      </c>
      <c r="AQ402">
        <v>-44.854308000000003</v>
      </c>
      <c r="AR402">
        <v>8.3800661572970956</v>
      </c>
      <c r="AS402" t="s">
        <v>65</v>
      </c>
      <c r="AT402">
        <v>1</v>
      </c>
      <c r="AU402" t="s">
        <v>961</v>
      </c>
      <c r="AV402" t="s">
        <v>962</v>
      </c>
      <c r="AW402" t="s">
        <v>60</v>
      </c>
      <c r="AX402" t="s">
        <v>68</v>
      </c>
      <c r="AY402" t="s">
        <v>69</v>
      </c>
      <c r="AZ402" t="b">
        <v>1</v>
      </c>
    </row>
    <row r="403" spans="1:52" x14ac:dyDescent="0.3">
      <c r="A403" t="s">
        <v>52</v>
      </c>
      <c r="B403" t="s">
        <v>53</v>
      </c>
      <c r="C403" t="s">
        <v>54</v>
      </c>
      <c r="D403" t="s">
        <v>55</v>
      </c>
      <c r="E403" t="s">
        <v>1617</v>
      </c>
      <c r="F403" t="s">
        <v>190</v>
      </c>
      <c r="G403" t="s">
        <v>957</v>
      </c>
      <c r="H403" t="s">
        <v>1750</v>
      </c>
      <c r="I403" t="s">
        <v>1750</v>
      </c>
      <c r="J403" t="s">
        <v>60</v>
      </c>
      <c r="K403" t="s">
        <v>982</v>
      </c>
      <c r="L403" t="s">
        <v>62</v>
      </c>
      <c r="M403" t="s">
        <v>982</v>
      </c>
      <c r="N403" t="s">
        <v>959</v>
      </c>
      <c r="O403" t="s">
        <v>1751</v>
      </c>
      <c r="P403">
        <v>-20.164285</v>
      </c>
      <c r="Q403">
        <v>-44.857562000000001</v>
      </c>
      <c r="R403" s="2" t="str">
        <f>HYPERLINK("https://www.google.com/maps?q=-20.1642850,-44.8575620","Abrir no Google Maps")</f>
        <v>Abrir no Google Maps</v>
      </c>
      <c r="S403">
        <v>3</v>
      </c>
      <c r="T403">
        <v>275.89108588842112</v>
      </c>
      <c r="U403">
        <v>4</v>
      </c>
      <c r="V403">
        <v>0.4432185724128726</v>
      </c>
      <c r="W403">
        <v>1</v>
      </c>
      <c r="X403">
        <v>0.4432185724128726</v>
      </c>
      <c r="Y403">
        <v>491</v>
      </c>
      <c r="Z403">
        <v>150.50906778215881</v>
      </c>
      <c r="AA403">
        <v>198</v>
      </c>
      <c r="AB403">
        <v>332</v>
      </c>
      <c r="AC403">
        <v>536</v>
      </c>
      <c r="AD403">
        <v>33.19</v>
      </c>
      <c r="AE403">
        <v>542</v>
      </c>
      <c r="AF403">
        <v>42</v>
      </c>
      <c r="AG403">
        <v>173</v>
      </c>
      <c r="AH403">
        <v>129</v>
      </c>
      <c r="AI403">
        <v>7.75</v>
      </c>
      <c r="AJ403">
        <v>31.92</v>
      </c>
      <c r="AK403">
        <v>23.8</v>
      </c>
      <c r="AL403">
        <v>-20.164333749999969</v>
      </c>
      <c r="AM403">
        <v>-44.857568319333943</v>
      </c>
      <c r="AN403">
        <v>-20.164333749999969</v>
      </c>
      <c r="AO403">
        <v>-44.857568319333943</v>
      </c>
      <c r="AP403">
        <v>-20.164285</v>
      </c>
      <c r="AQ403">
        <v>-44.857562000000001</v>
      </c>
      <c r="AR403">
        <v>5.4668788625524281</v>
      </c>
      <c r="AS403" t="s">
        <v>65</v>
      </c>
      <c r="AT403">
        <v>1</v>
      </c>
      <c r="AU403" t="s">
        <v>1752</v>
      </c>
      <c r="AV403" t="s">
        <v>1753</v>
      </c>
      <c r="AW403" t="s">
        <v>60</v>
      </c>
      <c r="AX403" t="s">
        <v>68</v>
      </c>
      <c r="AY403" t="s">
        <v>69</v>
      </c>
      <c r="AZ403" t="b">
        <v>1</v>
      </c>
    </row>
    <row r="404" spans="1:52" x14ac:dyDescent="0.3">
      <c r="A404" t="s">
        <v>52</v>
      </c>
      <c r="B404" t="s">
        <v>53</v>
      </c>
      <c r="C404" t="s">
        <v>54</v>
      </c>
      <c r="D404" t="s">
        <v>55</v>
      </c>
      <c r="E404" t="s">
        <v>1617</v>
      </c>
      <c r="F404" t="s">
        <v>190</v>
      </c>
      <c r="G404" t="s">
        <v>963</v>
      </c>
      <c r="H404" t="s">
        <v>964</v>
      </c>
      <c r="I404" t="s">
        <v>964</v>
      </c>
      <c r="J404" t="s">
        <v>60</v>
      </c>
      <c r="K404" t="s">
        <v>702</v>
      </c>
      <c r="L404" t="s">
        <v>62</v>
      </c>
      <c r="M404" t="s">
        <v>702</v>
      </c>
      <c r="N404" t="s">
        <v>965</v>
      </c>
      <c r="O404" t="s">
        <v>960</v>
      </c>
      <c r="P404">
        <v>-20.164622000000001</v>
      </c>
      <c r="Q404">
        <v>-44.860289999999999</v>
      </c>
      <c r="R404" s="2" t="str">
        <f>HYPERLINK("https://www.google.com/maps?q=-20.1646220,-44.8602900","Abrir no Google Maps")</f>
        <v>Abrir no Google Maps</v>
      </c>
      <c r="S404">
        <v>3</v>
      </c>
      <c r="T404">
        <v>393.43725605569188</v>
      </c>
      <c r="U404">
        <v>4</v>
      </c>
      <c r="V404">
        <v>0.44336716417910449</v>
      </c>
      <c r="W404">
        <v>1</v>
      </c>
      <c r="X404">
        <v>0.44336716417910449</v>
      </c>
      <c r="Y404">
        <v>491</v>
      </c>
      <c r="Z404">
        <v>358.96336458076678</v>
      </c>
      <c r="AA404">
        <v>198</v>
      </c>
      <c r="AB404">
        <v>332</v>
      </c>
      <c r="AC404">
        <v>536</v>
      </c>
      <c r="AD404">
        <v>33.19</v>
      </c>
      <c r="AE404">
        <v>542</v>
      </c>
      <c r="AF404">
        <v>42</v>
      </c>
      <c r="AG404">
        <v>173</v>
      </c>
      <c r="AH404">
        <v>129</v>
      </c>
      <c r="AI404">
        <v>7.75</v>
      </c>
      <c r="AJ404">
        <v>31.92</v>
      </c>
      <c r="AK404">
        <v>23.8</v>
      </c>
      <c r="AL404">
        <v>-20.164560849999951</v>
      </c>
      <c r="AM404">
        <v>-44.860330680844072</v>
      </c>
      <c r="AN404">
        <v>-20.164560849999951</v>
      </c>
      <c r="AO404">
        <v>-44.860330680844072</v>
      </c>
      <c r="AP404">
        <v>-20.164622000000001</v>
      </c>
      <c r="AQ404">
        <v>-44.860289999999999</v>
      </c>
      <c r="AR404">
        <v>8.0255448908437454</v>
      </c>
      <c r="AS404" t="s">
        <v>65</v>
      </c>
      <c r="AT404">
        <v>1</v>
      </c>
      <c r="AU404" t="s">
        <v>966</v>
      </c>
      <c r="AV404" t="s">
        <v>967</v>
      </c>
      <c r="AW404" t="s">
        <v>60</v>
      </c>
      <c r="AX404" t="s">
        <v>68</v>
      </c>
      <c r="AY404" t="s">
        <v>69</v>
      </c>
      <c r="AZ404" t="b">
        <v>1</v>
      </c>
    </row>
    <row r="405" spans="1:52" x14ac:dyDescent="0.3">
      <c r="A405" t="s">
        <v>52</v>
      </c>
      <c r="B405" t="s">
        <v>53</v>
      </c>
      <c r="C405" t="s">
        <v>54</v>
      </c>
      <c r="D405" t="s">
        <v>55</v>
      </c>
      <c r="E405" t="s">
        <v>1617</v>
      </c>
      <c r="F405" t="s">
        <v>190</v>
      </c>
      <c r="G405" t="s">
        <v>968</v>
      </c>
      <c r="H405" t="s">
        <v>969</v>
      </c>
      <c r="I405" t="s">
        <v>969</v>
      </c>
      <c r="J405" t="s">
        <v>60</v>
      </c>
      <c r="K405" t="s">
        <v>262</v>
      </c>
      <c r="L405" t="s">
        <v>62</v>
      </c>
      <c r="M405" t="s">
        <v>262</v>
      </c>
      <c r="N405" t="s">
        <v>970</v>
      </c>
      <c r="O405" t="s">
        <v>971</v>
      </c>
      <c r="P405">
        <v>-20.163060999999999</v>
      </c>
      <c r="Q405">
        <v>-44.854047000000001</v>
      </c>
      <c r="R405" s="2" t="str">
        <f>HYPERLINK("https://www.google.com/maps?q=-20.1630610,-44.8540470","Abrir no Google Maps")</f>
        <v>Abrir no Google Maps</v>
      </c>
      <c r="S405">
        <v>3</v>
      </c>
      <c r="T405">
        <v>418.63868463200271</v>
      </c>
      <c r="U405">
        <v>4</v>
      </c>
      <c r="V405">
        <v>0.45943841515934541</v>
      </c>
      <c r="W405">
        <v>1</v>
      </c>
      <c r="X405">
        <v>0.45943841515934541</v>
      </c>
      <c r="Y405">
        <v>491</v>
      </c>
      <c r="Z405">
        <v>339.19068595447408</v>
      </c>
      <c r="AA405">
        <v>198</v>
      </c>
      <c r="AB405">
        <v>332</v>
      </c>
      <c r="AC405">
        <v>536</v>
      </c>
      <c r="AD405">
        <v>33.19</v>
      </c>
      <c r="AE405">
        <v>542</v>
      </c>
      <c r="AF405">
        <v>42</v>
      </c>
      <c r="AG405">
        <v>173</v>
      </c>
      <c r="AH405">
        <v>129</v>
      </c>
      <c r="AI405">
        <v>7.75</v>
      </c>
      <c r="AJ405">
        <v>31.92</v>
      </c>
      <c r="AK405">
        <v>23.8</v>
      </c>
      <c r="AL405">
        <v>-20.163118949999959</v>
      </c>
      <c r="AM405">
        <v>-44.854106723889032</v>
      </c>
      <c r="AN405">
        <v>-20.163118949999959</v>
      </c>
      <c r="AO405">
        <v>-44.854106723889032</v>
      </c>
      <c r="AP405">
        <v>-20.163060999999999</v>
      </c>
      <c r="AQ405">
        <v>-44.854047000000001</v>
      </c>
      <c r="AR405">
        <v>8.9758322935491428</v>
      </c>
      <c r="AS405" t="s">
        <v>65</v>
      </c>
      <c r="AT405">
        <v>1</v>
      </c>
      <c r="AU405" t="s">
        <v>972</v>
      </c>
      <c r="AV405" t="s">
        <v>973</v>
      </c>
      <c r="AW405" t="s">
        <v>60</v>
      </c>
      <c r="AX405" t="s">
        <v>68</v>
      </c>
      <c r="AY405" t="s">
        <v>69</v>
      </c>
      <c r="AZ405" t="b">
        <v>1</v>
      </c>
    </row>
    <row r="406" spans="1:52" x14ac:dyDescent="0.3">
      <c r="A406" t="s">
        <v>52</v>
      </c>
      <c r="B406" t="s">
        <v>53</v>
      </c>
      <c r="C406" t="s">
        <v>54</v>
      </c>
      <c r="D406" t="s">
        <v>55</v>
      </c>
      <c r="E406" t="s">
        <v>1617</v>
      </c>
      <c r="F406" t="s">
        <v>190</v>
      </c>
      <c r="G406" t="s">
        <v>974</v>
      </c>
      <c r="H406" t="s">
        <v>975</v>
      </c>
      <c r="I406" t="s">
        <v>975</v>
      </c>
      <c r="J406" t="s">
        <v>60</v>
      </c>
      <c r="K406" t="s">
        <v>702</v>
      </c>
      <c r="L406" t="s">
        <v>62</v>
      </c>
      <c r="M406" t="s">
        <v>702</v>
      </c>
      <c r="N406" t="s">
        <v>976</v>
      </c>
      <c r="O406" t="s">
        <v>977</v>
      </c>
      <c r="P406">
        <v>-20.167021999999999</v>
      </c>
      <c r="Q406">
        <v>-44.863095000000001</v>
      </c>
      <c r="R406" s="2" t="str">
        <f>HYPERLINK("https://www.google.com/maps?q=-20.1670220,-44.8630950","Abrir no Google Maps")</f>
        <v>Abrir no Google Maps</v>
      </c>
      <c r="S406">
        <v>3</v>
      </c>
      <c r="T406">
        <v>629.02897442495839</v>
      </c>
      <c r="U406">
        <v>4</v>
      </c>
      <c r="V406">
        <v>0.45000396680576937</v>
      </c>
      <c r="W406">
        <v>1</v>
      </c>
      <c r="X406">
        <v>0.45000396680576937</v>
      </c>
      <c r="Y406">
        <v>491</v>
      </c>
      <c r="Z406">
        <v>693.48000708961661</v>
      </c>
      <c r="AA406">
        <v>198</v>
      </c>
      <c r="AB406">
        <v>332</v>
      </c>
      <c r="AC406">
        <v>536</v>
      </c>
      <c r="AD406">
        <v>33.19</v>
      </c>
      <c r="AE406">
        <v>542</v>
      </c>
      <c r="AF406">
        <v>42</v>
      </c>
      <c r="AG406">
        <v>173</v>
      </c>
      <c r="AH406">
        <v>129</v>
      </c>
      <c r="AI406">
        <v>7.75</v>
      </c>
      <c r="AJ406">
        <v>31.92</v>
      </c>
      <c r="AK406">
        <v>23.8</v>
      </c>
      <c r="AL406">
        <v>-20.167032199999941</v>
      </c>
      <c r="AM406">
        <v>-44.863123980291967</v>
      </c>
      <c r="AN406">
        <v>-20.167032199999941</v>
      </c>
      <c r="AO406">
        <v>-44.863123980291967</v>
      </c>
      <c r="AP406">
        <v>-20.167021999999999</v>
      </c>
      <c r="AQ406">
        <v>-44.863095000000001</v>
      </c>
      <c r="AR406">
        <v>3.2341734571542871</v>
      </c>
      <c r="AS406" t="s">
        <v>65</v>
      </c>
      <c r="AT406">
        <v>1</v>
      </c>
      <c r="AU406" t="s">
        <v>978</v>
      </c>
      <c r="AV406" t="s">
        <v>979</v>
      </c>
      <c r="AW406" t="s">
        <v>60</v>
      </c>
      <c r="AX406" t="s">
        <v>68</v>
      </c>
      <c r="AY406" t="s">
        <v>69</v>
      </c>
      <c r="AZ406" t="b">
        <v>1</v>
      </c>
    </row>
    <row r="407" spans="1:52" x14ac:dyDescent="0.3">
      <c r="A407" t="s">
        <v>52</v>
      </c>
      <c r="B407" t="s">
        <v>53</v>
      </c>
      <c r="C407" t="s">
        <v>54</v>
      </c>
      <c r="D407" t="s">
        <v>55</v>
      </c>
      <c r="E407" t="s">
        <v>1617</v>
      </c>
      <c r="F407" t="s">
        <v>190</v>
      </c>
      <c r="G407" t="s">
        <v>968</v>
      </c>
      <c r="H407" t="s">
        <v>1754</v>
      </c>
      <c r="I407" t="s">
        <v>1754</v>
      </c>
      <c r="J407" t="s">
        <v>60</v>
      </c>
      <c r="K407" t="s">
        <v>262</v>
      </c>
      <c r="L407" t="s">
        <v>62</v>
      </c>
      <c r="M407" t="s">
        <v>262</v>
      </c>
      <c r="N407" t="s">
        <v>970</v>
      </c>
      <c r="O407" t="s">
        <v>1331</v>
      </c>
      <c r="P407">
        <v>-20.161989999999999</v>
      </c>
      <c r="Q407">
        <v>-44.857933000000003</v>
      </c>
      <c r="R407" s="2" t="str">
        <f>HYPERLINK("https://www.google.com/maps?q=-20.1619900,-44.8579330","Abrir no Google Maps")</f>
        <v>Abrir no Google Maps</v>
      </c>
      <c r="S407">
        <v>3</v>
      </c>
      <c r="T407">
        <v>0</v>
      </c>
      <c r="U407">
        <v>4</v>
      </c>
      <c r="V407">
        <v>0.48578623408410648</v>
      </c>
      <c r="W407">
        <v>1</v>
      </c>
      <c r="X407">
        <v>0.48578623408410648</v>
      </c>
      <c r="Y407">
        <v>491</v>
      </c>
      <c r="Z407">
        <v>131.1697533741382</v>
      </c>
      <c r="AA407">
        <v>198</v>
      </c>
      <c r="AB407">
        <v>332</v>
      </c>
      <c r="AC407">
        <v>536</v>
      </c>
      <c r="AD407">
        <v>33.19</v>
      </c>
      <c r="AE407">
        <v>542</v>
      </c>
      <c r="AF407">
        <v>42</v>
      </c>
      <c r="AG407">
        <v>173</v>
      </c>
      <c r="AH407">
        <v>129</v>
      </c>
      <c r="AI407">
        <v>7.75</v>
      </c>
      <c r="AJ407">
        <v>31.92</v>
      </c>
      <c r="AK407">
        <v>23.8</v>
      </c>
      <c r="AL407">
        <v>-20.161858549999948</v>
      </c>
      <c r="AM407">
        <v>-44.857884031071968</v>
      </c>
      <c r="AN407">
        <v>-20.161858549999948</v>
      </c>
      <c r="AO407">
        <v>-44.857884031071968</v>
      </c>
      <c r="AP407">
        <v>-20.161989999999999</v>
      </c>
      <c r="AQ407">
        <v>-44.857933000000003</v>
      </c>
      <c r="AR407">
        <v>15.501957281614381</v>
      </c>
      <c r="AS407" t="s">
        <v>65</v>
      </c>
      <c r="AT407">
        <v>1</v>
      </c>
      <c r="AU407" t="s">
        <v>1755</v>
      </c>
      <c r="AV407" t="s">
        <v>1756</v>
      </c>
      <c r="AW407" t="s">
        <v>60</v>
      </c>
      <c r="AX407" t="s">
        <v>68</v>
      </c>
      <c r="AY407" t="s">
        <v>69</v>
      </c>
      <c r="AZ407" t="b">
        <v>1</v>
      </c>
    </row>
    <row r="408" spans="1:52" x14ac:dyDescent="0.3">
      <c r="A408" t="s">
        <v>52</v>
      </c>
      <c r="B408" t="s">
        <v>53</v>
      </c>
      <c r="C408" t="s">
        <v>54</v>
      </c>
      <c r="D408" t="s">
        <v>55</v>
      </c>
      <c r="E408" t="s">
        <v>1617</v>
      </c>
      <c r="F408" t="s">
        <v>190</v>
      </c>
      <c r="G408" t="s">
        <v>980</v>
      </c>
      <c r="H408" t="s">
        <v>981</v>
      </c>
      <c r="I408" t="s">
        <v>981</v>
      </c>
      <c r="J408" t="s">
        <v>60</v>
      </c>
      <c r="K408" t="s">
        <v>982</v>
      </c>
      <c r="L408" t="s">
        <v>62</v>
      </c>
      <c r="M408" t="s">
        <v>982</v>
      </c>
      <c r="N408" t="s">
        <v>983</v>
      </c>
      <c r="O408" t="s">
        <v>264</v>
      </c>
      <c r="P408">
        <v>-20.166967</v>
      </c>
      <c r="Q408">
        <v>-44.859355000000001</v>
      </c>
      <c r="R408" s="2" t="str">
        <f>HYPERLINK("https://www.google.com/maps?q=-20.1669670,-44.8593550","Abrir no Google Maps")</f>
        <v>Abrir no Google Maps</v>
      </c>
      <c r="S408">
        <v>3</v>
      </c>
      <c r="T408">
        <v>577.54934865824521</v>
      </c>
      <c r="U408">
        <v>4</v>
      </c>
      <c r="V408">
        <v>0.45906019393929848</v>
      </c>
      <c r="W408">
        <v>1</v>
      </c>
      <c r="X408">
        <v>0.45906019393929848</v>
      </c>
      <c r="Y408">
        <v>491</v>
      </c>
      <c r="Z408">
        <v>433.59782149216659</v>
      </c>
      <c r="AA408">
        <v>198</v>
      </c>
      <c r="AB408">
        <v>332</v>
      </c>
      <c r="AC408">
        <v>536</v>
      </c>
      <c r="AD408">
        <v>33.19</v>
      </c>
      <c r="AE408">
        <v>542</v>
      </c>
      <c r="AF408">
        <v>42</v>
      </c>
      <c r="AG408">
        <v>173</v>
      </c>
      <c r="AH408">
        <v>129</v>
      </c>
      <c r="AI408">
        <v>7.75</v>
      </c>
      <c r="AJ408">
        <v>31.92</v>
      </c>
      <c r="AK408">
        <v>23.8</v>
      </c>
      <c r="AL408">
        <v>-20.16694954999997</v>
      </c>
      <c r="AM408">
        <v>-44.859100695938046</v>
      </c>
      <c r="AN408">
        <v>-20.16694954999997</v>
      </c>
      <c r="AO408">
        <v>-44.859100695938046</v>
      </c>
      <c r="AP408">
        <v>-20.166967</v>
      </c>
      <c r="AQ408">
        <v>-44.859355000000001</v>
      </c>
      <c r="AR408">
        <v>26.644458793923111</v>
      </c>
      <c r="AS408" t="s">
        <v>65</v>
      </c>
      <c r="AT408">
        <v>1</v>
      </c>
      <c r="AU408" t="s">
        <v>984</v>
      </c>
      <c r="AV408" t="s">
        <v>985</v>
      </c>
      <c r="AW408" t="s">
        <v>60</v>
      </c>
      <c r="AX408" t="s">
        <v>68</v>
      </c>
      <c r="AY408" t="s">
        <v>69</v>
      </c>
      <c r="AZ408" t="b">
        <v>1</v>
      </c>
    </row>
    <row r="409" spans="1:52" x14ac:dyDescent="0.3">
      <c r="A409" t="s">
        <v>52</v>
      </c>
      <c r="B409" t="s">
        <v>53</v>
      </c>
      <c r="C409" t="s">
        <v>54</v>
      </c>
      <c r="D409" t="s">
        <v>55</v>
      </c>
      <c r="E409" t="s">
        <v>1617</v>
      </c>
      <c r="F409" t="s">
        <v>190</v>
      </c>
      <c r="G409" t="s">
        <v>986</v>
      </c>
      <c r="H409" t="s">
        <v>987</v>
      </c>
      <c r="I409" t="s">
        <v>987</v>
      </c>
      <c r="J409" t="s">
        <v>60</v>
      </c>
      <c r="K409" t="s">
        <v>702</v>
      </c>
      <c r="L409" t="s">
        <v>62</v>
      </c>
      <c r="M409" t="s">
        <v>702</v>
      </c>
      <c r="N409" t="s">
        <v>988</v>
      </c>
      <c r="O409" t="s">
        <v>989</v>
      </c>
      <c r="P409">
        <v>-20.1691</v>
      </c>
      <c r="Q409">
        <v>-44.860813999999998</v>
      </c>
      <c r="R409" s="2" t="str">
        <f>HYPERLINK("https://www.google.com/maps?q=-20.1691000,-44.8608140","Abrir no Google Maps")</f>
        <v>Abrir no Google Maps</v>
      </c>
      <c r="S409">
        <v>3</v>
      </c>
      <c r="T409">
        <v>596.11124105675003</v>
      </c>
      <c r="U409">
        <v>4</v>
      </c>
      <c r="V409">
        <v>0.48855601554602518</v>
      </c>
      <c r="W409">
        <v>1</v>
      </c>
      <c r="X409">
        <v>0.48855601554602518</v>
      </c>
      <c r="Y409">
        <v>491</v>
      </c>
      <c r="Z409">
        <v>741.65354053819078</v>
      </c>
      <c r="AA409">
        <v>198</v>
      </c>
      <c r="AB409">
        <v>332</v>
      </c>
      <c r="AC409">
        <v>536</v>
      </c>
      <c r="AD409">
        <v>33.19</v>
      </c>
      <c r="AE409">
        <v>542</v>
      </c>
      <c r="AF409">
        <v>42</v>
      </c>
      <c r="AG409">
        <v>173</v>
      </c>
      <c r="AH409">
        <v>129</v>
      </c>
      <c r="AI409">
        <v>7.75</v>
      </c>
      <c r="AJ409">
        <v>31.92</v>
      </c>
      <c r="AK409">
        <v>23.8</v>
      </c>
      <c r="AL409">
        <v>-20.168995449999951</v>
      </c>
      <c r="AM409">
        <v>-44.86088900357106</v>
      </c>
      <c r="AN409">
        <v>-20.168995449999951</v>
      </c>
      <c r="AO409">
        <v>-44.86088900357106</v>
      </c>
      <c r="AP409">
        <v>-20.1691</v>
      </c>
      <c r="AQ409">
        <v>-44.860813999999998</v>
      </c>
      <c r="AR409">
        <v>14.03138702725616</v>
      </c>
      <c r="AS409" t="s">
        <v>65</v>
      </c>
      <c r="AT409">
        <v>1</v>
      </c>
      <c r="AU409" t="s">
        <v>990</v>
      </c>
      <c r="AV409" t="s">
        <v>991</v>
      </c>
      <c r="AW409" t="s">
        <v>60</v>
      </c>
      <c r="AX409" t="s">
        <v>68</v>
      </c>
      <c r="AY409" t="s">
        <v>69</v>
      </c>
      <c r="AZ409" t="b">
        <v>1</v>
      </c>
    </row>
    <row r="410" spans="1:52" x14ac:dyDescent="0.3">
      <c r="A410" t="s">
        <v>52</v>
      </c>
      <c r="B410" t="s">
        <v>53</v>
      </c>
      <c r="C410" t="s">
        <v>54</v>
      </c>
      <c r="D410" t="s">
        <v>55</v>
      </c>
      <c r="E410" t="s">
        <v>1617</v>
      </c>
      <c r="F410" t="s">
        <v>190</v>
      </c>
      <c r="G410" t="s">
        <v>1014</v>
      </c>
      <c r="H410" t="s">
        <v>1015</v>
      </c>
      <c r="I410" t="s">
        <v>1015</v>
      </c>
      <c r="J410" t="s">
        <v>60</v>
      </c>
      <c r="K410" t="s">
        <v>1016</v>
      </c>
      <c r="L410" t="s">
        <v>62</v>
      </c>
      <c r="M410" t="s">
        <v>1016</v>
      </c>
      <c r="N410" t="s">
        <v>1017</v>
      </c>
      <c r="O410" t="s">
        <v>1018</v>
      </c>
      <c r="P410">
        <v>-20.174461000000001</v>
      </c>
      <c r="Q410">
        <v>-44.868710999999998</v>
      </c>
      <c r="R410" s="2" t="str">
        <f>HYPERLINK("https://www.google.com/maps?q=-20.1744610,-44.8687110","Abrir no Google Maps")</f>
        <v>Abrir no Google Maps</v>
      </c>
      <c r="S410">
        <v>3</v>
      </c>
      <c r="T410">
        <v>435.39504742850158</v>
      </c>
      <c r="U410">
        <v>4</v>
      </c>
      <c r="V410">
        <v>0.47960436392554479</v>
      </c>
      <c r="W410">
        <v>1</v>
      </c>
      <c r="X410">
        <v>0.47960436392554479</v>
      </c>
      <c r="Y410">
        <v>422</v>
      </c>
      <c r="Z410">
        <v>264.99958639233438</v>
      </c>
      <c r="AA410">
        <v>198</v>
      </c>
      <c r="AB410">
        <v>332</v>
      </c>
      <c r="AC410">
        <v>536</v>
      </c>
      <c r="AD410">
        <v>33.19</v>
      </c>
      <c r="AE410">
        <v>542</v>
      </c>
      <c r="AF410">
        <v>42</v>
      </c>
      <c r="AG410">
        <v>173</v>
      </c>
      <c r="AH410">
        <v>129</v>
      </c>
      <c r="AI410">
        <v>7.75</v>
      </c>
      <c r="AJ410">
        <v>31.92</v>
      </c>
      <c r="AK410">
        <v>23.8</v>
      </c>
      <c r="AL410">
        <v>-20.174459749999951</v>
      </c>
      <c r="AM410">
        <v>-44.868877789186897</v>
      </c>
      <c r="AN410">
        <v>-20.174459749999951</v>
      </c>
      <c r="AO410">
        <v>-44.868877789186897</v>
      </c>
      <c r="AP410">
        <v>-20.174461000000001</v>
      </c>
      <c r="AQ410">
        <v>-44.868710999999998</v>
      </c>
      <c r="AR410">
        <v>17.42838555603738</v>
      </c>
      <c r="AS410" t="s">
        <v>65</v>
      </c>
      <c r="AT410">
        <v>1</v>
      </c>
      <c r="AU410" t="s">
        <v>1019</v>
      </c>
      <c r="AV410" t="s">
        <v>1020</v>
      </c>
      <c r="AW410" t="s">
        <v>60</v>
      </c>
      <c r="AX410" t="s">
        <v>68</v>
      </c>
      <c r="AY410" t="s">
        <v>69</v>
      </c>
      <c r="AZ410" t="b">
        <v>1</v>
      </c>
    </row>
    <row r="411" spans="1:52" x14ac:dyDescent="0.3">
      <c r="A411" t="s">
        <v>52</v>
      </c>
      <c r="B411" t="s">
        <v>53</v>
      </c>
      <c r="C411" t="s">
        <v>54</v>
      </c>
      <c r="D411" t="s">
        <v>55</v>
      </c>
      <c r="E411" t="s">
        <v>1617</v>
      </c>
      <c r="F411" t="s">
        <v>190</v>
      </c>
      <c r="G411" t="s">
        <v>1021</v>
      </c>
      <c r="H411" t="s">
        <v>1022</v>
      </c>
      <c r="I411" t="s">
        <v>1022</v>
      </c>
      <c r="J411" t="s">
        <v>60</v>
      </c>
      <c r="K411" t="s">
        <v>1023</v>
      </c>
      <c r="L411" t="s">
        <v>62</v>
      </c>
      <c r="M411" t="s">
        <v>1023</v>
      </c>
      <c r="N411" t="s">
        <v>1024</v>
      </c>
      <c r="O411" t="s">
        <v>1025</v>
      </c>
      <c r="P411">
        <v>-20.169588999999998</v>
      </c>
      <c r="Q411">
        <v>-44.866636</v>
      </c>
      <c r="R411" s="2" t="str">
        <f>HYPERLINK("https://www.google.com/maps?q=-20.1695890,-44.8666360","Abrir no Google Maps")</f>
        <v>Abrir no Google Maps</v>
      </c>
      <c r="S411">
        <v>3</v>
      </c>
      <c r="T411">
        <v>326.02709617860302</v>
      </c>
      <c r="U411">
        <v>4</v>
      </c>
      <c r="V411">
        <v>0.4581182599565124</v>
      </c>
      <c r="W411">
        <v>1</v>
      </c>
      <c r="X411">
        <v>0.4581182599565124</v>
      </c>
      <c r="Y411">
        <v>422</v>
      </c>
      <c r="Z411">
        <v>333.05362278862168</v>
      </c>
      <c r="AA411">
        <v>198</v>
      </c>
      <c r="AB411">
        <v>332</v>
      </c>
      <c r="AC411">
        <v>536</v>
      </c>
      <c r="AD411">
        <v>33.19</v>
      </c>
      <c r="AE411">
        <v>542</v>
      </c>
      <c r="AF411">
        <v>42</v>
      </c>
      <c r="AG411">
        <v>173</v>
      </c>
      <c r="AH411">
        <v>129</v>
      </c>
      <c r="AI411">
        <v>7.75</v>
      </c>
      <c r="AJ411">
        <v>31.92</v>
      </c>
      <c r="AK411">
        <v>23.8</v>
      </c>
      <c r="AL411">
        <v>-20.16956104999997</v>
      </c>
      <c r="AM411">
        <v>-44.866560528183591</v>
      </c>
      <c r="AN411">
        <v>-20.16956104999997</v>
      </c>
      <c r="AO411">
        <v>-44.866560528183591</v>
      </c>
      <c r="AP411">
        <v>-20.169588999999998</v>
      </c>
      <c r="AQ411">
        <v>-44.866636</v>
      </c>
      <c r="AR411">
        <v>8.4778927137831293</v>
      </c>
      <c r="AS411" t="s">
        <v>65</v>
      </c>
      <c r="AT411">
        <v>1</v>
      </c>
      <c r="AU411" t="s">
        <v>1026</v>
      </c>
      <c r="AV411" t="s">
        <v>1027</v>
      </c>
      <c r="AW411" t="s">
        <v>60</v>
      </c>
      <c r="AX411" t="s">
        <v>68</v>
      </c>
      <c r="AY411" t="s">
        <v>69</v>
      </c>
      <c r="AZ411" t="b">
        <v>1</v>
      </c>
    </row>
    <row r="412" spans="1:52" x14ac:dyDescent="0.3">
      <c r="A412" t="s">
        <v>52</v>
      </c>
      <c r="B412" t="s">
        <v>53</v>
      </c>
      <c r="C412" t="s">
        <v>54</v>
      </c>
      <c r="D412" t="s">
        <v>55</v>
      </c>
      <c r="E412" t="s">
        <v>1617</v>
      </c>
      <c r="F412" t="s">
        <v>190</v>
      </c>
      <c r="G412" t="s">
        <v>1028</v>
      </c>
      <c r="H412" t="s">
        <v>1029</v>
      </c>
      <c r="I412" t="s">
        <v>1029</v>
      </c>
      <c r="J412" t="s">
        <v>60</v>
      </c>
      <c r="K412" t="s">
        <v>1016</v>
      </c>
      <c r="L412" t="s">
        <v>62</v>
      </c>
      <c r="M412" t="s">
        <v>1016</v>
      </c>
      <c r="N412" t="s">
        <v>1030</v>
      </c>
      <c r="O412" t="s">
        <v>855</v>
      </c>
      <c r="P412">
        <v>-20.169778000000001</v>
      </c>
      <c r="Q412">
        <v>-44.871940000000002</v>
      </c>
      <c r="R412" s="2" t="str">
        <f>HYPERLINK("https://www.google.com/maps?q=-20.1697780,-44.8719400","Abrir no Google Maps")</f>
        <v>Abrir no Google Maps</v>
      </c>
      <c r="S412">
        <v>3</v>
      </c>
      <c r="T412">
        <v>730.45462447863167</v>
      </c>
      <c r="U412">
        <v>4</v>
      </c>
      <c r="V412">
        <v>0.44740422826259729</v>
      </c>
      <c r="W412">
        <v>1</v>
      </c>
      <c r="X412">
        <v>0.44740422826259729</v>
      </c>
      <c r="Y412">
        <v>422</v>
      </c>
      <c r="Z412">
        <v>600.74952959765801</v>
      </c>
      <c r="AA412">
        <v>198</v>
      </c>
      <c r="AB412">
        <v>332</v>
      </c>
      <c r="AC412">
        <v>536</v>
      </c>
      <c r="AD412">
        <v>33.19</v>
      </c>
      <c r="AE412">
        <v>542</v>
      </c>
      <c r="AF412">
        <v>42</v>
      </c>
      <c r="AG412">
        <v>173</v>
      </c>
      <c r="AH412">
        <v>129</v>
      </c>
      <c r="AI412">
        <v>7.75</v>
      </c>
      <c r="AJ412">
        <v>31.92</v>
      </c>
      <c r="AK412">
        <v>23.8</v>
      </c>
      <c r="AL412">
        <v>-20.169770599999961</v>
      </c>
      <c r="AM412">
        <v>-44.871857291666629</v>
      </c>
      <c r="AN412">
        <v>-20.169770599999961</v>
      </c>
      <c r="AO412">
        <v>-44.871857291666629</v>
      </c>
      <c r="AP412">
        <v>-20.169778000000001</v>
      </c>
      <c r="AQ412">
        <v>-44.871940000000002</v>
      </c>
      <c r="AR412">
        <v>8.6816379320830315</v>
      </c>
      <c r="AS412" t="s">
        <v>65</v>
      </c>
      <c r="AT412">
        <v>1</v>
      </c>
      <c r="AU412" t="s">
        <v>1031</v>
      </c>
      <c r="AV412" t="s">
        <v>1032</v>
      </c>
      <c r="AW412" t="s">
        <v>60</v>
      </c>
      <c r="AX412" t="s">
        <v>68</v>
      </c>
      <c r="AY412" t="s">
        <v>69</v>
      </c>
      <c r="AZ412" t="b">
        <v>1</v>
      </c>
    </row>
    <row r="413" spans="1:52" x14ac:dyDescent="0.3">
      <c r="A413" t="s">
        <v>52</v>
      </c>
      <c r="B413" t="s">
        <v>53</v>
      </c>
      <c r="C413" t="s">
        <v>54</v>
      </c>
      <c r="D413" t="s">
        <v>55</v>
      </c>
      <c r="E413" t="s">
        <v>1617</v>
      </c>
      <c r="F413" t="s">
        <v>190</v>
      </c>
      <c r="G413" t="s">
        <v>1033</v>
      </c>
      <c r="H413" t="s">
        <v>1034</v>
      </c>
      <c r="I413" t="s">
        <v>1034</v>
      </c>
      <c r="J413" t="s">
        <v>60</v>
      </c>
      <c r="K413" t="s">
        <v>1016</v>
      </c>
      <c r="L413" t="s">
        <v>62</v>
      </c>
      <c r="M413" t="s">
        <v>1016</v>
      </c>
      <c r="N413" t="s">
        <v>1035</v>
      </c>
      <c r="O413" t="s">
        <v>1036</v>
      </c>
      <c r="P413">
        <v>-20.176404999999999</v>
      </c>
      <c r="Q413">
        <v>-44.871102</v>
      </c>
      <c r="R413" s="2" t="str">
        <f>HYPERLINK("https://www.google.com/maps?q=-20.1764050,-44.8711020","Abrir no Google Maps")</f>
        <v>Abrir no Google Maps</v>
      </c>
      <c r="S413">
        <v>3</v>
      </c>
      <c r="T413">
        <v>746.17794449655105</v>
      </c>
      <c r="U413">
        <v>4</v>
      </c>
      <c r="V413">
        <v>0.47336145241151661</v>
      </c>
      <c r="W413">
        <v>1</v>
      </c>
      <c r="X413">
        <v>0.47336145241151661</v>
      </c>
      <c r="Y413">
        <v>422</v>
      </c>
      <c r="Z413">
        <v>532.61564453099913</v>
      </c>
      <c r="AA413">
        <v>198</v>
      </c>
      <c r="AB413">
        <v>332</v>
      </c>
      <c r="AC413">
        <v>536</v>
      </c>
      <c r="AD413">
        <v>33.19</v>
      </c>
      <c r="AE413">
        <v>542</v>
      </c>
      <c r="AF413">
        <v>42</v>
      </c>
      <c r="AG413">
        <v>173</v>
      </c>
      <c r="AH413">
        <v>129</v>
      </c>
      <c r="AI413">
        <v>7.75</v>
      </c>
      <c r="AJ413">
        <v>31.92</v>
      </c>
      <c r="AK413">
        <v>23.8</v>
      </c>
      <c r="AL413">
        <v>-20.176464949999971</v>
      </c>
      <c r="AM413">
        <v>-44.871010194676387</v>
      </c>
      <c r="AN413">
        <v>-20.176464949999971</v>
      </c>
      <c r="AO413">
        <v>-44.871010194676387</v>
      </c>
      <c r="AP413">
        <v>-20.176404999999999</v>
      </c>
      <c r="AQ413">
        <v>-44.871102</v>
      </c>
      <c r="AR413">
        <v>11.68571547850415</v>
      </c>
      <c r="AS413" t="s">
        <v>65</v>
      </c>
      <c r="AT413">
        <v>1</v>
      </c>
      <c r="AU413" t="s">
        <v>1037</v>
      </c>
      <c r="AV413" t="s">
        <v>1038</v>
      </c>
      <c r="AW413" t="s">
        <v>60</v>
      </c>
      <c r="AX413" t="s">
        <v>68</v>
      </c>
      <c r="AY413" t="s">
        <v>69</v>
      </c>
      <c r="AZ413" t="b">
        <v>1</v>
      </c>
    </row>
    <row r="414" spans="1:52" x14ac:dyDescent="0.3">
      <c r="A414" t="s">
        <v>52</v>
      </c>
      <c r="B414" t="s">
        <v>53</v>
      </c>
      <c r="C414" t="s">
        <v>54</v>
      </c>
      <c r="D414" t="s">
        <v>55</v>
      </c>
      <c r="E414" t="s">
        <v>1617</v>
      </c>
      <c r="F414" t="s">
        <v>190</v>
      </c>
      <c r="G414" t="s">
        <v>693</v>
      </c>
      <c r="H414" t="s">
        <v>694</v>
      </c>
      <c r="I414" t="s">
        <v>694</v>
      </c>
      <c r="J414" t="s">
        <v>60</v>
      </c>
      <c r="K414" t="s">
        <v>695</v>
      </c>
      <c r="L414" t="s">
        <v>62</v>
      </c>
      <c r="M414" t="s">
        <v>695</v>
      </c>
      <c r="N414" t="s">
        <v>696</v>
      </c>
      <c r="O414" t="s">
        <v>697</v>
      </c>
      <c r="P414">
        <v>-20.174917000000001</v>
      </c>
      <c r="Q414">
        <v>-44.857677000000002</v>
      </c>
      <c r="R414" s="2" t="str">
        <f>HYPERLINK("https://www.google.com/maps?q=-20.1749170,-44.8576770","Abrir no Google Maps")</f>
        <v>Abrir no Google Maps</v>
      </c>
      <c r="S414">
        <v>3</v>
      </c>
      <c r="T414">
        <v>850.52349144267646</v>
      </c>
      <c r="U414">
        <v>4</v>
      </c>
      <c r="V414">
        <v>0.48523993844144941</v>
      </c>
      <c r="W414">
        <v>1</v>
      </c>
      <c r="X414">
        <v>0.48523993844144941</v>
      </c>
      <c r="Y414">
        <v>422</v>
      </c>
      <c r="Z414">
        <v>1042.4685698911451</v>
      </c>
      <c r="AA414">
        <v>198</v>
      </c>
      <c r="AB414">
        <v>332</v>
      </c>
      <c r="AC414">
        <v>536</v>
      </c>
      <c r="AD414">
        <v>33.19</v>
      </c>
      <c r="AE414">
        <v>542</v>
      </c>
      <c r="AF414">
        <v>42</v>
      </c>
      <c r="AG414">
        <v>173</v>
      </c>
      <c r="AH414">
        <v>129</v>
      </c>
      <c r="AI414">
        <v>7.75</v>
      </c>
      <c r="AJ414">
        <v>31.92</v>
      </c>
      <c r="AK414">
        <v>23.8</v>
      </c>
      <c r="AL414">
        <v>-20.17483459999994</v>
      </c>
      <c r="AM414">
        <v>-44.857715667542379</v>
      </c>
      <c r="AN414">
        <v>-20.17483459999994</v>
      </c>
      <c r="AO414">
        <v>-44.857715667542379</v>
      </c>
      <c r="AP414">
        <v>-20.174917000000001</v>
      </c>
      <c r="AQ414">
        <v>-44.857677000000002</v>
      </c>
      <c r="AR414">
        <v>10.02318555136439</v>
      </c>
      <c r="AS414" t="s">
        <v>65</v>
      </c>
      <c r="AT414">
        <v>1</v>
      </c>
      <c r="AU414" t="s">
        <v>698</v>
      </c>
      <c r="AV414" t="s">
        <v>699</v>
      </c>
      <c r="AW414" t="s">
        <v>60</v>
      </c>
      <c r="AX414" t="s">
        <v>68</v>
      </c>
      <c r="AY414" t="s">
        <v>69</v>
      </c>
      <c r="AZ414" t="b">
        <v>1</v>
      </c>
    </row>
    <row r="415" spans="1:52" x14ac:dyDescent="0.3">
      <c r="A415" t="s">
        <v>52</v>
      </c>
      <c r="B415" t="s">
        <v>53</v>
      </c>
      <c r="C415" t="s">
        <v>54</v>
      </c>
      <c r="D415" t="s">
        <v>55</v>
      </c>
      <c r="E415" t="s">
        <v>1617</v>
      </c>
      <c r="F415" t="s">
        <v>190</v>
      </c>
      <c r="G415" t="s">
        <v>1039</v>
      </c>
      <c r="H415" t="s">
        <v>1040</v>
      </c>
      <c r="I415" t="s">
        <v>1040</v>
      </c>
      <c r="J415" t="s">
        <v>60</v>
      </c>
      <c r="K415" t="s">
        <v>1023</v>
      </c>
      <c r="L415" t="s">
        <v>62</v>
      </c>
      <c r="M415" t="s">
        <v>1023</v>
      </c>
      <c r="N415" t="s">
        <v>1041</v>
      </c>
      <c r="O415" t="s">
        <v>738</v>
      </c>
      <c r="P415">
        <v>-20.172284000000001</v>
      </c>
      <c r="Q415">
        <v>-44.865392999999997</v>
      </c>
      <c r="R415" s="2" t="str">
        <f>HYPERLINK("https://www.google.com/maps?q=-20.1722840,-44.8653930","Abrir no Google Maps")</f>
        <v>Abrir no Google Maps</v>
      </c>
      <c r="S415">
        <v>3</v>
      </c>
      <c r="T415">
        <v>0</v>
      </c>
      <c r="U415">
        <v>4</v>
      </c>
      <c r="V415">
        <v>0.46550392801987511</v>
      </c>
      <c r="W415">
        <v>1</v>
      </c>
      <c r="X415">
        <v>0.46550392801987511</v>
      </c>
      <c r="Y415">
        <v>422</v>
      </c>
      <c r="Z415">
        <v>202.96804500763591</v>
      </c>
      <c r="AA415">
        <v>198</v>
      </c>
      <c r="AB415">
        <v>332</v>
      </c>
      <c r="AC415">
        <v>536</v>
      </c>
      <c r="AD415">
        <v>33.19</v>
      </c>
      <c r="AE415">
        <v>542</v>
      </c>
      <c r="AF415">
        <v>42</v>
      </c>
      <c r="AG415">
        <v>173</v>
      </c>
      <c r="AH415">
        <v>129</v>
      </c>
      <c r="AI415">
        <v>7.75</v>
      </c>
      <c r="AJ415">
        <v>31.92</v>
      </c>
      <c r="AK415">
        <v>23.8</v>
      </c>
      <c r="AL415">
        <v>-20.17229514999994</v>
      </c>
      <c r="AM415">
        <v>-44.865398249858011</v>
      </c>
      <c r="AN415">
        <v>-20.17229514999994</v>
      </c>
      <c r="AO415">
        <v>-44.865398249858011</v>
      </c>
      <c r="AP415">
        <v>-20.172284000000001</v>
      </c>
      <c r="AQ415">
        <v>-44.865392999999997</v>
      </c>
      <c r="AR415">
        <v>1.357036084497409</v>
      </c>
      <c r="AS415" t="s">
        <v>65</v>
      </c>
      <c r="AT415">
        <v>1</v>
      </c>
      <c r="AU415" t="s">
        <v>1042</v>
      </c>
      <c r="AV415" t="s">
        <v>1043</v>
      </c>
      <c r="AW415" t="s">
        <v>60</v>
      </c>
      <c r="AX415" t="s">
        <v>68</v>
      </c>
      <c r="AY415" t="s">
        <v>69</v>
      </c>
      <c r="AZ415" t="b">
        <v>1</v>
      </c>
    </row>
    <row r="416" spans="1:52" x14ac:dyDescent="0.3">
      <c r="A416" t="s">
        <v>52</v>
      </c>
      <c r="B416" t="s">
        <v>53</v>
      </c>
      <c r="C416" t="s">
        <v>54</v>
      </c>
      <c r="D416" t="s">
        <v>55</v>
      </c>
      <c r="E416" t="s">
        <v>1617</v>
      </c>
      <c r="F416" t="s">
        <v>190</v>
      </c>
      <c r="G416" t="s">
        <v>700</v>
      </c>
      <c r="H416" t="s">
        <v>701</v>
      </c>
      <c r="I416" t="s">
        <v>701</v>
      </c>
      <c r="J416" t="s">
        <v>60</v>
      </c>
      <c r="K416" t="s">
        <v>702</v>
      </c>
      <c r="L416" t="s">
        <v>62</v>
      </c>
      <c r="M416" t="s">
        <v>702</v>
      </c>
      <c r="N416" t="s">
        <v>703</v>
      </c>
      <c r="O416" t="s">
        <v>315</v>
      </c>
      <c r="P416">
        <v>-20.172599000000002</v>
      </c>
      <c r="Q416">
        <v>-44.85915</v>
      </c>
      <c r="R416" s="2" t="str">
        <f>HYPERLINK("https://www.google.com/maps?q=-20.1725990,-44.8591500","Abrir no Google Maps")</f>
        <v>Abrir no Google Maps</v>
      </c>
      <c r="S416">
        <v>3</v>
      </c>
      <c r="T416">
        <v>665.1003223445598</v>
      </c>
      <c r="U416">
        <v>4</v>
      </c>
      <c r="V416">
        <v>0.46272847159742159</v>
      </c>
      <c r="W416">
        <v>1</v>
      </c>
      <c r="X416">
        <v>0.46272847159742159</v>
      </c>
      <c r="Y416">
        <v>422</v>
      </c>
      <c r="Z416">
        <v>843.09189615634341</v>
      </c>
      <c r="AA416">
        <v>198</v>
      </c>
      <c r="AB416">
        <v>332</v>
      </c>
      <c r="AC416">
        <v>536</v>
      </c>
      <c r="AD416">
        <v>33.19</v>
      </c>
      <c r="AE416">
        <v>542</v>
      </c>
      <c r="AF416">
        <v>42</v>
      </c>
      <c r="AG416">
        <v>173</v>
      </c>
      <c r="AH416">
        <v>129</v>
      </c>
      <c r="AI416">
        <v>7.75</v>
      </c>
      <c r="AJ416">
        <v>31.92</v>
      </c>
      <c r="AK416">
        <v>23.8</v>
      </c>
      <c r="AL416">
        <v>-20.172576899999971</v>
      </c>
      <c r="AM416">
        <v>-44.859040110359317</v>
      </c>
      <c r="AN416">
        <v>-20.172576899999971</v>
      </c>
      <c r="AO416">
        <v>-44.859040110359317</v>
      </c>
      <c r="AP416">
        <v>-20.172599000000002</v>
      </c>
      <c r="AQ416">
        <v>-44.85915</v>
      </c>
      <c r="AR416">
        <v>11.743118835828479</v>
      </c>
      <c r="AS416" t="s">
        <v>65</v>
      </c>
      <c r="AT416">
        <v>1</v>
      </c>
      <c r="AU416" t="s">
        <v>704</v>
      </c>
      <c r="AV416" t="s">
        <v>705</v>
      </c>
      <c r="AW416" t="s">
        <v>60</v>
      </c>
      <c r="AX416" t="s">
        <v>68</v>
      </c>
      <c r="AY416" t="s">
        <v>69</v>
      </c>
      <c r="AZ416" t="b">
        <v>1</v>
      </c>
    </row>
    <row r="417" spans="1:52" x14ac:dyDescent="0.3">
      <c r="A417" t="s">
        <v>52</v>
      </c>
      <c r="B417" t="s">
        <v>53</v>
      </c>
      <c r="C417" t="s">
        <v>54</v>
      </c>
      <c r="D417" t="s">
        <v>55</v>
      </c>
      <c r="E417" t="s">
        <v>1617</v>
      </c>
      <c r="F417" t="s">
        <v>190</v>
      </c>
      <c r="G417" t="s">
        <v>1044</v>
      </c>
      <c r="H417" t="s">
        <v>1045</v>
      </c>
      <c r="I417" t="s">
        <v>1045</v>
      </c>
      <c r="J417" t="s">
        <v>60</v>
      </c>
      <c r="K417" t="s">
        <v>702</v>
      </c>
      <c r="L417" t="s">
        <v>62</v>
      </c>
      <c r="M417" t="s">
        <v>702</v>
      </c>
      <c r="N417" t="s">
        <v>983</v>
      </c>
      <c r="O417" t="s">
        <v>1046</v>
      </c>
      <c r="P417">
        <v>-20.172056000000001</v>
      </c>
      <c r="Q417">
        <v>-44.861556999999998</v>
      </c>
      <c r="R417" s="2" t="str">
        <f>HYPERLINK("https://www.google.com/maps?q=-20.1720560,-44.8615570","Abrir no Google Maps")</f>
        <v>Abrir no Google Maps</v>
      </c>
      <c r="S417">
        <v>3</v>
      </c>
      <c r="T417">
        <v>387.50881633442719</v>
      </c>
      <c r="U417">
        <v>4</v>
      </c>
      <c r="V417">
        <v>0.44210152353624371</v>
      </c>
      <c r="W417">
        <v>1</v>
      </c>
      <c r="X417">
        <v>0.44210152353624371</v>
      </c>
      <c r="Y417">
        <v>422</v>
      </c>
      <c r="Z417">
        <v>592.01060063884404</v>
      </c>
      <c r="AA417">
        <v>198</v>
      </c>
      <c r="AB417">
        <v>332</v>
      </c>
      <c r="AC417">
        <v>536</v>
      </c>
      <c r="AD417">
        <v>33.19</v>
      </c>
      <c r="AE417">
        <v>542</v>
      </c>
      <c r="AF417">
        <v>42</v>
      </c>
      <c r="AG417">
        <v>173</v>
      </c>
      <c r="AH417">
        <v>129</v>
      </c>
      <c r="AI417">
        <v>7.75</v>
      </c>
      <c r="AJ417">
        <v>31.92</v>
      </c>
      <c r="AK417">
        <v>23.8</v>
      </c>
      <c r="AL417">
        <v>-20.171880149999961</v>
      </c>
      <c r="AM417">
        <v>-44.861715860253369</v>
      </c>
      <c r="AN417">
        <v>-20.171880149999961</v>
      </c>
      <c r="AO417">
        <v>-44.861715860253369</v>
      </c>
      <c r="AP417">
        <v>-20.172056000000001</v>
      </c>
      <c r="AQ417">
        <v>-44.861556999999998</v>
      </c>
      <c r="AR417">
        <v>25.66616443825145</v>
      </c>
      <c r="AS417" t="s">
        <v>65</v>
      </c>
      <c r="AT417">
        <v>1</v>
      </c>
      <c r="AU417" t="s">
        <v>1047</v>
      </c>
      <c r="AV417" t="s">
        <v>705</v>
      </c>
      <c r="AW417" t="s">
        <v>60</v>
      </c>
      <c r="AX417" t="s">
        <v>68</v>
      </c>
      <c r="AY417" t="s">
        <v>69</v>
      </c>
      <c r="AZ417" t="b">
        <v>1</v>
      </c>
    </row>
    <row r="418" spans="1:52" x14ac:dyDescent="0.3">
      <c r="A418" t="s">
        <v>52</v>
      </c>
      <c r="B418" t="s">
        <v>53</v>
      </c>
      <c r="C418" t="s">
        <v>54</v>
      </c>
      <c r="D418" t="s">
        <v>55</v>
      </c>
      <c r="E418" t="s">
        <v>1617</v>
      </c>
      <c r="F418" t="s">
        <v>190</v>
      </c>
      <c r="G418" t="s">
        <v>734</v>
      </c>
      <c r="H418" t="s">
        <v>735</v>
      </c>
      <c r="I418" t="s">
        <v>735</v>
      </c>
      <c r="J418" t="s">
        <v>60</v>
      </c>
      <c r="K418" t="s">
        <v>736</v>
      </c>
      <c r="L418" t="s">
        <v>62</v>
      </c>
      <c r="M418" t="s">
        <v>736</v>
      </c>
      <c r="N418" t="s">
        <v>737</v>
      </c>
      <c r="O418" t="s">
        <v>738</v>
      </c>
      <c r="P418">
        <v>-20.113050000000001</v>
      </c>
      <c r="Q418">
        <v>-44.977640999999998</v>
      </c>
      <c r="R418" s="2" t="str">
        <f>HYPERLINK("https://www.google.com/maps?q=-20.1130500,-44.9776410","Abrir no Google Maps")</f>
        <v>Abrir no Google Maps</v>
      </c>
      <c r="S418">
        <v>3</v>
      </c>
      <c r="T418">
        <v>1057.751631532733</v>
      </c>
      <c r="U418">
        <v>4</v>
      </c>
      <c r="V418">
        <v>0.44775176012776391</v>
      </c>
      <c r="W418">
        <v>1</v>
      </c>
      <c r="X418">
        <v>0.44775176012776391</v>
      </c>
      <c r="Y418">
        <v>385</v>
      </c>
      <c r="Z418">
        <v>1001.029655866156</v>
      </c>
      <c r="AA418">
        <v>198</v>
      </c>
      <c r="AB418">
        <v>332</v>
      </c>
      <c r="AC418">
        <v>536</v>
      </c>
      <c r="AD418">
        <v>33.19</v>
      </c>
      <c r="AE418">
        <v>542</v>
      </c>
      <c r="AF418">
        <v>42</v>
      </c>
      <c r="AG418">
        <v>173</v>
      </c>
      <c r="AH418">
        <v>129</v>
      </c>
      <c r="AI418">
        <v>7.75</v>
      </c>
      <c r="AJ418">
        <v>31.92</v>
      </c>
      <c r="AK418">
        <v>23.8</v>
      </c>
      <c r="AL418">
        <v>-20.112977499999939</v>
      </c>
      <c r="AM418">
        <v>-44.977939579895221</v>
      </c>
      <c r="AN418">
        <v>-20.112977499999939</v>
      </c>
      <c r="AO418">
        <v>-44.977939579895221</v>
      </c>
      <c r="AP418">
        <v>-20.113050000000001</v>
      </c>
      <c r="AQ418">
        <v>-44.977640999999998</v>
      </c>
      <c r="AR418">
        <v>32.23754556505741</v>
      </c>
      <c r="AS418" t="s">
        <v>65</v>
      </c>
      <c r="AT418">
        <v>1</v>
      </c>
      <c r="AU418" t="s">
        <v>739</v>
      </c>
      <c r="AV418" t="s">
        <v>740</v>
      </c>
      <c r="AW418" t="s">
        <v>60</v>
      </c>
      <c r="AX418" t="s">
        <v>68</v>
      </c>
      <c r="AY418" t="s">
        <v>69</v>
      </c>
      <c r="AZ418" t="b">
        <v>1</v>
      </c>
    </row>
    <row r="419" spans="1:52" x14ac:dyDescent="0.3">
      <c r="A419" t="s">
        <v>52</v>
      </c>
      <c r="B419" t="s">
        <v>53</v>
      </c>
      <c r="C419" t="s">
        <v>54</v>
      </c>
      <c r="D419" t="s">
        <v>55</v>
      </c>
      <c r="E419" t="s">
        <v>1617</v>
      </c>
      <c r="F419" t="s">
        <v>190</v>
      </c>
      <c r="G419" t="s">
        <v>734</v>
      </c>
      <c r="H419" t="s">
        <v>1068</v>
      </c>
      <c r="I419" t="s">
        <v>1068</v>
      </c>
      <c r="J419" t="s">
        <v>60</v>
      </c>
      <c r="K419" t="s">
        <v>736</v>
      </c>
      <c r="L419" t="s">
        <v>62</v>
      </c>
      <c r="M419" t="s">
        <v>736</v>
      </c>
      <c r="N419" t="s">
        <v>1069</v>
      </c>
      <c r="O419" t="s">
        <v>1070</v>
      </c>
      <c r="P419">
        <v>-20.110289999999999</v>
      </c>
      <c r="Q419">
        <v>-44.981574000000002</v>
      </c>
      <c r="R419" s="2" t="str">
        <f>HYPERLINK("https://www.google.com/maps?q=-20.1102900,-44.9815740","Abrir no Google Maps")</f>
        <v>Abrir no Google Maps</v>
      </c>
      <c r="S419">
        <v>3</v>
      </c>
      <c r="T419">
        <v>1081.8012210194311</v>
      </c>
      <c r="U419">
        <v>4</v>
      </c>
      <c r="V419">
        <v>0.48624635871826882</v>
      </c>
      <c r="W419">
        <v>1</v>
      </c>
      <c r="X419">
        <v>0.48624635871826882</v>
      </c>
      <c r="Y419">
        <v>385</v>
      </c>
      <c r="Z419">
        <v>1009.915869278438</v>
      </c>
      <c r="AA419">
        <v>198</v>
      </c>
      <c r="AB419">
        <v>332</v>
      </c>
      <c r="AC419">
        <v>536</v>
      </c>
      <c r="AD419">
        <v>33.19</v>
      </c>
      <c r="AE419">
        <v>542</v>
      </c>
      <c r="AF419">
        <v>42</v>
      </c>
      <c r="AG419">
        <v>173</v>
      </c>
      <c r="AH419">
        <v>129</v>
      </c>
      <c r="AI419">
        <v>7.75</v>
      </c>
      <c r="AJ419">
        <v>31.92</v>
      </c>
      <c r="AK419">
        <v>23.8</v>
      </c>
      <c r="AL419">
        <v>-20.110281699999941</v>
      </c>
      <c r="AM419">
        <v>-44.98144213076452</v>
      </c>
      <c r="AN419">
        <v>-20.110281699999941</v>
      </c>
      <c r="AO419">
        <v>-44.98144213076452</v>
      </c>
      <c r="AP419">
        <v>-20.110289999999999</v>
      </c>
      <c r="AQ419">
        <v>-44.981574000000002</v>
      </c>
      <c r="AR419">
        <v>13.815631287504781</v>
      </c>
      <c r="AS419" t="s">
        <v>65</v>
      </c>
      <c r="AT419">
        <v>1</v>
      </c>
      <c r="AU419" t="s">
        <v>1071</v>
      </c>
      <c r="AV419" t="s">
        <v>1072</v>
      </c>
      <c r="AW419" t="s">
        <v>60</v>
      </c>
      <c r="AX419" t="s">
        <v>68</v>
      </c>
      <c r="AY419" t="s">
        <v>69</v>
      </c>
      <c r="AZ419" t="b">
        <v>1</v>
      </c>
    </row>
    <row r="420" spans="1:52" x14ac:dyDescent="0.3">
      <c r="A420" t="s">
        <v>52</v>
      </c>
      <c r="B420" t="s">
        <v>53</v>
      </c>
      <c r="C420" t="s">
        <v>54</v>
      </c>
      <c r="D420" t="s">
        <v>55</v>
      </c>
      <c r="E420" t="s">
        <v>1617</v>
      </c>
      <c r="F420" t="s">
        <v>190</v>
      </c>
      <c r="G420" t="s">
        <v>1077</v>
      </c>
      <c r="H420" t="s">
        <v>1078</v>
      </c>
      <c r="I420" t="s">
        <v>1078</v>
      </c>
      <c r="J420" t="s">
        <v>60</v>
      </c>
      <c r="K420" t="s">
        <v>761</v>
      </c>
      <c r="L420" t="s">
        <v>62</v>
      </c>
      <c r="M420" t="s">
        <v>761</v>
      </c>
      <c r="N420" t="s">
        <v>1079</v>
      </c>
      <c r="O420" t="s">
        <v>1080</v>
      </c>
      <c r="P420">
        <v>-20.119579999999999</v>
      </c>
      <c r="Q420">
        <v>-44.855030999999997</v>
      </c>
      <c r="R420" s="2" t="str">
        <f>HYPERLINK("https://www.google.com/maps?q=-20.1195800,-44.8550310","Abrir no Google Maps")</f>
        <v>Abrir no Google Maps</v>
      </c>
      <c r="S420">
        <v>3</v>
      </c>
      <c r="T420">
        <v>800.32085104254202</v>
      </c>
      <c r="U420">
        <v>4</v>
      </c>
      <c r="V420">
        <v>0.468222442899702</v>
      </c>
      <c r="W420">
        <v>1</v>
      </c>
      <c r="X420">
        <v>0.468222442899702</v>
      </c>
      <c r="Y420">
        <v>350</v>
      </c>
      <c r="Z420">
        <v>431.56201899267722</v>
      </c>
      <c r="AA420">
        <v>198</v>
      </c>
      <c r="AB420">
        <v>332</v>
      </c>
      <c r="AC420">
        <v>536</v>
      </c>
      <c r="AD420">
        <v>33.19</v>
      </c>
      <c r="AE420">
        <v>542</v>
      </c>
      <c r="AF420">
        <v>42</v>
      </c>
      <c r="AG420">
        <v>173</v>
      </c>
      <c r="AH420">
        <v>129</v>
      </c>
      <c r="AI420">
        <v>7.75</v>
      </c>
      <c r="AJ420">
        <v>31.92</v>
      </c>
      <c r="AK420">
        <v>23.8</v>
      </c>
      <c r="AL420">
        <v>-20.119806999999948</v>
      </c>
      <c r="AM420">
        <v>-44.855901548391778</v>
      </c>
      <c r="AN420">
        <v>-20.119806999999948</v>
      </c>
      <c r="AO420">
        <v>-44.855901548391778</v>
      </c>
      <c r="AP420">
        <v>-20.119579999999999</v>
      </c>
      <c r="AQ420">
        <v>-44.855030999999997</v>
      </c>
      <c r="AR420">
        <v>94.439141250965164</v>
      </c>
      <c r="AS420" t="s">
        <v>65</v>
      </c>
      <c r="AT420">
        <v>1</v>
      </c>
      <c r="AU420" t="s">
        <v>1081</v>
      </c>
      <c r="AV420" t="s">
        <v>1082</v>
      </c>
      <c r="AW420" t="s">
        <v>60</v>
      </c>
      <c r="AX420" t="s">
        <v>68</v>
      </c>
      <c r="AY420" t="s">
        <v>69</v>
      </c>
      <c r="AZ420" t="b">
        <v>1</v>
      </c>
    </row>
    <row r="421" spans="1:52" x14ac:dyDescent="0.3">
      <c r="A421" t="s">
        <v>52</v>
      </c>
      <c r="B421" t="s">
        <v>53</v>
      </c>
      <c r="C421" t="s">
        <v>54</v>
      </c>
      <c r="D421" t="s">
        <v>55</v>
      </c>
      <c r="E421" t="s">
        <v>1617</v>
      </c>
      <c r="F421" t="s">
        <v>190</v>
      </c>
      <c r="G421" t="s">
        <v>1083</v>
      </c>
      <c r="H421" t="s">
        <v>1084</v>
      </c>
      <c r="I421" t="s">
        <v>1084</v>
      </c>
      <c r="J421" t="s">
        <v>60</v>
      </c>
      <c r="K421" t="s">
        <v>761</v>
      </c>
      <c r="L421" t="s">
        <v>62</v>
      </c>
      <c r="M421" t="s">
        <v>761</v>
      </c>
      <c r="N421" t="s">
        <v>1085</v>
      </c>
      <c r="O421" t="s">
        <v>1086</v>
      </c>
      <c r="P421">
        <v>-20.124312</v>
      </c>
      <c r="Q421">
        <v>-44.850425000000001</v>
      </c>
      <c r="R421" s="2" t="str">
        <f>HYPERLINK("https://www.google.com/maps?q=-20.1243120,-44.8504250","Abrir no Google Maps")</f>
        <v>Abrir no Google Maps</v>
      </c>
      <c r="S421">
        <v>3</v>
      </c>
      <c r="T421">
        <v>0</v>
      </c>
      <c r="U421">
        <v>4</v>
      </c>
      <c r="V421">
        <v>0.48867422469533861</v>
      </c>
      <c r="W421">
        <v>1</v>
      </c>
      <c r="X421">
        <v>0.48867422469533861</v>
      </c>
      <c r="Y421">
        <v>350</v>
      </c>
      <c r="Z421">
        <v>380.24040721202471</v>
      </c>
      <c r="AA421">
        <v>198</v>
      </c>
      <c r="AB421">
        <v>332</v>
      </c>
      <c r="AC421">
        <v>536</v>
      </c>
      <c r="AD421">
        <v>33.19</v>
      </c>
      <c r="AE421">
        <v>542</v>
      </c>
      <c r="AF421">
        <v>42</v>
      </c>
      <c r="AG421">
        <v>173</v>
      </c>
      <c r="AH421">
        <v>129</v>
      </c>
      <c r="AI421">
        <v>7.75</v>
      </c>
      <c r="AJ421">
        <v>31.92</v>
      </c>
      <c r="AK421">
        <v>23.8</v>
      </c>
      <c r="AL421">
        <v>-20.126267499999951</v>
      </c>
      <c r="AM421">
        <v>-44.852460192840908</v>
      </c>
      <c r="AN421">
        <v>-20.126267499999951</v>
      </c>
      <c r="AO421">
        <v>-44.852460192840908</v>
      </c>
      <c r="AP421">
        <v>-20.124312</v>
      </c>
      <c r="AQ421">
        <v>-44.850425000000001</v>
      </c>
      <c r="AR421">
        <v>304.36574074135672</v>
      </c>
      <c r="AS421" t="s">
        <v>65</v>
      </c>
      <c r="AT421">
        <v>1</v>
      </c>
      <c r="AU421" t="s">
        <v>1087</v>
      </c>
      <c r="AV421" t="s">
        <v>1088</v>
      </c>
      <c r="AW421" t="s">
        <v>60</v>
      </c>
      <c r="AX421" t="s">
        <v>68</v>
      </c>
      <c r="AY421" t="s">
        <v>69</v>
      </c>
      <c r="AZ421" t="b">
        <v>1</v>
      </c>
    </row>
    <row r="422" spans="1:52" x14ac:dyDescent="0.3">
      <c r="A422" t="s">
        <v>52</v>
      </c>
      <c r="B422" t="s">
        <v>53</v>
      </c>
      <c r="C422" t="s">
        <v>54</v>
      </c>
      <c r="D422" t="s">
        <v>55</v>
      </c>
      <c r="E422" t="s">
        <v>1617</v>
      </c>
      <c r="F422" t="s">
        <v>190</v>
      </c>
      <c r="G422" t="s">
        <v>1089</v>
      </c>
      <c r="H422" t="s">
        <v>1090</v>
      </c>
      <c r="I422" t="s">
        <v>1090</v>
      </c>
      <c r="J422" t="s">
        <v>60</v>
      </c>
      <c r="K422" t="s">
        <v>761</v>
      </c>
      <c r="L422" t="s">
        <v>62</v>
      </c>
      <c r="M422" t="s">
        <v>761</v>
      </c>
      <c r="N422" t="s">
        <v>1091</v>
      </c>
      <c r="O422" t="s">
        <v>86</v>
      </c>
      <c r="P422">
        <v>-20.116182999999999</v>
      </c>
      <c r="Q422">
        <v>-44.850524</v>
      </c>
      <c r="R422" s="2" t="str">
        <f>HYPERLINK("https://www.google.com/maps?q=-20.1161830,-44.8505240","Abrir no Google Maps")</f>
        <v>Abrir no Google Maps</v>
      </c>
      <c r="S422">
        <v>3</v>
      </c>
      <c r="T422">
        <v>1142.6607426309961</v>
      </c>
      <c r="U422">
        <v>4</v>
      </c>
      <c r="V422">
        <v>0.45755382477119549</v>
      </c>
      <c r="W422">
        <v>1</v>
      </c>
      <c r="X422">
        <v>0.45755382477119549</v>
      </c>
      <c r="Y422">
        <v>350</v>
      </c>
      <c r="Z422">
        <v>723.44841640590141</v>
      </c>
      <c r="AA422">
        <v>198</v>
      </c>
      <c r="AB422">
        <v>332</v>
      </c>
      <c r="AC422">
        <v>536</v>
      </c>
      <c r="AD422">
        <v>33.19</v>
      </c>
      <c r="AE422">
        <v>542</v>
      </c>
      <c r="AF422">
        <v>42</v>
      </c>
      <c r="AG422">
        <v>173</v>
      </c>
      <c r="AH422">
        <v>129</v>
      </c>
      <c r="AI422">
        <v>7.75</v>
      </c>
      <c r="AJ422">
        <v>31.92</v>
      </c>
      <c r="AK422">
        <v>23.8</v>
      </c>
      <c r="AL422">
        <v>-20.11605684999995</v>
      </c>
      <c r="AM422">
        <v>-44.850832861808193</v>
      </c>
      <c r="AN422">
        <v>-20.11605684999995</v>
      </c>
      <c r="AO422">
        <v>-44.850832861808193</v>
      </c>
      <c r="AP422">
        <v>-20.116182999999999</v>
      </c>
      <c r="AQ422">
        <v>-44.850524</v>
      </c>
      <c r="AR422">
        <v>35.207009729928053</v>
      </c>
      <c r="AS422" t="s">
        <v>65</v>
      </c>
      <c r="AT422">
        <v>1</v>
      </c>
      <c r="AU422" t="s">
        <v>1092</v>
      </c>
      <c r="AV422" t="s">
        <v>1093</v>
      </c>
      <c r="AW422" t="s">
        <v>60</v>
      </c>
      <c r="AX422" t="s">
        <v>68</v>
      </c>
      <c r="AY422" t="s">
        <v>69</v>
      </c>
      <c r="AZ422" t="b">
        <v>1</v>
      </c>
    </row>
    <row r="423" spans="1:52" x14ac:dyDescent="0.3">
      <c r="A423" t="s">
        <v>52</v>
      </c>
      <c r="B423" t="s">
        <v>53</v>
      </c>
      <c r="C423" t="s">
        <v>54</v>
      </c>
      <c r="D423" t="s">
        <v>55</v>
      </c>
      <c r="E423" t="s">
        <v>1617</v>
      </c>
      <c r="F423" t="s">
        <v>190</v>
      </c>
      <c r="G423" t="s">
        <v>1094</v>
      </c>
      <c r="H423" t="s">
        <v>1095</v>
      </c>
      <c r="I423" t="s">
        <v>1095</v>
      </c>
      <c r="J423" t="s">
        <v>60</v>
      </c>
      <c r="K423" t="s">
        <v>761</v>
      </c>
      <c r="L423" t="s">
        <v>62</v>
      </c>
      <c r="M423" t="s">
        <v>761</v>
      </c>
      <c r="N423" t="s">
        <v>1096</v>
      </c>
      <c r="O423" t="s">
        <v>1070</v>
      </c>
      <c r="P423">
        <v>-20.122955999999999</v>
      </c>
      <c r="Q423">
        <v>-44.847842</v>
      </c>
      <c r="R423" s="2" t="str">
        <f>HYPERLINK("https://www.google.com/maps?q=-20.1229560,-44.8478420","Abrir no Google Maps")</f>
        <v>Abrir no Google Maps</v>
      </c>
      <c r="S423">
        <v>3</v>
      </c>
      <c r="T423">
        <v>611.23533866709147</v>
      </c>
      <c r="U423">
        <v>4</v>
      </c>
      <c r="V423">
        <v>0.4976061389607141</v>
      </c>
      <c r="W423">
        <v>1</v>
      </c>
      <c r="X423">
        <v>0.4976061389607141</v>
      </c>
      <c r="Y423">
        <v>350</v>
      </c>
      <c r="Z423">
        <v>567.3129443637539</v>
      </c>
      <c r="AA423">
        <v>198</v>
      </c>
      <c r="AB423">
        <v>332</v>
      </c>
      <c r="AC423">
        <v>536</v>
      </c>
      <c r="AD423">
        <v>33.19</v>
      </c>
      <c r="AE423">
        <v>542</v>
      </c>
      <c r="AF423">
        <v>42</v>
      </c>
      <c r="AG423">
        <v>173</v>
      </c>
      <c r="AH423">
        <v>129</v>
      </c>
      <c r="AI423">
        <v>7.75</v>
      </c>
      <c r="AJ423">
        <v>31.92</v>
      </c>
      <c r="AK423">
        <v>23.8</v>
      </c>
      <c r="AL423">
        <v>-20.122854299999972</v>
      </c>
      <c r="AM423">
        <v>-44.847862495675152</v>
      </c>
      <c r="AN423">
        <v>-20.122854299999972</v>
      </c>
      <c r="AO423">
        <v>-44.847862495675152</v>
      </c>
      <c r="AP423">
        <v>-20.122955999999999</v>
      </c>
      <c r="AQ423">
        <v>-44.847842</v>
      </c>
      <c r="AR423">
        <v>11.522154044835331</v>
      </c>
      <c r="AS423" t="s">
        <v>65</v>
      </c>
      <c r="AT423">
        <v>1</v>
      </c>
      <c r="AU423" t="s">
        <v>1097</v>
      </c>
      <c r="AV423" t="s">
        <v>1098</v>
      </c>
      <c r="AW423" t="s">
        <v>60</v>
      </c>
      <c r="AX423" t="s">
        <v>68</v>
      </c>
      <c r="AY423" t="s">
        <v>69</v>
      </c>
      <c r="AZ423" t="b">
        <v>1</v>
      </c>
    </row>
    <row r="424" spans="1:52" x14ac:dyDescent="0.3">
      <c r="A424" t="s">
        <v>52</v>
      </c>
      <c r="B424" t="s">
        <v>53</v>
      </c>
      <c r="C424" t="s">
        <v>54</v>
      </c>
      <c r="D424" t="s">
        <v>55</v>
      </c>
      <c r="E424" t="s">
        <v>1617</v>
      </c>
      <c r="F424" t="s">
        <v>190</v>
      </c>
      <c r="G424" t="s">
        <v>759</v>
      </c>
      <c r="H424" t="s">
        <v>760</v>
      </c>
      <c r="I424" t="s">
        <v>760</v>
      </c>
      <c r="J424" t="s">
        <v>60</v>
      </c>
      <c r="K424" t="s">
        <v>761</v>
      </c>
      <c r="L424" t="s">
        <v>62</v>
      </c>
      <c r="M424" t="s">
        <v>761</v>
      </c>
      <c r="N424" t="s">
        <v>762</v>
      </c>
      <c r="O424" t="s">
        <v>763</v>
      </c>
      <c r="P424">
        <v>-20.118755</v>
      </c>
      <c r="Q424">
        <v>-44.850627000000003</v>
      </c>
      <c r="R424" s="2" t="str">
        <f>HYPERLINK("https://www.google.com/maps?q=-20.1187550,-44.8506270","Abrir no Google Maps")</f>
        <v>Abrir no Google Maps</v>
      </c>
      <c r="S424">
        <v>3</v>
      </c>
      <c r="T424">
        <v>848.81670834514034</v>
      </c>
      <c r="U424">
        <v>4</v>
      </c>
      <c r="V424">
        <v>0.46106367041198498</v>
      </c>
      <c r="W424">
        <v>1</v>
      </c>
      <c r="X424">
        <v>0.46106367041198498</v>
      </c>
      <c r="Y424">
        <v>350</v>
      </c>
      <c r="Z424">
        <v>443.51354125420028</v>
      </c>
      <c r="AA424">
        <v>198</v>
      </c>
      <c r="AB424">
        <v>332</v>
      </c>
      <c r="AC424">
        <v>536</v>
      </c>
      <c r="AD424">
        <v>33.19</v>
      </c>
      <c r="AE424">
        <v>542</v>
      </c>
      <c r="AF424">
        <v>42</v>
      </c>
      <c r="AG424">
        <v>173</v>
      </c>
      <c r="AH424">
        <v>129</v>
      </c>
      <c r="AI424">
        <v>7.75</v>
      </c>
      <c r="AJ424">
        <v>31.92</v>
      </c>
      <c r="AK424">
        <v>23.8</v>
      </c>
      <c r="AL424">
        <v>-20.11882464999994</v>
      </c>
      <c r="AM424">
        <v>-44.850497004056017</v>
      </c>
      <c r="AN424">
        <v>-20.11882464999994</v>
      </c>
      <c r="AO424">
        <v>-44.850497004056017</v>
      </c>
      <c r="AP424">
        <v>-20.118755</v>
      </c>
      <c r="AQ424">
        <v>-44.850627000000003</v>
      </c>
      <c r="AR424">
        <v>15.6445928866994</v>
      </c>
      <c r="AS424" t="s">
        <v>65</v>
      </c>
      <c r="AT424">
        <v>1</v>
      </c>
      <c r="AU424" t="s">
        <v>764</v>
      </c>
      <c r="AV424" t="s">
        <v>765</v>
      </c>
      <c r="AW424" t="s">
        <v>60</v>
      </c>
      <c r="AX424" t="s">
        <v>68</v>
      </c>
      <c r="AY424" t="s">
        <v>69</v>
      </c>
      <c r="AZ424" t="b">
        <v>1</v>
      </c>
    </row>
    <row r="425" spans="1:52" x14ac:dyDescent="0.3">
      <c r="A425" t="s">
        <v>52</v>
      </c>
      <c r="B425" t="s">
        <v>53</v>
      </c>
      <c r="C425" t="s">
        <v>54</v>
      </c>
      <c r="D425" t="s">
        <v>55</v>
      </c>
      <c r="E425" t="s">
        <v>1617</v>
      </c>
      <c r="F425" t="s">
        <v>190</v>
      </c>
      <c r="G425" t="s">
        <v>1104</v>
      </c>
      <c r="H425" t="s">
        <v>1105</v>
      </c>
      <c r="I425" t="s">
        <v>1105</v>
      </c>
      <c r="J425" t="s">
        <v>60</v>
      </c>
      <c r="K425" t="s">
        <v>781</v>
      </c>
      <c r="L425" t="s">
        <v>62</v>
      </c>
      <c r="M425" t="s">
        <v>781</v>
      </c>
      <c r="N425" t="s">
        <v>1106</v>
      </c>
      <c r="O425" t="s">
        <v>1080</v>
      </c>
      <c r="P425">
        <v>-20.138683</v>
      </c>
      <c r="Q425">
        <v>-44.868507999999999</v>
      </c>
      <c r="R425" s="2" t="str">
        <f>HYPERLINK("https://www.google.com/maps?q=-20.1386830,-44.8685080","Abrir no Google Maps")</f>
        <v>Abrir no Google Maps</v>
      </c>
      <c r="S425">
        <v>3</v>
      </c>
      <c r="T425">
        <v>450.88210098833099</v>
      </c>
      <c r="U425">
        <v>4</v>
      </c>
      <c r="V425">
        <v>0.44427788814640901</v>
      </c>
      <c r="W425">
        <v>1</v>
      </c>
      <c r="X425">
        <v>0.44427788814640901</v>
      </c>
      <c r="Y425">
        <v>332</v>
      </c>
      <c r="Z425">
        <v>601.27669048153166</v>
      </c>
      <c r="AA425">
        <v>198</v>
      </c>
      <c r="AB425">
        <v>332</v>
      </c>
      <c r="AC425">
        <v>536</v>
      </c>
      <c r="AD425">
        <v>33.19</v>
      </c>
      <c r="AE425">
        <v>542</v>
      </c>
      <c r="AF425">
        <v>42</v>
      </c>
      <c r="AG425">
        <v>173</v>
      </c>
      <c r="AH425">
        <v>129</v>
      </c>
      <c r="AI425">
        <v>7.75</v>
      </c>
      <c r="AJ425">
        <v>31.92</v>
      </c>
      <c r="AK425">
        <v>23.8</v>
      </c>
      <c r="AL425">
        <v>-20.13870544999995</v>
      </c>
      <c r="AM425">
        <v>-44.868521774012208</v>
      </c>
      <c r="AN425">
        <v>-20.138705449999939</v>
      </c>
      <c r="AO425">
        <v>-44.868521774012208</v>
      </c>
      <c r="AP425">
        <v>-20.138683</v>
      </c>
      <c r="AQ425">
        <v>-44.868507999999999</v>
      </c>
      <c r="AR425">
        <v>2.8841042175322271</v>
      </c>
      <c r="AS425" t="s">
        <v>65</v>
      </c>
      <c r="AT425">
        <v>1</v>
      </c>
      <c r="AU425" t="s">
        <v>1107</v>
      </c>
      <c r="AV425" t="s">
        <v>1108</v>
      </c>
      <c r="AW425" t="s">
        <v>60</v>
      </c>
      <c r="AX425" t="s">
        <v>68</v>
      </c>
      <c r="AY425" t="s">
        <v>69</v>
      </c>
      <c r="AZ425" t="b">
        <v>1</v>
      </c>
    </row>
    <row r="426" spans="1:52" x14ac:dyDescent="0.3">
      <c r="A426" t="s">
        <v>52</v>
      </c>
      <c r="B426" t="s">
        <v>53</v>
      </c>
      <c r="C426" t="s">
        <v>54</v>
      </c>
      <c r="D426" t="s">
        <v>55</v>
      </c>
      <c r="E426" t="s">
        <v>1617</v>
      </c>
      <c r="F426" t="s">
        <v>190</v>
      </c>
      <c r="G426" t="s">
        <v>1757</v>
      </c>
      <c r="H426" t="s">
        <v>1758</v>
      </c>
      <c r="I426" t="s">
        <v>1758</v>
      </c>
      <c r="J426" t="s">
        <v>60</v>
      </c>
      <c r="K426" t="s">
        <v>362</v>
      </c>
      <c r="L426" t="s">
        <v>62</v>
      </c>
      <c r="M426" t="s">
        <v>362</v>
      </c>
      <c r="N426" t="s">
        <v>1759</v>
      </c>
      <c r="O426" t="s">
        <v>1760</v>
      </c>
      <c r="P426">
        <v>-20.140051</v>
      </c>
      <c r="Q426">
        <v>-44.871685999999997</v>
      </c>
      <c r="R426" s="2" t="str">
        <f>HYPERLINK("https://www.google.com/maps?q=-20.1400510,-44.8716860","Abrir no Google Maps")</f>
        <v>Abrir no Google Maps</v>
      </c>
      <c r="S426">
        <v>3</v>
      </c>
      <c r="T426">
        <v>352.31744538617551</v>
      </c>
      <c r="U426">
        <v>4</v>
      </c>
      <c r="V426">
        <v>0.51794143184150276</v>
      </c>
      <c r="W426">
        <v>0.85</v>
      </c>
      <c r="X426">
        <v>0.44025021706527728</v>
      </c>
      <c r="Y426">
        <v>332</v>
      </c>
      <c r="Z426">
        <v>504.25252355351739</v>
      </c>
      <c r="AA426">
        <v>198</v>
      </c>
      <c r="AB426">
        <v>332</v>
      </c>
      <c r="AC426">
        <v>536</v>
      </c>
      <c r="AD426">
        <v>33.19</v>
      </c>
      <c r="AE426">
        <v>542</v>
      </c>
      <c r="AF426">
        <v>42</v>
      </c>
      <c r="AG426">
        <v>173</v>
      </c>
      <c r="AH426">
        <v>129</v>
      </c>
      <c r="AI426">
        <v>7.75</v>
      </c>
      <c r="AJ426">
        <v>31.92</v>
      </c>
      <c r="AK426">
        <v>23.8</v>
      </c>
      <c r="AL426">
        <v>-20.140052049999959</v>
      </c>
      <c r="AM426">
        <v>-44.871685093874923</v>
      </c>
      <c r="AN426">
        <v>-20.140052049999959</v>
      </c>
      <c r="AO426">
        <v>-44.871685093874909</v>
      </c>
      <c r="AP426">
        <v>-20.140051</v>
      </c>
      <c r="AQ426">
        <v>-44.871685999999997</v>
      </c>
      <c r="AR426">
        <v>0.1504354058892336</v>
      </c>
      <c r="AS426" t="s">
        <v>65</v>
      </c>
      <c r="AT426">
        <v>1</v>
      </c>
      <c r="AU426" t="s">
        <v>1761</v>
      </c>
      <c r="AV426" t="s">
        <v>1762</v>
      </c>
      <c r="AW426" t="s">
        <v>60</v>
      </c>
      <c r="AX426" t="s">
        <v>68</v>
      </c>
      <c r="AY426" t="s">
        <v>69</v>
      </c>
      <c r="AZ426" t="b">
        <v>1</v>
      </c>
    </row>
    <row r="427" spans="1:52" x14ac:dyDescent="0.3">
      <c r="A427" t="s">
        <v>52</v>
      </c>
      <c r="B427" t="s">
        <v>53</v>
      </c>
      <c r="C427" t="s">
        <v>54</v>
      </c>
      <c r="D427" t="s">
        <v>55</v>
      </c>
      <c r="E427" t="s">
        <v>1617</v>
      </c>
      <c r="F427" t="s">
        <v>190</v>
      </c>
      <c r="G427" t="s">
        <v>1121</v>
      </c>
      <c r="H427" t="s">
        <v>1122</v>
      </c>
      <c r="I427" t="s">
        <v>1122</v>
      </c>
      <c r="J427" t="s">
        <v>60</v>
      </c>
      <c r="K427" t="s">
        <v>1123</v>
      </c>
      <c r="L427" t="s">
        <v>62</v>
      </c>
      <c r="M427" t="s">
        <v>1123</v>
      </c>
      <c r="N427" t="s">
        <v>1124</v>
      </c>
      <c r="O427" t="s">
        <v>74</v>
      </c>
      <c r="P427">
        <v>-20.105318</v>
      </c>
      <c r="Q427">
        <v>-44.879216</v>
      </c>
      <c r="R427" s="2" t="str">
        <f>HYPERLINK("https://www.google.com/maps?q=-20.1053180,-44.8792160","Abrir no Google Maps")</f>
        <v>Abrir no Google Maps</v>
      </c>
      <c r="S427">
        <v>3</v>
      </c>
      <c r="T427">
        <v>318.57668516180911</v>
      </c>
      <c r="U427">
        <v>4</v>
      </c>
      <c r="V427">
        <v>0.4739036140885079</v>
      </c>
      <c r="W427">
        <v>1</v>
      </c>
      <c r="X427">
        <v>0.4739036140885079</v>
      </c>
      <c r="Y427">
        <v>314</v>
      </c>
      <c r="Z427">
        <v>207.50829098881519</v>
      </c>
      <c r="AA427">
        <v>198</v>
      </c>
      <c r="AB427">
        <v>332</v>
      </c>
      <c r="AC427">
        <v>536</v>
      </c>
      <c r="AD427">
        <v>33.19</v>
      </c>
      <c r="AE427">
        <v>542</v>
      </c>
      <c r="AF427">
        <v>42</v>
      </c>
      <c r="AG427">
        <v>173</v>
      </c>
      <c r="AH427">
        <v>129</v>
      </c>
      <c r="AI427">
        <v>7.75</v>
      </c>
      <c r="AJ427">
        <v>31.92</v>
      </c>
      <c r="AK427">
        <v>23.8</v>
      </c>
      <c r="AL427">
        <v>-20.105361049999939</v>
      </c>
      <c r="AM427">
        <v>-44.87924613740698</v>
      </c>
      <c r="AN427">
        <v>-20.105361049999939</v>
      </c>
      <c r="AO427">
        <v>-44.87924613740698</v>
      </c>
      <c r="AP427">
        <v>-20.105318</v>
      </c>
      <c r="AQ427">
        <v>-44.879216</v>
      </c>
      <c r="AR427">
        <v>5.7351338374851242</v>
      </c>
      <c r="AS427" t="s">
        <v>65</v>
      </c>
      <c r="AT427">
        <v>1</v>
      </c>
      <c r="AU427" t="s">
        <v>1125</v>
      </c>
      <c r="AV427" t="s">
        <v>1126</v>
      </c>
      <c r="AW427" t="s">
        <v>60</v>
      </c>
      <c r="AX427" t="s">
        <v>68</v>
      </c>
      <c r="AY427" t="s">
        <v>69</v>
      </c>
      <c r="AZ427" t="b">
        <v>1</v>
      </c>
    </row>
    <row r="428" spans="1:52" x14ac:dyDescent="0.3">
      <c r="A428" t="s">
        <v>52</v>
      </c>
      <c r="B428" t="s">
        <v>53</v>
      </c>
      <c r="C428" t="s">
        <v>54</v>
      </c>
      <c r="D428" t="s">
        <v>55</v>
      </c>
      <c r="E428" t="s">
        <v>1617</v>
      </c>
      <c r="F428" t="s">
        <v>190</v>
      </c>
      <c r="G428" t="s">
        <v>1127</v>
      </c>
      <c r="H428" t="s">
        <v>1128</v>
      </c>
      <c r="I428" t="s">
        <v>1128</v>
      </c>
      <c r="J428" t="s">
        <v>60</v>
      </c>
      <c r="K428" t="s">
        <v>1129</v>
      </c>
      <c r="L428" t="s">
        <v>62</v>
      </c>
      <c r="M428" t="s">
        <v>1129</v>
      </c>
      <c r="N428" t="s">
        <v>1130</v>
      </c>
      <c r="O428" t="s">
        <v>357</v>
      </c>
      <c r="P428">
        <v>-20.106638</v>
      </c>
      <c r="Q428">
        <v>-44.883538000000001</v>
      </c>
      <c r="R428" s="2" t="str">
        <f>HYPERLINK("https://www.google.com/maps?q=-20.1066380,-44.8835380","Abrir no Google Maps")</f>
        <v>Abrir no Google Maps</v>
      </c>
      <c r="S428">
        <v>3</v>
      </c>
      <c r="T428">
        <v>754.03514396665969</v>
      </c>
      <c r="U428">
        <v>4</v>
      </c>
      <c r="V428">
        <v>0.48170682324357161</v>
      </c>
      <c r="W428">
        <v>1</v>
      </c>
      <c r="X428">
        <v>0.48170682324357161</v>
      </c>
      <c r="Y428">
        <v>314</v>
      </c>
      <c r="Z428">
        <v>584.1161650721092</v>
      </c>
      <c r="AA428">
        <v>198</v>
      </c>
      <c r="AB428">
        <v>332</v>
      </c>
      <c r="AC428">
        <v>536</v>
      </c>
      <c r="AD428">
        <v>33.19</v>
      </c>
      <c r="AE428">
        <v>542</v>
      </c>
      <c r="AF428">
        <v>42</v>
      </c>
      <c r="AG428">
        <v>173</v>
      </c>
      <c r="AH428">
        <v>129</v>
      </c>
      <c r="AI428">
        <v>7.75</v>
      </c>
      <c r="AJ428">
        <v>31.92</v>
      </c>
      <c r="AK428">
        <v>23.8</v>
      </c>
      <c r="AL428">
        <v>-20.106599599999949</v>
      </c>
      <c r="AM428">
        <v>-44.883527947279568</v>
      </c>
      <c r="AN428">
        <v>-20.106599599999949</v>
      </c>
      <c r="AO428">
        <v>-44.883527947279568</v>
      </c>
      <c r="AP428">
        <v>-20.106638</v>
      </c>
      <c r="AQ428">
        <v>-44.883538000000001</v>
      </c>
      <c r="AR428">
        <v>4.4019630384815924</v>
      </c>
      <c r="AS428" t="s">
        <v>65</v>
      </c>
      <c r="AT428">
        <v>1</v>
      </c>
      <c r="AU428" t="s">
        <v>1131</v>
      </c>
      <c r="AV428" t="s">
        <v>1132</v>
      </c>
      <c r="AW428" t="s">
        <v>60</v>
      </c>
      <c r="AX428" t="s">
        <v>68</v>
      </c>
      <c r="AY428" t="s">
        <v>69</v>
      </c>
      <c r="AZ428" t="b">
        <v>1</v>
      </c>
    </row>
    <row r="429" spans="1:52" x14ac:dyDescent="0.3">
      <c r="A429" t="s">
        <v>52</v>
      </c>
      <c r="B429" t="s">
        <v>53</v>
      </c>
      <c r="C429" t="s">
        <v>54</v>
      </c>
      <c r="D429" t="s">
        <v>55</v>
      </c>
      <c r="E429" t="s">
        <v>1617</v>
      </c>
      <c r="F429" t="s">
        <v>190</v>
      </c>
      <c r="G429" t="s">
        <v>1133</v>
      </c>
      <c r="H429" t="s">
        <v>1134</v>
      </c>
      <c r="I429" t="s">
        <v>1134</v>
      </c>
      <c r="J429" t="s">
        <v>60</v>
      </c>
      <c r="K429" t="s">
        <v>1123</v>
      </c>
      <c r="L429" t="s">
        <v>62</v>
      </c>
      <c r="M429" t="s">
        <v>1123</v>
      </c>
      <c r="N429" t="s">
        <v>1135</v>
      </c>
      <c r="O429" t="s">
        <v>138</v>
      </c>
      <c r="P429">
        <v>-20.106113000000001</v>
      </c>
      <c r="Q429">
        <v>-44.876035999999999</v>
      </c>
      <c r="R429" s="2" t="str">
        <f>HYPERLINK("https://www.google.com/maps?q=-20.1061130,-44.8760360","Abrir no Google Maps")</f>
        <v>Abrir no Google Maps</v>
      </c>
      <c r="S429">
        <v>3</v>
      </c>
      <c r="T429">
        <v>0</v>
      </c>
      <c r="U429">
        <v>4</v>
      </c>
      <c r="V429">
        <v>0.45467594233723269</v>
      </c>
      <c r="W429">
        <v>1</v>
      </c>
      <c r="X429">
        <v>0.45467594233723269</v>
      </c>
      <c r="Y429">
        <v>314</v>
      </c>
      <c r="Z429">
        <v>98.504848991092999</v>
      </c>
      <c r="AA429">
        <v>198</v>
      </c>
      <c r="AB429">
        <v>332</v>
      </c>
      <c r="AC429">
        <v>536</v>
      </c>
      <c r="AD429">
        <v>33.19</v>
      </c>
      <c r="AE429">
        <v>542</v>
      </c>
      <c r="AF429">
        <v>42</v>
      </c>
      <c r="AG429">
        <v>173</v>
      </c>
      <c r="AH429">
        <v>129</v>
      </c>
      <c r="AI429">
        <v>7.75</v>
      </c>
      <c r="AJ429">
        <v>31.92</v>
      </c>
      <c r="AK429">
        <v>23.8</v>
      </c>
      <c r="AL429">
        <v>-20.106190249999941</v>
      </c>
      <c r="AM429">
        <v>-44.876327742253288</v>
      </c>
      <c r="AN429">
        <v>-20.106190249999941</v>
      </c>
      <c r="AO429">
        <v>-44.876327742253288</v>
      </c>
      <c r="AP429">
        <v>-20.106113000000001</v>
      </c>
      <c r="AQ429">
        <v>-44.876035999999999</v>
      </c>
      <c r="AR429">
        <v>31.686742853465731</v>
      </c>
      <c r="AS429" t="s">
        <v>65</v>
      </c>
      <c r="AT429">
        <v>1</v>
      </c>
      <c r="AU429" t="s">
        <v>1136</v>
      </c>
      <c r="AV429" t="s">
        <v>1137</v>
      </c>
      <c r="AW429" t="s">
        <v>60</v>
      </c>
      <c r="AX429" t="s">
        <v>68</v>
      </c>
      <c r="AY429" t="s">
        <v>69</v>
      </c>
      <c r="AZ429" t="b">
        <v>1</v>
      </c>
    </row>
    <row r="430" spans="1:52" x14ac:dyDescent="0.3">
      <c r="A430" t="s">
        <v>52</v>
      </c>
      <c r="B430" t="s">
        <v>53</v>
      </c>
      <c r="C430" t="s">
        <v>54</v>
      </c>
      <c r="D430" t="s">
        <v>55</v>
      </c>
      <c r="E430" t="s">
        <v>1617</v>
      </c>
      <c r="F430" t="s">
        <v>190</v>
      </c>
      <c r="G430" t="s">
        <v>1138</v>
      </c>
      <c r="H430" t="s">
        <v>1139</v>
      </c>
      <c r="I430" t="s">
        <v>1139</v>
      </c>
      <c r="J430" t="s">
        <v>60</v>
      </c>
      <c r="K430" t="s">
        <v>1140</v>
      </c>
      <c r="L430" t="s">
        <v>62</v>
      </c>
      <c r="M430" t="s">
        <v>1140</v>
      </c>
      <c r="N430" t="s">
        <v>1141</v>
      </c>
      <c r="O430" t="s">
        <v>293</v>
      </c>
      <c r="P430">
        <v>-20.103041999999999</v>
      </c>
      <c r="Q430">
        <v>-44.882694999999998</v>
      </c>
      <c r="R430" s="2" t="str">
        <f>HYPERLINK("https://www.google.com/maps?q=-20.1030420,-44.8826950","Abrir no Google Maps")</f>
        <v>Abrir no Google Maps</v>
      </c>
      <c r="S430">
        <v>3</v>
      </c>
      <c r="T430">
        <v>764.07293048598467</v>
      </c>
      <c r="U430">
        <v>4</v>
      </c>
      <c r="V430">
        <v>0.45045999376646251</v>
      </c>
      <c r="W430">
        <v>1</v>
      </c>
      <c r="X430">
        <v>0.45045999376646251</v>
      </c>
      <c r="Y430">
        <v>314</v>
      </c>
      <c r="Z430">
        <v>696.03268335706969</v>
      </c>
      <c r="AA430">
        <v>198</v>
      </c>
      <c r="AB430">
        <v>332</v>
      </c>
      <c r="AC430">
        <v>536</v>
      </c>
      <c r="AD430">
        <v>33.19</v>
      </c>
      <c r="AE430">
        <v>542</v>
      </c>
      <c r="AF430">
        <v>42</v>
      </c>
      <c r="AG430">
        <v>173</v>
      </c>
      <c r="AH430">
        <v>129</v>
      </c>
      <c r="AI430">
        <v>7.75</v>
      </c>
      <c r="AJ430">
        <v>31.92</v>
      </c>
      <c r="AK430">
        <v>23.8</v>
      </c>
      <c r="AL430">
        <v>-20.10298734999995</v>
      </c>
      <c r="AM430">
        <v>-44.882802925792483</v>
      </c>
      <c r="AN430">
        <v>-20.10298734999995</v>
      </c>
      <c r="AO430">
        <v>-44.882802925792483</v>
      </c>
      <c r="AP430">
        <v>-20.103041999999999</v>
      </c>
      <c r="AQ430">
        <v>-44.882694999999998</v>
      </c>
      <c r="AR430">
        <v>12.8180317775525</v>
      </c>
      <c r="AS430" t="s">
        <v>65</v>
      </c>
      <c r="AT430">
        <v>1</v>
      </c>
      <c r="AU430" t="s">
        <v>1142</v>
      </c>
      <c r="AV430" t="s">
        <v>1143</v>
      </c>
      <c r="AW430" t="s">
        <v>60</v>
      </c>
      <c r="AX430" t="s">
        <v>68</v>
      </c>
      <c r="AY430" t="s">
        <v>69</v>
      </c>
      <c r="AZ430" t="b">
        <v>1</v>
      </c>
    </row>
    <row r="431" spans="1:52" x14ac:dyDescent="0.3">
      <c r="A431" t="s">
        <v>52</v>
      </c>
      <c r="B431" t="s">
        <v>53</v>
      </c>
      <c r="C431" t="s">
        <v>54</v>
      </c>
      <c r="D431" t="s">
        <v>55</v>
      </c>
      <c r="E431" t="s">
        <v>1617</v>
      </c>
      <c r="F431" t="s">
        <v>190</v>
      </c>
      <c r="G431" t="s">
        <v>1133</v>
      </c>
      <c r="H431" t="s">
        <v>1144</v>
      </c>
      <c r="I431" t="s">
        <v>1144</v>
      </c>
      <c r="J431" t="s">
        <v>60</v>
      </c>
      <c r="K431" t="s">
        <v>1123</v>
      </c>
      <c r="L431" t="s">
        <v>62</v>
      </c>
      <c r="M431" t="s">
        <v>1123</v>
      </c>
      <c r="N431" t="s">
        <v>1135</v>
      </c>
      <c r="O431" t="s">
        <v>907</v>
      </c>
      <c r="P431">
        <v>-20.100351</v>
      </c>
      <c r="Q431">
        <v>-44.878037999999997</v>
      </c>
      <c r="R431" s="2" t="str">
        <f>HYPERLINK("https://www.google.com/maps?q=-20.1003510,-44.8780380","Abrir no Google Maps")</f>
        <v>Abrir no Google Maps</v>
      </c>
      <c r="S431">
        <v>3</v>
      </c>
      <c r="T431">
        <v>665.56785712469116</v>
      </c>
      <c r="U431">
        <v>4</v>
      </c>
      <c r="V431">
        <v>0.48095080611823071</v>
      </c>
      <c r="W431">
        <v>1</v>
      </c>
      <c r="X431">
        <v>0.48095080611823071</v>
      </c>
      <c r="Y431">
        <v>314</v>
      </c>
      <c r="Z431">
        <v>584.8532299266725</v>
      </c>
      <c r="AA431">
        <v>198</v>
      </c>
      <c r="AB431">
        <v>332</v>
      </c>
      <c r="AC431">
        <v>536</v>
      </c>
      <c r="AD431">
        <v>33.19</v>
      </c>
      <c r="AE431">
        <v>542</v>
      </c>
      <c r="AF431">
        <v>42</v>
      </c>
      <c r="AG431">
        <v>173</v>
      </c>
      <c r="AH431">
        <v>129</v>
      </c>
      <c r="AI431">
        <v>7.75</v>
      </c>
      <c r="AJ431">
        <v>31.92</v>
      </c>
      <c r="AK431">
        <v>23.8</v>
      </c>
      <c r="AL431">
        <v>-20.100420499999959</v>
      </c>
      <c r="AM431">
        <v>-44.878125332575927</v>
      </c>
      <c r="AN431">
        <v>-20.100420499999959</v>
      </c>
      <c r="AO431">
        <v>-44.878125332575927</v>
      </c>
      <c r="AP431">
        <v>-20.100351</v>
      </c>
      <c r="AQ431">
        <v>-44.878037999999997</v>
      </c>
      <c r="AR431">
        <v>11.966993892024719</v>
      </c>
      <c r="AS431" t="s">
        <v>65</v>
      </c>
      <c r="AT431">
        <v>1</v>
      </c>
      <c r="AU431" t="s">
        <v>1145</v>
      </c>
      <c r="AV431" t="s">
        <v>1146</v>
      </c>
      <c r="AW431" t="s">
        <v>60</v>
      </c>
      <c r="AX431" t="s">
        <v>68</v>
      </c>
      <c r="AY431" t="s">
        <v>69</v>
      </c>
      <c r="AZ431" t="b">
        <v>1</v>
      </c>
    </row>
    <row r="432" spans="1:52" x14ac:dyDescent="0.3">
      <c r="A432" t="s">
        <v>52</v>
      </c>
      <c r="B432" t="s">
        <v>53</v>
      </c>
      <c r="C432" t="s">
        <v>54</v>
      </c>
      <c r="D432" t="s">
        <v>55</v>
      </c>
      <c r="E432" t="s">
        <v>1617</v>
      </c>
      <c r="F432" t="s">
        <v>190</v>
      </c>
      <c r="G432" t="s">
        <v>1147</v>
      </c>
      <c r="H432" t="s">
        <v>1148</v>
      </c>
      <c r="I432" t="s">
        <v>1148</v>
      </c>
      <c r="J432" t="s">
        <v>60</v>
      </c>
      <c r="K432" t="s">
        <v>798</v>
      </c>
      <c r="L432" t="s">
        <v>62</v>
      </c>
      <c r="M432" t="s">
        <v>798</v>
      </c>
      <c r="N432" t="s">
        <v>1149</v>
      </c>
      <c r="O432" t="s">
        <v>836</v>
      </c>
      <c r="P432">
        <v>-20.112448000000001</v>
      </c>
      <c r="Q432">
        <v>-44.904887000000002</v>
      </c>
      <c r="R432" s="2" t="str">
        <f>HYPERLINK("https://www.google.com/maps?q=-20.1124480,-44.9048870","Abrir no Google Maps")</f>
        <v>Abrir no Google Maps</v>
      </c>
      <c r="S432">
        <v>3</v>
      </c>
      <c r="T432">
        <v>404.16588765758058</v>
      </c>
      <c r="U432">
        <v>4</v>
      </c>
      <c r="V432">
        <v>0.46354647093659712</v>
      </c>
      <c r="W432">
        <v>1</v>
      </c>
      <c r="X432">
        <v>0.46354647093659712</v>
      </c>
      <c r="Y432">
        <v>300</v>
      </c>
      <c r="Z432">
        <v>435.21165957304731</v>
      </c>
      <c r="AA432">
        <v>198</v>
      </c>
      <c r="AB432">
        <v>332</v>
      </c>
      <c r="AC432">
        <v>536</v>
      </c>
      <c r="AD432">
        <v>33.19</v>
      </c>
      <c r="AE432">
        <v>542</v>
      </c>
      <c r="AF432">
        <v>42</v>
      </c>
      <c r="AG432">
        <v>173</v>
      </c>
      <c r="AH432">
        <v>129</v>
      </c>
      <c r="AI432">
        <v>7.75</v>
      </c>
      <c r="AJ432">
        <v>31.92</v>
      </c>
      <c r="AK432">
        <v>23.8</v>
      </c>
      <c r="AL432">
        <v>-20.11243479999996</v>
      </c>
      <c r="AM432">
        <v>-44.904803228053026</v>
      </c>
      <c r="AN432">
        <v>-20.11243479999996</v>
      </c>
      <c r="AO432">
        <v>-44.904803228053026</v>
      </c>
      <c r="AP432">
        <v>-20.112448000000001</v>
      </c>
      <c r="AQ432">
        <v>-44.904887000000002</v>
      </c>
      <c r="AR432">
        <v>8.8792525353759544</v>
      </c>
      <c r="AS432" t="s">
        <v>65</v>
      </c>
      <c r="AT432">
        <v>1</v>
      </c>
      <c r="AU432" t="s">
        <v>1150</v>
      </c>
      <c r="AV432" t="s">
        <v>1151</v>
      </c>
      <c r="AW432" t="s">
        <v>60</v>
      </c>
      <c r="AX432" t="s">
        <v>68</v>
      </c>
      <c r="AY432" t="s">
        <v>69</v>
      </c>
      <c r="AZ432" t="b">
        <v>1</v>
      </c>
    </row>
    <row r="433" spans="1:52" x14ac:dyDescent="0.3">
      <c r="A433" t="s">
        <v>52</v>
      </c>
      <c r="B433" t="s">
        <v>53</v>
      </c>
      <c r="C433" t="s">
        <v>54</v>
      </c>
      <c r="D433" t="s">
        <v>55</v>
      </c>
      <c r="E433" t="s">
        <v>1617</v>
      </c>
      <c r="F433" t="s">
        <v>190</v>
      </c>
      <c r="G433" t="s">
        <v>1763</v>
      </c>
      <c r="H433" t="s">
        <v>1764</v>
      </c>
      <c r="I433" t="s">
        <v>1764</v>
      </c>
      <c r="J433" t="s">
        <v>60</v>
      </c>
      <c r="K433" t="s">
        <v>798</v>
      </c>
      <c r="L433" t="s">
        <v>62</v>
      </c>
      <c r="M433" t="s">
        <v>798</v>
      </c>
      <c r="N433" t="s">
        <v>1765</v>
      </c>
      <c r="O433" t="s">
        <v>1766</v>
      </c>
      <c r="P433">
        <v>-20.111158</v>
      </c>
      <c r="Q433">
        <v>-44.901231000000003</v>
      </c>
      <c r="R433" s="2" t="str">
        <f>HYPERLINK("https://www.google.com/maps?q=-20.1111580,-44.9012310","Abrir no Google Maps")</f>
        <v>Abrir no Google Maps</v>
      </c>
      <c r="S433">
        <v>3</v>
      </c>
      <c r="T433">
        <v>0</v>
      </c>
      <c r="U433">
        <v>4</v>
      </c>
      <c r="V433">
        <v>0.46313514106445519</v>
      </c>
      <c r="W433">
        <v>1</v>
      </c>
      <c r="X433">
        <v>0.46313514106445519</v>
      </c>
      <c r="Y433">
        <v>300</v>
      </c>
      <c r="Z433">
        <v>159.5707781627477</v>
      </c>
      <c r="AA433">
        <v>198</v>
      </c>
      <c r="AB433">
        <v>332</v>
      </c>
      <c r="AC433">
        <v>536</v>
      </c>
      <c r="AD433">
        <v>33.19</v>
      </c>
      <c r="AE433">
        <v>542</v>
      </c>
      <c r="AF433">
        <v>42</v>
      </c>
      <c r="AG433">
        <v>173</v>
      </c>
      <c r="AH433">
        <v>129</v>
      </c>
      <c r="AI433">
        <v>7.75</v>
      </c>
      <c r="AJ433">
        <v>31.92</v>
      </c>
      <c r="AK433">
        <v>23.8</v>
      </c>
      <c r="AL433">
        <v>-20.111381299999941</v>
      </c>
      <c r="AM433">
        <v>-44.90110111260114</v>
      </c>
      <c r="AN433">
        <v>-20.111381299999941</v>
      </c>
      <c r="AO433">
        <v>-44.90110111260114</v>
      </c>
      <c r="AP433">
        <v>-20.111158</v>
      </c>
      <c r="AQ433">
        <v>-44.901231000000003</v>
      </c>
      <c r="AR433">
        <v>28.32410367036935</v>
      </c>
      <c r="AS433" t="s">
        <v>65</v>
      </c>
      <c r="AT433">
        <v>1</v>
      </c>
      <c r="AU433" t="s">
        <v>1767</v>
      </c>
      <c r="AV433" t="s">
        <v>1768</v>
      </c>
      <c r="AW433" t="s">
        <v>60</v>
      </c>
      <c r="AX433" t="s">
        <v>68</v>
      </c>
      <c r="AY433" t="s">
        <v>69</v>
      </c>
      <c r="AZ433" t="b">
        <v>1</v>
      </c>
    </row>
    <row r="434" spans="1:52" x14ac:dyDescent="0.3">
      <c r="A434" t="s">
        <v>52</v>
      </c>
      <c r="B434" t="s">
        <v>53</v>
      </c>
      <c r="C434" t="s">
        <v>54</v>
      </c>
      <c r="D434" t="s">
        <v>55</v>
      </c>
      <c r="E434" t="s">
        <v>1617</v>
      </c>
      <c r="F434" t="s">
        <v>190</v>
      </c>
      <c r="G434" t="s">
        <v>1152</v>
      </c>
      <c r="H434" t="s">
        <v>1153</v>
      </c>
      <c r="I434" t="s">
        <v>1153</v>
      </c>
      <c r="J434" t="s">
        <v>60</v>
      </c>
      <c r="K434" t="s">
        <v>798</v>
      </c>
      <c r="L434" t="s">
        <v>62</v>
      </c>
      <c r="M434" t="s">
        <v>798</v>
      </c>
      <c r="N434" t="s">
        <v>1154</v>
      </c>
      <c r="O434" t="s">
        <v>293</v>
      </c>
      <c r="P434">
        <v>-20.112477999999999</v>
      </c>
      <c r="Q434">
        <v>-44.903066000000003</v>
      </c>
      <c r="R434" s="2" t="str">
        <f>HYPERLINK("https://www.google.com/maps?q=-20.1124780,-44.9030660","Abrir no Google Maps")</f>
        <v>Abrir no Google Maps</v>
      </c>
      <c r="S434">
        <v>3</v>
      </c>
      <c r="T434">
        <v>246.8131690803576</v>
      </c>
      <c r="U434">
        <v>4</v>
      </c>
      <c r="V434">
        <v>0.47767628133015338</v>
      </c>
      <c r="W434">
        <v>1</v>
      </c>
      <c r="X434">
        <v>0.47767628133015338</v>
      </c>
      <c r="Y434">
        <v>300</v>
      </c>
      <c r="Z434">
        <v>335.63974056009812</v>
      </c>
      <c r="AA434">
        <v>198</v>
      </c>
      <c r="AB434">
        <v>332</v>
      </c>
      <c r="AC434">
        <v>536</v>
      </c>
      <c r="AD434">
        <v>33.19</v>
      </c>
      <c r="AE434">
        <v>542</v>
      </c>
      <c r="AF434">
        <v>42</v>
      </c>
      <c r="AG434">
        <v>173</v>
      </c>
      <c r="AH434">
        <v>129</v>
      </c>
      <c r="AI434">
        <v>7.75</v>
      </c>
      <c r="AJ434">
        <v>31.92</v>
      </c>
      <c r="AK434">
        <v>23.8</v>
      </c>
      <c r="AL434">
        <v>-20.112499949999972</v>
      </c>
      <c r="AM434">
        <v>-44.903143791889391</v>
      </c>
      <c r="AN434">
        <v>-20.112499949999972</v>
      </c>
      <c r="AO434">
        <v>-44.903143791889391</v>
      </c>
      <c r="AP434">
        <v>-20.112477999999999</v>
      </c>
      <c r="AQ434">
        <v>-44.903066000000003</v>
      </c>
      <c r="AR434">
        <v>8.4908959019572912</v>
      </c>
      <c r="AS434" t="s">
        <v>65</v>
      </c>
      <c r="AT434">
        <v>1</v>
      </c>
      <c r="AU434" t="s">
        <v>1155</v>
      </c>
      <c r="AV434" t="s">
        <v>1156</v>
      </c>
      <c r="AW434" t="s">
        <v>60</v>
      </c>
      <c r="AX434" t="s">
        <v>68</v>
      </c>
      <c r="AY434" t="s">
        <v>69</v>
      </c>
      <c r="AZ434" t="b">
        <v>1</v>
      </c>
    </row>
    <row r="435" spans="1:52" x14ac:dyDescent="0.3">
      <c r="A435" t="s">
        <v>52</v>
      </c>
      <c r="B435" t="s">
        <v>53</v>
      </c>
      <c r="C435" t="s">
        <v>54</v>
      </c>
      <c r="D435" t="s">
        <v>55</v>
      </c>
      <c r="E435" t="s">
        <v>1617</v>
      </c>
      <c r="F435" t="s">
        <v>190</v>
      </c>
      <c r="G435" t="s">
        <v>1769</v>
      </c>
      <c r="H435" t="s">
        <v>1770</v>
      </c>
      <c r="I435" t="s">
        <v>1770</v>
      </c>
      <c r="J435" t="s">
        <v>60</v>
      </c>
      <c r="K435" t="s">
        <v>791</v>
      </c>
      <c r="L435" t="s">
        <v>62</v>
      </c>
      <c r="M435" t="s">
        <v>791</v>
      </c>
      <c r="N435" t="s">
        <v>1771</v>
      </c>
      <c r="O435" t="s">
        <v>494</v>
      </c>
      <c r="P435">
        <v>-20.108464999999999</v>
      </c>
      <c r="Q435">
        <v>-44.902169000000001</v>
      </c>
      <c r="R435" s="2" t="str">
        <f>HYPERLINK("https://www.google.com/maps?q=-20.1084650,-44.9021690","Abrir no Google Maps")</f>
        <v>Abrir no Google Maps</v>
      </c>
      <c r="S435">
        <v>3</v>
      </c>
      <c r="T435">
        <v>332.55452480320798</v>
      </c>
      <c r="U435">
        <v>4</v>
      </c>
      <c r="V435">
        <v>0.4553136788229587</v>
      </c>
      <c r="W435">
        <v>1</v>
      </c>
      <c r="X435">
        <v>0.4553136788229587</v>
      </c>
      <c r="Y435">
        <v>300</v>
      </c>
      <c r="Z435">
        <v>139.01495543278119</v>
      </c>
      <c r="AA435">
        <v>198</v>
      </c>
      <c r="AB435">
        <v>332</v>
      </c>
      <c r="AC435">
        <v>536</v>
      </c>
      <c r="AD435">
        <v>33.19</v>
      </c>
      <c r="AE435">
        <v>542</v>
      </c>
      <c r="AF435">
        <v>42</v>
      </c>
      <c r="AG435">
        <v>173</v>
      </c>
      <c r="AH435">
        <v>129</v>
      </c>
      <c r="AI435">
        <v>7.75</v>
      </c>
      <c r="AJ435">
        <v>31.92</v>
      </c>
      <c r="AK435">
        <v>23.8</v>
      </c>
      <c r="AL435">
        <v>-20.108420149999969</v>
      </c>
      <c r="AM435">
        <v>-44.90164352007664</v>
      </c>
      <c r="AN435">
        <v>-20.108420149999969</v>
      </c>
      <c r="AO435">
        <v>-44.90164352007664</v>
      </c>
      <c r="AP435">
        <v>-20.108464999999999</v>
      </c>
      <c r="AQ435">
        <v>-44.902169000000001</v>
      </c>
      <c r="AR435">
        <v>55.157130612493773</v>
      </c>
      <c r="AS435" t="s">
        <v>65</v>
      </c>
      <c r="AT435">
        <v>1</v>
      </c>
      <c r="AU435" t="s">
        <v>1772</v>
      </c>
      <c r="AV435" t="s">
        <v>1773</v>
      </c>
      <c r="AW435" t="s">
        <v>60</v>
      </c>
      <c r="AX435" t="s">
        <v>68</v>
      </c>
      <c r="AY435" t="s">
        <v>69</v>
      </c>
      <c r="AZ435" t="b">
        <v>1</v>
      </c>
    </row>
    <row r="436" spans="1:52" x14ac:dyDescent="0.3">
      <c r="A436" t="s">
        <v>52</v>
      </c>
      <c r="B436" t="s">
        <v>53</v>
      </c>
      <c r="C436" t="s">
        <v>54</v>
      </c>
      <c r="D436" t="s">
        <v>55</v>
      </c>
      <c r="E436" t="s">
        <v>1617</v>
      </c>
      <c r="F436" t="s">
        <v>190</v>
      </c>
      <c r="G436" t="s">
        <v>796</v>
      </c>
      <c r="H436" t="s">
        <v>797</v>
      </c>
      <c r="I436" t="s">
        <v>797</v>
      </c>
      <c r="J436" t="s">
        <v>60</v>
      </c>
      <c r="K436" t="s">
        <v>798</v>
      </c>
      <c r="L436" t="s">
        <v>62</v>
      </c>
      <c r="M436" t="s">
        <v>798</v>
      </c>
      <c r="N436" t="s">
        <v>799</v>
      </c>
      <c r="O436" t="s">
        <v>800</v>
      </c>
      <c r="P436">
        <v>-20.105681000000001</v>
      </c>
      <c r="Q436">
        <v>-44.902771999999999</v>
      </c>
      <c r="R436" s="2" t="str">
        <f>HYPERLINK("https://www.google.com/maps?q=-20.1056810,-44.9027720","Abrir no Google Maps")</f>
        <v>Abrir no Google Maps</v>
      </c>
      <c r="S436">
        <v>3</v>
      </c>
      <c r="T436">
        <v>654.76334876090721</v>
      </c>
      <c r="U436">
        <v>4</v>
      </c>
      <c r="V436">
        <v>0.45938647881928091</v>
      </c>
      <c r="W436">
        <v>1</v>
      </c>
      <c r="X436">
        <v>0.45938647881928091</v>
      </c>
      <c r="Y436">
        <v>300</v>
      </c>
      <c r="Z436">
        <v>473.90209409135377</v>
      </c>
      <c r="AA436">
        <v>198</v>
      </c>
      <c r="AB436">
        <v>332</v>
      </c>
      <c r="AC436">
        <v>536</v>
      </c>
      <c r="AD436">
        <v>33.19</v>
      </c>
      <c r="AE436">
        <v>542</v>
      </c>
      <c r="AF436">
        <v>42</v>
      </c>
      <c r="AG436">
        <v>173</v>
      </c>
      <c r="AH436">
        <v>129</v>
      </c>
      <c r="AI436">
        <v>7.75</v>
      </c>
      <c r="AJ436">
        <v>31.92</v>
      </c>
      <c r="AK436">
        <v>23.8</v>
      </c>
      <c r="AL436">
        <v>-20.105710249999959</v>
      </c>
      <c r="AM436">
        <v>-44.902887601574513</v>
      </c>
      <c r="AN436">
        <v>-20.105710249999959</v>
      </c>
      <c r="AO436">
        <v>-44.902887601574513</v>
      </c>
      <c r="AP436">
        <v>-20.105681000000001</v>
      </c>
      <c r="AQ436">
        <v>-44.902771999999999</v>
      </c>
      <c r="AR436">
        <v>12.5155291382583</v>
      </c>
      <c r="AS436" t="s">
        <v>65</v>
      </c>
      <c r="AT436">
        <v>1</v>
      </c>
      <c r="AU436" t="s">
        <v>801</v>
      </c>
      <c r="AV436" t="s">
        <v>802</v>
      </c>
      <c r="AW436" t="s">
        <v>60</v>
      </c>
      <c r="AX436" t="s">
        <v>68</v>
      </c>
      <c r="AY436" t="s">
        <v>69</v>
      </c>
      <c r="AZ436" t="b">
        <v>1</v>
      </c>
    </row>
    <row r="437" spans="1:52" x14ac:dyDescent="0.3">
      <c r="A437" t="s">
        <v>52</v>
      </c>
      <c r="B437" t="s">
        <v>53</v>
      </c>
      <c r="C437" t="s">
        <v>54</v>
      </c>
      <c r="D437" t="s">
        <v>55</v>
      </c>
      <c r="E437" t="s">
        <v>1617</v>
      </c>
      <c r="F437" t="s">
        <v>190</v>
      </c>
      <c r="G437" t="s">
        <v>1157</v>
      </c>
      <c r="H437" t="s">
        <v>1158</v>
      </c>
      <c r="I437" t="s">
        <v>1158</v>
      </c>
      <c r="J437" t="s">
        <v>60</v>
      </c>
      <c r="K437" t="s">
        <v>791</v>
      </c>
      <c r="L437" t="s">
        <v>62</v>
      </c>
      <c r="M437" t="s">
        <v>791</v>
      </c>
      <c r="N437" t="s">
        <v>1159</v>
      </c>
      <c r="O437" t="s">
        <v>1160</v>
      </c>
      <c r="P437">
        <v>-20.108114</v>
      </c>
      <c r="Q437">
        <v>-44.905804000000003</v>
      </c>
      <c r="R437" s="2" t="str">
        <f>HYPERLINK("https://www.google.com/maps?q=-20.1081140,-44.9058040","Abrir no Google Maps")</f>
        <v>Abrir no Google Maps</v>
      </c>
      <c r="S437">
        <v>3</v>
      </c>
      <c r="T437">
        <v>603.1428230097074</v>
      </c>
      <c r="U437">
        <v>4</v>
      </c>
      <c r="V437">
        <v>0.51090624119470274</v>
      </c>
      <c r="W437">
        <v>1</v>
      </c>
      <c r="X437">
        <v>0.51090624119470274</v>
      </c>
      <c r="Y437">
        <v>300</v>
      </c>
      <c r="Z437">
        <v>444.71482981499793</v>
      </c>
      <c r="AA437">
        <v>198</v>
      </c>
      <c r="AB437">
        <v>332</v>
      </c>
      <c r="AC437">
        <v>536</v>
      </c>
      <c r="AD437">
        <v>33.19</v>
      </c>
      <c r="AE437">
        <v>542</v>
      </c>
      <c r="AF437">
        <v>42</v>
      </c>
      <c r="AG437">
        <v>173</v>
      </c>
      <c r="AH437">
        <v>129</v>
      </c>
      <c r="AI437">
        <v>7.75</v>
      </c>
      <c r="AJ437">
        <v>31.92</v>
      </c>
      <c r="AK437">
        <v>23.8</v>
      </c>
      <c r="AL437">
        <v>-20.108146549999962</v>
      </c>
      <c r="AM437">
        <v>-44.905744943453513</v>
      </c>
      <c r="AN437">
        <v>-20.108146549999962</v>
      </c>
      <c r="AO437">
        <v>-44.905744943453513</v>
      </c>
      <c r="AP437">
        <v>-20.108114</v>
      </c>
      <c r="AQ437">
        <v>-44.905804000000003</v>
      </c>
      <c r="AR437">
        <v>7.1582799138071884</v>
      </c>
      <c r="AS437" t="s">
        <v>65</v>
      </c>
      <c r="AT437">
        <v>1</v>
      </c>
      <c r="AU437" t="s">
        <v>1161</v>
      </c>
      <c r="AV437" t="s">
        <v>1162</v>
      </c>
      <c r="AW437" t="s">
        <v>60</v>
      </c>
      <c r="AX437" t="s">
        <v>68</v>
      </c>
      <c r="AY437" t="s">
        <v>69</v>
      </c>
      <c r="AZ437" t="b">
        <v>1</v>
      </c>
    </row>
    <row r="438" spans="1:52" x14ac:dyDescent="0.3">
      <c r="A438" t="s">
        <v>52</v>
      </c>
      <c r="B438" t="s">
        <v>53</v>
      </c>
      <c r="C438" t="s">
        <v>54</v>
      </c>
      <c r="D438" t="s">
        <v>55</v>
      </c>
      <c r="E438" t="s">
        <v>1617</v>
      </c>
      <c r="F438" t="s">
        <v>190</v>
      </c>
      <c r="G438" t="s">
        <v>1774</v>
      </c>
      <c r="H438" t="s">
        <v>1775</v>
      </c>
      <c r="I438" t="s">
        <v>1775</v>
      </c>
      <c r="J438" t="s">
        <v>60</v>
      </c>
      <c r="K438" t="s">
        <v>791</v>
      </c>
      <c r="L438" t="s">
        <v>62</v>
      </c>
      <c r="M438" t="s">
        <v>791</v>
      </c>
      <c r="N438" t="s">
        <v>1776</v>
      </c>
      <c r="O438" t="s">
        <v>1777</v>
      </c>
      <c r="P438">
        <v>-20.108148</v>
      </c>
      <c r="Q438">
        <v>-44.909519000000003</v>
      </c>
      <c r="R438" s="2" t="str">
        <f>HYPERLINK("https://www.google.com/maps?q=-20.1081480,-44.9095190","Abrir no Google Maps")</f>
        <v>Abrir no Google Maps</v>
      </c>
      <c r="S438">
        <v>3</v>
      </c>
      <c r="T438">
        <v>960.99382263787027</v>
      </c>
      <c r="U438">
        <v>4</v>
      </c>
      <c r="V438">
        <v>0.51550122039994872</v>
      </c>
      <c r="W438">
        <v>0.85</v>
      </c>
      <c r="X438">
        <v>0.43817603733995641</v>
      </c>
      <c r="Y438">
        <v>300</v>
      </c>
      <c r="Z438">
        <v>830.02784879078899</v>
      </c>
      <c r="AA438">
        <v>198</v>
      </c>
      <c r="AB438">
        <v>332</v>
      </c>
      <c r="AC438">
        <v>536</v>
      </c>
      <c r="AD438">
        <v>33.19</v>
      </c>
      <c r="AE438">
        <v>542</v>
      </c>
      <c r="AF438">
        <v>42</v>
      </c>
      <c r="AG438">
        <v>173</v>
      </c>
      <c r="AH438">
        <v>129</v>
      </c>
      <c r="AI438">
        <v>7.75</v>
      </c>
      <c r="AJ438">
        <v>31.92</v>
      </c>
      <c r="AK438">
        <v>23.8</v>
      </c>
      <c r="AL438">
        <v>-20.10824884999996</v>
      </c>
      <c r="AM438">
        <v>-44.909675442736678</v>
      </c>
      <c r="AN438">
        <v>-20.10824884999996</v>
      </c>
      <c r="AO438">
        <v>-44.909675442736678</v>
      </c>
      <c r="AP438">
        <v>-20.108148</v>
      </c>
      <c r="AQ438">
        <v>-44.909519000000003</v>
      </c>
      <c r="AR438">
        <v>19.8363090254621</v>
      </c>
      <c r="AS438" t="s">
        <v>65</v>
      </c>
      <c r="AT438">
        <v>1</v>
      </c>
      <c r="AU438" t="s">
        <v>1778</v>
      </c>
      <c r="AV438" t="s">
        <v>1779</v>
      </c>
      <c r="AW438" t="s">
        <v>60</v>
      </c>
      <c r="AX438" t="s">
        <v>68</v>
      </c>
      <c r="AY438" t="s">
        <v>69</v>
      </c>
      <c r="AZ438" t="b">
        <v>1</v>
      </c>
    </row>
    <row r="439" spans="1:52" x14ac:dyDescent="0.3">
      <c r="A439" t="s">
        <v>52</v>
      </c>
      <c r="B439" t="s">
        <v>53</v>
      </c>
      <c r="C439" t="s">
        <v>54</v>
      </c>
      <c r="D439" t="s">
        <v>55</v>
      </c>
      <c r="E439" t="s">
        <v>1617</v>
      </c>
      <c r="F439" t="s">
        <v>190</v>
      </c>
      <c r="G439" t="s">
        <v>1780</v>
      </c>
      <c r="H439" t="s">
        <v>1781</v>
      </c>
      <c r="I439" t="s">
        <v>1781</v>
      </c>
      <c r="J439" t="s">
        <v>60</v>
      </c>
      <c r="K439" t="s">
        <v>791</v>
      </c>
      <c r="L439" t="s">
        <v>62</v>
      </c>
      <c r="M439" t="s">
        <v>791</v>
      </c>
      <c r="N439" t="s">
        <v>1782</v>
      </c>
      <c r="O439" t="s">
        <v>283</v>
      </c>
      <c r="P439">
        <v>-20.111986999999999</v>
      </c>
      <c r="Q439">
        <v>-44.915275999999999</v>
      </c>
      <c r="R439" s="2" t="str">
        <f>HYPERLINK("https://www.google.com/maps?q=-20.1119870,-44.9152760","Abrir no Google Maps")</f>
        <v>Abrir no Google Maps</v>
      </c>
      <c r="S439">
        <v>3</v>
      </c>
      <c r="T439">
        <v>1467.0043378534899</v>
      </c>
      <c r="U439">
        <v>4</v>
      </c>
      <c r="V439">
        <v>0.51411342426417816</v>
      </c>
      <c r="W439">
        <v>0.85</v>
      </c>
      <c r="X439">
        <v>0.43699641062455141</v>
      </c>
      <c r="Y439">
        <v>300</v>
      </c>
      <c r="Z439">
        <v>1478.329767690894</v>
      </c>
      <c r="AA439">
        <v>198</v>
      </c>
      <c r="AB439">
        <v>332</v>
      </c>
      <c r="AC439">
        <v>536</v>
      </c>
      <c r="AD439">
        <v>33.19</v>
      </c>
      <c r="AE439">
        <v>542</v>
      </c>
      <c r="AF439">
        <v>42</v>
      </c>
      <c r="AG439">
        <v>173</v>
      </c>
      <c r="AH439">
        <v>129</v>
      </c>
      <c r="AI439">
        <v>7.75</v>
      </c>
      <c r="AJ439">
        <v>31.92</v>
      </c>
      <c r="AK439">
        <v>23.8</v>
      </c>
      <c r="AL439">
        <v>-20.11213934999995</v>
      </c>
      <c r="AM439">
        <v>-44.915112261589371</v>
      </c>
      <c r="AN439">
        <v>-20.11213934999995</v>
      </c>
      <c r="AO439">
        <v>-44.915112261589371</v>
      </c>
      <c r="AP439">
        <v>-20.111986999999999</v>
      </c>
      <c r="AQ439">
        <v>-44.915275999999999</v>
      </c>
      <c r="AR439">
        <v>24.095258739308729</v>
      </c>
      <c r="AS439" t="s">
        <v>65</v>
      </c>
      <c r="AT439">
        <v>1</v>
      </c>
      <c r="AU439" t="s">
        <v>1783</v>
      </c>
      <c r="AV439" t="s">
        <v>1784</v>
      </c>
      <c r="AW439" t="s">
        <v>60</v>
      </c>
      <c r="AX439" t="s">
        <v>68</v>
      </c>
      <c r="AY439" t="s">
        <v>69</v>
      </c>
      <c r="AZ439" t="b">
        <v>1</v>
      </c>
    </row>
    <row r="440" spans="1:52" x14ac:dyDescent="0.3">
      <c r="A440" t="s">
        <v>52</v>
      </c>
      <c r="B440" t="s">
        <v>53</v>
      </c>
      <c r="C440" t="s">
        <v>54</v>
      </c>
      <c r="D440" t="s">
        <v>55</v>
      </c>
      <c r="E440" t="s">
        <v>1617</v>
      </c>
      <c r="F440" t="s">
        <v>190</v>
      </c>
      <c r="G440" t="s">
        <v>1163</v>
      </c>
      <c r="H440" t="s">
        <v>1164</v>
      </c>
      <c r="I440" t="s">
        <v>1164</v>
      </c>
      <c r="J440" t="s">
        <v>60</v>
      </c>
      <c r="K440" t="s">
        <v>1165</v>
      </c>
      <c r="L440" t="s">
        <v>62</v>
      </c>
      <c r="M440" t="s">
        <v>1165</v>
      </c>
      <c r="N440" t="s">
        <v>1166</v>
      </c>
      <c r="O440" t="s">
        <v>1167</v>
      </c>
      <c r="P440">
        <v>-20.155543000000002</v>
      </c>
      <c r="Q440">
        <v>-44.863444000000001</v>
      </c>
      <c r="R440" s="2" t="str">
        <f>HYPERLINK("https://www.google.com/maps?q=-20.1555430,-44.8634440","Abrir no Google Maps")</f>
        <v>Abrir no Google Maps</v>
      </c>
      <c r="S440">
        <v>3</v>
      </c>
      <c r="T440">
        <v>314.02353400254742</v>
      </c>
      <c r="U440">
        <v>4</v>
      </c>
      <c r="V440">
        <v>0.4536410256410256</v>
      </c>
      <c r="W440">
        <v>1</v>
      </c>
      <c r="X440">
        <v>0.4536410256410256</v>
      </c>
      <c r="Y440">
        <v>264</v>
      </c>
      <c r="Z440">
        <v>282.65065866463459</v>
      </c>
      <c r="AA440">
        <v>198</v>
      </c>
      <c r="AB440">
        <v>332</v>
      </c>
      <c r="AC440">
        <v>536</v>
      </c>
      <c r="AD440">
        <v>33.19</v>
      </c>
      <c r="AE440">
        <v>542</v>
      </c>
      <c r="AF440">
        <v>42</v>
      </c>
      <c r="AG440">
        <v>173</v>
      </c>
      <c r="AH440">
        <v>129</v>
      </c>
      <c r="AI440">
        <v>7.75</v>
      </c>
      <c r="AJ440">
        <v>31.92</v>
      </c>
      <c r="AK440">
        <v>23.8</v>
      </c>
      <c r="AL440">
        <v>-20.155436449999939</v>
      </c>
      <c r="AM440">
        <v>-44.863557722691183</v>
      </c>
      <c r="AN440">
        <v>-20.155436449999939</v>
      </c>
      <c r="AO440">
        <v>-44.863557722691183</v>
      </c>
      <c r="AP440">
        <v>-20.155543000000002</v>
      </c>
      <c r="AQ440">
        <v>-44.863444000000001</v>
      </c>
      <c r="AR440">
        <v>16.790610674079979</v>
      </c>
      <c r="AS440" t="s">
        <v>65</v>
      </c>
      <c r="AT440">
        <v>1</v>
      </c>
      <c r="AU440" t="s">
        <v>1168</v>
      </c>
      <c r="AV440" t="s">
        <v>1169</v>
      </c>
      <c r="AW440" t="s">
        <v>60</v>
      </c>
      <c r="AX440" t="s">
        <v>68</v>
      </c>
      <c r="AY440" t="s">
        <v>69</v>
      </c>
      <c r="AZ440" t="b">
        <v>1</v>
      </c>
    </row>
    <row r="441" spans="1:52" x14ac:dyDescent="0.3">
      <c r="A441" t="s">
        <v>52</v>
      </c>
      <c r="B441" t="s">
        <v>53</v>
      </c>
      <c r="C441" t="s">
        <v>54</v>
      </c>
      <c r="D441" t="s">
        <v>55</v>
      </c>
      <c r="E441" t="s">
        <v>1617</v>
      </c>
      <c r="F441" t="s">
        <v>190</v>
      </c>
      <c r="G441" t="s">
        <v>1785</v>
      </c>
      <c r="H441" t="s">
        <v>1786</v>
      </c>
      <c r="I441" t="s">
        <v>1786</v>
      </c>
      <c r="J441" t="s">
        <v>60</v>
      </c>
      <c r="K441" t="s">
        <v>323</v>
      </c>
      <c r="L441" t="s">
        <v>62</v>
      </c>
      <c r="M441" t="s">
        <v>323</v>
      </c>
      <c r="N441" t="s">
        <v>1787</v>
      </c>
      <c r="O441" t="s">
        <v>166</v>
      </c>
      <c r="P441">
        <v>-20.150456999999999</v>
      </c>
      <c r="Q441">
        <v>-44.859959000000003</v>
      </c>
      <c r="R441" s="2" t="str">
        <f>HYPERLINK("https://www.google.com/maps?q=-20.1504570,-44.8599590","Abrir no Google Maps")</f>
        <v>Abrir no Google Maps</v>
      </c>
      <c r="S441">
        <v>3</v>
      </c>
      <c r="T441">
        <v>658.64381182775185</v>
      </c>
      <c r="U441">
        <v>4</v>
      </c>
      <c r="V441">
        <v>0.49231260520623749</v>
      </c>
      <c r="W441">
        <v>1</v>
      </c>
      <c r="X441">
        <v>0.49231260520623749</v>
      </c>
      <c r="Y441">
        <v>264</v>
      </c>
      <c r="Z441">
        <v>516.83560872131818</v>
      </c>
      <c r="AA441">
        <v>198</v>
      </c>
      <c r="AB441">
        <v>332</v>
      </c>
      <c r="AC441">
        <v>536</v>
      </c>
      <c r="AD441">
        <v>33.19</v>
      </c>
      <c r="AE441">
        <v>542</v>
      </c>
      <c r="AF441">
        <v>42</v>
      </c>
      <c r="AG441">
        <v>173</v>
      </c>
      <c r="AH441">
        <v>129</v>
      </c>
      <c r="AI441">
        <v>7.75</v>
      </c>
      <c r="AJ441">
        <v>31.92</v>
      </c>
      <c r="AK441">
        <v>23.8</v>
      </c>
      <c r="AL441">
        <v>-20.150445899999969</v>
      </c>
      <c r="AM441">
        <v>-44.860119388819953</v>
      </c>
      <c r="AN441">
        <v>-20.150445899999969</v>
      </c>
      <c r="AO441">
        <v>-44.860119388819953</v>
      </c>
      <c r="AP441">
        <v>-20.150456999999999</v>
      </c>
      <c r="AQ441">
        <v>-44.859959000000003</v>
      </c>
      <c r="AR441">
        <v>16.807117810283469</v>
      </c>
      <c r="AS441" t="s">
        <v>65</v>
      </c>
      <c r="AT441">
        <v>1</v>
      </c>
      <c r="AU441" t="s">
        <v>1788</v>
      </c>
      <c r="AV441" t="s">
        <v>1789</v>
      </c>
      <c r="AW441" t="s">
        <v>60</v>
      </c>
      <c r="AX441" t="s">
        <v>68</v>
      </c>
      <c r="AY441" t="s">
        <v>69</v>
      </c>
      <c r="AZ441" t="b">
        <v>1</v>
      </c>
    </row>
    <row r="442" spans="1:52" x14ac:dyDescent="0.3">
      <c r="A442" t="s">
        <v>52</v>
      </c>
      <c r="B442" t="s">
        <v>53</v>
      </c>
      <c r="C442" t="s">
        <v>54</v>
      </c>
      <c r="D442" t="s">
        <v>55</v>
      </c>
      <c r="E442" t="s">
        <v>1617</v>
      </c>
      <c r="F442" t="s">
        <v>190</v>
      </c>
      <c r="G442" t="s">
        <v>1170</v>
      </c>
      <c r="H442" t="s">
        <v>1171</v>
      </c>
      <c r="I442" t="s">
        <v>1171</v>
      </c>
      <c r="J442" t="s">
        <v>60</v>
      </c>
      <c r="K442" t="s">
        <v>1165</v>
      </c>
      <c r="L442" t="s">
        <v>62</v>
      </c>
      <c r="M442" t="s">
        <v>1165</v>
      </c>
      <c r="N442" t="s">
        <v>1172</v>
      </c>
      <c r="O442" t="s">
        <v>1160</v>
      </c>
      <c r="P442">
        <v>-20.158208999999999</v>
      </c>
      <c r="Q442">
        <v>-44.865242000000002</v>
      </c>
      <c r="R442" s="2" t="str">
        <f>HYPERLINK("https://www.google.com/maps?q=-20.1582090,-44.8652420","Abrir no Google Maps")</f>
        <v>Abrir no Google Maps</v>
      </c>
      <c r="S442">
        <v>3</v>
      </c>
      <c r="T442">
        <v>529.55269054560301</v>
      </c>
      <c r="U442">
        <v>4</v>
      </c>
      <c r="V442">
        <v>0.45030755742738071</v>
      </c>
      <c r="W442">
        <v>1</v>
      </c>
      <c r="X442">
        <v>0.45030755742738071</v>
      </c>
      <c r="Y442">
        <v>264</v>
      </c>
      <c r="Z442">
        <v>576.82525833351326</v>
      </c>
      <c r="AA442">
        <v>198</v>
      </c>
      <c r="AB442">
        <v>332</v>
      </c>
      <c r="AC442">
        <v>536</v>
      </c>
      <c r="AD442">
        <v>33.19</v>
      </c>
      <c r="AE442">
        <v>542</v>
      </c>
      <c r="AF442">
        <v>42</v>
      </c>
      <c r="AG442">
        <v>173</v>
      </c>
      <c r="AH442">
        <v>129</v>
      </c>
      <c r="AI442">
        <v>7.75</v>
      </c>
      <c r="AJ442">
        <v>31.92</v>
      </c>
      <c r="AK442">
        <v>23.8</v>
      </c>
      <c r="AL442">
        <v>-20.15813384999996</v>
      </c>
      <c r="AM442">
        <v>-44.865189279062598</v>
      </c>
      <c r="AN442">
        <v>-20.15813384999996</v>
      </c>
      <c r="AO442">
        <v>-44.865189279062598</v>
      </c>
      <c r="AP442">
        <v>-20.158208999999999</v>
      </c>
      <c r="AQ442">
        <v>-44.865242000000002</v>
      </c>
      <c r="AR442">
        <v>10.01690313145691</v>
      </c>
      <c r="AS442" t="s">
        <v>65</v>
      </c>
      <c r="AT442">
        <v>1</v>
      </c>
      <c r="AU442" t="s">
        <v>1173</v>
      </c>
      <c r="AV442" t="s">
        <v>1174</v>
      </c>
      <c r="AW442" t="s">
        <v>60</v>
      </c>
      <c r="AX442" t="s">
        <v>68</v>
      </c>
      <c r="AY442" t="s">
        <v>69</v>
      </c>
      <c r="AZ442" t="b">
        <v>1</v>
      </c>
    </row>
    <row r="443" spans="1:52" x14ac:dyDescent="0.3">
      <c r="A443" t="s">
        <v>52</v>
      </c>
      <c r="B443" t="s">
        <v>53</v>
      </c>
      <c r="C443" t="s">
        <v>54</v>
      </c>
      <c r="D443" t="s">
        <v>55</v>
      </c>
      <c r="E443" t="s">
        <v>1617</v>
      </c>
      <c r="F443" t="s">
        <v>190</v>
      </c>
      <c r="G443" t="s">
        <v>1175</v>
      </c>
      <c r="H443" t="s">
        <v>1176</v>
      </c>
      <c r="I443" t="s">
        <v>1176</v>
      </c>
      <c r="J443" t="s">
        <v>60</v>
      </c>
      <c r="K443" t="s">
        <v>1177</v>
      </c>
      <c r="L443" t="s">
        <v>62</v>
      </c>
      <c r="M443" t="s">
        <v>1177</v>
      </c>
      <c r="N443" t="s">
        <v>1178</v>
      </c>
      <c r="O443" t="s">
        <v>1179</v>
      </c>
      <c r="P443">
        <v>-20.153393000000001</v>
      </c>
      <c r="Q443">
        <v>-44.865701999999999</v>
      </c>
      <c r="R443" s="2" t="str">
        <f>HYPERLINK("https://www.google.com/maps?q=-20.1533930,-44.8657020","Abrir no Google Maps")</f>
        <v>Abrir no Google Maps</v>
      </c>
      <c r="S443">
        <v>3</v>
      </c>
      <c r="T443">
        <v>0</v>
      </c>
      <c r="U443">
        <v>4</v>
      </c>
      <c r="V443">
        <v>0.47817868942731279</v>
      </c>
      <c r="W443">
        <v>1</v>
      </c>
      <c r="X443">
        <v>0.47817868942731279</v>
      </c>
      <c r="Y443">
        <v>264</v>
      </c>
      <c r="Z443">
        <v>187.61117597536</v>
      </c>
      <c r="AA443">
        <v>198</v>
      </c>
      <c r="AB443">
        <v>332</v>
      </c>
      <c r="AC443">
        <v>536</v>
      </c>
      <c r="AD443">
        <v>33.19</v>
      </c>
      <c r="AE443">
        <v>542</v>
      </c>
      <c r="AF443">
        <v>42</v>
      </c>
      <c r="AG443">
        <v>173</v>
      </c>
      <c r="AH443">
        <v>129</v>
      </c>
      <c r="AI443">
        <v>7.75</v>
      </c>
      <c r="AJ443">
        <v>31.92</v>
      </c>
      <c r="AK443">
        <v>23.8</v>
      </c>
      <c r="AL443">
        <v>-20.153365199999971</v>
      </c>
      <c r="AM443">
        <v>-44.865611713780503</v>
      </c>
      <c r="AN443">
        <v>-20.153365199999971</v>
      </c>
      <c r="AO443">
        <v>-44.865611713780503</v>
      </c>
      <c r="AP443">
        <v>-20.153393000000001</v>
      </c>
      <c r="AQ443">
        <v>-44.865701999999999</v>
      </c>
      <c r="AR443">
        <v>9.9298532940923003</v>
      </c>
      <c r="AS443" t="s">
        <v>65</v>
      </c>
      <c r="AT443">
        <v>1</v>
      </c>
      <c r="AU443" t="s">
        <v>1180</v>
      </c>
      <c r="AV443" t="s">
        <v>1181</v>
      </c>
      <c r="AW443" t="s">
        <v>60</v>
      </c>
      <c r="AX443" t="s">
        <v>68</v>
      </c>
      <c r="AY443" t="s">
        <v>69</v>
      </c>
      <c r="AZ443" t="b">
        <v>1</v>
      </c>
    </row>
    <row r="444" spans="1:52" x14ac:dyDescent="0.3">
      <c r="A444" t="s">
        <v>52</v>
      </c>
      <c r="B444" t="s">
        <v>53</v>
      </c>
      <c r="C444" t="s">
        <v>54</v>
      </c>
      <c r="D444" t="s">
        <v>55</v>
      </c>
      <c r="E444" t="s">
        <v>1617</v>
      </c>
      <c r="F444" t="s">
        <v>190</v>
      </c>
      <c r="G444" t="s">
        <v>1187</v>
      </c>
      <c r="H444" t="s">
        <v>1188</v>
      </c>
      <c r="I444" t="s">
        <v>1188</v>
      </c>
      <c r="J444" t="s">
        <v>60</v>
      </c>
      <c r="K444" t="s">
        <v>1177</v>
      </c>
      <c r="L444" t="s">
        <v>62</v>
      </c>
      <c r="M444" t="s">
        <v>1177</v>
      </c>
      <c r="N444" t="s">
        <v>1189</v>
      </c>
      <c r="O444" t="s">
        <v>1190</v>
      </c>
      <c r="P444">
        <v>-20.151606999999998</v>
      </c>
      <c r="Q444">
        <v>-44.870784999999998</v>
      </c>
      <c r="R444" s="2" t="str">
        <f>HYPERLINK("https://www.google.com/maps?q=-20.1516070,-44.8707850","Abrir no Google Maps")</f>
        <v>Abrir no Google Maps</v>
      </c>
      <c r="S444">
        <v>3</v>
      </c>
      <c r="T444">
        <v>592.7601508996878</v>
      </c>
      <c r="U444">
        <v>4</v>
      </c>
      <c r="V444">
        <v>0.44058402989265411</v>
      </c>
      <c r="W444">
        <v>1</v>
      </c>
      <c r="X444">
        <v>0.44058402989265411</v>
      </c>
      <c r="Y444">
        <v>198</v>
      </c>
      <c r="Z444">
        <v>605.75141653963317</v>
      </c>
      <c r="AA444">
        <v>198</v>
      </c>
      <c r="AB444">
        <v>332</v>
      </c>
      <c r="AC444">
        <v>536</v>
      </c>
      <c r="AD444">
        <v>33.19</v>
      </c>
      <c r="AE444">
        <v>542</v>
      </c>
      <c r="AF444">
        <v>42</v>
      </c>
      <c r="AG444">
        <v>173</v>
      </c>
      <c r="AH444">
        <v>129</v>
      </c>
      <c r="AI444">
        <v>7.75</v>
      </c>
      <c r="AJ444">
        <v>31.92</v>
      </c>
      <c r="AK444">
        <v>23.8</v>
      </c>
      <c r="AL444">
        <v>-20.151457849999961</v>
      </c>
      <c r="AM444">
        <v>-44.870912038726253</v>
      </c>
      <c r="AN444">
        <v>-20.151457849999961</v>
      </c>
      <c r="AO444">
        <v>-44.870912038726253</v>
      </c>
      <c r="AP444">
        <v>-20.151606999999998</v>
      </c>
      <c r="AQ444">
        <v>-44.870784999999998</v>
      </c>
      <c r="AR444">
        <v>21.258671186047941</v>
      </c>
      <c r="AS444" t="s">
        <v>65</v>
      </c>
      <c r="AT444">
        <v>1</v>
      </c>
      <c r="AU444" t="s">
        <v>1191</v>
      </c>
      <c r="AV444" t="s">
        <v>1192</v>
      </c>
      <c r="AW444" t="s">
        <v>60</v>
      </c>
      <c r="AX444" t="s">
        <v>68</v>
      </c>
      <c r="AY444" t="s">
        <v>69</v>
      </c>
      <c r="AZ444" t="b">
        <v>1</v>
      </c>
    </row>
    <row r="445" spans="1:52" x14ac:dyDescent="0.3">
      <c r="A445" t="s">
        <v>52</v>
      </c>
      <c r="B445" t="s">
        <v>53</v>
      </c>
      <c r="C445" t="s">
        <v>54</v>
      </c>
      <c r="D445" t="s">
        <v>55</v>
      </c>
      <c r="E445" t="s">
        <v>1617</v>
      </c>
      <c r="F445" t="s">
        <v>190</v>
      </c>
      <c r="G445" t="s">
        <v>1790</v>
      </c>
      <c r="H445" t="s">
        <v>1791</v>
      </c>
      <c r="I445" t="s">
        <v>1791</v>
      </c>
      <c r="J445" t="s">
        <v>60</v>
      </c>
      <c r="K445" t="s">
        <v>781</v>
      </c>
      <c r="L445" t="s">
        <v>62</v>
      </c>
      <c r="M445" t="s">
        <v>781</v>
      </c>
      <c r="N445" t="s">
        <v>1792</v>
      </c>
      <c r="O445" t="s">
        <v>1438</v>
      </c>
      <c r="P445">
        <v>-20.140640999999999</v>
      </c>
      <c r="Q445">
        <v>-44.865606999999997</v>
      </c>
      <c r="R445" s="2" t="str">
        <f>HYPERLINK("https://www.google.com/maps?q=-20.1406410,-44.8656070","Abrir no Google Maps")</f>
        <v>Abrir no Google Maps</v>
      </c>
      <c r="S445">
        <v>3</v>
      </c>
      <c r="T445">
        <v>718.83674500124857</v>
      </c>
      <c r="U445">
        <v>4</v>
      </c>
      <c r="V445">
        <v>0.43669418238993701</v>
      </c>
      <c r="W445">
        <v>1</v>
      </c>
      <c r="X445">
        <v>0.43669418238993701</v>
      </c>
      <c r="Y445">
        <v>198</v>
      </c>
      <c r="Z445">
        <v>796.27455839490824</v>
      </c>
      <c r="AA445">
        <v>198</v>
      </c>
      <c r="AB445">
        <v>332</v>
      </c>
      <c r="AC445">
        <v>536</v>
      </c>
      <c r="AD445">
        <v>33.19</v>
      </c>
      <c r="AE445">
        <v>542</v>
      </c>
      <c r="AF445">
        <v>42</v>
      </c>
      <c r="AG445">
        <v>173</v>
      </c>
      <c r="AH445">
        <v>129</v>
      </c>
      <c r="AI445">
        <v>7.75</v>
      </c>
      <c r="AJ445">
        <v>31.92</v>
      </c>
      <c r="AK445">
        <v>23.8</v>
      </c>
      <c r="AL445">
        <v>-20.14068544999995</v>
      </c>
      <c r="AM445">
        <v>-44.865682971258813</v>
      </c>
      <c r="AN445">
        <v>-20.140685449999939</v>
      </c>
      <c r="AO445">
        <v>-44.865682971258813</v>
      </c>
      <c r="AP445">
        <v>-20.140640999999999</v>
      </c>
      <c r="AQ445">
        <v>-44.865606999999997</v>
      </c>
      <c r="AR445">
        <v>9.3556137916774258</v>
      </c>
      <c r="AS445" t="s">
        <v>65</v>
      </c>
      <c r="AT445">
        <v>1</v>
      </c>
      <c r="AU445" t="s">
        <v>1793</v>
      </c>
      <c r="AV445" t="s">
        <v>1794</v>
      </c>
      <c r="AW445" t="s">
        <v>60</v>
      </c>
      <c r="AX445" t="s">
        <v>68</v>
      </c>
      <c r="AY445" t="s">
        <v>69</v>
      </c>
      <c r="AZ445" t="b">
        <v>1</v>
      </c>
    </row>
    <row r="446" spans="1:52" x14ac:dyDescent="0.3">
      <c r="A446" t="s">
        <v>52</v>
      </c>
      <c r="B446" t="s">
        <v>53</v>
      </c>
      <c r="C446" t="s">
        <v>54</v>
      </c>
      <c r="D446" t="s">
        <v>55</v>
      </c>
      <c r="E446" t="s">
        <v>1617</v>
      </c>
      <c r="F446" t="s">
        <v>190</v>
      </c>
      <c r="G446" t="s">
        <v>1193</v>
      </c>
      <c r="H446" t="s">
        <v>1194</v>
      </c>
      <c r="I446" t="s">
        <v>1194</v>
      </c>
      <c r="J446" t="s">
        <v>60</v>
      </c>
      <c r="K446" t="s">
        <v>1195</v>
      </c>
      <c r="L446" t="s">
        <v>62</v>
      </c>
      <c r="M446" t="s">
        <v>1195</v>
      </c>
      <c r="N446" t="s">
        <v>1196</v>
      </c>
      <c r="O446" t="s">
        <v>1197</v>
      </c>
      <c r="P446">
        <v>-20.105342</v>
      </c>
      <c r="Q446">
        <v>-44.964716000000003</v>
      </c>
      <c r="R446" s="2" t="str">
        <f>HYPERLINK("https://www.google.com/maps?q=-20.1053420,-44.9647160","Abrir no Google Maps")</f>
        <v>Abrir no Google Maps</v>
      </c>
      <c r="S446">
        <v>3</v>
      </c>
      <c r="T446">
        <v>893.28710125086457</v>
      </c>
      <c r="U446">
        <v>4</v>
      </c>
      <c r="V446">
        <v>0.45164410058027082</v>
      </c>
      <c r="W446">
        <v>1</v>
      </c>
      <c r="X446">
        <v>0.45164410058027082</v>
      </c>
      <c r="Y446">
        <v>187</v>
      </c>
      <c r="Z446">
        <v>592.18957175243293</v>
      </c>
      <c r="AA446">
        <v>198</v>
      </c>
      <c r="AB446">
        <v>332</v>
      </c>
      <c r="AC446">
        <v>536</v>
      </c>
      <c r="AD446">
        <v>33.19</v>
      </c>
      <c r="AE446">
        <v>542</v>
      </c>
      <c r="AF446">
        <v>42</v>
      </c>
      <c r="AG446">
        <v>173</v>
      </c>
      <c r="AH446">
        <v>129</v>
      </c>
      <c r="AI446">
        <v>7.75</v>
      </c>
      <c r="AJ446">
        <v>31.92</v>
      </c>
      <c r="AK446">
        <v>23.8</v>
      </c>
      <c r="AL446">
        <v>-20.105505699999949</v>
      </c>
      <c r="AM446">
        <v>-44.964494228377532</v>
      </c>
      <c r="AN446">
        <v>-20.105505699999949</v>
      </c>
      <c r="AO446">
        <v>-44.964494228377532</v>
      </c>
      <c r="AP446">
        <v>-20.105342</v>
      </c>
      <c r="AQ446">
        <v>-44.964716000000003</v>
      </c>
      <c r="AR446">
        <v>29.48797728637869</v>
      </c>
      <c r="AS446" t="s">
        <v>65</v>
      </c>
      <c r="AT446">
        <v>1</v>
      </c>
      <c r="AU446" t="s">
        <v>1198</v>
      </c>
      <c r="AV446" t="s">
        <v>1199</v>
      </c>
      <c r="AW446" t="s">
        <v>60</v>
      </c>
      <c r="AX446" t="s">
        <v>68</v>
      </c>
      <c r="AY446" t="s">
        <v>69</v>
      </c>
      <c r="AZ446" t="b">
        <v>1</v>
      </c>
    </row>
    <row r="447" spans="1:52" x14ac:dyDescent="0.3">
      <c r="A447" t="s">
        <v>52</v>
      </c>
      <c r="B447" t="s">
        <v>53</v>
      </c>
      <c r="C447" t="s">
        <v>54</v>
      </c>
      <c r="D447" t="s">
        <v>55</v>
      </c>
      <c r="E447" t="s">
        <v>1617</v>
      </c>
      <c r="F447" t="s">
        <v>190</v>
      </c>
      <c r="G447" t="s">
        <v>1200</v>
      </c>
      <c r="H447" t="s">
        <v>1201</v>
      </c>
      <c r="I447" t="s">
        <v>1201</v>
      </c>
      <c r="J447" t="s">
        <v>60</v>
      </c>
      <c r="K447" t="s">
        <v>1202</v>
      </c>
      <c r="L447" t="s">
        <v>62</v>
      </c>
      <c r="M447" t="s">
        <v>1202</v>
      </c>
      <c r="N447" t="s">
        <v>1203</v>
      </c>
      <c r="O447" t="s">
        <v>710</v>
      </c>
      <c r="P447">
        <v>-20.191745999999998</v>
      </c>
      <c r="Q447">
        <v>-44.904957000000003</v>
      </c>
      <c r="R447" s="2" t="str">
        <f>HYPERLINK("https://www.google.com/maps?q=-20.1917460,-44.9049570","Abrir no Google Maps")</f>
        <v>Abrir no Google Maps</v>
      </c>
      <c r="S447">
        <v>3</v>
      </c>
      <c r="T447">
        <v>882.9384716293963</v>
      </c>
      <c r="U447">
        <v>4</v>
      </c>
      <c r="V447">
        <v>0.4775319148936169</v>
      </c>
      <c r="W447">
        <v>1</v>
      </c>
      <c r="X447">
        <v>0.4775319148936169</v>
      </c>
      <c r="Y447">
        <v>135</v>
      </c>
      <c r="Z447">
        <v>802.45927673397398</v>
      </c>
      <c r="AA447">
        <v>198</v>
      </c>
      <c r="AB447">
        <v>332</v>
      </c>
      <c r="AC447">
        <v>536</v>
      </c>
      <c r="AD447">
        <v>33.19</v>
      </c>
      <c r="AE447">
        <v>542</v>
      </c>
      <c r="AF447">
        <v>42</v>
      </c>
      <c r="AG447">
        <v>173</v>
      </c>
      <c r="AH447">
        <v>129</v>
      </c>
      <c r="AI447">
        <v>7.75</v>
      </c>
      <c r="AJ447">
        <v>31.92</v>
      </c>
      <c r="AK447">
        <v>23.8</v>
      </c>
      <c r="AL447">
        <v>-20.19172654999997</v>
      </c>
      <c r="AM447">
        <v>-44.904976932073851</v>
      </c>
      <c r="AN447">
        <v>-20.19172654999997</v>
      </c>
      <c r="AO447">
        <v>-44.904976932073851</v>
      </c>
      <c r="AP447">
        <v>-20.191745999999998</v>
      </c>
      <c r="AQ447">
        <v>-44.904957000000003</v>
      </c>
      <c r="AR447">
        <v>3.004110632807953</v>
      </c>
      <c r="AS447" t="s">
        <v>65</v>
      </c>
      <c r="AT447">
        <v>1</v>
      </c>
      <c r="AU447" t="s">
        <v>1204</v>
      </c>
      <c r="AV447" t="s">
        <v>1205</v>
      </c>
      <c r="AW447" t="s">
        <v>60</v>
      </c>
      <c r="AX447" t="s">
        <v>68</v>
      </c>
      <c r="AY447" t="s">
        <v>69</v>
      </c>
      <c r="AZ447" t="b">
        <v>1</v>
      </c>
    </row>
    <row r="448" spans="1:52" x14ac:dyDescent="0.3">
      <c r="A448" t="s">
        <v>52</v>
      </c>
      <c r="B448" t="s">
        <v>53</v>
      </c>
      <c r="C448" t="s">
        <v>54</v>
      </c>
      <c r="D448" t="s">
        <v>55</v>
      </c>
      <c r="E448" t="s">
        <v>1617</v>
      </c>
      <c r="F448" t="s">
        <v>190</v>
      </c>
      <c r="G448" t="s">
        <v>1206</v>
      </c>
      <c r="H448" t="s">
        <v>1207</v>
      </c>
      <c r="I448" t="s">
        <v>1207</v>
      </c>
      <c r="J448" t="s">
        <v>60</v>
      </c>
      <c r="K448" t="s">
        <v>475</v>
      </c>
      <c r="L448" t="s">
        <v>62</v>
      </c>
      <c r="M448" t="s">
        <v>475</v>
      </c>
      <c r="N448" t="s">
        <v>1208</v>
      </c>
      <c r="O448" t="s">
        <v>1209</v>
      </c>
      <c r="P448">
        <v>-20.180554999999998</v>
      </c>
      <c r="Q448">
        <v>-44.905642999999998</v>
      </c>
      <c r="R448" s="2" t="str">
        <f>HYPERLINK("https://www.google.com/maps?q=-20.1805550,-44.9056430","Abrir no Google Maps")</f>
        <v>Abrir no Google Maps</v>
      </c>
      <c r="S448">
        <v>3</v>
      </c>
      <c r="T448">
        <v>768.13826761541702</v>
      </c>
      <c r="U448">
        <v>4</v>
      </c>
      <c r="V448">
        <v>0.4402330126853945</v>
      </c>
      <c r="W448">
        <v>1</v>
      </c>
      <c r="X448">
        <v>0.4402330126853945</v>
      </c>
      <c r="Y448">
        <v>135</v>
      </c>
      <c r="Z448">
        <v>442.64437152702573</v>
      </c>
      <c r="AA448">
        <v>198</v>
      </c>
      <c r="AB448">
        <v>332</v>
      </c>
      <c r="AC448">
        <v>536</v>
      </c>
      <c r="AD448">
        <v>33.19</v>
      </c>
      <c r="AE448">
        <v>542</v>
      </c>
      <c r="AF448">
        <v>42</v>
      </c>
      <c r="AG448">
        <v>173</v>
      </c>
      <c r="AH448">
        <v>129</v>
      </c>
      <c r="AI448">
        <v>7.75</v>
      </c>
      <c r="AJ448">
        <v>31.92</v>
      </c>
      <c r="AK448">
        <v>23.8</v>
      </c>
      <c r="AL448">
        <v>-20.180439499999949</v>
      </c>
      <c r="AM448">
        <v>-44.905757266135502</v>
      </c>
      <c r="AN448">
        <v>-20.180439499999949</v>
      </c>
      <c r="AO448">
        <v>-44.905757266135502</v>
      </c>
      <c r="AP448">
        <v>-20.180554999999998</v>
      </c>
      <c r="AQ448">
        <v>-44.905642999999998</v>
      </c>
      <c r="AR448">
        <v>17.545924993698129</v>
      </c>
      <c r="AS448" t="s">
        <v>65</v>
      </c>
      <c r="AT448">
        <v>1</v>
      </c>
      <c r="AU448" t="s">
        <v>1210</v>
      </c>
      <c r="AV448" t="s">
        <v>1211</v>
      </c>
      <c r="AW448" t="s">
        <v>60</v>
      </c>
      <c r="AX448" t="s">
        <v>68</v>
      </c>
      <c r="AY448" t="s">
        <v>69</v>
      </c>
      <c r="AZ448" t="b">
        <v>1</v>
      </c>
    </row>
    <row r="449" spans="1:52" x14ac:dyDescent="0.3">
      <c r="A449" t="s">
        <v>52</v>
      </c>
      <c r="B449" t="s">
        <v>53</v>
      </c>
      <c r="C449" t="s">
        <v>54</v>
      </c>
      <c r="D449" t="s">
        <v>55</v>
      </c>
      <c r="E449" t="s">
        <v>1617</v>
      </c>
      <c r="F449" t="s">
        <v>190</v>
      </c>
      <c r="G449" t="s">
        <v>1795</v>
      </c>
      <c r="H449" t="s">
        <v>1796</v>
      </c>
      <c r="I449" t="s">
        <v>1796</v>
      </c>
      <c r="J449" t="s">
        <v>60</v>
      </c>
      <c r="K449" t="s">
        <v>1797</v>
      </c>
      <c r="L449" t="s">
        <v>62</v>
      </c>
      <c r="M449" t="s">
        <v>1797</v>
      </c>
      <c r="N449" t="s">
        <v>1798</v>
      </c>
      <c r="O449" t="s">
        <v>166</v>
      </c>
      <c r="P449">
        <v>-20.137136999999999</v>
      </c>
      <c r="Q449">
        <v>-44.844737000000002</v>
      </c>
      <c r="R449" s="2" t="str">
        <f>HYPERLINK("https://www.google.com/maps?q=-20.1371370,-44.8447370","Abrir no Google Maps")</f>
        <v>Abrir no Google Maps</v>
      </c>
      <c r="S449">
        <v>3</v>
      </c>
      <c r="T449">
        <v>1265.572541081038</v>
      </c>
      <c r="U449">
        <v>4</v>
      </c>
      <c r="V449">
        <v>0.53584331370343408</v>
      </c>
      <c r="W449">
        <v>0.85</v>
      </c>
      <c r="X449">
        <v>0.45546681664791888</v>
      </c>
      <c r="Y449">
        <v>118</v>
      </c>
      <c r="Z449">
        <v>1247.9681773794671</v>
      </c>
      <c r="AA449">
        <v>198</v>
      </c>
      <c r="AB449">
        <v>332</v>
      </c>
      <c r="AC449">
        <v>536</v>
      </c>
      <c r="AD449">
        <v>33.19</v>
      </c>
      <c r="AE449">
        <v>542</v>
      </c>
      <c r="AF449">
        <v>42</v>
      </c>
      <c r="AG449">
        <v>173</v>
      </c>
      <c r="AH449">
        <v>129</v>
      </c>
      <c r="AI449">
        <v>7.75</v>
      </c>
      <c r="AJ449">
        <v>31.92</v>
      </c>
      <c r="AK449">
        <v>23.8</v>
      </c>
      <c r="AL449">
        <v>-20.137060849999951</v>
      </c>
      <c r="AM449">
        <v>-44.844683186696408</v>
      </c>
      <c r="AN449">
        <v>-20.137060849999951</v>
      </c>
      <c r="AO449">
        <v>-44.844683186696408</v>
      </c>
      <c r="AP449">
        <v>-20.137136999999999</v>
      </c>
      <c r="AQ449">
        <v>-44.844737000000002</v>
      </c>
      <c r="AR449">
        <v>10.173135199564809</v>
      </c>
      <c r="AS449" t="s">
        <v>65</v>
      </c>
      <c r="AT449">
        <v>1</v>
      </c>
      <c r="AU449" t="s">
        <v>1799</v>
      </c>
      <c r="AV449" t="s">
        <v>1800</v>
      </c>
      <c r="AW449" t="s">
        <v>60</v>
      </c>
      <c r="AX449" t="s">
        <v>68</v>
      </c>
      <c r="AY449" t="s">
        <v>69</v>
      </c>
      <c r="AZ449" t="b">
        <v>1</v>
      </c>
    </row>
    <row r="450" spans="1:52" x14ac:dyDescent="0.3">
      <c r="A450" t="s">
        <v>52</v>
      </c>
      <c r="B450" t="s">
        <v>53</v>
      </c>
      <c r="C450" t="s">
        <v>54</v>
      </c>
      <c r="D450" t="s">
        <v>55</v>
      </c>
      <c r="E450" t="s">
        <v>1617</v>
      </c>
      <c r="F450" t="s">
        <v>190</v>
      </c>
      <c r="G450" t="s">
        <v>1218</v>
      </c>
      <c r="H450" t="s">
        <v>1219</v>
      </c>
      <c r="I450" t="s">
        <v>1219</v>
      </c>
      <c r="J450" t="s">
        <v>60</v>
      </c>
      <c r="K450" t="s">
        <v>828</v>
      </c>
      <c r="L450" t="s">
        <v>62</v>
      </c>
      <c r="M450" t="s">
        <v>828</v>
      </c>
      <c r="N450" t="s">
        <v>1220</v>
      </c>
      <c r="O450" t="s">
        <v>1221</v>
      </c>
      <c r="P450">
        <v>-20.132722000000001</v>
      </c>
      <c r="Q450">
        <v>-44.843550999999998</v>
      </c>
      <c r="R450" s="2" t="str">
        <f>HYPERLINK("https://www.google.com/maps?q=-20.1327220,-44.8435510","Abrir no Google Maps")</f>
        <v>Abrir no Google Maps</v>
      </c>
      <c r="S450">
        <v>3</v>
      </c>
      <c r="T450">
        <v>846.88659580558431</v>
      </c>
      <c r="U450">
        <v>4</v>
      </c>
      <c r="V450">
        <v>0.50380952380952382</v>
      </c>
      <c r="W450">
        <v>1</v>
      </c>
      <c r="X450">
        <v>0.50380952380952382</v>
      </c>
      <c r="Y450">
        <v>118</v>
      </c>
      <c r="Z450">
        <v>797.91643890712305</v>
      </c>
      <c r="AA450">
        <v>198</v>
      </c>
      <c r="AB450">
        <v>332</v>
      </c>
      <c r="AC450">
        <v>536</v>
      </c>
      <c r="AD450">
        <v>33.19</v>
      </c>
      <c r="AE450">
        <v>542</v>
      </c>
      <c r="AF450">
        <v>42</v>
      </c>
      <c r="AG450">
        <v>173</v>
      </c>
      <c r="AH450">
        <v>129</v>
      </c>
      <c r="AI450">
        <v>7.75</v>
      </c>
      <c r="AJ450">
        <v>31.92</v>
      </c>
      <c r="AK450">
        <v>23.8</v>
      </c>
      <c r="AL450">
        <v>-20.132714949999979</v>
      </c>
      <c r="AM450">
        <v>-44.843475702545703</v>
      </c>
      <c r="AN450">
        <v>-20.132714949999979</v>
      </c>
      <c r="AO450">
        <v>-44.843475702545703</v>
      </c>
      <c r="AP450">
        <v>-20.132722000000001</v>
      </c>
      <c r="AQ450">
        <v>-44.843550999999998</v>
      </c>
      <c r="AR450">
        <v>7.9089820822755481</v>
      </c>
      <c r="AS450" t="s">
        <v>65</v>
      </c>
      <c r="AT450">
        <v>1</v>
      </c>
      <c r="AU450" t="s">
        <v>1222</v>
      </c>
      <c r="AV450" t="s">
        <v>1223</v>
      </c>
      <c r="AW450" t="s">
        <v>60</v>
      </c>
      <c r="AX450" t="s">
        <v>68</v>
      </c>
      <c r="AY450" t="s">
        <v>69</v>
      </c>
      <c r="AZ450" t="b">
        <v>1</v>
      </c>
    </row>
    <row r="451" spans="1:52" x14ac:dyDescent="0.3">
      <c r="A451" t="s">
        <v>52</v>
      </c>
      <c r="B451" t="s">
        <v>53</v>
      </c>
      <c r="C451" t="s">
        <v>54</v>
      </c>
      <c r="D451" t="s">
        <v>55</v>
      </c>
      <c r="E451" t="s">
        <v>1617</v>
      </c>
      <c r="F451" t="s">
        <v>190</v>
      </c>
      <c r="G451" t="s">
        <v>1801</v>
      </c>
      <c r="H451" t="s">
        <v>1802</v>
      </c>
      <c r="I451" t="s">
        <v>1802</v>
      </c>
      <c r="J451" t="s">
        <v>60</v>
      </c>
      <c r="K451" t="s">
        <v>1803</v>
      </c>
      <c r="L451" t="s">
        <v>62</v>
      </c>
      <c r="M451" t="s">
        <v>1803</v>
      </c>
      <c r="N451" t="s">
        <v>1804</v>
      </c>
      <c r="O451" t="s">
        <v>1805</v>
      </c>
      <c r="P451">
        <v>-20.131599000000001</v>
      </c>
      <c r="Q451">
        <v>-44.839945</v>
      </c>
      <c r="R451" s="2" t="str">
        <f>HYPERLINK("https://www.google.com/maps?q=-20.1315990,-44.8399450","Abrir no Google Maps")</f>
        <v>Abrir no Google Maps</v>
      </c>
      <c r="S451">
        <v>3</v>
      </c>
      <c r="T451">
        <v>480.67866935083049</v>
      </c>
      <c r="U451">
        <v>4</v>
      </c>
      <c r="V451">
        <v>0.50139143625899785</v>
      </c>
      <c r="W451">
        <v>1</v>
      </c>
      <c r="X451">
        <v>0.50139143625899785</v>
      </c>
      <c r="Y451">
        <v>118</v>
      </c>
      <c r="Z451">
        <v>505.26312452494989</v>
      </c>
      <c r="AA451">
        <v>198</v>
      </c>
      <c r="AB451">
        <v>332</v>
      </c>
      <c r="AC451">
        <v>536</v>
      </c>
      <c r="AD451">
        <v>33.19</v>
      </c>
      <c r="AE451">
        <v>542</v>
      </c>
      <c r="AF451">
        <v>42</v>
      </c>
      <c r="AG451">
        <v>173</v>
      </c>
      <c r="AH451">
        <v>129</v>
      </c>
      <c r="AI451">
        <v>7.75</v>
      </c>
      <c r="AJ451">
        <v>31.92</v>
      </c>
      <c r="AK451">
        <v>23.8</v>
      </c>
      <c r="AL451">
        <v>-20.131561999999949</v>
      </c>
      <c r="AM451">
        <v>-44.839930272274998</v>
      </c>
      <c r="AN451">
        <v>-20.131561999999949</v>
      </c>
      <c r="AO451">
        <v>-44.839930272274998</v>
      </c>
      <c r="AP451">
        <v>-20.131599000000001</v>
      </c>
      <c r="AQ451">
        <v>-44.839945</v>
      </c>
      <c r="AR451">
        <v>4.3970860299791923</v>
      </c>
      <c r="AS451" t="s">
        <v>65</v>
      </c>
      <c r="AT451">
        <v>1</v>
      </c>
      <c r="AU451" t="s">
        <v>1806</v>
      </c>
      <c r="AV451" t="s">
        <v>1807</v>
      </c>
      <c r="AW451" t="s">
        <v>60</v>
      </c>
      <c r="AX451" t="s">
        <v>68</v>
      </c>
      <c r="AY451" t="s">
        <v>69</v>
      </c>
      <c r="AZ451" t="b">
        <v>1</v>
      </c>
    </row>
    <row r="452" spans="1:52" x14ac:dyDescent="0.3">
      <c r="A452" t="s">
        <v>52</v>
      </c>
      <c r="B452" t="s">
        <v>53</v>
      </c>
      <c r="C452" t="s">
        <v>54</v>
      </c>
      <c r="D452" t="s">
        <v>55</v>
      </c>
      <c r="E452" t="s">
        <v>1617</v>
      </c>
      <c r="F452" t="s">
        <v>190</v>
      </c>
      <c r="G452" t="s">
        <v>1224</v>
      </c>
      <c r="H452" t="s">
        <v>1230</v>
      </c>
      <c r="I452" t="s">
        <v>1230</v>
      </c>
      <c r="J452" t="s">
        <v>60</v>
      </c>
      <c r="K452" t="s">
        <v>828</v>
      </c>
      <c r="L452" t="s">
        <v>62</v>
      </c>
      <c r="M452" t="s">
        <v>828</v>
      </c>
      <c r="N452" t="s">
        <v>1231</v>
      </c>
      <c r="O452" t="s">
        <v>1232</v>
      </c>
      <c r="P452">
        <v>-20.136106000000002</v>
      </c>
      <c r="Q452">
        <v>-44.838470999999998</v>
      </c>
      <c r="R452" s="2" t="str">
        <f>HYPERLINK("https://www.google.com/maps?q=-20.1361060,-44.8384710","Abrir no Google Maps")</f>
        <v>Abrir no Google Maps</v>
      </c>
      <c r="S452">
        <v>3</v>
      </c>
      <c r="T452">
        <v>910.01690137237858</v>
      </c>
      <c r="U452">
        <v>4</v>
      </c>
      <c r="V452">
        <v>0.49547315147173371</v>
      </c>
      <c r="W452">
        <v>1</v>
      </c>
      <c r="X452">
        <v>0.49547315147173371</v>
      </c>
      <c r="Y452">
        <v>118</v>
      </c>
      <c r="Z452">
        <v>892.76979321439796</v>
      </c>
      <c r="AA452">
        <v>198</v>
      </c>
      <c r="AB452">
        <v>332</v>
      </c>
      <c r="AC452">
        <v>536</v>
      </c>
      <c r="AD452">
        <v>33.19</v>
      </c>
      <c r="AE452">
        <v>542</v>
      </c>
      <c r="AF452">
        <v>42</v>
      </c>
      <c r="AG452">
        <v>173</v>
      </c>
      <c r="AH452">
        <v>129</v>
      </c>
      <c r="AI452">
        <v>7.75</v>
      </c>
      <c r="AJ452">
        <v>31.92</v>
      </c>
      <c r="AK452">
        <v>23.8</v>
      </c>
      <c r="AL452">
        <v>-20.136356149999951</v>
      </c>
      <c r="AM452">
        <v>-44.838929886373997</v>
      </c>
      <c r="AN452">
        <v>-20.136356149999951</v>
      </c>
      <c r="AO452">
        <v>-44.838929886373997</v>
      </c>
      <c r="AP452">
        <v>-20.136106000000002</v>
      </c>
      <c r="AQ452">
        <v>-44.838470999999998</v>
      </c>
      <c r="AR452">
        <v>55.458802856549369</v>
      </c>
      <c r="AS452" t="s">
        <v>65</v>
      </c>
      <c r="AT452">
        <v>1</v>
      </c>
      <c r="AU452" t="s">
        <v>1233</v>
      </c>
      <c r="AV452" t="s">
        <v>1234</v>
      </c>
      <c r="AW452" t="s">
        <v>60</v>
      </c>
      <c r="AX452" t="s">
        <v>68</v>
      </c>
      <c r="AY452" t="s">
        <v>69</v>
      </c>
      <c r="AZ452" t="b">
        <v>1</v>
      </c>
    </row>
    <row r="453" spans="1:52" x14ac:dyDescent="0.3">
      <c r="A453" t="s">
        <v>52</v>
      </c>
      <c r="B453" t="s">
        <v>53</v>
      </c>
      <c r="C453" t="s">
        <v>54</v>
      </c>
      <c r="D453" t="s">
        <v>55</v>
      </c>
      <c r="E453" t="s">
        <v>1617</v>
      </c>
      <c r="F453" t="s">
        <v>190</v>
      </c>
      <c r="G453" t="s">
        <v>826</v>
      </c>
      <c r="H453" t="s">
        <v>827</v>
      </c>
      <c r="I453" t="s">
        <v>827</v>
      </c>
      <c r="J453" t="s">
        <v>60</v>
      </c>
      <c r="K453" t="s">
        <v>828</v>
      </c>
      <c r="L453" t="s">
        <v>62</v>
      </c>
      <c r="M453" t="s">
        <v>828</v>
      </c>
      <c r="N453" t="s">
        <v>829</v>
      </c>
      <c r="O453" t="s">
        <v>830</v>
      </c>
      <c r="P453">
        <v>-20.128309999999999</v>
      </c>
      <c r="Q453">
        <v>-44.8367</v>
      </c>
      <c r="R453" s="2" t="str">
        <f>HYPERLINK("https://www.google.com/maps?q=-20.1283100,-44.8367000","Abrir no Google Maps")</f>
        <v>Abrir no Google Maps</v>
      </c>
      <c r="S453">
        <v>3</v>
      </c>
      <c r="T453">
        <v>0</v>
      </c>
      <c r="U453">
        <v>4</v>
      </c>
      <c r="V453">
        <v>0.48524717514124288</v>
      </c>
      <c r="W453">
        <v>1</v>
      </c>
      <c r="X453">
        <v>0.48524717514124288</v>
      </c>
      <c r="Y453">
        <v>118</v>
      </c>
      <c r="Z453">
        <v>65.93296364139367</v>
      </c>
      <c r="AA453">
        <v>198</v>
      </c>
      <c r="AB453">
        <v>332</v>
      </c>
      <c r="AC453">
        <v>536</v>
      </c>
      <c r="AD453">
        <v>33.19</v>
      </c>
      <c r="AE453">
        <v>542</v>
      </c>
      <c r="AF453">
        <v>42</v>
      </c>
      <c r="AG453">
        <v>173</v>
      </c>
      <c r="AH453">
        <v>129</v>
      </c>
      <c r="AI453">
        <v>7.75</v>
      </c>
      <c r="AJ453">
        <v>31.92</v>
      </c>
      <c r="AK453">
        <v>23.8</v>
      </c>
      <c r="AL453">
        <v>-20.128383649999961</v>
      </c>
      <c r="AM453">
        <v>-44.836795615491283</v>
      </c>
      <c r="AN453">
        <v>-20.128383649999961</v>
      </c>
      <c r="AO453">
        <v>-44.836795615491283</v>
      </c>
      <c r="AP453">
        <v>-20.128309999999999</v>
      </c>
      <c r="AQ453">
        <v>-44.8367</v>
      </c>
      <c r="AR453">
        <v>12.92654496723039</v>
      </c>
      <c r="AS453" t="s">
        <v>65</v>
      </c>
      <c r="AT453">
        <v>1</v>
      </c>
      <c r="AU453" t="s">
        <v>831</v>
      </c>
      <c r="AV453" t="s">
        <v>832</v>
      </c>
      <c r="AW453" t="s">
        <v>60</v>
      </c>
      <c r="AX453" t="s">
        <v>68</v>
      </c>
      <c r="AY453" t="s">
        <v>69</v>
      </c>
      <c r="AZ453" t="b">
        <v>1</v>
      </c>
    </row>
    <row r="454" spans="1:52" x14ac:dyDescent="0.3">
      <c r="A454" t="s">
        <v>52</v>
      </c>
      <c r="B454" t="s">
        <v>53</v>
      </c>
      <c r="C454" t="s">
        <v>54</v>
      </c>
      <c r="D454" t="s">
        <v>55</v>
      </c>
      <c r="E454" t="s">
        <v>1617</v>
      </c>
      <c r="F454" t="s">
        <v>190</v>
      </c>
      <c r="G454" t="s">
        <v>1808</v>
      </c>
      <c r="H454" t="s">
        <v>1809</v>
      </c>
      <c r="I454" t="s">
        <v>1809</v>
      </c>
      <c r="J454" t="s">
        <v>60</v>
      </c>
      <c r="K454" t="s">
        <v>1710</v>
      </c>
      <c r="L454" t="s">
        <v>62</v>
      </c>
      <c r="M454" t="s">
        <v>1710</v>
      </c>
      <c r="N454" t="s">
        <v>1810</v>
      </c>
      <c r="O454" t="s">
        <v>297</v>
      </c>
      <c r="P454">
        <v>-20.144154</v>
      </c>
      <c r="Q454">
        <v>-44.840567</v>
      </c>
      <c r="R454" s="2" t="str">
        <f>HYPERLINK("https://www.google.com/maps?q=-20.1441540,-44.8405670","Abrir no Google Maps")</f>
        <v>Abrir no Google Maps</v>
      </c>
      <c r="S454">
        <v>3</v>
      </c>
      <c r="T454">
        <v>1790.4609200116779</v>
      </c>
      <c r="U454">
        <v>4</v>
      </c>
      <c r="V454">
        <v>0.53614751145768724</v>
      </c>
      <c r="W454">
        <v>0.85</v>
      </c>
      <c r="X454">
        <v>0.45572538473903412</v>
      </c>
      <c r="Y454">
        <v>118</v>
      </c>
      <c r="Z454">
        <v>1718.5674352993251</v>
      </c>
      <c r="AA454">
        <v>198</v>
      </c>
      <c r="AB454">
        <v>332</v>
      </c>
      <c r="AC454">
        <v>536</v>
      </c>
      <c r="AD454">
        <v>33.19</v>
      </c>
      <c r="AE454">
        <v>542</v>
      </c>
      <c r="AF454">
        <v>42</v>
      </c>
      <c r="AG454">
        <v>173</v>
      </c>
      <c r="AH454">
        <v>129</v>
      </c>
      <c r="AI454">
        <v>7.75</v>
      </c>
      <c r="AJ454">
        <v>31.92</v>
      </c>
      <c r="AK454">
        <v>23.8</v>
      </c>
      <c r="AL454">
        <v>-20.144149799999951</v>
      </c>
      <c r="AM454">
        <v>-44.840643310374091</v>
      </c>
      <c r="AN454">
        <v>-20.144149799999951</v>
      </c>
      <c r="AO454">
        <v>-44.840643310374091</v>
      </c>
      <c r="AP454">
        <v>-20.144154</v>
      </c>
      <c r="AQ454">
        <v>-44.840567</v>
      </c>
      <c r="AR454">
        <v>7.9889254965004346</v>
      </c>
      <c r="AS454" t="s">
        <v>65</v>
      </c>
      <c r="AT454">
        <v>1</v>
      </c>
      <c r="AU454" t="s">
        <v>1811</v>
      </c>
      <c r="AV454" t="s">
        <v>1812</v>
      </c>
      <c r="AW454" t="s">
        <v>60</v>
      </c>
      <c r="AX454" t="s">
        <v>68</v>
      </c>
      <c r="AY454" t="s">
        <v>69</v>
      </c>
      <c r="AZ454" t="b">
        <v>1</v>
      </c>
    </row>
    <row r="455" spans="1:52" x14ac:dyDescent="0.3">
      <c r="A455" t="s">
        <v>52</v>
      </c>
      <c r="B455" t="s">
        <v>53</v>
      </c>
      <c r="C455" t="s">
        <v>54</v>
      </c>
      <c r="D455" t="s">
        <v>55</v>
      </c>
      <c r="E455" t="s">
        <v>1617</v>
      </c>
      <c r="F455" t="s">
        <v>190</v>
      </c>
      <c r="G455" t="s">
        <v>1813</v>
      </c>
      <c r="H455" t="s">
        <v>1814</v>
      </c>
      <c r="I455" t="s">
        <v>1814</v>
      </c>
      <c r="J455" t="s">
        <v>60</v>
      </c>
      <c r="K455" t="s">
        <v>1815</v>
      </c>
      <c r="L455" t="s">
        <v>62</v>
      </c>
      <c r="M455" t="s">
        <v>1815</v>
      </c>
      <c r="N455" t="s">
        <v>1816</v>
      </c>
      <c r="O455" t="s">
        <v>793</v>
      </c>
      <c r="P455">
        <v>-20.144487999999999</v>
      </c>
      <c r="Q455">
        <v>-44.836683000000001</v>
      </c>
      <c r="R455" s="2" t="str">
        <f>HYPERLINK("https://www.google.com/maps?q=-20.1444880,-44.8366830","Abrir no Google Maps")</f>
        <v>Abrir no Google Maps</v>
      </c>
      <c r="S455">
        <v>3</v>
      </c>
      <c r="T455">
        <v>1786.4671732320769</v>
      </c>
      <c r="U455">
        <v>4</v>
      </c>
      <c r="V455">
        <v>0.54165696886607473</v>
      </c>
      <c r="W455">
        <v>0.85</v>
      </c>
      <c r="X455">
        <v>0.46040842353616351</v>
      </c>
      <c r="Y455">
        <v>118</v>
      </c>
      <c r="Z455">
        <v>1788.4311204774231</v>
      </c>
      <c r="AA455">
        <v>198</v>
      </c>
      <c r="AB455">
        <v>332</v>
      </c>
      <c r="AC455">
        <v>536</v>
      </c>
      <c r="AD455">
        <v>33.19</v>
      </c>
      <c r="AE455">
        <v>542</v>
      </c>
      <c r="AF455">
        <v>42</v>
      </c>
      <c r="AG455">
        <v>173</v>
      </c>
      <c r="AH455">
        <v>129</v>
      </c>
      <c r="AI455">
        <v>7.75</v>
      </c>
      <c r="AJ455">
        <v>31.92</v>
      </c>
      <c r="AK455">
        <v>23.8</v>
      </c>
      <c r="AL455">
        <v>-20.14452704999994</v>
      </c>
      <c r="AM455">
        <v>-44.836757520268662</v>
      </c>
      <c r="AN455">
        <v>-20.14452704999994</v>
      </c>
      <c r="AO455">
        <v>-44.836757520268662</v>
      </c>
      <c r="AP455">
        <v>-20.144487999999999</v>
      </c>
      <c r="AQ455">
        <v>-44.836683000000001</v>
      </c>
      <c r="AR455">
        <v>8.9191793946858624</v>
      </c>
      <c r="AS455" t="s">
        <v>65</v>
      </c>
      <c r="AT455">
        <v>1</v>
      </c>
      <c r="AU455" t="s">
        <v>1817</v>
      </c>
      <c r="AV455" t="s">
        <v>1818</v>
      </c>
      <c r="AW455" t="s">
        <v>60</v>
      </c>
      <c r="AX455" t="s">
        <v>68</v>
      </c>
      <c r="AY455" t="s">
        <v>69</v>
      </c>
      <c r="AZ455" t="b">
        <v>1</v>
      </c>
    </row>
    <row r="456" spans="1:52" x14ac:dyDescent="0.3">
      <c r="A456" t="s">
        <v>52</v>
      </c>
      <c r="B456" t="s">
        <v>53</v>
      </c>
      <c r="C456" t="s">
        <v>54</v>
      </c>
      <c r="D456" t="s">
        <v>55</v>
      </c>
      <c r="E456" t="s">
        <v>1617</v>
      </c>
      <c r="F456" t="s">
        <v>190</v>
      </c>
      <c r="G456" t="s">
        <v>1819</v>
      </c>
      <c r="H456" t="s">
        <v>1820</v>
      </c>
      <c r="I456" t="s">
        <v>1820</v>
      </c>
      <c r="J456" t="s">
        <v>60</v>
      </c>
      <c r="K456" t="s">
        <v>1821</v>
      </c>
      <c r="L456" t="s">
        <v>62</v>
      </c>
      <c r="M456" t="s">
        <v>1821</v>
      </c>
      <c r="N456" t="s">
        <v>1822</v>
      </c>
      <c r="O456" t="s">
        <v>250</v>
      </c>
      <c r="P456">
        <v>-20.206074999999998</v>
      </c>
      <c r="Q456">
        <v>-44.923881999999999</v>
      </c>
      <c r="R456" s="2" t="str">
        <f>HYPERLINK("https://www.google.com/maps?q=-20.2060750,-44.9238820","Abrir no Google Maps")</f>
        <v>Abrir no Google Maps</v>
      </c>
      <c r="S456">
        <v>3</v>
      </c>
      <c r="T456">
        <v>2167.614130207975</v>
      </c>
      <c r="U456">
        <v>4</v>
      </c>
      <c r="V456">
        <v>0.50550844505036729</v>
      </c>
      <c r="W456">
        <v>1</v>
      </c>
      <c r="X456">
        <v>0.50550844505036729</v>
      </c>
      <c r="Y456">
        <v>113</v>
      </c>
      <c r="Z456">
        <v>2279.572967498636</v>
      </c>
      <c r="AA456">
        <v>198</v>
      </c>
      <c r="AB456">
        <v>332</v>
      </c>
      <c r="AC456">
        <v>536</v>
      </c>
      <c r="AD456">
        <v>33.19</v>
      </c>
      <c r="AE456">
        <v>542</v>
      </c>
      <c r="AF456">
        <v>42</v>
      </c>
      <c r="AG456">
        <v>173</v>
      </c>
      <c r="AH456">
        <v>129</v>
      </c>
      <c r="AI456">
        <v>7.75</v>
      </c>
      <c r="AJ456">
        <v>31.92</v>
      </c>
      <c r="AK456">
        <v>23.8</v>
      </c>
      <c r="AL456">
        <v>-20.206031099999961</v>
      </c>
      <c r="AM456">
        <v>-44.923641529947623</v>
      </c>
      <c r="AN456">
        <v>-20.206031099999961</v>
      </c>
      <c r="AO456">
        <v>-44.923641529947623</v>
      </c>
      <c r="AP456">
        <v>-20.206074999999998</v>
      </c>
      <c r="AQ456">
        <v>-44.923881999999999</v>
      </c>
      <c r="AR456">
        <v>25.59258324329182</v>
      </c>
      <c r="AS456" t="s">
        <v>65</v>
      </c>
      <c r="AT456">
        <v>1</v>
      </c>
      <c r="AU456" t="s">
        <v>1823</v>
      </c>
      <c r="AV456" t="s">
        <v>1824</v>
      </c>
      <c r="AW456" t="s">
        <v>60</v>
      </c>
      <c r="AX456" t="s">
        <v>68</v>
      </c>
      <c r="AY456" t="s">
        <v>69</v>
      </c>
      <c r="AZ456" t="b">
        <v>1</v>
      </c>
    </row>
    <row r="457" spans="1:52" x14ac:dyDescent="0.3">
      <c r="A457" t="s">
        <v>52</v>
      </c>
      <c r="B457" t="s">
        <v>53</v>
      </c>
      <c r="C457" t="s">
        <v>54</v>
      </c>
      <c r="D457" t="s">
        <v>55</v>
      </c>
      <c r="E457" t="s">
        <v>1617</v>
      </c>
      <c r="F457" t="s">
        <v>190</v>
      </c>
      <c r="G457" t="s">
        <v>1825</v>
      </c>
      <c r="H457" t="s">
        <v>1826</v>
      </c>
      <c r="I457" t="s">
        <v>1826</v>
      </c>
      <c r="J457" t="s">
        <v>60</v>
      </c>
      <c r="K457" t="s">
        <v>1821</v>
      </c>
      <c r="L457" t="s">
        <v>62</v>
      </c>
      <c r="M457" t="s">
        <v>1821</v>
      </c>
      <c r="N457" t="s">
        <v>1827</v>
      </c>
      <c r="O457" t="s">
        <v>303</v>
      </c>
      <c r="P457">
        <v>-20.209962000000001</v>
      </c>
      <c r="Q457">
        <v>-44.922398000000001</v>
      </c>
      <c r="R457" s="2" t="str">
        <f>HYPERLINK("https://www.google.com/maps?q=-20.2099620,-44.9223980","Abrir no Google Maps")</f>
        <v>Abrir no Google Maps</v>
      </c>
      <c r="S457">
        <v>3</v>
      </c>
      <c r="T457">
        <v>2648.9288862562971</v>
      </c>
      <c r="U457">
        <v>4</v>
      </c>
      <c r="V457">
        <v>0.50569614943623387</v>
      </c>
      <c r="W457">
        <v>1</v>
      </c>
      <c r="X457">
        <v>0.50569614943623387</v>
      </c>
      <c r="Y457">
        <v>113</v>
      </c>
      <c r="Z457">
        <v>2658.455493028307</v>
      </c>
      <c r="AA457">
        <v>198</v>
      </c>
      <c r="AB457">
        <v>332</v>
      </c>
      <c r="AC457">
        <v>536</v>
      </c>
      <c r="AD457">
        <v>33.19</v>
      </c>
      <c r="AE457">
        <v>542</v>
      </c>
      <c r="AF457">
        <v>42</v>
      </c>
      <c r="AG457">
        <v>173</v>
      </c>
      <c r="AH457">
        <v>129</v>
      </c>
      <c r="AI457">
        <v>7.75</v>
      </c>
      <c r="AJ457">
        <v>31.92</v>
      </c>
      <c r="AK457">
        <v>23.8</v>
      </c>
      <c r="AL457">
        <v>-20.210291849999951</v>
      </c>
      <c r="AM457">
        <v>-44.921758447931353</v>
      </c>
      <c r="AN457">
        <v>-20.210291849999951</v>
      </c>
      <c r="AO457">
        <v>-44.921758447931353</v>
      </c>
      <c r="AP457">
        <v>-20.209962000000001</v>
      </c>
      <c r="AQ457">
        <v>-44.922398000000001</v>
      </c>
      <c r="AR457">
        <v>76.23686013355892</v>
      </c>
      <c r="AS457" t="s">
        <v>65</v>
      </c>
      <c r="AT457">
        <v>1</v>
      </c>
      <c r="AU457" t="s">
        <v>1828</v>
      </c>
      <c r="AV457" t="s">
        <v>1829</v>
      </c>
      <c r="AW457" t="s">
        <v>60</v>
      </c>
      <c r="AX457" t="s">
        <v>68</v>
      </c>
      <c r="AY457" t="s">
        <v>69</v>
      </c>
      <c r="AZ457" t="b">
        <v>1</v>
      </c>
    </row>
    <row r="458" spans="1:52" x14ac:dyDescent="0.3">
      <c r="A458" t="s">
        <v>52</v>
      </c>
      <c r="B458" t="s">
        <v>53</v>
      </c>
      <c r="C458" t="s">
        <v>54</v>
      </c>
      <c r="D458" t="s">
        <v>55</v>
      </c>
      <c r="E458" t="s">
        <v>1617</v>
      </c>
      <c r="F458" t="s">
        <v>190</v>
      </c>
      <c r="G458" t="s">
        <v>1830</v>
      </c>
      <c r="H458" t="s">
        <v>1831</v>
      </c>
      <c r="I458" t="s">
        <v>1831</v>
      </c>
      <c r="J458" t="s">
        <v>60</v>
      </c>
      <c r="K458" t="s">
        <v>1243</v>
      </c>
      <c r="L458" t="s">
        <v>62</v>
      </c>
      <c r="M458" t="s">
        <v>1243</v>
      </c>
      <c r="N458" t="s">
        <v>1832</v>
      </c>
      <c r="O458" t="s">
        <v>1833</v>
      </c>
      <c r="P458">
        <v>-20.196815999999998</v>
      </c>
      <c r="Q458">
        <v>-44.940482000000003</v>
      </c>
      <c r="R458" s="2" t="str">
        <f>HYPERLINK("https://www.google.com/maps?q=-20.1968160,-44.9404820","Abrir no Google Maps")</f>
        <v>Abrir no Google Maps</v>
      </c>
      <c r="S458">
        <v>3</v>
      </c>
      <c r="T458">
        <v>536.34378309151361</v>
      </c>
      <c r="U458">
        <v>4</v>
      </c>
      <c r="V458">
        <v>0.48181281844998658</v>
      </c>
      <c r="W458">
        <v>1</v>
      </c>
      <c r="X458">
        <v>0.48181281844998658</v>
      </c>
      <c r="Y458">
        <v>113</v>
      </c>
      <c r="Z458">
        <v>376.90325621866373</v>
      </c>
      <c r="AA458">
        <v>198</v>
      </c>
      <c r="AB458">
        <v>332</v>
      </c>
      <c r="AC458">
        <v>536</v>
      </c>
      <c r="AD458">
        <v>33.19</v>
      </c>
      <c r="AE458">
        <v>542</v>
      </c>
      <c r="AF458">
        <v>42</v>
      </c>
      <c r="AG458">
        <v>173</v>
      </c>
      <c r="AH458">
        <v>129</v>
      </c>
      <c r="AI458">
        <v>7.75</v>
      </c>
      <c r="AJ458">
        <v>31.92</v>
      </c>
      <c r="AK458">
        <v>23.8</v>
      </c>
      <c r="AL458">
        <v>-20.196517149999949</v>
      </c>
      <c r="AM458">
        <v>-44.94010487355537</v>
      </c>
      <c r="AN458">
        <v>-20.196517149999949</v>
      </c>
      <c r="AO458">
        <v>-44.94010487355537</v>
      </c>
      <c r="AP458">
        <v>-20.196815999999998</v>
      </c>
      <c r="AQ458">
        <v>-44.940482000000003</v>
      </c>
      <c r="AR458">
        <v>51.566969969189948</v>
      </c>
      <c r="AS458" t="s">
        <v>65</v>
      </c>
      <c r="AT458">
        <v>1</v>
      </c>
      <c r="AU458" t="s">
        <v>1834</v>
      </c>
      <c r="AV458" t="s">
        <v>1835</v>
      </c>
      <c r="AW458" t="s">
        <v>60</v>
      </c>
      <c r="AX458" t="s">
        <v>68</v>
      </c>
      <c r="AY458" t="s">
        <v>69</v>
      </c>
      <c r="AZ458" t="b">
        <v>1</v>
      </c>
    </row>
    <row r="459" spans="1:52" x14ac:dyDescent="0.3">
      <c r="A459" t="s">
        <v>52</v>
      </c>
      <c r="B459" t="s">
        <v>53</v>
      </c>
      <c r="C459" t="s">
        <v>54</v>
      </c>
      <c r="D459" t="s">
        <v>55</v>
      </c>
      <c r="E459" t="s">
        <v>1617</v>
      </c>
      <c r="F459" t="s">
        <v>190</v>
      </c>
      <c r="G459" t="s">
        <v>1836</v>
      </c>
      <c r="H459" t="s">
        <v>1837</v>
      </c>
      <c r="I459" t="s">
        <v>1837</v>
      </c>
      <c r="J459" t="s">
        <v>60</v>
      </c>
      <c r="K459" t="s">
        <v>1243</v>
      </c>
      <c r="L459" t="s">
        <v>62</v>
      </c>
      <c r="M459" t="s">
        <v>1243</v>
      </c>
      <c r="N459" t="s">
        <v>1838</v>
      </c>
      <c r="O459" t="s">
        <v>1839</v>
      </c>
      <c r="P459">
        <v>-20.194417999999999</v>
      </c>
      <c r="Q459">
        <v>-44.943080999999999</v>
      </c>
      <c r="R459" s="2" t="str">
        <f>HYPERLINK("https://www.google.com/maps?q=-20.1944180,-44.9430810","Abrir no Google Maps")</f>
        <v>Abrir no Google Maps</v>
      </c>
      <c r="S459">
        <v>3</v>
      </c>
      <c r="T459">
        <v>570.3426559957137</v>
      </c>
      <c r="U459">
        <v>4</v>
      </c>
      <c r="V459">
        <v>0.49965433461174819</v>
      </c>
      <c r="W459">
        <v>1</v>
      </c>
      <c r="X459">
        <v>0.49965433461174819</v>
      </c>
      <c r="Y459">
        <v>113</v>
      </c>
      <c r="Z459">
        <v>342.73864025959449</v>
      </c>
      <c r="AA459">
        <v>198</v>
      </c>
      <c r="AB459">
        <v>332</v>
      </c>
      <c r="AC459">
        <v>536</v>
      </c>
      <c r="AD459">
        <v>33.19</v>
      </c>
      <c r="AE459">
        <v>542</v>
      </c>
      <c r="AF459">
        <v>42</v>
      </c>
      <c r="AG459">
        <v>173</v>
      </c>
      <c r="AH459">
        <v>129</v>
      </c>
      <c r="AI459">
        <v>7.75</v>
      </c>
      <c r="AJ459">
        <v>31.92</v>
      </c>
      <c r="AK459">
        <v>23.8</v>
      </c>
      <c r="AL459">
        <v>-20.194494749999929</v>
      </c>
      <c r="AM459">
        <v>-44.942951635393733</v>
      </c>
      <c r="AN459">
        <v>-20.194494749999929</v>
      </c>
      <c r="AO459">
        <v>-44.942951635393733</v>
      </c>
      <c r="AP459">
        <v>-20.194417999999999</v>
      </c>
      <c r="AQ459">
        <v>-44.943080999999999</v>
      </c>
      <c r="AR459">
        <v>15.9896188813922</v>
      </c>
      <c r="AS459" t="s">
        <v>65</v>
      </c>
      <c r="AT459">
        <v>1</v>
      </c>
      <c r="AU459" t="s">
        <v>1840</v>
      </c>
      <c r="AV459" t="s">
        <v>1841</v>
      </c>
      <c r="AW459" t="s">
        <v>60</v>
      </c>
      <c r="AX459" t="s">
        <v>68</v>
      </c>
      <c r="AY459" t="s">
        <v>69</v>
      </c>
      <c r="AZ459" t="b">
        <v>1</v>
      </c>
    </row>
    <row r="460" spans="1:52" x14ac:dyDescent="0.3">
      <c r="A460" t="s">
        <v>52</v>
      </c>
      <c r="B460" t="s">
        <v>53</v>
      </c>
      <c r="C460" t="s">
        <v>54</v>
      </c>
      <c r="D460" t="s">
        <v>55</v>
      </c>
      <c r="E460" t="s">
        <v>1617</v>
      </c>
      <c r="F460" t="s">
        <v>190</v>
      </c>
      <c r="G460" t="s">
        <v>1235</v>
      </c>
      <c r="H460" t="s">
        <v>1236</v>
      </c>
      <c r="I460" t="s">
        <v>1236</v>
      </c>
      <c r="J460" t="s">
        <v>60</v>
      </c>
      <c r="K460" t="s">
        <v>1237</v>
      </c>
      <c r="L460" t="s">
        <v>62</v>
      </c>
      <c r="M460" t="s">
        <v>1237</v>
      </c>
      <c r="N460" t="s">
        <v>1238</v>
      </c>
      <c r="O460" t="s">
        <v>315</v>
      </c>
      <c r="P460">
        <v>-20.199687000000001</v>
      </c>
      <c r="Q460">
        <v>-44.941882999999997</v>
      </c>
      <c r="R460" s="2" t="str">
        <f>HYPERLINK("https://www.google.com/maps?q=-20.1996870,-44.9418830","Abrir no Google Maps")</f>
        <v>Abrir no Google Maps</v>
      </c>
      <c r="S460">
        <v>3</v>
      </c>
      <c r="T460">
        <v>928.80393950893483</v>
      </c>
      <c r="U460">
        <v>4</v>
      </c>
      <c r="V460">
        <v>0.4792646485058395</v>
      </c>
      <c r="W460">
        <v>1</v>
      </c>
      <c r="X460">
        <v>0.4792646485058395</v>
      </c>
      <c r="Y460">
        <v>113</v>
      </c>
      <c r="Z460">
        <v>798.11967422937732</v>
      </c>
      <c r="AA460">
        <v>198</v>
      </c>
      <c r="AB460">
        <v>332</v>
      </c>
      <c r="AC460">
        <v>536</v>
      </c>
      <c r="AD460">
        <v>33.19</v>
      </c>
      <c r="AE460">
        <v>542</v>
      </c>
      <c r="AF460">
        <v>42</v>
      </c>
      <c r="AG460">
        <v>173</v>
      </c>
      <c r="AH460">
        <v>129</v>
      </c>
      <c r="AI460">
        <v>7.75</v>
      </c>
      <c r="AJ460">
        <v>31.92</v>
      </c>
      <c r="AK460">
        <v>23.8</v>
      </c>
      <c r="AL460">
        <v>-20.199663899999958</v>
      </c>
      <c r="AM460">
        <v>-44.941858448694838</v>
      </c>
      <c r="AN460">
        <v>-20.199663899999958</v>
      </c>
      <c r="AO460">
        <v>-44.941858448694838</v>
      </c>
      <c r="AP460">
        <v>-20.199687000000001</v>
      </c>
      <c r="AQ460">
        <v>-44.941882999999997</v>
      </c>
      <c r="AR460">
        <v>3.632019521873886</v>
      </c>
      <c r="AS460" t="s">
        <v>65</v>
      </c>
      <c r="AT460">
        <v>1</v>
      </c>
      <c r="AU460" t="s">
        <v>1239</v>
      </c>
      <c r="AV460" t="s">
        <v>1240</v>
      </c>
      <c r="AW460" t="s">
        <v>60</v>
      </c>
      <c r="AX460" t="s">
        <v>68</v>
      </c>
      <c r="AY460" t="s">
        <v>69</v>
      </c>
      <c r="AZ460" t="b">
        <v>1</v>
      </c>
    </row>
    <row r="461" spans="1:52" x14ac:dyDescent="0.3">
      <c r="A461" t="s">
        <v>52</v>
      </c>
      <c r="B461" t="s">
        <v>53</v>
      </c>
      <c r="C461" t="s">
        <v>54</v>
      </c>
      <c r="D461" t="s">
        <v>55</v>
      </c>
      <c r="E461" t="s">
        <v>1617</v>
      </c>
      <c r="F461" t="s">
        <v>190</v>
      </c>
      <c r="G461" t="s">
        <v>1842</v>
      </c>
      <c r="H461" t="s">
        <v>1843</v>
      </c>
      <c r="I461" t="s">
        <v>1843</v>
      </c>
      <c r="J461" t="s">
        <v>60</v>
      </c>
      <c r="K461" t="s">
        <v>1243</v>
      </c>
      <c r="L461" t="s">
        <v>62</v>
      </c>
      <c r="M461" t="s">
        <v>1243</v>
      </c>
      <c r="N461" t="s">
        <v>1844</v>
      </c>
      <c r="O461" t="s">
        <v>598</v>
      </c>
      <c r="P461">
        <v>-20.191507999999999</v>
      </c>
      <c r="Q461">
        <v>-44.942765000000001</v>
      </c>
      <c r="R461" s="2" t="str">
        <f>HYPERLINK("https://www.google.com/maps?q=-20.1915080,-44.9427650","Abrir no Google Maps")</f>
        <v>Abrir no Google Maps</v>
      </c>
      <c r="S461">
        <v>3</v>
      </c>
      <c r="T461">
        <v>481.65843439031818</v>
      </c>
      <c r="U461">
        <v>4</v>
      </c>
      <c r="V461">
        <v>0.46993806564925628</v>
      </c>
      <c r="W461">
        <v>1</v>
      </c>
      <c r="X461">
        <v>0.46993806564925628</v>
      </c>
      <c r="Y461">
        <v>113</v>
      </c>
      <c r="Z461">
        <v>403.01657911729887</v>
      </c>
      <c r="AA461">
        <v>198</v>
      </c>
      <c r="AB461">
        <v>332</v>
      </c>
      <c r="AC461">
        <v>536</v>
      </c>
      <c r="AD461">
        <v>33.19</v>
      </c>
      <c r="AE461">
        <v>542</v>
      </c>
      <c r="AF461">
        <v>42</v>
      </c>
      <c r="AG461">
        <v>173</v>
      </c>
      <c r="AH461">
        <v>129</v>
      </c>
      <c r="AI461">
        <v>7.75</v>
      </c>
      <c r="AJ461">
        <v>31.92</v>
      </c>
      <c r="AK461">
        <v>23.8</v>
      </c>
      <c r="AL461">
        <v>-20.19144764999993</v>
      </c>
      <c r="AM461">
        <v>-44.942723431709183</v>
      </c>
      <c r="AN461">
        <v>-20.19144764999993</v>
      </c>
      <c r="AO461">
        <v>-44.942723431709183</v>
      </c>
      <c r="AP461">
        <v>-20.191507999999999</v>
      </c>
      <c r="AQ461">
        <v>-44.942765000000001</v>
      </c>
      <c r="AR461">
        <v>7.9997116897974587</v>
      </c>
      <c r="AS461" t="s">
        <v>65</v>
      </c>
      <c r="AT461">
        <v>1</v>
      </c>
      <c r="AU461" t="s">
        <v>1845</v>
      </c>
      <c r="AV461" t="s">
        <v>1846</v>
      </c>
      <c r="AW461" t="s">
        <v>60</v>
      </c>
      <c r="AX461" t="s">
        <v>68</v>
      </c>
      <c r="AY461" t="s">
        <v>69</v>
      </c>
      <c r="AZ461" t="b">
        <v>1</v>
      </c>
    </row>
    <row r="462" spans="1:52" x14ac:dyDescent="0.3">
      <c r="A462" t="s">
        <v>52</v>
      </c>
      <c r="B462" t="s">
        <v>53</v>
      </c>
      <c r="C462" t="s">
        <v>54</v>
      </c>
      <c r="D462" t="s">
        <v>55</v>
      </c>
      <c r="E462" t="s">
        <v>1617</v>
      </c>
      <c r="F462" t="s">
        <v>190</v>
      </c>
      <c r="G462" t="s">
        <v>1241</v>
      </c>
      <c r="H462" t="s">
        <v>1242</v>
      </c>
      <c r="I462" t="s">
        <v>1242</v>
      </c>
      <c r="J462" t="s">
        <v>60</v>
      </c>
      <c r="K462" t="s">
        <v>1243</v>
      </c>
      <c r="L462" t="s">
        <v>62</v>
      </c>
      <c r="M462" t="s">
        <v>1243</v>
      </c>
      <c r="N462" t="s">
        <v>1244</v>
      </c>
      <c r="O462" t="s">
        <v>315</v>
      </c>
      <c r="P462">
        <v>-20.188538000000001</v>
      </c>
      <c r="Q462">
        <v>-44.930104</v>
      </c>
      <c r="R462" s="2" t="str">
        <f>HYPERLINK("https://www.google.com/maps?q=-20.1885380,-44.9301040","Abrir no Google Maps")</f>
        <v>Abrir no Google Maps</v>
      </c>
      <c r="S462">
        <v>3</v>
      </c>
      <c r="T462">
        <v>928.27105405717066</v>
      </c>
      <c r="U462">
        <v>4</v>
      </c>
      <c r="V462">
        <v>0.4662377907920946</v>
      </c>
      <c r="W462">
        <v>1</v>
      </c>
      <c r="X462">
        <v>0.4662377907920946</v>
      </c>
      <c r="Y462">
        <v>113</v>
      </c>
      <c r="Z462">
        <v>1111.4269393179579</v>
      </c>
      <c r="AA462">
        <v>198</v>
      </c>
      <c r="AB462">
        <v>332</v>
      </c>
      <c r="AC462">
        <v>536</v>
      </c>
      <c r="AD462">
        <v>33.19</v>
      </c>
      <c r="AE462">
        <v>542</v>
      </c>
      <c r="AF462">
        <v>42</v>
      </c>
      <c r="AG462">
        <v>173</v>
      </c>
      <c r="AH462">
        <v>129</v>
      </c>
      <c r="AI462">
        <v>7.75</v>
      </c>
      <c r="AJ462">
        <v>31.92</v>
      </c>
      <c r="AK462">
        <v>23.8</v>
      </c>
      <c r="AL462">
        <v>-20.18852899999996</v>
      </c>
      <c r="AM462">
        <v>-44.930083089036543</v>
      </c>
      <c r="AN462">
        <v>-20.18852899999996</v>
      </c>
      <c r="AO462">
        <v>-44.930083089036543</v>
      </c>
      <c r="AP462">
        <v>-20.188538000000001</v>
      </c>
      <c r="AQ462">
        <v>-44.930104</v>
      </c>
      <c r="AR462">
        <v>2.4035564137158438</v>
      </c>
      <c r="AS462" t="s">
        <v>65</v>
      </c>
      <c r="AT462">
        <v>1</v>
      </c>
      <c r="AU462" t="s">
        <v>1245</v>
      </c>
      <c r="AV462" t="s">
        <v>1246</v>
      </c>
      <c r="AW462" t="s">
        <v>60</v>
      </c>
      <c r="AX462" t="s">
        <v>68</v>
      </c>
      <c r="AY462" t="s">
        <v>69</v>
      </c>
      <c r="AZ462" t="b">
        <v>1</v>
      </c>
    </row>
    <row r="463" spans="1:52" x14ac:dyDescent="0.3">
      <c r="A463" t="s">
        <v>52</v>
      </c>
      <c r="B463" t="s">
        <v>53</v>
      </c>
      <c r="C463" t="s">
        <v>54</v>
      </c>
      <c r="D463" t="s">
        <v>55</v>
      </c>
      <c r="E463" t="s">
        <v>1617</v>
      </c>
      <c r="F463" t="s">
        <v>190</v>
      </c>
      <c r="G463" t="s">
        <v>1235</v>
      </c>
      <c r="H463" t="s">
        <v>1847</v>
      </c>
      <c r="I463" t="s">
        <v>1847</v>
      </c>
      <c r="J463" t="s">
        <v>60</v>
      </c>
      <c r="K463" t="s">
        <v>1243</v>
      </c>
      <c r="L463" t="s">
        <v>62</v>
      </c>
      <c r="M463" t="s">
        <v>1243</v>
      </c>
      <c r="N463" t="s">
        <v>1238</v>
      </c>
      <c r="O463" t="s">
        <v>1351</v>
      </c>
      <c r="P463">
        <v>-20.194087</v>
      </c>
      <c r="Q463">
        <v>-44.936889999999998</v>
      </c>
      <c r="R463" s="2" t="str">
        <f>HYPERLINK("https://www.google.com/maps?q=-20.1940870,-44.9368900","Abrir no Google Maps")</f>
        <v>Abrir no Google Maps</v>
      </c>
      <c r="S463">
        <v>3</v>
      </c>
      <c r="T463">
        <v>257.18642318734362</v>
      </c>
      <c r="U463">
        <v>4</v>
      </c>
      <c r="V463">
        <v>0.49315859483644719</v>
      </c>
      <c r="W463">
        <v>1</v>
      </c>
      <c r="X463">
        <v>0.49315859483644719</v>
      </c>
      <c r="Y463">
        <v>113</v>
      </c>
      <c r="Z463">
        <v>339.77652558311001</v>
      </c>
      <c r="AA463">
        <v>198</v>
      </c>
      <c r="AB463">
        <v>332</v>
      </c>
      <c r="AC463">
        <v>536</v>
      </c>
      <c r="AD463">
        <v>33.19</v>
      </c>
      <c r="AE463">
        <v>542</v>
      </c>
      <c r="AF463">
        <v>42</v>
      </c>
      <c r="AG463">
        <v>173</v>
      </c>
      <c r="AH463">
        <v>129</v>
      </c>
      <c r="AI463">
        <v>7.75</v>
      </c>
      <c r="AJ463">
        <v>31.92</v>
      </c>
      <c r="AK463">
        <v>23.8</v>
      </c>
      <c r="AL463">
        <v>-20.19405954999996</v>
      </c>
      <c r="AM463">
        <v>-44.936949074015281</v>
      </c>
      <c r="AN463">
        <v>-20.19405954999996</v>
      </c>
      <c r="AO463">
        <v>-44.936949074015281</v>
      </c>
      <c r="AP463">
        <v>-20.194087</v>
      </c>
      <c r="AQ463">
        <v>-44.936889999999998</v>
      </c>
      <c r="AR463">
        <v>6.8869138825619167</v>
      </c>
      <c r="AS463" t="s">
        <v>65</v>
      </c>
      <c r="AT463">
        <v>1</v>
      </c>
      <c r="AU463" t="s">
        <v>1848</v>
      </c>
      <c r="AV463" t="s">
        <v>1849</v>
      </c>
      <c r="AW463" t="s">
        <v>60</v>
      </c>
      <c r="AX463" t="s">
        <v>68</v>
      </c>
      <c r="AY463" t="s">
        <v>69</v>
      </c>
      <c r="AZ463" t="b">
        <v>1</v>
      </c>
    </row>
    <row r="464" spans="1:52" x14ac:dyDescent="0.3">
      <c r="A464" t="s">
        <v>52</v>
      </c>
      <c r="B464" t="s">
        <v>53</v>
      </c>
      <c r="C464" t="s">
        <v>54</v>
      </c>
      <c r="D464" t="s">
        <v>55</v>
      </c>
      <c r="E464" t="s">
        <v>1617</v>
      </c>
      <c r="F464" t="s">
        <v>190</v>
      </c>
      <c r="G464" t="s">
        <v>1850</v>
      </c>
      <c r="H464" t="s">
        <v>1851</v>
      </c>
      <c r="I464" t="s">
        <v>1851</v>
      </c>
      <c r="J464" t="s">
        <v>60</v>
      </c>
      <c r="K464" t="s">
        <v>1681</v>
      </c>
      <c r="L464" t="s">
        <v>62</v>
      </c>
      <c r="M464" t="s">
        <v>1681</v>
      </c>
      <c r="N464" t="s">
        <v>1852</v>
      </c>
      <c r="O464" t="s">
        <v>1853</v>
      </c>
      <c r="P464">
        <v>-20.139354000000001</v>
      </c>
      <c r="Q464">
        <v>-44.855398999999998</v>
      </c>
      <c r="R464" s="2" t="str">
        <f>HYPERLINK("https://www.google.com/maps?q=-20.1393540,-44.8553990","Abrir no Google Maps")</f>
        <v>Abrir no Google Maps</v>
      </c>
      <c r="S464">
        <v>3</v>
      </c>
      <c r="T464">
        <v>694.41696355871329</v>
      </c>
      <c r="U464">
        <v>4</v>
      </c>
      <c r="V464">
        <v>0.47916139526477491</v>
      </c>
      <c r="W464">
        <v>1</v>
      </c>
      <c r="X464">
        <v>0.47916139526477491</v>
      </c>
      <c r="Y464">
        <v>95</v>
      </c>
      <c r="Z464">
        <v>790.58507878435637</v>
      </c>
      <c r="AA464">
        <v>198</v>
      </c>
      <c r="AB464">
        <v>332</v>
      </c>
      <c r="AC464">
        <v>536</v>
      </c>
      <c r="AD464">
        <v>33.19</v>
      </c>
      <c r="AE464">
        <v>542</v>
      </c>
      <c r="AF464">
        <v>42</v>
      </c>
      <c r="AG464">
        <v>173</v>
      </c>
      <c r="AH464">
        <v>129</v>
      </c>
      <c r="AI464">
        <v>7.75</v>
      </c>
      <c r="AJ464">
        <v>31.92</v>
      </c>
      <c r="AK464">
        <v>23.8</v>
      </c>
      <c r="AL464">
        <v>-20.139412599999961</v>
      </c>
      <c r="AM464">
        <v>-44.855150404999961</v>
      </c>
      <c r="AN464">
        <v>-20.139412599999961</v>
      </c>
      <c r="AO464">
        <v>-44.855150404999961</v>
      </c>
      <c r="AP464">
        <v>-20.139354000000001</v>
      </c>
      <c r="AQ464">
        <v>-44.855398999999998</v>
      </c>
      <c r="AR464">
        <v>26.787980665123101</v>
      </c>
      <c r="AS464" t="s">
        <v>65</v>
      </c>
      <c r="AT464">
        <v>1</v>
      </c>
      <c r="AU464" t="s">
        <v>1854</v>
      </c>
      <c r="AV464" t="s">
        <v>1855</v>
      </c>
      <c r="AW464" t="s">
        <v>60</v>
      </c>
      <c r="AX464" t="s">
        <v>68</v>
      </c>
      <c r="AY464" t="s">
        <v>69</v>
      </c>
      <c r="AZ464" t="b">
        <v>1</v>
      </c>
    </row>
    <row r="465" spans="1:52" x14ac:dyDescent="0.3">
      <c r="A465" t="s">
        <v>52</v>
      </c>
      <c r="B465" t="s">
        <v>53</v>
      </c>
      <c r="C465" t="s">
        <v>54</v>
      </c>
      <c r="D465" t="s">
        <v>55</v>
      </c>
      <c r="E465" t="s">
        <v>1617</v>
      </c>
      <c r="F465" t="s">
        <v>190</v>
      </c>
      <c r="G465" t="s">
        <v>380</v>
      </c>
      <c r="H465" t="s">
        <v>381</v>
      </c>
      <c r="I465" t="s">
        <v>381</v>
      </c>
      <c r="J465" t="s">
        <v>60</v>
      </c>
      <c r="K465" t="s">
        <v>72</v>
      </c>
      <c r="L465" t="s">
        <v>62</v>
      </c>
      <c r="M465" t="s">
        <v>72</v>
      </c>
      <c r="N465" t="s">
        <v>382</v>
      </c>
      <c r="O465" t="s">
        <v>383</v>
      </c>
      <c r="P465">
        <v>-20.147182000000001</v>
      </c>
      <c r="Q465">
        <v>-44.912728999999999</v>
      </c>
      <c r="R465" s="2" t="str">
        <f>HYPERLINK("https://www.google.com/maps?q=-20.1471820,-44.9127290","Abrir no Google Maps")</f>
        <v>Abrir no Google Maps</v>
      </c>
      <c r="S465">
        <v>3</v>
      </c>
      <c r="T465">
        <v>478.0141981540923</v>
      </c>
      <c r="U465">
        <v>3</v>
      </c>
      <c r="V465">
        <v>0.40358972298668172</v>
      </c>
      <c r="W465">
        <v>1</v>
      </c>
      <c r="X465">
        <v>0.40358972298668172</v>
      </c>
      <c r="Y465">
        <v>747</v>
      </c>
      <c r="Z465">
        <v>494.0254290673729</v>
      </c>
      <c r="AA465">
        <v>198</v>
      </c>
      <c r="AB465">
        <v>332</v>
      </c>
      <c r="AC465">
        <v>536</v>
      </c>
      <c r="AD465">
        <v>33.19</v>
      </c>
      <c r="AE465">
        <v>542</v>
      </c>
      <c r="AF465">
        <v>42</v>
      </c>
      <c r="AG465">
        <v>173</v>
      </c>
      <c r="AH465">
        <v>129</v>
      </c>
      <c r="AI465">
        <v>7.75</v>
      </c>
      <c r="AJ465">
        <v>31.92</v>
      </c>
      <c r="AK465">
        <v>23.8</v>
      </c>
      <c r="AL465">
        <v>-20.147375599999979</v>
      </c>
      <c r="AM465">
        <v>-44.912907472879468</v>
      </c>
      <c r="AN465">
        <v>-20.147375599999979</v>
      </c>
      <c r="AO465">
        <v>-44.912907472879468</v>
      </c>
      <c r="AP465">
        <v>-20.147182000000001</v>
      </c>
      <c r="AQ465">
        <v>-44.912728999999999</v>
      </c>
      <c r="AR465">
        <v>28.50197694184326</v>
      </c>
      <c r="AS465" t="s">
        <v>65</v>
      </c>
      <c r="AT465">
        <v>1</v>
      </c>
      <c r="AU465" t="s">
        <v>384</v>
      </c>
      <c r="AV465" t="s">
        <v>385</v>
      </c>
      <c r="AW465" t="s">
        <v>60</v>
      </c>
      <c r="AX465" t="s">
        <v>68</v>
      </c>
      <c r="AY465" t="s">
        <v>69</v>
      </c>
      <c r="AZ465" t="b">
        <v>1</v>
      </c>
    </row>
    <row r="466" spans="1:52" x14ac:dyDescent="0.3">
      <c r="A466" t="s">
        <v>52</v>
      </c>
      <c r="B466" t="s">
        <v>53</v>
      </c>
      <c r="C466" t="s">
        <v>54</v>
      </c>
      <c r="D466" t="s">
        <v>55</v>
      </c>
      <c r="E466" t="s">
        <v>1617</v>
      </c>
      <c r="F466" t="s">
        <v>190</v>
      </c>
      <c r="G466" t="s">
        <v>833</v>
      </c>
      <c r="H466" t="s">
        <v>834</v>
      </c>
      <c r="I466" t="s">
        <v>834</v>
      </c>
      <c r="J466" t="s">
        <v>60</v>
      </c>
      <c r="K466" t="s">
        <v>388</v>
      </c>
      <c r="L466" t="s">
        <v>62</v>
      </c>
      <c r="M466" t="s">
        <v>388</v>
      </c>
      <c r="N466" t="s">
        <v>835</v>
      </c>
      <c r="O466" t="s">
        <v>836</v>
      </c>
      <c r="P466">
        <v>-20.157906000000001</v>
      </c>
      <c r="Q466">
        <v>-44.900458999999998</v>
      </c>
      <c r="R466" s="2" t="str">
        <f>HYPERLINK("https://www.google.com/maps?q=-20.1579060,-44.9004590","Abrir no Google Maps")</f>
        <v>Abrir no Google Maps</v>
      </c>
      <c r="S466">
        <v>3</v>
      </c>
      <c r="T466">
        <v>0</v>
      </c>
      <c r="U466">
        <v>3</v>
      </c>
      <c r="V466">
        <v>0.41832858364206321</v>
      </c>
      <c r="W466">
        <v>1</v>
      </c>
      <c r="X466">
        <v>0.41832858364206321</v>
      </c>
      <c r="Y466">
        <v>729</v>
      </c>
      <c r="Z466">
        <v>203.63168486652771</v>
      </c>
      <c r="AA466">
        <v>198</v>
      </c>
      <c r="AB466">
        <v>332</v>
      </c>
      <c r="AC466">
        <v>536</v>
      </c>
      <c r="AD466">
        <v>33.19</v>
      </c>
      <c r="AE466">
        <v>542</v>
      </c>
      <c r="AF466">
        <v>42</v>
      </c>
      <c r="AG466">
        <v>173</v>
      </c>
      <c r="AH466">
        <v>129</v>
      </c>
      <c r="AI466">
        <v>7.75</v>
      </c>
      <c r="AJ466">
        <v>31.92</v>
      </c>
      <c r="AK466">
        <v>23.8</v>
      </c>
      <c r="AL466">
        <v>-20.157925749999951</v>
      </c>
      <c r="AM466">
        <v>-44.900484707799812</v>
      </c>
      <c r="AN466">
        <v>-20.157925749999951</v>
      </c>
      <c r="AO466">
        <v>-44.900484707799812</v>
      </c>
      <c r="AP466">
        <v>-20.157906000000001</v>
      </c>
      <c r="AQ466">
        <v>-44.900458999999998</v>
      </c>
      <c r="AR466">
        <v>3.4714515960382508</v>
      </c>
      <c r="AS466" t="s">
        <v>65</v>
      </c>
      <c r="AT466">
        <v>1</v>
      </c>
      <c r="AU466" t="s">
        <v>837</v>
      </c>
      <c r="AV466" t="s">
        <v>838</v>
      </c>
      <c r="AW466" t="s">
        <v>60</v>
      </c>
      <c r="AX466" t="s">
        <v>68</v>
      </c>
      <c r="AY466" t="s">
        <v>69</v>
      </c>
      <c r="AZ466" t="b">
        <v>1</v>
      </c>
    </row>
    <row r="467" spans="1:52" x14ac:dyDescent="0.3">
      <c r="A467" t="s">
        <v>52</v>
      </c>
      <c r="B467" t="s">
        <v>53</v>
      </c>
      <c r="C467" t="s">
        <v>54</v>
      </c>
      <c r="D467" t="s">
        <v>55</v>
      </c>
      <c r="E467" t="s">
        <v>1617</v>
      </c>
      <c r="F467" t="s">
        <v>190</v>
      </c>
      <c r="G467" t="s">
        <v>839</v>
      </c>
      <c r="H467" t="s">
        <v>840</v>
      </c>
      <c r="I467" t="s">
        <v>840</v>
      </c>
      <c r="J467" t="s">
        <v>60</v>
      </c>
      <c r="K467" t="s">
        <v>388</v>
      </c>
      <c r="L467" t="s">
        <v>62</v>
      </c>
      <c r="M467" t="s">
        <v>388</v>
      </c>
      <c r="N467" t="s">
        <v>841</v>
      </c>
      <c r="O467" t="s">
        <v>842</v>
      </c>
      <c r="P467">
        <v>-20.159977999999999</v>
      </c>
      <c r="Q467">
        <v>-44.900207000000002</v>
      </c>
      <c r="R467" s="2" t="str">
        <f>HYPERLINK("https://www.google.com/maps?q=-20.1599780,-44.9002070","Abrir no Google Maps")</f>
        <v>Abrir no Google Maps</v>
      </c>
      <c r="S467">
        <v>3</v>
      </c>
      <c r="T467">
        <v>213.24333517300789</v>
      </c>
      <c r="U467">
        <v>3</v>
      </c>
      <c r="V467">
        <v>0.39970377448638311</v>
      </c>
      <c r="W467">
        <v>1</v>
      </c>
      <c r="X467">
        <v>0.39970377448638311</v>
      </c>
      <c r="Y467">
        <v>729</v>
      </c>
      <c r="Z467">
        <v>315.47173727880028</v>
      </c>
      <c r="AA467">
        <v>198</v>
      </c>
      <c r="AB467">
        <v>332</v>
      </c>
      <c r="AC467">
        <v>536</v>
      </c>
      <c r="AD467">
        <v>33.19</v>
      </c>
      <c r="AE467">
        <v>542</v>
      </c>
      <c r="AF467">
        <v>42</v>
      </c>
      <c r="AG467">
        <v>173</v>
      </c>
      <c r="AH467">
        <v>129</v>
      </c>
      <c r="AI467">
        <v>7.75</v>
      </c>
      <c r="AJ467">
        <v>31.92</v>
      </c>
      <c r="AK467">
        <v>23.8</v>
      </c>
      <c r="AL467">
        <v>-20.159825649999959</v>
      </c>
      <c r="AM467">
        <v>-44.900143828909613</v>
      </c>
      <c r="AN467">
        <v>-20.159825649999959</v>
      </c>
      <c r="AO467">
        <v>-44.900143828909613</v>
      </c>
      <c r="AP467">
        <v>-20.159977999999999</v>
      </c>
      <c r="AQ467">
        <v>-44.900207000000002</v>
      </c>
      <c r="AR467">
        <v>18.199073573580371</v>
      </c>
      <c r="AS467" t="s">
        <v>65</v>
      </c>
      <c r="AT467">
        <v>1</v>
      </c>
      <c r="AU467" t="s">
        <v>843</v>
      </c>
      <c r="AV467" t="s">
        <v>844</v>
      </c>
      <c r="AW467" t="s">
        <v>60</v>
      </c>
      <c r="AX467" t="s">
        <v>68</v>
      </c>
      <c r="AY467" t="s">
        <v>69</v>
      </c>
      <c r="AZ467" t="b">
        <v>1</v>
      </c>
    </row>
    <row r="468" spans="1:52" x14ac:dyDescent="0.3">
      <c r="A468" t="s">
        <v>52</v>
      </c>
      <c r="B468" t="s">
        <v>53</v>
      </c>
      <c r="C468" t="s">
        <v>54</v>
      </c>
      <c r="D468" t="s">
        <v>55</v>
      </c>
      <c r="E468" t="s">
        <v>1617</v>
      </c>
      <c r="F468" t="s">
        <v>190</v>
      </c>
      <c r="G468" t="s">
        <v>386</v>
      </c>
      <c r="H468" t="s">
        <v>387</v>
      </c>
      <c r="I468" t="s">
        <v>387</v>
      </c>
      <c r="J468" t="s">
        <v>60</v>
      </c>
      <c r="K468" t="s">
        <v>388</v>
      </c>
      <c r="L468" t="s">
        <v>62</v>
      </c>
      <c r="M468" t="s">
        <v>388</v>
      </c>
      <c r="N468" t="s">
        <v>389</v>
      </c>
      <c r="O468" t="s">
        <v>357</v>
      </c>
      <c r="P468">
        <v>-20.161041999999998</v>
      </c>
      <c r="Q468">
        <v>-44.901242000000003</v>
      </c>
      <c r="R468" s="2" t="str">
        <f>HYPERLINK("https://www.google.com/maps?q=-20.1610420,-44.9012420","Abrir no Google Maps")</f>
        <v>Abrir no Google Maps</v>
      </c>
      <c r="S468">
        <v>3</v>
      </c>
      <c r="T468">
        <v>440.22183232279212</v>
      </c>
      <c r="U468">
        <v>3</v>
      </c>
      <c r="V468">
        <v>0.38356538356538361</v>
      </c>
      <c r="W468">
        <v>1</v>
      </c>
      <c r="X468">
        <v>0.38356538356538361</v>
      </c>
      <c r="Y468">
        <v>729</v>
      </c>
      <c r="Z468">
        <v>398.48306829302379</v>
      </c>
      <c r="AA468">
        <v>198</v>
      </c>
      <c r="AB468">
        <v>332</v>
      </c>
      <c r="AC468">
        <v>536</v>
      </c>
      <c r="AD468">
        <v>33.19</v>
      </c>
      <c r="AE468">
        <v>542</v>
      </c>
      <c r="AF468">
        <v>42</v>
      </c>
      <c r="AG468">
        <v>173</v>
      </c>
      <c r="AH468">
        <v>129</v>
      </c>
      <c r="AI468">
        <v>7.75</v>
      </c>
      <c r="AJ468">
        <v>31.92</v>
      </c>
      <c r="AK468">
        <v>23.8</v>
      </c>
      <c r="AL468">
        <v>-20.16176629999995</v>
      </c>
      <c r="AM468">
        <v>-44.901582787827898</v>
      </c>
      <c r="AN468">
        <v>-20.16176629999995</v>
      </c>
      <c r="AO468">
        <v>-44.901582787827898</v>
      </c>
      <c r="AP468">
        <v>-20.161041999999998</v>
      </c>
      <c r="AQ468">
        <v>-44.901242000000003</v>
      </c>
      <c r="AR468">
        <v>88.143369157892835</v>
      </c>
      <c r="AS468" t="s">
        <v>65</v>
      </c>
      <c r="AT468">
        <v>1</v>
      </c>
      <c r="AU468" t="s">
        <v>390</v>
      </c>
      <c r="AV468" t="s">
        <v>391</v>
      </c>
      <c r="AW468" t="s">
        <v>60</v>
      </c>
      <c r="AX468" t="s">
        <v>68</v>
      </c>
      <c r="AY468" t="s">
        <v>69</v>
      </c>
      <c r="AZ468" t="b">
        <v>1</v>
      </c>
    </row>
    <row r="469" spans="1:52" x14ac:dyDescent="0.3">
      <c r="A469" t="s">
        <v>52</v>
      </c>
      <c r="B469" t="s">
        <v>53</v>
      </c>
      <c r="C469" t="s">
        <v>54</v>
      </c>
      <c r="D469" t="s">
        <v>55</v>
      </c>
      <c r="E469" t="s">
        <v>1617</v>
      </c>
      <c r="F469" t="s">
        <v>190</v>
      </c>
      <c r="G469" t="s">
        <v>392</v>
      </c>
      <c r="H469" t="s">
        <v>393</v>
      </c>
      <c r="I469" t="s">
        <v>393</v>
      </c>
      <c r="J469" t="s">
        <v>60</v>
      </c>
      <c r="K469" t="s">
        <v>388</v>
      </c>
      <c r="L469" t="s">
        <v>62</v>
      </c>
      <c r="M469" t="s">
        <v>388</v>
      </c>
      <c r="N469" t="s">
        <v>394</v>
      </c>
      <c r="O469" t="s">
        <v>395</v>
      </c>
      <c r="P469">
        <v>-20.158066999999999</v>
      </c>
      <c r="Q469">
        <v>-44.908164999999997</v>
      </c>
      <c r="R469" s="2" t="str">
        <f>HYPERLINK("https://www.google.com/maps?q=-20.1580670,-44.9081650","Abrir no Google Maps")</f>
        <v>Abrir no Google Maps</v>
      </c>
      <c r="S469">
        <v>3</v>
      </c>
      <c r="T469">
        <v>666.74434317993041</v>
      </c>
      <c r="U469">
        <v>3</v>
      </c>
      <c r="V469">
        <v>0.38245676784427213</v>
      </c>
      <c r="W469">
        <v>1</v>
      </c>
      <c r="X469">
        <v>0.38245676784427213</v>
      </c>
      <c r="Y469">
        <v>729</v>
      </c>
      <c r="Z469">
        <v>612.4323328215396</v>
      </c>
      <c r="AA469">
        <v>198</v>
      </c>
      <c r="AB469">
        <v>332</v>
      </c>
      <c r="AC469">
        <v>536</v>
      </c>
      <c r="AD469">
        <v>33.19</v>
      </c>
      <c r="AE469">
        <v>542</v>
      </c>
      <c r="AF469">
        <v>42</v>
      </c>
      <c r="AG469">
        <v>173</v>
      </c>
      <c r="AH469">
        <v>129</v>
      </c>
      <c r="AI469">
        <v>7.75</v>
      </c>
      <c r="AJ469">
        <v>31.92</v>
      </c>
      <c r="AK469">
        <v>23.8</v>
      </c>
      <c r="AL469">
        <v>-20.158151449999959</v>
      </c>
      <c r="AM469">
        <v>-44.908107718360938</v>
      </c>
      <c r="AN469">
        <v>-20.158151449999959</v>
      </c>
      <c r="AO469">
        <v>-44.908107718360938</v>
      </c>
      <c r="AP469">
        <v>-20.158066999999999</v>
      </c>
      <c r="AQ469">
        <v>-44.908164999999997</v>
      </c>
      <c r="AR469">
        <v>11.14497345894574</v>
      </c>
      <c r="AS469" t="s">
        <v>65</v>
      </c>
      <c r="AT469">
        <v>1</v>
      </c>
      <c r="AU469" t="s">
        <v>396</v>
      </c>
      <c r="AV469" t="s">
        <v>397</v>
      </c>
      <c r="AW469" t="s">
        <v>60</v>
      </c>
      <c r="AX469" t="s">
        <v>68</v>
      </c>
      <c r="AY469" t="s">
        <v>69</v>
      </c>
      <c r="AZ469" t="b">
        <v>1</v>
      </c>
    </row>
    <row r="470" spans="1:52" x14ac:dyDescent="0.3">
      <c r="A470" t="s">
        <v>52</v>
      </c>
      <c r="B470" t="s">
        <v>53</v>
      </c>
      <c r="C470" t="s">
        <v>54</v>
      </c>
      <c r="D470" t="s">
        <v>55</v>
      </c>
      <c r="E470" t="s">
        <v>1617</v>
      </c>
      <c r="F470" t="s">
        <v>190</v>
      </c>
      <c r="G470" t="s">
        <v>416</v>
      </c>
      <c r="H470" t="s">
        <v>417</v>
      </c>
      <c r="I470" t="s">
        <v>417</v>
      </c>
      <c r="J470" t="s">
        <v>60</v>
      </c>
      <c r="K470" t="s">
        <v>418</v>
      </c>
      <c r="L470" t="s">
        <v>62</v>
      </c>
      <c r="M470" t="s">
        <v>418</v>
      </c>
      <c r="N470" t="s">
        <v>419</v>
      </c>
      <c r="O470" t="s">
        <v>202</v>
      </c>
      <c r="P470">
        <v>-20.169886000000002</v>
      </c>
      <c r="Q470">
        <v>-44.913288000000001</v>
      </c>
      <c r="R470" s="2" t="str">
        <f>HYPERLINK("https://www.google.com/maps?q=-20.1698860,-44.9132880","Abrir no Google Maps")</f>
        <v>Abrir no Google Maps</v>
      </c>
      <c r="S470">
        <v>3</v>
      </c>
      <c r="T470">
        <v>422.88733632898152</v>
      </c>
      <c r="U470">
        <v>3</v>
      </c>
      <c r="V470">
        <v>0.39020137493647661</v>
      </c>
      <c r="W470">
        <v>1</v>
      </c>
      <c r="X470">
        <v>0.39020137493647661</v>
      </c>
      <c r="Y470">
        <v>723</v>
      </c>
      <c r="Z470">
        <v>128.65003864232261</v>
      </c>
      <c r="AA470">
        <v>198</v>
      </c>
      <c r="AB470">
        <v>332</v>
      </c>
      <c r="AC470">
        <v>536</v>
      </c>
      <c r="AD470">
        <v>33.19</v>
      </c>
      <c r="AE470">
        <v>542</v>
      </c>
      <c r="AF470">
        <v>42</v>
      </c>
      <c r="AG470">
        <v>173</v>
      </c>
      <c r="AH470">
        <v>129</v>
      </c>
      <c r="AI470">
        <v>7.75</v>
      </c>
      <c r="AJ470">
        <v>31.92</v>
      </c>
      <c r="AK470">
        <v>23.8</v>
      </c>
      <c r="AL470">
        <v>-20.16970024999998</v>
      </c>
      <c r="AM470">
        <v>-44.913502201257437</v>
      </c>
      <c r="AN470">
        <v>-20.16970024999998</v>
      </c>
      <c r="AO470">
        <v>-44.913502201257437</v>
      </c>
      <c r="AP470">
        <v>-20.169886000000002</v>
      </c>
      <c r="AQ470">
        <v>-44.913288000000001</v>
      </c>
      <c r="AR470">
        <v>30.47208587597606</v>
      </c>
      <c r="AS470" t="s">
        <v>65</v>
      </c>
      <c r="AT470">
        <v>1</v>
      </c>
      <c r="AU470" t="s">
        <v>420</v>
      </c>
      <c r="AV470" t="s">
        <v>421</v>
      </c>
      <c r="AW470" t="s">
        <v>60</v>
      </c>
      <c r="AX470" t="s">
        <v>68</v>
      </c>
      <c r="AY470" t="s">
        <v>69</v>
      </c>
      <c r="AZ470" t="b">
        <v>1</v>
      </c>
    </row>
    <row r="471" spans="1:52" x14ac:dyDescent="0.3">
      <c r="A471" t="s">
        <v>52</v>
      </c>
      <c r="B471" t="s">
        <v>53</v>
      </c>
      <c r="C471" t="s">
        <v>54</v>
      </c>
      <c r="D471" t="s">
        <v>55</v>
      </c>
      <c r="E471" t="s">
        <v>1617</v>
      </c>
      <c r="F471" t="s">
        <v>190</v>
      </c>
      <c r="G471" t="s">
        <v>422</v>
      </c>
      <c r="H471" t="s">
        <v>423</v>
      </c>
      <c r="I471" t="s">
        <v>423</v>
      </c>
      <c r="J471" t="s">
        <v>60</v>
      </c>
      <c r="K471" t="s">
        <v>424</v>
      </c>
      <c r="L471" t="s">
        <v>62</v>
      </c>
      <c r="M471" t="s">
        <v>424</v>
      </c>
      <c r="N471" t="s">
        <v>425</v>
      </c>
      <c r="O471" t="s">
        <v>426</v>
      </c>
      <c r="P471">
        <v>-20.177748000000001</v>
      </c>
      <c r="Q471">
        <v>-44.912475000000001</v>
      </c>
      <c r="R471" s="2" t="str">
        <f>HYPERLINK("https://www.google.com/maps?q=-20.1777480,-44.9124750","Abrir no Google Maps")</f>
        <v>Abrir no Google Maps</v>
      </c>
      <c r="S471">
        <v>3</v>
      </c>
      <c r="T471">
        <v>657.07560140436533</v>
      </c>
      <c r="U471">
        <v>3</v>
      </c>
      <c r="V471">
        <v>0.42405646084861098</v>
      </c>
      <c r="W471">
        <v>1</v>
      </c>
      <c r="X471">
        <v>0.42405646084861098</v>
      </c>
      <c r="Y471">
        <v>723</v>
      </c>
      <c r="Z471">
        <v>796.94198000561175</v>
      </c>
      <c r="AA471">
        <v>198</v>
      </c>
      <c r="AB471">
        <v>332</v>
      </c>
      <c r="AC471">
        <v>536</v>
      </c>
      <c r="AD471">
        <v>33.19</v>
      </c>
      <c r="AE471">
        <v>542</v>
      </c>
      <c r="AF471">
        <v>42</v>
      </c>
      <c r="AG471">
        <v>173</v>
      </c>
      <c r="AH471">
        <v>129</v>
      </c>
      <c r="AI471">
        <v>7.75</v>
      </c>
      <c r="AJ471">
        <v>31.92</v>
      </c>
      <c r="AK471">
        <v>23.8</v>
      </c>
      <c r="AL471">
        <v>-20.177761749999949</v>
      </c>
      <c r="AM471">
        <v>-44.91263311624418</v>
      </c>
      <c r="AN471">
        <v>-20.177761749999949</v>
      </c>
      <c r="AO471">
        <v>-44.91263311624418</v>
      </c>
      <c r="AP471">
        <v>-20.177748000000001</v>
      </c>
      <c r="AQ471">
        <v>-44.912475000000001</v>
      </c>
      <c r="AR471">
        <v>16.591996803075372</v>
      </c>
      <c r="AS471" t="s">
        <v>65</v>
      </c>
      <c r="AT471">
        <v>1</v>
      </c>
      <c r="AU471" t="s">
        <v>427</v>
      </c>
      <c r="AV471" t="s">
        <v>428</v>
      </c>
      <c r="AW471" t="s">
        <v>60</v>
      </c>
      <c r="AX471" t="s">
        <v>68</v>
      </c>
      <c r="AY471" t="s">
        <v>69</v>
      </c>
      <c r="AZ471" t="b">
        <v>1</v>
      </c>
    </row>
    <row r="472" spans="1:52" x14ac:dyDescent="0.3">
      <c r="A472" t="s">
        <v>52</v>
      </c>
      <c r="B472" t="s">
        <v>53</v>
      </c>
      <c r="C472" t="s">
        <v>54</v>
      </c>
      <c r="D472" t="s">
        <v>55</v>
      </c>
      <c r="E472" t="s">
        <v>1617</v>
      </c>
      <c r="F472" t="s">
        <v>190</v>
      </c>
      <c r="G472" t="s">
        <v>1312</v>
      </c>
      <c r="H472" t="s">
        <v>1313</v>
      </c>
      <c r="I472" t="s">
        <v>1313</v>
      </c>
      <c r="J472" t="s">
        <v>60</v>
      </c>
      <c r="K472" t="s">
        <v>1314</v>
      </c>
      <c r="L472" t="s">
        <v>62</v>
      </c>
      <c r="M472" t="s">
        <v>1314</v>
      </c>
      <c r="N472" t="s">
        <v>1315</v>
      </c>
      <c r="O472" t="s">
        <v>315</v>
      </c>
      <c r="P472">
        <v>-20.179649999999999</v>
      </c>
      <c r="Q472">
        <v>-44.927177</v>
      </c>
      <c r="R472" s="2" t="str">
        <f>HYPERLINK("https://www.google.com/maps?q=-20.1796500,-44.9271770","Abrir no Google Maps")</f>
        <v>Abrir no Google Maps</v>
      </c>
      <c r="S472">
        <v>3</v>
      </c>
      <c r="T472">
        <v>1742.181438658615</v>
      </c>
      <c r="U472">
        <v>3</v>
      </c>
      <c r="V472">
        <v>0.45659000679566508</v>
      </c>
      <c r="W472">
        <v>0.85</v>
      </c>
      <c r="X472">
        <v>0.3881015057763153</v>
      </c>
      <c r="Y472">
        <v>723</v>
      </c>
      <c r="Z472">
        <v>1801.262037027635</v>
      </c>
      <c r="AA472">
        <v>198</v>
      </c>
      <c r="AB472">
        <v>332</v>
      </c>
      <c r="AC472">
        <v>536</v>
      </c>
      <c r="AD472">
        <v>33.19</v>
      </c>
      <c r="AE472">
        <v>542</v>
      </c>
      <c r="AF472">
        <v>42</v>
      </c>
      <c r="AG472">
        <v>173</v>
      </c>
      <c r="AH472">
        <v>129</v>
      </c>
      <c r="AI472">
        <v>7.75</v>
      </c>
      <c r="AJ472">
        <v>31.92</v>
      </c>
      <c r="AK472">
        <v>23.8</v>
      </c>
      <c r="AL472">
        <v>-20.18058599999998</v>
      </c>
      <c r="AM472">
        <v>-44.926708474999977</v>
      </c>
      <c r="AN472">
        <v>-20.18058599999998</v>
      </c>
      <c r="AO472">
        <v>-44.926708474999977</v>
      </c>
      <c r="AP472">
        <v>-20.179649999999999</v>
      </c>
      <c r="AQ472">
        <v>-44.927177</v>
      </c>
      <c r="AR472">
        <v>115.1226868075416</v>
      </c>
      <c r="AS472" t="s">
        <v>65</v>
      </c>
      <c r="AT472">
        <v>1</v>
      </c>
      <c r="AU472" t="s">
        <v>1316</v>
      </c>
      <c r="AV472" t="s">
        <v>1317</v>
      </c>
      <c r="AW472" t="s">
        <v>60</v>
      </c>
      <c r="AX472" t="s">
        <v>68</v>
      </c>
      <c r="AY472" t="s">
        <v>69</v>
      </c>
      <c r="AZ472" t="b">
        <v>1</v>
      </c>
    </row>
    <row r="473" spans="1:52" x14ac:dyDescent="0.3">
      <c r="A473" t="s">
        <v>52</v>
      </c>
      <c r="B473" t="s">
        <v>53</v>
      </c>
      <c r="C473" t="s">
        <v>54</v>
      </c>
      <c r="D473" t="s">
        <v>55</v>
      </c>
      <c r="E473" t="s">
        <v>1617</v>
      </c>
      <c r="F473" t="s">
        <v>190</v>
      </c>
      <c r="G473" t="s">
        <v>1318</v>
      </c>
      <c r="H473" t="s">
        <v>1319</v>
      </c>
      <c r="I473" t="s">
        <v>1319</v>
      </c>
      <c r="J473" t="s">
        <v>60</v>
      </c>
      <c r="K473" t="s">
        <v>1314</v>
      </c>
      <c r="L473" t="s">
        <v>62</v>
      </c>
      <c r="M473" t="s">
        <v>1314</v>
      </c>
      <c r="N473" t="s">
        <v>1320</v>
      </c>
      <c r="O473" t="s">
        <v>1321</v>
      </c>
      <c r="P473">
        <v>-20.178615000000001</v>
      </c>
      <c r="Q473">
        <v>-44.924697999999999</v>
      </c>
      <c r="R473" s="2" t="str">
        <f>HYPERLINK("https://www.google.com/maps?q=-20.1786150,-44.9246980","Abrir no Google Maps")</f>
        <v>Abrir no Google Maps</v>
      </c>
      <c r="S473">
        <v>3</v>
      </c>
      <c r="T473">
        <v>1583.462557226148</v>
      </c>
      <c r="U473">
        <v>3</v>
      </c>
      <c r="V473">
        <v>0.46288060212110838</v>
      </c>
      <c r="W473">
        <v>0.85</v>
      </c>
      <c r="X473">
        <v>0.3934485118029421</v>
      </c>
      <c r="Y473">
        <v>723</v>
      </c>
      <c r="Z473">
        <v>1414.1542726995031</v>
      </c>
      <c r="AA473">
        <v>198</v>
      </c>
      <c r="AB473">
        <v>332</v>
      </c>
      <c r="AC473">
        <v>536</v>
      </c>
      <c r="AD473">
        <v>33.19</v>
      </c>
      <c r="AE473">
        <v>542</v>
      </c>
      <c r="AF473">
        <v>42</v>
      </c>
      <c r="AG473">
        <v>173</v>
      </c>
      <c r="AH473">
        <v>129</v>
      </c>
      <c r="AI473">
        <v>7.75</v>
      </c>
      <c r="AJ473">
        <v>31.92</v>
      </c>
      <c r="AK473">
        <v>23.8</v>
      </c>
      <c r="AL473">
        <v>-20.17821329999995</v>
      </c>
      <c r="AM473">
        <v>-44.924188563452951</v>
      </c>
      <c r="AN473">
        <v>-20.17821329999995</v>
      </c>
      <c r="AO473">
        <v>-44.924188563452951</v>
      </c>
      <c r="AP473">
        <v>-20.178615000000001</v>
      </c>
      <c r="AQ473">
        <v>-44.924697999999999</v>
      </c>
      <c r="AR473">
        <v>69.520116290580319</v>
      </c>
      <c r="AS473" t="s">
        <v>65</v>
      </c>
      <c r="AT473">
        <v>1</v>
      </c>
      <c r="AU473" t="s">
        <v>1322</v>
      </c>
      <c r="AV473" t="s">
        <v>1317</v>
      </c>
      <c r="AW473" t="s">
        <v>60</v>
      </c>
      <c r="AX473" t="s">
        <v>68</v>
      </c>
      <c r="AY473" t="s">
        <v>69</v>
      </c>
      <c r="AZ473" t="b">
        <v>1</v>
      </c>
    </row>
    <row r="474" spans="1:52" x14ac:dyDescent="0.3">
      <c r="A474" t="s">
        <v>52</v>
      </c>
      <c r="B474" t="s">
        <v>53</v>
      </c>
      <c r="C474" t="s">
        <v>54</v>
      </c>
      <c r="D474" t="s">
        <v>55</v>
      </c>
      <c r="E474" t="s">
        <v>1617</v>
      </c>
      <c r="F474" t="s">
        <v>190</v>
      </c>
      <c r="G474" t="s">
        <v>864</v>
      </c>
      <c r="H474" t="s">
        <v>865</v>
      </c>
      <c r="I474" t="s">
        <v>865</v>
      </c>
      <c r="J474" t="s">
        <v>60</v>
      </c>
      <c r="K474" t="s">
        <v>486</v>
      </c>
      <c r="L474" t="s">
        <v>62</v>
      </c>
      <c r="M474" t="s">
        <v>486</v>
      </c>
      <c r="N474" t="s">
        <v>866</v>
      </c>
      <c r="O474" t="s">
        <v>867</v>
      </c>
      <c r="P474">
        <v>-20.170919000000001</v>
      </c>
      <c r="Q474">
        <v>-44.905451999999997</v>
      </c>
      <c r="R474" s="2" t="str">
        <f>HYPERLINK("https://www.google.com/maps?q=-20.1709190,-44.9054520","Abrir no Google Maps")</f>
        <v>Abrir no Google Maps</v>
      </c>
      <c r="S474">
        <v>3</v>
      </c>
      <c r="T474">
        <v>0</v>
      </c>
      <c r="U474">
        <v>3</v>
      </c>
      <c r="V474">
        <v>0.3974754542440132</v>
      </c>
      <c r="W474">
        <v>1</v>
      </c>
      <c r="X474">
        <v>0.3974754542440132</v>
      </c>
      <c r="Y474">
        <v>578</v>
      </c>
      <c r="Z474">
        <v>205.34598855748419</v>
      </c>
      <c r="AA474">
        <v>198</v>
      </c>
      <c r="AB474">
        <v>332</v>
      </c>
      <c r="AC474">
        <v>536</v>
      </c>
      <c r="AD474">
        <v>33.19</v>
      </c>
      <c r="AE474">
        <v>542</v>
      </c>
      <c r="AF474">
        <v>42</v>
      </c>
      <c r="AG474">
        <v>173</v>
      </c>
      <c r="AH474">
        <v>129</v>
      </c>
      <c r="AI474">
        <v>7.75</v>
      </c>
      <c r="AJ474">
        <v>31.92</v>
      </c>
      <c r="AK474">
        <v>23.8</v>
      </c>
      <c r="AL474">
        <v>-20.170854399999939</v>
      </c>
      <c r="AM474">
        <v>-44.905524839633358</v>
      </c>
      <c r="AN474">
        <v>-20.170854399999939</v>
      </c>
      <c r="AO474">
        <v>-44.905524839633358</v>
      </c>
      <c r="AP474">
        <v>-20.170919000000001</v>
      </c>
      <c r="AQ474">
        <v>-44.905451999999997</v>
      </c>
      <c r="AR474">
        <v>10.471140355179269</v>
      </c>
      <c r="AS474" t="s">
        <v>65</v>
      </c>
      <c r="AT474">
        <v>1</v>
      </c>
      <c r="AU474" t="s">
        <v>868</v>
      </c>
      <c r="AV474" t="s">
        <v>869</v>
      </c>
      <c r="AW474" t="s">
        <v>60</v>
      </c>
      <c r="AX474" t="s">
        <v>68</v>
      </c>
      <c r="AY474" t="s">
        <v>69</v>
      </c>
      <c r="AZ474" t="b">
        <v>1</v>
      </c>
    </row>
    <row r="475" spans="1:52" x14ac:dyDescent="0.3">
      <c r="A475" t="s">
        <v>52</v>
      </c>
      <c r="B475" t="s">
        <v>53</v>
      </c>
      <c r="C475" t="s">
        <v>54</v>
      </c>
      <c r="D475" t="s">
        <v>55</v>
      </c>
      <c r="E475" t="s">
        <v>1617</v>
      </c>
      <c r="F475" t="s">
        <v>190</v>
      </c>
      <c r="G475" t="s">
        <v>1376</v>
      </c>
      <c r="H475" t="s">
        <v>1377</v>
      </c>
      <c r="I475" t="s">
        <v>1377</v>
      </c>
      <c r="J475" t="s">
        <v>60</v>
      </c>
      <c r="K475" t="s">
        <v>475</v>
      </c>
      <c r="L475" t="s">
        <v>62</v>
      </c>
      <c r="M475" t="s">
        <v>475</v>
      </c>
      <c r="N475" t="s">
        <v>1378</v>
      </c>
      <c r="O475" t="s">
        <v>1379</v>
      </c>
      <c r="P475">
        <v>-20.175298000000002</v>
      </c>
      <c r="Q475">
        <v>-44.904794000000003</v>
      </c>
      <c r="R475" s="2" t="str">
        <f>HYPERLINK("https://www.google.com/maps?q=-20.1752980,-44.9047940","Abrir no Google Maps")</f>
        <v>Abrir no Google Maps</v>
      </c>
      <c r="S475">
        <v>3</v>
      </c>
      <c r="T475">
        <v>497.7557906927301</v>
      </c>
      <c r="U475">
        <v>3</v>
      </c>
      <c r="V475">
        <v>0.45286384291997761</v>
      </c>
      <c r="W475">
        <v>0.85</v>
      </c>
      <c r="X475">
        <v>0.38493426648198098</v>
      </c>
      <c r="Y475">
        <v>578</v>
      </c>
      <c r="Z475">
        <v>363.80816567363502</v>
      </c>
      <c r="AA475">
        <v>198</v>
      </c>
      <c r="AB475">
        <v>332</v>
      </c>
      <c r="AC475">
        <v>536</v>
      </c>
      <c r="AD475">
        <v>33.19</v>
      </c>
      <c r="AE475">
        <v>542</v>
      </c>
      <c r="AF475">
        <v>42</v>
      </c>
      <c r="AG475">
        <v>173</v>
      </c>
      <c r="AH475">
        <v>129</v>
      </c>
      <c r="AI475">
        <v>7.75</v>
      </c>
      <c r="AJ475">
        <v>31.92</v>
      </c>
      <c r="AK475">
        <v>23.8</v>
      </c>
      <c r="AL475">
        <v>-20.17530484999995</v>
      </c>
      <c r="AM475">
        <v>-44.904834224351781</v>
      </c>
      <c r="AN475">
        <v>-20.17530484999995</v>
      </c>
      <c r="AO475">
        <v>-44.904834224351781</v>
      </c>
      <c r="AP475">
        <v>-20.175298000000002</v>
      </c>
      <c r="AQ475">
        <v>-44.904794000000003</v>
      </c>
      <c r="AR475">
        <v>4.2716392411563806</v>
      </c>
      <c r="AS475" t="s">
        <v>65</v>
      </c>
      <c r="AT475">
        <v>1</v>
      </c>
      <c r="AU475" t="s">
        <v>1380</v>
      </c>
      <c r="AV475" t="s">
        <v>1381</v>
      </c>
      <c r="AW475" t="s">
        <v>60</v>
      </c>
      <c r="AX475" t="s">
        <v>68</v>
      </c>
      <c r="AY475" t="s">
        <v>69</v>
      </c>
      <c r="AZ475" t="b">
        <v>1</v>
      </c>
    </row>
    <row r="476" spans="1:52" x14ac:dyDescent="0.3">
      <c r="A476" t="s">
        <v>52</v>
      </c>
      <c r="B476" t="s">
        <v>53</v>
      </c>
      <c r="C476" t="s">
        <v>54</v>
      </c>
      <c r="D476" t="s">
        <v>55</v>
      </c>
      <c r="E476" t="s">
        <v>1617</v>
      </c>
      <c r="F476" t="s">
        <v>190</v>
      </c>
      <c r="G476" t="s">
        <v>479</v>
      </c>
      <c r="H476" t="s">
        <v>480</v>
      </c>
      <c r="I476" t="s">
        <v>480</v>
      </c>
      <c r="J476" t="s">
        <v>60</v>
      </c>
      <c r="K476" t="s">
        <v>388</v>
      </c>
      <c r="L476" t="s">
        <v>62</v>
      </c>
      <c r="M476" t="s">
        <v>388</v>
      </c>
      <c r="N476" t="s">
        <v>481</v>
      </c>
      <c r="O476" t="s">
        <v>315</v>
      </c>
      <c r="P476">
        <v>-20.166903999999999</v>
      </c>
      <c r="Q476">
        <v>-44.903492</v>
      </c>
      <c r="R476" s="2" t="str">
        <f>HYPERLINK("https://www.google.com/maps?q=-20.1669040,-44.9034920","Abrir no Google Maps")</f>
        <v>Abrir no Google Maps</v>
      </c>
      <c r="S476">
        <v>3</v>
      </c>
      <c r="T476">
        <v>517.12253532511602</v>
      </c>
      <c r="U476">
        <v>3</v>
      </c>
      <c r="V476">
        <v>0.39945923131710148</v>
      </c>
      <c r="W476">
        <v>1</v>
      </c>
      <c r="X476">
        <v>0.39945923131710148</v>
      </c>
      <c r="Y476">
        <v>578</v>
      </c>
      <c r="Z476">
        <v>721.79551240050432</v>
      </c>
      <c r="AA476">
        <v>198</v>
      </c>
      <c r="AB476">
        <v>332</v>
      </c>
      <c r="AC476">
        <v>536</v>
      </c>
      <c r="AD476">
        <v>33.19</v>
      </c>
      <c r="AE476">
        <v>542</v>
      </c>
      <c r="AF476">
        <v>42</v>
      </c>
      <c r="AG476">
        <v>173</v>
      </c>
      <c r="AH476">
        <v>129</v>
      </c>
      <c r="AI476">
        <v>7.75</v>
      </c>
      <c r="AJ476">
        <v>31.92</v>
      </c>
      <c r="AK476">
        <v>23.8</v>
      </c>
      <c r="AL476">
        <v>-20.166610649999971</v>
      </c>
      <c r="AM476">
        <v>-44.903452988928308</v>
      </c>
      <c r="AN476">
        <v>-20.166610649999971</v>
      </c>
      <c r="AO476">
        <v>-44.903452988928308</v>
      </c>
      <c r="AP476">
        <v>-20.166903999999999</v>
      </c>
      <c r="AQ476">
        <v>-44.903492</v>
      </c>
      <c r="AR476">
        <v>32.909175876856217</v>
      </c>
      <c r="AS476" t="s">
        <v>65</v>
      </c>
      <c r="AT476">
        <v>1</v>
      </c>
      <c r="AU476" t="s">
        <v>482</v>
      </c>
      <c r="AV476" t="s">
        <v>483</v>
      </c>
      <c r="AW476" t="s">
        <v>60</v>
      </c>
      <c r="AX476" t="s">
        <v>68</v>
      </c>
      <c r="AY476" t="s">
        <v>69</v>
      </c>
      <c r="AZ476" t="b">
        <v>1</v>
      </c>
    </row>
    <row r="477" spans="1:52" x14ac:dyDescent="0.3">
      <c r="A477" t="s">
        <v>52</v>
      </c>
      <c r="B477" t="s">
        <v>53</v>
      </c>
      <c r="C477" t="s">
        <v>54</v>
      </c>
      <c r="D477" t="s">
        <v>55</v>
      </c>
      <c r="E477" t="s">
        <v>1617</v>
      </c>
      <c r="F477" t="s">
        <v>190</v>
      </c>
      <c r="G477" t="s">
        <v>484</v>
      </c>
      <c r="H477" t="s">
        <v>485</v>
      </c>
      <c r="I477" t="s">
        <v>485</v>
      </c>
      <c r="J477" t="s">
        <v>60</v>
      </c>
      <c r="K477" t="s">
        <v>486</v>
      </c>
      <c r="L477" t="s">
        <v>62</v>
      </c>
      <c r="M477" t="s">
        <v>486</v>
      </c>
      <c r="N477" t="s">
        <v>487</v>
      </c>
      <c r="O477" t="s">
        <v>488</v>
      </c>
      <c r="P477">
        <v>-20.173000999999999</v>
      </c>
      <c r="Q477">
        <v>-44.901876999999999</v>
      </c>
      <c r="R477" s="2" t="str">
        <f>HYPERLINK("https://www.google.com/maps?q=-20.1730010,-44.9018770","Abrir no Google Maps")</f>
        <v>Abrir no Google Maps</v>
      </c>
      <c r="S477">
        <v>3</v>
      </c>
      <c r="T477">
        <v>437.59695450783011</v>
      </c>
      <c r="U477">
        <v>3</v>
      </c>
      <c r="V477">
        <v>0.42639471838418869</v>
      </c>
      <c r="W477">
        <v>1</v>
      </c>
      <c r="X477">
        <v>0.42639471838418869</v>
      </c>
      <c r="Y477">
        <v>578</v>
      </c>
      <c r="Z477">
        <v>440.53629183653243</v>
      </c>
      <c r="AA477">
        <v>198</v>
      </c>
      <c r="AB477">
        <v>332</v>
      </c>
      <c r="AC477">
        <v>536</v>
      </c>
      <c r="AD477">
        <v>33.19</v>
      </c>
      <c r="AE477">
        <v>542</v>
      </c>
      <c r="AF477">
        <v>42</v>
      </c>
      <c r="AG477">
        <v>173</v>
      </c>
      <c r="AH477">
        <v>129</v>
      </c>
      <c r="AI477">
        <v>7.75</v>
      </c>
      <c r="AJ477">
        <v>31.92</v>
      </c>
      <c r="AK477">
        <v>23.8</v>
      </c>
      <c r="AL477">
        <v>-20.173065299999969</v>
      </c>
      <c r="AM477">
        <v>-44.902052686008687</v>
      </c>
      <c r="AN477">
        <v>-20.173065299999969</v>
      </c>
      <c r="AO477">
        <v>-44.902052686008687</v>
      </c>
      <c r="AP477">
        <v>-20.173000999999999</v>
      </c>
      <c r="AQ477">
        <v>-44.901876999999999</v>
      </c>
      <c r="AR477">
        <v>19.703745070768829</v>
      </c>
      <c r="AS477" t="s">
        <v>65</v>
      </c>
      <c r="AT477">
        <v>1</v>
      </c>
      <c r="AU477" t="s">
        <v>489</v>
      </c>
      <c r="AV477" t="s">
        <v>490</v>
      </c>
      <c r="AW477" t="s">
        <v>60</v>
      </c>
      <c r="AX477" t="s">
        <v>68</v>
      </c>
      <c r="AY477" t="s">
        <v>69</v>
      </c>
      <c r="AZ477" t="b">
        <v>1</v>
      </c>
    </row>
    <row r="478" spans="1:52" x14ac:dyDescent="0.3">
      <c r="A478" t="s">
        <v>52</v>
      </c>
      <c r="B478" t="s">
        <v>53</v>
      </c>
      <c r="C478" t="s">
        <v>54</v>
      </c>
      <c r="D478" t="s">
        <v>55</v>
      </c>
      <c r="E478" t="s">
        <v>1617</v>
      </c>
      <c r="F478" t="s">
        <v>190</v>
      </c>
      <c r="G478" t="s">
        <v>491</v>
      </c>
      <c r="H478" t="s">
        <v>492</v>
      </c>
      <c r="I478" t="s">
        <v>492</v>
      </c>
      <c r="J478" t="s">
        <v>60</v>
      </c>
      <c r="K478" t="s">
        <v>475</v>
      </c>
      <c r="L478" t="s">
        <v>62</v>
      </c>
      <c r="M478" t="s">
        <v>475</v>
      </c>
      <c r="N478" t="s">
        <v>493</v>
      </c>
      <c r="O478" t="s">
        <v>494</v>
      </c>
      <c r="P478">
        <v>-20.175250999999999</v>
      </c>
      <c r="Q478">
        <v>-44.897357</v>
      </c>
      <c r="R478" s="2" t="str">
        <f>HYPERLINK("https://www.google.com/maps?q=-20.1752510,-44.8973570","Abrir no Google Maps")</f>
        <v>Abrir no Google Maps</v>
      </c>
      <c r="S478">
        <v>3</v>
      </c>
      <c r="T478">
        <v>992.29631678149951</v>
      </c>
      <c r="U478">
        <v>3</v>
      </c>
      <c r="V478">
        <v>0.42141104294478532</v>
      </c>
      <c r="W478">
        <v>1</v>
      </c>
      <c r="X478">
        <v>0.42141104294478532</v>
      </c>
      <c r="Y478">
        <v>578</v>
      </c>
      <c r="Z478">
        <v>1008.5871064168319</v>
      </c>
      <c r="AA478">
        <v>198</v>
      </c>
      <c r="AB478">
        <v>332</v>
      </c>
      <c r="AC478">
        <v>536</v>
      </c>
      <c r="AD478">
        <v>33.19</v>
      </c>
      <c r="AE478">
        <v>542</v>
      </c>
      <c r="AF478">
        <v>42</v>
      </c>
      <c r="AG478">
        <v>173</v>
      </c>
      <c r="AH478">
        <v>129</v>
      </c>
      <c r="AI478">
        <v>7.75</v>
      </c>
      <c r="AJ478">
        <v>31.92</v>
      </c>
      <c r="AK478">
        <v>23.8</v>
      </c>
      <c r="AL478">
        <v>-20.175290599999951</v>
      </c>
      <c r="AM478">
        <v>-44.897271931010721</v>
      </c>
      <c r="AN478">
        <v>-20.175290599999951</v>
      </c>
      <c r="AO478">
        <v>-44.897271931010721</v>
      </c>
      <c r="AP478">
        <v>-20.175250999999999</v>
      </c>
      <c r="AQ478">
        <v>-44.897357</v>
      </c>
      <c r="AR478">
        <v>9.921899108467926</v>
      </c>
      <c r="AS478" t="s">
        <v>65</v>
      </c>
      <c r="AT478">
        <v>1</v>
      </c>
      <c r="AU478" t="s">
        <v>495</v>
      </c>
      <c r="AV478" t="s">
        <v>496</v>
      </c>
      <c r="AW478" t="s">
        <v>60</v>
      </c>
      <c r="AX478" t="s">
        <v>68</v>
      </c>
      <c r="AY478" t="s">
        <v>69</v>
      </c>
      <c r="AZ478" t="b">
        <v>1</v>
      </c>
    </row>
    <row r="479" spans="1:52" x14ac:dyDescent="0.3">
      <c r="A479" t="s">
        <v>52</v>
      </c>
      <c r="B479" t="s">
        <v>53</v>
      </c>
      <c r="C479" t="s">
        <v>54</v>
      </c>
      <c r="D479" t="s">
        <v>55</v>
      </c>
      <c r="E479" t="s">
        <v>1617</v>
      </c>
      <c r="F479" t="s">
        <v>190</v>
      </c>
      <c r="G479" t="s">
        <v>497</v>
      </c>
      <c r="H479" t="s">
        <v>498</v>
      </c>
      <c r="I479" t="s">
        <v>498</v>
      </c>
      <c r="J479" t="s">
        <v>60</v>
      </c>
      <c r="K479" t="s">
        <v>475</v>
      </c>
      <c r="L479" t="s">
        <v>62</v>
      </c>
      <c r="M479" t="s">
        <v>475</v>
      </c>
      <c r="N479" t="s">
        <v>499</v>
      </c>
      <c r="O479" t="s">
        <v>500</v>
      </c>
      <c r="P479">
        <v>-20.175492999999999</v>
      </c>
      <c r="Q479">
        <v>-44.900759000000001</v>
      </c>
      <c r="R479" s="2" t="str">
        <f>HYPERLINK("https://www.google.com/maps?q=-20.1754930,-44.9007590","Abrir no Google Maps")</f>
        <v>Abrir no Google Maps</v>
      </c>
      <c r="S479">
        <v>3</v>
      </c>
      <c r="T479">
        <v>753.30732354720431</v>
      </c>
      <c r="U479">
        <v>3</v>
      </c>
      <c r="V479">
        <v>0.42217020666698402</v>
      </c>
      <c r="W479">
        <v>1</v>
      </c>
      <c r="X479">
        <v>0.42217020666698402</v>
      </c>
      <c r="Y479">
        <v>578</v>
      </c>
      <c r="Z479">
        <v>695.28903655431702</v>
      </c>
      <c r="AA479">
        <v>198</v>
      </c>
      <c r="AB479">
        <v>332</v>
      </c>
      <c r="AC479">
        <v>536</v>
      </c>
      <c r="AD479">
        <v>33.19</v>
      </c>
      <c r="AE479">
        <v>542</v>
      </c>
      <c r="AF479">
        <v>42</v>
      </c>
      <c r="AG479">
        <v>173</v>
      </c>
      <c r="AH479">
        <v>129</v>
      </c>
      <c r="AI479">
        <v>7.75</v>
      </c>
      <c r="AJ479">
        <v>31.92</v>
      </c>
      <c r="AK479">
        <v>23.8</v>
      </c>
      <c r="AL479">
        <v>-20.175825999999969</v>
      </c>
      <c r="AM479">
        <v>-44.900600234646973</v>
      </c>
      <c r="AN479">
        <v>-20.175825999999969</v>
      </c>
      <c r="AO479">
        <v>-44.900600234646973</v>
      </c>
      <c r="AP479">
        <v>-20.175492999999999</v>
      </c>
      <c r="AQ479">
        <v>-44.900759000000001</v>
      </c>
      <c r="AR479">
        <v>40.612267304645073</v>
      </c>
      <c r="AS479" t="s">
        <v>65</v>
      </c>
      <c r="AT479">
        <v>1</v>
      </c>
      <c r="AU479" t="s">
        <v>501</v>
      </c>
      <c r="AV479" t="s">
        <v>502</v>
      </c>
      <c r="AW479" t="s">
        <v>60</v>
      </c>
      <c r="AX479" t="s">
        <v>68</v>
      </c>
      <c r="AY479" t="s">
        <v>69</v>
      </c>
      <c r="AZ479" t="b">
        <v>1</v>
      </c>
    </row>
    <row r="480" spans="1:52" x14ac:dyDescent="0.3">
      <c r="A480" t="s">
        <v>52</v>
      </c>
      <c r="B480" t="s">
        <v>53</v>
      </c>
      <c r="C480" t="s">
        <v>54</v>
      </c>
      <c r="D480" t="s">
        <v>55</v>
      </c>
      <c r="E480" t="s">
        <v>1617</v>
      </c>
      <c r="F480" t="s">
        <v>190</v>
      </c>
      <c r="G480" t="s">
        <v>879</v>
      </c>
      <c r="H480" t="s">
        <v>880</v>
      </c>
      <c r="I480" t="s">
        <v>880</v>
      </c>
      <c r="J480" t="s">
        <v>60</v>
      </c>
      <c r="K480" t="s">
        <v>505</v>
      </c>
      <c r="L480" t="s">
        <v>62</v>
      </c>
      <c r="M480" t="s">
        <v>505</v>
      </c>
      <c r="N480" t="s">
        <v>881</v>
      </c>
      <c r="O480" t="s">
        <v>882</v>
      </c>
      <c r="P480">
        <v>-20.133452999999999</v>
      </c>
      <c r="Q480">
        <v>-44.890571999999999</v>
      </c>
      <c r="R480" s="2" t="str">
        <f>HYPERLINK("https://www.google.com/maps?q=-20.1334530,-44.8905720","Abrir no Google Maps")</f>
        <v>Abrir no Google Maps</v>
      </c>
      <c r="S480">
        <v>3</v>
      </c>
      <c r="T480">
        <v>373.51332104809921</v>
      </c>
      <c r="U480">
        <v>3</v>
      </c>
      <c r="V480">
        <v>0.38488020176544763</v>
      </c>
      <c r="W480">
        <v>1</v>
      </c>
      <c r="X480">
        <v>0.38488020176544763</v>
      </c>
      <c r="Y480">
        <v>564</v>
      </c>
      <c r="Z480">
        <v>422.34693311930448</v>
      </c>
      <c r="AA480">
        <v>198</v>
      </c>
      <c r="AB480">
        <v>332</v>
      </c>
      <c r="AC480">
        <v>536</v>
      </c>
      <c r="AD480">
        <v>33.19</v>
      </c>
      <c r="AE480">
        <v>542</v>
      </c>
      <c r="AF480">
        <v>42</v>
      </c>
      <c r="AG480">
        <v>173</v>
      </c>
      <c r="AH480">
        <v>129</v>
      </c>
      <c r="AI480">
        <v>7.75</v>
      </c>
      <c r="AJ480">
        <v>31.92</v>
      </c>
      <c r="AK480">
        <v>23.8</v>
      </c>
      <c r="AL480">
        <v>-20.133421549999952</v>
      </c>
      <c r="AM480">
        <v>-44.890623456009052</v>
      </c>
      <c r="AN480">
        <v>-20.133421549999952</v>
      </c>
      <c r="AO480">
        <v>-44.890623456009052</v>
      </c>
      <c r="AP480">
        <v>-20.133452999999999</v>
      </c>
      <c r="AQ480">
        <v>-44.890571999999999</v>
      </c>
      <c r="AR480">
        <v>6.4172139275452773</v>
      </c>
      <c r="AS480" t="s">
        <v>65</v>
      </c>
      <c r="AT480">
        <v>1</v>
      </c>
      <c r="AU480" t="s">
        <v>883</v>
      </c>
      <c r="AV480" t="s">
        <v>884</v>
      </c>
      <c r="AW480" t="s">
        <v>60</v>
      </c>
      <c r="AX480" t="s">
        <v>68</v>
      </c>
      <c r="AY480" t="s">
        <v>69</v>
      </c>
      <c r="AZ480" t="b">
        <v>1</v>
      </c>
    </row>
    <row r="481" spans="1:52" x14ac:dyDescent="0.3">
      <c r="A481" t="s">
        <v>52</v>
      </c>
      <c r="B481" t="s">
        <v>53</v>
      </c>
      <c r="C481" t="s">
        <v>54</v>
      </c>
      <c r="D481" t="s">
        <v>55</v>
      </c>
      <c r="E481" t="s">
        <v>1617</v>
      </c>
      <c r="F481" t="s">
        <v>190</v>
      </c>
      <c r="G481" t="s">
        <v>1435</v>
      </c>
      <c r="H481" t="s">
        <v>1436</v>
      </c>
      <c r="I481" t="s">
        <v>1436</v>
      </c>
      <c r="J481" t="s">
        <v>60</v>
      </c>
      <c r="K481" t="s">
        <v>886</v>
      </c>
      <c r="L481" t="s">
        <v>62</v>
      </c>
      <c r="M481" t="s">
        <v>886</v>
      </c>
      <c r="N481" t="s">
        <v>1437</v>
      </c>
      <c r="O481" t="s">
        <v>1438</v>
      </c>
      <c r="P481">
        <v>-20.131108000000001</v>
      </c>
      <c r="Q481">
        <v>-44.893228000000001</v>
      </c>
      <c r="R481" s="2" t="str">
        <f>HYPERLINK("https://www.google.com/maps?q=-20.1311080,-44.8932280","Abrir no Google Maps")</f>
        <v>Abrir no Google Maps</v>
      </c>
      <c r="S481">
        <v>3</v>
      </c>
      <c r="T481">
        <v>548.07497919430136</v>
      </c>
      <c r="U481">
        <v>3</v>
      </c>
      <c r="V481">
        <v>0.47145511720983418</v>
      </c>
      <c r="W481">
        <v>0.85</v>
      </c>
      <c r="X481">
        <v>0.40073684962835898</v>
      </c>
      <c r="Y481">
        <v>564</v>
      </c>
      <c r="Z481">
        <v>369.17139216388432</v>
      </c>
      <c r="AA481">
        <v>198</v>
      </c>
      <c r="AB481">
        <v>332</v>
      </c>
      <c r="AC481">
        <v>536</v>
      </c>
      <c r="AD481">
        <v>33.19</v>
      </c>
      <c r="AE481">
        <v>542</v>
      </c>
      <c r="AF481">
        <v>42</v>
      </c>
      <c r="AG481">
        <v>173</v>
      </c>
      <c r="AH481">
        <v>129</v>
      </c>
      <c r="AI481">
        <v>7.75</v>
      </c>
      <c r="AJ481">
        <v>31.92</v>
      </c>
      <c r="AK481">
        <v>23.8</v>
      </c>
      <c r="AL481">
        <v>-20.13103294999997</v>
      </c>
      <c r="AM481">
        <v>-44.89318457893738</v>
      </c>
      <c r="AN481">
        <v>-20.13103294999997</v>
      </c>
      <c r="AO481">
        <v>-44.89318457893738</v>
      </c>
      <c r="AP481">
        <v>-20.131108000000001</v>
      </c>
      <c r="AQ481">
        <v>-44.893228000000001</v>
      </c>
      <c r="AR481">
        <v>9.5076426885244203</v>
      </c>
      <c r="AS481" t="s">
        <v>65</v>
      </c>
      <c r="AT481">
        <v>1</v>
      </c>
      <c r="AU481" t="s">
        <v>1439</v>
      </c>
      <c r="AV481" t="s">
        <v>1440</v>
      </c>
      <c r="AW481" t="s">
        <v>60</v>
      </c>
      <c r="AX481" t="s">
        <v>68</v>
      </c>
      <c r="AY481" t="s">
        <v>69</v>
      </c>
      <c r="AZ481" t="b">
        <v>1</v>
      </c>
    </row>
    <row r="482" spans="1:52" x14ac:dyDescent="0.3">
      <c r="A482" t="s">
        <v>52</v>
      </c>
      <c r="B482" t="s">
        <v>53</v>
      </c>
      <c r="C482" t="s">
        <v>54</v>
      </c>
      <c r="D482" t="s">
        <v>55</v>
      </c>
      <c r="E482" t="s">
        <v>1617</v>
      </c>
      <c r="F482" t="s">
        <v>190</v>
      </c>
      <c r="G482" t="s">
        <v>890</v>
      </c>
      <c r="H482" t="s">
        <v>891</v>
      </c>
      <c r="I482" t="s">
        <v>891</v>
      </c>
      <c r="J482" t="s">
        <v>60</v>
      </c>
      <c r="K482" t="s">
        <v>892</v>
      </c>
      <c r="L482" t="s">
        <v>62</v>
      </c>
      <c r="M482" t="s">
        <v>892</v>
      </c>
      <c r="N482" t="s">
        <v>893</v>
      </c>
      <c r="O482" t="s">
        <v>894</v>
      </c>
      <c r="P482">
        <v>-20.152519000000002</v>
      </c>
      <c r="Q482">
        <v>-44.899177000000002</v>
      </c>
      <c r="R482" s="2" t="str">
        <f>HYPERLINK("https://www.google.com/maps?q=-20.1525190,-44.8991770","Abrir no Google Maps")</f>
        <v>Abrir no Google Maps</v>
      </c>
      <c r="S482">
        <v>3</v>
      </c>
      <c r="T482">
        <v>211.80188552994721</v>
      </c>
      <c r="U482">
        <v>3</v>
      </c>
      <c r="V482">
        <v>0.43390252129184581</v>
      </c>
      <c r="W482">
        <v>1</v>
      </c>
      <c r="X482">
        <v>0.43390252129184581</v>
      </c>
      <c r="Y482">
        <v>556</v>
      </c>
      <c r="Z482">
        <v>290.34804137107091</v>
      </c>
      <c r="AA482">
        <v>198</v>
      </c>
      <c r="AB482">
        <v>332</v>
      </c>
      <c r="AC482">
        <v>536</v>
      </c>
      <c r="AD482">
        <v>33.19</v>
      </c>
      <c r="AE482">
        <v>542</v>
      </c>
      <c r="AF482">
        <v>42</v>
      </c>
      <c r="AG482">
        <v>173</v>
      </c>
      <c r="AH482">
        <v>129</v>
      </c>
      <c r="AI482">
        <v>7.75</v>
      </c>
      <c r="AJ482">
        <v>31.92</v>
      </c>
      <c r="AK482">
        <v>23.8</v>
      </c>
      <c r="AL482">
        <v>-20.152516249999959</v>
      </c>
      <c r="AM482">
        <v>-44.899310431333959</v>
      </c>
      <c r="AN482">
        <v>-20.152516249999959</v>
      </c>
      <c r="AO482">
        <v>-44.899310431333959</v>
      </c>
      <c r="AP482">
        <v>-20.152519000000002</v>
      </c>
      <c r="AQ482">
        <v>-44.899177000000002</v>
      </c>
      <c r="AR482">
        <v>13.947583284957719</v>
      </c>
      <c r="AS482" t="s">
        <v>65</v>
      </c>
      <c r="AT482">
        <v>1</v>
      </c>
      <c r="AU482" t="s">
        <v>895</v>
      </c>
      <c r="AV482" t="s">
        <v>896</v>
      </c>
      <c r="AW482" t="s">
        <v>60</v>
      </c>
      <c r="AX482" t="s">
        <v>68</v>
      </c>
      <c r="AY482" t="s">
        <v>69</v>
      </c>
      <c r="AZ482" t="b">
        <v>1</v>
      </c>
    </row>
    <row r="483" spans="1:52" x14ac:dyDescent="0.3">
      <c r="A483" t="s">
        <v>52</v>
      </c>
      <c r="B483" t="s">
        <v>53</v>
      </c>
      <c r="C483" t="s">
        <v>54</v>
      </c>
      <c r="D483" t="s">
        <v>55</v>
      </c>
      <c r="E483" t="s">
        <v>1617</v>
      </c>
      <c r="F483" t="s">
        <v>190</v>
      </c>
      <c r="G483" t="s">
        <v>897</v>
      </c>
      <c r="H483" t="s">
        <v>898</v>
      </c>
      <c r="I483" t="s">
        <v>898</v>
      </c>
      <c r="J483" t="s">
        <v>60</v>
      </c>
      <c r="K483" t="s">
        <v>892</v>
      </c>
      <c r="L483" t="s">
        <v>62</v>
      </c>
      <c r="M483" t="s">
        <v>892</v>
      </c>
      <c r="N483" t="s">
        <v>899</v>
      </c>
      <c r="O483" t="s">
        <v>900</v>
      </c>
      <c r="P483">
        <v>-20.154885</v>
      </c>
      <c r="Q483">
        <v>-44.899890999999997</v>
      </c>
      <c r="R483" s="2" t="str">
        <f>HYPERLINK("https://www.google.com/maps?q=-20.1548850,-44.8998910","Abrir no Google Maps")</f>
        <v>Abrir no Google Maps</v>
      </c>
      <c r="S483">
        <v>3</v>
      </c>
      <c r="T483">
        <v>314.66339661014308</v>
      </c>
      <c r="U483">
        <v>3</v>
      </c>
      <c r="V483">
        <v>0.4094985535197686</v>
      </c>
      <c r="W483">
        <v>1</v>
      </c>
      <c r="X483">
        <v>0.4094985535197686</v>
      </c>
      <c r="Y483">
        <v>548</v>
      </c>
      <c r="Z483">
        <v>319.02252584834253</v>
      </c>
      <c r="AA483">
        <v>198</v>
      </c>
      <c r="AB483">
        <v>332</v>
      </c>
      <c r="AC483">
        <v>536</v>
      </c>
      <c r="AD483">
        <v>33.19</v>
      </c>
      <c r="AE483">
        <v>542</v>
      </c>
      <c r="AF483">
        <v>42</v>
      </c>
      <c r="AG483">
        <v>173</v>
      </c>
      <c r="AH483">
        <v>129</v>
      </c>
      <c r="AI483">
        <v>7.75</v>
      </c>
      <c r="AJ483">
        <v>31.92</v>
      </c>
      <c r="AK483">
        <v>23.8</v>
      </c>
      <c r="AL483">
        <v>-20.154906649999951</v>
      </c>
      <c r="AM483">
        <v>-44.899894072543653</v>
      </c>
      <c r="AN483">
        <v>-20.154906649999951</v>
      </c>
      <c r="AO483">
        <v>-44.899894072543653</v>
      </c>
      <c r="AP483">
        <v>-20.154885</v>
      </c>
      <c r="AQ483">
        <v>-44.899890999999997</v>
      </c>
      <c r="AR483">
        <v>2.431373123904943</v>
      </c>
      <c r="AS483" t="s">
        <v>65</v>
      </c>
      <c r="AT483">
        <v>1</v>
      </c>
      <c r="AU483" t="s">
        <v>901</v>
      </c>
      <c r="AV483" t="s">
        <v>902</v>
      </c>
      <c r="AW483" t="s">
        <v>60</v>
      </c>
      <c r="AX483" t="s">
        <v>68</v>
      </c>
      <c r="AY483" t="s">
        <v>69</v>
      </c>
      <c r="AZ483" t="b">
        <v>1</v>
      </c>
    </row>
    <row r="484" spans="1:52" x14ac:dyDescent="0.3">
      <c r="A484" t="s">
        <v>52</v>
      </c>
      <c r="B484" t="s">
        <v>53</v>
      </c>
      <c r="C484" t="s">
        <v>54</v>
      </c>
      <c r="D484" t="s">
        <v>55</v>
      </c>
      <c r="E484" t="s">
        <v>1617</v>
      </c>
      <c r="F484" t="s">
        <v>190</v>
      </c>
      <c r="G484" t="s">
        <v>551</v>
      </c>
      <c r="H484" t="s">
        <v>552</v>
      </c>
      <c r="I484" t="s">
        <v>552</v>
      </c>
      <c r="J484" t="s">
        <v>60</v>
      </c>
      <c r="K484" t="s">
        <v>388</v>
      </c>
      <c r="L484" t="s">
        <v>62</v>
      </c>
      <c r="M484" t="s">
        <v>388</v>
      </c>
      <c r="N484" t="s">
        <v>553</v>
      </c>
      <c r="O484" t="s">
        <v>315</v>
      </c>
      <c r="P484">
        <v>-20.153086999999999</v>
      </c>
      <c r="Q484">
        <v>-44.905451999999997</v>
      </c>
      <c r="R484" s="2" t="str">
        <f>HYPERLINK("https://www.google.com/maps?q=-20.1530870,-44.9054520","Abrir no Google Maps")</f>
        <v>Abrir no Google Maps</v>
      </c>
      <c r="S484">
        <v>3</v>
      </c>
      <c r="T484">
        <v>313.69387682409018</v>
      </c>
      <c r="U484">
        <v>3</v>
      </c>
      <c r="V484">
        <v>0.37922415466275111</v>
      </c>
      <c r="W484">
        <v>1</v>
      </c>
      <c r="X484">
        <v>0.37922415466275111</v>
      </c>
      <c r="Y484">
        <v>548</v>
      </c>
      <c r="Z484">
        <v>319.51605309906859</v>
      </c>
      <c r="AA484">
        <v>198</v>
      </c>
      <c r="AB484">
        <v>332</v>
      </c>
      <c r="AC484">
        <v>536</v>
      </c>
      <c r="AD484">
        <v>33.19</v>
      </c>
      <c r="AE484">
        <v>542</v>
      </c>
      <c r="AF484">
        <v>42</v>
      </c>
      <c r="AG484">
        <v>173</v>
      </c>
      <c r="AH484">
        <v>129</v>
      </c>
      <c r="AI484">
        <v>7.75</v>
      </c>
      <c r="AJ484">
        <v>31.92</v>
      </c>
      <c r="AK484">
        <v>23.8</v>
      </c>
      <c r="AL484">
        <v>-20.153043049999951</v>
      </c>
      <c r="AM484">
        <v>-44.905348275899513</v>
      </c>
      <c r="AN484">
        <v>-20.153043049999951</v>
      </c>
      <c r="AO484">
        <v>-44.905348275899513</v>
      </c>
      <c r="AP484">
        <v>-20.153086999999999</v>
      </c>
      <c r="AQ484">
        <v>-44.905451999999997</v>
      </c>
      <c r="AR484">
        <v>11.892619975648341</v>
      </c>
      <c r="AS484" t="s">
        <v>65</v>
      </c>
      <c r="AT484">
        <v>1</v>
      </c>
      <c r="AU484" t="s">
        <v>554</v>
      </c>
      <c r="AV484" t="s">
        <v>555</v>
      </c>
      <c r="AW484" t="s">
        <v>60</v>
      </c>
      <c r="AX484" t="s">
        <v>68</v>
      </c>
      <c r="AY484" t="s">
        <v>69</v>
      </c>
      <c r="AZ484" t="b">
        <v>1</v>
      </c>
    </row>
    <row r="485" spans="1:52" x14ac:dyDescent="0.3">
      <c r="A485" t="s">
        <v>52</v>
      </c>
      <c r="B485" t="s">
        <v>53</v>
      </c>
      <c r="C485" t="s">
        <v>54</v>
      </c>
      <c r="D485" t="s">
        <v>55</v>
      </c>
      <c r="E485" t="s">
        <v>1617</v>
      </c>
      <c r="F485" t="s">
        <v>190</v>
      </c>
      <c r="G485" t="s">
        <v>579</v>
      </c>
      <c r="H485" t="s">
        <v>580</v>
      </c>
      <c r="I485" t="s">
        <v>580</v>
      </c>
      <c r="J485" t="s">
        <v>60</v>
      </c>
      <c r="K485" t="s">
        <v>117</v>
      </c>
      <c r="L485" t="s">
        <v>62</v>
      </c>
      <c r="M485" t="s">
        <v>117</v>
      </c>
      <c r="N485" t="s">
        <v>581</v>
      </c>
      <c r="O485" t="s">
        <v>338</v>
      </c>
      <c r="P485">
        <v>-20.119333000000001</v>
      </c>
      <c r="Q485">
        <v>-44.892454999999998</v>
      </c>
      <c r="R485" s="2" t="str">
        <f>HYPERLINK("https://www.google.com/maps?q=-20.1193330,-44.8924550","Abrir no Google Maps")</f>
        <v>Abrir no Google Maps</v>
      </c>
      <c r="S485">
        <v>3</v>
      </c>
      <c r="T485">
        <v>545.06582215852734</v>
      </c>
      <c r="U485">
        <v>3</v>
      </c>
      <c r="V485">
        <v>0.38156576122816621</v>
      </c>
      <c r="W485">
        <v>1</v>
      </c>
      <c r="X485">
        <v>0.38156576122816621</v>
      </c>
      <c r="Y485">
        <v>536</v>
      </c>
      <c r="Z485">
        <v>583.72689769042404</v>
      </c>
      <c r="AA485">
        <v>198</v>
      </c>
      <c r="AB485">
        <v>332</v>
      </c>
      <c r="AC485">
        <v>536</v>
      </c>
      <c r="AD485">
        <v>33.19</v>
      </c>
      <c r="AE485">
        <v>542</v>
      </c>
      <c r="AF485">
        <v>42</v>
      </c>
      <c r="AG485">
        <v>173</v>
      </c>
      <c r="AH485">
        <v>129</v>
      </c>
      <c r="AI485">
        <v>7.75</v>
      </c>
      <c r="AJ485">
        <v>31.92</v>
      </c>
      <c r="AK485">
        <v>23.8</v>
      </c>
      <c r="AL485">
        <v>-20.11966729999995</v>
      </c>
      <c r="AM485">
        <v>-44.892529474102908</v>
      </c>
      <c r="AN485">
        <v>-20.119667299999939</v>
      </c>
      <c r="AO485">
        <v>-44.892529474102908</v>
      </c>
      <c r="AP485">
        <v>-20.119333000000001</v>
      </c>
      <c r="AQ485">
        <v>-44.892454999999998</v>
      </c>
      <c r="AR485">
        <v>38.019750592693072</v>
      </c>
      <c r="AS485" t="s">
        <v>65</v>
      </c>
      <c r="AT485">
        <v>1</v>
      </c>
      <c r="AU485" t="s">
        <v>582</v>
      </c>
      <c r="AV485" t="s">
        <v>583</v>
      </c>
      <c r="AW485" t="s">
        <v>60</v>
      </c>
      <c r="AX485" t="s">
        <v>68</v>
      </c>
      <c r="AY485" t="s">
        <v>69</v>
      </c>
      <c r="AZ485" t="b">
        <v>1</v>
      </c>
    </row>
    <row r="486" spans="1:52" x14ac:dyDescent="0.3">
      <c r="A486" t="s">
        <v>52</v>
      </c>
      <c r="B486" t="s">
        <v>53</v>
      </c>
      <c r="C486" t="s">
        <v>54</v>
      </c>
      <c r="D486" t="s">
        <v>55</v>
      </c>
      <c r="E486" t="s">
        <v>1617</v>
      </c>
      <c r="F486" t="s">
        <v>190</v>
      </c>
      <c r="G486" t="s">
        <v>910</v>
      </c>
      <c r="H486" t="s">
        <v>911</v>
      </c>
      <c r="I486" t="s">
        <v>911</v>
      </c>
      <c r="J486" t="s">
        <v>60</v>
      </c>
      <c r="K486" t="s">
        <v>207</v>
      </c>
      <c r="L486" t="s">
        <v>62</v>
      </c>
      <c r="M486" t="s">
        <v>207</v>
      </c>
      <c r="N486" t="s">
        <v>912</v>
      </c>
      <c r="O486" t="s">
        <v>548</v>
      </c>
      <c r="P486">
        <v>-20.116987000000002</v>
      </c>
      <c r="Q486">
        <v>-44.885240000000003</v>
      </c>
      <c r="R486" s="2" t="str">
        <f>HYPERLINK("https://www.google.com/maps?q=-20.1169870,-44.8852400","Abrir no Google Maps")</f>
        <v>Abrir no Google Maps</v>
      </c>
      <c r="S486">
        <v>3</v>
      </c>
      <c r="T486">
        <v>283.94804862214067</v>
      </c>
      <c r="U486">
        <v>3</v>
      </c>
      <c r="V486">
        <v>0.41301984395290692</v>
      </c>
      <c r="W486">
        <v>1</v>
      </c>
      <c r="X486">
        <v>0.41301984395290692</v>
      </c>
      <c r="Y486">
        <v>536</v>
      </c>
      <c r="Z486">
        <v>297.39410031170689</v>
      </c>
      <c r="AA486">
        <v>198</v>
      </c>
      <c r="AB486">
        <v>332</v>
      </c>
      <c r="AC486">
        <v>536</v>
      </c>
      <c r="AD486">
        <v>33.19</v>
      </c>
      <c r="AE486">
        <v>542</v>
      </c>
      <c r="AF486">
        <v>42</v>
      </c>
      <c r="AG486">
        <v>173</v>
      </c>
      <c r="AH486">
        <v>129</v>
      </c>
      <c r="AI486">
        <v>7.75</v>
      </c>
      <c r="AJ486">
        <v>31.92</v>
      </c>
      <c r="AK486">
        <v>23.8</v>
      </c>
      <c r="AL486">
        <v>-20.116999599999961</v>
      </c>
      <c r="AM486">
        <v>-44.885197873315192</v>
      </c>
      <c r="AN486">
        <v>-20.116999599999961</v>
      </c>
      <c r="AO486">
        <v>-44.885197873315192</v>
      </c>
      <c r="AP486">
        <v>-20.116987000000002</v>
      </c>
      <c r="AQ486">
        <v>-44.885240000000003</v>
      </c>
      <c r="AR486">
        <v>4.6214387870334246</v>
      </c>
      <c r="AS486" t="s">
        <v>65</v>
      </c>
      <c r="AT486">
        <v>1</v>
      </c>
      <c r="AU486" t="s">
        <v>913</v>
      </c>
      <c r="AV486" t="s">
        <v>914</v>
      </c>
      <c r="AW486" t="s">
        <v>60</v>
      </c>
      <c r="AX486" t="s">
        <v>68</v>
      </c>
      <c r="AY486" t="s">
        <v>69</v>
      </c>
      <c r="AZ486" t="b">
        <v>1</v>
      </c>
    </row>
    <row r="487" spans="1:52" x14ac:dyDescent="0.3">
      <c r="A487" t="s">
        <v>52</v>
      </c>
      <c r="B487" t="s">
        <v>53</v>
      </c>
      <c r="C487" t="s">
        <v>54</v>
      </c>
      <c r="D487" t="s">
        <v>55</v>
      </c>
      <c r="E487" t="s">
        <v>1617</v>
      </c>
      <c r="F487" t="s">
        <v>190</v>
      </c>
      <c r="G487" t="s">
        <v>232</v>
      </c>
      <c r="H487" t="s">
        <v>925</v>
      </c>
      <c r="I487" t="s">
        <v>925</v>
      </c>
      <c r="J487" t="s">
        <v>60</v>
      </c>
      <c r="K487" t="s">
        <v>702</v>
      </c>
      <c r="L487" t="s">
        <v>62</v>
      </c>
      <c r="M487" t="s">
        <v>702</v>
      </c>
      <c r="N487" t="s">
        <v>234</v>
      </c>
      <c r="O487" t="s">
        <v>926</v>
      </c>
      <c r="P487">
        <v>-20.165887999999999</v>
      </c>
      <c r="Q487">
        <v>-44.865220000000001</v>
      </c>
      <c r="R487" s="2" t="str">
        <f>HYPERLINK("https://www.google.com/maps?q=-20.1658880,-44.8652200","Abrir no Google Maps")</f>
        <v>Abrir no Google Maps</v>
      </c>
      <c r="S487">
        <v>3</v>
      </c>
      <c r="T487">
        <v>711.71706763776342</v>
      </c>
      <c r="U487">
        <v>3</v>
      </c>
      <c r="V487">
        <v>0.42951203975028668</v>
      </c>
      <c r="W487">
        <v>1</v>
      </c>
      <c r="X487">
        <v>0.42951203975028668</v>
      </c>
      <c r="Y487">
        <v>518</v>
      </c>
      <c r="Z487">
        <v>801.45781285603209</v>
      </c>
      <c r="AA487">
        <v>198</v>
      </c>
      <c r="AB487">
        <v>332</v>
      </c>
      <c r="AC487">
        <v>536</v>
      </c>
      <c r="AD487">
        <v>33.19</v>
      </c>
      <c r="AE487">
        <v>542</v>
      </c>
      <c r="AF487">
        <v>42</v>
      </c>
      <c r="AG487">
        <v>173</v>
      </c>
      <c r="AH487">
        <v>129</v>
      </c>
      <c r="AI487">
        <v>7.75</v>
      </c>
      <c r="AJ487">
        <v>31.92</v>
      </c>
      <c r="AK487">
        <v>23.8</v>
      </c>
      <c r="AL487">
        <v>-20.165865449999959</v>
      </c>
      <c r="AM487">
        <v>-44.865240434761468</v>
      </c>
      <c r="AN487">
        <v>-20.165865449999959</v>
      </c>
      <c r="AO487">
        <v>-44.865240434761468</v>
      </c>
      <c r="AP487">
        <v>-20.165887999999999</v>
      </c>
      <c r="AQ487">
        <v>-44.865220000000001</v>
      </c>
      <c r="AR487">
        <v>3.2956262004279409</v>
      </c>
      <c r="AS487" t="s">
        <v>65</v>
      </c>
      <c r="AT487">
        <v>1</v>
      </c>
      <c r="AU487" t="s">
        <v>927</v>
      </c>
      <c r="AV487" t="s">
        <v>928</v>
      </c>
      <c r="AW487" t="s">
        <v>60</v>
      </c>
      <c r="AX487" t="s">
        <v>68</v>
      </c>
      <c r="AY487" t="s">
        <v>69</v>
      </c>
      <c r="AZ487" t="b">
        <v>1</v>
      </c>
    </row>
    <row r="488" spans="1:52" x14ac:dyDescent="0.3">
      <c r="A488" t="s">
        <v>52</v>
      </c>
      <c r="B488" t="s">
        <v>53</v>
      </c>
      <c r="C488" t="s">
        <v>54</v>
      </c>
      <c r="D488" t="s">
        <v>55</v>
      </c>
      <c r="E488" t="s">
        <v>1617</v>
      </c>
      <c r="F488" t="s">
        <v>190</v>
      </c>
      <c r="G488" t="s">
        <v>929</v>
      </c>
      <c r="H488" t="s">
        <v>930</v>
      </c>
      <c r="I488" t="s">
        <v>930</v>
      </c>
      <c r="J488" t="s">
        <v>60</v>
      </c>
      <c r="K488" t="s">
        <v>72</v>
      </c>
      <c r="L488" t="s">
        <v>62</v>
      </c>
      <c r="M488" t="s">
        <v>72</v>
      </c>
      <c r="N488" t="s">
        <v>931</v>
      </c>
      <c r="O488" t="s">
        <v>932</v>
      </c>
      <c r="P488">
        <v>-20.144780999999998</v>
      </c>
      <c r="Q488">
        <v>-44.914259000000001</v>
      </c>
      <c r="R488" s="2" t="str">
        <f>HYPERLINK("https://www.google.com/maps?q=-20.1447810,-44.9142590","Abrir no Google Maps")</f>
        <v>Abrir no Google Maps</v>
      </c>
      <c r="S488">
        <v>3</v>
      </c>
      <c r="T488">
        <v>256.09363485874093</v>
      </c>
      <c r="U488">
        <v>3</v>
      </c>
      <c r="V488">
        <v>0.4079556935285365</v>
      </c>
      <c r="W488">
        <v>1</v>
      </c>
      <c r="X488">
        <v>0.4079556935285365</v>
      </c>
      <c r="Y488">
        <v>508</v>
      </c>
      <c r="Z488">
        <v>318.29766547935321</v>
      </c>
      <c r="AA488">
        <v>198</v>
      </c>
      <c r="AB488">
        <v>332</v>
      </c>
      <c r="AC488">
        <v>536</v>
      </c>
      <c r="AD488">
        <v>33.19</v>
      </c>
      <c r="AE488">
        <v>542</v>
      </c>
      <c r="AF488">
        <v>42</v>
      </c>
      <c r="AG488">
        <v>173</v>
      </c>
      <c r="AH488">
        <v>129</v>
      </c>
      <c r="AI488">
        <v>7.75</v>
      </c>
      <c r="AJ488">
        <v>31.92</v>
      </c>
      <c r="AK488">
        <v>23.8</v>
      </c>
      <c r="AL488">
        <v>-20.144721899999951</v>
      </c>
      <c r="AM488">
        <v>-44.914368749511411</v>
      </c>
      <c r="AN488">
        <v>-20.144721899999951</v>
      </c>
      <c r="AO488">
        <v>-44.914368749511411</v>
      </c>
      <c r="AP488">
        <v>-20.144780999999998</v>
      </c>
      <c r="AQ488">
        <v>-44.914259000000001</v>
      </c>
      <c r="AR488">
        <v>13.22280973360979</v>
      </c>
      <c r="AS488" t="s">
        <v>65</v>
      </c>
      <c r="AT488">
        <v>1</v>
      </c>
      <c r="AU488" t="s">
        <v>933</v>
      </c>
      <c r="AV488" t="s">
        <v>934</v>
      </c>
      <c r="AW488" t="s">
        <v>60</v>
      </c>
      <c r="AX488" t="s">
        <v>68</v>
      </c>
      <c r="AY488" t="s">
        <v>69</v>
      </c>
      <c r="AZ488" t="b">
        <v>1</v>
      </c>
    </row>
    <row r="489" spans="1:52" x14ac:dyDescent="0.3">
      <c r="A489" t="s">
        <v>52</v>
      </c>
      <c r="B489" t="s">
        <v>53</v>
      </c>
      <c r="C489" t="s">
        <v>54</v>
      </c>
      <c r="D489" t="s">
        <v>55</v>
      </c>
      <c r="E489" t="s">
        <v>1617</v>
      </c>
      <c r="F489" t="s">
        <v>190</v>
      </c>
      <c r="G489" t="s">
        <v>946</v>
      </c>
      <c r="H489" t="s">
        <v>947</v>
      </c>
      <c r="I489" t="s">
        <v>947</v>
      </c>
      <c r="J489" t="s">
        <v>60</v>
      </c>
      <c r="K489" t="s">
        <v>193</v>
      </c>
      <c r="L489" t="s">
        <v>62</v>
      </c>
      <c r="M489" t="s">
        <v>193</v>
      </c>
      <c r="N489" t="s">
        <v>948</v>
      </c>
      <c r="O489" t="s">
        <v>949</v>
      </c>
      <c r="P489">
        <v>-20.141646000000001</v>
      </c>
      <c r="Q489">
        <v>-44.920682999999997</v>
      </c>
      <c r="R489" s="2" t="str">
        <f>HYPERLINK("https://www.google.com/maps?q=-20.1416460,-44.9206830","Abrir no Google Maps")</f>
        <v>Abrir no Google Maps</v>
      </c>
      <c r="S489">
        <v>3</v>
      </c>
      <c r="T489">
        <v>538.41742581974165</v>
      </c>
      <c r="U489">
        <v>3</v>
      </c>
      <c r="V489">
        <v>0.43271041576126318</v>
      </c>
      <c r="W489">
        <v>1</v>
      </c>
      <c r="X489">
        <v>0.43271041576126318</v>
      </c>
      <c r="Y489">
        <v>508</v>
      </c>
      <c r="Z489">
        <v>459.99626097363068</v>
      </c>
      <c r="AA489">
        <v>198</v>
      </c>
      <c r="AB489">
        <v>332</v>
      </c>
      <c r="AC489">
        <v>536</v>
      </c>
      <c r="AD489">
        <v>33.19</v>
      </c>
      <c r="AE489">
        <v>542</v>
      </c>
      <c r="AF489">
        <v>42</v>
      </c>
      <c r="AG489">
        <v>173</v>
      </c>
      <c r="AH489">
        <v>129</v>
      </c>
      <c r="AI489">
        <v>7.75</v>
      </c>
      <c r="AJ489">
        <v>31.92</v>
      </c>
      <c r="AK489">
        <v>23.8</v>
      </c>
      <c r="AL489">
        <v>-20.141877549999979</v>
      </c>
      <c r="AM489">
        <v>-44.920658074778594</v>
      </c>
      <c r="AN489">
        <v>-20.141877549999979</v>
      </c>
      <c r="AO489">
        <v>-44.920658074778594</v>
      </c>
      <c r="AP489">
        <v>-20.141646000000001</v>
      </c>
      <c r="AQ489">
        <v>-44.920682999999997</v>
      </c>
      <c r="AR489">
        <v>25.907443828287509</v>
      </c>
      <c r="AS489" t="s">
        <v>65</v>
      </c>
      <c r="AT489">
        <v>1</v>
      </c>
      <c r="AU489" t="s">
        <v>950</v>
      </c>
      <c r="AV489" t="s">
        <v>951</v>
      </c>
      <c r="AW489" t="s">
        <v>60</v>
      </c>
      <c r="AX489" t="s">
        <v>68</v>
      </c>
      <c r="AY489" t="s">
        <v>69</v>
      </c>
      <c r="AZ489" t="b">
        <v>1</v>
      </c>
    </row>
    <row r="490" spans="1:52" x14ac:dyDescent="0.3">
      <c r="A490" t="s">
        <v>52</v>
      </c>
      <c r="B490" t="s">
        <v>53</v>
      </c>
      <c r="C490" t="s">
        <v>54</v>
      </c>
      <c r="D490" t="s">
        <v>55</v>
      </c>
      <c r="E490" t="s">
        <v>1617</v>
      </c>
      <c r="F490" t="s">
        <v>190</v>
      </c>
      <c r="G490" t="s">
        <v>625</v>
      </c>
      <c r="H490" t="s">
        <v>626</v>
      </c>
      <c r="I490" t="s">
        <v>626</v>
      </c>
      <c r="J490" t="s">
        <v>60</v>
      </c>
      <c r="K490" t="s">
        <v>193</v>
      </c>
      <c r="L490" t="s">
        <v>62</v>
      </c>
      <c r="M490" t="s">
        <v>193</v>
      </c>
      <c r="N490" t="s">
        <v>627</v>
      </c>
      <c r="O490" t="s">
        <v>628</v>
      </c>
      <c r="P490">
        <v>-20.145171999999999</v>
      </c>
      <c r="Q490">
        <v>-44.916764000000001</v>
      </c>
      <c r="R490" s="2" t="str">
        <f>HYPERLINK("https://www.google.com/maps?q=-20.1451720,-44.9167640","Abrir no Google Maps")</f>
        <v>Abrir no Google Maps</v>
      </c>
      <c r="S490">
        <v>3</v>
      </c>
      <c r="T490">
        <v>0</v>
      </c>
      <c r="U490">
        <v>3</v>
      </c>
      <c r="V490">
        <v>0.4169804554419938</v>
      </c>
      <c r="W490">
        <v>1</v>
      </c>
      <c r="X490">
        <v>0.4169804554419938</v>
      </c>
      <c r="Y490">
        <v>508</v>
      </c>
      <c r="Z490">
        <v>79.403393114466795</v>
      </c>
      <c r="AA490">
        <v>198</v>
      </c>
      <c r="AB490">
        <v>332</v>
      </c>
      <c r="AC490">
        <v>536</v>
      </c>
      <c r="AD490">
        <v>33.19</v>
      </c>
      <c r="AE490">
        <v>542</v>
      </c>
      <c r="AF490">
        <v>42</v>
      </c>
      <c r="AG490">
        <v>173</v>
      </c>
      <c r="AH490">
        <v>129</v>
      </c>
      <c r="AI490">
        <v>7.75</v>
      </c>
      <c r="AJ490">
        <v>31.92</v>
      </c>
      <c r="AK490">
        <v>23.8</v>
      </c>
      <c r="AL490">
        <v>-20.145089199999969</v>
      </c>
      <c r="AM490">
        <v>-44.916788127791321</v>
      </c>
      <c r="AN490">
        <v>-20.145089199999969</v>
      </c>
      <c r="AO490">
        <v>-44.916788127791321</v>
      </c>
      <c r="AP490">
        <v>-20.145171999999999</v>
      </c>
      <c r="AQ490">
        <v>-44.916764000000001</v>
      </c>
      <c r="AR490">
        <v>9.555991267747272</v>
      </c>
      <c r="AS490" t="s">
        <v>65</v>
      </c>
      <c r="AT490">
        <v>1</v>
      </c>
      <c r="AU490" t="s">
        <v>629</v>
      </c>
      <c r="AV490" t="s">
        <v>630</v>
      </c>
      <c r="AW490" t="s">
        <v>60</v>
      </c>
      <c r="AX490" t="s">
        <v>68</v>
      </c>
      <c r="AY490" t="s">
        <v>69</v>
      </c>
      <c r="AZ490" t="b">
        <v>1</v>
      </c>
    </row>
    <row r="491" spans="1:52" x14ac:dyDescent="0.3">
      <c r="A491" t="s">
        <v>52</v>
      </c>
      <c r="B491" t="s">
        <v>53</v>
      </c>
      <c r="C491" t="s">
        <v>54</v>
      </c>
      <c r="D491" t="s">
        <v>55</v>
      </c>
      <c r="E491" t="s">
        <v>1617</v>
      </c>
      <c r="F491" t="s">
        <v>190</v>
      </c>
      <c r="G491" t="s">
        <v>1856</v>
      </c>
      <c r="H491" t="s">
        <v>1857</v>
      </c>
      <c r="I491" t="s">
        <v>1857</v>
      </c>
      <c r="J491" t="s">
        <v>60</v>
      </c>
      <c r="K491" t="s">
        <v>982</v>
      </c>
      <c r="L491" t="s">
        <v>62</v>
      </c>
      <c r="M491" t="s">
        <v>982</v>
      </c>
      <c r="N491" t="s">
        <v>1858</v>
      </c>
      <c r="O491" t="s">
        <v>1859</v>
      </c>
      <c r="P491">
        <v>-20.170065000000001</v>
      </c>
      <c r="Q491">
        <v>-44.856502999999996</v>
      </c>
      <c r="R491" s="2" t="str">
        <f>HYPERLINK("https://www.google.com/maps?q=-20.1700650,-44.8565030","Abrir no Google Maps")</f>
        <v>Abrir no Google Maps</v>
      </c>
      <c r="S491">
        <v>3</v>
      </c>
      <c r="T491">
        <v>924.49628970405706</v>
      </c>
      <c r="U491">
        <v>3</v>
      </c>
      <c r="V491">
        <v>0.48440436077900789</v>
      </c>
      <c r="W491">
        <v>0.85</v>
      </c>
      <c r="X491">
        <v>0.41174370666215671</v>
      </c>
      <c r="Y491">
        <v>491</v>
      </c>
      <c r="Z491">
        <v>781.19994751508341</v>
      </c>
      <c r="AA491">
        <v>198</v>
      </c>
      <c r="AB491">
        <v>332</v>
      </c>
      <c r="AC491">
        <v>536</v>
      </c>
      <c r="AD491">
        <v>33.19</v>
      </c>
      <c r="AE491">
        <v>542</v>
      </c>
      <c r="AF491">
        <v>42</v>
      </c>
      <c r="AG491">
        <v>173</v>
      </c>
      <c r="AH491">
        <v>129</v>
      </c>
      <c r="AI491">
        <v>7.75</v>
      </c>
      <c r="AJ491">
        <v>31.92</v>
      </c>
      <c r="AK491">
        <v>23.8</v>
      </c>
      <c r="AL491">
        <v>-20.170106749999949</v>
      </c>
      <c r="AM491">
        <v>-44.856479111371733</v>
      </c>
      <c r="AN491">
        <v>-20.170106749999949</v>
      </c>
      <c r="AO491">
        <v>-44.856479111371733</v>
      </c>
      <c r="AP491">
        <v>-20.170065000000001</v>
      </c>
      <c r="AQ491">
        <v>-44.856502999999996</v>
      </c>
      <c r="AR491">
        <v>5.275535546946946</v>
      </c>
      <c r="AS491" t="s">
        <v>65</v>
      </c>
      <c r="AT491">
        <v>1</v>
      </c>
      <c r="AU491" t="s">
        <v>1860</v>
      </c>
      <c r="AV491" t="s">
        <v>1861</v>
      </c>
      <c r="AW491" t="s">
        <v>60</v>
      </c>
      <c r="AX491" t="s">
        <v>68</v>
      </c>
      <c r="AY491" t="s">
        <v>69</v>
      </c>
      <c r="AZ491" t="b">
        <v>1</v>
      </c>
    </row>
    <row r="492" spans="1:52" x14ac:dyDescent="0.3">
      <c r="A492" t="s">
        <v>52</v>
      </c>
      <c r="B492" t="s">
        <v>53</v>
      </c>
      <c r="C492" t="s">
        <v>54</v>
      </c>
      <c r="D492" t="s">
        <v>55</v>
      </c>
      <c r="E492" t="s">
        <v>1617</v>
      </c>
      <c r="F492" t="s">
        <v>190</v>
      </c>
      <c r="G492" t="s">
        <v>1856</v>
      </c>
      <c r="H492" t="s">
        <v>1862</v>
      </c>
      <c r="I492" t="s">
        <v>1862</v>
      </c>
      <c r="J492" t="s">
        <v>60</v>
      </c>
      <c r="K492" t="s">
        <v>982</v>
      </c>
      <c r="L492" t="s">
        <v>62</v>
      </c>
      <c r="M492" t="s">
        <v>982</v>
      </c>
      <c r="N492" t="s">
        <v>1858</v>
      </c>
      <c r="O492" t="s">
        <v>1863</v>
      </c>
      <c r="P492">
        <v>-20.167763000000001</v>
      </c>
      <c r="Q492">
        <v>-44.855682000000002</v>
      </c>
      <c r="R492" s="2" t="str">
        <f>HYPERLINK("https://www.google.com/maps?q=-20.1677630,-44.8556820","Abrir no Google Maps")</f>
        <v>Abrir no Google Maps</v>
      </c>
      <c r="S492">
        <v>3</v>
      </c>
      <c r="T492">
        <v>695.0286862160923</v>
      </c>
      <c r="U492">
        <v>3</v>
      </c>
      <c r="V492">
        <v>0.4664343930861477</v>
      </c>
      <c r="W492">
        <v>0.85</v>
      </c>
      <c r="X492">
        <v>0.39646923412322549</v>
      </c>
      <c r="Y492">
        <v>491</v>
      </c>
      <c r="Z492">
        <v>586.96149177670804</v>
      </c>
      <c r="AA492">
        <v>198</v>
      </c>
      <c r="AB492">
        <v>332</v>
      </c>
      <c r="AC492">
        <v>536</v>
      </c>
      <c r="AD492">
        <v>33.19</v>
      </c>
      <c r="AE492">
        <v>542</v>
      </c>
      <c r="AF492">
        <v>42</v>
      </c>
      <c r="AG492">
        <v>173</v>
      </c>
      <c r="AH492">
        <v>129</v>
      </c>
      <c r="AI492">
        <v>7.75</v>
      </c>
      <c r="AJ492">
        <v>31.92</v>
      </c>
      <c r="AK492">
        <v>23.8</v>
      </c>
      <c r="AL492">
        <v>-20.16777439999996</v>
      </c>
      <c r="AM492">
        <v>-44.855650314695723</v>
      </c>
      <c r="AN492">
        <v>-20.16777439999996</v>
      </c>
      <c r="AO492">
        <v>-44.855650314695723</v>
      </c>
      <c r="AP492">
        <v>-20.167763000000001</v>
      </c>
      <c r="AQ492">
        <v>-44.855682000000002</v>
      </c>
      <c r="AR492">
        <v>3.5458197041869921</v>
      </c>
      <c r="AS492" t="s">
        <v>65</v>
      </c>
      <c r="AT492">
        <v>1</v>
      </c>
      <c r="AU492" t="s">
        <v>1864</v>
      </c>
      <c r="AV492" t="s">
        <v>1861</v>
      </c>
      <c r="AW492" t="s">
        <v>60</v>
      </c>
      <c r="AX492" t="s">
        <v>68</v>
      </c>
      <c r="AY492" t="s">
        <v>69</v>
      </c>
      <c r="AZ492" t="b">
        <v>1</v>
      </c>
    </row>
    <row r="493" spans="1:52" x14ac:dyDescent="0.3">
      <c r="A493" t="s">
        <v>52</v>
      </c>
      <c r="B493" t="s">
        <v>53</v>
      </c>
      <c r="C493" t="s">
        <v>54</v>
      </c>
      <c r="D493" t="s">
        <v>55</v>
      </c>
      <c r="E493" t="s">
        <v>1617</v>
      </c>
      <c r="F493" t="s">
        <v>190</v>
      </c>
      <c r="G493" t="s">
        <v>1865</v>
      </c>
      <c r="H493" t="s">
        <v>1866</v>
      </c>
      <c r="I493" t="s">
        <v>1866</v>
      </c>
      <c r="J493" t="s">
        <v>60</v>
      </c>
      <c r="K493" t="s">
        <v>1867</v>
      </c>
      <c r="L493" t="s">
        <v>62</v>
      </c>
      <c r="M493" t="s">
        <v>1867</v>
      </c>
      <c r="N493" t="s">
        <v>1868</v>
      </c>
      <c r="O493" t="s">
        <v>331</v>
      </c>
      <c r="P493">
        <v>-20.181349000000001</v>
      </c>
      <c r="Q493">
        <v>-44.855376</v>
      </c>
      <c r="R493" s="2" t="str">
        <f>HYPERLINK("https://www.google.com/maps?q=-20.1813490,-44.8553760","Abrir no Google Maps")</f>
        <v>Abrir no Google Maps</v>
      </c>
      <c r="S493">
        <v>3</v>
      </c>
      <c r="T493">
        <v>1480.8140209554069</v>
      </c>
      <c r="U493">
        <v>3</v>
      </c>
      <c r="V493">
        <v>0.4545112781954887</v>
      </c>
      <c r="W493">
        <v>0.85</v>
      </c>
      <c r="X493">
        <v>0.38633458646616542</v>
      </c>
      <c r="Y493">
        <v>422</v>
      </c>
      <c r="Z493">
        <v>1626.22889540284</v>
      </c>
      <c r="AA493">
        <v>198</v>
      </c>
      <c r="AB493">
        <v>332</v>
      </c>
      <c r="AC493">
        <v>536</v>
      </c>
      <c r="AD493">
        <v>33.19</v>
      </c>
      <c r="AE493">
        <v>542</v>
      </c>
      <c r="AF493">
        <v>42</v>
      </c>
      <c r="AG493">
        <v>173</v>
      </c>
      <c r="AH493">
        <v>129</v>
      </c>
      <c r="AI493">
        <v>7.75</v>
      </c>
      <c r="AJ493">
        <v>31.92</v>
      </c>
      <c r="AK493">
        <v>23.8</v>
      </c>
      <c r="AL493">
        <v>-20.18159664999996</v>
      </c>
      <c r="AM493">
        <v>-44.855209881649429</v>
      </c>
      <c r="AN493">
        <v>-20.18159664999996</v>
      </c>
      <c r="AO493">
        <v>-44.855209881649429</v>
      </c>
      <c r="AP493">
        <v>-20.181349000000001</v>
      </c>
      <c r="AQ493">
        <v>-44.855376</v>
      </c>
      <c r="AR493">
        <v>32.577291538690083</v>
      </c>
      <c r="AS493" t="s">
        <v>65</v>
      </c>
      <c r="AT493">
        <v>1</v>
      </c>
      <c r="AU493" t="s">
        <v>1869</v>
      </c>
      <c r="AV493" t="s">
        <v>1870</v>
      </c>
      <c r="AW493" t="s">
        <v>60</v>
      </c>
      <c r="AX493" t="s">
        <v>68</v>
      </c>
      <c r="AY493" t="s">
        <v>69</v>
      </c>
      <c r="AZ493" t="b">
        <v>1</v>
      </c>
    </row>
    <row r="494" spans="1:52" x14ac:dyDescent="0.3">
      <c r="A494" t="s">
        <v>52</v>
      </c>
      <c r="B494" t="s">
        <v>53</v>
      </c>
      <c r="C494" t="s">
        <v>54</v>
      </c>
      <c r="D494" t="s">
        <v>55</v>
      </c>
      <c r="E494" t="s">
        <v>1617</v>
      </c>
      <c r="F494" t="s">
        <v>190</v>
      </c>
      <c r="G494" t="s">
        <v>1871</v>
      </c>
      <c r="H494" t="s">
        <v>1872</v>
      </c>
      <c r="I494" t="s">
        <v>1872</v>
      </c>
      <c r="J494" t="s">
        <v>60</v>
      </c>
      <c r="K494" t="s">
        <v>1873</v>
      </c>
      <c r="L494" t="s">
        <v>62</v>
      </c>
      <c r="M494" t="s">
        <v>1873</v>
      </c>
      <c r="N494" t="s">
        <v>1874</v>
      </c>
      <c r="O494" t="s">
        <v>1777</v>
      </c>
      <c r="P494">
        <v>-20.174001000000001</v>
      </c>
      <c r="Q494">
        <v>-44.858052999999998</v>
      </c>
      <c r="R494" s="2" t="str">
        <f>HYPERLINK("https://www.google.com/maps?q=-20.1740010,-44.8580530","Abrir no Google Maps")</f>
        <v>Abrir no Google Maps</v>
      </c>
      <c r="S494">
        <v>3</v>
      </c>
      <c r="T494">
        <v>781.46073891498543</v>
      </c>
      <c r="U494">
        <v>3</v>
      </c>
      <c r="V494">
        <v>0.459413630650581</v>
      </c>
      <c r="W494">
        <v>0.85</v>
      </c>
      <c r="X494">
        <v>0.39050158605299379</v>
      </c>
      <c r="Y494">
        <v>422</v>
      </c>
      <c r="Z494">
        <v>952.0433747489468</v>
      </c>
      <c r="AA494">
        <v>198</v>
      </c>
      <c r="AB494">
        <v>332</v>
      </c>
      <c r="AC494">
        <v>536</v>
      </c>
      <c r="AD494">
        <v>33.19</v>
      </c>
      <c r="AE494">
        <v>542</v>
      </c>
      <c r="AF494">
        <v>42</v>
      </c>
      <c r="AG494">
        <v>173</v>
      </c>
      <c r="AH494">
        <v>129</v>
      </c>
      <c r="AI494">
        <v>7.75</v>
      </c>
      <c r="AJ494">
        <v>31.92</v>
      </c>
      <c r="AK494">
        <v>23.8</v>
      </c>
      <c r="AL494">
        <v>-20.173775449999969</v>
      </c>
      <c r="AM494">
        <v>-44.858085656466983</v>
      </c>
      <c r="AN494">
        <v>-20.173775449999969</v>
      </c>
      <c r="AO494">
        <v>-44.858085656466983</v>
      </c>
      <c r="AP494">
        <v>-20.174001000000001</v>
      </c>
      <c r="AQ494">
        <v>-44.858052999999998</v>
      </c>
      <c r="AR494">
        <v>25.339036445914079</v>
      </c>
      <c r="AS494" t="s">
        <v>65</v>
      </c>
      <c r="AT494">
        <v>1</v>
      </c>
      <c r="AU494" t="s">
        <v>1875</v>
      </c>
      <c r="AV494" t="s">
        <v>1876</v>
      </c>
      <c r="AW494" t="s">
        <v>60</v>
      </c>
      <c r="AX494" t="s">
        <v>68</v>
      </c>
      <c r="AY494" t="s">
        <v>69</v>
      </c>
      <c r="AZ494" t="b">
        <v>1</v>
      </c>
    </row>
    <row r="495" spans="1:52" x14ac:dyDescent="0.3">
      <c r="A495" t="s">
        <v>52</v>
      </c>
      <c r="B495" t="s">
        <v>53</v>
      </c>
      <c r="C495" t="s">
        <v>54</v>
      </c>
      <c r="D495" t="s">
        <v>55</v>
      </c>
      <c r="E495" t="s">
        <v>1617</v>
      </c>
      <c r="F495" t="s">
        <v>190</v>
      </c>
      <c r="G495" t="s">
        <v>1877</v>
      </c>
      <c r="H495" t="s">
        <v>1878</v>
      </c>
      <c r="I495" t="s">
        <v>1878</v>
      </c>
      <c r="J495" t="s">
        <v>60</v>
      </c>
      <c r="K495" t="s">
        <v>1023</v>
      </c>
      <c r="L495" t="s">
        <v>62</v>
      </c>
      <c r="M495" t="s">
        <v>1023</v>
      </c>
      <c r="N495" t="s">
        <v>1879</v>
      </c>
      <c r="O495" t="s">
        <v>1880</v>
      </c>
      <c r="P495">
        <v>-20.174357000000001</v>
      </c>
      <c r="Q495">
        <v>-44.866101</v>
      </c>
      <c r="R495" s="2" t="str">
        <f>HYPERLINK("https://www.google.com/maps?q=-20.1743570,-44.8661010","Abrir no Google Maps")</f>
        <v>Abrir no Google Maps</v>
      </c>
      <c r="S495">
        <v>3</v>
      </c>
      <c r="T495">
        <v>238.56176556684929</v>
      </c>
      <c r="U495">
        <v>3</v>
      </c>
      <c r="V495">
        <v>0.47844050258684401</v>
      </c>
      <c r="W495">
        <v>0.85</v>
      </c>
      <c r="X495">
        <v>0.40667442719881741</v>
      </c>
      <c r="Y495">
        <v>422</v>
      </c>
      <c r="Z495">
        <v>225.29948026941889</v>
      </c>
      <c r="AA495">
        <v>198</v>
      </c>
      <c r="AB495">
        <v>332</v>
      </c>
      <c r="AC495">
        <v>536</v>
      </c>
      <c r="AD495">
        <v>33.19</v>
      </c>
      <c r="AE495">
        <v>542</v>
      </c>
      <c r="AF495">
        <v>42</v>
      </c>
      <c r="AG495">
        <v>173</v>
      </c>
      <c r="AH495">
        <v>129</v>
      </c>
      <c r="AI495">
        <v>7.75</v>
      </c>
      <c r="AJ495">
        <v>31.92</v>
      </c>
      <c r="AK495">
        <v>23.8</v>
      </c>
      <c r="AL495">
        <v>-20.17434419999995</v>
      </c>
      <c r="AM495">
        <v>-44.866107665675429</v>
      </c>
      <c r="AN495">
        <v>-20.17434419999995</v>
      </c>
      <c r="AO495">
        <v>-44.866107665675429</v>
      </c>
      <c r="AP495">
        <v>-20.174357000000001</v>
      </c>
      <c r="AQ495">
        <v>-44.866101</v>
      </c>
      <c r="AR495">
        <v>1.586013294508726</v>
      </c>
      <c r="AS495" t="s">
        <v>65</v>
      </c>
      <c r="AT495">
        <v>1</v>
      </c>
      <c r="AU495" t="s">
        <v>1881</v>
      </c>
      <c r="AV495" t="s">
        <v>1043</v>
      </c>
      <c r="AW495" t="s">
        <v>60</v>
      </c>
      <c r="AX495" t="s">
        <v>68</v>
      </c>
      <c r="AY495" t="s">
        <v>69</v>
      </c>
      <c r="AZ495" t="b">
        <v>1</v>
      </c>
    </row>
    <row r="496" spans="1:52" x14ac:dyDescent="0.3">
      <c r="A496" t="s">
        <v>52</v>
      </c>
      <c r="B496" t="s">
        <v>53</v>
      </c>
      <c r="C496" t="s">
        <v>54</v>
      </c>
      <c r="D496" t="s">
        <v>55</v>
      </c>
      <c r="E496" t="s">
        <v>1617</v>
      </c>
      <c r="F496" t="s">
        <v>190</v>
      </c>
      <c r="G496" t="s">
        <v>1048</v>
      </c>
      <c r="H496" t="s">
        <v>1049</v>
      </c>
      <c r="I496" t="s">
        <v>1049</v>
      </c>
      <c r="J496" t="s">
        <v>60</v>
      </c>
      <c r="K496" t="s">
        <v>708</v>
      </c>
      <c r="L496" t="s">
        <v>62</v>
      </c>
      <c r="M496" t="s">
        <v>708</v>
      </c>
      <c r="N496" t="s">
        <v>1050</v>
      </c>
      <c r="O496" t="s">
        <v>1051</v>
      </c>
      <c r="P496">
        <v>-20.128316000000002</v>
      </c>
      <c r="Q496">
        <v>-44.878137000000002</v>
      </c>
      <c r="R496" s="2" t="str">
        <f>HYPERLINK("https://www.google.com/maps?q=-20.1283160,-44.8781370","Abrir no Google Maps")</f>
        <v>Abrir no Google Maps</v>
      </c>
      <c r="S496">
        <v>3</v>
      </c>
      <c r="T496">
        <v>513.28053815499243</v>
      </c>
      <c r="U496">
        <v>3</v>
      </c>
      <c r="V496">
        <v>0.41529662719099891</v>
      </c>
      <c r="W496">
        <v>1</v>
      </c>
      <c r="X496">
        <v>0.41529662719099891</v>
      </c>
      <c r="Y496">
        <v>387</v>
      </c>
      <c r="Z496">
        <v>385.74604528561741</v>
      </c>
      <c r="AA496">
        <v>198</v>
      </c>
      <c r="AB496">
        <v>332</v>
      </c>
      <c r="AC496">
        <v>536</v>
      </c>
      <c r="AD496">
        <v>33.19</v>
      </c>
      <c r="AE496">
        <v>542</v>
      </c>
      <c r="AF496">
        <v>42</v>
      </c>
      <c r="AG496">
        <v>173</v>
      </c>
      <c r="AH496">
        <v>129</v>
      </c>
      <c r="AI496">
        <v>7.75</v>
      </c>
      <c r="AJ496">
        <v>31.92</v>
      </c>
      <c r="AK496">
        <v>23.8</v>
      </c>
      <c r="AL496">
        <v>-20.128308349999969</v>
      </c>
      <c r="AM496">
        <v>-44.878115052779357</v>
      </c>
      <c r="AN496">
        <v>-20.128308349999969</v>
      </c>
      <c r="AO496">
        <v>-44.878115052779357</v>
      </c>
      <c r="AP496">
        <v>-20.128316000000002</v>
      </c>
      <c r="AQ496">
        <v>-44.878137000000002</v>
      </c>
      <c r="AR496">
        <v>2.4469186172207671</v>
      </c>
      <c r="AS496" t="s">
        <v>65</v>
      </c>
      <c r="AT496">
        <v>1</v>
      </c>
      <c r="AU496" t="s">
        <v>1052</v>
      </c>
      <c r="AV496" t="s">
        <v>1053</v>
      </c>
      <c r="AW496" t="s">
        <v>60</v>
      </c>
      <c r="AX496" t="s">
        <v>68</v>
      </c>
      <c r="AY496" t="s">
        <v>69</v>
      </c>
      <c r="AZ496" t="b">
        <v>1</v>
      </c>
    </row>
    <row r="497" spans="1:52" x14ac:dyDescent="0.3">
      <c r="A497" t="s">
        <v>52</v>
      </c>
      <c r="B497" t="s">
        <v>53</v>
      </c>
      <c r="C497" t="s">
        <v>54</v>
      </c>
      <c r="D497" t="s">
        <v>55</v>
      </c>
      <c r="E497" t="s">
        <v>1617</v>
      </c>
      <c r="F497" t="s">
        <v>190</v>
      </c>
      <c r="G497" t="s">
        <v>706</v>
      </c>
      <c r="H497" t="s">
        <v>707</v>
      </c>
      <c r="I497" t="s">
        <v>707</v>
      </c>
      <c r="J497" t="s">
        <v>60</v>
      </c>
      <c r="K497" t="s">
        <v>708</v>
      </c>
      <c r="L497" t="s">
        <v>62</v>
      </c>
      <c r="M497" t="s">
        <v>708</v>
      </c>
      <c r="N497" t="s">
        <v>709</v>
      </c>
      <c r="O497" t="s">
        <v>710</v>
      </c>
      <c r="P497">
        <v>-20.127054999999999</v>
      </c>
      <c r="Q497">
        <v>-44.872073</v>
      </c>
      <c r="R497" s="2" t="str">
        <f>HYPERLINK("https://www.google.com/maps?q=-20.1270550,-44.8720730","Abrir no Google Maps")</f>
        <v>Abrir no Google Maps</v>
      </c>
      <c r="S497">
        <v>3</v>
      </c>
      <c r="T497">
        <v>395.91108553086929</v>
      </c>
      <c r="U497">
        <v>3</v>
      </c>
      <c r="V497">
        <v>0.39722378691558702</v>
      </c>
      <c r="W497">
        <v>1</v>
      </c>
      <c r="X497">
        <v>0.39722378691558702</v>
      </c>
      <c r="Y497">
        <v>387</v>
      </c>
      <c r="Z497">
        <v>518.31496622382247</v>
      </c>
      <c r="AA497">
        <v>198</v>
      </c>
      <c r="AB497">
        <v>332</v>
      </c>
      <c r="AC497">
        <v>536</v>
      </c>
      <c r="AD497">
        <v>33.19</v>
      </c>
      <c r="AE497">
        <v>542</v>
      </c>
      <c r="AF497">
        <v>42</v>
      </c>
      <c r="AG497">
        <v>173</v>
      </c>
      <c r="AH497">
        <v>129</v>
      </c>
      <c r="AI497">
        <v>7.75</v>
      </c>
      <c r="AJ497">
        <v>31.92</v>
      </c>
      <c r="AK497">
        <v>23.8</v>
      </c>
      <c r="AL497">
        <v>-20.126854749999978</v>
      </c>
      <c r="AM497">
        <v>-44.871712455027861</v>
      </c>
      <c r="AN497">
        <v>-20.126854749999978</v>
      </c>
      <c r="AO497">
        <v>-44.871712455027861</v>
      </c>
      <c r="AP497">
        <v>-20.127054999999999</v>
      </c>
      <c r="AQ497">
        <v>-44.872073</v>
      </c>
      <c r="AR497">
        <v>43.784435535392717</v>
      </c>
      <c r="AS497" t="s">
        <v>65</v>
      </c>
      <c r="AT497">
        <v>1</v>
      </c>
      <c r="AU497" t="s">
        <v>711</v>
      </c>
      <c r="AV497" t="s">
        <v>712</v>
      </c>
      <c r="AW497" t="s">
        <v>60</v>
      </c>
      <c r="AX497" t="s">
        <v>68</v>
      </c>
      <c r="AY497" t="s">
        <v>69</v>
      </c>
      <c r="AZ497" t="b">
        <v>1</v>
      </c>
    </row>
    <row r="498" spans="1:52" x14ac:dyDescent="0.3">
      <c r="A498" t="s">
        <v>52</v>
      </c>
      <c r="B498" t="s">
        <v>53</v>
      </c>
      <c r="C498" t="s">
        <v>54</v>
      </c>
      <c r="D498" t="s">
        <v>55</v>
      </c>
      <c r="E498" t="s">
        <v>1617</v>
      </c>
      <c r="F498" t="s">
        <v>190</v>
      </c>
      <c r="G498" t="s">
        <v>734</v>
      </c>
      <c r="H498" t="s">
        <v>1059</v>
      </c>
      <c r="I498" t="s">
        <v>1059</v>
      </c>
      <c r="J498" t="s">
        <v>60</v>
      </c>
      <c r="K498" t="s">
        <v>736</v>
      </c>
      <c r="L498" t="s">
        <v>62</v>
      </c>
      <c r="M498" t="s">
        <v>736</v>
      </c>
      <c r="N498" t="s">
        <v>1060</v>
      </c>
      <c r="O498" t="s">
        <v>1061</v>
      </c>
      <c r="P498">
        <v>-20.104700000000001</v>
      </c>
      <c r="Q498">
        <v>-44.972988000000001</v>
      </c>
      <c r="R498" s="2" t="str">
        <f>HYPERLINK("https://www.google.com/maps?q=-20.1047000,-44.9729880","Abrir no Google Maps")</f>
        <v>Abrir no Google Maps</v>
      </c>
      <c r="S498">
        <v>3</v>
      </c>
      <c r="T498">
        <v>0</v>
      </c>
      <c r="U498">
        <v>3</v>
      </c>
      <c r="V498">
        <v>0.38871458919807023</v>
      </c>
      <c r="W498">
        <v>1</v>
      </c>
      <c r="X498">
        <v>0.38871458919807023</v>
      </c>
      <c r="Y498">
        <v>385</v>
      </c>
      <c r="Z498">
        <v>130.87424695814411</v>
      </c>
      <c r="AA498">
        <v>198</v>
      </c>
      <c r="AB498">
        <v>332</v>
      </c>
      <c r="AC498">
        <v>536</v>
      </c>
      <c r="AD498">
        <v>33.19</v>
      </c>
      <c r="AE498">
        <v>542</v>
      </c>
      <c r="AF498">
        <v>42</v>
      </c>
      <c r="AG498">
        <v>173</v>
      </c>
      <c r="AH498">
        <v>129</v>
      </c>
      <c r="AI498">
        <v>7.75</v>
      </c>
      <c r="AJ498">
        <v>31.92</v>
      </c>
      <c r="AK498">
        <v>23.8</v>
      </c>
      <c r="AL498">
        <v>-20.104640449999948</v>
      </c>
      <c r="AM498">
        <v>-44.972990283032523</v>
      </c>
      <c r="AN498">
        <v>-20.104640449999948</v>
      </c>
      <c r="AO498">
        <v>-44.972990283032509</v>
      </c>
      <c r="AP498">
        <v>-20.104700000000001</v>
      </c>
      <c r="AQ498">
        <v>-44.972988000000001</v>
      </c>
      <c r="AR498">
        <v>6.6334007529191332</v>
      </c>
      <c r="AS498" t="s">
        <v>65</v>
      </c>
      <c r="AT498">
        <v>1</v>
      </c>
      <c r="AU498" t="s">
        <v>1062</v>
      </c>
      <c r="AV498" t="s">
        <v>1063</v>
      </c>
      <c r="AW498" t="s">
        <v>60</v>
      </c>
      <c r="AX498" t="s">
        <v>68</v>
      </c>
      <c r="AY498" t="s">
        <v>69</v>
      </c>
      <c r="AZ498" t="b">
        <v>1</v>
      </c>
    </row>
    <row r="499" spans="1:52" x14ac:dyDescent="0.3">
      <c r="A499" t="s">
        <v>52</v>
      </c>
      <c r="B499" t="s">
        <v>53</v>
      </c>
      <c r="C499" t="s">
        <v>54</v>
      </c>
      <c r="D499" t="s">
        <v>55</v>
      </c>
      <c r="E499" t="s">
        <v>1617</v>
      </c>
      <c r="F499" t="s">
        <v>190</v>
      </c>
      <c r="G499" t="s">
        <v>734</v>
      </c>
      <c r="H499" t="s">
        <v>1064</v>
      </c>
      <c r="I499" t="s">
        <v>1064</v>
      </c>
      <c r="J499" t="s">
        <v>60</v>
      </c>
      <c r="K499" t="s">
        <v>530</v>
      </c>
      <c r="L499" t="s">
        <v>62</v>
      </c>
      <c r="M499" t="s">
        <v>530</v>
      </c>
      <c r="N499" t="s">
        <v>1060</v>
      </c>
      <c r="O499" t="s">
        <v>1065</v>
      </c>
      <c r="P499">
        <v>-20.102878</v>
      </c>
      <c r="Q499">
        <v>-44.974297</v>
      </c>
      <c r="R499" s="2" t="str">
        <f>HYPERLINK("https://www.google.com/maps?q=-20.1028780,-44.9742970","Abrir no Google Maps")</f>
        <v>Abrir no Google Maps</v>
      </c>
      <c r="S499">
        <v>3</v>
      </c>
      <c r="T499">
        <v>261.64376156647683</v>
      </c>
      <c r="U499">
        <v>3</v>
      </c>
      <c r="V499">
        <v>0.4122046495549217</v>
      </c>
      <c r="W499">
        <v>1</v>
      </c>
      <c r="X499">
        <v>0.4122046495549217</v>
      </c>
      <c r="Y499">
        <v>385</v>
      </c>
      <c r="Z499">
        <v>272.78931550338098</v>
      </c>
      <c r="AA499">
        <v>198</v>
      </c>
      <c r="AB499">
        <v>332</v>
      </c>
      <c r="AC499">
        <v>536</v>
      </c>
      <c r="AD499">
        <v>33.19</v>
      </c>
      <c r="AE499">
        <v>542</v>
      </c>
      <c r="AF499">
        <v>42</v>
      </c>
      <c r="AG499">
        <v>173</v>
      </c>
      <c r="AH499">
        <v>129</v>
      </c>
      <c r="AI499">
        <v>7.75</v>
      </c>
      <c r="AJ499">
        <v>31.92</v>
      </c>
      <c r="AK499">
        <v>23.8</v>
      </c>
      <c r="AL499">
        <v>-20.102914199999962</v>
      </c>
      <c r="AM499">
        <v>-44.974700580584418</v>
      </c>
      <c r="AN499">
        <v>-20.102914199999962</v>
      </c>
      <c r="AO499">
        <v>-44.974700580584418</v>
      </c>
      <c r="AP499">
        <v>-20.102878</v>
      </c>
      <c r="AQ499">
        <v>-44.974297</v>
      </c>
      <c r="AR499">
        <v>42.381535645626968</v>
      </c>
      <c r="AS499" t="s">
        <v>65</v>
      </c>
      <c r="AT499">
        <v>1</v>
      </c>
      <c r="AU499" t="s">
        <v>1066</v>
      </c>
      <c r="AV499" t="s">
        <v>1067</v>
      </c>
      <c r="AW499" t="s">
        <v>60</v>
      </c>
      <c r="AX499" t="s">
        <v>68</v>
      </c>
      <c r="AY499" t="s">
        <v>69</v>
      </c>
      <c r="AZ499" t="b">
        <v>1</v>
      </c>
    </row>
    <row r="500" spans="1:52" x14ac:dyDescent="0.3">
      <c r="A500" t="s">
        <v>52</v>
      </c>
      <c r="B500" t="s">
        <v>53</v>
      </c>
      <c r="C500" t="s">
        <v>54</v>
      </c>
      <c r="D500" t="s">
        <v>55</v>
      </c>
      <c r="E500" t="s">
        <v>1617</v>
      </c>
      <c r="F500" t="s">
        <v>190</v>
      </c>
      <c r="G500" t="s">
        <v>1193</v>
      </c>
      <c r="H500" t="s">
        <v>1882</v>
      </c>
      <c r="I500" t="s">
        <v>1882</v>
      </c>
      <c r="J500" t="s">
        <v>60</v>
      </c>
      <c r="K500" t="s">
        <v>1883</v>
      </c>
      <c r="L500" t="s">
        <v>62</v>
      </c>
      <c r="M500" t="s">
        <v>1883</v>
      </c>
      <c r="N500" t="s">
        <v>1884</v>
      </c>
      <c r="O500" t="s">
        <v>1160</v>
      </c>
      <c r="P500">
        <v>-20.107638999999999</v>
      </c>
      <c r="Q500">
        <v>-44.977660999999998</v>
      </c>
      <c r="R500" s="2" t="str">
        <f>HYPERLINK("https://www.google.com/maps?q=-20.1076390,-44.9776610","Abrir no Google Maps")</f>
        <v>Abrir no Google Maps</v>
      </c>
      <c r="S500">
        <v>3</v>
      </c>
      <c r="T500">
        <v>608.39572210639471</v>
      </c>
      <c r="U500">
        <v>3</v>
      </c>
      <c r="V500">
        <v>0.45021645021645018</v>
      </c>
      <c r="W500">
        <v>0.85</v>
      </c>
      <c r="X500">
        <v>0.38268398268398263</v>
      </c>
      <c r="Y500">
        <v>385</v>
      </c>
      <c r="Z500">
        <v>530.9352253690181</v>
      </c>
      <c r="AA500">
        <v>198</v>
      </c>
      <c r="AB500">
        <v>332</v>
      </c>
      <c r="AC500">
        <v>536</v>
      </c>
      <c r="AD500">
        <v>33.19</v>
      </c>
      <c r="AE500">
        <v>542</v>
      </c>
      <c r="AF500">
        <v>42</v>
      </c>
      <c r="AG500">
        <v>173</v>
      </c>
      <c r="AH500">
        <v>129</v>
      </c>
      <c r="AI500">
        <v>7.75</v>
      </c>
      <c r="AJ500">
        <v>31.92</v>
      </c>
      <c r="AK500">
        <v>23.8</v>
      </c>
      <c r="AL500">
        <v>-20.108160549999951</v>
      </c>
      <c r="AM500">
        <v>-44.977460928547927</v>
      </c>
      <c r="AN500">
        <v>-20.108160549999951</v>
      </c>
      <c r="AO500">
        <v>-44.977460928547927</v>
      </c>
      <c r="AP500">
        <v>-20.107638999999999</v>
      </c>
      <c r="AQ500">
        <v>-44.977660999999998</v>
      </c>
      <c r="AR500">
        <v>61.711038202914558</v>
      </c>
      <c r="AS500" t="s">
        <v>65</v>
      </c>
      <c r="AT500">
        <v>1</v>
      </c>
      <c r="AU500" t="s">
        <v>1885</v>
      </c>
      <c r="AV500" t="s">
        <v>1886</v>
      </c>
      <c r="AW500" t="s">
        <v>60</v>
      </c>
      <c r="AX500" t="s">
        <v>68</v>
      </c>
      <c r="AY500" t="s">
        <v>69</v>
      </c>
      <c r="AZ500" t="b">
        <v>1</v>
      </c>
    </row>
    <row r="501" spans="1:52" x14ac:dyDescent="0.3">
      <c r="A501" t="s">
        <v>52</v>
      </c>
      <c r="B501" t="s">
        <v>53</v>
      </c>
      <c r="C501" t="s">
        <v>54</v>
      </c>
      <c r="D501" t="s">
        <v>55</v>
      </c>
      <c r="E501" t="s">
        <v>1617</v>
      </c>
      <c r="F501" t="s">
        <v>190</v>
      </c>
      <c r="G501" t="s">
        <v>734</v>
      </c>
      <c r="H501" t="s">
        <v>1887</v>
      </c>
      <c r="I501" t="s">
        <v>1887</v>
      </c>
      <c r="J501" t="s">
        <v>60</v>
      </c>
      <c r="K501" t="s">
        <v>1888</v>
      </c>
      <c r="L501" t="s">
        <v>62</v>
      </c>
      <c r="M501" t="s">
        <v>1888</v>
      </c>
      <c r="N501" t="s">
        <v>1889</v>
      </c>
      <c r="O501" t="s">
        <v>315</v>
      </c>
      <c r="P501">
        <v>-20.114208999999999</v>
      </c>
      <c r="Q501">
        <v>-44.971148999999997</v>
      </c>
      <c r="R501" s="2" t="str">
        <f>HYPERLINK("https://www.google.com/maps?q=-20.1142090,-44.9711490","Abrir no Google Maps")</f>
        <v>Abrir no Google Maps</v>
      </c>
      <c r="S501">
        <v>3</v>
      </c>
      <c r="T501">
        <v>1086.582133354412</v>
      </c>
      <c r="U501">
        <v>3</v>
      </c>
      <c r="V501">
        <v>0.44988311331133107</v>
      </c>
      <c r="W501">
        <v>0.85</v>
      </c>
      <c r="X501">
        <v>0.38240064631463139</v>
      </c>
      <c r="Y501">
        <v>385</v>
      </c>
      <c r="Z501">
        <v>1003.653273589985</v>
      </c>
      <c r="AA501">
        <v>198</v>
      </c>
      <c r="AB501">
        <v>332</v>
      </c>
      <c r="AC501">
        <v>536</v>
      </c>
      <c r="AD501">
        <v>33.19</v>
      </c>
      <c r="AE501">
        <v>542</v>
      </c>
      <c r="AF501">
        <v>42</v>
      </c>
      <c r="AG501">
        <v>173</v>
      </c>
      <c r="AH501">
        <v>129</v>
      </c>
      <c r="AI501">
        <v>7.75</v>
      </c>
      <c r="AJ501">
        <v>31.92</v>
      </c>
      <c r="AK501">
        <v>23.8</v>
      </c>
      <c r="AL501">
        <v>-20.11431239999996</v>
      </c>
      <c r="AM501">
        <v>-44.971198169186643</v>
      </c>
      <c r="AN501">
        <v>-20.11431239999996</v>
      </c>
      <c r="AO501">
        <v>-44.971198169186643</v>
      </c>
      <c r="AP501">
        <v>-20.114208999999999</v>
      </c>
      <c r="AQ501">
        <v>-44.971148999999997</v>
      </c>
      <c r="AR501">
        <v>12.60585565293578</v>
      </c>
      <c r="AS501" t="s">
        <v>65</v>
      </c>
      <c r="AT501">
        <v>1</v>
      </c>
      <c r="AU501" t="s">
        <v>1890</v>
      </c>
      <c r="AV501" t="s">
        <v>1891</v>
      </c>
      <c r="AW501" t="s">
        <v>60</v>
      </c>
      <c r="AX501" t="s">
        <v>68</v>
      </c>
      <c r="AY501" t="s">
        <v>69</v>
      </c>
      <c r="AZ501" t="b">
        <v>1</v>
      </c>
    </row>
    <row r="502" spans="1:52" x14ac:dyDescent="0.3">
      <c r="A502" t="s">
        <v>52</v>
      </c>
      <c r="B502" t="s">
        <v>53</v>
      </c>
      <c r="C502" t="s">
        <v>54</v>
      </c>
      <c r="D502" t="s">
        <v>55</v>
      </c>
      <c r="E502" t="s">
        <v>1617</v>
      </c>
      <c r="F502" t="s">
        <v>190</v>
      </c>
      <c r="G502" t="s">
        <v>734</v>
      </c>
      <c r="H502" t="s">
        <v>1892</v>
      </c>
      <c r="I502" t="s">
        <v>1892</v>
      </c>
      <c r="J502" t="s">
        <v>60</v>
      </c>
      <c r="K502" t="s">
        <v>1888</v>
      </c>
      <c r="L502" t="s">
        <v>62</v>
      </c>
      <c r="M502" t="s">
        <v>1888</v>
      </c>
      <c r="N502" t="s">
        <v>1893</v>
      </c>
      <c r="O502" t="s">
        <v>836</v>
      </c>
      <c r="P502">
        <v>-20.116758999999998</v>
      </c>
      <c r="Q502">
        <v>-44.964924000000003</v>
      </c>
      <c r="R502" s="2" t="str">
        <f>HYPERLINK("https://www.google.com/maps?q=-20.1167590,-44.9649240","Abrir no Google Maps")</f>
        <v>Abrir no Google Maps</v>
      </c>
      <c r="S502">
        <v>3</v>
      </c>
      <c r="T502">
        <v>1587.478175445583</v>
      </c>
      <c r="U502">
        <v>3</v>
      </c>
      <c r="V502">
        <v>0.4791383219954648</v>
      </c>
      <c r="W502">
        <v>0.85</v>
      </c>
      <c r="X502">
        <v>0.40726757369614508</v>
      </c>
      <c r="Y502">
        <v>385</v>
      </c>
      <c r="Z502">
        <v>1600.9110023765641</v>
      </c>
      <c r="AA502">
        <v>198</v>
      </c>
      <c r="AB502">
        <v>332</v>
      </c>
      <c r="AC502">
        <v>536</v>
      </c>
      <c r="AD502">
        <v>33.19</v>
      </c>
      <c r="AE502">
        <v>542</v>
      </c>
      <c r="AF502">
        <v>42</v>
      </c>
      <c r="AG502">
        <v>173</v>
      </c>
      <c r="AH502">
        <v>129</v>
      </c>
      <c r="AI502">
        <v>7.75</v>
      </c>
      <c r="AJ502">
        <v>31.92</v>
      </c>
      <c r="AK502">
        <v>23.8</v>
      </c>
      <c r="AL502">
        <v>-20.11684084999996</v>
      </c>
      <c r="AM502">
        <v>-44.965001971169677</v>
      </c>
      <c r="AN502">
        <v>-20.11684084999996</v>
      </c>
      <c r="AO502">
        <v>-44.965001971169677</v>
      </c>
      <c r="AP502">
        <v>-20.116758999999998</v>
      </c>
      <c r="AQ502">
        <v>-44.964924000000003</v>
      </c>
      <c r="AR502">
        <v>12.224826970318571</v>
      </c>
      <c r="AS502" t="s">
        <v>65</v>
      </c>
      <c r="AT502">
        <v>1</v>
      </c>
      <c r="AU502" t="s">
        <v>1894</v>
      </c>
      <c r="AV502" t="s">
        <v>1895</v>
      </c>
      <c r="AW502" t="s">
        <v>60</v>
      </c>
      <c r="AX502" t="s">
        <v>68</v>
      </c>
      <c r="AY502" t="s">
        <v>69</v>
      </c>
      <c r="AZ502" t="b">
        <v>1</v>
      </c>
    </row>
    <row r="503" spans="1:52" x14ac:dyDescent="0.3">
      <c r="A503" t="s">
        <v>52</v>
      </c>
      <c r="B503" t="s">
        <v>53</v>
      </c>
      <c r="C503" t="s">
        <v>54</v>
      </c>
      <c r="D503" t="s">
        <v>55</v>
      </c>
      <c r="E503" t="s">
        <v>1617</v>
      </c>
      <c r="F503" t="s">
        <v>190</v>
      </c>
      <c r="G503" t="s">
        <v>734</v>
      </c>
      <c r="H503" t="s">
        <v>1896</v>
      </c>
      <c r="I503" t="s">
        <v>1896</v>
      </c>
      <c r="J503" t="s">
        <v>60</v>
      </c>
      <c r="K503" t="s">
        <v>1897</v>
      </c>
      <c r="L503" t="s">
        <v>62</v>
      </c>
      <c r="M503" t="s">
        <v>1897</v>
      </c>
      <c r="N503" t="s">
        <v>1898</v>
      </c>
      <c r="O503" t="s">
        <v>1504</v>
      </c>
      <c r="P503">
        <v>-20.107769000000001</v>
      </c>
      <c r="Q503">
        <v>-44.970954999999996</v>
      </c>
      <c r="R503" s="2" t="str">
        <f>HYPERLINK("https://www.google.com/maps?q=-20.1077690,-44.9709550","Abrir no Google Maps")</f>
        <v>Abrir no Google Maps</v>
      </c>
      <c r="S503">
        <v>3</v>
      </c>
      <c r="T503">
        <v>476.78106430105362</v>
      </c>
      <c r="U503">
        <v>3</v>
      </c>
      <c r="V503">
        <v>0.45170446735395181</v>
      </c>
      <c r="W503">
        <v>0.85</v>
      </c>
      <c r="X503">
        <v>0.38394879725085901</v>
      </c>
      <c r="Y503">
        <v>385</v>
      </c>
      <c r="Z503">
        <v>509.54667933721629</v>
      </c>
      <c r="AA503">
        <v>198</v>
      </c>
      <c r="AB503">
        <v>332</v>
      </c>
      <c r="AC503">
        <v>536</v>
      </c>
      <c r="AD503">
        <v>33.19</v>
      </c>
      <c r="AE503">
        <v>542</v>
      </c>
      <c r="AF503">
        <v>42</v>
      </c>
      <c r="AG503">
        <v>173</v>
      </c>
      <c r="AH503">
        <v>129</v>
      </c>
      <c r="AI503">
        <v>7.75</v>
      </c>
      <c r="AJ503">
        <v>31.92</v>
      </c>
      <c r="AK503">
        <v>23.8</v>
      </c>
      <c r="AL503">
        <v>-20.108115599999959</v>
      </c>
      <c r="AM503">
        <v>-44.970294209500551</v>
      </c>
      <c r="AN503">
        <v>-20.108115599999959</v>
      </c>
      <c r="AO503">
        <v>-44.970294209500551</v>
      </c>
      <c r="AP503">
        <v>-20.107769000000001</v>
      </c>
      <c r="AQ503">
        <v>-44.970954999999996</v>
      </c>
      <c r="AR503">
        <v>79.120816966903064</v>
      </c>
      <c r="AS503" t="s">
        <v>65</v>
      </c>
      <c r="AT503">
        <v>1</v>
      </c>
      <c r="AU503" t="s">
        <v>1899</v>
      </c>
      <c r="AV503" t="s">
        <v>1900</v>
      </c>
      <c r="AW503" t="s">
        <v>60</v>
      </c>
      <c r="AX503" t="s">
        <v>68</v>
      </c>
      <c r="AY503" t="s">
        <v>69</v>
      </c>
      <c r="AZ503" t="b">
        <v>1</v>
      </c>
    </row>
    <row r="504" spans="1:52" x14ac:dyDescent="0.3">
      <c r="A504" t="s">
        <v>52</v>
      </c>
      <c r="B504" t="s">
        <v>53</v>
      </c>
      <c r="C504" t="s">
        <v>54</v>
      </c>
      <c r="D504" t="s">
        <v>55</v>
      </c>
      <c r="E504" t="s">
        <v>1617</v>
      </c>
      <c r="F504" t="s">
        <v>190</v>
      </c>
      <c r="G504" t="s">
        <v>1901</v>
      </c>
      <c r="H504" t="s">
        <v>1902</v>
      </c>
      <c r="I504" t="s">
        <v>1902</v>
      </c>
      <c r="J504" t="s">
        <v>60</v>
      </c>
      <c r="K504" t="s">
        <v>761</v>
      </c>
      <c r="L504" t="s">
        <v>62</v>
      </c>
      <c r="M504" t="s">
        <v>761</v>
      </c>
      <c r="N504" t="s">
        <v>1903</v>
      </c>
      <c r="O504" t="s">
        <v>604</v>
      </c>
      <c r="P504">
        <v>-20.120100999999998</v>
      </c>
      <c r="Q504">
        <v>-44.845737</v>
      </c>
      <c r="R504" s="2" t="str">
        <f>HYPERLINK("https://www.google.com/maps?q=-20.1201010,-44.8457370","Abrir no Google Maps")</f>
        <v>Abrir no Google Maps</v>
      </c>
      <c r="S504">
        <v>3</v>
      </c>
      <c r="T504">
        <v>1004.735730632553</v>
      </c>
      <c r="U504">
        <v>3</v>
      </c>
      <c r="V504">
        <v>0.4997063573630891</v>
      </c>
      <c r="W504">
        <v>0.85</v>
      </c>
      <c r="X504">
        <v>0.42475040375862572</v>
      </c>
      <c r="Y504">
        <v>350</v>
      </c>
      <c r="Z504">
        <v>830.02999366281665</v>
      </c>
      <c r="AA504">
        <v>198</v>
      </c>
      <c r="AB504">
        <v>332</v>
      </c>
      <c r="AC504">
        <v>536</v>
      </c>
      <c r="AD504">
        <v>33.19</v>
      </c>
      <c r="AE504">
        <v>542</v>
      </c>
      <c r="AF504">
        <v>42</v>
      </c>
      <c r="AG504">
        <v>173</v>
      </c>
      <c r="AH504">
        <v>129</v>
      </c>
      <c r="AI504">
        <v>7.75</v>
      </c>
      <c r="AJ504">
        <v>31.92</v>
      </c>
      <c r="AK504">
        <v>23.8</v>
      </c>
      <c r="AL504">
        <v>-20.120147299999928</v>
      </c>
      <c r="AM504">
        <v>-44.84535984827329</v>
      </c>
      <c r="AN504">
        <v>-20.120147299999928</v>
      </c>
      <c r="AO504">
        <v>-44.84535984827329</v>
      </c>
      <c r="AP504">
        <v>-20.120100999999998</v>
      </c>
      <c r="AQ504">
        <v>-44.845737</v>
      </c>
      <c r="AR504">
        <v>39.757854400729308</v>
      </c>
      <c r="AS504" t="s">
        <v>65</v>
      </c>
      <c r="AT504">
        <v>1</v>
      </c>
      <c r="AU504" t="s">
        <v>1904</v>
      </c>
      <c r="AV504" t="s">
        <v>1905</v>
      </c>
      <c r="AW504" t="s">
        <v>60</v>
      </c>
      <c r="AX504" t="s">
        <v>68</v>
      </c>
      <c r="AY504" t="s">
        <v>69</v>
      </c>
      <c r="AZ504" t="b">
        <v>1</v>
      </c>
    </row>
    <row r="505" spans="1:52" x14ac:dyDescent="0.3">
      <c r="A505" t="s">
        <v>52</v>
      </c>
      <c r="B505" t="s">
        <v>53</v>
      </c>
      <c r="C505" t="s">
        <v>54</v>
      </c>
      <c r="D505" t="s">
        <v>55</v>
      </c>
      <c r="E505" t="s">
        <v>1617</v>
      </c>
      <c r="F505" t="s">
        <v>190</v>
      </c>
      <c r="G505" t="s">
        <v>773</v>
      </c>
      <c r="H505" t="s">
        <v>774</v>
      </c>
      <c r="I505" t="s">
        <v>774</v>
      </c>
      <c r="J505" t="s">
        <v>60</v>
      </c>
      <c r="K505" t="s">
        <v>775</v>
      </c>
      <c r="L505" t="s">
        <v>62</v>
      </c>
      <c r="M505" t="s">
        <v>775</v>
      </c>
      <c r="N505" t="s">
        <v>776</v>
      </c>
      <c r="O505" t="s">
        <v>250</v>
      </c>
      <c r="P505">
        <v>-20.135413</v>
      </c>
      <c r="Q505">
        <v>-44.868969999999997</v>
      </c>
      <c r="R505" s="2" t="str">
        <f>HYPERLINK("https://www.google.com/maps?q=-20.1354130,-44.8689700","Abrir no Google Maps")</f>
        <v>Abrir no Google Maps</v>
      </c>
      <c r="S505">
        <v>3</v>
      </c>
      <c r="T505">
        <v>403.5118397372845</v>
      </c>
      <c r="U505">
        <v>3</v>
      </c>
      <c r="V505">
        <v>0.40952534562211979</v>
      </c>
      <c r="W505">
        <v>1</v>
      </c>
      <c r="X505">
        <v>0.40952534562211979</v>
      </c>
      <c r="Y505">
        <v>332</v>
      </c>
      <c r="Z505">
        <v>455.74614750795899</v>
      </c>
      <c r="AA505">
        <v>198</v>
      </c>
      <c r="AB505">
        <v>332</v>
      </c>
      <c r="AC505">
        <v>536</v>
      </c>
      <c r="AD505">
        <v>33.19</v>
      </c>
      <c r="AE505">
        <v>542</v>
      </c>
      <c r="AF505">
        <v>42</v>
      </c>
      <c r="AG505">
        <v>173</v>
      </c>
      <c r="AH505">
        <v>129</v>
      </c>
      <c r="AI505">
        <v>7.75</v>
      </c>
      <c r="AJ505">
        <v>31.92</v>
      </c>
      <c r="AK505">
        <v>23.8</v>
      </c>
      <c r="AL505">
        <v>-20.13561149999995</v>
      </c>
      <c r="AM505">
        <v>-44.868817260088647</v>
      </c>
      <c r="AN505">
        <v>-20.13561149999995</v>
      </c>
      <c r="AO505">
        <v>-44.868817260088647</v>
      </c>
      <c r="AP505">
        <v>-20.135413</v>
      </c>
      <c r="AQ505">
        <v>-44.868969999999997</v>
      </c>
      <c r="AR505">
        <v>27.26024434808955</v>
      </c>
      <c r="AS505" t="s">
        <v>65</v>
      </c>
      <c r="AT505">
        <v>1</v>
      </c>
      <c r="AU505" t="s">
        <v>777</v>
      </c>
      <c r="AV505" t="s">
        <v>778</v>
      </c>
      <c r="AW505" t="s">
        <v>60</v>
      </c>
      <c r="AX505" t="s">
        <v>68</v>
      </c>
      <c r="AY505" t="s">
        <v>69</v>
      </c>
      <c r="AZ505" t="b">
        <v>1</v>
      </c>
    </row>
    <row r="506" spans="1:52" x14ac:dyDescent="0.3">
      <c r="A506" t="s">
        <v>52</v>
      </c>
      <c r="B506" t="s">
        <v>53</v>
      </c>
      <c r="C506" t="s">
        <v>54</v>
      </c>
      <c r="D506" t="s">
        <v>55</v>
      </c>
      <c r="E506" t="s">
        <v>1617</v>
      </c>
      <c r="F506" t="s">
        <v>190</v>
      </c>
      <c r="G506" t="s">
        <v>779</v>
      </c>
      <c r="H506" t="s">
        <v>780</v>
      </c>
      <c r="I506" t="s">
        <v>780</v>
      </c>
      <c r="J506" t="s">
        <v>60</v>
      </c>
      <c r="K506" t="s">
        <v>781</v>
      </c>
      <c r="L506" t="s">
        <v>62</v>
      </c>
      <c r="M506" t="s">
        <v>781</v>
      </c>
      <c r="N506" t="s">
        <v>782</v>
      </c>
      <c r="O506" t="s">
        <v>783</v>
      </c>
      <c r="P506">
        <v>-20.137938999999999</v>
      </c>
      <c r="Q506">
        <v>-44.865873000000001</v>
      </c>
      <c r="R506" s="2" t="str">
        <f>HYPERLINK("https://www.google.com/maps?q=-20.1379390,-44.8658730","Abrir no Google Maps")</f>
        <v>Abrir no Google Maps</v>
      </c>
      <c r="S506">
        <v>3</v>
      </c>
      <c r="T506">
        <v>663.24596349877265</v>
      </c>
      <c r="U506">
        <v>3</v>
      </c>
      <c r="V506">
        <v>0.42653875554196602</v>
      </c>
      <c r="W506">
        <v>1</v>
      </c>
      <c r="X506">
        <v>0.42653875554196602</v>
      </c>
      <c r="Y506">
        <v>332</v>
      </c>
      <c r="Z506">
        <v>724.72470227972997</v>
      </c>
      <c r="AA506">
        <v>198</v>
      </c>
      <c r="AB506">
        <v>332</v>
      </c>
      <c r="AC506">
        <v>536</v>
      </c>
      <c r="AD506">
        <v>33.19</v>
      </c>
      <c r="AE506">
        <v>542</v>
      </c>
      <c r="AF506">
        <v>42</v>
      </c>
      <c r="AG506">
        <v>173</v>
      </c>
      <c r="AH506">
        <v>129</v>
      </c>
      <c r="AI506">
        <v>7.75</v>
      </c>
      <c r="AJ506">
        <v>31.92</v>
      </c>
      <c r="AK506">
        <v>23.8</v>
      </c>
      <c r="AL506">
        <v>-20.137865449999961</v>
      </c>
      <c r="AM506">
        <v>-44.866141027847057</v>
      </c>
      <c r="AN506">
        <v>-20.137865449999961</v>
      </c>
      <c r="AO506">
        <v>-44.866141027847057</v>
      </c>
      <c r="AP506">
        <v>-20.137938999999999</v>
      </c>
      <c r="AQ506">
        <v>-44.865873000000001</v>
      </c>
      <c r="AR506">
        <v>29.184856191831059</v>
      </c>
      <c r="AS506" t="s">
        <v>65</v>
      </c>
      <c r="AT506">
        <v>1</v>
      </c>
      <c r="AU506" t="s">
        <v>784</v>
      </c>
      <c r="AV506" t="s">
        <v>785</v>
      </c>
      <c r="AW506" t="s">
        <v>60</v>
      </c>
      <c r="AX506" t="s">
        <v>68</v>
      </c>
      <c r="AY506" t="s">
        <v>69</v>
      </c>
      <c r="AZ506" t="b">
        <v>1</v>
      </c>
    </row>
    <row r="507" spans="1:52" x14ac:dyDescent="0.3">
      <c r="A507" t="s">
        <v>52</v>
      </c>
      <c r="B507" t="s">
        <v>53</v>
      </c>
      <c r="C507" t="s">
        <v>54</v>
      </c>
      <c r="D507" t="s">
        <v>55</v>
      </c>
      <c r="E507" t="s">
        <v>1617</v>
      </c>
      <c r="F507" t="s">
        <v>190</v>
      </c>
      <c r="G507" t="s">
        <v>1906</v>
      </c>
      <c r="H507" t="s">
        <v>1907</v>
      </c>
      <c r="I507" t="s">
        <v>1907</v>
      </c>
      <c r="J507" t="s">
        <v>60</v>
      </c>
      <c r="K507" t="s">
        <v>362</v>
      </c>
      <c r="L507" t="s">
        <v>62</v>
      </c>
      <c r="M507" t="s">
        <v>362</v>
      </c>
      <c r="N507" t="s">
        <v>1908</v>
      </c>
      <c r="O507" t="s">
        <v>1909</v>
      </c>
      <c r="P507">
        <v>-20.138714</v>
      </c>
      <c r="Q507">
        <v>-44.872736000000003</v>
      </c>
      <c r="R507" s="2" t="str">
        <f>HYPERLINK("https://www.google.com/maps?q=-20.1387140,-44.8727360","Abrir no Google Maps")</f>
        <v>Abrir no Google Maps</v>
      </c>
      <c r="S507">
        <v>3</v>
      </c>
      <c r="T507">
        <v>204.03161929799671</v>
      </c>
      <c r="U507">
        <v>3</v>
      </c>
      <c r="V507">
        <v>0.46939935955367262</v>
      </c>
      <c r="W507">
        <v>0.85</v>
      </c>
      <c r="X507">
        <v>0.39898945562062171</v>
      </c>
      <c r="Y507">
        <v>332</v>
      </c>
      <c r="Z507">
        <v>318.98956929839972</v>
      </c>
      <c r="AA507">
        <v>198</v>
      </c>
      <c r="AB507">
        <v>332</v>
      </c>
      <c r="AC507">
        <v>536</v>
      </c>
      <c r="AD507">
        <v>33.19</v>
      </c>
      <c r="AE507">
        <v>542</v>
      </c>
      <c r="AF507">
        <v>42</v>
      </c>
      <c r="AG507">
        <v>173</v>
      </c>
      <c r="AH507">
        <v>129</v>
      </c>
      <c r="AI507">
        <v>7.75</v>
      </c>
      <c r="AJ507">
        <v>31.92</v>
      </c>
      <c r="AK507">
        <v>23.8</v>
      </c>
      <c r="AL507">
        <v>-20.138752749999949</v>
      </c>
      <c r="AM507">
        <v>-44.872785060765217</v>
      </c>
      <c r="AN507">
        <v>-20.138752749999949</v>
      </c>
      <c r="AO507">
        <v>-44.872785060765217</v>
      </c>
      <c r="AP507">
        <v>-20.138714</v>
      </c>
      <c r="AQ507">
        <v>-44.872736000000003</v>
      </c>
      <c r="AR507">
        <v>6.7006900304588592</v>
      </c>
      <c r="AS507" t="s">
        <v>65</v>
      </c>
      <c r="AT507">
        <v>1</v>
      </c>
      <c r="AU507" t="s">
        <v>1910</v>
      </c>
      <c r="AV507" t="s">
        <v>1911</v>
      </c>
      <c r="AW507" t="s">
        <v>60</v>
      </c>
      <c r="AX507" t="s">
        <v>68</v>
      </c>
      <c r="AY507" t="s">
        <v>69</v>
      </c>
      <c r="AZ507" t="b">
        <v>1</v>
      </c>
    </row>
    <row r="508" spans="1:52" x14ac:dyDescent="0.3">
      <c r="A508" t="s">
        <v>52</v>
      </c>
      <c r="B508" t="s">
        <v>53</v>
      </c>
      <c r="C508" t="s">
        <v>54</v>
      </c>
      <c r="D508" t="s">
        <v>55</v>
      </c>
      <c r="E508" t="s">
        <v>1617</v>
      </c>
      <c r="F508" t="s">
        <v>190</v>
      </c>
      <c r="G508" t="s">
        <v>1109</v>
      </c>
      <c r="H508" t="s">
        <v>1110</v>
      </c>
      <c r="I508" t="s">
        <v>1110</v>
      </c>
      <c r="J508" t="s">
        <v>60</v>
      </c>
      <c r="K508" t="s">
        <v>768</v>
      </c>
      <c r="L508" t="s">
        <v>62</v>
      </c>
      <c r="M508" t="s">
        <v>768</v>
      </c>
      <c r="N508" t="s">
        <v>1111</v>
      </c>
      <c r="O508" t="s">
        <v>1112</v>
      </c>
      <c r="P508">
        <v>-20.135508000000002</v>
      </c>
      <c r="Q508">
        <v>-44.871786999999998</v>
      </c>
      <c r="R508" s="2" t="str">
        <f>HYPERLINK("https://www.google.com/maps?q=-20.1355080,-44.8717870","Abrir no Google Maps")</f>
        <v>Abrir no Google Maps</v>
      </c>
      <c r="S508">
        <v>3</v>
      </c>
      <c r="T508">
        <v>167.5382405548801</v>
      </c>
      <c r="U508">
        <v>3</v>
      </c>
      <c r="V508">
        <v>0.39228736581337731</v>
      </c>
      <c r="W508">
        <v>1</v>
      </c>
      <c r="X508">
        <v>0.39228736581337731</v>
      </c>
      <c r="Y508">
        <v>332</v>
      </c>
      <c r="Z508">
        <v>179.76671916562941</v>
      </c>
      <c r="AA508">
        <v>198</v>
      </c>
      <c r="AB508">
        <v>332</v>
      </c>
      <c r="AC508">
        <v>536</v>
      </c>
      <c r="AD508">
        <v>33.19</v>
      </c>
      <c r="AE508">
        <v>542</v>
      </c>
      <c r="AF508">
        <v>42</v>
      </c>
      <c r="AG508">
        <v>173</v>
      </c>
      <c r="AH508">
        <v>129</v>
      </c>
      <c r="AI508">
        <v>7.75</v>
      </c>
      <c r="AJ508">
        <v>31.92</v>
      </c>
      <c r="AK508">
        <v>23.8</v>
      </c>
      <c r="AL508">
        <v>-20.135532899999959</v>
      </c>
      <c r="AM508">
        <v>-44.871828172735903</v>
      </c>
      <c r="AN508">
        <v>-20.135532899999959</v>
      </c>
      <c r="AO508">
        <v>-44.871828172735903</v>
      </c>
      <c r="AP508">
        <v>-20.135508000000002</v>
      </c>
      <c r="AQ508">
        <v>-44.871786999999998</v>
      </c>
      <c r="AR508">
        <v>5.1186859635787858</v>
      </c>
      <c r="AS508" t="s">
        <v>65</v>
      </c>
      <c r="AT508">
        <v>1</v>
      </c>
      <c r="AU508" t="s">
        <v>1113</v>
      </c>
      <c r="AV508" t="s">
        <v>1114</v>
      </c>
      <c r="AW508" t="s">
        <v>60</v>
      </c>
      <c r="AX508" t="s">
        <v>68</v>
      </c>
      <c r="AY508" t="s">
        <v>69</v>
      </c>
      <c r="AZ508" t="b">
        <v>1</v>
      </c>
    </row>
    <row r="509" spans="1:52" x14ac:dyDescent="0.3">
      <c r="A509" t="s">
        <v>52</v>
      </c>
      <c r="B509" t="s">
        <v>53</v>
      </c>
      <c r="C509" t="s">
        <v>54</v>
      </c>
      <c r="D509" t="s">
        <v>55</v>
      </c>
      <c r="E509" t="s">
        <v>1617</v>
      </c>
      <c r="F509" t="s">
        <v>190</v>
      </c>
      <c r="G509" t="s">
        <v>1912</v>
      </c>
      <c r="H509" t="s">
        <v>1913</v>
      </c>
      <c r="I509" t="s">
        <v>1913</v>
      </c>
      <c r="J509" t="s">
        <v>60</v>
      </c>
      <c r="K509" t="s">
        <v>362</v>
      </c>
      <c r="L509" t="s">
        <v>62</v>
      </c>
      <c r="M509" t="s">
        <v>362</v>
      </c>
      <c r="N509" t="s">
        <v>1914</v>
      </c>
      <c r="O509" t="s">
        <v>1915</v>
      </c>
      <c r="P509">
        <v>-20.140284999999999</v>
      </c>
      <c r="Q509">
        <v>-44.870319000000002</v>
      </c>
      <c r="R509" s="2" t="str">
        <f>HYPERLINK("https://www.google.com/maps?q=-20.1402850,-44.8703190","Abrir no Google Maps")</f>
        <v>Abrir no Google Maps</v>
      </c>
      <c r="S509">
        <v>3</v>
      </c>
      <c r="T509">
        <v>434.44452831439162</v>
      </c>
      <c r="U509">
        <v>3</v>
      </c>
      <c r="V509">
        <v>0.47755991285403049</v>
      </c>
      <c r="W509">
        <v>0.85</v>
      </c>
      <c r="X509">
        <v>0.40592592592592591</v>
      </c>
      <c r="Y509">
        <v>332</v>
      </c>
      <c r="Z509">
        <v>530.54012138211078</v>
      </c>
      <c r="AA509">
        <v>198</v>
      </c>
      <c r="AB509">
        <v>332</v>
      </c>
      <c r="AC509">
        <v>536</v>
      </c>
      <c r="AD509">
        <v>33.19</v>
      </c>
      <c r="AE509">
        <v>542</v>
      </c>
      <c r="AF509">
        <v>42</v>
      </c>
      <c r="AG509">
        <v>173</v>
      </c>
      <c r="AH509">
        <v>129</v>
      </c>
      <c r="AI509">
        <v>7.75</v>
      </c>
      <c r="AJ509">
        <v>31.92</v>
      </c>
      <c r="AK509">
        <v>23.8</v>
      </c>
      <c r="AL509">
        <v>-20.140318649999951</v>
      </c>
      <c r="AM509">
        <v>-44.870288960878582</v>
      </c>
      <c r="AN509">
        <v>-20.140318649999951</v>
      </c>
      <c r="AO509">
        <v>-44.870288960878582</v>
      </c>
      <c r="AP509">
        <v>-20.140284999999999</v>
      </c>
      <c r="AQ509">
        <v>-44.870319000000002</v>
      </c>
      <c r="AR509">
        <v>4.8875589971016922</v>
      </c>
      <c r="AS509" t="s">
        <v>65</v>
      </c>
      <c r="AT509">
        <v>1</v>
      </c>
      <c r="AU509" t="s">
        <v>1916</v>
      </c>
      <c r="AV509" t="s">
        <v>1917</v>
      </c>
      <c r="AW509" t="s">
        <v>60</v>
      </c>
      <c r="AX509" t="s">
        <v>68</v>
      </c>
      <c r="AY509" t="s">
        <v>69</v>
      </c>
      <c r="AZ509" t="b">
        <v>1</v>
      </c>
    </row>
    <row r="510" spans="1:52" x14ac:dyDescent="0.3">
      <c r="A510" t="s">
        <v>52</v>
      </c>
      <c r="B510" t="s">
        <v>53</v>
      </c>
      <c r="C510" t="s">
        <v>54</v>
      </c>
      <c r="D510" t="s">
        <v>55</v>
      </c>
      <c r="E510" t="s">
        <v>1617</v>
      </c>
      <c r="F510" t="s">
        <v>190</v>
      </c>
      <c r="G510" t="s">
        <v>1918</v>
      </c>
      <c r="H510" t="s">
        <v>1919</v>
      </c>
      <c r="I510" t="s">
        <v>1919</v>
      </c>
      <c r="J510" t="s">
        <v>60</v>
      </c>
      <c r="K510" t="s">
        <v>1123</v>
      </c>
      <c r="L510" t="s">
        <v>62</v>
      </c>
      <c r="M510" t="s">
        <v>1123</v>
      </c>
      <c r="N510" t="s">
        <v>1920</v>
      </c>
      <c r="O510" t="s">
        <v>488</v>
      </c>
      <c r="P510">
        <v>-20.101592</v>
      </c>
      <c r="Q510">
        <v>-44.873168</v>
      </c>
      <c r="R510" s="2" t="str">
        <f>HYPERLINK("https://www.google.com/maps?q=-20.1015920,-44.8731680","Abrir no Google Maps")</f>
        <v>Abrir no Google Maps</v>
      </c>
      <c r="S510">
        <v>3</v>
      </c>
      <c r="T510">
        <v>645.78864758037298</v>
      </c>
      <c r="U510">
        <v>3</v>
      </c>
      <c r="V510">
        <v>0.4790570810349557</v>
      </c>
      <c r="W510">
        <v>0.85</v>
      </c>
      <c r="X510">
        <v>0.40719851887971231</v>
      </c>
      <c r="Y510">
        <v>314</v>
      </c>
      <c r="Z510">
        <v>638.12677452007381</v>
      </c>
      <c r="AA510">
        <v>198</v>
      </c>
      <c r="AB510">
        <v>332</v>
      </c>
      <c r="AC510">
        <v>536</v>
      </c>
      <c r="AD510">
        <v>33.19</v>
      </c>
      <c r="AE510">
        <v>542</v>
      </c>
      <c r="AF510">
        <v>42</v>
      </c>
      <c r="AG510">
        <v>173</v>
      </c>
      <c r="AH510">
        <v>129</v>
      </c>
      <c r="AI510">
        <v>7.75</v>
      </c>
      <c r="AJ510">
        <v>31.92</v>
      </c>
      <c r="AK510">
        <v>23.8</v>
      </c>
      <c r="AL510">
        <v>-20.10147439999994</v>
      </c>
      <c r="AM510">
        <v>-44.872688858759382</v>
      </c>
      <c r="AN510">
        <v>-20.10147439999994</v>
      </c>
      <c r="AO510">
        <v>-44.872688858759382</v>
      </c>
      <c r="AP510">
        <v>-20.101592</v>
      </c>
      <c r="AQ510">
        <v>-44.873168</v>
      </c>
      <c r="AR510">
        <v>51.771442800867931</v>
      </c>
      <c r="AS510" t="s">
        <v>65</v>
      </c>
      <c r="AT510">
        <v>1</v>
      </c>
      <c r="AU510" t="s">
        <v>1921</v>
      </c>
      <c r="AV510" t="s">
        <v>1922</v>
      </c>
      <c r="AW510" t="s">
        <v>60</v>
      </c>
      <c r="AX510" t="s">
        <v>68</v>
      </c>
      <c r="AY510" t="s">
        <v>69</v>
      </c>
      <c r="AZ510" t="b">
        <v>1</v>
      </c>
    </row>
    <row r="511" spans="1:52" x14ac:dyDescent="0.3">
      <c r="A511" t="s">
        <v>52</v>
      </c>
      <c r="B511" t="s">
        <v>53</v>
      </c>
      <c r="C511" t="s">
        <v>54</v>
      </c>
      <c r="D511" t="s">
        <v>55</v>
      </c>
      <c r="E511" t="s">
        <v>1617</v>
      </c>
      <c r="F511" t="s">
        <v>190</v>
      </c>
      <c r="G511" t="s">
        <v>1923</v>
      </c>
      <c r="H511" t="s">
        <v>1924</v>
      </c>
      <c r="I511" t="s">
        <v>1924</v>
      </c>
      <c r="J511" t="s">
        <v>60</v>
      </c>
      <c r="K511" t="s">
        <v>1925</v>
      </c>
      <c r="L511" t="s">
        <v>62</v>
      </c>
      <c r="M511" t="s">
        <v>1925</v>
      </c>
      <c r="N511" t="s">
        <v>1184</v>
      </c>
      <c r="O511" t="s">
        <v>1926</v>
      </c>
      <c r="P511">
        <v>-20.110175999999999</v>
      </c>
      <c r="Q511">
        <v>-44.878174000000001</v>
      </c>
      <c r="R511" s="2" t="str">
        <f>HYPERLINK("https://www.google.com/maps?q=-20.1101760,-44.8781740","Abrir no Google Maps")</f>
        <v>Abrir no Google Maps</v>
      </c>
      <c r="S511">
        <v>3</v>
      </c>
      <c r="T511">
        <v>483.09360915139621</v>
      </c>
      <c r="U511">
        <v>3</v>
      </c>
      <c r="V511">
        <v>0.47668202764976958</v>
      </c>
      <c r="W511">
        <v>0.85</v>
      </c>
      <c r="X511">
        <v>0.40517972350230408</v>
      </c>
      <c r="Y511">
        <v>314</v>
      </c>
      <c r="Z511">
        <v>570.40116580928134</v>
      </c>
      <c r="AA511">
        <v>198</v>
      </c>
      <c r="AB511">
        <v>332</v>
      </c>
      <c r="AC511">
        <v>536</v>
      </c>
      <c r="AD511">
        <v>33.19</v>
      </c>
      <c r="AE511">
        <v>542</v>
      </c>
      <c r="AF511">
        <v>42</v>
      </c>
      <c r="AG511">
        <v>173</v>
      </c>
      <c r="AH511">
        <v>129</v>
      </c>
      <c r="AI511">
        <v>7.75</v>
      </c>
      <c r="AJ511">
        <v>31.92</v>
      </c>
      <c r="AK511">
        <v>23.8</v>
      </c>
      <c r="AL511">
        <v>-20.110151299999959</v>
      </c>
      <c r="AM511">
        <v>-44.878270449999967</v>
      </c>
      <c r="AN511">
        <v>-20.110151299999959</v>
      </c>
      <c r="AO511">
        <v>-44.878270449999967</v>
      </c>
      <c r="AP511">
        <v>-20.110175999999999</v>
      </c>
      <c r="AQ511">
        <v>-44.878174000000001</v>
      </c>
      <c r="AR511">
        <v>10.450435955197751</v>
      </c>
      <c r="AS511" t="s">
        <v>65</v>
      </c>
      <c r="AT511">
        <v>1</v>
      </c>
      <c r="AU511" t="s">
        <v>1927</v>
      </c>
      <c r="AV511" t="s">
        <v>1928</v>
      </c>
      <c r="AW511" t="s">
        <v>60</v>
      </c>
      <c r="AX511" t="s">
        <v>68</v>
      </c>
      <c r="AY511" t="s">
        <v>69</v>
      </c>
      <c r="AZ511" t="b">
        <v>1</v>
      </c>
    </row>
    <row r="512" spans="1:52" x14ac:dyDescent="0.3">
      <c r="A512" t="s">
        <v>52</v>
      </c>
      <c r="B512" t="s">
        <v>53</v>
      </c>
      <c r="C512" t="s">
        <v>54</v>
      </c>
      <c r="D512" t="s">
        <v>55</v>
      </c>
      <c r="E512" t="s">
        <v>1617</v>
      </c>
      <c r="F512" t="s">
        <v>190</v>
      </c>
      <c r="G512" t="s">
        <v>789</v>
      </c>
      <c r="H512" t="s">
        <v>790</v>
      </c>
      <c r="I512" t="s">
        <v>790</v>
      </c>
      <c r="J512" t="s">
        <v>60</v>
      </c>
      <c r="K512" t="s">
        <v>791</v>
      </c>
      <c r="L512" t="s">
        <v>62</v>
      </c>
      <c r="M512" t="s">
        <v>791</v>
      </c>
      <c r="N512" t="s">
        <v>792</v>
      </c>
      <c r="O512" t="s">
        <v>793</v>
      </c>
      <c r="P512">
        <v>-20.114263000000001</v>
      </c>
      <c r="Q512">
        <v>-44.910150000000002</v>
      </c>
      <c r="R512" s="2" t="str">
        <f>HYPERLINK("https://www.google.com/maps?q=-20.1142630,-44.9101500","Abrir no Google Maps")</f>
        <v>Abrir no Google Maps</v>
      </c>
      <c r="S512">
        <v>3</v>
      </c>
      <c r="T512">
        <v>1039.6249825628629</v>
      </c>
      <c r="U512">
        <v>3</v>
      </c>
      <c r="V512">
        <v>0.43577249334393992</v>
      </c>
      <c r="W512">
        <v>1</v>
      </c>
      <c r="X512">
        <v>0.43577249334393992</v>
      </c>
      <c r="Y512">
        <v>300</v>
      </c>
      <c r="Z512">
        <v>1156.8405524690361</v>
      </c>
      <c r="AA512">
        <v>198</v>
      </c>
      <c r="AB512">
        <v>332</v>
      </c>
      <c r="AC512">
        <v>536</v>
      </c>
      <c r="AD512">
        <v>33.19</v>
      </c>
      <c r="AE512">
        <v>542</v>
      </c>
      <c r="AF512">
        <v>42</v>
      </c>
      <c r="AG512">
        <v>173</v>
      </c>
      <c r="AH512">
        <v>129</v>
      </c>
      <c r="AI512">
        <v>7.75</v>
      </c>
      <c r="AJ512">
        <v>31.92</v>
      </c>
      <c r="AK512">
        <v>23.8</v>
      </c>
      <c r="AL512">
        <v>-20.113823899999939</v>
      </c>
      <c r="AM512">
        <v>-44.910704705968108</v>
      </c>
      <c r="AN512">
        <v>-20.113823899999939</v>
      </c>
      <c r="AO512">
        <v>-44.910704705968108</v>
      </c>
      <c r="AP512">
        <v>-20.114263000000001</v>
      </c>
      <c r="AQ512">
        <v>-44.910150000000002</v>
      </c>
      <c r="AR512">
        <v>75.838236800419978</v>
      </c>
      <c r="AS512" t="s">
        <v>65</v>
      </c>
      <c r="AT512">
        <v>1</v>
      </c>
      <c r="AU512" t="s">
        <v>794</v>
      </c>
      <c r="AV512" t="s">
        <v>795</v>
      </c>
      <c r="AW512" t="s">
        <v>60</v>
      </c>
      <c r="AX512" t="s">
        <v>68</v>
      </c>
      <c r="AY512" t="s">
        <v>69</v>
      </c>
      <c r="AZ512" t="b">
        <v>1</v>
      </c>
    </row>
    <row r="513" spans="1:52" x14ac:dyDescent="0.3">
      <c r="A513" t="s">
        <v>52</v>
      </c>
      <c r="B513" t="s">
        <v>53</v>
      </c>
      <c r="C513" t="s">
        <v>54</v>
      </c>
      <c r="D513" t="s">
        <v>55</v>
      </c>
      <c r="E513" t="s">
        <v>1617</v>
      </c>
      <c r="F513" t="s">
        <v>190</v>
      </c>
      <c r="G513" t="s">
        <v>1929</v>
      </c>
      <c r="H513" t="s">
        <v>1930</v>
      </c>
      <c r="I513" t="s">
        <v>1930</v>
      </c>
      <c r="J513" t="s">
        <v>60</v>
      </c>
      <c r="K513" t="s">
        <v>1265</v>
      </c>
      <c r="L513" t="s">
        <v>62</v>
      </c>
      <c r="M513" t="s">
        <v>1265</v>
      </c>
      <c r="N513" t="s">
        <v>1931</v>
      </c>
      <c r="O513" t="s">
        <v>1932</v>
      </c>
      <c r="P513">
        <v>-20.114929</v>
      </c>
      <c r="Q513">
        <v>-44.905743999999999</v>
      </c>
      <c r="R513" s="2" t="str">
        <f>HYPERLINK("https://www.google.com/maps?q=-20.1149290,-44.9057440","Abrir no Google Maps")</f>
        <v>Abrir no Google Maps</v>
      </c>
      <c r="S513">
        <v>3</v>
      </c>
      <c r="T513">
        <v>637.15270418882039</v>
      </c>
      <c r="U513">
        <v>3</v>
      </c>
      <c r="V513">
        <v>0.47982600415512461</v>
      </c>
      <c r="W513">
        <v>0.85</v>
      </c>
      <c r="X513">
        <v>0.40785210353185591</v>
      </c>
      <c r="Y513">
        <v>300</v>
      </c>
      <c r="Z513">
        <v>687.66887304438887</v>
      </c>
      <c r="AA513">
        <v>198</v>
      </c>
      <c r="AB513">
        <v>332</v>
      </c>
      <c r="AC513">
        <v>536</v>
      </c>
      <c r="AD513">
        <v>33.19</v>
      </c>
      <c r="AE513">
        <v>542</v>
      </c>
      <c r="AF513">
        <v>42</v>
      </c>
      <c r="AG513">
        <v>173</v>
      </c>
      <c r="AH513">
        <v>129</v>
      </c>
      <c r="AI513">
        <v>7.75</v>
      </c>
      <c r="AJ513">
        <v>31.92</v>
      </c>
      <c r="AK513">
        <v>23.8</v>
      </c>
      <c r="AL513">
        <v>-20.115029799999949</v>
      </c>
      <c r="AM513">
        <v>-44.905816489739038</v>
      </c>
      <c r="AN513">
        <v>-20.115029799999949</v>
      </c>
      <c r="AO513">
        <v>-44.905816489739038</v>
      </c>
      <c r="AP513">
        <v>-20.114929</v>
      </c>
      <c r="AQ513">
        <v>-44.905743999999999</v>
      </c>
      <c r="AR513">
        <v>13.5398779152241</v>
      </c>
      <c r="AS513" t="s">
        <v>65</v>
      </c>
      <c r="AT513">
        <v>1</v>
      </c>
      <c r="AU513" t="s">
        <v>1933</v>
      </c>
      <c r="AV513" t="s">
        <v>1934</v>
      </c>
      <c r="AW513" t="s">
        <v>60</v>
      </c>
      <c r="AX513" t="s">
        <v>68</v>
      </c>
      <c r="AY513" t="s">
        <v>69</v>
      </c>
      <c r="AZ513" t="b">
        <v>1</v>
      </c>
    </row>
    <row r="514" spans="1:52" x14ac:dyDescent="0.3">
      <c r="A514" t="s">
        <v>52</v>
      </c>
      <c r="B514" t="s">
        <v>53</v>
      </c>
      <c r="C514" t="s">
        <v>54</v>
      </c>
      <c r="D514" t="s">
        <v>55</v>
      </c>
      <c r="E514" t="s">
        <v>1617</v>
      </c>
      <c r="F514" t="s">
        <v>190</v>
      </c>
      <c r="G514" t="s">
        <v>1935</v>
      </c>
      <c r="H514" t="s">
        <v>1936</v>
      </c>
      <c r="I514" t="s">
        <v>1936</v>
      </c>
      <c r="J514" t="s">
        <v>60</v>
      </c>
      <c r="K514" t="s">
        <v>1265</v>
      </c>
      <c r="L514" t="s">
        <v>62</v>
      </c>
      <c r="M514" t="s">
        <v>1265</v>
      </c>
      <c r="N514" t="s">
        <v>1937</v>
      </c>
      <c r="O514" t="s">
        <v>738</v>
      </c>
      <c r="P514">
        <v>-20.112497999999999</v>
      </c>
      <c r="Q514">
        <v>-44.907307000000003</v>
      </c>
      <c r="R514" s="2" t="str">
        <f>HYPERLINK("https://www.google.com/maps?q=-20.1124980,-44.9073070","Abrir no Google Maps")</f>
        <v>Abrir no Google Maps</v>
      </c>
      <c r="S514">
        <v>3</v>
      </c>
      <c r="T514">
        <v>682.46188175859595</v>
      </c>
      <c r="U514">
        <v>3</v>
      </c>
      <c r="V514">
        <v>0.49183680665749852</v>
      </c>
      <c r="W514">
        <v>0.85</v>
      </c>
      <c r="X514">
        <v>0.41806128565887368</v>
      </c>
      <c r="Y514">
        <v>300</v>
      </c>
      <c r="Z514">
        <v>693.47964384474699</v>
      </c>
      <c r="AA514">
        <v>198</v>
      </c>
      <c r="AB514">
        <v>332</v>
      </c>
      <c r="AC514">
        <v>536</v>
      </c>
      <c r="AD514">
        <v>33.19</v>
      </c>
      <c r="AE514">
        <v>542</v>
      </c>
      <c r="AF514">
        <v>42</v>
      </c>
      <c r="AG514">
        <v>173</v>
      </c>
      <c r="AH514">
        <v>129</v>
      </c>
      <c r="AI514">
        <v>7.75</v>
      </c>
      <c r="AJ514">
        <v>31.92</v>
      </c>
      <c r="AK514">
        <v>23.8</v>
      </c>
      <c r="AL514">
        <v>-20.112429099999961</v>
      </c>
      <c r="AM514">
        <v>-44.907534975307001</v>
      </c>
      <c r="AN514">
        <v>-20.112429099999961</v>
      </c>
      <c r="AO514">
        <v>-44.907534975307001</v>
      </c>
      <c r="AP514">
        <v>-20.112497999999999</v>
      </c>
      <c r="AQ514">
        <v>-44.907307000000003</v>
      </c>
      <c r="AR514">
        <v>25.034526020325121</v>
      </c>
      <c r="AS514" t="s">
        <v>65</v>
      </c>
      <c r="AT514">
        <v>1</v>
      </c>
      <c r="AU514" t="s">
        <v>1938</v>
      </c>
      <c r="AV514" t="s">
        <v>1939</v>
      </c>
      <c r="AW514" t="s">
        <v>60</v>
      </c>
      <c r="AX514" t="s">
        <v>68</v>
      </c>
      <c r="AY514" t="s">
        <v>69</v>
      </c>
      <c r="AZ514" t="b">
        <v>1</v>
      </c>
    </row>
    <row r="515" spans="1:52" x14ac:dyDescent="0.3">
      <c r="A515" t="s">
        <v>52</v>
      </c>
      <c r="B515" t="s">
        <v>53</v>
      </c>
      <c r="C515" t="s">
        <v>54</v>
      </c>
      <c r="D515" t="s">
        <v>55</v>
      </c>
      <c r="E515" t="s">
        <v>1617</v>
      </c>
      <c r="F515" t="s">
        <v>190</v>
      </c>
      <c r="G515" t="s">
        <v>1940</v>
      </c>
      <c r="H515" t="s">
        <v>1941</v>
      </c>
      <c r="I515" t="s">
        <v>1941</v>
      </c>
      <c r="J515" t="s">
        <v>60</v>
      </c>
      <c r="K515" t="s">
        <v>791</v>
      </c>
      <c r="L515" t="s">
        <v>62</v>
      </c>
      <c r="M515" t="s">
        <v>791</v>
      </c>
      <c r="N515" t="s">
        <v>1942</v>
      </c>
      <c r="O515" t="s">
        <v>1943</v>
      </c>
      <c r="P515">
        <v>-20.10868</v>
      </c>
      <c r="Q515">
        <v>-44.914802999999999</v>
      </c>
      <c r="R515" s="2" t="str">
        <f>HYPERLINK("https://www.google.com/maps?q=-20.1086800,-44.9148030","Abrir no Google Maps")</f>
        <v>Abrir no Google Maps</v>
      </c>
      <c r="S515">
        <v>3</v>
      </c>
      <c r="T515">
        <v>1497.818218016964</v>
      </c>
      <c r="U515">
        <v>3</v>
      </c>
      <c r="V515">
        <v>0.50270936478877892</v>
      </c>
      <c r="W515">
        <v>0.85</v>
      </c>
      <c r="X515">
        <v>0.42730296007046209</v>
      </c>
      <c r="Y515">
        <v>300</v>
      </c>
      <c r="Z515">
        <v>1347.8282808622</v>
      </c>
      <c r="AA515">
        <v>198</v>
      </c>
      <c r="AB515">
        <v>332</v>
      </c>
      <c r="AC515">
        <v>536</v>
      </c>
      <c r="AD515">
        <v>33.19</v>
      </c>
      <c r="AE515">
        <v>542</v>
      </c>
      <c r="AF515">
        <v>42</v>
      </c>
      <c r="AG515">
        <v>173</v>
      </c>
      <c r="AH515">
        <v>129</v>
      </c>
      <c r="AI515">
        <v>7.75</v>
      </c>
      <c r="AJ515">
        <v>31.92</v>
      </c>
      <c r="AK515">
        <v>23.8</v>
      </c>
      <c r="AL515">
        <v>-20.108341949999978</v>
      </c>
      <c r="AM515">
        <v>-44.915063905998323</v>
      </c>
      <c r="AN515">
        <v>-20.108341949999978</v>
      </c>
      <c r="AO515">
        <v>-44.915063905998323</v>
      </c>
      <c r="AP515">
        <v>-20.10868</v>
      </c>
      <c r="AQ515">
        <v>-44.914802999999999</v>
      </c>
      <c r="AR515">
        <v>46.47578843967414</v>
      </c>
      <c r="AS515" t="s">
        <v>65</v>
      </c>
      <c r="AT515">
        <v>1</v>
      </c>
      <c r="AU515" t="s">
        <v>1944</v>
      </c>
      <c r="AV515" t="s">
        <v>1945</v>
      </c>
      <c r="AW515" t="s">
        <v>60</v>
      </c>
      <c r="AX515" t="s">
        <v>68</v>
      </c>
      <c r="AY515" t="s">
        <v>69</v>
      </c>
      <c r="AZ515" t="b">
        <v>1</v>
      </c>
    </row>
    <row r="516" spans="1:52" x14ac:dyDescent="0.3">
      <c r="A516" t="s">
        <v>52</v>
      </c>
      <c r="B516" t="s">
        <v>53</v>
      </c>
      <c r="C516" t="s">
        <v>54</v>
      </c>
      <c r="D516" t="s">
        <v>55</v>
      </c>
      <c r="E516" t="s">
        <v>1617</v>
      </c>
      <c r="F516" t="s">
        <v>190</v>
      </c>
      <c r="G516" t="s">
        <v>1946</v>
      </c>
      <c r="H516" t="s">
        <v>1947</v>
      </c>
      <c r="I516" t="s">
        <v>1947</v>
      </c>
      <c r="J516" t="s">
        <v>60</v>
      </c>
      <c r="K516" t="s">
        <v>1710</v>
      </c>
      <c r="L516" t="s">
        <v>62</v>
      </c>
      <c r="M516" t="s">
        <v>1710</v>
      </c>
      <c r="N516" t="s">
        <v>1948</v>
      </c>
      <c r="O516" t="s">
        <v>98</v>
      </c>
      <c r="P516">
        <v>-20.148572000000001</v>
      </c>
      <c r="Q516">
        <v>-44.844358</v>
      </c>
      <c r="R516" s="2" t="str">
        <f>HYPERLINK("https://www.google.com/maps?q=-20.1485720,-44.8443580","Abrir no Google Maps")</f>
        <v>Abrir no Google Maps</v>
      </c>
      <c r="S516">
        <v>3</v>
      </c>
      <c r="T516">
        <v>1659.680029693056</v>
      </c>
      <c r="U516">
        <v>3</v>
      </c>
      <c r="V516">
        <v>0.46296296296296291</v>
      </c>
      <c r="W516">
        <v>0.85</v>
      </c>
      <c r="X516">
        <v>0.39351851851851849</v>
      </c>
      <c r="Y516">
        <v>292</v>
      </c>
      <c r="Z516">
        <v>2031.793037782372</v>
      </c>
      <c r="AA516">
        <v>198</v>
      </c>
      <c r="AB516">
        <v>332</v>
      </c>
      <c r="AC516">
        <v>536</v>
      </c>
      <c r="AD516">
        <v>33.19</v>
      </c>
      <c r="AE516">
        <v>542</v>
      </c>
      <c r="AF516">
        <v>42</v>
      </c>
      <c r="AG516">
        <v>173</v>
      </c>
      <c r="AH516">
        <v>129</v>
      </c>
      <c r="AI516">
        <v>7.75</v>
      </c>
      <c r="AJ516">
        <v>31.92</v>
      </c>
      <c r="AK516">
        <v>23.8</v>
      </c>
      <c r="AL516">
        <v>-20.14798144999995</v>
      </c>
      <c r="AM516">
        <v>-44.844440972238857</v>
      </c>
      <c r="AN516">
        <v>-20.147981449999939</v>
      </c>
      <c r="AO516">
        <v>-44.844440972238857</v>
      </c>
      <c r="AP516">
        <v>-20.148572000000001</v>
      </c>
      <c r="AQ516">
        <v>-44.844358</v>
      </c>
      <c r="AR516">
        <v>66.309438774786855</v>
      </c>
      <c r="AS516" t="s">
        <v>65</v>
      </c>
      <c r="AT516">
        <v>1</v>
      </c>
      <c r="AU516" t="s">
        <v>1949</v>
      </c>
      <c r="AV516" t="s">
        <v>1950</v>
      </c>
      <c r="AW516" t="s">
        <v>60</v>
      </c>
      <c r="AX516" t="s">
        <v>68</v>
      </c>
      <c r="AY516" t="s">
        <v>69</v>
      </c>
      <c r="AZ516" t="b">
        <v>1</v>
      </c>
    </row>
    <row r="517" spans="1:52" x14ac:dyDescent="0.3">
      <c r="A517" t="s">
        <v>52</v>
      </c>
      <c r="B517" t="s">
        <v>53</v>
      </c>
      <c r="C517" t="s">
        <v>54</v>
      </c>
      <c r="D517" t="s">
        <v>55</v>
      </c>
      <c r="E517" t="s">
        <v>1617</v>
      </c>
      <c r="F517" t="s">
        <v>190</v>
      </c>
      <c r="G517" t="s">
        <v>1951</v>
      </c>
      <c r="H517" t="s">
        <v>1952</v>
      </c>
      <c r="I517" t="s">
        <v>1952</v>
      </c>
      <c r="J517" t="s">
        <v>60</v>
      </c>
      <c r="K517" t="s">
        <v>1177</v>
      </c>
      <c r="L517" t="s">
        <v>62</v>
      </c>
      <c r="M517" t="s">
        <v>1177</v>
      </c>
      <c r="N517" t="s">
        <v>1953</v>
      </c>
      <c r="O517" t="s">
        <v>1297</v>
      </c>
      <c r="P517">
        <v>-20.151040999999999</v>
      </c>
      <c r="Q517">
        <v>-44.866993999999998</v>
      </c>
      <c r="R517" s="2" t="str">
        <f>HYPERLINK("https://www.google.com/maps?q=-20.1510410,-44.8669940","Abrir no Google Maps")</f>
        <v>Abrir no Google Maps</v>
      </c>
      <c r="S517">
        <v>3</v>
      </c>
      <c r="T517">
        <v>283.36618500961418</v>
      </c>
      <c r="U517">
        <v>3</v>
      </c>
      <c r="V517">
        <v>0.4664897959183672</v>
      </c>
      <c r="W517">
        <v>0.85</v>
      </c>
      <c r="X517">
        <v>0.39651632653061208</v>
      </c>
      <c r="Y517">
        <v>264</v>
      </c>
      <c r="Z517">
        <v>359.76740081296248</v>
      </c>
      <c r="AA517">
        <v>198</v>
      </c>
      <c r="AB517">
        <v>332</v>
      </c>
      <c r="AC517">
        <v>536</v>
      </c>
      <c r="AD517">
        <v>33.19</v>
      </c>
      <c r="AE517">
        <v>542</v>
      </c>
      <c r="AF517">
        <v>42</v>
      </c>
      <c r="AG517">
        <v>173</v>
      </c>
      <c r="AH517">
        <v>129</v>
      </c>
      <c r="AI517">
        <v>7.75</v>
      </c>
      <c r="AJ517">
        <v>31.92</v>
      </c>
      <c r="AK517">
        <v>23.8</v>
      </c>
      <c r="AL517">
        <v>-20.151039049999959</v>
      </c>
      <c r="AM517">
        <v>-44.866745260785819</v>
      </c>
      <c r="AN517">
        <v>-20.151039049999959</v>
      </c>
      <c r="AO517">
        <v>-44.866745260785819</v>
      </c>
      <c r="AP517">
        <v>-20.151040999999999</v>
      </c>
      <c r="AQ517">
        <v>-44.866993999999998</v>
      </c>
      <c r="AR517">
        <v>25.99560986527592</v>
      </c>
      <c r="AS517" t="s">
        <v>65</v>
      </c>
      <c r="AT517">
        <v>1</v>
      </c>
      <c r="AU517" t="s">
        <v>1954</v>
      </c>
      <c r="AV517" t="s">
        <v>1955</v>
      </c>
      <c r="AW517" t="s">
        <v>60</v>
      </c>
      <c r="AX517" t="s">
        <v>68</v>
      </c>
      <c r="AY517" t="s">
        <v>69</v>
      </c>
      <c r="AZ517" t="b">
        <v>1</v>
      </c>
    </row>
    <row r="518" spans="1:52" x14ac:dyDescent="0.3">
      <c r="A518" t="s">
        <v>52</v>
      </c>
      <c r="B518" t="s">
        <v>53</v>
      </c>
      <c r="C518" t="s">
        <v>54</v>
      </c>
      <c r="D518" t="s">
        <v>55</v>
      </c>
      <c r="E518" t="s">
        <v>1617</v>
      </c>
      <c r="F518" t="s">
        <v>190</v>
      </c>
      <c r="G518" t="s">
        <v>734</v>
      </c>
      <c r="H518" t="s">
        <v>1956</v>
      </c>
      <c r="I518" t="s">
        <v>1956</v>
      </c>
      <c r="J518" t="s">
        <v>60</v>
      </c>
      <c r="K518" t="s">
        <v>736</v>
      </c>
      <c r="L518" t="s">
        <v>62</v>
      </c>
      <c r="M518" t="s">
        <v>736</v>
      </c>
      <c r="N518" t="s">
        <v>1957</v>
      </c>
      <c r="O518" t="s">
        <v>98</v>
      </c>
      <c r="P518">
        <v>-20.102477</v>
      </c>
      <c r="Q518">
        <v>-44.96687</v>
      </c>
      <c r="R518" s="2" t="str">
        <f>HYPERLINK("https://www.google.com/maps?q=-20.1024770,-44.9668700","Abrir no Google Maps")</f>
        <v>Abrir no Google Maps</v>
      </c>
      <c r="S518">
        <v>3</v>
      </c>
      <c r="T518">
        <v>707.66831236770724</v>
      </c>
      <c r="U518">
        <v>3</v>
      </c>
      <c r="V518">
        <v>0.46902733964248161</v>
      </c>
      <c r="W518">
        <v>0.85</v>
      </c>
      <c r="X518">
        <v>0.39867323869610938</v>
      </c>
      <c r="Y518">
        <v>187</v>
      </c>
      <c r="Z518">
        <v>501.32994199953549</v>
      </c>
      <c r="AA518">
        <v>198</v>
      </c>
      <c r="AB518">
        <v>332</v>
      </c>
      <c r="AC518">
        <v>536</v>
      </c>
      <c r="AD518">
        <v>33.19</v>
      </c>
      <c r="AE518">
        <v>542</v>
      </c>
      <c r="AF518">
        <v>42</v>
      </c>
      <c r="AG518">
        <v>173</v>
      </c>
      <c r="AH518">
        <v>129</v>
      </c>
      <c r="AI518">
        <v>7.75</v>
      </c>
      <c r="AJ518">
        <v>31.92</v>
      </c>
      <c r="AK518">
        <v>23.8</v>
      </c>
      <c r="AL518">
        <v>-20.102224349999972</v>
      </c>
      <c r="AM518">
        <v>-44.966722474833823</v>
      </c>
      <c r="AN518">
        <v>-20.102224349999972</v>
      </c>
      <c r="AO518">
        <v>-44.966722474833823</v>
      </c>
      <c r="AP518">
        <v>-20.102477</v>
      </c>
      <c r="AQ518">
        <v>-44.96687</v>
      </c>
      <c r="AR518">
        <v>32.075775513591331</v>
      </c>
      <c r="AS518" t="s">
        <v>65</v>
      </c>
      <c r="AT518">
        <v>1</v>
      </c>
      <c r="AU518" t="s">
        <v>1958</v>
      </c>
      <c r="AV518" t="s">
        <v>1959</v>
      </c>
      <c r="AW518" t="s">
        <v>60</v>
      </c>
      <c r="AX518" t="s">
        <v>68</v>
      </c>
      <c r="AY518" t="s">
        <v>69</v>
      </c>
      <c r="AZ518" t="b">
        <v>1</v>
      </c>
    </row>
    <row r="519" spans="1:52" x14ac:dyDescent="0.3">
      <c r="A519" t="s">
        <v>52</v>
      </c>
      <c r="B519" t="s">
        <v>53</v>
      </c>
      <c r="C519" t="s">
        <v>54</v>
      </c>
      <c r="D519" t="s">
        <v>55</v>
      </c>
      <c r="E519" t="s">
        <v>1617</v>
      </c>
      <c r="F519" t="s">
        <v>190</v>
      </c>
      <c r="G519" t="s">
        <v>1960</v>
      </c>
      <c r="H519" t="s">
        <v>1961</v>
      </c>
      <c r="I519" t="s">
        <v>1961</v>
      </c>
      <c r="J519" t="s">
        <v>60</v>
      </c>
      <c r="K519" t="s">
        <v>1962</v>
      </c>
      <c r="L519" t="s">
        <v>62</v>
      </c>
      <c r="M519" t="s">
        <v>1962</v>
      </c>
      <c r="N519" t="s">
        <v>1963</v>
      </c>
      <c r="O519" t="s">
        <v>836</v>
      </c>
      <c r="P519">
        <v>-20.102920999999998</v>
      </c>
      <c r="Q519">
        <v>-44.865403999999998</v>
      </c>
      <c r="R519" s="2" t="str">
        <f>HYPERLINK("https://www.google.com/maps?q=-20.1029210,-44.8654040","Abrir no Google Maps")</f>
        <v>Abrir no Google Maps</v>
      </c>
      <c r="S519">
        <v>3</v>
      </c>
      <c r="T519">
        <v>1191.6677440546839</v>
      </c>
      <c r="U519">
        <v>3</v>
      </c>
      <c r="V519">
        <v>0.44643605870020969</v>
      </c>
      <c r="W519">
        <v>0.85</v>
      </c>
      <c r="X519">
        <v>0.3794706498951782</v>
      </c>
      <c r="Y519">
        <v>154</v>
      </c>
      <c r="Z519">
        <v>991.44725347027099</v>
      </c>
      <c r="AA519">
        <v>198</v>
      </c>
      <c r="AB519">
        <v>332</v>
      </c>
      <c r="AC519">
        <v>536</v>
      </c>
      <c r="AD519">
        <v>33.19</v>
      </c>
      <c r="AE519">
        <v>542</v>
      </c>
      <c r="AF519">
        <v>42</v>
      </c>
      <c r="AG519">
        <v>173</v>
      </c>
      <c r="AH519">
        <v>129</v>
      </c>
      <c r="AI519">
        <v>7.75</v>
      </c>
      <c r="AJ519">
        <v>31.92</v>
      </c>
      <c r="AK519">
        <v>23.8</v>
      </c>
      <c r="AL519">
        <v>-20.102962049999949</v>
      </c>
      <c r="AM519">
        <v>-44.86545245652048</v>
      </c>
      <c r="AN519">
        <v>-20.102962049999949</v>
      </c>
      <c r="AO519">
        <v>-44.86545245652048</v>
      </c>
      <c r="AP519">
        <v>-20.102920999999998</v>
      </c>
      <c r="AQ519">
        <v>-44.865403999999998</v>
      </c>
      <c r="AR519">
        <v>6.8221551690023201</v>
      </c>
      <c r="AS519" t="s">
        <v>65</v>
      </c>
      <c r="AT519">
        <v>1</v>
      </c>
      <c r="AU519" t="s">
        <v>1964</v>
      </c>
      <c r="AV519" t="s">
        <v>1965</v>
      </c>
      <c r="AW519" t="s">
        <v>60</v>
      </c>
      <c r="AX519" t="s">
        <v>68</v>
      </c>
      <c r="AY519" t="s">
        <v>69</v>
      </c>
      <c r="AZ519" t="b">
        <v>1</v>
      </c>
    </row>
    <row r="520" spans="1:52" x14ac:dyDescent="0.3">
      <c r="A520" t="s">
        <v>52</v>
      </c>
      <c r="B520" t="s">
        <v>53</v>
      </c>
      <c r="C520" t="s">
        <v>54</v>
      </c>
      <c r="D520" t="s">
        <v>55</v>
      </c>
      <c r="E520" t="s">
        <v>1617</v>
      </c>
      <c r="F520" t="s">
        <v>190</v>
      </c>
      <c r="G520" t="s">
        <v>1966</v>
      </c>
      <c r="H520" t="s">
        <v>1967</v>
      </c>
      <c r="I520" t="s">
        <v>1967</v>
      </c>
      <c r="J520" t="s">
        <v>60</v>
      </c>
      <c r="K520" t="s">
        <v>1968</v>
      </c>
      <c r="L520" t="s">
        <v>62</v>
      </c>
      <c r="M520" t="s">
        <v>1968</v>
      </c>
      <c r="N520" t="s">
        <v>1969</v>
      </c>
      <c r="O520" t="s">
        <v>1476</v>
      </c>
      <c r="P520">
        <v>-20.197641999999998</v>
      </c>
      <c r="Q520">
        <v>-44.916038</v>
      </c>
      <c r="R520" s="2" t="str">
        <f>HYPERLINK("https://www.google.com/maps?q=-20.1976420,-44.9160380","Abrir no Google Maps")</f>
        <v>Abrir no Google Maps</v>
      </c>
      <c r="S520">
        <v>3</v>
      </c>
      <c r="T520">
        <v>1439.13475701932</v>
      </c>
      <c r="U520">
        <v>3</v>
      </c>
      <c r="V520">
        <v>0.48178816357632709</v>
      </c>
      <c r="W520">
        <v>0.85</v>
      </c>
      <c r="X520">
        <v>0.40951993903987799</v>
      </c>
      <c r="Y520">
        <v>135</v>
      </c>
      <c r="Z520">
        <v>1733.8683911476401</v>
      </c>
      <c r="AA520">
        <v>198</v>
      </c>
      <c r="AB520">
        <v>332</v>
      </c>
      <c r="AC520">
        <v>536</v>
      </c>
      <c r="AD520">
        <v>33.19</v>
      </c>
      <c r="AE520">
        <v>542</v>
      </c>
      <c r="AF520">
        <v>42</v>
      </c>
      <c r="AG520">
        <v>173</v>
      </c>
      <c r="AH520">
        <v>129</v>
      </c>
      <c r="AI520">
        <v>7.75</v>
      </c>
      <c r="AJ520">
        <v>31.92</v>
      </c>
      <c r="AK520">
        <v>23.8</v>
      </c>
      <c r="AL520">
        <v>-20.19762214999994</v>
      </c>
      <c r="AM520">
        <v>-44.916074568962941</v>
      </c>
      <c r="AN520">
        <v>-20.19762214999994</v>
      </c>
      <c r="AO520">
        <v>-44.916074568962941</v>
      </c>
      <c r="AP520">
        <v>-20.197641999999998</v>
      </c>
      <c r="AQ520">
        <v>-44.916038</v>
      </c>
      <c r="AR520">
        <v>4.4135276350484256</v>
      </c>
      <c r="AS520" t="s">
        <v>65</v>
      </c>
      <c r="AT520">
        <v>1</v>
      </c>
      <c r="AU520" t="s">
        <v>1970</v>
      </c>
      <c r="AV520" t="s">
        <v>1971</v>
      </c>
      <c r="AW520" t="s">
        <v>60</v>
      </c>
      <c r="AX520" t="s">
        <v>68</v>
      </c>
      <c r="AY520" t="s">
        <v>69</v>
      </c>
      <c r="AZ520" t="b">
        <v>1</v>
      </c>
    </row>
    <row r="521" spans="1:52" x14ac:dyDescent="0.3">
      <c r="A521" t="s">
        <v>52</v>
      </c>
      <c r="B521" t="s">
        <v>53</v>
      </c>
      <c r="C521" t="s">
        <v>54</v>
      </c>
      <c r="D521" t="s">
        <v>55</v>
      </c>
      <c r="E521" t="s">
        <v>1617</v>
      </c>
      <c r="F521" t="s">
        <v>190</v>
      </c>
      <c r="G521" t="s">
        <v>1972</v>
      </c>
      <c r="H521" t="s">
        <v>1973</v>
      </c>
      <c r="I521" t="s">
        <v>1973</v>
      </c>
      <c r="J521" t="s">
        <v>60</v>
      </c>
      <c r="K521" t="s">
        <v>1974</v>
      </c>
      <c r="L521" t="s">
        <v>62</v>
      </c>
      <c r="M521" t="s">
        <v>1974</v>
      </c>
      <c r="N521" t="s">
        <v>1975</v>
      </c>
      <c r="O521" t="s">
        <v>112</v>
      </c>
      <c r="P521">
        <v>-20.190601000000001</v>
      </c>
      <c r="Q521">
        <v>-44.915455000000001</v>
      </c>
      <c r="R521" s="2" t="str">
        <f>HYPERLINK("https://www.google.com/maps?q=-20.1906010,-44.9154550","Abrir no Google Maps")</f>
        <v>Abrir no Google Maps</v>
      </c>
      <c r="S521">
        <v>3</v>
      </c>
      <c r="T521">
        <v>789.59047047105469</v>
      </c>
      <c r="U521">
        <v>3</v>
      </c>
      <c r="V521">
        <v>0.4828522920203735</v>
      </c>
      <c r="W521">
        <v>0.85</v>
      </c>
      <c r="X521">
        <v>0.41042444821731738</v>
      </c>
      <c r="Y521">
        <v>135</v>
      </c>
      <c r="Z521">
        <v>1165.508260311045</v>
      </c>
      <c r="AA521">
        <v>198</v>
      </c>
      <c r="AB521">
        <v>332</v>
      </c>
      <c r="AC521">
        <v>536</v>
      </c>
      <c r="AD521">
        <v>33.19</v>
      </c>
      <c r="AE521">
        <v>542</v>
      </c>
      <c r="AF521">
        <v>42</v>
      </c>
      <c r="AG521">
        <v>173</v>
      </c>
      <c r="AH521">
        <v>129</v>
      </c>
      <c r="AI521">
        <v>7.75</v>
      </c>
      <c r="AJ521">
        <v>31.92</v>
      </c>
      <c r="AK521">
        <v>23.8</v>
      </c>
      <c r="AL521">
        <v>-20.19048524999997</v>
      </c>
      <c r="AM521">
        <v>-44.916155008672732</v>
      </c>
      <c r="AN521">
        <v>-20.19048524999997</v>
      </c>
      <c r="AO521">
        <v>-44.916155008672732</v>
      </c>
      <c r="AP521">
        <v>-20.190601000000001</v>
      </c>
      <c r="AQ521">
        <v>-44.915455000000001</v>
      </c>
      <c r="AR521">
        <v>74.262903738444592</v>
      </c>
      <c r="AS521" t="s">
        <v>65</v>
      </c>
      <c r="AT521">
        <v>1</v>
      </c>
      <c r="AU521" t="s">
        <v>1976</v>
      </c>
      <c r="AV521" t="s">
        <v>1977</v>
      </c>
      <c r="AW521" t="s">
        <v>60</v>
      </c>
      <c r="AX521" t="s">
        <v>68</v>
      </c>
      <c r="AY521" t="s">
        <v>69</v>
      </c>
      <c r="AZ521" t="b">
        <v>1</v>
      </c>
    </row>
    <row r="522" spans="1:52" x14ac:dyDescent="0.3">
      <c r="A522" t="s">
        <v>52</v>
      </c>
      <c r="B522" t="s">
        <v>53</v>
      </c>
      <c r="C522" t="s">
        <v>54</v>
      </c>
      <c r="D522" t="s">
        <v>55</v>
      </c>
      <c r="E522" t="s">
        <v>1617</v>
      </c>
      <c r="F522" t="s">
        <v>190</v>
      </c>
      <c r="G522" t="s">
        <v>1978</v>
      </c>
      <c r="H522" t="s">
        <v>1979</v>
      </c>
      <c r="I522" t="s">
        <v>1979</v>
      </c>
      <c r="J522" t="s">
        <v>60</v>
      </c>
      <c r="K522" t="s">
        <v>822</v>
      </c>
      <c r="L522" t="s">
        <v>62</v>
      </c>
      <c r="M522" t="s">
        <v>822</v>
      </c>
      <c r="N522" t="s">
        <v>1980</v>
      </c>
      <c r="O522" t="s">
        <v>1981</v>
      </c>
      <c r="P522">
        <v>-20.183568000000001</v>
      </c>
      <c r="Q522">
        <v>-44.904950999999997</v>
      </c>
      <c r="R522" s="2" t="str">
        <f>HYPERLINK("https://www.google.com/maps?q=-20.1835680,-44.9049510","Abrir no Google Maps")</f>
        <v>Abrir no Google Maps</v>
      </c>
      <c r="S522">
        <v>3</v>
      </c>
      <c r="T522">
        <v>739.49865836455649</v>
      </c>
      <c r="U522">
        <v>3</v>
      </c>
      <c r="V522">
        <v>0.49761186568096899</v>
      </c>
      <c r="W522">
        <v>0.85</v>
      </c>
      <c r="X522">
        <v>0.42297008582882362</v>
      </c>
      <c r="Y522">
        <v>135</v>
      </c>
      <c r="Z522">
        <v>563.62602480507815</v>
      </c>
      <c r="AA522">
        <v>198</v>
      </c>
      <c r="AB522">
        <v>332</v>
      </c>
      <c r="AC522">
        <v>536</v>
      </c>
      <c r="AD522">
        <v>33.19</v>
      </c>
      <c r="AE522">
        <v>542</v>
      </c>
      <c r="AF522">
        <v>42</v>
      </c>
      <c r="AG522">
        <v>173</v>
      </c>
      <c r="AH522">
        <v>129</v>
      </c>
      <c r="AI522">
        <v>7.75</v>
      </c>
      <c r="AJ522">
        <v>31.92</v>
      </c>
      <c r="AK522">
        <v>23.8</v>
      </c>
      <c r="AL522">
        <v>-20.18318414999996</v>
      </c>
      <c r="AM522">
        <v>-44.903984104996781</v>
      </c>
      <c r="AN522">
        <v>-20.18318414999996</v>
      </c>
      <c r="AO522">
        <v>-44.903984104996781</v>
      </c>
      <c r="AP522">
        <v>-20.183568000000001</v>
      </c>
      <c r="AQ522">
        <v>-44.904950999999997</v>
      </c>
      <c r="AR522">
        <v>109.69044287201569</v>
      </c>
      <c r="AS522" t="s">
        <v>65</v>
      </c>
      <c r="AT522">
        <v>1</v>
      </c>
      <c r="AU522" t="s">
        <v>1982</v>
      </c>
      <c r="AV522" t="s">
        <v>1983</v>
      </c>
      <c r="AW522" t="s">
        <v>60</v>
      </c>
      <c r="AX522" t="s">
        <v>68</v>
      </c>
      <c r="AY522" t="s">
        <v>69</v>
      </c>
      <c r="AZ522" t="b">
        <v>1</v>
      </c>
    </row>
    <row r="523" spans="1:52" x14ac:dyDescent="0.3">
      <c r="A523" t="s">
        <v>52</v>
      </c>
      <c r="B523" t="s">
        <v>53</v>
      </c>
      <c r="C523" t="s">
        <v>54</v>
      </c>
      <c r="D523" t="s">
        <v>55</v>
      </c>
      <c r="E523" t="s">
        <v>1617</v>
      </c>
      <c r="F523" t="s">
        <v>190</v>
      </c>
      <c r="G523" t="s">
        <v>1984</v>
      </c>
      <c r="H523" t="s">
        <v>1985</v>
      </c>
      <c r="I523" t="s">
        <v>1985</v>
      </c>
      <c r="J523" t="s">
        <v>60</v>
      </c>
      <c r="K523" t="s">
        <v>1986</v>
      </c>
      <c r="L523" t="s">
        <v>62</v>
      </c>
      <c r="M523" t="s">
        <v>1986</v>
      </c>
      <c r="N523" t="s">
        <v>1987</v>
      </c>
      <c r="O523" t="s">
        <v>1688</v>
      </c>
      <c r="P523">
        <v>-20.181958999999999</v>
      </c>
      <c r="Q523">
        <v>-44.922638999999997</v>
      </c>
      <c r="R523" s="2" t="str">
        <f>HYPERLINK("https://www.google.com/maps?q=-20.1819590,-44.9226390","Abrir no Google Maps")</f>
        <v>Abrir no Google Maps</v>
      </c>
      <c r="S523">
        <v>3</v>
      </c>
      <c r="T523">
        <v>1352.8884133235149</v>
      </c>
      <c r="U523">
        <v>3</v>
      </c>
      <c r="V523">
        <v>0.4527718832891246</v>
      </c>
      <c r="W523">
        <v>0.85</v>
      </c>
      <c r="X523">
        <v>0.38485610079575588</v>
      </c>
      <c r="Y523">
        <v>135</v>
      </c>
      <c r="Z523">
        <v>1626.445728536507</v>
      </c>
      <c r="AA523">
        <v>198</v>
      </c>
      <c r="AB523">
        <v>332</v>
      </c>
      <c r="AC523">
        <v>536</v>
      </c>
      <c r="AD523">
        <v>33.19</v>
      </c>
      <c r="AE523">
        <v>542</v>
      </c>
      <c r="AF523">
        <v>42</v>
      </c>
      <c r="AG523">
        <v>173</v>
      </c>
      <c r="AH523">
        <v>129</v>
      </c>
      <c r="AI523">
        <v>7.75</v>
      </c>
      <c r="AJ523">
        <v>31.92</v>
      </c>
      <c r="AK523">
        <v>23.8</v>
      </c>
      <c r="AL523">
        <v>-20.181999799999939</v>
      </c>
      <c r="AM523">
        <v>-44.922869974430867</v>
      </c>
      <c r="AN523">
        <v>-20.181999799999939</v>
      </c>
      <c r="AO523">
        <v>-44.922869974430867</v>
      </c>
      <c r="AP523">
        <v>-20.181958999999999</v>
      </c>
      <c r="AQ523">
        <v>-44.922638999999997</v>
      </c>
      <c r="AR523">
        <v>24.55705514780848</v>
      </c>
      <c r="AS523" t="s">
        <v>65</v>
      </c>
      <c r="AT523">
        <v>1</v>
      </c>
      <c r="AU523" t="s">
        <v>1988</v>
      </c>
      <c r="AV523" t="s">
        <v>1989</v>
      </c>
      <c r="AW523" t="s">
        <v>60</v>
      </c>
      <c r="AX523" t="s">
        <v>68</v>
      </c>
      <c r="AY523" t="s">
        <v>69</v>
      </c>
      <c r="AZ523" t="b">
        <v>1</v>
      </c>
    </row>
    <row r="524" spans="1:52" x14ac:dyDescent="0.3">
      <c r="A524" t="s">
        <v>52</v>
      </c>
      <c r="B524" t="s">
        <v>53</v>
      </c>
      <c r="C524" t="s">
        <v>54</v>
      </c>
      <c r="D524" t="s">
        <v>55</v>
      </c>
      <c r="E524" t="s">
        <v>1617</v>
      </c>
      <c r="F524" t="s">
        <v>190</v>
      </c>
      <c r="G524" t="s">
        <v>1990</v>
      </c>
      <c r="H524" t="s">
        <v>1991</v>
      </c>
      <c r="I524" t="s">
        <v>1991</v>
      </c>
      <c r="J524" t="s">
        <v>60</v>
      </c>
      <c r="K524" t="s">
        <v>822</v>
      </c>
      <c r="L524" t="s">
        <v>62</v>
      </c>
      <c r="M524" t="s">
        <v>822</v>
      </c>
      <c r="N524" t="s">
        <v>1992</v>
      </c>
      <c r="O524" t="s">
        <v>1993</v>
      </c>
      <c r="P524">
        <v>-20.185697000000001</v>
      </c>
      <c r="Q524">
        <v>-44.910505999999998</v>
      </c>
      <c r="R524" s="2" t="str">
        <f>HYPERLINK("https://www.google.com/maps?q=-20.1856970,-44.9105060","Abrir no Google Maps")</f>
        <v>Abrir no Google Maps</v>
      </c>
      <c r="S524">
        <v>3</v>
      </c>
      <c r="T524">
        <v>0</v>
      </c>
      <c r="U524">
        <v>3</v>
      </c>
      <c r="V524">
        <v>0.46783887468030688</v>
      </c>
      <c r="W524">
        <v>0.85</v>
      </c>
      <c r="X524">
        <v>0.39766304347826081</v>
      </c>
      <c r="Y524">
        <v>135</v>
      </c>
      <c r="Z524">
        <v>343.69681053463609</v>
      </c>
      <c r="AA524">
        <v>198</v>
      </c>
      <c r="AB524">
        <v>332</v>
      </c>
      <c r="AC524">
        <v>536</v>
      </c>
      <c r="AD524">
        <v>33.19</v>
      </c>
      <c r="AE524">
        <v>542</v>
      </c>
      <c r="AF524">
        <v>42</v>
      </c>
      <c r="AG524">
        <v>173</v>
      </c>
      <c r="AH524">
        <v>129</v>
      </c>
      <c r="AI524">
        <v>7.75</v>
      </c>
      <c r="AJ524">
        <v>31.92</v>
      </c>
      <c r="AK524">
        <v>23.8</v>
      </c>
      <c r="AL524">
        <v>-20.185715749999961</v>
      </c>
      <c r="AM524">
        <v>-44.910534239471573</v>
      </c>
      <c r="AN524">
        <v>-20.185715749999961</v>
      </c>
      <c r="AO524">
        <v>-44.910534239471573</v>
      </c>
      <c r="AP524">
        <v>-20.185697000000001</v>
      </c>
      <c r="AQ524">
        <v>-44.910505999999998</v>
      </c>
      <c r="AR524">
        <v>3.6141753980162412</v>
      </c>
      <c r="AS524" t="s">
        <v>65</v>
      </c>
      <c r="AT524">
        <v>1</v>
      </c>
      <c r="AU524" t="s">
        <v>1994</v>
      </c>
      <c r="AV524" t="s">
        <v>1995</v>
      </c>
      <c r="AW524" t="s">
        <v>60</v>
      </c>
      <c r="AX524" t="s">
        <v>68</v>
      </c>
      <c r="AY524" t="s">
        <v>69</v>
      </c>
      <c r="AZ524" t="b">
        <v>1</v>
      </c>
    </row>
    <row r="525" spans="1:52" x14ac:dyDescent="0.3">
      <c r="A525" t="s">
        <v>52</v>
      </c>
      <c r="B525" t="s">
        <v>53</v>
      </c>
      <c r="C525" t="s">
        <v>54</v>
      </c>
      <c r="D525" t="s">
        <v>55</v>
      </c>
      <c r="E525" t="s">
        <v>1617</v>
      </c>
      <c r="F525" t="s">
        <v>190</v>
      </c>
      <c r="G525" t="s">
        <v>1996</v>
      </c>
      <c r="H525" t="s">
        <v>1997</v>
      </c>
      <c r="I525" t="s">
        <v>1997</v>
      </c>
      <c r="J525" t="s">
        <v>60</v>
      </c>
      <c r="K525" t="s">
        <v>475</v>
      </c>
      <c r="L525" t="s">
        <v>62</v>
      </c>
      <c r="M525" t="s">
        <v>475</v>
      </c>
      <c r="N525" t="s">
        <v>1998</v>
      </c>
      <c r="O525" t="s">
        <v>315</v>
      </c>
      <c r="P525">
        <v>-20.179940999999999</v>
      </c>
      <c r="Q525">
        <v>-44.903188999999998</v>
      </c>
      <c r="R525" s="2" t="str">
        <f>HYPERLINK("https://www.google.com/maps?q=-20.1799410,-44.9031890","Abrir no Google Maps")</f>
        <v>Abrir no Google Maps</v>
      </c>
      <c r="S525">
        <v>3</v>
      </c>
      <c r="T525">
        <v>1015.833316462985</v>
      </c>
      <c r="U525">
        <v>3</v>
      </c>
      <c r="V525">
        <v>0.46230689381449591</v>
      </c>
      <c r="W525">
        <v>0.85</v>
      </c>
      <c r="X525">
        <v>0.39296085974232148</v>
      </c>
      <c r="Y525">
        <v>135</v>
      </c>
      <c r="Z525">
        <v>598.61969260901481</v>
      </c>
      <c r="AA525">
        <v>198</v>
      </c>
      <c r="AB525">
        <v>332</v>
      </c>
      <c r="AC525">
        <v>536</v>
      </c>
      <c r="AD525">
        <v>33.19</v>
      </c>
      <c r="AE525">
        <v>542</v>
      </c>
      <c r="AF525">
        <v>42</v>
      </c>
      <c r="AG525">
        <v>173</v>
      </c>
      <c r="AH525">
        <v>129</v>
      </c>
      <c r="AI525">
        <v>7.75</v>
      </c>
      <c r="AJ525">
        <v>31.92</v>
      </c>
      <c r="AK525">
        <v>23.8</v>
      </c>
      <c r="AL525">
        <v>-20.179854799999958</v>
      </c>
      <c r="AM525">
        <v>-44.903051508274217</v>
      </c>
      <c r="AN525">
        <v>-20.179854799999958</v>
      </c>
      <c r="AO525">
        <v>-44.903051508274217</v>
      </c>
      <c r="AP525">
        <v>-20.179940999999999</v>
      </c>
      <c r="AQ525">
        <v>-44.903188999999998</v>
      </c>
      <c r="AR525">
        <v>17.276054833368239</v>
      </c>
      <c r="AS525" t="s">
        <v>65</v>
      </c>
      <c r="AT525">
        <v>1</v>
      </c>
      <c r="AU525" t="s">
        <v>1999</v>
      </c>
      <c r="AV525" t="s">
        <v>2000</v>
      </c>
      <c r="AW525" t="s">
        <v>60</v>
      </c>
      <c r="AX525" t="s">
        <v>68</v>
      </c>
      <c r="AY525" t="s">
        <v>69</v>
      </c>
      <c r="AZ525" t="b">
        <v>1</v>
      </c>
    </row>
    <row r="526" spans="1:52" x14ac:dyDescent="0.3">
      <c r="A526" t="s">
        <v>52</v>
      </c>
      <c r="B526" t="s">
        <v>53</v>
      </c>
      <c r="C526" t="s">
        <v>54</v>
      </c>
      <c r="D526" t="s">
        <v>55</v>
      </c>
      <c r="E526" t="s">
        <v>1617</v>
      </c>
      <c r="F526" t="s">
        <v>190</v>
      </c>
      <c r="G526" t="s">
        <v>422</v>
      </c>
      <c r="H526" t="s">
        <v>2001</v>
      </c>
      <c r="I526" t="s">
        <v>2001</v>
      </c>
      <c r="J526" t="s">
        <v>60</v>
      </c>
      <c r="K526" t="s">
        <v>475</v>
      </c>
      <c r="L526" t="s">
        <v>62</v>
      </c>
      <c r="M526" t="s">
        <v>475</v>
      </c>
      <c r="N526" t="s">
        <v>425</v>
      </c>
      <c r="O526" t="s">
        <v>1663</v>
      </c>
      <c r="P526">
        <v>-20.180004</v>
      </c>
      <c r="Q526">
        <v>-44.911242999999999</v>
      </c>
      <c r="R526" s="2" t="str">
        <f>HYPERLINK("https://www.google.com/maps?q=-20.1800040,-44.9112430","Abrir no Google Maps")</f>
        <v>Abrir no Google Maps</v>
      </c>
      <c r="S526">
        <v>3</v>
      </c>
      <c r="T526">
        <v>529.77473531196472</v>
      </c>
      <c r="U526">
        <v>3</v>
      </c>
      <c r="V526">
        <v>0.4540582340408742</v>
      </c>
      <c r="W526">
        <v>0.85</v>
      </c>
      <c r="X526">
        <v>0.38594949893474312</v>
      </c>
      <c r="Y526">
        <v>135</v>
      </c>
      <c r="Z526">
        <v>464.21721188606858</v>
      </c>
      <c r="AA526">
        <v>198</v>
      </c>
      <c r="AB526">
        <v>332</v>
      </c>
      <c r="AC526">
        <v>536</v>
      </c>
      <c r="AD526">
        <v>33.19</v>
      </c>
      <c r="AE526">
        <v>542</v>
      </c>
      <c r="AF526">
        <v>42</v>
      </c>
      <c r="AG526">
        <v>173</v>
      </c>
      <c r="AH526">
        <v>129</v>
      </c>
      <c r="AI526">
        <v>7.75</v>
      </c>
      <c r="AJ526">
        <v>31.92</v>
      </c>
      <c r="AK526">
        <v>23.8</v>
      </c>
      <c r="AL526">
        <v>-20.180959999999949</v>
      </c>
      <c r="AM526">
        <v>-44.911115442322981</v>
      </c>
      <c r="AN526">
        <v>-20.180959999999949</v>
      </c>
      <c r="AO526">
        <v>-44.911115442322981</v>
      </c>
      <c r="AP526">
        <v>-20.180004</v>
      </c>
      <c r="AQ526">
        <v>-44.911242999999999</v>
      </c>
      <c r="AR526">
        <v>107.2532506205936</v>
      </c>
      <c r="AS526" t="s">
        <v>65</v>
      </c>
      <c r="AT526">
        <v>1</v>
      </c>
      <c r="AU526" t="s">
        <v>2002</v>
      </c>
      <c r="AV526" t="s">
        <v>1211</v>
      </c>
      <c r="AW526" t="s">
        <v>60</v>
      </c>
      <c r="AX526" t="s">
        <v>68</v>
      </c>
      <c r="AY526" t="s">
        <v>69</v>
      </c>
      <c r="AZ526" t="b">
        <v>1</v>
      </c>
    </row>
    <row r="527" spans="1:52" x14ac:dyDescent="0.3">
      <c r="A527" t="s">
        <v>52</v>
      </c>
      <c r="B527" t="s">
        <v>53</v>
      </c>
      <c r="C527" t="s">
        <v>54</v>
      </c>
      <c r="D527" t="s">
        <v>55</v>
      </c>
      <c r="E527" t="s">
        <v>1617</v>
      </c>
      <c r="F527" t="s">
        <v>190</v>
      </c>
      <c r="G527" t="s">
        <v>1212</v>
      </c>
      <c r="H527" t="s">
        <v>1213</v>
      </c>
      <c r="I527" t="s">
        <v>1213</v>
      </c>
      <c r="J527" t="s">
        <v>60</v>
      </c>
      <c r="K527" t="s">
        <v>171</v>
      </c>
      <c r="L527" t="s">
        <v>62</v>
      </c>
      <c r="M527" t="s">
        <v>171</v>
      </c>
      <c r="N527" t="s">
        <v>1214</v>
      </c>
      <c r="O527" t="s">
        <v>1215</v>
      </c>
      <c r="P527">
        <v>-20.152812999999998</v>
      </c>
      <c r="Q527">
        <v>-44.889853000000002</v>
      </c>
      <c r="R527" s="2" t="str">
        <f>HYPERLINK("https://www.google.com/maps?q=-20.1528130,-44.8898530","Abrir no Google Maps")</f>
        <v>Abrir no Google Maps</v>
      </c>
      <c r="S527">
        <v>3</v>
      </c>
      <c r="T527">
        <v>404.11054739579231</v>
      </c>
      <c r="U527">
        <v>3</v>
      </c>
      <c r="V527">
        <v>0.38408443397200959</v>
      </c>
      <c r="W527">
        <v>1</v>
      </c>
      <c r="X527">
        <v>0.38408443397200959</v>
      </c>
      <c r="Y527">
        <v>129</v>
      </c>
      <c r="Z527">
        <v>222.94297160630171</v>
      </c>
      <c r="AA527">
        <v>198</v>
      </c>
      <c r="AB527">
        <v>332</v>
      </c>
      <c r="AC527">
        <v>536</v>
      </c>
      <c r="AD527">
        <v>33.19</v>
      </c>
      <c r="AE527">
        <v>542</v>
      </c>
      <c r="AF527">
        <v>42</v>
      </c>
      <c r="AG527">
        <v>173</v>
      </c>
      <c r="AH527">
        <v>129</v>
      </c>
      <c r="AI527">
        <v>7.75</v>
      </c>
      <c r="AJ527">
        <v>31.92</v>
      </c>
      <c r="AK527">
        <v>23.8</v>
      </c>
      <c r="AL527">
        <v>-20.152851999999971</v>
      </c>
      <c r="AM527">
        <v>-44.889864659228088</v>
      </c>
      <c r="AN527">
        <v>-20.152851999999971</v>
      </c>
      <c r="AO527">
        <v>-44.889864659228088</v>
      </c>
      <c r="AP527">
        <v>-20.152812999999998</v>
      </c>
      <c r="AQ527">
        <v>-44.889853000000002</v>
      </c>
      <c r="AR527">
        <v>4.5092186597325066</v>
      </c>
      <c r="AS527" t="s">
        <v>65</v>
      </c>
      <c r="AT527">
        <v>1</v>
      </c>
      <c r="AU527" t="s">
        <v>1216</v>
      </c>
      <c r="AV527" t="s">
        <v>1217</v>
      </c>
      <c r="AW527" t="s">
        <v>60</v>
      </c>
      <c r="AX527" t="s">
        <v>68</v>
      </c>
      <c r="AY527" t="s">
        <v>69</v>
      </c>
      <c r="AZ527" t="b">
        <v>1</v>
      </c>
    </row>
    <row r="528" spans="1:52" x14ac:dyDescent="0.3">
      <c r="A528" t="s">
        <v>52</v>
      </c>
      <c r="B528" t="s">
        <v>53</v>
      </c>
      <c r="C528" t="s">
        <v>54</v>
      </c>
      <c r="D528" t="s">
        <v>55</v>
      </c>
      <c r="E528" t="s">
        <v>1617</v>
      </c>
      <c r="F528" t="s">
        <v>190</v>
      </c>
      <c r="G528" t="s">
        <v>2003</v>
      </c>
      <c r="H528" t="s">
        <v>2004</v>
      </c>
      <c r="I528" t="s">
        <v>2004</v>
      </c>
      <c r="J528" t="s">
        <v>60</v>
      </c>
      <c r="K528" t="s">
        <v>437</v>
      </c>
      <c r="L528" t="s">
        <v>62</v>
      </c>
      <c r="M528" t="s">
        <v>437</v>
      </c>
      <c r="N528" t="s">
        <v>2005</v>
      </c>
      <c r="O528" t="s">
        <v>848</v>
      </c>
      <c r="P528">
        <v>-20.151282999999999</v>
      </c>
      <c r="Q528">
        <v>-44.878397</v>
      </c>
      <c r="R528" s="2" t="str">
        <f>HYPERLINK("https://www.google.com/maps?q=-20.1512830,-44.8783970","Abrir no Google Maps")</f>
        <v>Abrir no Google Maps</v>
      </c>
      <c r="S528">
        <v>3</v>
      </c>
      <c r="T528">
        <v>545.72865549073447</v>
      </c>
      <c r="U528">
        <v>3</v>
      </c>
      <c r="V528">
        <v>0.46744588744588739</v>
      </c>
      <c r="W528">
        <v>0.85</v>
      </c>
      <c r="X528">
        <v>0.39732900432900431</v>
      </c>
      <c r="Y528">
        <v>120</v>
      </c>
      <c r="Z528">
        <v>435.31127212865022</v>
      </c>
      <c r="AA528">
        <v>198</v>
      </c>
      <c r="AB528">
        <v>332</v>
      </c>
      <c r="AC528">
        <v>536</v>
      </c>
      <c r="AD528">
        <v>33.19</v>
      </c>
      <c r="AE528">
        <v>542</v>
      </c>
      <c r="AF528">
        <v>42</v>
      </c>
      <c r="AG528">
        <v>173</v>
      </c>
      <c r="AH528">
        <v>129</v>
      </c>
      <c r="AI528">
        <v>7.75</v>
      </c>
      <c r="AJ528">
        <v>31.92</v>
      </c>
      <c r="AK528">
        <v>23.8</v>
      </c>
      <c r="AL528">
        <v>-20.151758949999959</v>
      </c>
      <c r="AM528">
        <v>-44.877545001789308</v>
      </c>
      <c r="AN528">
        <v>-20.151758949999959</v>
      </c>
      <c r="AO528">
        <v>-44.877545001789308</v>
      </c>
      <c r="AP528">
        <v>-20.151282999999999</v>
      </c>
      <c r="AQ528">
        <v>-44.878397</v>
      </c>
      <c r="AR528">
        <v>103.60987807859161</v>
      </c>
      <c r="AS528" t="s">
        <v>65</v>
      </c>
      <c r="AT528">
        <v>1</v>
      </c>
      <c r="AU528" t="s">
        <v>2006</v>
      </c>
      <c r="AV528" t="s">
        <v>2007</v>
      </c>
      <c r="AW528" t="s">
        <v>60</v>
      </c>
      <c r="AX528" t="s">
        <v>68</v>
      </c>
      <c r="AY528" t="s">
        <v>69</v>
      </c>
      <c r="AZ528" t="b">
        <v>1</v>
      </c>
    </row>
    <row r="529" spans="1:52" x14ac:dyDescent="0.3">
      <c r="A529" t="s">
        <v>52</v>
      </c>
      <c r="B529" t="s">
        <v>53</v>
      </c>
      <c r="C529" t="s">
        <v>54</v>
      </c>
      <c r="D529" t="s">
        <v>55</v>
      </c>
      <c r="E529" t="s">
        <v>1617</v>
      </c>
      <c r="F529" t="s">
        <v>190</v>
      </c>
      <c r="G529" t="s">
        <v>2008</v>
      </c>
      <c r="H529" t="s">
        <v>2009</v>
      </c>
      <c r="I529" t="s">
        <v>2009</v>
      </c>
      <c r="J529" t="s">
        <v>60</v>
      </c>
      <c r="K529" t="s">
        <v>2010</v>
      </c>
      <c r="L529" t="s">
        <v>62</v>
      </c>
      <c r="M529" t="s">
        <v>2010</v>
      </c>
      <c r="N529" t="s">
        <v>2011</v>
      </c>
      <c r="O529" t="s">
        <v>2012</v>
      </c>
      <c r="P529">
        <v>-20.118297999999999</v>
      </c>
      <c r="Q529">
        <v>-44.838487999999998</v>
      </c>
      <c r="R529" s="2" t="str">
        <f>HYPERLINK("https://www.google.com/maps?q=-20.1182980,-44.8384880","Abrir no Google Maps")</f>
        <v>Abrir no Google Maps</v>
      </c>
      <c r="S529">
        <v>3</v>
      </c>
      <c r="T529">
        <v>1127.69090971931</v>
      </c>
      <c r="U529">
        <v>3</v>
      </c>
      <c r="V529">
        <v>0.4982905982905983</v>
      </c>
      <c r="W529">
        <v>0.85</v>
      </c>
      <c r="X529">
        <v>0.42354700854700861</v>
      </c>
      <c r="Y529">
        <v>118</v>
      </c>
      <c r="Z529">
        <v>1304.1094969996529</v>
      </c>
      <c r="AA529">
        <v>198</v>
      </c>
      <c r="AB529">
        <v>332</v>
      </c>
      <c r="AC529">
        <v>536</v>
      </c>
      <c r="AD529">
        <v>33.19</v>
      </c>
      <c r="AE529">
        <v>542</v>
      </c>
      <c r="AF529">
        <v>42</v>
      </c>
      <c r="AG529">
        <v>173</v>
      </c>
      <c r="AH529">
        <v>129</v>
      </c>
      <c r="AI529">
        <v>7.75</v>
      </c>
      <c r="AJ529">
        <v>31.92</v>
      </c>
      <c r="AK529">
        <v>23.8</v>
      </c>
      <c r="AL529">
        <v>-20.118270449999951</v>
      </c>
      <c r="AM529">
        <v>-44.838121221737303</v>
      </c>
      <c r="AN529">
        <v>-20.118270449999951</v>
      </c>
      <c r="AO529">
        <v>-44.838121221737303</v>
      </c>
      <c r="AP529">
        <v>-20.118297999999999</v>
      </c>
      <c r="AQ529">
        <v>-44.838487999999998</v>
      </c>
      <c r="AR529">
        <v>38.460983471643253</v>
      </c>
      <c r="AS529" t="s">
        <v>65</v>
      </c>
      <c r="AT529">
        <v>1</v>
      </c>
      <c r="AU529" t="s">
        <v>2013</v>
      </c>
      <c r="AV529" t="s">
        <v>2014</v>
      </c>
      <c r="AW529" t="s">
        <v>60</v>
      </c>
      <c r="AX529" t="s">
        <v>68</v>
      </c>
      <c r="AY529" t="s">
        <v>69</v>
      </c>
      <c r="AZ529" t="b">
        <v>1</v>
      </c>
    </row>
    <row r="530" spans="1:52" x14ac:dyDescent="0.3">
      <c r="A530" t="s">
        <v>52</v>
      </c>
      <c r="B530" t="s">
        <v>53</v>
      </c>
      <c r="C530" t="s">
        <v>54</v>
      </c>
      <c r="D530" t="s">
        <v>55</v>
      </c>
      <c r="E530" t="s">
        <v>1617</v>
      </c>
      <c r="F530" t="s">
        <v>190</v>
      </c>
      <c r="G530" t="s">
        <v>2015</v>
      </c>
      <c r="H530" t="s">
        <v>2016</v>
      </c>
      <c r="I530" t="s">
        <v>2016</v>
      </c>
      <c r="J530" t="s">
        <v>60</v>
      </c>
      <c r="K530" t="s">
        <v>2010</v>
      </c>
      <c r="L530" t="s">
        <v>62</v>
      </c>
      <c r="M530" t="s">
        <v>2010</v>
      </c>
      <c r="N530" t="s">
        <v>2017</v>
      </c>
      <c r="O530" t="s">
        <v>202</v>
      </c>
      <c r="P530">
        <v>-20.127607000000001</v>
      </c>
      <c r="Q530">
        <v>-44.833697000000001</v>
      </c>
      <c r="R530" s="2" t="str">
        <f>HYPERLINK("https://www.google.com/maps?q=-20.1276070,-44.8336970","Abrir no Google Maps")</f>
        <v>Abrir no Google Maps</v>
      </c>
      <c r="S530">
        <v>3</v>
      </c>
      <c r="T530">
        <v>313.23341761890651</v>
      </c>
      <c r="U530">
        <v>3</v>
      </c>
      <c r="V530">
        <v>0.48952670203199772</v>
      </c>
      <c r="W530">
        <v>0.85</v>
      </c>
      <c r="X530">
        <v>0.41609769672719799</v>
      </c>
      <c r="Y530">
        <v>118</v>
      </c>
      <c r="Z530">
        <v>357.91926098592711</v>
      </c>
      <c r="AA530">
        <v>198</v>
      </c>
      <c r="AB530">
        <v>332</v>
      </c>
      <c r="AC530">
        <v>536</v>
      </c>
      <c r="AD530">
        <v>33.19</v>
      </c>
      <c r="AE530">
        <v>542</v>
      </c>
      <c r="AF530">
        <v>42</v>
      </c>
      <c r="AG530">
        <v>173</v>
      </c>
      <c r="AH530">
        <v>129</v>
      </c>
      <c r="AI530">
        <v>7.75</v>
      </c>
      <c r="AJ530">
        <v>31.92</v>
      </c>
      <c r="AK530">
        <v>23.8</v>
      </c>
      <c r="AL530">
        <v>-20.127577799999951</v>
      </c>
      <c r="AM530">
        <v>-44.833922781418423</v>
      </c>
      <c r="AN530">
        <v>-20.127577799999951</v>
      </c>
      <c r="AO530">
        <v>-44.833922781418423</v>
      </c>
      <c r="AP530">
        <v>-20.127607000000001</v>
      </c>
      <c r="AQ530">
        <v>-44.833697000000001</v>
      </c>
      <c r="AR530">
        <v>23.82183710940641</v>
      </c>
      <c r="AS530" t="s">
        <v>65</v>
      </c>
      <c r="AT530">
        <v>1</v>
      </c>
      <c r="AU530" t="s">
        <v>2018</v>
      </c>
      <c r="AV530" t="s">
        <v>2019</v>
      </c>
      <c r="AW530" t="s">
        <v>60</v>
      </c>
      <c r="AX530" t="s">
        <v>68</v>
      </c>
      <c r="AY530" t="s">
        <v>69</v>
      </c>
      <c r="AZ530" t="b">
        <v>1</v>
      </c>
    </row>
    <row r="531" spans="1:52" x14ac:dyDescent="0.3">
      <c r="A531" t="s">
        <v>52</v>
      </c>
      <c r="B531" t="s">
        <v>53</v>
      </c>
      <c r="C531" t="s">
        <v>54</v>
      </c>
      <c r="D531" t="s">
        <v>55</v>
      </c>
      <c r="E531" t="s">
        <v>1617</v>
      </c>
      <c r="F531" t="s">
        <v>190</v>
      </c>
      <c r="G531" t="s">
        <v>1193</v>
      </c>
      <c r="H531" t="s">
        <v>2020</v>
      </c>
      <c r="I531" t="s">
        <v>2020</v>
      </c>
      <c r="J531" t="s">
        <v>60</v>
      </c>
      <c r="K531" t="s">
        <v>1803</v>
      </c>
      <c r="L531" t="s">
        <v>62</v>
      </c>
      <c r="M531" t="s">
        <v>1803</v>
      </c>
      <c r="N531" t="s">
        <v>2021</v>
      </c>
      <c r="O531" t="s">
        <v>2022</v>
      </c>
      <c r="P531">
        <v>-20.131063000000001</v>
      </c>
      <c r="Q531">
        <v>-44.835818000000003</v>
      </c>
      <c r="R531" s="2" t="str">
        <f>HYPERLINK("https://www.google.com/maps?q=-20.1310630,-44.8358180","Abrir no Google Maps")</f>
        <v>Abrir no Google Maps</v>
      </c>
      <c r="S531">
        <v>3</v>
      </c>
      <c r="T531">
        <v>341.23125780909078</v>
      </c>
      <c r="U531">
        <v>3</v>
      </c>
      <c r="V531">
        <v>0.49617094017094021</v>
      </c>
      <c r="W531">
        <v>0.85</v>
      </c>
      <c r="X531">
        <v>0.42174529914529918</v>
      </c>
      <c r="Y531">
        <v>118</v>
      </c>
      <c r="Z531">
        <v>313.11962562154281</v>
      </c>
      <c r="AA531">
        <v>198</v>
      </c>
      <c r="AB531">
        <v>332</v>
      </c>
      <c r="AC531">
        <v>536</v>
      </c>
      <c r="AD531">
        <v>33.19</v>
      </c>
      <c r="AE531">
        <v>542</v>
      </c>
      <c r="AF531">
        <v>42</v>
      </c>
      <c r="AG531">
        <v>173</v>
      </c>
      <c r="AH531">
        <v>129</v>
      </c>
      <c r="AI531">
        <v>7.75</v>
      </c>
      <c r="AJ531">
        <v>31.92</v>
      </c>
      <c r="AK531">
        <v>23.8</v>
      </c>
      <c r="AL531">
        <v>-20.131250049999949</v>
      </c>
      <c r="AM531">
        <v>-44.835592156063377</v>
      </c>
      <c r="AN531">
        <v>-20.131250049999949</v>
      </c>
      <c r="AO531">
        <v>-44.835592156063377</v>
      </c>
      <c r="AP531">
        <v>-20.131063000000001</v>
      </c>
      <c r="AQ531">
        <v>-44.835818000000003</v>
      </c>
      <c r="AR531">
        <v>31.47647942151896</v>
      </c>
      <c r="AS531" t="s">
        <v>65</v>
      </c>
      <c r="AT531">
        <v>1</v>
      </c>
      <c r="AU531" t="s">
        <v>2023</v>
      </c>
      <c r="AV531" t="s">
        <v>2024</v>
      </c>
      <c r="AW531" t="s">
        <v>60</v>
      </c>
      <c r="AX531" t="s">
        <v>68</v>
      </c>
      <c r="AY531" t="s">
        <v>69</v>
      </c>
      <c r="AZ531" t="b">
        <v>1</v>
      </c>
    </row>
    <row r="532" spans="1:52" x14ac:dyDescent="0.3">
      <c r="A532" t="s">
        <v>52</v>
      </c>
      <c r="B532" t="s">
        <v>53</v>
      </c>
      <c r="C532" t="s">
        <v>54</v>
      </c>
      <c r="D532" t="s">
        <v>55</v>
      </c>
      <c r="E532" t="s">
        <v>1617</v>
      </c>
      <c r="F532" t="s">
        <v>190</v>
      </c>
      <c r="G532" t="s">
        <v>1193</v>
      </c>
      <c r="H532" t="s">
        <v>2025</v>
      </c>
      <c r="I532" t="s">
        <v>2025</v>
      </c>
      <c r="J532" t="s">
        <v>60</v>
      </c>
      <c r="K532" t="s">
        <v>1710</v>
      </c>
      <c r="L532" t="s">
        <v>62</v>
      </c>
      <c r="M532" t="s">
        <v>1710</v>
      </c>
      <c r="N532" t="s">
        <v>2026</v>
      </c>
      <c r="O532" t="s">
        <v>1438</v>
      </c>
      <c r="P532">
        <v>-20.147459000000001</v>
      </c>
      <c r="Q532">
        <v>-44.839049000000003</v>
      </c>
      <c r="R532" s="2" t="str">
        <f>HYPERLINK("https://www.google.com/maps?q=-20.1474590,-44.8390490","Abrir no Google Maps")</f>
        <v>Abrir no Google Maps</v>
      </c>
      <c r="S532">
        <v>3</v>
      </c>
      <c r="T532">
        <v>2134.7842223159018</v>
      </c>
      <c r="U532">
        <v>3</v>
      </c>
      <c r="V532">
        <v>0.51119909502262451</v>
      </c>
      <c r="W532">
        <v>0.85</v>
      </c>
      <c r="X532">
        <v>0.43451923076923082</v>
      </c>
      <c r="Y532">
        <v>118</v>
      </c>
      <c r="Z532">
        <v>2105.8235104165119</v>
      </c>
      <c r="AA532">
        <v>198</v>
      </c>
      <c r="AB532">
        <v>332</v>
      </c>
      <c r="AC532">
        <v>536</v>
      </c>
      <c r="AD532">
        <v>33.19</v>
      </c>
      <c r="AE532">
        <v>542</v>
      </c>
      <c r="AF532">
        <v>42</v>
      </c>
      <c r="AG532">
        <v>173</v>
      </c>
      <c r="AH532">
        <v>129</v>
      </c>
      <c r="AI532">
        <v>7.75</v>
      </c>
      <c r="AJ532">
        <v>31.92</v>
      </c>
      <c r="AK532">
        <v>23.8</v>
      </c>
      <c r="AL532">
        <v>-20.147568249999949</v>
      </c>
      <c r="AM532">
        <v>-44.838938056199567</v>
      </c>
      <c r="AN532">
        <v>-20.147568249999949</v>
      </c>
      <c r="AO532">
        <v>-44.838938056199567</v>
      </c>
      <c r="AP532">
        <v>-20.147459000000001</v>
      </c>
      <c r="AQ532">
        <v>-44.839049000000003</v>
      </c>
      <c r="AR532">
        <v>16.80298816089098</v>
      </c>
      <c r="AS532" t="s">
        <v>65</v>
      </c>
      <c r="AT532">
        <v>1</v>
      </c>
      <c r="AU532" t="s">
        <v>2027</v>
      </c>
      <c r="AV532" t="s">
        <v>2028</v>
      </c>
      <c r="AW532" t="s">
        <v>60</v>
      </c>
      <c r="AX532" t="s">
        <v>68</v>
      </c>
      <c r="AY532" t="s">
        <v>69</v>
      </c>
      <c r="AZ532" t="b">
        <v>1</v>
      </c>
    </row>
    <row r="533" spans="1:52" x14ac:dyDescent="0.3">
      <c r="A533" t="s">
        <v>52</v>
      </c>
      <c r="B533" t="s">
        <v>53</v>
      </c>
      <c r="C533" t="s">
        <v>54</v>
      </c>
      <c r="D533" t="s">
        <v>55</v>
      </c>
      <c r="E533" t="s">
        <v>1617</v>
      </c>
      <c r="F533" t="s">
        <v>190</v>
      </c>
      <c r="G533" t="s">
        <v>2029</v>
      </c>
      <c r="H533" t="s">
        <v>2030</v>
      </c>
      <c r="I533" t="s">
        <v>2030</v>
      </c>
      <c r="J533" t="s">
        <v>60</v>
      </c>
      <c r="K533" t="s">
        <v>2010</v>
      </c>
      <c r="L533" t="s">
        <v>62</v>
      </c>
      <c r="M533" t="s">
        <v>2010</v>
      </c>
      <c r="N533" t="s">
        <v>2031</v>
      </c>
      <c r="O533" t="s">
        <v>1932</v>
      </c>
      <c r="P533">
        <v>-20.120073000000001</v>
      </c>
      <c r="Q533">
        <v>-44.826827000000002</v>
      </c>
      <c r="R533" s="2" t="str">
        <f>HYPERLINK("https://www.google.com/maps?q=-20.1200730,-44.8268270","Abrir no Google Maps")</f>
        <v>Abrir no Google Maps</v>
      </c>
      <c r="S533">
        <v>3</v>
      </c>
      <c r="T533">
        <v>1421.006931425223</v>
      </c>
      <c r="U533">
        <v>3</v>
      </c>
      <c r="V533">
        <v>0.45890109890109881</v>
      </c>
      <c r="W533">
        <v>0.85</v>
      </c>
      <c r="X533">
        <v>0.39006593406593398</v>
      </c>
      <c r="Y533">
        <v>118</v>
      </c>
      <c r="Z533">
        <v>1745.512358841755</v>
      </c>
      <c r="AA533">
        <v>198</v>
      </c>
      <c r="AB533">
        <v>332</v>
      </c>
      <c r="AC533">
        <v>536</v>
      </c>
      <c r="AD533">
        <v>33.19</v>
      </c>
      <c r="AE533">
        <v>542</v>
      </c>
      <c r="AF533">
        <v>42</v>
      </c>
      <c r="AG533">
        <v>173</v>
      </c>
      <c r="AH533">
        <v>129</v>
      </c>
      <c r="AI533">
        <v>7.75</v>
      </c>
      <c r="AJ533">
        <v>31.92</v>
      </c>
      <c r="AK533">
        <v>23.8</v>
      </c>
      <c r="AL533">
        <v>-20.119513099999949</v>
      </c>
      <c r="AM533">
        <v>-44.826965747783362</v>
      </c>
      <c r="AN533">
        <v>-20.119513099999949</v>
      </c>
      <c r="AO533">
        <v>-44.826965747783362</v>
      </c>
      <c r="AP533">
        <v>-20.120073000000001</v>
      </c>
      <c r="AQ533">
        <v>-44.826827000000002</v>
      </c>
      <c r="AR533">
        <v>63.993137242515942</v>
      </c>
      <c r="AS533" t="s">
        <v>65</v>
      </c>
      <c r="AT533">
        <v>1</v>
      </c>
      <c r="AU533" t="s">
        <v>2032</v>
      </c>
      <c r="AV533" t="s">
        <v>2033</v>
      </c>
      <c r="AW533" t="s">
        <v>60</v>
      </c>
      <c r="AX533" t="s">
        <v>68</v>
      </c>
      <c r="AY533" t="s">
        <v>69</v>
      </c>
      <c r="AZ533" t="b">
        <v>1</v>
      </c>
    </row>
    <row r="534" spans="1:52" x14ac:dyDescent="0.3">
      <c r="A534" t="s">
        <v>52</v>
      </c>
      <c r="B534" t="s">
        <v>53</v>
      </c>
      <c r="C534" t="s">
        <v>54</v>
      </c>
      <c r="D534" t="s">
        <v>55</v>
      </c>
      <c r="E534" t="s">
        <v>1617</v>
      </c>
      <c r="F534" t="s">
        <v>190</v>
      </c>
      <c r="G534" t="s">
        <v>2034</v>
      </c>
      <c r="H534" t="s">
        <v>2035</v>
      </c>
      <c r="I534" t="s">
        <v>2035</v>
      </c>
      <c r="J534" t="s">
        <v>60</v>
      </c>
      <c r="K534" t="s">
        <v>2036</v>
      </c>
      <c r="L534" t="s">
        <v>62</v>
      </c>
      <c r="M534" t="s">
        <v>2036</v>
      </c>
      <c r="N534" t="s">
        <v>2037</v>
      </c>
      <c r="O534" t="s">
        <v>2038</v>
      </c>
      <c r="P534">
        <v>-20.187795999999999</v>
      </c>
      <c r="Q534">
        <v>-44.950932999999999</v>
      </c>
      <c r="R534" s="2" t="str">
        <f>HYPERLINK("https://www.google.com/maps?q=-20.1877960,-44.9509330","Abrir no Google Maps")</f>
        <v>Abrir no Google Maps</v>
      </c>
      <c r="S534">
        <v>3</v>
      </c>
      <c r="T534">
        <v>1422.0314004446971</v>
      </c>
      <c r="U534">
        <v>3</v>
      </c>
      <c r="V534">
        <v>0.45800718472301</v>
      </c>
      <c r="W534">
        <v>0.85</v>
      </c>
      <c r="X534">
        <v>0.38930610701455848</v>
      </c>
      <c r="Y534">
        <v>113</v>
      </c>
      <c r="Z534">
        <v>1408.9974407319651</v>
      </c>
      <c r="AA534">
        <v>198</v>
      </c>
      <c r="AB534">
        <v>332</v>
      </c>
      <c r="AC534">
        <v>536</v>
      </c>
      <c r="AD534">
        <v>33.19</v>
      </c>
      <c r="AE534">
        <v>542</v>
      </c>
      <c r="AF534">
        <v>42</v>
      </c>
      <c r="AG534">
        <v>173</v>
      </c>
      <c r="AH534">
        <v>129</v>
      </c>
      <c r="AI534">
        <v>7.75</v>
      </c>
      <c r="AJ534">
        <v>31.92</v>
      </c>
      <c r="AK534">
        <v>23.8</v>
      </c>
      <c r="AL534">
        <v>-20.187850249999968</v>
      </c>
      <c r="AM534">
        <v>-44.951024485175793</v>
      </c>
      <c r="AN534">
        <v>-20.187850249999968</v>
      </c>
      <c r="AO534">
        <v>-44.951024485175793</v>
      </c>
      <c r="AP534">
        <v>-20.187795999999999</v>
      </c>
      <c r="AQ534">
        <v>-44.950932999999999</v>
      </c>
      <c r="AR534">
        <v>11.30643151318464</v>
      </c>
      <c r="AS534" t="s">
        <v>65</v>
      </c>
      <c r="AT534">
        <v>1</v>
      </c>
      <c r="AU534" t="s">
        <v>2039</v>
      </c>
      <c r="AV534" t="s">
        <v>2040</v>
      </c>
      <c r="AW534" t="s">
        <v>60</v>
      </c>
      <c r="AX534" t="s">
        <v>68</v>
      </c>
      <c r="AY534" t="s">
        <v>69</v>
      </c>
      <c r="AZ534" t="b">
        <v>1</v>
      </c>
    </row>
    <row r="535" spans="1:52" x14ac:dyDescent="0.3">
      <c r="A535" t="s">
        <v>52</v>
      </c>
      <c r="B535" t="s">
        <v>53</v>
      </c>
      <c r="C535" t="s">
        <v>54</v>
      </c>
      <c r="D535" t="s">
        <v>55</v>
      </c>
      <c r="E535" t="s">
        <v>1617</v>
      </c>
      <c r="F535" t="s">
        <v>190</v>
      </c>
      <c r="G535" t="s">
        <v>2041</v>
      </c>
      <c r="H535" t="s">
        <v>2042</v>
      </c>
      <c r="I535" t="s">
        <v>2042</v>
      </c>
      <c r="J535" t="s">
        <v>60</v>
      </c>
      <c r="K535" t="s">
        <v>2043</v>
      </c>
      <c r="L535" t="s">
        <v>62</v>
      </c>
      <c r="M535" t="s">
        <v>2043</v>
      </c>
      <c r="N535" t="s">
        <v>2044</v>
      </c>
      <c r="O535" t="s">
        <v>315</v>
      </c>
      <c r="P535">
        <v>-20.188009999999998</v>
      </c>
      <c r="Q535">
        <v>-44.977105999999999</v>
      </c>
      <c r="R535" s="2" t="str">
        <f>HYPERLINK("https://www.google.com/maps?q=-20.1880100,-44.9771060","Abrir no Google Maps")</f>
        <v>Abrir no Google Maps</v>
      </c>
      <c r="S535">
        <v>3</v>
      </c>
      <c r="T535">
        <v>4071.843125038275</v>
      </c>
      <c r="U535">
        <v>3</v>
      </c>
      <c r="V535">
        <v>0.47126436781609188</v>
      </c>
      <c r="W535">
        <v>0.85</v>
      </c>
      <c r="X535">
        <v>0.40057471264367811</v>
      </c>
      <c r="Y535">
        <v>113</v>
      </c>
      <c r="Z535">
        <v>3944.416275976987</v>
      </c>
      <c r="AA535">
        <v>198</v>
      </c>
      <c r="AB535">
        <v>332</v>
      </c>
      <c r="AC535">
        <v>536</v>
      </c>
      <c r="AD535">
        <v>33.19</v>
      </c>
      <c r="AE535">
        <v>542</v>
      </c>
      <c r="AF535">
        <v>42</v>
      </c>
      <c r="AG535">
        <v>173</v>
      </c>
      <c r="AH535">
        <v>129</v>
      </c>
      <c r="AI535">
        <v>7.75</v>
      </c>
      <c r="AJ535">
        <v>31.92</v>
      </c>
      <c r="AK535">
        <v>23.8</v>
      </c>
      <c r="AL535">
        <v>-20.18816804999997</v>
      </c>
      <c r="AM535">
        <v>-44.976912393565307</v>
      </c>
      <c r="AN535">
        <v>-20.18816804999997</v>
      </c>
      <c r="AO535">
        <v>-44.976912393565307</v>
      </c>
      <c r="AP535">
        <v>-20.188009999999998</v>
      </c>
      <c r="AQ535">
        <v>-44.977105999999999</v>
      </c>
      <c r="AR535">
        <v>26.809194929544319</v>
      </c>
      <c r="AS535" t="s">
        <v>65</v>
      </c>
      <c r="AT535">
        <v>1</v>
      </c>
      <c r="AU535" t="s">
        <v>2045</v>
      </c>
      <c r="AV535" t="s">
        <v>2046</v>
      </c>
      <c r="AW535" t="s">
        <v>60</v>
      </c>
      <c r="AX535" t="s">
        <v>68</v>
      </c>
      <c r="AY535" t="s">
        <v>69</v>
      </c>
      <c r="AZ535" t="b">
        <v>1</v>
      </c>
    </row>
    <row r="536" spans="1:52" x14ac:dyDescent="0.3">
      <c r="A536" t="s">
        <v>52</v>
      </c>
      <c r="B536" t="s">
        <v>53</v>
      </c>
      <c r="C536" t="s">
        <v>54</v>
      </c>
      <c r="D536" t="s">
        <v>55</v>
      </c>
      <c r="E536" t="s">
        <v>1617</v>
      </c>
      <c r="F536" t="s">
        <v>190</v>
      </c>
      <c r="G536" t="s">
        <v>1193</v>
      </c>
      <c r="H536" t="s">
        <v>2047</v>
      </c>
      <c r="I536" t="s">
        <v>2047</v>
      </c>
      <c r="J536" t="s">
        <v>60</v>
      </c>
      <c r="K536" t="s">
        <v>2048</v>
      </c>
      <c r="L536" t="s">
        <v>62</v>
      </c>
      <c r="M536" t="s">
        <v>2048</v>
      </c>
      <c r="N536" t="s">
        <v>1711</v>
      </c>
      <c r="O536" t="s">
        <v>315</v>
      </c>
      <c r="P536">
        <v>-20.187764000000001</v>
      </c>
      <c r="Q536">
        <v>-44.963973000000003</v>
      </c>
      <c r="R536" s="2" t="str">
        <f>HYPERLINK("https://www.google.com/maps?q=-20.1877640,-44.9639730","Abrir no Google Maps")</f>
        <v>Abrir no Google Maps</v>
      </c>
      <c r="S536">
        <v>3</v>
      </c>
      <c r="T536">
        <v>2694.091551200042</v>
      </c>
      <c r="U536">
        <v>3</v>
      </c>
      <c r="V536">
        <v>0.45101351351351349</v>
      </c>
      <c r="W536">
        <v>0.85</v>
      </c>
      <c r="X536">
        <v>0.38336148648648638</v>
      </c>
      <c r="Y536">
        <v>113</v>
      </c>
      <c r="Z536">
        <v>2488.1773294891568</v>
      </c>
      <c r="AA536">
        <v>198</v>
      </c>
      <c r="AB536">
        <v>332</v>
      </c>
      <c r="AC536">
        <v>536</v>
      </c>
      <c r="AD536">
        <v>33.19</v>
      </c>
      <c r="AE536">
        <v>542</v>
      </c>
      <c r="AF536">
        <v>42</v>
      </c>
      <c r="AG536">
        <v>173</v>
      </c>
      <c r="AH536">
        <v>129</v>
      </c>
      <c r="AI536">
        <v>7.75</v>
      </c>
      <c r="AJ536">
        <v>31.92</v>
      </c>
      <c r="AK536">
        <v>23.8</v>
      </c>
      <c r="AL536">
        <v>-20.187617999999961</v>
      </c>
      <c r="AM536">
        <v>-44.963513462391013</v>
      </c>
      <c r="AN536">
        <v>-20.187617999999961</v>
      </c>
      <c r="AO536">
        <v>-44.963513462391013</v>
      </c>
      <c r="AP536">
        <v>-20.187764000000001</v>
      </c>
      <c r="AQ536">
        <v>-44.963973000000003</v>
      </c>
      <c r="AR536">
        <v>50.689343207818922</v>
      </c>
      <c r="AS536" t="s">
        <v>65</v>
      </c>
      <c r="AT536">
        <v>1</v>
      </c>
      <c r="AU536" t="s">
        <v>2049</v>
      </c>
      <c r="AV536" t="s">
        <v>2050</v>
      </c>
      <c r="AW536" t="s">
        <v>60</v>
      </c>
      <c r="AX536" t="s">
        <v>68</v>
      </c>
      <c r="AY536" t="s">
        <v>69</v>
      </c>
      <c r="AZ536" t="b">
        <v>1</v>
      </c>
    </row>
    <row r="537" spans="1:52" x14ac:dyDescent="0.3">
      <c r="A537" t="s">
        <v>52</v>
      </c>
      <c r="B537" t="s">
        <v>53</v>
      </c>
      <c r="C537" t="s">
        <v>54</v>
      </c>
      <c r="D537" t="s">
        <v>55</v>
      </c>
      <c r="E537" t="s">
        <v>1617</v>
      </c>
      <c r="F537" t="s">
        <v>190</v>
      </c>
      <c r="G537" t="s">
        <v>2051</v>
      </c>
      <c r="H537" t="s">
        <v>2052</v>
      </c>
      <c r="I537" t="s">
        <v>2052</v>
      </c>
      <c r="J537" t="s">
        <v>60</v>
      </c>
      <c r="K537" t="s">
        <v>2053</v>
      </c>
      <c r="L537" t="s">
        <v>62</v>
      </c>
      <c r="M537" t="s">
        <v>2053</v>
      </c>
      <c r="N537" t="s">
        <v>2054</v>
      </c>
      <c r="O537" t="s">
        <v>1373</v>
      </c>
      <c r="P537">
        <v>-20.199961999999999</v>
      </c>
      <c r="Q537">
        <v>-44.924002999999999</v>
      </c>
      <c r="R537" s="2" t="str">
        <f>HYPERLINK("https://www.google.com/maps?q=-20.1999620,-44.9240030","Abrir no Google Maps")</f>
        <v>Abrir no Google Maps</v>
      </c>
      <c r="S537">
        <v>3</v>
      </c>
      <c r="T537">
        <v>1745.0796238990249</v>
      </c>
      <c r="U537">
        <v>3</v>
      </c>
      <c r="V537">
        <v>0.49528523383463408</v>
      </c>
      <c r="W537">
        <v>0.85</v>
      </c>
      <c r="X537">
        <v>0.42099244875943898</v>
      </c>
      <c r="Y537">
        <v>113</v>
      </c>
      <c r="Z537">
        <v>1847.2276352920239</v>
      </c>
      <c r="AA537">
        <v>198</v>
      </c>
      <c r="AB537">
        <v>332</v>
      </c>
      <c r="AC537">
        <v>536</v>
      </c>
      <c r="AD537">
        <v>33.19</v>
      </c>
      <c r="AE537">
        <v>542</v>
      </c>
      <c r="AF537">
        <v>42</v>
      </c>
      <c r="AG537">
        <v>173</v>
      </c>
      <c r="AH537">
        <v>129</v>
      </c>
      <c r="AI537">
        <v>7.75</v>
      </c>
      <c r="AJ537">
        <v>31.92</v>
      </c>
      <c r="AK537">
        <v>23.8</v>
      </c>
      <c r="AL537">
        <v>-20.20027129999994</v>
      </c>
      <c r="AM537">
        <v>-44.923912195320469</v>
      </c>
      <c r="AN537">
        <v>-20.20027129999994</v>
      </c>
      <c r="AO537">
        <v>-44.923912195320469</v>
      </c>
      <c r="AP537">
        <v>-20.199961999999999</v>
      </c>
      <c r="AQ537">
        <v>-44.924002999999999</v>
      </c>
      <c r="AR537">
        <v>35.714266260335641</v>
      </c>
      <c r="AS537" t="s">
        <v>65</v>
      </c>
      <c r="AT537">
        <v>1</v>
      </c>
      <c r="AU537" t="s">
        <v>2055</v>
      </c>
      <c r="AV537" t="s">
        <v>2056</v>
      </c>
      <c r="AW537" t="s">
        <v>60</v>
      </c>
      <c r="AX537" t="s">
        <v>68</v>
      </c>
      <c r="AY537" t="s">
        <v>69</v>
      </c>
      <c r="AZ537" t="b">
        <v>1</v>
      </c>
    </row>
    <row r="538" spans="1:52" x14ac:dyDescent="0.3">
      <c r="A538" t="s">
        <v>52</v>
      </c>
      <c r="B538" t="s">
        <v>53</v>
      </c>
      <c r="C538" t="s">
        <v>54</v>
      </c>
      <c r="D538" t="s">
        <v>55</v>
      </c>
      <c r="E538" t="s">
        <v>1617</v>
      </c>
      <c r="F538" t="s">
        <v>190</v>
      </c>
      <c r="G538" t="s">
        <v>2057</v>
      </c>
      <c r="H538" t="s">
        <v>2058</v>
      </c>
      <c r="I538" t="s">
        <v>2058</v>
      </c>
      <c r="J538" t="s">
        <v>60</v>
      </c>
      <c r="K538" t="s">
        <v>1237</v>
      </c>
      <c r="L538" t="s">
        <v>62</v>
      </c>
      <c r="M538" t="s">
        <v>1237</v>
      </c>
      <c r="N538" t="s">
        <v>2059</v>
      </c>
      <c r="O538" t="s">
        <v>315</v>
      </c>
      <c r="P538">
        <v>-20.198418</v>
      </c>
      <c r="Q538">
        <v>-44.937344000000003</v>
      </c>
      <c r="R538" s="2" t="str">
        <f>HYPERLINK("https://www.google.com/maps?q=-20.1984180,-44.9373440","Abrir no Google Maps")</f>
        <v>Abrir no Google Maps</v>
      </c>
      <c r="S538">
        <v>3</v>
      </c>
      <c r="T538">
        <v>681.20132559707884</v>
      </c>
      <c r="U538">
        <v>3</v>
      </c>
      <c r="V538">
        <v>0.4890395480225988</v>
      </c>
      <c r="W538">
        <v>0.85</v>
      </c>
      <c r="X538">
        <v>0.41568361581920898</v>
      </c>
      <c r="Y538">
        <v>113</v>
      </c>
      <c r="Z538">
        <v>639.34162859061189</v>
      </c>
      <c r="AA538">
        <v>198</v>
      </c>
      <c r="AB538">
        <v>332</v>
      </c>
      <c r="AC538">
        <v>536</v>
      </c>
      <c r="AD538">
        <v>33.19</v>
      </c>
      <c r="AE538">
        <v>542</v>
      </c>
      <c r="AF538">
        <v>42</v>
      </c>
      <c r="AG538">
        <v>173</v>
      </c>
      <c r="AH538">
        <v>129</v>
      </c>
      <c r="AI538">
        <v>7.75</v>
      </c>
      <c r="AJ538">
        <v>31.92</v>
      </c>
      <c r="AK538">
        <v>23.8</v>
      </c>
      <c r="AL538">
        <v>-20.198113949999939</v>
      </c>
      <c r="AM538">
        <v>-44.937138435092578</v>
      </c>
      <c r="AN538">
        <v>-20.198113949999939</v>
      </c>
      <c r="AO538">
        <v>-44.937138435092578</v>
      </c>
      <c r="AP538">
        <v>-20.198418</v>
      </c>
      <c r="AQ538">
        <v>-44.937344000000003</v>
      </c>
      <c r="AR538">
        <v>40.085388434380476</v>
      </c>
      <c r="AS538" t="s">
        <v>65</v>
      </c>
      <c r="AT538">
        <v>1</v>
      </c>
      <c r="AU538" t="s">
        <v>2060</v>
      </c>
      <c r="AV538" t="s">
        <v>2061</v>
      </c>
      <c r="AW538" t="s">
        <v>60</v>
      </c>
      <c r="AX538" t="s">
        <v>68</v>
      </c>
      <c r="AY538" t="s">
        <v>69</v>
      </c>
      <c r="AZ538" t="b">
        <v>1</v>
      </c>
    </row>
    <row r="539" spans="1:52" x14ac:dyDescent="0.3">
      <c r="A539" t="s">
        <v>52</v>
      </c>
      <c r="B539" t="s">
        <v>53</v>
      </c>
      <c r="C539" t="s">
        <v>54</v>
      </c>
      <c r="D539" t="s">
        <v>55</v>
      </c>
      <c r="E539" t="s">
        <v>1617</v>
      </c>
      <c r="F539" t="s">
        <v>190</v>
      </c>
      <c r="G539" t="s">
        <v>2062</v>
      </c>
      <c r="H539" t="s">
        <v>2063</v>
      </c>
      <c r="I539" t="s">
        <v>2063</v>
      </c>
      <c r="J539" t="s">
        <v>60</v>
      </c>
      <c r="K539" t="s">
        <v>1237</v>
      </c>
      <c r="L539" t="s">
        <v>62</v>
      </c>
      <c r="M539" t="s">
        <v>1237</v>
      </c>
      <c r="N539" t="s">
        <v>2064</v>
      </c>
      <c r="O539" t="s">
        <v>2065</v>
      </c>
      <c r="P539">
        <v>-20.199923999999999</v>
      </c>
      <c r="Q539">
        <v>-44.945999999999998</v>
      </c>
      <c r="R539" s="2" t="str">
        <f>HYPERLINK("https://www.google.com/maps?q=-20.1999240,-44.9460000","Abrir no Google Maps")</f>
        <v>Abrir no Google Maps</v>
      </c>
      <c r="S539">
        <v>3</v>
      </c>
      <c r="T539">
        <v>1216.1967888086051</v>
      </c>
      <c r="U539">
        <v>3</v>
      </c>
      <c r="V539">
        <v>0.47265060240963858</v>
      </c>
      <c r="W539">
        <v>0.85</v>
      </c>
      <c r="X539">
        <v>0.4017530120481928</v>
      </c>
      <c r="Y539">
        <v>113</v>
      </c>
      <c r="Z539">
        <v>968.58538409204391</v>
      </c>
      <c r="AA539">
        <v>198</v>
      </c>
      <c r="AB539">
        <v>332</v>
      </c>
      <c r="AC539">
        <v>536</v>
      </c>
      <c r="AD539">
        <v>33.19</v>
      </c>
      <c r="AE539">
        <v>542</v>
      </c>
      <c r="AF539">
        <v>42</v>
      </c>
      <c r="AG539">
        <v>173</v>
      </c>
      <c r="AH539">
        <v>129</v>
      </c>
      <c r="AI539">
        <v>7.75</v>
      </c>
      <c r="AJ539">
        <v>31.92</v>
      </c>
      <c r="AK539">
        <v>23.8</v>
      </c>
      <c r="AL539">
        <v>-20.199893249999949</v>
      </c>
      <c r="AM539">
        <v>-44.946291931421001</v>
      </c>
      <c r="AN539">
        <v>-20.199893249999949</v>
      </c>
      <c r="AO539">
        <v>-44.946291931421001</v>
      </c>
      <c r="AP539">
        <v>-20.199923999999999</v>
      </c>
      <c r="AQ539">
        <v>-44.945999999999998</v>
      </c>
      <c r="AR539">
        <v>30.690481010373571</v>
      </c>
      <c r="AS539" t="s">
        <v>65</v>
      </c>
      <c r="AT539">
        <v>1</v>
      </c>
      <c r="AU539" t="s">
        <v>2066</v>
      </c>
      <c r="AV539" t="s">
        <v>2067</v>
      </c>
      <c r="AW539" t="s">
        <v>60</v>
      </c>
      <c r="AX539" t="s">
        <v>68</v>
      </c>
      <c r="AY539" t="s">
        <v>69</v>
      </c>
      <c r="AZ539" t="b">
        <v>1</v>
      </c>
    </row>
    <row r="540" spans="1:52" x14ac:dyDescent="0.3">
      <c r="A540" t="s">
        <v>52</v>
      </c>
      <c r="B540" t="s">
        <v>53</v>
      </c>
      <c r="C540" t="s">
        <v>54</v>
      </c>
      <c r="D540" t="s">
        <v>55</v>
      </c>
      <c r="E540" t="s">
        <v>1617</v>
      </c>
      <c r="F540" t="s">
        <v>190</v>
      </c>
      <c r="G540" t="s">
        <v>2068</v>
      </c>
      <c r="H540" t="s">
        <v>2069</v>
      </c>
      <c r="I540" t="s">
        <v>2069</v>
      </c>
      <c r="J540" t="s">
        <v>60</v>
      </c>
      <c r="K540" t="s">
        <v>1243</v>
      </c>
      <c r="L540" t="s">
        <v>62</v>
      </c>
      <c r="M540" t="s">
        <v>1243</v>
      </c>
      <c r="N540" t="s">
        <v>2070</v>
      </c>
      <c r="O540" t="s">
        <v>2071</v>
      </c>
      <c r="P540">
        <v>-20.191583999999999</v>
      </c>
      <c r="Q540">
        <v>-44.935839999999999</v>
      </c>
      <c r="R540" s="2" t="str">
        <f>HYPERLINK("https://www.google.com/maps?q=-20.1915840,-44.9358400","Abrir no Google Maps")</f>
        <v>Abrir no Google Maps</v>
      </c>
      <c r="S540">
        <v>3</v>
      </c>
      <c r="T540">
        <v>307.37698546101831</v>
      </c>
      <c r="U540">
        <v>3</v>
      </c>
      <c r="V540">
        <v>0.49044303797468353</v>
      </c>
      <c r="W540">
        <v>0.85</v>
      </c>
      <c r="X540">
        <v>0.41687658227848101</v>
      </c>
      <c r="Y540">
        <v>113</v>
      </c>
      <c r="Z540">
        <v>564.35501618411911</v>
      </c>
      <c r="AA540">
        <v>198</v>
      </c>
      <c r="AB540">
        <v>332</v>
      </c>
      <c r="AC540">
        <v>536</v>
      </c>
      <c r="AD540">
        <v>33.19</v>
      </c>
      <c r="AE540">
        <v>542</v>
      </c>
      <c r="AF540">
        <v>42</v>
      </c>
      <c r="AG540">
        <v>173</v>
      </c>
      <c r="AH540">
        <v>129</v>
      </c>
      <c r="AI540">
        <v>7.75</v>
      </c>
      <c r="AJ540">
        <v>31.92</v>
      </c>
      <c r="AK540">
        <v>23.8</v>
      </c>
      <c r="AL540">
        <v>-20.191156699999961</v>
      </c>
      <c r="AM540">
        <v>-44.935363697152681</v>
      </c>
      <c r="AN540">
        <v>-20.191156699999961</v>
      </c>
      <c r="AO540">
        <v>-44.935363697152681</v>
      </c>
      <c r="AP540">
        <v>-20.191583999999999</v>
      </c>
      <c r="AQ540">
        <v>-44.935839999999999</v>
      </c>
      <c r="AR540">
        <v>68.84070092388103</v>
      </c>
      <c r="AS540" t="s">
        <v>65</v>
      </c>
      <c r="AT540">
        <v>1</v>
      </c>
      <c r="AU540" t="s">
        <v>2072</v>
      </c>
      <c r="AV540" t="s">
        <v>2073</v>
      </c>
      <c r="AW540" t="s">
        <v>60</v>
      </c>
      <c r="AX540" t="s">
        <v>68</v>
      </c>
      <c r="AY540" t="s">
        <v>69</v>
      </c>
      <c r="AZ540" t="b">
        <v>1</v>
      </c>
    </row>
    <row r="541" spans="1:52" x14ac:dyDescent="0.3">
      <c r="A541" t="s">
        <v>52</v>
      </c>
      <c r="B541" t="s">
        <v>53</v>
      </c>
      <c r="C541" t="s">
        <v>54</v>
      </c>
      <c r="D541" t="s">
        <v>55</v>
      </c>
      <c r="E541" t="s">
        <v>1617</v>
      </c>
      <c r="F541" t="s">
        <v>190</v>
      </c>
      <c r="G541" t="s">
        <v>2074</v>
      </c>
      <c r="H541" t="s">
        <v>2075</v>
      </c>
      <c r="I541" t="s">
        <v>2075</v>
      </c>
      <c r="J541" t="s">
        <v>60</v>
      </c>
      <c r="K541" t="s">
        <v>1314</v>
      </c>
      <c r="L541" t="s">
        <v>62</v>
      </c>
      <c r="M541" t="s">
        <v>1314</v>
      </c>
      <c r="N541" t="s">
        <v>2076</v>
      </c>
      <c r="O541" t="s">
        <v>2077</v>
      </c>
      <c r="P541">
        <v>-20.176835000000001</v>
      </c>
      <c r="Q541">
        <v>-44.930950000000003</v>
      </c>
      <c r="R541" s="2" t="str">
        <f>HYPERLINK("https://www.google.com/maps?q=-20.1768350,-44.9309500","Abrir no Google Maps")</f>
        <v>Abrir no Google Maps</v>
      </c>
      <c r="S541">
        <v>3</v>
      </c>
      <c r="T541">
        <v>1806.8580939436499</v>
      </c>
      <c r="U541">
        <v>3</v>
      </c>
      <c r="V541">
        <v>0.48506710572269618</v>
      </c>
      <c r="W541">
        <v>0.85</v>
      </c>
      <c r="X541">
        <v>0.41230703986429168</v>
      </c>
      <c r="Y541">
        <v>113</v>
      </c>
      <c r="Z541">
        <v>1921.313394530237</v>
      </c>
      <c r="AA541">
        <v>198</v>
      </c>
      <c r="AB541">
        <v>332</v>
      </c>
      <c r="AC541">
        <v>536</v>
      </c>
      <c r="AD541">
        <v>33.19</v>
      </c>
      <c r="AE541">
        <v>542</v>
      </c>
      <c r="AF541">
        <v>42</v>
      </c>
      <c r="AG541">
        <v>173</v>
      </c>
      <c r="AH541">
        <v>129</v>
      </c>
      <c r="AI541">
        <v>7.75</v>
      </c>
      <c r="AJ541">
        <v>31.92</v>
      </c>
      <c r="AK541">
        <v>23.8</v>
      </c>
      <c r="AL541">
        <v>-20.17717879999995</v>
      </c>
      <c r="AM541">
        <v>-44.930977454083752</v>
      </c>
      <c r="AN541">
        <v>-20.17717879999995</v>
      </c>
      <c r="AO541">
        <v>-44.930977454083752</v>
      </c>
      <c r="AP541">
        <v>-20.176835000000001</v>
      </c>
      <c r="AQ541">
        <v>-44.930950000000003</v>
      </c>
      <c r="AR541">
        <v>38.379173360223952</v>
      </c>
      <c r="AS541" t="s">
        <v>65</v>
      </c>
      <c r="AT541">
        <v>1</v>
      </c>
      <c r="AU541" t="s">
        <v>2078</v>
      </c>
      <c r="AV541" t="s">
        <v>1553</v>
      </c>
      <c r="AW541" t="s">
        <v>60</v>
      </c>
      <c r="AX541" t="s">
        <v>68</v>
      </c>
      <c r="AY541" t="s">
        <v>69</v>
      </c>
      <c r="AZ541" t="b">
        <v>1</v>
      </c>
    </row>
    <row r="542" spans="1:52" x14ac:dyDescent="0.3">
      <c r="A542" t="s">
        <v>52</v>
      </c>
      <c r="B542" t="s">
        <v>53</v>
      </c>
      <c r="C542" t="s">
        <v>54</v>
      </c>
      <c r="D542" t="s">
        <v>55</v>
      </c>
      <c r="E542" t="s">
        <v>1617</v>
      </c>
      <c r="F542" t="s">
        <v>190</v>
      </c>
      <c r="G542" t="s">
        <v>2079</v>
      </c>
      <c r="H542" t="s">
        <v>2080</v>
      </c>
      <c r="I542" t="s">
        <v>2080</v>
      </c>
      <c r="J542" t="s">
        <v>60</v>
      </c>
      <c r="K542" t="s">
        <v>1243</v>
      </c>
      <c r="L542" t="s">
        <v>62</v>
      </c>
      <c r="M542" t="s">
        <v>1243</v>
      </c>
      <c r="N542" t="s">
        <v>2081</v>
      </c>
      <c r="O542" t="s">
        <v>2082</v>
      </c>
      <c r="P542">
        <v>-20.192271000000002</v>
      </c>
      <c r="Q542">
        <v>-44.938338999999999</v>
      </c>
      <c r="R542" s="2" t="str">
        <f>HYPERLINK("https://www.google.com/maps?q=-20.1922710,-44.9383390","Abrir no Google Maps")</f>
        <v>Abrir no Google Maps</v>
      </c>
      <c r="S542">
        <v>3</v>
      </c>
      <c r="T542">
        <v>0</v>
      </c>
      <c r="U542">
        <v>3</v>
      </c>
      <c r="V542">
        <v>0.46884540117416829</v>
      </c>
      <c r="W542">
        <v>0.85</v>
      </c>
      <c r="X542">
        <v>0.39851859099804299</v>
      </c>
      <c r="Y542">
        <v>113</v>
      </c>
      <c r="Z542">
        <v>189.74224055455261</v>
      </c>
      <c r="AA542">
        <v>198</v>
      </c>
      <c r="AB542">
        <v>332</v>
      </c>
      <c r="AC542">
        <v>536</v>
      </c>
      <c r="AD542">
        <v>33.19</v>
      </c>
      <c r="AE542">
        <v>542</v>
      </c>
      <c r="AF542">
        <v>42</v>
      </c>
      <c r="AG542">
        <v>173</v>
      </c>
      <c r="AH542">
        <v>129</v>
      </c>
      <c r="AI542">
        <v>7.75</v>
      </c>
      <c r="AJ542">
        <v>31.92</v>
      </c>
      <c r="AK542">
        <v>23.8</v>
      </c>
      <c r="AL542">
        <v>-20.19203359999997</v>
      </c>
      <c r="AM542">
        <v>-44.938155258198137</v>
      </c>
      <c r="AN542">
        <v>-20.192033599999981</v>
      </c>
      <c r="AO542">
        <v>-44.938155258198137</v>
      </c>
      <c r="AP542">
        <v>-20.192271000000002</v>
      </c>
      <c r="AQ542">
        <v>-44.938338999999999</v>
      </c>
      <c r="AR542">
        <v>32.663931097584417</v>
      </c>
      <c r="AS542" t="s">
        <v>65</v>
      </c>
      <c r="AT542">
        <v>1</v>
      </c>
      <c r="AU542" t="s">
        <v>2083</v>
      </c>
      <c r="AV542" t="s">
        <v>1849</v>
      </c>
      <c r="AW542" t="s">
        <v>60</v>
      </c>
      <c r="AX542" t="s">
        <v>68</v>
      </c>
      <c r="AY542" t="s">
        <v>69</v>
      </c>
      <c r="AZ542" t="b">
        <v>1</v>
      </c>
    </row>
    <row r="543" spans="1:52" x14ac:dyDescent="0.3">
      <c r="A543" t="s">
        <v>52</v>
      </c>
      <c r="B543" t="s">
        <v>53</v>
      </c>
      <c r="C543" t="s">
        <v>54</v>
      </c>
      <c r="D543" t="s">
        <v>55</v>
      </c>
      <c r="E543" t="s">
        <v>1617</v>
      </c>
      <c r="F543" t="s">
        <v>190</v>
      </c>
      <c r="G543" t="s">
        <v>2084</v>
      </c>
      <c r="H543" t="s">
        <v>2085</v>
      </c>
      <c r="I543" t="s">
        <v>2085</v>
      </c>
      <c r="J543" t="s">
        <v>60</v>
      </c>
      <c r="K543" t="s">
        <v>2048</v>
      </c>
      <c r="L543" t="s">
        <v>62</v>
      </c>
      <c r="M543" t="s">
        <v>2048</v>
      </c>
      <c r="N543" t="s">
        <v>2086</v>
      </c>
      <c r="O543" t="s">
        <v>315</v>
      </c>
      <c r="P543">
        <v>-20.174719</v>
      </c>
      <c r="Q543">
        <v>-44.966092000000003</v>
      </c>
      <c r="R543" s="2" t="str">
        <f>HYPERLINK("https://www.google.com/maps?q=-20.1747190,-44.9660920","Abrir no Google Maps")</f>
        <v>Abrir no Google Maps</v>
      </c>
      <c r="S543">
        <v>3</v>
      </c>
      <c r="T543">
        <v>3390.3546378461851</v>
      </c>
      <c r="U543">
        <v>3</v>
      </c>
      <c r="V543">
        <v>0.4480300187617261</v>
      </c>
      <c r="W543">
        <v>0.85</v>
      </c>
      <c r="X543">
        <v>0.38082551594746722</v>
      </c>
      <c r="Y543">
        <v>113</v>
      </c>
      <c r="Z543">
        <v>3325.822614168892</v>
      </c>
      <c r="AA543">
        <v>198</v>
      </c>
      <c r="AB543">
        <v>332</v>
      </c>
      <c r="AC543">
        <v>536</v>
      </c>
      <c r="AD543">
        <v>33.19</v>
      </c>
      <c r="AE543">
        <v>542</v>
      </c>
      <c r="AF543">
        <v>42</v>
      </c>
      <c r="AG543">
        <v>173</v>
      </c>
      <c r="AH543">
        <v>129</v>
      </c>
      <c r="AI543">
        <v>7.75</v>
      </c>
      <c r="AJ543">
        <v>31.92</v>
      </c>
      <c r="AK543">
        <v>23.8</v>
      </c>
      <c r="AL543">
        <v>-20.175172949999929</v>
      </c>
      <c r="AM543">
        <v>-44.965248074069883</v>
      </c>
      <c r="AN543">
        <v>-20.175172949999929</v>
      </c>
      <c r="AO543">
        <v>-44.965248074069869</v>
      </c>
      <c r="AP543">
        <v>-20.174719</v>
      </c>
      <c r="AQ543">
        <v>-44.966092000000003</v>
      </c>
      <c r="AR543">
        <v>101.6348536939478</v>
      </c>
      <c r="AS543" t="s">
        <v>65</v>
      </c>
      <c r="AT543">
        <v>1</v>
      </c>
      <c r="AU543" t="s">
        <v>2087</v>
      </c>
      <c r="AV543" t="s">
        <v>2088</v>
      </c>
      <c r="AW543" t="s">
        <v>60</v>
      </c>
      <c r="AX543" t="s">
        <v>68</v>
      </c>
      <c r="AY543" t="s">
        <v>69</v>
      </c>
      <c r="AZ543" t="b">
        <v>1</v>
      </c>
    </row>
    <row r="544" spans="1:52" x14ac:dyDescent="0.3">
      <c r="A544" t="s">
        <v>52</v>
      </c>
      <c r="B544" t="s">
        <v>53</v>
      </c>
      <c r="C544" t="s">
        <v>54</v>
      </c>
      <c r="D544" t="s">
        <v>55</v>
      </c>
      <c r="E544" t="s">
        <v>1617</v>
      </c>
      <c r="F544" t="s">
        <v>190</v>
      </c>
      <c r="G544" t="s">
        <v>1193</v>
      </c>
      <c r="H544" t="s">
        <v>2089</v>
      </c>
      <c r="I544" t="s">
        <v>2089</v>
      </c>
      <c r="J544" t="s">
        <v>60</v>
      </c>
      <c r="K544" t="s">
        <v>1797</v>
      </c>
      <c r="L544" t="s">
        <v>62</v>
      </c>
      <c r="M544" t="s">
        <v>1797</v>
      </c>
      <c r="N544" t="s">
        <v>2090</v>
      </c>
      <c r="O544" t="s">
        <v>2091</v>
      </c>
      <c r="P544">
        <v>-20.131095999999999</v>
      </c>
      <c r="Q544">
        <v>-44.849972999999999</v>
      </c>
      <c r="R544" s="2" t="str">
        <f>HYPERLINK("https://www.google.com/maps?q=-20.1310960,-44.8499730","Abrir no Google Maps")</f>
        <v>Abrir no Google Maps</v>
      </c>
      <c r="S544">
        <v>3</v>
      </c>
      <c r="T544">
        <v>537.19051863771813</v>
      </c>
      <c r="U544">
        <v>3</v>
      </c>
      <c r="V544">
        <v>0.44592592592592589</v>
      </c>
      <c r="W544">
        <v>0.85</v>
      </c>
      <c r="X544">
        <v>0.37903703703703701</v>
      </c>
      <c r="Y544">
        <v>95</v>
      </c>
      <c r="Z544">
        <v>759.25593758629111</v>
      </c>
      <c r="AA544">
        <v>198</v>
      </c>
      <c r="AB544">
        <v>332</v>
      </c>
      <c r="AC544">
        <v>536</v>
      </c>
      <c r="AD544">
        <v>33.19</v>
      </c>
      <c r="AE544">
        <v>542</v>
      </c>
      <c r="AF544">
        <v>42</v>
      </c>
      <c r="AG544">
        <v>173</v>
      </c>
      <c r="AH544">
        <v>129</v>
      </c>
      <c r="AI544">
        <v>7.75</v>
      </c>
      <c r="AJ544">
        <v>31.92</v>
      </c>
      <c r="AK544">
        <v>23.8</v>
      </c>
      <c r="AL544">
        <v>-20.131014649999969</v>
      </c>
      <c r="AM544">
        <v>-44.851386102569123</v>
      </c>
      <c r="AN544">
        <v>-20.131014649999969</v>
      </c>
      <c r="AO544">
        <v>-44.851386102569123</v>
      </c>
      <c r="AP544">
        <v>-20.131095999999999</v>
      </c>
      <c r="AQ544">
        <v>-44.849972999999999</v>
      </c>
      <c r="AR544">
        <v>147.97378497445629</v>
      </c>
      <c r="AS544" t="s">
        <v>65</v>
      </c>
      <c r="AT544">
        <v>1</v>
      </c>
      <c r="AU544" t="s">
        <v>2092</v>
      </c>
      <c r="AV544" t="s">
        <v>2093</v>
      </c>
      <c r="AW544" t="s">
        <v>60</v>
      </c>
      <c r="AX544" t="s">
        <v>68</v>
      </c>
      <c r="AY544" t="s">
        <v>69</v>
      </c>
      <c r="AZ544" t="b">
        <v>1</v>
      </c>
    </row>
    <row r="545" spans="1:52" x14ac:dyDescent="0.3">
      <c r="A545" t="s">
        <v>52</v>
      </c>
      <c r="B545" t="s">
        <v>53</v>
      </c>
      <c r="C545" t="s">
        <v>54</v>
      </c>
      <c r="D545" t="s">
        <v>55</v>
      </c>
      <c r="E545" t="s">
        <v>1617</v>
      </c>
      <c r="F545" t="s">
        <v>190</v>
      </c>
      <c r="G545" t="s">
        <v>2094</v>
      </c>
      <c r="H545" t="s">
        <v>2095</v>
      </c>
      <c r="I545" t="s">
        <v>2095</v>
      </c>
      <c r="J545" t="s">
        <v>60</v>
      </c>
      <c r="K545" t="s">
        <v>1797</v>
      </c>
      <c r="L545" t="s">
        <v>62</v>
      </c>
      <c r="M545" t="s">
        <v>1797</v>
      </c>
      <c r="N545" t="s">
        <v>2096</v>
      </c>
      <c r="O545" t="s">
        <v>315</v>
      </c>
      <c r="P545">
        <v>-20.140082</v>
      </c>
      <c r="Q545">
        <v>-44.846947</v>
      </c>
      <c r="R545" s="2" t="str">
        <f>HYPERLINK("https://www.google.com/maps?q=-20.1400820,-44.8469470","Abrir no Google Maps")</f>
        <v>Abrir no Google Maps</v>
      </c>
      <c r="S545">
        <v>3</v>
      </c>
      <c r="T545">
        <v>1379.631793854335</v>
      </c>
      <c r="U545">
        <v>3</v>
      </c>
      <c r="V545">
        <v>0.45726495726495719</v>
      </c>
      <c r="W545">
        <v>0.85</v>
      </c>
      <c r="X545">
        <v>0.38867521367521363</v>
      </c>
      <c r="Y545">
        <v>95</v>
      </c>
      <c r="Z545">
        <v>1497.10194218233</v>
      </c>
      <c r="AA545">
        <v>198</v>
      </c>
      <c r="AB545">
        <v>332</v>
      </c>
      <c r="AC545">
        <v>536</v>
      </c>
      <c r="AD545">
        <v>33.19</v>
      </c>
      <c r="AE545">
        <v>542</v>
      </c>
      <c r="AF545">
        <v>42</v>
      </c>
      <c r="AG545">
        <v>173</v>
      </c>
      <c r="AH545">
        <v>129</v>
      </c>
      <c r="AI545">
        <v>7.75</v>
      </c>
      <c r="AJ545">
        <v>31.92</v>
      </c>
      <c r="AK545">
        <v>23.8</v>
      </c>
      <c r="AL545">
        <v>-20.141991249999961</v>
      </c>
      <c r="AM545">
        <v>-44.846701290794478</v>
      </c>
      <c r="AN545">
        <v>-20.141991249999961</v>
      </c>
      <c r="AO545">
        <v>-44.846701290794478</v>
      </c>
      <c r="AP545">
        <v>-20.140082</v>
      </c>
      <c r="AQ545">
        <v>-44.846947</v>
      </c>
      <c r="AR545">
        <v>214.08343424718549</v>
      </c>
      <c r="AS545" t="s">
        <v>65</v>
      </c>
      <c r="AT545">
        <v>1</v>
      </c>
      <c r="AU545" t="s">
        <v>2097</v>
      </c>
      <c r="AV545" t="s">
        <v>2098</v>
      </c>
      <c r="AW545" t="s">
        <v>60</v>
      </c>
      <c r="AX545" t="s">
        <v>68</v>
      </c>
      <c r="AY545" t="s">
        <v>69</v>
      </c>
      <c r="AZ545" t="b">
        <v>1</v>
      </c>
    </row>
    <row r="546" spans="1:52" x14ac:dyDescent="0.3">
      <c r="A546" t="s">
        <v>52</v>
      </c>
      <c r="B546" t="s">
        <v>53</v>
      </c>
      <c r="C546" t="s">
        <v>54</v>
      </c>
      <c r="D546" t="s">
        <v>55</v>
      </c>
      <c r="E546" t="s">
        <v>1617</v>
      </c>
      <c r="F546" t="s">
        <v>1247</v>
      </c>
      <c r="G546" t="s">
        <v>191</v>
      </c>
      <c r="H546" t="s">
        <v>192</v>
      </c>
      <c r="I546" t="s">
        <v>192</v>
      </c>
      <c r="J546" t="s">
        <v>60</v>
      </c>
      <c r="K546" t="s">
        <v>193</v>
      </c>
      <c r="L546" t="s">
        <v>62</v>
      </c>
      <c r="M546" t="s">
        <v>193</v>
      </c>
      <c r="N546" t="s">
        <v>194</v>
      </c>
      <c r="O546" t="s">
        <v>195</v>
      </c>
      <c r="P546">
        <v>-20.143266000000001</v>
      </c>
      <c r="Q546">
        <v>-44.912075000000002</v>
      </c>
      <c r="R546" s="2" t="str">
        <f>HYPERLINK("https://www.google.com/maps?q=-20.1432660,-44.9120750","Abrir no Google Maps")</f>
        <v>Abrir no Google Maps</v>
      </c>
      <c r="S546">
        <v>4</v>
      </c>
      <c r="T546">
        <v>467.04339396175408</v>
      </c>
      <c r="U546">
        <v>3</v>
      </c>
      <c r="V546">
        <v>0.41350374783778587</v>
      </c>
      <c r="W546">
        <v>1</v>
      </c>
      <c r="X546">
        <v>0.41350374783778587</v>
      </c>
      <c r="Y546">
        <v>747</v>
      </c>
      <c r="Z546">
        <v>585.1742452866996</v>
      </c>
      <c r="AA546">
        <v>198</v>
      </c>
      <c r="AB546">
        <v>332</v>
      </c>
      <c r="AC546">
        <v>536</v>
      </c>
      <c r="AD546">
        <v>33.19</v>
      </c>
      <c r="AE546">
        <v>542</v>
      </c>
      <c r="AF546">
        <v>42</v>
      </c>
      <c r="AG546">
        <v>173</v>
      </c>
      <c r="AH546">
        <v>129</v>
      </c>
      <c r="AI546">
        <v>7.75</v>
      </c>
      <c r="AJ546">
        <v>31.92</v>
      </c>
      <c r="AK546">
        <v>23.8</v>
      </c>
      <c r="AL546">
        <v>-20.143307949999951</v>
      </c>
      <c r="AM546">
        <v>-44.912066629431067</v>
      </c>
      <c r="AN546">
        <v>-20.143307949999951</v>
      </c>
      <c r="AO546">
        <v>-44.912066629431067</v>
      </c>
      <c r="AP546">
        <v>-20.143266000000001</v>
      </c>
      <c r="AQ546">
        <v>-44.912075000000002</v>
      </c>
      <c r="AR546">
        <v>4.751108024498329</v>
      </c>
      <c r="AS546" t="s">
        <v>65</v>
      </c>
      <c r="AT546">
        <v>1</v>
      </c>
      <c r="AU546" t="s">
        <v>196</v>
      </c>
      <c r="AV546" t="s">
        <v>197</v>
      </c>
      <c r="AW546" t="s">
        <v>60</v>
      </c>
      <c r="AX546" t="s">
        <v>68</v>
      </c>
      <c r="AY546" t="s">
        <v>69</v>
      </c>
      <c r="AZ546" t="b">
        <v>1</v>
      </c>
    </row>
    <row r="547" spans="1:52" x14ac:dyDescent="0.3">
      <c r="A547" t="s">
        <v>52</v>
      </c>
      <c r="B547" t="s">
        <v>53</v>
      </c>
      <c r="C547" t="s">
        <v>54</v>
      </c>
      <c r="D547" t="s">
        <v>55</v>
      </c>
      <c r="E547" t="s">
        <v>1617</v>
      </c>
      <c r="F547" t="s">
        <v>1247</v>
      </c>
      <c r="G547" t="s">
        <v>83</v>
      </c>
      <c r="H547" t="s">
        <v>84</v>
      </c>
      <c r="I547" t="s">
        <v>84</v>
      </c>
      <c r="J547" t="s">
        <v>60</v>
      </c>
      <c r="K547" t="s">
        <v>61</v>
      </c>
      <c r="L547" t="s">
        <v>62</v>
      </c>
      <c r="M547" t="s">
        <v>61</v>
      </c>
      <c r="N547" t="s">
        <v>85</v>
      </c>
      <c r="O547" t="s">
        <v>86</v>
      </c>
      <c r="P547">
        <v>-20.149799000000002</v>
      </c>
      <c r="Q547">
        <v>-44.906517000000001</v>
      </c>
      <c r="R547" s="2" t="str">
        <f>HYPERLINK("https://www.google.com/maps?q=-20.1497990,-44.9065170","Abrir no Google Maps")</f>
        <v>Abrir no Google Maps</v>
      </c>
      <c r="S547">
        <v>4</v>
      </c>
      <c r="T547">
        <v>487.90051105537998</v>
      </c>
      <c r="U547">
        <v>3</v>
      </c>
      <c r="V547">
        <v>0.39118742829150072</v>
      </c>
      <c r="W547">
        <v>1</v>
      </c>
      <c r="X547">
        <v>0.39118742829150072</v>
      </c>
      <c r="Y547">
        <v>747</v>
      </c>
      <c r="Z547">
        <v>365.93785960107078</v>
      </c>
      <c r="AA547">
        <v>198</v>
      </c>
      <c r="AB547">
        <v>332</v>
      </c>
      <c r="AC547">
        <v>536</v>
      </c>
      <c r="AD547">
        <v>33.19</v>
      </c>
      <c r="AE547">
        <v>542</v>
      </c>
      <c r="AF547">
        <v>42</v>
      </c>
      <c r="AG547">
        <v>173</v>
      </c>
      <c r="AH547">
        <v>129</v>
      </c>
      <c r="AI547">
        <v>7.75</v>
      </c>
      <c r="AJ547">
        <v>31.92</v>
      </c>
      <c r="AK547">
        <v>23.8</v>
      </c>
      <c r="AL547">
        <v>-20.149879599999959</v>
      </c>
      <c r="AM547">
        <v>-44.906746466068469</v>
      </c>
      <c r="AN547">
        <v>-20.149879599999959</v>
      </c>
      <c r="AO547">
        <v>-44.906746466068469</v>
      </c>
      <c r="AP547">
        <v>-20.149799000000002</v>
      </c>
      <c r="AQ547">
        <v>-44.906517000000001</v>
      </c>
      <c r="AR547">
        <v>25.604276856970429</v>
      </c>
      <c r="AS547" t="s">
        <v>65</v>
      </c>
      <c r="AT547">
        <v>1</v>
      </c>
      <c r="AU547" t="s">
        <v>87</v>
      </c>
      <c r="AV547" t="s">
        <v>88</v>
      </c>
      <c r="AW547" t="s">
        <v>60</v>
      </c>
      <c r="AX547" t="s">
        <v>68</v>
      </c>
      <c r="AY547" t="s">
        <v>69</v>
      </c>
      <c r="AZ547" t="b">
        <v>1</v>
      </c>
    </row>
    <row r="548" spans="1:52" x14ac:dyDescent="0.3">
      <c r="A548" t="s">
        <v>52</v>
      </c>
      <c r="B548" t="s">
        <v>53</v>
      </c>
      <c r="C548" t="s">
        <v>54</v>
      </c>
      <c r="D548" t="s">
        <v>55</v>
      </c>
      <c r="E548" t="s">
        <v>1617</v>
      </c>
      <c r="F548" t="s">
        <v>1247</v>
      </c>
      <c r="G548" t="s">
        <v>115</v>
      </c>
      <c r="H548" t="s">
        <v>116</v>
      </c>
      <c r="I548" t="s">
        <v>116</v>
      </c>
      <c r="J548" t="s">
        <v>60</v>
      </c>
      <c r="K548" t="s">
        <v>117</v>
      </c>
      <c r="L548" t="s">
        <v>62</v>
      </c>
      <c r="M548" t="s">
        <v>117</v>
      </c>
      <c r="N548" t="s">
        <v>118</v>
      </c>
      <c r="O548" t="s">
        <v>119</v>
      </c>
      <c r="P548">
        <v>-20.116992</v>
      </c>
      <c r="Q548">
        <v>-44.899355</v>
      </c>
      <c r="R548" s="2" t="str">
        <f>HYPERLINK("https://www.google.com/maps?q=-20.1169920,-44.8993550","Abrir no Google Maps")</f>
        <v>Abrir no Google Maps</v>
      </c>
      <c r="S548">
        <v>4</v>
      </c>
      <c r="T548">
        <v>0</v>
      </c>
      <c r="U548">
        <v>3</v>
      </c>
      <c r="V548">
        <v>0.37994368638367271</v>
      </c>
      <c r="W548">
        <v>1</v>
      </c>
      <c r="X548">
        <v>0.37994368638367271</v>
      </c>
      <c r="Y548">
        <v>567</v>
      </c>
      <c r="Z548">
        <v>54.913678078353321</v>
      </c>
      <c r="AA548">
        <v>198</v>
      </c>
      <c r="AB548">
        <v>332</v>
      </c>
      <c r="AC548">
        <v>536</v>
      </c>
      <c r="AD548">
        <v>33.19</v>
      </c>
      <c r="AE548">
        <v>542</v>
      </c>
      <c r="AF548">
        <v>42</v>
      </c>
      <c r="AG548">
        <v>173</v>
      </c>
      <c r="AH548">
        <v>129</v>
      </c>
      <c r="AI548">
        <v>7.75</v>
      </c>
      <c r="AJ548">
        <v>31.92</v>
      </c>
      <c r="AK548">
        <v>23.8</v>
      </c>
      <c r="AL548">
        <v>-20.117107749999949</v>
      </c>
      <c r="AM548">
        <v>-44.899271226243108</v>
      </c>
      <c r="AN548">
        <v>-20.117107749999949</v>
      </c>
      <c r="AO548">
        <v>-44.899271226243108</v>
      </c>
      <c r="AP548">
        <v>-20.116992</v>
      </c>
      <c r="AQ548">
        <v>-44.899355</v>
      </c>
      <c r="AR548">
        <v>15.579196044083419</v>
      </c>
      <c r="AS548" t="s">
        <v>65</v>
      </c>
      <c r="AT548">
        <v>1</v>
      </c>
      <c r="AU548" t="s">
        <v>120</v>
      </c>
      <c r="AV548" t="s">
        <v>121</v>
      </c>
      <c r="AW548" t="s">
        <v>60</v>
      </c>
      <c r="AX548" t="s">
        <v>68</v>
      </c>
      <c r="AY548" t="s">
        <v>69</v>
      </c>
      <c r="AZ548" t="b">
        <v>1</v>
      </c>
    </row>
    <row r="549" spans="1:52" x14ac:dyDescent="0.3">
      <c r="A549" t="s">
        <v>52</v>
      </c>
      <c r="B549" t="s">
        <v>53</v>
      </c>
      <c r="C549" t="s">
        <v>54</v>
      </c>
      <c r="D549" t="s">
        <v>55</v>
      </c>
      <c r="E549" t="s">
        <v>1617</v>
      </c>
      <c r="F549" t="s">
        <v>1247</v>
      </c>
      <c r="G549" t="s">
        <v>58</v>
      </c>
      <c r="H549" t="s">
        <v>59</v>
      </c>
      <c r="I549" t="s">
        <v>59</v>
      </c>
      <c r="J549" t="s">
        <v>60</v>
      </c>
      <c r="K549" t="s">
        <v>61</v>
      </c>
      <c r="L549" t="s">
        <v>62</v>
      </c>
      <c r="M549" t="s">
        <v>61</v>
      </c>
      <c r="N549" t="s">
        <v>63</v>
      </c>
      <c r="O549" t="s">
        <v>64</v>
      </c>
      <c r="P549">
        <v>-20.147940999999999</v>
      </c>
      <c r="Q549">
        <v>-44.906514000000001</v>
      </c>
      <c r="R549" s="2" t="str">
        <f>HYPERLINK("https://www.google.com/maps?q=-20.1479410,-44.9065140","Abrir no Google Maps")</f>
        <v>Abrir no Google Maps</v>
      </c>
      <c r="S549">
        <v>4</v>
      </c>
      <c r="T549">
        <v>308.67004994113421</v>
      </c>
      <c r="U549">
        <v>2</v>
      </c>
      <c r="V549">
        <v>0.33626548631115483</v>
      </c>
      <c r="W549">
        <v>1</v>
      </c>
      <c r="X549">
        <v>0.33626548631115483</v>
      </c>
      <c r="Y549">
        <v>747</v>
      </c>
      <c r="Z549">
        <v>274.71440454502522</v>
      </c>
      <c r="AA549">
        <v>198</v>
      </c>
      <c r="AB549">
        <v>332</v>
      </c>
      <c r="AC549">
        <v>536</v>
      </c>
      <c r="AD549">
        <v>33.19</v>
      </c>
      <c r="AE549">
        <v>542</v>
      </c>
      <c r="AF549">
        <v>42</v>
      </c>
      <c r="AG549">
        <v>173</v>
      </c>
      <c r="AH549">
        <v>129</v>
      </c>
      <c r="AI549">
        <v>7.75</v>
      </c>
      <c r="AJ549">
        <v>31.92</v>
      </c>
      <c r="AK549">
        <v>23.8</v>
      </c>
      <c r="AL549">
        <v>-20.147947799999969</v>
      </c>
      <c r="AM549">
        <v>-44.906591596129203</v>
      </c>
      <c r="AN549">
        <v>-20.147947799999969</v>
      </c>
      <c r="AO549">
        <v>-44.906591596129203</v>
      </c>
      <c r="AP549">
        <v>-20.147940999999999</v>
      </c>
      <c r="AQ549">
        <v>-44.906514000000001</v>
      </c>
      <c r="AR549">
        <v>8.1446636170570326</v>
      </c>
      <c r="AS549" t="s">
        <v>65</v>
      </c>
      <c r="AT549">
        <v>1</v>
      </c>
      <c r="AU549" t="s">
        <v>66</v>
      </c>
      <c r="AV549" t="s">
        <v>67</v>
      </c>
      <c r="AW549" t="s">
        <v>60</v>
      </c>
      <c r="AX549" t="s">
        <v>68</v>
      </c>
      <c r="AY549" t="s">
        <v>69</v>
      </c>
      <c r="AZ549" t="b">
        <v>1</v>
      </c>
    </row>
    <row r="550" spans="1:52" x14ac:dyDescent="0.3">
      <c r="A550" t="s">
        <v>52</v>
      </c>
      <c r="B550" t="s">
        <v>53</v>
      </c>
      <c r="C550" t="s">
        <v>54</v>
      </c>
      <c r="D550" t="s">
        <v>55</v>
      </c>
      <c r="E550" t="s">
        <v>1617</v>
      </c>
      <c r="F550" t="s">
        <v>1247</v>
      </c>
      <c r="G550" t="s">
        <v>1248</v>
      </c>
      <c r="H550" t="s">
        <v>1249</v>
      </c>
      <c r="I550" t="s">
        <v>1249</v>
      </c>
      <c r="J550" t="s">
        <v>60</v>
      </c>
      <c r="K550" t="s">
        <v>61</v>
      </c>
      <c r="L550" t="s">
        <v>62</v>
      </c>
      <c r="M550" t="s">
        <v>61</v>
      </c>
      <c r="N550" t="s">
        <v>1250</v>
      </c>
      <c r="O550" t="s">
        <v>202</v>
      </c>
      <c r="P550">
        <v>-20.145337999999999</v>
      </c>
      <c r="Q550">
        <v>-44.906260000000003</v>
      </c>
      <c r="R550" s="2" t="str">
        <f>HYPERLINK("https://www.google.com/maps?q=-20.1453380,-44.9062600","Abrir no Google Maps")</f>
        <v>Abrir no Google Maps</v>
      </c>
      <c r="S550">
        <v>4</v>
      </c>
      <c r="T550">
        <v>231.8105263092443</v>
      </c>
      <c r="U550">
        <v>2</v>
      </c>
      <c r="V550">
        <v>0.44219644692409338</v>
      </c>
      <c r="W550">
        <v>0.85</v>
      </c>
      <c r="X550">
        <v>0.37586697988547929</v>
      </c>
      <c r="Y550">
        <v>747</v>
      </c>
      <c r="Z550">
        <v>210.09098260239841</v>
      </c>
      <c r="AA550">
        <v>198</v>
      </c>
      <c r="AB550">
        <v>332</v>
      </c>
      <c r="AC550">
        <v>536</v>
      </c>
      <c r="AD550">
        <v>33.19</v>
      </c>
      <c r="AE550">
        <v>542</v>
      </c>
      <c r="AF550">
        <v>42</v>
      </c>
      <c r="AG550">
        <v>173</v>
      </c>
      <c r="AH550">
        <v>129</v>
      </c>
      <c r="AI550">
        <v>7.75</v>
      </c>
      <c r="AJ550">
        <v>31.92</v>
      </c>
      <c r="AK550">
        <v>23.8</v>
      </c>
      <c r="AL550">
        <v>-20.14545934999995</v>
      </c>
      <c r="AM550">
        <v>-44.906243174283489</v>
      </c>
      <c r="AN550">
        <v>-20.14545934999995</v>
      </c>
      <c r="AO550">
        <v>-44.906243174283489</v>
      </c>
      <c r="AP550">
        <v>-20.145337999999999</v>
      </c>
      <c r="AQ550">
        <v>-44.906260000000003</v>
      </c>
      <c r="AR550">
        <v>13.622651392262521</v>
      </c>
      <c r="AS550" t="s">
        <v>65</v>
      </c>
      <c r="AT550">
        <v>1</v>
      </c>
      <c r="AU550" t="s">
        <v>1251</v>
      </c>
      <c r="AV550" t="s">
        <v>1252</v>
      </c>
      <c r="AW550" t="s">
        <v>60</v>
      </c>
      <c r="AX550" t="s">
        <v>68</v>
      </c>
      <c r="AY550" t="s">
        <v>69</v>
      </c>
      <c r="AZ550" t="b">
        <v>1</v>
      </c>
    </row>
    <row r="551" spans="1:52" x14ac:dyDescent="0.3">
      <c r="A551" t="s">
        <v>52</v>
      </c>
      <c r="B551" t="s">
        <v>53</v>
      </c>
      <c r="C551" t="s">
        <v>54</v>
      </c>
      <c r="D551" t="s">
        <v>55</v>
      </c>
      <c r="E551" t="s">
        <v>1617</v>
      </c>
      <c r="F551" t="s">
        <v>1247</v>
      </c>
      <c r="G551" t="s">
        <v>83</v>
      </c>
      <c r="H551" t="s">
        <v>1253</v>
      </c>
      <c r="I551" t="s">
        <v>1253</v>
      </c>
      <c r="J551" t="s">
        <v>60</v>
      </c>
      <c r="K551" t="s">
        <v>72</v>
      </c>
      <c r="L551" t="s">
        <v>62</v>
      </c>
      <c r="M551" t="s">
        <v>72</v>
      </c>
      <c r="N551" t="s">
        <v>1254</v>
      </c>
      <c r="O551" t="s">
        <v>1255</v>
      </c>
      <c r="P551">
        <v>-20.147164</v>
      </c>
      <c r="Q551">
        <v>-44.905259000000001</v>
      </c>
      <c r="R551" s="2" t="str">
        <f>HYPERLINK("https://www.google.com/maps?q=-20.1471640,-44.9052590","Abrir no Google Maps")</f>
        <v>Abrir no Google Maps</v>
      </c>
      <c r="S551">
        <v>4</v>
      </c>
      <c r="T551">
        <v>364.08569180502712</v>
      </c>
      <c r="U551">
        <v>2</v>
      </c>
      <c r="V551">
        <v>0.39492610130578271</v>
      </c>
      <c r="W551">
        <v>0.85</v>
      </c>
      <c r="X551">
        <v>0.33568718610991533</v>
      </c>
      <c r="Y551">
        <v>747</v>
      </c>
      <c r="Z551">
        <v>309.89238988435022</v>
      </c>
      <c r="AA551">
        <v>198</v>
      </c>
      <c r="AB551">
        <v>332</v>
      </c>
      <c r="AC551">
        <v>536</v>
      </c>
      <c r="AD551">
        <v>33.19</v>
      </c>
      <c r="AE551">
        <v>542</v>
      </c>
      <c r="AF551">
        <v>42</v>
      </c>
      <c r="AG551">
        <v>173</v>
      </c>
      <c r="AH551">
        <v>129</v>
      </c>
      <c r="AI551">
        <v>7.75</v>
      </c>
      <c r="AJ551">
        <v>31.92</v>
      </c>
      <c r="AK551">
        <v>23.8</v>
      </c>
      <c r="AL551">
        <v>-20.14718674999995</v>
      </c>
      <c r="AM551">
        <v>-44.905292621565764</v>
      </c>
      <c r="AN551">
        <v>-20.147186749999939</v>
      </c>
      <c r="AO551">
        <v>-44.905292621565764</v>
      </c>
      <c r="AP551">
        <v>-20.147164</v>
      </c>
      <c r="AQ551">
        <v>-44.905259000000001</v>
      </c>
      <c r="AR551">
        <v>4.3312880650984971</v>
      </c>
      <c r="AS551" t="s">
        <v>65</v>
      </c>
      <c r="AT551">
        <v>1</v>
      </c>
      <c r="AU551" t="s">
        <v>1256</v>
      </c>
      <c r="AV551" t="s">
        <v>1257</v>
      </c>
      <c r="AW551" t="s">
        <v>60</v>
      </c>
      <c r="AX551" t="s">
        <v>68</v>
      </c>
      <c r="AY551" t="s">
        <v>69</v>
      </c>
      <c r="AZ551" t="b">
        <v>1</v>
      </c>
    </row>
    <row r="552" spans="1:52" x14ac:dyDescent="0.3">
      <c r="A552" t="s">
        <v>52</v>
      </c>
      <c r="B552" t="s">
        <v>53</v>
      </c>
      <c r="C552" t="s">
        <v>54</v>
      </c>
      <c r="D552" t="s">
        <v>55</v>
      </c>
      <c r="E552" t="s">
        <v>1617</v>
      </c>
      <c r="F552" t="s">
        <v>1247</v>
      </c>
      <c r="G552" t="s">
        <v>70</v>
      </c>
      <c r="H552" t="s">
        <v>71</v>
      </c>
      <c r="I552" t="s">
        <v>71</v>
      </c>
      <c r="J552" t="s">
        <v>60</v>
      </c>
      <c r="K552" t="s">
        <v>72</v>
      </c>
      <c r="L552" t="s">
        <v>62</v>
      </c>
      <c r="M552" t="s">
        <v>72</v>
      </c>
      <c r="N552" t="s">
        <v>73</v>
      </c>
      <c r="O552" t="s">
        <v>74</v>
      </c>
      <c r="P552">
        <v>-20.149349000000001</v>
      </c>
      <c r="Q552">
        <v>-44.910784</v>
      </c>
      <c r="R552" s="2" t="str">
        <f>HYPERLINK("https://www.google.com/maps?q=-20.1493490,-44.9107840","Abrir no Google Maps")</f>
        <v>Abrir no Google Maps</v>
      </c>
      <c r="S552">
        <v>4</v>
      </c>
      <c r="T552">
        <v>472.43876549769578</v>
      </c>
      <c r="U552">
        <v>2</v>
      </c>
      <c r="V552">
        <v>0.35754844961240312</v>
      </c>
      <c r="W552">
        <v>1</v>
      </c>
      <c r="X552">
        <v>0.35754844961240312</v>
      </c>
      <c r="Y552">
        <v>747</v>
      </c>
      <c r="Z552">
        <v>441.03921887407779</v>
      </c>
      <c r="AA552">
        <v>198</v>
      </c>
      <c r="AB552">
        <v>332</v>
      </c>
      <c r="AC552">
        <v>536</v>
      </c>
      <c r="AD552">
        <v>33.19</v>
      </c>
      <c r="AE552">
        <v>542</v>
      </c>
      <c r="AF552">
        <v>42</v>
      </c>
      <c r="AG552">
        <v>173</v>
      </c>
      <c r="AH552">
        <v>129</v>
      </c>
      <c r="AI552">
        <v>7.75</v>
      </c>
      <c r="AJ552">
        <v>31.92</v>
      </c>
      <c r="AK552">
        <v>23.8</v>
      </c>
      <c r="AL552">
        <v>-20.149403999999951</v>
      </c>
      <c r="AM552">
        <v>-44.91080895147438</v>
      </c>
      <c r="AN552">
        <v>-20.149403999999951</v>
      </c>
      <c r="AO552">
        <v>-44.91080895147438</v>
      </c>
      <c r="AP552">
        <v>-20.149349000000001</v>
      </c>
      <c r="AQ552">
        <v>-44.910784</v>
      </c>
      <c r="AR552">
        <v>6.6547592699416382</v>
      </c>
      <c r="AS552" t="s">
        <v>65</v>
      </c>
      <c r="AT552">
        <v>1</v>
      </c>
      <c r="AU552" t="s">
        <v>75</v>
      </c>
      <c r="AV552" t="s">
        <v>76</v>
      </c>
      <c r="AW552" t="s">
        <v>60</v>
      </c>
      <c r="AX552" t="s">
        <v>68</v>
      </c>
      <c r="AY552" t="s">
        <v>69</v>
      </c>
      <c r="AZ552" t="b">
        <v>1</v>
      </c>
    </row>
    <row r="553" spans="1:52" x14ac:dyDescent="0.3">
      <c r="A553" t="s">
        <v>52</v>
      </c>
      <c r="B553" t="s">
        <v>53</v>
      </c>
      <c r="C553" t="s">
        <v>54</v>
      </c>
      <c r="D553" t="s">
        <v>55</v>
      </c>
      <c r="E553" t="s">
        <v>1617</v>
      </c>
      <c r="F553" t="s">
        <v>1247</v>
      </c>
      <c r="G553" t="s">
        <v>89</v>
      </c>
      <c r="H553" t="s">
        <v>90</v>
      </c>
      <c r="I553" t="s">
        <v>90</v>
      </c>
      <c r="J553" t="s">
        <v>60</v>
      </c>
      <c r="K553" t="s">
        <v>72</v>
      </c>
      <c r="L553" t="s">
        <v>62</v>
      </c>
      <c r="M553" t="s">
        <v>72</v>
      </c>
      <c r="N553" t="s">
        <v>91</v>
      </c>
      <c r="O553" t="s">
        <v>92</v>
      </c>
      <c r="P553">
        <v>-20.145848999999998</v>
      </c>
      <c r="Q553">
        <v>-44.908419000000002</v>
      </c>
      <c r="R553" s="2" t="str">
        <f>HYPERLINK("https://www.google.com/maps?q=-20.1458490,-44.9084190","Abrir no Google Maps")</f>
        <v>Abrir no Google Maps</v>
      </c>
      <c r="S553">
        <v>4</v>
      </c>
      <c r="T553">
        <v>0</v>
      </c>
      <c r="U553">
        <v>2</v>
      </c>
      <c r="V553">
        <v>0.34856358355269129</v>
      </c>
      <c r="W553">
        <v>1</v>
      </c>
      <c r="X553">
        <v>0.34856358355269129</v>
      </c>
      <c r="Y553">
        <v>747</v>
      </c>
      <c r="Z553">
        <v>136.08168502765241</v>
      </c>
      <c r="AA553">
        <v>198</v>
      </c>
      <c r="AB553">
        <v>332</v>
      </c>
      <c r="AC553">
        <v>536</v>
      </c>
      <c r="AD553">
        <v>33.19</v>
      </c>
      <c r="AE553">
        <v>542</v>
      </c>
      <c r="AF553">
        <v>42</v>
      </c>
      <c r="AG553">
        <v>173</v>
      </c>
      <c r="AH553">
        <v>129</v>
      </c>
      <c r="AI553">
        <v>7.75</v>
      </c>
      <c r="AJ553">
        <v>31.92</v>
      </c>
      <c r="AK553">
        <v>23.8</v>
      </c>
      <c r="AL553">
        <v>-20.14576979999995</v>
      </c>
      <c r="AM553">
        <v>-44.908436775053183</v>
      </c>
      <c r="AN553">
        <v>-20.14576979999995</v>
      </c>
      <c r="AO553">
        <v>-44.908436775053183</v>
      </c>
      <c r="AP553">
        <v>-20.145848999999998</v>
      </c>
      <c r="AQ553">
        <v>-44.908419000000002</v>
      </c>
      <c r="AR553">
        <v>9.0101247482327356</v>
      </c>
      <c r="AS553" t="s">
        <v>65</v>
      </c>
      <c r="AT553">
        <v>1</v>
      </c>
      <c r="AU553" t="s">
        <v>93</v>
      </c>
      <c r="AV553" t="s">
        <v>94</v>
      </c>
      <c r="AW553" t="s">
        <v>60</v>
      </c>
      <c r="AX553" t="s">
        <v>68</v>
      </c>
      <c r="AY553" t="s">
        <v>69</v>
      </c>
      <c r="AZ553" t="b">
        <v>1</v>
      </c>
    </row>
    <row r="554" spans="1:52" x14ac:dyDescent="0.3">
      <c r="A554" t="s">
        <v>52</v>
      </c>
      <c r="B554" t="s">
        <v>53</v>
      </c>
      <c r="C554" t="s">
        <v>54</v>
      </c>
      <c r="D554" t="s">
        <v>55</v>
      </c>
      <c r="E554" t="s">
        <v>1617</v>
      </c>
      <c r="F554" t="s">
        <v>1247</v>
      </c>
      <c r="G554" t="s">
        <v>95</v>
      </c>
      <c r="H554" t="s">
        <v>96</v>
      </c>
      <c r="I554" t="s">
        <v>96</v>
      </c>
      <c r="J554" t="s">
        <v>60</v>
      </c>
      <c r="K554" t="s">
        <v>72</v>
      </c>
      <c r="L554" t="s">
        <v>62</v>
      </c>
      <c r="M554" t="s">
        <v>72</v>
      </c>
      <c r="N554" t="s">
        <v>97</v>
      </c>
      <c r="O554" t="s">
        <v>98</v>
      </c>
      <c r="P554">
        <v>-20.144062999999999</v>
      </c>
      <c r="Q554">
        <v>-44.909627999999998</v>
      </c>
      <c r="R554" s="2" t="str">
        <f>HYPERLINK("https://www.google.com/maps?q=-20.1440630,-44.9096280","Abrir no Google Maps")</f>
        <v>Abrir no Google Maps</v>
      </c>
      <c r="S554">
        <v>4</v>
      </c>
      <c r="T554">
        <v>205.27083326529291</v>
      </c>
      <c r="U554">
        <v>2</v>
      </c>
      <c r="V554">
        <v>0.36000254097319268</v>
      </c>
      <c r="W554">
        <v>1</v>
      </c>
      <c r="X554">
        <v>0.36000254097319268</v>
      </c>
      <c r="Y554">
        <v>747</v>
      </c>
      <c r="Z554">
        <v>336.75785483480968</v>
      </c>
      <c r="AA554">
        <v>198</v>
      </c>
      <c r="AB554">
        <v>332</v>
      </c>
      <c r="AC554">
        <v>536</v>
      </c>
      <c r="AD554">
        <v>33.19</v>
      </c>
      <c r="AE554">
        <v>542</v>
      </c>
      <c r="AF554">
        <v>42</v>
      </c>
      <c r="AG554">
        <v>173</v>
      </c>
      <c r="AH554">
        <v>129</v>
      </c>
      <c r="AI554">
        <v>7.75</v>
      </c>
      <c r="AJ554">
        <v>31.92</v>
      </c>
      <c r="AK554">
        <v>23.8</v>
      </c>
      <c r="AL554">
        <v>-20.144164099999951</v>
      </c>
      <c r="AM554">
        <v>-44.909420167767642</v>
      </c>
      <c r="AN554">
        <v>-20.144164099999951</v>
      </c>
      <c r="AO554">
        <v>-44.909420167767642</v>
      </c>
      <c r="AP554">
        <v>-20.144062999999999</v>
      </c>
      <c r="AQ554">
        <v>-44.909627999999998</v>
      </c>
      <c r="AR554">
        <v>24.46321571724976</v>
      </c>
      <c r="AS554" t="s">
        <v>65</v>
      </c>
      <c r="AT554">
        <v>1</v>
      </c>
      <c r="AU554" t="s">
        <v>99</v>
      </c>
      <c r="AV554" t="s">
        <v>94</v>
      </c>
      <c r="AW554" t="s">
        <v>60</v>
      </c>
      <c r="AX554" t="s">
        <v>68</v>
      </c>
      <c r="AY554" t="s">
        <v>69</v>
      </c>
      <c r="AZ554" t="b">
        <v>1</v>
      </c>
    </row>
    <row r="555" spans="1:52" x14ac:dyDescent="0.3">
      <c r="A555" t="s">
        <v>52</v>
      </c>
      <c r="B555" t="s">
        <v>53</v>
      </c>
      <c r="C555" t="s">
        <v>54</v>
      </c>
      <c r="D555" t="s">
        <v>55</v>
      </c>
      <c r="E555" t="s">
        <v>1617</v>
      </c>
      <c r="F555" t="s">
        <v>1247</v>
      </c>
      <c r="G555" t="s">
        <v>1258</v>
      </c>
      <c r="H555" t="s">
        <v>1259</v>
      </c>
      <c r="I555" t="s">
        <v>1259</v>
      </c>
      <c r="J555" t="s">
        <v>60</v>
      </c>
      <c r="K555" t="s">
        <v>905</v>
      </c>
      <c r="L555" t="s">
        <v>62</v>
      </c>
      <c r="M555" t="s">
        <v>905</v>
      </c>
      <c r="N555" t="s">
        <v>1260</v>
      </c>
      <c r="O555" t="s">
        <v>628</v>
      </c>
      <c r="P555">
        <v>-20.113569999999999</v>
      </c>
      <c r="Q555">
        <v>-44.897216</v>
      </c>
      <c r="R555" s="2" t="str">
        <f>HYPERLINK("https://www.google.com/maps?q=-20.1135700,-44.8972160","Abrir no Google Maps")</f>
        <v>Abrir no Google Maps</v>
      </c>
      <c r="S555">
        <v>4</v>
      </c>
      <c r="T555">
        <v>418.54368277643368</v>
      </c>
      <c r="U555">
        <v>2</v>
      </c>
      <c r="V555">
        <v>0.44205256570713392</v>
      </c>
      <c r="W555">
        <v>0.85</v>
      </c>
      <c r="X555">
        <v>0.37574468085106377</v>
      </c>
      <c r="Y555">
        <v>567</v>
      </c>
      <c r="Z555">
        <v>315.02989622191018</v>
      </c>
      <c r="AA555">
        <v>198</v>
      </c>
      <c r="AB555">
        <v>332</v>
      </c>
      <c r="AC555">
        <v>536</v>
      </c>
      <c r="AD555">
        <v>33.19</v>
      </c>
      <c r="AE555">
        <v>542</v>
      </c>
      <c r="AF555">
        <v>42</v>
      </c>
      <c r="AG555">
        <v>173</v>
      </c>
      <c r="AH555">
        <v>129</v>
      </c>
      <c r="AI555">
        <v>7.75</v>
      </c>
      <c r="AJ555">
        <v>31.92</v>
      </c>
      <c r="AK555">
        <v>23.8</v>
      </c>
      <c r="AL555">
        <v>-20.113750149999959</v>
      </c>
      <c r="AM555">
        <v>-44.897427949999937</v>
      </c>
      <c r="AN555">
        <v>-20.113750149999959</v>
      </c>
      <c r="AO555">
        <v>-44.897427949999937</v>
      </c>
      <c r="AP555">
        <v>-20.113569999999999</v>
      </c>
      <c r="AQ555">
        <v>-44.897216</v>
      </c>
      <c r="AR555">
        <v>29.883644534822711</v>
      </c>
      <c r="AS555" t="s">
        <v>65</v>
      </c>
      <c r="AT555">
        <v>1</v>
      </c>
      <c r="AU555" t="s">
        <v>1261</v>
      </c>
      <c r="AV555" t="s">
        <v>1262</v>
      </c>
      <c r="AW555" t="s">
        <v>60</v>
      </c>
      <c r="AX555" t="s">
        <v>68</v>
      </c>
      <c r="AY555" t="s">
        <v>69</v>
      </c>
      <c r="AZ555" t="b">
        <v>1</v>
      </c>
    </row>
    <row r="556" spans="1:52" x14ac:dyDescent="0.3">
      <c r="A556" t="s">
        <v>52</v>
      </c>
      <c r="B556" t="s">
        <v>53</v>
      </c>
      <c r="C556" t="s">
        <v>54</v>
      </c>
      <c r="D556" t="s">
        <v>55</v>
      </c>
      <c r="E556" t="s">
        <v>1617</v>
      </c>
      <c r="F556" t="s">
        <v>1247</v>
      </c>
      <c r="G556" t="s">
        <v>1263</v>
      </c>
      <c r="H556" t="s">
        <v>1264</v>
      </c>
      <c r="I556" t="s">
        <v>1264</v>
      </c>
      <c r="J556" t="s">
        <v>60</v>
      </c>
      <c r="K556" t="s">
        <v>1265</v>
      </c>
      <c r="L556" t="s">
        <v>62</v>
      </c>
      <c r="M556" t="s">
        <v>1265</v>
      </c>
      <c r="N556" t="s">
        <v>1266</v>
      </c>
      <c r="O556" t="s">
        <v>1267</v>
      </c>
      <c r="P556">
        <v>-20.116924000000001</v>
      </c>
      <c r="Q556">
        <v>-44.906587000000002</v>
      </c>
      <c r="R556" s="2" t="str">
        <f>HYPERLINK("https://www.google.com/maps?q=-20.1169240,-44.9065870","Abrir no Google Maps")</f>
        <v>Abrir no Google Maps</v>
      </c>
      <c r="S556">
        <v>4</v>
      </c>
      <c r="T556">
        <v>745.10453961787857</v>
      </c>
      <c r="U556">
        <v>2</v>
      </c>
      <c r="V556">
        <v>0.3979292613438955</v>
      </c>
      <c r="W556">
        <v>0.85</v>
      </c>
      <c r="X556">
        <v>0.33823987214231122</v>
      </c>
      <c r="Y556">
        <v>567</v>
      </c>
      <c r="Z556">
        <v>816.44456345071217</v>
      </c>
      <c r="AA556">
        <v>198</v>
      </c>
      <c r="AB556">
        <v>332</v>
      </c>
      <c r="AC556">
        <v>536</v>
      </c>
      <c r="AD556">
        <v>33.19</v>
      </c>
      <c r="AE556">
        <v>542</v>
      </c>
      <c r="AF556">
        <v>42</v>
      </c>
      <c r="AG556">
        <v>173</v>
      </c>
      <c r="AH556">
        <v>129</v>
      </c>
      <c r="AI556">
        <v>7.75</v>
      </c>
      <c r="AJ556">
        <v>31.92</v>
      </c>
      <c r="AK556">
        <v>23.8</v>
      </c>
      <c r="AL556">
        <v>-20.117279149999941</v>
      </c>
      <c r="AM556">
        <v>-44.906397211815133</v>
      </c>
      <c r="AN556">
        <v>-20.117279149999941</v>
      </c>
      <c r="AO556">
        <v>-44.906397211815133</v>
      </c>
      <c r="AP556">
        <v>-20.116924000000001</v>
      </c>
      <c r="AQ556">
        <v>-44.906587000000002</v>
      </c>
      <c r="AR556">
        <v>44.233430660980403</v>
      </c>
      <c r="AS556" t="s">
        <v>65</v>
      </c>
      <c r="AT556">
        <v>1</v>
      </c>
      <c r="AU556" t="s">
        <v>1268</v>
      </c>
      <c r="AV556" t="s">
        <v>1269</v>
      </c>
      <c r="AW556" t="s">
        <v>60</v>
      </c>
      <c r="AX556" t="s">
        <v>68</v>
      </c>
      <c r="AY556" t="s">
        <v>69</v>
      </c>
      <c r="AZ556" t="b">
        <v>1</v>
      </c>
    </row>
    <row r="557" spans="1:52" x14ac:dyDescent="0.3">
      <c r="A557" t="s">
        <v>52</v>
      </c>
      <c r="B557" t="s">
        <v>53</v>
      </c>
      <c r="C557" t="s">
        <v>54</v>
      </c>
      <c r="D557" t="s">
        <v>55</v>
      </c>
      <c r="E557" t="s">
        <v>1617</v>
      </c>
      <c r="F557" t="s">
        <v>1247</v>
      </c>
      <c r="G557" t="s">
        <v>122</v>
      </c>
      <c r="H557" t="s">
        <v>123</v>
      </c>
      <c r="I557" t="s">
        <v>123</v>
      </c>
      <c r="J557" t="s">
        <v>60</v>
      </c>
      <c r="K557" t="s">
        <v>117</v>
      </c>
      <c r="L557" t="s">
        <v>62</v>
      </c>
      <c r="M557" t="s">
        <v>117</v>
      </c>
      <c r="N557" t="s">
        <v>124</v>
      </c>
      <c r="O557" t="s">
        <v>125</v>
      </c>
      <c r="P557">
        <v>-20.11853</v>
      </c>
      <c r="Q557">
        <v>-44.896925000000003</v>
      </c>
      <c r="R557" s="2" t="str">
        <f>HYPERLINK("https://www.google.com/maps?q=-20.1185300,-44.8969250","Abrir no Google Maps")</f>
        <v>Abrir no Google Maps</v>
      </c>
      <c r="S557">
        <v>4</v>
      </c>
      <c r="T557">
        <v>325.32255721093247</v>
      </c>
      <c r="U557">
        <v>2</v>
      </c>
      <c r="V557">
        <v>0.3670135423012203</v>
      </c>
      <c r="W557">
        <v>1</v>
      </c>
      <c r="X557">
        <v>0.3670135423012203</v>
      </c>
      <c r="Y557">
        <v>567</v>
      </c>
      <c r="Z557">
        <v>306.04423478678871</v>
      </c>
      <c r="AA557">
        <v>198</v>
      </c>
      <c r="AB557">
        <v>332</v>
      </c>
      <c r="AC557">
        <v>536</v>
      </c>
      <c r="AD557">
        <v>33.19</v>
      </c>
      <c r="AE557">
        <v>542</v>
      </c>
      <c r="AF557">
        <v>42</v>
      </c>
      <c r="AG557">
        <v>173</v>
      </c>
      <c r="AH557">
        <v>129</v>
      </c>
      <c r="AI557">
        <v>7.75</v>
      </c>
      <c r="AJ557">
        <v>31.92</v>
      </c>
      <c r="AK557">
        <v>23.8</v>
      </c>
      <c r="AL557">
        <v>-20.118682499999949</v>
      </c>
      <c r="AM557">
        <v>-44.896643089287927</v>
      </c>
      <c r="AN557">
        <v>-20.118682499999949</v>
      </c>
      <c r="AO557">
        <v>-44.896643089287927</v>
      </c>
      <c r="AP557">
        <v>-20.11853</v>
      </c>
      <c r="AQ557">
        <v>-44.896925000000003</v>
      </c>
      <c r="AR557">
        <v>34.007698996886518</v>
      </c>
      <c r="AS557" t="s">
        <v>65</v>
      </c>
      <c r="AT557">
        <v>1</v>
      </c>
      <c r="AU557" t="s">
        <v>126</v>
      </c>
      <c r="AV557" t="s">
        <v>121</v>
      </c>
      <c r="AW557" t="s">
        <v>60</v>
      </c>
      <c r="AX557" t="s">
        <v>68</v>
      </c>
      <c r="AY557" t="s">
        <v>69</v>
      </c>
      <c r="AZ557" t="b">
        <v>1</v>
      </c>
    </row>
    <row r="558" spans="1:52" x14ac:dyDescent="0.3">
      <c r="A558" t="s">
        <v>52</v>
      </c>
      <c r="B558" t="s">
        <v>53</v>
      </c>
      <c r="C558" t="s">
        <v>54</v>
      </c>
      <c r="D558" t="s">
        <v>55</v>
      </c>
      <c r="E558" t="s">
        <v>1617</v>
      </c>
      <c r="F558" t="s">
        <v>1247</v>
      </c>
      <c r="G558" t="s">
        <v>1127</v>
      </c>
      <c r="H558" t="s">
        <v>1270</v>
      </c>
      <c r="I558" t="s">
        <v>1270</v>
      </c>
      <c r="J558" t="s">
        <v>60</v>
      </c>
      <c r="K558" t="s">
        <v>200</v>
      </c>
      <c r="L558" t="s">
        <v>62</v>
      </c>
      <c r="M558" t="s">
        <v>200</v>
      </c>
      <c r="N558" t="s">
        <v>1271</v>
      </c>
      <c r="O558" t="s">
        <v>315</v>
      </c>
      <c r="P558">
        <v>-20.123483</v>
      </c>
      <c r="Q558">
        <v>-44.904159</v>
      </c>
      <c r="R558" s="2" t="str">
        <f>HYPERLINK("https://www.google.com/maps?q=-20.1234830,-44.9041590","Abrir no Google Maps")</f>
        <v>Abrir no Google Maps</v>
      </c>
      <c r="S558">
        <v>4</v>
      </c>
      <c r="T558">
        <v>1046.2792913459141</v>
      </c>
      <c r="U558">
        <v>2</v>
      </c>
      <c r="V558">
        <v>0.4263157894736842</v>
      </c>
      <c r="W558">
        <v>0.85</v>
      </c>
      <c r="X558">
        <v>0.36236842105263162</v>
      </c>
      <c r="Y558">
        <v>567</v>
      </c>
      <c r="Z558">
        <v>1072.1273144328541</v>
      </c>
      <c r="AA558">
        <v>198</v>
      </c>
      <c r="AB558">
        <v>332</v>
      </c>
      <c r="AC558">
        <v>536</v>
      </c>
      <c r="AD558">
        <v>33.19</v>
      </c>
      <c r="AE558">
        <v>542</v>
      </c>
      <c r="AF558">
        <v>42</v>
      </c>
      <c r="AG558">
        <v>173</v>
      </c>
      <c r="AH558">
        <v>129</v>
      </c>
      <c r="AI558">
        <v>7.75</v>
      </c>
      <c r="AJ558">
        <v>31.92</v>
      </c>
      <c r="AK558">
        <v>23.8</v>
      </c>
      <c r="AL558">
        <v>-20.12548399999994</v>
      </c>
      <c r="AM558">
        <v>-44.903913990586467</v>
      </c>
      <c r="AN558">
        <v>-20.12548399999994</v>
      </c>
      <c r="AO558">
        <v>-44.903913990586467</v>
      </c>
      <c r="AP558">
        <v>-20.123483</v>
      </c>
      <c r="AQ558">
        <v>-44.904159</v>
      </c>
      <c r="AR558">
        <v>224.218591682908</v>
      </c>
      <c r="AS558" t="s">
        <v>65</v>
      </c>
      <c r="AT558">
        <v>1</v>
      </c>
      <c r="AU558" t="s">
        <v>1272</v>
      </c>
      <c r="AV558" t="s">
        <v>1273</v>
      </c>
      <c r="AW558" t="s">
        <v>60</v>
      </c>
      <c r="AX558" t="s">
        <v>68</v>
      </c>
      <c r="AY558" t="s">
        <v>69</v>
      </c>
      <c r="AZ558" t="b">
        <v>1</v>
      </c>
    </row>
    <row r="559" spans="1:52" x14ac:dyDescent="0.3">
      <c r="A559" t="s">
        <v>52</v>
      </c>
      <c r="B559" t="s">
        <v>53</v>
      </c>
      <c r="C559" t="s">
        <v>54</v>
      </c>
      <c r="D559" t="s">
        <v>55</v>
      </c>
      <c r="E559" t="s">
        <v>1617</v>
      </c>
      <c r="F559" t="s">
        <v>1247</v>
      </c>
      <c r="G559" t="s">
        <v>77</v>
      </c>
      <c r="H559" t="s">
        <v>78</v>
      </c>
      <c r="I559" t="s">
        <v>78</v>
      </c>
      <c r="J559" t="s">
        <v>60</v>
      </c>
      <c r="K559" t="s">
        <v>72</v>
      </c>
      <c r="L559" t="s">
        <v>62</v>
      </c>
      <c r="M559" t="s">
        <v>72</v>
      </c>
      <c r="N559" t="s">
        <v>79</v>
      </c>
      <c r="O559" t="s">
        <v>80</v>
      </c>
      <c r="P559">
        <v>-20.147821</v>
      </c>
      <c r="Q559">
        <v>-44.908887</v>
      </c>
      <c r="R559" s="2" t="str">
        <f>HYPERLINK("https://www.google.com/maps?q=-20.1478210,-44.9088870","Abrir no Google Maps")</f>
        <v>Abrir no Google Maps</v>
      </c>
      <c r="S559">
        <v>4</v>
      </c>
      <c r="T559">
        <v>232.2893841532152</v>
      </c>
      <c r="U559">
        <v>1</v>
      </c>
      <c r="V559">
        <v>0.29920018874601861</v>
      </c>
      <c r="W559">
        <v>1</v>
      </c>
      <c r="X559">
        <v>0.29920018874601861</v>
      </c>
      <c r="Y559">
        <v>747</v>
      </c>
      <c r="Z559">
        <v>195.3668648953757</v>
      </c>
      <c r="AA559">
        <v>198</v>
      </c>
      <c r="AB559">
        <v>332</v>
      </c>
      <c r="AC559">
        <v>536</v>
      </c>
      <c r="AD559">
        <v>33.19</v>
      </c>
      <c r="AE559">
        <v>542</v>
      </c>
      <c r="AF559">
        <v>42</v>
      </c>
      <c r="AG559">
        <v>173</v>
      </c>
      <c r="AH559">
        <v>129</v>
      </c>
      <c r="AI559">
        <v>7.75</v>
      </c>
      <c r="AJ559">
        <v>31.92</v>
      </c>
      <c r="AK559">
        <v>23.8</v>
      </c>
      <c r="AL559">
        <v>-20.147802849999952</v>
      </c>
      <c r="AM559">
        <v>-44.908989919229477</v>
      </c>
      <c r="AN559">
        <v>-20.147802849999952</v>
      </c>
      <c r="AO559">
        <v>-44.908989919229491</v>
      </c>
      <c r="AP559">
        <v>-20.147821</v>
      </c>
      <c r="AQ559">
        <v>-44.908887</v>
      </c>
      <c r="AR559">
        <v>10.944007761262529</v>
      </c>
      <c r="AS559" t="s">
        <v>65</v>
      </c>
      <c r="AT559">
        <v>1</v>
      </c>
      <c r="AU559" t="s">
        <v>81</v>
      </c>
      <c r="AV559" t="s">
        <v>82</v>
      </c>
      <c r="AW559" t="s">
        <v>60</v>
      </c>
      <c r="AX559" t="s">
        <v>68</v>
      </c>
      <c r="AY559" t="s">
        <v>69</v>
      </c>
      <c r="AZ559" t="b">
        <v>1</v>
      </c>
    </row>
    <row r="560" spans="1:52" x14ac:dyDescent="0.3">
      <c r="A560" t="s">
        <v>52</v>
      </c>
      <c r="B560" t="s">
        <v>53</v>
      </c>
      <c r="C560" t="s">
        <v>54</v>
      </c>
      <c r="D560" t="s">
        <v>55</v>
      </c>
      <c r="E560" t="s">
        <v>1617</v>
      </c>
      <c r="F560" t="s">
        <v>1247</v>
      </c>
      <c r="G560" t="s">
        <v>100</v>
      </c>
      <c r="H560" t="s">
        <v>101</v>
      </c>
      <c r="I560" t="s">
        <v>101</v>
      </c>
      <c r="J560" t="s">
        <v>60</v>
      </c>
      <c r="K560" t="s">
        <v>61</v>
      </c>
      <c r="L560" t="s">
        <v>62</v>
      </c>
      <c r="M560" t="s">
        <v>61</v>
      </c>
      <c r="N560" t="s">
        <v>102</v>
      </c>
      <c r="O560" t="s">
        <v>103</v>
      </c>
      <c r="P560">
        <v>-20.151098999999999</v>
      </c>
      <c r="Q560">
        <v>-44.909699000000003</v>
      </c>
      <c r="R560" s="2" t="str">
        <f>HYPERLINK("https://www.google.com/maps?q=-20.1510990,-44.9096990","Abrir no Google Maps")</f>
        <v>Abrir no Google Maps</v>
      </c>
      <c r="S560">
        <v>4</v>
      </c>
      <c r="T560">
        <v>628.5023128813533</v>
      </c>
      <c r="U560">
        <v>1</v>
      </c>
      <c r="V560">
        <v>0.26721874999999989</v>
      </c>
      <c r="W560">
        <v>1</v>
      </c>
      <c r="X560">
        <v>0.26721874999999989</v>
      </c>
      <c r="Y560">
        <v>747</v>
      </c>
      <c r="Z560">
        <v>563.16456625265948</v>
      </c>
      <c r="AA560">
        <v>198</v>
      </c>
      <c r="AB560">
        <v>332</v>
      </c>
      <c r="AC560">
        <v>536</v>
      </c>
      <c r="AD560">
        <v>33.19</v>
      </c>
      <c r="AE560">
        <v>542</v>
      </c>
      <c r="AF560">
        <v>42</v>
      </c>
      <c r="AG560">
        <v>173</v>
      </c>
      <c r="AH560">
        <v>129</v>
      </c>
      <c r="AI560">
        <v>7.75</v>
      </c>
      <c r="AJ560">
        <v>31.92</v>
      </c>
      <c r="AK560">
        <v>23.8</v>
      </c>
      <c r="AL560">
        <v>-20.151307349999971</v>
      </c>
      <c r="AM560">
        <v>-44.909772836123523</v>
      </c>
      <c r="AN560">
        <v>-20.151307349999971</v>
      </c>
      <c r="AO560">
        <v>-44.909772836123523</v>
      </c>
      <c r="AP560">
        <v>-20.151098999999999</v>
      </c>
      <c r="AQ560">
        <v>-44.909699000000003</v>
      </c>
      <c r="AR560">
        <v>24.443417349564811</v>
      </c>
      <c r="AS560" t="s">
        <v>65</v>
      </c>
      <c r="AT560">
        <v>1</v>
      </c>
      <c r="AU560" t="s">
        <v>104</v>
      </c>
      <c r="AV560" t="s">
        <v>105</v>
      </c>
      <c r="AW560" t="s">
        <v>60</v>
      </c>
      <c r="AX560" t="s">
        <v>68</v>
      </c>
      <c r="AY560" t="s">
        <v>69</v>
      </c>
      <c r="AZ560" t="b">
        <v>1</v>
      </c>
    </row>
    <row r="561" spans="1:52" x14ac:dyDescent="0.3">
      <c r="A561" t="s">
        <v>52</v>
      </c>
      <c r="B561" t="s">
        <v>53</v>
      </c>
      <c r="C561" t="s">
        <v>54</v>
      </c>
      <c r="D561" t="s">
        <v>55</v>
      </c>
      <c r="E561" t="s">
        <v>1617</v>
      </c>
      <c r="F561" t="s">
        <v>1247</v>
      </c>
      <c r="G561" t="s">
        <v>100</v>
      </c>
      <c r="H561" t="s">
        <v>106</v>
      </c>
      <c r="I561" t="s">
        <v>106</v>
      </c>
      <c r="J561" t="s">
        <v>60</v>
      </c>
      <c r="K561" t="s">
        <v>61</v>
      </c>
      <c r="L561" t="s">
        <v>62</v>
      </c>
      <c r="M561" t="s">
        <v>61</v>
      </c>
      <c r="N561" t="s">
        <v>102</v>
      </c>
      <c r="O561" t="s">
        <v>103</v>
      </c>
      <c r="P561">
        <v>-20.151107</v>
      </c>
      <c r="Q561">
        <v>-44.908918</v>
      </c>
      <c r="R561" s="2" t="str">
        <f>HYPERLINK("https://www.google.com/maps?q=-20.1511070,-44.9089180","Abrir no Google Maps")</f>
        <v>Abrir no Google Maps</v>
      </c>
      <c r="S561">
        <v>4</v>
      </c>
      <c r="T561">
        <v>615.86400245321579</v>
      </c>
      <c r="U561">
        <v>1</v>
      </c>
      <c r="V561">
        <v>0.230744765438643</v>
      </c>
      <c r="W561">
        <v>0.85</v>
      </c>
      <c r="X561">
        <v>0.19613305062284661</v>
      </c>
      <c r="Y561">
        <v>747</v>
      </c>
      <c r="Z561">
        <v>535.34543763764702</v>
      </c>
      <c r="AA561">
        <v>198</v>
      </c>
      <c r="AB561">
        <v>332</v>
      </c>
      <c r="AC561">
        <v>536</v>
      </c>
      <c r="AD561">
        <v>33.19</v>
      </c>
      <c r="AE561">
        <v>542</v>
      </c>
      <c r="AF561">
        <v>42</v>
      </c>
      <c r="AG561">
        <v>173</v>
      </c>
      <c r="AH561">
        <v>129</v>
      </c>
      <c r="AI561">
        <v>7.75</v>
      </c>
      <c r="AJ561">
        <v>31.92</v>
      </c>
      <c r="AK561">
        <v>23.8</v>
      </c>
      <c r="AL561">
        <v>-20.151307349999971</v>
      </c>
      <c r="AM561">
        <v>-44.909024234051429</v>
      </c>
      <c r="AN561">
        <v>-20.151307349999971</v>
      </c>
      <c r="AO561">
        <v>-44.909024234051429</v>
      </c>
      <c r="AP561">
        <v>-20.151107</v>
      </c>
      <c r="AQ561">
        <v>-44.908918</v>
      </c>
      <c r="AR561">
        <v>24.91340747371116</v>
      </c>
      <c r="AS561" t="s">
        <v>65</v>
      </c>
      <c r="AT561">
        <v>1</v>
      </c>
      <c r="AU561" t="s">
        <v>107</v>
      </c>
      <c r="AV561" t="s">
        <v>105</v>
      </c>
      <c r="AW561" t="s">
        <v>60</v>
      </c>
      <c r="AX561" t="s">
        <v>68</v>
      </c>
      <c r="AY561" t="s">
        <v>69</v>
      </c>
      <c r="AZ561" t="b">
        <v>1</v>
      </c>
    </row>
    <row r="562" spans="1:52" x14ac:dyDescent="0.3">
      <c r="A562" t="s">
        <v>52</v>
      </c>
      <c r="B562" t="s">
        <v>53</v>
      </c>
      <c r="C562" t="s">
        <v>54</v>
      </c>
      <c r="D562" t="s">
        <v>55</v>
      </c>
      <c r="E562" t="s">
        <v>1617</v>
      </c>
      <c r="F562" t="s">
        <v>1247</v>
      </c>
      <c r="G562" t="s">
        <v>108</v>
      </c>
      <c r="H562" t="s">
        <v>109</v>
      </c>
      <c r="I562" t="s">
        <v>109</v>
      </c>
      <c r="J562" t="s">
        <v>60</v>
      </c>
      <c r="K562" t="s">
        <v>110</v>
      </c>
      <c r="L562" t="s">
        <v>62</v>
      </c>
      <c r="M562" t="s">
        <v>110</v>
      </c>
      <c r="N562" t="s">
        <v>111</v>
      </c>
      <c r="O562" t="s">
        <v>112</v>
      </c>
      <c r="P562">
        <v>-20.122233999999999</v>
      </c>
      <c r="Q562">
        <v>-44.909194999999997</v>
      </c>
      <c r="R562" s="2" t="str">
        <f>HYPERLINK("https://www.google.com/maps?q=-20.1222340,-44.9091950","Abrir no Google Maps")</f>
        <v>Abrir no Google Maps</v>
      </c>
      <c r="S562">
        <v>4</v>
      </c>
      <c r="T562">
        <v>1171.396020763932</v>
      </c>
      <c r="U562">
        <v>1</v>
      </c>
      <c r="V562">
        <v>0.33753172409903548</v>
      </c>
      <c r="W562">
        <v>0.85</v>
      </c>
      <c r="X562">
        <v>0.28690196548418018</v>
      </c>
      <c r="Y562">
        <v>567</v>
      </c>
      <c r="Z562">
        <v>1238.711234283244</v>
      </c>
      <c r="AA562">
        <v>198</v>
      </c>
      <c r="AB562">
        <v>332</v>
      </c>
      <c r="AC562">
        <v>536</v>
      </c>
      <c r="AD562">
        <v>33.19</v>
      </c>
      <c r="AE562">
        <v>542</v>
      </c>
      <c r="AF562">
        <v>42</v>
      </c>
      <c r="AG562">
        <v>173</v>
      </c>
      <c r="AH562">
        <v>129</v>
      </c>
      <c r="AI562">
        <v>7.75</v>
      </c>
      <c r="AJ562">
        <v>31.92</v>
      </c>
      <c r="AK562">
        <v>23.8</v>
      </c>
      <c r="AL562">
        <v>-20.121881249999941</v>
      </c>
      <c r="AM562">
        <v>-44.909273766094323</v>
      </c>
      <c r="AN562">
        <v>-20.121881249999941</v>
      </c>
      <c r="AO562">
        <v>-44.909273766094323</v>
      </c>
      <c r="AP562">
        <v>-20.122233999999999</v>
      </c>
      <c r="AQ562">
        <v>-44.909194999999997</v>
      </c>
      <c r="AR562">
        <v>40.12192930593006</v>
      </c>
      <c r="AS562" t="s">
        <v>65</v>
      </c>
      <c r="AT562">
        <v>1</v>
      </c>
      <c r="AU562" t="s">
        <v>113</v>
      </c>
      <c r="AV562" t="s">
        <v>114</v>
      </c>
      <c r="AW562" t="s">
        <v>60</v>
      </c>
      <c r="AX562" t="s">
        <v>68</v>
      </c>
      <c r="AY562" t="s">
        <v>69</v>
      </c>
      <c r="AZ562" t="b">
        <v>1</v>
      </c>
    </row>
    <row r="563" spans="1:52" x14ac:dyDescent="0.3">
      <c r="A563" t="s">
        <v>52</v>
      </c>
      <c r="B563" t="s">
        <v>53</v>
      </c>
      <c r="C563" t="s">
        <v>54</v>
      </c>
      <c r="D563" t="s">
        <v>55</v>
      </c>
      <c r="E563" t="s">
        <v>1617</v>
      </c>
      <c r="F563" t="s">
        <v>1247</v>
      </c>
      <c r="G563" t="s">
        <v>198</v>
      </c>
      <c r="H563" t="s">
        <v>199</v>
      </c>
      <c r="I563" t="s">
        <v>199</v>
      </c>
      <c r="J563" t="s">
        <v>60</v>
      </c>
      <c r="K563" t="s">
        <v>200</v>
      </c>
      <c r="L563" t="s">
        <v>62</v>
      </c>
      <c r="M563" t="s">
        <v>200</v>
      </c>
      <c r="N563" t="s">
        <v>201</v>
      </c>
      <c r="O563" t="s">
        <v>202</v>
      </c>
      <c r="P563">
        <v>-20.122433000000001</v>
      </c>
      <c r="Q563">
        <v>-44.897013999999999</v>
      </c>
      <c r="R563" s="2" t="str">
        <f>HYPERLINK("https://www.google.com/maps?q=-20.1224330,-44.8970140","Abrir no Google Maps")</f>
        <v>Abrir no Google Maps</v>
      </c>
      <c r="S563">
        <v>4</v>
      </c>
      <c r="T563">
        <v>616.04759279207849</v>
      </c>
      <c r="U563">
        <v>1</v>
      </c>
      <c r="V563">
        <v>0.3138068314877388</v>
      </c>
      <c r="W563">
        <v>0.85</v>
      </c>
      <c r="X563">
        <v>0.26673580676457798</v>
      </c>
      <c r="Y563">
        <v>567</v>
      </c>
      <c r="Z563">
        <v>655.51024138861465</v>
      </c>
      <c r="AA563">
        <v>198</v>
      </c>
      <c r="AB563">
        <v>332</v>
      </c>
      <c r="AC563">
        <v>536</v>
      </c>
      <c r="AD563">
        <v>33.19</v>
      </c>
      <c r="AE563">
        <v>542</v>
      </c>
      <c r="AF563">
        <v>42</v>
      </c>
      <c r="AG563">
        <v>173</v>
      </c>
      <c r="AH563">
        <v>129</v>
      </c>
      <c r="AI563">
        <v>7.75</v>
      </c>
      <c r="AJ563">
        <v>31.92</v>
      </c>
      <c r="AK563">
        <v>23.8</v>
      </c>
      <c r="AL563">
        <v>-20.122144949999949</v>
      </c>
      <c r="AM563">
        <v>-44.896761973125983</v>
      </c>
      <c r="AN563">
        <v>-20.122144949999949</v>
      </c>
      <c r="AO563">
        <v>-44.896761973125983</v>
      </c>
      <c r="AP563">
        <v>-20.122433000000001</v>
      </c>
      <c r="AQ563">
        <v>-44.897013999999999</v>
      </c>
      <c r="AR563">
        <v>41.499066772735389</v>
      </c>
      <c r="AS563" t="s">
        <v>65</v>
      </c>
      <c r="AT563">
        <v>1</v>
      </c>
      <c r="AU563" t="s">
        <v>203</v>
      </c>
      <c r="AV563" t="s">
        <v>204</v>
      </c>
      <c r="AW563" t="s">
        <v>60</v>
      </c>
      <c r="AX563" t="s">
        <v>68</v>
      </c>
      <c r="AY563" t="s">
        <v>69</v>
      </c>
      <c r="AZ563" t="b">
        <v>1</v>
      </c>
    </row>
    <row r="564" spans="1:52" x14ac:dyDescent="0.3">
      <c r="A564" t="s">
        <v>52</v>
      </c>
      <c r="B564" t="s">
        <v>53</v>
      </c>
      <c r="C564" t="s">
        <v>54</v>
      </c>
      <c r="D564" t="s">
        <v>55</v>
      </c>
      <c r="E564" t="s">
        <v>1617</v>
      </c>
      <c r="F564" t="s">
        <v>1247</v>
      </c>
      <c r="G564" t="s">
        <v>205</v>
      </c>
      <c r="H564" t="s">
        <v>206</v>
      </c>
      <c r="I564" t="s">
        <v>206</v>
      </c>
      <c r="J564" t="s">
        <v>60</v>
      </c>
      <c r="K564" t="s">
        <v>207</v>
      </c>
      <c r="L564" t="s">
        <v>62</v>
      </c>
      <c r="M564" t="s">
        <v>207</v>
      </c>
      <c r="N564" t="s">
        <v>208</v>
      </c>
      <c r="O564" t="s">
        <v>209</v>
      </c>
      <c r="P564">
        <v>-20.117533999999999</v>
      </c>
      <c r="Q564">
        <v>-44.892943000000002</v>
      </c>
      <c r="R564" s="2" t="str">
        <f>HYPERLINK("https://www.google.com/maps?q=-20.1175340,-44.8929430","Abrir no Google Maps")</f>
        <v>Abrir no Google Maps</v>
      </c>
      <c r="S564">
        <v>4</v>
      </c>
      <c r="T564">
        <v>601.98486688021592</v>
      </c>
      <c r="U564">
        <v>1</v>
      </c>
      <c r="V564">
        <v>0.367193675889328</v>
      </c>
      <c r="W564">
        <v>0.85</v>
      </c>
      <c r="X564">
        <v>0.31211462450592881</v>
      </c>
      <c r="Y564">
        <v>567</v>
      </c>
      <c r="Z564">
        <v>574.59225706016446</v>
      </c>
      <c r="AA564">
        <v>198</v>
      </c>
      <c r="AB564">
        <v>332</v>
      </c>
      <c r="AC564">
        <v>536</v>
      </c>
      <c r="AD564">
        <v>33.19</v>
      </c>
      <c r="AE564">
        <v>542</v>
      </c>
      <c r="AF564">
        <v>42</v>
      </c>
      <c r="AG564">
        <v>173</v>
      </c>
      <c r="AH564">
        <v>129</v>
      </c>
      <c r="AI564">
        <v>7.75</v>
      </c>
      <c r="AJ564">
        <v>31.92</v>
      </c>
      <c r="AK564">
        <v>23.8</v>
      </c>
      <c r="AL564">
        <v>-20.11671494999996</v>
      </c>
      <c r="AM564">
        <v>-44.89352717833448</v>
      </c>
      <c r="AN564">
        <v>-20.11671494999996</v>
      </c>
      <c r="AO564">
        <v>-44.89352717833448</v>
      </c>
      <c r="AP564">
        <v>-20.117533999999999</v>
      </c>
      <c r="AQ564">
        <v>-44.892943000000002</v>
      </c>
      <c r="AR564">
        <v>109.7357164799156</v>
      </c>
      <c r="AS564" t="s">
        <v>65</v>
      </c>
      <c r="AT564">
        <v>1</v>
      </c>
      <c r="AU564" t="s">
        <v>210</v>
      </c>
      <c r="AV564" t="s">
        <v>211</v>
      </c>
      <c r="AW564" t="s">
        <v>60</v>
      </c>
      <c r="AX564" t="s">
        <v>68</v>
      </c>
      <c r="AY564" t="s">
        <v>69</v>
      </c>
      <c r="AZ564" t="b">
        <v>1</v>
      </c>
    </row>
    <row r="565" spans="1:52" x14ac:dyDescent="0.3">
      <c r="A565" t="s">
        <v>52</v>
      </c>
      <c r="B565" t="s">
        <v>53</v>
      </c>
      <c r="C565" t="s">
        <v>54</v>
      </c>
      <c r="D565" t="s">
        <v>55</v>
      </c>
      <c r="E565" t="s">
        <v>1617</v>
      </c>
      <c r="F565" t="s">
        <v>1247</v>
      </c>
      <c r="G565" t="s">
        <v>851</v>
      </c>
      <c r="H565" t="s">
        <v>852</v>
      </c>
      <c r="I565" t="s">
        <v>852</v>
      </c>
      <c r="J565" t="s">
        <v>60</v>
      </c>
      <c r="K565" t="s">
        <v>853</v>
      </c>
      <c r="L565" t="s">
        <v>62</v>
      </c>
      <c r="M565" t="s">
        <v>853</v>
      </c>
      <c r="N565" t="s">
        <v>854</v>
      </c>
      <c r="O565" t="s">
        <v>855</v>
      </c>
      <c r="P565">
        <v>-20.127835000000001</v>
      </c>
      <c r="Q565">
        <v>-44.909329</v>
      </c>
      <c r="R565" s="2" t="str">
        <f>HYPERLINK("https://www.google.com/maps?q=-20.1278350,-44.9093290","Abrir no Google Maps")</f>
        <v>Abrir no Google Maps</v>
      </c>
      <c r="S565">
        <v>3</v>
      </c>
      <c r="T565">
        <v>1173.033690896357</v>
      </c>
      <c r="U565">
        <v>4</v>
      </c>
      <c r="V565">
        <v>0.43638933151225429</v>
      </c>
      <c r="W565">
        <v>1</v>
      </c>
      <c r="X565">
        <v>0.43638933151225429</v>
      </c>
      <c r="Y565">
        <v>581</v>
      </c>
      <c r="Z565">
        <v>1296.5011565926129</v>
      </c>
      <c r="AA565">
        <v>198</v>
      </c>
      <c r="AB565">
        <v>332</v>
      </c>
      <c r="AC565">
        <v>536</v>
      </c>
      <c r="AD565">
        <v>33.19</v>
      </c>
      <c r="AE565">
        <v>542</v>
      </c>
      <c r="AF565">
        <v>42</v>
      </c>
      <c r="AG565">
        <v>173</v>
      </c>
      <c r="AH565">
        <v>129</v>
      </c>
      <c r="AI565">
        <v>7.75</v>
      </c>
      <c r="AJ565">
        <v>31.92</v>
      </c>
      <c r="AK565">
        <v>23.8</v>
      </c>
      <c r="AL565">
        <v>-20.127852899999969</v>
      </c>
      <c r="AM565">
        <v>-44.909386667699948</v>
      </c>
      <c r="AN565">
        <v>-20.127852899999969</v>
      </c>
      <c r="AO565">
        <v>-44.909386667699948</v>
      </c>
      <c r="AP565">
        <v>-20.127835000000001</v>
      </c>
      <c r="AQ565">
        <v>-44.909329</v>
      </c>
      <c r="AR565">
        <v>6.3483385067119924</v>
      </c>
      <c r="AS565" t="s">
        <v>65</v>
      </c>
      <c r="AT565">
        <v>1</v>
      </c>
      <c r="AU565" t="s">
        <v>856</v>
      </c>
      <c r="AV565" t="s">
        <v>857</v>
      </c>
      <c r="AW565" t="s">
        <v>60</v>
      </c>
      <c r="AX565" t="s">
        <v>68</v>
      </c>
      <c r="AY565" t="s">
        <v>69</v>
      </c>
      <c r="AZ565" t="b">
        <v>1</v>
      </c>
    </row>
    <row r="566" spans="1:52" x14ac:dyDescent="0.3">
      <c r="A566" t="s">
        <v>52</v>
      </c>
      <c r="B566" t="s">
        <v>53</v>
      </c>
      <c r="C566" t="s">
        <v>54</v>
      </c>
      <c r="D566" t="s">
        <v>55</v>
      </c>
      <c r="E566" t="s">
        <v>1617</v>
      </c>
      <c r="F566" t="s">
        <v>1247</v>
      </c>
      <c r="G566" t="s">
        <v>870</v>
      </c>
      <c r="H566" t="s">
        <v>871</v>
      </c>
      <c r="I566" t="s">
        <v>871</v>
      </c>
      <c r="J566" t="s">
        <v>60</v>
      </c>
      <c r="K566" t="s">
        <v>475</v>
      </c>
      <c r="L566" t="s">
        <v>62</v>
      </c>
      <c r="M566" t="s">
        <v>475</v>
      </c>
      <c r="N566" t="s">
        <v>872</v>
      </c>
      <c r="O566" t="s">
        <v>507</v>
      </c>
      <c r="P566">
        <v>-20.176269999999999</v>
      </c>
      <c r="Q566">
        <v>-44.909323999999998</v>
      </c>
      <c r="R566" s="2" t="str">
        <f>HYPERLINK("https://www.google.com/maps?q=-20.1762700,-44.9093240","Abrir no Google Maps")</f>
        <v>Abrir no Google Maps</v>
      </c>
      <c r="S566">
        <v>3</v>
      </c>
      <c r="T566">
        <v>472.42731136821368</v>
      </c>
      <c r="U566">
        <v>4</v>
      </c>
      <c r="V566">
        <v>0.46851987428360148</v>
      </c>
      <c r="W566">
        <v>1</v>
      </c>
      <c r="X566">
        <v>0.46851987428360148</v>
      </c>
      <c r="Y566">
        <v>578</v>
      </c>
      <c r="Z566">
        <v>495.19726726344601</v>
      </c>
      <c r="AA566">
        <v>198</v>
      </c>
      <c r="AB566">
        <v>332</v>
      </c>
      <c r="AC566">
        <v>536</v>
      </c>
      <c r="AD566">
        <v>33.19</v>
      </c>
      <c r="AE566">
        <v>542</v>
      </c>
      <c r="AF566">
        <v>42</v>
      </c>
      <c r="AG566">
        <v>173</v>
      </c>
      <c r="AH566">
        <v>129</v>
      </c>
      <c r="AI566">
        <v>7.75</v>
      </c>
      <c r="AJ566">
        <v>31.92</v>
      </c>
      <c r="AK566">
        <v>23.8</v>
      </c>
      <c r="AL566">
        <v>-20.17630284999996</v>
      </c>
      <c r="AM566">
        <v>-44.909199064318948</v>
      </c>
      <c r="AN566">
        <v>-20.17630284999996</v>
      </c>
      <c r="AO566">
        <v>-44.909199064318948</v>
      </c>
      <c r="AP566">
        <v>-20.176269999999999</v>
      </c>
      <c r="AQ566">
        <v>-44.909323999999998</v>
      </c>
      <c r="AR566">
        <v>13.55691308737447</v>
      </c>
      <c r="AS566" t="s">
        <v>65</v>
      </c>
      <c r="AT566">
        <v>1</v>
      </c>
      <c r="AU566" t="s">
        <v>873</v>
      </c>
      <c r="AV566" t="s">
        <v>874</v>
      </c>
      <c r="AW566" t="s">
        <v>60</v>
      </c>
      <c r="AX566" t="s">
        <v>68</v>
      </c>
      <c r="AY566" t="s">
        <v>69</v>
      </c>
      <c r="AZ566" t="b">
        <v>1</v>
      </c>
    </row>
    <row r="567" spans="1:52" x14ac:dyDescent="0.3">
      <c r="A567" t="s">
        <v>52</v>
      </c>
      <c r="B567" t="s">
        <v>53</v>
      </c>
      <c r="C567" t="s">
        <v>54</v>
      </c>
      <c r="D567" t="s">
        <v>55</v>
      </c>
      <c r="E567" t="s">
        <v>1617</v>
      </c>
      <c r="F567" t="s">
        <v>1247</v>
      </c>
      <c r="G567" t="s">
        <v>473</v>
      </c>
      <c r="H567" t="s">
        <v>474</v>
      </c>
      <c r="I567" t="s">
        <v>474</v>
      </c>
      <c r="J567" t="s">
        <v>60</v>
      </c>
      <c r="K567" t="s">
        <v>475</v>
      </c>
      <c r="L567" t="s">
        <v>62</v>
      </c>
      <c r="M567" t="s">
        <v>475</v>
      </c>
      <c r="N567" t="s">
        <v>406</v>
      </c>
      <c r="O567" t="s">
        <v>476</v>
      </c>
      <c r="P567">
        <v>-20.177902</v>
      </c>
      <c r="Q567">
        <v>-44.908504000000001</v>
      </c>
      <c r="R567" s="2" t="str">
        <f>HYPERLINK("https://www.google.com/maps?q=-20.1779020,-44.9085040","Abrir no Google Maps")</f>
        <v>Abrir no Google Maps</v>
      </c>
      <c r="S567">
        <v>3</v>
      </c>
      <c r="T567">
        <v>656.92307673247149</v>
      </c>
      <c r="U567">
        <v>4</v>
      </c>
      <c r="V567">
        <v>0.4470292018170019</v>
      </c>
      <c r="W567">
        <v>1</v>
      </c>
      <c r="X567">
        <v>0.4470292018170019</v>
      </c>
      <c r="Y567">
        <v>578</v>
      </c>
      <c r="Z567">
        <v>635.01982153722327</v>
      </c>
      <c r="AA567">
        <v>198</v>
      </c>
      <c r="AB567">
        <v>332</v>
      </c>
      <c r="AC567">
        <v>536</v>
      </c>
      <c r="AD567">
        <v>33.19</v>
      </c>
      <c r="AE567">
        <v>542</v>
      </c>
      <c r="AF567">
        <v>42</v>
      </c>
      <c r="AG567">
        <v>173</v>
      </c>
      <c r="AH567">
        <v>129</v>
      </c>
      <c r="AI567">
        <v>7.75</v>
      </c>
      <c r="AJ567">
        <v>31.92</v>
      </c>
      <c r="AK567">
        <v>23.8</v>
      </c>
      <c r="AL567">
        <v>-20.177800399999938</v>
      </c>
      <c r="AM567">
        <v>-44.908361879701268</v>
      </c>
      <c r="AN567">
        <v>-20.177800399999938</v>
      </c>
      <c r="AO567">
        <v>-44.908361879701268</v>
      </c>
      <c r="AP567">
        <v>-20.177902</v>
      </c>
      <c r="AQ567">
        <v>-44.908504000000001</v>
      </c>
      <c r="AR567">
        <v>18.666463141775541</v>
      </c>
      <c r="AS567" t="s">
        <v>65</v>
      </c>
      <c r="AT567">
        <v>1</v>
      </c>
      <c r="AU567" t="s">
        <v>477</v>
      </c>
      <c r="AV567" t="s">
        <v>478</v>
      </c>
      <c r="AW567" t="s">
        <v>60</v>
      </c>
      <c r="AX567" t="s">
        <v>68</v>
      </c>
      <c r="AY567" t="s">
        <v>69</v>
      </c>
      <c r="AZ567" t="b">
        <v>1</v>
      </c>
    </row>
    <row r="568" spans="1:52" x14ac:dyDescent="0.3">
      <c r="A568" t="s">
        <v>52</v>
      </c>
      <c r="B568" t="s">
        <v>53</v>
      </c>
      <c r="C568" t="s">
        <v>54</v>
      </c>
      <c r="D568" t="s">
        <v>55</v>
      </c>
      <c r="E568" t="s">
        <v>1617</v>
      </c>
      <c r="F568" t="s">
        <v>1247</v>
      </c>
      <c r="G568" t="s">
        <v>497</v>
      </c>
      <c r="H568" t="s">
        <v>875</v>
      </c>
      <c r="I568" t="s">
        <v>875</v>
      </c>
      <c r="J568" t="s">
        <v>60</v>
      </c>
      <c r="K568" t="s">
        <v>475</v>
      </c>
      <c r="L568" t="s">
        <v>62</v>
      </c>
      <c r="M568" t="s">
        <v>475</v>
      </c>
      <c r="N568" t="s">
        <v>499</v>
      </c>
      <c r="O568" t="s">
        <v>876</v>
      </c>
      <c r="P568">
        <v>-20.177212999999998</v>
      </c>
      <c r="Q568">
        <v>-44.904026999999999</v>
      </c>
      <c r="R568" s="2" t="str">
        <f>HYPERLINK("https://www.google.com/maps?q=-20.1772130,-44.9040270","Abrir no Google Maps")</f>
        <v>Abrir no Google Maps</v>
      </c>
      <c r="S568">
        <v>3</v>
      </c>
      <c r="T568">
        <v>706.4159561113795</v>
      </c>
      <c r="U568">
        <v>4</v>
      </c>
      <c r="V568">
        <v>0.43738906964084517</v>
      </c>
      <c r="W568">
        <v>1</v>
      </c>
      <c r="X568">
        <v>0.43738906964084517</v>
      </c>
      <c r="Y568">
        <v>578</v>
      </c>
      <c r="Z568">
        <v>588.7160518608398</v>
      </c>
      <c r="AA568">
        <v>198</v>
      </c>
      <c r="AB568">
        <v>332</v>
      </c>
      <c r="AC568">
        <v>536</v>
      </c>
      <c r="AD568">
        <v>33.19</v>
      </c>
      <c r="AE568">
        <v>542</v>
      </c>
      <c r="AF568">
        <v>42</v>
      </c>
      <c r="AG568">
        <v>173</v>
      </c>
      <c r="AH568">
        <v>129</v>
      </c>
      <c r="AI568">
        <v>7.75</v>
      </c>
      <c r="AJ568">
        <v>31.92</v>
      </c>
      <c r="AK568">
        <v>23.8</v>
      </c>
      <c r="AL568">
        <v>-20.177090199999949</v>
      </c>
      <c r="AM568">
        <v>-44.904078820930181</v>
      </c>
      <c r="AN568">
        <v>-20.177090199999949</v>
      </c>
      <c r="AO568">
        <v>-44.904078820930181</v>
      </c>
      <c r="AP568">
        <v>-20.177212999999998</v>
      </c>
      <c r="AQ568">
        <v>-44.904026999999999</v>
      </c>
      <c r="AR568">
        <v>14.7034129632295</v>
      </c>
      <c r="AS568" t="s">
        <v>65</v>
      </c>
      <c r="AT568">
        <v>1</v>
      </c>
      <c r="AU568" t="s">
        <v>877</v>
      </c>
      <c r="AV568" t="s">
        <v>878</v>
      </c>
      <c r="AW568" t="s">
        <v>60</v>
      </c>
      <c r="AX568" t="s">
        <v>68</v>
      </c>
      <c r="AY568" t="s">
        <v>69</v>
      </c>
      <c r="AZ568" t="b">
        <v>1</v>
      </c>
    </row>
    <row r="569" spans="1:52" x14ac:dyDescent="0.3">
      <c r="A569" t="s">
        <v>52</v>
      </c>
      <c r="B569" t="s">
        <v>53</v>
      </c>
      <c r="C569" t="s">
        <v>54</v>
      </c>
      <c r="D569" t="s">
        <v>55</v>
      </c>
      <c r="E569" t="s">
        <v>1617</v>
      </c>
      <c r="F569" t="s">
        <v>1247</v>
      </c>
      <c r="G569" t="s">
        <v>380</v>
      </c>
      <c r="H569" t="s">
        <v>381</v>
      </c>
      <c r="I569" t="s">
        <v>381</v>
      </c>
      <c r="J569" t="s">
        <v>60</v>
      </c>
      <c r="K569" t="s">
        <v>72</v>
      </c>
      <c r="L569" t="s">
        <v>62</v>
      </c>
      <c r="M569" t="s">
        <v>72</v>
      </c>
      <c r="N569" t="s">
        <v>382</v>
      </c>
      <c r="O569" t="s">
        <v>383</v>
      </c>
      <c r="P569">
        <v>-20.147182000000001</v>
      </c>
      <c r="Q569">
        <v>-44.912728999999999</v>
      </c>
      <c r="R569" s="2" t="str">
        <f>HYPERLINK("https://www.google.com/maps?q=-20.1471820,-44.9127290","Abrir no Google Maps")</f>
        <v>Abrir no Google Maps</v>
      </c>
      <c r="S569">
        <v>3</v>
      </c>
      <c r="T569">
        <v>478.0141981540923</v>
      </c>
      <c r="U569">
        <v>3</v>
      </c>
      <c r="V569">
        <v>0.40358972298668172</v>
      </c>
      <c r="W569">
        <v>1</v>
      </c>
      <c r="X569">
        <v>0.40358972298668172</v>
      </c>
      <c r="Y569">
        <v>747</v>
      </c>
      <c r="Z569">
        <v>494.0254290673729</v>
      </c>
      <c r="AA569">
        <v>198</v>
      </c>
      <c r="AB569">
        <v>332</v>
      </c>
      <c r="AC569">
        <v>536</v>
      </c>
      <c r="AD569">
        <v>33.19</v>
      </c>
      <c r="AE569">
        <v>542</v>
      </c>
      <c r="AF569">
        <v>42</v>
      </c>
      <c r="AG569">
        <v>173</v>
      </c>
      <c r="AH569">
        <v>129</v>
      </c>
      <c r="AI569">
        <v>7.75</v>
      </c>
      <c r="AJ569">
        <v>31.92</v>
      </c>
      <c r="AK569">
        <v>23.8</v>
      </c>
      <c r="AL569">
        <v>-20.147375599999979</v>
      </c>
      <c r="AM569">
        <v>-44.912907472879468</v>
      </c>
      <c r="AN569">
        <v>-20.147375599999979</v>
      </c>
      <c r="AO569">
        <v>-44.912907472879468</v>
      </c>
      <c r="AP569">
        <v>-20.147182000000001</v>
      </c>
      <c r="AQ569">
        <v>-44.912728999999999</v>
      </c>
      <c r="AR569">
        <v>28.50197694184326</v>
      </c>
      <c r="AS569" t="s">
        <v>65</v>
      </c>
      <c r="AT569">
        <v>1</v>
      </c>
      <c r="AU569" t="s">
        <v>384</v>
      </c>
      <c r="AV569" t="s">
        <v>385</v>
      </c>
      <c r="AW569" t="s">
        <v>60</v>
      </c>
      <c r="AX569" t="s">
        <v>68</v>
      </c>
      <c r="AY569" t="s">
        <v>69</v>
      </c>
      <c r="AZ569" t="b">
        <v>1</v>
      </c>
    </row>
    <row r="570" spans="1:52" x14ac:dyDescent="0.3">
      <c r="A570" t="s">
        <v>52</v>
      </c>
      <c r="B570" t="s">
        <v>53</v>
      </c>
      <c r="C570" t="s">
        <v>54</v>
      </c>
      <c r="D570" t="s">
        <v>55</v>
      </c>
      <c r="E570" t="s">
        <v>1617</v>
      </c>
      <c r="F570" t="s">
        <v>1247</v>
      </c>
      <c r="G570" t="s">
        <v>833</v>
      </c>
      <c r="H570" t="s">
        <v>834</v>
      </c>
      <c r="I570" t="s">
        <v>834</v>
      </c>
      <c r="J570" t="s">
        <v>60</v>
      </c>
      <c r="K570" t="s">
        <v>388</v>
      </c>
      <c r="L570" t="s">
        <v>62</v>
      </c>
      <c r="M570" t="s">
        <v>388</v>
      </c>
      <c r="N570" t="s">
        <v>835</v>
      </c>
      <c r="O570" t="s">
        <v>836</v>
      </c>
      <c r="P570">
        <v>-20.157906000000001</v>
      </c>
      <c r="Q570">
        <v>-44.900458999999998</v>
      </c>
      <c r="R570" s="2" t="str">
        <f>HYPERLINK("https://www.google.com/maps?q=-20.1579060,-44.9004590","Abrir no Google Maps")</f>
        <v>Abrir no Google Maps</v>
      </c>
      <c r="S570">
        <v>3</v>
      </c>
      <c r="T570">
        <v>0</v>
      </c>
      <c r="U570">
        <v>3</v>
      </c>
      <c r="V570">
        <v>0.41832858364206321</v>
      </c>
      <c r="W570">
        <v>1</v>
      </c>
      <c r="X570">
        <v>0.41832858364206321</v>
      </c>
      <c r="Y570">
        <v>729</v>
      </c>
      <c r="Z570">
        <v>203.63168486652771</v>
      </c>
      <c r="AA570">
        <v>198</v>
      </c>
      <c r="AB570">
        <v>332</v>
      </c>
      <c r="AC570">
        <v>536</v>
      </c>
      <c r="AD570">
        <v>33.19</v>
      </c>
      <c r="AE570">
        <v>542</v>
      </c>
      <c r="AF570">
        <v>42</v>
      </c>
      <c r="AG570">
        <v>173</v>
      </c>
      <c r="AH570">
        <v>129</v>
      </c>
      <c r="AI570">
        <v>7.75</v>
      </c>
      <c r="AJ570">
        <v>31.92</v>
      </c>
      <c r="AK570">
        <v>23.8</v>
      </c>
      <c r="AL570">
        <v>-20.157925749999951</v>
      </c>
      <c r="AM570">
        <v>-44.900484707799812</v>
      </c>
      <c r="AN570">
        <v>-20.157925749999951</v>
      </c>
      <c r="AO570">
        <v>-44.900484707799812</v>
      </c>
      <c r="AP570">
        <v>-20.157906000000001</v>
      </c>
      <c r="AQ570">
        <v>-44.900458999999998</v>
      </c>
      <c r="AR570">
        <v>3.4714515960382508</v>
      </c>
      <c r="AS570" t="s">
        <v>65</v>
      </c>
      <c r="AT570">
        <v>1</v>
      </c>
      <c r="AU570" t="s">
        <v>837</v>
      </c>
      <c r="AV570" t="s">
        <v>838</v>
      </c>
      <c r="AW570" t="s">
        <v>60</v>
      </c>
      <c r="AX570" t="s">
        <v>68</v>
      </c>
      <c r="AY570" t="s">
        <v>69</v>
      </c>
      <c r="AZ570" t="b">
        <v>1</v>
      </c>
    </row>
    <row r="571" spans="1:52" x14ac:dyDescent="0.3">
      <c r="A571" t="s">
        <v>52</v>
      </c>
      <c r="B571" t="s">
        <v>53</v>
      </c>
      <c r="C571" t="s">
        <v>54</v>
      </c>
      <c r="D571" t="s">
        <v>55</v>
      </c>
      <c r="E571" t="s">
        <v>1617</v>
      </c>
      <c r="F571" t="s">
        <v>1247</v>
      </c>
      <c r="G571" t="s">
        <v>839</v>
      </c>
      <c r="H571" t="s">
        <v>840</v>
      </c>
      <c r="I571" t="s">
        <v>840</v>
      </c>
      <c r="J571" t="s">
        <v>60</v>
      </c>
      <c r="K571" t="s">
        <v>388</v>
      </c>
      <c r="L571" t="s">
        <v>62</v>
      </c>
      <c r="M571" t="s">
        <v>388</v>
      </c>
      <c r="N571" t="s">
        <v>841</v>
      </c>
      <c r="O571" t="s">
        <v>842</v>
      </c>
      <c r="P571">
        <v>-20.159977999999999</v>
      </c>
      <c r="Q571">
        <v>-44.900207000000002</v>
      </c>
      <c r="R571" s="2" t="str">
        <f>HYPERLINK("https://www.google.com/maps?q=-20.1599780,-44.9002070","Abrir no Google Maps")</f>
        <v>Abrir no Google Maps</v>
      </c>
      <c r="S571">
        <v>3</v>
      </c>
      <c r="T571">
        <v>213.24333517300789</v>
      </c>
      <c r="U571">
        <v>3</v>
      </c>
      <c r="V571">
        <v>0.39970377448638311</v>
      </c>
      <c r="W571">
        <v>1</v>
      </c>
      <c r="X571">
        <v>0.39970377448638311</v>
      </c>
      <c r="Y571">
        <v>729</v>
      </c>
      <c r="Z571">
        <v>315.47173727880028</v>
      </c>
      <c r="AA571">
        <v>198</v>
      </c>
      <c r="AB571">
        <v>332</v>
      </c>
      <c r="AC571">
        <v>536</v>
      </c>
      <c r="AD571">
        <v>33.19</v>
      </c>
      <c r="AE571">
        <v>542</v>
      </c>
      <c r="AF571">
        <v>42</v>
      </c>
      <c r="AG571">
        <v>173</v>
      </c>
      <c r="AH571">
        <v>129</v>
      </c>
      <c r="AI571">
        <v>7.75</v>
      </c>
      <c r="AJ571">
        <v>31.92</v>
      </c>
      <c r="AK571">
        <v>23.8</v>
      </c>
      <c r="AL571">
        <v>-20.159825649999959</v>
      </c>
      <c r="AM571">
        <v>-44.900143828909613</v>
      </c>
      <c r="AN571">
        <v>-20.159825649999959</v>
      </c>
      <c r="AO571">
        <v>-44.900143828909613</v>
      </c>
      <c r="AP571">
        <v>-20.159977999999999</v>
      </c>
      <c r="AQ571">
        <v>-44.900207000000002</v>
      </c>
      <c r="AR571">
        <v>18.199073573580371</v>
      </c>
      <c r="AS571" t="s">
        <v>65</v>
      </c>
      <c r="AT571">
        <v>1</v>
      </c>
      <c r="AU571" t="s">
        <v>843</v>
      </c>
      <c r="AV571" t="s">
        <v>844</v>
      </c>
      <c r="AW571" t="s">
        <v>60</v>
      </c>
      <c r="AX571" t="s">
        <v>68</v>
      </c>
      <c r="AY571" t="s">
        <v>69</v>
      </c>
      <c r="AZ571" t="b">
        <v>1</v>
      </c>
    </row>
    <row r="572" spans="1:52" x14ac:dyDescent="0.3">
      <c r="A572" t="s">
        <v>52</v>
      </c>
      <c r="B572" t="s">
        <v>53</v>
      </c>
      <c r="C572" t="s">
        <v>54</v>
      </c>
      <c r="D572" t="s">
        <v>55</v>
      </c>
      <c r="E572" t="s">
        <v>1617</v>
      </c>
      <c r="F572" t="s">
        <v>1247</v>
      </c>
      <c r="G572" t="s">
        <v>386</v>
      </c>
      <c r="H572" t="s">
        <v>387</v>
      </c>
      <c r="I572" t="s">
        <v>387</v>
      </c>
      <c r="J572" t="s">
        <v>60</v>
      </c>
      <c r="K572" t="s">
        <v>388</v>
      </c>
      <c r="L572" t="s">
        <v>62</v>
      </c>
      <c r="M572" t="s">
        <v>388</v>
      </c>
      <c r="N572" t="s">
        <v>389</v>
      </c>
      <c r="O572" t="s">
        <v>357</v>
      </c>
      <c r="P572">
        <v>-20.161041999999998</v>
      </c>
      <c r="Q572">
        <v>-44.901242000000003</v>
      </c>
      <c r="R572" s="2" t="str">
        <f>HYPERLINK("https://www.google.com/maps?q=-20.1610420,-44.9012420","Abrir no Google Maps")</f>
        <v>Abrir no Google Maps</v>
      </c>
      <c r="S572">
        <v>3</v>
      </c>
      <c r="T572">
        <v>440.22183232279212</v>
      </c>
      <c r="U572">
        <v>3</v>
      </c>
      <c r="V572">
        <v>0.38356538356538361</v>
      </c>
      <c r="W572">
        <v>1</v>
      </c>
      <c r="X572">
        <v>0.38356538356538361</v>
      </c>
      <c r="Y572">
        <v>729</v>
      </c>
      <c r="Z572">
        <v>398.48306829302379</v>
      </c>
      <c r="AA572">
        <v>198</v>
      </c>
      <c r="AB572">
        <v>332</v>
      </c>
      <c r="AC572">
        <v>536</v>
      </c>
      <c r="AD572">
        <v>33.19</v>
      </c>
      <c r="AE572">
        <v>542</v>
      </c>
      <c r="AF572">
        <v>42</v>
      </c>
      <c r="AG572">
        <v>173</v>
      </c>
      <c r="AH572">
        <v>129</v>
      </c>
      <c r="AI572">
        <v>7.75</v>
      </c>
      <c r="AJ572">
        <v>31.92</v>
      </c>
      <c r="AK572">
        <v>23.8</v>
      </c>
      <c r="AL572">
        <v>-20.16176629999995</v>
      </c>
      <c r="AM572">
        <v>-44.901582787827898</v>
      </c>
      <c r="AN572">
        <v>-20.16176629999995</v>
      </c>
      <c r="AO572">
        <v>-44.901582787827898</v>
      </c>
      <c r="AP572">
        <v>-20.161041999999998</v>
      </c>
      <c r="AQ572">
        <v>-44.901242000000003</v>
      </c>
      <c r="AR572">
        <v>88.143369157892835</v>
      </c>
      <c r="AS572" t="s">
        <v>65</v>
      </c>
      <c r="AT572">
        <v>1</v>
      </c>
      <c r="AU572" t="s">
        <v>390</v>
      </c>
      <c r="AV572" t="s">
        <v>391</v>
      </c>
      <c r="AW572" t="s">
        <v>60</v>
      </c>
      <c r="AX572" t="s">
        <v>68</v>
      </c>
      <c r="AY572" t="s">
        <v>69</v>
      </c>
      <c r="AZ572" t="b">
        <v>1</v>
      </c>
    </row>
    <row r="573" spans="1:52" x14ac:dyDescent="0.3">
      <c r="A573" t="s">
        <v>52</v>
      </c>
      <c r="B573" t="s">
        <v>53</v>
      </c>
      <c r="C573" t="s">
        <v>54</v>
      </c>
      <c r="D573" t="s">
        <v>55</v>
      </c>
      <c r="E573" t="s">
        <v>1617</v>
      </c>
      <c r="F573" t="s">
        <v>1247</v>
      </c>
      <c r="G573" t="s">
        <v>392</v>
      </c>
      <c r="H573" t="s">
        <v>393</v>
      </c>
      <c r="I573" t="s">
        <v>393</v>
      </c>
      <c r="J573" t="s">
        <v>60</v>
      </c>
      <c r="K573" t="s">
        <v>388</v>
      </c>
      <c r="L573" t="s">
        <v>62</v>
      </c>
      <c r="M573" t="s">
        <v>388</v>
      </c>
      <c r="N573" t="s">
        <v>394</v>
      </c>
      <c r="O573" t="s">
        <v>395</v>
      </c>
      <c r="P573">
        <v>-20.158066999999999</v>
      </c>
      <c r="Q573">
        <v>-44.908164999999997</v>
      </c>
      <c r="R573" s="2" t="str">
        <f>HYPERLINK("https://www.google.com/maps?q=-20.1580670,-44.9081650","Abrir no Google Maps")</f>
        <v>Abrir no Google Maps</v>
      </c>
      <c r="S573">
        <v>3</v>
      </c>
      <c r="T573">
        <v>666.74434317993041</v>
      </c>
      <c r="U573">
        <v>3</v>
      </c>
      <c r="V573">
        <v>0.38245676784427213</v>
      </c>
      <c r="W573">
        <v>1</v>
      </c>
      <c r="X573">
        <v>0.38245676784427213</v>
      </c>
      <c r="Y573">
        <v>729</v>
      </c>
      <c r="Z573">
        <v>612.4323328215396</v>
      </c>
      <c r="AA573">
        <v>198</v>
      </c>
      <c r="AB573">
        <v>332</v>
      </c>
      <c r="AC573">
        <v>536</v>
      </c>
      <c r="AD573">
        <v>33.19</v>
      </c>
      <c r="AE573">
        <v>542</v>
      </c>
      <c r="AF573">
        <v>42</v>
      </c>
      <c r="AG573">
        <v>173</v>
      </c>
      <c r="AH573">
        <v>129</v>
      </c>
      <c r="AI573">
        <v>7.75</v>
      </c>
      <c r="AJ573">
        <v>31.92</v>
      </c>
      <c r="AK573">
        <v>23.8</v>
      </c>
      <c r="AL573">
        <v>-20.158151449999959</v>
      </c>
      <c r="AM573">
        <v>-44.908107718360938</v>
      </c>
      <c r="AN573">
        <v>-20.158151449999959</v>
      </c>
      <c r="AO573">
        <v>-44.908107718360938</v>
      </c>
      <c r="AP573">
        <v>-20.158066999999999</v>
      </c>
      <c r="AQ573">
        <v>-44.908164999999997</v>
      </c>
      <c r="AR573">
        <v>11.14497345894574</v>
      </c>
      <c r="AS573" t="s">
        <v>65</v>
      </c>
      <c r="AT573">
        <v>1</v>
      </c>
      <c r="AU573" t="s">
        <v>396</v>
      </c>
      <c r="AV573" t="s">
        <v>397</v>
      </c>
      <c r="AW573" t="s">
        <v>60</v>
      </c>
      <c r="AX573" t="s">
        <v>68</v>
      </c>
      <c r="AY573" t="s">
        <v>69</v>
      </c>
      <c r="AZ573" t="b">
        <v>1</v>
      </c>
    </row>
    <row r="574" spans="1:52" x14ac:dyDescent="0.3">
      <c r="A574" t="s">
        <v>52</v>
      </c>
      <c r="B574" t="s">
        <v>53</v>
      </c>
      <c r="C574" t="s">
        <v>54</v>
      </c>
      <c r="D574" t="s">
        <v>55</v>
      </c>
      <c r="E574" t="s">
        <v>1617</v>
      </c>
      <c r="F574" t="s">
        <v>1247</v>
      </c>
      <c r="G574" t="s">
        <v>416</v>
      </c>
      <c r="H574" t="s">
        <v>417</v>
      </c>
      <c r="I574" t="s">
        <v>417</v>
      </c>
      <c r="J574" t="s">
        <v>60</v>
      </c>
      <c r="K574" t="s">
        <v>418</v>
      </c>
      <c r="L574" t="s">
        <v>62</v>
      </c>
      <c r="M574" t="s">
        <v>418</v>
      </c>
      <c r="N574" t="s">
        <v>419</v>
      </c>
      <c r="O574" t="s">
        <v>202</v>
      </c>
      <c r="P574">
        <v>-20.169886000000002</v>
      </c>
      <c r="Q574">
        <v>-44.913288000000001</v>
      </c>
      <c r="R574" s="2" t="str">
        <f>HYPERLINK("https://www.google.com/maps?q=-20.1698860,-44.9132880","Abrir no Google Maps")</f>
        <v>Abrir no Google Maps</v>
      </c>
      <c r="S574">
        <v>3</v>
      </c>
      <c r="T574">
        <v>422.88733632898152</v>
      </c>
      <c r="U574">
        <v>3</v>
      </c>
      <c r="V574">
        <v>0.39020137493647661</v>
      </c>
      <c r="W574">
        <v>1</v>
      </c>
      <c r="X574">
        <v>0.39020137493647661</v>
      </c>
      <c r="Y574">
        <v>723</v>
      </c>
      <c r="Z574">
        <v>128.65003864232261</v>
      </c>
      <c r="AA574">
        <v>198</v>
      </c>
      <c r="AB574">
        <v>332</v>
      </c>
      <c r="AC574">
        <v>536</v>
      </c>
      <c r="AD574">
        <v>33.19</v>
      </c>
      <c r="AE574">
        <v>542</v>
      </c>
      <c r="AF574">
        <v>42</v>
      </c>
      <c r="AG574">
        <v>173</v>
      </c>
      <c r="AH574">
        <v>129</v>
      </c>
      <c r="AI574">
        <v>7.75</v>
      </c>
      <c r="AJ574">
        <v>31.92</v>
      </c>
      <c r="AK574">
        <v>23.8</v>
      </c>
      <c r="AL574">
        <v>-20.16970024999998</v>
      </c>
      <c r="AM574">
        <v>-44.913502201257437</v>
      </c>
      <c r="AN574">
        <v>-20.16970024999998</v>
      </c>
      <c r="AO574">
        <v>-44.913502201257437</v>
      </c>
      <c r="AP574">
        <v>-20.169886000000002</v>
      </c>
      <c r="AQ574">
        <v>-44.913288000000001</v>
      </c>
      <c r="AR574">
        <v>30.47208587597606</v>
      </c>
      <c r="AS574" t="s">
        <v>65</v>
      </c>
      <c r="AT574">
        <v>1</v>
      </c>
      <c r="AU574" t="s">
        <v>420</v>
      </c>
      <c r="AV574" t="s">
        <v>421</v>
      </c>
      <c r="AW574" t="s">
        <v>60</v>
      </c>
      <c r="AX574" t="s">
        <v>68</v>
      </c>
      <c r="AY574" t="s">
        <v>69</v>
      </c>
      <c r="AZ574" t="b">
        <v>1</v>
      </c>
    </row>
    <row r="575" spans="1:52" x14ac:dyDescent="0.3">
      <c r="A575" t="s">
        <v>52</v>
      </c>
      <c r="B575" t="s">
        <v>53</v>
      </c>
      <c r="C575" t="s">
        <v>54</v>
      </c>
      <c r="D575" t="s">
        <v>55</v>
      </c>
      <c r="E575" t="s">
        <v>1617</v>
      </c>
      <c r="F575" t="s">
        <v>1247</v>
      </c>
      <c r="G575" t="s">
        <v>422</v>
      </c>
      <c r="H575" t="s">
        <v>423</v>
      </c>
      <c r="I575" t="s">
        <v>423</v>
      </c>
      <c r="J575" t="s">
        <v>60</v>
      </c>
      <c r="K575" t="s">
        <v>424</v>
      </c>
      <c r="L575" t="s">
        <v>62</v>
      </c>
      <c r="M575" t="s">
        <v>424</v>
      </c>
      <c r="N575" t="s">
        <v>425</v>
      </c>
      <c r="O575" t="s">
        <v>426</v>
      </c>
      <c r="P575">
        <v>-20.177748000000001</v>
      </c>
      <c r="Q575">
        <v>-44.912475000000001</v>
      </c>
      <c r="R575" s="2" t="str">
        <f>HYPERLINK("https://www.google.com/maps?q=-20.1777480,-44.9124750","Abrir no Google Maps")</f>
        <v>Abrir no Google Maps</v>
      </c>
      <c r="S575">
        <v>3</v>
      </c>
      <c r="T575">
        <v>657.07560140436533</v>
      </c>
      <c r="U575">
        <v>3</v>
      </c>
      <c r="V575">
        <v>0.42405646084861098</v>
      </c>
      <c r="W575">
        <v>1</v>
      </c>
      <c r="X575">
        <v>0.42405646084861098</v>
      </c>
      <c r="Y575">
        <v>723</v>
      </c>
      <c r="Z575">
        <v>796.94198000561175</v>
      </c>
      <c r="AA575">
        <v>198</v>
      </c>
      <c r="AB575">
        <v>332</v>
      </c>
      <c r="AC575">
        <v>536</v>
      </c>
      <c r="AD575">
        <v>33.19</v>
      </c>
      <c r="AE575">
        <v>542</v>
      </c>
      <c r="AF575">
        <v>42</v>
      </c>
      <c r="AG575">
        <v>173</v>
      </c>
      <c r="AH575">
        <v>129</v>
      </c>
      <c r="AI575">
        <v>7.75</v>
      </c>
      <c r="AJ575">
        <v>31.92</v>
      </c>
      <c r="AK575">
        <v>23.8</v>
      </c>
      <c r="AL575">
        <v>-20.177761749999949</v>
      </c>
      <c r="AM575">
        <v>-44.91263311624418</v>
      </c>
      <c r="AN575">
        <v>-20.177761749999949</v>
      </c>
      <c r="AO575">
        <v>-44.91263311624418</v>
      </c>
      <c r="AP575">
        <v>-20.177748000000001</v>
      </c>
      <c r="AQ575">
        <v>-44.912475000000001</v>
      </c>
      <c r="AR575">
        <v>16.591996803075372</v>
      </c>
      <c r="AS575" t="s">
        <v>65</v>
      </c>
      <c r="AT575">
        <v>1</v>
      </c>
      <c r="AU575" t="s">
        <v>427</v>
      </c>
      <c r="AV575" t="s">
        <v>428</v>
      </c>
      <c r="AW575" t="s">
        <v>60</v>
      </c>
      <c r="AX575" t="s">
        <v>68</v>
      </c>
      <c r="AY575" t="s">
        <v>69</v>
      </c>
      <c r="AZ575" t="b">
        <v>1</v>
      </c>
    </row>
    <row r="576" spans="1:52" x14ac:dyDescent="0.3">
      <c r="A576" t="s">
        <v>52</v>
      </c>
      <c r="B576" t="s">
        <v>53</v>
      </c>
      <c r="C576" t="s">
        <v>54</v>
      </c>
      <c r="D576" t="s">
        <v>55</v>
      </c>
      <c r="E576" t="s">
        <v>1617</v>
      </c>
      <c r="F576" t="s">
        <v>1247</v>
      </c>
      <c r="G576" t="s">
        <v>1312</v>
      </c>
      <c r="H576" t="s">
        <v>1313</v>
      </c>
      <c r="I576" t="s">
        <v>1313</v>
      </c>
      <c r="J576" t="s">
        <v>60</v>
      </c>
      <c r="K576" t="s">
        <v>1314</v>
      </c>
      <c r="L576" t="s">
        <v>62</v>
      </c>
      <c r="M576" t="s">
        <v>1314</v>
      </c>
      <c r="N576" t="s">
        <v>1315</v>
      </c>
      <c r="O576" t="s">
        <v>315</v>
      </c>
      <c r="P576">
        <v>-20.179649999999999</v>
      </c>
      <c r="Q576">
        <v>-44.927177</v>
      </c>
      <c r="R576" s="2" t="str">
        <f>HYPERLINK("https://www.google.com/maps?q=-20.1796500,-44.9271770","Abrir no Google Maps")</f>
        <v>Abrir no Google Maps</v>
      </c>
      <c r="S576">
        <v>3</v>
      </c>
      <c r="T576">
        <v>1742.181438658615</v>
      </c>
      <c r="U576">
        <v>3</v>
      </c>
      <c r="V576">
        <v>0.45659000679566508</v>
      </c>
      <c r="W576">
        <v>0.85</v>
      </c>
      <c r="X576">
        <v>0.3881015057763153</v>
      </c>
      <c r="Y576">
        <v>723</v>
      </c>
      <c r="Z576">
        <v>1801.262037027635</v>
      </c>
      <c r="AA576">
        <v>198</v>
      </c>
      <c r="AB576">
        <v>332</v>
      </c>
      <c r="AC576">
        <v>536</v>
      </c>
      <c r="AD576">
        <v>33.19</v>
      </c>
      <c r="AE576">
        <v>542</v>
      </c>
      <c r="AF576">
        <v>42</v>
      </c>
      <c r="AG576">
        <v>173</v>
      </c>
      <c r="AH576">
        <v>129</v>
      </c>
      <c r="AI576">
        <v>7.75</v>
      </c>
      <c r="AJ576">
        <v>31.92</v>
      </c>
      <c r="AK576">
        <v>23.8</v>
      </c>
      <c r="AL576">
        <v>-20.18058599999998</v>
      </c>
      <c r="AM576">
        <v>-44.926708474999977</v>
      </c>
      <c r="AN576">
        <v>-20.18058599999998</v>
      </c>
      <c r="AO576">
        <v>-44.926708474999977</v>
      </c>
      <c r="AP576">
        <v>-20.179649999999999</v>
      </c>
      <c r="AQ576">
        <v>-44.927177</v>
      </c>
      <c r="AR576">
        <v>115.1226868075416</v>
      </c>
      <c r="AS576" t="s">
        <v>65</v>
      </c>
      <c r="AT576">
        <v>1</v>
      </c>
      <c r="AU576" t="s">
        <v>1316</v>
      </c>
      <c r="AV576" t="s">
        <v>1317</v>
      </c>
      <c r="AW576" t="s">
        <v>60</v>
      </c>
      <c r="AX576" t="s">
        <v>68</v>
      </c>
      <c r="AY576" t="s">
        <v>69</v>
      </c>
      <c r="AZ576" t="b">
        <v>1</v>
      </c>
    </row>
    <row r="577" spans="1:52" x14ac:dyDescent="0.3">
      <c r="A577" t="s">
        <v>52</v>
      </c>
      <c r="B577" t="s">
        <v>53</v>
      </c>
      <c r="C577" t="s">
        <v>54</v>
      </c>
      <c r="D577" t="s">
        <v>55</v>
      </c>
      <c r="E577" t="s">
        <v>1617</v>
      </c>
      <c r="F577" t="s">
        <v>1247</v>
      </c>
      <c r="G577" t="s">
        <v>1318</v>
      </c>
      <c r="H577" t="s">
        <v>1319</v>
      </c>
      <c r="I577" t="s">
        <v>1319</v>
      </c>
      <c r="J577" t="s">
        <v>60</v>
      </c>
      <c r="K577" t="s">
        <v>1314</v>
      </c>
      <c r="L577" t="s">
        <v>62</v>
      </c>
      <c r="M577" t="s">
        <v>1314</v>
      </c>
      <c r="N577" t="s">
        <v>1320</v>
      </c>
      <c r="O577" t="s">
        <v>1321</v>
      </c>
      <c r="P577">
        <v>-20.178615000000001</v>
      </c>
      <c r="Q577">
        <v>-44.924697999999999</v>
      </c>
      <c r="R577" s="2" t="str">
        <f>HYPERLINK("https://www.google.com/maps?q=-20.1786150,-44.9246980","Abrir no Google Maps")</f>
        <v>Abrir no Google Maps</v>
      </c>
      <c r="S577">
        <v>3</v>
      </c>
      <c r="T577">
        <v>1583.462557226148</v>
      </c>
      <c r="U577">
        <v>3</v>
      </c>
      <c r="V577">
        <v>0.46288060212110838</v>
      </c>
      <c r="W577">
        <v>0.85</v>
      </c>
      <c r="X577">
        <v>0.3934485118029421</v>
      </c>
      <c r="Y577">
        <v>723</v>
      </c>
      <c r="Z577">
        <v>1414.1542726995031</v>
      </c>
      <c r="AA577">
        <v>198</v>
      </c>
      <c r="AB577">
        <v>332</v>
      </c>
      <c r="AC577">
        <v>536</v>
      </c>
      <c r="AD577">
        <v>33.19</v>
      </c>
      <c r="AE577">
        <v>542</v>
      </c>
      <c r="AF577">
        <v>42</v>
      </c>
      <c r="AG577">
        <v>173</v>
      </c>
      <c r="AH577">
        <v>129</v>
      </c>
      <c r="AI577">
        <v>7.75</v>
      </c>
      <c r="AJ577">
        <v>31.92</v>
      </c>
      <c r="AK577">
        <v>23.8</v>
      </c>
      <c r="AL577">
        <v>-20.17821329999995</v>
      </c>
      <c r="AM577">
        <v>-44.924188563452951</v>
      </c>
      <c r="AN577">
        <v>-20.17821329999995</v>
      </c>
      <c r="AO577">
        <v>-44.924188563452951</v>
      </c>
      <c r="AP577">
        <v>-20.178615000000001</v>
      </c>
      <c r="AQ577">
        <v>-44.924697999999999</v>
      </c>
      <c r="AR577">
        <v>69.520116290580319</v>
      </c>
      <c r="AS577" t="s">
        <v>65</v>
      </c>
      <c r="AT577">
        <v>1</v>
      </c>
      <c r="AU577" t="s">
        <v>1322</v>
      </c>
      <c r="AV577" t="s">
        <v>1317</v>
      </c>
      <c r="AW577" t="s">
        <v>60</v>
      </c>
      <c r="AX577" t="s">
        <v>68</v>
      </c>
      <c r="AY577" t="s">
        <v>69</v>
      </c>
      <c r="AZ577" t="b">
        <v>1</v>
      </c>
    </row>
    <row r="578" spans="1:52" x14ac:dyDescent="0.3">
      <c r="A578" t="s">
        <v>52</v>
      </c>
      <c r="B578" t="s">
        <v>53</v>
      </c>
      <c r="C578" t="s">
        <v>54</v>
      </c>
      <c r="D578" t="s">
        <v>55</v>
      </c>
      <c r="E578" t="s">
        <v>1617</v>
      </c>
      <c r="F578" t="s">
        <v>1247</v>
      </c>
      <c r="G578" t="s">
        <v>864</v>
      </c>
      <c r="H578" t="s">
        <v>865</v>
      </c>
      <c r="I578" t="s">
        <v>865</v>
      </c>
      <c r="J578" t="s">
        <v>60</v>
      </c>
      <c r="K578" t="s">
        <v>486</v>
      </c>
      <c r="L578" t="s">
        <v>62</v>
      </c>
      <c r="M578" t="s">
        <v>486</v>
      </c>
      <c r="N578" t="s">
        <v>866</v>
      </c>
      <c r="O578" t="s">
        <v>867</v>
      </c>
      <c r="P578">
        <v>-20.170919000000001</v>
      </c>
      <c r="Q578">
        <v>-44.905451999999997</v>
      </c>
      <c r="R578" s="2" t="str">
        <f>HYPERLINK("https://www.google.com/maps?q=-20.1709190,-44.9054520","Abrir no Google Maps")</f>
        <v>Abrir no Google Maps</v>
      </c>
      <c r="S578">
        <v>3</v>
      </c>
      <c r="T578">
        <v>0</v>
      </c>
      <c r="U578">
        <v>3</v>
      </c>
      <c r="V578">
        <v>0.3974754542440132</v>
      </c>
      <c r="W578">
        <v>1</v>
      </c>
      <c r="X578">
        <v>0.3974754542440132</v>
      </c>
      <c r="Y578">
        <v>578</v>
      </c>
      <c r="Z578">
        <v>205.34598855748419</v>
      </c>
      <c r="AA578">
        <v>198</v>
      </c>
      <c r="AB578">
        <v>332</v>
      </c>
      <c r="AC578">
        <v>536</v>
      </c>
      <c r="AD578">
        <v>33.19</v>
      </c>
      <c r="AE578">
        <v>542</v>
      </c>
      <c r="AF578">
        <v>42</v>
      </c>
      <c r="AG578">
        <v>173</v>
      </c>
      <c r="AH578">
        <v>129</v>
      </c>
      <c r="AI578">
        <v>7.75</v>
      </c>
      <c r="AJ578">
        <v>31.92</v>
      </c>
      <c r="AK578">
        <v>23.8</v>
      </c>
      <c r="AL578">
        <v>-20.170854399999939</v>
      </c>
      <c r="AM578">
        <v>-44.905524839633358</v>
      </c>
      <c r="AN578">
        <v>-20.170854399999939</v>
      </c>
      <c r="AO578">
        <v>-44.905524839633358</v>
      </c>
      <c r="AP578">
        <v>-20.170919000000001</v>
      </c>
      <c r="AQ578">
        <v>-44.905451999999997</v>
      </c>
      <c r="AR578">
        <v>10.471140355179269</v>
      </c>
      <c r="AS578" t="s">
        <v>65</v>
      </c>
      <c r="AT578">
        <v>1</v>
      </c>
      <c r="AU578" t="s">
        <v>868</v>
      </c>
      <c r="AV578" t="s">
        <v>869</v>
      </c>
      <c r="AW578" t="s">
        <v>60</v>
      </c>
      <c r="AX578" t="s">
        <v>68</v>
      </c>
      <c r="AY578" t="s">
        <v>69</v>
      </c>
      <c r="AZ578" t="b">
        <v>1</v>
      </c>
    </row>
    <row r="579" spans="1:52" x14ac:dyDescent="0.3">
      <c r="A579" t="s">
        <v>52</v>
      </c>
      <c r="B579" t="s">
        <v>53</v>
      </c>
      <c r="C579" t="s">
        <v>54</v>
      </c>
      <c r="D579" t="s">
        <v>55</v>
      </c>
      <c r="E579" t="s">
        <v>1617</v>
      </c>
      <c r="F579" t="s">
        <v>1247</v>
      </c>
      <c r="G579" t="s">
        <v>1376</v>
      </c>
      <c r="H579" t="s">
        <v>1377</v>
      </c>
      <c r="I579" t="s">
        <v>1377</v>
      </c>
      <c r="J579" t="s">
        <v>60</v>
      </c>
      <c r="K579" t="s">
        <v>475</v>
      </c>
      <c r="L579" t="s">
        <v>62</v>
      </c>
      <c r="M579" t="s">
        <v>475</v>
      </c>
      <c r="N579" t="s">
        <v>1378</v>
      </c>
      <c r="O579" t="s">
        <v>1379</v>
      </c>
      <c r="P579">
        <v>-20.175298000000002</v>
      </c>
      <c r="Q579">
        <v>-44.904794000000003</v>
      </c>
      <c r="R579" s="2" t="str">
        <f>HYPERLINK("https://www.google.com/maps?q=-20.1752980,-44.9047940","Abrir no Google Maps")</f>
        <v>Abrir no Google Maps</v>
      </c>
      <c r="S579">
        <v>3</v>
      </c>
      <c r="T579">
        <v>497.7557906927301</v>
      </c>
      <c r="U579">
        <v>3</v>
      </c>
      <c r="V579">
        <v>0.45286384291997761</v>
      </c>
      <c r="W579">
        <v>0.85</v>
      </c>
      <c r="X579">
        <v>0.38493426648198098</v>
      </c>
      <c r="Y579">
        <v>578</v>
      </c>
      <c r="Z579">
        <v>363.80816567363502</v>
      </c>
      <c r="AA579">
        <v>198</v>
      </c>
      <c r="AB579">
        <v>332</v>
      </c>
      <c r="AC579">
        <v>536</v>
      </c>
      <c r="AD579">
        <v>33.19</v>
      </c>
      <c r="AE579">
        <v>542</v>
      </c>
      <c r="AF579">
        <v>42</v>
      </c>
      <c r="AG579">
        <v>173</v>
      </c>
      <c r="AH579">
        <v>129</v>
      </c>
      <c r="AI579">
        <v>7.75</v>
      </c>
      <c r="AJ579">
        <v>31.92</v>
      </c>
      <c r="AK579">
        <v>23.8</v>
      </c>
      <c r="AL579">
        <v>-20.17530484999995</v>
      </c>
      <c r="AM579">
        <v>-44.904834224351781</v>
      </c>
      <c r="AN579">
        <v>-20.17530484999995</v>
      </c>
      <c r="AO579">
        <v>-44.904834224351781</v>
      </c>
      <c r="AP579">
        <v>-20.175298000000002</v>
      </c>
      <c r="AQ579">
        <v>-44.904794000000003</v>
      </c>
      <c r="AR579">
        <v>4.2716392411563806</v>
      </c>
      <c r="AS579" t="s">
        <v>65</v>
      </c>
      <c r="AT579">
        <v>1</v>
      </c>
      <c r="AU579" t="s">
        <v>1380</v>
      </c>
      <c r="AV579" t="s">
        <v>1381</v>
      </c>
      <c r="AW579" t="s">
        <v>60</v>
      </c>
      <c r="AX579" t="s">
        <v>68</v>
      </c>
      <c r="AY579" t="s">
        <v>69</v>
      </c>
      <c r="AZ579" t="b">
        <v>1</v>
      </c>
    </row>
    <row r="580" spans="1:52" x14ac:dyDescent="0.3">
      <c r="A580" t="s">
        <v>52</v>
      </c>
      <c r="B580" t="s">
        <v>53</v>
      </c>
      <c r="C580" t="s">
        <v>54</v>
      </c>
      <c r="D580" t="s">
        <v>55</v>
      </c>
      <c r="E580" t="s">
        <v>1617</v>
      </c>
      <c r="F580" t="s">
        <v>1247</v>
      </c>
      <c r="G580" t="s">
        <v>479</v>
      </c>
      <c r="H580" t="s">
        <v>480</v>
      </c>
      <c r="I580" t="s">
        <v>480</v>
      </c>
      <c r="J580" t="s">
        <v>60</v>
      </c>
      <c r="K580" t="s">
        <v>388</v>
      </c>
      <c r="L580" t="s">
        <v>62</v>
      </c>
      <c r="M580" t="s">
        <v>388</v>
      </c>
      <c r="N580" t="s">
        <v>481</v>
      </c>
      <c r="O580" t="s">
        <v>315</v>
      </c>
      <c r="P580">
        <v>-20.166903999999999</v>
      </c>
      <c r="Q580">
        <v>-44.903492</v>
      </c>
      <c r="R580" s="2" t="str">
        <f>HYPERLINK("https://www.google.com/maps?q=-20.1669040,-44.9034920","Abrir no Google Maps")</f>
        <v>Abrir no Google Maps</v>
      </c>
      <c r="S580">
        <v>3</v>
      </c>
      <c r="T580">
        <v>517.12253532511602</v>
      </c>
      <c r="U580">
        <v>3</v>
      </c>
      <c r="V580">
        <v>0.39945923131710148</v>
      </c>
      <c r="W580">
        <v>1</v>
      </c>
      <c r="X580">
        <v>0.39945923131710148</v>
      </c>
      <c r="Y580">
        <v>578</v>
      </c>
      <c r="Z580">
        <v>721.79551240050432</v>
      </c>
      <c r="AA580">
        <v>198</v>
      </c>
      <c r="AB580">
        <v>332</v>
      </c>
      <c r="AC580">
        <v>536</v>
      </c>
      <c r="AD580">
        <v>33.19</v>
      </c>
      <c r="AE580">
        <v>542</v>
      </c>
      <c r="AF580">
        <v>42</v>
      </c>
      <c r="AG580">
        <v>173</v>
      </c>
      <c r="AH580">
        <v>129</v>
      </c>
      <c r="AI580">
        <v>7.75</v>
      </c>
      <c r="AJ580">
        <v>31.92</v>
      </c>
      <c r="AK580">
        <v>23.8</v>
      </c>
      <c r="AL580">
        <v>-20.166610649999971</v>
      </c>
      <c r="AM580">
        <v>-44.903452988928308</v>
      </c>
      <c r="AN580">
        <v>-20.166610649999971</v>
      </c>
      <c r="AO580">
        <v>-44.903452988928308</v>
      </c>
      <c r="AP580">
        <v>-20.166903999999999</v>
      </c>
      <c r="AQ580">
        <v>-44.903492</v>
      </c>
      <c r="AR580">
        <v>32.909175876856217</v>
      </c>
      <c r="AS580" t="s">
        <v>65</v>
      </c>
      <c r="AT580">
        <v>1</v>
      </c>
      <c r="AU580" t="s">
        <v>482</v>
      </c>
      <c r="AV580" t="s">
        <v>483</v>
      </c>
      <c r="AW580" t="s">
        <v>60</v>
      </c>
      <c r="AX580" t="s">
        <v>68</v>
      </c>
      <c r="AY580" t="s">
        <v>69</v>
      </c>
      <c r="AZ580" t="b">
        <v>1</v>
      </c>
    </row>
    <row r="581" spans="1:52" x14ac:dyDescent="0.3">
      <c r="A581" t="s">
        <v>52</v>
      </c>
      <c r="B581" t="s">
        <v>53</v>
      </c>
      <c r="C581" t="s">
        <v>54</v>
      </c>
      <c r="D581" t="s">
        <v>55</v>
      </c>
      <c r="E581" t="s">
        <v>1617</v>
      </c>
      <c r="F581" t="s">
        <v>1247</v>
      </c>
      <c r="G581" t="s">
        <v>484</v>
      </c>
      <c r="H581" t="s">
        <v>485</v>
      </c>
      <c r="I581" t="s">
        <v>485</v>
      </c>
      <c r="J581" t="s">
        <v>60</v>
      </c>
      <c r="K581" t="s">
        <v>486</v>
      </c>
      <c r="L581" t="s">
        <v>62</v>
      </c>
      <c r="M581" t="s">
        <v>486</v>
      </c>
      <c r="N581" t="s">
        <v>487</v>
      </c>
      <c r="O581" t="s">
        <v>488</v>
      </c>
      <c r="P581">
        <v>-20.173000999999999</v>
      </c>
      <c r="Q581">
        <v>-44.901876999999999</v>
      </c>
      <c r="R581" s="2" t="str">
        <f>HYPERLINK("https://www.google.com/maps?q=-20.1730010,-44.9018770","Abrir no Google Maps")</f>
        <v>Abrir no Google Maps</v>
      </c>
      <c r="S581">
        <v>3</v>
      </c>
      <c r="T581">
        <v>437.59695450783011</v>
      </c>
      <c r="U581">
        <v>3</v>
      </c>
      <c r="V581">
        <v>0.42639471838418869</v>
      </c>
      <c r="W581">
        <v>1</v>
      </c>
      <c r="X581">
        <v>0.42639471838418869</v>
      </c>
      <c r="Y581">
        <v>578</v>
      </c>
      <c r="Z581">
        <v>440.53629183653243</v>
      </c>
      <c r="AA581">
        <v>198</v>
      </c>
      <c r="AB581">
        <v>332</v>
      </c>
      <c r="AC581">
        <v>536</v>
      </c>
      <c r="AD581">
        <v>33.19</v>
      </c>
      <c r="AE581">
        <v>542</v>
      </c>
      <c r="AF581">
        <v>42</v>
      </c>
      <c r="AG581">
        <v>173</v>
      </c>
      <c r="AH581">
        <v>129</v>
      </c>
      <c r="AI581">
        <v>7.75</v>
      </c>
      <c r="AJ581">
        <v>31.92</v>
      </c>
      <c r="AK581">
        <v>23.8</v>
      </c>
      <c r="AL581">
        <v>-20.173065299999969</v>
      </c>
      <c r="AM581">
        <v>-44.902052686008687</v>
      </c>
      <c r="AN581">
        <v>-20.173065299999969</v>
      </c>
      <c r="AO581">
        <v>-44.902052686008687</v>
      </c>
      <c r="AP581">
        <v>-20.173000999999999</v>
      </c>
      <c r="AQ581">
        <v>-44.901876999999999</v>
      </c>
      <c r="AR581">
        <v>19.703745070768829</v>
      </c>
      <c r="AS581" t="s">
        <v>65</v>
      </c>
      <c r="AT581">
        <v>1</v>
      </c>
      <c r="AU581" t="s">
        <v>489</v>
      </c>
      <c r="AV581" t="s">
        <v>490</v>
      </c>
      <c r="AW581" t="s">
        <v>60</v>
      </c>
      <c r="AX581" t="s">
        <v>68</v>
      </c>
      <c r="AY581" t="s">
        <v>69</v>
      </c>
      <c r="AZ581" t="b">
        <v>1</v>
      </c>
    </row>
    <row r="582" spans="1:52" x14ac:dyDescent="0.3">
      <c r="A582" t="s">
        <v>52</v>
      </c>
      <c r="B582" t="s">
        <v>53</v>
      </c>
      <c r="C582" t="s">
        <v>54</v>
      </c>
      <c r="D582" t="s">
        <v>55</v>
      </c>
      <c r="E582" t="s">
        <v>1617</v>
      </c>
      <c r="F582" t="s">
        <v>1247</v>
      </c>
      <c r="G582" t="s">
        <v>491</v>
      </c>
      <c r="H582" t="s">
        <v>492</v>
      </c>
      <c r="I582" t="s">
        <v>492</v>
      </c>
      <c r="J582" t="s">
        <v>60</v>
      </c>
      <c r="K582" t="s">
        <v>475</v>
      </c>
      <c r="L582" t="s">
        <v>62</v>
      </c>
      <c r="M582" t="s">
        <v>475</v>
      </c>
      <c r="N582" t="s">
        <v>493</v>
      </c>
      <c r="O582" t="s">
        <v>494</v>
      </c>
      <c r="P582">
        <v>-20.175250999999999</v>
      </c>
      <c r="Q582">
        <v>-44.897357</v>
      </c>
      <c r="R582" s="2" t="str">
        <f>HYPERLINK("https://www.google.com/maps?q=-20.1752510,-44.8973570","Abrir no Google Maps")</f>
        <v>Abrir no Google Maps</v>
      </c>
      <c r="S582">
        <v>3</v>
      </c>
      <c r="T582">
        <v>992.29631678149951</v>
      </c>
      <c r="U582">
        <v>3</v>
      </c>
      <c r="V582">
        <v>0.42141104294478532</v>
      </c>
      <c r="W582">
        <v>1</v>
      </c>
      <c r="X582">
        <v>0.42141104294478532</v>
      </c>
      <c r="Y582">
        <v>578</v>
      </c>
      <c r="Z582">
        <v>1008.5871064168319</v>
      </c>
      <c r="AA582">
        <v>198</v>
      </c>
      <c r="AB582">
        <v>332</v>
      </c>
      <c r="AC582">
        <v>536</v>
      </c>
      <c r="AD582">
        <v>33.19</v>
      </c>
      <c r="AE582">
        <v>542</v>
      </c>
      <c r="AF582">
        <v>42</v>
      </c>
      <c r="AG582">
        <v>173</v>
      </c>
      <c r="AH582">
        <v>129</v>
      </c>
      <c r="AI582">
        <v>7.75</v>
      </c>
      <c r="AJ582">
        <v>31.92</v>
      </c>
      <c r="AK582">
        <v>23.8</v>
      </c>
      <c r="AL582">
        <v>-20.175290599999951</v>
      </c>
      <c r="AM582">
        <v>-44.897271931010721</v>
      </c>
      <c r="AN582">
        <v>-20.175290599999951</v>
      </c>
      <c r="AO582">
        <v>-44.897271931010721</v>
      </c>
      <c r="AP582">
        <v>-20.175250999999999</v>
      </c>
      <c r="AQ582">
        <v>-44.897357</v>
      </c>
      <c r="AR582">
        <v>9.921899108467926</v>
      </c>
      <c r="AS582" t="s">
        <v>65</v>
      </c>
      <c r="AT582">
        <v>1</v>
      </c>
      <c r="AU582" t="s">
        <v>495</v>
      </c>
      <c r="AV582" t="s">
        <v>496</v>
      </c>
      <c r="AW582" t="s">
        <v>60</v>
      </c>
      <c r="AX582" t="s">
        <v>68</v>
      </c>
      <c r="AY582" t="s">
        <v>69</v>
      </c>
      <c r="AZ582" t="b">
        <v>1</v>
      </c>
    </row>
    <row r="583" spans="1:52" x14ac:dyDescent="0.3">
      <c r="A583" t="s">
        <v>52</v>
      </c>
      <c r="B583" t="s">
        <v>53</v>
      </c>
      <c r="C583" t="s">
        <v>54</v>
      </c>
      <c r="D583" t="s">
        <v>55</v>
      </c>
      <c r="E583" t="s">
        <v>1617</v>
      </c>
      <c r="F583" t="s">
        <v>1247</v>
      </c>
      <c r="G583" t="s">
        <v>497</v>
      </c>
      <c r="H583" t="s">
        <v>498</v>
      </c>
      <c r="I583" t="s">
        <v>498</v>
      </c>
      <c r="J583" t="s">
        <v>60</v>
      </c>
      <c r="K583" t="s">
        <v>475</v>
      </c>
      <c r="L583" t="s">
        <v>62</v>
      </c>
      <c r="M583" t="s">
        <v>475</v>
      </c>
      <c r="N583" t="s">
        <v>499</v>
      </c>
      <c r="O583" t="s">
        <v>500</v>
      </c>
      <c r="P583">
        <v>-20.175492999999999</v>
      </c>
      <c r="Q583">
        <v>-44.900759000000001</v>
      </c>
      <c r="R583" s="2" t="str">
        <f>HYPERLINK("https://www.google.com/maps?q=-20.1754930,-44.9007590","Abrir no Google Maps")</f>
        <v>Abrir no Google Maps</v>
      </c>
      <c r="S583">
        <v>3</v>
      </c>
      <c r="T583">
        <v>753.30732354720431</v>
      </c>
      <c r="U583">
        <v>3</v>
      </c>
      <c r="V583">
        <v>0.42217020666698402</v>
      </c>
      <c r="W583">
        <v>1</v>
      </c>
      <c r="X583">
        <v>0.42217020666698402</v>
      </c>
      <c r="Y583">
        <v>578</v>
      </c>
      <c r="Z583">
        <v>695.28903655431702</v>
      </c>
      <c r="AA583">
        <v>198</v>
      </c>
      <c r="AB583">
        <v>332</v>
      </c>
      <c r="AC583">
        <v>536</v>
      </c>
      <c r="AD583">
        <v>33.19</v>
      </c>
      <c r="AE583">
        <v>542</v>
      </c>
      <c r="AF583">
        <v>42</v>
      </c>
      <c r="AG583">
        <v>173</v>
      </c>
      <c r="AH583">
        <v>129</v>
      </c>
      <c r="AI583">
        <v>7.75</v>
      </c>
      <c r="AJ583">
        <v>31.92</v>
      </c>
      <c r="AK583">
        <v>23.8</v>
      </c>
      <c r="AL583">
        <v>-20.175825999999969</v>
      </c>
      <c r="AM583">
        <v>-44.900600234646973</v>
      </c>
      <c r="AN583">
        <v>-20.175825999999969</v>
      </c>
      <c r="AO583">
        <v>-44.900600234646973</v>
      </c>
      <c r="AP583">
        <v>-20.175492999999999</v>
      </c>
      <c r="AQ583">
        <v>-44.900759000000001</v>
      </c>
      <c r="AR583">
        <v>40.612267304645073</v>
      </c>
      <c r="AS583" t="s">
        <v>65</v>
      </c>
      <c r="AT583">
        <v>1</v>
      </c>
      <c r="AU583" t="s">
        <v>501</v>
      </c>
      <c r="AV583" t="s">
        <v>502</v>
      </c>
      <c r="AW583" t="s">
        <v>60</v>
      </c>
      <c r="AX583" t="s">
        <v>68</v>
      </c>
      <c r="AY583" t="s">
        <v>69</v>
      </c>
      <c r="AZ583" t="b">
        <v>1</v>
      </c>
    </row>
    <row r="584" spans="1:52" x14ac:dyDescent="0.3">
      <c r="A584" t="s">
        <v>52</v>
      </c>
      <c r="B584" t="s">
        <v>53</v>
      </c>
      <c r="C584" t="s">
        <v>54</v>
      </c>
      <c r="D584" t="s">
        <v>55</v>
      </c>
      <c r="E584" t="s">
        <v>1617</v>
      </c>
      <c r="F584" t="s">
        <v>1247</v>
      </c>
      <c r="G584" t="s">
        <v>879</v>
      </c>
      <c r="H584" t="s">
        <v>880</v>
      </c>
      <c r="I584" t="s">
        <v>880</v>
      </c>
      <c r="J584" t="s">
        <v>60</v>
      </c>
      <c r="K584" t="s">
        <v>505</v>
      </c>
      <c r="L584" t="s">
        <v>62</v>
      </c>
      <c r="M584" t="s">
        <v>505</v>
      </c>
      <c r="N584" t="s">
        <v>881</v>
      </c>
      <c r="O584" t="s">
        <v>882</v>
      </c>
      <c r="P584">
        <v>-20.133452999999999</v>
      </c>
      <c r="Q584">
        <v>-44.890571999999999</v>
      </c>
      <c r="R584" s="2" t="str">
        <f>HYPERLINK("https://www.google.com/maps?q=-20.1334530,-44.8905720","Abrir no Google Maps")</f>
        <v>Abrir no Google Maps</v>
      </c>
      <c r="S584">
        <v>3</v>
      </c>
      <c r="T584">
        <v>373.51332104809921</v>
      </c>
      <c r="U584">
        <v>3</v>
      </c>
      <c r="V584">
        <v>0.38488020176544763</v>
      </c>
      <c r="W584">
        <v>1</v>
      </c>
      <c r="X584">
        <v>0.38488020176544763</v>
      </c>
      <c r="Y584">
        <v>564</v>
      </c>
      <c r="Z584">
        <v>422.34693311930448</v>
      </c>
      <c r="AA584">
        <v>198</v>
      </c>
      <c r="AB584">
        <v>332</v>
      </c>
      <c r="AC584">
        <v>536</v>
      </c>
      <c r="AD584">
        <v>33.19</v>
      </c>
      <c r="AE584">
        <v>542</v>
      </c>
      <c r="AF584">
        <v>42</v>
      </c>
      <c r="AG584">
        <v>173</v>
      </c>
      <c r="AH584">
        <v>129</v>
      </c>
      <c r="AI584">
        <v>7.75</v>
      </c>
      <c r="AJ584">
        <v>31.92</v>
      </c>
      <c r="AK584">
        <v>23.8</v>
      </c>
      <c r="AL584">
        <v>-20.133421549999952</v>
      </c>
      <c r="AM584">
        <v>-44.890623456009052</v>
      </c>
      <c r="AN584">
        <v>-20.133421549999952</v>
      </c>
      <c r="AO584">
        <v>-44.890623456009052</v>
      </c>
      <c r="AP584">
        <v>-20.133452999999999</v>
      </c>
      <c r="AQ584">
        <v>-44.890571999999999</v>
      </c>
      <c r="AR584">
        <v>6.4172139275452773</v>
      </c>
      <c r="AS584" t="s">
        <v>65</v>
      </c>
      <c r="AT584">
        <v>1</v>
      </c>
      <c r="AU584" t="s">
        <v>883</v>
      </c>
      <c r="AV584" t="s">
        <v>884</v>
      </c>
      <c r="AW584" t="s">
        <v>60</v>
      </c>
      <c r="AX584" t="s">
        <v>68</v>
      </c>
      <c r="AY584" t="s">
        <v>69</v>
      </c>
      <c r="AZ584" t="b">
        <v>1</v>
      </c>
    </row>
    <row r="585" spans="1:52" x14ac:dyDescent="0.3">
      <c r="A585" t="s">
        <v>52</v>
      </c>
      <c r="B585" t="s">
        <v>53</v>
      </c>
      <c r="C585" t="s">
        <v>54</v>
      </c>
      <c r="D585" t="s">
        <v>55</v>
      </c>
      <c r="E585" t="s">
        <v>1617</v>
      </c>
      <c r="F585" t="s">
        <v>1247</v>
      </c>
      <c r="G585" t="s">
        <v>1435</v>
      </c>
      <c r="H585" t="s">
        <v>1436</v>
      </c>
      <c r="I585" t="s">
        <v>1436</v>
      </c>
      <c r="J585" t="s">
        <v>60</v>
      </c>
      <c r="K585" t="s">
        <v>886</v>
      </c>
      <c r="L585" t="s">
        <v>62</v>
      </c>
      <c r="M585" t="s">
        <v>886</v>
      </c>
      <c r="N585" t="s">
        <v>1437</v>
      </c>
      <c r="O585" t="s">
        <v>1438</v>
      </c>
      <c r="P585">
        <v>-20.131108000000001</v>
      </c>
      <c r="Q585">
        <v>-44.893228000000001</v>
      </c>
      <c r="R585" s="2" t="str">
        <f>HYPERLINK("https://www.google.com/maps?q=-20.1311080,-44.8932280","Abrir no Google Maps")</f>
        <v>Abrir no Google Maps</v>
      </c>
      <c r="S585">
        <v>3</v>
      </c>
      <c r="T585">
        <v>548.07497919430136</v>
      </c>
      <c r="U585">
        <v>3</v>
      </c>
      <c r="V585">
        <v>0.47145511720983418</v>
      </c>
      <c r="W585">
        <v>0.85</v>
      </c>
      <c r="X585">
        <v>0.40073684962835898</v>
      </c>
      <c r="Y585">
        <v>564</v>
      </c>
      <c r="Z585">
        <v>369.17139216388432</v>
      </c>
      <c r="AA585">
        <v>198</v>
      </c>
      <c r="AB585">
        <v>332</v>
      </c>
      <c r="AC585">
        <v>536</v>
      </c>
      <c r="AD585">
        <v>33.19</v>
      </c>
      <c r="AE585">
        <v>542</v>
      </c>
      <c r="AF585">
        <v>42</v>
      </c>
      <c r="AG585">
        <v>173</v>
      </c>
      <c r="AH585">
        <v>129</v>
      </c>
      <c r="AI585">
        <v>7.75</v>
      </c>
      <c r="AJ585">
        <v>31.92</v>
      </c>
      <c r="AK585">
        <v>23.8</v>
      </c>
      <c r="AL585">
        <v>-20.13103294999997</v>
      </c>
      <c r="AM585">
        <v>-44.89318457893738</v>
      </c>
      <c r="AN585">
        <v>-20.13103294999997</v>
      </c>
      <c r="AO585">
        <v>-44.89318457893738</v>
      </c>
      <c r="AP585">
        <v>-20.131108000000001</v>
      </c>
      <c r="AQ585">
        <v>-44.893228000000001</v>
      </c>
      <c r="AR585">
        <v>9.5076426885244203</v>
      </c>
      <c r="AS585" t="s">
        <v>65</v>
      </c>
      <c r="AT585">
        <v>1</v>
      </c>
      <c r="AU585" t="s">
        <v>1439</v>
      </c>
      <c r="AV585" t="s">
        <v>1440</v>
      </c>
      <c r="AW585" t="s">
        <v>60</v>
      </c>
      <c r="AX585" t="s">
        <v>68</v>
      </c>
      <c r="AY585" t="s">
        <v>69</v>
      </c>
      <c r="AZ585" t="b">
        <v>1</v>
      </c>
    </row>
    <row r="586" spans="1:52" x14ac:dyDescent="0.3">
      <c r="A586" t="s">
        <v>52</v>
      </c>
      <c r="B586" t="s">
        <v>53</v>
      </c>
      <c r="C586" t="s">
        <v>54</v>
      </c>
      <c r="D586" t="s">
        <v>55</v>
      </c>
      <c r="E586" t="s">
        <v>1617</v>
      </c>
      <c r="F586" t="s">
        <v>1247</v>
      </c>
      <c r="G586" t="s">
        <v>890</v>
      </c>
      <c r="H586" t="s">
        <v>891</v>
      </c>
      <c r="I586" t="s">
        <v>891</v>
      </c>
      <c r="J586" t="s">
        <v>60</v>
      </c>
      <c r="K586" t="s">
        <v>892</v>
      </c>
      <c r="L586" t="s">
        <v>62</v>
      </c>
      <c r="M586" t="s">
        <v>892</v>
      </c>
      <c r="N586" t="s">
        <v>893</v>
      </c>
      <c r="O586" t="s">
        <v>894</v>
      </c>
      <c r="P586">
        <v>-20.152519000000002</v>
      </c>
      <c r="Q586">
        <v>-44.899177000000002</v>
      </c>
      <c r="R586" s="2" t="str">
        <f>HYPERLINK("https://www.google.com/maps?q=-20.1525190,-44.8991770","Abrir no Google Maps")</f>
        <v>Abrir no Google Maps</v>
      </c>
      <c r="S586">
        <v>3</v>
      </c>
      <c r="T586">
        <v>211.80188552994721</v>
      </c>
      <c r="U586">
        <v>3</v>
      </c>
      <c r="V586">
        <v>0.43390252129184581</v>
      </c>
      <c r="W586">
        <v>1</v>
      </c>
      <c r="X586">
        <v>0.43390252129184581</v>
      </c>
      <c r="Y586">
        <v>556</v>
      </c>
      <c r="Z586">
        <v>290.34804137107091</v>
      </c>
      <c r="AA586">
        <v>198</v>
      </c>
      <c r="AB586">
        <v>332</v>
      </c>
      <c r="AC586">
        <v>536</v>
      </c>
      <c r="AD586">
        <v>33.19</v>
      </c>
      <c r="AE586">
        <v>542</v>
      </c>
      <c r="AF586">
        <v>42</v>
      </c>
      <c r="AG586">
        <v>173</v>
      </c>
      <c r="AH586">
        <v>129</v>
      </c>
      <c r="AI586">
        <v>7.75</v>
      </c>
      <c r="AJ586">
        <v>31.92</v>
      </c>
      <c r="AK586">
        <v>23.8</v>
      </c>
      <c r="AL586">
        <v>-20.152516249999959</v>
      </c>
      <c r="AM586">
        <v>-44.899310431333959</v>
      </c>
      <c r="AN586">
        <v>-20.152516249999959</v>
      </c>
      <c r="AO586">
        <v>-44.899310431333959</v>
      </c>
      <c r="AP586">
        <v>-20.152519000000002</v>
      </c>
      <c r="AQ586">
        <v>-44.899177000000002</v>
      </c>
      <c r="AR586">
        <v>13.947583284957719</v>
      </c>
      <c r="AS586" t="s">
        <v>65</v>
      </c>
      <c r="AT586">
        <v>1</v>
      </c>
      <c r="AU586" t="s">
        <v>895</v>
      </c>
      <c r="AV586" t="s">
        <v>896</v>
      </c>
      <c r="AW586" t="s">
        <v>60</v>
      </c>
      <c r="AX586" t="s">
        <v>68</v>
      </c>
      <c r="AY586" t="s">
        <v>69</v>
      </c>
      <c r="AZ586" t="b">
        <v>1</v>
      </c>
    </row>
    <row r="587" spans="1:52" x14ac:dyDescent="0.3">
      <c r="A587" t="s">
        <v>52</v>
      </c>
      <c r="B587" t="s">
        <v>53</v>
      </c>
      <c r="C587" t="s">
        <v>54</v>
      </c>
      <c r="D587" t="s">
        <v>55</v>
      </c>
      <c r="E587" t="s">
        <v>1617</v>
      </c>
      <c r="F587" t="s">
        <v>1247</v>
      </c>
      <c r="G587" t="s">
        <v>897</v>
      </c>
      <c r="H587" t="s">
        <v>898</v>
      </c>
      <c r="I587" t="s">
        <v>898</v>
      </c>
      <c r="J587" t="s">
        <v>60</v>
      </c>
      <c r="K587" t="s">
        <v>892</v>
      </c>
      <c r="L587" t="s">
        <v>62</v>
      </c>
      <c r="M587" t="s">
        <v>892</v>
      </c>
      <c r="N587" t="s">
        <v>899</v>
      </c>
      <c r="O587" t="s">
        <v>900</v>
      </c>
      <c r="P587">
        <v>-20.154885</v>
      </c>
      <c r="Q587">
        <v>-44.899890999999997</v>
      </c>
      <c r="R587" s="2" t="str">
        <f>HYPERLINK("https://www.google.com/maps?q=-20.1548850,-44.8998910","Abrir no Google Maps")</f>
        <v>Abrir no Google Maps</v>
      </c>
      <c r="S587">
        <v>3</v>
      </c>
      <c r="T587">
        <v>314.66339661014308</v>
      </c>
      <c r="U587">
        <v>3</v>
      </c>
      <c r="V587">
        <v>0.4094985535197686</v>
      </c>
      <c r="W587">
        <v>1</v>
      </c>
      <c r="X587">
        <v>0.4094985535197686</v>
      </c>
      <c r="Y587">
        <v>548</v>
      </c>
      <c r="Z587">
        <v>319.02252584834253</v>
      </c>
      <c r="AA587">
        <v>198</v>
      </c>
      <c r="AB587">
        <v>332</v>
      </c>
      <c r="AC587">
        <v>536</v>
      </c>
      <c r="AD587">
        <v>33.19</v>
      </c>
      <c r="AE587">
        <v>542</v>
      </c>
      <c r="AF587">
        <v>42</v>
      </c>
      <c r="AG587">
        <v>173</v>
      </c>
      <c r="AH587">
        <v>129</v>
      </c>
      <c r="AI587">
        <v>7.75</v>
      </c>
      <c r="AJ587">
        <v>31.92</v>
      </c>
      <c r="AK587">
        <v>23.8</v>
      </c>
      <c r="AL587">
        <v>-20.154906649999951</v>
      </c>
      <c r="AM587">
        <v>-44.899894072543653</v>
      </c>
      <c r="AN587">
        <v>-20.154906649999951</v>
      </c>
      <c r="AO587">
        <v>-44.899894072543653</v>
      </c>
      <c r="AP587">
        <v>-20.154885</v>
      </c>
      <c r="AQ587">
        <v>-44.899890999999997</v>
      </c>
      <c r="AR587">
        <v>2.431373123904943</v>
      </c>
      <c r="AS587" t="s">
        <v>65</v>
      </c>
      <c r="AT587">
        <v>1</v>
      </c>
      <c r="AU587" t="s">
        <v>901</v>
      </c>
      <c r="AV587" t="s">
        <v>902</v>
      </c>
      <c r="AW587" t="s">
        <v>60</v>
      </c>
      <c r="AX587" t="s">
        <v>68</v>
      </c>
      <c r="AY587" t="s">
        <v>69</v>
      </c>
      <c r="AZ587" t="b">
        <v>1</v>
      </c>
    </row>
    <row r="588" spans="1:52" x14ac:dyDescent="0.3">
      <c r="A588" t="s">
        <v>52</v>
      </c>
      <c r="B588" t="s">
        <v>53</v>
      </c>
      <c r="C588" t="s">
        <v>54</v>
      </c>
      <c r="D588" t="s">
        <v>55</v>
      </c>
      <c r="E588" t="s">
        <v>1617</v>
      </c>
      <c r="F588" t="s">
        <v>1247</v>
      </c>
      <c r="G588" t="s">
        <v>551</v>
      </c>
      <c r="H588" t="s">
        <v>552</v>
      </c>
      <c r="I588" t="s">
        <v>552</v>
      </c>
      <c r="J588" t="s">
        <v>60</v>
      </c>
      <c r="K588" t="s">
        <v>388</v>
      </c>
      <c r="L588" t="s">
        <v>62</v>
      </c>
      <c r="M588" t="s">
        <v>388</v>
      </c>
      <c r="N588" t="s">
        <v>553</v>
      </c>
      <c r="O588" t="s">
        <v>315</v>
      </c>
      <c r="P588">
        <v>-20.153086999999999</v>
      </c>
      <c r="Q588">
        <v>-44.905451999999997</v>
      </c>
      <c r="R588" s="2" t="str">
        <f>HYPERLINK("https://www.google.com/maps?q=-20.1530870,-44.9054520","Abrir no Google Maps")</f>
        <v>Abrir no Google Maps</v>
      </c>
      <c r="S588">
        <v>3</v>
      </c>
      <c r="T588">
        <v>313.69387682409018</v>
      </c>
      <c r="U588">
        <v>3</v>
      </c>
      <c r="V588">
        <v>0.37922415466275111</v>
      </c>
      <c r="W588">
        <v>1</v>
      </c>
      <c r="X588">
        <v>0.37922415466275111</v>
      </c>
      <c r="Y588">
        <v>548</v>
      </c>
      <c r="Z588">
        <v>319.51605309906859</v>
      </c>
      <c r="AA588">
        <v>198</v>
      </c>
      <c r="AB588">
        <v>332</v>
      </c>
      <c r="AC588">
        <v>536</v>
      </c>
      <c r="AD588">
        <v>33.19</v>
      </c>
      <c r="AE588">
        <v>542</v>
      </c>
      <c r="AF588">
        <v>42</v>
      </c>
      <c r="AG588">
        <v>173</v>
      </c>
      <c r="AH588">
        <v>129</v>
      </c>
      <c r="AI588">
        <v>7.75</v>
      </c>
      <c r="AJ588">
        <v>31.92</v>
      </c>
      <c r="AK588">
        <v>23.8</v>
      </c>
      <c r="AL588">
        <v>-20.153043049999951</v>
      </c>
      <c r="AM588">
        <v>-44.905348275899513</v>
      </c>
      <c r="AN588">
        <v>-20.153043049999951</v>
      </c>
      <c r="AO588">
        <v>-44.905348275899513</v>
      </c>
      <c r="AP588">
        <v>-20.153086999999999</v>
      </c>
      <c r="AQ588">
        <v>-44.905451999999997</v>
      </c>
      <c r="AR588">
        <v>11.892619975648341</v>
      </c>
      <c r="AS588" t="s">
        <v>65</v>
      </c>
      <c r="AT588">
        <v>1</v>
      </c>
      <c r="AU588" t="s">
        <v>554</v>
      </c>
      <c r="AV588" t="s">
        <v>555</v>
      </c>
      <c r="AW588" t="s">
        <v>60</v>
      </c>
      <c r="AX588" t="s">
        <v>68</v>
      </c>
      <c r="AY588" t="s">
        <v>69</v>
      </c>
      <c r="AZ588" t="b">
        <v>1</v>
      </c>
    </row>
    <row r="589" spans="1:52" x14ac:dyDescent="0.3">
      <c r="A589" t="s">
        <v>52</v>
      </c>
      <c r="B589" t="s">
        <v>53</v>
      </c>
      <c r="C589" t="s">
        <v>54</v>
      </c>
      <c r="D589" t="s">
        <v>55</v>
      </c>
      <c r="E589" t="s">
        <v>1617</v>
      </c>
      <c r="F589" t="s">
        <v>1247</v>
      </c>
      <c r="G589" t="s">
        <v>839</v>
      </c>
      <c r="H589" t="s">
        <v>1274</v>
      </c>
      <c r="I589" t="s">
        <v>1274</v>
      </c>
      <c r="J589" t="s">
        <v>60</v>
      </c>
      <c r="K589" t="s">
        <v>388</v>
      </c>
      <c r="L589" t="s">
        <v>62</v>
      </c>
      <c r="M589" t="s">
        <v>388</v>
      </c>
      <c r="N589" t="s">
        <v>841</v>
      </c>
      <c r="O589" t="s">
        <v>1275</v>
      </c>
      <c r="P589">
        <v>-20.157979999999998</v>
      </c>
      <c r="Q589">
        <v>-44.906365999999998</v>
      </c>
      <c r="R589" s="2" t="str">
        <f>HYPERLINK("https://www.google.com/maps?q=-20.1579800,-44.9063660","Abrir no Google Maps")</f>
        <v>Abrir no Google Maps</v>
      </c>
      <c r="S589">
        <v>3</v>
      </c>
      <c r="T589">
        <v>519.48953004348823</v>
      </c>
      <c r="U589">
        <v>2</v>
      </c>
      <c r="V589">
        <v>0.3963813963813963</v>
      </c>
      <c r="W589">
        <v>0.85</v>
      </c>
      <c r="X589">
        <v>0.33692418692418691</v>
      </c>
      <c r="Y589">
        <v>729</v>
      </c>
      <c r="Z589">
        <v>393.22938248316768</v>
      </c>
      <c r="AA589">
        <v>198</v>
      </c>
      <c r="AB589">
        <v>332</v>
      </c>
      <c r="AC589">
        <v>536</v>
      </c>
      <c r="AD589">
        <v>33.19</v>
      </c>
      <c r="AE589">
        <v>542</v>
      </c>
      <c r="AF589">
        <v>42</v>
      </c>
      <c r="AG589">
        <v>173</v>
      </c>
      <c r="AH589">
        <v>129</v>
      </c>
      <c r="AI589">
        <v>7.75</v>
      </c>
      <c r="AJ589">
        <v>31.92</v>
      </c>
      <c r="AK589">
        <v>23.8</v>
      </c>
      <c r="AL589">
        <v>-20.157977799999941</v>
      </c>
      <c r="AM589">
        <v>-44.906429896327573</v>
      </c>
      <c r="AN589">
        <v>-20.157977799999941</v>
      </c>
      <c r="AO589">
        <v>-44.906429896327573</v>
      </c>
      <c r="AP589">
        <v>-20.157979999999998</v>
      </c>
      <c r="AQ589">
        <v>-44.906365999999998</v>
      </c>
      <c r="AR589">
        <v>6.6817330699236734</v>
      </c>
      <c r="AS589" t="s">
        <v>65</v>
      </c>
      <c r="AT589">
        <v>1</v>
      </c>
      <c r="AU589" t="s">
        <v>1276</v>
      </c>
      <c r="AV589" t="s">
        <v>1277</v>
      </c>
      <c r="AW589" t="s">
        <v>60</v>
      </c>
      <c r="AX589" t="s">
        <v>68</v>
      </c>
      <c r="AY589" t="s">
        <v>69</v>
      </c>
      <c r="AZ589" t="b">
        <v>1</v>
      </c>
    </row>
    <row r="590" spans="1:52" x14ac:dyDescent="0.3">
      <c r="A590" t="s">
        <v>52</v>
      </c>
      <c r="B590" t="s">
        <v>53</v>
      </c>
      <c r="C590" t="s">
        <v>54</v>
      </c>
      <c r="D590" t="s">
        <v>55</v>
      </c>
      <c r="E590" t="s">
        <v>1617</v>
      </c>
      <c r="F590" t="s">
        <v>1247</v>
      </c>
      <c r="G590" t="s">
        <v>398</v>
      </c>
      <c r="H590" t="s">
        <v>399</v>
      </c>
      <c r="I590" t="s">
        <v>399</v>
      </c>
      <c r="J590" t="s">
        <v>60</v>
      </c>
      <c r="K590" t="s">
        <v>388</v>
      </c>
      <c r="L590" t="s">
        <v>62</v>
      </c>
      <c r="M590" t="s">
        <v>388</v>
      </c>
      <c r="N590" t="s">
        <v>400</v>
      </c>
      <c r="O590" t="s">
        <v>401</v>
      </c>
      <c r="P590">
        <v>-20.160157000000002</v>
      </c>
      <c r="Q590">
        <v>-44.904347999999999</v>
      </c>
      <c r="R590" s="2" t="str">
        <f>HYPERLINK("https://www.google.com/maps?q=-20.1601570,-44.9043480","Abrir no Google Maps")</f>
        <v>Abrir no Google Maps</v>
      </c>
      <c r="S590">
        <v>3</v>
      </c>
      <c r="T590">
        <v>469.26088527154809</v>
      </c>
      <c r="U590">
        <v>2</v>
      </c>
      <c r="V590">
        <v>0.33273764835956632</v>
      </c>
      <c r="W590">
        <v>1</v>
      </c>
      <c r="X590">
        <v>0.33273764835956632</v>
      </c>
      <c r="Y590">
        <v>729</v>
      </c>
      <c r="Z590">
        <v>253.57832452309071</v>
      </c>
      <c r="AA590">
        <v>198</v>
      </c>
      <c r="AB590">
        <v>332</v>
      </c>
      <c r="AC590">
        <v>536</v>
      </c>
      <c r="AD590">
        <v>33.19</v>
      </c>
      <c r="AE590">
        <v>542</v>
      </c>
      <c r="AF590">
        <v>42</v>
      </c>
      <c r="AG590">
        <v>173</v>
      </c>
      <c r="AH590">
        <v>129</v>
      </c>
      <c r="AI590">
        <v>7.75</v>
      </c>
      <c r="AJ590">
        <v>31.92</v>
      </c>
      <c r="AK590">
        <v>23.8</v>
      </c>
      <c r="AL590">
        <v>-20.160007949999969</v>
      </c>
      <c r="AM590">
        <v>-44.904396608560482</v>
      </c>
      <c r="AN590">
        <v>-20.160007949999969</v>
      </c>
      <c r="AO590">
        <v>-44.904396608560482</v>
      </c>
      <c r="AP590">
        <v>-20.160157000000002</v>
      </c>
      <c r="AQ590">
        <v>-44.904347999999999</v>
      </c>
      <c r="AR590">
        <v>17.35237255387942</v>
      </c>
      <c r="AS590" t="s">
        <v>65</v>
      </c>
      <c r="AT590">
        <v>1</v>
      </c>
      <c r="AU590" t="s">
        <v>402</v>
      </c>
      <c r="AV590" t="s">
        <v>403</v>
      </c>
      <c r="AW590" t="s">
        <v>60</v>
      </c>
      <c r="AX590" t="s">
        <v>68</v>
      </c>
      <c r="AY590" t="s">
        <v>69</v>
      </c>
      <c r="AZ590" t="b">
        <v>1</v>
      </c>
    </row>
    <row r="591" spans="1:52" x14ac:dyDescent="0.3">
      <c r="A591" t="s">
        <v>52</v>
      </c>
      <c r="B591" t="s">
        <v>53</v>
      </c>
      <c r="C591" t="s">
        <v>54</v>
      </c>
      <c r="D591" t="s">
        <v>55</v>
      </c>
      <c r="E591" t="s">
        <v>1617</v>
      </c>
      <c r="F591" t="s">
        <v>1247</v>
      </c>
      <c r="G591" t="s">
        <v>1278</v>
      </c>
      <c r="H591" t="s">
        <v>1279</v>
      </c>
      <c r="I591" t="s">
        <v>1279</v>
      </c>
      <c r="J591" t="s">
        <v>60</v>
      </c>
      <c r="K591" t="s">
        <v>388</v>
      </c>
      <c r="L591" t="s">
        <v>62</v>
      </c>
      <c r="M591" t="s">
        <v>388</v>
      </c>
      <c r="N591" t="s">
        <v>1280</v>
      </c>
      <c r="O591" t="s">
        <v>216</v>
      </c>
      <c r="P591">
        <v>-20.15681</v>
      </c>
      <c r="Q591">
        <v>-44.899290999999998</v>
      </c>
      <c r="R591" s="2" t="str">
        <f>HYPERLINK("https://www.google.com/maps?q=-20.1568100,-44.8992910","Abrir no Google Maps")</f>
        <v>Abrir no Google Maps</v>
      </c>
      <c r="S591">
        <v>3</v>
      </c>
      <c r="T591">
        <v>180.10162979749811</v>
      </c>
      <c r="U591">
        <v>2</v>
      </c>
      <c r="V591">
        <v>0.44188574938574932</v>
      </c>
      <c r="W591">
        <v>0.85</v>
      </c>
      <c r="X591">
        <v>0.37560288697788691</v>
      </c>
      <c r="Y591">
        <v>729</v>
      </c>
      <c r="Z591">
        <v>368.06065118133841</v>
      </c>
      <c r="AA591">
        <v>198</v>
      </c>
      <c r="AB591">
        <v>332</v>
      </c>
      <c r="AC591">
        <v>536</v>
      </c>
      <c r="AD591">
        <v>33.19</v>
      </c>
      <c r="AE591">
        <v>542</v>
      </c>
      <c r="AF591">
        <v>42</v>
      </c>
      <c r="AG591">
        <v>173</v>
      </c>
      <c r="AH591">
        <v>129</v>
      </c>
      <c r="AI591">
        <v>7.75</v>
      </c>
      <c r="AJ591">
        <v>31.92</v>
      </c>
      <c r="AK591">
        <v>23.8</v>
      </c>
      <c r="AL591">
        <v>-20.156785649999961</v>
      </c>
      <c r="AM591">
        <v>-44.899254812291332</v>
      </c>
      <c r="AN591">
        <v>-20.156785649999961</v>
      </c>
      <c r="AO591">
        <v>-44.899254812291332</v>
      </c>
      <c r="AP591">
        <v>-20.15681</v>
      </c>
      <c r="AQ591">
        <v>-44.899290999999998</v>
      </c>
      <c r="AR591">
        <v>4.6528211992813118</v>
      </c>
      <c r="AS591" t="s">
        <v>65</v>
      </c>
      <c r="AT591">
        <v>1</v>
      </c>
      <c r="AU591" t="s">
        <v>1281</v>
      </c>
      <c r="AV591" t="s">
        <v>1282</v>
      </c>
      <c r="AW591" t="s">
        <v>60</v>
      </c>
      <c r="AX591" t="s">
        <v>68</v>
      </c>
      <c r="AY591" t="s">
        <v>69</v>
      </c>
      <c r="AZ591" t="b">
        <v>1</v>
      </c>
    </row>
    <row r="592" spans="1:52" x14ac:dyDescent="0.3">
      <c r="A592" t="s">
        <v>52</v>
      </c>
      <c r="B592" t="s">
        <v>53</v>
      </c>
      <c r="C592" t="s">
        <v>54</v>
      </c>
      <c r="D592" t="s">
        <v>55</v>
      </c>
      <c r="E592" t="s">
        <v>1617</v>
      </c>
      <c r="F592" t="s">
        <v>1247</v>
      </c>
      <c r="G592" t="s">
        <v>404</v>
      </c>
      <c r="H592" t="s">
        <v>405</v>
      </c>
      <c r="I592" t="s">
        <v>405</v>
      </c>
      <c r="J592" t="s">
        <v>60</v>
      </c>
      <c r="K592" t="s">
        <v>388</v>
      </c>
      <c r="L592" t="s">
        <v>62</v>
      </c>
      <c r="M592" t="s">
        <v>388</v>
      </c>
      <c r="N592" t="s">
        <v>406</v>
      </c>
      <c r="O592" t="s">
        <v>407</v>
      </c>
      <c r="P592">
        <v>-20.162780999999999</v>
      </c>
      <c r="Q592">
        <v>-44.904437999999999</v>
      </c>
      <c r="R592" s="2" t="str">
        <f>HYPERLINK("https://www.google.com/maps?q=-20.1627810,-44.9044380","Abrir no Google Maps")</f>
        <v>Abrir no Google Maps</v>
      </c>
      <c r="S592">
        <v>3</v>
      </c>
      <c r="T592">
        <v>681.0891377731482</v>
      </c>
      <c r="U592">
        <v>2</v>
      </c>
      <c r="V592">
        <v>0.3459357376365933</v>
      </c>
      <c r="W592">
        <v>1</v>
      </c>
      <c r="X592">
        <v>0.3459357376365933</v>
      </c>
      <c r="Y592">
        <v>729</v>
      </c>
      <c r="Z592">
        <v>564.17713687218622</v>
      </c>
      <c r="AA592">
        <v>198</v>
      </c>
      <c r="AB592">
        <v>332</v>
      </c>
      <c r="AC592">
        <v>536</v>
      </c>
      <c r="AD592">
        <v>33.19</v>
      </c>
      <c r="AE592">
        <v>542</v>
      </c>
      <c r="AF592">
        <v>42</v>
      </c>
      <c r="AG592">
        <v>173</v>
      </c>
      <c r="AH592">
        <v>129</v>
      </c>
      <c r="AI592">
        <v>7.75</v>
      </c>
      <c r="AJ592">
        <v>31.92</v>
      </c>
      <c r="AK592">
        <v>23.8</v>
      </c>
      <c r="AL592">
        <v>-20.16295434999995</v>
      </c>
      <c r="AM592">
        <v>-44.904242686956152</v>
      </c>
      <c r="AN592">
        <v>-20.16295434999995</v>
      </c>
      <c r="AO592">
        <v>-44.904242686956152</v>
      </c>
      <c r="AP592">
        <v>-20.162780999999999</v>
      </c>
      <c r="AQ592">
        <v>-44.904437999999999</v>
      </c>
      <c r="AR592">
        <v>28.088191280523411</v>
      </c>
      <c r="AS592" t="s">
        <v>65</v>
      </c>
      <c r="AT592">
        <v>1</v>
      </c>
      <c r="AU592" t="s">
        <v>408</v>
      </c>
      <c r="AV592" t="s">
        <v>409</v>
      </c>
      <c r="AW592" t="s">
        <v>60</v>
      </c>
      <c r="AX592" t="s">
        <v>68</v>
      </c>
      <c r="AY592" t="s">
        <v>69</v>
      </c>
      <c r="AZ592" t="b">
        <v>1</v>
      </c>
    </row>
    <row r="593" spans="1:52" x14ac:dyDescent="0.3">
      <c r="A593" t="s">
        <v>52</v>
      </c>
      <c r="B593" t="s">
        <v>53</v>
      </c>
      <c r="C593" t="s">
        <v>54</v>
      </c>
      <c r="D593" t="s">
        <v>55</v>
      </c>
      <c r="E593" t="s">
        <v>1617</v>
      </c>
      <c r="F593" t="s">
        <v>1247</v>
      </c>
      <c r="G593" t="s">
        <v>410</v>
      </c>
      <c r="H593" t="s">
        <v>411</v>
      </c>
      <c r="I593" t="s">
        <v>411</v>
      </c>
      <c r="J593" t="s">
        <v>60</v>
      </c>
      <c r="K593" t="s">
        <v>388</v>
      </c>
      <c r="L593" t="s">
        <v>62</v>
      </c>
      <c r="M593" t="s">
        <v>388</v>
      </c>
      <c r="N593" t="s">
        <v>412</v>
      </c>
      <c r="O593" t="s">
        <v>413</v>
      </c>
      <c r="P593">
        <v>-20.161394000000001</v>
      </c>
      <c r="Q593">
        <v>-44.906725999999999</v>
      </c>
      <c r="R593" s="2" t="str">
        <f>HYPERLINK("https://www.google.com/maps?q=-20.1613940,-44.9067260","Abrir no Google Maps")</f>
        <v>Abrir no Google Maps</v>
      </c>
      <c r="S593">
        <v>3</v>
      </c>
      <c r="T593">
        <v>763.68157548493457</v>
      </c>
      <c r="U593">
        <v>2</v>
      </c>
      <c r="V593">
        <v>0.34986556224229481</v>
      </c>
      <c r="W593">
        <v>1</v>
      </c>
      <c r="X593">
        <v>0.34986556224229481</v>
      </c>
      <c r="Y593">
        <v>729</v>
      </c>
      <c r="Z593">
        <v>551.70379325948545</v>
      </c>
      <c r="AA593">
        <v>198</v>
      </c>
      <c r="AB593">
        <v>332</v>
      </c>
      <c r="AC593">
        <v>536</v>
      </c>
      <c r="AD593">
        <v>33.19</v>
      </c>
      <c r="AE593">
        <v>542</v>
      </c>
      <c r="AF593">
        <v>42</v>
      </c>
      <c r="AG593">
        <v>173</v>
      </c>
      <c r="AH593">
        <v>129</v>
      </c>
      <c r="AI593">
        <v>7.75</v>
      </c>
      <c r="AJ593">
        <v>31.92</v>
      </c>
      <c r="AK593">
        <v>23.8</v>
      </c>
      <c r="AL593">
        <v>-20.161371049999929</v>
      </c>
      <c r="AM593">
        <v>-44.906816797310228</v>
      </c>
      <c r="AN593">
        <v>-20.161371049999929</v>
      </c>
      <c r="AO593">
        <v>-44.906816797310228</v>
      </c>
      <c r="AP593">
        <v>-20.161394000000001</v>
      </c>
      <c r="AQ593">
        <v>-44.906725999999999</v>
      </c>
      <c r="AR593">
        <v>9.8261555662022495</v>
      </c>
      <c r="AS593" t="s">
        <v>65</v>
      </c>
      <c r="AT593">
        <v>1</v>
      </c>
      <c r="AU593" t="s">
        <v>414</v>
      </c>
      <c r="AV593" t="s">
        <v>415</v>
      </c>
      <c r="AW593" t="s">
        <v>60</v>
      </c>
      <c r="AX593" t="s">
        <v>68</v>
      </c>
      <c r="AY593" t="s">
        <v>69</v>
      </c>
      <c r="AZ593" t="b">
        <v>1</v>
      </c>
    </row>
    <row r="594" spans="1:52" x14ac:dyDescent="0.3">
      <c r="A594" t="s">
        <v>52</v>
      </c>
      <c r="B594" t="s">
        <v>53</v>
      </c>
      <c r="C594" t="s">
        <v>54</v>
      </c>
      <c r="D594" t="s">
        <v>55</v>
      </c>
      <c r="E594" t="s">
        <v>1617</v>
      </c>
      <c r="F594" t="s">
        <v>1247</v>
      </c>
      <c r="G594" t="s">
        <v>1283</v>
      </c>
      <c r="H594" t="s">
        <v>1284</v>
      </c>
      <c r="I594" t="s">
        <v>1284</v>
      </c>
      <c r="J594" t="s">
        <v>60</v>
      </c>
      <c r="K594" t="s">
        <v>388</v>
      </c>
      <c r="L594" t="s">
        <v>62</v>
      </c>
      <c r="M594" t="s">
        <v>388</v>
      </c>
      <c r="N594" t="s">
        <v>400</v>
      </c>
      <c r="O594" t="s">
        <v>1285</v>
      </c>
      <c r="P594">
        <v>-20.156977999999999</v>
      </c>
      <c r="Q594">
        <v>-44.90325</v>
      </c>
      <c r="R594" s="2" t="str">
        <f>HYPERLINK("https://www.google.com/maps?q=-20.1569780,-44.9032500","Abrir no Google Maps")</f>
        <v>Abrir no Google Maps</v>
      </c>
      <c r="S594">
        <v>3</v>
      </c>
      <c r="T594">
        <v>256.05633739092571</v>
      </c>
      <c r="U594">
        <v>2</v>
      </c>
      <c r="V594">
        <v>0.39642843471270528</v>
      </c>
      <c r="W594">
        <v>0.85</v>
      </c>
      <c r="X594">
        <v>0.33696416950579949</v>
      </c>
      <c r="Y594">
        <v>729</v>
      </c>
      <c r="Z594">
        <v>162.99447055889971</v>
      </c>
      <c r="AA594">
        <v>198</v>
      </c>
      <c r="AB594">
        <v>332</v>
      </c>
      <c r="AC594">
        <v>536</v>
      </c>
      <c r="AD594">
        <v>33.19</v>
      </c>
      <c r="AE594">
        <v>542</v>
      </c>
      <c r="AF594">
        <v>42</v>
      </c>
      <c r="AG594">
        <v>173</v>
      </c>
      <c r="AH594">
        <v>129</v>
      </c>
      <c r="AI594">
        <v>7.75</v>
      </c>
      <c r="AJ594">
        <v>31.92</v>
      </c>
      <c r="AK594">
        <v>23.8</v>
      </c>
      <c r="AL594">
        <v>-20.15696524999996</v>
      </c>
      <c r="AM594">
        <v>-44.903258102626708</v>
      </c>
      <c r="AN594">
        <v>-20.15696524999996</v>
      </c>
      <c r="AO594">
        <v>-44.903258102626708</v>
      </c>
      <c r="AP594">
        <v>-20.156977999999999</v>
      </c>
      <c r="AQ594">
        <v>-44.90325</v>
      </c>
      <c r="AR594">
        <v>1.6527147033629741</v>
      </c>
      <c r="AS594" t="s">
        <v>65</v>
      </c>
      <c r="AT594">
        <v>1</v>
      </c>
      <c r="AU594" t="s">
        <v>1286</v>
      </c>
      <c r="AV594" t="s">
        <v>1287</v>
      </c>
      <c r="AW594" t="s">
        <v>60</v>
      </c>
      <c r="AX594" t="s">
        <v>68</v>
      </c>
      <c r="AY594" t="s">
        <v>69</v>
      </c>
      <c r="AZ594" t="b">
        <v>1</v>
      </c>
    </row>
    <row r="595" spans="1:52" x14ac:dyDescent="0.3">
      <c r="A595" t="s">
        <v>52</v>
      </c>
      <c r="B595" t="s">
        <v>53</v>
      </c>
      <c r="C595" t="s">
        <v>54</v>
      </c>
      <c r="D595" t="s">
        <v>55</v>
      </c>
      <c r="E595" t="s">
        <v>1617</v>
      </c>
      <c r="F595" t="s">
        <v>1247</v>
      </c>
      <c r="G595" t="s">
        <v>1417</v>
      </c>
      <c r="H595" t="s">
        <v>1418</v>
      </c>
      <c r="I595" t="s">
        <v>1418</v>
      </c>
      <c r="J595" t="s">
        <v>60</v>
      </c>
      <c r="K595" t="s">
        <v>1419</v>
      </c>
      <c r="L595" t="s">
        <v>62</v>
      </c>
      <c r="M595" t="s">
        <v>1419</v>
      </c>
      <c r="N595" t="s">
        <v>1420</v>
      </c>
      <c r="O595" t="s">
        <v>1421</v>
      </c>
      <c r="P595">
        <v>-20.159427000000001</v>
      </c>
      <c r="Q595">
        <v>-44.897143</v>
      </c>
      <c r="R595" s="2" t="str">
        <f>HYPERLINK("https://www.google.com/maps?q=-20.1594270,-44.8971430","Abrir no Google Maps")</f>
        <v>Abrir no Google Maps</v>
      </c>
      <c r="S595">
        <v>3</v>
      </c>
      <c r="T595">
        <v>392.64349875646298</v>
      </c>
      <c r="U595">
        <v>2</v>
      </c>
      <c r="V595">
        <v>0.44199339396019222</v>
      </c>
      <c r="W595">
        <v>0.85</v>
      </c>
      <c r="X595">
        <v>0.37569438486616341</v>
      </c>
      <c r="Y595">
        <v>729</v>
      </c>
      <c r="Z595">
        <v>550.20062797366995</v>
      </c>
      <c r="AA595">
        <v>198</v>
      </c>
      <c r="AB595">
        <v>332</v>
      </c>
      <c r="AC595">
        <v>536</v>
      </c>
      <c r="AD595">
        <v>33.19</v>
      </c>
      <c r="AE595">
        <v>542</v>
      </c>
      <c r="AF595">
        <v>42</v>
      </c>
      <c r="AG595">
        <v>173</v>
      </c>
      <c r="AH595">
        <v>129</v>
      </c>
      <c r="AI595">
        <v>7.75</v>
      </c>
      <c r="AJ595">
        <v>31.92</v>
      </c>
      <c r="AK595">
        <v>23.8</v>
      </c>
      <c r="AL595">
        <v>-20.15946549999995</v>
      </c>
      <c r="AM595">
        <v>-44.89709959354267</v>
      </c>
      <c r="AN595">
        <v>-20.15946549999995</v>
      </c>
      <c r="AO595">
        <v>-44.89709959354267</v>
      </c>
      <c r="AP595">
        <v>-20.159427000000001</v>
      </c>
      <c r="AQ595">
        <v>-44.897143</v>
      </c>
      <c r="AR595">
        <v>6.2404649979039286</v>
      </c>
      <c r="AS595" t="s">
        <v>65</v>
      </c>
      <c r="AT595">
        <v>1</v>
      </c>
      <c r="AU595" t="s">
        <v>1422</v>
      </c>
      <c r="AV595" t="s">
        <v>1423</v>
      </c>
      <c r="AW595" t="s">
        <v>60</v>
      </c>
      <c r="AX595" t="s">
        <v>68</v>
      </c>
      <c r="AY595" t="s">
        <v>69</v>
      </c>
      <c r="AZ595" t="b">
        <v>1</v>
      </c>
    </row>
    <row r="596" spans="1:52" x14ac:dyDescent="0.3">
      <c r="A596" t="s">
        <v>52</v>
      </c>
      <c r="B596" t="s">
        <v>53</v>
      </c>
      <c r="C596" t="s">
        <v>54</v>
      </c>
      <c r="D596" t="s">
        <v>55</v>
      </c>
      <c r="E596" t="s">
        <v>1617</v>
      </c>
      <c r="F596" t="s">
        <v>1247</v>
      </c>
      <c r="G596" t="s">
        <v>1288</v>
      </c>
      <c r="H596" t="s">
        <v>1289</v>
      </c>
      <c r="I596" t="s">
        <v>1289</v>
      </c>
      <c r="J596" t="s">
        <v>60</v>
      </c>
      <c r="K596" t="s">
        <v>1290</v>
      </c>
      <c r="L596" t="s">
        <v>62</v>
      </c>
      <c r="M596" t="s">
        <v>1290</v>
      </c>
      <c r="N596" t="s">
        <v>1291</v>
      </c>
      <c r="O596" t="s">
        <v>315</v>
      </c>
      <c r="P596">
        <v>-20.171008</v>
      </c>
      <c r="Q596">
        <v>-44.918908999999999</v>
      </c>
      <c r="R596" s="2" t="str">
        <f>HYPERLINK("https://www.google.com/maps?q=-20.1710080,-44.9189090","Abrir no Google Maps")</f>
        <v>Abrir no Google Maps</v>
      </c>
      <c r="S596">
        <v>3</v>
      </c>
      <c r="T596">
        <v>972.86786700299888</v>
      </c>
      <c r="U596">
        <v>2</v>
      </c>
      <c r="V596">
        <v>0.39209076889182631</v>
      </c>
      <c r="W596">
        <v>0.85</v>
      </c>
      <c r="X596">
        <v>0.33327715355805237</v>
      </c>
      <c r="Y596">
        <v>723</v>
      </c>
      <c r="Z596">
        <v>690.55600110253613</v>
      </c>
      <c r="AA596">
        <v>198</v>
      </c>
      <c r="AB596">
        <v>332</v>
      </c>
      <c r="AC596">
        <v>536</v>
      </c>
      <c r="AD596">
        <v>33.19</v>
      </c>
      <c r="AE596">
        <v>542</v>
      </c>
      <c r="AF596">
        <v>42</v>
      </c>
      <c r="AG596">
        <v>173</v>
      </c>
      <c r="AH596">
        <v>129</v>
      </c>
      <c r="AI596">
        <v>7.75</v>
      </c>
      <c r="AJ596">
        <v>31.92</v>
      </c>
      <c r="AK596">
        <v>23.8</v>
      </c>
      <c r="AL596">
        <v>-20.171738249999979</v>
      </c>
      <c r="AM596">
        <v>-44.919736490382917</v>
      </c>
      <c r="AN596">
        <v>-20.171738249999979</v>
      </c>
      <c r="AO596">
        <v>-44.919736490382931</v>
      </c>
      <c r="AP596">
        <v>-20.171008</v>
      </c>
      <c r="AQ596">
        <v>-44.918908999999999</v>
      </c>
      <c r="AR596">
        <v>118.678920061485</v>
      </c>
      <c r="AS596" t="s">
        <v>65</v>
      </c>
      <c r="AT596">
        <v>1</v>
      </c>
      <c r="AU596" t="s">
        <v>1292</v>
      </c>
      <c r="AV596" t="s">
        <v>1293</v>
      </c>
      <c r="AW596" t="s">
        <v>60</v>
      </c>
      <c r="AX596" t="s">
        <v>68</v>
      </c>
      <c r="AY596" t="s">
        <v>69</v>
      </c>
      <c r="AZ596" t="b">
        <v>1</v>
      </c>
    </row>
    <row r="597" spans="1:52" x14ac:dyDescent="0.3">
      <c r="A597" t="s">
        <v>52</v>
      </c>
      <c r="B597" t="s">
        <v>53</v>
      </c>
      <c r="C597" t="s">
        <v>54</v>
      </c>
      <c r="D597" t="s">
        <v>55</v>
      </c>
      <c r="E597" t="s">
        <v>1617</v>
      </c>
      <c r="F597" t="s">
        <v>1247</v>
      </c>
      <c r="G597" t="s">
        <v>1294</v>
      </c>
      <c r="H597" t="s">
        <v>1295</v>
      </c>
      <c r="I597" t="s">
        <v>1295</v>
      </c>
      <c r="J597" t="s">
        <v>60</v>
      </c>
      <c r="K597" t="s">
        <v>418</v>
      </c>
      <c r="L597" t="s">
        <v>62</v>
      </c>
      <c r="M597" t="s">
        <v>418</v>
      </c>
      <c r="N597" t="s">
        <v>1296</v>
      </c>
      <c r="O597" t="s">
        <v>1297</v>
      </c>
      <c r="P597">
        <v>-20.169899999999998</v>
      </c>
      <c r="Q597">
        <v>-44.916176999999998</v>
      </c>
      <c r="R597" s="2" t="str">
        <f>HYPERLINK("https://www.google.com/maps?q=-20.1699000,-44.9161770","Abrir no Google Maps")</f>
        <v>Abrir no Google Maps</v>
      </c>
      <c r="S597">
        <v>3</v>
      </c>
      <c r="T597">
        <v>658.15251036568407</v>
      </c>
      <c r="U597">
        <v>2</v>
      </c>
      <c r="V597">
        <v>0.39963714332838529</v>
      </c>
      <c r="W597">
        <v>0.85</v>
      </c>
      <c r="X597">
        <v>0.33969157182912751</v>
      </c>
      <c r="Y597">
        <v>723</v>
      </c>
      <c r="Z597">
        <v>400.39092274559039</v>
      </c>
      <c r="AA597">
        <v>198</v>
      </c>
      <c r="AB597">
        <v>332</v>
      </c>
      <c r="AC597">
        <v>536</v>
      </c>
      <c r="AD597">
        <v>33.19</v>
      </c>
      <c r="AE597">
        <v>542</v>
      </c>
      <c r="AF597">
        <v>42</v>
      </c>
      <c r="AG597">
        <v>173</v>
      </c>
      <c r="AH597">
        <v>129</v>
      </c>
      <c r="AI597">
        <v>7.75</v>
      </c>
      <c r="AJ597">
        <v>31.92</v>
      </c>
      <c r="AK597">
        <v>23.8</v>
      </c>
      <c r="AL597">
        <v>-20.169898399999941</v>
      </c>
      <c r="AM597">
        <v>-44.916247682868359</v>
      </c>
      <c r="AN597">
        <v>-20.169898399999941</v>
      </c>
      <c r="AO597">
        <v>-44.916247682868359</v>
      </c>
      <c r="AP597">
        <v>-20.169899999999998</v>
      </c>
      <c r="AQ597">
        <v>-44.916176999999998</v>
      </c>
      <c r="AR597">
        <v>7.388028048308902</v>
      </c>
      <c r="AS597" t="s">
        <v>65</v>
      </c>
      <c r="AT597">
        <v>1</v>
      </c>
      <c r="AU597" t="s">
        <v>1298</v>
      </c>
      <c r="AV597" t="s">
        <v>1299</v>
      </c>
      <c r="AW597" t="s">
        <v>60</v>
      </c>
      <c r="AX597" t="s">
        <v>68</v>
      </c>
      <c r="AY597" t="s">
        <v>69</v>
      </c>
      <c r="AZ597" t="b">
        <v>1</v>
      </c>
    </row>
    <row r="598" spans="1:52" x14ac:dyDescent="0.3">
      <c r="A598" t="s">
        <v>52</v>
      </c>
      <c r="B598" t="s">
        <v>53</v>
      </c>
      <c r="C598" t="s">
        <v>54</v>
      </c>
      <c r="D598" t="s">
        <v>55</v>
      </c>
      <c r="E598" t="s">
        <v>1617</v>
      </c>
      <c r="F598" t="s">
        <v>1247</v>
      </c>
      <c r="G598" t="s">
        <v>1300</v>
      </c>
      <c r="H598" t="s">
        <v>1301</v>
      </c>
      <c r="I598" t="s">
        <v>1301</v>
      </c>
      <c r="J598" t="s">
        <v>60</v>
      </c>
      <c r="K598" t="s">
        <v>1302</v>
      </c>
      <c r="L598" t="s">
        <v>62</v>
      </c>
      <c r="M598" t="s">
        <v>1302</v>
      </c>
      <c r="N598" t="s">
        <v>1303</v>
      </c>
      <c r="O598" t="s">
        <v>1304</v>
      </c>
      <c r="P598">
        <v>-20.166618</v>
      </c>
      <c r="Q598">
        <v>-44.912920999999997</v>
      </c>
      <c r="R598" s="2" t="str">
        <f>HYPERLINK("https://www.google.com/maps?q=-20.1666180,-44.9129210","Abrir no Google Maps")</f>
        <v>Abrir no Google Maps</v>
      </c>
      <c r="S598">
        <v>3</v>
      </c>
      <c r="T598">
        <v>636.32880156364706</v>
      </c>
      <c r="U598">
        <v>2</v>
      </c>
      <c r="V598">
        <v>0.4156830308632965</v>
      </c>
      <c r="W598">
        <v>0.85</v>
      </c>
      <c r="X598">
        <v>0.35333057623380199</v>
      </c>
      <c r="Y598">
        <v>723</v>
      </c>
      <c r="Z598">
        <v>407.62145176971592</v>
      </c>
      <c r="AA598">
        <v>198</v>
      </c>
      <c r="AB598">
        <v>332</v>
      </c>
      <c r="AC598">
        <v>536</v>
      </c>
      <c r="AD598">
        <v>33.19</v>
      </c>
      <c r="AE598">
        <v>542</v>
      </c>
      <c r="AF598">
        <v>42</v>
      </c>
      <c r="AG598">
        <v>173</v>
      </c>
      <c r="AH598">
        <v>129</v>
      </c>
      <c r="AI598">
        <v>7.75</v>
      </c>
      <c r="AJ598">
        <v>31.92</v>
      </c>
      <c r="AK598">
        <v>23.8</v>
      </c>
      <c r="AL598">
        <v>-20.166924799999951</v>
      </c>
      <c r="AM598">
        <v>-44.912868681724092</v>
      </c>
      <c r="AN598">
        <v>-20.166924799999951</v>
      </c>
      <c r="AO598">
        <v>-44.912868681724092</v>
      </c>
      <c r="AP598">
        <v>-20.166618</v>
      </c>
      <c r="AQ598">
        <v>-44.912920999999997</v>
      </c>
      <c r="AR598">
        <v>34.587771860198139</v>
      </c>
      <c r="AS598" t="s">
        <v>65</v>
      </c>
      <c r="AT598">
        <v>1</v>
      </c>
      <c r="AU598" t="s">
        <v>1305</v>
      </c>
      <c r="AV598" t="s">
        <v>1306</v>
      </c>
      <c r="AW598" t="s">
        <v>60</v>
      </c>
      <c r="AX598" t="s">
        <v>68</v>
      </c>
      <c r="AY598" t="s">
        <v>69</v>
      </c>
      <c r="AZ598" t="b">
        <v>1</v>
      </c>
    </row>
    <row r="599" spans="1:52" x14ac:dyDescent="0.3">
      <c r="A599" t="s">
        <v>52</v>
      </c>
      <c r="B599" t="s">
        <v>53</v>
      </c>
      <c r="C599" t="s">
        <v>54</v>
      </c>
      <c r="D599" t="s">
        <v>55</v>
      </c>
      <c r="E599" t="s">
        <v>1617</v>
      </c>
      <c r="F599" t="s">
        <v>1247</v>
      </c>
      <c r="G599" t="s">
        <v>422</v>
      </c>
      <c r="H599" t="s">
        <v>1323</v>
      </c>
      <c r="I599" t="s">
        <v>1323</v>
      </c>
      <c r="J599" t="s">
        <v>60</v>
      </c>
      <c r="K599" t="s">
        <v>1324</v>
      </c>
      <c r="L599" t="s">
        <v>62</v>
      </c>
      <c r="M599" t="s">
        <v>1324</v>
      </c>
      <c r="N599" t="s">
        <v>425</v>
      </c>
      <c r="O599" t="s">
        <v>1325</v>
      </c>
      <c r="P599">
        <v>-20.175142000000001</v>
      </c>
      <c r="Q599">
        <v>-44.913783000000002</v>
      </c>
      <c r="R599" s="2" t="str">
        <f>HYPERLINK("https://www.google.com/maps?q=-20.1751420,-44.9137830","Abrir no Google Maps")</f>
        <v>Abrir no Google Maps</v>
      </c>
      <c r="S599">
        <v>3</v>
      </c>
      <c r="T599">
        <v>495.73888273066677</v>
      </c>
      <c r="U599">
        <v>2</v>
      </c>
      <c r="V599">
        <v>0.40071604385768628</v>
      </c>
      <c r="W599">
        <v>0.85</v>
      </c>
      <c r="X599">
        <v>0.34060863727903329</v>
      </c>
      <c r="Y599">
        <v>723</v>
      </c>
      <c r="Z599">
        <v>488.51574748236328</v>
      </c>
      <c r="AA599">
        <v>198</v>
      </c>
      <c r="AB599">
        <v>332</v>
      </c>
      <c r="AC599">
        <v>536</v>
      </c>
      <c r="AD599">
        <v>33.19</v>
      </c>
      <c r="AE599">
        <v>542</v>
      </c>
      <c r="AF599">
        <v>42</v>
      </c>
      <c r="AG599">
        <v>173</v>
      </c>
      <c r="AH599">
        <v>129</v>
      </c>
      <c r="AI599">
        <v>7.75</v>
      </c>
      <c r="AJ599">
        <v>31.92</v>
      </c>
      <c r="AK599">
        <v>23.8</v>
      </c>
      <c r="AL599">
        <v>-20.175195199999958</v>
      </c>
      <c r="AM599">
        <v>-44.913964122548052</v>
      </c>
      <c r="AN599">
        <v>-20.175195199999958</v>
      </c>
      <c r="AO599">
        <v>-44.913964122548052</v>
      </c>
      <c r="AP599">
        <v>-20.175142000000001</v>
      </c>
      <c r="AQ599">
        <v>-44.913783000000002</v>
      </c>
      <c r="AR599">
        <v>19.830402633152101</v>
      </c>
      <c r="AS599" t="s">
        <v>65</v>
      </c>
      <c r="AT599">
        <v>1</v>
      </c>
      <c r="AU599" t="s">
        <v>1326</v>
      </c>
      <c r="AV599" t="s">
        <v>1327</v>
      </c>
      <c r="AW599" t="s">
        <v>60</v>
      </c>
      <c r="AX599" t="s">
        <v>68</v>
      </c>
      <c r="AY599" t="s">
        <v>69</v>
      </c>
      <c r="AZ599" t="b">
        <v>1</v>
      </c>
    </row>
    <row r="600" spans="1:52" x14ac:dyDescent="0.3">
      <c r="A600" t="s">
        <v>52</v>
      </c>
      <c r="B600" t="s">
        <v>53</v>
      </c>
      <c r="C600" t="s">
        <v>54</v>
      </c>
      <c r="D600" t="s">
        <v>55</v>
      </c>
      <c r="E600" t="s">
        <v>1617</v>
      </c>
      <c r="F600" t="s">
        <v>1247</v>
      </c>
      <c r="G600" t="s">
        <v>435</v>
      </c>
      <c r="H600" t="s">
        <v>436</v>
      </c>
      <c r="I600" t="s">
        <v>436</v>
      </c>
      <c r="J600" t="s">
        <v>60</v>
      </c>
      <c r="K600" t="s">
        <v>437</v>
      </c>
      <c r="L600" t="s">
        <v>62</v>
      </c>
      <c r="M600" t="s">
        <v>437</v>
      </c>
      <c r="N600" t="s">
        <v>438</v>
      </c>
      <c r="O600" t="s">
        <v>439</v>
      </c>
      <c r="P600">
        <v>-20.145613000000001</v>
      </c>
      <c r="Q600">
        <v>-44.882375000000003</v>
      </c>
      <c r="R600" s="2" t="str">
        <f>HYPERLINK("https://www.google.com/maps?q=-20.1456130,-44.8823750","Abrir no Google Maps")</f>
        <v>Abrir no Google Maps</v>
      </c>
      <c r="S600">
        <v>3</v>
      </c>
      <c r="T600">
        <v>305.65092112314198</v>
      </c>
      <c r="U600">
        <v>2</v>
      </c>
      <c r="V600">
        <v>0.3551128753771926</v>
      </c>
      <c r="W600">
        <v>1</v>
      </c>
      <c r="X600">
        <v>0.3551128753771926</v>
      </c>
      <c r="Y600">
        <v>653</v>
      </c>
      <c r="Z600">
        <v>349.55297035282501</v>
      </c>
      <c r="AA600">
        <v>198</v>
      </c>
      <c r="AB600">
        <v>332</v>
      </c>
      <c r="AC600">
        <v>536</v>
      </c>
      <c r="AD600">
        <v>33.19</v>
      </c>
      <c r="AE600">
        <v>542</v>
      </c>
      <c r="AF600">
        <v>42</v>
      </c>
      <c r="AG600">
        <v>173</v>
      </c>
      <c r="AH600">
        <v>129</v>
      </c>
      <c r="AI600">
        <v>7.75</v>
      </c>
      <c r="AJ600">
        <v>31.92</v>
      </c>
      <c r="AK600">
        <v>23.8</v>
      </c>
      <c r="AL600">
        <v>-20.14550464999996</v>
      </c>
      <c r="AM600">
        <v>-44.882157007077737</v>
      </c>
      <c r="AN600">
        <v>-20.14550464999996</v>
      </c>
      <c r="AO600">
        <v>-44.882157007077737</v>
      </c>
      <c r="AP600">
        <v>-20.145613000000001</v>
      </c>
      <c r="AQ600">
        <v>-44.882375000000003</v>
      </c>
      <c r="AR600">
        <v>25.77819791856259</v>
      </c>
      <c r="AS600" t="s">
        <v>65</v>
      </c>
      <c r="AT600">
        <v>1</v>
      </c>
      <c r="AU600" t="s">
        <v>440</v>
      </c>
      <c r="AV600" t="s">
        <v>441</v>
      </c>
      <c r="AW600" t="s">
        <v>60</v>
      </c>
      <c r="AX600" t="s">
        <v>68</v>
      </c>
      <c r="AY600" t="s">
        <v>69</v>
      </c>
      <c r="AZ600" t="b">
        <v>1</v>
      </c>
    </row>
    <row r="601" spans="1:52" x14ac:dyDescent="0.3">
      <c r="A601" t="s">
        <v>52</v>
      </c>
      <c r="B601" t="s">
        <v>53</v>
      </c>
      <c r="C601" t="s">
        <v>54</v>
      </c>
      <c r="D601" t="s">
        <v>55</v>
      </c>
      <c r="E601" t="s">
        <v>1617</v>
      </c>
      <c r="F601" t="s">
        <v>1247</v>
      </c>
      <c r="G601" t="s">
        <v>442</v>
      </c>
      <c r="H601" t="s">
        <v>443</v>
      </c>
      <c r="I601" t="s">
        <v>443</v>
      </c>
      <c r="J601" t="s">
        <v>60</v>
      </c>
      <c r="K601" t="s">
        <v>437</v>
      </c>
      <c r="L601" t="s">
        <v>62</v>
      </c>
      <c r="M601" t="s">
        <v>437</v>
      </c>
      <c r="N601" t="s">
        <v>444</v>
      </c>
      <c r="O601" t="s">
        <v>445</v>
      </c>
      <c r="P601">
        <v>-20.149744999999999</v>
      </c>
      <c r="Q601">
        <v>-44.881385000000002</v>
      </c>
      <c r="R601" s="2" t="str">
        <f>HYPERLINK("https://www.google.com/maps?q=-20.1497450,-44.8813850","Abrir no Google Maps")</f>
        <v>Abrir no Google Maps</v>
      </c>
      <c r="S601">
        <v>3</v>
      </c>
      <c r="T601">
        <v>188.80690546111239</v>
      </c>
      <c r="U601">
        <v>2</v>
      </c>
      <c r="V601">
        <v>0.34302212925951348</v>
      </c>
      <c r="W601">
        <v>1</v>
      </c>
      <c r="X601">
        <v>0.34302212925951348</v>
      </c>
      <c r="Y601">
        <v>653</v>
      </c>
      <c r="Z601">
        <v>86.575080390731017</v>
      </c>
      <c r="AA601">
        <v>198</v>
      </c>
      <c r="AB601">
        <v>332</v>
      </c>
      <c r="AC601">
        <v>536</v>
      </c>
      <c r="AD601">
        <v>33.19</v>
      </c>
      <c r="AE601">
        <v>542</v>
      </c>
      <c r="AF601">
        <v>42</v>
      </c>
      <c r="AG601">
        <v>173</v>
      </c>
      <c r="AH601">
        <v>129</v>
      </c>
      <c r="AI601">
        <v>7.75</v>
      </c>
      <c r="AJ601">
        <v>31.92</v>
      </c>
      <c r="AK601">
        <v>23.8</v>
      </c>
      <c r="AL601">
        <v>-20.149645149999941</v>
      </c>
      <c r="AM601">
        <v>-44.881504585149607</v>
      </c>
      <c r="AN601">
        <v>-20.149645149999941</v>
      </c>
      <c r="AO601">
        <v>-44.881504585149607</v>
      </c>
      <c r="AP601">
        <v>-20.149744999999999</v>
      </c>
      <c r="AQ601">
        <v>-44.881385000000002</v>
      </c>
      <c r="AR601">
        <v>16.725323110840389</v>
      </c>
      <c r="AS601" t="s">
        <v>65</v>
      </c>
      <c r="AT601">
        <v>1</v>
      </c>
      <c r="AU601" t="s">
        <v>446</v>
      </c>
      <c r="AV601" t="s">
        <v>447</v>
      </c>
      <c r="AW601" t="s">
        <v>60</v>
      </c>
      <c r="AX601" t="s">
        <v>68</v>
      </c>
      <c r="AY601" t="s">
        <v>69</v>
      </c>
      <c r="AZ601" t="b">
        <v>1</v>
      </c>
    </row>
    <row r="602" spans="1:52" x14ac:dyDescent="0.3">
      <c r="A602" t="s">
        <v>52</v>
      </c>
      <c r="B602" t="s">
        <v>53</v>
      </c>
      <c r="C602" t="s">
        <v>54</v>
      </c>
      <c r="D602" t="s">
        <v>55</v>
      </c>
      <c r="E602" t="s">
        <v>1617</v>
      </c>
      <c r="F602" t="s">
        <v>1247</v>
      </c>
      <c r="G602" t="s">
        <v>448</v>
      </c>
      <c r="H602" t="s">
        <v>449</v>
      </c>
      <c r="I602" t="s">
        <v>449</v>
      </c>
      <c r="J602" t="s">
        <v>60</v>
      </c>
      <c r="K602" t="s">
        <v>388</v>
      </c>
      <c r="L602" t="s">
        <v>62</v>
      </c>
      <c r="M602" t="s">
        <v>388</v>
      </c>
      <c r="N602" t="s">
        <v>450</v>
      </c>
      <c r="O602" t="s">
        <v>451</v>
      </c>
      <c r="P602">
        <v>-20.163981</v>
      </c>
      <c r="Q602">
        <v>-44.907128999999998</v>
      </c>
      <c r="R602" s="2" t="str">
        <f>HYPERLINK("https://www.google.com/maps?q=-20.1639810,-44.9071290","Abrir no Google Maps")</f>
        <v>Abrir no Google Maps</v>
      </c>
      <c r="S602">
        <v>3</v>
      </c>
      <c r="T602">
        <v>782.50730806588319</v>
      </c>
      <c r="U602">
        <v>2</v>
      </c>
      <c r="V602">
        <v>0.33589715670176001</v>
      </c>
      <c r="W602">
        <v>1</v>
      </c>
      <c r="X602">
        <v>0.33589715670176001</v>
      </c>
      <c r="Y602">
        <v>639</v>
      </c>
      <c r="Z602">
        <v>710.90621453796166</v>
      </c>
      <c r="AA602">
        <v>198</v>
      </c>
      <c r="AB602">
        <v>332</v>
      </c>
      <c r="AC602">
        <v>536</v>
      </c>
      <c r="AD602">
        <v>33.19</v>
      </c>
      <c r="AE602">
        <v>542</v>
      </c>
      <c r="AF602">
        <v>42</v>
      </c>
      <c r="AG602">
        <v>173</v>
      </c>
      <c r="AH602">
        <v>129</v>
      </c>
      <c r="AI602">
        <v>7.75</v>
      </c>
      <c r="AJ602">
        <v>31.92</v>
      </c>
      <c r="AK602">
        <v>23.8</v>
      </c>
      <c r="AL602">
        <v>-20.163958349999969</v>
      </c>
      <c r="AM602">
        <v>-44.907180923930973</v>
      </c>
      <c r="AN602">
        <v>-20.163958349999969</v>
      </c>
      <c r="AO602">
        <v>-44.907180923930973</v>
      </c>
      <c r="AP602">
        <v>-20.163981</v>
      </c>
      <c r="AQ602">
        <v>-44.907128999999998</v>
      </c>
      <c r="AR602">
        <v>5.9831345092457884</v>
      </c>
      <c r="AS602" t="s">
        <v>65</v>
      </c>
      <c r="AT602">
        <v>1</v>
      </c>
      <c r="AU602" t="s">
        <v>452</v>
      </c>
      <c r="AV602" t="s">
        <v>453</v>
      </c>
      <c r="AW602" t="s">
        <v>60</v>
      </c>
      <c r="AX602" t="s">
        <v>68</v>
      </c>
      <c r="AY602" t="s">
        <v>69</v>
      </c>
      <c r="AZ602" t="b">
        <v>1</v>
      </c>
    </row>
    <row r="603" spans="1:52" x14ac:dyDescent="0.3">
      <c r="A603" t="s">
        <v>52</v>
      </c>
      <c r="B603" t="s">
        <v>53</v>
      </c>
      <c r="C603" t="s">
        <v>54</v>
      </c>
      <c r="D603" t="s">
        <v>55</v>
      </c>
      <c r="E603" t="s">
        <v>1617</v>
      </c>
      <c r="F603" t="s">
        <v>1247</v>
      </c>
      <c r="G603" t="s">
        <v>467</v>
      </c>
      <c r="H603" t="s">
        <v>468</v>
      </c>
      <c r="I603" t="s">
        <v>468</v>
      </c>
      <c r="J603" t="s">
        <v>60</v>
      </c>
      <c r="K603" t="s">
        <v>462</v>
      </c>
      <c r="L603" t="s">
        <v>62</v>
      </c>
      <c r="M603" t="s">
        <v>462</v>
      </c>
      <c r="N603" t="s">
        <v>469</v>
      </c>
      <c r="O603" t="s">
        <v>470</v>
      </c>
      <c r="P603">
        <v>-20.138233</v>
      </c>
      <c r="Q603">
        <v>-44.908200000000001</v>
      </c>
      <c r="R603" s="2" t="str">
        <f>HYPERLINK("https://www.google.com/maps?q=-20.1382330,-44.9082000","Abrir no Google Maps")</f>
        <v>Abrir no Google Maps</v>
      </c>
      <c r="S603">
        <v>3</v>
      </c>
      <c r="T603">
        <v>0</v>
      </c>
      <c r="U603">
        <v>2</v>
      </c>
      <c r="V603">
        <v>0.3379441506598056</v>
      </c>
      <c r="W603">
        <v>1</v>
      </c>
      <c r="X603">
        <v>0.3379441506598056</v>
      </c>
      <c r="Y603">
        <v>581</v>
      </c>
      <c r="Z603">
        <v>153.18688302958171</v>
      </c>
      <c r="AA603">
        <v>198</v>
      </c>
      <c r="AB603">
        <v>332</v>
      </c>
      <c r="AC603">
        <v>536</v>
      </c>
      <c r="AD603">
        <v>33.19</v>
      </c>
      <c r="AE603">
        <v>542</v>
      </c>
      <c r="AF603">
        <v>42</v>
      </c>
      <c r="AG603">
        <v>173</v>
      </c>
      <c r="AH603">
        <v>129</v>
      </c>
      <c r="AI603">
        <v>7.75</v>
      </c>
      <c r="AJ603">
        <v>31.92</v>
      </c>
      <c r="AK603">
        <v>23.8</v>
      </c>
      <c r="AL603">
        <v>-20.138364899999971</v>
      </c>
      <c r="AM603">
        <v>-44.907942114873997</v>
      </c>
      <c r="AN603">
        <v>-20.138364899999971</v>
      </c>
      <c r="AO603">
        <v>-44.907942114873997</v>
      </c>
      <c r="AP603">
        <v>-20.138233</v>
      </c>
      <c r="AQ603">
        <v>-44.908200000000001</v>
      </c>
      <c r="AR603">
        <v>30.692690617986941</v>
      </c>
      <c r="AS603" t="s">
        <v>65</v>
      </c>
      <c r="AT603">
        <v>1</v>
      </c>
      <c r="AU603" t="s">
        <v>471</v>
      </c>
      <c r="AV603" t="s">
        <v>472</v>
      </c>
      <c r="AW603" t="s">
        <v>60</v>
      </c>
      <c r="AX603" t="s">
        <v>68</v>
      </c>
      <c r="AY603" t="s">
        <v>69</v>
      </c>
      <c r="AZ603" t="b">
        <v>1</v>
      </c>
    </row>
    <row r="604" spans="1:52" x14ac:dyDescent="0.3">
      <c r="A604" t="s">
        <v>52</v>
      </c>
      <c r="B604" t="s">
        <v>53</v>
      </c>
      <c r="C604" t="s">
        <v>54</v>
      </c>
      <c r="D604" t="s">
        <v>55</v>
      </c>
      <c r="E604" t="s">
        <v>1617</v>
      </c>
      <c r="F604" t="s">
        <v>1247</v>
      </c>
      <c r="G604" t="s">
        <v>1354</v>
      </c>
      <c r="H604" t="s">
        <v>1355</v>
      </c>
      <c r="I604" t="s">
        <v>1355</v>
      </c>
      <c r="J604" t="s">
        <v>60</v>
      </c>
      <c r="K604" t="s">
        <v>1356</v>
      </c>
      <c r="L604" t="s">
        <v>62</v>
      </c>
      <c r="M604" t="s">
        <v>1356</v>
      </c>
      <c r="N604" t="s">
        <v>1357</v>
      </c>
      <c r="O604" t="s">
        <v>315</v>
      </c>
      <c r="P604">
        <v>-20.132080999999999</v>
      </c>
      <c r="Q604">
        <v>-44.908614</v>
      </c>
      <c r="R604" s="2" t="str">
        <f>HYPERLINK("https://www.google.com/maps?q=-20.1320810,-44.9086140","Abrir no Google Maps")</f>
        <v>Abrir no Google Maps</v>
      </c>
      <c r="S604">
        <v>3</v>
      </c>
      <c r="T604">
        <v>701.02570959373259</v>
      </c>
      <c r="U604">
        <v>2</v>
      </c>
      <c r="V604">
        <v>0.43018717642373561</v>
      </c>
      <c r="W604">
        <v>0.85</v>
      </c>
      <c r="X604">
        <v>0.36565909996017532</v>
      </c>
      <c r="Y604">
        <v>581</v>
      </c>
      <c r="Z604">
        <v>811.38061352229215</v>
      </c>
      <c r="AA604">
        <v>198</v>
      </c>
      <c r="AB604">
        <v>332</v>
      </c>
      <c r="AC604">
        <v>536</v>
      </c>
      <c r="AD604">
        <v>33.19</v>
      </c>
      <c r="AE604">
        <v>542</v>
      </c>
      <c r="AF604">
        <v>42</v>
      </c>
      <c r="AG604">
        <v>173</v>
      </c>
      <c r="AH604">
        <v>129</v>
      </c>
      <c r="AI604">
        <v>7.75</v>
      </c>
      <c r="AJ604">
        <v>31.92</v>
      </c>
      <c r="AK604">
        <v>23.8</v>
      </c>
      <c r="AL604">
        <v>-20.132063499999951</v>
      </c>
      <c r="AM604">
        <v>-44.908630454878519</v>
      </c>
      <c r="AN604">
        <v>-20.132063499999951</v>
      </c>
      <c r="AO604">
        <v>-44.908630454878519</v>
      </c>
      <c r="AP604">
        <v>-20.132080999999999</v>
      </c>
      <c r="AQ604">
        <v>-44.908614</v>
      </c>
      <c r="AR604">
        <v>2.5986425761911551</v>
      </c>
      <c r="AS604" t="s">
        <v>65</v>
      </c>
      <c r="AT604">
        <v>1</v>
      </c>
      <c r="AU604" t="s">
        <v>1358</v>
      </c>
      <c r="AV604" t="s">
        <v>1359</v>
      </c>
      <c r="AW604" t="s">
        <v>60</v>
      </c>
      <c r="AX604" t="s">
        <v>68</v>
      </c>
      <c r="AY604" t="s">
        <v>69</v>
      </c>
      <c r="AZ604" t="b">
        <v>1</v>
      </c>
    </row>
    <row r="605" spans="1:52" x14ac:dyDescent="0.3">
      <c r="A605" t="s">
        <v>52</v>
      </c>
      <c r="B605" t="s">
        <v>53</v>
      </c>
      <c r="C605" t="s">
        <v>54</v>
      </c>
      <c r="D605" t="s">
        <v>55</v>
      </c>
      <c r="E605" t="s">
        <v>1617</v>
      </c>
      <c r="F605" t="s">
        <v>1247</v>
      </c>
      <c r="G605" t="s">
        <v>1364</v>
      </c>
      <c r="H605" t="s">
        <v>1365</v>
      </c>
      <c r="I605" t="s">
        <v>1365</v>
      </c>
      <c r="J605" t="s">
        <v>60</v>
      </c>
      <c r="K605" t="s">
        <v>1356</v>
      </c>
      <c r="L605" t="s">
        <v>62</v>
      </c>
      <c r="M605" t="s">
        <v>1356</v>
      </c>
      <c r="N605" t="s">
        <v>1366</v>
      </c>
      <c r="O605" t="s">
        <v>548</v>
      </c>
      <c r="P605">
        <v>-20.131240999999999</v>
      </c>
      <c r="Q605">
        <v>-44.910567999999998</v>
      </c>
      <c r="R605" s="2" t="str">
        <f>HYPERLINK("https://www.google.com/maps?q=-20.1312410,-44.9105680","Abrir no Google Maps")</f>
        <v>Abrir no Google Maps</v>
      </c>
      <c r="S605">
        <v>3</v>
      </c>
      <c r="T605">
        <v>822.61354861726704</v>
      </c>
      <c r="U605">
        <v>2</v>
      </c>
      <c r="V605">
        <v>0.41259259259259251</v>
      </c>
      <c r="W605">
        <v>0.85</v>
      </c>
      <c r="X605">
        <v>0.35070370370370357</v>
      </c>
      <c r="Y605">
        <v>581</v>
      </c>
      <c r="Z605">
        <v>982.3990834787046</v>
      </c>
      <c r="AA605">
        <v>198</v>
      </c>
      <c r="AB605">
        <v>332</v>
      </c>
      <c r="AC605">
        <v>536</v>
      </c>
      <c r="AD605">
        <v>33.19</v>
      </c>
      <c r="AE605">
        <v>542</v>
      </c>
      <c r="AF605">
        <v>42</v>
      </c>
      <c r="AG605">
        <v>173</v>
      </c>
      <c r="AH605">
        <v>129</v>
      </c>
      <c r="AI605">
        <v>7.75</v>
      </c>
      <c r="AJ605">
        <v>31.92</v>
      </c>
      <c r="AK605">
        <v>23.8</v>
      </c>
      <c r="AL605">
        <v>-20.131367099999981</v>
      </c>
      <c r="AM605">
        <v>-44.910597350758543</v>
      </c>
      <c r="AN605">
        <v>-20.131367099999981</v>
      </c>
      <c r="AO605">
        <v>-44.910597350758543</v>
      </c>
      <c r="AP605">
        <v>-20.131240999999999</v>
      </c>
      <c r="AQ605">
        <v>-44.910567999999998</v>
      </c>
      <c r="AR605">
        <v>14.36874794070623</v>
      </c>
      <c r="AS605" t="s">
        <v>65</v>
      </c>
      <c r="AT605">
        <v>1</v>
      </c>
      <c r="AU605" t="s">
        <v>1367</v>
      </c>
      <c r="AV605" t="s">
        <v>1368</v>
      </c>
      <c r="AW605" t="s">
        <v>60</v>
      </c>
      <c r="AX605" t="s">
        <v>68</v>
      </c>
      <c r="AY605" t="s">
        <v>69</v>
      </c>
      <c r="AZ605" t="b">
        <v>1</v>
      </c>
    </row>
    <row r="606" spans="1:52" x14ac:dyDescent="0.3">
      <c r="A606" t="s">
        <v>52</v>
      </c>
      <c r="B606" t="s">
        <v>53</v>
      </c>
      <c r="C606" t="s">
        <v>54</v>
      </c>
      <c r="D606" t="s">
        <v>55</v>
      </c>
      <c r="E606" t="s">
        <v>1617</v>
      </c>
      <c r="F606" t="s">
        <v>1247</v>
      </c>
      <c r="G606" t="s">
        <v>1382</v>
      </c>
      <c r="H606" t="s">
        <v>1383</v>
      </c>
      <c r="I606" t="s">
        <v>1383</v>
      </c>
      <c r="J606" t="s">
        <v>60</v>
      </c>
      <c r="K606" t="s">
        <v>1384</v>
      </c>
      <c r="L606" t="s">
        <v>62</v>
      </c>
      <c r="M606" t="s">
        <v>1384</v>
      </c>
      <c r="N606" t="s">
        <v>1385</v>
      </c>
      <c r="O606" t="s">
        <v>1379</v>
      </c>
      <c r="P606">
        <v>-20.168914999999998</v>
      </c>
      <c r="Q606">
        <v>-44.897015000000003</v>
      </c>
      <c r="R606" s="2" t="str">
        <f>HYPERLINK("https://www.google.com/maps?q=-20.1689150,-44.8970150","Abrir no Google Maps")</f>
        <v>Abrir no Google Maps</v>
      </c>
      <c r="S606">
        <v>3</v>
      </c>
      <c r="T606">
        <v>1082.4313448281291</v>
      </c>
      <c r="U606">
        <v>2</v>
      </c>
      <c r="V606">
        <v>0.42276764843384751</v>
      </c>
      <c r="W606">
        <v>0.85</v>
      </c>
      <c r="X606">
        <v>0.35935250116877038</v>
      </c>
      <c r="Y606">
        <v>578</v>
      </c>
      <c r="Z606">
        <v>1085.6751638476369</v>
      </c>
      <c r="AA606">
        <v>198</v>
      </c>
      <c r="AB606">
        <v>332</v>
      </c>
      <c r="AC606">
        <v>536</v>
      </c>
      <c r="AD606">
        <v>33.19</v>
      </c>
      <c r="AE606">
        <v>542</v>
      </c>
      <c r="AF606">
        <v>42</v>
      </c>
      <c r="AG606">
        <v>173</v>
      </c>
      <c r="AH606">
        <v>129</v>
      </c>
      <c r="AI606">
        <v>7.75</v>
      </c>
      <c r="AJ606">
        <v>31.92</v>
      </c>
      <c r="AK606">
        <v>23.8</v>
      </c>
      <c r="AL606">
        <v>-20.168195549999979</v>
      </c>
      <c r="AM606">
        <v>-44.895555997240763</v>
      </c>
      <c r="AN606">
        <v>-20.168195549999979</v>
      </c>
      <c r="AO606">
        <v>-44.895555997240763</v>
      </c>
      <c r="AP606">
        <v>-20.168914999999998</v>
      </c>
      <c r="AQ606">
        <v>-44.897015000000003</v>
      </c>
      <c r="AR606">
        <v>172.21377736735809</v>
      </c>
      <c r="AS606" t="s">
        <v>65</v>
      </c>
      <c r="AT606">
        <v>1</v>
      </c>
      <c r="AU606" t="s">
        <v>1386</v>
      </c>
      <c r="AV606" t="s">
        <v>1387</v>
      </c>
      <c r="AW606" t="s">
        <v>60</v>
      </c>
      <c r="AX606" t="s">
        <v>68</v>
      </c>
      <c r="AY606" t="s">
        <v>69</v>
      </c>
      <c r="AZ606" t="b">
        <v>1</v>
      </c>
    </row>
    <row r="607" spans="1:52" x14ac:dyDescent="0.3">
      <c r="A607" t="s">
        <v>52</v>
      </c>
      <c r="B607" t="s">
        <v>53</v>
      </c>
      <c r="C607" t="s">
        <v>54</v>
      </c>
      <c r="D607" t="s">
        <v>55</v>
      </c>
      <c r="E607" t="s">
        <v>1617</v>
      </c>
      <c r="F607" t="s">
        <v>1247</v>
      </c>
      <c r="G607" t="s">
        <v>1388</v>
      </c>
      <c r="H607" t="s">
        <v>1389</v>
      </c>
      <c r="I607" t="s">
        <v>1389</v>
      </c>
      <c r="J607" t="s">
        <v>60</v>
      </c>
      <c r="K607" t="s">
        <v>475</v>
      </c>
      <c r="L607" t="s">
        <v>62</v>
      </c>
      <c r="M607" t="s">
        <v>475</v>
      </c>
      <c r="N607" t="s">
        <v>1390</v>
      </c>
      <c r="O607" t="s">
        <v>855</v>
      </c>
      <c r="P607">
        <v>-20.173748</v>
      </c>
      <c r="Q607">
        <v>-44.894596999999997</v>
      </c>
      <c r="R607" s="2" t="str">
        <f>HYPERLINK("https://www.google.com/maps?q=-20.1737480,-44.8945970","Abrir no Google Maps")</f>
        <v>Abrir no Google Maps</v>
      </c>
      <c r="S607">
        <v>3</v>
      </c>
      <c r="T607">
        <v>1217.388518792701</v>
      </c>
      <c r="U607">
        <v>2</v>
      </c>
      <c r="V607">
        <v>0.42954723707664871</v>
      </c>
      <c r="W607">
        <v>0.85</v>
      </c>
      <c r="X607">
        <v>0.36511515151515139</v>
      </c>
      <c r="Y607">
        <v>578</v>
      </c>
      <c r="Z607">
        <v>1268.0048337091989</v>
      </c>
      <c r="AA607">
        <v>198</v>
      </c>
      <c r="AB607">
        <v>332</v>
      </c>
      <c r="AC607">
        <v>536</v>
      </c>
      <c r="AD607">
        <v>33.19</v>
      </c>
      <c r="AE607">
        <v>542</v>
      </c>
      <c r="AF607">
        <v>42</v>
      </c>
      <c r="AG607">
        <v>173</v>
      </c>
      <c r="AH607">
        <v>129</v>
      </c>
      <c r="AI607">
        <v>7.75</v>
      </c>
      <c r="AJ607">
        <v>31.92</v>
      </c>
      <c r="AK607">
        <v>23.8</v>
      </c>
      <c r="AL607">
        <v>-20.173821999999941</v>
      </c>
      <c r="AM607">
        <v>-44.894306105833543</v>
      </c>
      <c r="AN607">
        <v>-20.173821999999941</v>
      </c>
      <c r="AO607">
        <v>-44.894306105833543</v>
      </c>
      <c r="AP607">
        <v>-20.173748</v>
      </c>
      <c r="AQ607">
        <v>-44.894596999999997</v>
      </c>
      <c r="AR607">
        <v>31.492193006406161</v>
      </c>
      <c r="AS607" t="s">
        <v>65</v>
      </c>
      <c r="AT607">
        <v>1</v>
      </c>
      <c r="AU607" t="s">
        <v>1391</v>
      </c>
      <c r="AV607" t="s">
        <v>1392</v>
      </c>
      <c r="AW607" t="s">
        <v>60</v>
      </c>
      <c r="AX607" t="s">
        <v>68</v>
      </c>
      <c r="AY607" t="s">
        <v>69</v>
      </c>
      <c r="AZ607" t="b">
        <v>1</v>
      </c>
    </row>
    <row r="608" spans="1:52" x14ac:dyDescent="0.3">
      <c r="A608" t="s">
        <v>52</v>
      </c>
      <c r="B608" t="s">
        <v>53</v>
      </c>
      <c r="C608" t="s">
        <v>54</v>
      </c>
      <c r="D608" t="s">
        <v>55</v>
      </c>
      <c r="E608" t="s">
        <v>1617</v>
      </c>
      <c r="F608" t="s">
        <v>1247</v>
      </c>
      <c r="G608" t="s">
        <v>1399</v>
      </c>
      <c r="H608" t="s">
        <v>1400</v>
      </c>
      <c r="I608" t="s">
        <v>1400</v>
      </c>
      <c r="J608" t="s">
        <v>60</v>
      </c>
      <c r="K608" t="s">
        <v>475</v>
      </c>
      <c r="L608" t="s">
        <v>62</v>
      </c>
      <c r="M608" t="s">
        <v>475</v>
      </c>
      <c r="N608" t="s">
        <v>1401</v>
      </c>
      <c r="O608" t="s">
        <v>1080</v>
      </c>
      <c r="P608">
        <v>-20.178809000000001</v>
      </c>
      <c r="Q608">
        <v>-44.900204000000002</v>
      </c>
      <c r="R608" s="2" t="str">
        <f>HYPERLINK("https://www.google.com/maps?q=-20.1788090,-44.9002040","Abrir no Google Maps")</f>
        <v>Abrir no Google Maps</v>
      </c>
      <c r="S608">
        <v>3</v>
      </c>
      <c r="T608">
        <v>1015.86498565614</v>
      </c>
      <c r="U608">
        <v>2</v>
      </c>
      <c r="V608">
        <v>0.43626716471761778</v>
      </c>
      <c r="W608">
        <v>0.85</v>
      </c>
      <c r="X608">
        <v>0.3708270900099751</v>
      </c>
      <c r="Y608">
        <v>578</v>
      </c>
      <c r="Z608">
        <v>954.77111474428102</v>
      </c>
      <c r="AA608">
        <v>198</v>
      </c>
      <c r="AB608">
        <v>332</v>
      </c>
      <c r="AC608">
        <v>536</v>
      </c>
      <c r="AD608">
        <v>33.19</v>
      </c>
      <c r="AE608">
        <v>542</v>
      </c>
      <c r="AF608">
        <v>42</v>
      </c>
      <c r="AG608">
        <v>173</v>
      </c>
      <c r="AH608">
        <v>129</v>
      </c>
      <c r="AI608">
        <v>7.75</v>
      </c>
      <c r="AJ608">
        <v>31.92</v>
      </c>
      <c r="AK608">
        <v>23.8</v>
      </c>
      <c r="AL608">
        <v>-20.178590099999951</v>
      </c>
      <c r="AM608">
        <v>-44.90029029928732</v>
      </c>
      <c r="AN608">
        <v>-20.178590099999951</v>
      </c>
      <c r="AO608">
        <v>-44.90029029928732</v>
      </c>
      <c r="AP608">
        <v>-20.178809000000001</v>
      </c>
      <c r="AQ608">
        <v>-44.900204000000002</v>
      </c>
      <c r="AR608">
        <v>25.982812999798391</v>
      </c>
      <c r="AS608" t="s">
        <v>65</v>
      </c>
      <c r="AT608">
        <v>1</v>
      </c>
      <c r="AU608" t="s">
        <v>1402</v>
      </c>
      <c r="AV608" t="s">
        <v>1403</v>
      </c>
      <c r="AW608" t="s">
        <v>60</v>
      </c>
      <c r="AX608" t="s">
        <v>68</v>
      </c>
      <c r="AY608" t="s">
        <v>69</v>
      </c>
      <c r="AZ608" t="b">
        <v>1</v>
      </c>
    </row>
    <row r="609" spans="1:52" x14ac:dyDescent="0.3">
      <c r="A609" t="s">
        <v>52</v>
      </c>
      <c r="B609" t="s">
        <v>53</v>
      </c>
      <c r="C609" t="s">
        <v>54</v>
      </c>
      <c r="D609" t="s">
        <v>55</v>
      </c>
      <c r="E609" t="s">
        <v>1617</v>
      </c>
      <c r="F609" t="s">
        <v>1247</v>
      </c>
      <c r="G609" t="s">
        <v>503</v>
      </c>
      <c r="H609" t="s">
        <v>504</v>
      </c>
      <c r="I609" t="s">
        <v>504</v>
      </c>
      <c r="J609" t="s">
        <v>60</v>
      </c>
      <c r="K609" t="s">
        <v>505</v>
      </c>
      <c r="L609" t="s">
        <v>62</v>
      </c>
      <c r="M609" t="s">
        <v>505</v>
      </c>
      <c r="N609" t="s">
        <v>506</v>
      </c>
      <c r="O609" t="s">
        <v>507</v>
      </c>
      <c r="P609">
        <v>-20.131428</v>
      </c>
      <c r="Q609">
        <v>-44.888921000000003</v>
      </c>
      <c r="R609" s="2" t="str">
        <f>HYPERLINK("https://www.google.com/maps?q=-20.1314280,-44.8889210","Abrir no Google Maps")</f>
        <v>Abrir no Google Maps</v>
      </c>
      <c r="S609">
        <v>3</v>
      </c>
      <c r="T609">
        <v>250.64150698244501</v>
      </c>
      <c r="U609">
        <v>2</v>
      </c>
      <c r="V609">
        <v>0.37433778342869239</v>
      </c>
      <c r="W609">
        <v>1</v>
      </c>
      <c r="X609">
        <v>0.37433778342869239</v>
      </c>
      <c r="Y609">
        <v>564</v>
      </c>
      <c r="Z609">
        <v>189.93933888952441</v>
      </c>
      <c r="AA609">
        <v>198</v>
      </c>
      <c r="AB609">
        <v>332</v>
      </c>
      <c r="AC609">
        <v>536</v>
      </c>
      <c r="AD609">
        <v>33.19</v>
      </c>
      <c r="AE609">
        <v>542</v>
      </c>
      <c r="AF609">
        <v>42</v>
      </c>
      <c r="AG609">
        <v>173</v>
      </c>
      <c r="AH609">
        <v>129</v>
      </c>
      <c r="AI609">
        <v>7.75</v>
      </c>
      <c r="AJ609">
        <v>31.92</v>
      </c>
      <c r="AK609">
        <v>23.8</v>
      </c>
      <c r="AL609">
        <v>-20.13123589999995</v>
      </c>
      <c r="AM609">
        <v>-44.888742396501762</v>
      </c>
      <c r="AN609">
        <v>-20.13123589999995</v>
      </c>
      <c r="AO609">
        <v>-44.888742396501762</v>
      </c>
      <c r="AP609">
        <v>-20.131428</v>
      </c>
      <c r="AQ609">
        <v>-44.888921000000003</v>
      </c>
      <c r="AR609">
        <v>28.386169462917032</v>
      </c>
      <c r="AS609" t="s">
        <v>65</v>
      </c>
      <c r="AT609">
        <v>1</v>
      </c>
      <c r="AU609" t="s">
        <v>508</v>
      </c>
      <c r="AV609" t="s">
        <v>509</v>
      </c>
      <c r="AW609" t="s">
        <v>60</v>
      </c>
      <c r="AX609" t="s">
        <v>68</v>
      </c>
      <c r="AY609" t="s">
        <v>69</v>
      </c>
      <c r="AZ609" t="b">
        <v>1</v>
      </c>
    </row>
    <row r="610" spans="1:52" x14ac:dyDescent="0.3">
      <c r="A610" t="s">
        <v>52</v>
      </c>
      <c r="B610" t="s">
        <v>53</v>
      </c>
      <c r="C610" t="s">
        <v>54</v>
      </c>
      <c r="D610" t="s">
        <v>55</v>
      </c>
      <c r="E610" t="s">
        <v>1617</v>
      </c>
      <c r="F610" t="s">
        <v>1247</v>
      </c>
      <c r="G610" t="s">
        <v>510</v>
      </c>
      <c r="H610" t="s">
        <v>511</v>
      </c>
      <c r="I610" t="s">
        <v>511</v>
      </c>
      <c r="J610" t="s">
        <v>60</v>
      </c>
      <c r="K610" t="s">
        <v>512</v>
      </c>
      <c r="L610" t="s">
        <v>62</v>
      </c>
      <c r="M610" t="s">
        <v>512</v>
      </c>
      <c r="N610" t="s">
        <v>406</v>
      </c>
      <c r="O610" t="s">
        <v>513</v>
      </c>
      <c r="P610">
        <v>-20.127853000000002</v>
      </c>
      <c r="Q610">
        <v>-44.891415000000002</v>
      </c>
      <c r="R610" s="2" t="str">
        <f>HYPERLINK("https://www.google.com/maps?q=-20.1278530,-44.8914150","Abrir no Google Maps")</f>
        <v>Abrir no Google Maps</v>
      </c>
      <c r="S610">
        <v>3</v>
      </c>
      <c r="T610">
        <v>340.86994528233612</v>
      </c>
      <c r="U610">
        <v>2</v>
      </c>
      <c r="V610">
        <v>0.37402221434479499</v>
      </c>
      <c r="W610">
        <v>1</v>
      </c>
      <c r="X610">
        <v>0.37402221434479499</v>
      </c>
      <c r="Y610">
        <v>564</v>
      </c>
      <c r="Z610">
        <v>294.18108015916812</v>
      </c>
      <c r="AA610">
        <v>198</v>
      </c>
      <c r="AB610">
        <v>332</v>
      </c>
      <c r="AC610">
        <v>536</v>
      </c>
      <c r="AD610">
        <v>33.19</v>
      </c>
      <c r="AE610">
        <v>542</v>
      </c>
      <c r="AF610">
        <v>42</v>
      </c>
      <c r="AG610">
        <v>173</v>
      </c>
      <c r="AH610">
        <v>129</v>
      </c>
      <c r="AI610">
        <v>7.75</v>
      </c>
      <c r="AJ610">
        <v>31.92</v>
      </c>
      <c r="AK610">
        <v>23.8</v>
      </c>
      <c r="AL610">
        <v>-20.12777399999996</v>
      </c>
      <c r="AM610">
        <v>-44.891400975758501</v>
      </c>
      <c r="AN610">
        <v>-20.12777399999996</v>
      </c>
      <c r="AO610">
        <v>-44.891400975758501</v>
      </c>
      <c r="AP610">
        <v>-20.127853000000002</v>
      </c>
      <c r="AQ610">
        <v>-44.891415000000002</v>
      </c>
      <c r="AR610">
        <v>8.9156059162975616</v>
      </c>
      <c r="AS610" t="s">
        <v>65</v>
      </c>
      <c r="AT610">
        <v>1</v>
      </c>
      <c r="AU610" t="s">
        <v>514</v>
      </c>
      <c r="AV610" t="s">
        <v>515</v>
      </c>
      <c r="AW610" t="s">
        <v>60</v>
      </c>
      <c r="AX610" t="s">
        <v>68</v>
      </c>
      <c r="AY610" t="s">
        <v>69</v>
      </c>
      <c r="AZ610" t="b">
        <v>1</v>
      </c>
    </row>
    <row r="611" spans="1:52" x14ac:dyDescent="0.3">
      <c r="A611" t="s">
        <v>52</v>
      </c>
      <c r="B611" t="s">
        <v>53</v>
      </c>
      <c r="C611" t="s">
        <v>54</v>
      </c>
      <c r="D611" t="s">
        <v>55</v>
      </c>
      <c r="E611" t="s">
        <v>1617</v>
      </c>
      <c r="F611" t="s">
        <v>1247</v>
      </c>
      <c r="G611" t="s">
        <v>523</v>
      </c>
      <c r="H611" t="s">
        <v>524</v>
      </c>
      <c r="I611" t="s">
        <v>524</v>
      </c>
      <c r="J611" t="s">
        <v>60</v>
      </c>
      <c r="K611" t="s">
        <v>518</v>
      </c>
      <c r="L611" t="s">
        <v>62</v>
      </c>
      <c r="M611" t="s">
        <v>518</v>
      </c>
      <c r="N611" t="s">
        <v>525</v>
      </c>
      <c r="O611" t="s">
        <v>331</v>
      </c>
      <c r="P611">
        <v>-20.126553000000001</v>
      </c>
      <c r="Q611">
        <v>-44.888599999999997</v>
      </c>
      <c r="R611" s="2" t="str">
        <f>HYPERLINK("https://www.google.com/maps?q=-20.1265530,-44.8886000","Abrir no Google Maps")</f>
        <v>Abrir no Google Maps</v>
      </c>
      <c r="S611">
        <v>3</v>
      </c>
      <c r="T611">
        <v>256.34043440603853</v>
      </c>
      <c r="U611">
        <v>2</v>
      </c>
      <c r="V611">
        <v>0.3579369453260105</v>
      </c>
      <c r="W611">
        <v>1</v>
      </c>
      <c r="X611">
        <v>0.3579369453260105</v>
      </c>
      <c r="Y611">
        <v>564</v>
      </c>
      <c r="Z611">
        <v>325.4404273055876</v>
      </c>
      <c r="AA611">
        <v>198</v>
      </c>
      <c r="AB611">
        <v>332</v>
      </c>
      <c r="AC611">
        <v>536</v>
      </c>
      <c r="AD611">
        <v>33.19</v>
      </c>
      <c r="AE611">
        <v>542</v>
      </c>
      <c r="AF611">
        <v>42</v>
      </c>
      <c r="AG611">
        <v>173</v>
      </c>
      <c r="AH611">
        <v>129</v>
      </c>
      <c r="AI611">
        <v>7.75</v>
      </c>
      <c r="AJ611">
        <v>31.92</v>
      </c>
      <c r="AK611">
        <v>23.8</v>
      </c>
      <c r="AL611">
        <v>-20.12669049999997</v>
      </c>
      <c r="AM611">
        <v>-44.888671289876577</v>
      </c>
      <c r="AN611">
        <v>-20.12669049999997</v>
      </c>
      <c r="AO611">
        <v>-44.888671289876577</v>
      </c>
      <c r="AP611">
        <v>-20.126553000000001</v>
      </c>
      <c r="AQ611">
        <v>-44.888599999999997</v>
      </c>
      <c r="AR611">
        <v>17.023861591720589</v>
      </c>
      <c r="AS611" t="s">
        <v>65</v>
      </c>
      <c r="AT611">
        <v>1</v>
      </c>
      <c r="AU611" t="s">
        <v>526</v>
      </c>
      <c r="AV611" t="s">
        <v>527</v>
      </c>
      <c r="AW611" t="s">
        <v>60</v>
      </c>
      <c r="AX611" t="s">
        <v>68</v>
      </c>
      <c r="AY611" t="s">
        <v>69</v>
      </c>
      <c r="AZ611" t="b">
        <v>1</v>
      </c>
    </row>
    <row r="612" spans="1:52" x14ac:dyDescent="0.3">
      <c r="A612" t="s">
        <v>52</v>
      </c>
      <c r="B612" t="s">
        <v>53</v>
      </c>
      <c r="C612" t="s">
        <v>54</v>
      </c>
      <c r="D612" t="s">
        <v>55</v>
      </c>
      <c r="E612" t="s">
        <v>1617</v>
      </c>
      <c r="F612" t="s">
        <v>1247</v>
      </c>
      <c r="G612" t="s">
        <v>1429</v>
      </c>
      <c r="H612" t="s">
        <v>1430</v>
      </c>
      <c r="I612" t="s">
        <v>1430</v>
      </c>
      <c r="J612" t="s">
        <v>60</v>
      </c>
      <c r="K612" t="s">
        <v>505</v>
      </c>
      <c r="L612" t="s">
        <v>62</v>
      </c>
      <c r="M612" t="s">
        <v>505</v>
      </c>
      <c r="N612" t="s">
        <v>1431</v>
      </c>
      <c r="O612" t="s">
        <v>1432</v>
      </c>
      <c r="P612">
        <v>-20.132069000000001</v>
      </c>
      <c r="Q612">
        <v>-44.891694000000001</v>
      </c>
      <c r="R612" s="2" t="str">
        <f>HYPERLINK("https://www.google.com/maps?q=-20.1320690,-44.8916940","Abrir no Google Maps")</f>
        <v>Abrir no Google Maps</v>
      </c>
      <c r="S612">
        <v>3</v>
      </c>
      <c r="T612">
        <v>463.84477613866852</v>
      </c>
      <c r="U612">
        <v>2</v>
      </c>
      <c r="V612">
        <v>0.41690668202764969</v>
      </c>
      <c r="W612">
        <v>0.85</v>
      </c>
      <c r="X612">
        <v>0.35437067972350222</v>
      </c>
      <c r="Y612">
        <v>564</v>
      </c>
      <c r="Z612">
        <v>349.6044774510159</v>
      </c>
      <c r="AA612">
        <v>198</v>
      </c>
      <c r="AB612">
        <v>332</v>
      </c>
      <c r="AC612">
        <v>536</v>
      </c>
      <c r="AD612">
        <v>33.19</v>
      </c>
      <c r="AE612">
        <v>542</v>
      </c>
      <c r="AF612">
        <v>42</v>
      </c>
      <c r="AG612">
        <v>173</v>
      </c>
      <c r="AH612">
        <v>129</v>
      </c>
      <c r="AI612">
        <v>7.75</v>
      </c>
      <c r="AJ612">
        <v>31.92</v>
      </c>
      <c r="AK612">
        <v>23.8</v>
      </c>
      <c r="AL612">
        <v>-20.131860799999941</v>
      </c>
      <c r="AM612">
        <v>-44.891643045551348</v>
      </c>
      <c r="AN612">
        <v>-20.131860799999941</v>
      </c>
      <c r="AO612">
        <v>-44.891643045551348</v>
      </c>
      <c r="AP612">
        <v>-20.132069000000001</v>
      </c>
      <c r="AQ612">
        <v>-44.891694000000001</v>
      </c>
      <c r="AR612">
        <v>23.780836080569209</v>
      </c>
      <c r="AS612" t="s">
        <v>65</v>
      </c>
      <c r="AT612">
        <v>1</v>
      </c>
      <c r="AU612" t="s">
        <v>1433</v>
      </c>
      <c r="AV612" t="s">
        <v>1434</v>
      </c>
      <c r="AW612" t="s">
        <v>60</v>
      </c>
      <c r="AX612" t="s">
        <v>68</v>
      </c>
      <c r="AY612" t="s">
        <v>69</v>
      </c>
      <c r="AZ612" t="b">
        <v>1</v>
      </c>
    </row>
    <row r="613" spans="1:52" x14ac:dyDescent="0.3">
      <c r="A613" t="s">
        <v>52</v>
      </c>
      <c r="B613" t="s">
        <v>53</v>
      </c>
      <c r="C613" t="s">
        <v>54</v>
      </c>
      <c r="D613" t="s">
        <v>55</v>
      </c>
      <c r="E613" t="s">
        <v>1617</v>
      </c>
      <c r="F613" t="s">
        <v>1247</v>
      </c>
      <c r="G613" t="s">
        <v>503</v>
      </c>
      <c r="H613" t="s">
        <v>1441</v>
      </c>
      <c r="I613" t="s">
        <v>1441</v>
      </c>
      <c r="J613" t="s">
        <v>60</v>
      </c>
      <c r="K613" t="s">
        <v>512</v>
      </c>
      <c r="L613" t="s">
        <v>62</v>
      </c>
      <c r="M613" t="s">
        <v>512</v>
      </c>
      <c r="N613" t="s">
        <v>506</v>
      </c>
      <c r="O613" t="s">
        <v>1442</v>
      </c>
      <c r="P613">
        <v>-20.13036</v>
      </c>
      <c r="Q613">
        <v>-44.891019</v>
      </c>
      <c r="R613" s="2" t="str">
        <f>HYPERLINK("https://www.google.com/maps?q=-20.1303600,-44.8910190","Abrir no Google Maps")</f>
        <v>Abrir no Google Maps</v>
      </c>
      <c r="S613">
        <v>3</v>
      </c>
      <c r="T613">
        <v>313.17410616307359</v>
      </c>
      <c r="U613">
        <v>2</v>
      </c>
      <c r="V613">
        <v>0.41210446520271921</v>
      </c>
      <c r="W613">
        <v>0.85</v>
      </c>
      <c r="X613">
        <v>0.35028879542231128</v>
      </c>
      <c r="Y613">
        <v>564</v>
      </c>
      <c r="Z613">
        <v>208.43159293494489</v>
      </c>
      <c r="AA613">
        <v>198</v>
      </c>
      <c r="AB613">
        <v>332</v>
      </c>
      <c r="AC613">
        <v>536</v>
      </c>
      <c r="AD613">
        <v>33.19</v>
      </c>
      <c r="AE613">
        <v>542</v>
      </c>
      <c r="AF613">
        <v>42</v>
      </c>
      <c r="AG613">
        <v>173</v>
      </c>
      <c r="AH613">
        <v>129</v>
      </c>
      <c r="AI613">
        <v>7.75</v>
      </c>
      <c r="AJ613">
        <v>31.92</v>
      </c>
      <c r="AK613">
        <v>23.8</v>
      </c>
      <c r="AL613">
        <v>-20.130100449999961</v>
      </c>
      <c r="AM613">
        <v>-44.891163633475301</v>
      </c>
      <c r="AN613">
        <v>-20.130100449999961</v>
      </c>
      <c r="AO613">
        <v>-44.891163633475301</v>
      </c>
      <c r="AP613">
        <v>-20.13036</v>
      </c>
      <c r="AQ613">
        <v>-44.891019</v>
      </c>
      <c r="AR613">
        <v>32.608854575381159</v>
      </c>
      <c r="AS613" t="s">
        <v>65</v>
      </c>
      <c r="AT613">
        <v>1</v>
      </c>
      <c r="AU613" t="s">
        <v>1443</v>
      </c>
      <c r="AV613" t="s">
        <v>1444</v>
      </c>
      <c r="AW613" t="s">
        <v>60</v>
      </c>
      <c r="AX613" t="s">
        <v>68</v>
      </c>
      <c r="AY613" t="s">
        <v>69</v>
      </c>
      <c r="AZ613" t="b">
        <v>1</v>
      </c>
    </row>
    <row r="614" spans="1:52" x14ac:dyDescent="0.3">
      <c r="A614" t="s">
        <v>52</v>
      </c>
      <c r="B614" t="s">
        <v>53</v>
      </c>
      <c r="C614" t="s">
        <v>54</v>
      </c>
      <c r="D614" t="s">
        <v>55</v>
      </c>
      <c r="E614" t="s">
        <v>1617</v>
      </c>
      <c r="F614" t="s">
        <v>1247</v>
      </c>
      <c r="G614" t="s">
        <v>473</v>
      </c>
      <c r="H614" t="s">
        <v>1445</v>
      </c>
      <c r="I614" t="s">
        <v>1445</v>
      </c>
      <c r="J614" t="s">
        <v>60</v>
      </c>
      <c r="K614" t="s">
        <v>892</v>
      </c>
      <c r="L614" t="s">
        <v>62</v>
      </c>
      <c r="M614" t="s">
        <v>892</v>
      </c>
      <c r="N614" t="s">
        <v>406</v>
      </c>
      <c r="O614" t="s">
        <v>1446</v>
      </c>
      <c r="P614">
        <v>-20.14941</v>
      </c>
      <c r="Q614">
        <v>-44.899535</v>
      </c>
      <c r="R614" s="2" t="str">
        <f>HYPERLINK("https://www.google.com/maps?q=-20.1494100,-44.8995350","Abrir no Google Maps")</f>
        <v>Abrir no Google Maps</v>
      </c>
      <c r="S614">
        <v>3</v>
      </c>
      <c r="T614">
        <v>249.83945591849931</v>
      </c>
      <c r="U614">
        <v>2</v>
      </c>
      <c r="V614">
        <v>0.43528760639719072</v>
      </c>
      <c r="W614">
        <v>0.85</v>
      </c>
      <c r="X614">
        <v>0.36999446543761211</v>
      </c>
      <c r="Y614">
        <v>556</v>
      </c>
      <c r="Z614">
        <v>156.62360082488701</v>
      </c>
      <c r="AA614">
        <v>198</v>
      </c>
      <c r="AB614">
        <v>332</v>
      </c>
      <c r="AC614">
        <v>536</v>
      </c>
      <c r="AD614">
        <v>33.19</v>
      </c>
      <c r="AE614">
        <v>542</v>
      </c>
      <c r="AF614">
        <v>42</v>
      </c>
      <c r="AG614">
        <v>173</v>
      </c>
      <c r="AH614">
        <v>129</v>
      </c>
      <c r="AI614">
        <v>7.75</v>
      </c>
      <c r="AJ614">
        <v>31.92</v>
      </c>
      <c r="AK614">
        <v>23.8</v>
      </c>
      <c r="AL614">
        <v>-20.149341899999939</v>
      </c>
      <c r="AM614">
        <v>-44.899575902083967</v>
      </c>
      <c r="AN614">
        <v>-20.149341899999939</v>
      </c>
      <c r="AO614">
        <v>-44.899575902083967</v>
      </c>
      <c r="AP614">
        <v>-20.14941</v>
      </c>
      <c r="AQ614">
        <v>-44.899535</v>
      </c>
      <c r="AR614">
        <v>8.7029725999778709</v>
      </c>
      <c r="AS614" t="s">
        <v>65</v>
      </c>
      <c r="AT614">
        <v>1</v>
      </c>
      <c r="AU614" t="s">
        <v>1447</v>
      </c>
      <c r="AV614" t="s">
        <v>1448</v>
      </c>
      <c r="AW614" t="s">
        <v>60</v>
      </c>
      <c r="AX614" t="s">
        <v>68</v>
      </c>
      <c r="AY614" t="s">
        <v>69</v>
      </c>
      <c r="AZ614" t="b">
        <v>1</v>
      </c>
    </row>
    <row r="615" spans="1:52" x14ac:dyDescent="0.3">
      <c r="A615" t="s">
        <v>52</v>
      </c>
      <c r="B615" t="s">
        <v>53</v>
      </c>
      <c r="C615" t="s">
        <v>54</v>
      </c>
      <c r="D615" t="s">
        <v>55</v>
      </c>
      <c r="E615" t="s">
        <v>1617</v>
      </c>
      <c r="F615" t="s">
        <v>1247</v>
      </c>
      <c r="G615" t="s">
        <v>398</v>
      </c>
      <c r="H615" t="s">
        <v>541</v>
      </c>
      <c r="I615" t="s">
        <v>541</v>
      </c>
      <c r="J615" t="s">
        <v>60</v>
      </c>
      <c r="K615" t="s">
        <v>388</v>
      </c>
      <c r="L615" t="s">
        <v>62</v>
      </c>
      <c r="M615" t="s">
        <v>388</v>
      </c>
      <c r="N615" t="s">
        <v>400</v>
      </c>
      <c r="O615" t="s">
        <v>542</v>
      </c>
      <c r="P615">
        <v>-20.151335</v>
      </c>
      <c r="Q615">
        <v>-44.901041999999997</v>
      </c>
      <c r="R615" s="2" t="str">
        <f>HYPERLINK("https://www.google.com/maps?q=-20.1513350,-44.9010420","Abrir no Google Maps")</f>
        <v>Abrir no Google Maps</v>
      </c>
      <c r="S615">
        <v>3</v>
      </c>
      <c r="T615">
        <v>0</v>
      </c>
      <c r="U615">
        <v>2</v>
      </c>
      <c r="V615">
        <v>0.3769398178991783</v>
      </c>
      <c r="W615">
        <v>1</v>
      </c>
      <c r="X615">
        <v>0.3769398178991783</v>
      </c>
      <c r="Y615">
        <v>556</v>
      </c>
      <c r="Z615">
        <v>137.71609036908939</v>
      </c>
      <c r="AA615">
        <v>198</v>
      </c>
      <c r="AB615">
        <v>332</v>
      </c>
      <c r="AC615">
        <v>536</v>
      </c>
      <c r="AD615">
        <v>33.19</v>
      </c>
      <c r="AE615">
        <v>542</v>
      </c>
      <c r="AF615">
        <v>42</v>
      </c>
      <c r="AG615">
        <v>173</v>
      </c>
      <c r="AH615">
        <v>129</v>
      </c>
      <c r="AI615">
        <v>7.75</v>
      </c>
      <c r="AJ615">
        <v>31.92</v>
      </c>
      <c r="AK615">
        <v>23.8</v>
      </c>
      <c r="AL615">
        <v>-20.15125899999995</v>
      </c>
      <c r="AM615">
        <v>-44.900838557594433</v>
      </c>
      <c r="AN615">
        <v>-20.15125899999995</v>
      </c>
      <c r="AO615">
        <v>-44.900838557594433</v>
      </c>
      <c r="AP615">
        <v>-20.151335</v>
      </c>
      <c r="AQ615">
        <v>-44.901041999999997</v>
      </c>
      <c r="AR615">
        <v>22.882363139483491</v>
      </c>
      <c r="AS615" t="s">
        <v>65</v>
      </c>
      <c r="AT615">
        <v>1</v>
      </c>
      <c r="AU615" t="s">
        <v>543</v>
      </c>
      <c r="AV615" t="s">
        <v>544</v>
      </c>
      <c r="AW615" t="s">
        <v>60</v>
      </c>
      <c r="AX615" t="s">
        <v>68</v>
      </c>
      <c r="AY615" t="s">
        <v>69</v>
      </c>
      <c r="AZ615" t="b">
        <v>1</v>
      </c>
    </row>
    <row r="616" spans="1:52" x14ac:dyDescent="0.3">
      <c r="A616" t="s">
        <v>52</v>
      </c>
      <c r="B616" t="s">
        <v>53</v>
      </c>
      <c r="C616" t="s">
        <v>54</v>
      </c>
      <c r="D616" t="s">
        <v>55</v>
      </c>
      <c r="E616" t="s">
        <v>1617</v>
      </c>
      <c r="F616" t="s">
        <v>1247</v>
      </c>
      <c r="G616" t="s">
        <v>1412</v>
      </c>
      <c r="H616" t="s">
        <v>1413</v>
      </c>
      <c r="I616" t="s">
        <v>1413</v>
      </c>
      <c r="J616" t="s">
        <v>60</v>
      </c>
      <c r="K616" t="s">
        <v>892</v>
      </c>
      <c r="L616" t="s">
        <v>62</v>
      </c>
      <c r="M616" t="s">
        <v>892</v>
      </c>
      <c r="N616" t="s">
        <v>1414</v>
      </c>
      <c r="O616" t="s">
        <v>293</v>
      </c>
      <c r="P616">
        <v>-20.150780999999998</v>
      </c>
      <c r="Q616">
        <v>-44.897972000000003</v>
      </c>
      <c r="R616" s="2" t="str">
        <f>HYPERLINK("https://www.google.com/maps?q=-20.1507810,-44.8979720","Abrir no Google Maps")</f>
        <v>Abrir no Google Maps</v>
      </c>
      <c r="S616">
        <v>3</v>
      </c>
      <c r="T616">
        <v>306.36394634674508</v>
      </c>
      <c r="U616">
        <v>2</v>
      </c>
      <c r="V616">
        <v>0.41300855826201449</v>
      </c>
      <c r="W616">
        <v>0.85</v>
      </c>
      <c r="X616">
        <v>0.35105727452271229</v>
      </c>
      <c r="Y616">
        <v>556</v>
      </c>
      <c r="Z616">
        <v>233.85692443628571</v>
      </c>
      <c r="AA616">
        <v>198</v>
      </c>
      <c r="AB616">
        <v>332</v>
      </c>
      <c r="AC616">
        <v>536</v>
      </c>
      <c r="AD616">
        <v>33.19</v>
      </c>
      <c r="AE616">
        <v>542</v>
      </c>
      <c r="AF616">
        <v>42</v>
      </c>
      <c r="AG616">
        <v>173</v>
      </c>
      <c r="AH616">
        <v>129</v>
      </c>
      <c r="AI616">
        <v>7.75</v>
      </c>
      <c r="AJ616">
        <v>31.92</v>
      </c>
      <c r="AK616">
        <v>23.8</v>
      </c>
      <c r="AL616">
        <v>-20.15074609999996</v>
      </c>
      <c r="AM616">
        <v>-44.89795774234689</v>
      </c>
      <c r="AN616">
        <v>-20.15074609999996</v>
      </c>
      <c r="AO616">
        <v>-44.89795774234689</v>
      </c>
      <c r="AP616">
        <v>-20.150780999999998</v>
      </c>
      <c r="AQ616">
        <v>-44.897972000000003</v>
      </c>
      <c r="AR616">
        <v>4.160995809097348</v>
      </c>
      <c r="AS616" t="s">
        <v>65</v>
      </c>
      <c r="AT616">
        <v>1</v>
      </c>
      <c r="AU616" t="s">
        <v>1415</v>
      </c>
      <c r="AV616" t="s">
        <v>1416</v>
      </c>
      <c r="AW616" t="s">
        <v>60</v>
      </c>
      <c r="AX616" t="s">
        <v>68</v>
      </c>
      <c r="AY616" t="s">
        <v>69</v>
      </c>
      <c r="AZ616" t="b">
        <v>1</v>
      </c>
    </row>
    <row r="617" spans="1:52" x14ac:dyDescent="0.3">
      <c r="A617" t="s">
        <v>52</v>
      </c>
      <c r="B617" t="s">
        <v>53</v>
      </c>
      <c r="C617" t="s">
        <v>54</v>
      </c>
      <c r="D617" t="s">
        <v>55</v>
      </c>
      <c r="E617" t="s">
        <v>1617</v>
      </c>
      <c r="F617" t="s">
        <v>1247</v>
      </c>
      <c r="G617" t="s">
        <v>1127</v>
      </c>
      <c r="H617" t="s">
        <v>1449</v>
      </c>
      <c r="I617" t="s">
        <v>1449</v>
      </c>
      <c r="J617" t="s">
        <v>60</v>
      </c>
      <c r="K617" t="s">
        <v>1450</v>
      </c>
      <c r="L617" t="s">
        <v>62</v>
      </c>
      <c r="M617" t="s">
        <v>1450</v>
      </c>
      <c r="N617" t="s">
        <v>1451</v>
      </c>
      <c r="O617" t="s">
        <v>1452</v>
      </c>
      <c r="P617">
        <v>-20.152612000000001</v>
      </c>
      <c r="Q617">
        <v>-44.897098</v>
      </c>
      <c r="R617" s="2" t="str">
        <f>HYPERLINK("https://www.google.com/maps?q=-20.1526120,-44.8970980","Abrir no Google Maps")</f>
        <v>Abrir no Google Maps</v>
      </c>
      <c r="S617">
        <v>3</v>
      </c>
      <c r="T617">
        <v>418.6283592063233</v>
      </c>
      <c r="U617">
        <v>2</v>
      </c>
      <c r="V617">
        <v>0.4276604554865423</v>
      </c>
      <c r="W617">
        <v>0.85</v>
      </c>
      <c r="X617">
        <v>0.36351138716356102</v>
      </c>
      <c r="Y617">
        <v>556</v>
      </c>
      <c r="Z617">
        <v>387.16462225830952</v>
      </c>
      <c r="AA617">
        <v>198</v>
      </c>
      <c r="AB617">
        <v>332</v>
      </c>
      <c r="AC617">
        <v>536</v>
      </c>
      <c r="AD617">
        <v>33.19</v>
      </c>
      <c r="AE617">
        <v>542</v>
      </c>
      <c r="AF617">
        <v>42</v>
      </c>
      <c r="AG617">
        <v>173</v>
      </c>
      <c r="AH617">
        <v>129</v>
      </c>
      <c r="AI617">
        <v>7.75</v>
      </c>
      <c r="AJ617">
        <v>31.92</v>
      </c>
      <c r="AK617">
        <v>23.8</v>
      </c>
      <c r="AL617">
        <v>-20.15253669999996</v>
      </c>
      <c r="AM617">
        <v>-44.897068126936119</v>
      </c>
      <c r="AN617">
        <v>-20.15253669999996</v>
      </c>
      <c r="AO617">
        <v>-44.897068126936119</v>
      </c>
      <c r="AP617">
        <v>-20.152612000000001</v>
      </c>
      <c r="AQ617">
        <v>-44.897098</v>
      </c>
      <c r="AR617">
        <v>8.9448699164987104</v>
      </c>
      <c r="AS617" t="s">
        <v>65</v>
      </c>
      <c r="AT617">
        <v>1</v>
      </c>
      <c r="AU617" t="s">
        <v>1453</v>
      </c>
      <c r="AV617" t="s">
        <v>1454</v>
      </c>
      <c r="AW617" t="s">
        <v>60</v>
      </c>
      <c r="AX617" t="s">
        <v>68</v>
      </c>
      <c r="AY617" t="s">
        <v>69</v>
      </c>
      <c r="AZ617" t="b">
        <v>1</v>
      </c>
    </row>
    <row r="618" spans="1:52" x14ac:dyDescent="0.3">
      <c r="A618" t="s">
        <v>52</v>
      </c>
      <c r="B618" t="s">
        <v>53</v>
      </c>
      <c r="C618" t="s">
        <v>54</v>
      </c>
      <c r="D618" t="s">
        <v>55</v>
      </c>
      <c r="E618" t="s">
        <v>1617</v>
      </c>
      <c r="F618" t="s">
        <v>1247</v>
      </c>
      <c r="G618" t="s">
        <v>545</v>
      </c>
      <c r="H618" t="s">
        <v>546</v>
      </c>
      <c r="I618" t="s">
        <v>546</v>
      </c>
      <c r="J618" t="s">
        <v>60</v>
      </c>
      <c r="K618" t="s">
        <v>388</v>
      </c>
      <c r="L618" t="s">
        <v>62</v>
      </c>
      <c r="M618" t="s">
        <v>388</v>
      </c>
      <c r="N618" t="s">
        <v>547</v>
      </c>
      <c r="O618" t="s">
        <v>548</v>
      </c>
      <c r="P618">
        <v>-20.155839</v>
      </c>
      <c r="Q618">
        <v>-44.905655000000003</v>
      </c>
      <c r="R618" s="2" t="str">
        <f>HYPERLINK("https://www.google.com/maps?q=-20.1558390,-44.9056550","Abrir no Google Maps")</f>
        <v>Abrir no Google Maps</v>
      </c>
      <c r="S618">
        <v>3</v>
      </c>
      <c r="T618">
        <v>309.7643089121122</v>
      </c>
      <c r="U618">
        <v>2</v>
      </c>
      <c r="V618">
        <v>0.33915360501567388</v>
      </c>
      <c r="W618">
        <v>1</v>
      </c>
      <c r="X618">
        <v>0.33915360501567388</v>
      </c>
      <c r="Y618">
        <v>548</v>
      </c>
      <c r="Z618">
        <v>284.24281731793161</v>
      </c>
      <c r="AA618">
        <v>198</v>
      </c>
      <c r="AB618">
        <v>332</v>
      </c>
      <c r="AC618">
        <v>536</v>
      </c>
      <c r="AD618">
        <v>33.19</v>
      </c>
      <c r="AE618">
        <v>542</v>
      </c>
      <c r="AF618">
        <v>42</v>
      </c>
      <c r="AG618">
        <v>173</v>
      </c>
      <c r="AH618">
        <v>129</v>
      </c>
      <c r="AI618">
        <v>7.75</v>
      </c>
      <c r="AJ618">
        <v>31.92</v>
      </c>
      <c r="AK618">
        <v>23.8</v>
      </c>
      <c r="AL618">
        <v>-20.155913549999951</v>
      </c>
      <c r="AM618">
        <v>-44.905554508392683</v>
      </c>
      <c r="AN618">
        <v>-20.155913549999951</v>
      </c>
      <c r="AO618">
        <v>-44.905554508392669</v>
      </c>
      <c r="AP618">
        <v>-20.155839</v>
      </c>
      <c r="AQ618">
        <v>-44.905655000000003</v>
      </c>
      <c r="AR618">
        <v>13.384922093797449</v>
      </c>
      <c r="AS618" t="s">
        <v>65</v>
      </c>
      <c r="AT618">
        <v>1</v>
      </c>
      <c r="AU618" t="s">
        <v>549</v>
      </c>
      <c r="AV618" t="s">
        <v>550</v>
      </c>
      <c r="AW618" t="s">
        <v>60</v>
      </c>
      <c r="AX618" t="s">
        <v>68</v>
      </c>
      <c r="AY618" t="s">
        <v>69</v>
      </c>
      <c r="AZ618" t="b">
        <v>1</v>
      </c>
    </row>
    <row r="619" spans="1:52" x14ac:dyDescent="0.3">
      <c r="A619" t="s">
        <v>52</v>
      </c>
      <c r="B619" t="s">
        <v>53</v>
      </c>
      <c r="C619" t="s">
        <v>54</v>
      </c>
      <c r="D619" t="s">
        <v>55</v>
      </c>
      <c r="E619" t="s">
        <v>1617</v>
      </c>
      <c r="F619" t="s">
        <v>1247</v>
      </c>
      <c r="G619" t="s">
        <v>562</v>
      </c>
      <c r="H619" t="s">
        <v>563</v>
      </c>
      <c r="I619" t="s">
        <v>563</v>
      </c>
      <c r="J619" t="s">
        <v>60</v>
      </c>
      <c r="K619" t="s">
        <v>388</v>
      </c>
      <c r="L619" t="s">
        <v>62</v>
      </c>
      <c r="M619" t="s">
        <v>388</v>
      </c>
      <c r="N619" t="s">
        <v>564</v>
      </c>
      <c r="O619" t="s">
        <v>565</v>
      </c>
      <c r="P619">
        <v>-20.154432</v>
      </c>
      <c r="Q619">
        <v>-44.902977999999997</v>
      </c>
      <c r="R619" s="2" t="str">
        <f>HYPERLINK("https://www.google.com/maps?q=-20.1544320,-44.9029780","Abrir no Google Maps")</f>
        <v>Abrir no Google Maps</v>
      </c>
      <c r="S619">
        <v>3</v>
      </c>
      <c r="T619">
        <v>0</v>
      </c>
      <c r="U619">
        <v>2</v>
      </c>
      <c r="V619">
        <v>0.33814465789952119</v>
      </c>
      <c r="W619">
        <v>1</v>
      </c>
      <c r="X619">
        <v>0.33814465789952119</v>
      </c>
      <c r="Y619">
        <v>548</v>
      </c>
      <c r="Z619">
        <v>29.424211042533759</v>
      </c>
      <c r="AA619">
        <v>198</v>
      </c>
      <c r="AB619">
        <v>332</v>
      </c>
      <c r="AC619">
        <v>536</v>
      </c>
      <c r="AD619">
        <v>33.19</v>
      </c>
      <c r="AE619">
        <v>542</v>
      </c>
      <c r="AF619">
        <v>42</v>
      </c>
      <c r="AG619">
        <v>173</v>
      </c>
      <c r="AH619">
        <v>129</v>
      </c>
      <c r="AI619">
        <v>7.75</v>
      </c>
      <c r="AJ619">
        <v>31.92</v>
      </c>
      <c r="AK619">
        <v>23.8</v>
      </c>
      <c r="AL619">
        <v>-20.15467689999997</v>
      </c>
      <c r="AM619">
        <v>-44.902895281771222</v>
      </c>
      <c r="AN619">
        <v>-20.15467689999997</v>
      </c>
      <c r="AO619">
        <v>-44.902895281771222</v>
      </c>
      <c r="AP619">
        <v>-20.154432</v>
      </c>
      <c r="AQ619">
        <v>-44.902977999999997</v>
      </c>
      <c r="AR619">
        <v>28.5999270636025</v>
      </c>
      <c r="AS619" t="s">
        <v>65</v>
      </c>
      <c r="AT619">
        <v>1</v>
      </c>
      <c r="AU619" t="s">
        <v>566</v>
      </c>
      <c r="AV619" t="s">
        <v>567</v>
      </c>
      <c r="AW619" t="s">
        <v>60</v>
      </c>
      <c r="AX619" t="s">
        <v>68</v>
      </c>
      <c r="AY619" t="s">
        <v>69</v>
      </c>
      <c r="AZ619" t="b">
        <v>1</v>
      </c>
    </row>
    <row r="620" spans="1:52" x14ac:dyDescent="0.3">
      <c r="A620" t="s">
        <v>52</v>
      </c>
      <c r="B620" t="s">
        <v>53</v>
      </c>
      <c r="C620" t="s">
        <v>54</v>
      </c>
      <c r="D620" t="s">
        <v>55</v>
      </c>
      <c r="E620" t="s">
        <v>1617</v>
      </c>
      <c r="F620" t="s">
        <v>1247</v>
      </c>
      <c r="G620" t="s">
        <v>1307</v>
      </c>
      <c r="H620" t="s">
        <v>1308</v>
      </c>
      <c r="I620" t="s">
        <v>1308</v>
      </c>
      <c r="J620" t="s">
        <v>60</v>
      </c>
      <c r="K620" t="s">
        <v>1302</v>
      </c>
      <c r="L620" t="s">
        <v>62</v>
      </c>
      <c r="M620" t="s">
        <v>1302</v>
      </c>
      <c r="N620" t="s">
        <v>558</v>
      </c>
      <c r="O620" t="s">
        <v>1309</v>
      </c>
      <c r="P620">
        <v>-20.169051</v>
      </c>
      <c r="Q620">
        <v>-44.910093000000003</v>
      </c>
      <c r="R620" s="2" t="str">
        <f>HYPERLINK("https://www.google.com/maps?q=-20.1690510,-44.9100930","Abrir no Google Maps")</f>
        <v>Abrir no Google Maps</v>
      </c>
      <c r="S620">
        <v>3</v>
      </c>
      <c r="T620">
        <v>375.90504489887479</v>
      </c>
      <c r="U620">
        <v>1</v>
      </c>
      <c r="V620">
        <v>0.30307574356060868</v>
      </c>
      <c r="W620">
        <v>0.85</v>
      </c>
      <c r="X620">
        <v>0.25761438202651737</v>
      </c>
      <c r="Y620">
        <v>723</v>
      </c>
      <c r="Z620">
        <v>456.19893675176831</v>
      </c>
      <c r="AA620">
        <v>198</v>
      </c>
      <c r="AB620">
        <v>332</v>
      </c>
      <c r="AC620">
        <v>536</v>
      </c>
      <c r="AD620">
        <v>33.19</v>
      </c>
      <c r="AE620">
        <v>542</v>
      </c>
      <c r="AF620">
        <v>42</v>
      </c>
      <c r="AG620">
        <v>173</v>
      </c>
      <c r="AH620">
        <v>129</v>
      </c>
      <c r="AI620">
        <v>7.75</v>
      </c>
      <c r="AJ620">
        <v>31.92</v>
      </c>
      <c r="AK620">
        <v>23.8</v>
      </c>
      <c r="AL620">
        <v>-20.168810949999941</v>
      </c>
      <c r="AM620">
        <v>-44.910156475447927</v>
      </c>
      <c r="AN620">
        <v>-20.168810949999941</v>
      </c>
      <c r="AO620">
        <v>-44.910156475447927</v>
      </c>
      <c r="AP620">
        <v>-20.169051</v>
      </c>
      <c r="AQ620">
        <v>-44.910093000000003</v>
      </c>
      <c r="AR620">
        <v>27.533232396417059</v>
      </c>
      <c r="AS620" t="s">
        <v>65</v>
      </c>
      <c r="AT620">
        <v>1</v>
      </c>
      <c r="AU620" t="s">
        <v>1310</v>
      </c>
      <c r="AV620" t="s">
        <v>1311</v>
      </c>
      <c r="AW620" t="s">
        <v>60</v>
      </c>
      <c r="AX620" t="s">
        <v>68</v>
      </c>
      <c r="AY620" t="s">
        <v>69</v>
      </c>
      <c r="AZ620" t="b">
        <v>1</v>
      </c>
    </row>
    <row r="621" spans="1:52" x14ac:dyDescent="0.3">
      <c r="A621" t="s">
        <v>52</v>
      </c>
      <c r="B621" t="s">
        <v>53</v>
      </c>
      <c r="C621" t="s">
        <v>54</v>
      </c>
      <c r="D621" t="s">
        <v>55</v>
      </c>
      <c r="E621" t="s">
        <v>1617</v>
      </c>
      <c r="F621" t="s">
        <v>1247</v>
      </c>
      <c r="G621" t="s">
        <v>845</v>
      </c>
      <c r="H621" t="s">
        <v>846</v>
      </c>
      <c r="I621" t="s">
        <v>846</v>
      </c>
      <c r="J621" t="s">
        <v>60</v>
      </c>
      <c r="K621" t="s">
        <v>424</v>
      </c>
      <c r="L621" t="s">
        <v>62</v>
      </c>
      <c r="M621" t="s">
        <v>424</v>
      </c>
      <c r="N621" t="s">
        <v>847</v>
      </c>
      <c r="O621" t="s">
        <v>848</v>
      </c>
      <c r="P621">
        <v>-20.175523999999999</v>
      </c>
      <c r="Q621">
        <v>-44.918016999999999</v>
      </c>
      <c r="R621" s="2" t="str">
        <f>HYPERLINK("https://www.google.com/maps?q=-20.1755240,-44.9180170","Abrir no Google Maps")</f>
        <v>Abrir no Google Maps</v>
      </c>
      <c r="S621">
        <v>3</v>
      </c>
      <c r="T621">
        <v>833.59191671824021</v>
      </c>
      <c r="U621">
        <v>1</v>
      </c>
      <c r="V621">
        <v>0.36384230602592887</v>
      </c>
      <c r="W621">
        <v>0.85</v>
      </c>
      <c r="X621">
        <v>0.30926596012203961</v>
      </c>
      <c r="Y621">
        <v>723</v>
      </c>
      <c r="Z621">
        <v>701.05790658871581</v>
      </c>
      <c r="AA621">
        <v>198</v>
      </c>
      <c r="AB621">
        <v>332</v>
      </c>
      <c r="AC621">
        <v>536</v>
      </c>
      <c r="AD621">
        <v>33.19</v>
      </c>
      <c r="AE621">
        <v>542</v>
      </c>
      <c r="AF621">
        <v>42</v>
      </c>
      <c r="AG621">
        <v>173</v>
      </c>
      <c r="AH621">
        <v>129</v>
      </c>
      <c r="AI621">
        <v>7.75</v>
      </c>
      <c r="AJ621">
        <v>31.92</v>
      </c>
      <c r="AK621">
        <v>23.8</v>
      </c>
      <c r="AL621">
        <v>-20.17533859999995</v>
      </c>
      <c r="AM621">
        <v>-44.917689627873088</v>
      </c>
      <c r="AN621">
        <v>-20.17533859999995</v>
      </c>
      <c r="AO621">
        <v>-44.917689627873088</v>
      </c>
      <c r="AP621">
        <v>-20.175523999999999</v>
      </c>
      <c r="AQ621">
        <v>-44.918016999999999</v>
      </c>
      <c r="AR621">
        <v>39.950898228213873</v>
      </c>
      <c r="AS621" t="s">
        <v>65</v>
      </c>
      <c r="AT621">
        <v>1</v>
      </c>
      <c r="AU621" t="s">
        <v>849</v>
      </c>
      <c r="AV621" t="s">
        <v>850</v>
      </c>
      <c r="AW621" t="s">
        <v>60</v>
      </c>
      <c r="AX621" t="s">
        <v>68</v>
      </c>
      <c r="AY621" t="s">
        <v>69</v>
      </c>
      <c r="AZ621" t="b">
        <v>1</v>
      </c>
    </row>
    <row r="622" spans="1:52" x14ac:dyDescent="0.3">
      <c r="A622" t="s">
        <v>52</v>
      </c>
      <c r="B622" t="s">
        <v>53</v>
      </c>
      <c r="C622" t="s">
        <v>54</v>
      </c>
      <c r="D622" t="s">
        <v>55</v>
      </c>
      <c r="E622" t="s">
        <v>1617</v>
      </c>
      <c r="F622" t="s">
        <v>1247</v>
      </c>
      <c r="G622" t="s">
        <v>429</v>
      </c>
      <c r="H622" t="s">
        <v>430</v>
      </c>
      <c r="I622" t="s">
        <v>430</v>
      </c>
      <c r="J622" t="s">
        <v>60</v>
      </c>
      <c r="K622" t="s">
        <v>431</v>
      </c>
      <c r="L622" t="s">
        <v>62</v>
      </c>
      <c r="M622" t="s">
        <v>431</v>
      </c>
      <c r="N622" t="s">
        <v>432</v>
      </c>
      <c r="O622" t="s">
        <v>315</v>
      </c>
      <c r="P622">
        <v>-20.172698</v>
      </c>
      <c r="Q622">
        <v>-44.923842</v>
      </c>
      <c r="R622" s="2" t="str">
        <f>HYPERLINK("https://www.google.com/maps?q=-20.1726980,-44.9238420","Abrir no Google Maps")</f>
        <v>Abrir no Google Maps</v>
      </c>
      <c r="S622">
        <v>3</v>
      </c>
      <c r="T622">
        <v>1376.1843173402931</v>
      </c>
      <c r="U622">
        <v>1</v>
      </c>
      <c r="V622">
        <v>0.29153189955544878</v>
      </c>
      <c r="W622">
        <v>0.85</v>
      </c>
      <c r="X622">
        <v>0.24780211462213139</v>
      </c>
      <c r="Y622">
        <v>723</v>
      </c>
      <c r="Z622">
        <v>1101.340635002096</v>
      </c>
      <c r="AA622">
        <v>198</v>
      </c>
      <c r="AB622">
        <v>332</v>
      </c>
      <c r="AC622">
        <v>536</v>
      </c>
      <c r="AD622">
        <v>33.19</v>
      </c>
      <c r="AE622">
        <v>542</v>
      </c>
      <c r="AF622">
        <v>42</v>
      </c>
      <c r="AG622">
        <v>173</v>
      </c>
      <c r="AH622">
        <v>129</v>
      </c>
      <c r="AI622">
        <v>7.75</v>
      </c>
      <c r="AJ622">
        <v>31.92</v>
      </c>
      <c r="AK622">
        <v>23.8</v>
      </c>
      <c r="AL622">
        <v>-20.172942799999959</v>
      </c>
      <c r="AM622">
        <v>-44.923585372665762</v>
      </c>
      <c r="AN622">
        <v>-20.172942799999959</v>
      </c>
      <c r="AO622">
        <v>-44.923585372665762</v>
      </c>
      <c r="AP622">
        <v>-20.172698</v>
      </c>
      <c r="AQ622">
        <v>-44.923842</v>
      </c>
      <c r="AR622">
        <v>38.231981408478958</v>
      </c>
      <c r="AS622" t="s">
        <v>65</v>
      </c>
      <c r="AT622">
        <v>1</v>
      </c>
      <c r="AU622" t="s">
        <v>433</v>
      </c>
      <c r="AV622" t="s">
        <v>434</v>
      </c>
      <c r="AW622" t="s">
        <v>60</v>
      </c>
      <c r="AX622" t="s">
        <v>68</v>
      </c>
      <c r="AY622" t="s">
        <v>69</v>
      </c>
      <c r="AZ622" t="b">
        <v>1</v>
      </c>
    </row>
    <row r="623" spans="1:52" x14ac:dyDescent="0.3">
      <c r="A623" t="s">
        <v>52</v>
      </c>
      <c r="B623" t="s">
        <v>53</v>
      </c>
      <c r="C623" t="s">
        <v>54</v>
      </c>
      <c r="D623" t="s">
        <v>55</v>
      </c>
      <c r="E623" t="s">
        <v>1617</v>
      </c>
      <c r="F623" t="s">
        <v>1247</v>
      </c>
      <c r="G623" t="s">
        <v>1328</v>
      </c>
      <c r="H623" t="s">
        <v>1329</v>
      </c>
      <c r="I623" t="s">
        <v>1329</v>
      </c>
      <c r="J623" t="s">
        <v>60</v>
      </c>
      <c r="K623" t="s">
        <v>1324</v>
      </c>
      <c r="L623" t="s">
        <v>62</v>
      </c>
      <c r="M623" t="s">
        <v>1324</v>
      </c>
      <c r="N623" t="s">
        <v>1330</v>
      </c>
      <c r="O623" t="s">
        <v>1331</v>
      </c>
      <c r="P623">
        <v>-20.172984</v>
      </c>
      <c r="Q623">
        <v>-44.915225999999997</v>
      </c>
      <c r="R623" s="2" t="str">
        <f>HYPERLINK("https://www.google.com/maps?q=-20.1729840,-44.9152260","Abrir no Google Maps")</f>
        <v>Abrir no Google Maps</v>
      </c>
      <c r="S623">
        <v>3</v>
      </c>
      <c r="T623">
        <v>498.21203543103741</v>
      </c>
      <c r="U623">
        <v>1</v>
      </c>
      <c r="V623">
        <v>0.38538255893594919</v>
      </c>
      <c r="W623">
        <v>0.85</v>
      </c>
      <c r="X623">
        <v>0.32757517509555678</v>
      </c>
      <c r="Y623">
        <v>723</v>
      </c>
      <c r="Z623">
        <v>297.36167326949931</v>
      </c>
      <c r="AA623">
        <v>198</v>
      </c>
      <c r="AB623">
        <v>332</v>
      </c>
      <c r="AC623">
        <v>536</v>
      </c>
      <c r="AD623">
        <v>33.19</v>
      </c>
      <c r="AE623">
        <v>542</v>
      </c>
      <c r="AF623">
        <v>42</v>
      </c>
      <c r="AG623">
        <v>173</v>
      </c>
      <c r="AH623">
        <v>129</v>
      </c>
      <c r="AI623">
        <v>7.75</v>
      </c>
      <c r="AJ623">
        <v>31.92</v>
      </c>
      <c r="AK623">
        <v>23.8</v>
      </c>
      <c r="AL623">
        <v>-20.172838899999959</v>
      </c>
      <c r="AM623">
        <v>-44.915158011603552</v>
      </c>
      <c r="AN623">
        <v>-20.172838899999959</v>
      </c>
      <c r="AO623">
        <v>-44.915158011603552</v>
      </c>
      <c r="AP623">
        <v>-20.172984</v>
      </c>
      <c r="AQ623">
        <v>-44.915225999999997</v>
      </c>
      <c r="AR623">
        <v>17.645788305942119</v>
      </c>
      <c r="AS623" t="s">
        <v>65</v>
      </c>
      <c r="AT623">
        <v>1</v>
      </c>
      <c r="AU623" t="s">
        <v>1332</v>
      </c>
      <c r="AV623" t="s">
        <v>1327</v>
      </c>
      <c r="AW623" t="s">
        <v>60</v>
      </c>
      <c r="AX623" t="s">
        <v>68</v>
      </c>
      <c r="AY623" t="s">
        <v>69</v>
      </c>
      <c r="AZ623" t="b">
        <v>1</v>
      </c>
    </row>
    <row r="624" spans="1:52" x14ac:dyDescent="0.3">
      <c r="A624" t="s">
        <v>52</v>
      </c>
      <c r="B624" t="s">
        <v>53</v>
      </c>
      <c r="C624" t="s">
        <v>54</v>
      </c>
      <c r="D624" t="s">
        <v>55</v>
      </c>
      <c r="E624" t="s">
        <v>1617</v>
      </c>
      <c r="F624" t="s">
        <v>1247</v>
      </c>
      <c r="G624" t="s">
        <v>1333</v>
      </c>
      <c r="H624" t="s">
        <v>1334</v>
      </c>
      <c r="I624" t="s">
        <v>1334</v>
      </c>
      <c r="J624" t="s">
        <v>60</v>
      </c>
      <c r="K624" t="s">
        <v>437</v>
      </c>
      <c r="L624" t="s">
        <v>62</v>
      </c>
      <c r="M624" t="s">
        <v>437</v>
      </c>
      <c r="N624" t="s">
        <v>1335</v>
      </c>
      <c r="O624" t="s">
        <v>807</v>
      </c>
      <c r="P624">
        <v>-20.148</v>
      </c>
      <c r="Q624">
        <v>-44.880944999999997</v>
      </c>
      <c r="R624" s="2" t="str">
        <f>HYPERLINK("https://www.google.com/maps?q=-20.1480000,-44.8809450","Abrir no Google Maps")</f>
        <v>Abrir no Google Maps</v>
      </c>
      <c r="S624">
        <v>3</v>
      </c>
      <c r="T624">
        <v>0</v>
      </c>
      <c r="U624">
        <v>1</v>
      </c>
      <c r="V624">
        <v>0.38286906463702042</v>
      </c>
      <c r="W624">
        <v>0.85</v>
      </c>
      <c r="X624">
        <v>0.32543870494146743</v>
      </c>
      <c r="Y624">
        <v>653</v>
      </c>
      <c r="Z624">
        <v>108.2792411420544</v>
      </c>
      <c r="AA624">
        <v>198</v>
      </c>
      <c r="AB624">
        <v>332</v>
      </c>
      <c r="AC624">
        <v>536</v>
      </c>
      <c r="AD624">
        <v>33.19</v>
      </c>
      <c r="AE624">
        <v>542</v>
      </c>
      <c r="AF624">
        <v>42</v>
      </c>
      <c r="AG624">
        <v>173</v>
      </c>
      <c r="AH624">
        <v>129</v>
      </c>
      <c r="AI624">
        <v>7.75</v>
      </c>
      <c r="AJ624">
        <v>31.92</v>
      </c>
      <c r="AK624">
        <v>23.8</v>
      </c>
      <c r="AL624">
        <v>-20.14802099999994</v>
      </c>
      <c r="AM624">
        <v>-44.880951206225959</v>
      </c>
      <c r="AN624">
        <v>-20.14802099999994</v>
      </c>
      <c r="AO624">
        <v>-44.880951206225959</v>
      </c>
      <c r="AP624">
        <v>-20.148</v>
      </c>
      <c r="AQ624">
        <v>-44.880944999999997</v>
      </c>
      <c r="AR624">
        <v>2.4260288619737169</v>
      </c>
      <c r="AS624" t="s">
        <v>65</v>
      </c>
      <c r="AT624">
        <v>1</v>
      </c>
      <c r="AU624" t="s">
        <v>1336</v>
      </c>
      <c r="AV624" t="s">
        <v>1337</v>
      </c>
      <c r="AW624" t="s">
        <v>60</v>
      </c>
      <c r="AX624" t="s">
        <v>68</v>
      </c>
      <c r="AY624" t="s">
        <v>69</v>
      </c>
      <c r="AZ624" t="b">
        <v>1</v>
      </c>
    </row>
    <row r="625" spans="1:52" x14ac:dyDescent="0.3">
      <c r="A625" t="s">
        <v>52</v>
      </c>
      <c r="B625" t="s">
        <v>53</v>
      </c>
      <c r="C625" t="s">
        <v>54</v>
      </c>
      <c r="D625" t="s">
        <v>55</v>
      </c>
      <c r="E625" t="s">
        <v>1617</v>
      </c>
      <c r="F625" t="s">
        <v>1247</v>
      </c>
      <c r="G625" t="s">
        <v>479</v>
      </c>
      <c r="H625" t="s">
        <v>1338</v>
      </c>
      <c r="I625" t="s">
        <v>1338</v>
      </c>
      <c r="J625" t="s">
        <v>60</v>
      </c>
      <c r="K625" t="s">
        <v>1302</v>
      </c>
      <c r="L625" t="s">
        <v>62</v>
      </c>
      <c r="M625" t="s">
        <v>1302</v>
      </c>
      <c r="N625" t="s">
        <v>481</v>
      </c>
      <c r="O625" t="s">
        <v>1339</v>
      </c>
      <c r="P625">
        <v>-20.165590000000002</v>
      </c>
      <c r="Q625">
        <v>-44.907876000000002</v>
      </c>
      <c r="R625" s="2" t="str">
        <f>HYPERLINK("https://www.google.com/maps?q=-20.1655900,-44.9078760","Abrir no Google Maps")</f>
        <v>Abrir no Google Maps</v>
      </c>
      <c r="S625">
        <v>3</v>
      </c>
      <c r="T625">
        <v>626.07643944893005</v>
      </c>
      <c r="U625">
        <v>1</v>
      </c>
      <c r="V625">
        <v>0.333596205497457</v>
      </c>
      <c r="W625">
        <v>0.85</v>
      </c>
      <c r="X625">
        <v>0.28355677467283852</v>
      </c>
      <c r="Y625">
        <v>639</v>
      </c>
      <c r="Z625">
        <v>723.2656461789519</v>
      </c>
      <c r="AA625">
        <v>198</v>
      </c>
      <c r="AB625">
        <v>332</v>
      </c>
      <c r="AC625">
        <v>536</v>
      </c>
      <c r="AD625">
        <v>33.19</v>
      </c>
      <c r="AE625">
        <v>542</v>
      </c>
      <c r="AF625">
        <v>42</v>
      </c>
      <c r="AG625">
        <v>173</v>
      </c>
      <c r="AH625">
        <v>129</v>
      </c>
      <c r="AI625">
        <v>7.75</v>
      </c>
      <c r="AJ625">
        <v>31.92</v>
      </c>
      <c r="AK625">
        <v>23.8</v>
      </c>
      <c r="AL625">
        <v>-20.16561419999994</v>
      </c>
      <c r="AM625">
        <v>-44.907783360572083</v>
      </c>
      <c r="AN625">
        <v>-20.16561419999994</v>
      </c>
      <c r="AO625">
        <v>-44.907783360572083</v>
      </c>
      <c r="AP625">
        <v>-20.165590000000002</v>
      </c>
      <c r="AQ625">
        <v>-44.907876000000002</v>
      </c>
      <c r="AR625">
        <v>10.04831364257741</v>
      </c>
      <c r="AS625" t="s">
        <v>65</v>
      </c>
      <c r="AT625">
        <v>1</v>
      </c>
      <c r="AU625" t="s">
        <v>1340</v>
      </c>
      <c r="AV625" t="s">
        <v>1341</v>
      </c>
      <c r="AW625" t="s">
        <v>60</v>
      </c>
      <c r="AX625" t="s">
        <v>68</v>
      </c>
      <c r="AY625" t="s">
        <v>69</v>
      </c>
      <c r="AZ625" t="b">
        <v>1</v>
      </c>
    </row>
    <row r="626" spans="1:52" x14ac:dyDescent="0.3">
      <c r="A626" t="s">
        <v>52</v>
      </c>
      <c r="B626" t="s">
        <v>53</v>
      </c>
      <c r="C626" t="s">
        <v>54</v>
      </c>
      <c r="D626" t="s">
        <v>55</v>
      </c>
      <c r="E626" t="s">
        <v>1617</v>
      </c>
      <c r="F626" t="s">
        <v>1247</v>
      </c>
      <c r="G626" t="s">
        <v>454</v>
      </c>
      <c r="H626" t="s">
        <v>455</v>
      </c>
      <c r="I626" t="s">
        <v>455</v>
      </c>
      <c r="J626" t="s">
        <v>60</v>
      </c>
      <c r="K626" t="s">
        <v>456</v>
      </c>
      <c r="L626" t="s">
        <v>62</v>
      </c>
      <c r="M626" t="s">
        <v>456</v>
      </c>
      <c r="N626" t="s">
        <v>102</v>
      </c>
      <c r="O626" t="s">
        <v>457</v>
      </c>
      <c r="P626">
        <v>-20.138373999999999</v>
      </c>
      <c r="Q626">
        <v>-44.903756999999999</v>
      </c>
      <c r="R626" s="2" t="str">
        <f>HYPERLINK("https://www.google.com/maps?q=-20.1383740,-44.9037570","Abrir no Google Maps")</f>
        <v>Abrir no Google Maps</v>
      </c>
      <c r="S626">
        <v>3</v>
      </c>
      <c r="T626">
        <v>357.59466273594461</v>
      </c>
      <c r="U626">
        <v>1</v>
      </c>
      <c r="V626">
        <v>0.30410052910052909</v>
      </c>
      <c r="W626">
        <v>1</v>
      </c>
      <c r="X626">
        <v>0.30410052910052909</v>
      </c>
      <c r="Y626">
        <v>581</v>
      </c>
      <c r="Z626">
        <v>406.92482694505992</v>
      </c>
      <c r="AA626">
        <v>198</v>
      </c>
      <c r="AB626">
        <v>332</v>
      </c>
      <c r="AC626">
        <v>536</v>
      </c>
      <c r="AD626">
        <v>33.19</v>
      </c>
      <c r="AE626">
        <v>542</v>
      </c>
      <c r="AF626">
        <v>42</v>
      </c>
      <c r="AG626">
        <v>173</v>
      </c>
      <c r="AH626">
        <v>129</v>
      </c>
      <c r="AI626">
        <v>7.75</v>
      </c>
      <c r="AJ626">
        <v>31.92</v>
      </c>
      <c r="AK626">
        <v>23.8</v>
      </c>
      <c r="AL626">
        <v>-20.138338199999961</v>
      </c>
      <c r="AM626">
        <v>-44.903768618976301</v>
      </c>
      <c r="AN626">
        <v>-20.138338199999961</v>
      </c>
      <c r="AO626">
        <v>-44.903768618976301</v>
      </c>
      <c r="AP626">
        <v>-20.138373999999999</v>
      </c>
      <c r="AQ626">
        <v>-44.903756999999999</v>
      </c>
      <c r="AR626">
        <v>4.1661625938922704</v>
      </c>
      <c r="AS626" t="s">
        <v>65</v>
      </c>
      <c r="AT626">
        <v>1</v>
      </c>
      <c r="AU626" t="s">
        <v>458</v>
      </c>
      <c r="AV626" t="s">
        <v>459</v>
      </c>
      <c r="AW626" t="s">
        <v>60</v>
      </c>
      <c r="AX626" t="s">
        <v>68</v>
      </c>
      <c r="AY626" t="s">
        <v>69</v>
      </c>
      <c r="AZ626" t="b">
        <v>1</v>
      </c>
    </row>
    <row r="627" spans="1:52" x14ac:dyDescent="0.3">
      <c r="A627" t="s">
        <v>52</v>
      </c>
      <c r="B627" t="s">
        <v>53</v>
      </c>
      <c r="C627" t="s">
        <v>54</v>
      </c>
      <c r="D627" t="s">
        <v>55</v>
      </c>
      <c r="E627" t="s">
        <v>1617</v>
      </c>
      <c r="F627" t="s">
        <v>1247</v>
      </c>
      <c r="G627" t="s">
        <v>460</v>
      </c>
      <c r="H627" t="s">
        <v>461</v>
      </c>
      <c r="I627" t="s">
        <v>461</v>
      </c>
      <c r="J627" t="s">
        <v>60</v>
      </c>
      <c r="K627" t="s">
        <v>462</v>
      </c>
      <c r="L627" t="s">
        <v>62</v>
      </c>
      <c r="M627" t="s">
        <v>462</v>
      </c>
      <c r="N627" t="s">
        <v>463</v>
      </c>
      <c r="O627" t="s">
        <v>464</v>
      </c>
      <c r="P627">
        <v>-20.137919</v>
      </c>
      <c r="Q627">
        <v>-44.905591000000001</v>
      </c>
      <c r="R627" s="2" t="str">
        <f>HYPERLINK("https://www.google.com/maps?q=-20.1379190,-44.9055910","Abrir no Google Maps")</f>
        <v>Abrir no Google Maps</v>
      </c>
      <c r="S627">
        <v>3</v>
      </c>
      <c r="T627">
        <v>262.01115919461103</v>
      </c>
      <c r="U627">
        <v>1</v>
      </c>
      <c r="V627">
        <v>0.30744908733349591</v>
      </c>
      <c r="W627">
        <v>1</v>
      </c>
      <c r="X627">
        <v>0.30744908733349591</v>
      </c>
      <c r="Y627">
        <v>581</v>
      </c>
      <c r="Z627">
        <v>318.63337303219271</v>
      </c>
      <c r="AA627">
        <v>198</v>
      </c>
      <c r="AB627">
        <v>332</v>
      </c>
      <c r="AC627">
        <v>536</v>
      </c>
      <c r="AD627">
        <v>33.19</v>
      </c>
      <c r="AE627">
        <v>542</v>
      </c>
      <c r="AF627">
        <v>42</v>
      </c>
      <c r="AG627">
        <v>173</v>
      </c>
      <c r="AH627">
        <v>129</v>
      </c>
      <c r="AI627">
        <v>7.75</v>
      </c>
      <c r="AJ627">
        <v>31.92</v>
      </c>
      <c r="AK627">
        <v>23.8</v>
      </c>
      <c r="AL627">
        <v>-20.13789079999998</v>
      </c>
      <c r="AM627">
        <v>-44.90548593520333</v>
      </c>
      <c r="AN627">
        <v>-20.13789079999998</v>
      </c>
      <c r="AO627">
        <v>-44.90548593520333</v>
      </c>
      <c r="AP627">
        <v>-20.137919</v>
      </c>
      <c r="AQ627">
        <v>-44.905591000000001</v>
      </c>
      <c r="AR627">
        <v>11.42072348298178</v>
      </c>
      <c r="AS627" t="s">
        <v>65</v>
      </c>
      <c r="AT627">
        <v>1</v>
      </c>
      <c r="AU627" t="s">
        <v>465</v>
      </c>
      <c r="AV627" t="s">
        <v>466</v>
      </c>
      <c r="AW627" t="s">
        <v>60</v>
      </c>
      <c r="AX627" t="s">
        <v>68</v>
      </c>
      <c r="AY627" t="s">
        <v>69</v>
      </c>
      <c r="AZ627" t="b">
        <v>1</v>
      </c>
    </row>
    <row r="628" spans="1:52" x14ac:dyDescent="0.3">
      <c r="A628" t="s">
        <v>52</v>
      </c>
      <c r="B628" t="s">
        <v>53</v>
      </c>
      <c r="C628" t="s">
        <v>54</v>
      </c>
      <c r="D628" t="s">
        <v>55</v>
      </c>
      <c r="E628" t="s">
        <v>1617</v>
      </c>
      <c r="F628" t="s">
        <v>1247</v>
      </c>
      <c r="G628" t="s">
        <v>1342</v>
      </c>
      <c r="H628" t="s">
        <v>1343</v>
      </c>
      <c r="I628" t="s">
        <v>1343</v>
      </c>
      <c r="J628" t="s">
        <v>60</v>
      </c>
      <c r="K628" t="s">
        <v>462</v>
      </c>
      <c r="L628" t="s">
        <v>62</v>
      </c>
      <c r="M628" t="s">
        <v>462</v>
      </c>
      <c r="N628" t="s">
        <v>921</v>
      </c>
      <c r="O628" t="s">
        <v>1344</v>
      </c>
      <c r="P628">
        <v>-20.137526000000001</v>
      </c>
      <c r="Q628">
        <v>-44.912452999999999</v>
      </c>
      <c r="R628" s="2" t="str">
        <f>HYPERLINK("https://www.google.com/maps?q=-20.1375260,-44.9124530","Abrir no Google Maps")</f>
        <v>Abrir no Google Maps</v>
      </c>
      <c r="S628">
        <v>3</v>
      </c>
      <c r="T628">
        <v>446.95091416730708</v>
      </c>
      <c r="U628">
        <v>1</v>
      </c>
      <c r="V628">
        <v>0.36630355846042117</v>
      </c>
      <c r="W628">
        <v>0.85</v>
      </c>
      <c r="X628">
        <v>0.31135802469135798</v>
      </c>
      <c r="Y628">
        <v>581</v>
      </c>
      <c r="Z628">
        <v>507.4747778269288</v>
      </c>
      <c r="AA628">
        <v>198</v>
      </c>
      <c r="AB628">
        <v>332</v>
      </c>
      <c r="AC628">
        <v>536</v>
      </c>
      <c r="AD628">
        <v>33.19</v>
      </c>
      <c r="AE628">
        <v>542</v>
      </c>
      <c r="AF628">
        <v>42</v>
      </c>
      <c r="AG628">
        <v>173</v>
      </c>
      <c r="AH628">
        <v>129</v>
      </c>
      <c r="AI628">
        <v>7.75</v>
      </c>
      <c r="AJ628">
        <v>31.92</v>
      </c>
      <c r="AK628">
        <v>23.8</v>
      </c>
      <c r="AL628">
        <v>-20.136672649999959</v>
      </c>
      <c r="AM628">
        <v>-44.911825104396357</v>
      </c>
      <c r="AN628">
        <v>-20.136672649999959</v>
      </c>
      <c r="AO628">
        <v>-44.911825104396357</v>
      </c>
      <c r="AP628">
        <v>-20.137526000000001</v>
      </c>
      <c r="AQ628">
        <v>-44.912452999999999</v>
      </c>
      <c r="AR628">
        <v>115.45843265992529</v>
      </c>
      <c r="AS628" t="s">
        <v>65</v>
      </c>
      <c r="AT628">
        <v>1</v>
      </c>
      <c r="AU628" t="s">
        <v>1345</v>
      </c>
      <c r="AV628" t="s">
        <v>1346</v>
      </c>
      <c r="AW628" t="s">
        <v>60</v>
      </c>
      <c r="AX628" t="s">
        <v>68</v>
      </c>
      <c r="AY628" t="s">
        <v>69</v>
      </c>
      <c r="AZ628" t="b">
        <v>1</v>
      </c>
    </row>
    <row r="629" spans="1:52" x14ac:dyDescent="0.3">
      <c r="A629" t="s">
        <v>52</v>
      </c>
      <c r="B629" t="s">
        <v>53</v>
      </c>
      <c r="C629" t="s">
        <v>54</v>
      </c>
      <c r="D629" t="s">
        <v>55</v>
      </c>
      <c r="E629" t="s">
        <v>1617</v>
      </c>
      <c r="F629" t="s">
        <v>1247</v>
      </c>
      <c r="G629" t="s">
        <v>1347</v>
      </c>
      <c r="H629" t="s">
        <v>1348</v>
      </c>
      <c r="I629" t="s">
        <v>1348</v>
      </c>
      <c r="J629" t="s">
        <v>60</v>
      </c>
      <c r="K629" t="s">
        <v>1349</v>
      </c>
      <c r="L629" t="s">
        <v>62</v>
      </c>
      <c r="M629" t="s">
        <v>1349</v>
      </c>
      <c r="N629" t="s">
        <v>1350</v>
      </c>
      <c r="O629" t="s">
        <v>1351</v>
      </c>
      <c r="P629">
        <v>-20.140426999999999</v>
      </c>
      <c r="Q629">
        <v>-44.905327999999997</v>
      </c>
      <c r="R629" s="2" t="str">
        <f>HYPERLINK("https://www.google.com/maps?q=-20.1404270,-44.9053280","Abrir no Google Maps")</f>
        <v>Abrir no Google Maps</v>
      </c>
      <c r="S629">
        <v>3</v>
      </c>
      <c r="T629">
        <v>359.5810968231857</v>
      </c>
      <c r="U629">
        <v>1</v>
      </c>
      <c r="V629">
        <v>0.3193155842409573</v>
      </c>
      <c r="W629">
        <v>0.85</v>
      </c>
      <c r="X629">
        <v>0.27141824660481367</v>
      </c>
      <c r="Y629">
        <v>581</v>
      </c>
      <c r="Z629">
        <v>292.370097058873</v>
      </c>
      <c r="AA629">
        <v>198</v>
      </c>
      <c r="AB629">
        <v>332</v>
      </c>
      <c r="AC629">
        <v>536</v>
      </c>
      <c r="AD629">
        <v>33.19</v>
      </c>
      <c r="AE629">
        <v>542</v>
      </c>
      <c r="AF629">
        <v>42</v>
      </c>
      <c r="AG629">
        <v>173</v>
      </c>
      <c r="AH629">
        <v>129</v>
      </c>
      <c r="AI629">
        <v>7.75</v>
      </c>
      <c r="AJ629">
        <v>31.92</v>
      </c>
      <c r="AK629">
        <v>23.8</v>
      </c>
      <c r="AL629">
        <v>-20.140465449999969</v>
      </c>
      <c r="AM629">
        <v>-44.905317129037229</v>
      </c>
      <c r="AN629">
        <v>-20.140465449999969</v>
      </c>
      <c r="AO629">
        <v>-44.905317129037229</v>
      </c>
      <c r="AP629">
        <v>-20.140426999999999</v>
      </c>
      <c r="AQ629">
        <v>-44.905327999999997</v>
      </c>
      <c r="AR629">
        <v>4.4284788644958706</v>
      </c>
      <c r="AS629" t="s">
        <v>65</v>
      </c>
      <c r="AT629">
        <v>1</v>
      </c>
      <c r="AU629" t="s">
        <v>1352</v>
      </c>
      <c r="AV629" t="s">
        <v>1353</v>
      </c>
      <c r="AW629" t="s">
        <v>60</v>
      </c>
      <c r="AX629" t="s">
        <v>68</v>
      </c>
      <c r="AY629" t="s">
        <v>69</v>
      </c>
      <c r="AZ629" t="b">
        <v>1</v>
      </c>
    </row>
    <row r="630" spans="1:52" x14ac:dyDescent="0.3">
      <c r="A630" t="s">
        <v>52</v>
      </c>
      <c r="B630" t="s">
        <v>53</v>
      </c>
      <c r="C630" t="s">
        <v>54</v>
      </c>
      <c r="D630" t="s">
        <v>55</v>
      </c>
      <c r="E630" t="s">
        <v>1617</v>
      </c>
      <c r="F630" t="s">
        <v>1247</v>
      </c>
      <c r="G630" t="s">
        <v>858</v>
      </c>
      <c r="H630" t="s">
        <v>1360</v>
      </c>
      <c r="I630" t="s">
        <v>1360</v>
      </c>
      <c r="J630" t="s">
        <v>60</v>
      </c>
      <c r="K630" t="s">
        <v>1356</v>
      </c>
      <c r="L630" t="s">
        <v>62</v>
      </c>
      <c r="M630" t="s">
        <v>1356</v>
      </c>
      <c r="N630" t="s">
        <v>860</v>
      </c>
      <c r="O630" t="s">
        <v>1361</v>
      </c>
      <c r="P630">
        <v>-20.134969000000002</v>
      </c>
      <c r="Q630">
        <v>-44.909384000000003</v>
      </c>
      <c r="R630" s="2" t="str">
        <f>HYPERLINK("https://www.google.com/maps?q=-20.1349690,-44.9093840","Abrir no Google Maps")</f>
        <v>Abrir no Google Maps</v>
      </c>
      <c r="S630">
        <v>3</v>
      </c>
      <c r="T630">
        <v>413.6655911675532</v>
      </c>
      <c r="U630">
        <v>1</v>
      </c>
      <c r="V630">
        <v>0.36808099875584538</v>
      </c>
      <c r="W630">
        <v>0.85</v>
      </c>
      <c r="X630">
        <v>0.31286884894246858</v>
      </c>
      <c r="Y630">
        <v>581</v>
      </c>
      <c r="Z630">
        <v>555.30228470489919</v>
      </c>
      <c r="AA630">
        <v>198</v>
      </c>
      <c r="AB630">
        <v>332</v>
      </c>
      <c r="AC630">
        <v>536</v>
      </c>
      <c r="AD630">
        <v>33.19</v>
      </c>
      <c r="AE630">
        <v>542</v>
      </c>
      <c r="AF630">
        <v>42</v>
      </c>
      <c r="AG630">
        <v>173</v>
      </c>
      <c r="AH630">
        <v>129</v>
      </c>
      <c r="AI630">
        <v>7.75</v>
      </c>
      <c r="AJ630">
        <v>31.92</v>
      </c>
      <c r="AK630">
        <v>23.8</v>
      </c>
      <c r="AL630">
        <v>-20.134922099999951</v>
      </c>
      <c r="AM630">
        <v>-44.909483975879112</v>
      </c>
      <c r="AN630">
        <v>-20.134922099999951</v>
      </c>
      <c r="AO630">
        <v>-44.909483975879112</v>
      </c>
      <c r="AP630">
        <v>-20.134969000000002</v>
      </c>
      <c r="AQ630">
        <v>-44.909384000000003</v>
      </c>
      <c r="AR630">
        <v>11.68085867639515</v>
      </c>
      <c r="AS630" t="s">
        <v>65</v>
      </c>
      <c r="AT630">
        <v>1</v>
      </c>
      <c r="AU630" t="s">
        <v>1362</v>
      </c>
      <c r="AV630" t="s">
        <v>1363</v>
      </c>
      <c r="AW630" t="s">
        <v>60</v>
      </c>
      <c r="AX630" t="s">
        <v>68</v>
      </c>
      <c r="AY630" t="s">
        <v>69</v>
      </c>
      <c r="AZ630" t="b">
        <v>1</v>
      </c>
    </row>
    <row r="631" spans="1:52" x14ac:dyDescent="0.3">
      <c r="A631" t="s">
        <v>52</v>
      </c>
      <c r="B631" t="s">
        <v>53</v>
      </c>
      <c r="C631" t="s">
        <v>54</v>
      </c>
      <c r="D631" t="s">
        <v>55</v>
      </c>
      <c r="E631" t="s">
        <v>1617</v>
      </c>
      <c r="F631" t="s">
        <v>1247</v>
      </c>
      <c r="G631" t="s">
        <v>1364</v>
      </c>
      <c r="H631" t="s">
        <v>1369</v>
      </c>
      <c r="I631" t="s">
        <v>1369</v>
      </c>
      <c r="J631" t="s">
        <v>60</v>
      </c>
      <c r="K631" t="s">
        <v>1370</v>
      </c>
      <c r="L631" t="s">
        <v>62</v>
      </c>
      <c r="M631" t="s">
        <v>1370</v>
      </c>
      <c r="N631" t="s">
        <v>1366</v>
      </c>
      <c r="O631" t="s">
        <v>989</v>
      </c>
      <c r="P631">
        <v>-20.141185</v>
      </c>
      <c r="Q631">
        <v>-44.914200999999998</v>
      </c>
      <c r="R631" s="2" t="str">
        <f>HYPERLINK("https://www.google.com/maps?q=-20.1411850,-44.9142010","Abrir no Google Maps")</f>
        <v>Abrir no Google Maps</v>
      </c>
      <c r="S631">
        <v>3</v>
      </c>
      <c r="T631">
        <v>512.52588459346453</v>
      </c>
      <c r="U631">
        <v>1</v>
      </c>
      <c r="V631">
        <v>0.38174924464435811</v>
      </c>
      <c r="W631">
        <v>0.85</v>
      </c>
      <c r="X631">
        <v>0.32448685794770438</v>
      </c>
      <c r="Y631">
        <v>581</v>
      </c>
      <c r="Z631">
        <v>473.10673043319349</v>
      </c>
      <c r="AA631">
        <v>198</v>
      </c>
      <c r="AB631">
        <v>332</v>
      </c>
      <c r="AC631">
        <v>536</v>
      </c>
      <c r="AD631">
        <v>33.19</v>
      </c>
      <c r="AE631">
        <v>542</v>
      </c>
      <c r="AF631">
        <v>42</v>
      </c>
      <c r="AG631">
        <v>173</v>
      </c>
      <c r="AH631">
        <v>129</v>
      </c>
      <c r="AI631">
        <v>7.75</v>
      </c>
      <c r="AJ631">
        <v>31.92</v>
      </c>
      <c r="AK631">
        <v>23.8</v>
      </c>
      <c r="AL631">
        <v>-20.14133909999995</v>
      </c>
      <c r="AM631">
        <v>-44.913910219286038</v>
      </c>
      <c r="AN631">
        <v>-20.14133909999995</v>
      </c>
      <c r="AO631">
        <v>-44.913910219286038</v>
      </c>
      <c r="AP631">
        <v>-20.141185</v>
      </c>
      <c r="AQ631">
        <v>-44.914200999999998</v>
      </c>
      <c r="AR631">
        <v>34.897514361429593</v>
      </c>
      <c r="AS631" t="s">
        <v>65</v>
      </c>
      <c r="AT631">
        <v>1</v>
      </c>
      <c r="AU631" t="s">
        <v>1371</v>
      </c>
      <c r="AV631" t="s">
        <v>863</v>
      </c>
      <c r="AW631" t="s">
        <v>60</v>
      </c>
      <c r="AX631" t="s">
        <v>68</v>
      </c>
      <c r="AY631" t="s">
        <v>69</v>
      </c>
      <c r="AZ631" t="b">
        <v>1</v>
      </c>
    </row>
    <row r="632" spans="1:52" x14ac:dyDescent="0.3">
      <c r="A632" t="s">
        <v>52</v>
      </c>
      <c r="B632" t="s">
        <v>53</v>
      </c>
      <c r="C632" t="s">
        <v>54</v>
      </c>
      <c r="D632" t="s">
        <v>55</v>
      </c>
      <c r="E632" t="s">
        <v>1617</v>
      </c>
      <c r="F632" t="s">
        <v>1247</v>
      </c>
      <c r="G632" t="s">
        <v>858</v>
      </c>
      <c r="H632" t="s">
        <v>859</v>
      </c>
      <c r="I632" t="s">
        <v>859</v>
      </c>
      <c r="J632" t="s">
        <v>60</v>
      </c>
      <c r="K632" t="s">
        <v>462</v>
      </c>
      <c r="L632" t="s">
        <v>62</v>
      </c>
      <c r="M632" t="s">
        <v>462</v>
      </c>
      <c r="N632" t="s">
        <v>860</v>
      </c>
      <c r="O632" t="s">
        <v>861</v>
      </c>
      <c r="P632">
        <v>-20.139693999999999</v>
      </c>
      <c r="Q632">
        <v>-44.911256000000002</v>
      </c>
      <c r="R632" s="2" t="str">
        <f>HYPERLINK("https://www.google.com/maps?q=-20.1396940,-44.9112560","Abrir no Google Maps")</f>
        <v>Abrir no Google Maps</v>
      </c>
      <c r="S632">
        <v>3</v>
      </c>
      <c r="T632">
        <v>380.48036838042862</v>
      </c>
      <c r="U632">
        <v>1</v>
      </c>
      <c r="V632">
        <v>0.25867888748419721</v>
      </c>
      <c r="W632">
        <v>0.85</v>
      </c>
      <c r="X632">
        <v>0.2198770543615676</v>
      </c>
      <c r="Y632">
        <v>581</v>
      </c>
      <c r="Z632">
        <v>374.61146000000178</v>
      </c>
      <c r="AA632">
        <v>198</v>
      </c>
      <c r="AB632">
        <v>332</v>
      </c>
      <c r="AC632">
        <v>536</v>
      </c>
      <c r="AD632">
        <v>33.19</v>
      </c>
      <c r="AE632">
        <v>542</v>
      </c>
      <c r="AF632">
        <v>42</v>
      </c>
      <c r="AG632">
        <v>173</v>
      </c>
      <c r="AH632">
        <v>129</v>
      </c>
      <c r="AI632">
        <v>7.75</v>
      </c>
      <c r="AJ632">
        <v>31.92</v>
      </c>
      <c r="AK632">
        <v>23.8</v>
      </c>
      <c r="AL632">
        <v>-20.139768699999959</v>
      </c>
      <c r="AM632">
        <v>-44.911265351587588</v>
      </c>
      <c r="AN632">
        <v>-20.139768699999959</v>
      </c>
      <c r="AO632">
        <v>-44.911265351587588</v>
      </c>
      <c r="AP632">
        <v>-20.139693999999999</v>
      </c>
      <c r="AQ632">
        <v>-44.911256000000002</v>
      </c>
      <c r="AR632">
        <v>8.3728438666521061</v>
      </c>
      <c r="AS632" t="s">
        <v>65</v>
      </c>
      <c r="AT632">
        <v>1</v>
      </c>
      <c r="AU632" t="s">
        <v>862</v>
      </c>
      <c r="AV632" t="s">
        <v>863</v>
      </c>
      <c r="AW632" t="s">
        <v>60</v>
      </c>
      <c r="AX632" t="s">
        <v>68</v>
      </c>
      <c r="AY632" t="s">
        <v>69</v>
      </c>
      <c r="AZ632" t="b">
        <v>1</v>
      </c>
    </row>
    <row r="633" spans="1:52" x14ac:dyDescent="0.3">
      <c r="A633" t="s">
        <v>52</v>
      </c>
      <c r="B633" t="s">
        <v>53</v>
      </c>
      <c r="C633" t="s">
        <v>54</v>
      </c>
      <c r="D633" t="s">
        <v>55</v>
      </c>
      <c r="E633" t="s">
        <v>1617</v>
      </c>
      <c r="F633" t="s">
        <v>1247</v>
      </c>
      <c r="G633" t="s">
        <v>1300</v>
      </c>
      <c r="H633" t="s">
        <v>1372</v>
      </c>
      <c r="I633" t="s">
        <v>1372</v>
      </c>
      <c r="J633" t="s">
        <v>60</v>
      </c>
      <c r="K633" t="s">
        <v>486</v>
      </c>
      <c r="L633" t="s">
        <v>62</v>
      </c>
      <c r="M633" t="s">
        <v>486</v>
      </c>
      <c r="N633" t="s">
        <v>1303</v>
      </c>
      <c r="O633" t="s">
        <v>1373</v>
      </c>
      <c r="P633">
        <v>-20.170458</v>
      </c>
      <c r="Q633">
        <v>-44.900936000000002</v>
      </c>
      <c r="R633" s="2" t="str">
        <f>HYPERLINK("https://www.google.com/maps?q=-20.1704580,-44.9009360","Abrir no Google Maps")</f>
        <v>Abrir no Google Maps</v>
      </c>
      <c r="S633">
        <v>3</v>
      </c>
      <c r="T633">
        <v>470.55793133653339</v>
      </c>
      <c r="U633">
        <v>1</v>
      </c>
      <c r="V633">
        <v>0.35433601931063857</v>
      </c>
      <c r="W633">
        <v>0.85</v>
      </c>
      <c r="X633">
        <v>0.30118561641404279</v>
      </c>
      <c r="Y633">
        <v>578</v>
      </c>
      <c r="Z633">
        <v>645.48909402437766</v>
      </c>
      <c r="AA633">
        <v>198</v>
      </c>
      <c r="AB633">
        <v>332</v>
      </c>
      <c r="AC633">
        <v>536</v>
      </c>
      <c r="AD633">
        <v>33.19</v>
      </c>
      <c r="AE633">
        <v>542</v>
      </c>
      <c r="AF633">
        <v>42</v>
      </c>
      <c r="AG633">
        <v>173</v>
      </c>
      <c r="AH633">
        <v>129</v>
      </c>
      <c r="AI633">
        <v>7.75</v>
      </c>
      <c r="AJ633">
        <v>31.92</v>
      </c>
      <c r="AK633">
        <v>23.8</v>
      </c>
      <c r="AL633">
        <v>-20.17025029999996</v>
      </c>
      <c r="AM633">
        <v>-44.901067235372473</v>
      </c>
      <c r="AN633">
        <v>-20.17025029999996</v>
      </c>
      <c r="AO633">
        <v>-44.901067235372473</v>
      </c>
      <c r="AP633">
        <v>-20.170458</v>
      </c>
      <c r="AQ633">
        <v>-44.900936000000002</v>
      </c>
      <c r="AR633">
        <v>26.88195352459519</v>
      </c>
      <c r="AS633" t="s">
        <v>65</v>
      </c>
      <c r="AT633">
        <v>1</v>
      </c>
      <c r="AU633" t="s">
        <v>1374</v>
      </c>
      <c r="AV633" t="s">
        <v>1375</v>
      </c>
      <c r="AW633" t="s">
        <v>60</v>
      </c>
      <c r="AX633" t="s">
        <v>68</v>
      </c>
      <c r="AY633" t="s">
        <v>69</v>
      </c>
      <c r="AZ633" t="b">
        <v>1</v>
      </c>
    </row>
    <row r="634" spans="1:52" x14ac:dyDescent="0.3">
      <c r="A634" t="s">
        <v>52</v>
      </c>
      <c r="B634" t="s">
        <v>53</v>
      </c>
      <c r="C634" t="s">
        <v>54</v>
      </c>
      <c r="D634" t="s">
        <v>55</v>
      </c>
      <c r="E634" t="s">
        <v>1617</v>
      </c>
      <c r="F634" t="s">
        <v>1247</v>
      </c>
      <c r="G634" t="s">
        <v>1424</v>
      </c>
      <c r="H634" t="s">
        <v>1425</v>
      </c>
      <c r="I634" t="s">
        <v>1425</v>
      </c>
      <c r="J634" t="s">
        <v>60</v>
      </c>
      <c r="K634" t="s">
        <v>1324</v>
      </c>
      <c r="L634" t="s">
        <v>62</v>
      </c>
      <c r="M634" t="s">
        <v>1324</v>
      </c>
      <c r="N634" t="s">
        <v>1426</v>
      </c>
      <c r="O634" t="s">
        <v>938</v>
      </c>
      <c r="P634">
        <v>-20.172844999999999</v>
      </c>
      <c r="Q634">
        <v>-44.909215000000003</v>
      </c>
      <c r="R634" s="2" t="str">
        <f>HYPERLINK("https://www.google.com/maps?q=-20.1728450,-44.9092150","Abrir no Google Maps")</f>
        <v>Abrir no Google Maps</v>
      </c>
      <c r="S634">
        <v>3</v>
      </c>
      <c r="T634">
        <v>0</v>
      </c>
      <c r="U634">
        <v>1</v>
      </c>
      <c r="V634">
        <v>0.38500000000000001</v>
      </c>
      <c r="W634">
        <v>0.85</v>
      </c>
      <c r="X634">
        <v>0.32724999999999999</v>
      </c>
      <c r="Y634">
        <v>578</v>
      </c>
      <c r="Z634">
        <v>365.56549317689053</v>
      </c>
      <c r="AA634">
        <v>198</v>
      </c>
      <c r="AB634">
        <v>332</v>
      </c>
      <c r="AC634">
        <v>536</v>
      </c>
      <c r="AD634">
        <v>33.19</v>
      </c>
      <c r="AE634">
        <v>542</v>
      </c>
      <c r="AF634">
        <v>42</v>
      </c>
      <c r="AG634">
        <v>173</v>
      </c>
      <c r="AH634">
        <v>129</v>
      </c>
      <c r="AI634">
        <v>7.75</v>
      </c>
      <c r="AJ634">
        <v>31.92</v>
      </c>
      <c r="AK634">
        <v>23.8</v>
      </c>
      <c r="AL634">
        <v>-20.172197349999941</v>
      </c>
      <c r="AM634">
        <v>-44.910438675762883</v>
      </c>
      <c r="AN634">
        <v>-20.172197349999941</v>
      </c>
      <c r="AO634">
        <v>-44.910438675762883</v>
      </c>
      <c r="AP634">
        <v>-20.172844999999999</v>
      </c>
      <c r="AQ634">
        <v>-44.909215000000003</v>
      </c>
      <c r="AR634">
        <v>146.78922919749749</v>
      </c>
      <c r="AS634" t="s">
        <v>65</v>
      </c>
      <c r="AT634">
        <v>1</v>
      </c>
      <c r="AU634" t="s">
        <v>1427</v>
      </c>
      <c r="AV634" t="s">
        <v>1428</v>
      </c>
      <c r="AW634" t="s">
        <v>60</v>
      </c>
      <c r="AX634" t="s">
        <v>68</v>
      </c>
      <c r="AY634" t="s">
        <v>69</v>
      </c>
      <c r="AZ634" t="b">
        <v>1</v>
      </c>
    </row>
    <row r="635" spans="1:52" x14ac:dyDescent="0.3">
      <c r="A635" t="s">
        <v>52</v>
      </c>
      <c r="B635" t="s">
        <v>53</v>
      </c>
      <c r="C635" t="s">
        <v>54</v>
      </c>
      <c r="D635" t="s">
        <v>55</v>
      </c>
      <c r="E635" t="s">
        <v>1617</v>
      </c>
      <c r="F635" t="s">
        <v>1247</v>
      </c>
      <c r="G635" t="s">
        <v>1393</v>
      </c>
      <c r="H635" t="s">
        <v>1394</v>
      </c>
      <c r="I635" t="s">
        <v>1394</v>
      </c>
      <c r="J635" t="s">
        <v>60</v>
      </c>
      <c r="K635" t="s">
        <v>388</v>
      </c>
      <c r="L635" t="s">
        <v>62</v>
      </c>
      <c r="M635" t="s">
        <v>388</v>
      </c>
      <c r="N635" t="s">
        <v>1395</v>
      </c>
      <c r="O635" t="s">
        <v>1396</v>
      </c>
      <c r="P635">
        <v>-20.167425000000001</v>
      </c>
      <c r="Q635">
        <v>-44.907733999999998</v>
      </c>
      <c r="R635" s="2" t="str">
        <f>HYPERLINK("https://www.google.com/maps?q=-20.1674250,-44.9077340","Abrir no Google Maps")</f>
        <v>Abrir no Google Maps</v>
      </c>
      <c r="S635">
        <v>3</v>
      </c>
      <c r="T635">
        <v>424.62372109792739</v>
      </c>
      <c r="U635">
        <v>1</v>
      </c>
      <c r="V635">
        <v>0.36833758142169348</v>
      </c>
      <c r="W635">
        <v>0.85</v>
      </c>
      <c r="X635">
        <v>0.31308694420843952</v>
      </c>
      <c r="Y635">
        <v>578</v>
      </c>
      <c r="Z635">
        <v>559.08337206965382</v>
      </c>
      <c r="AA635">
        <v>198</v>
      </c>
      <c r="AB635">
        <v>332</v>
      </c>
      <c r="AC635">
        <v>536</v>
      </c>
      <c r="AD635">
        <v>33.19</v>
      </c>
      <c r="AE635">
        <v>542</v>
      </c>
      <c r="AF635">
        <v>42</v>
      </c>
      <c r="AG635">
        <v>173</v>
      </c>
      <c r="AH635">
        <v>129</v>
      </c>
      <c r="AI635">
        <v>7.75</v>
      </c>
      <c r="AJ635">
        <v>31.92</v>
      </c>
      <c r="AK635">
        <v>23.8</v>
      </c>
      <c r="AL635">
        <v>-20.167592099999951</v>
      </c>
      <c r="AM635">
        <v>-44.907664214502859</v>
      </c>
      <c r="AN635">
        <v>-20.167592099999951</v>
      </c>
      <c r="AO635">
        <v>-44.907664214502859</v>
      </c>
      <c r="AP635">
        <v>-20.167425000000001</v>
      </c>
      <c r="AQ635">
        <v>-44.907733999999998</v>
      </c>
      <c r="AR635">
        <v>19.979863459652229</v>
      </c>
      <c r="AS635" t="s">
        <v>65</v>
      </c>
      <c r="AT635">
        <v>1</v>
      </c>
      <c r="AU635" t="s">
        <v>1397</v>
      </c>
      <c r="AV635" t="s">
        <v>1398</v>
      </c>
      <c r="AW635" t="s">
        <v>60</v>
      </c>
      <c r="AX635" t="s">
        <v>68</v>
      </c>
      <c r="AY635" t="s">
        <v>69</v>
      </c>
      <c r="AZ635" t="b">
        <v>1</v>
      </c>
    </row>
    <row r="636" spans="1:52" x14ac:dyDescent="0.3">
      <c r="A636" t="s">
        <v>52</v>
      </c>
      <c r="B636" t="s">
        <v>53</v>
      </c>
      <c r="C636" t="s">
        <v>54</v>
      </c>
      <c r="D636" t="s">
        <v>55</v>
      </c>
      <c r="E636" t="s">
        <v>1617</v>
      </c>
      <c r="F636" t="s">
        <v>1247</v>
      </c>
      <c r="G636" t="s">
        <v>516</v>
      </c>
      <c r="H636" t="s">
        <v>517</v>
      </c>
      <c r="I636" t="s">
        <v>517</v>
      </c>
      <c r="J636" t="s">
        <v>60</v>
      </c>
      <c r="K636" t="s">
        <v>518</v>
      </c>
      <c r="L636" t="s">
        <v>62</v>
      </c>
      <c r="M636" t="s">
        <v>518</v>
      </c>
      <c r="N636" t="s">
        <v>519</v>
      </c>
      <c r="O636" t="s">
        <v>520</v>
      </c>
      <c r="P636">
        <v>-20.124502</v>
      </c>
      <c r="Q636">
        <v>-44.888424000000001</v>
      </c>
      <c r="R636" s="2" t="str">
        <f>HYPERLINK("https://www.google.com/maps?q=-20.1245020,-44.8884240","Abrir no Google Maps")</f>
        <v>Abrir no Google Maps</v>
      </c>
      <c r="S636">
        <v>3</v>
      </c>
      <c r="T636">
        <v>483.42298121929559</v>
      </c>
      <c r="U636">
        <v>1</v>
      </c>
      <c r="V636">
        <v>0.31589766633805139</v>
      </c>
      <c r="W636">
        <v>1</v>
      </c>
      <c r="X636">
        <v>0.31589766633805139</v>
      </c>
      <c r="Y636">
        <v>564</v>
      </c>
      <c r="Z636">
        <v>565.43074237076587</v>
      </c>
      <c r="AA636">
        <v>198</v>
      </c>
      <c r="AB636">
        <v>332</v>
      </c>
      <c r="AC636">
        <v>536</v>
      </c>
      <c r="AD636">
        <v>33.19</v>
      </c>
      <c r="AE636">
        <v>542</v>
      </c>
      <c r="AF636">
        <v>42</v>
      </c>
      <c r="AG636">
        <v>173</v>
      </c>
      <c r="AH636">
        <v>129</v>
      </c>
      <c r="AI636">
        <v>7.75</v>
      </c>
      <c r="AJ636">
        <v>31.92</v>
      </c>
      <c r="AK636">
        <v>23.8</v>
      </c>
      <c r="AL636">
        <v>-20.124624949999941</v>
      </c>
      <c r="AM636">
        <v>-44.888432821777258</v>
      </c>
      <c r="AN636">
        <v>-20.124624949999941</v>
      </c>
      <c r="AO636">
        <v>-44.888432821777258</v>
      </c>
      <c r="AP636">
        <v>-20.124502</v>
      </c>
      <c r="AQ636">
        <v>-44.888424000000001</v>
      </c>
      <c r="AR636">
        <v>13.717819333897451</v>
      </c>
      <c r="AS636" t="s">
        <v>65</v>
      </c>
      <c r="AT636">
        <v>1</v>
      </c>
      <c r="AU636" t="s">
        <v>521</v>
      </c>
      <c r="AV636" t="s">
        <v>522</v>
      </c>
      <c r="AW636" t="s">
        <v>60</v>
      </c>
      <c r="AX636" t="s">
        <v>68</v>
      </c>
      <c r="AY636" t="s">
        <v>69</v>
      </c>
      <c r="AZ636" t="b">
        <v>1</v>
      </c>
    </row>
    <row r="637" spans="1:52" x14ac:dyDescent="0.3">
      <c r="A637" t="s">
        <v>52</v>
      </c>
      <c r="B637" t="s">
        <v>53</v>
      </c>
      <c r="C637" t="s">
        <v>54</v>
      </c>
      <c r="D637" t="s">
        <v>55</v>
      </c>
      <c r="E637" t="s">
        <v>1617</v>
      </c>
      <c r="F637" t="s">
        <v>1247</v>
      </c>
      <c r="G637" t="s">
        <v>815</v>
      </c>
      <c r="H637" t="s">
        <v>1404</v>
      </c>
      <c r="I637" t="s">
        <v>1404</v>
      </c>
      <c r="J637" t="s">
        <v>60</v>
      </c>
      <c r="K637" t="s">
        <v>512</v>
      </c>
      <c r="L637" t="s">
        <v>62</v>
      </c>
      <c r="M637" t="s">
        <v>512</v>
      </c>
      <c r="N637" t="s">
        <v>817</v>
      </c>
      <c r="O637" t="s">
        <v>1405</v>
      </c>
      <c r="P637">
        <v>-20.129069999999999</v>
      </c>
      <c r="Q637">
        <v>-44.888452000000001</v>
      </c>
      <c r="R637" s="2" t="str">
        <f>HYPERLINK("https://www.google.com/maps?q=-20.1290700,-44.8884520","Abrir no Google Maps")</f>
        <v>Abrir no Google Maps</v>
      </c>
      <c r="S637">
        <v>3</v>
      </c>
      <c r="T637">
        <v>0</v>
      </c>
      <c r="U637">
        <v>1</v>
      </c>
      <c r="V637">
        <v>0.34658053974715791</v>
      </c>
      <c r="W637">
        <v>0.85</v>
      </c>
      <c r="X637">
        <v>0.29459345878508419</v>
      </c>
      <c r="Y637">
        <v>564</v>
      </c>
      <c r="Z637">
        <v>95.870354837220688</v>
      </c>
      <c r="AA637">
        <v>198</v>
      </c>
      <c r="AB637">
        <v>332</v>
      </c>
      <c r="AC637">
        <v>536</v>
      </c>
      <c r="AD637">
        <v>33.19</v>
      </c>
      <c r="AE637">
        <v>542</v>
      </c>
      <c r="AF637">
        <v>42</v>
      </c>
      <c r="AG637">
        <v>173</v>
      </c>
      <c r="AH637">
        <v>129</v>
      </c>
      <c r="AI637">
        <v>7.75</v>
      </c>
      <c r="AJ637">
        <v>31.92</v>
      </c>
      <c r="AK637">
        <v>23.8</v>
      </c>
      <c r="AL637">
        <v>-20.12899334999997</v>
      </c>
      <c r="AM637">
        <v>-44.888406102471222</v>
      </c>
      <c r="AN637">
        <v>-20.12899334999997</v>
      </c>
      <c r="AO637">
        <v>-44.888406102471222</v>
      </c>
      <c r="AP637">
        <v>-20.129069999999999</v>
      </c>
      <c r="AQ637">
        <v>-44.888452000000001</v>
      </c>
      <c r="AR637">
        <v>9.7887731150376265</v>
      </c>
      <c r="AS637" t="s">
        <v>65</v>
      </c>
      <c r="AT637">
        <v>1</v>
      </c>
      <c r="AU637" t="s">
        <v>1406</v>
      </c>
      <c r="AV637" t="s">
        <v>1407</v>
      </c>
      <c r="AW637" t="s">
        <v>60</v>
      </c>
      <c r="AX637" t="s">
        <v>68</v>
      </c>
      <c r="AY637" t="s">
        <v>69</v>
      </c>
      <c r="AZ637" t="b">
        <v>1</v>
      </c>
    </row>
    <row r="638" spans="1:52" x14ac:dyDescent="0.3">
      <c r="A638" t="s">
        <v>52</v>
      </c>
      <c r="B638" t="s">
        <v>53</v>
      </c>
      <c r="C638" t="s">
        <v>54</v>
      </c>
      <c r="D638" t="s">
        <v>55</v>
      </c>
      <c r="E638" t="s">
        <v>1617</v>
      </c>
      <c r="F638" t="s">
        <v>1247</v>
      </c>
      <c r="G638" t="s">
        <v>649</v>
      </c>
      <c r="H638" t="s">
        <v>885</v>
      </c>
      <c r="I638" t="s">
        <v>885</v>
      </c>
      <c r="J638" t="s">
        <v>60</v>
      </c>
      <c r="K638" t="s">
        <v>886</v>
      </c>
      <c r="L638" t="s">
        <v>62</v>
      </c>
      <c r="M638" t="s">
        <v>886</v>
      </c>
      <c r="N638" t="s">
        <v>652</v>
      </c>
      <c r="O638" t="s">
        <v>887</v>
      </c>
      <c r="P638">
        <v>-20.132252000000001</v>
      </c>
      <c r="Q638">
        <v>-44.894159000000002</v>
      </c>
      <c r="R638" s="2" t="str">
        <f>HYPERLINK("https://www.google.com/maps?q=-20.1322520,-44.8941590","Abrir no Google Maps")</f>
        <v>Abrir no Google Maps</v>
      </c>
      <c r="S638">
        <v>3</v>
      </c>
      <c r="T638">
        <v>699.5004749448899</v>
      </c>
      <c r="U638">
        <v>1</v>
      </c>
      <c r="V638">
        <v>0.3080182926829268</v>
      </c>
      <c r="W638">
        <v>0.85</v>
      </c>
      <c r="X638">
        <v>0.26181554878048779</v>
      </c>
      <c r="Y638">
        <v>564</v>
      </c>
      <c r="Z638">
        <v>522.21103586457991</v>
      </c>
      <c r="AA638">
        <v>198</v>
      </c>
      <c r="AB638">
        <v>332</v>
      </c>
      <c r="AC638">
        <v>536</v>
      </c>
      <c r="AD638">
        <v>33.19</v>
      </c>
      <c r="AE638">
        <v>542</v>
      </c>
      <c r="AF638">
        <v>42</v>
      </c>
      <c r="AG638">
        <v>173</v>
      </c>
      <c r="AH638">
        <v>129</v>
      </c>
      <c r="AI638">
        <v>7.75</v>
      </c>
      <c r="AJ638">
        <v>31.92</v>
      </c>
      <c r="AK638">
        <v>23.8</v>
      </c>
      <c r="AL638">
        <v>-20.132285999999969</v>
      </c>
      <c r="AM638">
        <v>-44.894119001288672</v>
      </c>
      <c r="AN638">
        <v>-20.132285999999969</v>
      </c>
      <c r="AO638">
        <v>-44.894119001288672</v>
      </c>
      <c r="AP638">
        <v>-20.132252000000001</v>
      </c>
      <c r="AQ638">
        <v>-44.894159000000002</v>
      </c>
      <c r="AR638">
        <v>5.6393921063261629</v>
      </c>
      <c r="AS638" t="s">
        <v>65</v>
      </c>
      <c r="AT638">
        <v>1</v>
      </c>
      <c r="AU638" t="s">
        <v>888</v>
      </c>
      <c r="AV638" t="s">
        <v>889</v>
      </c>
      <c r="AW638" t="s">
        <v>60</v>
      </c>
      <c r="AX638" t="s">
        <v>68</v>
      </c>
      <c r="AY638" t="s">
        <v>69</v>
      </c>
      <c r="AZ638" t="b">
        <v>1</v>
      </c>
    </row>
    <row r="639" spans="1:52" x14ac:dyDescent="0.3">
      <c r="A639" t="s">
        <v>52</v>
      </c>
      <c r="B639" t="s">
        <v>53</v>
      </c>
      <c r="C639" t="s">
        <v>54</v>
      </c>
      <c r="D639" t="s">
        <v>55</v>
      </c>
      <c r="E639" t="s">
        <v>1617</v>
      </c>
      <c r="F639" t="s">
        <v>1247</v>
      </c>
      <c r="G639" t="s">
        <v>1408</v>
      </c>
      <c r="H639" t="s">
        <v>1409</v>
      </c>
      <c r="I639" t="s">
        <v>1409</v>
      </c>
      <c r="J639" t="s">
        <v>60</v>
      </c>
      <c r="K639" t="s">
        <v>200</v>
      </c>
      <c r="L639" t="s">
        <v>62</v>
      </c>
      <c r="M639" t="s">
        <v>200</v>
      </c>
      <c r="N639" t="s">
        <v>1410</v>
      </c>
      <c r="O639" t="s">
        <v>1001</v>
      </c>
      <c r="P639">
        <v>-20.126062999999998</v>
      </c>
      <c r="Q639">
        <v>-44.894936999999999</v>
      </c>
      <c r="R639" s="2" t="str">
        <f>HYPERLINK("https://www.google.com/maps?q=-20.1260630,-44.8949370","Abrir no Google Maps")</f>
        <v>Abrir no Google Maps</v>
      </c>
      <c r="S639">
        <v>3</v>
      </c>
      <c r="T639">
        <v>747.3122077966558</v>
      </c>
      <c r="U639">
        <v>1</v>
      </c>
      <c r="V639">
        <v>0.2354973512943358</v>
      </c>
      <c r="W639">
        <v>0.85</v>
      </c>
      <c r="X639">
        <v>0.20017274860018541</v>
      </c>
      <c r="Y639">
        <v>564</v>
      </c>
      <c r="Z639">
        <v>693.80888866206885</v>
      </c>
      <c r="AA639">
        <v>198</v>
      </c>
      <c r="AB639">
        <v>332</v>
      </c>
      <c r="AC639">
        <v>536</v>
      </c>
      <c r="AD639">
        <v>33.19</v>
      </c>
      <c r="AE639">
        <v>542</v>
      </c>
      <c r="AF639">
        <v>42</v>
      </c>
      <c r="AG639">
        <v>173</v>
      </c>
      <c r="AH639">
        <v>129</v>
      </c>
      <c r="AI639">
        <v>7.75</v>
      </c>
      <c r="AJ639">
        <v>31.92</v>
      </c>
      <c r="AK639">
        <v>23.8</v>
      </c>
      <c r="AL639">
        <v>-20.126099149999959</v>
      </c>
      <c r="AM639">
        <v>-44.894866076436763</v>
      </c>
      <c r="AN639">
        <v>-20.126099149999959</v>
      </c>
      <c r="AO639">
        <v>-44.894866076436749</v>
      </c>
      <c r="AP639">
        <v>-20.126062999999998</v>
      </c>
      <c r="AQ639">
        <v>-44.894936999999999</v>
      </c>
      <c r="AR639">
        <v>8.4349593682699737</v>
      </c>
      <c r="AS639" t="s">
        <v>65</v>
      </c>
      <c r="AT639">
        <v>1</v>
      </c>
      <c r="AU639" t="s">
        <v>1411</v>
      </c>
      <c r="AV639" t="s">
        <v>1003</v>
      </c>
      <c r="AW639" t="s">
        <v>60</v>
      </c>
      <c r="AX639" t="s">
        <v>68</v>
      </c>
      <c r="AY639" t="s">
        <v>69</v>
      </c>
      <c r="AZ639" t="b">
        <v>1</v>
      </c>
    </row>
    <row r="640" spans="1:52" x14ac:dyDescent="0.3">
      <c r="A640" t="s">
        <v>52</v>
      </c>
      <c r="B640" t="s">
        <v>53</v>
      </c>
      <c r="C640" t="s">
        <v>54</v>
      </c>
      <c r="D640" t="s">
        <v>55</v>
      </c>
      <c r="E640" t="s">
        <v>1617</v>
      </c>
      <c r="F640" t="s">
        <v>1247</v>
      </c>
      <c r="G640" t="s">
        <v>528</v>
      </c>
      <c r="H640" t="s">
        <v>529</v>
      </c>
      <c r="I640" t="s">
        <v>529</v>
      </c>
      <c r="J640" t="s">
        <v>60</v>
      </c>
      <c r="K640" t="s">
        <v>530</v>
      </c>
      <c r="L640" t="s">
        <v>62</v>
      </c>
      <c r="M640" t="s">
        <v>530</v>
      </c>
      <c r="N640" t="s">
        <v>531</v>
      </c>
      <c r="O640" t="s">
        <v>532</v>
      </c>
      <c r="P640">
        <v>-20.142457</v>
      </c>
      <c r="Q640">
        <v>-44.891688000000002</v>
      </c>
      <c r="R640" s="2" t="str">
        <f>HYPERLINK("https://www.google.com/maps?q=-20.1424570,-44.8916880","Abrir no Google Maps")</f>
        <v>Abrir no Google Maps</v>
      </c>
      <c r="S640">
        <v>3</v>
      </c>
      <c r="T640">
        <v>0</v>
      </c>
      <c r="U640">
        <v>1</v>
      </c>
      <c r="V640">
        <v>0.19176195328125589</v>
      </c>
      <c r="W640">
        <v>1</v>
      </c>
      <c r="X640">
        <v>0.19176195328125589</v>
      </c>
      <c r="Y640">
        <v>557</v>
      </c>
      <c r="Z640">
        <v>42.611952255679803</v>
      </c>
      <c r="AA640">
        <v>198</v>
      </c>
      <c r="AB640">
        <v>332</v>
      </c>
      <c r="AC640">
        <v>536</v>
      </c>
      <c r="AD640">
        <v>33.19</v>
      </c>
      <c r="AE640">
        <v>542</v>
      </c>
      <c r="AF640">
        <v>42</v>
      </c>
      <c r="AG640">
        <v>173</v>
      </c>
      <c r="AH640">
        <v>129</v>
      </c>
      <c r="AI640">
        <v>7.75</v>
      </c>
      <c r="AJ640">
        <v>31.92</v>
      </c>
      <c r="AK640">
        <v>23.8</v>
      </c>
      <c r="AL640">
        <v>-20.142523099999948</v>
      </c>
      <c r="AM640">
        <v>-44.891523817588819</v>
      </c>
      <c r="AN640">
        <v>-20.142523099999948</v>
      </c>
      <c r="AO640">
        <v>-44.891523817588819</v>
      </c>
      <c r="AP640">
        <v>-20.142457</v>
      </c>
      <c r="AQ640">
        <v>-44.891688000000002</v>
      </c>
      <c r="AR640">
        <v>18.670129248632971</v>
      </c>
      <c r="AS640" t="s">
        <v>65</v>
      </c>
      <c r="AT640">
        <v>1</v>
      </c>
      <c r="AU640" t="s">
        <v>533</v>
      </c>
      <c r="AV640" t="s">
        <v>534</v>
      </c>
      <c r="AW640" t="s">
        <v>60</v>
      </c>
      <c r="AX640" t="s">
        <v>68</v>
      </c>
      <c r="AY640" t="s">
        <v>69</v>
      </c>
      <c r="AZ640" t="b">
        <v>1</v>
      </c>
    </row>
    <row r="641" spans="1:52" x14ac:dyDescent="0.3">
      <c r="A641" t="s">
        <v>52</v>
      </c>
      <c r="B641" t="s">
        <v>53</v>
      </c>
      <c r="C641" t="s">
        <v>54</v>
      </c>
      <c r="D641" t="s">
        <v>55</v>
      </c>
      <c r="E641" t="s">
        <v>1617</v>
      </c>
      <c r="F641" t="s">
        <v>1247</v>
      </c>
      <c r="G641" t="s">
        <v>535</v>
      </c>
      <c r="H641" t="s">
        <v>536</v>
      </c>
      <c r="I641" t="s">
        <v>536</v>
      </c>
      <c r="J641" t="s">
        <v>60</v>
      </c>
      <c r="K641" t="s">
        <v>388</v>
      </c>
      <c r="L641" t="s">
        <v>62</v>
      </c>
      <c r="M641" t="s">
        <v>388</v>
      </c>
      <c r="N641" t="s">
        <v>537</v>
      </c>
      <c r="O641" t="s">
        <v>538</v>
      </c>
      <c r="P641">
        <v>-20.150061999999998</v>
      </c>
      <c r="Q641">
        <v>-44.903379000000001</v>
      </c>
      <c r="R641" s="2" t="str">
        <f>HYPERLINK("https://www.google.com/maps?q=-20.1500620,-44.9033790","Abrir no Google Maps")</f>
        <v>Abrir no Google Maps</v>
      </c>
      <c r="S641">
        <v>3</v>
      </c>
      <c r="T641">
        <v>286.20313674219977</v>
      </c>
      <c r="U641">
        <v>1</v>
      </c>
      <c r="V641">
        <v>0.3269612329318739</v>
      </c>
      <c r="W641">
        <v>1</v>
      </c>
      <c r="X641">
        <v>0.3269612329318739</v>
      </c>
      <c r="Y641">
        <v>556</v>
      </c>
      <c r="Z641">
        <v>315.81851898667401</v>
      </c>
      <c r="AA641">
        <v>198</v>
      </c>
      <c r="AB641">
        <v>332</v>
      </c>
      <c r="AC641">
        <v>536</v>
      </c>
      <c r="AD641">
        <v>33.19</v>
      </c>
      <c r="AE641">
        <v>542</v>
      </c>
      <c r="AF641">
        <v>42</v>
      </c>
      <c r="AG641">
        <v>173</v>
      </c>
      <c r="AH641">
        <v>129</v>
      </c>
      <c r="AI641">
        <v>7.75</v>
      </c>
      <c r="AJ641">
        <v>31.92</v>
      </c>
      <c r="AK641">
        <v>23.8</v>
      </c>
      <c r="AL641">
        <v>-20.150084299999971</v>
      </c>
      <c r="AM641">
        <v>-44.903278407568479</v>
      </c>
      <c r="AN641">
        <v>-20.150084299999971</v>
      </c>
      <c r="AO641">
        <v>-44.903278407568479</v>
      </c>
      <c r="AP641">
        <v>-20.150061999999998</v>
      </c>
      <c r="AQ641">
        <v>-44.903379000000001</v>
      </c>
      <c r="AR641">
        <v>10.801687336134639</v>
      </c>
      <c r="AS641" t="s">
        <v>65</v>
      </c>
      <c r="AT641">
        <v>1</v>
      </c>
      <c r="AU641" t="s">
        <v>539</v>
      </c>
      <c r="AV641" t="s">
        <v>540</v>
      </c>
      <c r="AW641" t="s">
        <v>60</v>
      </c>
      <c r="AX641" t="s">
        <v>68</v>
      </c>
      <c r="AY641" t="s">
        <v>69</v>
      </c>
      <c r="AZ641" t="b">
        <v>1</v>
      </c>
    </row>
    <row r="642" spans="1:52" x14ac:dyDescent="0.3">
      <c r="A642" t="s">
        <v>52</v>
      </c>
      <c r="B642" t="s">
        <v>53</v>
      </c>
      <c r="C642" t="s">
        <v>54</v>
      </c>
      <c r="D642" t="s">
        <v>55</v>
      </c>
      <c r="E642" t="s">
        <v>1617</v>
      </c>
      <c r="F642" t="s">
        <v>1247</v>
      </c>
      <c r="G642" t="s">
        <v>556</v>
      </c>
      <c r="H642" t="s">
        <v>557</v>
      </c>
      <c r="I642" t="s">
        <v>557</v>
      </c>
      <c r="J642" t="s">
        <v>60</v>
      </c>
      <c r="K642" t="s">
        <v>388</v>
      </c>
      <c r="L642" t="s">
        <v>62</v>
      </c>
      <c r="M642" t="s">
        <v>388</v>
      </c>
      <c r="N642" t="s">
        <v>558</v>
      </c>
      <c r="O642" t="s">
        <v>559</v>
      </c>
      <c r="P642">
        <v>-20.152670000000001</v>
      </c>
      <c r="Q642">
        <v>-44.902557999999999</v>
      </c>
      <c r="R642" s="2" t="str">
        <f>HYPERLINK("https://www.google.com/maps?q=-20.1526700,-44.9025580","Abrir no Google Maps")</f>
        <v>Abrir no Google Maps</v>
      </c>
      <c r="S642">
        <v>3</v>
      </c>
      <c r="T642">
        <v>228.56195217678911</v>
      </c>
      <c r="U642">
        <v>1</v>
      </c>
      <c r="V642">
        <v>0.31496031746031738</v>
      </c>
      <c r="W642">
        <v>1</v>
      </c>
      <c r="X642">
        <v>0.31496031746031738</v>
      </c>
      <c r="Y642">
        <v>548</v>
      </c>
      <c r="Z642">
        <v>250.63133895224919</v>
      </c>
      <c r="AA642">
        <v>198</v>
      </c>
      <c r="AB642">
        <v>332</v>
      </c>
      <c r="AC642">
        <v>536</v>
      </c>
      <c r="AD642">
        <v>33.19</v>
      </c>
      <c r="AE642">
        <v>542</v>
      </c>
      <c r="AF642">
        <v>42</v>
      </c>
      <c r="AG642">
        <v>173</v>
      </c>
      <c r="AH642">
        <v>129</v>
      </c>
      <c r="AI642">
        <v>7.75</v>
      </c>
      <c r="AJ642">
        <v>31.92</v>
      </c>
      <c r="AK642">
        <v>23.8</v>
      </c>
      <c r="AL642">
        <v>-20.152629799999939</v>
      </c>
      <c r="AM642">
        <v>-44.902604744705201</v>
      </c>
      <c r="AN642">
        <v>-20.152629799999939</v>
      </c>
      <c r="AO642">
        <v>-44.902604744705201</v>
      </c>
      <c r="AP642">
        <v>-20.152670000000001</v>
      </c>
      <c r="AQ642">
        <v>-44.902557999999999</v>
      </c>
      <c r="AR642">
        <v>6.6249428037111509</v>
      </c>
      <c r="AS642" t="s">
        <v>65</v>
      </c>
      <c r="AT642">
        <v>1</v>
      </c>
      <c r="AU642" t="s">
        <v>560</v>
      </c>
      <c r="AV642" t="s">
        <v>561</v>
      </c>
      <c r="AW642" t="s">
        <v>60</v>
      </c>
      <c r="AX642" t="s">
        <v>68</v>
      </c>
      <c r="AY642" t="s">
        <v>69</v>
      </c>
      <c r="AZ642" t="b">
        <v>1</v>
      </c>
    </row>
    <row r="643" spans="1:52" x14ac:dyDescent="0.3">
      <c r="A643" t="s">
        <v>52</v>
      </c>
      <c r="B643" t="s">
        <v>53</v>
      </c>
      <c r="C643" t="s">
        <v>54</v>
      </c>
      <c r="D643" t="s">
        <v>55</v>
      </c>
      <c r="E643" t="s">
        <v>1617</v>
      </c>
      <c r="F643" t="s">
        <v>1247</v>
      </c>
      <c r="G643" t="s">
        <v>568</v>
      </c>
      <c r="H643" t="s">
        <v>569</v>
      </c>
      <c r="I643" t="s">
        <v>569</v>
      </c>
      <c r="J643" t="s">
        <v>60</v>
      </c>
      <c r="K643" t="s">
        <v>61</v>
      </c>
      <c r="L643" t="s">
        <v>62</v>
      </c>
      <c r="M643" t="s">
        <v>61</v>
      </c>
      <c r="N643" t="s">
        <v>570</v>
      </c>
      <c r="O643" t="s">
        <v>548</v>
      </c>
      <c r="P643">
        <v>-20.151508</v>
      </c>
      <c r="Q643">
        <v>-44.907826</v>
      </c>
      <c r="R643" s="2" t="str">
        <f>HYPERLINK("https://www.google.com/maps?q=-20.1515080,-44.9078260","Abrir no Google Maps")</f>
        <v>Abrir no Google Maps</v>
      </c>
      <c r="S643">
        <v>3</v>
      </c>
      <c r="T643">
        <v>567.15905416240514</v>
      </c>
      <c r="U643">
        <v>1</v>
      </c>
      <c r="V643">
        <v>0.26706039991754271</v>
      </c>
      <c r="W643">
        <v>0.85</v>
      </c>
      <c r="X643">
        <v>0.22700133992991131</v>
      </c>
      <c r="Y643">
        <v>548</v>
      </c>
      <c r="Z643">
        <v>560.49158010771464</v>
      </c>
      <c r="AA643">
        <v>198</v>
      </c>
      <c r="AB643">
        <v>332</v>
      </c>
      <c r="AC643">
        <v>536</v>
      </c>
      <c r="AD643">
        <v>33.19</v>
      </c>
      <c r="AE643">
        <v>542</v>
      </c>
      <c r="AF643">
        <v>42</v>
      </c>
      <c r="AG643">
        <v>173</v>
      </c>
      <c r="AH643">
        <v>129</v>
      </c>
      <c r="AI643">
        <v>7.75</v>
      </c>
      <c r="AJ643">
        <v>31.92</v>
      </c>
      <c r="AK643">
        <v>23.8</v>
      </c>
      <c r="AL643">
        <v>-20.15211779999996</v>
      </c>
      <c r="AM643">
        <v>-44.907597469593128</v>
      </c>
      <c r="AN643">
        <v>-20.15211779999996</v>
      </c>
      <c r="AO643">
        <v>-44.907597469593128</v>
      </c>
      <c r="AP643">
        <v>-20.151508</v>
      </c>
      <c r="AQ643">
        <v>-44.907826</v>
      </c>
      <c r="AR643">
        <v>71.961597929314735</v>
      </c>
      <c r="AS643" t="s">
        <v>65</v>
      </c>
      <c r="AT643">
        <v>1</v>
      </c>
      <c r="AU643" t="s">
        <v>571</v>
      </c>
      <c r="AV643" t="s">
        <v>572</v>
      </c>
      <c r="AW643" t="s">
        <v>60</v>
      </c>
      <c r="AX643" t="s">
        <v>68</v>
      </c>
      <c r="AY643" t="s">
        <v>69</v>
      </c>
      <c r="AZ643" t="b">
        <v>1</v>
      </c>
    </row>
    <row r="644" spans="1:52" x14ac:dyDescent="0.3">
      <c r="A644" t="s">
        <v>52</v>
      </c>
      <c r="B644" t="s">
        <v>53</v>
      </c>
      <c r="C644" t="s">
        <v>54</v>
      </c>
      <c r="D644" t="s">
        <v>55</v>
      </c>
      <c r="E644" t="s">
        <v>1617</v>
      </c>
      <c r="F644" t="s">
        <v>1247</v>
      </c>
      <c r="G644" t="s">
        <v>1464</v>
      </c>
      <c r="H644" t="s">
        <v>1485</v>
      </c>
      <c r="I644" t="s">
        <v>1485</v>
      </c>
      <c r="J644" t="s">
        <v>60</v>
      </c>
      <c r="K644" t="s">
        <v>1486</v>
      </c>
      <c r="L644" t="s">
        <v>62</v>
      </c>
      <c r="M644" t="s">
        <v>1486</v>
      </c>
      <c r="N644" t="s">
        <v>1467</v>
      </c>
      <c r="O644" t="s">
        <v>1487</v>
      </c>
      <c r="P644">
        <v>-20.162842000000001</v>
      </c>
      <c r="Q644">
        <v>-44.883769999999998</v>
      </c>
      <c r="R644" s="2" t="str">
        <f>HYPERLINK("https://www.google.com/maps?q=-20.1628420,-44.8837700","Abrir no Google Maps")</f>
        <v>Abrir no Google Maps</v>
      </c>
      <c r="S644">
        <v>2</v>
      </c>
      <c r="T644">
        <v>659.67909450906006</v>
      </c>
      <c r="U644">
        <v>4</v>
      </c>
      <c r="V644">
        <v>0.44236400144634291</v>
      </c>
      <c r="W644">
        <v>1</v>
      </c>
      <c r="X644">
        <v>0.44236400144634291</v>
      </c>
      <c r="Y644">
        <v>671</v>
      </c>
      <c r="Z644">
        <v>566.23107864368092</v>
      </c>
      <c r="AA644">
        <v>198</v>
      </c>
      <c r="AB644">
        <v>332</v>
      </c>
      <c r="AC644">
        <v>536</v>
      </c>
      <c r="AD644">
        <v>33.19</v>
      </c>
      <c r="AE644">
        <v>542</v>
      </c>
      <c r="AF644">
        <v>42</v>
      </c>
      <c r="AG644">
        <v>173</v>
      </c>
      <c r="AH644">
        <v>129</v>
      </c>
      <c r="AI644">
        <v>7.75</v>
      </c>
      <c r="AJ644">
        <v>31.92</v>
      </c>
      <c r="AK644">
        <v>23.8</v>
      </c>
      <c r="AL644">
        <v>-20.162791299999949</v>
      </c>
      <c r="AM644">
        <v>-44.883966852092939</v>
      </c>
      <c r="AN644">
        <v>-20.162791299999949</v>
      </c>
      <c r="AO644">
        <v>-44.883966852092939</v>
      </c>
      <c r="AP644">
        <v>-20.162842000000001</v>
      </c>
      <c r="AQ644">
        <v>-44.883769999999998</v>
      </c>
      <c r="AR644">
        <v>21.33085532825611</v>
      </c>
      <c r="AS644" t="s">
        <v>65</v>
      </c>
      <c r="AT644">
        <v>1</v>
      </c>
      <c r="AU644" t="s">
        <v>1488</v>
      </c>
      <c r="AV644" t="s">
        <v>1489</v>
      </c>
      <c r="AW644" t="s">
        <v>60</v>
      </c>
      <c r="AX644" t="s">
        <v>68</v>
      </c>
      <c r="AY644" t="s">
        <v>69</v>
      </c>
      <c r="AZ644" t="b">
        <v>1</v>
      </c>
    </row>
    <row r="645" spans="1:52" x14ac:dyDescent="0.3">
      <c r="A645" t="s">
        <v>52</v>
      </c>
      <c r="B645" t="s">
        <v>53</v>
      </c>
      <c r="C645" t="s">
        <v>54</v>
      </c>
      <c r="D645" t="s">
        <v>55</v>
      </c>
      <c r="E645" t="s">
        <v>1617</v>
      </c>
      <c r="F645" t="s">
        <v>1247</v>
      </c>
      <c r="G645" t="s">
        <v>1490</v>
      </c>
      <c r="H645" t="s">
        <v>1491</v>
      </c>
      <c r="I645" t="s">
        <v>1491</v>
      </c>
      <c r="J645" t="s">
        <v>60</v>
      </c>
      <c r="K645" t="s">
        <v>336</v>
      </c>
      <c r="L645" t="s">
        <v>62</v>
      </c>
      <c r="M645" t="s">
        <v>336</v>
      </c>
      <c r="N645" t="s">
        <v>1492</v>
      </c>
      <c r="O645" t="s">
        <v>842</v>
      </c>
      <c r="P645">
        <v>-20.164228999999999</v>
      </c>
      <c r="Q645">
        <v>-44.876455999999997</v>
      </c>
      <c r="R645" s="2" t="str">
        <f>HYPERLINK("https://www.google.com/maps?q=-20.1642290,-44.8764560","Abrir no Google Maps")</f>
        <v>Abrir no Google Maps</v>
      </c>
      <c r="S645">
        <v>2</v>
      </c>
      <c r="T645">
        <v>420.00990411628987</v>
      </c>
      <c r="U645">
        <v>4</v>
      </c>
      <c r="V645">
        <v>0.45555635319454407</v>
      </c>
      <c r="W645">
        <v>1</v>
      </c>
      <c r="X645">
        <v>0.45555635319454407</v>
      </c>
      <c r="Y645">
        <v>671</v>
      </c>
      <c r="Z645">
        <v>375.90194920648611</v>
      </c>
      <c r="AA645">
        <v>198</v>
      </c>
      <c r="AB645">
        <v>332</v>
      </c>
      <c r="AC645">
        <v>536</v>
      </c>
      <c r="AD645">
        <v>33.19</v>
      </c>
      <c r="AE645">
        <v>542</v>
      </c>
      <c r="AF645">
        <v>42</v>
      </c>
      <c r="AG645">
        <v>173</v>
      </c>
      <c r="AH645">
        <v>129</v>
      </c>
      <c r="AI645">
        <v>7.75</v>
      </c>
      <c r="AJ645">
        <v>31.92</v>
      </c>
      <c r="AK645">
        <v>23.8</v>
      </c>
      <c r="AL645">
        <v>-20.164255749999938</v>
      </c>
      <c r="AM645">
        <v>-44.876471676086922</v>
      </c>
      <c r="AN645">
        <v>-20.164255749999938</v>
      </c>
      <c r="AO645">
        <v>-44.876471676086922</v>
      </c>
      <c r="AP645">
        <v>-20.164228999999999</v>
      </c>
      <c r="AQ645">
        <v>-44.876455999999997</v>
      </c>
      <c r="AR645">
        <v>3.3986375813953771</v>
      </c>
      <c r="AS645" t="s">
        <v>65</v>
      </c>
      <c r="AT645">
        <v>1</v>
      </c>
      <c r="AU645" t="s">
        <v>1493</v>
      </c>
      <c r="AV645" t="s">
        <v>1494</v>
      </c>
      <c r="AW645" t="s">
        <v>60</v>
      </c>
      <c r="AX645" t="s">
        <v>68</v>
      </c>
      <c r="AY645" t="s">
        <v>69</v>
      </c>
      <c r="AZ645" t="b">
        <v>1</v>
      </c>
    </row>
    <row r="646" spans="1:52" x14ac:dyDescent="0.3">
      <c r="A646" t="s">
        <v>52</v>
      </c>
      <c r="B646" t="s">
        <v>53</v>
      </c>
      <c r="C646" t="s">
        <v>54</v>
      </c>
      <c r="D646" t="s">
        <v>55</v>
      </c>
      <c r="E646" t="s">
        <v>1617</v>
      </c>
      <c r="F646" t="s">
        <v>1247</v>
      </c>
      <c r="G646" t="s">
        <v>1495</v>
      </c>
      <c r="H646" t="s">
        <v>1496</v>
      </c>
      <c r="I646" t="s">
        <v>1496</v>
      </c>
      <c r="J646" t="s">
        <v>60</v>
      </c>
      <c r="K646" t="s">
        <v>1466</v>
      </c>
      <c r="L646" t="s">
        <v>62</v>
      </c>
      <c r="M646" t="s">
        <v>1466</v>
      </c>
      <c r="N646" t="s">
        <v>1497</v>
      </c>
      <c r="O646" t="s">
        <v>1498</v>
      </c>
      <c r="P646">
        <v>-20.163160999999999</v>
      </c>
      <c r="Q646">
        <v>-44.880460999999997</v>
      </c>
      <c r="R646" s="2" t="str">
        <f>HYPERLINK("https://www.google.com/maps?q=-20.1631610,-44.8804610","Abrir no Google Maps")</f>
        <v>Abrir no Google Maps</v>
      </c>
      <c r="S646">
        <v>2</v>
      </c>
      <c r="T646">
        <v>372.63783804650222</v>
      </c>
      <c r="U646">
        <v>4</v>
      </c>
      <c r="V646">
        <v>0.45723963599595552</v>
      </c>
      <c r="W646">
        <v>1</v>
      </c>
      <c r="X646">
        <v>0.45723963599595552</v>
      </c>
      <c r="Y646">
        <v>671</v>
      </c>
      <c r="Z646">
        <v>250.43144487082299</v>
      </c>
      <c r="AA646">
        <v>198</v>
      </c>
      <c r="AB646">
        <v>332</v>
      </c>
      <c r="AC646">
        <v>536</v>
      </c>
      <c r="AD646">
        <v>33.19</v>
      </c>
      <c r="AE646">
        <v>542</v>
      </c>
      <c r="AF646">
        <v>42</v>
      </c>
      <c r="AG646">
        <v>173</v>
      </c>
      <c r="AH646">
        <v>129</v>
      </c>
      <c r="AI646">
        <v>7.75</v>
      </c>
      <c r="AJ646">
        <v>31.92</v>
      </c>
      <c r="AK646">
        <v>23.8</v>
      </c>
      <c r="AL646">
        <v>-20.163296749999969</v>
      </c>
      <c r="AM646">
        <v>-44.88037544059182</v>
      </c>
      <c r="AN646">
        <v>-20.163296749999969</v>
      </c>
      <c r="AO646">
        <v>-44.88037544059182</v>
      </c>
      <c r="AP646">
        <v>-20.163160999999999</v>
      </c>
      <c r="AQ646">
        <v>-44.880460999999997</v>
      </c>
      <c r="AR646">
        <v>17.558482416121191</v>
      </c>
      <c r="AS646" t="s">
        <v>65</v>
      </c>
      <c r="AT646">
        <v>1</v>
      </c>
      <c r="AU646" t="s">
        <v>1499</v>
      </c>
      <c r="AV646" t="s">
        <v>1500</v>
      </c>
      <c r="AW646" t="s">
        <v>60</v>
      </c>
      <c r="AX646" t="s">
        <v>68</v>
      </c>
      <c r="AY646" t="s">
        <v>69</v>
      </c>
      <c r="AZ646" t="b">
        <v>1</v>
      </c>
    </row>
    <row r="647" spans="1:52" x14ac:dyDescent="0.3">
      <c r="A647" t="s">
        <v>52</v>
      </c>
      <c r="B647" t="s">
        <v>53</v>
      </c>
      <c r="C647" t="s">
        <v>54</v>
      </c>
      <c r="D647" t="s">
        <v>55</v>
      </c>
      <c r="E647" t="s">
        <v>1617</v>
      </c>
      <c r="F647" t="s">
        <v>1247</v>
      </c>
      <c r="G647" t="s">
        <v>1512</v>
      </c>
      <c r="H647" t="s">
        <v>1513</v>
      </c>
      <c r="I647" t="s">
        <v>1513</v>
      </c>
      <c r="J647" t="s">
        <v>60</v>
      </c>
      <c r="K647" t="s">
        <v>1302</v>
      </c>
      <c r="L647" t="s">
        <v>62</v>
      </c>
      <c r="M647" t="s">
        <v>1302</v>
      </c>
      <c r="N647" t="s">
        <v>1514</v>
      </c>
      <c r="O647" t="s">
        <v>1515</v>
      </c>
      <c r="P647">
        <v>-20.163709000000001</v>
      </c>
      <c r="Q647">
        <v>-44.916074999999999</v>
      </c>
      <c r="R647" s="2" t="str">
        <f>HYPERLINK("https://www.google.com/maps?q=-20.1637090,-44.9160750","Abrir no Google Maps")</f>
        <v>Abrir no Google Maps</v>
      </c>
      <c r="S647">
        <v>2</v>
      </c>
      <c r="T647">
        <v>305.09593452131332</v>
      </c>
      <c r="U647">
        <v>4</v>
      </c>
      <c r="V647">
        <v>0.4358086181838024</v>
      </c>
      <c r="W647">
        <v>1</v>
      </c>
      <c r="X647">
        <v>0.4358086181838024</v>
      </c>
      <c r="Y647">
        <v>639</v>
      </c>
      <c r="Z647">
        <v>289.37841230131949</v>
      </c>
      <c r="AA647">
        <v>198</v>
      </c>
      <c r="AB647">
        <v>332</v>
      </c>
      <c r="AC647">
        <v>536</v>
      </c>
      <c r="AD647">
        <v>33.19</v>
      </c>
      <c r="AE647">
        <v>542</v>
      </c>
      <c r="AF647">
        <v>42</v>
      </c>
      <c r="AG647">
        <v>173</v>
      </c>
      <c r="AH647">
        <v>129</v>
      </c>
      <c r="AI647">
        <v>7.75</v>
      </c>
      <c r="AJ647">
        <v>31.92</v>
      </c>
      <c r="AK647">
        <v>23.8</v>
      </c>
      <c r="AL647">
        <v>-20.163666449999969</v>
      </c>
      <c r="AM647">
        <v>-44.916102906827042</v>
      </c>
      <c r="AN647">
        <v>-20.163666449999969</v>
      </c>
      <c r="AO647">
        <v>-44.916102906827042</v>
      </c>
      <c r="AP647">
        <v>-20.163709000000001</v>
      </c>
      <c r="AQ647">
        <v>-44.916074999999999</v>
      </c>
      <c r="AR647">
        <v>5.5623892025550603</v>
      </c>
      <c r="AS647" t="s">
        <v>65</v>
      </c>
      <c r="AT647">
        <v>1</v>
      </c>
      <c r="AU647" t="s">
        <v>1516</v>
      </c>
      <c r="AV647" t="s">
        <v>1517</v>
      </c>
      <c r="AW647" t="s">
        <v>60</v>
      </c>
      <c r="AX647" t="s">
        <v>68</v>
      </c>
      <c r="AY647" t="s">
        <v>69</v>
      </c>
      <c r="AZ647" t="b">
        <v>1</v>
      </c>
    </row>
    <row r="648" spans="1:52" x14ac:dyDescent="0.3">
      <c r="A648" t="s">
        <v>52</v>
      </c>
      <c r="B648" t="s">
        <v>53</v>
      </c>
      <c r="C648" t="s">
        <v>54</v>
      </c>
      <c r="D648" t="s">
        <v>55</v>
      </c>
      <c r="E648" t="s">
        <v>1617</v>
      </c>
      <c r="F648" t="s">
        <v>1247</v>
      </c>
      <c r="G648" t="s">
        <v>1547</v>
      </c>
      <c r="H648" t="s">
        <v>1548</v>
      </c>
      <c r="I648" t="s">
        <v>1548</v>
      </c>
      <c r="J648" t="s">
        <v>60</v>
      </c>
      <c r="K648" t="s">
        <v>1549</v>
      </c>
      <c r="L648" t="s">
        <v>62</v>
      </c>
      <c r="M648" t="s">
        <v>1549</v>
      </c>
      <c r="N648" t="s">
        <v>1550</v>
      </c>
      <c r="O648" t="s">
        <v>1551</v>
      </c>
      <c r="P648">
        <v>-20.173258000000001</v>
      </c>
      <c r="Q648">
        <v>-44.930354000000001</v>
      </c>
      <c r="R648" s="2" t="str">
        <f>HYPERLINK("https://www.google.com/maps?q=-20.1732580,-44.9303540","Abrir no Google Maps")</f>
        <v>Abrir no Google Maps</v>
      </c>
      <c r="S648">
        <v>2</v>
      </c>
      <c r="T648">
        <v>2023.802197028052</v>
      </c>
      <c r="U648">
        <v>3</v>
      </c>
      <c r="V648">
        <v>0.4971043771043771</v>
      </c>
      <c r="W648">
        <v>0.85</v>
      </c>
      <c r="X648">
        <v>0.42253872053872049</v>
      </c>
      <c r="Y648">
        <v>723</v>
      </c>
      <c r="Z648">
        <v>1727.7445576555911</v>
      </c>
      <c r="AA648">
        <v>198</v>
      </c>
      <c r="AB648">
        <v>332</v>
      </c>
      <c r="AC648">
        <v>536</v>
      </c>
      <c r="AD648">
        <v>33.19</v>
      </c>
      <c r="AE648">
        <v>542</v>
      </c>
      <c r="AF648">
        <v>42</v>
      </c>
      <c r="AG648">
        <v>173</v>
      </c>
      <c r="AH648">
        <v>129</v>
      </c>
      <c r="AI648">
        <v>7.75</v>
      </c>
      <c r="AJ648">
        <v>31.92</v>
      </c>
      <c r="AK648">
        <v>23.8</v>
      </c>
      <c r="AL648">
        <v>-20.172996449999939</v>
      </c>
      <c r="AM648">
        <v>-44.930058436825973</v>
      </c>
      <c r="AN648">
        <v>-20.172996449999939</v>
      </c>
      <c r="AO648">
        <v>-44.930058436825973</v>
      </c>
      <c r="AP648">
        <v>-20.173258000000001</v>
      </c>
      <c r="AQ648">
        <v>-44.930354000000001</v>
      </c>
      <c r="AR648">
        <v>42.444455141884362</v>
      </c>
      <c r="AS648" t="s">
        <v>65</v>
      </c>
      <c r="AT648">
        <v>1</v>
      </c>
      <c r="AU648" t="s">
        <v>1552</v>
      </c>
      <c r="AV648" t="s">
        <v>1553</v>
      </c>
      <c r="AW648" t="s">
        <v>60</v>
      </c>
      <c r="AX648" t="s">
        <v>68</v>
      </c>
      <c r="AY648" t="s">
        <v>69</v>
      </c>
      <c r="AZ648" t="b">
        <v>1</v>
      </c>
    </row>
    <row r="649" spans="1:52" x14ac:dyDescent="0.3">
      <c r="A649" t="s">
        <v>52</v>
      </c>
      <c r="B649" t="s">
        <v>53</v>
      </c>
      <c r="C649" t="s">
        <v>54</v>
      </c>
      <c r="D649" t="s">
        <v>55</v>
      </c>
      <c r="E649" t="s">
        <v>1617</v>
      </c>
      <c r="F649" t="s">
        <v>1247</v>
      </c>
      <c r="G649" t="s">
        <v>1464</v>
      </c>
      <c r="H649" t="s">
        <v>1465</v>
      </c>
      <c r="I649" t="s">
        <v>1465</v>
      </c>
      <c r="J649" t="s">
        <v>60</v>
      </c>
      <c r="K649" t="s">
        <v>1466</v>
      </c>
      <c r="L649" t="s">
        <v>62</v>
      </c>
      <c r="M649" t="s">
        <v>1466</v>
      </c>
      <c r="N649" t="s">
        <v>1467</v>
      </c>
      <c r="O649" t="s">
        <v>145</v>
      </c>
      <c r="P649">
        <v>-20.160509999999999</v>
      </c>
      <c r="Q649">
        <v>-44.884123000000002</v>
      </c>
      <c r="R649" s="2" t="str">
        <f>HYPERLINK("https://www.google.com/maps?q=-20.1605100,-44.8841230","Abrir no Google Maps")</f>
        <v>Abrir no Google Maps</v>
      </c>
      <c r="S649">
        <v>2</v>
      </c>
      <c r="T649">
        <v>650.04961276595373</v>
      </c>
      <c r="U649">
        <v>3</v>
      </c>
      <c r="V649">
        <v>0.3861090493862403</v>
      </c>
      <c r="W649">
        <v>1</v>
      </c>
      <c r="X649">
        <v>0.3861090493862403</v>
      </c>
      <c r="Y649">
        <v>671</v>
      </c>
      <c r="Z649">
        <v>591.49066685698506</v>
      </c>
      <c r="AA649">
        <v>198</v>
      </c>
      <c r="AB649">
        <v>332</v>
      </c>
      <c r="AC649">
        <v>536</v>
      </c>
      <c r="AD649">
        <v>33.19</v>
      </c>
      <c r="AE649">
        <v>542</v>
      </c>
      <c r="AF649">
        <v>42</v>
      </c>
      <c r="AG649">
        <v>173</v>
      </c>
      <c r="AH649">
        <v>129</v>
      </c>
      <c r="AI649">
        <v>7.75</v>
      </c>
      <c r="AJ649">
        <v>31.92</v>
      </c>
      <c r="AK649">
        <v>23.8</v>
      </c>
      <c r="AL649">
        <v>-20.16056479999995</v>
      </c>
      <c r="AM649">
        <v>-44.88424978393428</v>
      </c>
      <c r="AN649">
        <v>-20.160564799999939</v>
      </c>
      <c r="AO649">
        <v>-44.88424978393428</v>
      </c>
      <c r="AP649">
        <v>-20.160509999999999</v>
      </c>
      <c r="AQ649">
        <v>-44.884123000000002</v>
      </c>
      <c r="AR649">
        <v>14.585823463739541</v>
      </c>
      <c r="AS649" t="s">
        <v>65</v>
      </c>
      <c r="AT649">
        <v>1</v>
      </c>
      <c r="AU649" t="s">
        <v>1468</v>
      </c>
      <c r="AV649" t="s">
        <v>1469</v>
      </c>
      <c r="AW649" t="s">
        <v>60</v>
      </c>
      <c r="AX649" t="s">
        <v>68</v>
      </c>
      <c r="AY649" t="s">
        <v>69</v>
      </c>
      <c r="AZ649" t="b">
        <v>1</v>
      </c>
    </row>
    <row r="650" spans="1:52" x14ac:dyDescent="0.3">
      <c r="A650" t="s">
        <v>52</v>
      </c>
      <c r="B650" t="s">
        <v>53</v>
      </c>
      <c r="C650" t="s">
        <v>54</v>
      </c>
      <c r="D650" t="s">
        <v>55</v>
      </c>
      <c r="E650" t="s">
        <v>1617</v>
      </c>
      <c r="F650" t="s">
        <v>1247</v>
      </c>
      <c r="G650" t="s">
        <v>1501</v>
      </c>
      <c r="H650" t="s">
        <v>1502</v>
      </c>
      <c r="I650" t="s">
        <v>1502</v>
      </c>
      <c r="J650" t="s">
        <v>60</v>
      </c>
      <c r="K650" t="s">
        <v>1466</v>
      </c>
      <c r="L650" t="s">
        <v>62</v>
      </c>
      <c r="M650" t="s">
        <v>1466</v>
      </c>
      <c r="N650" t="s">
        <v>1503</v>
      </c>
      <c r="O650" t="s">
        <v>1504</v>
      </c>
      <c r="P650">
        <v>-20.159618999999999</v>
      </c>
      <c r="Q650">
        <v>-44.880065000000002</v>
      </c>
      <c r="R650" s="2" t="str">
        <f>HYPERLINK("https://www.google.com/maps?q=-20.1596190,-44.8800650","Abrir no Google Maps")</f>
        <v>Abrir no Google Maps</v>
      </c>
      <c r="S650">
        <v>2</v>
      </c>
      <c r="T650">
        <v>243.9950282285559</v>
      </c>
      <c r="U650">
        <v>3</v>
      </c>
      <c r="V650">
        <v>0.43060384971193089</v>
      </c>
      <c r="W650">
        <v>1</v>
      </c>
      <c r="X650">
        <v>0.43060384971193089</v>
      </c>
      <c r="Y650">
        <v>671</v>
      </c>
      <c r="Z650">
        <v>265.31354384517681</v>
      </c>
      <c r="AA650">
        <v>198</v>
      </c>
      <c r="AB650">
        <v>332</v>
      </c>
      <c r="AC650">
        <v>536</v>
      </c>
      <c r="AD650">
        <v>33.19</v>
      </c>
      <c r="AE650">
        <v>542</v>
      </c>
      <c r="AF650">
        <v>42</v>
      </c>
      <c r="AG650">
        <v>173</v>
      </c>
      <c r="AH650">
        <v>129</v>
      </c>
      <c r="AI650">
        <v>7.75</v>
      </c>
      <c r="AJ650">
        <v>31.92</v>
      </c>
      <c r="AK650">
        <v>23.8</v>
      </c>
      <c r="AL650">
        <v>-20.159689949999969</v>
      </c>
      <c r="AM650">
        <v>-44.880075072344489</v>
      </c>
      <c r="AN650">
        <v>-20.159689949999969</v>
      </c>
      <c r="AO650">
        <v>-44.880075072344489</v>
      </c>
      <c r="AP650">
        <v>-20.159618999999999</v>
      </c>
      <c r="AQ650">
        <v>-44.880065000000002</v>
      </c>
      <c r="AR650">
        <v>7.9679809486040876</v>
      </c>
      <c r="AS650" t="s">
        <v>65</v>
      </c>
      <c r="AT650">
        <v>1</v>
      </c>
      <c r="AU650" t="s">
        <v>1505</v>
      </c>
      <c r="AV650" t="s">
        <v>1506</v>
      </c>
      <c r="AW650" t="s">
        <v>60</v>
      </c>
      <c r="AX650" t="s">
        <v>68</v>
      </c>
      <c r="AY650" t="s">
        <v>69</v>
      </c>
      <c r="AZ650" t="b">
        <v>1</v>
      </c>
    </row>
    <row r="651" spans="1:52" x14ac:dyDescent="0.3">
      <c r="A651" t="s">
        <v>52</v>
      </c>
      <c r="B651" t="s">
        <v>53</v>
      </c>
      <c r="C651" t="s">
        <v>54</v>
      </c>
      <c r="D651" t="s">
        <v>55</v>
      </c>
      <c r="E651" t="s">
        <v>1617</v>
      </c>
      <c r="F651" t="s">
        <v>1247</v>
      </c>
      <c r="G651" t="s">
        <v>1507</v>
      </c>
      <c r="H651" t="s">
        <v>1508</v>
      </c>
      <c r="I651" t="s">
        <v>1508</v>
      </c>
      <c r="J651" t="s">
        <v>60</v>
      </c>
      <c r="K651" t="s">
        <v>1466</v>
      </c>
      <c r="L651" t="s">
        <v>62</v>
      </c>
      <c r="M651" t="s">
        <v>1466</v>
      </c>
      <c r="N651" t="s">
        <v>1509</v>
      </c>
      <c r="O651" t="s">
        <v>270</v>
      </c>
      <c r="P651">
        <v>-20.164501999999999</v>
      </c>
      <c r="Q651">
        <v>-44.883226999999998</v>
      </c>
      <c r="R651" s="2" t="str">
        <f>HYPERLINK("https://www.google.com/maps?q=-20.1645020,-44.8832270","Abrir no Google Maps")</f>
        <v>Abrir no Google Maps</v>
      </c>
      <c r="S651">
        <v>2</v>
      </c>
      <c r="T651">
        <v>691.62667420887726</v>
      </c>
      <c r="U651">
        <v>3</v>
      </c>
      <c r="V651">
        <v>0.42704990647444679</v>
      </c>
      <c r="W651">
        <v>1</v>
      </c>
      <c r="X651">
        <v>0.42704990647444679</v>
      </c>
      <c r="Y651">
        <v>671</v>
      </c>
      <c r="Z651">
        <v>591.13935302436732</v>
      </c>
      <c r="AA651">
        <v>198</v>
      </c>
      <c r="AB651">
        <v>332</v>
      </c>
      <c r="AC651">
        <v>536</v>
      </c>
      <c r="AD651">
        <v>33.19</v>
      </c>
      <c r="AE651">
        <v>542</v>
      </c>
      <c r="AF651">
        <v>42</v>
      </c>
      <c r="AG651">
        <v>173</v>
      </c>
      <c r="AH651">
        <v>129</v>
      </c>
      <c r="AI651">
        <v>7.75</v>
      </c>
      <c r="AJ651">
        <v>31.92</v>
      </c>
      <c r="AK651">
        <v>23.8</v>
      </c>
      <c r="AL651">
        <v>-20.164470149999939</v>
      </c>
      <c r="AM651">
        <v>-44.883357321672527</v>
      </c>
      <c r="AN651">
        <v>-20.164470149999939</v>
      </c>
      <c r="AO651">
        <v>-44.883357321672527</v>
      </c>
      <c r="AP651">
        <v>-20.164501999999999</v>
      </c>
      <c r="AQ651">
        <v>-44.883226999999998</v>
      </c>
      <c r="AR651">
        <v>14.072184947340521</v>
      </c>
      <c r="AS651" t="s">
        <v>65</v>
      </c>
      <c r="AT651">
        <v>1</v>
      </c>
      <c r="AU651" t="s">
        <v>1510</v>
      </c>
      <c r="AV651" t="s">
        <v>1511</v>
      </c>
      <c r="AW651" t="s">
        <v>60</v>
      </c>
      <c r="AX651" t="s">
        <v>68</v>
      </c>
      <c r="AY651" t="s">
        <v>69</v>
      </c>
      <c r="AZ651" t="b">
        <v>1</v>
      </c>
    </row>
    <row r="652" spans="1:52" x14ac:dyDescent="0.3">
      <c r="A652" t="s">
        <v>52</v>
      </c>
      <c r="B652" t="s">
        <v>53</v>
      </c>
      <c r="C652" t="s">
        <v>54</v>
      </c>
      <c r="D652" t="s">
        <v>55</v>
      </c>
      <c r="E652" t="s">
        <v>1617</v>
      </c>
      <c r="F652" t="s">
        <v>1247</v>
      </c>
      <c r="G652" t="s">
        <v>1479</v>
      </c>
      <c r="H652" t="s">
        <v>1480</v>
      </c>
      <c r="I652" t="s">
        <v>1480</v>
      </c>
      <c r="J652" t="s">
        <v>60</v>
      </c>
      <c r="K652" t="s">
        <v>1302</v>
      </c>
      <c r="L652" t="s">
        <v>62</v>
      </c>
      <c r="M652" t="s">
        <v>1302</v>
      </c>
      <c r="N652" t="s">
        <v>1481</v>
      </c>
      <c r="O652" t="s">
        <v>1482</v>
      </c>
      <c r="P652">
        <v>-20.164655</v>
      </c>
      <c r="Q652">
        <v>-44.912697000000001</v>
      </c>
      <c r="R652" s="2" t="str">
        <f>HYPERLINK("https://www.google.com/maps?q=-20.1646550,-44.9126970","Abrir no Google Maps")</f>
        <v>Abrir no Google Maps</v>
      </c>
      <c r="S652">
        <v>2</v>
      </c>
      <c r="T652">
        <v>441.50274004930441</v>
      </c>
      <c r="U652">
        <v>3</v>
      </c>
      <c r="V652">
        <v>0.3901436226963198</v>
      </c>
      <c r="W652">
        <v>1</v>
      </c>
      <c r="X652">
        <v>0.3901436226963198</v>
      </c>
      <c r="Y652">
        <v>639</v>
      </c>
      <c r="Z652">
        <v>311.03317029936522</v>
      </c>
      <c r="AA652">
        <v>198</v>
      </c>
      <c r="AB652">
        <v>332</v>
      </c>
      <c r="AC652">
        <v>536</v>
      </c>
      <c r="AD652">
        <v>33.19</v>
      </c>
      <c r="AE652">
        <v>542</v>
      </c>
      <c r="AF652">
        <v>42</v>
      </c>
      <c r="AG652">
        <v>173</v>
      </c>
      <c r="AH652">
        <v>129</v>
      </c>
      <c r="AI652">
        <v>7.75</v>
      </c>
      <c r="AJ652">
        <v>31.92</v>
      </c>
      <c r="AK652">
        <v>23.8</v>
      </c>
      <c r="AL652">
        <v>-20.164702999999971</v>
      </c>
      <c r="AM652">
        <v>-44.912418857911163</v>
      </c>
      <c r="AN652">
        <v>-20.164702999999971</v>
      </c>
      <c r="AO652">
        <v>-44.912418857911163</v>
      </c>
      <c r="AP652">
        <v>-20.164655</v>
      </c>
      <c r="AQ652">
        <v>-44.912697000000001</v>
      </c>
      <c r="AR652">
        <v>29.552017409892429</v>
      </c>
      <c r="AS652" t="s">
        <v>65</v>
      </c>
      <c r="AT652">
        <v>1</v>
      </c>
      <c r="AU652" t="s">
        <v>1483</v>
      </c>
      <c r="AV652" t="s">
        <v>1484</v>
      </c>
      <c r="AW652" t="s">
        <v>60</v>
      </c>
      <c r="AX652" t="s">
        <v>68</v>
      </c>
      <c r="AY652" t="s">
        <v>69</v>
      </c>
      <c r="AZ652" t="b">
        <v>1</v>
      </c>
    </row>
    <row r="653" spans="1:52" x14ac:dyDescent="0.3">
      <c r="A653" t="s">
        <v>52</v>
      </c>
      <c r="B653" t="s">
        <v>53</v>
      </c>
      <c r="C653" t="s">
        <v>54</v>
      </c>
      <c r="D653" t="s">
        <v>55</v>
      </c>
      <c r="E653" t="s">
        <v>1617</v>
      </c>
      <c r="F653" t="s">
        <v>1247</v>
      </c>
      <c r="G653" t="s">
        <v>1524</v>
      </c>
      <c r="H653" t="s">
        <v>1525</v>
      </c>
      <c r="I653" t="s">
        <v>1525</v>
      </c>
      <c r="J653" t="s">
        <v>60</v>
      </c>
      <c r="K653" t="s">
        <v>1302</v>
      </c>
      <c r="L653" t="s">
        <v>62</v>
      </c>
      <c r="M653" t="s">
        <v>1302</v>
      </c>
      <c r="N653" t="s">
        <v>1526</v>
      </c>
      <c r="O653" t="s">
        <v>303</v>
      </c>
      <c r="P653">
        <v>-20.159873000000001</v>
      </c>
      <c r="Q653">
        <v>-44.911431999999998</v>
      </c>
      <c r="R653" s="2" t="str">
        <f>HYPERLINK("https://www.google.com/maps?q=-20.1598730,-44.9114320","Abrir no Google Maps")</f>
        <v>Abrir no Google Maps</v>
      </c>
      <c r="S653">
        <v>2</v>
      </c>
      <c r="T653">
        <v>359.34785817593553</v>
      </c>
      <c r="U653">
        <v>3</v>
      </c>
      <c r="V653">
        <v>0.38810488939165411</v>
      </c>
      <c r="W653">
        <v>1</v>
      </c>
      <c r="X653">
        <v>0.38810488939165411</v>
      </c>
      <c r="Y653">
        <v>639</v>
      </c>
      <c r="Z653">
        <v>388.13505700247691</v>
      </c>
      <c r="AA653">
        <v>198</v>
      </c>
      <c r="AB653">
        <v>332</v>
      </c>
      <c r="AC653">
        <v>536</v>
      </c>
      <c r="AD653">
        <v>33.19</v>
      </c>
      <c r="AE653">
        <v>542</v>
      </c>
      <c r="AF653">
        <v>42</v>
      </c>
      <c r="AG653">
        <v>173</v>
      </c>
      <c r="AH653">
        <v>129</v>
      </c>
      <c r="AI653">
        <v>7.75</v>
      </c>
      <c r="AJ653">
        <v>31.92</v>
      </c>
      <c r="AK653">
        <v>23.8</v>
      </c>
      <c r="AL653">
        <v>-20.159583599999969</v>
      </c>
      <c r="AM653">
        <v>-44.911691929105316</v>
      </c>
      <c r="AN653">
        <v>-20.159583599999969</v>
      </c>
      <c r="AO653">
        <v>-44.911691929105316</v>
      </c>
      <c r="AP653">
        <v>-20.159873000000001</v>
      </c>
      <c r="AQ653">
        <v>-44.911431999999998</v>
      </c>
      <c r="AR653">
        <v>42.138811218570019</v>
      </c>
      <c r="AS653" t="s">
        <v>65</v>
      </c>
      <c r="AT653">
        <v>1</v>
      </c>
      <c r="AU653" t="s">
        <v>1527</v>
      </c>
      <c r="AV653" t="s">
        <v>1528</v>
      </c>
      <c r="AW653" t="s">
        <v>60</v>
      </c>
      <c r="AX653" t="s">
        <v>68</v>
      </c>
      <c r="AY653" t="s">
        <v>69</v>
      </c>
      <c r="AZ653" t="b">
        <v>1</v>
      </c>
    </row>
    <row r="654" spans="1:52" x14ac:dyDescent="0.3">
      <c r="A654" t="s">
        <v>52</v>
      </c>
      <c r="B654" t="s">
        <v>53</v>
      </c>
      <c r="C654" t="s">
        <v>54</v>
      </c>
      <c r="D654" t="s">
        <v>55</v>
      </c>
      <c r="E654" t="s">
        <v>1617</v>
      </c>
      <c r="F654" t="s">
        <v>1247</v>
      </c>
      <c r="G654" t="s">
        <v>1554</v>
      </c>
      <c r="H654" t="s">
        <v>1555</v>
      </c>
      <c r="I654" t="s">
        <v>1555</v>
      </c>
      <c r="J654" t="s">
        <v>60</v>
      </c>
      <c r="K654" t="s">
        <v>1466</v>
      </c>
      <c r="L654" t="s">
        <v>62</v>
      </c>
      <c r="M654" t="s">
        <v>1466</v>
      </c>
      <c r="N654" t="s">
        <v>1556</v>
      </c>
      <c r="O654" t="s">
        <v>989</v>
      </c>
      <c r="P654">
        <v>-20.160997999999999</v>
      </c>
      <c r="Q654">
        <v>-44.878385999999999</v>
      </c>
      <c r="R654" s="2" t="str">
        <f>HYPERLINK("https://www.google.com/maps?q=-20.1609980,-44.8783860","Abrir no Google Maps")</f>
        <v>Abrir no Google Maps</v>
      </c>
      <c r="S654">
        <v>2</v>
      </c>
      <c r="T654">
        <v>0</v>
      </c>
      <c r="U654">
        <v>2</v>
      </c>
      <c r="V654">
        <v>0.44208117180347878</v>
      </c>
      <c r="W654">
        <v>0.85</v>
      </c>
      <c r="X654">
        <v>0.37576899603295688</v>
      </c>
      <c r="Y654">
        <v>671</v>
      </c>
      <c r="Z654">
        <v>74.014802531188664</v>
      </c>
      <c r="AA654">
        <v>198</v>
      </c>
      <c r="AB654">
        <v>332</v>
      </c>
      <c r="AC654">
        <v>536</v>
      </c>
      <c r="AD654">
        <v>33.19</v>
      </c>
      <c r="AE654">
        <v>542</v>
      </c>
      <c r="AF654">
        <v>42</v>
      </c>
      <c r="AG654">
        <v>173</v>
      </c>
      <c r="AH654">
        <v>129</v>
      </c>
      <c r="AI654">
        <v>7.75</v>
      </c>
      <c r="AJ654">
        <v>31.92</v>
      </c>
      <c r="AK654">
        <v>23.8</v>
      </c>
      <c r="AL654">
        <v>-20.160758199999979</v>
      </c>
      <c r="AM654">
        <v>-44.878032519747983</v>
      </c>
      <c r="AN654">
        <v>-20.160758199999979</v>
      </c>
      <c r="AO654">
        <v>-44.878032519747983</v>
      </c>
      <c r="AP654">
        <v>-20.160997999999999</v>
      </c>
      <c r="AQ654">
        <v>-44.878385999999999</v>
      </c>
      <c r="AR654">
        <v>45.574638830261883</v>
      </c>
      <c r="AS654" t="s">
        <v>65</v>
      </c>
      <c r="AT654">
        <v>1</v>
      </c>
      <c r="AU654" t="s">
        <v>1557</v>
      </c>
      <c r="AV654" t="s">
        <v>1558</v>
      </c>
      <c r="AW654" t="s">
        <v>60</v>
      </c>
      <c r="AX654" t="s">
        <v>68</v>
      </c>
      <c r="AY654" t="s">
        <v>69</v>
      </c>
      <c r="AZ654" t="b">
        <v>1</v>
      </c>
    </row>
    <row r="655" spans="1:52" x14ac:dyDescent="0.3">
      <c r="A655" t="s">
        <v>52</v>
      </c>
      <c r="B655" t="s">
        <v>53</v>
      </c>
      <c r="C655" t="s">
        <v>54</v>
      </c>
      <c r="D655" t="s">
        <v>55</v>
      </c>
      <c r="E655" t="s">
        <v>1617</v>
      </c>
      <c r="F655" t="s">
        <v>1247</v>
      </c>
      <c r="G655" t="s">
        <v>1529</v>
      </c>
      <c r="H655" t="s">
        <v>1530</v>
      </c>
      <c r="I655" t="s">
        <v>1530</v>
      </c>
      <c r="J655" t="s">
        <v>60</v>
      </c>
      <c r="K655" t="s">
        <v>1466</v>
      </c>
      <c r="L655" t="s">
        <v>62</v>
      </c>
      <c r="M655" t="s">
        <v>1466</v>
      </c>
      <c r="N655" t="s">
        <v>1531</v>
      </c>
      <c r="O655" t="s">
        <v>145</v>
      </c>
      <c r="P655">
        <v>-20.162952000000001</v>
      </c>
      <c r="Q655">
        <v>-44.877612999999997</v>
      </c>
      <c r="R655" s="2" t="str">
        <f>HYPERLINK("https://www.google.com/maps?q=-20.1629520,-44.8776130","Abrir no Google Maps")</f>
        <v>Abrir no Google Maps</v>
      </c>
      <c r="S655">
        <v>2</v>
      </c>
      <c r="T655">
        <v>229.91388913695721</v>
      </c>
      <c r="U655">
        <v>2</v>
      </c>
      <c r="V655">
        <v>0.4040100250626566</v>
      </c>
      <c r="W655">
        <v>0.85</v>
      </c>
      <c r="X655">
        <v>0.34340852130325811</v>
      </c>
      <c r="Y655">
        <v>671</v>
      </c>
      <c r="Z655">
        <v>157.6775523644973</v>
      </c>
      <c r="AA655">
        <v>198</v>
      </c>
      <c r="AB655">
        <v>332</v>
      </c>
      <c r="AC655">
        <v>536</v>
      </c>
      <c r="AD655">
        <v>33.19</v>
      </c>
      <c r="AE655">
        <v>542</v>
      </c>
      <c r="AF655">
        <v>42</v>
      </c>
      <c r="AG655">
        <v>173</v>
      </c>
      <c r="AH655">
        <v>129</v>
      </c>
      <c r="AI655">
        <v>7.75</v>
      </c>
      <c r="AJ655">
        <v>31.92</v>
      </c>
      <c r="AK655">
        <v>23.8</v>
      </c>
      <c r="AL655">
        <v>-20.16278829999996</v>
      </c>
      <c r="AM655">
        <v>-44.877564655204168</v>
      </c>
      <c r="AN655">
        <v>-20.16278829999996</v>
      </c>
      <c r="AO655">
        <v>-44.877564655204168</v>
      </c>
      <c r="AP655">
        <v>-20.162952000000001</v>
      </c>
      <c r="AQ655">
        <v>-44.877612999999997</v>
      </c>
      <c r="AR655">
        <v>18.91038935762678</v>
      </c>
      <c r="AS655" t="s">
        <v>65</v>
      </c>
      <c r="AT655">
        <v>1</v>
      </c>
      <c r="AU655" t="s">
        <v>1532</v>
      </c>
      <c r="AV655" t="s">
        <v>1533</v>
      </c>
      <c r="AW655" t="s">
        <v>60</v>
      </c>
      <c r="AX655" t="s">
        <v>68</v>
      </c>
      <c r="AY655" t="s">
        <v>69</v>
      </c>
      <c r="AZ655" t="b">
        <v>1</v>
      </c>
    </row>
    <row r="656" spans="1:52" x14ac:dyDescent="0.3">
      <c r="A656" t="s">
        <v>52</v>
      </c>
      <c r="B656" t="s">
        <v>53</v>
      </c>
      <c r="C656" t="s">
        <v>54</v>
      </c>
      <c r="D656" t="s">
        <v>55</v>
      </c>
      <c r="E656" t="s">
        <v>1617</v>
      </c>
      <c r="F656" t="s">
        <v>1247</v>
      </c>
      <c r="G656" t="s">
        <v>1333</v>
      </c>
      <c r="H656" t="s">
        <v>1470</v>
      </c>
      <c r="I656" t="s">
        <v>1470</v>
      </c>
      <c r="J656" t="s">
        <v>60</v>
      </c>
      <c r="K656" t="s">
        <v>437</v>
      </c>
      <c r="L656" t="s">
        <v>62</v>
      </c>
      <c r="M656" t="s">
        <v>437</v>
      </c>
      <c r="N656" t="s">
        <v>1335</v>
      </c>
      <c r="O656" t="s">
        <v>900</v>
      </c>
      <c r="P656">
        <v>-20.147047000000001</v>
      </c>
      <c r="Q656">
        <v>-44.883921999999998</v>
      </c>
      <c r="R656" s="2" t="str">
        <f>HYPERLINK("https://www.google.com/maps?q=-20.1470470,-44.8839220","Abrir no Google Maps")</f>
        <v>Abrir no Google Maps</v>
      </c>
      <c r="S656">
        <v>2</v>
      </c>
      <c r="T656">
        <v>296.4098018832658</v>
      </c>
      <c r="U656">
        <v>2</v>
      </c>
      <c r="V656">
        <v>0.34659289458357601</v>
      </c>
      <c r="W656">
        <v>1</v>
      </c>
      <c r="X656">
        <v>0.34659289458357601</v>
      </c>
      <c r="Y656">
        <v>653</v>
      </c>
      <c r="Z656">
        <v>299.72271006042178</v>
      </c>
      <c r="AA656">
        <v>198</v>
      </c>
      <c r="AB656">
        <v>332</v>
      </c>
      <c r="AC656">
        <v>536</v>
      </c>
      <c r="AD656">
        <v>33.19</v>
      </c>
      <c r="AE656">
        <v>542</v>
      </c>
      <c r="AF656">
        <v>42</v>
      </c>
      <c r="AG656">
        <v>173</v>
      </c>
      <c r="AH656">
        <v>129</v>
      </c>
      <c r="AI656">
        <v>7.75</v>
      </c>
      <c r="AJ656">
        <v>31.92</v>
      </c>
      <c r="AK656">
        <v>23.8</v>
      </c>
      <c r="AL656">
        <v>-20.147074949999929</v>
      </c>
      <c r="AM656">
        <v>-44.883796511502347</v>
      </c>
      <c r="AN656">
        <v>-20.147074949999929</v>
      </c>
      <c r="AO656">
        <v>-44.883796511502347</v>
      </c>
      <c r="AP656">
        <v>-20.147047000000001</v>
      </c>
      <c r="AQ656">
        <v>-44.883921999999998</v>
      </c>
      <c r="AR656">
        <v>13.47864632994</v>
      </c>
      <c r="AS656" t="s">
        <v>65</v>
      </c>
      <c r="AT656">
        <v>1</v>
      </c>
      <c r="AU656" t="s">
        <v>1471</v>
      </c>
      <c r="AV656" t="s">
        <v>1472</v>
      </c>
      <c r="AW656" t="s">
        <v>60</v>
      </c>
      <c r="AX656" t="s">
        <v>68</v>
      </c>
      <c r="AY656" t="s">
        <v>69</v>
      </c>
      <c r="AZ656" t="b">
        <v>1</v>
      </c>
    </row>
    <row r="657" spans="1:52" x14ac:dyDescent="0.3">
      <c r="A657" t="s">
        <v>52</v>
      </c>
      <c r="B657" t="s">
        <v>53</v>
      </c>
      <c r="C657" t="s">
        <v>54</v>
      </c>
      <c r="D657" t="s">
        <v>55</v>
      </c>
      <c r="E657" t="s">
        <v>1617</v>
      </c>
      <c r="F657" t="s">
        <v>1247</v>
      </c>
      <c r="G657" t="s">
        <v>1473</v>
      </c>
      <c r="H657" t="s">
        <v>1474</v>
      </c>
      <c r="I657" t="s">
        <v>1474</v>
      </c>
      <c r="J657" t="s">
        <v>60</v>
      </c>
      <c r="K657" t="s">
        <v>1302</v>
      </c>
      <c r="L657" t="s">
        <v>62</v>
      </c>
      <c r="M657" t="s">
        <v>1302</v>
      </c>
      <c r="N657" t="s">
        <v>1475</v>
      </c>
      <c r="O657" t="s">
        <v>1476</v>
      </c>
      <c r="P657">
        <v>-20.161372</v>
      </c>
      <c r="Q657">
        <v>-44.914636999999999</v>
      </c>
      <c r="R657" s="2" t="str">
        <f>HYPERLINK("https://www.google.com/maps?q=-20.1613720,-44.9146370","Abrir no Google Maps")</f>
        <v>Abrir no Google Maps</v>
      </c>
      <c r="S657">
        <v>2</v>
      </c>
      <c r="T657">
        <v>0</v>
      </c>
      <c r="U657">
        <v>2</v>
      </c>
      <c r="V657">
        <v>0.3546925394293815</v>
      </c>
      <c r="W657">
        <v>1</v>
      </c>
      <c r="X657">
        <v>0.3546925394293815</v>
      </c>
      <c r="Y657">
        <v>639</v>
      </c>
      <c r="Z657">
        <v>81.742669907651447</v>
      </c>
      <c r="AA657">
        <v>198</v>
      </c>
      <c r="AB657">
        <v>332</v>
      </c>
      <c r="AC657">
        <v>536</v>
      </c>
      <c r="AD657">
        <v>33.19</v>
      </c>
      <c r="AE657">
        <v>542</v>
      </c>
      <c r="AF657">
        <v>42</v>
      </c>
      <c r="AG657">
        <v>173</v>
      </c>
      <c r="AH657">
        <v>129</v>
      </c>
      <c r="AI657">
        <v>7.75</v>
      </c>
      <c r="AJ657">
        <v>31.92</v>
      </c>
      <c r="AK657">
        <v>23.8</v>
      </c>
      <c r="AL657">
        <v>-20.161294499999961</v>
      </c>
      <c r="AM657">
        <v>-44.914614684493202</v>
      </c>
      <c r="AN657">
        <v>-20.161294499999961</v>
      </c>
      <c r="AO657">
        <v>-44.914614684493202</v>
      </c>
      <c r="AP657">
        <v>-20.161372</v>
      </c>
      <c r="AQ657">
        <v>-44.914636999999999</v>
      </c>
      <c r="AR657">
        <v>8.9369058443944862</v>
      </c>
      <c r="AS657" t="s">
        <v>65</v>
      </c>
      <c r="AT657">
        <v>1</v>
      </c>
      <c r="AU657" t="s">
        <v>1477</v>
      </c>
      <c r="AV657" t="s">
        <v>1478</v>
      </c>
      <c r="AW657" t="s">
        <v>60</v>
      </c>
      <c r="AX657" t="s">
        <v>68</v>
      </c>
      <c r="AY657" t="s">
        <v>69</v>
      </c>
      <c r="AZ657" t="b">
        <v>1</v>
      </c>
    </row>
    <row r="658" spans="1:52" x14ac:dyDescent="0.3">
      <c r="A658" t="s">
        <v>52</v>
      </c>
      <c r="B658" t="s">
        <v>53</v>
      </c>
      <c r="C658" t="s">
        <v>54</v>
      </c>
      <c r="D658" t="s">
        <v>55</v>
      </c>
      <c r="E658" t="s">
        <v>1617</v>
      </c>
      <c r="F658" t="s">
        <v>1247</v>
      </c>
      <c r="G658" t="s">
        <v>1518</v>
      </c>
      <c r="H658" t="s">
        <v>1519</v>
      </c>
      <c r="I658" t="s">
        <v>1519</v>
      </c>
      <c r="J658" t="s">
        <v>60</v>
      </c>
      <c r="K658" t="s">
        <v>1302</v>
      </c>
      <c r="L658" t="s">
        <v>62</v>
      </c>
      <c r="M658" t="s">
        <v>1302</v>
      </c>
      <c r="N658" t="s">
        <v>1520</v>
      </c>
      <c r="O658" t="s">
        <v>1521</v>
      </c>
      <c r="P658">
        <v>-20.16263</v>
      </c>
      <c r="Q658">
        <v>-44.910342999999997</v>
      </c>
      <c r="R658" s="2" t="str">
        <f>HYPERLINK("https://www.google.com/maps?q=-20.1626300,-44.9103430","Abrir no Google Maps")</f>
        <v>Abrir no Google Maps</v>
      </c>
      <c r="S658">
        <v>2</v>
      </c>
      <c r="T658">
        <v>492.63980270666781</v>
      </c>
      <c r="U658">
        <v>2</v>
      </c>
      <c r="V658">
        <v>0.3587451081859051</v>
      </c>
      <c r="W658">
        <v>1</v>
      </c>
      <c r="X658">
        <v>0.3587451081859051</v>
      </c>
      <c r="Y658">
        <v>639</v>
      </c>
      <c r="Z658">
        <v>412.49960371731271</v>
      </c>
      <c r="AA658">
        <v>198</v>
      </c>
      <c r="AB658">
        <v>332</v>
      </c>
      <c r="AC658">
        <v>536</v>
      </c>
      <c r="AD658">
        <v>33.19</v>
      </c>
      <c r="AE658">
        <v>542</v>
      </c>
      <c r="AF658">
        <v>42</v>
      </c>
      <c r="AG658">
        <v>173</v>
      </c>
      <c r="AH658">
        <v>129</v>
      </c>
      <c r="AI658">
        <v>7.75</v>
      </c>
      <c r="AJ658">
        <v>31.92</v>
      </c>
      <c r="AK658">
        <v>23.8</v>
      </c>
      <c r="AL658">
        <v>-20.162579949999952</v>
      </c>
      <c r="AM658">
        <v>-44.910101148008863</v>
      </c>
      <c r="AN658">
        <v>-20.162579949999952</v>
      </c>
      <c r="AO658">
        <v>-44.910101148008863</v>
      </c>
      <c r="AP658">
        <v>-20.16263</v>
      </c>
      <c r="AQ658">
        <v>-44.910342999999997</v>
      </c>
      <c r="AR658">
        <v>25.879932474893501</v>
      </c>
      <c r="AS658" t="s">
        <v>65</v>
      </c>
      <c r="AT658">
        <v>1</v>
      </c>
      <c r="AU658" t="s">
        <v>1522</v>
      </c>
      <c r="AV658" t="s">
        <v>1523</v>
      </c>
      <c r="AW658" t="s">
        <v>60</v>
      </c>
      <c r="AX658" t="s">
        <v>68</v>
      </c>
      <c r="AY658" t="s">
        <v>69</v>
      </c>
      <c r="AZ658" t="b">
        <v>1</v>
      </c>
    </row>
    <row r="659" spans="1:52" x14ac:dyDescent="0.3">
      <c r="A659" t="s">
        <v>52</v>
      </c>
      <c r="B659" t="s">
        <v>53</v>
      </c>
      <c r="C659" t="s">
        <v>54</v>
      </c>
      <c r="D659" t="s">
        <v>55</v>
      </c>
      <c r="E659" t="s">
        <v>1617</v>
      </c>
      <c r="F659" t="s">
        <v>1247</v>
      </c>
      <c r="G659" t="s">
        <v>1534</v>
      </c>
      <c r="H659" t="s">
        <v>1535</v>
      </c>
      <c r="I659" t="s">
        <v>1535</v>
      </c>
      <c r="J659" t="s">
        <v>60</v>
      </c>
      <c r="K659" t="s">
        <v>1536</v>
      </c>
      <c r="L659" t="s">
        <v>62</v>
      </c>
      <c r="M659" t="s">
        <v>1536</v>
      </c>
      <c r="N659" t="s">
        <v>1537</v>
      </c>
      <c r="O659" t="s">
        <v>1538</v>
      </c>
      <c r="P659">
        <v>-20.164618999999998</v>
      </c>
      <c r="Q659">
        <v>-44.921776999999999</v>
      </c>
      <c r="R659" s="2" t="str">
        <f>HYPERLINK("https://www.google.com/maps?q=-20.1646190,-44.9217770","Abrir no Google Maps")</f>
        <v>Abrir no Google Maps</v>
      </c>
      <c r="S659">
        <v>2</v>
      </c>
      <c r="T659">
        <v>835.70698013544222</v>
      </c>
      <c r="U659">
        <v>2</v>
      </c>
      <c r="V659">
        <v>0.41713106295149638</v>
      </c>
      <c r="W659">
        <v>0.85</v>
      </c>
      <c r="X659">
        <v>0.35456140350877191</v>
      </c>
      <c r="Y659">
        <v>639</v>
      </c>
      <c r="Z659">
        <v>821.59880323911125</v>
      </c>
      <c r="AA659">
        <v>198</v>
      </c>
      <c r="AB659">
        <v>332</v>
      </c>
      <c r="AC659">
        <v>536</v>
      </c>
      <c r="AD659">
        <v>33.19</v>
      </c>
      <c r="AE659">
        <v>542</v>
      </c>
      <c r="AF659">
        <v>42</v>
      </c>
      <c r="AG659">
        <v>173</v>
      </c>
      <c r="AH659">
        <v>129</v>
      </c>
      <c r="AI659">
        <v>7.75</v>
      </c>
      <c r="AJ659">
        <v>31.92</v>
      </c>
      <c r="AK659">
        <v>23.8</v>
      </c>
      <c r="AL659">
        <v>-20.164312499999969</v>
      </c>
      <c r="AM659">
        <v>-44.921945691824099</v>
      </c>
      <c r="AN659">
        <v>-20.164312499999969</v>
      </c>
      <c r="AO659">
        <v>-44.921945691824099</v>
      </c>
      <c r="AP659">
        <v>-20.164618999999998</v>
      </c>
      <c r="AQ659">
        <v>-44.921776999999999</v>
      </c>
      <c r="AR659">
        <v>38.404224975746608</v>
      </c>
      <c r="AS659" t="s">
        <v>65</v>
      </c>
      <c r="AT659">
        <v>1</v>
      </c>
      <c r="AU659" t="s">
        <v>1539</v>
      </c>
      <c r="AV659" t="s">
        <v>1540</v>
      </c>
      <c r="AW659" t="s">
        <v>60</v>
      </c>
      <c r="AX659" t="s">
        <v>68</v>
      </c>
      <c r="AY659" t="s">
        <v>69</v>
      </c>
      <c r="AZ659" t="b">
        <v>1</v>
      </c>
    </row>
    <row r="660" spans="1:52" x14ac:dyDescent="0.3">
      <c r="A660" t="s">
        <v>52</v>
      </c>
      <c r="B660" t="s">
        <v>53</v>
      </c>
      <c r="C660" t="s">
        <v>54</v>
      </c>
      <c r="D660" t="s">
        <v>55</v>
      </c>
      <c r="E660" t="s">
        <v>1617</v>
      </c>
      <c r="F660" t="s">
        <v>1247</v>
      </c>
      <c r="G660" t="s">
        <v>1541</v>
      </c>
      <c r="H660" t="s">
        <v>1542</v>
      </c>
      <c r="I660" t="s">
        <v>1542</v>
      </c>
      <c r="J660" t="s">
        <v>60</v>
      </c>
      <c r="K660" t="s">
        <v>1302</v>
      </c>
      <c r="L660" t="s">
        <v>62</v>
      </c>
      <c r="M660" t="s">
        <v>1302</v>
      </c>
      <c r="N660" t="s">
        <v>1543</v>
      </c>
      <c r="O660" t="s">
        <v>1544</v>
      </c>
      <c r="P660">
        <v>-20.166267999999999</v>
      </c>
      <c r="Q660">
        <v>-44.916902</v>
      </c>
      <c r="R660" s="2" t="str">
        <f>HYPERLINK("https://www.google.com/maps?q=-20.1662680,-44.9169020","Abrir no Google Maps")</f>
        <v>Abrir no Google Maps</v>
      </c>
      <c r="S660">
        <v>2</v>
      </c>
      <c r="T660">
        <v>580.14556008922216</v>
      </c>
      <c r="U660">
        <v>2</v>
      </c>
      <c r="V660">
        <v>0.40413600235501912</v>
      </c>
      <c r="W660">
        <v>0.85</v>
      </c>
      <c r="X660">
        <v>0.34351560200176617</v>
      </c>
      <c r="Y660">
        <v>639</v>
      </c>
      <c r="Z660">
        <v>590.87477783185614</v>
      </c>
      <c r="AA660">
        <v>198</v>
      </c>
      <c r="AB660">
        <v>332</v>
      </c>
      <c r="AC660">
        <v>536</v>
      </c>
      <c r="AD660">
        <v>33.19</v>
      </c>
      <c r="AE660">
        <v>542</v>
      </c>
      <c r="AF660">
        <v>42</v>
      </c>
      <c r="AG660">
        <v>173</v>
      </c>
      <c r="AH660">
        <v>129</v>
      </c>
      <c r="AI660">
        <v>7.75</v>
      </c>
      <c r="AJ660">
        <v>31.92</v>
      </c>
      <c r="AK660">
        <v>23.8</v>
      </c>
      <c r="AL660">
        <v>-20.165891749999961</v>
      </c>
      <c r="AM660">
        <v>-44.917283075074913</v>
      </c>
      <c r="AN660">
        <v>-20.165891749999961</v>
      </c>
      <c r="AO660">
        <v>-44.917283075074913</v>
      </c>
      <c r="AP660">
        <v>-20.166267999999999</v>
      </c>
      <c r="AQ660">
        <v>-44.916902</v>
      </c>
      <c r="AR660">
        <v>57.792534087281872</v>
      </c>
      <c r="AS660" t="s">
        <v>65</v>
      </c>
      <c r="AT660">
        <v>1</v>
      </c>
      <c r="AU660" t="s">
        <v>1545</v>
      </c>
      <c r="AV660" t="s">
        <v>1546</v>
      </c>
      <c r="AW660" t="s">
        <v>60</v>
      </c>
      <c r="AX660" t="s">
        <v>68</v>
      </c>
      <c r="AY660" t="s">
        <v>69</v>
      </c>
      <c r="AZ660" t="b">
        <v>1</v>
      </c>
    </row>
    <row r="661" spans="1:52" x14ac:dyDescent="0.3">
      <c r="A661" t="s">
        <v>52</v>
      </c>
      <c r="B661" t="s">
        <v>53</v>
      </c>
      <c r="C661" t="s">
        <v>54</v>
      </c>
      <c r="D661" t="s">
        <v>55</v>
      </c>
      <c r="E661" t="s">
        <v>1617</v>
      </c>
      <c r="F661" t="s">
        <v>1247</v>
      </c>
      <c r="G661" t="s">
        <v>1127</v>
      </c>
      <c r="H661" t="s">
        <v>1455</v>
      </c>
      <c r="I661" t="s">
        <v>1455</v>
      </c>
      <c r="J661" t="s">
        <v>60</v>
      </c>
      <c r="K661" t="s">
        <v>431</v>
      </c>
      <c r="L661" t="s">
        <v>62</v>
      </c>
      <c r="M661" t="s">
        <v>431</v>
      </c>
      <c r="N661" t="s">
        <v>1456</v>
      </c>
      <c r="O661" t="s">
        <v>1001</v>
      </c>
      <c r="P661">
        <v>-20.168237999999999</v>
      </c>
      <c r="Q661">
        <v>-44.924250999999998</v>
      </c>
      <c r="R661" s="2" t="str">
        <f>HYPERLINK("https://www.google.com/maps?q=-20.1682380,-44.9242510","Abrir no Google Maps")</f>
        <v>Abrir no Google Maps</v>
      </c>
      <c r="S661">
        <v>2</v>
      </c>
      <c r="T661">
        <v>1220.188820430971</v>
      </c>
      <c r="U661">
        <v>1</v>
      </c>
      <c r="V661">
        <v>0.26365168367190611</v>
      </c>
      <c r="W661">
        <v>0.85</v>
      </c>
      <c r="X661">
        <v>0.2241039311211202</v>
      </c>
      <c r="Y661">
        <v>723</v>
      </c>
      <c r="Z661">
        <v>1092.4377883150901</v>
      </c>
      <c r="AA661">
        <v>198</v>
      </c>
      <c r="AB661">
        <v>332</v>
      </c>
      <c r="AC661">
        <v>536</v>
      </c>
      <c r="AD661">
        <v>33.19</v>
      </c>
      <c r="AE661">
        <v>542</v>
      </c>
      <c r="AF661">
        <v>42</v>
      </c>
      <c r="AG661">
        <v>173</v>
      </c>
      <c r="AH661">
        <v>129</v>
      </c>
      <c r="AI661">
        <v>7.75</v>
      </c>
      <c r="AJ661">
        <v>31.92</v>
      </c>
      <c r="AK661">
        <v>23.8</v>
      </c>
      <c r="AL661">
        <v>-20.168394999999951</v>
      </c>
      <c r="AM661">
        <v>-44.923548168580673</v>
      </c>
      <c r="AN661">
        <v>-20.168394999999951</v>
      </c>
      <c r="AO661">
        <v>-44.923548168580673</v>
      </c>
      <c r="AP661">
        <v>-20.168237999999999</v>
      </c>
      <c r="AQ661">
        <v>-44.924250999999998</v>
      </c>
      <c r="AR661">
        <v>75.492755104934275</v>
      </c>
      <c r="AS661" t="s">
        <v>65</v>
      </c>
      <c r="AT661">
        <v>1</v>
      </c>
      <c r="AU661" t="s">
        <v>1457</v>
      </c>
      <c r="AV661" t="s">
        <v>1458</v>
      </c>
      <c r="AW661" t="s">
        <v>60</v>
      </c>
      <c r="AX661" t="s">
        <v>68</v>
      </c>
      <c r="AY661" t="s">
        <v>69</v>
      </c>
      <c r="AZ661" t="b">
        <v>1</v>
      </c>
    </row>
    <row r="662" spans="1:52" x14ac:dyDescent="0.3">
      <c r="A662" t="s">
        <v>52</v>
      </c>
      <c r="B662" t="s">
        <v>53</v>
      </c>
      <c r="C662" t="s">
        <v>54</v>
      </c>
      <c r="D662" t="s">
        <v>55</v>
      </c>
      <c r="E662" t="s">
        <v>1617</v>
      </c>
      <c r="F662" t="s">
        <v>1247</v>
      </c>
      <c r="G662" t="s">
        <v>1459</v>
      </c>
      <c r="H662" t="s">
        <v>1460</v>
      </c>
      <c r="I662" t="s">
        <v>1460</v>
      </c>
      <c r="J662" t="s">
        <v>60</v>
      </c>
      <c r="K662" t="s">
        <v>431</v>
      </c>
      <c r="L662" t="s">
        <v>62</v>
      </c>
      <c r="M662" t="s">
        <v>431</v>
      </c>
      <c r="N662" t="s">
        <v>1461</v>
      </c>
      <c r="O662" t="s">
        <v>1462</v>
      </c>
      <c r="P662">
        <v>-20.170182</v>
      </c>
      <c r="Q662">
        <v>-44.922556999999998</v>
      </c>
      <c r="R662" s="2" t="str">
        <f>HYPERLINK("https://www.google.com/maps?q=-20.1701820,-44.9225570","Abrir no Google Maps")</f>
        <v>Abrir no Google Maps</v>
      </c>
      <c r="S662">
        <v>2</v>
      </c>
      <c r="T662">
        <v>1189.3885679843149</v>
      </c>
      <c r="U662">
        <v>1</v>
      </c>
      <c r="V662">
        <v>0.2349992518330091</v>
      </c>
      <c r="W662">
        <v>0.85</v>
      </c>
      <c r="X662">
        <v>0.19974936405805771</v>
      </c>
      <c r="Y662">
        <v>723</v>
      </c>
      <c r="Z662">
        <v>961.89164604479117</v>
      </c>
      <c r="AA662">
        <v>198</v>
      </c>
      <c r="AB662">
        <v>332</v>
      </c>
      <c r="AC662">
        <v>536</v>
      </c>
      <c r="AD662">
        <v>33.19</v>
      </c>
      <c r="AE662">
        <v>542</v>
      </c>
      <c r="AF662">
        <v>42</v>
      </c>
      <c r="AG662">
        <v>173</v>
      </c>
      <c r="AH662">
        <v>129</v>
      </c>
      <c r="AI662">
        <v>7.75</v>
      </c>
      <c r="AJ662">
        <v>31.92</v>
      </c>
      <c r="AK662">
        <v>23.8</v>
      </c>
      <c r="AL662">
        <v>-20.169385449999961</v>
      </c>
      <c r="AM662">
        <v>-44.922107101898007</v>
      </c>
      <c r="AN662">
        <v>-20.169385449999961</v>
      </c>
      <c r="AO662">
        <v>-44.922107101898007</v>
      </c>
      <c r="AP662">
        <v>-20.170182</v>
      </c>
      <c r="AQ662">
        <v>-44.922556999999998</v>
      </c>
      <c r="AR662">
        <v>100.36329580049031</v>
      </c>
      <c r="AS662" t="s">
        <v>65</v>
      </c>
      <c r="AT662">
        <v>1</v>
      </c>
      <c r="AU662" t="s">
        <v>1463</v>
      </c>
      <c r="AV662" t="s">
        <v>1458</v>
      </c>
      <c r="AW662" t="s">
        <v>60</v>
      </c>
      <c r="AX662" t="s">
        <v>68</v>
      </c>
      <c r="AY662" t="s">
        <v>69</v>
      </c>
      <c r="AZ662" t="b">
        <v>1</v>
      </c>
    </row>
    <row r="663" spans="1:52" x14ac:dyDescent="0.3">
      <c r="A663" t="s">
        <v>52</v>
      </c>
      <c r="B663" t="s">
        <v>53</v>
      </c>
      <c r="C663" t="s">
        <v>54</v>
      </c>
      <c r="D663" t="s">
        <v>55</v>
      </c>
      <c r="E663" t="s">
        <v>1617</v>
      </c>
      <c r="F663" t="s">
        <v>1247</v>
      </c>
      <c r="G663" t="s">
        <v>1559</v>
      </c>
      <c r="H663" t="s">
        <v>1560</v>
      </c>
      <c r="I663" t="s">
        <v>1560</v>
      </c>
      <c r="J663" t="s">
        <v>60</v>
      </c>
      <c r="K663" t="s">
        <v>61</v>
      </c>
      <c r="L663" t="s">
        <v>62</v>
      </c>
      <c r="M663" t="s">
        <v>61</v>
      </c>
      <c r="N663" t="s">
        <v>1561</v>
      </c>
      <c r="O663" t="s">
        <v>1562</v>
      </c>
      <c r="P663">
        <v>-20.154959000000002</v>
      </c>
      <c r="Q663">
        <v>-44.91525</v>
      </c>
      <c r="R663" s="2" t="str">
        <f>HYPERLINK("https://www.google.com/maps?q=-20.1549590,-44.9152500","Abrir no Google Maps")</f>
        <v>Abrir no Google Maps</v>
      </c>
      <c r="S663">
        <v>2</v>
      </c>
      <c r="T663">
        <v>738.36411213380245</v>
      </c>
      <c r="U663">
        <v>1</v>
      </c>
      <c r="V663">
        <v>0</v>
      </c>
      <c r="W663">
        <v>0.85</v>
      </c>
      <c r="X663">
        <v>0</v>
      </c>
      <c r="Y663">
        <v>639</v>
      </c>
      <c r="Z663">
        <v>860.82840850294542</v>
      </c>
      <c r="AA663">
        <v>198</v>
      </c>
      <c r="AB663">
        <v>332</v>
      </c>
      <c r="AC663">
        <v>536</v>
      </c>
      <c r="AD663">
        <v>33.19</v>
      </c>
      <c r="AE663">
        <v>542</v>
      </c>
      <c r="AF663">
        <v>42</v>
      </c>
      <c r="AG663">
        <v>173</v>
      </c>
      <c r="AH663">
        <v>129</v>
      </c>
      <c r="AI663">
        <v>7.75</v>
      </c>
      <c r="AJ663">
        <v>31.92</v>
      </c>
      <c r="AK663">
        <v>23.8</v>
      </c>
      <c r="AL663">
        <v>-20.154629849999939</v>
      </c>
      <c r="AM663">
        <v>-44.914951620624052</v>
      </c>
      <c r="AN663">
        <v>-20.154629849999939</v>
      </c>
      <c r="AO663">
        <v>-44.914951620624052</v>
      </c>
      <c r="AP663">
        <v>-20.154959000000002</v>
      </c>
      <c r="AQ663">
        <v>-44.91525</v>
      </c>
      <c r="AR663">
        <v>48.11297170616912</v>
      </c>
      <c r="AS663" t="s">
        <v>65</v>
      </c>
      <c r="AT663">
        <v>1</v>
      </c>
      <c r="AU663" t="s">
        <v>1563</v>
      </c>
      <c r="AV663" t="s">
        <v>1564</v>
      </c>
      <c r="AW663" t="s">
        <v>60</v>
      </c>
      <c r="AX663" t="s">
        <v>68</v>
      </c>
      <c r="AY663" t="s">
        <v>69</v>
      </c>
      <c r="AZ663" t="b">
        <v>1</v>
      </c>
    </row>
    <row r="664" spans="1:52" x14ac:dyDescent="0.3">
      <c r="A664" t="s">
        <v>52</v>
      </c>
      <c r="B664" t="s">
        <v>53</v>
      </c>
      <c r="C664" t="s">
        <v>54</v>
      </c>
      <c r="D664" t="s">
        <v>55</v>
      </c>
      <c r="E664" t="s">
        <v>1617</v>
      </c>
      <c r="F664" t="s">
        <v>1247</v>
      </c>
      <c r="G664" t="s">
        <v>1607</v>
      </c>
      <c r="H664" t="s">
        <v>1608</v>
      </c>
      <c r="I664" t="s">
        <v>1608</v>
      </c>
      <c r="J664" t="s">
        <v>60</v>
      </c>
      <c r="K664" t="s">
        <v>1486</v>
      </c>
      <c r="L664" t="s">
        <v>62</v>
      </c>
      <c r="M664" t="s">
        <v>1486</v>
      </c>
      <c r="N664" t="s">
        <v>1609</v>
      </c>
      <c r="O664" t="s">
        <v>1255</v>
      </c>
      <c r="P664">
        <v>-20.157689000000001</v>
      </c>
      <c r="Q664">
        <v>-44.883887000000001</v>
      </c>
      <c r="R664" s="2" t="str">
        <f>HYPERLINK("https://www.google.com/maps?q=-20.1576890,-44.8838870","Abrir no Google Maps")</f>
        <v>Abrir no Google Maps</v>
      </c>
      <c r="S664">
        <v>1</v>
      </c>
      <c r="T664">
        <v>603.38424821205774</v>
      </c>
      <c r="U664">
        <v>4</v>
      </c>
      <c r="V664">
        <v>0.44369496150286702</v>
      </c>
      <c r="W664">
        <v>1</v>
      </c>
      <c r="X664">
        <v>0.44369496150286702</v>
      </c>
      <c r="Y664">
        <v>671</v>
      </c>
      <c r="Z664">
        <v>682.48636898467089</v>
      </c>
      <c r="AA664">
        <v>198</v>
      </c>
      <c r="AB664">
        <v>332</v>
      </c>
      <c r="AC664">
        <v>536</v>
      </c>
      <c r="AD664">
        <v>33.19</v>
      </c>
      <c r="AE664">
        <v>542</v>
      </c>
      <c r="AF664">
        <v>42</v>
      </c>
      <c r="AG664">
        <v>173</v>
      </c>
      <c r="AH664">
        <v>129</v>
      </c>
      <c r="AI664">
        <v>7.75</v>
      </c>
      <c r="AJ664">
        <v>31.92</v>
      </c>
      <c r="AK664">
        <v>23.8</v>
      </c>
      <c r="AL664">
        <v>-20.157732249999949</v>
      </c>
      <c r="AM664">
        <v>-44.883829923283272</v>
      </c>
      <c r="AN664">
        <v>-20.157732249999949</v>
      </c>
      <c r="AO664">
        <v>-44.883829923283272</v>
      </c>
      <c r="AP664">
        <v>-20.157689000000001</v>
      </c>
      <c r="AQ664">
        <v>-44.883887000000001</v>
      </c>
      <c r="AR664">
        <v>7.6652901074925257</v>
      </c>
      <c r="AS664" t="s">
        <v>65</v>
      </c>
      <c r="AT664">
        <v>1</v>
      </c>
      <c r="AU664" t="s">
        <v>1610</v>
      </c>
      <c r="AV664" t="s">
        <v>1611</v>
      </c>
      <c r="AW664" t="s">
        <v>60</v>
      </c>
      <c r="AX664" t="s">
        <v>68</v>
      </c>
      <c r="AY664" t="s">
        <v>69</v>
      </c>
      <c r="AZ664" t="b">
        <v>1</v>
      </c>
    </row>
    <row r="665" spans="1:52" x14ac:dyDescent="0.3">
      <c r="A665" t="s">
        <v>52</v>
      </c>
      <c r="B665" t="s">
        <v>53</v>
      </c>
      <c r="C665" t="s">
        <v>54</v>
      </c>
      <c r="D665" t="s">
        <v>55</v>
      </c>
      <c r="E665" t="s">
        <v>1617</v>
      </c>
      <c r="F665" t="s">
        <v>1247</v>
      </c>
      <c r="G665" t="s">
        <v>631</v>
      </c>
      <c r="H665" t="s">
        <v>1565</v>
      </c>
      <c r="I665" t="s">
        <v>1565</v>
      </c>
      <c r="J665" t="s">
        <v>60</v>
      </c>
      <c r="K665" t="s">
        <v>530</v>
      </c>
      <c r="L665" t="s">
        <v>62</v>
      </c>
      <c r="M665" t="s">
        <v>530</v>
      </c>
      <c r="N665" t="s">
        <v>633</v>
      </c>
      <c r="O665" t="s">
        <v>1566</v>
      </c>
      <c r="P665">
        <v>-20.143915</v>
      </c>
      <c r="Q665">
        <v>-44.8947</v>
      </c>
      <c r="R665" s="2" t="str">
        <f>HYPERLINK("https://www.google.com/maps?q=-20.1439150,-44.8947000","Abrir no Google Maps")</f>
        <v>Abrir no Google Maps</v>
      </c>
      <c r="S665">
        <v>1</v>
      </c>
      <c r="T665">
        <v>327.74435325417051</v>
      </c>
      <c r="U665">
        <v>1</v>
      </c>
      <c r="V665">
        <v>0.2463895002438351</v>
      </c>
      <c r="W665">
        <v>1</v>
      </c>
      <c r="X665">
        <v>0.2463895002438351</v>
      </c>
      <c r="Y665">
        <v>602</v>
      </c>
      <c r="Z665">
        <v>236.41345279429891</v>
      </c>
      <c r="AA665">
        <v>198</v>
      </c>
      <c r="AB665">
        <v>332</v>
      </c>
      <c r="AC665">
        <v>536</v>
      </c>
      <c r="AD665">
        <v>33.19</v>
      </c>
      <c r="AE665">
        <v>542</v>
      </c>
      <c r="AF665">
        <v>42</v>
      </c>
      <c r="AG665">
        <v>173</v>
      </c>
      <c r="AH665">
        <v>129</v>
      </c>
      <c r="AI665">
        <v>7.75</v>
      </c>
      <c r="AJ665">
        <v>31.92</v>
      </c>
      <c r="AK665">
        <v>23.8</v>
      </c>
      <c r="AL665">
        <v>-20.143900549999959</v>
      </c>
      <c r="AM665">
        <v>-44.894835636584318</v>
      </c>
      <c r="AN665">
        <v>-20.143900549999959</v>
      </c>
      <c r="AO665">
        <v>-44.894835636584318</v>
      </c>
      <c r="AP665">
        <v>-20.143915</v>
      </c>
      <c r="AQ665">
        <v>-44.8947</v>
      </c>
      <c r="AR665">
        <v>14.266440053785869</v>
      </c>
      <c r="AS665" t="s">
        <v>65</v>
      </c>
      <c r="AT665">
        <v>1</v>
      </c>
      <c r="AU665" t="s">
        <v>1567</v>
      </c>
      <c r="AV665" t="s">
        <v>1568</v>
      </c>
      <c r="AW665" t="s">
        <v>60</v>
      </c>
      <c r="AX665" t="s">
        <v>68</v>
      </c>
      <c r="AY665" t="s">
        <v>69</v>
      </c>
      <c r="AZ665" t="b">
        <v>1</v>
      </c>
    </row>
    <row r="666" spans="1:52" x14ac:dyDescent="0.3">
      <c r="A666" t="s">
        <v>52</v>
      </c>
      <c r="B666" t="s">
        <v>53</v>
      </c>
      <c r="C666" t="s">
        <v>54</v>
      </c>
      <c r="D666" t="s">
        <v>55</v>
      </c>
      <c r="E666" t="s">
        <v>1617</v>
      </c>
      <c r="F666" t="s">
        <v>1247</v>
      </c>
      <c r="G666" t="s">
        <v>1569</v>
      </c>
      <c r="H666" t="s">
        <v>1570</v>
      </c>
      <c r="I666" t="s">
        <v>1570</v>
      </c>
      <c r="J666" t="s">
        <v>60</v>
      </c>
      <c r="K666" t="s">
        <v>530</v>
      </c>
      <c r="L666" t="s">
        <v>62</v>
      </c>
      <c r="M666" t="s">
        <v>530</v>
      </c>
      <c r="N666" t="s">
        <v>1571</v>
      </c>
      <c r="O666" t="s">
        <v>598</v>
      </c>
      <c r="P666">
        <v>-20.146418000000001</v>
      </c>
      <c r="Q666">
        <v>-44.893861999999999</v>
      </c>
      <c r="R666" s="2" t="str">
        <f>HYPERLINK("https://www.google.com/maps?q=-20.1464180,-44.8938620","Abrir no Google Maps")</f>
        <v>Abrir no Google Maps</v>
      </c>
      <c r="S666">
        <v>1</v>
      </c>
      <c r="T666">
        <v>0</v>
      </c>
      <c r="U666">
        <v>1</v>
      </c>
      <c r="V666">
        <v>0.25312287891400398</v>
      </c>
      <c r="W666">
        <v>0.85</v>
      </c>
      <c r="X666">
        <v>0.2151544470769034</v>
      </c>
      <c r="Y666">
        <v>602</v>
      </c>
      <c r="Z666">
        <v>124.5475134899211</v>
      </c>
      <c r="AA666">
        <v>198</v>
      </c>
      <c r="AB666">
        <v>332</v>
      </c>
      <c r="AC666">
        <v>536</v>
      </c>
      <c r="AD666">
        <v>33.19</v>
      </c>
      <c r="AE666">
        <v>542</v>
      </c>
      <c r="AF666">
        <v>42</v>
      </c>
      <c r="AG666">
        <v>173</v>
      </c>
      <c r="AH666">
        <v>129</v>
      </c>
      <c r="AI666">
        <v>7.75</v>
      </c>
      <c r="AJ666">
        <v>31.92</v>
      </c>
      <c r="AK666">
        <v>23.8</v>
      </c>
      <c r="AL666">
        <v>-20.146753399999941</v>
      </c>
      <c r="AM666">
        <v>-44.893993355901941</v>
      </c>
      <c r="AN666">
        <v>-20.146753399999941</v>
      </c>
      <c r="AO666">
        <v>-44.893993355901941</v>
      </c>
      <c r="AP666">
        <v>-20.146418000000001</v>
      </c>
      <c r="AQ666">
        <v>-44.893861999999999</v>
      </c>
      <c r="AR666">
        <v>39.780457157851913</v>
      </c>
      <c r="AS666" t="s">
        <v>65</v>
      </c>
      <c r="AT666">
        <v>1</v>
      </c>
      <c r="AU666" t="s">
        <v>1572</v>
      </c>
      <c r="AV666" t="s">
        <v>1573</v>
      </c>
      <c r="AW666" t="s">
        <v>60</v>
      </c>
      <c r="AX666" t="s">
        <v>68</v>
      </c>
      <c r="AY666" t="s">
        <v>69</v>
      </c>
      <c r="AZ666" t="b">
        <v>1</v>
      </c>
    </row>
    <row r="667" spans="1:52" x14ac:dyDescent="0.3">
      <c r="A667" t="s">
        <v>52</v>
      </c>
      <c r="B667" t="s">
        <v>53</v>
      </c>
      <c r="C667" t="s">
        <v>54</v>
      </c>
      <c r="D667" t="s">
        <v>55</v>
      </c>
      <c r="E667" t="s">
        <v>1617</v>
      </c>
      <c r="F667" t="s">
        <v>1247</v>
      </c>
      <c r="G667" t="s">
        <v>1569</v>
      </c>
      <c r="H667" t="s">
        <v>1574</v>
      </c>
      <c r="I667" t="s">
        <v>1574</v>
      </c>
      <c r="J667" t="s">
        <v>60</v>
      </c>
      <c r="K667" t="s">
        <v>530</v>
      </c>
      <c r="L667" t="s">
        <v>62</v>
      </c>
      <c r="M667" t="s">
        <v>530</v>
      </c>
      <c r="N667" t="s">
        <v>1571</v>
      </c>
      <c r="O667" t="s">
        <v>1575</v>
      </c>
      <c r="P667">
        <v>-20.14554</v>
      </c>
      <c r="Q667">
        <v>-44.895606000000001</v>
      </c>
      <c r="R667" s="2" t="str">
        <f>HYPERLINK("https://www.google.com/maps?q=-20.1455400,-44.8956060","Abrir no Google Maps")</f>
        <v>Abrir no Google Maps</v>
      </c>
      <c r="S667">
        <v>1</v>
      </c>
      <c r="T667">
        <v>218.66647838959381</v>
      </c>
      <c r="U667">
        <v>1</v>
      </c>
      <c r="V667">
        <v>0.25148717948717941</v>
      </c>
      <c r="W667">
        <v>1</v>
      </c>
      <c r="X667">
        <v>0.25148717948717941</v>
      </c>
      <c r="Y667">
        <v>602</v>
      </c>
      <c r="Z667">
        <v>263.6501043391637</v>
      </c>
      <c r="AA667">
        <v>198</v>
      </c>
      <c r="AB667">
        <v>332</v>
      </c>
      <c r="AC667">
        <v>536</v>
      </c>
      <c r="AD667">
        <v>33.19</v>
      </c>
      <c r="AE667">
        <v>542</v>
      </c>
      <c r="AF667">
        <v>42</v>
      </c>
      <c r="AG667">
        <v>173</v>
      </c>
      <c r="AH667">
        <v>129</v>
      </c>
      <c r="AI667">
        <v>7.75</v>
      </c>
      <c r="AJ667">
        <v>31.92</v>
      </c>
      <c r="AK667">
        <v>23.8</v>
      </c>
      <c r="AL667">
        <v>-20.145504749999962</v>
      </c>
      <c r="AM667">
        <v>-44.89561499588882</v>
      </c>
      <c r="AN667">
        <v>-20.145504749999962</v>
      </c>
      <c r="AO667">
        <v>-44.89561499588882</v>
      </c>
      <c r="AP667">
        <v>-20.14554</v>
      </c>
      <c r="AQ667">
        <v>-44.895606000000001</v>
      </c>
      <c r="AR667">
        <v>4.0350843151508604</v>
      </c>
      <c r="AS667" t="s">
        <v>65</v>
      </c>
      <c r="AT667">
        <v>1</v>
      </c>
      <c r="AU667" t="s">
        <v>1576</v>
      </c>
      <c r="AV667" t="s">
        <v>1577</v>
      </c>
      <c r="AW667" t="s">
        <v>60</v>
      </c>
      <c r="AX667" t="s">
        <v>68</v>
      </c>
      <c r="AY667" t="s">
        <v>69</v>
      </c>
      <c r="AZ667" t="b">
        <v>1</v>
      </c>
    </row>
    <row r="668" spans="1:52" x14ac:dyDescent="0.3">
      <c r="A668" t="s">
        <v>52</v>
      </c>
      <c r="B668" t="s">
        <v>53</v>
      </c>
      <c r="C668" t="s">
        <v>54</v>
      </c>
      <c r="D668" t="s">
        <v>55</v>
      </c>
      <c r="E668" t="s">
        <v>1617</v>
      </c>
      <c r="F668" t="s">
        <v>1247</v>
      </c>
      <c r="G668" t="s">
        <v>1578</v>
      </c>
      <c r="H668" t="s">
        <v>1579</v>
      </c>
      <c r="I668" t="s">
        <v>1579</v>
      </c>
      <c r="J668" t="s">
        <v>60</v>
      </c>
      <c r="K668" t="s">
        <v>530</v>
      </c>
      <c r="L668" t="s">
        <v>62</v>
      </c>
      <c r="M668" t="s">
        <v>530</v>
      </c>
      <c r="N668" t="s">
        <v>1580</v>
      </c>
      <c r="O668" t="s">
        <v>1581</v>
      </c>
      <c r="P668">
        <v>-20.143713999999999</v>
      </c>
      <c r="Q668">
        <v>-44.897387999999999</v>
      </c>
      <c r="R668" s="2" t="str">
        <f>HYPERLINK("https://www.google.com/maps?q=-20.1437140,-44.8973880","Abrir no Google Maps")</f>
        <v>Abrir no Google Maps</v>
      </c>
      <c r="S668">
        <v>1</v>
      </c>
      <c r="T668">
        <v>354.74438118735611</v>
      </c>
      <c r="U668">
        <v>1</v>
      </c>
      <c r="V668">
        <v>0.24164190340346281</v>
      </c>
      <c r="W668">
        <v>1</v>
      </c>
      <c r="X668">
        <v>0.24164190340346281</v>
      </c>
      <c r="Y668">
        <v>588</v>
      </c>
      <c r="Z668">
        <v>336.29881064197872</v>
      </c>
      <c r="AA668">
        <v>198</v>
      </c>
      <c r="AB668">
        <v>332</v>
      </c>
      <c r="AC668">
        <v>536</v>
      </c>
      <c r="AD668">
        <v>33.19</v>
      </c>
      <c r="AE668">
        <v>542</v>
      </c>
      <c r="AF668">
        <v>42</v>
      </c>
      <c r="AG668">
        <v>173</v>
      </c>
      <c r="AH668">
        <v>129</v>
      </c>
      <c r="AI668">
        <v>7.75</v>
      </c>
      <c r="AJ668">
        <v>31.92</v>
      </c>
      <c r="AK668">
        <v>23.8</v>
      </c>
      <c r="AL668">
        <v>-20.14371329999997</v>
      </c>
      <c r="AM668">
        <v>-44.897384604125257</v>
      </c>
      <c r="AN668">
        <v>-20.14371329999997</v>
      </c>
      <c r="AO668">
        <v>-44.897384604125257</v>
      </c>
      <c r="AP668">
        <v>-20.143713999999999</v>
      </c>
      <c r="AQ668">
        <v>-44.897387999999999</v>
      </c>
      <c r="AR668">
        <v>0.36335934693921551</v>
      </c>
      <c r="AS668" t="s">
        <v>65</v>
      </c>
      <c r="AT668">
        <v>1</v>
      </c>
      <c r="AU668" t="s">
        <v>1582</v>
      </c>
      <c r="AV668" t="s">
        <v>1583</v>
      </c>
      <c r="AW668" t="s">
        <v>60</v>
      </c>
      <c r="AX668" t="s">
        <v>68</v>
      </c>
      <c r="AY668" t="s">
        <v>69</v>
      </c>
      <c r="AZ668" t="b">
        <v>1</v>
      </c>
    </row>
    <row r="669" spans="1:52" x14ac:dyDescent="0.3">
      <c r="A669" t="s">
        <v>52</v>
      </c>
      <c r="B669" t="s">
        <v>53</v>
      </c>
      <c r="C669" t="s">
        <v>54</v>
      </c>
      <c r="D669" t="s">
        <v>55</v>
      </c>
      <c r="E669" t="s">
        <v>1617</v>
      </c>
      <c r="F669" t="s">
        <v>1247</v>
      </c>
      <c r="G669" t="s">
        <v>1584</v>
      </c>
      <c r="H669" t="s">
        <v>1585</v>
      </c>
      <c r="I669" t="s">
        <v>1585</v>
      </c>
      <c r="J669" t="s">
        <v>60</v>
      </c>
      <c r="K669" t="s">
        <v>530</v>
      </c>
      <c r="L669" t="s">
        <v>62</v>
      </c>
      <c r="M669" t="s">
        <v>530</v>
      </c>
      <c r="N669" t="s">
        <v>406</v>
      </c>
      <c r="O669" t="s">
        <v>1586</v>
      </c>
      <c r="P669">
        <v>-20.141316</v>
      </c>
      <c r="Q669">
        <v>-44.896424000000003</v>
      </c>
      <c r="R669" s="2" t="str">
        <f>HYPERLINK("https://www.google.com/maps?q=-20.1413160,-44.8964240","Abrir no Google Maps")</f>
        <v>Abrir no Google Maps</v>
      </c>
      <c r="S669">
        <v>1</v>
      </c>
      <c r="T669">
        <v>236.6687095166524</v>
      </c>
      <c r="U669">
        <v>1</v>
      </c>
      <c r="V669">
        <v>0.2270820848298519</v>
      </c>
      <c r="W669">
        <v>1</v>
      </c>
      <c r="X669">
        <v>0.2270820848298519</v>
      </c>
      <c r="Y669">
        <v>588</v>
      </c>
      <c r="Z669">
        <v>255.50729797374251</v>
      </c>
      <c r="AA669">
        <v>198</v>
      </c>
      <c r="AB669">
        <v>332</v>
      </c>
      <c r="AC669">
        <v>536</v>
      </c>
      <c r="AD669">
        <v>33.19</v>
      </c>
      <c r="AE669">
        <v>542</v>
      </c>
      <c r="AF669">
        <v>42</v>
      </c>
      <c r="AG669">
        <v>173</v>
      </c>
      <c r="AH669">
        <v>129</v>
      </c>
      <c r="AI669">
        <v>7.75</v>
      </c>
      <c r="AJ669">
        <v>31.92</v>
      </c>
      <c r="AK669">
        <v>23.8</v>
      </c>
      <c r="AL669">
        <v>-20.141468299999961</v>
      </c>
      <c r="AM669">
        <v>-44.896566678331098</v>
      </c>
      <c r="AN669">
        <v>-20.141468299999961</v>
      </c>
      <c r="AO669">
        <v>-44.896566678331098</v>
      </c>
      <c r="AP669">
        <v>-20.141316</v>
      </c>
      <c r="AQ669">
        <v>-44.896424000000003</v>
      </c>
      <c r="AR669">
        <v>22.578666373759301</v>
      </c>
      <c r="AS669" t="s">
        <v>65</v>
      </c>
      <c r="AT669">
        <v>1</v>
      </c>
      <c r="AU669" t="s">
        <v>1587</v>
      </c>
      <c r="AV669" t="s">
        <v>1588</v>
      </c>
      <c r="AW669" t="s">
        <v>60</v>
      </c>
      <c r="AX669" t="s">
        <v>68</v>
      </c>
      <c r="AY669" t="s">
        <v>69</v>
      </c>
      <c r="AZ669" t="b">
        <v>1</v>
      </c>
    </row>
    <row r="670" spans="1:52" x14ac:dyDescent="0.3">
      <c r="A670" t="s">
        <v>52</v>
      </c>
      <c r="B670" t="s">
        <v>53</v>
      </c>
      <c r="C670" t="s">
        <v>54</v>
      </c>
      <c r="D670" t="s">
        <v>55</v>
      </c>
      <c r="E670" t="s">
        <v>1617</v>
      </c>
      <c r="F670" t="s">
        <v>1247</v>
      </c>
      <c r="G670" t="s">
        <v>1589</v>
      </c>
      <c r="H670" t="s">
        <v>1590</v>
      </c>
      <c r="I670" t="s">
        <v>1590</v>
      </c>
      <c r="J670" t="s">
        <v>60</v>
      </c>
      <c r="K670" t="s">
        <v>1591</v>
      </c>
      <c r="L670" t="s">
        <v>62</v>
      </c>
      <c r="M670" t="s">
        <v>1591</v>
      </c>
      <c r="N670" t="s">
        <v>1592</v>
      </c>
      <c r="O670" t="s">
        <v>659</v>
      </c>
      <c r="P670">
        <v>-20.140789000000002</v>
      </c>
      <c r="Q670">
        <v>-44.898631000000002</v>
      </c>
      <c r="R670" s="2" t="str">
        <f>HYPERLINK("https://www.google.com/maps?q=-20.1407890,-44.8986310","Abrir no Google Maps")</f>
        <v>Abrir no Google Maps</v>
      </c>
      <c r="S670">
        <v>1</v>
      </c>
      <c r="T670">
        <v>0</v>
      </c>
      <c r="U670">
        <v>1</v>
      </c>
      <c r="V670">
        <v>0.27055842933667629</v>
      </c>
      <c r="W670">
        <v>1</v>
      </c>
      <c r="X670">
        <v>0.27055842933667629</v>
      </c>
      <c r="Y670">
        <v>588</v>
      </c>
      <c r="Z670">
        <v>51.152636251897107</v>
      </c>
      <c r="AA670">
        <v>198</v>
      </c>
      <c r="AB670">
        <v>332</v>
      </c>
      <c r="AC670">
        <v>536</v>
      </c>
      <c r="AD670">
        <v>33.19</v>
      </c>
      <c r="AE670">
        <v>542</v>
      </c>
      <c r="AF670">
        <v>42</v>
      </c>
      <c r="AG670">
        <v>173</v>
      </c>
      <c r="AH670">
        <v>129</v>
      </c>
      <c r="AI670">
        <v>7.75</v>
      </c>
      <c r="AJ670">
        <v>31.92</v>
      </c>
      <c r="AK670">
        <v>23.8</v>
      </c>
      <c r="AL670">
        <v>-20.140759399999951</v>
      </c>
      <c r="AM670">
        <v>-44.898703172474903</v>
      </c>
      <c r="AN670">
        <v>-20.140759399999951</v>
      </c>
      <c r="AO670">
        <v>-44.898703172474903</v>
      </c>
      <c r="AP670">
        <v>-20.140789000000002</v>
      </c>
      <c r="AQ670">
        <v>-44.898631000000002</v>
      </c>
      <c r="AR670">
        <v>8.2312502179962053</v>
      </c>
      <c r="AS670" t="s">
        <v>65</v>
      </c>
      <c r="AT670">
        <v>1</v>
      </c>
      <c r="AU670" t="s">
        <v>1593</v>
      </c>
      <c r="AV670" t="s">
        <v>1594</v>
      </c>
      <c r="AW670" t="s">
        <v>60</v>
      </c>
      <c r="AX670" t="s">
        <v>68</v>
      </c>
      <c r="AY670" t="s">
        <v>69</v>
      </c>
      <c r="AZ670" t="b">
        <v>1</v>
      </c>
    </row>
    <row r="671" spans="1:52" x14ac:dyDescent="0.3">
      <c r="A671" t="s">
        <v>52</v>
      </c>
      <c r="B671" t="s">
        <v>53</v>
      </c>
      <c r="C671" t="s">
        <v>54</v>
      </c>
      <c r="D671" t="s">
        <v>55</v>
      </c>
      <c r="E671" t="s">
        <v>1617</v>
      </c>
      <c r="F671" t="s">
        <v>1247</v>
      </c>
      <c r="G671" t="s">
        <v>1595</v>
      </c>
      <c r="H671" t="s">
        <v>1596</v>
      </c>
      <c r="I671" t="s">
        <v>1596</v>
      </c>
      <c r="J671" t="s">
        <v>60</v>
      </c>
      <c r="K671" t="s">
        <v>530</v>
      </c>
      <c r="L671" t="s">
        <v>62</v>
      </c>
      <c r="M671" t="s">
        <v>530</v>
      </c>
      <c r="N671" t="s">
        <v>1006</v>
      </c>
      <c r="O671" t="s">
        <v>1597</v>
      </c>
      <c r="P671">
        <v>-20.139135</v>
      </c>
      <c r="Q671">
        <v>-44.895907000000001</v>
      </c>
      <c r="R671" s="2" t="str">
        <f>HYPERLINK("https://www.google.com/maps?q=-20.1391350,-44.8959070","Abrir no Google Maps")</f>
        <v>Abrir no Google Maps</v>
      </c>
      <c r="S671">
        <v>1</v>
      </c>
      <c r="T671">
        <v>324.98342996447241</v>
      </c>
      <c r="U671">
        <v>1</v>
      </c>
      <c r="V671">
        <v>0.2292213577240601</v>
      </c>
      <c r="W671">
        <v>1</v>
      </c>
      <c r="X671">
        <v>0.2292213577240601</v>
      </c>
      <c r="Y671">
        <v>588</v>
      </c>
      <c r="Z671">
        <v>411.69998599301618</v>
      </c>
      <c r="AA671">
        <v>198</v>
      </c>
      <c r="AB671">
        <v>332</v>
      </c>
      <c r="AC671">
        <v>536</v>
      </c>
      <c r="AD671">
        <v>33.19</v>
      </c>
      <c r="AE671">
        <v>542</v>
      </c>
      <c r="AF671">
        <v>42</v>
      </c>
      <c r="AG671">
        <v>173</v>
      </c>
      <c r="AH671">
        <v>129</v>
      </c>
      <c r="AI671">
        <v>7.75</v>
      </c>
      <c r="AJ671">
        <v>31.92</v>
      </c>
      <c r="AK671">
        <v>23.8</v>
      </c>
      <c r="AL671">
        <v>-20.139299649999941</v>
      </c>
      <c r="AM671">
        <v>-44.896005009217312</v>
      </c>
      <c r="AN671">
        <v>-20.139299649999941</v>
      </c>
      <c r="AO671">
        <v>-44.896005009217312</v>
      </c>
      <c r="AP671">
        <v>-20.139135</v>
      </c>
      <c r="AQ671">
        <v>-44.895907000000001</v>
      </c>
      <c r="AR671">
        <v>20.996943428875841</v>
      </c>
      <c r="AS671" t="s">
        <v>65</v>
      </c>
      <c r="AT671">
        <v>1</v>
      </c>
      <c r="AU671" t="s">
        <v>1598</v>
      </c>
      <c r="AV671" t="s">
        <v>1599</v>
      </c>
      <c r="AW671" t="s">
        <v>60</v>
      </c>
      <c r="AX671" t="s">
        <v>68</v>
      </c>
      <c r="AY671" t="s">
        <v>69</v>
      </c>
      <c r="AZ671" t="b">
        <v>1</v>
      </c>
    </row>
    <row r="672" spans="1:52" x14ac:dyDescent="0.3">
      <c r="A672" t="s">
        <v>52</v>
      </c>
      <c r="B672" t="s">
        <v>53</v>
      </c>
      <c r="C672" t="s">
        <v>54</v>
      </c>
      <c r="D672" t="s">
        <v>55</v>
      </c>
      <c r="E672" t="s">
        <v>1617</v>
      </c>
      <c r="F672" t="s">
        <v>1247</v>
      </c>
      <c r="G672" t="s">
        <v>1342</v>
      </c>
      <c r="H672" t="s">
        <v>1600</v>
      </c>
      <c r="I672" t="s">
        <v>1600</v>
      </c>
      <c r="J672" t="s">
        <v>60</v>
      </c>
      <c r="K672" t="s">
        <v>462</v>
      </c>
      <c r="L672" t="s">
        <v>62</v>
      </c>
      <c r="M672" t="s">
        <v>462</v>
      </c>
      <c r="N672" t="s">
        <v>921</v>
      </c>
      <c r="O672" t="s">
        <v>1601</v>
      </c>
      <c r="P672">
        <v>-20.140741999999999</v>
      </c>
      <c r="Q672">
        <v>-44.902729000000001</v>
      </c>
      <c r="R672" s="2" t="str">
        <f>HYPERLINK("https://www.google.com/maps?q=-20.1407420,-44.9027290","Abrir no Google Maps")</f>
        <v>Abrir no Google Maps</v>
      </c>
      <c r="S672">
        <v>1</v>
      </c>
      <c r="T672">
        <v>373.97936588503438</v>
      </c>
      <c r="U672">
        <v>1</v>
      </c>
      <c r="V672">
        <v>0.31594726386129668</v>
      </c>
      <c r="W672">
        <v>1</v>
      </c>
      <c r="X672">
        <v>0.31594726386129668</v>
      </c>
      <c r="Y672">
        <v>588</v>
      </c>
      <c r="Z672">
        <v>427.55758539734131</v>
      </c>
      <c r="AA672">
        <v>198</v>
      </c>
      <c r="AB672">
        <v>332</v>
      </c>
      <c r="AC672">
        <v>536</v>
      </c>
      <c r="AD672">
        <v>33.19</v>
      </c>
      <c r="AE672">
        <v>542</v>
      </c>
      <c r="AF672">
        <v>42</v>
      </c>
      <c r="AG672">
        <v>173</v>
      </c>
      <c r="AH672">
        <v>129</v>
      </c>
      <c r="AI672">
        <v>7.75</v>
      </c>
      <c r="AJ672">
        <v>31.92</v>
      </c>
      <c r="AK672">
        <v>23.8</v>
      </c>
      <c r="AL672">
        <v>-20.140729549999971</v>
      </c>
      <c r="AM672">
        <v>-44.902779454814521</v>
      </c>
      <c r="AN672">
        <v>-20.140729549999971</v>
      </c>
      <c r="AO672">
        <v>-44.902779454814521</v>
      </c>
      <c r="AP672">
        <v>-20.140741999999999</v>
      </c>
      <c r="AQ672">
        <v>-44.902729000000001</v>
      </c>
      <c r="AR672">
        <v>5.4522610212697993</v>
      </c>
      <c r="AS672" t="s">
        <v>65</v>
      </c>
      <c r="AT672">
        <v>1</v>
      </c>
      <c r="AU672" t="s">
        <v>1602</v>
      </c>
      <c r="AV672" t="s">
        <v>1603</v>
      </c>
      <c r="AW672" t="s">
        <v>60</v>
      </c>
      <c r="AX672" t="s">
        <v>68</v>
      </c>
      <c r="AY672" t="s">
        <v>69</v>
      </c>
      <c r="AZ672" t="b">
        <v>1</v>
      </c>
    </row>
    <row r="673" spans="1:52" x14ac:dyDescent="0.3">
      <c r="A673" t="s">
        <v>52</v>
      </c>
      <c r="B673" t="s">
        <v>53</v>
      </c>
      <c r="C673" t="s">
        <v>54</v>
      </c>
      <c r="D673" t="s">
        <v>55</v>
      </c>
      <c r="E673" t="s">
        <v>1617</v>
      </c>
      <c r="F673" t="s">
        <v>1247</v>
      </c>
      <c r="G673" t="s">
        <v>1612</v>
      </c>
      <c r="H673" t="s">
        <v>1613</v>
      </c>
      <c r="I673" t="s">
        <v>1613</v>
      </c>
      <c r="J673" t="s">
        <v>60</v>
      </c>
      <c r="K673" t="s">
        <v>1349</v>
      </c>
      <c r="L673" t="s">
        <v>62</v>
      </c>
      <c r="M673" t="s">
        <v>1349</v>
      </c>
      <c r="N673" t="s">
        <v>1614</v>
      </c>
      <c r="O673" t="s">
        <v>710</v>
      </c>
      <c r="P673">
        <v>-20.141335999999999</v>
      </c>
      <c r="Q673">
        <v>-44.901133000000002</v>
      </c>
      <c r="R673" s="2" t="str">
        <f>HYPERLINK("https://www.google.com/maps?q=-20.1413360,-44.9011330","Abrir no Google Maps")</f>
        <v>Abrir no Google Maps</v>
      </c>
      <c r="S673">
        <v>1</v>
      </c>
      <c r="T673">
        <v>257.92927430829218</v>
      </c>
      <c r="U673">
        <v>1</v>
      </c>
      <c r="V673">
        <v>0.28380355276906999</v>
      </c>
      <c r="W673">
        <v>0.85</v>
      </c>
      <c r="X673">
        <v>0.24123301985370951</v>
      </c>
      <c r="Y673">
        <v>588</v>
      </c>
      <c r="Z673">
        <v>252.62617475231269</v>
      </c>
      <c r="AA673">
        <v>198</v>
      </c>
      <c r="AB673">
        <v>332</v>
      </c>
      <c r="AC673">
        <v>536</v>
      </c>
      <c r="AD673">
        <v>33.19</v>
      </c>
      <c r="AE673">
        <v>542</v>
      </c>
      <c r="AF673">
        <v>42</v>
      </c>
      <c r="AG673">
        <v>173</v>
      </c>
      <c r="AH673">
        <v>129</v>
      </c>
      <c r="AI673">
        <v>7.75</v>
      </c>
      <c r="AJ673">
        <v>31.92</v>
      </c>
      <c r="AK673">
        <v>23.8</v>
      </c>
      <c r="AL673">
        <v>-20.141297649999959</v>
      </c>
      <c r="AM673">
        <v>-44.901104406351408</v>
      </c>
      <c r="AN673">
        <v>-20.141297649999959</v>
      </c>
      <c r="AO673">
        <v>-44.901104406351408</v>
      </c>
      <c r="AP673">
        <v>-20.141335999999999</v>
      </c>
      <c r="AQ673">
        <v>-44.901133000000002</v>
      </c>
      <c r="AR673">
        <v>5.211130154459668</v>
      </c>
      <c r="AS673" t="s">
        <v>65</v>
      </c>
      <c r="AT673">
        <v>1</v>
      </c>
      <c r="AU673" t="s">
        <v>1615</v>
      </c>
      <c r="AV673" t="s">
        <v>1616</v>
      </c>
      <c r="AW673" t="s">
        <v>60</v>
      </c>
      <c r="AX673" t="s">
        <v>68</v>
      </c>
      <c r="AY673" t="s">
        <v>69</v>
      </c>
      <c r="AZ673" t="b">
        <v>1</v>
      </c>
    </row>
    <row r="674" spans="1:52" x14ac:dyDescent="0.3">
      <c r="A674" t="s">
        <v>52</v>
      </c>
      <c r="B674" t="s">
        <v>53</v>
      </c>
      <c r="C674" t="s">
        <v>54</v>
      </c>
      <c r="D674" t="s">
        <v>55</v>
      </c>
      <c r="E674" t="s">
        <v>1617</v>
      </c>
      <c r="F674" t="s">
        <v>1247</v>
      </c>
      <c r="G674" t="s">
        <v>1584</v>
      </c>
      <c r="H674" t="s">
        <v>1604</v>
      </c>
      <c r="I674" t="s">
        <v>1604</v>
      </c>
      <c r="J674" t="s">
        <v>60</v>
      </c>
      <c r="K674" t="s">
        <v>530</v>
      </c>
      <c r="L674" t="s">
        <v>62</v>
      </c>
      <c r="M674" t="s">
        <v>530</v>
      </c>
      <c r="N674" t="s">
        <v>406</v>
      </c>
      <c r="O674" t="s">
        <v>1267</v>
      </c>
      <c r="P674">
        <v>-20.147068000000001</v>
      </c>
      <c r="Q674">
        <v>-44.898629999999997</v>
      </c>
      <c r="R674" s="2" t="str">
        <f>HYPERLINK("https://www.google.com/maps?q=-20.1470680,-44.8986300","Abrir no Google Maps")</f>
        <v>Abrir no Google Maps</v>
      </c>
      <c r="S674">
        <v>1</v>
      </c>
      <c r="T674">
        <v>468.5580266389448</v>
      </c>
      <c r="U674">
        <v>1</v>
      </c>
      <c r="V674">
        <v>0.3013983498311536</v>
      </c>
      <c r="W674">
        <v>1</v>
      </c>
      <c r="X674">
        <v>0.3013983498311536</v>
      </c>
      <c r="Y674">
        <v>556</v>
      </c>
      <c r="Z674">
        <v>447.77738134922419</v>
      </c>
      <c r="AA674">
        <v>198</v>
      </c>
      <c r="AB674">
        <v>332</v>
      </c>
      <c r="AC674">
        <v>536</v>
      </c>
      <c r="AD674">
        <v>33.19</v>
      </c>
      <c r="AE674">
        <v>542</v>
      </c>
      <c r="AF674">
        <v>42</v>
      </c>
      <c r="AG674">
        <v>173</v>
      </c>
      <c r="AH674">
        <v>129</v>
      </c>
      <c r="AI674">
        <v>7.75</v>
      </c>
      <c r="AJ674">
        <v>31.92</v>
      </c>
      <c r="AK674">
        <v>23.8</v>
      </c>
      <c r="AL674">
        <v>-20.14701759999997</v>
      </c>
      <c r="AM674">
        <v>-44.898633710342303</v>
      </c>
      <c r="AN674">
        <v>-20.14701759999997</v>
      </c>
      <c r="AO674">
        <v>-44.898633710342303</v>
      </c>
      <c r="AP674">
        <v>-20.147068000000001</v>
      </c>
      <c r="AQ674">
        <v>-44.898629999999997</v>
      </c>
      <c r="AR674">
        <v>5.6239118246064832</v>
      </c>
      <c r="AS674" t="s">
        <v>65</v>
      </c>
      <c r="AT674">
        <v>1</v>
      </c>
      <c r="AU674" t="s">
        <v>1605</v>
      </c>
      <c r="AV674" t="s">
        <v>1606</v>
      </c>
      <c r="AW674" t="s">
        <v>60</v>
      </c>
      <c r="AX674" t="s">
        <v>68</v>
      </c>
      <c r="AY674" t="s">
        <v>69</v>
      </c>
      <c r="AZ674" t="b">
        <v>1</v>
      </c>
    </row>
    <row r="675" spans="1:52" x14ac:dyDescent="0.3">
      <c r="A675" t="s">
        <v>52</v>
      </c>
      <c r="B675" t="s">
        <v>53</v>
      </c>
      <c r="C675" t="s">
        <v>54</v>
      </c>
      <c r="D675" t="s">
        <v>55</v>
      </c>
      <c r="E675" t="s">
        <v>2099</v>
      </c>
      <c r="F675" t="s">
        <v>57</v>
      </c>
      <c r="G675" t="s">
        <v>122</v>
      </c>
      <c r="H675" t="s">
        <v>123</v>
      </c>
      <c r="I675" t="s">
        <v>123</v>
      </c>
      <c r="J675" t="s">
        <v>60</v>
      </c>
      <c r="K675" t="s">
        <v>117</v>
      </c>
      <c r="L675" t="s">
        <v>62</v>
      </c>
      <c r="M675" t="s">
        <v>117</v>
      </c>
      <c r="N675" t="s">
        <v>124</v>
      </c>
      <c r="O675" t="s">
        <v>125</v>
      </c>
      <c r="P675">
        <v>-20.11853</v>
      </c>
      <c r="Q675">
        <v>-44.896925000000003</v>
      </c>
      <c r="R675" s="2" t="str">
        <f>HYPERLINK("https://www.google.com/maps?q=-20.1185300,-44.8969250","Abrir no Google Maps")</f>
        <v>Abrir no Google Maps</v>
      </c>
      <c r="S675">
        <v>4</v>
      </c>
      <c r="T675">
        <v>325.32255721093247</v>
      </c>
      <c r="U675">
        <v>4</v>
      </c>
      <c r="V675">
        <v>19</v>
      </c>
      <c r="W675">
        <v>1</v>
      </c>
      <c r="X675">
        <v>19</v>
      </c>
      <c r="Y675">
        <v>567</v>
      </c>
      <c r="Z675">
        <v>306.04423478678871</v>
      </c>
      <c r="AA675">
        <v>198</v>
      </c>
      <c r="AB675">
        <v>332</v>
      </c>
      <c r="AC675">
        <v>536</v>
      </c>
      <c r="AD675">
        <v>30.48</v>
      </c>
      <c r="AE675">
        <v>542</v>
      </c>
      <c r="AF675">
        <v>30</v>
      </c>
      <c r="AG675">
        <v>176</v>
      </c>
      <c r="AH675">
        <v>129</v>
      </c>
      <c r="AI675">
        <v>5.54</v>
      </c>
      <c r="AJ675">
        <v>32.47</v>
      </c>
      <c r="AK675">
        <v>23.8</v>
      </c>
      <c r="AL675">
        <v>-20.118682499999949</v>
      </c>
      <c r="AM675">
        <v>-44.896643089287927</v>
      </c>
      <c r="AN675">
        <v>-20.118682499999949</v>
      </c>
      <c r="AO675">
        <v>-44.896643089287927</v>
      </c>
      <c r="AP675">
        <v>-20.11853</v>
      </c>
      <c r="AQ675">
        <v>-44.896925000000003</v>
      </c>
      <c r="AR675">
        <v>34.007698996886518</v>
      </c>
      <c r="AS675" t="s">
        <v>65</v>
      </c>
      <c r="AT675">
        <v>1</v>
      </c>
      <c r="AU675" t="s">
        <v>126</v>
      </c>
      <c r="AV675" t="s">
        <v>121</v>
      </c>
      <c r="AW675" t="s">
        <v>60</v>
      </c>
      <c r="AX675" t="s">
        <v>68</v>
      </c>
      <c r="AY675" t="s">
        <v>69</v>
      </c>
      <c r="AZ675" t="b">
        <v>1</v>
      </c>
    </row>
    <row r="676" spans="1:52" x14ac:dyDescent="0.3">
      <c r="A676" t="s">
        <v>52</v>
      </c>
      <c r="B676" t="s">
        <v>53</v>
      </c>
      <c r="C676" t="s">
        <v>54</v>
      </c>
      <c r="D676" t="s">
        <v>55</v>
      </c>
      <c r="E676" t="s">
        <v>2099</v>
      </c>
      <c r="F676" t="s">
        <v>57</v>
      </c>
      <c r="G676" t="s">
        <v>219</v>
      </c>
      <c r="H676" t="s">
        <v>220</v>
      </c>
      <c r="I676" t="s">
        <v>220</v>
      </c>
      <c r="J676" t="s">
        <v>60</v>
      </c>
      <c r="K676" t="s">
        <v>214</v>
      </c>
      <c r="L676" t="s">
        <v>62</v>
      </c>
      <c r="M676" t="s">
        <v>214</v>
      </c>
      <c r="N676" t="s">
        <v>221</v>
      </c>
      <c r="O676" t="s">
        <v>222</v>
      </c>
      <c r="P676">
        <v>-20.158049999999999</v>
      </c>
      <c r="Q676">
        <v>-44.868823999999996</v>
      </c>
      <c r="R676" s="2" t="str">
        <f>HYPERLINK("https://www.google.com/maps?q=-20.1580500,-44.8688240","Abrir no Google Maps")</f>
        <v>Abrir no Google Maps</v>
      </c>
      <c r="S676">
        <v>4</v>
      </c>
      <c r="T676">
        <v>400.85705002223079</v>
      </c>
      <c r="U676">
        <v>4</v>
      </c>
      <c r="V676">
        <v>23</v>
      </c>
      <c r="W676">
        <v>1</v>
      </c>
      <c r="X676">
        <v>23</v>
      </c>
      <c r="Y676">
        <v>531</v>
      </c>
      <c r="Z676">
        <v>493.98501624607121</v>
      </c>
      <c r="AA676">
        <v>198</v>
      </c>
      <c r="AB676">
        <v>332</v>
      </c>
      <c r="AC676">
        <v>536</v>
      </c>
      <c r="AD676">
        <v>30.48</v>
      </c>
      <c r="AE676">
        <v>542</v>
      </c>
      <c r="AF676">
        <v>30</v>
      </c>
      <c r="AG676">
        <v>176</v>
      </c>
      <c r="AH676">
        <v>129</v>
      </c>
      <c r="AI676">
        <v>5.54</v>
      </c>
      <c r="AJ676">
        <v>32.47</v>
      </c>
      <c r="AK676">
        <v>23.8</v>
      </c>
      <c r="AL676">
        <v>-20.158020649999969</v>
      </c>
      <c r="AM676">
        <v>-44.868748475381317</v>
      </c>
      <c r="AN676">
        <v>-20.158020649999969</v>
      </c>
      <c r="AO676">
        <v>-44.868748475381331</v>
      </c>
      <c r="AP676">
        <v>-20.158049999999999</v>
      </c>
      <c r="AQ676">
        <v>-44.868823999999996</v>
      </c>
      <c r="AR676">
        <v>8.5419571471718818</v>
      </c>
      <c r="AS676" t="s">
        <v>65</v>
      </c>
      <c r="AT676">
        <v>1</v>
      </c>
      <c r="AU676" t="s">
        <v>223</v>
      </c>
      <c r="AV676" t="s">
        <v>224</v>
      </c>
      <c r="AW676" t="s">
        <v>60</v>
      </c>
      <c r="AX676" t="s">
        <v>68</v>
      </c>
      <c r="AY676" t="s">
        <v>69</v>
      </c>
      <c r="AZ676" t="b">
        <v>1</v>
      </c>
    </row>
    <row r="677" spans="1:52" x14ac:dyDescent="0.3">
      <c r="A677" t="s">
        <v>52</v>
      </c>
      <c r="B677" t="s">
        <v>53</v>
      </c>
      <c r="C677" t="s">
        <v>54</v>
      </c>
      <c r="D677" t="s">
        <v>55</v>
      </c>
      <c r="E677" t="s">
        <v>2099</v>
      </c>
      <c r="F677" t="s">
        <v>57</v>
      </c>
      <c r="G677" t="s">
        <v>127</v>
      </c>
      <c r="H677" t="s">
        <v>128</v>
      </c>
      <c r="I677" t="s">
        <v>128</v>
      </c>
      <c r="J677" t="s">
        <v>60</v>
      </c>
      <c r="K677" t="s">
        <v>129</v>
      </c>
      <c r="L677" t="s">
        <v>62</v>
      </c>
      <c r="M677" t="s">
        <v>129</v>
      </c>
      <c r="N677" t="s">
        <v>130</v>
      </c>
      <c r="O677" t="s">
        <v>131</v>
      </c>
      <c r="P677">
        <v>-20.130752000000001</v>
      </c>
      <c r="Q677">
        <v>-44.865676999999998</v>
      </c>
      <c r="R677" s="2" t="str">
        <f>HYPERLINK("https://www.google.com/maps?q=-20.1307520,-44.8656770","Abrir no Google Maps")</f>
        <v>Abrir no Google Maps</v>
      </c>
      <c r="S677">
        <v>4</v>
      </c>
      <c r="T677">
        <v>666.25741128624747</v>
      </c>
      <c r="U677">
        <v>4</v>
      </c>
      <c r="V677">
        <v>23</v>
      </c>
      <c r="W677">
        <v>1</v>
      </c>
      <c r="X677">
        <v>23</v>
      </c>
      <c r="Y677">
        <v>387</v>
      </c>
      <c r="Z677">
        <v>838.7193965949632</v>
      </c>
      <c r="AA677">
        <v>198</v>
      </c>
      <c r="AB677">
        <v>332</v>
      </c>
      <c r="AC677">
        <v>536</v>
      </c>
      <c r="AD677">
        <v>30.48</v>
      </c>
      <c r="AE677">
        <v>542</v>
      </c>
      <c r="AF677">
        <v>30</v>
      </c>
      <c r="AG677">
        <v>176</v>
      </c>
      <c r="AH677">
        <v>129</v>
      </c>
      <c r="AI677">
        <v>5.54</v>
      </c>
      <c r="AJ677">
        <v>32.47</v>
      </c>
      <c r="AK677">
        <v>23.8</v>
      </c>
      <c r="AL677">
        <v>-20.130734049999969</v>
      </c>
      <c r="AM677">
        <v>-44.86564904282416</v>
      </c>
      <c r="AN677">
        <v>-20.130734049999969</v>
      </c>
      <c r="AO677">
        <v>-44.86564904282416</v>
      </c>
      <c r="AP677">
        <v>-20.130752000000001</v>
      </c>
      <c r="AQ677">
        <v>-44.865676999999998</v>
      </c>
      <c r="AR677">
        <v>3.539952280780454</v>
      </c>
      <c r="AS677" t="s">
        <v>65</v>
      </c>
      <c r="AT677">
        <v>1</v>
      </c>
      <c r="AU677" t="s">
        <v>132</v>
      </c>
      <c r="AV677" t="s">
        <v>133</v>
      </c>
      <c r="AW677" t="s">
        <v>60</v>
      </c>
      <c r="AX677" t="s">
        <v>68</v>
      </c>
      <c r="AY677" t="s">
        <v>69</v>
      </c>
      <c r="AZ677" t="b">
        <v>1</v>
      </c>
    </row>
    <row r="678" spans="1:52" x14ac:dyDescent="0.3">
      <c r="A678" t="s">
        <v>52</v>
      </c>
      <c r="B678" t="s">
        <v>53</v>
      </c>
      <c r="C678" t="s">
        <v>54</v>
      </c>
      <c r="D678" t="s">
        <v>55</v>
      </c>
      <c r="E678" t="s">
        <v>2099</v>
      </c>
      <c r="F678" t="s">
        <v>57</v>
      </c>
      <c r="G678" t="s">
        <v>1623</v>
      </c>
      <c r="H678" t="s">
        <v>1624</v>
      </c>
      <c r="I678" t="s">
        <v>1624</v>
      </c>
      <c r="J678" t="s">
        <v>60</v>
      </c>
      <c r="K678" t="s">
        <v>281</v>
      </c>
      <c r="L678" t="s">
        <v>62</v>
      </c>
      <c r="M678" t="s">
        <v>281</v>
      </c>
      <c r="N678" t="s">
        <v>1625</v>
      </c>
      <c r="O678" t="s">
        <v>1538</v>
      </c>
      <c r="P678">
        <v>-20.177247000000001</v>
      </c>
      <c r="Q678">
        <v>-44.848650999999997</v>
      </c>
      <c r="R678" s="2" t="str">
        <f>HYPERLINK("https://www.google.com/maps?q=-20.1772470,-44.8486510","Abrir no Google Maps")</f>
        <v>Abrir no Google Maps</v>
      </c>
      <c r="S678">
        <v>4</v>
      </c>
      <c r="T678">
        <v>1293.074917502197</v>
      </c>
      <c r="U678">
        <v>4</v>
      </c>
      <c r="V678">
        <v>26</v>
      </c>
      <c r="W678">
        <v>1</v>
      </c>
      <c r="X678">
        <v>26</v>
      </c>
      <c r="Y678">
        <v>292</v>
      </c>
      <c r="Z678">
        <v>1225.3954943545491</v>
      </c>
      <c r="AA678">
        <v>198</v>
      </c>
      <c r="AB678">
        <v>332</v>
      </c>
      <c r="AC678">
        <v>536</v>
      </c>
      <c r="AD678">
        <v>30.48</v>
      </c>
      <c r="AE678">
        <v>542</v>
      </c>
      <c r="AF678">
        <v>30</v>
      </c>
      <c r="AG678">
        <v>176</v>
      </c>
      <c r="AH678">
        <v>129</v>
      </c>
      <c r="AI678">
        <v>5.54</v>
      </c>
      <c r="AJ678">
        <v>32.47</v>
      </c>
      <c r="AK678">
        <v>23.8</v>
      </c>
      <c r="AL678">
        <v>-20.17729789999996</v>
      </c>
      <c r="AM678">
        <v>-44.848543982702637</v>
      </c>
      <c r="AN678">
        <v>-20.17729789999996</v>
      </c>
      <c r="AO678">
        <v>-44.848543982702637</v>
      </c>
      <c r="AP678">
        <v>-20.177247000000001</v>
      </c>
      <c r="AQ678">
        <v>-44.848650999999997</v>
      </c>
      <c r="AR678">
        <v>12.53570773213052</v>
      </c>
      <c r="AS678" t="s">
        <v>65</v>
      </c>
      <c r="AT678">
        <v>1</v>
      </c>
      <c r="AU678" t="s">
        <v>1626</v>
      </c>
      <c r="AV678" t="s">
        <v>1627</v>
      </c>
      <c r="AW678" t="s">
        <v>60</v>
      </c>
      <c r="AX678" t="s">
        <v>68</v>
      </c>
      <c r="AY678" t="s">
        <v>69</v>
      </c>
      <c r="AZ678" t="b">
        <v>1</v>
      </c>
    </row>
    <row r="679" spans="1:52" x14ac:dyDescent="0.3">
      <c r="A679" t="s">
        <v>52</v>
      </c>
      <c r="B679" t="s">
        <v>53</v>
      </c>
      <c r="C679" t="s">
        <v>54</v>
      </c>
      <c r="D679" t="s">
        <v>55</v>
      </c>
      <c r="E679" t="s">
        <v>2099</v>
      </c>
      <c r="F679" t="s">
        <v>57</v>
      </c>
      <c r="G679" t="s">
        <v>1628</v>
      </c>
      <c r="H679" t="s">
        <v>1629</v>
      </c>
      <c r="I679" t="s">
        <v>1629</v>
      </c>
      <c r="J679" t="s">
        <v>60</v>
      </c>
      <c r="K679" t="s">
        <v>136</v>
      </c>
      <c r="L679" t="s">
        <v>62</v>
      </c>
      <c r="M679" t="s">
        <v>136</v>
      </c>
      <c r="N679" t="s">
        <v>1630</v>
      </c>
      <c r="O679" t="s">
        <v>103</v>
      </c>
      <c r="P679">
        <v>-20.169488999999999</v>
      </c>
      <c r="Q679">
        <v>-44.848812000000002</v>
      </c>
      <c r="R679" s="2" t="str">
        <f>HYPERLINK("https://www.google.com/maps?q=-20.1694890,-44.8488120","Abrir no Google Maps")</f>
        <v>Abrir no Google Maps</v>
      </c>
      <c r="S679">
        <v>4</v>
      </c>
      <c r="T679">
        <v>426.92881761579793</v>
      </c>
      <c r="U679">
        <v>4</v>
      </c>
      <c r="V679">
        <v>27</v>
      </c>
      <c r="W679">
        <v>1</v>
      </c>
      <c r="X679">
        <v>27</v>
      </c>
      <c r="Y679">
        <v>292</v>
      </c>
      <c r="Z679">
        <v>345.01829288722871</v>
      </c>
      <c r="AA679">
        <v>198</v>
      </c>
      <c r="AB679">
        <v>332</v>
      </c>
      <c r="AC679">
        <v>536</v>
      </c>
      <c r="AD679">
        <v>30.48</v>
      </c>
      <c r="AE679">
        <v>542</v>
      </c>
      <c r="AF679">
        <v>30</v>
      </c>
      <c r="AG679">
        <v>176</v>
      </c>
      <c r="AH679">
        <v>129</v>
      </c>
      <c r="AI679">
        <v>5.54</v>
      </c>
      <c r="AJ679">
        <v>32.47</v>
      </c>
      <c r="AK679">
        <v>23.8</v>
      </c>
      <c r="AL679">
        <v>-20.169293749999959</v>
      </c>
      <c r="AM679">
        <v>-44.848899945665508</v>
      </c>
      <c r="AN679">
        <v>-20.169293749999959</v>
      </c>
      <c r="AO679">
        <v>-44.848899945665508</v>
      </c>
      <c r="AP679">
        <v>-20.169488999999999</v>
      </c>
      <c r="AQ679">
        <v>-44.848812000000002</v>
      </c>
      <c r="AR679">
        <v>23.598134321543789</v>
      </c>
      <c r="AS679" t="s">
        <v>65</v>
      </c>
      <c r="AT679">
        <v>1</v>
      </c>
      <c r="AU679" t="s">
        <v>1631</v>
      </c>
      <c r="AV679" t="s">
        <v>1632</v>
      </c>
      <c r="AW679" t="s">
        <v>60</v>
      </c>
      <c r="AX679" t="s">
        <v>68</v>
      </c>
      <c r="AY679" t="s">
        <v>69</v>
      </c>
      <c r="AZ679" t="b">
        <v>1</v>
      </c>
    </row>
    <row r="680" spans="1:52" x14ac:dyDescent="0.3">
      <c r="A680" t="s">
        <v>52</v>
      </c>
      <c r="B680" t="s">
        <v>53</v>
      </c>
      <c r="C680" t="s">
        <v>54</v>
      </c>
      <c r="D680" t="s">
        <v>55</v>
      </c>
      <c r="E680" t="s">
        <v>2099</v>
      </c>
      <c r="F680" t="s">
        <v>57</v>
      </c>
      <c r="G680" t="s">
        <v>267</v>
      </c>
      <c r="H680" t="s">
        <v>268</v>
      </c>
      <c r="I680" t="s">
        <v>268</v>
      </c>
      <c r="J680" t="s">
        <v>60</v>
      </c>
      <c r="K680" t="s">
        <v>150</v>
      </c>
      <c r="L680" t="s">
        <v>62</v>
      </c>
      <c r="M680" t="s">
        <v>150</v>
      </c>
      <c r="N680" t="s">
        <v>269</v>
      </c>
      <c r="O680" t="s">
        <v>270</v>
      </c>
      <c r="P680">
        <v>-20.172367999999999</v>
      </c>
      <c r="Q680">
        <v>-44.848661</v>
      </c>
      <c r="R680" s="2" t="str">
        <f>HYPERLINK("https://www.google.com/maps?q=-20.1723680,-44.8486610","Abrir no Google Maps")</f>
        <v>Abrir no Google Maps</v>
      </c>
      <c r="S680">
        <v>4</v>
      </c>
      <c r="T680">
        <v>759.75892180950234</v>
      </c>
      <c r="U680">
        <v>4</v>
      </c>
      <c r="V680">
        <v>27</v>
      </c>
      <c r="W680">
        <v>1</v>
      </c>
      <c r="X680">
        <v>27</v>
      </c>
      <c r="Y680">
        <v>292</v>
      </c>
      <c r="Z680">
        <v>735.80511761487242</v>
      </c>
      <c r="AA680">
        <v>198</v>
      </c>
      <c r="AB680">
        <v>332</v>
      </c>
      <c r="AC680">
        <v>536</v>
      </c>
      <c r="AD680">
        <v>30.48</v>
      </c>
      <c r="AE680">
        <v>542</v>
      </c>
      <c r="AF680">
        <v>30</v>
      </c>
      <c r="AG680">
        <v>176</v>
      </c>
      <c r="AH680">
        <v>129</v>
      </c>
      <c r="AI680">
        <v>5.54</v>
      </c>
      <c r="AJ680">
        <v>32.47</v>
      </c>
      <c r="AK680">
        <v>23.8</v>
      </c>
      <c r="AL680">
        <v>-20.172435999999951</v>
      </c>
      <c r="AM680">
        <v>-44.84866233556005</v>
      </c>
      <c r="AN680">
        <v>-20.172435999999951</v>
      </c>
      <c r="AO680">
        <v>-44.84866233556005</v>
      </c>
      <c r="AP680">
        <v>-20.172367999999999</v>
      </c>
      <c r="AQ680">
        <v>-44.848661</v>
      </c>
      <c r="AR680">
        <v>7.5710462874877198</v>
      </c>
      <c r="AS680" t="s">
        <v>65</v>
      </c>
      <c r="AT680">
        <v>1</v>
      </c>
      <c r="AU680" t="s">
        <v>271</v>
      </c>
      <c r="AV680" t="s">
        <v>272</v>
      </c>
      <c r="AW680" t="s">
        <v>60</v>
      </c>
      <c r="AX680" t="s">
        <v>68</v>
      </c>
      <c r="AY680" t="s">
        <v>69</v>
      </c>
      <c r="AZ680" t="b">
        <v>1</v>
      </c>
    </row>
    <row r="681" spans="1:52" x14ac:dyDescent="0.3">
      <c r="A681" t="s">
        <v>52</v>
      </c>
      <c r="B681" t="s">
        <v>53</v>
      </c>
      <c r="C681" t="s">
        <v>54</v>
      </c>
      <c r="D681" t="s">
        <v>55</v>
      </c>
      <c r="E681" t="s">
        <v>2099</v>
      </c>
      <c r="F681" t="s">
        <v>57</v>
      </c>
      <c r="G681" t="s">
        <v>273</v>
      </c>
      <c r="H681" t="s">
        <v>274</v>
      </c>
      <c r="I681" t="s">
        <v>274</v>
      </c>
      <c r="J681" t="s">
        <v>60</v>
      </c>
      <c r="K681" t="s">
        <v>143</v>
      </c>
      <c r="L681" t="s">
        <v>62</v>
      </c>
      <c r="M681" t="s">
        <v>143</v>
      </c>
      <c r="N681" t="s">
        <v>275</v>
      </c>
      <c r="O681" t="s">
        <v>276</v>
      </c>
      <c r="P681">
        <v>-20.171367</v>
      </c>
      <c r="Q681">
        <v>-44.844709999999999</v>
      </c>
      <c r="R681" s="2" t="str">
        <f>HYPERLINK("https://www.google.com/maps?q=-20.1713670,-44.8447100","Abrir no Google Maps")</f>
        <v>Abrir no Google Maps</v>
      </c>
      <c r="S681">
        <v>4</v>
      </c>
      <c r="T681">
        <v>700.36715126879801</v>
      </c>
      <c r="U681">
        <v>4</v>
      </c>
      <c r="V681">
        <v>36</v>
      </c>
      <c r="W681">
        <v>1</v>
      </c>
      <c r="X681">
        <v>36</v>
      </c>
      <c r="Y681">
        <v>292</v>
      </c>
      <c r="Z681">
        <v>767.70201658334747</v>
      </c>
      <c r="AA681">
        <v>198</v>
      </c>
      <c r="AB681">
        <v>332</v>
      </c>
      <c r="AC681">
        <v>536</v>
      </c>
      <c r="AD681">
        <v>30.48</v>
      </c>
      <c r="AE681">
        <v>542</v>
      </c>
      <c r="AF681">
        <v>30</v>
      </c>
      <c r="AG681">
        <v>176</v>
      </c>
      <c r="AH681">
        <v>129</v>
      </c>
      <c r="AI681">
        <v>5.54</v>
      </c>
      <c r="AJ681">
        <v>32.47</v>
      </c>
      <c r="AK681">
        <v>23.8</v>
      </c>
      <c r="AL681">
        <v>-20.17140124999997</v>
      </c>
      <c r="AM681">
        <v>-44.844758486699448</v>
      </c>
      <c r="AN681">
        <v>-20.171401249999981</v>
      </c>
      <c r="AO681">
        <v>-44.844758486699448</v>
      </c>
      <c r="AP681">
        <v>-20.171367</v>
      </c>
      <c r="AQ681">
        <v>-44.844709999999999</v>
      </c>
      <c r="AR681">
        <v>6.3408204899540994</v>
      </c>
      <c r="AS681" t="s">
        <v>65</v>
      </c>
      <c r="AT681">
        <v>1</v>
      </c>
      <c r="AU681" t="s">
        <v>277</v>
      </c>
      <c r="AV681" t="s">
        <v>278</v>
      </c>
      <c r="AW681" t="s">
        <v>60</v>
      </c>
      <c r="AX681" t="s">
        <v>68</v>
      </c>
      <c r="AY681" t="s">
        <v>69</v>
      </c>
      <c r="AZ681" t="b">
        <v>1</v>
      </c>
    </row>
    <row r="682" spans="1:52" x14ac:dyDescent="0.3">
      <c r="A682" t="s">
        <v>52</v>
      </c>
      <c r="B682" t="s">
        <v>53</v>
      </c>
      <c r="C682" t="s">
        <v>54</v>
      </c>
      <c r="D682" t="s">
        <v>55</v>
      </c>
      <c r="E682" t="s">
        <v>2099</v>
      </c>
      <c r="F682" t="s">
        <v>57</v>
      </c>
      <c r="G682" t="s">
        <v>279</v>
      </c>
      <c r="H682" t="s">
        <v>280</v>
      </c>
      <c r="I682" t="s">
        <v>280</v>
      </c>
      <c r="J682" t="s">
        <v>60</v>
      </c>
      <c r="K682" t="s">
        <v>281</v>
      </c>
      <c r="L682" t="s">
        <v>62</v>
      </c>
      <c r="M682" t="s">
        <v>281</v>
      </c>
      <c r="N682" t="s">
        <v>282</v>
      </c>
      <c r="O682" t="s">
        <v>283</v>
      </c>
      <c r="P682">
        <v>-20.175312999999999</v>
      </c>
      <c r="Q682">
        <v>-44.848562999999999</v>
      </c>
      <c r="R682" s="2" t="str">
        <f>HYPERLINK("https://www.google.com/maps?q=-20.1753130,-44.8485630","Abrir no Google Maps")</f>
        <v>Abrir no Google Maps</v>
      </c>
      <c r="S682">
        <v>4</v>
      </c>
      <c r="T682">
        <v>1076.9164078034139</v>
      </c>
      <c r="U682">
        <v>4</v>
      </c>
      <c r="V682">
        <v>30</v>
      </c>
      <c r="W682">
        <v>1</v>
      </c>
      <c r="X682">
        <v>30</v>
      </c>
      <c r="Y682">
        <v>292</v>
      </c>
      <c r="Z682">
        <v>1035.650579259463</v>
      </c>
      <c r="AA682">
        <v>198</v>
      </c>
      <c r="AB682">
        <v>332</v>
      </c>
      <c r="AC682">
        <v>536</v>
      </c>
      <c r="AD682">
        <v>30.48</v>
      </c>
      <c r="AE682">
        <v>542</v>
      </c>
      <c r="AF682">
        <v>30</v>
      </c>
      <c r="AG682">
        <v>176</v>
      </c>
      <c r="AH682">
        <v>129</v>
      </c>
      <c r="AI682">
        <v>5.54</v>
      </c>
      <c r="AJ682">
        <v>32.47</v>
      </c>
      <c r="AK682">
        <v>23.8</v>
      </c>
      <c r="AL682">
        <v>-20.175338949999961</v>
      </c>
      <c r="AM682">
        <v>-44.848523168324952</v>
      </c>
      <c r="AN682">
        <v>-20.175338949999961</v>
      </c>
      <c r="AO682">
        <v>-44.848523168324952</v>
      </c>
      <c r="AP682">
        <v>-20.175312999999999</v>
      </c>
      <c r="AQ682">
        <v>-44.848562999999999</v>
      </c>
      <c r="AR682">
        <v>5.0662709576519056</v>
      </c>
      <c r="AS682" t="s">
        <v>65</v>
      </c>
      <c r="AT682">
        <v>1</v>
      </c>
      <c r="AU682" t="s">
        <v>284</v>
      </c>
      <c r="AV682" t="s">
        <v>285</v>
      </c>
      <c r="AW682" t="s">
        <v>60</v>
      </c>
      <c r="AX682" t="s">
        <v>68</v>
      </c>
      <c r="AY682" t="s">
        <v>69</v>
      </c>
      <c r="AZ682" t="b">
        <v>1</v>
      </c>
    </row>
    <row r="683" spans="1:52" x14ac:dyDescent="0.3">
      <c r="A683" t="s">
        <v>52</v>
      </c>
      <c r="B683" t="s">
        <v>53</v>
      </c>
      <c r="C683" t="s">
        <v>54</v>
      </c>
      <c r="D683" t="s">
        <v>55</v>
      </c>
      <c r="E683" t="s">
        <v>2099</v>
      </c>
      <c r="F683" t="s">
        <v>57</v>
      </c>
      <c r="G683" t="s">
        <v>134</v>
      </c>
      <c r="H683" t="s">
        <v>135</v>
      </c>
      <c r="I683" t="s">
        <v>135</v>
      </c>
      <c r="J683" t="s">
        <v>60</v>
      </c>
      <c r="K683" t="s">
        <v>136</v>
      </c>
      <c r="L683" t="s">
        <v>62</v>
      </c>
      <c r="M683" t="s">
        <v>136</v>
      </c>
      <c r="N683" t="s">
        <v>137</v>
      </c>
      <c r="O683" t="s">
        <v>138</v>
      </c>
      <c r="P683">
        <v>-20.165773000000002</v>
      </c>
      <c r="Q683">
        <v>-44.847566999999998</v>
      </c>
      <c r="R683" s="2" t="str">
        <f>HYPERLINK("https://www.google.com/maps?q=-20.1657730,-44.8475670","Abrir no Google Maps")</f>
        <v>Abrir no Google Maps</v>
      </c>
      <c r="S683">
        <v>4</v>
      </c>
      <c r="T683">
        <v>0</v>
      </c>
      <c r="U683">
        <v>4</v>
      </c>
      <c r="V683">
        <v>24</v>
      </c>
      <c r="W683">
        <v>1</v>
      </c>
      <c r="X683">
        <v>24</v>
      </c>
      <c r="Y683">
        <v>292</v>
      </c>
      <c r="Z683">
        <v>98.987346341524855</v>
      </c>
      <c r="AA683">
        <v>198</v>
      </c>
      <c r="AB683">
        <v>332</v>
      </c>
      <c r="AC683">
        <v>536</v>
      </c>
      <c r="AD683">
        <v>30.48</v>
      </c>
      <c r="AE683">
        <v>542</v>
      </c>
      <c r="AF683">
        <v>30</v>
      </c>
      <c r="AG683">
        <v>176</v>
      </c>
      <c r="AH683">
        <v>129</v>
      </c>
      <c r="AI683">
        <v>5.54</v>
      </c>
      <c r="AJ683">
        <v>32.47</v>
      </c>
      <c r="AK683">
        <v>23.8</v>
      </c>
      <c r="AL683">
        <v>-20.16565029999995</v>
      </c>
      <c r="AM683">
        <v>-44.847556627666897</v>
      </c>
      <c r="AN683">
        <v>-20.16565029999995</v>
      </c>
      <c r="AO683">
        <v>-44.847556627666897</v>
      </c>
      <c r="AP683">
        <v>-20.165773000000002</v>
      </c>
      <c r="AQ683">
        <v>-44.847566999999998</v>
      </c>
      <c r="AR683">
        <v>13.701900146251189</v>
      </c>
      <c r="AS683" t="s">
        <v>65</v>
      </c>
      <c r="AT683">
        <v>1</v>
      </c>
      <c r="AU683" t="s">
        <v>139</v>
      </c>
      <c r="AV683" t="s">
        <v>140</v>
      </c>
      <c r="AW683" t="s">
        <v>60</v>
      </c>
      <c r="AX683" t="s">
        <v>68</v>
      </c>
      <c r="AY683" t="s">
        <v>69</v>
      </c>
      <c r="AZ683" t="b">
        <v>1</v>
      </c>
    </row>
    <row r="684" spans="1:52" x14ac:dyDescent="0.3">
      <c r="A684" t="s">
        <v>52</v>
      </c>
      <c r="B684" t="s">
        <v>53</v>
      </c>
      <c r="C684" t="s">
        <v>54</v>
      </c>
      <c r="D684" t="s">
        <v>55</v>
      </c>
      <c r="E684" t="s">
        <v>2099</v>
      </c>
      <c r="F684" t="s">
        <v>57</v>
      </c>
      <c r="G684" t="s">
        <v>253</v>
      </c>
      <c r="H684" t="s">
        <v>286</v>
      </c>
      <c r="I684" t="s">
        <v>286</v>
      </c>
      <c r="J684" t="s">
        <v>60</v>
      </c>
      <c r="K684" t="s">
        <v>136</v>
      </c>
      <c r="L684" t="s">
        <v>62</v>
      </c>
      <c r="M684" t="s">
        <v>136</v>
      </c>
      <c r="N684" t="s">
        <v>256</v>
      </c>
      <c r="O684" t="s">
        <v>287</v>
      </c>
      <c r="P684">
        <v>-20.165067000000001</v>
      </c>
      <c r="Q684">
        <v>-44.851146999999997</v>
      </c>
      <c r="R684" s="2" t="str">
        <f>HYPERLINK("https://www.google.com/maps?q=-20.1650670,-44.8511470","Abrir no Google Maps")</f>
        <v>Abrir no Google Maps</v>
      </c>
      <c r="S684">
        <v>4</v>
      </c>
      <c r="T684">
        <v>374.14945573570043</v>
      </c>
      <c r="U684">
        <v>4</v>
      </c>
      <c r="V684">
        <v>21</v>
      </c>
      <c r="W684">
        <v>1</v>
      </c>
      <c r="X684">
        <v>21</v>
      </c>
      <c r="Y684">
        <v>292</v>
      </c>
      <c r="Z684">
        <v>295.9878686859272</v>
      </c>
      <c r="AA684">
        <v>198</v>
      </c>
      <c r="AB684">
        <v>332</v>
      </c>
      <c r="AC684">
        <v>536</v>
      </c>
      <c r="AD684">
        <v>30.48</v>
      </c>
      <c r="AE684">
        <v>542</v>
      </c>
      <c r="AF684">
        <v>30</v>
      </c>
      <c r="AG684">
        <v>176</v>
      </c>
      <c r="AH684">
        <v>129</v>
      </c>
      <c r="AI684">
        <v>5.54</v>
      </c>
      <c r="AJ684">
        <v>32.47</v>
      </c>
      <c r="AK684">
        <v>23.8</v>
      </c>
      <c r="AL684">
        <v>-20.164961799999961</v>
      </c>
      <c r="AM684">
        <v>-44.851062119796737</v>
      </c>
      <c r="AN684">
        <v>-20.164961799999961</v>
      </c>
      <c r="AO684">
        <v>-44.851062119796737</v>
      </c>
      <c r="AP684">
        <v>-20.165067000000001</v>
      </c>
      <c r="AQ684">
        <v>-44.851146999999997</v>
      </c>
      <c r="AR684">
        <v>14.690666366415</v>
      </c>
      <c r="AS684" t="s">
        <v>65</v>
      </c>
      <c r="AT684">
        <v>1</v>
      </c>
      <c r="AU684" t="s">
        <v>288</v>
      </c>
      <c r="AV684" t="s">
        <v>289</v>
      </c>
      <c r="AW684" t="s">
        <v>60</v>
      </c>
      <c r="AX684" t="s">
        <v>68</v>
      </c>
      <c r="AY684" t="s">
        <v>69</v>
      </c>
      <c r="AZ684" t="b">
        <v>1</v>
      </c>
    </row>
    <row r="685" spans="1:52" x14ac:dyDescent="0.3">
      <c r="A685" t="s">
        <v>52</v>
      </c>
      <c r="B685" t="s">
        <v>53</v>
      </c>
      <c r="C685" t="s">
        <v>54</v>
      </c>
      <c r="D685" t="s">
        <v>55</v>
      </c>
      <c r="E685" t="s">
        <v>2099</v>
      </c>
      <c r="F685" t="s">
        <v>57</v>
      </c>
      <c r="G685" t="s">
        <v>253</v>
      </c>
      <c r="H685" t="s">
        <v>296</v>
      </c>
      <c r="I685" t="s">
        <v>296</v>
      </c>
      <c r="J685" t="s">
        <v>60</v>
      </c>
      <c r="K685" t="s">
        <v>136</v>
      </c>
      <c r="L685" t="s">
        <v>62</v>
      </c>
      <c r="M685" t="s">
        <v>136</v>
      </c>
      <c r="N685" t="s">
        <v>256</v>
      </c>
      <c r="O685" t="s">
        <v>297</v>
      </c>
      <c r="P685">
        <v>-20.168476999999999</v>
      </c>
      <c r="Q685">
        <v>-44.852528</v>
      </c>
      <c r="R685" s="2" t="str">
        <f>HYPERLINK("https://www.google.com/maps?q=-20.1684770,-44.8525280","Abrir no Google Maps")</f>
        <v>Abrir no Google Maps</v>
      </c>
      <c r="S685">
        <v>4</v>
      </c>
      <c r="T685">
        <v>587.16898087421623</v>
      </c>
      <c r="U685">
        <v>4</v>
      </c>
      <c r="V685">
        <v>20</v>
      </c>
      <c r="W685">
        <v>1</v>
      </c>
      <c r="X685">
        <v>20</v>
      </c>
      <c r="Y685">
        <v>292</v>
      </c>
      <c r="Z685">
        <v>471.75619463337938</v>
      </c>
      <c r="AA685">
        <v>198</v>
      </c>
      <c r="AB685">
        <v>332</v>
      </c>
      <c r="AC685">
        <v>536</v>
      </c>
      <c r="AD685">
        <v>30.48</v>
      </c>
      <c r="AE685">
        <v>542</v>
      </c>
      <c r="AF685">
        <v>30</v>
      </c>
      <c r="AG685">
        <v>176</v>
      </c>
      <c r="AH685">
        <v>129</v>
      </c>
      <c r="AI685">
        <v>5.54</v>
      </c>
      <c r="AJ685">
        <v>32.47</v>
      </c>
      <c r="AK685">
        <v>23.8</v>
      </c>
      <c r="AL685">
        <v>-20.16846514999995</v>
      </c>
      <c r="AM685">
        <v>-44.852319844682007</v>
      </c>
      <c r="AN685">
        <v>-20.168465149999939</v>
      </c>
      <c r="AO685">
        <v>-44.852319844682007</v>
      </c>
      <c r="AP685">
        <v>-20.168476999999999</v>
      </c>
      <c r="AQ685">
        <v>-44.852528</v>
      </c>
      <c r="AR685">
        <v>21.790984536052999</v>
      </c>
      <c r="AS685" t="s">
        <v>65</v>
      </c>
      <c r="AT685">
        <v>1</v>
      </c>
      <c r="AU685" t="s">
        <v>298</v>
      </c>
      <c r="AV685" t="s">
        <v>299</v>
      </c>
      <c r="AW685" t="s">
        <v>60</v>
      </c>
      <c r="AX685" t="s">
        <v>68</v>
      </c>
      <c r="AY685" t="s">
        <v>69</v>
      </c>
      <c r="AZ685" t="b">
        <v>1</v>
      </c>
    </row>
    <row r="686" spans="1:52" x14ac:dyDescent="0.3">
      <c r="A686" t="s">
        <v>52</v>
      </c>
      <c r="B686" t="s">
        <v>53</v>
      </c>
      <c r="C686" t="s">
        <v>54</v>
      </c>
      <c r="D686" t="s">
        <v>55</v>
      </c>
      <c r="E686" t="s">
        <v>2099</v>
      </c>
      <c r="F686" t="s">
        <v>57</v>
      </c>
      <c r="G686" t="s">
        <v>253</v>
      </c>
      <c r="H686" t="s">
        <v>1633</v>
      </c>
      <c r="I686" t="s">
        <v>1633</v>
      </c>
      <c r="J686" t="s">
        <v>60</v>
      </c>
      <c r="K686" t="s">
        <v>982</v>
      </c>
      <c r="L686" t="s">
        <v>62</v>
      </c>
      <c r="M686" t="s">
        <v>982</v>
      </c>
      <c r="N686" t="s">
        <v>256</v>
      </c>
      <c r="O686" t="s">
        <v>1634</v>
      </c>
      <c r="P686">
        <v>-20.170407000000001</v>
      </c>
      <c r="Q686">
        <v>-44.853330999999997</v>
      </c>
      <c r="R686" s="2" t="str">
        <f>HYPERLINK("https://www.google.com/maps?q=-20.1704070,-44.8533310","Abrir no Google Maps")</f>
        <v>Abrir no Google Maps</v>
      </c>
      <c r="S686">
        <v>4</v>
      </c>
      <c r="T686">
        <v>801.41180076523165</v>
      </c>
      <c r="U686">
        <v>4</v>
      </c>
      <c r="V686">
        <v>23</v>
      </c>
      <c r="W686">
        <v>1</v>
      </c>
      <c r="X686">
        <v>23</v>
      </c>
      <c r="Y686">
        <v>292</v>
      </c>
      <c r="Z686">
        <v>726.46828777213966</v>
      </c>
      <c r="AA686">
        <v>198</v>
      </c>
      <c r="AB686">
        <v>332</v>
      </c>
      <c r="AC686">
        <v>536</v>
      </c>
      <c r="AD686">
        <v>30.48</v>
      </c>
      <c r="AE686">
        <v>542</v>
      </c>
      <c r="AF686">
        <v>30</v>
      </c>
      <c r="AG686">
        <v>176</v>
      </c>
      <c r="AH686">
        <v>129</v>
      </c>
      <c r="AI686">
        <v>5.54</v>
      </c>
      <c r="AJ686">
        <v>32.47</v>
      </c>
      <c r="AK686">
        <v>23.8</v>
      </c>
      <c r="AL686">
        <v>-20.170412849999959</v>
      </c>
      <c r="AM686">
        <v>-44.853334311192633</v>
      </c>
      <c r="AN686">
        <v>-20.170412849999959</v>
      </c>
      <c r="AO686">
        <v>-44.853334311192633</v>
      </c>
      <c r="AP686">
        <v>-20.170407000000001</v>
      </c>
      <c r="AQ686">
        <v>-44.853330999999997</v>
      </c>
      <c r="AR686">
        <v>0.73743023728700929</v>
      </c>
      <c r="AS686" t="s">
        <v>65</v>
      </c>
      <c r="AT686">
        <v>1</v>
      </c>
      <c r="AU686" t="s">
        <v>1635</v>
      </c>
      <c r="AV686" t="s">
        <v>1636</v>
      </c>
      <c r="AW686" t="s">
        <v>60</v>
      </c>
      <c r="AX686" t="s">
        <v>68</v>
      </c>
      <c r="AY686" t="s">
        <v>69</v>
      </c>
      <c r="AZ686" t="b">
        <v>1</v>
      </c>
    </row>
    <row r="687" spans="1:52" x14ac:dyDescent="0.3">
      <c r="A687" t="s">
        <v>52</v>
      </c>
      <c r="B687" t="s">
        <v>53</v>
      </c>
      <c r="C687" t="s">
        <v>54</v>
      </c>
      <c r="D687" t="s">
        <v>55</v>
      </c>
      <c r="E687" t="s">
        <v>2099</v>
      </c>
      <c r="F687" t="s">
        <v>57</v>
      </c>
      <c r="G687" t="s">
        <v>148</v>
      </c>
      <c r="H687" t="s">
        <v>149</v>
      </c>
      <c r="I687" t="s">
        <v>149</v>
      </c>
      <c r="J687" t="s">
        <v>60</v>
      </c>
      <c r="K687" t="s">
        <v>150</v>
      </c>
      <c r="L687" t="s">
        <v>62</v>
      </c>
      <c r="M687" t="s">
        <v>150</v>
      </c>
      <c r="N687" t="s">
        <v>151</v>
      </c>
      <c r="O687" t="s">
        <v>152</v>
      </c>
      <c r="P687">
        <v>-20.174192999999999</v>
      </c>
      <c r="Q687">
        <v>-44.850782000000002</v>
      </c>
      <c r="R687" s="2" t="str">
        <f>HYPERLINK("https://www.google.com/maps?q=-20.1741930,-44.8507820","Abrir no Google Maps")</f>
        <v>Abrir no Google Maps</v>
      </c>
      <c r="S687">
        <v>4</v>
      </c>
      <c r="T687">
        <v>994.93657848632188</v>
      </c>
      <c r="U687">
        <v>4</v>
      </c>
      <c r="V687">
        <v>20</v>
      </c>
      <c r="W687">
        <v>1</v>
      </c>
      <c r="X687">
        <v>20</v>
      </c>
      <c r="Y687">
        <v>292</v>
      </c>
      <c r="Z687">
        <v>948.95851793804729</v>
      </c>
      <c r="AA687">
        <v>198</v>
      </c>
      <c r="AB687">
        <v>332</v>
      </c>
      <c r="AC687">
        <v>536</v>
      </c>
      <c r="AD687">
        <v>30.48</v>
      </c>
      <c r="AE687">
        <v>542</v>
      </c>
      <c r="AF687">
        <v>30</v>
      </c>
      <c r="AG687">
        <v>176</v>
      </c>
      <c r="AH687">
        <v>129</v>
      </c>
      <c r="AI687">
        <v>5.54</v>
      </c>
      <c r="AJ687">
        <v>32.47</v>
      </c>
      <c r="AK687">
        <v>23.8</v>
      </c>
      <c r="AL687">
        <v>-20.174122099999941</v>
      </c>
      <c r="AM687">
        <v>-44.850744657037339</v>
      </c>
      <c r="AN687">
        <v>-20.174122099999941</v>
      </c>
      <c r="AO687">
        <v>-44.850744657037339</v>
      </c>
      <c r="AP687">
        <v>-20.174192999999999</v>
      </c>
      <c r="AQ687">
        <v>-44.850782000000002</v>
      </c>
      <c r="AR687">
        <v>8.8044534253701947</v>
      </c>
      <c r="AS687" t="s">
        <v>65</v>
      </c>
      <c r="AT687">
        <v>1</v>
      </c>
      <c r="AU687" t="s">
        <v>153</v>
      </c>
      <c r="AV687" t="s">
        <v>154</v>
      </c>
      <c r="AW687" t="s">
        <v>60</v>
      </c>
      <c r="AX687" t="s">
        <v>68</v>
      </c>
      <c r="AY687" t="s">
        <v>69</v>
      </c>
      <c r="AZ687" t="b">
        <v>1</v>
      </c>
    </row>
    <row r="688" spans="1:52" x14ac:dyDescent="0.3">
      <c r="A688" t="s">
        <v>52</v>
      </c>
      <c r="B688" t="s">
        <v>53</v>
      </c>
      <c r="C688" t="s">
        <v>54</v>
      </c>
      <c r="D688" t="s">
        <v>55</v>
      </c>
      <c r="E688" t="s">
        <v>2099</v>
      </c>
      <c r="F688" t="s">
        <v>57</v>
      </c>
      <c r="G688" t="s">
        <v>300</v>
      </c>
      <c r="H688" t="s">
        <v>301</v>
      </c>
      <c r="I688" t="s">
        <v>301</v>
      </c>
      <c r="J688" t="s">
        <v>60</v>
      </c>
      <c r="K688" t="s">
        <v>150</v>
      </c>
      <c r="L688" t="s">
        <v>62</v>
      </c>
      <c r="M688" t="s">
        <v>150</v>
      </c>
      <c r="N688" t="s">
        <v>302</v>
      </c>
      <c r="O688" t="s">
        <v>303</v>
      </c>
      <c r="P688">
        <v>-20.172993000000002</v>
      </c>
      <c r="Q688">
        <v>-44.853588999999999</v>
      </c>
      <c r="R688" s="2" t="str">
        <f>HYPERLINK("https://www.google.com/maps?q=-20.1729930,-44.8535890","Abrir no Google Maps")</f>
        <v>Abrir no Google Maps</v>
      </c>
      <c r="S688">
        <v>4</v>
      </c>
      <c r="T688">
        <v>1041.446216907221</v>
      </c>
      <c r="U688">
        <v>4</v>
      </c>
      <c r="V688">
        <v>20</v>
      </c>
      <c r="W688">
        <v>1</v>
      </c>
      <c r="X688">
        <v>20</v>
      </c>
      <c r="Y688">
        <v>292</v>
      </c>
      <c r="Z688">
        <v>978.86270909763937</v>
      </c>
      <c r="AA688">
        <v>198</v>
      </c>
      <c r="AB688">
        <v>332</v>
      </c>
      <c r="AC688">
        <v>536</v>
      </c>
      <c r="AD688">
        <v>30.48</v>
      </c>
      <c r="AE688">
        <v>542</v>
      </c>
      <c r="AF688">
        <v>30</v>
      </c>
      <c r="AG688">
        <v>176</v>
      </c>
      <c r="AH688">
        <v>129</v>
      </c>
      <c r="AI688">
        <v>5.54</v>
      </c>
      <c r="AJ688">
        <v>32.47</v>
      </c>
      <c r="AK688">
        <v>23.8</v>
      </c>
      <c r="AL688">
        <v>-20.173142449999968</v>
      </c>
      <c r="AM688">
        <v>-44.853588035903172</v>
      </c>
      <c r="AN688">
        <v>-20.173142449999968</v>
      </c>
      <c r="AO688">
        <v>-44.853588035903172</v>
      </c>
      <c r="AP688">
        <v>-20.172993000000002</v>
      </c>
      <c r="AQ688">
        <v>-44.853588999999999</v>
      </c>
      <c r="AR688">
        <v>16.637078994259841</v>
      </c>
      <c r="AS688" t="s">
        <v>65</v>
      </c>
      <c r="AT688">
        <v>1</v>
      </c>
      <c r="AU688" t="s">
        <v>304</v>
      </c>
      <c r="AV688" t="s">
        <v>305</v>
      </c>
      <c r="AW688" t="s">
        <v>60</v>
      </c>
      <c r="AX688" t="s">
        <v>68</v>
      </c>
      <c r="AY688" t="s">
        <v>69</v>
      </c>
      <c r="AZ688" t="b">
        <v>1</v>
      </c>
    </row>
    <row r="689" spans="1:52" x14ac:dyDescent="0.3">
      <c r="A689" t="s">
        <v>52</v>
      </c>
      <c r="B689" t="s">
        <v>53</v>
      </c>
      <c r="C689" t="s">
        <v>54</v>
      </c>
      <c r="D689" t="s">
        <v>55</v>
      </c>
      <c r="E689" t="s">
        <v>2099</v>
      </c>
      <c r="F689" t="s">
        <v>57</v>
      </c>
      <c r="G689" t="s">
        <v>321</v>
      </c>
      <c r="H689" t="s">
        <v>322</v>
      </c>
      <c r="I689" t="s">
        <v>322</v>
      </c>
      <c r="J689" t="s">
        <v>60</v>
      </c>
      <c r="K689" t="s">
        <v>323</v>
      </c>
      <c r="L689" t="s">
        <v>62</v>
      </c>
      <c r="M689" t="s">
        <v>323</v>
      </c>
      <c r="N689" t="s">
        <v>324</v>
      </c>
      <c r="O689" t="s">
        <v>325</v>
      </c>
      <c r="P689">
        <v>-20.151437999999999</v>
      </c>
      <c r="Q689">
        <v>-44.855761000000001</v>
      </c>
      <c r="R689" s="2" t="str">
        <f>HYPERLINK("https://www.google.com/maps?q=-20.1514380,-44.8557610","Abrir no Google Maps")</f>
        <v>Abrir no Google Maps</v>
      </c>
      <c r="S689">
        <v>4</v>
      </c>
      <c r="T689">
        <v>970.69989262042009</v>
      </c>
      <c r="U689">
        <v>4</v>
      </c>
      <c r="V689">
        <v>20</v>
      </c>
      <c r="W689">
        <v>1</v>
      </c>
      <c r="X689">
        <v>20</v>
      </c>
      <c r="Y689">
        <v>264</v>
      </c>
      <c r="Z689">
        <v>1041.0105988261671</v>
      </c>
      <c r="AA689">
        <v>198</v>
      </c>
      <c r="AB689">
        <v>332</v>
      </c>
      <c r="AC689">
        <v>536</v>
      </c>
      <c r="AD689">
        <v>30.48</v>
      </c>
      <c r="AE689">
        <v>542</v>
      </c>
      <c r="AF689">
        <v>30</v>
      </c>
      <c r="AG689">
        <v>176</v>
      </c>
      <c r="AH689">
        <v>129</v>
      </c>
      <c r="AI689">
        <v>5.54</v>
      </c>
      <c r="AJ689">
        <v>32.47</v>
      </c>
      <c r="AK689">
        <v>23.8</v>
      </c>
      <c r="AL689">
        <v>-20.15142824999996</v>
      </c>
      <c r="AM689">
        <v>-44.854100160898767</v>
      </c>
      <c r="AN689">
        <v>-20.15142824999996</v>
      </c>
      <c r="AO689">
        <v>-44.854100160898767</v>
      </c>
      <c r="AP689">
        <v>-20.151437999999999</v>
      </c>
      <c r="AQ689">
        <v>-44.855761000000001</v>
      </c>
      <c r="AR689">
        <v>173.57036632351381</v>
      </c>
      <c r="AS689" t="s">
        <v>65</v>
      </c>
      <c r="AT689">
        <v>1</v>
      </c>
      <c r="AU689" t="s">
        <v>326</v>
      </c>
      <c r="AV689" t="s">
        <v>327</v>
      </c>
      <c r="AW689" t="s">
        <v>60</v>
      </c>
      <c r="AX689" t="s">
        <v>68</v>
      </c>
      <c r="AY689" t="s">
        <v>69</v>
      </c>
      <c r="AZ689" t="b">
        <v>1</v>
      </c>
    </row>
    <row r="690" spans="1:52" x14ac:dyDescent="0.3">
      <c r="A690" t="s">
        <v>52</v>
      </c>
      <c r="B690" t="s">
        <v>53</v>
      </c>
      <c r="C690" t="s">
        <v>54</v>
      </c>
      <c r="D690" t="s">
        <v>55</v>
      </c>
      <c r="E690" t="s">
        <v>2099</v>
      </c>
      <c r="F690" t="s">
        <v>57</v>
      </c>
      <c r="G690" t="s">
        <v>328</v>
      </c>
      <c r="H690" t="s">
        <v>329</v>
      </c>
      <c r="I690" t="s">
        <v>329</v>
      </c>
      <c r="J690" t="s">
        <v>60</v>
      </c>
      <c r="K690" t="s">
        <v>157</v>
      </c>
      <c r="L690" t="s">
        <v>62</v>
      </c>
      <c r="M690" t="s">
        <v>157</v>
      </c>
      <c r="N690" t="s">
        <v>330</v>
      </c>
      <c r="O690" t="s">
        <v>331</v>
      </c>
      <c r="P690">
        <v>-20.167981999999999</v>
      </c>
      <c r="Q690">
        <v>-44.885706999999996</v>
      </c>
      <c r="R690" s="2" t="str">
        <f>HYPERLINK("https://www.google.com/maps?q=-20.1679820,-44.8857070","Abrir no Google Maps")</f>
        <v>Abrir no Google Maps</v>
      </c>
      <c r="S690">
        <v>4</v>
      </c>
      <c r="T690">
        <v>594.70112534633722</v>
      </c>
      <c r="U690">
        <v>4</v>
      </c>
      <c r="V690">
        <v>30</v>
      </c>
      <c r="W690">
        <v>1</v>
      </c>
      <c r="X690">
        <v>30</v>
      </c>
      <c r="Y690">
        <v>232</v>
      </c>
      <c r="Z690">
        <v>560.38516624860983</v>
      </c>
      <c r="AA690">
        <v>198</v>
      </c>
      <c r="AB690">
        <v>332</v>
      </c>
      <c r="AC690">
        <v>536</v>
      </c>
      <c r="AD690">
        <v>30.48</v>
      </c>
      <c r="AE690">
        <v>542</v>
      </c>
      <c r="AF690">
        <v>30</v>
      </c>
      <c r="AG690">
        <v>176</v>
      </c>
      <c r="AH690">
        <v>129</v>
      </c>
      <c r="AI690">
        <v>5.54</v>
      </c>
      <c r="AJ690">
        <v>32.47</v>
      </c>
      <c r="AK690">
        <v>23.8</v>
      </c>
      <c r="AL690">
        <v>-20.167931149999959</v>
      </c>
      <c r="AM690">
        <v>-44.885606821741909</v>
      </c>
      <c r="AN690">
        <v>-20.167931149999959</v>
      </c>
      <c r="AO690">
        <v>-44.885606821741909</v>
      </c>
      <c r="AP690">
        <v>-20.167981999999999</v>
      </c>
      <c r="AQ690">
        <v>-44.885706999999996</v>
      </c>
      <c r="AR690">
        <v>11.90056149590643</v>
      </c>
      <c r="AS690" t="s">
        <v>65</v>
      </c>
      <c r="AT690">
        <v>1</v>
      </c>
      <c r="AU690" t="s">
        <v>332</v>
      </c>
      <c r="AV690" t="s">
        <v>333</v>
      </c>
      <c r="AW690" t="s">
        <v>60</v>
      </c>
      <c r="AX690" t="s">
        <v>68</v>
      </c>
      <c r="AY690" t="s">
        <v>69</v>
      </c>
      <c r="AZ690" t="b">
        <v>1</v>
      </c>
    </row>
    <row r="691" spans="1:52" x14ac:dyDescent="0.3">
      <c r="A691" t="s">
        <v>52</v>
      </c>
      <c r="B691" t="s">
        <v>53</v>
      </c>
      <c r="C691" t="s">
        <v>54</v>
      </c>
      <c r="D691" t="s">
        <v>55</v>
      </c>
      <c r="E691" t="s">
        <v>2099</v>
      </c>
      <c r="F691" t="s">
        <v>57</v>
      </c>
      <c r="G691" t="s">
        <v>334</v>
      </c>
      <c r="H691" t="s">
        <v>335</v>
      </c>
      <c r="I691" t="s">
        <v>335</v>
      </c>
      <c r="J691" t="s">
        <v>60</v>
      </c>
      <c r="K691" t="s">
        <v>336</v>
      </c>
      <c r="L691" t="s">
        <v>62</v>
      </c>
      <c r="M691" t="s">
        <v>336</v>
      </c>
      <c r="N691" t="s">
        <v>337</v>
      </c>
      <c r="O691" t="s">
        <v>338</v>
      </c>
      <c r="P691">
        <v>-20.168142</v>
      </c>
      <c r="Q691">
        <v>-44.875697000000002</v>
      </c>
      <c r="R691" s="2" t="str">
        <f>HYPERLINK("https://www.google.com/maps?q=-20.1681420,-44.8756970","Abrir no Google Maps")</f>
        <v>Abrir no Google Maps</v>
      </c>
      <c r="S691">
        <v>4</v>
      </c>
      <c r="T691">
        <v>678.04878367834192</v>
      </c>
      <c r="U691">
        <v>4</v>
      </c>
      <c r="V691">
        <v>20</v>
      </c>
      <c r="W691">
        <v>1</v>
      </c>
      <c r="X691">
        <v>20</v>
      </c>
      <c r="Y691">
        <v>232</v>
      </c>
      <c r="Z691">
        <v>595.98467532792097</v>
      </c>
      <c r="AA691">
        <v>198</v>
      </c>
      <c r="AB691">
        <v>332</v>
      </c>
      <c r="AC691">
        <v>536</v>
      </c>
      <c r="AD691">
        <v>30.48</v>
      </c>
      <c r="AE691">
        <v>542</v>
      </c>
      <c r="AF691">
        <v>30</v>
      </c>
      <c r="AG691">
        <v>176</v>
      </c>
      <c r="AH691">
        <v>129</v>
      </c>
      <c r="AI691">
        <v>5.54</v>
      </c>
      <c r="AJ691">
        <v>32.47</v>
      </c>
      <c r="AK691">
        <v>23.8</v>
      </c>
      <c r="AL691">
        <v>-20.16787839999995</v>
      </c>
      <c r="AM691">
        <v>-44.875681825945229</v>
      </c>
      <c r="AN691">
        <v>-20.16787839999995</v>
      </c>
      <c r="AO691">
        <v>-44.875681825945229</v>
      </c>
      <c r="AP691">
        <v>-20.168142</v>
      </c>
      <c r="AQ691">
        <v>-44.875697000000002</v>
      </c>
      <c r="AR691">
        <v>29.386760063894371</v>
      </c>
      <c r="AS691" t="s">
        <v>65</v>
      </c>
      <c r="AT691">
        <v>1</v>
      </c>
      <c r="AU691" t="s">
        <v>339</v>
      </c>
      <c r="AV691" t="s">
        <v>340</v>
      </c>
      <c r="AW691" t="s">
        <v>60</v>
      </c>
      <c r="AX691" t="s">
        <v>68</v>
      </c>
      <c r="AY691" t="s">
        <v>69</v>
      </c>
      <c r="AZ691" t="b">
        <v>1</v>
      </c>
    </row>
    <row r="692" spans="1:52" x14ac:dyDescent="0.3">
      <c r="A692" t="s">
        <v>52</v>
      </c>
      <c r="B692" t="s">
        <v>53</v>
      </c>
      <c r="C692" t="s">
        <v>54</v>
      </c>
      <c r="D692" t="s">
        <v>55</v>
      </c>
      <c r="E692" t="s">
        <v>2099</v>
      </c>
      <c r="F692" t="s">
        <v>57</v>
      </c>
      <c r="G692" t="s">
        <v>155</v>
      </c>
      <c r="H692" t="s">
        <v>156</v>
      </c>
      <c r="I692" t="s">
        <v>156</v>
      </c>
      <c r="J692" t="s">
        <v>60</v>
      </c>
      <c r="K692" t="s">
        <v>157</v>
      </c>
      <c r="L692" t="s">
        <v>62</v>
      </c>
      <c r="M692" t="s">
        <v>157</v>
      </c>
      <c r="N692" t="s">
        <v>158</v>
      </c>
      <c r="O692" t="s">
        <v>159</v>
      </c>
      <c r="P692">
        <v>-20.166302999999999</v>
      </c>
      <c r="Q692">
        <v>-44.880659999999999</v>
      </c>
      <c r="R692" s="2" t="str">
        <f>HYPERLINK("https://www.google.com/maps?q=-20.1663030,-44.8806600","Abrir no Google Maps")</f>
        <v>Abrir no Google Maps</v>
      </c>
      <c r="S692">
        <v>4</v>
      </c>
      <c r="T692">
        <v>504.41812426451338</v>
      </c>
      <c r="U692">
        <v>4</v>
      </c>
      <c r="V692">
        <v>23</v>
      </c>
      <c r="W692">
        <v>1</v>
      </c>
      <c r="X692">
        <v>23</v>
      </c>
      <c r="Y692">
        <v>232</v>
      </c>
      <c r="Z692">
        <v>279.57571553948952</v>
      </c>
      <c r="AA692">
        <v>198</v>
      </c>
      <c r="AB692">
        <v>332</v>
      </c>
      <c r="AC692">
        <v>536</v>
      </c>
      <c r="AD692">
        <v>30.48</v>
      </c>
      <c r="AE692">
        <v>542</v>
      </c>
      <c r="AF692">
        <v>30</v>
      </c>
      <c r="AG692">
        <v>176</v>
      </c>
      <c r="AH692">
        <v>129</v>
      </c>
      <c r="AI692">
        <v>5.54</v>
      </c>
      <c r="AJ692">
        <v>32.47</v>
      </c>
      <c r="AK692">
        <v>23.8</v>
      </c>
      <c r="AL692">
        <v>-20.166700449999951</v>
      </c>
      <c r="AM692">
        <v>-44.880573341714289</v>
      </c>
      <c r="AN692">
        <v>-20.166700449999951</v>
      </c>
      <c r="AO692">
        <v>-44.880573341714289</v>
      </c>
      <c r="AP692">
        <v>-20.166302999999999</v>
      </c>
      <c r="AQ692">
        <v>-44.880659999999999</v>
      </c>
      <c r="AR692">
        <v>45.161304979350312</v>
      </c>
      <c r="AS692" t="s">
        <v>65</v>
      </c>
      <c r="AT692">
        <v>1</v>
      </c>
      <c r="AU692" t="s">
        <v>160</v>
      </c>
      <c r="AV692" t="s">
        <v>161</v>
      </c>
      <c r="AW692" t="s">
        <v>60</v>
      </c>
      <c r="AX692" t="s">
        <v>68</v>
      </c>
      <c r="AY692" t="s">
        <v>69</v>
      </c>
      <c r="AZ692" t="b">
        <v>1</v>
      </c>
    </row>
    <row r="693" spans="1:52" x14ac:dyDescent="0.3">
      <c r="A693" t="s">
        <v>52</v>
      </c>
      <c r="B693" t="s">
        <v>53</v>
      </c>
      <c r="C693" t="s">
        <v>54</v>
      </c>
      <c r="D693" t="s">
        <v>55</v>
      </c>
      <c r="E693" t="s">
        <v>2099</v>
      </c>
      <c r="F693" t="s">
        <v>57</v>
      </c>
      <c r="G693" t="s">
        <v>341</v>
      </c>
      <c r="H693" t="s">
        <v>342</v>
      </c>
      <c r="I693" t="s">
        <v>342</v>
      </c>
      <c r="J693" t="s">
        <v>60</v>
      </c>
      <c r="K693" t="s">
        <v>164</v>
      </c>
      <c r="L693" t="s">
        <v>62</v>
      </c>
      <c r="M693" t="s">
        <v>164</v>
      </c>
      <c r="N693" t="s">
        <v>343</v>
      </c>
      <c r="O693" t="s">
        <v>344</v>
      </c>
      <c r="P693">
        <v>-20.17606</v>
      </c>
      <c r="Q693">
        <v>-44.880409999999998</v>
      </c>
      <c r="R693" s="2" t="str">
        <f>HYPERLINK("https://www.google.com/maps?q=-20.1760600,-44.8804100","Abrir no Google Maps")</f>
        <v>Abrir no Google Maps</v>
      </c>
      <c r="S693">
        <v>4</v>
      </c>
      <c r="T693">
        <v>556.35468246023754</v>
      </c>
      <c r="U693">
        <v>4</v>
      </c>
      <c r="V693">
        <v>22</v>
      </c>
      <c r="W693">
        <v>1</v>
      </c>
      <c r="X693">
        <v>22</v>
      </c>
      <c r="Y693">
        <v>232</v>
      </c>
      <c r="Z693">
        <v>674.22003156100322</v>
      </c>
      <c r="AA693">
        <v>198</v>
      </c>
      <c r="AB693">
        <v>332</v>
      </c>
      <c r="AC693">
        <v>536</v>
      </c>
      <c r="AD693">
        <v>30.48</v>
      </c>
      <c r="AE693">
        <v>542</v>
      </c>
      <c r="AF693">
        <v>30</v>
      </c>
      <c r="AG693">
        <v>176</v>
      </c>
      <c r="AH693">
        <v>129</v>
      </c>
      <c r="AI693">
        <v>5.54</v>
      </c>
      <c r="AJ693">
        <v>32.47</v>
      </c>
      <c r="AK693">
        <v>23.8</v>
      </c>
      <c r="AL693">
        <v>-20.176226899999961</v>
      </c>
      <c r="AM693">
        <v>-44.880527903427911</v>
      </c>
      <c r="AN693">
        <v>-20.176226899999961</v>
      </c>
      <c r="AO693">
        <v>-44.880527903427911</v>
      </c>
      <c r="AP693">
        <v>-20.17606</v>
      </c>
      <c r="AQ693">
        <v>-44.880409999999998</v>
      </c>
      <c r="AR693">
        <v>22.292677247804349</v>
      </c>
      <c r="AS693" t="s">
        <v>65</v>
      </c>
      <c r="AT693">
        <v>1</v>
      </c>
      <c r="AU693" t="s">
        <v>345</v>
      </c>
      <c r="AV693" t="s">
        <v>346</v>
      </c>
      <c r="AW693" t="s">
        <v>60</v>
      </c>
      <c r="AX693" t="s">
        <v>68</v>
      </c>
      <c r="AY693" t="s">
        <v>69</v>
      </c>
      <c r="AZ693" t="b">
        <v>1</v>
      </c>
    </row>
    <row r="694" spans="1:52" x14ac:dyDescent="0.3">
      <c r="A694" t="s">
        <v>52</v>
      </c>
      <c r="B694" t="s">
        <v>53</v>
      </c>
      <c r="C694" t="s">
        <v>54</v>
      </c>
      <c r="D694" t="s">
        <v>55</v>
      </c>
      <c r="E694" t="s">
        <v>2099</v>
      </c>
      <c r="F694" t="s">
        <v>57</v>
      </c>
      <c r="G694" t="s">
        <v>1127</v>
      </c>
      <c r="H694" t="s">
        <v>1643</v>
      </c>
      <c r="I694" t="s">
        <v>1643</v>
      </c>
      <c r="J694" t="s">
        <v>60</v>
      </c>
      <c r="K694" t="s">
        <v>1644</v>
      </c>
      <c r="L694" t="s">
        <v>62</v>
      </c>
      <c r="M694" t="s">
        <v>1644</v>
      </c>
      <c r="N694" t="s">
        <v>1645</v>
      </c>
      <c r="O694" t="s">
        <v>1646</v>
      </c>
      <c r="P694">
        <v>-20.144261</v>
      </c>
      <c r="Q694">
        <v>-44.872231999999997</v>
      </c>
      <c r="R694" s="2" t="str">
        <f>HYPERLINK("https://www.google.com/maps?q=-20.1442610,-44.8722320","Abrir no Google Maps")</f>
        <v>Abrir no Google Maps</v>
      </c>
      <c r="S694">
        <v>4</v>
      </c>
      <c r="T694">
        <v>347.76810049345352</v>
      </c>
      <c r="U694">
        <v>4</v>
      </c>
      <c r="V694">
        <v>24</v>
      </c>
      <c r="W694">
        <v>0.85</v>
      </c>
      <c r="X694">
        <v>20.399999999999999</v>
      </c>
      <c r="Y694">
        <v>209</v>
      </c>
      <c r="Z694">
        <v>239.9249814054366</v>
      </c>
      <c r="AA694">
        <v>198</v>
      </c>
      <c r="AB694">
        <v>332</v>
      </c>
      <c r="AC694">
        <v>536</v>
      </c>
      <c r="AD694">
        <v>30.48</v>
      </c>
      <c r="AE694">
        <v>542</v>
      </c>
      <c r="AF694">
        <v>30</v>
      </c>
      <c r="AG694">
        <v>176</v>
      </c>
      <c r="AH694">
        <v>129</v>
      </c>
      <c r="AI694">
        <v>5.54</v>
      </c>
      <c r="AJ694">
        <v>32.47</v>
      </c>
      <c r="AK694">
        <v>23.8</v>
      </c>
      <c r="AL694">
        <v>-20.144283649999949</v>
      </c>
      <c r="AM694">
        <v>-44.872299150008573</v>
      </c>
      <c r="AN694">
        <v>-20.144283649999949</v>
      </c>
      <c r="AO694">
        <v>-44.872299150008573</v>
      </c>
      <c r="AP694">
        <v>-20.144261</v>
      </c>
      <c r="AQ694">
        <v>-44.872231999999997</v>
      </c>
      <c r="AR694">
        <v>7.4570759248114484</v>
      </c>
      <c r="AS694" t="s">
        <v>65</v>
      </c>
      <c r="AT694">
        <v>1</v>
      </c>
      <c r="AU694" t="s">
        <v>1647</v>
      </c>
      <c r="AV694" t="s">
        <v>1648</v>
      </c>
      <c r="AW694" t="s">
        <v>60</v>
      </c>
      <c r="AX694" t="s">
        <v>68</v>
      </c>
      <c r="AY694" t="s">
        <v>69</v>
      </c>
      <c r="AZ694" t="b">
        <v>1</v>
      </c>
    </row>
    <row r="695" spans="1:52" x14ac:dyDescent="0.3">
      <c r="A695" t="s">
        <v>52</v>
      </c>
      <c r="B695" t="s">
        <v>53</v>
      </c>
      <c r="C695" t="s">
        <v>54</v>
      </c>
      <c r="D695" t="s">
        <v>55</v>
      </c>
      <c r="E695" t="s">
        <v>2099</v>
      </c>
      <c r="F695" t="s">
        <v>57</v>
      </c>
      <c r="G695" t="s">
        <v>353</v>
      </c>
      <c r="H695" t="s">
        <v>354</v>
      </c>
      <c r="I695" t="s">
        <v>354</v>
      </c>
      <c r="J695" t="s">
        <v>60</v>
      </c>
      <c r="K695" t="s">
        <v>355</v>
      </c>
      <c r="L695" t="s">
        <v>62</v>
      </c>
      <c r="M695" t="s">
        <v>355</v>
      </c>
      <c r="N695" t="s">
        <v>356</v>
      </c>
      <c r="O695" t="s">
        <v>357</v>
      </c>
      <c r="P695">
        <v>-20.147373999999999</v>
      </c>
      <c r="Q695">
        <v>-44.875141999999997</v>
      </c>
      <c r="R695" s="2" t="str">
        <f>HYPERLINK("https://www.google.com/maps?q=-20.1473740,-44.8751420","Abrir no Google Maps")</f>
        <v>Abrir no Google Maps</v>
      </c>
      <c r="S695">
        <v>4</v>
      </c>
      <c r="T695">
        <v>394.29708169591709</v>
      </c>
      <c r="U695">
        <v>4</v>
      </c>
      <c r="V695">
        <v>22</v>
      </c>
      <c r="W695">
        <v>1</v>
      </c>
      <c r="X695">
        <v>22</v>
      </c>
      <c r="Y695">
        <v>209</v>
      </c>
      <c r="Z695">
        <v>326.95034461828868</v>
      </c>
      <c r="AA695">
        <v>198</v>
      </c>
      <c r="AB695">
        <v>332</v>
      </c>
      <c r="AC695">
        <v>536</v>
      </c>
      <c r="AD695">
        <v>30.48</v>
      </c>
      <c r="AE695">
        <v>542</v>
      </c>
      <c r="AF695">
        <v>30</v>
      </c>
      <c r="AG695">
        <v>176</v>
      </c>
      <c r="AH695">
        <v>129</v>
      </c>
      <c r="AI695">
        <v>5.54</v>
      </c>
      <c r="AJ695">
        <v>32.47</v>
      </c>
      <c r="AK695">
        <v>23.8</v>
      </c>
      <c r="AL695">
        <v>-20.147207999999949</v>
      </c>
      <c r="AM695">
        <v>-44.875152120336942</v>
      </c>
      <c r="AN695">
        <v>-20.147207999999949</v>
      </c>
      <c r="AO695">
        <v>-44.875152120336942</v>
      </c>
      <c r="AP695">
        <v>-20.147373999999999</v>
      </c>
      <c r="AQ695">
        <v>-44.875141999999997</v>
      </c>
      <c r="AR695">
        <v>18.509363081081169</v>
      </c>
      <c r="AS695" t="s">
        <v>65</v>
      </c>
      <c r="AT695">
        <v>1</v>
      </c>
      <c r="AU695" t="s">
        <v>358</v>
      </c>
      <c r="AV695" t="s">
        <v>359</v>
      </c>
      <c r="AW695" t="s">
        <v>60</v>
      </c>
      <c r="AX695" t="s">
        <v>68</v>
      </c>
      <c r="AY695" t="s">
        <v>69</v>
      </c>
      <c r="AZ695" t="b">
        <v>1</v>
      </c>
    </row>
    <row r="696" spans="1:52" x14ac:dyDescent="0.3">
      <c r="A696" t="s">
        <v>52</v>
      </c>
      <c r="B696" t="s">
        <v>53</v>
      </c>
      <c r="C696" t="s">
        <v>54</v>
      </c>
      <c r="D696" t="s">
        <v>55</v>
      </c>
      <c r="E696" t="s">
        <v>2099</v>
      </c>
      <c r="F696" t="s">
        <v>57</v>
      </c>
      <c r="G696" t="s">
        <v>1649</v>
      </c>
      <c r="H696" t="s">
        <v>1650</v>
      </c>
      <c r="I696" t="s">
        <v>1650</v>
      </c>
      <c r="J696" t="s">
        <v>60</v>
      </c>
      <c r="K696" t="s">
        <v>355</v>
      </c>
      <c r="L696" t="s">
        <v>62</v>
      </c>
      <c r="M696" t="s">
        <v>355</v>
      </c>
      <c r="N696" t="s">
        <v>1651</v>
      </c>
      <c r="O696" t="s">
        <v>293</v>
      </c>
      <c r="P696">
        <v>-20.141983</v>
      </c>
      <c r="Q696">
        <v>-44.871161000000001</v>
      </c>
      <c r="R696" s="2" t="str">
        <f>HYPERLINK("https://www.google.com/maps?q=-20.1419830,-44.8711610","Abrir no Google Maps")</f>
        <v>Abrir no Google Maps</v>
      </c>
      <c r="S696">
        <v>4</v>
      </c>
      <c r="T696">
        <v>492.40092389187612</v>
      </c>
      <c r="U696">
        <v>4</v>
      </c>
      <c r="V696">
        <v>21</v>
      </c>
      <c r="W696">
        <v>1</v>
      </c>
      <c r="X696">
        <v>21</v>
      </c>
      <c r="Y696">
        <v>209</v>
      </c>
      <c r="Z696">
        <v>425.51195583014947</v>
      </c>
      <c r="AA696">
        <v>198</v>
      </c>
      <c r="AB696">
        <v>332</v>
      </c>
      <c r="AC696">
        <v>536</v>
      </c>
      <c r="AD696">
        <v>30.48</v>
      </c>
      <c r="AE696">
        <v>542</v>
      </c>
      <c r="AF696">
        <v>30</v>
      </c>
      <c r="AG696">
        <v>176</v>
      </c>
      <c r="AH696">
        <v>129</v>
      </c>
      <c r="AI696">
        <v>5.54</v>
      </c>
      <c r="AJ696">
        <v>32.47</v>
      </c>
      <c r="AK696">
        <v>23.8</v>
      </c>
      <c r="AL696">
        <v>-20.142006349999971</v>
      </c>
      <c r="AM696">
        <v>-44.871190369486733</v>
      </c>
      <c r="AN696">
        <v>-20.142006349999981</v>
      </c>
      <c r="AO696">
        <v>-44.871190369486733</v>
      </c>
      <c r="AP696">
        <v>-20.141983</v>
      </c>
      <c r="AQ696">
        <v>-44.871161000000001</v>
      </c>
      <c r="AR696">
        <v>4.0221964388318616</v>
      </c>
      <c r="AS696" t="s">
        <v>65</v>
      </c>
      <c r="AT696">
        <v>1</v>
      </c>
      <c r="AU696" t="s">
        <v>1652</v>
      </c>
      <c r="AV696" t="s">
        <v>1653</v>
      </c>
      <c r="AW696" t="s">
        <v>60</v>
      </c>
      <c r="AX696" t="s">
        <v>68</v>
      </c>
      <c r="AY696" t="s">
        <v>69</v>
      </c>
      <c r="AZ696" t="b">
        <v>1</v>
      </c>
    </row>
    <row r="697" spans="1:52" x14ac:dyDescent="0.3">
      <c r="A697" t="s">
        <v>52</v>
      </c>
      <c r="B697" t="s">
        <v>53</v>
      </c>
      <c r="C697" t="s">
        <v>54</v>
      </c>
      <c r="D697" t="s">
        <v>55</v>
      </c>
      <c r="E697" t="s">
        <v>2099</v>
      </c>
      <c r="F697" t="s">
        <v>57</v>
      </c>
      <c r="G697" t="s">
        <v>366</v>
      </c>
      <c r="H697" t="s">
        <v>367</v>
      </c>
      <c r="I697" t="s">
        <v>367</v>
      </c>
      <c r="J697" t="s">
        <v>60</v>
      </c>
      <c r="K697" t="s">
        <v>368</v>
      </c>
      <c r="L697" t="s">
        <v>62</v>
      </c>
      <c r="M697" t="s">
        <v>368</v>
      </c>
      <c r="N697" t="s">
        <v>369</v>
      </c>
      <c r="O697" t="s">
        <v>370</v>
      </c>
      <c r="P697">
        <v>-20.144553999999999</v>
      </c>
      <c r="Q697">
        <v>-44.868183000000002</v>
      </c>
      <c r="R697" s="2" t="str">
        <f>HYPERLINK("https://www.google.com/maps?q=-20.1445540,-44.8681830","Abrir no Google Maps")</f>
        <v>Abrir no Google Maps</v>
      </c>
      <c r="S697">
        <v>4</v>
      </c>
      <c r="T697">
        <v>783.87848835431373</v>
      </c>
      <c r="U697">
        <v>4</v>
      </c>
      <c r="V697">
        <v>25</v>
      </c>
      <c r="W697">
        <v>1</v>
      </c>
      <c r="X697">
        <v>25</v>
      </c>
      <c r="Y697">
        <v>198</v>
      </c>
      <c r="Z697">
        <v>360.68413994394842</v>
      </c>
      <c r="AA697">
        <v>198</v>
      </c>
      <c r="AB697">
        <v>332</v>
      </c>
      <c r="AC697">
        <v>536</v>
      </c>
      <c r="AD697">
        <v>30.48</v>
      </c>
      <c r="AE697">
        <v>542</v>
      </c>
      <c r="AF697">
        <v>30</v>
      </c>
      <c r="AG697">
        <v>176</v>
      </c>
      <c r="AH697">
        <v>129</v>
      </c>
      <c r="AI697">
        <v>5.54</v>
      </c>
      <c r="AJ697">
        <v>32.47</v>
      </c>
      <c r="AK697">
        <v>23.8</v>
      </c>
      <c r="AL697">
        <v>-20.144487399999949</v>
      </c>
      <c r="AM697">
        <v>-44.868111936674481</v>
      </c>
      <c r="AN697">
        <v>-20.144487399999939</v>
      </c>
      <c r="AO697">
        <v>-44.868111936674481</v>
      </c>
      <c r="AP697">
        <v>-20.144553999999999</v>
      </c>
      <c r="AQ697">
        <v>-44.868183000000002</v>
      </c>
      <c r="AR697">
        <v>10.49400387332288</v>
      </c>
      <c r="AS697" t="s">
        <v>65</v>
      </c>
      <c r="AT697">
        <v>1</v>
      </c>
      <c r="AU697" t="s">
        <v>371</v>
      </c>
      <c r="AV697" t="s">
        <v>372</v>
      </c>
      <c r="AW697" t="s">
        <v>60</v>
      </c>
      <c r="AX697" t="s">
        <v>68</v>
      </c>
      <c r="AY697" t="s">
        <v>69</v>
      </c>
      <c r="AZ697" t="b">
        <v>1</v>
      </c>
    </row>
    <row r="698" spans="1:52" x14ac:dyDescent="0.3">
      <c r="A698" t="s">
        <v>52</v>
      </c>
      <c r="B698" t="s">
        <v>53</v>
      </c>
      <c r="C698" t="s">
        <v>54</v>
      </c>
      <c r="D698" t="s">
        <v>55</v>
      </c>
      <c r="E698" t="s">
        <v>2099</v>
      </c>
      <c r="F698" t="s">
        <v>57</v>
      </c>
      <c r="G698" t="s">
        <v>1654</v>
      </c>
      <c r="H698" t="s">
        <v>1655</v>
      </c>
      <c r="I698" t="s">
        <v>1655</v>
      </c>
      <c r="J698" t="s">
        <v>60</v>
      </c>
      <c r="K698" t="s">
        <v>368</v>
      </c>
      <c r="L698" t="s">
        <v>62</v>
      </c>
      <c r="M698" t="s">
        <v>368</v>
      </c>
      <c r="N698" t="s">
        <v>1656</v>
      </c>
      <c r="O698" t="s">
        <v>1657</v>
      </c>
      <c r="P698">
        <v>-20.143647999999999</v>
      </c>
      <c r="Q698">
        <v>-44.870466</v>
      </c>
      <c r="R698" s="2" t="str">
        <f>HYPERLINK("https://www.google.com/maps?q=-20.1436480,-44.8704660","Abrir no Google Maps")</f>
        <v>Abrir no Google Maps</v>
      </c>
      <c r="S698">
        <v>4</v>
      </c>
      <c r="T698">
        <v>545.81556277505979</v>
      </c>
      <c r="U698">
        <v>4</v>
      </c>
      <c r="V698">
        <v>22</v>
      </c>
      <c r="W698">
        <v>1</v>
      </c>
      <c r="X698">
        <v>22</v>
      </c>
      <c r="Y698">
        <v>198</v>
      </c>
      <c r="Z698">
        <v>258.83396188518708</v>
      </c>
      <c r="AA698">
        <v>198</v>
      </c>
      <c r="AB698">
        <v>332</v>
      </c>
      <c r="AC698">
        <v>536</v>
      </c>
      <c r="AD698">
        <v>30.48</v>
      </c>
      <c r="AE698">
        <v>542</v>
      </c>
      <c r="AF698">
        <v>30</v>
      </c>
      <c r="AG698">
        <v>176</v>
      </c>
      <c r="AH698">
        <v>129</v>
      </c>
      <c r="AI698">
        <v>5.54</v>
      </c>
      <c r="AJ698">
        <v>32.47</v>
      </c>
      <c r="AK698">
        <v>23.8</v>
      </c>
      <c r="AL698">
        <v>-20.143704099999951</v>
      </c>
      <c r="AM698">
        <v>-44.870339403868741</v>
      </c>
      <c r="AN698">
        <v>-20.143704099999951</v>
      </c>
      <c r="AO698">
        <v>-44.870339403868741</v>
      </c>
      <c r="AP698">
        <v>-20.143647999999999</v>
      </c>
      <c r="AQ698">
        <v>-44.870466</v>
      </c>
      <c r="AR698">
        <v>14.63048136060379</v>
      </c>
      <c r="AS698" t="s">
        <v>65</v>
      </c>
      <c r="AT698">
        <v>1</v>
      </c>
      <c r="AU698" t="s">
        <v>1658</v>
      </c>
      <c r="AV698" t="s">
        <v>1659</v>
      </c>
      <c r="AW698" t="s">
        <v>60</v>
      </c>
      <c r="AX698" t="s">
        <v>68</v>
      </c>
      <c r="AY698" t="s">
        <v>69</v>
      </c>
      <c r="AZ698" t="b">
        <v>1</v>
      </c>
    </row>
    <row r="699" spans="1:52" x14ac:dyDescent="0.3">
      <c r="A699" t="s">
        <v>52</v>
      </c>
      <c r="B699" t="s">
        <v>53</v>
      </c>
      <c r="C699" t="s">
        <v>54</v>
      </c>
      <c r="D699" t="s">
        <v>55</v>
      </c>
      <c r="E699" t="s">
        <v>2099</v>
      </c>
      <c r="F699" t="s">
        <v>57</v>
      </c>
      <c r="G699" t="s">
        <v>1660</v>
      </c>
      <c r="H699" t="s">
        <v>1661</v>
      </c>
      <c r="I699" t="s">
        <v>1661</v>
      </c>
      <c r="J699" t="s">
        <v>60</v>
      </c>
      <c r="K699" t="s">
        <v>164</v>
      </c>
      <c r="L699" t="s">
        <v>62</v>
      </c>
      <c r="M699" t="s">
        <v>164</v>
      </c>
      <c r="N699" t="s">
        <v>1662</v>
      </c>
      <c r="O699" t="s">
        <v>1663</v>
      </c>
      <c r="P699">
        <v>-20.181692000000002</v>
      </c>
      <c r="Q699">
        <v>-44.877276000000002</v>
      </c>
      <c r="R699" s="2" t="str">
        <f>HYPERLINK("https://www.google.com/maps?q=-20.1816920,-44.8772760","Abrir no Google Maps")</f>
        <v>Abrir no Google Maps</v>
      </c>
      <c r="S699">
        <v>4</v>
      </c>
      <c r="T699">
        <v>630.49689192580956</v>
      </c>
      <c r="U699">
        <v>4</v>
      </c>
      <c r="V699">
        <v>20</v>
      </c>
      <c r="W699">
        <v>1</v>
      </c>
      <c r="X699">
        <v>20</v>
      </c>
      <c r="Y699">
        <v>101</v>
      </c>
      <c r="Z699">
        <v>732.81472992851411</v>
      </c>
      <c r="AA699">
        <v>198</v>
      </c>
      <c r="AB699">
        <v>332</v>
      </c>
      <c r="AC699">
        <v>536</v>
      </c>
      <c r="AD699">
        <v>30.48</v>
      </c>
      <c r="AE699">
        <v>542</v>
      </c>
      <c r="AF699">
        <v>30</v>
      </c>
      <c r="AG699">
        <v>176</v>
      </c>
      <c r="AH699">
        <v>129</v>
      </c>
      <c r="AI699">
        <v>5.54</v>
      </c>
      <c r="AJ699">
        <v>32.47</v>
      </c>
      <c r="AK699">
        <v>23.8</v>
      </c>
      <c r="AL699">
        <v>-20.181644349999971</v>
      </c>
      <c r="AM699">
        <v>-44.876890970787557</v>
      </c>
      <c r="AN699">
        <v>-20.181644349999971</v>
      </c>
      <c r="AO699">
        <v>-44.876890970787557</v>
      </c>
      <c r="AP699">
        <v>-20.181692000000002</v>
      </c>
      <c r="AQ699">
        <v>-44.877276000000002</v>
      </c>
      <c r="AR699">
        <v>40.578104107908509</v>
      </c>
      <c r="AS699" t="s">
        <v>65</v>
      </c>
      <c r="AT699">
        <v>1</v>
      </c>
      <c r="AU699" t="s">
        <v>1664</v>
      </c>
      <c r="AV699" t="s">
        <v>1665</v>
      </c>
      <c r="AW699" t="s">
        <v>60</v>
      </c>
      <c r="AX699" t="s">
        <v>68</v>
      </c>
      <c r="AY699" t="s">
        <v>69</v>
      </c>
      <c r="AZ699" t="b">
        <v>1</v>
      </c>
    </row>
    <row r="700" spans="1:52" x14ac:dyDescent="0.3">
      <c r="A700" t="s">
        <v>52</v>
      </c>
      <c r="B700" t="s">
        <v>53</v>
      </c>
      <c r="C700" t="s">
        <v>54</v>
      </c>
      <c r="D700" t="s">
        <v>55</v>
      </c>
      <c r="E700" t="s">
        <v>2099</v>
      </c>
      <c r="F700" t="s">
        <v>57</v>
      </c>
      <c r="G700" t="s">
        <v>373</v>
      </c>
      <c r="H700" t="s">
        <v>374</v>
      </c>
      <c r="I700" t="s">
        <v>374</v>
      </c>
      <c r="J700" t="s">
        <v>60</v>
      </c>
      <c r="K700" t="s">
        <v>375</v>
      </c>
      <c r="L700" t="s">
        <v>62</v>
      </c>
      <c r="M700" t="s">
        <v>375</v>
      </c>
      <c r="N700" t="s">
        <v>376</v>
      </c>
      <c r="O700" t="s">
        <v>377</v>
      </c>
      <c r="P700">
        <v>-20.178172</v>
      </c>
      <c r="Q700">
        <v>-44.882871999999999</v>
      </c>
      <c r="R700" s="2" t="str">
        <f>HYPERLINK("https://www.google.com/maps?q=-20.1781720,-44.8828720","Abrir no Google Maps")</f>
        <v>Abrir no Google Maps</v>
      </c>
      <c r="S700">
        <v>4</v>
      </c>
      <c r="T700">
        <v>817.23317190190858</v>
      </c>
      <c r="U700">
        <v>4</v>
      </c>
      <c r="V700">
        <v>21</v>
      </c>
      <c r="W700">
        <v>1</v>
      </c>
      <c r="X700">
        <v>21</v>
      </c>
      <c r="Y700">
        <v>101</v>
      </c>
      <c r="Z700">
        <v>845.03006728789421</v>
      </c>
      <c r="AA700">
        <v>198</v>
      </c>
      <c r="AB700">
        <v>332</v>
      </c>
      <c r="AC700">
        <v>536</v>
      </c>
      <c r="AD700">
        <v>30.48</v>
      </c>
      <c r="AE700">
        <v>542</v>
      </c>
      <c r="AF700">
        <v>30</v>
      </c>
      <c r="AG700">
        <v>176</v>
      </c>
      <c r="AH700">
        <v>129</v>
      </c>
      <c r="AI700">
        <v>5.54</v>
      </c>
      <c r="AJ700">
        <v>32.47</v>
      </c>
      <c r="AK700">
        <v>23.8</v>
      </c>
      <c r="AL700">
        <v>-20.178380049999959</v>
      </c>
      <c r="AM700">
        <v>-44.883070555357122</v>
      </c>
      <c r="AN700">
        <v>-20.178380049999959</v>
      </c>
      <c r="AO700">
        <v>-44.883070555357122</v>
      </c>
      <c r="AP700">
        <v>-20.178172</v>
      </c>
      <c r="AQ700">
        <v>-44.882871999999999</v>
      </c>
      <c r="AR700">
        <v>31.093588149250511</v>
      </c>
      <c r="AS700" t="s">
        <v>65</v>
      </c>
      <c r="AT700">
        <v>1</v>
      </c>
      <c r="AU700" t="s">
        <v>378</v>
      </c>
      <c r="AV700" t="s">
        <v>379</v>
      </c>
      <c r="AW700" t="s">
        <v>60</v>
      </c>
      <c r="AX700" t="s">
        <v>68</v>
      </c>
      <c r="AY700" t="s">
        <v>69</v>
      </c>
      <c r="AZ700" t="b">
        <v>1</v>
      </c>
    </row>
    <row r="701" spans="1:52" x14ac:dyDescent="0.3">
      <c r="A701" t="s">
        <v>52</v>
      </c>
      <c r="B701" t="s">
        <v>53</v>
      </c>
      <c r="C701" t="s">
        <v>54</v>
      </c>
      <c r="D701" t="s">
        <v>55</v>
      </c>
      <c r="E701" t="s">
        <v>2099</v>
      </c>
      <c r="F701" t="s">
        <v>57</v>
      </c>
      <c r="G701" t="s">
        <v>1671</v>
      </c>
      <c r="H701" t="s">
        <v>1672</v>
      </c>
      <c r="I701" t="s">
        <v>1672</v>
      </c>
      <c r="J701" t="s">
        <v>60</v>
      </c>
      <c r="K701" t="s">
        <v>375</v>
      </c>
      <c r="L701" t="s">
        <v>62</v>
      </c>
      <c r="M701" t="s">
        <v>375</v>
      </c>
      <c r="N701" t="s">
        <v>1673</v>
      </c>
      <c r="O701" t="s">
        <v>370</v>
      </c>
      <c r="P701">
        <v>-20.180724000000001</v>
      </c>
      <c r="Q701">
        <v>-44.886913999999997</v>
      </c>
      <c r="R701" s="2" t="str">
        <f>HYPERLINK("https://www.google.com/maps?q=-20.1807240,-44.8869140","Abrir no Google Maps")</f>
        <v>Abrir no Google Maps</v>
      </c>
      <c r="S701">
        <v>4</v>
      </c>
      <c r="T701">
        <v>814.7424073839951</v>
      </c>
      <c r="U701">
        <v>4</v>
      </c>
      <c r="V701">
        <v>26</v>
      </c>
      <c r="W701">
        <v>1</v>
      </c>
      <c r="X701">
        <v>26</v>
      </c>
      <c r="Y701">
        <v>101</v>
      </c>
      <c r="Z701">
        <v>808.23656795472721</v>
      </c>
      <c r="AA701">
        <v>198</v>
      </c>
      <c r="AB701">
        <v>332</v>
      </c>
      <c r="AC701">
        <v>536</v>
      </c>
      <c r="AD701">
        <v>30.48</v>
      </c>
      <c r="AE701">
        <v>542</v>
      </c>
      <c r="AF701">
        <v>30</v>
      </c>
      <c r="AG701">
        <v>176</v>
      </c>
      <c r="AH701">
        <v>129</v>
      </c>
      <c r="AI701">
        <v>5.54</v>
      </c>
      <c r="AJ701">
        <v>32.47</v>
      </c>
      <c r="AK701">
        <v>23.8</v>
      </c>
      <c r="AL701">
        <v>-20.18071869999994</v>
      </c>
      <c r="AM701">
        <v>-44.886927989725393</v>
      </c>
      <c r="AN701">
        <v>-20.18071869999994</v>
      </c>
      <c r="AO701">
        <v>-44.886927989725393</v>
      </c>
      <c r="AP701">
        <v>-20.180724000000001</v>
      </c>
      <c r="AQ701">
        <v>-44.886913999999997</v>
      </c>
      <c r="AR701">
        <v>1.5763090046691759</v>
      </c>
      <c r="AS701" t="s">
        <v>65</v>
      </c>
      <c r="AT701">
        <v>1</v>
      </c>
      <c r="AU701" t="s">
        <v>1674</v>
      </c>
      <c r="AV701" t="s">
        <v>1642</v>
      </c>
      <c r="AW701" t="s">
        <v>60</v>
      </c>
      <c r="AX701" t="s">
        <v>68</v>
      </c>
      <c r="AY701" t="s">
        <v>69</v>
      </c>
      <c r="AZ701" t="b">
        <v>1</v>
      </c>
    </row>
    <row r="702" spans="1:52" x14ac:dyDescent="0.3">
      <c r="A702" t="s">
        <v>52</v>
      </c>
      <c r="B702" t="s">
        <v>53</v>
      </c>
      <c r="C702" t="s">
        <v>54</v>
      </c>
      <c r="D702" t="s">
        <v>55</v>
      </c>
      <c r="E702" t="s">
        <v>2099</v>
      </c>
      <c r="F702" t="s">
        <v>57</v>
      </c>
      <c r="G702" t="s">
        <v>176</v>
      </c>
      <c r="H702" t="s">
        <v>177</v>
      </c>
      <c r="I702" t="s">
        <v>177</v>
      </c>
      <c r="J702" t="s">
        <v>60</v>
      </c>
      <c r="K702" t="s">
        <v>178</v>
      </c>
      <c r="L702" t="s">
        <v>62</v>
      </c>
      <c r="M702" t="s">
        <v>178</v>
      </c>
      <c r="N702" t="s">
        <v>179</v>
      </c>
      <c r="O702" t="s">
        <v>180</v>
      </c>
      <c r="P702">
        <v>-20.129152999999999</v>
      </c>
      <c r="Q702">
        <v>-44.859299</v>
      </c>
      <c r="R702" s="2" t="str">
        <f>HYPERLINK("https://www.google.com/maps?q=-20.1291530,-44.8592990","Abrir no Google Maps")</f>
        <v>Abrir no Google Maps</v>
      </c>
      <c r="S702">
        <v>4</v>
      </c>
      <c r="T702">
        <v>0</v>
      </c>
      <c r="U702">
        <v>4</v>
      </c>
      <c r="V702">
        <v>20</v>
      </c>
      <c r="W702">
        <v>1</v>
      </c>
      <c r="X702">
        <v>20</v>
      </c>
      <c r="Y702">
        <v>95</v>
      </c>
      <c r="Z702">
        <v>323.58963420291411</v>
      </c>
      <c r="AA702">
        <v>198</v>
      </c>
      <c r="AB702">
        <v>332</v>
      </c>
      <c r="AC702">
        <v>536</v>
      </c>
      <c r="AD702">
        <v>30.48</v>
      </c>
      <c r="AE702">
        <v>542</v>
      </c>
      <c r="AF702">
        <v>30</v>
      </c>
      <c r="AG702">
        <v>176</v>
      </c>
      <c r="AH702">
        <v>129</v>
      </c>
      <c r="AI702">
        <v>5.54</v>
      </c>
      <c r="AJ702">
        <v>32.47</v>
      </c>
      <c r="AK702">
        <v>23.8</v>
      </c>
      <c r="AL702">
        <v>-20.129260799999969</v>
      </c>
      <c r="AM702">
        <v>-44.859468344955843</v>
      </c>
      <c r="AN702">
        <v>-20.129260799999969</v>
      </c>
      <c r="AO702">
        <v>-44.859468344955843</v>
      </c>
      <c r="AP702">
        <v>-20.129152999999999</v>
      </c>
      <c r="AQ702">
        <v>-44.859299</v>
      </c>
      <c r="AR702">
        <v>21.38451122307773</v>
      </c>
      <c r="AS702" t="s">
        <v>65</v>
      </c>
      <c r="AT702">
        <v>1</v>
      </c>
      <c r="AU702" t="s">
        <v>181</v>
      </c>
      <c r="AV702" t="s">
        <v>182</v>
      </c>
      <c r="AW702" t="s">
        <v>60</v>
      </c>
      <c r="AX702" t="s">
        <v>68</v>
      </c>
      <c r="AY702" t="s">
        <v>69</v>
      </c>
      <c r="AZ702" t="b">
        <v>1</v>
      </c>
    </row>
    <row r="703" spans="1:52" x14ac:dyDescent="0.3">
      <c r="A703" t="s">
        <v>52</v>
      </c>
      <c r="B703" t="s">
        <v>53</v>
      </c>
      <c r="C703" t="s">
        <v>54</v>
      </c>
      <c r="D703" t="s">
        <v>55</v>
      </c>
      <c r="E703" t="s">
        <v>2099</v>
      </c>
      <c r="F703" t="s">
        <v>57</v>
      </c>
      <c r="G703" t="s">
        <v>1679</v>
      </c>
      <c r="H703" t="s">
        <v>1680</v>
      </c>
      <c r="I703" t="s">
        <v>1680</v>
      </c>
      <c r="J703" t="s">
        <v>60</v>
      </c>
      <c r="K703" t="s">
        <v>1681</v>
      </c>
      <c r="L703" t="s">
        <v>62</v>
      </c>
      <c r="M703" t="s">
        <v>1681</v>
      </c>
      <c r="N703" t="s">
        <v>1682</v>
      </c>
      <c r="O703" t="s">
        <v>315</v>
      </c>
      <c r="P703">
        <v>-20.136075999999999</v>
      </c>
      <c r="Q703">
        <v>-44.854410999999999</v>
      </c>
      <c r="R703" s="2" t="str">
        <f>HYPERLINK("https://www.google.com/maps?q=-20.1360760,-44.8544110","Abrir no Google Maps")</f>
        <v>Abrir no Google Maps</v>
      </c>
      <c r="S703">
        <v>4</v>
      </c>
      <c r="T703">
        <v>923.14535705095284</v>
      </c>
      <c r="U703">
        <v>4</v>
      </c>
      <c r="V703">
        <v>31</v>
      </c>
      <c r="W703">
        <v>1</v>
      </c>
      <c r="X703">
        <v>31</v>
      </c>
      <c r="Y703">
        <v>95</v>
      </c>
      <c r="Z703">
        <v>512.25410822465881</v>
      </c>
      <c r="AA703">
        <v>198</v>
      </c>
      <c r="AB703">
        <v>332</v>
      </c>
      <c r="AC703">
        <v>536</v>
      </c>
      <c r="AD703">
        <v>30.48</v>
      </c>
      <c r="AE703">
        <v>542</v>
      </c>
      <c r="AF703">
        <v>30</v>
      </c>
      <c r="AG703">
        <v>176</v>
      </c>
      <c r="AH703">
        <v>129</v>
      </c>
      <c r="AI703">
        <v>5.54</v>
      </c>
      <c r="AJ703">
        <v>32.47</v>
      </c>
      <c r="AK703">
        <v>23.8</v>
      </c>
      <c r="AL703">
        <v>-20.13612434999996</v>
      </c>
      <c r="AM703">
        <v>-44.854448179058288</v>
      </c>
      <c r="AN703">
        <v>-20.13612434999996</v>
      </c>
      <c r="AO703">
        <v>-44.854448179058288</v>
      </c>
      <c r="AP703">
        <v>-20.136075999999999</v>
      </c>
      <c r="AQ703">
        <v>-44.854410999999999</v>
      </c>
      <c r="AR703">
        <v>6.6384360450222868</v>
      </c>
      <c r="AS703" t="s">
        <v>65</v>
      </c>
      <c r="AT703">
        <v>1</v>
      </c>
      <c r="AU703" t="s">
        <v>1683</v>
      </c>
      <c r="AV703" t="s">
        <v>1684</v>
      </c>
      <c r="AW703" t="s">
        <v>60</v>
      </c>
      <c r="AX703" t="s">
        <v>68</v>
      </c>
      <c r="AY703" t="s">
        <v>69</v>
      </c>
      <c r="AZ703" t="b">
        <v>1</v>
      </c>
    </row>
    <row r="704" spans="1:52" x14ac:dyDescent="0.3">
      <c r="A704" t="s">
        <v>52</v>
      </c>
      <c r="B704" t="s">
        <v>53</v>
      </c>
      <c r="C704" t="s">
        <v>54</v>
      </c>
      <c r="D704" t="s">
        <v>55</v>
      </c>
      <c r="E704" t="s">
        <v>2099</v>
      </c>
      <c r="F704" t="s">
        <v>57</v>
      </c>
      <c r="G704" t="s">
        <v>183</v>
      </c>
      <c r="H704" t="s">
        <v>184</v>
      </c>
      <c r="I704" t="s">
        <v>184</v>
      </c>
      <c r="J704" t="s">
        <v>60</v>
      </c>
      <c r="K704" t="s">
        <v>185</v>
      </c>
      <c r="L704" t="s">
        <v>62</v>
      </c>
      <c r="M704" t="s">
        <v>185</v>
      </c>
      <c r="N704" t="s">
        <v>186</v>
      </c>
      <c r="O704" t="s">
        <v>187</v>
      </c>
      <c r="P704">
        <v>-20.134855000000002</v>
      </c>
      <c r="Q704">
        <v>-44.860174000000001</v>
      </c>
      <c r="R704" s="2" t="str">
        <f>HYPERLINK("https://www.google.com/maps?q=-20.1348550,-44.8601740","Abrir no Google Maps")</f>
        <v>Abrir no Google Maps</v>
      </c>
      <c r="S704">
        <v>4</v>
      </c>
      <c r="T704">
        <v>625.96998974571841</v>
      </c>
      <c r="U704">
        <v>4</v>
      </c>
      <c r="V704">
        <v>21</v>
      </c>
      <c r="W704">
        <v>1</v>
      </c>
      <c r="X704">
        <v>21</v>
      </c>
      <c r="Y704">
        <v>95</v>
      </c>
      <c r="Z704">
        <v>257.67818504656498</v>
      </c>
      <c r="AA704">
        <v>198</v>
      </c>
      <c r="AB704">
        <v>332</v>
      </c>
      <c r="AC704">
        <v>536</v>
      </c>
      <c r="AD704">
        <v>30.48</v>
      </c>
      <c r="AE704">
        <v>542</v>
      </c>
      <c r="AF704">
        <v>30</v>
      </c>
      <c r="AG704">
        <v>176</v>
      </c>
      <c r="AH704">
        <v>129</v>
      </c>
      <c r="AI704">
        <v>5.54</v>
      </c>
      <c r="AJ704">
        <v>32.47</v>
      </c>
      <c r="AK704">
        <v>23.8</v>
      </c>
      <c r="AL704">
        <v>-20.134903999999981</v>
      </c>
      <c r="AM704">
        <v>-44.859880285335962</v>
      </c>
      <c r="AN704">
        <v>-20.134903999999981</v>
      </c>
      <c r="AO704">
        <v>-44.859880285335962</v>
      </c>
      <c r="AP704">
        <v>-20.134855000000002</v>
      </c>
      <c r="AQ704">
        <v>-44.860174000000001</v>
      </c>
      <c r="AR704">
        <v>31.178921696823132</v>
      </c>
      <c r="AS704" t="s">
        <v>65</v>
      </c>
      <c r="AT704">
        <v>1</v>
      </c>
      <c r="AU704" t="s">
        <v>188</v>
      </c>
      <c r="AV704" t="s">
        <v>189</v>
      </c>
      <c r="AW704" t="s">
        <v>60</v>
      </c>
      <c r="AX704" t="s">
        <v>68</v>
      </c>
      <c r="AY704" t="s">
        <v>69</v>
      </c>
      <c r="AZ704" t="b">
        <v>1</v>
      </c>
    </row>
    <row r="705" spans="1:52" x14ac:dyDescent="0.3">
      <c r="A705" t="s">
        <v>52</v>
      </c>
      <c r="B705" t="s">
        <v>53</v>
      </c>
      <c r="C705" t="s">
        <v>54</v>
      </c>
      <c r="D705" t="s">
        <v>55</v>
      </c>
      <c r="E705" t="s">
        <v>2099</v>
      </c>
      <c r="F705" t="s">
        <v>190</v>
      </c>
      <c r="G705" t="s">
        <v>58</v>
      </c>
      <c r="H705" t="s">
        <v>59</v>
      </c>
      <c r="I705" t="s">
        <v>59</v>
      </c>
      <c r="J705" t="s">
        <v>60</v>
      </c>
      <c r="K705" t="s">
        <v>61</v>
      </c>
      <c r="L705" t="s">
        <v>62</v>
      </c>
      <c r="M705" t="s">
        <v>61</v>
      </c>
      <c r="N705" t="s">
        <v>63</v>
      </c>
      <c r="O705" t="s">
        <v>64</v>
      </c>
      <c r="P705">
        <v>-20.147940999999999</v>
      </c>
      <c r="Q705">
        <v>-44.906514000000001</v>
      </c>
      <c r="R705" s="2" t="str">
        <f>HYPERLINK("https://www.google.com/maps?q=-20.1479410,-44.9065140","Abrir no Google Maps")</f>
        <v>Abrir no Google Maps</v>
      </c>
      <c r="S705">
        <v>4</v>
      </c>
      <c r="T705">
        <v>308.67004994113421</v>
      </c>
      <c r="U705">
        <v>3</v>
      </c>
      <c r="V705">
        <v>16</v>
      </c>
      <c r="W705">
        <v>1</v>
      </c>
      <c r="X705">
        <v>16</v>
      </c>
      <c r="Y705">
        <v>747</v>
      </c>
      <c r="Z705">
        <v>274.71440454502522</v>
      </c>
      <c r="AA705">
        <v>198</v>
      </c>
      <c r="AB705">
        <v>332</v>
      </c>
      <c r="AC705">
        <v>536</v>
      </c>
      <c r="AD705">
        <v>30.48</v>
      </c>
      <c r="AE705">
        <v>542</v>
      </c>
      <c r="AF705">
        <v>30</v>
      </c>
      <c r="AG705">
        <v>176</v>
      </c>
      <c r="AH705">
        <v>129</v>
      </c>
      <c r="AI705">
        <v>5.54</v>
      </c>
      <c r="AJ705">
        <v>32.47</v>
      </c>
      <c r="AK705">
        <v>23.8</v>
      </c>
      <c r="AL705">
        <v>-20.147947799999969</v>
      </c>
      <c r="AM705">
        <v>-44.906591596129203</v>
      </c>
      <c r="AN705">
        <v>-20.147947799999969</v>
      </c>
      <c r="AO705">
        <v>-44.906591596129203</v>
      </c>
      <c r="AP705">
        <v>-20.147940999999999</v>
      </c>
      <c r="AQ705">
        <v>-44.906514000000001</v>
      </c>
      <c r="AR705">
        <v>8.1446636170570326</v>
      </c>
      <c r="AS705" t="s">
        <v>65</v>
      </c>
      <c r="AT705">
        <v>1</v>
      </c>
      <c r="AU705" t="s">
        <v>66</v>
      </c>
      <c r="AV705" t="s">
        <v>67</v>
      </c>
      <c r="AW705" t="s">
        <v>60</v>
      </c>
      <c r="AX705" t="s">
        <v>68</v>
      </c>
      <c r="AY705" t="s">
        <v>69</v>
      </c>
      <c r="AZ705" t="b">
        <v>1</v>
      </c>
    </row>
    <row r="706" spans="1:52" x14ac:dyDescent="0.3">
      <c r="A706" t="s">
        <v>52</v>
      </c>
      <c r="B706" t="s">
        <v>53</v>
      </c>
      <c r="C706" t="s">
        <v>54</v>
      </c>
      <c r="D706" t="s">
        <v>55</v>
      </c>
      <c r="E706" t="s">
        <v>2099</v>
      </c>
      <c r="F706" t="s">
        <v>190</v>
      </c>
      <c r="G706" t="s">
        <v>191</v>
      </c>
      <c r="H706" t="s">
        <v>192</v>
      </c>
      <c r="I706" t="s">
        <v>192</v>
      </c>
      <c r="J706" t="s">
        <v>60</v>
      </c>
      <c r="K706" t="s">
        <v>193</v>
      </c>
      <c r="L706" t="s">
        <v>62</v>
      </c>
      <c r="M706" t="s">
        <v>193</v>
      </c>
      <c r="N706" t="s">
        <v>194</v>
      </c>
      <c r="O706" t="s">
        <v>195</v>
      </c>
      <c r="P706">
        <v>-20.143266000000001</v>
      </c>
      <c r="Q706">
        <v>-44.912075000000002</v>
      </c>
      <c r="R706" s="2" t="str">
        <f>HYPERLINK("https://www.google.com/maps?q=-20.1432660,-44.9120750","Abrir no Google Maps")</f>
        <v>Abrir no Google Maps</v>
      </c>
      <c r="S706">
        <v>4</v>
      </c>
      <c r="T706">
        <v>467.04339396175408</v>
      </c>
      <c r="U706">
        <v>3</v>
      </c>
      <c r="V706">
        <v>16</v>
      </c>
      <c r="W706">
        <v>1</v>
      </c>
      <c r="X706">
        <v>16</v>
      </c>
      <c r="Y706">
        <v>747</v>
      </c>
      <c r="Z706">
        <v>585.1742452866996</v>
      </c>
      <c r="AA706">
        <v>198</v>
      </c>
      <c r="AB706">
        <v>332</v>
      </c>
      <c r="AC706">
        <v>536</v>
      </c>
      <c r="AD706">
        <v>30.48</v>
      </c>
      <c r="AE706">
        <v>542</v>
      </c>
      <c r="AF706">
        <v>30</v>
      </c>
      <c r="AG706">
        <v>176</v>
      </c>
      <c r="AH706">
        <v>129</v>
      </c>
      <c r="AI706">
        <v>5.54</v>
      </c>
      <c r="AJ706">
        <v>32.47</v>
      </c>
      <c r="AK706">
        <v>23.8</v>
      </c>
      <c r="AL706">
        <v>-20.143307949999951</v>
      </c>
      <c r="AM706">
        <v>-44.912066629431067</v>
      </c>
      <c r="AN706">
        <v>-20.143307949999951</v>
      </c>
      <c r="AO706">
        <v>-44.912066629431067</v>
      </c>
      <c r="AP706">
        <v>-20.143266000000001</v>
      </c>
      <c r="AQ706">
        <v>-44.912075000000002</v>
      </c>
      <c r="AR706">
        <v>4.751108024498329</v>
      </c>
      <c r="AS706" t="s">
        <v>65</v>
      </c>
      <c r="AT706">
        <v>1</v>
      </c>
      <c r="AU706" t="s">
        <v>196</v>
      </c>
      <c r="AV706" t="s">
        <v>197</v>
      </c>
      <c r="AW706" t="s">
        <v>60</v>
      </c>
      <c r="AX706" t="s">
        <v>68</v>
      </c>
      <c r="AY706" t="s">
        <v>69</v>
      </c>
      <c r="AZ706" t="b">
        <v>1</v>
      </c>
    </row>
    <row r="707" spans="1:52" x14ac:dyDescent="0.3">
      <c r="A707" t="s">
        <v>52</v>
      </c>
      <c r="B707" t="s">
        <v>53</v>
      </c>
      <c r="C707" t="s">
        <v>54</v>
      </c>
      <c r="D707" t="s">
        <v>55</v>
      </c>
      <c r="E707" t="s">
        <v>2099</v>
      </c>
      <c r="F707" t="s">
        <v>190</v>
      </c>
      <c r="G707" t="s">
        <v>70</v>
      </c>
      <c r="H707" t="s">
        <v>71</v>
      </c>
      <c r="I707" t="s">
        <v>71</v>
      </c>
      <c r="J707" t="s">
        <v>60</v>
      </c>
      <c r="K707" t="s">
        <v>72</v>
      </c>
      <c r="L707" t="s">
        <v>62</v>
      </c>
      <c r="M707" t="s">
        <v>72</v>
      </c>
      <c r="N707" t="s">
        <v>73</v>
      </c>
      <c r="O707" t="s">
        <v>74</v>
      </c>
      <c r="P707">
        <v>-20.149349000000001</v>
      </c>
      <c r="Q707">
        <v>-44.910784</v>
      </c>
      <c r="R707" s="2" t="str">
        <f>HYPERLINK("https://www.google.com/maps?q=-20.1493490,-44.9107840","Abrir no Google Maps")</f>
        <v>Abrir no Google Maps</v>
      </c>
      <c r="S707">
        <v>4</v>
      </c>
      <c r="T707">
        <v>472.43876549769578</v>
      </c>
      <c r="U707">
        <v>3</v>
      </c>
      <c r="V707">
        <v>12</v>
      </c>
      <c r="W707">
        <v>1</v>
      </c>
      <c r="X707">
        <v>12</v>
      </c>
      <c r="Y707">
        <v>747</v>
      </c>
      <c r="Z707">
        <v>441.03921887407779</v>
      </c>
      <c r="AA707">
        <v>198</v>
      </c>
      <c r="AB707">
        <v>332</v>
      </c>
      <c r="AC707">
        <v>536</v>
      </c>
      <c r="AD707">
        <v>30.48</v>
      </c>
      <c r="AE707">
        <v>542</v>
      </c>
      <c r="AF707">
        <v>30</v>
      </c>
      <c r="AG707">
        <v>176</v>
      </c>
      <c r="AH707">
        <v>129</v>
      </c>
      <c r="AI707">
        <v>5.54</v>
      </c>
      <c r="AJ707">
        <v>32.47</v>
      </c>
      <c r="AK707">
        <v>23.8</v>
      </c>
      <c r="AL707">
        <v>-20.149403999999951</v>
      </c>
      <c r="AM707">
        <v>-44.91080895147438</v>
      </c>
      <c r="AN707">
        <v>-20.149403999999951</v>
      </c>
      <c r="AO707">
        <v>-44.91080895147438</v>
      </c>
      <c r="AP707">
        <v>-20.149349000000001</v>
      </c>
      <c r="AQ707">
        <v>-44.910784</v>
      </c>
      <c r="AR707">
        <v>6.6547592699416382</v>
      </c>
      <c r="AS707" t="s">
        <v>65</v>
      </c>
      <c r="AT707">
        <v>1</v>
      </c>
      <c r="AU707" t="s">
        <v>75</v>
      </c>
      <c r="AV707" t="s">
        <v>76</v>
      </c>
      <c r="AW707" t="s">
        <v>60</v>
      </c>
      <c r="AX707" t="s">
        <v>68</v>
      </c>
      <c r="AY707" t="s">
        <v>69</v>
      </c>
      <c r="AZ707" t="b">
        <v>1</v>
      </c>
    </row>
    <row r="708" spans="1:52" x14ac:dyDescent="0.3">
      <c r="A708" t="s">
        <v>52</v>
      </c>
      <c r="B708" t="s">
        <v>53</v>
      </c>
      <c r="C708" t="s">
        <v>54</v>
      </c>
      <c r="D708" t="s">
        <v>55</v>
      </c>
      <c r="E708" t="s">
        <v>2099</v>
      </c>
      <c r="F708" t="s">
        <v>190</v>
      </c>
      <c r="G708" t="s">
        <v>77</v>
      </c>
      <c r="H708" t="s">
        <v>78</v>
      </c>
      <c r="I708" t="s">
        <v>78</v>
      </c>
      <c r="J708" t="s">
        <v>60</v>
      </c>
      <c r="K708" t="s">
        <v>72</v>
      </c>
      <c r="L708" t="s">
        <v>62</v>
      </c>
      <c r="M708" t="s">
        <v>72</v>
      </c>
      <c r="N708" t="s">
        <v>79</v>
      </c>
      <c r="O708" t="s">
        <v>80</v>
      </c>
      <c r="P708">
        <v>-20.147821</v>
      </c>
      <c r="Q708">
        <v>-44.908887</v>
      </c>
      <c r="R708" s="2" t="str">
        <f>HYPERLINK("https://www.google.com/maps?q=-20.1478210,-44.9088870","Abrir no Google Maps")</f>
        <v>Abrir no Google Maps</v>
      </c>
      <c r="S708">
        <v>4</v>
      </c>
      <c r="T708">
        <v>232.2893841532152</v>
      </c>
      <c r="U708">
        <v>3</v>
      </c>
      <c r="V708">
        <v>17</v>
      </c>
      <c r="W708">
        <v>1</v>
      </c>
      <c r="X708">
        <v>17</v>
      </c>
      <c r="Y708">
        <v>747</v>
      </c>
      <c r="Z708">
        <v>195.3668648953757</v>
      </c>
      <c r="AA708">
        <v>198</v>
      </c>
      <c r="AB708">
        <v>332</v>
      </c>
      <c r="AC708">
        <v>536</v>
      </c>
      <c r="AD708">
        <v>30.48</v>
      </c>
      <c r="AE708">
        <v>542</v>
      </c>
      <c r="AF708">
        <v>30</v>
      </c>
      <c r="AG708">
        <v>176</v>
      </c>
      <c r="AH708">
        <v>129</v>
      </c>
      <c r="AI708">
        <v>5.54</v>
      </c>
      <c r="AJ708">
        <v>32.47</v>
      </c>
      <c r="AK708">
        <v>23.8</v>
      </c>
      <c r="AL708">
        <v>-20.147802849999952</v>
      </c>
      <c r="AM708">
        <v>-44.908989919229477</v>
      </c>
      <c r="AN708">
        <v>-20.147802849999952</v>
      </c>
      <c r="AO708">
        <v>-44.908989919229491</v>
      </c>
      <c r="AP708">
        <v>-20.147821</v>
      </c>
      <c r="AQ708">
        <v>-44.908887</v>
      </c>
      <c r="AR708">
        <v>10.944007761262529</v>
      </c>
      <c r="AS708" t="s">
        <v>65</v>
      </c>
      <c r="AT708">
        <v>1</v>
      </c>
      <c r="AU708" t="s">
        <v>81</v>
      </c>
      <c r="AV708" t="s">
        <v>82</v>
      </c>
      <c r="AW708" t="s">
        <v>60</v>
      </c>
      <c r="AX708" t="s">
        <v>68</v>
      </c>
      <c r="AY708" t="s">
        <v>69</v>
      </c>
      <c r="AZ708" t="b">
        <v>1</v>
      </c>
    </row>
    <row r="709" spans="1:52" x14ac:dyDescent="0.3">
      <c r="A709" t="s">
        <v>52</v>
      </c>
      <c r="B709" t="s">
        <v>53</v>
      </c>
      <c r="C709" t="s">
        <v>54</v>
      </c>
      <c r="D709" t="s">
        <v>55</v>
      </c>
      <c r="E709" t="s">
        <v>2099</v>
      </c>
      <c r="F709" t="s">
        <v>190</v>
      </c>
      <c r="G709" t="s">
        <v>83</v>
      </c>
      <c r="H709" t="s">
        <v>84</v>
      </c>
      <c r="I709" t="s">
        <v>84</v>
      </c>
      <c r="J709" t="s">
        <v>60</v>
      </c>
      <c r="K709" t="s">
        <v>61</v>
      </c>
      <c r="L709" t="s">
        <v>62</v>
      </c>
      <c r="M709" t="s">
        <v>61</v>
      </c>
      <c r="N709" t="s">
        <v>85</v>
      </c>
      <c r="O709" t="s">
        <v>86</v>
      </c>
      <c r="P709">
        <v>-20.149799000000002</v>
      </c>
      <c r="Q709">
        <v>-44.906517000000001</v>
      </c>
      <c r="R709" s="2" t="str">
        <f>HYPERLINK("https://www.google.com/maps?q=-20.1497990,-44.9065170","Abrir no Google Maps")</f>
        <v>Abrir no Google Maps</v>
      </c>
      <c r="S709">
        <v>4</v>
      </c>
      <c r="T709">
        <v>487.90051105537998</v>
      </c>
      <c r="U709">
        <v>3</v>
      </c>
      <c r="V709">
        <v>17</v>
      </c>
      <c r="W709">
        <v>1</v>
      </c>
      <c r="X709">
        <v>17</v>
      </c>
      <c r="Y709">
        <v>747</v>
      </c>
      <c r="Z709">
        <v>365.93785960107078</v>
      </c>
      <c r="AA709">
        <v>198</v>
      </c>
      <c r="AB709">
        <v>332</v>
      </c>
      <c r="AC709">
        <v>536</v>
      </c>
      <c r="AD709">
        <v>30.48</v>
      </c>
      <c r="AE709">
        <v>542</v>
      </c>
      <c r="AF709">
        <v>30</v>
      </c>
      <c r="AG709">
        <v>176</v>
      </c>
      <c r="AH709">
        <v>129</v>
      </c>
      <c r="AI709">
        <v>5.54</v>
      </c>
      <c r="AJ709">
        <v>32.47</v>
      </c>
      <c r="AK709">
        <v>23.8</v>
      </c>
      <c r="AL709">
        <v>-20.149879599999959</v>
      </c>
      <c r="AM709">
        <v>-44.906746466068469</v>
      </c>
      <c r="AN709">
        <v>-20.149879599999959</v>
      </c>
      <c r="AO709">
        <v>-44.906746466068469</v>
      </c>
      <c r="AP709">
        <v>-20.149799000000002</v>
      </c>
      <c r="AQ709">
        <v>-44.906517000000001</v>
      </c>
      <c r="AR709">
        <v>25.604276856970429</v>
      </c>
      <c r="AS709" t="s">
        <v>65</v>
      </c>
      <c r="AT709">
        <v>1</v>
      </c>
      <c r="AU709" t="s">
        <v>87</v>
      </c>
      <c r="AV709" t="s">
        <v>88</v>
      </c>
      <c r="AW709" t="s">
        <v>60</v>
      </c>
      <c r="AX709" t="s">
        <v>68</v>
      </c>
      <c r="AY709" t="s">
        <v>69</v>
      </c>
      <c r="AZ709" t="b">
        <v>1</v>
      </c>
    </row>
    <row r="710" spans="1:52" x14ac:dyDescent="0.3">
      <c r="A710" t="s">
        <v>52</v>
      </c>
      <c r="B710" t="s">
        <v>53</v>
      </c>
      <c r="C710" t="s">
        <v>54</v>
      </c>
      <c r="D710" t="s">
        <v>55</v>
      </c>
      <c r="E710" t="s">
        <v>2099</v>
      </c>
      <c r="F710" t="s">
        <v>190</v>
      </c>
      <c r="G710" t="s">
        <v>89</v>
      </c>
      <c r="H710" t="s">
        <v>90</v>
      </c>
      <c r="I710" t="s">
        <v>90</v>
      </c>
      <c r="J710" t="s">
        <v>60</v>
      </c>
      <c r="K710" t="s">
        <v>72</v>
      </c>
      <c r="L710" t="s">
        <v>62</v>
      </c>
      <c r="M710" t="s">
        <v>72</v>
      </c>
      <c r="N710" t="s">
        <v>91</v>
      </c>
      <c r="O710" t="s">
        <v>92</v>
      </c>
      <c r="P710">
        <v>-20.145848999999998</v>
      </c>
      <c r="Q710">
        <v>-44.908419000000002</v>
      </c>
      <c r="R710" s="2" t="str">
        <f>HYPERLINK("https://www.google.com/maps?q=-20.1458490,-44.9084190","Abrir no Google Maps")</f>
        <v>Abrir no Google Maps</v>
      </c>
      <c r="S710">
        <v>4</v>
      </c>
      <c r="T710">
        <v>0</v>
      </c>
      <c r="U710">
        <v>3</v>
      </c>
      <c r="V710">
        <v>12</v>
      </c>
      <c r="W710">
        <v>1</v>
      </c>
      <c r="X710">
        <v>12</v>
      </c>
      <c r="Y710">
        <v>747</v>
      </c>
      <c r="Z710">
        <v>136.08168502765241</v>
      </c>
      <c r="AA710">
        <v>198</v>
      </c>
      <c r="AB710">
        <v>332</v>
      </c>
      <c r="AC710">
        <v>536</v>
      </c>
      <c r="AD710">
        <v>30.48</v>
      </c>
      <c r="AE710">
        <v>542</v>
      </c>
      <c r="AF710">
        <v>30</v>
      </c>
      <c r="AG710">
        <v>176</v>
      </c>
      <c r="AH710">
        <v>129</v>
      </c>
      <c r="AI710">
        <v>5.54</v>
      </c>
      <c r="AJ710">
        <v>32.47</v>
      </c>
      <c r="AK710">
        <v>23.8</v>
      </c>
      <c r="AL710">
        <v>-20.14576979999995</v>
      </c>
      <c r="AM710">
        <v>-44.908436775053183</v>
      </c>
      <c r="AN710">
        <v>-20.14576979999995</v>
      </c>
      <c r="AO710">
        <v>-44.908436775053183</v>
      </c>
      <c r="AP710">
        <v>-20.145848999999998</v>
      </c>
      <c r="AQ710">
        <v>-44.908419000000002</v>
      </c>
      <c r="AR710">
        <v>9.0101247482327356</v>
      </c>
      <c r="AS710" t="s">
        <v>65</v>
      </c>
      <c r="AT710">
        <v>1</v>
      </c>
      <c r="AU710" t="s">
        <v>93</v>
      </c>
      <c r="AV710" t="s">
        <v>94</v>
      </c>
      <c r="AW710" t="s">
        <v>60</v>
      </c>
      <c r="AX710" t="s">
        <v>68</v>
      </c>
      <c r="AY710" t="s">
        <v>69</v>
      </c>
      <c r="AZ710" t="b">
        <v>1</v>
      </c>
    </row>
    <row r="711" spans="1:52" x14ac:dyDescent="0.3">
      <c r="A711" t="s">
        <v>52</v>
      </c>
      <c r="B711" t="s">
        <v>53</v>
      </c>
      <c r="C711" t="s">
        <v>54</v>
      </c>
      <c r="D711" t="s">
        <v>55</v>
      </c>
      <c r="E711" t="s">
        <v>2099</v>
      </c>
      <c r="F711" t="s">
        <v>190</v>
      </c>
      <c r="G711" t="s">
        <v>95</v>
      </c>
      <c r="H711" t="s">
        <v>96</v>
      </c>
      <c r="I711" t="s">
        <v>96</v>
      </c>
      <c r="J711" t="s">
        <v>60</v>
      </c>
      <c r="K711" t="s">
        <v>72</v>
      </c>
      <c r="L711" t="s">
        <v>62</v>
      </c>
      <c r="M711" t="s">
        <v>72</v>
      </c>
      <c r="N711" t="s">
        <v>97</v>
      </c>
      <c r="O711" t="s">
        <v>98</v>
      </c>
      <c r="P711">
        <v>-20.144062999999999</v>
      </c>
      <c r="Q711">
        <v>-44.909627999999998</v>
      </c>
      <c r="R711" s="2" t="str">
        <f>HYPERLINK("https://www.google.com/maps?q=-20.1440630,-44.9096280","Abrir no Google Maps")</f>
        <v>Abrir no Google Maps</v>
      </c>
      <c r="S711">
        <v>4</v>
      </c>
      <c r="T711">
        <v>205.27083326529291</v>
      </c>
      <c r="U711">
        <v>3</v>
      </c>
      <c r="V711">
        <v>16</v>
      </c>
      <c r="W711">
        <v>1</v>
      </c>
      <c r="X711">
        <v>16</v>
      </c>
      <c r="Y711">
        <v>747</v>
      </c>
      <c r="Z711">
        <v>336.75785483480968</v>
      </c>
      <c r="AA711">
        <v>198</v>
      </c>
      <c r="AB711">
        <v>332</v>
      </c>
      <c r="AC711">
        <v>536</v>
      </c>
      <c r="AD711">
        <v>30.48</v>
      </c>
      <c r="AE711">
        <v>542</v>
      </c>
      <c r="AF711">
        <v>30</v>
      </c>
      <c r="AG711">
        <v>176</v>
      </c>
      <c r="AH711">
        <v>129</v>
      </c>
      <c r="AI711">
        <v>5.54</v>
      </c>
      <c r="AJ711">
        <v>32.47</v>
      </c>
      <c r="AK711">
        <v>23.8</v>
      </c>
      <c r="AL711">
        <v>-20.144164099999951</v>
      </c>
      <c r="AM711">
        <v>-44.909420167767642</v>
      </c>
      <c r="AN711">
        <v>-20.144164099999951</v>
      </c>
      <c r="AO711">
        <v>-44.909420167767642</v>
      </c>
      <c r="AP711">
        <v>-20.144062999999999</v>
      </c>
      <c r="AQ711">
        <v>-44.909627999999998</v>
      </c>
      <c r="AR711">
        <v>24.46321571724976</v>
      </c>
      <c r="AS711" t="s">
        <v>65</v>
      </c>
      <c r="AT711">
        <v>1</v>
      </c>
      <c r="AU711" t="s">
        <v>99</v>
      </c>
      <c r="AV711" t="s">
        <v>94</v>
      </c>
      <c r="AW711" t="s">
        <v>60</v>
      </c>
      <c r="AX711" t="s">
        <v>68</v>
      </c>
      <c r="AY711" t="s">
        <v>69</v>
      </c>
      <c r="AZ711" t="b">
        <v>1</v>
      </c>
    </row>
    <row r="712" spans="1:52" x14ac:dyDescent="0.3">
      <c r="A712" t="s">
        <v>52</v>
      </c>
      <c r="B712" t="s">
        <v>53</v>
      </c>
      <c r="C712" t="s">
        <v>54</v>
      </c>
      <c r="D712" t="s">
        <v>55</v>
      </c>
      <c r="E712" t="s">
        <v>2099</v>
      </c>
      <c r="F712" t="s">
        <v>190</v>
      </c>
      <c r="G712" t="s">
        <v>100</v>
      </c>
      <c r="H712" t="s">
        <v>101</v>
      </c>
      <c r="I712" t="s">
        <v>101</v>
      </c>
      <c r="J712" t="s">
        <v>60</v>
      </c>
      <c r="K712" t="s">
        <v>61</v>
      </c>
      <c r="L712" t="s">
        <v>62</v>
      </c>
      <c r="M712" t="s">
        <v>61</v>
      </c>
      <c r="N712" t="s">
        <v>102</v>
      </c>
      <c r="O712" t="s">
        <v>103</v>
      </c>
      <c r="P712">
        <v>-20.151098999999999</v>
      </c>
      <c r="Q712">
        <v>-44.909699000000003</v>
      </c>
      <c r="R712" s="2" t="str">
        <f>HYPERLINK("https://www.google.com/maps?q=-20.1510990,-44.9096990","Abrir no Google Maps")</f>
        <v>Abrir no Google Maps</v>
      </c>
      <c r="S712">
        <v>4</v>
      </c>
      <c r="T712">
        <v>628.5023128813533</v>
      </c>
      <c r="U712">
        <v>3</v>
      </c>
      <c r="V712">
        <v>12</v>
      </c>
      <c r="W712">
        <v>1</v>
      </c>
      <c r="X712">
        <v>12</v>
      </c>
      <c r="Y712">
        <v>747</v>
      </c>
      <c r="Z712">
        <v>563.16456625265948</v>
      </c>
      <c r="AA712">
        <v>198</v>
      </c>
      <c r="AB712">
        <v>332</v>
      </c>
      <c r="AC712">
        <v>536</v>
      </c>
      <c r="AD712">
        <v>30.48</v>
      </c>
      <c r="AE712">
        <v>542</v>
      </c>
      <c r="AF712">
        <v>30</v>
      </c>
      <c r="AG712">
        <v>176</v>
      </c>
      <c r="AH712">
        <v>129</v>
      </c>
      <c r="AI712">
        <v>5.54</v>
      </c>
      <c r="AJ712">
        <v>32.47</v>
      </c>
      <c r="AK712">
        <v>23.8</v>
      </c>
      <c r="AL712">
        <v>-20.151307349999971</v>
      </c>
      <c r="AM712">
        <v>-44.909772836123523</v>
      </c>
      <c r="AN712">
        <v>-20.151307349999971</v>
      </c>
      <c r="AO712">
        <v>-44.909772836123523</v>
      </c>
      <c r="AP712">
        <v>-20.151098999999999</v>
      </c>
      <c r="AQ712">
        <v>-44.909699000000003</v>
      </c>
      <c r="AR712">
        <v>24.443417349564811</v>
      </c>
      <c r="AS712" t="s">
        <v>65</v>
      </c>
      <c r="AT712">
        <v>1</v>
      </c>
      <c r="AU712" t="s">
        <v>104</v>
      </c>
      <c r="AV712" t="s">
        <v>105</v>
      </c>
      <c r="AW712" t="s">
        <v>60</v>
      </c>
      <c r="AX712" t="s">
        <v>68</v>
      </c>
      <c r="AY712" t="s">
        <v>69</v>
      </c>
      <c r="AZ712" t="b">
        <v>1</v>
      </c>
    </row>
    <row r="713" spans="1:52" x14ac:dyDescent="0.3">
      <c r="A713" t="s">
        <v>52</v>
      </c>
      <c r="B713" t="s">
        <v>53</v>
      </c>
      <c r="C713" t="s">
        <v>54</v>
      </c>
      <c r="D713" t="s">
        <v>55</v>
      </c>
      <c r="E713" t="s">
        <v>2099</v>
      </c>
      <c r="F713" t="s">
        <v>190</v>
      </c>
      <c r="G713" t="s">
        <v>1258</v>
      </c>
      <c r="H713" t="s">
        <v>1259</v>
      </c>
      <c r="I713" t="s">
        <v>1259</v>
      </c>
      <c r="J713" t="s">
        <v>60</v>
      </c>
      <c r="K713" t="s">
        <v>905</v>
      </c>
      <c r="L713" t="s">
        <v>62</v>
      </c>
      <c r="M713" t="s">
        <v>905</v>
      </c>
      <c r="N713" t="s">
        <v>1260</v>
      </c>
      <c r="O713" t="s">
        <v>628</v>
      </c>
      <c r="P713">
        <v>-20.113569999999999</v>
      </c>
      <c r="Q713">
        <v>-44.897216</v>
      </c>
      <c r="R713" s="2" t="str">
        <f>HYPERLINK("https://www.google.com/maps?q=-20.1135700,-44.8972160","Abrir no Google Maps")</f>
        <v>Abrir no Google Maps</v>
      </c>
      <c r="S713">
        <v>4</v>
      </c>
      <c r="T713">
        <v>418.54368277643368</v>
      </c>
      <c r="U713">
        <v>3</v>
      </c>
      <c r="V713">
        <v>19</v>
      </c>
      <c r="W713">
        <v>0.85</v>
      </c>
      <c r="X713">
        <v>16.149999999999999</v>
      </c>
      <c r="Y713">
        <v>567</v>
      </c>
      <c r="Z713">
        <v>315.02989622191018</v>
      </c>
      <c r="AA713">
        <v>198</v>
      </c>
      <c r="AB713">
        <v>332</v>
      </c>
      <c r="AC713">
        <v>536</v>
      </c>
      <c r="AD713">
        <v>30.48</v>
      </c>
      <c r="AE713">
        <v>542</v>
      </c>
      <c r="AF713">
        <v>30</v>
      </c>
      <c r="AG713">
        <v>176</v>
      </c>
      <c r="AH713">
        <v>129</v>
      </c>
      <c r="AI713">
        <v>5.54</v>
      </c>
      <c r="AJ713">
        <v>32.47</v>
      </c>
      <c r="AK713">
        <v>23.8</v>
      </c>
      <c r="AL713">
        <v>-20.113750149999959</v>
      </c>
      <c r="AM713">
        <v>-44.897427949999937</v>
      </c>
      <c r="AN713">
        <v>-20.113750149999959</v>
      </c>
      <c r="AO713">
        <v>-44.897427949999937</v>
      </c>
      <c r="AP713">
        <v>-20.113569999999999</v>
      </c>
      <c r="AQ713">
        <v>-44.897216</v>
      </c>
      <c r="AR713">
        <v>29.883644534822711</v>
      </c>
      <c r="AS713" t="s">
        <v>65</v>
      </c>
      <c r="AT713">
        <v>1</v>
      </c>
      <c r="AU713" t="s">
        <v>1261</v>
      </c>
      <c r="AV713" t="s">
        <v>1262</v>
      </c>
      <c r="AW713" t="s">
        <v>60</v>
      </c>
      <c r="AX713" t="s">
        <v>68</v>
      </c>
      <c r="AY713" t="s">
        <v>69</v>
      </c>
      <c r="AZ713" t="b">
        <v>1</v>
      </c>
    </row>
    <row r="714" spans="1:52" x14ac:dyDescent="0.3">
      <c r="A714" t="s">
        <v>52</v>
      </c>
      <c r="B714" t="s">
        <v>53</v>
      </c>
      <c r="C714" t="s">
        <v>54</v>
      </c>
      <c r="D714" t="s">
        <v>55</v>
      </c>
      <c r="E714" t="s">
        <v>2099</v>
      </c>
      <c r="F714" t="s">
        <v>190</v>
      </c>
      <c r="G714" t="s">
        <v>198</v>
      </c>
      <c r="H714" t="s">
        <v>199</v>
      </c>
      <c r="I714" t="s">
        <v>199</v>
      </c>
      <c r="J714" t="s">
        <v>60</v>
      </c>
      <c r="K714" t="s">
        <v>200</v>
      </c>
      <c r="L714" t="s">
        <v>62</v>
      </c>
      <c r="M714" t="s">
        <v>200</v>
      </c>
      <c r="N714" t="s">
        <v>201</v>
      </c>
      <c r="O714" t="s">
        <v>202</v>
      </c>
      <c r="P714">
        <v>-20.122433000000001</v>
      </c>
      <c r="Q714">
        <v>-44.897013999999999</v>
      </c>
      <c r="R714" s="2" t="str">
        <f>HYPERLINK("https://www.google.com/maps?q=-20.1224330,-44.8970140","Abrir no Google Maps")</f>
        <v>Abrir no Google Maps</v>
      </c>
      <c r="S714">
        <v>4</v>
      </c>
      <c r="T714">
        <v>616.04759279207849</v>
      </c>
      <c r="U714">
        <v>3</v>
      </c>
      <c r="V714">
        <v>16</v>
      </c>
      <c r="W714">
        <v>0.85</v>
      </c>
      <c r="X714">
        <v>13.6</v>
      </c>
      <c r="Y714">
        <v>567</v>
      </c>
      <c r="Z714">
        <v>655.51024138861465</v>
      </c>
      <c r="AA714">
        <v>198</v>
      </c>
      <c r="AB714">
        <v>332</v>
      </c>
      <c r="AC714">
        <v>536</v>
      </c>
      <c r="AD714">
        <v>30.48</v>
      </c>
      <c r="AE714">
        <v>542</v>
      </c>
      <c r="AF714">
        <v>30</v>
      </c>
      <c r="AG714">
        <v>176</v>
      </c>
      <c r="AH714">
        <v>129</v>
      </c>
      <c r="AI714">
        <v>5.54</v>
      </c>
      <c r="AJ714">
        <v>32.47</v>
      </c>
      <c r="AK714">
        <v>23.8</v>
      </c>
      <c r="AL714">
        <v>-20.122144949999949</v>
      </c>
      <c r="AM714">
        <v>-44.896761973125983</v>
      </c>
      <c r="AN714">
        <v>-20.122144949999949</v>
      </c>
      <c r="AO714">
        <v>-44.896761973125983</v>
      </c>
      <c r="AP714">
        <v>-20.122433000000001</v>
      </c>
      <c r="AQ714">
        <v>-44.897013999999999</v>
      </c>
      <c r="AR714">
        <v>41.499066772735389</v>
      </c>
      <c r="AS714" t="s">
        <v>65</v>
      </c>
      <c r="AT714">
        <v>1</v>
      </c>
      <c r="AU714" t="s">
        <v>203</v>
      </c>
      <c r="AV714" t="s">
        <v>204</v>
      </c>
      <c r="AW714" t="s">
        <v>60</v>
      </c>
      <c r="AX714" t="s">
        <v>68</v>
      </c>
      <c r="AY714" t="s">
        <v>69</v>
      </c>
      <c r="AZ714" t="b">
        <v>1</v>
      </c>
    </row>
    <row r="715" spans="1:52" x14ac:dyDescent="0.3">
      <c r="A715" t="s">
        <v>52</v>
      </c>
      <c r="B715" t="s">
        <v>53</v>
      </c>
      <c r="C715" t="s">
        <v>54</v>
      </c>
      <c r="D715" t="s">
        <v>55</v>
      </c>
      <c r="E715" t="s">
        <v>2099</v>
      </c>
      <c r="F715" t="s">
        <v>190</v>
      </c>
      <c r="G715" t="s">
        <v>115</v>
      </c>
      <c r="H715" t="s">
        <v>116</v>
      </c>
      <c r="I715" t="s">
        <v>116</v>
      </c>
      <c r="J715" t="s">
        <v>60</v>
      </c>
      <c r="K715" t="s">
        <v>117</v>
      </c>
      <c r="L715" t="s">
        <v>62</v>
      </c>
      <c r="M715" t="s">
        <v>117</v>
      </c>
      <c r="N715" t="s">
        <v>118</v>
      </c>
      <c r="O715" t="s">
        <v>119</v>
      </c>
      <c r="P715">
        <v>-20.116992</v>
      </c>
      <c r="Q715">
        <v>-44.899355</v>
      </c>
      <c r="R715" s="2" t="str">
        <f>HYPERLINK("https://www.google.com/maps?q=-20.1169920,-44.8993550","Abrir no Google Maps")</f>
        <v>Abrir no Google Maps</v>
      </c>
      <c r="S715">
        <v>4</v>
      </c>
      <c r="T715">
        <v>0</v>
      </c>
      <c r="U715">
        <v>3</v>
      </c>
      <c r="V715">
        <v>14</v>
      </c>
      <c r="W715">
        <v>1</v>
      </c>
      <c r="X715">
        <v>14</v>
      </c>
      <c r="Y715">
        <v>567</v>
      </c>
      <c r="Z715">
        <v>54.913678078353321</v>
      </c>
      <c r="AA715">
        <v>198</v>
      </c>
      <c r="AB715">
        <v>332</v>
      </c>
      <c r="AC715">
        <v>536</v>
      </c>
      <c r="AD715">
        <v>30.48</v>
      </c>
      <c r="AE715">
        <v>542</v>
      </c>
      <c r="AF715">
        <v>30</v>
      </c>
      <c r="AG715">
        <v>176</v>
      </c>
      <c r="AH715">
        <v>129</v>
      </c>
      <c r="AI715">
        <v>5.54</v>
      </c>
      <c r="AJ715">
        <v>32.47</v>
      </c>
      <c r="AK715">
        <v>23.8</v>
      </c>
      <c r="AL715">
        <v>-20.117107749999949</v>
      </c>
      <c r="AM715">
        <v>-44.899271226243108</v>
      </c>
      <c r="AN715">
        <v>-20.117107749999949</v>
      </c>
      <c r="AO715">
        <v>-44.899271226243108</v>
      </c>
      <c r="AP715">
        <v>-20.116992</v>
      </c>
      <c r="AQ715">
        <v>-44.899355</v>
      </c>
      <c r="AR715">
        <v>15.579196044083419</v>
      </c>
      <c r="AS715" t="s">
        <v>65</v>
      </c>
      <c r="AT715">
        <v>1</v>
      </c>
      <c r="AU715" t="s">
        <v>120</v>
      </c>
      <c r="AV715" t="s">
        <v>121</v>
      </c>
      <c r="AW715" t="s">
        <v>60</v>
      </c>
      <c r="AX715" t="s">
        <v>68</v>
      </c>
      <c r="AY715" t="s">
        <v>69</v>
      </c>
      <c r="AZ715" t="b">
        <v>1</v>
      </c>
    </row>
    <row r="716" spans="1:52" x14ac:dyDescent="0.3">
      <c r="A716" t="s">
        <v>52</v>
      </c>
      <c r="B716" t="s">
        <v>53</v>
      </c>
      <c r="C716" t="s">
        <v>54</v>
      </c>
      <c r="D716" t="s">
        <v>55</v>
      </c>
      <c r="E716" t="s">
        <v>2099</v>
      </c>
      <c r="F716" t="s">
        <v>190</v>
      </c>
      <c r="G716" t="s">
        <v>212</v>
      </c>
      <c r="H716" t="s">
        <v>213</v>
      </c>
      <c r="I716" t="s">
        <v>213</v>
      </c>
      <c r="J716" t="s">
        <v>60</v>
      </c>
      <c r="K716" t="s">
        <v>214</v>
      </c>
      <c r="L716" t="s">
        <v>62</v>
      </c>
      <c r="M716" t="s">
        <v>214</v>
      </c>
      <c r="N716" t="s">
        <v>215</v>
      </c>
      <c r="O716" t="s">
        <v>216</v>
      </c>
      <c r="P716">
        <v>-20.158149000000002</v>
      </c>
      <c r="Q716">
        <v>-44.872593000000002</v>
      </c>
      <c r="R716" s="2" t="str">
        <f>HYPERLINK("https://www.google.com/maps?q=-20.1581490,-44.8725930","Abrir no Google Maps")</f>
        <v>Abrir no Google Maps</v>
      </c>
      <c r="S716">
        <v>4</v>
      </c>
      <c r="T716">
        <v>0</v>
      </c>
      <c r="U716">
        <v>3</v>
      </c>
      <c r="V716">
        <v>18</v>
      </c>
      <c r="W716">
        <v>1</v>
      </c>
      <c r="X716">
        <v>18</v>
      </c>
      <c r="Y716">
        <v>531</v>
      </c>
      <c r="Z716">
        <v>127.8805352974544</v>
      </c>
      <c r="AA716">
        <v>198</v>
      </c>
      <c r="AB716">
        <v>332</v>
      </c>
      <c r="AC716">
        <v>536</v>
      </c>
      <c r="AD716">
        <v>30.48</v>
      </c>
      <c r="AE716">
        <v>542</v>
      </c>
      <c r="AF716">
        <v>30</v>
      </c>
      <c r="AG716">
        <v>176</v>
      </c>
      <c r="AH716">
        <v>129</v>
      </c>
      <c r="AI716">
        <v>5.54</v>
      </c>
      <c r="AJ716">
        <v>32.47</v>
      </c>
      <c r="AK716">
        <v>23.8</v>
      </c>
      <c r="AL716">
        <v>-20.158114249999951</v>
      </c>
      <c r="AM716">
        <v>-44.872583123264782</v>
      </c>
      <c r="AN716">
        <v>-20.158114249999951</v>
      </c>
      <c r="AO716">
        <v>-44.872583123264782</v>
      </c>
      <c r="AP716">
        <v>-20.158149000000002</v>
      </c>
      <c r="AQ716">
        <v>-44.872593000000002</v>
      </c>
      <c r="AR716">
        <v>4.0036956087599238</v>
      </c>
      <c r="AS716" t="s">
        <v>65</v>
      </c>
      <c r="AT716">
        <v>1</v>
      </c>
      <c r="AU716" t="s">
        <v>217</v>
      </c>
      <c r="AV716" t="s">
        <v>218</v>
      </c>
      <c r="AW716" t="s">
        <v>60</v>
      </c>
      <c r="AX716" t="s">
        <v>68</v>
      </c>
      <c r="AY716" t="s">
        <v>69</v>
      </c>
      <c r="AZ716" t="b">
        <v>1</v>
      </c>
    </row>
    <row r="717" spans="1:52" x14ac:dyDescent="0.3">
      <c r="A717" t="s">
        <v>52</v>
      </c>
      <c r="B717" t="s">
        <v>53</v>
      </c>
      <c r="C717" t="s">
        <v>54</v>
      </c>
      <c r="D717" t="s">
        <v>55</v>
      </c>
      <c r="E717" t="s">
        <v>2099</v>
      </c>
      <c r="F717" t="s">
        <v>190</v>
      </c>
      <c r="G717" t="s">
        <v>225</v>
      </c>
      <c r="H717" t="s">
        <v>226</v>
      </c>
      <c r="I717" t="s">
        <v>226</v>
      </c>
      <c r="J717" t="s">
        <v>60</v>
      </c>
      <c r="K717" t="s">
        <v>227</v>
      </c>
      <c r="L717" t="s">
        <v>62</v>
      </c>
      <c r="M717" t="s">
        <v>227</v>
      </c>
      <c r="N717" t="s">
        <v>228</v>
      </c>
      <c r="O717" t="s">
        <v>229</v>
      </c>
      <c r="P717">
        <v>-20.156986</v>
      </c>
      <c r="Q717">
        <v>-44.857474000000003</v>
      </c>
      <c r="R717" s="2" t="str">
        <f>HYPERLINK("https://www.google.com/maps?q=-20.1569860,-44.8574740","Abrir no Google Maps")</f>
        <v>Abrir no Google Maps</v>
      </c>
      <c r="S717">
        <v>4</v>
      </c>
      <c r="T717">
        <v>270.52797591847911</v>
      </c>
      <c r="U717">
        <v>3</v>
      </c>
      <c r="V717">
        <v>14</v>
      </c>
      <c r="W717">
        <v>1</v>
      </c>
      <c r="X717">
        <v>14</v>
      </c>
      <c r="Y717">
        <v>518</v>
      </c>
      <c r="Z717">
        <v>441.86584449256071</v>
      </c>
      <c r="AA717">
        <v>198</v>
      </c>
      <c r="AB717">
        <v>332</v>
      </c>
      <c r="AC717">
        <v>536</v>
      </c>
      <c r="AD717">
        <v>30.48</v>
      </c>
      <c r="AE717">
        <v>542</v>
      </c>
      <c r="AF717">
        <v>30</v>
      </c>
      <c r="AG717">
        <v>176</v>
      </c>
      <c r="AH717">
        <v>129</v>
      </c>
      <c r="AI717">
        <v>5.54</v>
      </c>
      <c r="AJ717">
        <v>32.47</v>
      </c>
      <c r="AK717">
        <v>23.8</v>
      </c>
      <c r="AL717">
        <v>-20.156957249999952</v>
      </c>
      <c r="AM717">
        <v>-44.857396682659299</v>
      </c>
      <c r="AN717">
        <v>-20.156957249999952</v>
      </c>
      <c r="AO717">
        <v>-44.857396682659299</v>
      </c>
      <c r="AP717">
        <v>-20.156986</v>
      </c>
      <c r="AQ717">
        <v>-44.857474000000003</v>
      </c>
      <c r="AR717">
        <v>8.6905800579264607</v>
      </c>
      <c r="AS717" t="s">
        <v>65</v>
      </c>
      <c r="AT717">
        <v>1</v>
      </c>
      <c r="AU717" t="s">
        <v>230</v>
      </c>
      <c r="AV717" t="s">
        <v>231</v>
      </c>
      <c r="AW717" t="s">
        <v>60</v>
      </c>
      <c r="AX717" t="s">
        <v>68</v>
      </c>
      <c r="AY717" t="s">
        <v>69</v>
      </c>
      <c r="AZ717" t="b">
        <v>1</v>
      </c>
    </row>
    <row r="718" spans="1:52" x14ac:dyDescent="0.3">
      <c r="A718" t="s">
        <v>52</v>
      </c>
      <c r="B718" t="s">
        <v>53</v>
      </c>
      <c r="C718" t="s">
        <v>54</v>
      </c>
      <c r="D718" t="s">
        <v>55</v>
      </c>
      <c r="E718" t="s">
        <v>2099</v>
      </c>
      <c r="F718" t="s">
        <v>190</v>
      </c>
      <c r="G718" t="s">
        <v>232</v>
      </c>
      <c r="H718" t="s">
        <v>233</v>
      </c>
      <c r="I718" t="s">
        <v>233</v>
      </c>
      <c r="J718" t="s">
        <v>60</v>
      </c>
      <c r="K718" t="s">
        <v>227</v>
      </c>
      <c r="L718" t="s">
        <v>62</v>
      </c>
      <c r="M718" t="s">
        <v>227</v>
      </c>
      <c r="N718" t="s">
        <v>234</v>
      </c>
      <c r="O718" t="s">
        <v>235</v>
      </c>
      <c r="P718">
        <v>-20.158666</v>
      </c>
      <c r="Q718">
        <v>-44.861398999999999</v>
      </c>
      <c r="R718" s="2" t="str">
        <f>HYPERLINK("https://www.google.com/maps?q=-20.1586660,-44.8613990","Abrir no Google Maps")</f>
        <v>Abrir no Google Maps</v>
      </c>
      <c r="S718">
        <v>4</v>
      </c>
      <c r="T718">
        <v>330.01505397941582</v>
      </c>
      <c r="U718">
        <v>3</v>
      </c>
      <c r="V718">
        <v>15</v>
      </c>
      <c r="W718">
        <v>1</v>
      </c>
      <c r="X718">
        <v>15</v>
      </c>
      <c r="Y718">
        <v>518</v>
      </c>
      <c r="Z718">
        <v>251.8092920281106</v>
      </c>
      <c r="AA718">
        <v>198</v>
      </c>
      <c r="AB718">
        <v>332</v>
      </c>
      <c r="AC718">
        <v>536</v>
      </c>
      <c r="AD718">
        <v>30.48</v>
      </c>
      <c r="AE718">
        <v>542</v>
      </c>
      <c r="AF718">
        <v>30</v>
      </c>
      <c r="AG718">
        <v>176</v>
      </c>
      <c r="AH718">
        <v>129</v>
      </c>
      <c r="AI718">
        <v>5.54</v>
      </c>
      <c r="AJ718">
        <v>32.47</v>
      </c>
      <c r="AK718">
        <v>23.8</v>
      </c>
      <c r="AL718">
        <v>-20.158631449999969</v>
      </c>
      <c r="AM718">
        <v>-44.861424574758061</v>
      </c>
      <c r="AN718">
        <v>-20.158631449999969</v>
      </c>
      <c r="AO718">
        <v>-44.861424574758061</v>
      </c>
      <c r="AP718">
        <v>-20.158666</v>
      </c>
      <c r="AQ718">
        <v>-44.861398999999999</v>
      </c>
      <c r="AR718">
        <v>4.6835056709567411</v>
      </c>
      <c r="AS718" t="s">
        <v>65</v>
      </c>
      <c r="AT718">
        <v>1</v>
      </c>
      <c r="AU718" t="s">
        <v>236</v>
      </c>
      <c r="AV718" t="s">
        <v>237</v>
      </c>
      <c r="AW718" t="s">
        <v>60</v>
      </c>
      <c r="AX718" t="s">
        <v>68</v>
      </c>
      <c r="AY718" t="s">
        <v>69</v>
      </c>
      <c r="AZ718" t="b">
        <v>1</v>
      </c>
    </row>
    <row r="719" spans="1:52" x14ac:dyDescent="0.3">
      <c r="A719" t="s">
        <v>52</v>
      </c>
      <c r="B719" t="s">
        <v>53</v>
      </c>
      <c r="C719" t="s">
        <v>54</v>
      </c>
      <c r="D719" t="s">
        <v>55</v>
      </c>
      <c r="E719" t="s">
        <v>2099</v>
      </c>
      <c r="F719" t="s">
        <v>190</v>
      </c>
      <c r="G719" t="s">
        <v>1618</v>
      </c>
      <c r="H719" t="s">
        <v>1619</v>
      </c>
      <c r="I719" t="s">
        <v>1619</v>
      </c>
      <c r="J719" t="s">
        <v>60</v>
      </c>
      <c r="K719" t="s">
        <v>227</v>
      </c>
      <c r="L719" t="s">
        <v>62</v>
      </c>
      <c r="M719" t="s">
        <v>227</v>
      </c>
      <c r="N719" t="s">
        <v>228</v>
      </c>
      <c r="O719" t="s">
        <v>1620</v>
      </c>
      <c r="P719">
        <v>-20.159497999999999</v>
      </c>
      <c r="Q719">
        <v>-44.852925999999997</v>
      </c>
      <c r="R719" s="2" t="str">
        <f>HYPERLINK("https://www.google.com/maps?q=-20.1594980,-44.8529260","Abrir no Google Maps")</f>
        <v>Abrir no Google Maps</v>
      </c>
      <c r="S719">
        <v>4</v>
      </c>
      <c r="T719">
        <v>560.11627509727657</v>
      </c>
      <c r="U719">
        <v>3</v>
      </c>
      <c r="V719">
        <v>17</v>
      </c>
      <c r="W719">
        <v>1</v>
      </c>
      <c r="X719">
        <v>17</v>
      </c>
      <c r="Y719">
        <v>491</v>
      </c>
      <c r="Z719">
        <v>609.25494989442086</v>
      </c>
      <c r="AA719">
        <v>198</v>
      </c>
      <c r="AB719">
        <v>332</v>
      </c>
      <c r="AC719">
        <v>536</v>
      </c>
      <c r="AD719">
        <v>30.48</v>
      </c>
      <c r="AE719">
        <v>542</v>
      </c>
      <c r="AF719">
        <v>30</v>
      </c>
      <c r="AG719">
        <v>176</v>
      </c>
      <c r="AH719">
        <v>129</v>
      </c>
      <c r="AI719">
        <v>5.54</v>
      </c>
      <c r="AJ719">
        <v>32.47</v>
      </c>
      <c r="AK719">
        <v>23.8</v>
      </c>
      <c r="AL719">
        <v>-20.159495399999969</v>
      </c>
      <c r="AM719">
        <v>-44.85297928977559</v>
      </c>
      <c r="AN719">
        <v>-20.159495399999969</v>
      </c>
      <c r="AO719">
        <v>-44.85297928977559</v>
      </c>
      <c r="AP719">
        <v>-20.159497999999999</v>
      </c>
      <c r="AQ719">
        <v>-44.852925999999997</v>
      </c>
      <c r="AR719">
        <v>5.5763081103260701</v>
      </c>
      <c r="AS719" t="s">
        <v>65</v>
      </c>
      <c r="AT719">
        <v>1</v>
      </c>
      <c r="AU719" t="s">
        <v>1621</v>
      </c>
      <c r="AV719" t="s">
        <v>1622</v>
      </c>
      <c r="AW719" t="s">
        <v>60</v>
      </c>
      <c r="AX719" t="s">
        <v>68</v>
      </c>
      <c r="AY719" t="s">
        <v>69</v>
      </c>
      <c r="AZ719" t="b">
        <v>1</v>
      </c>
    </row>
    <row r="720" spans="1:52" x14ac:dyDescent="0.3">
      <c r="A720" t="s">
        <v>52</v>
      </c>
      <c r="B720" t="s">
        <v>53</v>
      </c>
      <c r="C720" t="s">
        <v>54</v>
      </c>
      <c r="D720" t="s">
        <v>55</v>
      </c>
      <c r="E720" t="s">
        <v>2099</v>
      </c>
      <c r="F720" t="s">
        <v>190</v>
      </c>
      <c r="G720" t="s">
        <v>1691</v>
      </c>
      <c r="H720" t="s">
        <v>1692</v>
      </c>
      <c r="I720" t="s">
        <v>1692</v>
      </c>
      <c r="J720" t="s">
        <v>60</v>
      </c>
      <c r="K720" t="s">
        <v>355</v>
      </c>
      <c r="L720" t="s">
        <v>62</v>
      </c>
      <c r="M720" t="s">
        <v>355</v>
      </c>
      <c r="N720" t="s">
        <v>1693</v>
      </c>
      <c r="O720" t="s">
        <v>1446</v>
      </c>
      <c r="P720">
        <v>-20.14547</v>
      </c>
      <c r="Q720">
        <v>-44.877133999999998</v>
      </c>
      <c r="R720" s="2" t="str">
        <f>HYPERLINK("https://www.google.com/maps?q=-20.1454700,-44.8771340","Abrir no Google Maps")</f>
        <v>Abrir no Google Maps</v>
      </c>
      <c r="S720">
        <v>4</v>
      </c>
      <c r="T720">
        <v>258.39225185862313</v>
      </c>
      <c r="U720">
        <v>3</v>
      </c>
      <c r="V720">
        <v>16</v>
      </c>
      <c r="W720">
        <v>0.85</v>
      </c>
      <c r="X720">
        <v>13.6</v>
      </c>
      <c r="Y720">
        <v>465</v>
      </c>
      <c r="Z720">
        <v>177.55740786989961</v>
      </c>
      <c r="AA720">
        <v>198</v>
      </c>
      <c r="AB720">
        <v>332</v>
      </c>
      <c r="AC720">
        <v>536</v>
      </c>
      <c r="AD720">
        <v>30.48</v>
      </c>
      <c r="AE720">
        <v>542</v>
      </c>
      <c r="AF720">
        <v>30</v>
      </c>
      <c r="AG720">
        <v>176</v>
      </c>
      <c r="AH720">
        <v>129</v>
      </c>
      <c r="AI720">
        <v>5.54</v>
      </c>
      <c r="AJ720">
        <v>32.47</v>
      </c>
      <c r="AK720">
        <v>23.8</v>
      </c>
      <c r="AL720">
        <v>-20.14545944999994</v>
      </c>
      <c r="AM720">
        <v>-44.877145069822348</v>
      </c>
      <c r="AN720">
        <v>-20.14545944999994</v>
      </c>
      <c r="AO720">
        <v>-44.877145069822348</v>
      </c>
      <c r="AP720">
        <v>-20.14547</v>
      </c>
      <c r="AQ720">
        <v>-44.877133999999998</v>
      </c>
      <c r="AR720">
        <v>1.6485448005145531</v>
      </c>
      <c r="AS720" t="s">
        <v>65</v>
      </c>
      <c r="AT720">
        <v>1</v>
      </c>
      <c r="AU720" t="s">
        <v>1694</v>
      </c>
      <c r="AV720" t="s">
        <v>1695</v>
      </c>
      <c r="AW720" t="s">
        <v>60</v>
      </c>
      <c r="AX720" t="s">
        <v>68</v>
      </c>
      <c r="AY720" t="s">
        <v>69</v>
      </c>
      <c r="AZ720" t="b">
        <v>1</v>
      </c>
    </row>
    <row r="721" spans="1:52" x14ac:dyDescent="0.3">
      <c r="A721" t="s">
        <v>52</v>
      </c>
      <c r="B721" t="s">
        <v>53</v>
      </c>
      <c r="C721" t="s">
        <v>54</v>
      </c>
      <c r="D721" t="s">
        <v>55</v>
      </c>
      <c r="E721" t="s">
        <v>2099</v>
      </c>
      <c r="F721" t="s">
        <v>190</v>
      </c>
      <c r="G721" t="s">
        <v>243</v>
      </c>
      <c r="H721" t="s">
        <v>244</v>
      </c>
      <c r="I721" t="s">
        <v>244</v>
      </c>
      <c r="J721" t="s">
        <v>60</v>
      </c>
      <c r="K721" t="s">
        <v>214</v>
      </c>
      <c r="L721" t="s">
        <v>62</v>
      </c>
      <c r="M721" t="s">
        <v>214</v>
      </c>
      <c r="N721" t="s">
        <v>245</v>
      </c>
      <c r="O721" t="s">
        <v>246</v>
      </c>
      <c r="P721">
        <v>-20.156296999999999</v>
      </c>
      <c r="Q721">
        <v>-44.873035999999999</v>
      </c>
      <c r="R721" s="2" t="str">
        <f>HYPERLINK("https://www.google.com/maps?q=-20.1562970,-44.8730360","Abrir no Google Maps")</f>
        <v>Abrir no Google Maps</v>
      </c>
      <c r="S721">
        <v>4</v>
      </c>
      <c r="T721">
        <v>198.04479306725889</v>
      </c>
      <c r="U721">
        <v>3</v>
      </c>
      <c r="V721">
        <v>15</v>
      </c>
      <c r="W721">
        <v>1</v>
      </c>
      <c r="X721">
        <v>15</v>
      </c>
      <c r="Y721">
        <v>305</v>
      </c>
      <c r="Z721">
        <v>267.7765515134916</v>
      </c>
      <c r="AA721">
        <v>198</v>
      </c>
      <c r="AB721">
        <v>332</v>
      </c>
      <c r="AC721">
        <v>536</v>
      </c>
      <c r="AD721">
        <v>30.48</v>
      </c>
      <c r="AE721">
        <v>542</v>
      </c>
      <c r="AF721">
        <v>30</v>
      </c>
      <c r="AG721">
        <v>176</v>
      </c>
      <c r="AH721">
        <v>129</v>
      </c>
      <c r="AI721">
        <v>5.54</v>
      </c>
      <c r="AJ721">
        <v>32.47</v>
      </c>
      <c r="AK721">
        <v>23.8</v>
      </c>
      <c r="AL721">
        <v>-20.156361349999941</v>
      </c>
      <c r="AM721">
        <v>-44.87296512500793</v>
      </c>
      <c r="AN721">
        <v>-20.156361349999941</v>
      </c>
      <c r="AO721">
        <v>-44.87296512500793</v>
      </c>
      <c r="AP721">
        <v>-20.156296999999999</v>
      </c>
      <c r="AQ721">
        <v>-44.873035999999999</v>
      </c>
      <c r="AR721">
        <v>10.304009356726979</v>
      </c>
      <c r="AS721" t="s">
        <v>65</v>
      </c>
      <c r="AT721">
        <v>1</v>
      </c>
      <c r="AU721" t="s">
        <v>247</v>
      </c>
      <c r="AV721" t="s">
        <v>248</v>
      </c>
      <c r="AW721" t="s">
        <v>60</v>
      </c>
      <c r="AX721" t="s">
        <v>68</v>
      </c>
      <c r="AY721" t="s">
        <v>69</v>
      </c>
      <c r="AZ721" t="b">
        <v>1</v>
      </c>
    </row>
    <row r="722" spans="1:52" x14ac:dyDescent="0.3">
      <c r="A722" t="s">
        <v>52</v>
      </c>
      <c r="B722" t="s">
        <v>53</v>
      </c>
      <c r="C722" t="s">
        <v>54</v>
      </c>
      <c r="D722" t="s">
        <v>55</v>
      </c>
      <c r="E722" t="s">
        <v>2099</v>
      </c>
      <c r="F722" t="s">
        <v>190</v>
      </c>
      <c r="G722" t="s">
        <v>290</v>
      </c>
      <c r="H722" t="s">
        <v>291</v>
      </c>
      <c r="I722" t="s">
        <v>291</v>
      </c>
      <c r="J722" t="s">
        <v>60</v>
      </c>
      <c r="K722" t="s">
        <v>143</v>
      </c>
      <c r="L722" t="s">
        <v>62</v>
      </c>
      <c r="M722" t="s">
        <v>143</v>
      </c>
      <c r="N722" t="s">
        <v>292</v>
      </c>
      <c r="O722" t="s">
        <v>293</v>
      </c>
      <c r="P722">
        <v>-20.164380999999999</v>
      </c>
      <c r="Q722">
        <v>-44.841638000000003</v>
      </c>
      <c r="R722" s="2" t="str">
        <f>HYPERLINK("https://www.google.com/maps?q=-20.1643810,-44.8416380","Abrir no Google Maps")</f>
        <v>Abrir no Google Maps</v>
      </c>
      <c r="S722">
        <v>4</v>
      </c>
      <c r="T722">
        <v>653.87342410001406</v>
      </c>
      <c r="U722">
        <v>3</v>
      </c>
      <c r="V722">
        <v>15</v>
      </c>
      <c r="W722">
        <v>1</v>
      </c>
      <c r="X722">
        <v>15</v>
      </c>
      <c r="Y722">
        <v>292</v>
      </c>
      <c r="Z722">
        <v>761.66023684754805</v>
      </c>
      <c r="AA722">
        <v>198</v>
      </c>
      <c r="AB722">
        <v>332</v>
      </c>
      <c r="AC722">
        <v>536</v>
      </c>
      <c r="AD722">
        <v>30.48</v>
      </c>
      <c r="AE722">
        <v>542</v>
      </c>
      <c r="AF722">
        <v>30</v>
      </c>
      <c r="AG722">
        <v>176</v>
      </c>
      <c r="AH722">
        <v>129</v>
      </c>
      <c r="AI722">
        <v>5.54</v>
      </c>
      <c r="AJ722">
        <v>32.47</v>
      </c>
      <c r="AK722">
        <v>23.8</v>
      </c>
      <c r="AL722">
        <v>-20.16420624999995</v>
      </c>
      <c r="AM722">
        <v>-44.841488984995642</v>
      </c>
      <c r="AN722">
        <v>-20.16420624999995</v>
      </c>
      <c r="AO722">
        <v>-44.841488984995642</v>
      </c>
      <c r="AP722">
        <v>-20.164380999999999</v>
      </c>
      <c r="AQ722">
        <v>-44.841638000000003</v>
      </c>
      <c r="AR722">
        <v>24.91789254993785</v>
      </c>
      <c r="AS722" t="s">
        <v>65</v>
      </c>
      <c r="AT722">
        <v>1</v>
      </c>
      <c r="AU722" t="s">
        <v>294</v>
      </c>
      <c r="AV722" t="s">
        <v>295</v>
      </c>
      <c r="AW722" t="s">
        <v>60</v>
      </c>
      <c r="AX722" t="s">
        <v>68</v>
      </c>
      <c r="AY722" t="s">
        <v>69</v>
      </c>
      <c r="AZ722" t="b">
        <v>1</v>
      </c>
    </row>
    <row r="723" spans="1:52" x14ac:dyDescent="0.3">
      <c r="A723" t="s">
        <v>52</v>
      </c>
      <c r="B723" t="s">
        <v>53</v>
      </c>
      <c r="C723" t="s">
        <v>54</v>
      </c>
      <c r="D723" t="s">
        <v>55</v>
      </c>
      <c r="E723" t="s">
        <v>2099</v>
      </c>
      <c r="F723" t="s">
        <v>190</v>
      </c>
      <c r="G723" t="s">
        <v>306</v>
      </c>
      <c r="H723" t="s">
        <v>307</v>
      </c>
      <c r="I723" t="s">
        <v>307</v>
      </c>
      <c r="J723" t="s">
        <v>60</v>
      </c>
      <c r="K723" t="s">
        <v>143</v>
      </c>
      <c r="L723" t="s">
        <v>62</v>
      </c>
      <c r="M723" t="s">
        <v>143</v>
      </c>
      <c r="N723" t="s">
        <v>308</v>
      </c>
      <c r="O723" t="s">
        <v>309</v>
      </c>
      <c r="P723">
        <v>-20.167071</v>
      </c>
      <c r="Q723">
        <v>-44.842730000000003</v>
      </c>
      <c r="R723" s="2" t="str">
        <f>HYPERLINK("https://www.google.com/maps?q=-20.1670710,-44.8427300","Abrir no Google Maps")</f>
        <v>Abrir no Google Maps</v>
      </c>
      <c r="S723">
        <v>4</v>
      </c>
      <c r="T723">
        <v>535.14780070571521</v>
      </c>
      <c r="U723">
        <v>3</v>
      </c>
      <c r="V723">
        <v>13</v>
      </c>
      <c r="W723">
        <v>1</v>
      </c>
      <c r="X723">
        <v>13</v>
      </c>
      <c r="Y723">
        <v>292</v>
      </c>
      <c r="Z723">
        <v>582.78942050501109</v>
      </c>
      <c r="AA723">
        <v>198</v>
      </c>
      <c r="AB723">
        <v>332</v>
      </c>
      <c r="AC723">
        <v>536</v>
      </c>
      <c r="AD723">
        <v>30.48</v>
      </c>
      <c r="AE723">
        <v>542</v>
      </c>
      <c r="AF723">
        <v>30</v>
      </c>
      <c r="AG723">
        <v>176</v>
      </c>
      <c r="AH723">
        <v>129</v>
      </c>
      <c r="AI723">
        <v>5.54</v>
      </c>
      <c r="AJ723">
        <v>32.47</v>
      </c>
      <c r="AK723">
        <v>23.8</v>
      </c>
      <c r="AL723">
        <v>-20.167006799999971</v>
      </c>
      <c r="AM723">
        <v>-44.842640974693197</v>
      </c>
      <c r="AN723">
        <v>-20.167006799999971</v>
      </c>
      <c r="AO723">
        <v>-44.842640974693197</v>
      </c>
      <c r="AP723">
        <v>-20.167071</v>
      </c>
      <c r="AQ723">
        <v>-44.842730000000003</v>
      </c>
      <c r="AR723">
        <v>11.73100304278117</v>
      </c>
      <c r="AS723" t="s">
        <v>65</v>
      </c>
      <c r="AT723">
        <v>1</v>
      </c>
      <c r="AU723" t="s">
        <v>310</v>
      </c>
      <c r="AV723" t="s">
        <v>311</v>
      </c>
      <c r="AW723" t="s">
        <v>60</v>
      </c>
      <c r="AX723" t="s">
        <v>68</v>
      </c>
      <c r="AY723" t="s">
        <v>69</v>
      </c>
      <c r="AZ723" t="b">
        <v>1</v>
      </c>
    </row>
    <row r="724" spans="1:52" x14ac:dyDescent="0.3">
      <c r="A724" t="s">
        <v>52</v>
      </c>
      <c r="B724" t="s">
        <v>53</v>
      </c>
      <c r="C724" t="s">
        <v>54</v>
      </c>
      <c r="D724" t="s">
        <v>55</v>
      </c>
      <c r="E724" t="s">
        <v>2099</v>
      </c>
      <c r="F724" t="s">
        <v>190</v>
      </c>
      <c r="G724" t="s">
        <v>312</v>
      </c>
      <c r="H724" t="s">
        <v>313</v>
      </c>
      <c r="I724" t="s">
        <v>313</v>
      </c>
      <c r="J724" t="s">
        <v>60</v>
      </c>
      <c r="K724" t="s">
        <v>143</v>
      </c>
      <c r="L724" t="s">
        <v>62</v>
      </c>
      <c r="M724" t="s">
        <v>143</v>
      </c>
      <c r="N724" t="s">
        <v>314</v>
      </c>
      <c r="O724" t="s">
        <v>315</v>
      </c>
      <c r="P724">
        <v>-20.168939000000002</v>
      </c>
      <c r="Q724">
        <v>-44.843286999999997</v>
      </c>
      <c r="R724" s="2" t="str">
        <f>HYPERLINK("https://www.google.com/maps?q=-20.1689390,-44.8432870","Abrir no Google Maps")</f>
        <v>Abrir no Google Maps</v>
      </c>
      <c r="S724">
        <v>4</v>
      </c>
      <c r="T724">
        <v>582.22902758915586</v>
      </c>
      <c r="U724">
        <v>3</v>
      </c>
      <c r="V724">
        <v>14</v>
      </c>
      <c r="W724">
        <v>1</v>
      </c>
      <c r="X724">
        <v>14</v>
      </c>
      <c r="Y724">
        <v>292</v>
      </c>
      <c r="Z724">
        <v>628.29035609472794</v>
      </c>
      <c r="AA724">
        <v>198</v>
      </c>
      <c r="AB724">
        <v>332</v>
      </c>
      <c r="AC724">
        <v>536</v>
      </c>
      <c r="AD724">
        <v>30.48</v>
      </c>
      <c r="AE724">
        <v>542</v>
      </c>
      <c r="AF724">
        <v>30</v>
      </c>
      <c r="AG724">
        <v>176</v>
      </c>
      <c r="AH724">
        <v>129</v>
      </c>
      <c r="AI724">
        <v>5.54</v>
      </c>
      <c r="AJ724">
        <v>32.47</v>
      </c>
      <c r="AK724">
        <v>23.8</v>
      </c>
      <c r="AL724">
        <v>-20.16917709999996</v>
      </c>
      <c r="AM724">
        <v>-44.84342194427667</v>
      </c>
      <c r="AN724">
        <v>-20.16917709999996</v>
      </c>
      <c r="AO724">
        <v>-44.84342194427667</v>
      </c>
      <c r="AP724">
        <v>-20.168939000000002</v>
      </c>
      <c r="AQ724">
        <v>-44.843286999999997</v>
      </c>
      <c r="AR724">
        <v>30.02272213565665</v>
      </c>
      <c r="AS724" t="s">
        <v>65</v>
      </c>
      <c r="AT724">
        <v>1</v>
      </c>
      <c r="AU724" t="s">
        <v>316</v>
      </c>
      <c r="AV724" t="s">
        <v>311</v>
      </c>
      <c r="AW724" t="s">
        <v>60</v>
      </c>
      <c r="AX724" t="s">
        <v>68</v>
      </c>
      <c r="AY724" t="s">
        <v>69</v>
      </c>
      <c r="AZ724" t="b">
        <v>1</v>
      </c>
    </row>
    <row r="725" spans="1:52" x14ac:dyDescent="0.3">
      <c r="A725" t="s">
        <v>52</v>
      </c>
      <c r="B725" t="s">
        <v>53</v>
      </c>
      <c r="C725" t="s">
        <v>54</v>
      </c>
      <c r="D725" t="s">
        <v>55</v>
      </c>
      <c r="E725" t="s">
        <v>2099</v>
      </c>
      <c r="F725" t="s">
        <v>190</v>
      </c>
      <c r="G725" t="s">
        <v>260</v>
      </c>
      <c r="H725" t="s">
        <v>317</v>
      </c>
      <c r="I725" t="s">
        <v>317</v>
      </c>
      <c r="J725" t="s">
        <v>60</v>
      </c>
      <c r="K725" t="s">
        <v>255</v>
      </c>
      <c r="L725" t="s">
        <v>62</v>
      </c>
      <c r="M725" t="s">
        <v>255</v>
      </c>
      <c r="N725" t="s">
        <v>263</v>
      </c>
      <c r="O725" t="s">
        <v>318</v>
      </c>
      <c r="P725">
        <v>-20.163532</v>
      </c>
      <c r="Q725">
        <v>-44.846910999999999</v>
      </c>
      <c r="R725" s="2" t="str">
        <f>HYPERLINK("https://www.google.com/maps?q=-20.1635320,-44.8469110","Abrir no Google Maps")</f>
        <v>Abrir no Google Maps</v>
      </c>
      <c r="S725">
        <v>4</v>
      </c>
      <c r="T725">
        <v>259.92389401636012</v>
      </c>
      <c r="U725">
        <v>3</v>
      </c>
      <c r="V725">
        <v>16</v>
      </c>
      <c r="W725">
        <v>1</v>
      </c>
      <c r="X725">
        <v>16</v>
      </c>
      <c r="Y725">
        <v>292</v>
      </c>
      <c r="Z725">
        <v>316.26738966059708</v>
      </c>
      <c r="AA725">
        <v>198</v>
      </c>
      <c r="AB725">
        <v>332</v>
      </c>
      <c r="AC725">
        <v>536</v>
      </c>
      <c r="AD725">
        <v>30.48</v>
      </c>
      <c r="AE725">
        <v>542</v>
      </c>
      <c r="AF725">
        <v>30</v>
      </c>
      <c r="AG725">
        <v>176</v>
      </c>
      <c r="AH725">
        <v>129</v>
      </c>
      <c r="AI725">
        <v>5.54</v>
      </c>
      <c r="AJ725">
        <v>32.47</v>
      </c>
      <c r="AK725">
        <v>23.8</v>
      </c>
      <c r="AL725">
        <v>-20.16343344999996</v>
      </c>
      <c r="AM725">
        <v>-44.846734659744428</v>
      </c>
      <c r="AN725">
        <v>-20.16343344999996</v>
      </c>
      <c r="AO725">
        <v>-44.846734659744428</v>
      </c>
      <c r="AP725">
        <v>-20.163532</v>
      </c>
      <c r="AQ725">
        <v>-44.846910999999999</v>
      </c>
      <c r="AR725">
        <v>21.445575432006599</v>
      </c>
      <c r="AS725" t="s">
        <v>65</v>
      </c>
      <c r="AT725">
        <v>1</v>
      </c>
      <c r="AU725" t="s">
        <v>319</v>
      </c>
      <c r="AV725" t="s">
        <v>320</v>
      </c>
      <c r="AW725" t="s">
        <v>60</v>
      </c>
      <c r="AX725" t="s">
        <v>68</v>
      </c>
      <c r="AY725" t="s">
        <v>69</v>
      </c>
      <c r="AZ725" t="b">
        <v>1</v>
      </c>
    </row>
    <row r="726" spans="1:52" x14ac:dyDescent="0.3">
      <c r="A726" t="s">
        <v>52</v>
      </c>
      <c r="B726" t="s">
        <v>53</v>
      </c>
      <c r="C726" t="s">
        <v>54</v>
      </c>
      <c r="D726" t="s">
        <v>55</v>
      </c>
      <c r="E726" t="s">
        <v>2099</v>
      </c>
      <c r="F726" t="s">
        <v>190</v>
      </c>
      <c r="G726" t="s">
        <v>162</v>
      </c>
      <c r="H726" t="s">
        <v>163</v>
      </c>
      <c r="I726" t="s">
        <v>163</v>
      </c>
      <c r="J726" t="s">
        <v>60</v>
      </c>
      <c r="K726" t="s">
        <v>164</v>
      </c>
      <c r="L726" t="s">
        <v>62</v>
      </c>
      <c r="M726" t="s">
        <v>164</v>
      </c>
      <c r="N726" t="s">
        <v>165</v>
      </c>
      <c r="O726" t="s">
        <v>166</v>
      </c>
      <c r="P726">
        <v>-20.175967</v>
      </c>
      <c r="Q726">
        <v>-44.876730000000002</v>
      </c>
      <c r="R726" s="2" t="str">
        <f>HYPERLINK("https://www.google.com/maps?q=-20.1759670,-44.8767300","Abrir no Google Maps")</f>
        <v>Abrir no Google Maps</v>
      </c>
      <c r="S726">
        <v>4</v>
      </c>
      <c r="T726">
        <v>692.5753730151132</v>
      </c>
      <c r="U726">
        <v>3</v>
      </c>
      <c r="V726">
        <v>15</v>
      </c>
      <c r="W726">
        <v>1</v>
      </c>
      <c r="X726">
        <v>15</v>
      </c>
      <c r="Y726">
        <v>232</v>
      </c>
      <c r="Z726">
        <v>686.15054949166824</v>
      </c>
      <c r="AA726">
        <v>198</v>
      </c>
      <c r="AB726">
        <v>332</v>
      </c>
      <c r="AC726">
        <v>536</v>
      </c>
      <c r="AD726">
        <v>30.48</v>
      </c>
      <c r="AE726">
        <v>542</v>
      </c>
      <c r="AF726">
        <v>30</v>
      </c>
      <c r="AG726">
        <v>176</v>
      </c>
      <c r="AH726">
        <v>129</v>
      </c>
      <c r="AI726">
        <v>5.54</v>
      </c>
      <c r="AJ726">
        <v>32.47</v>
      </c>
      <c r="AK726">
        <v>23.8</v>
      </c>
      <c r="AL726">
        <v>-20.17598664999997</v>
      </c>
      <c r="AM726">
        <v>-44.876806510253203</v>
      </c>
      <c r="AN726">
        <v>-20.17598664999997</v>
      </c>
      <c r="AO726">
        <v>-44.876806510253203</v>
      </c>
      <c r="AP726">
        <v>-20.175967</v>
      </c>
      <c r="AQ726">
        <v>-44.876730000000002</v>
      </c>
      <c r="AR726">
        <v>8.2883514287440097</v>
      </c>
      <c r="AS726" t="s">
        <v>65</v>
      </c>
      <c r="AT726">
        <v>1</v>
      </c>
      <c r="AU726" t="s">
        <v>167</v>
      </c>
      <c r="AV726" t="s">
        <v>168</v>
      </c>
      <c r="AW726" t="s">
        <v>60</v>
      </c>
      <c r="AX726" t="s">
        <v>68</v>
      </c>
      <c r="AY726" t="s">
        <v>69</v>
      </c>
      <c r="AZ726" t="b">
        <v>1</v>
      </c>
    </row>
    <row r="727" spans="1:52" x14ac:dyDescent="0.3">
      <c r="A727" t="s">
        <v>52</v>
      </c>
      <c r="B727" t="s">
        <v>53</v>
      </c>
      <c r="C727" t="s">
        <v>54</v>
      </c>
      <c r="D727" t="s">
        <v>55</v>
      </c>
      <c r="E727" t="s">
        <v>2099</v>
      </c>
      <c r="F727" t="s">
        <v>190</v>
      </c>
      <c r="G727" t="s">
        <v>360</v>
      </c>
      <c r="H727" t="s">
        <v>361</v>
      </c>
      <c r="I727" t="s">
        <v>361</v>
      </c>
      <c r="J727" t="s">
        <v>60</v>
      </c>
      <c r="K727" t="s">
        <v>362</v>
      </c>
      <c r="L727" t="s">
        <v>62</v>
      </c>
      <c r="M727" t="s">
        <v>362</v>
      </c>
      <c r="N727" t="s">
        <v>363</v>
      </c>
      <c r="O727" t="s">
        <v>235</v>
      </c>
      <c r="P727">
        <v>-20.143716999999999</v>
      </c>
      <c r="Q727">
        <v>-44.875278000000002</v>
      </c>
      <c r="R727" s="2" t="str">
        <f>HYPERLINK("https://www.google.com/maps?q=-20.1437170,-44.8752780","Abrir no Google Maps")</f>
        <v>Abrir no Google Maps</v>
      </c>
      <c r="S727">
        <v>4</v>
      </c>
      <c r="T727">
        <v>0</v>
      </c>
      <c r="U727">
        <v>3</v>
      </c>
      <c r="V727">
        <v>15</v>
      </c>
      <c r="W727">
        <v>1</v>
      </c>
      <c r="X727">
        <v>15</v>
      </c>
      <c r="Y727">
        <v>209</v>
      </c>
      <c r="Z727">
        <v>121.8438559354383</v>
      </c>
      <c r="AA727">
        <v>198</v>
      </c>
      <c r="AB727">
        <v>332</v>
      </c>
      <c r="AC727">
        <v>536</v>
      </c>
      <c r="AD727">
        <v>30.48</v>
      </c>
      <c r="AE727">
        <v>542</v>
      </c>
      <c r="AF727">
        <v>30</v>
      </c>
      <c r="AG727">
        <v>176</v>
      </c>
      <c r="AH727">
        <v>129</v>
      </c>
      <c r="AI727">
        <v>5.54</v>
      </c>
      <c r="AJ727">
        <v>32.47</v>
      </c>
      <c r="AK727">
        <v>23.8</v>
      </c>
      <c r="AL727">
        <v>-20.143665999999961</v>
      </c>
      <c r="AM727">
        <v>-44.875561853046079</v>
      </c>
      <c r="AN727">
        <v>-20.143665999999961</v>
      </c>
      <c r="AO727">
        <v>-44.875561853046079</v>
      </c>
      <c r="AP727">
        <v>-20.143716999999999</v>
      </c>
      <c r="AQ727">
        <v>-44.875278000000002</v>
      </c>
      <c r="AR727">
        <v>30.20407282671313</v>
      </c>
      <c r="AS727" t="s">
        <v>65</v>
      </c>
      <c r="AT727">
        <v>1</v>
      </c>
      <c r="AU727" t="s">
        <v>364</v>
      </c>
      <c r="AV727" t="s">
        <v>365</v>
      </c>
      <c r="AW727" t="s">
        <v>60</v>
      </c>
      <c r="AX727" t="s">
        <v>68</v>
      </c>
      <c r="AY727" t="s">
        <v>69</v>
      </c>
      <c r="AZ727" t="b">
        <v>1</v>
      </c>
    </row>
    <row r="728" spans="1:52" x14ac:dyDescent="0.3">
      <c r="A728" t="s">
        <v>52</v>
      </c>
      <c r="B728" t="s">
        <v>53</v>
      </c>
      <c r="C728" t="s">
        <v>54</v>
      </c>
      <c r="D728" t="s">
        <v>55</v>
      </c>
      <c r="E728" t="s">
        <v>2099</v>
      </c>
      <c r="F728" t="s">
        <v>190</v>
      </c>
      <c r="G728" t="s">
        <v>1666</v>
      </c>
      <c r="H728" t="s">
        <v>1667</v>
      </c>
      <c r="I728" t="s">
        <v>1667</v>
      </c>
      <c r="J728" t="s">
        <v>60</v>
      </c>
      <c r="K728" t="s">
        <v>164</v>
      </c>
      <c r="L728" t="s">
        <v>62</v>
      </c>
      <c r="M728" t="s">
        <v>164</v>
      </c>
      <c r="N728" t="s">
        <v>1668</v>
      </c>
      <c r="O728" t="s">
        <v>977</v>
      </c>
      <c r="P728">
        <v>-20.188607999999999</v>
      </c>
      <c r="Q728">
        <v>-44.884746999999997</v>
      </c>
      <c r="R728" s="2" t="str">
        <f>HYPERLINK("https://www.google.com/maps?q=-20.1886080,-44.8847470","Abrir no Google Maps")</f>
        <v>Abrir no Google Maps</v>
      </c>
      <c r="S728">
        <v>4</v>
      </c>
      <c r="T728">
        <v>501.52638987448978</v>
      </c>
      <c r="U728">
        <v>3</v>
      </c>
      <c r="V728">
        <v>14</v>
      </c>
      <c r="W728">
        <v>0.85</v>
      </c>
      <c r="X728">
        <v>11.9</v>
      </c>
      <c r="Y728">
        <v>101</v>
      </c>
      <c r="Z728">
        <v>489.47740203600989</v>
      </c>
      <c r="AA728">
        <v>198</v>
      </c>
      <c r="AB728">
        <v>332</v>
      </c>
      <c r="AC728">
        <v>536</v>
      </c>
      <c r="AD728">
        <v>30.48</v>
      </c>
      <c r="AE728">
        <v>542</v>
      </c>
      <c r="AF728">
        <v>30</v>
      </c>
      <c r="AG728">
        <v>176</v>
      </c>
      <c r="AH728">
        <v>129</v>
      </c>
      <c r="AI728">
        <v>5.54</v>
      </c>
      <c r="AJ728">
        <v>32.47</v>
      </c>
      <c r="AK728">
        <v>23.8</v>
      </c>
      <c r="AL728">
        <v>-20.188808899999941</v>
      </c>
      <c r="AM728">
        <v>-44.884623554762321</v>
      </c>
      <c r="AN728">
        <v>-20.188808899999941</v>
      </c>
      <c r="AO728">
        <v>-44.884623554762321</v>
      </c>
      <c r="AP728">
        <v>-20.188607999999999</v>
      </c>
      <c r="AQ728">
        <v>-44.884746999999997</v>
      </c>
      <c r="AR728">
        <v>25.8167710394147</v>
      </c>
      <c r="AS728" t="s">
        <v>65</v>
      </c>
      <c r="AT728">
        <v>1</v>
      </c>
      <c r="AU728" t="s">
        <v>1669</v>
      </c>
      <c r="AV728" t="s">
        <v>1670</v>
      </c>
      <c r="AW728" t="s">
        <v>60</v>
      </c>
      <c r="AX728" t="s">
        <v>68</v>
      </c>
      <c r="AY728" t="s">
        <v>69</v>
      </c>
      <c r="AZ728" t="b">
        <v>1</v>
      </c>
    </row>
    <row r="729" spans="1:52" x14ac:dyDescent="0.3">
      <c r="A729" t="s">
        <v>52</v>
      </c>
      <c r="B729" t="s">
        <v>53</v>
      </c>
      <c r="C729" t="s">
        <v>54</v>
      </c>
      <c r="D729" t="s">
        <v>55</v>
      </c>
      <c r="E729" t="s">
        <v>2099</v>
      </c>
      <c r="F729" t="s">
        <v>190</v>
      </c>
      <c r="G729" t="s">
        <v>833</v>
      </c>
      <c r="H729" t="s">
        <v>834</v>
      </c>
      <c r="I729" t="s">
        <v>834</v>
      </c>
      <c r="J729" t="s">
        <v>60</v>
      </c>
      <c r="K729" t="s">
        <v>388</v>
      </c>
      <c r="L729" t="s">
        <v>62</v>
      </c>
      <c r="M729" t="s">
        <v>388</v>
      </c>
      <c r="N729" t="s">
        <v>835</v>
      </c>
      <c r="O729" t="s">
        <v>836</v>
      </c>
      <c r="P729">
        <v>-20.157906000000001</v>
      </c>
      <c r="Q729">
        <v>-44.900458999999998</v>
      </c>
      <c r="R729" s="2" t="str">
        <f>HYPERLINK("https://www.google.com/maps?q=-20.1579060,-44.9004590","Abrir no Google Maps")</f>
        <v>Abrir no Google Maps</v>
      </c>
      <c r="S729">
        <v>3</v>
      </c>
      <c r="T729">
        <v>0</v>
      </c>
      <c r="U729">
        <v>4</v>
      </c>
      <c r="V729">
        <v>22</v>
      </c>
      <c r="W729">
        <v>1</v>
      </c>
      <c r="X729">
        <v>22</v>
      </c>
      <c r="Y729">
        <v>729</v>
      </c>
      <c r="Z729">
        <v>203.63168486652771</v>
      </c>
      <c r="AA729">
        <v>198</v>
      </c>
      <c r="AB729">
        <v>332</v>
      </c>
      <c r="AC729">
        <v>536</v>
      </c>
      <c r="AD729">
        <v>30.48</v>
      </c>
      <c r="AE729">
        <v>542</v>
      </c>
      <c r="AF729">
        <v>30</v>
      </c>
      <c r="AG729">
        <v>176</v>
      </c>
      <c r="AH729">
        <v>129</v>
      </c>
      <c r="AI729">
        <v>5.54</v>
      </c>
      <c r="AJ729">
        <v>32.47</v>
      </c>
      <c r="AK729">
        <v>23.8</v>
      </c>
      <c r="AL729">
        <v>-20.157925749999951</v>
      </c>
      <c r="AM729">
        <v>-44.900484707799812</v>
      </c>
      <c r="AN729">
        <v>-20.157925749999951</v>
      </c>
      <c r="AO729">
        <v>-44.900484707799812</v>
      </c>
      <c r="AP729">
        <v>-20.157906000000001</v>
      </c>
      <c r="AQ729">
        <v>-44.900458999999998</v>
      </c>
      <c r="AR729">
        <v>3.4714515960382508</v>
      </c>
      <c r="AS729" t="s">
        <v>65</v>
      </c>
      <c r="AT729">
        <v>1</v>
      </c>
      <c r="AU729" t="s">
        <v>837</v>
      </c>
      <c r="AV729" t="s">
        <v>838</v>
      </c>
      <c r="AW729" t="s">
        <v>60</v>
      </c>
      <c r="AX729" t="s">
        <v>68</v>
      </c>
      <c r="AY729" t="s">
        <v>69</v>
      </c>
      <c r="AZ729" t="b">
        <v>1</v>
      </c>
    </row>
    <row r="730" spans="1:52" x14ac:dyDescent="0.3">
      <c r="A730" t="s">
        <v>52</v>
      </c>
      <c r="B730" t="s">
        <v>53</v>
      </c>
      <c r="C730" t="s">
        <v>54</v>
      </c>
      <c r="D730" t="s">
        <v>55</v>
      </c>
      <c r="E730" t="s">
        <v>2099</v>
      </c>
      <c r="F730" t="s">
        <v>190</v>
      </c>
      <c r="G730" t="s">
        <v>410</v>
      </c>
      <c r="H730" t="s">
        <v>411</v>
      </c>
      <c r="I730" t="s">
        <v>411</v>
      </c>
      <c r="J730" t="s">
        <v>60</v>
      </c>
      <c r="K730" t="s">
        <v>388</v>
      </c>
      <c r="L730" t="s">
        <v>62</v>
      </c>
      <c r="M730" t="s">
        <v>388</v>
      </c>
      <c r="N730" t="s">
        <v>412</v>
      </c>
      <c r="O730" t="s">
        <v>413</v>
      </c>
      <c r="P730">
        <v>-20.161394000000001</v>
      </c>
      <c r="Q730">
        <v>-44.906725999999999</v>
      </c>
      <c r="R730" s="2" t="str">
        <f>HYPERLINK("https://www.google.com/maps?q=-20.1613940,-44.9067260","Abrir no Google Maps")</f>
        <v>Abrir no Google Maps</v>
      </c>
      <c r="S730">
        <v>3</v>
      </c>
      <c r="T730">
        <v>763.68157548493457</v>
      </c>
      <c r="U730">
        <v>4</v>
      </c>
      <c r="V730">
        <v>24</v>
      </c>
      <c r="W730">
        <v>1</v>
      </c>
      <c r="X730">
        <v>24</v>
      </c>
      <c r="Y730">
        <v>729</v>
      </c>
      <c r="Z730">
        <v>551.70379325948545</v>
      </c>
      <c r="AA730">
        <v>198</v>
      </c>
      <c r="AB730">
        <v>332</v>
      </c>
      <c r="AC730">
        <v>536</v>
      </c>
      <c r="AD730">
        <v>30.48</v>
      </c>
      <c r="AE730">
        <v>542</v>
      </c>
      <c r="AF730">
        <v>30</v>
      </c>
      <c r="AG730">
        <v>176</v>
      </c>
      <c r="AH730">
        <v>129</v>
      </c>
      <c r="AI730">
        <v>5.54</v>
      </c>
      <c r="AJ730">
        <v>32.47</v>
      </c>
      <c r="AK730">
        <v>23.8</v>
      </c>
      <c r="AL730">
        <v>-20.161371049999929</v>
      </c>
      <c r="AM730">
        <v>-44.906816797310228</v>
      </c>
      <c r="AN730">
        <v>-20.161371049999929</v>
      </c>
      <c r="AO730">
        <v>-44.906816797310228</v>
      </c>
      <c r="AP730">
        <v>-20.161394000000001</v>
      </c>
      <c r="AQ730">
        <v>-44.906725999999999</v>
      </c>
      <c r="AR730">
        <v>9.8261555662022495</v>
      </c>
      <c r="AS730" t="s">
        <v>65</v>
      </c>
      <c r="AT730">
        <v>1</v>
      </c>
      <c r="AU730" t="s">
        <v>414</v>
      </c>
      <c r="AV730" t="s">
        <v>415</v>
      </c>
      <c r="AW730" t="s">
        <v>60</v>
      </c>
      <c r="AX730" t="s">
        <v>68</v>
      </c>
      <c r="AY730" t="s">
        <v>69</v>
      </c>
      <c r="AZ730" t="b">
        <v>1</v>
      </c>
    </row>
    <row r="731" spans="1:52" x14ac:dyDescent="0.3">
      <c r="A731" t="s">
        <v>52</v>
      </c>
      <c r="B731" t="s">
        <v>53</v>
      </c>
      <c r="C731" t="s">
        <v>54</v>
      </c>
      <c r="D731" t="s">
        <v>55</v>
      </c>
      <c r="E731" t="s">
        <v>2099</v>
      </c>
      <c r="F731" t="s">
        <v>190</v>
      </c>
      <c r="G731" t="s">
        <v>442</v>
      </c>
      <c r="H731" t="s">
        <v>443</v>
      </c>
      <c r="I731" t="s">
        <v>443</v>
      </c>
      <c r="J731" t="s">
        <v>60</v>
      </c>
      <c r="K731" t="s">
        <v>437</v>
      </c>
      <c r="L731" t="s">
        <v>62</v>
      </c>
      <c r="M731" t="s">
        <v>437</v>
      </c>
      <c r="N731" t="s">
        <v>444</v>
      </c>
      <c r="O731" t="s">
        <v>445</v>
      </c>
      <c r="P731">
        <v>-20.149744999999999</v>
      </c>
      <c r="Q731">
        <v>-44.881385000000002</v>
      </c>
      <c r="R731" s="2" t="str">
        <f>HYPERLINK("https://www.google.com/maps?q=-20.1497450,-44.8813850","Abrir no Google Maps")</f>
        <v>Abrir no Google Maps</v>
      </c>
      <c r="S731">
        <v>3</v>
      </c>
      <c r="T731">
        <v>188.80690546111239</v>
      </c>
      <c r="U731">
        <v>4</v>
      </c>
      <c r="V731">
        <v>31</v>
      </c>
      <c r="W731">
        <v>1</v>
      </c>
      <c r="X731">
        <v>31</v>
      </c>
      <c r="Y731">
        <v>653</v>
      </c>
      <c r="Z731">
        <v>86.575080390731017</v>
      </c>
      <c r="AA731">
        <v>198</v>
      </c>
      <c r="AB731">
        <v>332</v>
      </c>
      <c r="AC731">
        <v>536</v>
      </c>
      <c r="AD731">
        <v>30.48</v>
      </c>
      <c r="AE731">
        <v>542</v>
      </c>
      <c r="AF731">
        <v>30</v>
      </c>
      <c r="AG731">
        <v>176</v>
      </c>
      <c r="AH731">
        <v>129</v>
      </c>
      <c r="AI731">
        <v>5.54</v>
      </c>
      <c r="AJ731">
        <v>32.47</v>
      </c>
      <c r="AK731">
        <v>23.8</v>
      </c>
      <c r="AL731">
        <v>-20.149645149999941</v>
      </c>
      <c r="AM731">
        <v>-44.881504585149607</v>
      </c>
      <c r="AN731">
        <v>-20.149645149999941</v>
      </c>
      <c r="AO731">
        <v>-44.881504585149607</v>
      </c>
      <c r="AP731">
        <v>-20.149744999999999</v>
      </c>
      <c r="AQ731">
        <v>-44.881385000000002</v>
      </c>
      <c r="AR731">
        <v>16.725323110840389</v>
      </c>
      <c r="AS731" t="s">
        <v>65</v>
      </c>
      <c r="AT731">
        <v>1</v>
      </c>
      <c r="AU731" t="s">
        <v>446</v>
      </c>
      <c r="AV731" t="s">
        <v>447</v>
      </c>
      <c r="AW731" t="s">
        <v>60</v>
      </c>
      <c r="AX731" t="s">
        <v>68</v>
      </c>
      <c r="AY731" t="s">
        <v>69</v>
      </c>
      <c r="AZ731" t="b">
        <v>1</v>
      </c>
    </row>
    <row r="732" spans="1:52" x14ac:dyDescent="0.3">
      <c r="A732" t="s">
        <v>52</v>
      </c>
      <c r="B732" t="s">
        <v>53</v>
      </c>
      <c r="C732" t="s">
        <v>54</v>
      </c>
      <c r="D732" t="s">
        <v>55</v>
      </c>
      <c r="E732" t="s">
        <v>2099</v>
      </c>
      <c r="F732" t="s">
        <v>190</v>
      </c>
      <c r="G732" t="s">
        <v>448</v>
      </c>
      <c r="H732" t="s">
        <v>449</v>
      </c>
      <c r="I732" t="s">
        <v>449</v>
      </c>
      <c r="J732" t="s">
        <v>60</v>
      </c>
      <c r="K732" t="s">
        <v>388</v>
      </c>
      <c r="L732" t="s">
        <v>62</v>
      </c>
      <c r="M732" t="s">
        <v>388</v>
      </c>
      <c r="N732" t="s">
        <v>450</v>
      </c>
      <c r="O732" t="s">
        <v>451</v>
      </c>
      <c r="P732">
        <v>-20.163981</v>
      </c>
      <c r="Q732">
        <v>-44.907128999999998</v>
      </c>
      <c r="R732" s="2" t="str">
        <f>HYPERLINK("https://www.google.com/maps?q=-20.1639810,-44.9071290","Abrir no Google Maps")</f>
        <v>Abrir no Google Maps</v>
      </c>
      <c r="S732">
        <v>3</v>
      </c>
      <c r="T732">
        <v>782.50730806588319</v>
      </c>
      <c r="U732">
        <v>4</v>
      </c>
      <c r="V732">
        <v>24</v>
      </c>
      <c r="W732">
        <v>1</v>
      </c>
      <c r="X732">
        <v>24</v>
      </c>
      <c r="Y732">
        <v>639</v>
      </c>
      <c r="Z732">
        <v>710.90621453796166</v>
      </c>
      <c r="AA732">
        <v>198</v>
      </c>
      <c r="AB732">
        <v>332</v>
      </c>
      <c r="AC732">
        <v>536</v>
      </c>
      <c r="AD732">
        <v>30.48</v>
      </c>
      <c r="AE732">
        <v>542</v>
      </c>
      <c r="AF732">
        <v>30</v>
      </c>
      <c r="AG732">
        <v>176</v>
      </c>
      <c r="AH732">
        <v>129</v>
      </c>
      <c r="AI732">
        <v>5.54</v>
      </c>
      <c r="AJ732">
        <v>32.47</v>
      </c>
      <c r="AK732">
        <v>23.8</v>
      </c>
      <c r="AL732">
        <v>-20.163958349999969</v>
      </c>
      <c r="AM732">
        <v>-44.907180923930973</v>
      </c>
      <c r="AN732">
        <v>-20.163958349999969</v>
      </c>
      <c r="AO732">
        <v>-44.907180923930973</v>
      </c>
      <c r="AP732">
        <v>-20.163981</v>
      </c>
      <c r="AQ732">
        <v>-44.907128999999998</v>
      </c>
      <c r="AR732">
        <v>5.9831345092457884</v>
      </c>
      <c r="AS732" t="s">
        <v>65</v>
      </c>
      <c r="AT732">
        <v>1</v>
      </c>
      <c r="AU732" t="s">
        <v>452</v>
      </c>
      <c r="AV732" t="s">
        <v>453</v>
      </c>
      <c r="AW732" t="s">
        <v>60</v>
      </c>
      <c r="AX732" t="s">
        <v>68</v>
      </c>
      <c r="AY732" t="s">
        <v>69</v>
      </c>
      <c r="AZ732" t="b">
        <v>1</v>
      </c>
    </row>
    <row r="733" spans="1:52" x14ac:dyDescent="0.3">
      <c r="A733" t="s">
        <v>52</v>
      </c>
      <c r="B733" t="s">
        <v>53</v>
      </c>
      <c r="C733" t="s">
        <v>54</v>
      </c>
      <c r="D733" t="s">
        <v>55</v>
      </c>
      <c r="E733" t="s">
        <v>2099</v>
      </c>
      <c r="F733" t="s">
        <v>190</v>
      </c>
      <c r="G733" t="s">
        <v>460</v>
      </c>
      <c r="H733" t="s">
        <v>461</v>
      </c>
      <c r="I733" t="s">
        <v>461</v>
      </c>
      <c r="J733" t="s">
        <v>60</v>
      </c>
      <c r="K733" t="s">
        <v>462</v>
      </c>
      <c r="L733" t="s">
        <v>62</v>
      </c>
      <c r="M733" t="s">
        <v>462</v>
      </c>
      <c r="N733" t="s">
        <v>463</v>
      </c>
      <c r="O733" t="s">
        <v>464</v>
      </c>
      <c r="P733">
        <v>-20.137919</v>
      </c>
      <c r="Q733">
        <v>-44.905591000000001</v>
      </c>
      <c r="R733" s="2" t="str">
        <f>HYPERLINK("https://www.google.com/maps?q=-20.1379190,-44.9055910","Abrir no Google Maps")</f>
        <v>Abrir no Google Maps</v>
      </c>
      <c r="S733">
        <v>3</v>
      </c>
      <c r="T733">
        <v>262.01115919461103</v>
      </c>
      <c r="U733">
        <v>4</v>
      </c>
      <c r="V733">
        <v>20</v>
      </c>
      <c r="W733">
        <v>1</v>
      </c>
      <c r="X733">
        <v>20</v>
      </c>
      <c r="Y733">
        <v>581</v>
      </c>
      <c r="Z733">
        <v>318.63337303219271</v>
      </c>
      <c r="AA733">
        <v>198</v>
      </c>
      <c r="AB733">
        <v>332</v>
      </c>
      <c r="AC733">
        <v>536</v>
      </c>
      <c r="AD733">
        <v>30.48</v>
      </c>
      <c r="AE733">
        <v>542</v>
      </c>
      <c r="AF733">
        <v>30</v>
      </c>
      <c r="AG733">
        <v>176</v>
      </c>
      <c r="AH733">
        <v>129</v>
      </c>
      <c r="AI733">
        <v>5.54</v>
      </c>
      <c r="AJ733">
        <v>32.47</v>
      </c>
      <c r="AK733">
        <v>23.8</v>
      </c>
      <c r="AL733">
        <v>-20.13789079999998</v>
      </c>
      <c r="AM733">
        <v>-44.90548593520333</v>
      </c>
      <c r="AN733">
        <v>-20.13789079999998</v>
      </c>
      <c r="AO733">
        <v>-44.90548593520333</v>
      </c>
      <c r="AP733">
        <v>-20.137919</v>
      </c>
      <c r="AQ733">
        <v>-44.905591000000001</v>
      </c>
      <c r="AR733">
        <v>11.42072348298178</v>
      </c>
      <c r="AS733" t="s">
        <v>65</v>
      </c>
      <c r="AT733">
        <v>1</v>
      </c>
      <c r="AU733" t="s">
        <v>465</v>
      </c>
      <c r="AV733" t="s">
        <v>466</v>
      </c>
      <c r="AW733" t="s">
        <v>60</v>
      </c>
      <c r="AX733" t="s">
        <v>68</v>
      </c>
      <c r="AY733" t="s">
        <v>69</v>
      </c>
      <c r="AZ733" t="b">
        <v>1</v>
      </c>
    </row>
    <row r="734" spans="1:52" x14ac:dyDescent="0.3">
      <c r="A734" t="s">
        <v>52</v>
      </c>
      <c r="B734" t="s">
        <v>53</v>
      </c>
      <c r="C734" t="s">
        <v>54</v>
      </c>
      <c r="D734" t="s">
        <v>55</v>
      </c>
      <c r="E734" t="s">
        <v>2099</v>
      </c>
      <c r="F734" t="s">
        <v>190</v>
      </c>
      <c r="G734" t="s">
        <v>870</v>
      </c>
      <c r="H734" t="s">
        <v>871</v>
      </c>
      <c r="I734" t="s">
        <v>871</v>
      </c>
      <c r="J734" t="s">
        <v>60</v>
      </c>
      <c r="K734" t="s">
        <v>475</v>
      </c>
      <c r="L734" t="s">
        <v>62</v>
      </c>
      <c r="M734" t="s">
        <v>475</v>
      </c>
      <c r="N734" t="s">
        <v>872</v>
      </c>
      <c r="O734" t="s">
        <v>507</v>
      </c>
      <c r="P734">
        <v>-20.176269999999999</v>
      </c>
      <c r="Q734">
        <v>-44.909323999999998</v>
      </c>
      <c r="R734" s="2" t="str">
        <f>HYPERLINK("https://www.google.com/maps?q=-20.1762700,-44.9093240","Abrir no Google Maps")</f>
        <v>Abrir no Google Maps</v>
      </c>
      <c r="S734">
        <v>3</v>
      </c>
      <c r="T734">
        <v>472.42731136821368</v>
      </c>
      <c r="U734">
        <v>4</v>
      </c>
      <c r="V734">
        <v>25</v>
      </c>
      <c r="W734">
        <v>1</v>
      </c>
      <c r="X734">
        <v>25</v>
      </c>
      <c r="Y734">
        <v>578</v>
      </c>
      <c r="Z734">
        <v>495.19726726344601</v>
      </c>
      <c r="AA734">
        <v>198</v>
      </c>
      <c r="AB734">
        <v>332</v>
      </c>
      <c r="AC734">
        <v>536</v>
      </c>
      <c r="AD734">
        <v>30.48</v>
      </c>
      <c r="AE734">
        <v>542</v>
      </c>
      <c r="AF734">
        <v>30</v>
      </c>
      <c r="AG734">
        <v>176</v>
      </c>
      <c r="AH734">
        <v>129</v>
      </c>
      <c r="AI734">
        <v>5.54</v>
      </c>
      <c r="AJ734">
        <v>32.47</v>
      </c>
      <c r="AK734">
        <v>23.8</v>
      </c>
      <c r="AL734">
        <v>-20.17630284999996</v>
      </c>
      <c r="AM734">
        <v>-44.909199064318948</v>
      </c>
      <c r="AN734">
        <v>-20.17630284999996</v>
      </c>
      <c r="AO734">
        <v>-44.909199064318948</v>
      </c>
      <c r="AP734">
        <v>-20.176269999999999</v>
      </c>
      <c r="AQ734">
        <v>-44.909323999999998</v>
      </c>
      <c r="AR734">
        <v>13.55691308737447</v>
      </c>
      <c r="AS734" t="s">
        <v>65</v>
      </c>
      <c r="AT734">
        <v>1</v>
      </c>
      <c r="AU734" t="s">
        <v>873</v>
      </c>
      <c r="AV734" t="s">
        <v>874</v>
      </c>
      <c r="AW734" t="s">
        <v>60</v>
      </c>
      <c r="AX734" t="s">
        <v>68</v>
      </c>
      <c r="AY734" t="s">
        <v>69</v>
      </c>
      <c r="AZ734" t="b">
        <v>1</v>
      </c>
    </row>
    <row r="735" spans="1:52" x14ac:dyDescent="0.3">
      <c r="A735" t="s">
        <v>52</v>
      </c>
      <c r="B735" t="s">
        <v>53</v>
      </c>
      <c r="C735" t="s">
        <v>54</v>
      </c>
      <c r="D735" t="s">
        <v>55</v>
      </c>
      <c r="E735" t="s">
        <v>2099</v>
      </c>
      <c r="F735" t="s">
        <v>190</v>
      </c>
      <c r="G735" t="s">
        <v>473</v>
      </c>
      <c r="H735" t="s">
        <v>474</v>
      </c>
      <c r="I735" t="s">
        <v>474</v>
      </c>
      <c r="J735" t="s">
        <v>60</v>
      </c>
      <c r="K735" t="s">
        <v>475</v>
      </c>
      <c r="L735" t="s">
        <v>62</v>
      </c>
      <c r="M735" t="s">
        <v>475</v>
      </c>
      <c r="N735" t="s">
        <v>406</v>
      </c>
      <c r="O735" t="s">
        <v>476</v>
      </c>
      <c r="P735">
        <v>-20.177902</v>
      </c>
      <c r="Q735">
        <v>-44.908504000000001</v>
      </c>
      <c r="R735" s="2" t="str">
        <f>HYPERLINK("https://www.google.com/maps?q=-20.1779020,-44.9085040","Abrir no Google Maps")</f>
        <v>Abrir no Google Maps</v>
      </c>
      <c r="S735">
        <v>3</v>
      </c>
      <c r="T735">
        <v>656.92307673247149</v>
      </c>
      <c r="U735">
        <v>4</v>
      </c>
      <c r="V735">
        <v>20</v>
      </c>
      <c r="W735">
        <v>1</v>
      </c>
      <c r="X735">
        <v>20</v>
      </c>
      <c r="Y735">
        <v>578</v>
      </c>
      <c r="Z735">
        <v>635.01982153722327</v>
      </c>
      <c r="AA735">
        <v>198</v>
      </c>
      <c r="AB735">
        <v>332</v>
      </c>
      <c r="AC735">
        <v>536</v>
      </c>
      <c r="AD735">
        <v>30.48</v>
      </c>
      <c r="AE735">
        <v>542</v>
      </c>
      <c r="AF735">
        <v>30</v>
      </c>
      <c r="AG735">
        <v>176</v>
      </c>
      <c r="AH735">
        <v>129</v>
      </c>
      <c r="AI735">
        <v>5.54</v>
      </c>
      <c r="AJ735">
        <v>32.47</v>
      </c>
      <c r="AK735">
        <v>23.8</v>
      </c>
      <c r="AL735">
        <v>-20.177800399999938</v>
      </c>
      <c r="AM735">
        <v>-44.908361879701268</v>
      </c>
      <c r="AN735">
        <v>-20.177800399999938</v>
      </c>
      <c r="AO735">
        <v>-44.908361879701268</v>
      </c>
      <c r="AP735">
        <v>-20.177902</v>
      </c>
      <c r="AQ735">
        <v>-44.908504000000001</v>
      </c>
      <c r="AR735">
        <v>18.666463141775541</v>
      </c>
      <c r="AS735" t="s">
        <v>65</v>
      </c>
      <c r="AT735">
        <v>1</v>
      </c>
      <c r="AU735" t="s">
        <v>477</v>
      </c>
      <c r="AV735" t="s">
        <v>478</v>
      </c>
      <c r="AW735" t="s">
        <v>60</v>
      </c>
      <c r="AX735" t="s">
        <v>68</v>
      </c>
      <c r="AY735" t="s">
        <v>69</v>
      </c>
      <c r="AZ735" t="b">
        <v>1</v>
      </c>
    </row>
    <row r="736" spans="1:52" x14ac:dyDescent="0.3">
      <c r="A736" t="s">
        <v>52</v>
      </c>
      <c r="B736" t="s">
        <v>53</v>
      </c>
      <c r="C736" t="s">
        <v>54</v>
      </c>
      <c r="D736" t="s">
        <v>55</v>
      </c>
      <c r="E736" t="s">
        <v>2099</v>
      </c>
      <c r="F736" t="s">
        <v>190</v>
      </c>
      <c r="G736" t="s">
        <v>484</v>
      </c>
      <c r="H736" t="s">
        <v>485</v>
      </c>
      <c r="I736" t="s">
        <v>485</v>
      </c>
      <c r="J736" t="s">
        <v>60</v>
      </c>
      <c r="K736" t="s">
        <v>486</v>
      </c>
      <c r="L736" t="s">
        <v>62</v>
      </c>
      <c r="M736" t="s">
        <v>486</v>
      </c>
      <c r="N736" t="s">
        <v>487</v>
      </c>
      <c r="O736" t="s">
        <v>488</v>
      </c>
      <c r="P736">
        <v>-20.173000999999999</v>
      </c>
      <c r="Q736">
        <v>-44.901876999999999</v>
      </c>
      <c r="R736" s="2" t="str">
        <f>HYPERLINK("https://www.google.com/maps?q=-20.1730010,-44.9018770","Abrir no Google Maps")</f>
        <v>Abrir no Google Maps</v>
      </c>
      <c r="S736">
        <v>3</v>
      </c>
      <c r="T736">
        <v>437.59695450783011</v>
      </c>
      <c r="U736">
        <v>4</v>
      </c>
      <c r="V736">
        <v>22</v>
      </c>
      <c r="W736">
        <v>1</v>
      </c>
      <c r="X736">
        <v>22</v>
      </c>
      <c r="Y736">
        <v>578</v>
      </c>
      <c r="Z736">
        <v>440.53629183653243</v>
      </c>
      <c r="AA736">
        <v>198</v>
      </c>
      <c r="AB736">
        <v>332</v>
      </c>
      <c r="AC736">
        <v>536</v>
      </c>
      <c r="AD736">
        <v>30.48</v>
      </c>
      <c r="AE736">
        <v>542</v>
      </c>
      <c r="AF736">
        <v>30</v>
      </c>
      <c r="AG736">
        <v>176</v>
      </c>
      <c r="AH736">
        <v>129</v>
      </c>
      <c r="AI736">
        <v>5.54</v>
      </c>
      <c r="AJ736">
        <v>32.47</v>
      </c>
      <c r="AK736">
        <v>23.8</v>
      </c>
      <c r="AL736">
        <v>-20.173065299999969</v>
      </c>
      <c r="AM736">
        <v>-44.902052686008687</v>
      </c>
      <c r="AN736">
        <v>-20.173065299999969</v>
      </c>
      <c r="AO736">
        <v>-44.902052686008687</v>
      </c>
      <c r="AP736">
        <v>-20.173000999999999</v>
      </c>
      <c r="AQ736">
        <v>-44.901876999999999</v>
      </c>
      <c r="AR736">
        <v>19.703745070768829</v>
      </c>
      <c r="AS736" t="s">
        <v>65</v>
      </c>
      <c r="AT736">
        <v>1</v>
      </c>
      <c r="AU736" t="s">
        <v>489</v>
      </c>
      <c r="AV736" t="s">
        <v>490</v>
      </c>
      <c r="AW736" t="s">
        <v>60</v>
      </c>
      <c r="AX736" t="s">
        <v>68</v>
      </c>
      <c r="AY736" t="s">
        <v>69</v>
      </c>
      <c r="AZ736" t="b">
        <v>1</v>
      </c>
    </row>
    <row r="737" spans="1:52" x14ac:dyDescent="0.3">
      <c r="A737" t="s">
        <v>52</v>
      </c>
      <c r="B737" t="s">
        <v>53</v>
      </c>
      <c r="C737" t="s">
        <v>54</v>
      </c>
      <c r="D737" t="s">
        <v>55</v>
      </c>
      <c r="E737" t="s">
        <v>2099</v>
      </c>
      <c r="F737" t="s">
        <v>190</v>
      </c>
      <c r="G737" t="s">
        <v>491</v>
      </c>
      <c r="H737" t="s">
        <v>492</v>
      </c>
      <c r="I737" t="s">
        <v>492</v>
      </c>
      <c r="J737" t="s">
        <v>60</v>
      </c>
      <c r="K737" t="s">
        <v>475</v>
      </c>
      <c r="L737" t="s">
        <v>62</v>
      </c>
      <c r="M737" t="s">
        <v>475</v>
      </c>
      <c r="N737" t="s">
        <v>493</v>
      </c>
      <c r="O737" t="s">
        <v>494</v>
      </c>
      <c r="P737">
        <v>-20.175250999999999</v>
      </c>
      <c r="Q737">
        <v>-44.897357</v>
      </c>
      <c r="R737" s="2" t="str">
        <f>HYPERLINK("https://www.google.com/maps?q=-20.1752510,-44.8973570","Abrir no Google Maps")</f>
        <v>Abrir no Google Maps</v>
      </c>
      <c r="S737">
        <v>3</v>
      </c>
      <c r="T737">
        <v>992.29631678149951</v>
      </c>
      <c r="U737">
        <v>4</v>
      </c>
      <c r="V737">
        <v>20</v>
      </c>
      <c r="W737">
        <v>1</v>
      </c>
      <c r="X737">
        <v>20</v>
      </c>
      <c r="Y737">
        <v>578</v>
      </c>
      <c r="Z737">
        <v>1008.5871064168319</v>
      </c>
      <c r="AA737">
        <v>198</v>
      </c>
      <c r="AB737">
        <v>332</v>
      </c>
      <c r="AC737">
        <v>536</v>
      </c>
      <c r="AD737">
        <v>30.48</v>
      </c>
      <c r="AE737">
        <v>542</v>
      </c>
      <c r="AF737">
        <v>30</v>
      </c>
      <c r="AG737">
        <v>176</v>
      </c>
      <c r="AH737">
        <v>129</v>
      </c>
      <c r="AI737">
        <v>5.54</v>
      </c>
      <c r="AJ737">
        <v>32.47</v>
      </c>
      <c r="AK737">
        <v>23.8</v>
      </c>
      <c r="AL737">
        <v>-20.175290599999951</v>
      </c>
      <c r="AM737">
        <v>-44.897271931010721</v>
      </c>
      <c r="AN737">
        <v>-20.175290599999951</v>
      </c>
      <c r="AO737">
        <v>-44.897271931010721</v>
      </c>
      <c r="AP737">
        <v>-20.175250999999999</v>
      </c>
      <c r="AQ737">
        <v>-44.897357</v>
      </c>
      <c r="AR737">
        <v>9.921899108467926</v>
      </c>
      <c r="AS737" t="s">
        <v>65</v>
      </c>
      <c r="AT737">
        <v>1</v>
      </c>
      <c r="AU737" t="s">
        <v>495</v>
      </c>
      <c r="AV737" t="s">
        <v>496</v>
      </c>
      <c r="AW737" t="s">
        <v>60</v>
      </c>
      <c r="AX737" t="s">
        <v>68</v>
      </c>
      <c r="AY737" t="s">
        <v>69</v>
      </c>
      <c r="AZ737" t="b">
        <v>1</v>
      </c>
    </row>
    <row r="738" spans="1:52" x14ac:dyDescent="0.3">
      <c r="A738" t="s">
        <v>52</v>
      </c>
      <c r="B738" t="s">
        <v>53</v>
      </c>
      <c r="C738" t="s">
        <v>54</v>
      </c>
      <c r="D738" t="s">
        <v>55</v>
      </c>
      <c r="E738" t="s">
        <v>2099</v>
      </c>
      <c r="F738" t="s">
        <v>190</v>
      </c>
      <c r="G738" t="s">
        <v>497</v>
      </c>
      <c r="H738" t="s">
        <v>875</v>
      </c>
      <c r="I738" t="s">
        <v>875</v>
      </c>
      <c r="J738" t="s">
        <v>60</v>
      </c>
      <c r="K738" t="s">
        <v>475</v>
      </c>
      <c r="L738" t="s">
        <v>62</v>
      </c>
      <c r="M738" t="s">
        <v>475</v>
      </c>
      <c r="N738" t="s">
        <v>499</v>
      </c>
      <c r="O738" t="s">
        <v>876</v>
      </c>
      <c r="P738">
        <v>-20.177212999999998</v>
      </c>
      <c r="Q738">
        <v>-44.904026999999999</v>
      </c>
      <c r="R738" s="2" t="str">
        <f>HYPERLINK("https://www.google.com/maps?q=-20.1772130,-44.9040270","Abrir no Google Maps")</f>
        <v>Abrir no Google Maps</v>
      </c>
      <c r="S738">
        <v>3</v>
      </c>
      <c r="T738">
        <v>706.4159561113795</v>
      </c>
      <c r="U738">
        <v>4</v>
      </c>
      <c r="V738">
        <v>21</v>
      </c>
      <c r="W738">
        <v>1</v>
      </c>
      <c r="X738">
        <v>21</v>
      </c>
      <c r="Y738">
        <v>578</v>
      </c>
      <c r="Z738">
        <v>588.7160518608398</v>
      </c>
      <c r="AA738">
        <v>198</v>
      </c>
      <c r="AB738">
        <v>332</v>
      </c>
      <c r="AC738">
        <v>536</v>
      </c>
      <c r="AD738">
        <v>30.48</v>
      </c>
      <c r="AE738">
        <v>542</v>
      </c>
      <c r="AF738">
        <v>30</v>
      </c>
      <c r="AG738">
        <v>176</v>
      </c>
      <c r="AH738">
        <v>129</v>
      </c>
      <c r="AI738">
        <v>5.54</v>
      </c>
      <c r="AJ738">
        <v>32.47</v>
      </c>
      <c r="AK738">
        <v>23.8</v>
      </c>
      <c r="AL738">
        <v>-20.177090199999949</v>
      </c>
      <c r="AM738">
        <v>-44.904078820930181</v>
      </c>
      <c r="AN738">
        <v>-20.177090199999949</v>
      </c>
      <c r="AO738">
        <v>-44.904078820930181</v>
      </c>
      <c r="AP738">
        <v>-20.177212999999998</v>
      </c>
      <c r="AQ738">
        <v>-44.904026999999999</v>
      </c>
      <c r="AR738">
        <v>14.7034129632295</v>
      </c>
      <c r="AS738" t="s">
        <v>65</v>
      </c>
      <c r="AT738">
        <v>1</v>
      </c>
      <c r="AU738" t="s">
        <v>877</v>
      </c>
      <c r="AV738" t="s">
        <v>878</v>
      </c>
      <c r="AW738" t="s">
        <v>60</v>
      </c>
      <c r="AX738" t="s">
        <v>68</v>
      </c>
      <c r="AY738" t="s">
        <v>69</v>
      </c>
      <c r="AZ738" t="b">
        <v>1</v>
      </c>
    </row>
    <row r="739" spans="1:52" x14ac:dyDescent="0.3">
      <c r="A739" t="s">
        <v>52</v>
      </c>
      <c r="B739" t="s">
        <v>53</v>
      </c>
      <c r="C739" t="s">
        <v>54</v>
      </c>
      <c r="D739" t="s">
        <v>55</v>
      </c>
      <c r="E739" t="s">
        <v>2099</v>
      </c>
      <c r="F739" t="s">
        <v>190</v>
      </c>
      <c r="G739" t="s">
        <v>503</v>
      </c>
      <c r="H739" t="s">
        <v>504</v>
      </c>
      <c r="I739" t="s">
        <v>504</v>
      </c>
      <c r="J739" t="s">
        <v>60</v>
      </c>
      <c r="K739" t="s">
        <v>505</v>
      </c>
      <c r="L739" t="s">
        <v>62</v>
      </c>
      <c r="M739" t="s">
        <v>505</v>
      </c>
      <c r="N739" t="s">
        <v>506</v>
      </c>
      <c r="O739" t="s">
        <v>507</v>
      </c>
      <c r="P739">
        <v>-20.131428</v>
      </c>
      <c r="Q739">
        <v>-44.888921000000003</v>
      </c>
      <c r="R739" s="2" t="str">
        <f>HYPERLINK("https://www.google.com/maps?q=-20.1314280,-44.8889210","Abrir no Google Maps")</f>
        <v>Abrir no Google Maps</v>
      </c>
      <c r="S739">
        <v>3</v>
      </c>
      <c r="T739">
        <v>250.64150698244501</v>
      </c>
      <c r="U739">
        <v>4</v>
      </c>
      <c r="V739">
        <v>19</v>
      </c>
      <c r="W739">
        <v>1</v>
      </c>
      <c r="X739">
        <v>19</v>
      </c>
      <c r="Y739">
        <v>564</v>
      </c>
      <c r="Z739">
        <v>189.93933888952441</v>
      </c>
      <c r="AA739">
        <v>198</v>
      </c>
      <c r="AB739">
        <v>332</v>
      </c>
      <c r="AC739">
        <v>536</v>
      </c>
      <c r="AD739">
        <v>30.48</v>
      </c>
      <c r="AE739">
        <v>542</v>
      </c>
      <c r="AF739">
        <v>30</v>
      </c>
      <c r="AG739">
        <v>176</v>
      </c>
      <c r="AH739">
        <v>129</v>
      </c>
      <c r="AI739">
        <v>5.54</v>
      </c>
      <c r="AJ739">
        <v>32.47</v>
      </c>
      <c r="AK739">
        <v>23.8</v>
      </c>
      <c r="AL739">
        <v>-20.13123589999995</v>
      </c>
      <c r="AM739">
        <v>-44.888742396501762</v>
      </c>
      <c r="AN739">
        <v>-20.13123589999995</v>
      </c>
      <c r="AO739">
        <v>-44.888742396501762</v>
      </c>
      <c r="AP739">
        <v>-20.131428</v>
      </c>
      <c r="AQ739">
        <v>-44.888921000000003</v>
      </c>
      <c r="AR739">
        <v>28.386169462917032</v>
      </c>
      <c r="AS739" t="s">
        <v>65</v>
      </c>
      <c r="AT739">
        <v>1</v>
      </c>
      <c r="AU739" t="s">
        <v>508</v>
      </c>
      <c r="AV739" t="s">
        <v>509</v>
      </c>
      <c r="AW739" t="s">
        <v>60</v>
      </c>
      <c r="AX739" t="s">
        <v>68</v>
      </c>
      <c r="AY739" t="s">
        <v>69</v>
      </c>
      <c r="AZ739" t="b">
        <v>1</v>
      </c>
    </row>
    <row r="740" spans="1:52" x14ac:dyDescent="0.3">
      <c r="A740" t="s">
        <v>52</v>
      </c>
      <c r="B740" t="s">
        <v>53</v>
      </c>
      <c r="C740" t="s">
        <v>54</v>
      </c>
      <c r="D740" t="s">
        <v>55</v>
      </c>
      <c r="E740" t="s">
        <v>2099</v>
      </c>
      <c r="F740" t="s">
        <v>190</v>
      </c>
      <c r="G740" t="s">
        <v>510</v>
      </c>
      <c r="H740" t="s">
        <v>511</v>
      </c>
      <c r="I740" t="s">
        <v>511</v>
      </c>
      <c r="J740" t="s">
        <v>60</v>
      </c>
      <c r="K740" t="s">
        <v>512</v>
      </c>
      <c r="L740" t="s">
        <v>62</v>
      </c>
      <c r="M740" t="s">
        <v>512</v>
      </c>
      <c r="N740" t="s">
        <v>406</v>
      </c>
      <c r="O740" t="s">
        <v>513</v>
      </c>
      <c r="P740">
        <v>-20.127853000000002</v>
      </c>
      <c r="Q740">
        <v>-44.891415000000002</v>
      </c>
      <c r="R740" s="2" t="str">
        <f>HYPERLINK("https://www.google.com/maps?q=-20.1278530,-44.8914150","Abrir no Google Maps")</f>
        <v>Abrir no Google Maps</v>
      </c>
      <c r="S740">
        <v>3</v>
      </c>
      <c r="T740">
        <v>340.86994528233612</v>
      </c>
      <c r="U740">
        <v>4</v>
      </c>
      <c r="V740">
        <v>23</v>
      </c>
      <c r="W740">
        <v>1</v>
      </c>
      <c r="X740">
        <v>23</v>
      </c>
      <c r="Y740">
        <v>564</v>
      </c>
      <c r="Z740">
        <v>294.18108015916812</v>
      </c>
      <c r="AA740">
        <v>198</v>
      </c>
      <c r="AB740">
        <v>332</v>
      </c>
      <c r="AC740">
        <v>536</v>
      </c>
      <c r="AD740">
        <v>30.48</v>
      </c>
      <c r="AE740">
        <v>542</v>
      </c>
      <c r="AF740">
        <v>30</v>
      </c>
      <c r="AG740">
        <v>176</v>
      </c>
      <c r="AH740">
        <v>129</v>
      </c>
      <c r="AI740">
        <v>5.54</v>
      </c>
      <c r="AJ740">
        <v>32.47</v>
      </c>
      <c r="AK740">
        <v>23.8</v>
      </c>
      <c r="AL740">
        <v>-20.12777399999996</v>
      </c>
      <c r="AM740">
        <v>-44.891400975758501</v>
      </c>
      <c r="AN740">
        <v>-20.12777399999996</v>
      </c>
      <c r="AO740">
        <v>-44.891400975758501</v>
      </c>
      <c r="AP740">
        <v>-20.127853000000002</v>
      </c>
      <c r="AQ740">
        <v>-44.891415000000002</v>
      </c>
      <c r="AR740">
        <v>8.9156059162975616</v>
      </c>
      <c r="AS740" t="s">
        <v>65</v>
      </c>
      <c r="AT740">
        <v>1</v>
      </c>
      <c r="AU740" t="s">
        <v>514</v>
      </c>
      <c r="AV740" t="s">
        <v>515</v>
      </c>
      <c r="AW740" t="s">
        <v>60</v>
      </c>
      <c r="AX740" t="s">
        <v>68</v>
      </c>
      <c r="AY740" t="s">
        <v>69</v>
      </c>
      <c r="AZ740" t="b">
        <v>1</v>
      </c>
    </row>
    <row r="741" spans="1:52" x14ac:dyDescent="0.3">
      <c r="A741" t="s">
        <v>52</v>
      </c>
      <c r="B741" t="s">
        <v>53</v>
      </c>
      <c r="C741" t="s">
        <v>54</v>
      </c>
      <c r="D741" t="s">
        <v>55</v>
      </c>
      <c r="E741" t="s">
        <v>2099</v>
      </c>
      <c r="F741" t="s">
        <v>190</v>
      </c>
      <c r="G741" t="s">
        <v>516</v>
      </c>
      <c r="H741" t="s">
        <v>517</v>
      </c>
      <c r="I741" t="s">
        <v>517</v>
      </c>
      <c r="J741" t="s">
        <v>60</v>
      </c>
      <c r="K741" t="s">
        <v>518</v>
      </c>
      <c r="L741" t="s">
        <v>62</v>
      </c>
      <c r="M741" t="s">
        <v>518</v>
      </c>
      <c r="N741" t="s">
        <v>519</v>
      </c>
      <c r="O741" t="s">
        <v>520</v>
      </c>
      <c r="P741">
        <v>-20.124502</v>
      </c>
      <c r="Q741">
        <v>-44.888424000000001</v>
      </c>
      <c r="R741" s="2" t="str">
        <f>HYPERLINK("https://www.google.com/maps?q=-20.1245020,-44.8884240","Abrir no Google Maps")</f>
        <v>Abrir no Google Maps</v>
      </c>
      <c r="S741">
        <v>3</v>
      </c>
      <c r="T741">
        <v>483.42298121929559</v>
      </c>
      <c r="U741">
        <v>4</v>
      </c>
      <c r="V741">
        <v>20</v>
      </c>
      <c r="W741">
        <v>1</v>
      </c>
      <c r="X741">
        <v>20</v>
      </c>
      <c r="Y741">
        <v>564</v>
      </c>
      <c r="Z741">
        <v>565.43074237076587</v>
      </c>
      <c r="AA741">
        <v>198</v>
      </c>
      <c r="AB741">
        <v>332</v>
      </c>
      <c r="AC741">
        <v>536</v>
      </c>
      <c r="AD741">
        <v>30.48</v>
      </c>
      <c r="AE741">
        <v>542</v>
      </c>
      <c r="AF741">
        <v>30</v>
      </c>
      <c r="AG741">
        <v>176</v>
      </c>
      <c r="AH741">
        <v>129</v>
      </c>
      <c r="AI741">
        <v>5.54</v>
      </c>
      <c r="AJ741">
        <v>32.47</v>
      </c>
      <c r="AK741">
        <v>23.8</v>
      </c>
      <c r="AL741">
        <v>-20.124624949999941</v>
      </c>
      <c r="AM741">
        <v>-44.888432821777258</v>
      </c>
      <c r="AN741">
        <v>-20.124624949999941</v>
      </c>
      <c r="AO741">
        <v>-44.888432821777258</v>
      </c>
      <c r="AP741">
        <v>-20.124502</v>
      </c>
      <c r="AQ741">
        <v>-44.888424000000001</v>
      </c>
      <c r="AR741">
        <v>13.717819333897451</v>
      </c>
      <c r="AS741" t="s">
        <v>65</v>
      </c>
      <c r="AT741">
        <v>1</v>
      </c>
      <c r="AU741" t="s">
        <v>521</v>
      </c>
      <c r="AV741" t="s">
        <v>522</v>
      </c>
      <c r="AW741" t="s">
        <v>60</v>
      </c>
      <c r="AX741" t="s">
        <v>68</v>
      </c>
      <c r="AY741" t="s">
        <v>69</v>
      </c>
      <c r="AZ741" t="b">
        <v>1</v>
      </c>
    </row>
    <row r="742" spans="1:52" x14ac:dyDescent="0.3">
      <c r="A742" t="s">
        <v>52</v>
      </c>
      <c r="B742" t="s">
        <v>53</v>
      </c>
      <c r="C742" t="s">
        <v>54</v>
      </c>
      <c r="D742" t="s">
        <v>55</v>
      </c>
      <c r="E742" t="s">
        <v>2099</v>
      </c>
      <c r="F742" t="s">
        <v>190</v>
      </c>
      <c r="G742" t="s">
        <v>528</v>
      </c>
      <c r="H742" t="s">
        <v>529</v>
      </c>
      <c r="I742" t="s">
        <v>529</v>
      </c>
      <c r="J742" t="s">
        <v>60</v>
      </c>
      <c r="K742" t="s">
        <v>530</v>
      </c>
      <c r="L742" t="s">
        <v>62</v>
      </c>
      <c r="M742" t="s">
        <v>530</v>
      </c>
      <c r="N742" t="s">
        <v>531</v>
      </c>
      <c r="O742" t="s">
        <v>532</v>
      </c>
      <c r="P742">
        <v>-20.142457</v>
      </c>
      <c r="Q742">
        <v>-44.891688000000002</v>
      </c>
      <c r="R742" s="2" t="str">
        <f>HYPERLINK("https://www.google.com/maps?q=-20.1424570,-44.8916880","Abrir no Google Maps")</f>
        <v>Abrir no Google Maps</v>
      </c>
      <c r="S742">
        <v>3</v>
      </c>
      <c r="T742">
        <v>0</v>
      </c>
      <c r="U742">
        <v>4</v>
      </c>
      <c r="V742">
        <v>24</v>
      </c>
      <c r="W742">
        <v>1</v>
      </c>
      <c r="X742">
        <v>24</v>
      </c>
      <c r="Y742">
        <v>557</v>
      </c>
      <c r="Z742">
        <v>42.611952255679803</v>
      </c>
      <c r="AA742">
        <v>198</v>
      </c>
      <c r="AB742">
        <v>332</v>
      </c>
      <c r="AC742">
        <v>536</v>
      </c>
      <c r="AD742">
        <v>30.48</v>
      </c>
      <c r="AE742">
        <v>542</v>
      </c>
      <c r="AF742">
        <v>30</v>
      </c>
      <c r="AG742">
        <v>176</v>
      </c>
      <c r="AH742">
        <v>129</v>
      </c>
      <c r="AI742">
        <v>5.54</v>
      </c>
      <c r="AJ742">
        <v>32.47</v>
      </c>
      <c r="AK742">
        <v>23.8</v>
      </c>
      <c r="AL742">
        <v>-20.142523099999948</v>
      </c>
      <c r="AM742">
        <v>-44.891523817588819</v>
      </c>
      <c r="AN742">
        <v>-20.142523099999948</v>
      </c>
      <c r="AO742">
        <v>-44.891523817588819</v>
      </c>
      <c r="AP742">
        <v>-20.142457</v>
      </c>
      <c r="AQ742">
        <v>-44.891688000000002</v>
      </c>
      <c r="AR742">
        <v>18.670129248632971</v>
      </c>
      <c r="AS742" t="s">
        <v>65</v>
      </c>
      <c r="AT742">
        <v>1</v>
      </c>
      <c r="AU742" t="s">
        <v>533</v>
      </c>
      <c r="AV742" t="s">
        <v>534</v>
      </c>
      <c r="AW742" t="s">
        <v>60</v>
      </c>
      <c r="AX742" t="s">
        <v>68</v>
      </c>
      <c r="AY742" t="s">
        <v>69</v>
      </c>
      <c r="AZ742" t="b">
        <v>1</v>
      </c>
    </row>
    <row r="743" spans="1:52" x14ac:dyDescent="0.3">
      <c r="A743" t="s">
        <v>52</v>
      </c>
      <c r="B743" t="s">
        <v>53</v>
      </c>
      <c r="C743" t="s">
        <v>54</v>
      </c>
      <c r="D743" t="s">
        <v>55</v>
      </c>
      <c r="E743" t="s">
        <v>2099</v>
      </c>
      <c r="F743" t="s">
        <v>190</v>
      </c>
      <c r="G743" t="s">
        <v>890</v>
      </c>
      <c r="H743" t="s">
        <v>891</v>
      </c>
      <c r="I743" t="s">
        <v>891</v>
      </c>
      <c r="J743" t="s">
        <v>60</v>
      </c>
      <c r="K743" t="s">
        <v>892</v>
      </c>
      <c r="L743" t="s">
        <v>62</v>
      </c>
      <c r="M743" t="s">
        <v>892</v>
      </c>
      <c r="N743" t="s">
        <v>893</v>
      </c>
      <c r="O743" t="s">
        <v>894</v>
      </c>
      <c r="P743">
        <v>-20.152519000000002</v>
      </c>
      <c r="Q743">
        <v>-44.899177000000002</v>
      </c>
      <c r="R743" s="2" t="str">
        <f>HYPERLINK("https://www.google.com/maps?q=-20.1525190,-44.8991770","Abrir no Google Maps")</f>
        <v>Abrir no Google Maps</v>
      </c>
      <c r="S743">
        <v>3</v>
      </c>
      <c r="T743">
        <v>211.80188552994721</v>
      </c>
      <c r="U743">
        <v>4</v>
      </c>
      <c r="V743">
        <v>21</v>
      </c>
      <c r="W743">
        <v>1</v>
      </c>
      <c r="X743">
        <v>21</v>
      </c>
      <c r="Y743">
        <v>556</v>
      </c>
      <c r="Z743">
        <v>290.34804137107091</v>
      </c>
      <c r="AA743">
        <v>198</v>
      </c>
      <c r="AB743">
        <v>332</v>
      </c>
      <c r="AC743">
        <v>536</v>
      </c>
      <c r="AD743">
        <v>30.48</v>
      </c>
      <c r="AE743">
        <v>542</v>
      </c>
      <c r="AF743">
        <v>30</v>
      </c>
      <c r="AG743">
        <v>176</v>
      </c>
      <c r="AH743">
        <v>129</v>
      </c>
      <c r="AI743">
        <v>5.54</v>
      </c>
      <c r="AJ743">
        <v>32.47</v>
      </c>
      <c r="AK743">
        <v>23.8</v>
      </c>
      <c r="AL743">
        <v>-20.152516249999959</v>
      </c>
      <c r="AM743">
        <v>-44.899310431333959</v>
      </c>
      <c r="AN743">
        <v>-20.152516249999959</v>
      </c>
      <c r="AO743">
        <v>-44.899310431333959</v>
      </c>
      <c r="AP743">
        <v>-20.152519000000002</v>
      </c>
      <c r="AQ743">
        <v>-44.899177000000002</v>
      </c>
      <c r="AR743">
        <v>13.947583284957719</v>
      </c>
      <c r="AS743" t="s">
        <v>65</v>
      </c>
      <c r="AT743">
        <v>1</v>
      </c>
      <c r="AU743" t="s">
        <v>895</v>
      </c>
      <c r="AV743" t="s">
        <v>896</v>
      </c>
      <c r="AW743" t="s">
        <v>60</v>
      </c>
      <c r="AX743" t="s">
        <v>68</v>
      </c>
      <c r="AY743" t="s">
        <v>69</v>
      </c>
      <c r="AZ743" t="b">
        <v>1</v>
      </c>
    </row>
    <row r="744" spans="1:52" x14ac:dyDescent="0.3">
      <c r="A744" t="s">
        <v>52</v>
      </c>
      <c r="B744" t="s">
        <v>53</v>
      </c>
      <c r="C744" t="s">
        <v>54</v>
      </c>
      <c r="D744" t="s">
        <v>55</v>
      </c>
      <c r="E744" t="s">
        <v>2099</v>
      </c>
      <c r="F744" t="s">
        <v>190</v>
      </c>
      <c r="G744" t="s">
        <v>535</v>
      </c>
      <c r="H744" t="s">
        <v>536</v>
      </c>
      <c r="I744" t="s">
        <v>536</v>
      </c>
      <c r="J744" t="s">
        <v>60</v>
      </c>
      <c r="K744" t="s">
        <v>388</v>
      </c>
      <c r="L744" t="s">
        <v>62</v>
      </c>
      <c r="M744" t="s">
        <v>388</v>
      </c>
      <c r="N744" t="s">
        <v>537</v>
      </c>
      <c r="O744" t="s">
        <v>538</v>
      </c>
      <c r="P744">
        <v>-20.150061999999998</v>
      </c>
      <c r="Q744">
        <v>-44.903379000000001</v>
      </c>
      <c r="R744" s="2" t="str">
        <f>HYPERLINK("https://www.google.com/maps?q=-20.1500620,-44.9033790","Abrir no Google Maps")</f>
        <v>Abrir no Google Maps</v>
      </c>
      <c r="S744">
        <v>3</v>
      </c>
      <c r="T744">
        <v>286.20313674219977</v>
      </c>
      <c r="U744">
        <v>4</v>
      </c>
      <c r="V744">
        <v>21</v>
      </c>
      <c r="W744">
        <v>1</v>
      </c>
      <c r="X744">
        <v>21</v>
      </c>
      <c r="Y744">
        <v>556</v>
      </c>
      <c r="Z744">
        <v>315.81851898667401</v>
      </c>
      <c r="AA744">
        <v>198</v>
      </c>
      <c r="AB744">
        <v>332</v>
      </c>
      <c r="AC744">
        <v>536</v>
      </c>
      <c r="AD744">
        <v>30.48</v>
      </c>
      <c r="AE744">
        <v>542</v>
      </c>
      <c r="AF744">
        <v>30</v>
      </c>
      <c r="AG744">
        <v>176</v>
      </c>
      <c r="AH744">
        <v>129</v>
      </c>
      <c r="AI744">
        <v>5.54</v>
      </c>
      <c r="AJ744">
        <v>32.47</v>
      </c>
      <c r="AK744">
        <v>23.8</v>
      </c>
      <c r="AL744">
        <v>-20.150084299999971</v>
      </c>
      <c r="AM744">
        <v>-44.903278407568479</v>
      </c>
      <c r="AN744">
        <v>-20.150084299999971</v>
      </c>
      <c r="AO744">
        <v>-44.903278407568479</v>
      </c>
      <c r="AP744">
        <v>-20.150061999999998</v>
      </c>
      <c r="AQ744">
        <v>-44.903379000000001</v>
      </c>
      <c r="AR744">
        <v>10.801687336134639</v>
      </c>
      <c r="AS744" t="s">
        <v>65</v>
      </c>
      <c r="AT744">
        <v>1</v>
      </c>
      <c r="AU744" t="s">
        <v>539</v>
      </c>
      <c r="AV744" t="s">
        <v>540</v>
      </c>
      <c r="AW744" t="s">
        <v>60</v>
      </c>
      <c r="AX744" t="s">
        <v>68</v>
      </c>
      <c r="AY744" t="s">
        <v>69</v>
      </c>
      <c r="AZ744" t="b">
        <v>1</v>
      </c>
    </row>
    <row r="745" spans="1:52" x14ac:dyDescent="0.3">
      <c r="A745" t="s">
        <v>52</v>
      </c>
      <c r="B745" t="s">
        <v>53</v>
      </c>
      <c r="C745" t="s">
        <v>54</v>
      </c>
      <c r="D745" t="s">
        <v>55</v>
      </c>
      <c r="E745" t="s">
        <v>2099</v>
      </c>
      <c r="F745" t="s">
        <v>190</v>
      </c>
      <c r="G745" t="s">
        <v>897</v>
      </c>
      <c r="H745" t="s">
        <v>898</v>
      </c>
      <c r="I745" t="s">
        <v>898</v>
      </c>
      <c r="J745" t="s">
        <v>60</v>
      </c>
      <c r="K745" t="s">
        <v>892</v>
      </c>
      <c r="L745" t="s">
        <v>62</v>
      </c>
      <c r="M745" t="s">
        <v>892</v>
      </c>
      <c r="N745" t="s">
        <v>899</v>
      </c>
      <c r="O745" t="s">
        <v>900</v>
      </c>
      <c r="P745">
        <v>-20.154885</v>
      </c>
      <c r="Q745">
        <v>-44.899890999999997</v>
      </c>
      <c r="R745" s="2" t="str">
        <f>HYPERLINK("https://www.google.com/maps?q=-20.1548850,-44.8998910","Abrir no Google Maps")</f>
        <v>Abrir no Google Maps</v>
      </c>
      <c r="S745">
        <v>3</v>
      </c>
      <c r="T745">
        <v>314.66339661014308</v>
      </c>
      <c r="U745">
        <v>4</v>
      </c>
      <c r="V745">
        <v>24</v>
      </c>
      <c r="W745">
        <v>1</v>
      </c>
      <c r="X745">
        <v>24</v>
      </c>
      <c r="Y745">
        <v>548</v>
      </c>
      <c r="Z745">
        <v>319.02252584834253</v>
      </c>
      <c r="AA745">
        <v>198</v>
      </c>
      <c r="AB745">
        <v>332</v>
      </c>
      <c r="AC745">
        <v>536</v>
      </c>
      <c r="AD745">
        <v>30.48</v>
      </c>
      <c r="AE745">
        <v>542</v>
      </c>
      <c r="AF745">
        <v>30</v>
      </c>
      <c r="AG745">
        <v>176</v>
      </c>
      <c r="AH745">
        <v>129</v>
      </c>
      <c r="AI745">
        <v>5.54</v>
      </c>
      <c r="AJ745">
        <v>32.47</v>
      </c>
      <c r="AK745">
        <v>23.8</v>
      </c>
      <c r="AL745">
        <v>-20.154906649999951</v>
      </c>
      <c r="AM745">
        <v>-44.899894072543653</v>
      </c>
      <c r="AN745">
        <v>-20.154906649999951</v>
      </c>
      <c r="AO745">
        <v>-44.899894072543653</v>
      </c>
      <c r="AP745">
        <v>-20.154885</v>
      </c>
      <c r="AQ745">
        <v>-44.899890999999997</v>
      </c>
      <c r="AR745">
        <v>2.431373123904943</v>
      </c>
      <c r="AS745" t="s">
        <v>65</v>
      </c>
      <c r="AT745">
        <v>1</v>
      </c>
      <c r="AU745" t="s">
        <v>901</v>
      </c>
      <c r="AV745" t="s">
        <v>902</v>
      </c>
      <c r="AW745" t="s">
        <v>60</v>
      </c>
      <c r="AX745" t="s">
        <v>68</v>
      </c>
      <c r="AY745" t="s">
        <v>69</v>
      </c>
      <c r="AZ745" t="b">
        <v>1</v>
      </c>
    </row>
    <row r="746" spans="1:52" x14ac:dyDescent="0.3">
      <c r="A746" t="s">
        <v>52</v>
      </c>
      <c r="B746" t="s">
        <v>53</v>
      </c>
      <c r="C746" t="s">
        <v>54</v>
      </c>
      <c r="D746" t="s">
        <v>55</v>
      </c>
      <c r="E746" t="s">
        <v>2099</v>
      </c>
      <c r="F746" t="s">
        <v>190</v>
      </c>
      <c r="G746" t="s">
        <v>551</v>
      </c>
      <c r="H746" t="s">
        <v>552</v>
      </c>
      <c r="I746" t="s">
        <v>552</v>
      </c>
      <c r="J746" t="s">
        <v>60</v>
      </c>
      <c r="K746" t="s">
        <v>388</v>
      </c>
      <c r="L746" t="s">
        <v>62</v>
      </c>
      <c r="M746" t="s">
        <v>388</v>
      </c>
      <c r="N746" t="s">
        <v>553</v>
      </c>
      <c r="O746" t="s">
        <v>315</v>
      </c>
      <c r="P746">
        <v>-20.153086999999999</v>
      </c>
      <c r="Q746">
        <v>-44.905451999999997</v>
      </c>
      <c r="R746" s="2" t="str">
        <f>HYPERLINK("https://www.google.com/maps?q=-20.1530870,-44.9054520","Abrir no Google Maps")</f>
        <v>Abrir no Google Maps</v>
      </c>
      <c r="S746">
        <v>3</v>
      </c>
      <c r="T746">
        <v>313.69387682409018</v>
      </c>
      <c r="U746">
        <v>4</v>
      </c>
      <c r="V746">
        <v>22</v>
      </c>
      <c r="W746">
        <v>1</v>
      </c>
      <c r="X746">
        <v>22</v>
      </c>
      <c r="Y746">
        <v>548</v>
      </c>
      <c r="Z746">
        <v>319.51605309906859</v>
      </c>
      <c r="AA746">
        <v>198</v>
      </c>
      <c r="AB746">
        <v>332</v>
      </c>
      <c r="AC746">
        <v>536</v>
      </c>
      <c r="AD746">
        <v>30.48</v>
      </c>
      <c r="AE746">
        <v>542</v>
      </c>
      <c r="AF746">
        <v>30</v>
      </c>
      <c r="AG746">
        <v>176</v>
      </c>
      <c r="AH746">
        <v>129</v>
      </c>
      <c r="AI746">
        <v>5.54</v>
      </c>
      <c r="AJ746">
        <v>32.47</v>
      </c>
      <c r="AK746">
        <v>23.8</v>
      </c>
      <c r="AL746">
        <v>-20.153043049999951</v>
      </c>
      <c r="AM746">
        <v>-44.905348275899513</v>
      </c>
      <c r="AN746">
        <v>-20.153043049999951</v>
      </c>
      <c r="AO746">
        <v>-44.905348275899513</v>
      </c>
      <c r="AP746">
        <v>-20.153086999999999</v>
      </c>
      <c r="AQ746">
        <v>-44.905451999999997</v>
      </c>
      <c r="AR746">
        <v>11.892619975648341</v>
      </c>
      <c r="AS746" t="s">
        <v>65</v>
      </c>
      <c r="AT746">
        <v>1</v>
      </c>
      <c r="AU746" t="s">
        <v>554</v>
      </c>
      <c r="AV746" t="s">
        <v>555</v>
      </c>
      <c r="AW746" t="s">
        <v>60</v>
      </c>
      <c r="AX746" t="s">
        <v>68</v>
      </c>
      <c r="AY746" t="s">
        <v>69</v>
      </c>
      <c r="AZ746" t="b">
        <v>1</v>
      </c>
    </row>
    <row r="747" spans="1:52" x14ac:dyDescent="0.3">
      <c r="A747" t="s">
        <v>52</v>
      </c>
      <c r="B747" t="s">
        <v>53</v>
      </c>
      <c r="C747" t="s">
        <v>54</v>
      </c>
      <c r="D747" t="s">
        <v>55</v>
      </c>
      <c r="E747" t="s">
        <v>2099</v>
      </c>
      <c r="F747" t="s">
        <v>190</v>
      </c>
      <c r="G747" t="s">
        <v>590</v>
      </c>
      <c r="H747" t="s">
        <v>591</v>
      </c>
      <c r="I747" t="s">
        <v>591</v>
      </c>
      <c r="J747" t="s">
        <v>60</v>
      </c>
      <c r="K747" t="s">
        <v>207</v>
      </c>
      <c r="L747" t="s">
        <v>62</v>
      </c>
      <c r="M747" t="s">
        <v>207</v>
      </c>
      <c r="N747" t="s">
        <v>592</v>
      </c>
      <c r="O747" t="s">
        <v>565</v>
      </c>
      <c r="P747">
        <v>-20.118652000000001</v>
      </c>
      <c r="Q747">
        <v>-44.890574999999998</v>
      </c>
      <c r="R747" s="2" t="str">
        <f>HYPERLINK("https://www.google.com/maps?q=-20.1186520,-44.8905750","Abrir no Google Maps")</f>
        <v>Abrir no Google Maps</v>
      </c>
      <c r="S747">
        <v>3</v>
      </c>
      <c r="T747">
        <v>305.97870753615422</v>
      </c>
      <c r="U747">
        <v>4</v>
      </c>
      <c r="V747">
        <v>19</v>
      </c>
      <c r="W747">
        <v>1</v>
      </c>
      <c r="X747">
        <v>19</v>
      </c>
      <c r="Y747">
        <v>536</v>
      </c>
      <c r="Z747">
        <v>368.07356795447242</v>
      </c>
      <c r="AA747">
        <v>198</v>
      </c>
      <c r="AB747">
        <v>332</v>
      </c>
      <c r="AC747">
        <v>536</v>
      </c>
      <c r="AD747">
        <v>30.48</v>
      </c>
      <c r="AE747">
        <v>542</v>
      </c>
      <c r="AF747">
        <v>30</v>
      </c>
      <c r="AG747">
        <v>176</v>
      </c>
      <c r="AH747">
        <v>129</v>
      </c>
      <c r="AI747">
        <v>5.54</v>
      </c>
      <c r="AJ747">
        <v>32.47</v>
      </c>
      <c r="AK747">
        <v>23.8</v>
      </c>
      <c r="AL747">
        <v>-20.118589699999941</v>
      </c>
      <c r="AM747">
        <v>-44.890419442196389</v>
      </c>
      <c r="AN747">
        <v>-20.118589699999941</v>
      </c>
      <c r="AO747">
        <v>-44.890419442196389</v>
      </c>
      <c r="AP747">
        <v>-20.118652000000001</v>
      </c>
      <c r="AQ747">
        <v>-44.890574999999998</v>
      </c>
      <c r="AR747">
        <v>17.67731866347437</v>
      </c>
      <c r="AS747" t="s">
        <v>65</v>
      </c>
      <c r="AT747">
        <v>1</v>
      </c>
      <c r="AU747" t="s">
        <v>593</v>
      </c>
      <c r="AV747" t="s">
        <v>594</v>
      </c>
      <c r="AW747" t="s">
        <v>60</v>
      </c>
      <c r="AX747" t="s">
        <v>68</v>
      </c>
      <c r="AY747" t="s">
        <v>69</v>
      </c>
      <c r="AZ747" t="b">
        <v>1</v>
      </c>
    </row>
    <row r="748" spans="1:52" x14ac:dyDescent="0.3">
      <c r="A748" t="s">
        <v>52</v>
      </c>
      <c r="B748" t="s">
        <v>53</v>
      </c>
      <c r="C748" t="s">
        <v>54</v>
      </c>
      <c r="D748" t="s">
        <v>55</v>
      </c>
      <c r="E748" t="s">
        <v>2099</v>
      </c>
      <c r="F748" t="s">
        <v>190</v>
      </c>
      <c r="G748" t="s">
        <v>595</v>
      </c>
      <c r="H748" t="s">
        <v>596</v>
      </c>
      <c r="I748" t="s">
        <v>596</v>
      </c>
      <c r="J748" t="s">
        <v>60</v>
      </c>
      <c r="K748" t="s">
        <v>207</v>
      </c>
      <c r="L748" t="s">
        <v>62</v>
      </c>
      <c r="M748" t="s">
        <v>207</v>
      </c>
      <c r="N748" t="s">
        <v>597</v>
      </c>
      <c r="O748" t="s">
        <v>598</v>
      </c>
      <c r="P748">
        <v>-20.118335999999999</v>
      </c>
      <c r="Q748">
        <v>-44.887441000000003</v>
      </c>
      <c r="R748" s="2" t="str">
        <f>HYPERLINK("https://www.google.com/maps?q=-20.1183360,-44.8874410","Abrir no Google Maps")</f>
        <v>Abrir no Google Maps</v>
      </c>
      <c r="S748">
        <v>3</v>
      </c>
      <c r="T748">
        <v>0</v>
      </c>
      <c r="U748">
        <v>4</v>
      </c>
      <c r="V748">
        <v>23</v>
      </c>
      <c r="W748">
        <v>1</v>
      </c>
      <c r="X748">
        <v>23</v>
      </c>
      <c r="Y748">
        <v>536</v>
      </c>
      <c r="Z748">
        <v>70.729031566967279</v>
      </c>
      <c r="AA748">
        <v>198</v>
      </c>
      <c r="AB748">
        <v>332</v>
      </c>
      <c r="AC748">
        <v>536</v>
      </c>
      <c r="AD748">
        <v>30.48</v>
      </c>
      <c r="AE748">
        <v>542</v>
      </c>
      <c r="AF748">
        <v>30</v>
      </c>
      <c r="AG748">
        <v>176</v>
      </c>
      <c r="AH748">
        <v>129</v>
      </c>
      <c r="AI748">
        <v>5.54</v>
      </c>
      <c r="AJ748">
        <v>32.47</v>
      </c>
      <c r="AK748">
        <v>23.8</v>
      </c>
      <c r="AL748">
        <v>-20.118357999999969</v>
      </c>
      <c r="AM748">
        <v>-44.88750246616479</v>
      </c>
      <c r="AN748">
        <v>-20.118357999999969</v>
      </c>
      <c r="AO748">
        <v>-44.88750246616479</v>
      </c>
      <c r="AP748">
        <v>-20.118335999999999</v>
      </c>
      <c r="AQ748">
        <v>-44.887441000000003</v>
      </c>
      <c r="AR748">
        <v>6.875853437004074</v>
      </c>
      <c r="AS748" t="s">
        <v>65</v>
      </c>
      <c r="AT748">
        <v>1</v>
      </c>
      <c r="AU748" t="s">
        <v>599</v>
      </c>
      <c r="AV748" t="s">
        <v>600</v>
      </c>
      <c r="AW748" t="s">
        <v>60</v>
      </c>
      <c r="AX748" t="s">
        <v>68</v>
      </c>
      <c r="AY748" t="s">
        <v>69</v>
      </c>
      <c r="AZ748" t="b">
        <v>1</v>
      </c>
    </row>
    <row r="749" spans="1:52" x14ac:dyDescent="0.3">
      <c r="A749" t="s">
        <v>52</v>
      </c>
      <c r="B749" t="s">
        <v>53</v>
      </c>
      <c r="C749" t="s">
        <v>54</v>
      </c>
      <c r="D749" t="s">
        <v>55</v>
      </c>
      <c r="E749" t="s">
        <v>2099</v>
      </c>
      <c r="F749" t="s">
        <v>190</v>
      </c>
      <c r="G749" t="s">
        <v>631</v>
      </c>
      <c r="H749" t="s">
        <v>632</v>
      </c>
      <c r="I749" t="s">
        <v>632</v>
      </c>
      <c r="J749" t="s">
        <v>60</v>
      </c>
      <c r="K749" t="s">
        <v>530</v>
      </c>
      <c r="L749" t="s">
        <v>62</v>
      </c>
      <c r="M749" t="s">
        <v>530</v>
      </c>
      <c r="N749" t="s">
        <v>633</v>
      </c>
      <c r="O749" t="s">
        <v>634</v>
      </c>
      <c r="P749">
        <v>-20.142136000000001</v>
      </c>
      <c r="Q749">
        <v>-44.893895999999998</v>
      </c>
      <c r="R749" s="2" t="str">
        <f>HYPERLINK("https://www.google.com/maps?q=-20.1421360,-44.8938960","Abrir no Google Maps")</f>
        <v>Abrir no Google Maps</v>
      </c>
      <c r="S749">
        <v>3</v>
      </c>
      <c r="T749">
        <v>252.77776243958951</v>
      </c>
      <c r="U749">
        <v>4</v>
      </c>
      <c r="V749">
        <v>35</v>
      </c>
      <c r="W749">
        <v>1</v>
      </c>
      <c r="X749">
        <v>35</v>
      </c>
      <c r="Y749">
        <v>505</v>
      </c>
      <c r="Z749">
        <v>331.79497003706751</v>
      </c>
      <c r="AA749">
        <v>198</v>
      </c>
      <c r="AB749">
        <v>332</v>
      </c>
      <c r="AC749">
        <v>536</v>
      </c>
      <c r="AD749">
        <v>30.48</v>
      </c>
      <c r="AE749">
        <v>542</v>
      </c>
      <c r="AF749">
        <v>30</v>
      </c>
      <c r="AG749">
        <v>176</v>
      </c>
      <c r="AH749">
        <v>129</v>
      </c>
      <c r="AI749">
        <v>5.54</v>
      </c>
      <c r="AJ749">
        <v>32.47</v>
      </c>
      <c r="AK749">
        <v>23.8</v>
      </c>
      <c r="AL749">
        <v>-20.142209999999949</v>
      </c>
      <c r="AM749">
        <v>-44.893919659400702</v>
      </c>
      <c r="AN749">
        <v>-20.142209999999949</v>
      </c>
      <c r="AO749">
        <v>-44.893919659400702</v>
      </c>
      <c r="AP749">
        <v>-20.142136000000001</v>
      </c>
      <c r="AQ749">
        <v>-44.893895999999998</v>
      </c>
      <c r="AR749">
        <v>8.6007875127343159</v>
      </c>
      <c r="AS749" t="s">
        <v>65</v>
      </c>
      <c r="AT749">
        <v>1</v>
      </c>
      <c r="AU749" t="s">
        <v>635</v>
      </c>
      <c r="AV749" t="s">
        <v>636</v>
      </c>
      <c r="AW749" t="s">
        <v>60</v>
      </c>
      <c r="AX749" t="s">
        <v>68</v>
      </c>
      <c r="AY749" t="s">
        <v>69</v>
      </c>
      <c r="AZ749" t="b">
        <v>1</v>
      </c>
    </row>
    <row r="750" spans="1:52" x14ac:dyDescent="0.3">
      <c r="A750" t="s">
        <v>52</v>
      </c>
      <c r="B750" t="s">
        <v>53</v>
      </c>
      <c r="C750" t="s">
        <v>54</v>
      </c>
      <c r="D750" t="s">
        <v>55</v>
      </c>
      <c r="E750" t="s">
        <v>2099</v>
      </c>
      <c r="F750" t="s">
        <v>190</v>
      </c>
      <c r="G750" t="s">
        <v>957</v>
      </c>
      <c r="H750" t="s">
        <v>958</v>
      </c>
      <c r="I750" t="s">
        <v>958</v>
      </c>
      <c r="J750" t="s">
        <v>60</v>
      </c>
      <c r="K750" t="s">
        <v>262</v>
      </c>
      <c r="L750" t="s">
        <v>62</v>
      </c>
      <c r="M750" t="s">
        <v>262</v>
      </c>
      <c r="N750" t="s">
        <v>959</v>
      </c>
      <c r="O750" t="s">
        <v>960</v>
      </c>
      <c r="P750">
        <v>-20.165469999999999</v>
      </c>
      <c r="Q750">
        <v>-44.854308000000003</v>
      </c>
      <c r="R750" s="2" t="str">
        <f>HYPERLINK("https://www.google.com/maps?q=-20.1654700,-44.8543080","Abrir no Google Maps")</f>
        <v>Abrir no Google Maps</v>
      </c>
      <c r="S750">
        <v>3</v>
      </c>
      <c r="T750">
        <v>555.06043712641599</v>
      </c>
      <c r="U750">
        <v>4</v>
      </c>
      <c r="V750">
        <v>27</v>
      </c>
      <c r="W750">
        <v>1</v>
      </c>
      <c r="X750">
        <v>27</v>
      </c>
      <c r="Y750">
        <v>491</v>
      </c>
      <c r="Z750">
        <v>423.16855805320131</v>
      </c>
      <c r="AA750">
        <v>198</v>
      </c>
      <c r="AB750">
        <v>332</v>
      </c>
      <c r="AC750">
        <v>536</v>
      </c>
      <c r="AD750">
        <v>30.48</v>
      </c>
      <c r="AE750">
        <v>542</v>
      </c>
      <c r="AF750">
        <v>30</v>
      </c>
      <c r="AG750">
        <v>176</v>
      </c>
      <c r="AH750">
        <v>129</v>
      </c>
      <c r="AI750">
        <v>5.54</v>
      </c>
      <c r="AJ750">
        <v>32.47</v>
      </c>
      <c r="AK750">
        <v>23.8</v>
      </c>
      <c r="AL750">
        <v>-20.165538449999961</v>
      </c>
      <c r="AM750">
        <v>-44.854274624633042</v>
      </c>
      <c r="AN750">
        <v>-20.165538449999961</v>
      </c>
      <c r="AO750">
        <v>-44.854274624633042</v>
      </c>
      <c r="AP750">
        <v>-20.165469999999999</v>
      </c>
      <c r="AQ750">
        <v>-44.854308000000003</v>
      </c>
      <c r="AR750">
        <v>8.3800661572970956</v>
      </c>
      <c r="AS750" t="s">
        <v>65</v>
      </c>
      <c r="AT750">
        <v>1</v>
      </c>
      <c r="AU750" t="s">
        <v>961</v>
      </c>
      <c r="AV750" t="s">
        <v>962</v>
      </c>
      <c r="AW750" t="s">
        <v>60</v>
      </c>
      <c r="AX750" t="s">
        <v>68</v>
      </c>
      <c r="AY750" t="s">
        <v>69</v>
      </c>
      <c r="AZ750" t="b">
        <v>1</v>
      </c>
    </row>
    <row r="751" spans="1:52" x14ac:dyDescent="0.3">
      <c r="A751" t="s">
        <v>52</v>
      </c>
      <c r="B751" t="s">
        <v>53</v>
      </c>
      <c r="C751" t="s">
        <v>54</v>
      </c>
      <c r="D751" t="s">
        <v>55</v>
      </c>
      <c r="E751" t="s">
        <v>2099</v>
      </c>
      <c r="F751" t="s">
        <v>190</v>
      </c>
      <c r="G751" t="s">
        <v>963</v>
      </c>
      <c r="H751" t="s">
        <v>964</v>
      </c>
      <c r="I751" t="s">
        <v>964</v>
      </c>
      <c r="J751" t="s">
        <v>60</v>
      </c>
      <c r="K751" t="s">
        <v>702</v>
      </c>
      <c r="L751" t="s">
        <v>62</v>
      </c>
      <c r="M751" t="s">
        <v>702</v>
      </c>
      <c r="N751" t="s">
        <v>965</v>
      </c>
      <c r="O751" t="s">
        <v>960</v>
      </c>
      <c r="P751">
        <v>-20.164622000000001</v>
      </c>
      <c r="Q751">
        <v>-44.860289999999999</v>
      </c>
      <c r="R751" s="2" t="str">
        <f>HYPERLINK("https://www.google.com/maps?q=-20.1646220,-44.8602900","Abrir no Google Maps")</f>
        <v>Abrir no Google Maps</v>
      </c>
      <c r="S751">
        <v>3</v>
      </c>
      <c r="T751">
        <v>393.43725605569188</v>
      </c>
      <c r="U751">
        <v>4</v>
      </c>
      <c r="V751">
        <v>23</v>
      </c>
      <c r="W751">
        <v>1</v>
      </c>
      <c r="X751">
        <v>23</v>
      </c>
      <c r="Y751">
        <v>491</v>
      </c>
      <c r="Z751">
        <v>358.96336458076678</v>
      </c>
      <c r="AA751">
        <v>198</v>
      </c>
      <c r="AB751">
        <v>332</v>
      </c>
      <c r="AC751">
        <v>536</v>
      </c>
      <c r="AD751">
        <v>30.48</v>
      </c>
      <c r="AE751">
        <v>542</v>
      </c>
      <c r="AF751">
        <v>30</v>
      </c>
      <c r="AG751">
        <v>176</v>
      </c>
      <c r="AH751">
        <v>129</v>
      </c>
      <c r="AI751">
        <v>5.54</v>
      </c>
      <c r="AJ751">
        <v>32.47</v>
      </c>
      <c r="AK751">
        <v>23.8</v>
      </c>
      <c r="AL751">
        <v>-20.164560849999951</v>
      </c>
      <c r="AM751">
        <v>-44.860330680844072</v>
      </c>
      <c r="AN751">
        <v>-20.164560849999951</v>
      </c>
      <c r="AO751">
        <v>-44.860330680844072</v>
      </c>
      <c r="AP751">
        <v>-20.164622000000001</v>
      </c>
      <c r="AQ751">
        <v>-44.860289999999999</v>
      </c>
      <c r="AR751">
        <v>8.0255448908437454</v>
      </c>
      <c r="AS751" t="s">
        <v>65</v>
      </c>
      <c r="AT751">
        <v>1</v>
      </c>
      <c r="AU751" t="s">
        <v>966</v>
      </c>
      <c r="AV751" t="s">
        <v>967</v>
      </c>
      <c r="AW751" t="s">
        <v>60</v>
      </c>
      <c r="AX751" t="s">
        <v>68</v>
      </c>
      <c r="AY751" t="s">
        <v>69</v>
      </c>
      <c r="AZ751" t="b">
        <v>1</v>
      </c>
    </row>
    <row r="752" spans="1:52" x14ac:dyDescent="0.3">
      <c r="A752" t="s">
        <v>52</v>
      </c>
      <c r="B752" t="s">
        <v>53</v>
      </c>
      <c r="C752" t="s">
        <v>54</v>
      </c>
      <c r="D752" t="s">
        <v>55</v>
      </c>
      <c r="E752" t="s">
        <v>2099</v>
      </c>
      <c r="F752" t="s">
        <v>190</v>
      </c>
      <c r="G752" t="s">
        <v>968</v>
      </c>
      <c r="H752" t="s">
        <v>969</v>
      </c>
      <c r="I752" t="s">
        <v>969</v>
      </c>
      <c r="J752" t="s">
        <v>60</v>
      </c>
      <c r="K752" t="s">
        <v>262</v>
      </c>
      <c r="L752" t="s">
        <v>62</v>
      </c>
      <c r="M752" t="s">
        <v>262</v>
      </c>
      <c r="N752" t="s">
        <v>970</v>
      </c>
      <c r="O752" t="s">
        <v>971</v>
      </c>
      <c r="P752">
        <v>-20.163060999999999</v>
      </c>
      <c r="Q752">
        <v>-44.854047000000001</v>
      </c>
      <c r="R752" s="2" t="str">
        <f>HYPERLINK("https://www.google.com/maps?q=-20.1630610,-44.8540470","Abrir no Google Maps")</f>
        <v>Abrir no Google Maps</v>
      </c>
      <c r="S752">
        <v>3</v>
      </c>
      <c r="T752">
        <v>418.63868463200271</v>
      </c>
      <c r="U752">
        <v>4</v>
      </c>
      <c r="V752">
        <v>19</v>
      </c>
      <c r="W752">
        <v>1</v>
      </c>
      <c r="X752">
        <v>19</v>
      </c>
      <c r="Y752">
        <v>491</v>
      </c>
      <c r="Z752">
        <v>339.19068595447408</v>
      </c>
      <c r="AA752">
        <v>198</v>
      </c>
      <c r="AB752">
        <v>332</v>
      </c>
      <c r="AC752">
        <v>536</v>
      </c>
      <c r="AD752">
        <v>30.48</v>
      </c>
      <c r="AE752">
        <v>542</v>
      </c>
      <c r="AF752">
        <v>30</v>
      </c>
      <c r="AG752">
        <v>176</v>
      </c>
      <c r="AH752">
        <v>129</v>
      </c>
      <c r="AI752">
        <v>5.54</v>
      </c>
      <c r="AJ752">
        <v>32.47</v>
      </c>
      <c r="AK752">
        <v>23.8</v>
      </c>
      <c r="AL752">
        <v>-20.163118949999959</v>
      </c>
      <c r="AM752">
        <v>-44.854106723889032</v>
      </c>
      <c r="AN752">
        <v>-20.163118949999959</v>
      </c>
      <c r="AO752">
        <v>-44.854106723889032</v>
      </c>
      <c r="AP752">
        <v>-20.163060999999999</v>
      </c>
      <c r="AQ752">
        <v>-44.854047000000001</v>
      </c>
      <c r="AR752">
        <v>8.9758322935491428</v>
      </c>
      <c r="AS752" t="s">
        <v>65</v>
      </c>
      <c r="AT752">
        <v>1</v>
      </c>
      <c r="AU752" t="s">
        <v>972</v>
      </c>
      <c r="AV752" t="s">
        <v>973</v>
      </c>
      <c r="AW752" t="s">
        <v>60</v>
      </c>
      <c r="AX752" t="s">
        <v>68</v>
      </c>
      <c r="AY752" t="s">
        <v>69</v>
      </c>
      <c r="AZ752" t="b">
        <v>1</v>
      </c>
    </row>
    <row r="753" spans="1:52" x14ac:dyDescent="0.3">
      <c r="A753" t="s">
        <v>52</v>
      </c>
      <c r="B753" t="s">
        <v>53</v>
      </c>
      <c r="C753" t="s">
        <v>54</v>
      </c>
      <c r="D753" t="s">
        <v>55</v>
      </c>
      <c r="E753" t="s">
        <v>2099</v>
      </c>
      <c r="F753" t="s">
        <v>190</v>
      </c>
      <c r="G753" t="s">
        <v>968</v>
      </c>
      <c r="H753" t="s">
        <v>1754</v>
      </c>
      <c r="I753" t="s">
        <v>1754</v>
      </c>
      <c r="J753" t="s">
        <v>60</v>
      </c>
      <c r="K753" t="s">
        <v>262</v>
      </c>
      <c r="L753" t="s">
        <v>62</v>
      </c>
      <c r="M753" t="s">
        <v>262</v>
      </c>
      <c r="N753" t="s">
        <v>970</v>
      </c>
      <c r="O753" t="s">
        <v>1331</v>
      </c>
      <c r="P753">
        <v>-20.161989999999999</v>
      </c>
      <c r="Q753">
        <v>-44.857933000000003</v>
      </c>
      <c r="R753" s="2" t="str">
        <f>HYPERLINK("https://www.google.com/maps?q=-20.1619900,-44.8579330","Abrir no Google Maps")</f>
        <v>Abrir no Google Maps</v>
      </c>
      <c r="S753">
        <v>3</v>
      </c>
      <c r="T753">
        <v>0</v>
      </c>
      <c r="U753">
        <v>4</v>
      </c>
      <c r="V753">
        <v>19</v>
      </c>
      <c r="W753">
        <v>1</v>
      </c>
      <c r="X753">
        <v>19</v>
      </c>
      <c r="Y753">
        <v>491</v>
      </c>
      <c r="Z753">
        <v>131.1697533741382</v>
      </c>
      <c r="AA753">
        <v>198</v>
      </c>
      <c r="AB753">
        <v>332</v>
      </c>
      <c r="AC753">
        <v>536</v>
      </c>
      <c r="AD753">
        <v>30.48</v>
      </c>
      <c r="AE753">
        <v>542</v>
      </c>
      <c r="AF753">
        <v>30</v>
      </c>
      <c r="AG753">
        <v>176</v>
      </c>
      <c r="AH753">
        <v>129</v>
      </c>
      <c r="AI753">
        <v>5.54</v>
      </c>
      <c r="AJ753">
        <v>32.47</v>
      </c>
      <c r="AK753">
        <v>23.8</v>
      </c>
      <c r="AL753">
        <v>-20.161858549999948</v>
      </c>
      <c r="AM753">
        <v>-44.857884031071968</v>
      </c>
      <c r="AN753">
        <v>-20.161858549999948</v>
      </c>
      <c r="AO753">
        <v>-44.857884031071968</v>
      </c>
      <c r="AP753">
        <v>-20.161989999999999</v>
      </c>
      <c r="AQ753">
        <v>-44.857933000000003</v>
      </c>
      <c r="AR753">
        <v>15.501957281614381</v>
      </c>
      <c r="AS753" t="s">
        <v>65</v>
      </c>
      <c r="AT753">
        <v>1</v>
      </c>
      <c r="AU753" t="s">
        <v>1755</v>
      </c>
      <c r="AV753" t="s">
        <v>1756</v>
      </c>
      <c r="AW753" t="s">
        <v>60</v>
      </c>
      <c r="AX753" t="s">
        <v>68</v>
      </c>
      <c r="AY753" t="s">
        <v>69</v>
      </c>
      <c r="AZ753" t="b">
        <v>1</v>
      </c>
    </row>
    <row r="754" spans="1:52" x14ac:dyDescent="0.3">
      <c r="A754" t="s">
        <v>52</v>
      </c>
      <c r="B754" t="s">
        <v>53</v>
      </c>
      <c r="C754" t="s">
        <v>54</v>
      </c>
      <c r="D754" t="s">
        <v>55</v>
      </c>
      <c r="E754" t="s">
        <v>2099</v>
      </c>
      <c r="F754" t="s">
        <v>190</v>
      </c>
      <c r="G754" t="s">
        <v>980</v>
      </c>
      <c r="H754" t="s">
        <v>981</v>
      </c>
      <c r="I754" t="s">
        <v>981</v>
      </c>
      <c r="J754" t="s">
        <v>60</v>
      </c>
      <c r="K754" t="s">
        <v>982</v>
      </c>
      <c r="L754" t="s">
        <v>62</v>
      </c>
      <c r="M754" t="s">
        <v>982</v>
      </c>
      <c r="N754" t="s">
        <v>983</v>
      </c>
      <c r="O754" t="s">
        <v>264</v>
      </c>
      <c r="P754">
        <v>-20.166967</v>
      </c>
      <c r="Q754">
        <v>-44.859355000000001</v>
      </c>
      <c r="R754" s="2" t="str">
        <f>HYPERLINK("https://www.google.com/maps?q=-20.1669670,-44.8593550","Abrir no Google Maps")</f>
        <v>Abrir no Google Maps</v>
      </c>
      <c r="S754">
        <v>3</v>
      </c>
      <c r="T754">
        <v>577.54934865824521</v>
      </c>
      <c r="U754">
        <v>4</v>
      </c>
      <c r="V754">
        <v>25</v>
      </c>
      <c r="W754">
        <v>1</v>
      </c>
      <c r="X754">
        <v>25</v>
      </c>
      <c r="Y754">
        <v>491</v>
      </c>
      <c r="Z754">
        <v>433.59782149216659</v>
      </c>
      <c r="AA754">
        <v>198</v>
      </c>
      <c r="AB754">
        <v>332</v>
      </c>
      <c r="AC754">
        <v>536</v>
      </c>
      <c r="AD754">
        <v>30.48</v>
      </c>
      <c r="AE754">
        <v>542</v>
      </c>
      <c r="AF754">
        <v>30</v>
      </c>
      <c r="AG754">
        <v>176</v>
      </c>
      <c r="AH754">
        <v>129</v>
      </c>
      <c r="AI754">
        <v>5.54</v>
      </c>
      <c r="AJ754">
        <v>32.47</v>
      </c>
      <c r="AK754">
        <v>23.8</v>
      </c>
      <c r="AL754">
        <v>-20.16694954999997</v>
      </c>
      <c r="AM754">
        <v>-44.859100695938046</v>
      </c>
      <c r="AN754">
        <v>-20.16694954999997</v>
      </c>
      <c r="AO754">
        <v>-44.859100695938046</v>
      </c>
      <c r="AP754">
        <v>-20.166967</v>
      </c>
      <c r="AQ754">
        <v>-44.859355000000001</v>
      </c>
      <c r="AR754">
        <v>26.644458793923111</v>
      </c>
      <c r="AS754" t="s">
        <v>65</v>
      </c>
      <c r="AT754">
        <v>1</v>
      </c>
      <c r="AU754" t="s">
        <v>984</v>
      </c>
      <c r="AV754" t="s">
        <v>985</v>
      </c>
      <c r="AW754" t="s">
        <v>60</v>
      </c>
      <c r="AX754" t="s">
        <v>68</v>
      </c>
      <c r="AY754" t="s">
        <v>69</v>
      </c>
      <c r="AZ754" t="b">
        <v>1</v>
      </c>
    </row>
    <row r="755" spans="1:52" x14ac:dyDescent="0.3">
      <c r="A755" t="s">
        <v>52</v>
      </c>
      <c r="B755" t="s">
        <v>53</v>
      </c>
      <c r="C755" t="s">
        <v>54</v>
      </c>
      <c r="D755" t="s">
        <v>55</v>
      </c>
      <c r="E755" t="s">
        <v>2099</v>
      </c>
      <c r="F755" t="s">
        <v>190</v>
      </c>
      <c r="G755" t="s">
        <v>986</v>
      </c>
      <c r="H755" t="s">
        <v>987</v>
      </c>
      <c r="I755" t="s">
        <v>987</v>
      </c>
      <c r="J755" t="s">
        <v>60</v>
      </c>
      <c r="K755" t="s">
        <v>702</v>
      </c>
      <c r="L755" t="s">
        <v>62</v>
      </c>
      <c r="M755" t="s">
        <v>702</v>
      </c>
      <c r="N755" t="s">
        <v>988</v>
      </c>
      <c r="O755" t="s">
        <v>989</v>
      </c>
      <c r="P755">
        <v>-20.1691</v>
      </c>
      <c r="Q755">
        <v>-44.860813999999998</v>
      </c>
      <c r="R755" s="2" t="str">
        <f>HYPERLINK("https://www.google.com/maps?q=-20.1691000,-44.8608140","Abrir no Google Maps")</f>
        <v>Abrir no Google Maps</v>
      </c>
      <c r="S755">
        <v>3</v>
      </c>
      <c r="T755">
        <v>596.11124105675003</v>
      </c>
      <c r="U755">
        <v>4</v>
      </c>
      <c r="V755">
        <v>40</v>
      </c>
      <c r="W755">
        <v>1</v>
      </c>
      <c r="X755">
        <v>40</v>
      </c>
      <c r="Y755">
        <v>491</v>
      </c>
      <c r="Z755">
        <v>741.65354053819078</v>
      </c>
      <c r="AA755">
        <v>198</v>
      </c>
      <c r="AB755">
        <v>332</v>
      </c>
      <c r="AC755">
        <v>536</v>
      </c>
      <c r="AD755">
        <v>30.48</v>
      </c>
      <c r="AE755">
        <v>542</v>
      </c>
      <c r="AF755">
        <v>30</v>
      </c>
      <c r="AG755">
        <v>176</v>
      </c>
      <c r="AH755">
        <v>129</v>
      </c>
      <c r="AI755">
        <v>5.54</v>
      </c>
      <c r="AJ755">
        <v>32.47</v>
      </c>
      <c r="AK755">
        <v>23.8</v>
      </c>
      <c r="AL755">
        <v>-20.168995449999951</v>
      </c>
      <c r="AM755">
        <v>-44.86088900357106</v>
      </c>
      <c r="AN755">
        <v>-20.168995449999951</v>
      </c>
      <c r="AO755">
        <v>-44.86088900357106</v>
      </c>
      <c r="AP755">
        <v>-20.1691</v>
      </c>
      <c r="AQ755">
        <v>-44.860813999999998</v>
      </c>
      <c r="AR755">
        <v>14.03138702725616</v>
      </c>
      <c r="AS755" t="s">
        <v>65</v>
      </c>
      <c r="AT755">
        <v>1</v>
      </c>
      <c r="AU755" t="s">
        <v>990</v>
      </c>
      <c r="AV755" t="s">
        <v>991</v>
      </c>
      <c r="AW755" t="s">
        <v>60</v>
      </c>
      <c r="AX755" t="s">
        <v>68</v>
      </c>
      <c r="AY755" t="s">
        <v>69</v>
      </c>
      <c r="AZ755" t="b">
        <v>1</v>
      </c>
    </row>
    <row r="756" spans="1:52" x14ac:dyDescent="0.3">
      <c r="A756" t="s">
        <v>52</v>
      </c>
      <c r="B756" t="s">
        <v>53</v>
      </c>
      <c r="C756" t="s">
        <v>54</v>
      </c>
      <c r="D756" t="s">
        <v>55</v>
      </c>
      <c r="E756" t="s">
        <v>2099</v>
      </c>
      <c r="F756" t="s">
        <v>190</v>
      </c>
      <c r="G756" t="s">
        <v>637</v>
      </c>
      <c r="H756" t="s">
        <v>638</v>
      </c>
      <c r="I756" t="s">
        <v>638</v>
      </c>
      <c r="J756" t="s">
        <v>60</v>
      </c>
      <c r="K756" t="s">
        <v>530</v>
      </c>
      <c r="L756" t="s">
        <v>62</v>
      </c>
      <c r="M756" t="s">
        <v>530</v>
      </c>
      <c r="N756" t="s">
        <v>639</v>
      </c>
      <c r="O756" t="s">
        <v>640</v>
      </c>
      <c r="P756">
        <v>-20.143090000000001</v>
      </c>
      <c r="Q756">
        <v>-44.888948999999997</v>
      </c>
      <c r="R756" s="2" t="str">
        <f>HYPERLINK("https://www.google.com/maps?q=-20.1430900,-44.8889490","Abrir no Google Maps")</f>
        <v>Abrir no Google Maps</v>
      </c>
      <c r="S756">
        <v>3</v>
      </c>
      <c r="T756">
        <v>264.88903234377068</v>
      </c>
      <c r="U756">
        <v>4</v>
      </c>
      <c r="V756">
        <v>19</v>
      </c>
      <c r="W756">
        <v>1</v>
      </c>
      <c r="X756">
        <v>19</v>
      </c>
      <c r="Y756">
        <v>478</v>
      </c>
      <c r="Z756">
        <v>216.60886577490871</v>
      </c>
      <c r="AA756">
        <v>198</v>
      </c>
      <c r="AB756">
        <v>332</v>
      </c>
      <c r="AC756">
        <v>536</v>
      </c>
      <c r="AD756">
        <v>30.48</v>
      </c>
      <c r="AE756">
        <v>542</v>
      </c>
      <c r="AF756">
        <v>30</v>
      </c>
      <c r="AG756">
        <v>176</v>
      </c>
      <c r="AH756">
        <v>129</v>
      </c>
      <c r="AI756">
        <v>5.54</v>
      </c>
      <c r="AJ756">
        <v>32.47</v>
      </c>
      <c r="AK756">
        <v>23.8</v>
      </c>
      <c r="AL756">
        <v>-20.14306029999997</v>
      </c>
      <c r="AM756">
        <v>-44.889053908028878</v>
      </c>
      <c r="AN756">
        <v>-20.14306029999997</v>
      </c>
      <c r="AO756">
        <v>-44.889053908028878</v>
      </c>
      <c r="AP756">
        <v>-20.143090000000001</v>
      </c>
      <c r="AQ756">
        <v>-44.888948999999997</v>
      </c>
      <c r="AR756">
        <v>11.451710102611671</v>
      </c>
      <c r="AS756" t="s">
        <v>65</v>
      </c>
      <c r="AT756">
        <v>1</v>
      </c>
      <c r="AU756" t="s">
        <v>641</v>
      </c>
      <c r="AV756" t="s">
        <v>642</v>
      </c>
      <c r="AW756" t="s">
        <v>60</v>
      </c>
      <c r="AX756" t="s">
        <v>68</v>
      </c>
      <c r="AY756" t="s">
        <v>69</v>
      </c>
      <c r="AZ756" t="b">
        <v>1</v>
      </c>
    </row>
    <row r="757" spans="1:52" x14ac:dyDescent="0.3">
      <c r="A757" t="s">
        <v>52</v>
      </c>
      <c r="B757" t="s">
        <v>53</v>
      </c>
      <c r="C757" t="s">
        <v>54</v>
      </c>
      <c r="D757" t="s">
        <v>55</v>
      </c>
      <c r="E757" t="s">
        <v>2099</v>
      </c>
      <c r="F757" t="s">
        <v>190</v>
      </c>
      <c r="G757" t="s">
        <v>656</v>
      </c>
      <c r="H757" t="s">
        <v>657</v>
      </c>
      <c r="I757" t="s">
        <v>657</v>
      </c>
      <c r="J757" t="s">
        <v>60</v>
      </c>
      <c r="K757" t="s">
        <v>651</v>
      </c>
      <c r="L757" t="s">
        <v>62</v>
      </c>
      <c r="M757" t="s">
        <v>651</v>
      </c>
      <c r="N757" t="s">
        <v>658</v>
      </c>
      <c r="O757" t="s">
        <v>659</v>
      </c>
      <c r="P757">
        <v>-20.134922</v>
      </c>
      <c r="Q757">
        <v>-44.893098000000002</v>
      </c>
      <c r="R757" s="2" t="str">
        <f>HYPERLINK("https://www.google.com/maps?q=-20.1349220,-44.8930980","Abrir no Google Maps")</f>
        <v>Abrir no Google Maps</v>
      </c>
      <c r="S757">
        <v>3</v>
      </c>
      <c r="T757">
        <v>589.83980259734562</v>
      </c>
      <c r="U757">
        <v>4</v>
      </c>
      <c r="V757">
        <v>20</v>
      </c>
      <c r="W757">
        <v>1</v>
      </c>
      <c r="X757">
        <v>20</v>
      </c>
      <c r="Y757">
        <v>435</v>
      </c>
      <c r="Z757">
        <v>663.80986080131709</v>
      </c>
      <c r="AA757">
        <v>198</v>
      </c>
      <c r="AB757">
        <v>332</v>
      </c>
      <c r="AC757">
        <v>536</v>
      </c>
      <c r="AD757">
        <v>30.48</v>
      </c>
      <c r="AE757">
        <v>542</v>
      </c>
      <c r="AF757">
        <v>30</v>
      </c>
      <c r="AG757">
        <v>176</v>
      </c>
      <c r="AH757">
        <v>129</v>
      </c>
      <c r="AI757">
        <v>5.54</v>
      </c>
      <c r="AJ757">
        <v>32.47</v>
      </c>
      <c r="AK757">
        <v>23.8</v>
      </c>
      <c r="AL757">
        <v>-20.135021049999949</v>
      </c>
      <c r="AM757">
        <v>-44.893227478208203</v>
      </c>
      <c r="AN757">
        <v>-20.135021049999949</v>
      </c>
      <c r="AO757">
        <v>-44.893227478208203</v>
      </c>
      <c r="AP757">
        <v>-20.134922</v>
      </c>
      <c r="AQ757">
        <v>-44.893098000000002</v>
      </c>
      <c r="AR757">
        <v>17.455940349902249</v>
      </c>
      <c r="AS757" t="s">
        <v>65</v>
      </c>
      <c r="AT757">
        <v>1</v>
      </c>
      <c r="AU757" t="s">
        <v>660</v>
      </c>
      <c r="AV757" t="s">
        <v>661</v>
      </c>
      <c r="AW757" t="s">
        <v>60</v>
      </c>
      <c r="AX757" t="s">
        <v>68</v>
      </c>
      <c r="AY757" t="s">
        <v>69</v>
      </c>
      <c r="AZ757" t="b">
        <v>1</v>
      </c>
    </row>
    <row r="758" spans="1:52" x14ac:dyDescent="0.3">
      <c r="A758" t="s">
        <v>52</v>
      </c>
      <c r="B758" t="s">
        <v>53</v>
      </c>
      <c r="C758" t="s">
        <v>54</v>
      </c>
      <c r="D758" t="s">
        <v>55</v>
      </c>
      <c r="E758" t="s">
        <v>2099</v>
      </c>
      <c r="F758" t="s">
        <v>190</v>
      </c>
      <c r="G758" t="s">
        <v>686</v>
      </c>
      <c r="H758" t="s">
        <v>687</v>
      </c>
      <c r="I758" t="s">
        <v>687</v>
      </c>
      <c r="J758" t="s">
        <v>60</v>
      </c>
      <c r="K758" t="s">
        <v>688</v>
      </c>
      <c r="L758" t="s">
        <v>62</v>
      </c>
      <c r="M758" t="s">
        <v>688</v>
      </c>
      <c r="N758" t="s">
        <v>689</v>
      </c>
      <c r="O758" t="s">
        <v>690</v>
      </c>
      <c r="P758">
        <v>-20.136451999999998</v>
      </c>
      <c r="Q758">
        <v>-44.891254000000004</v>
      </c>
      <c r="R758" s="2" t="str">
        <f>HYPERLINK("https://www.google.com/maps?q=-20.1364520,-44.8912540","Abrir no Google Maps")</f>
        <v>Abrir no Google Maps</v>
      </c>
      <c r="S758">
        <v>3</v>
      </c>
      <c r="T758">
        <v>397.58661308638909</v>
      </c>
      <c r="U758">
        <v>4</v>
      </c>
      <c r="V758">
        <v>20</v>
      </c>
      <c r="W758">
        <v>1</v>
      </c>
      <c r="X758">
        <v>20</v>
      </c>
      <c r="Y758">
        <v>428</v>
      </c>
      <c r="Z758">
        <v>449.62002896840892</v>
      </c>
      <c r="AA758">
        <v>198</v>
      </c>
      <c r="AB758">
        <v>332</v>
      </c>
      <c r="AC758">
        <v>536</v>
      </c>
      <c r="AD758">
        <v>30.48</v>
      </c>
      <c r="AE758">
        <v>542</v>
      </c>
      <c r="AF758">
        <v>30</v>
      </c>
      <c r="AG758">
        <v>176</v>
      </c>
      <c r="AH758">
        <v>129</v>
      </c>
      <c r="AI758">
        <v>5.54</v>
      </c>
      <c r="AJ758">
        <v>32.47</v>
      </c>
      <c r="AK758">
        <v>23.8</v>
      </c>
      <c r="AL758">
        <v>-20.136400499999951</v>
      </c>
      <c r="AM758">
        <v>-44.891173264034883</v>
      </c>
      <c r="AN758">
        <v>-20.136400499999951</v>
      </c>
      <c r="AO758">
        <v>-44.891173264034883</v>
      </c>
      <c r="AP758">
        <v>-20.136451999999998</v>
      </c>
      <c r="AQ758">
        <v>-44.891254000000004</v>
      </c>
      <c r="AR758">
        <v>10.20146066113916</v>
      </c>
      <c r="AS758" t="s">
        <v>65</v>
      </c>
      <c r="AT758">
        <v>1</v>
      </c>
      <c r="AU758" t="s">
        <v>691</v>
      </c>
      <c r="AV758" t="s">
        <v>692</v>
      </c>
      <c r="AW758" t="s">
        <v>60</v>
      </c>
      <c r="AX758" t="s">
        <v>68</v>
      </c>
      <c r="AY758" t="s">
        <v>69</v>
      </c>
      <c r="AZ758" t="b">
        <v>1</v>
      </c>
    </row>
    <row r="759" spans="1:52" x14ac:dyDescent="0.3">
      <c r="A759" t="s">
        <v>52</v>
      </c>
      <c r="B759" t="s">
        <v>53</v>
      </c>
      <c r="C759" t="s">
        <v>54</v>
      </c>
      <c r="D759" t="s">
        <v>55</v>
      </c>
      <c r="E759" t="s">
        <v>2099</v>
      </c>
      <c r="F759" t="s">
        <v>190</v>
      </c>
      <c r="G759" t="s">
        <v>1014</v>
      </c>
      <c r="H759" t="s">
        <v>1015</v>
      </c>
      <c r="I759" t="s">
        <v>1015</v>
      </c>
      <c r="J759" t="s">
        <v>60</v>
      </c>
      <c r="K759" t="s">
        <v>1016</v>
      </c>
      <c r="L759" t="s">
        <v>62</v>
      </c>
      <c r="M759" t="s">
        <v>1016</v>
      </c>
      <c r="N759" t="s">
        <v>1017</v>
      </c>
      <c r="O759" t="s">
        <v>1018</v>
      </c>
      <c r="P759">
        <v>-20.174461000000001</v>
      </c>
      <c r="Q759">
        <v>-44.868710999999998</v>
      </c>
      <c r="R759" s="2" t="str">
        <f>HYPERLINK("https://www.google.com/maps?q=-20.1744610,-44.8687110","Abrir no Google Maps")</f>
        <v>Abrir no Google Maps</v>
      </c>
      <c r="S759">
        <v>3</v>
      </c>
      <c r="T759">
        <v>435.39504742850158</v>
      </c>
      <c r="U759">
        <v>4</v>
      </c>
      <c r="V759">
        <v>20</v>
      </c>
      <c r="W759">
        <v>1</v>
      </c>
      <c r="X759">
        <v>20</v>
      </c>
      <c r="Y759">
        <v>422</v>
      </c>
      <c r="Z759">
        <v>264.99958639233438</v>
      </c>
      <c r="AA759">
        <v>198</v>
      </c>
      <c r="AB759">
        <v>332</v>
      </c>
      <c r="AC759">
        <v>536</v>
      </c>
      <c r="AD759">
        <v>30.48</v>
      </c>
      <c r="AE759">
        <v>542</v>
      </c>
      <c r="AF759">
        <v>30</v>
      </c>
      <c r="AG759">
        <v>176</v>
      </c>
      <c r="AH759">
        <v>129</v>
      </c>
      <c r="AI759">
        <v>5.54</v>
      </c>
      <c r="AJ759">
        <v>32.47</v>
      </c>
      <c r="AK759">
        <v>23.8</v>
      </c>
      <c r="AL759">
        <v>-20.174459749999951</v>
      </c>
      <c r="AM759">
        <v>-44.868877789186897</v>
      </c>
      <c r="AN759">
        <v>-20.174459749999951</v>
      </c>
      <c r="AO759">
        <v>-44.868877789186897</v>
      </c>
      <c r="AP759">
        <v>-20.174461000000001</v>
      </c>
      <c r="AQ759">
        <v>-44.868710999999998</v>
      </c>
      <c r="AR759">
        <v>17.42838555603738</v>
      </c>
      <c r="AS759" t="s">
        <v>65</v>
      </c>
      <c r="AT759">
        <v>1</v>
      </c>
      <c r="AU759" t="s">
        <v>1019</v>
      </c>
      <c r="AV759" t="s">
        <v>1020</v>
      </c>
      <c r="AW759" t="s">
        <v>60</v>
      </c>
      <c r="AX759" t="s">
        <v>68</v>
      </c>
      <c r="AY759" t="s">
        <v>69</v>
      </c>
      <c r="AZ759" t="b">
        <v>1</v>
      </c>
    </row>
    <row r="760" spans="1:52" x14ac:dyDescent="0.3">
      <c r="A760" t="s">
        <v>52</v>
      </c>
      <c r="B760" t="s">
        <v>53</v>
      </c>
      <c r="C760" t="s">
        <v>54</v>
      </c>
      <c r="D760" t="s">
        <v>55</v>
      </c>
      <c r="E760" t="s">
        <v>2099</v>
      </c>
      <c r="F760" t="s">
        <v>190</v>
      </c>
      <c r="G760" t="s">
        <v>1021</v>
      </c>
      <c r="H760" t="s">
        <v>1022</v>
      </c>
      <c r="I760" t="s">
        <v>1022</v>
      </c>
      <c r="J760" t="s">
        <v>60</v>
      </c>
      <c r="K760" t="s">
        <v>1023</v>
      </c>
      <c r="L760" t="s">
        <v>62</v>
      </c>
      <c r="M760" t="s">
        <v>1023</v>
      </c>
      <c r="N760" t="s">
        <v>1024</v>
      </c>
      <c r="O760" t="s">
        <v>1025</v>
      </c>
      <c r="P760">
        <v>-20.169588999999998</v>
      </c>
      <c r="Q760">
        <v>-44.866636</v>
      </c>
      <c r="R760" s="2" t="str">
        <f>HYPERLINK("https://www.google.com/maps?q=-20.1695890,-44.8666360","Abrir no Google Maps")</f>
        <v>Abrir no Google Maps</v>
      </c>
      <c r="S760">
        <v>3</v>
      </c>
      <c r="T760">
        <v>326.02709617860302</v>
      </c>
      <c r="U760">
        <v>4</v>
      </c>
      <c r="V760">
        <v>29</v>
      </c>
      <c r="W760">
        <v>1</v>
      </c>
      <c r="X760">
        <v>29</v>
      </c>
      <c r="Y760">
        <v>422</v>
      </c>
      <c r="Z760">
        <v>333.05362278862168</v>
      </c>
      <c r="AA760">
        <v>198</v>
      </c>
      <c r="AB760">
        <v>332</v>
      </c>
      <c r="AC760">
        <v>536</v>
      </c>
      <c r="AD760">
        <v>30.48</v>
      </c>
      <c r="AE760">
        <v>542</v>
      </c>
      <c r="AF760">
        <v>30</v>
      </c>
      <c r="AG760">
        <v>176</v>
      </c>
      <c r="AH760">
        <v>129</v>
      </c>
      <c r="AI760">
        <v>5.54</v>
      </c>
      <c r="AJ760">
        <v>32.47</v>
      </c>
      <c r="AK760">
        <v>23.8</v>
      </c>
      <c r="AL760">
        <v>-20.16956104999997</v>
      </c>
      <c r="AM760">
        <v>-44.866560528183591</v>
      </c>
      <c r="AN760">
        <v>-20.16956104999997</v>
      </c>
      <c r="AO760">
        <v>-44.866560528183591</v>
      </c>
      <c r="AP760">
        <v>-20.169588999999998</v>
      </c>
      <c r="AQ760">
        <v>-44.866636</v>
      </c>
      <c r="AR760">
        <v>8.4778927137831293</v>
      </c>
      <c r="AS760" t="s">
        <v>65</v>
      </c>
      <c r="AT760">
        <v>1</v>
      </c>
      <c r="AU760" t="s">
        <v>1026</v>
      </c>
      <c r="AV760" t="s">
        <v>1027</v>
      </c>
      <c r="AW760" t="s">
        <v>60</v>
      </c>
      <c r="AX760" t="s">
        <v>68</v>
      </c>
      <c r="AY760" t="s">
        <v>69</v>
      </c>
      <c r="AZ760" t="b">
        <v>1</v>
      </c>
    </row>
    <row r="761" spans="1:52" x14ac:dyDescent="0.3">
      <c r="A761" t="s">
        <v>52</v>
      </c>
      <c r="B761" t="s">
        <v>53</v>
      </c>
      <c r="C761" t="s">
        <v>54</v>
      </c>
      <c r="D761" t="s">
        <v>55</v>
      </c>
      <c r="E761" t="s">
        <v>2099</v>
      </c>
      <c r="F761" t="s">
        <v>190</v>
      </c>
      <c r="G761" t="s">
        <v>1044</v>
      </c>
      <c r="H761" t="s">
        <v>1045</v>
      </c>
      <c r="I761" t="s">
        <v>1045</v>
      </c>
      <c r="J761" t="s">
        <v>60</v>
      </c>
      <c r="K761" t="s">
        <v>702</v>
      </c>
      <c r="L761" t="s">
        <v>62</v>
      </c>
      <c r="M761" t="s">
        <v>702</v>
      </c>
      <c r="N761" t="s">
        <v>983</v>
      </c>
      <c r="O761" t="s">
        <v>1046</v>
      </c>
      <c r="P761">
        <v>-20.172056000000001</v>
      </c>
      <c r="Q761">
        <v>-44.861556999999998</v>
      </c>
      <c r="R761" s="2" t="str">
        <f>HYPERLINK("https://www.google.com/maps?q=-20.1720560,-44.8615570","Abrir no Google Maps")</f>
        <v>Abrir no Google Maps</v>
      </c>
      <c r="S761">
        <v>3</v>
      </c>
      <c r="T761">
        <v>387.50881633442719</v>
      </c>
      <c r="U761">
        <v>4</v>
      </c>
      <c r="V761">
        <v>23</v>
      </c>
      <c r="W761">
        <v>1</v>
      </c>
      <c r="X761">
        <v>23</v>
      </c>
      <c r="Y761">
        <v>422</v>
      </c>
      <c r="Z761">
        <v>592.01060063884404</v>
      </c>
      <c r="AA761">
        <v>198</v>
      </c>
      <c r="AB761">
        <v>332</v>
      </c>
      <c r="AC761">
        <v>536</v>
      </c>
      <c r="AD761">
        <v>30.48</v>
      </c>
      <c r="AE761">
        <v>542</v>
      </c>
      <c r="AF761">
        <v>30</v>
      </c>
      <c r="AG761">
        <v>176</v>
      </c>
      <c r="AH761">
        <v>129</v>
      </c>
      <c r="AI761">
        <v>5.54</v>
      </c>
      <c r="AJ761">
        <v>32.47</v>
      </c>
      <c r="AK761">
        <v>23.8</v>
      </c>
      <c r="AL761">
        <v>-20.171880149999961</v>
      </c>
      <c r="AM761">
        <v>-44.861715860253369</v>
      </c>
      <c r="AN761">
        <v>-20.171880149999961</v>
      </c>
      <c r="AO761">
        <v>-44.861715860253369</v>
      </c>
      <c r="AP761">
        <v>-20.172056000000001</v>
      </c>
      <c r="AQ761">
        <v>-44.861556999999998</v>
      </c>
      <c r="AR761">
        <v>25.66616443825145</v>
      </c>
      <c r="AS761" t="s">
        <v>65</v>
      </c>
      <c r="AT761">
        <v>1</v>
      </c>
      <c r="AU761" t="s">
        <v>1047</v>
      </c>
      <c r="AV761" t="s">
        <v>705</v>
      </c>
      <c r="AW761" t="s">
        <v>60</v>
      </c>
      <c r="AX761" t="s">
        <v>68</v>
      </c>
      <c r="AY761" t="s">
        <v>69</v>
      </c>
      <c r="AZ761" t="b">
        <v>1</v>
      </c>
    </row>
    <row r="762" spans="1:52" x14ac:dyDescent="0.3">
      <c r="A762" t="s">
        <v>52</v>
      </c>
      <c r="B762" t="s">
        <v>53</v>
      </c>
      <c r="C762" t="s">
        <v>54</v>
      </c>
      <c r="D762" t="s">
        <v>55</v>
      </c>
      <c r="E762" t="s">
        <v>2099</v>
      </c>
      <c r="F762" t="s">
        <v>190</v>
      </c>
      <c r="G762" t="s">
        <v>706</v>
      </c>
      <c r="H762" t="s">
        <v>707</v>
      </c>
      <c r="I762" t="s">
        <v>707</v>
      </c>
      <c r="J762" t="s">
        <v>60</v>
      </c>
      <c r="K762" t="s">
        <v>708</v>
      </c>
      <c r="L762" t="s">
        <v>62</v>
      </c>
      <c r="M762" t="s">
        <v>708</v>
      </c>
      <c r="N762" t="s">
        <v>709</v>
      </c>
      <c r="O762" t="s">
        <v>710</v>
      </c>
      <c r="P762">
        <v>-20.127054999999999</v>
      </c>
      <c r="Q762">
        <v>-44.872073</v>
      </c>
      <c r="R762" s="2" t="str">
        <f>HYPERLINK("https://www.google.com/maps?q=-20.1270550,-44.8720730","Abrir no Google Maps")</f>
        <v>Abrir no Google Maps</v>
      </c>
      <c r="S762">
        <v>3</v>
      </c>
      <c r="T762">
        <v>395.91108553086929</v>
      </c>
      <c r="U762">
        <v>4</v>
      </c>
      <c r="V762">
        <v>23</v>
      </c>
      <c r="W762">
        <v>1</v>
      </c>
      <c r="X762">
        <v>23</v>
      </c>
      <c r="Y762">
        <v>387</v>
      </c>
      <c r="Z762">
        <v>518.31496622382247</v>
      </c>
      <c r="AA762">
        <v>198</v>
      </c>
      <c r="AB762">
        <v>332</v>
      </c>
      <c r="AC762">
        <v>536</v>
      </c>
      <c r="AD762">
        <v>30.48</v>
      </c>
      <c r="AE762">
        <v>542</v>
      </c>
      <c r="AF762">
        <v>30</v>
      </c>
      <c r="AG762">
        <v>176</v>
      </c>
      <c r="AH762">
        <v>129</v>
      </c>
      <c r="AI762">
        <v>5.54</v>
      </c>
      <c r="AJ762">
        <v>32.47</v>
      </c>
      <c r="AK762">
        <v>23.8</v>
      </c>
      <c r="AL762">
        <v>-20.126854749999978</v>
      </c>
      <c r="AM762">
        <v>-44.871712455027861</v>
      </c>
      <c r="AN762">
        <v>-20.126854749999978</v>
      </c>
      <c r="AO762">
        <v>-44.871712455027861</v>
      </c>
      <c r="AP762">
        <v>-20.127054999999999</v>
      </c>
      <c r="AQ762">
        <v>-44.872073</v>
      </c>
      <c r="AR762">
        <v>43.784435535392717</v>
      </c>
      <c r="AS762" t="s">
        <v>65</v>
      </c>
      <c r="AT762">
        <v>1</v>
      </c>
      <c r="AU762" t="s">
        <v>711</v>
      </c>
      <c r="AV762" t="s">
        <v>712</v>
      </c>
      <c r="AW762" t="s">
        <v>60</v>
      </c>
      <c r="AX762" t="s">
        <v>68</v>
      </c>
      <c r="AY762" t="s">
        <v>69</v>
      </c>
      <c r="AZ762" t="b">
        <v>1</v>
      </c>
    </row>
    <row r="763" spans="1:52" x14ac:dyDescent="0.3">
      <c r="A763" t="s">
        <v>52</v>
      </c>
      <c r="B763" t="s">
        <v>53</v>
      </c>
      <c r="C763" t="s">
        <v>54</v>
      </c>
      <c r="D763" t="s">
        <v>55</v>
      </c>
      <c r="E763" t="s">
        <v>2099</v>
      </c>
      <c r="F763" t="s">
        <v>190</v>
      </c>
      <c r="G763" t="s">
        <v>713</v>
      </c>
      <c r="H763" t="s">
        <v>714</v>
      </c>
      <c r="I763" t="s">
        <v>714</v>
      </c>
      <c r="J763" t="s">
        <v>60</v>
      </c>
      <c r="K763" t="s">
        <v>708</v>
      </c>
      <c r="L763" t="s">
        <v>62</v>
      </c>
      <c r="M763" t="s">
        <v>708</v>
      </c>
      <c r="N763" t="s">
        <v>715</v>
      </c>
      <c r="O763" t="s">
        <v>604</v>
      </c>
      <c r="P763">
        <v>-20.133372000000001</v>
      </c>
      <c r="Q763">
        <v>-44.878864</v>
      </c>
      <c r="R763" s="2" t="str">
        <f>HYPERLINK("https://www.google.com/maps?q=-20.1333720,-44.8788640","Abrir no Google Maps")</f>
        <v>Abrir no Google Maps</v>
      </c>
      <c r="S763">
        <v>3</v>
      </c>
      <c r="T763">
        <v>719.22842848296966</v>
      </c>
      <c r="U763">
        <v>4</v>
      </c>
      <c r="V763">
        <v>21</v>
      </c>
      <c r="W763">
        <v>1</v>
      </c>
      <c r="X763">
        <v>21</v>
      </c>
      <c r="Y763">
        <v>387</v>
      </c>
      <c r="Z763">
        <v>630.8628365125652</v>
      </c>
      <c r="AA763">
        <v>198</v>
      </c>
      <c r="AB763">
        <v>332</v>
      </c>
      <c r="AC763">
        <v>536</v>
      </c>
      <c r="AD763">
        <v>30.48</v>
      </c>
      <c r="AE763">
        <v>542</v>
      </c>
      <c r="AF763">
        <v>30</v>
      </c>
      <c r="AG763">
        <v>176</v>
      </c>
      <c r="AH763">
        <v>129</v>
      </c>
      <c r="AI763">
        <v>5.54</v>
      </c>
      <c r="AJ763">
        <v>32.47</v>
      </c>
      <c r="AK763">
        <v>23.8</v>
      </c>
      <c r="AL763">
        <v>-20.133312349999951</v>
      </c>
      <c r="AM763">
        <v>-44.879452111094892</v>
      </c>
      <c r="AN763">
        <v>-20.133312349999951</v>
      </c>
      <c r="AO763">
        <v>-44.879452111094892</v>
      </c>
      <c r="AP763">
        <v>-20.133372000000001</v>
      </c>
      <c r="AQ763">
        <v>-44.878864</v>
      </c>
      <c r="AR763">
        <v>61.825649864116713</v>
      </c>
      <c r="AS763" t="s">
        <v>65</v>
      </c>
      <c r="AT763">
        <v>1</v>
      </c>
      <c r="AU763" t="s">
        <v>716</v>
      </c>
      <c r="AV763" t="s">
        <v>717</v>
      </c>
      <c r="AW763" t="s">
        <v>60</v>
      </c>
      <c r="AX763" t="s">
        <v>68</v>
      </c>
      <c r="AY763" t="s">
        <v>69</v>
      </c>
      <c r="AZ763" t="b">
        <v>1</v>
      </c>
    </row>
    <row r="764" spans="1:52" x14ac:dyDescent="0.3">
      <c r="A764" t="s">
        <v>52</v>
      </c>
      <c r="B764" t="s">
        <v>53</v>
      </c>
      <c r="C764" t="s">
        <v>54</v>
      </c>
      <c r="D764" t="s">
        <v>55</v>
      </c>
      <c r="E764" t="s">
        <v>2099</v>
      </c>
      <c r="F764" t="s">
        <v>190</v>
      </c>
      <c r="G764" t="s">
        <v>724</v>
      </c>
      <c r="H764" t="s">
        <v>725</v>
      </c>
      <c r="I764" t="s">
        <v>725</v>
      </c>
      <c r="J764" t="s">
        <v>60</v>
      </c>
      <c r="K764" t="s">
        <v>708</v>
      </c>
      <c r="L764" t="s">
        <v>62</v>
      </c>
      <c r="M764" t="s">
        <v>708</v>
      </c>
      <c r="N764" t="s">
        <v>726</v>
      </c>
      <c r="O764" t="s">
        <v>727</v>
      </c>
      <c r="P764">
        <v>-20.131702000000001</v>
      </c>
      <c r="Q764">
        <v>-44.873930999999999</v>
      </c>
      <c r="R764" s="2" t="str">
        <f>HYPERLINK("https://www.google.com/maps?q=-20.1317020,-44.8739310","Abrir no Google Maps")</f>
        <v>Abrir no Google Maps</v>
      </c>
      <c r="S764">
        <v>3</v>
      </c>
      <c r="T764">
        <v>207.9085436463628</v>
      </c>
      <c r="U764">
        <v>4</v>
      </c>
      <c r="V764">
        <v>25</v>
      </c>
      <c r="W764">
        <v>1</v>
      </c>
      <c r="X764">
        <v>25</v>
      </c>
      <c r="Y764">
        <v>387</v>
      </c>
      <c r="Z764">
        <v>213.98086855276571</v>
      </c>
      <c r="AA764">
        <v>198</v>
      </c>
      <c r="AB764">
        <v>332</v>
      </c>
      <c r="AC764">
        <v>536</v>
      </c>
      <c r="AD764">
        <v>30.48</v>
      </c>
      <c r="AE764">
        <v>542</v>
      </c>
      <c r="AF764">
        <v>30</v>
      </c>
      <c r="AG764">
        <v>176</v>
      </c>
      <c r="AH764">
        <v>129</v>
      </c>
      <c r="AI764">
        <v>5.54</v>
      </c>
      <c r="AJ764">
        <v>32.47</v>
      </c>
      <c r="AK764">
        <v>23.8</v>
      </c>
      <c r="AL764">
        <v>-20.131807549999959</v>
      </c>
      <c r="AM764">
        <v>-44.874039553784442</v>
      </c>
      <c r="AN764">
        <v>-20.131807549999959</v>
      </c>
      <c r="AO764">
        <v>-44.874039553784442</v>
      </c>
      <c r="AP764">
        <v>-20.131702000000001</v>
      </c>
      <c r="AQ764">
        <v>-44.873930999999999</v>
      </c>
      <c r="AR764">
        <v>16.333643574998401</v>
      </c>
      <c r="AS764" t="s">
        <v>65</v>
      </c>
      <c r="AT764">
        <v>1</v>
      </c>
      <c r="AU764" t="s">
        <v>728</v>
      </c>
      <c r="AV764" t="s">
        <v>729</v>
      </c>
      <c r="AW764" t="s">
        <v>60</v>
      </c>
      <c r="AX764" t="s">
        <v>68</v>
      </c>
      <c r="AY764" t="s">
        <v>69</v>
      </c>
      <c r="AZ764" t="b">
        <v>1</v>
      </c>
    </row>
    <row r="765" spans="1:52" x14ac:dyDescent="0.3">
      <c r="A765" t="s">
        <v>52</v>
      </c>
      <c r="B765" t="s">
        <v>53</v>
      </c>
      <c r="C765" t="s">
        <v>54</v>
      </c>
      <c r="D765" t="s">
        <v>55</v>
      </c>
      <c r="E765" t="s">
        <v>2099</v>
      </c>
      <c r="F765" t="s">
        <v>190</v>
      </c>
      <c r="G765" t="s">
        <v>706</v>
      </c>
      <c r="H765" t="s">
        <v>730</v>
      </c>
      <c r="I765" t="s">
        <v>730</v>
      </c>
      <c r="J765" t="s">
        <v>60</v>
      </c>
      <c r="K765" t="s">
        <v>708</v>
      </c>
      <c r="L765" t="s">
        <v>62</v>
      </c>
      <c r="M765" t="s">
        <v>708</v>
      </c>
      <c r="N765" t="s">
        <v>709</v>
      </c>
      <c r="O765" t="s">
        <v>731</v>
      </c>
      <c r="P765">
        <v>-20.130037999999999</v>
      </c>
      <c r="Q765">
        <v>-44.873514</v>
      </c>
      <c r="R765" s="2" t="str">
        <f>HYPERLINK("https://www.google.com/maps?q=-20.1300380,-44.8735140","Abrir no Google Maps")</f>
        <v>Abrir no Google Maps</v>
      </c>
      <c r="S765">
        <v>3</v>
      </c>
      <c r="T765">
        <v>0</v>
      </c>
      <c r="U765">
        <v>4</v>
      </c>
      <c r="V765">
        <v>21</v>
      </c>
      <c r="W765">
        <v>1</v>
      </c>
      <c r="X765">
        <v>21</v>
      </c>
      <c r="Y765">
        <v>387</v>
      </c>
      <c r="Z765">
        <v>108.0014931591698</v>
      </c>
      <c r="AA765">
        <v>198</v>
      </c>
      <c r="AB765">
        <v>332</v>
      </c>
      <c r="AC765">
        <v>536</v>
      </c>
      <c r="AD765">
        <v>30.48</v>
      </c>
      <c r="AE765">
        <v>542</v>
      </c>
      <c r="AF765">
        <v>30</v>
      </c>
      <c r="AG765">
        <v>176</v>
      </c>
      <c r="AH765">
        <v>129</v>
      </c>
      <c r="AI765">
        <v>5.54</v>
      </c>
      <c r="AJ765">
        <v>32.47</v>
      </c>
      <c r="AK765">
        <v>23.8</v>
      </c>
      <c r="AL765">
        <v>-20.12998944999995</v>
      </c>
      <c r="AM765">
        <v>-44.873538114227337</v>
      </c>
      <c r="AN765">
        <v>-20.12998944999995</v>
      </c>
      <c r="AO765">
        <v>-44.873538114227337</v>
      </c>
      <c r="AP765">
        <v>-20.130037999999999</v>
      </c>
      <c r="AQ765">
        <v>-44.873514</v>
      </c>
      <c r="AR765">
        <v>5.9633928268280867</v>
      </c>
      <c r="AS765" t="s">
        <v>65</v>
      </c>
      <c r="AT765">
        <v>1</v>
      </c>
      <c r="AU765" t="s">
        <v>732</v>
      </c>
      <c r="AV765" t="s">
        <v>733</v>
      </c>
      <c r="AW765" t="s">
        <v>60</v>
      </c>
      <c r="AX765" t="s">
        <v>68</v>
      </c>
      <c r="AY765" t="s">
        <v>69</v>
      </c>
      <c r="AZ765" t="b">
        <v>1</v>
      </c>
    </row>
    <row r="766" spans="1:52" x14ac:dyDescent="0.3">
      <c r="A766" t="s">
        <v>52</v>
      </c>
      <c r="B766" t="s">
        <v>53</v>
      </c>
      <c r="C766" t="s">
        <v>54</v>
      </c>
      <c r="D766" t="s">
        <v>55</v>
      </c>
      <c r="E766" t="s">
        <v>2099</v>
      </c>
      <c r="F766" t="s">
        <v>190</v>
      </c>
      <c r="G766" t="s">
        <v>734</v>
      </c>
      <c r="H766" t="s">
        <v>735</v>
      </c>
      <c r="I766" t="s">
        <v>735</v>
      </c>
      <c r="J766" t="s">
        <v>60</v>
      </c>
      <c r="K766" t="s">
        <v>736</v>
      </c>
      <c r="L766" t="s">
        <v>62</v>
      </c>
      <c r="M766" t="s">
        <v>736</v>
      </c>
      <c r="N766" t="s">
        <v>737</v>
      </c>
      <c r="O766" t="s">
        <v>738</v>
      </c>
      <c r="P766">
        <v>-20.113050000000001</v>
      </c>
      <c r="Q766">
        <v>-44.977640999999998</v>
      </c>
      <c r="R766" s="2" t="str">
        <f>HYPERLINK("https://www.google.com/maps?q=-20.1130500,-44.9776410","Abrir no Google Maps")</f>
        <v>Abrir no Google Maps</v>
      </c>
      <c r="S766">
        <v>3</v>
      </c>
      <c r="T766">
        <v>1057.751631532733</v>
      </c>
      <c r="U766">
        <v>4</v>
      </c>
      <c r="V766">
        <v>20</v>
      </c>
      <c r="W766">
        <v>1</v>
      </c>
      <c r="X766">
        <v>20</v>
      </c>
      <c r="Y766">
        <v>385</v>
      </c>
      <c r="Z766">
        <v>1001.029655866156</v>
      </c>
      <c r="AA766">
        <v>198</v>
      </c>
      <c r="AB766">
        <v>332</v>
      </c>
      <c r="AC766">
        <v>536</v>
      </c>
      <c r="AD766">
        <v>30.48</v>
      </c>
      <c r="AE766">
        <v>542</v>
      </c>
      <c r="AF766">
        <v>30</v>
      </c>
      <c r="AG766">
        <v>176</v>
      </c>
      <c r="AH766">
        <v>129</v>
      </c>
      <c r="AI766">
        <v>5.54</v>
      </c>
      <c r="AJ766">
        <v>32.47</v>
      </c>
      <c r="AK766">
        <v>23.8</v>
      </c>
      <c r="AL766">
        <v>-20.112977499999939</v>
      </c>
      <c r="AM766">
        <v>-44.977939579895221</v>
      </c>
      <c r="AN766">
        <v>-20.112977499999939</v>
      </c>
      <c r="AO766">
        <v>-44.977939579895221</v>
      </c>
      <c r="AP766">
        <v>-20.113050000000001</v>
      </c>
      <c r="AQ766">
        <v>-44.977640999999998</v>
      </c>
      <c r="AR766">
        <v>32.23754556505741</v>
      </c>
      <c r="AS766" t="s">
        <v>65</v>
      </c>
      <c r="AT766">
        <v>1</v>
      </c>
      <c r="AU766" t="s">
        <v>739</v>
      </c>
      <c r="AV766" t="s">
        <v>740</v>
      </c>
      <c r="AW766" t="s">
        <v>60</v>
      </c>
      <c r="AX766" t="s">
        <v>68</v>
      </c>
      <c r="AY766" t="s">
        <v>69</v>
      </c>
      <c r="AZ766" t="b">
        <v>1</v>
      </c>
    </row>
    <row r="767" spans="1:52" x14ac:dyDescent="0.3">
      <c r="A767" t="s">
        <v>52</v>
      </c>
      <c r="B767" t="s">
        <v>53</v>
      </c>
      <c r="C767" t="s">
        <v>54</v>
      </c>
      <c r="D767" t="s">
        <v>55</v>
      </c>
      <c r="E767" t="s">
        <v>2099</v>
      </c>
      <c r="F767" t="s">
        <v>190</v>
      </c>
      <c r="G767" t="s">
        <v>734</v>
      </c>
      <c r="H767" t="s">
        <v>1068</v>
      </c>
      <c r="I767" t="s">
        <v>1068</v>
      </c>
      <c r="J767" t="s">
        <v>60</v>
      </c>
      <c r="K767" t="s">
        <v>736</v>
      </c>
      <c r="L767" t="s">
        <v>62</v>
      </c>
      <c r="M767" t="s">
        <v>736</v>
      </c>
      <c r="N767" t="s">
        <v>1069</v>
      </c>
      <c r="O767" t="s">
        <v>1070</v>
      </c>
      <c r="P767">
        <v>-20.110289999999999</v>
      </c>
      <c r="Q767">
        <v>-44.981574000000002</v>
      </c>
      <c r="R767" s="2" t="str">
        <f>HYPERLINK("https://www.google.com/maps?q=-20.1102900,-44.9815740","Abrir no Google Maps")</f>
        <v>Abrir no Google Maps</v>
      </c>
      <c r="S767">
        <v>3</v>
      </c>
      <c r="T767">
        <v>1081.8012210194311</v>
      </c>
      <c r="U767">
        <v>4</v>
      </c>
      <c r="V767">
        <v>22</v>
      </c>
      <c r="W767">
        <v>1</v>
      </c>
      <c r="X767">
        <v>22</v>
      </c>
      <c r="Y767">
        <v>385</v>
      </c>
      <c r="Z767">
        <v>1009.915869278438</v>
      </c>
      <c r="AA767">
        <v>198</v>
      </c>
      <c r="AB767">
        <v>332</v>
      </c>
      <c r="AC767">
        <v>536</v>
      </c>
      <c r="AD767">
        <v>30.48</v>
      </c>
      <c r="AE767">
        <v>542</v>
      </c>
      <c r="AF767">
        <v>30</v>
      </c>
      <c r="AG767">
        <v>176</v>
      </c>
      <c r="AH767">
        <v>129</v>
      </c>
      <c r="AI767">
        <v>5.54</v>
      </c>
      <c r="AJ767">
        <v>32.47</v>
      </c>
      <c r="AK767">
        <v>23.8</v>
      </c>
      <c r="AL767">
        <v>-20.110281699999941</v>
      </c>
      <c r="AM767">
        <v>-44.98144213076452</v>
      </c>
      <c r="AN767">
        <v>-20.110281699999941</v>
      </c>
      <c r="AO767">
        <v>-44.98144213076452</v>
      </c>
      <c r="AP767">
        <v>-20.110289999999999</v>
      </c>
      <c r="AQ767">
        <v>-44.981574000000002</v>
      </c>
      <c r="AR767">
        <v>13.815631287504781</v>
      </c>
      <c r="AS767" t="s">
        <v>65</v>
      </c>
      <c r="AT767">
        <v>1</v>
      </c>
      <c r="AU767" t="s">
        <v>1071</v>
      </c>
      <c r="AV767" t="s">
        <v>1072</v>
      </c>
      <c r="AW767" t="s">
        <v>60</v>
      </c>
      <c r="AX767" t="s">
        <v>68</v>
      </c>
      <c r="AY767" t="s">
        <v>69</v>
      </c>
      <c r="AZ767" t="b">
        <v>1</v>
      </c>
    </row>
    <row r="768" spans="1:52" x14ac:dyDescent="0.3">
      <c r="A768" t="s">
        <v>52</v>
      </c>
      <c r="B768" t="s">
        <v>53</v>
      </c>
      <c r="C768" t="s">
        <v>54</v>
      </c>
      <c r="D768" t="s">
        <v>55</v>
      </c>
      <c r="E768" t="s">
        <v>2099</v>
      </c>
      <c r="F768" t="s">
        <v>190</v>
      </c>
      <c r="G768" t="s">
        <v>1077</v>
      </c>
      <c r="H768" t="s">
        <v>1078</v>
      </c>
      <c r="I768" t="s">
        <v>1078</v>
      </c>
      <c r="J768" t="s">
        <v>60</v>
      </c>
      <c r="K768" t="s">
        <v>761</v>
      </c>
      <c r="L768" t="s">
        <v>62</v>
      </c>
      <c r="M768" t="s">
        <v>761</v>
      </c>
      <c r="N768" t="s">
        <v>1079</v>
      </c>
      <c r="O768" t="s">
        <v>1080</v>
      </c>
      <c r="P768">
        <v>-20.119579999999999</v>
      </c>
      <c r="Q768">
        <v>-44.855030999999997</v>
      </c>
      <c r="R768" s="2" t="str">
        <f>HYPERLINK("https://www.google.com/maps?q=-20.1195800,-44.8550310","Abrir no Google Maps")</f>
        <v>Abrir no Google Maps</v>
      </c>
      <c r="S768">
        <v>3</v>
      </c>
      <c r="T768">
        <v>800.32085104254202</v>
      </c>
      <c r="U768">
        <v>4</v>
      </c>
      <c r="V768">
        <v>21</v>
      </c>
      <c r="W768">
        <v>1</v>
      </c>
      <c r="X768">
        <v>21</v>
      </c>
      <c r="Y768">
        <v>350</v>
      </c>
      <c r="Z768">
        <v>431.56201899267722</v>
      </c>
      <c r="AA768">
        <v>198</v>
      </c>
      <c r="AB768">
        <v>332</v>
      </c>
      <c r="AC768">
        <v>536</v>
      </c>
      <c r="AD768">
        <v>30.48</v>
      </c>
      <c r="AE768">
        <v>542</v>
      </c>
      <c r="AF768">
        <v>30</v>
      </c>
      <c r="AG768">
        <v>176</v>
      </c>
      <c r="AH768">
        <v>129</v>
      </c>
      <c r="AI768">
        <v>5.54</v>
      </c>
      <c r="AJ768">
        <v>32.47</v>
      </c>
      <c r="AK768">
        <v>23.8</v>
      </c>
      <c r="AL768">
        <v>-20.119806999999948</v>
      </c>
      <c r="AM768">
        <v>-44.855901548391778</v>
      </c>
      <c r="AN768">
        <v>-20.119806999999948</v>
      </c>
      <c r="AO768">
        <v>-44.855901548391778</v>
      </c>
      <c r="AP768">
        <v>-20.119579999999999</v>
      </c>
      <c r="AQ768">
        <v>-44.855030999999997</v>
      </c>
      <c r="AR768">
        <v>94.439141250965164</v>
      </c>
      <c r="AS768" t="s">
        <v>65</v>
      </c>
      <c r="AT768">
        <v>1</v>
      </c>
      <c r="AU768" t="s">
        <v>1081</v>
      </c>
      <c r="AV768" t="s">
        <v>1082</v>
      </c>
      <c r="AW768" t="s">
        <v>60</v>
      </c>
      <c r="AX768" t="s">
        <v>68</v>
      </c>
      <c r="AY768" t="s">
        <v>69</v>
      </c>
      <c r="AZ768" t="b">
        <v>1</v>
      </c>
    </row>
    <row r="769" spans="1:52" x14ac:dyDescent="0.3">
      <c r="A769" t="s">
        <v>52</v>
      </c>
      <c r="B769" t="s">
        <v>53</v>
      </c>
      <c r="C769" t="s">
        <v>54</v>
      </c>
      <c r="D769" t="s">
        <v>55</v>
      </c>
      <c r="E769" t="s">
        <v>2099</v>
      </c>
      <c r="F769" t="s">
        <v>190</v>
      </c>
      <c r="G769" t="s">
        <v>1083</v>
      </c>
      <c r="H769" t="s">
        <v>1084</v>
      </c>
      <c r="I769" t="s">
        <v>1084</v>
      </c>
      <c r="J769" t="s">
        <v>60</v>
      </c>
      <c r="K769" t="s">
        <v>761</v>
      </c>
      <c r="L769" t="s">
        <v>62</v>
      </c>
      <c r="M769" t="s">
        <v>761</v>
      </c>
      <c r="N769" t="s">
        <v>1085</v>
      </c>
      <c r="O769" t="s">
        <v>1086</v>
      </c>
      <c r="P769">
        <v>-20.124312</v>
      </c>
      <c r="Q769">
        <v>-44.850425000000001</v>
      </c>
      <c r="R769" s="2" t="str">
        <f>HYPERLINK("https://www.google.com/maps?q=-20.1243120,-44.8504250","Abrir no Google Maps")</f>
        <v>Abrir no Google Maps</v>
      </c>
      <c r="S769">
        <v>3</v>
      </c>
      <c r="T769">
        <v>0</v>
      </c>
      <c r="U769">
        <v>4</v>
      </c>
      <c r="V769">
        <v>26</v>
      </c>
      <c r="W769">
        <v>1</v>
      </c>
      <c r="X769">
        <v>26</v>
      </c>
      <c r="Y769">
        <v>350</v>
      </c>
      <c r="Z769">
        <v>380.24040721202471</v>
      </c>
      <c r="AA769">
        <v>198</v>
      </c>
      <c r="AB769">
        <v>332</v>
      </c>
      <c r="AC769">
        <v>536</v>
      </c>
      <c r="AD769">
        <v>30.48</v>
      </c>
      <c r="AE769">
        <v>542</v>
      </c>
      <c r="AF769">
        <v>30</v>
      </c>
      <c r="AG769">
        <v>176</v>
      </c>
      <c r="AH769">
        <v>129</v>
      </c>
      <c r="AI769">
        <v>5.54</v>
      </c>
      <c r="AJ769">
        <v>32.47</v>
      </c>
      <c r="AK769">
        <v>23.8</v>
      </c>
      <c r="AL769">
        <v>-20.126267499999951</v>
      </c>
      <c r="AM769">
        <v>-44.852460192840908</v>
      </c>
      <c r="AN769">
        <v>-20.126267499999951</v>
      </c>
      <c r="AO769">
        <v>-44.852460192840908</v>
      </c>
      <c r="AP769">
        <v>-20.124312</v>
      </c>
      <c r="AQ769">
        <v>-44.850425000000001</v>
      </c>
      <c r="AR769">
        <v>304.36574074135672</v>
      </c>
      <c r="AS769" t="s">
        <v>65</v>
      </c>
      <c r="AT769">
        <v>1</v>
      </c>
      <c r="AU769" t="s">
        <v>1087</v>
      </c>
      <c r="AV769" t="s">
        <v>1088</v>
      </c>
      <c r="AW769" t="s">
        <v>60</v>
      </c>
      <c r="AX769" t="s">
        <v>68</v>
      </c>
      <c r="AY769" t="s">
        <v>69</v>
      </c>
      <c r="AZ769" t="b">
        <v>1</v>
      </c>
    </row>
    <row r="770" spans="1:52" x14ac:dyDescent="0.3">
      <c r="A770" t="s">
        <v>52</v>
      </c>
      <c r="B770" t="s">
        <v>53</v>
      </c>
      <c r="C770" t="s">
        <v>54</v>
      </c>
      <c r="D770" t="s">
        <v>55</v>
      </c>
      <c r="E770" t="s">
        <v>2099</v>
      </c>
      <c r="F770" t="s">
        <v>190</v>
      </c>
      <c r="G770" t="s">
        <v>753</v>
      </c>
      <c r="H770" t="s">
        <v>754</v>
      </c>
      <c r="I770" t="s">
        <v>754</v>
      </c>
      <c r="J770" t="s">
        <v>60</v>
      </c>
      <c r="K770" t="s">
        <v>688</v>
      </c>
      <c r="L770" t="s">
        <v>62</v>
      </c>
      <c r="M770" t="s">
        <v>688</v>
      </c>
      <c r="N770" t="s">
        <v>755</v>
      </c>
      <c r="O770" t="s">
        <v>756</v>
      </c>
      <c r="P770">
        <v>-20.135238000000001</v>
      </c>
      <c r="Q770">
        <v>-44.890405999999999</v>
      </c>
      <c r="R770" s="2" t="str">
        <f>HYPERLINK("https://www.google.com/maps?q=-20.1352380,-44.8904060","Abrir no Google Maps")</f>
        <v>Abrir no Google Maps</v>
      </c>
      <c r="S770">
        <v>3</v>
      </c>
      <c r="T770">
        <v>314.49904475975598</v>
      </c>
      <c r="U770">
        <v>4</v>
      </c>
      <c r="V770">
        <v>19</v>
      </c>
      <c r="W770">
        <v>1</v>
      </c>
      <c r="X770">
        <v>19</v>
      </c>
      <c r="Y770">
        <v>350</v>
      </c>
      <c r="Z770">
        <v>443.96798796176353</v>
      </c>
      <c r="AA770">
        <v>198</v>
      </c>
      <c r="AB770">
        <v>332</v>
      </c>
      <c r="AC770">
        <v>536</v>
      </c>
      <c r="AD770">
        <v>30.48</v>
      </c>
      <c r="AE770">
        <v>542</v>
      </c>
      <c r="AF770">
        <v>30</v>
      </c>
      <c r="AG770">
        <v>176</v>
      </c>
      <c r="AH770">
        <v>129</v>
      </c>
      <c r="AI770">
        <v>5.54</v>
      </c>
      <c r="AJ770">
        <v>32.47</v>
      </c>
      <c r="AK770">
        <v>23.8</v>
      </c>
      <c r="AL770">
        <v>-20.134851099999931</v>
      </c>
      <c r="AM770">
        <v>-44.890573293408117</v>
      </c>
      <c r="AN770">
        <v>-20.134851099999931</v>
      </c>
      <c r="AO770">
        <v>-44.890573293408131</v>
      </c>
      <c r="AP770">
        <v>-20.135238000000001</v>
      </c>
      <c r="AQ770">
        <v>-44.890405999999999</v>
      </c>
      <c r="AR770">
        <v>46.483580940434933</v>
      </c>
      <c r="AS770" t="s">
        <v>65</v>
      </c>
      <c r="AT770">
        <v>1</v>
      </c>
      <c r="AU770" t="s">
        <v>757</v>
      </c>
      <c r="AV770" t="s">
        <v>758</v>
      </c>
      <c r="AW770" t="s">
        <v>60</v>
      </c>
      <c r="AX770" t="s">
        <v>68</v>
      </c>
      <c r="AY770" t="s">
        <v>69</v>
      </c>
      <c r="AZ770" t="b">
        <v>1</v>
      </c>
    </row>
    <row r="771" spans="1:52" x14ac:dyDescent="0.3">
      <c r="A771" t="s">
        <v>52</v>
      </c>
      <c r="B771" t="s">
        <v>53</v>
      </c>
      <c r="C771" t="s">
        <v>54</v>
      </c>
      <c r="D771" t="s">
        <v>55</v>
      </c>
      <c r="E771" t="s">
        <v>2099</v>
      </c>
      <c r="F771" t="s">
        <v>190</v>
      </c>
      <c r="G771" t="s">
        <v>1094</v>
      </c>
      <c r="H771" t="s">
        <v>1095</v>
      </c>
      <c r="I771" t="s">
        <v>1095</v>
      </c>
      <c r="J771" t="s">
        <v>60</v>
      </c>
      <c r="K771" t="s">
        <v>761</v>
      </c>
      <c r="L771" t="s">
        <v>62</v>
      </c>
      <c r="M771" t="s">
        <v>761</v>
      </c>
      <c r="N771" t="s">
        <v>1096</v>
      </c>
      <c r="O771" t="s">
        <v>1070</v>
      </c>
      <c r="P771">
        <v>-20.122955999999999</v>
      </c>
      <c r="Q771">
        <v>-44.847842</v>
      </c>
      <c r="R771" s="2" t="str">
        <f>HYPERLINK("https://www.google.com/maps?q=-20.1229560,-44.8478420","Abrir no Google Maps")</f>
        <v>Abrir no Google Maps</v>
      </c>
      <c r="S771">
        <v>3</v>
      </c>
      <c r="T771">
        <v>611.23533866709147</v>
      </c>
      <c r="U771">
        <v>4</v>
      </c>
      <c r="V771">
        <v>20</v>
      </c>
      <c r="W771">
        <v>1</v>
      </c>
      <c r="X771">
        <v>20</v>
      </c>
      <c r="Y771">
        <v>350</v>
      </c>
      <c r="Z771">
        <v>567.3129443637539</v>
      </c>
      <c r="AA771">
        <v>198</v>
      </c>
      <c r="AB771">
        <v>332</v>
      </c>
      <c r="AC771">
        <v>536</v>
      </c>
      <c r="AD771">
        <v>30.48</v>
      </c>
      <c r="AE771">
        <v>542</v>
      </c>
      <c r="AF771">
        <v>30</v>
      </c>
      <c r="AG771">
        <v>176</v>
      </c>
      <c r="AH771">
        <v>129</v>
      </c>
      <c r="AI771">
        <v>5.54</v>
      </c>
      <c r="AJ771">
        <v>32.47</v>
      </c>
      <c r="AK771">
        <v>23.8</v>
      </c>
      <c r="AL771">
        <v>-20.122854299999972</v>
      </c>
      <c r="AM771">
        <v>-44.847862495675152</v>
      </c>
      <c r="AN771">
        <v>-20.122854299999972</v>
      </c>
      <c r="AO771">
        <v>-44.847862495675152</v>
      </c>
      <c r="AP771">
        <v>-20.122955999999999</v>
      </c>
      <c r="AQ771">
        <v>-44.847842</v>
      </c>
      <c r="AR771">
        <v>11.522154044835331</v>
      </c>
      <c r="AS771" t="s">
        <v>65</v>
      </c>
      <c r="AT771">
        <v>1</v>
      </c>
      <c r="AU771" t="s">
        <v>1097</v>
      </c>
      <c r="AV771" t="s">
        <v>1098</v>
      </c>
      <c r="AW771" t="s">
        <v>60</v>
      </c>
      <c r="AX771" t="s">
        <v>68</v>
      </c>
      <c r="AY771" t="s">
        <v>69</v>
      </c>
      <c r="AZ771" t="b">
        <v>1</v>
      </c>
    </row>
    <row r="772" spans="1:52" x14ac:dyDescent="0.3">
      <c r="A772" t="s">
        <v>52</v>
      </c>
      <c r="B772" t="s">
        <v>53</v>
      </c>
      <c r="C772" t="s">
        <v>54</v>
      </c>
      <c r="D772" t="s">
        <v>55</v>
      </c>
      <c r="E772" t="s">
        <v>2099</v>
      </c>
      <c r="F772" t="s">
        <v>190</v>
      </c>
      <c r="G772" t="s">
        <v>773</v>
      </c>
      <c r="H772" t="s">
        <v>774</v>
      </c>
      <c r="I772" t="s">
        <v>774</v>
      </c>
      <c r="J772" t="s">
        <v>60</v>
      </c>
      <c r="K772" t="s">
        <v>775</v>
      </c>
      <c r="L772" t="s">
        <v>62</v>
      </c>
      <c r="M772" t="s">
        <v>775</v>
      </c>
      <c r="N772" t="s">
        <v>776</v>
      </c>
      <c r="O772" t="s">
        <v>250</v>
      </c>
      <c r="P772">
        <v>-20.135413</v>
      </c>
      <c r="Q772">
        <v>-44.868969999999997</v>
      </c>
      <c r="R772" s="2" t="str">
        <f>HYPERLINK("https://www.google.com/maps?q=-20.1354130,-44.8689700","Abrir no Google Maps")</f>
        <v>Abrir no Google Maps</v>
      </c>
      <c r="S772">
        <v>3</v>
      </c>
      <c r="T772">
        <v>403.5118397372845</v>
      </c>
      <c r="U772">
        <v>4</v>
      </c>
      <c r="V772">
        <v>26</v>
      </c>
      <c r="W772">
        <v>1</v>
      </c>
      <c r="X772">
        <v>26</v>
      </c>
      <c r="Y772">
        <v>332</v>
      </c>
      <c r="Z772">
        <v>455.74614750795899</v>
      </c>
      <c r="AA772">
        <v>198</v>
      </c>
      <c r="AB772">
        <v>332</v>
      </c>
      <c r="AC772">
        <v>536</v>
      </c>
      <c r="AD772">
        <v>30.48</v>
      </c>
      <c r="AE772">
        <v>542</v>
      </c>
      <c r="AF772">
        <v>30</v>
      </c>
      <c r="AG772">
        <v>176</v>
      </c>
      <c r="AH772">
        <v>129</v>
      </c>
      <c r="AI772">
        <v>5.54</v>
      </c>
      <c r="AJ772">
        <v>32.47</v>
      </c>
      <c r="AK772">
        <v>23.8</v>
      </c>
      <c r="AL772">
        <v>-20.13561149999995</v>
      </c>
      <c r="AM772">
        <v>-44.868817260088647</v>
      </c>
      <c r="AN772">
        <v>-20.13561149999995</v>
      </c>
      <c r="AO772">
        <v>-44.868817260088647</v>
      </c>
      <c r="AP772">
        <v>-20.135413</v>
      </c>
      <c r="AQ772">
        <v>-44.868969999999997</v>
      </c>
      <c r="AR772">
        <v>27.26024434808955</v>
      </c>
      <c r="AS772" t="s">
        <v>65</v>
      </c>
      <c r="AT772">
        <v>1</v>
      </c>
      <c r="AU772" t="s">
        <v>777</v>
      </c>
      <c r="AV772" t="s">
        <v>778</v>
      </c>
      <c r="AW772" t="s">
        <v>60</v>
      </c>
      <c r="AX772" t="s">
        <v>68</v>
      </c>
      <c r="AY772" t="s">
        <v>69</v>
      </c>
      <c r="AZ772" t="b">
        <v>1</v>
      </c>
    </row>
    <row r="773" spans="1:52" x14ac:dyDescent="0.3">
      <c r="A773" t="s">
        <v>52</v>
      </c>
      <c r="B773" t="s">
        <v>53</v>
      </c>
      <c r="C773" t="s">
        <v>54</v>
      </c>
      <c r="D773" t="s">
        <v>55</v>
      </c>
      <c r="E773" t="s">
        <v>2099</v>
      </c>
      <c r="F773" t="s">
        <v>190</v>
      </c>
      <c r="G773" t="s">
        <v>779</v>
      </c>
      <c r="H773" t="s">
        <v>780</v>
      </c>
      <c r="I773" t="s">
        <v>780</v>
      </c>
      <c r="J773" t="s">
        <v>60</v>
      </c>
      <c r="K773" t="s">
        <v>781</v>
      </c>
      <c r="L773" t="s">
        <v>62</v>
      </c>
      <c r="M773" t="s">
        <v>781</v>
      </c>
      <c r="N773" t="s">
        <v>782</v>
      </c>
      <c r="O773" t="s">
        <v>783</v>
      </c>
      <c r="P773">
        <v>-20.137938999999999</v>
      </c>
      <c r="Q773">
        <v>-44.865873000000001</v>
      </c>
      <c r="R773" s="2" t="str">
        <f>HYPERLINK("https://www.google.com/maps?q=-20.1379390,-44.8658730","Abrir no Google Maps")</f>
        <v>Abrir no Google Maps</v>
      </c>
      <c r="S773">
        <v>3</v>
      </c>
      <c r="T773">
        <v>663.24596349877265</v>
      </c>
      <c r="U773">
        <v>4</v>
      </c>
      <c r="V773">
        <v>21</v>
      </c>
      <c r="W773">
        <v>1</v>
      </c>
      <c r="X773">
        <v>21</v>
      </c>
      <c r="Y773">
        <v>332</v>
      </c>
      <c r="Z773">
        <v>724.72470227972997</v>
      </c>
      <c r="AA773">
        <v>198</v>
      </c>
      <c r="AB773">
        <v>332</v>
      </c>
      <c r="AC773">
        <v>536</v>
      </c>
      <c r="AD773">
        <v>30.48</v>
      </c>
      <c r="AE773">
        <v>542</v>
      </c>
      <c r="AF773">
        <v>30</v>
      </c>
      <c r="AG773">
        <v>176</v>
      </c>
      <c r="AH773">
        <v>129</v>
      </c>
      <c r="AI773">
        <v>5.54</v>
      </c>
      <c r="AJ773">
        <v>32.47</v>
      </c>
      <c r="AK773">
        <v>23.8</v>
      </c>
      <c r="AL773">
        <v>-20.137865449999961</v>
      </c>
      <c r="AM773">
        <v>-44.866141027847057</v>
      </c>
      <c r="AN773">
        <v>-20.137865449999961</v>
      </c>
      <c r="AO773">
        <v>-44.866141027847057</v>
      </c>
      <c r="AP773">
        <v>-20.137938999999999</v>
      </c>
      <c r="AQ773">
        <v>-44.865873000000001</v>
      </c>
      <c r="AR773">
        <v>29.184856191831059</v>
      </c>
      <c r="AS773" t="s">
        <v>65</v>
      </c>
      <c r="AT773">
        <v>1</v>
      </c>
      <c r="AU773" t="s">
        <v>784</v>
      </c>
      <c r="AV773" t="s">
        <v>785</v>
      </c>
      <c r="AW773" t="s">
        <v>60</v>
      </c>
      <c r="AX773" t="s">
        <v>68</v>
      </c>
      <c r="AY773" t="s">
        <v>69</v>
      </c>
      <c r="AZ773" t="b">
        <v>1</v>
      </c>
    </row>
    <row r="774" spans="1:52" x14ac:dyDescent="0.3">
      <c r="A774" t="s">
        <v>52</v>
      </c>
      <c r="B774" t="s">
        <v>53</v>
      </c>
      <c r="C774" t="s">
        <v>54</v>
      </c>
      <c r="D774" t="s">
        <v>55</v>
      </c>
      <c r="E774" t="s">
        <v>2099</v>
      </c>
      <c r="F774" t="s">
        <v>190</v>
      </c>
      <c r="G774" t="s">
        <v>1104</v>
      </c>
      <c r="H774" t="s">
        <v>1105</v>
      </c>
      <c r="I774" t="s">
        <v>1105</v>
      </c>
      <c r="J774" t="s">
        <v>60</v>
      </c>
      <c r="K774" t="s">
        <v>781</v>
      </c>
      <c r="L774" t="s">
        <v>62</v>
      </c>
      <c r="M774" t="s">
        <v>781</v>
      </c>
      <c r="N774" t="s">
        <v>1106</v>
      </c>
      <c r="O774" t="s">
        <v>1080</v>
      </c>
      <c r="P774">
        <v>-20.138683</v>
      </c>
      <c r="Q774">
        <v>-44.868507999999999</v>
      </c>
      <c r="R774" s="2" t="str">
        <f>HYPERLINK("https://www.google.com/maps?q=-20.1386830,-44.8685080","Abrir no Google Maps")</f>
        <v>Abrir no Google Maps</v>
      </c>
      <c r="S774">
        <v>3</v>
      </c>
      <c r="T774">
        <v>450.88210098833099</v>
      </c>
      <c r="U774">
        <v>4</v>
      </c>
      <c r="V774">
        <v>27</v>
      </c>
      <c r="W774">
        <v>1</v>
      </c>
      <c r="X774">
        <v>27</v>
      </c>
      <c r="Y774">
        <v>332</v>
      </c>
      <c r="Z774">
        <v>601.27669048153166</v>
      </c>
      <c r="AA774">
        <v>198</v>
      </c>
      <c r="AB774">
        <v>332</v>
      </c>
      <c r="AC774">
        <v>536</v>
      </c>
      <c r="AD774">
        <v>30.48</v>
      </c>
      <c r="AE774">
        <v>542</v>
      </c>
      <c r="AF774">
        <v>30</v>
      </c>
      <c r="AG774">
        <v>176</v>
      </c>
      <c r="AH774">
        <v>129</v>
      </c>
      <c r="AI774">
        <v>5.54</v>
      </c>
      <c r="AJ774">
        <v>32.47</v>
      </c>
      <c r="AK774">
        <v>23.8</v>
      </c>
      <c r="AL774">
        <v>-20.13870544999995</v>
      </c>
      <c r="AM774">
        <v>-44.868521774012208</v>
      </c>
      <c r="AN774">
        <v>-20.138705449999939</v>
      </c>
      <c r="AO774">
        <v>-44.868521774012208</v>
      </c>
      <c r="AP774">
        <v>-20.138683</v>
      </c>
      <c r="AQ774">
        <v>-44.868507999999999</v>
      </c>
      <c r="AR774">
        <v>2.8841042175322271</v>
      </c>
      <c r="AS774" t="s">
        <v>65</v>
      </c>
      <c r="AT774">
        <v>1</v>
      </c>
      <c r="AU774" t="s">
        <v>1107</v>
      </c>
      <c r="AV774" t="s">
        <v>1108</v>
      </c>
      <c r="AW774" t="s">
        <v>60</v>
      </c>
      <c r="AX774" t="s">
        <v>68</v>
      </c>
      <c r="AY774" t="s">
        <v>69</v>
      </c>
      <c r="AZ774" t="b">
        <v>1</v>
      </c>
    </row>
    <row r="775" spans="1:52" x14ac:dyDescent="0.3">
      <c r="A775" t="s">
        <v>52</v>
      </c>
      <c r="B775" t="s">
        <v>53</v>
      </c>
      <c r="C775" t="s">
        <v>54</v>
      </c>
      <c r="D775" t="s">
        <v>55</v>
      </c>
      <c r="E775" t="s">
        <v>2099</v>
      </c>
      <c r="F775" t="s">
        <v>190</v>
      </c>
      <c r="G775" t="s">
        <v>1121</v>
      </c>
      <c r="H775" t="s">
        <v>1122</v>
      </c>
      <c r="I775" t="s">
        <v>1122</v>
      </c>
      <c r="J775" t="s">
        <v>60</v>
      </c>
      <c r="K775" t="s">
        <v>1123</v>
      </c>
      <c r="L775" t="s">
        <v>62</v>
      </c>
      <c r="M775" t="s">
        <v>1123</v>
      </c>
      <c r="N775" t="s">
        <v>1124</v>
      </c>
      <c r="O775" t="s">
        <v>74</v>
      </c>
      <c r="P775">
        <v>-20.105318</v>
      </c>
      <c r="Q775">
        <v>-44.879216</v>
      </c>
      <c r="R775" s="2" t="str">
        <f>HYPERLINK("https://www.google.com/maps?q=-20.1053180,-44.8792160","Abrir no Google Maps")</f>
        <v>Abrir no Google Maps</v>
      </c>
      <c r="S775">
        <v>3</v>
      </c>
      <c r="T775">
        <v>318.57668516180911</v>
      </c>
      <c r="U775">
        <v>4</v>
      </c>
      <c r="V775">
        <v>21</v>
      </c>
      <c r="W775">
        <v>1</v>
      </c>
      <c r="X775">
        <v>21</v>
      </c>
      <c r="Y775">
        <v>314</v>
      </c>
      <c r="Z775">
        <v>207.50829098881519</v>
      </c>
      <c r="AA775">
        <v>198</v>
      </c>
      <c r="AB775">
        <v>332</v>
      </c>
      <c r="AC775">
        <v>536</v>
      </c>
      <c r="AD775">
        <v>30.48</v>
      </c>
      <c r="AE775">
        <v>542</v>
      </c>
      <c r="AF775">
        <v>30</v>
      </c>
      <c r="AG775">
        <v>176</v>
      </c>
      <c r="AH775">
        <v>129</v>
      </c>
      <c r="AI775">
        <v>5.54</v>
      </c>
      <c r="AJ775">
        <v>32.47</v>
      </c>
      <c r="AK775">
        <v>23.8</v>
      </c>
      <c r="AL775">
        <v>-20.105361049999939</v>
      </c>
      <c r="AM775">
        <v>-44.87924613740698</v>
      </c>
      <c r="AN775">
        <v>-20.105361049999939</v>
      </c>
      <c r="AO775">
        <v>-44.87924613740698</v>
      </c>
      <c r="AP775">
        <v>-20.105318</v>
      </c>
      <c r="AQ775">
        <v>-44.879216</v>
      </c>
      <c r="AR775">
        <v>5.7351338374851242</v>
      </c>
      <c r="AS775" t="s">
        <v>65</v>
      </c>
      <c r="AT775">
        <v>1</v>
      </c>
      <c r="AU775" t="s">
        <v>1125</v>
      </c>
      <c r="AV775" t="s">
        <v>1126</v>
      </c>
      <c r="AW775" t="s">
        <v>60</v>
      </c>
      <c r="AX775" t="s">
        <v>68</v>
      </c>
      <c r="AY775" t="s">
        <v>69</v>
      </c>
      <c r="AZ775" t="b">
        <v>1</v>
      </c>
    </row>
    <row r="776" spans="1:52" x14ac:dyDescent="0.3">
      <c r="A776" t="s">
        <v>52</v>
      </c>
      <c r="B776" t="s">
        <v>53</v>
      </c>
      <c r="C776" t="s">
        <v>54</v>
      </c>
      <c r="D776" t="s">
        <v>55</v>
      </c>
      <c r="E776" t="s">
        <v>2099</v>
      </c>
      <c r="F776" t="s">
        <v>190</v>
      </c>
      <c r="G776" t="s">
        <v>1127</v>
      </c>
      <c r="H776" t="s">
        <v>1128</v>
      </c>
      <c r="I776" t="s">
        <v>1128</v>
      </c>
      <c r="J776" t="s">
        <v>60</v>
      </c>
      <c r="K776" t="s">
        <v>1129</v>
      </c>
      <c r="L776" t="s">
        <v>62</v>
      </c>
      <c r="M776" t="s">
        <v>1129</v>
      </c>
      <c r="N776" t="s">
        <v>1130</v>
      </c>
      <c r="O776" t="s">
        <v>357</v>
      </c>
      <c r="P776">
        <v>-20.106638</v>
      </c>
      <c r="Q776">
        <v>-44.883538000000001</v>
      </c>
      <c r="R776" s="2" t="str">
        <f>HYPERLINK("https://www.google.com/maps?q=-20.1066380,-44.8835380","Abrir no Google Maps")</f>
        <v>Abrir no Google Maps</v>
      </c>
      <c r="S776">
        <v>3</v>
      </c>
      <c r="T776">
        <v>754.03514396665969</v>
      </c>
      <c r="U776">
        <v>4</v>
      </c>
      <c r="V776">
        <v>35</v>
      </c>
      <c r="W776">
        <v>1</v>
      </c>
      <c r="X776">
        <v>35</v>
      </c>
      <c r="Y776">
        <v>314</v>
      </c>
      <c r="Z776">
        <v>584.1161650721092</v>
      </c>
      <c r="AA776">
        <v>198</v>
      </c>
      <c r="AB776">
        <v>332</v>
      </c>
      <c r="AC776">
        <v>536</v>
      </c>
      <c r="AD776">
        <v>30.48</v>
      </c>
      <c r="AE776">
        <v>542</v>
      </c>
      <c r="AF776">
        <v>30</v>
      </c>
      <c r="AG776">
        <v>176</v>
      </c>
      <c r="AH776">
        <v>129</v>
      </c>
      <c r="AI776">
        <v>5.54</v>
      </c>
      <c r="AJ776">
        <v>32.47</v>
      </c>
      <c r="AK776">
        <v>23.8</v>
      </c>
      <c r="AL776">
        <v>-20.106599599999949</v>
      </c>
      <c r="AM776">
        <v>-44.883527947279568</v>
      </c>
      <c r="AN776">
        <v>-20.106599599999949</v>
      </c>
      <c r="AO776">
        <v>-44.883527947279568</v>
      </c>
      <c r="AP776">
        <v>-20.106638</v>
      </c>
      <c r="AQ776">
        <v>-44.883538000000001</v>
      </c>
      <c r="AR776">
        <v>4.4019630384815924</v>
      </c>
      <c r="AS776" t="s">
        <v>65</v>
      </c>
      <c r="AT776">
        <v>1</v>
      </c>
      <c r="AU776" t="s">
        <v>1131</v>
      </c>
      <c r="AV776" t="s">
        <v>1132</v>
      </c>
      <c r="AW776" t="s">
        <v>60</v>
      </c>
      <c r="AX776" t="s">
        <v>68</v>
      </c>
      <c r="AY776" t="s">
        <v>69</v>
      </c>
      <c r="AZ776" t="b">
        <v>1</v>
      </c>
    </row>
    <row r="777" spans="1:52" x14ac:dyDescent="0.3">
      <c r="A777" t="s">
        <v>52</v>
      </c>
      <c r="B777" t="s">
        <v>53</v>
      </c>
      <c r="C777" t="s">
        <v>54</v>
      </c>
      <c r="D777" t="s">
        <v>55</v>
      </c>
      <c r="E777" t="s">
        <v>2099</v>
      </c>
      <c r="F777" t="s">
        <v>190</v>
      </c>
      <c r="G777" t="s">
        <v>1138</v>
      </c>
      <c r="H777" t="s">
        <v>1139</v>
      </c>
      <c r="I777" t="s">
        <v>1139</v>
      </c>
      <c r="J777" t="s">
        <v>60</v>
      </c>
      <c r="K777" t="s">
        <v>1140</v>
      </c>
      <c r="L777" t="s">
        <v>62</v>
      </c>
      <c r="M777" t="s">
        <v>1140</v>
      </c>
      <c r="N777" t="s">
        <v>1141</v>
      </c>
      <c r="O777" t="s">
        <v>293</v>
      </c>
      <c r="P777">
        <v>-20.103041999999999</v>
      </c>
      <c r="Q777">
        <v>-44.882694999999998</v>
      </c>
      <c r="R777" s="2" t="str">
        <f>HYPERLINK("https://www.google.com/maps?q=-20.1030420,-44.8826950","Abrir no Google Maps")</f>
        <v>Abrir no Google Maps</v>
      </c>
      <c r="S777">
        <v>3</v>
      </c>
      <c r="T777">
        <v>764.07293048598467</v>
      </c>
      <c r="U777">
        <v>4</v>
      </c>
      <c r="V777">
        <v>22</v>
      </c>
      <c r="W777">
        <v>1</v>
      </c>
      <c r="X777">
        <v>22</v>
      </c>
      <c r="Y777">
        <v>314</v>
      </c>
      <c r="Z777">
        <v>696.03268335706969</v>
      </c>
      <c r="AA777">
        <v>198</v>
      </c>
      <c r="AB777">
        <v>332</v>
      </c>
      <c r="AC777">
        <v>536</v>
      </c>
      <c r="AD777">
        <v>30.48</v>
      </c>
      <c r="AE777">
        <v>542</v>
      </c>
      <c r="AF777">
        <v>30</v>
      </c>
      <c r="AG777">
        <v>176</v>
      </c>
      <c r="AH777">
        <v>129</v>
      </c>
      <c r="AI777">
        <v>5.54</v>
      </c>
      <c r="AJ777">
        <v>32.47</v>
      </c>
      <c r="AK777">
        <v>23.8</v>
      </c>
      <c r="AL777">
        <v>-20.10298734999995</v>
      </c>
      <c r="AM777">
        <v>-44.882802925792483</v>
      </c>
      <c r="AN777">
        <v>-20.10298734999995</v>
      </c>
      <c r="AO777">
        <v>-44.882802925792483</v>
      </c>
      <c r="AP777">
        <v>-20.103041999999999</v>
      </c>
      <c r="AQ777">
        <v>-44.882694999999998</v>
      </c>
      <c r="AR777">
        <v>12.8180317775525</v>
      </c>
      <c r="AS777" t="s">
        <v>65</v>
      </c>
      <c r="AT777">
        <v>1</v>
      </c>
      <c r="AU777" t="s">
        <v>1142</v>
      </c>
      <c r="AV777" t="s">
        <v>1143</v>
      </c>
      <c r="AW777" t="s">
        <v>60</v>
      </c>
      <c r="AX777" t="s">
        <v>68</v>
      </c>
      <c r="AY777" t="s">
        <v>69</v>
      </c>
      <c r="AZ777" t="b">
        <v>1</v>
      </c>
    </row>
    <row r="778" spans="1:52" x14ac:dyDescent="0.3">
      <c r="A778" t="s">
        <v>52</v>
      </c>
      <c r="B778" t="s">
        <v>53</v>
      </c>
      <c r="C778" t="s">
        <v>54</v>
      </c>
      <c r="D778" t="s">
        <v>55</v>
      </c>
      <c r="E778" t="s">
        <v>2099</v>
      </c>
      <c r="F778" t="s">
        <v>190</v>
      </c>
      <c r="G778" t="s">
        <v>1133</v>
      </c>
      <c r="H778" t="s">
        <v>1144</v>
      </c>
      <c r="I778" t="s">
        <v>1144</v>
      </c>
      <c r="J778" t="s">
        <v>60</v>
      </c>
      <c r="K778" t="s">
        <v>1123</v>
      </c>
      <c r="L778" t="s">
        <v>62</v>
      </c>
      <c r="M778" t="s">
        <v>1123</v>
      </c>
      <c r="N778" t="s">
        <v>1135</v>
      </c>
      <c r="O778" t="s">
        <v>907</v>
      </c>
      <c r="P778">
        <v>-20.100351</v>
      </c>
      <c r="Q778">
        <v>-44.878037999999997</v>
      </c>
      <c r="R778" s="2" t="str">
        <f>HYPERLINK("https://www.google.com/maps?q=-20.1003510,-44.8780380","Abrir no Google Maps")</f>
        <v>Abrir no Google Maps</v>
      </c>
      <c r="S778">
        <v>3</v>
      </c>
      <c r="T778">
        <v>665.56785712469116</v>
      </c>
      <c r="U778">
        <v>4</v>
      </c>
      <c r="V778">
        <v>23</v>
      </c>
      <c r="W778">
        <v>1</v>
      </c>
      <c r="X778">
        <v>23</v>
      </c>
      <c r="Y778">
        <v>314</v>
      </c>
      <c r="Z778">
        <v>584.8532299266725</v>
      </c>
      <c r="AA778">
        <v>198</v>
      </c>
      <c r="AB778">
        <v>332</v>
      </c>
      <c r="AC778">
        <v>536</v>
      </c>
      <c r="AD778">
        <v>30.48</v>
      </c>
      <c r="AE778">
        <v>542</v>
      </c>
      <c r="AF778">
        <v>30</v>
      </c>
      <c r="AG778">
        <v>176</v>
      </c>
      <c r="AH778">
        <v>129</v>
      </c>
      <c r="AI778">
        <v>5.54</v>
      </c>
      <c r="AJ778">
        <v>32.47</v>
      </c>
      <c r="AK778">
        <v>23.8</v>
      </c>
      <c r="AL778">
        <v>-20.100420499999959</v>
      </c>
      <c r="AM778">
        <v>-44.878125332575927</v>
      </c>
      <c r="AN778">
        <v>-20.100420499999959</v>
      </c>
      <c r="AO778">
        <v>-44.878125332575927</v>
      </c>
      <c r="AP778">
        <v>-20.100351</v>
      </c>
      <c r="AQ778">
        <v>-44.878037999999997</v>
      </c>
      <c r="AR778">
        <v>11.966993892024719</v>
      </c>
      <c r="AS778" t="s">
        <v>65</v>
      </c>
      <c r="AT778">
        <v>1</v>
      </c>
      <c r="AU778" t="s">
        <v>1145</v>
      </c>
      <c r="AV778" t="s">
        <v>1146</v>
      </c>
      <c r="AW778" t="s">
        <v>60</v>
      </c>
      <c r="AX778" t="s">
        <v>68</v>
      </c>
      <c r="AY778" t="s">
        <v>69</v>
      </c>
      <c r="AZ778" t="b">
        <v>1</v>
      </c>
    </row>
    <row r="779" spans="1:52" x14ac:dyDescent="0.3">
      <c r="A779" t="s">
        <v>52</v>
      </c>
      <c r="B779" t="s">
        <v>53</v>
      </c>
      <c r="C779" t="s">
        <v>54</v>
      </c>
      <c r="D779" t="s">
        <v>55</v>
      </c>
      <c r="E779" t="s">
        <v>2099</v>
      </c>
      <c r="F779" t="s">
        <v>190</v>
      </c>
      <c r="G779" t="s">
        <v>1763</v>
      </c>
      <c r="H779" t="s">
        <v>1764</v>
      </c>
      <c r="I779" t="s">
        <v>1764</v>
      </c>
      <c r="J779" t="s">
        <v>60</v>
      </c>
      <c r="K779" t="s">
        <v>798</v>
      </c>
      <c r="L779" t="s">
        <v>62</v>
      </c>
      <c r="M779" t="s">
        <v>798</v>
      </c>
      <c r="N779" t="s">
        <v>1765</v>
      </c>
      <c r="O779" t="s">
        <v>1766</v>
      </c>
      <c r="P779">
        <v>-20.111158</v>
      </c>
      <c r="Q779">
        <v>-44.901231000000003</v>
      </c>
      <c r="R779" s="2" t="str">
        <f>HYPERLINK("https://www.google.com/maps?q=-20.1111580,-44.9012310","Abrir no Google Maps")</f>
        <v>Abrir no Google Maps</v>
      </c>
      <c r="S779">
        <v>3</v>
      </c>
      <c r="T779">
        <v>0</v>
      </c>
      <c r="U779">
        <v>4</v>
      </c>
      <c r="V779">
        <v>25</v>
      </c>
      <c r="W779">
        <v>1</v>
      </c>
      <c r="X779">
        <v>25</v>
      </c>
      <c r="Y779">
        <v>300</v>
      </c>
      <c r="Z779">
        <v>159.5707781627477</v>
      </c>
      <c r="AA779">
        <v>198</v>
      </c>
      <c r="AB779">
        <v>332</v>
      </c>
      <c r="AC779">
        <v>536</v>
      </c>
      <c r="AD779">
        <v>30.48</v>
      </c>
      <c r="AE779">
        <v>542</v>
      </c>
      <c r="AF779">
        <v>30</v>
      </c>
      <c r="AG779">
        <v>176</v>
      </c>
      <c r="AH779">
        <v>129</v>
      </c>
      <c r="AI779">
        <v>5.54</v>
      </c>
      <c r="AJ779">
        <v>32.47</v>
      </c>
      <c r="AK779">
        <v>23.8</v>
      </c>
      <c r="AL779">
        <v>-20.111381299999941</v>
      </c>
      <c r="AM779">
        <v>-44.90110111260114</v>
      </c>
      <c r="AN779">
        <v>-20.111381299999941</v>
      </c>
      <c r="AO779">
        <v>-44.90110111260114</v>
      </c>
      <c r="AP779">
        <v>-20.111158</v>
      </c>
      <c r="AQ779">
        <v>-44.901231000000003</v>
      </c>
      <c r="AR779">
        <v>28.32410367036935</v>
      </c>
      <c r="AS779" t="s">
        <v>65</v>
      </c>
      <c r="AT779">
        <v>1</v>
      </c>
      <c r="AU779" t="s">
        <v>1767</v>
      </c>
      <c r="AV779" t="s">
        <v>1768</v>
      </c>
      <c r="AW779" t="s">
        <v>60</v>
      </c>
      <c r="AX779" t="s">
        <v>68</v>
      </c>
      <c r="AY779" t="s">
        <v>69</v>
      </c>
      <c r="AZ779" t="b">
        <v>1</v>
      </c>
    </row>
    <row r="780" spans="1:52" x14ac:dyDescent="0.3">
      <c r="A780" t="s">
        <v>52</v>
      </c>
      <c r="B780" t="s">
        <v>53</v>
      </c>
      <c r="C780" t="s">
        <v>54</v>
      </c>
      <c r="D780" t="s">
        <v>55</v>
      </c>
      <c r="E780" t="s">
        <v>2099</v>
      </c>
      <c r="F780" t="s">
        <v>190</v>
      </c>
      <c r="G780" t="s">
        <v>1152</v>
      </c>
      <c r="H780" t="s">
        <v>1153</v>
      </c>
      <c r="I780" t="s">
        <v>1153</v>
      </c>
      <c r="J780" t="s">
        <v>60</v>
      </c>
      <c r="K780" t="s">
        <v>798</v>
      </c>
      <c r="L780" t="s">
        <v>62</v>
      </c>
      <c r="M780" t="s">
        <v>798</v>
      </c>
      <c r="N780" t="s">
        <v>1154</v>
      </c>
      <c r="O780" t="s">
        <v>293</v>
      </c>
      <c r="P780">
        <v>-20.112477999999999</v>
      </c>
      <c r="Q780">
        <v>-44.903066000000003</v>
      </c>
      <c r="R780" s="2" t="str">
        <f>HYPERLINK("https://www.google.com/maps?q=-20.1124780,-44.9030660","Abrir no Google Maps")</f>
        <v>Abrir no Google Maps</v>
      </c>
      <c r="S780">
        <v>3</v>
      </c>
      <c r="T780">
        <v>246.8131690803576</v>
      </c>
      <c r="U780">
        <v>4</v>
      </c>
      <c r="V780">
        <v>19</v>
      </c>
      <c r="W780">
        <v>1</v>
      </c>
      <c r="X780">
        <v>19</v>
      </c>
      <c r="Y780">
        <v>300</v>
      </c>
      <c r="Z780">
        <v>335.63974056009812</v>
      </c>
      <c r="AA780">
        <v>198</v>
      </c>
      <c r="AB780">
        <v>332</v>
      </c>
      <c r="AC780">
        <v>536</v>
      </c>
      <c r="AD780">
        <v>30.48</v>
      </c>
      <c r="AE780">
        <v>542</v>
      </c>
      <c r="AF780">
        <v>30</v>
      </c>
      <c r="AG780">
        <v>176</v>
      </c>
      <c r="AH780">
        <v>129</v>
      </c>
      <c r="AI780">
        <v>5.54</v>
      </c>
      <c r="AJ780">
        <v>32.47</v>
      </c>
      <c r="AK780">
        <v>23.8</v>
      </c>
      <c r="AL780">
        <v>-20.112499949999972</v>
      </c>
      <c r="AM780">
        <v>-44.903143791889391</v>
      </c>
      <c r="AN780">
        <v>-20.112499949999972</v>
      </c>
      <c r="AO780">
        <v>-44.903143791889391</v>
      </c>
      <c r="AP780">
        <v>-20.112477999999999</v>
      </c>
      <c r="AQ780">
        <v>-44.903066000000003</v>
      </c>
      <c r="AR780">
        <v>8.4908959019572912</v>
      </c>
      <c r="AS780" t="s">
        <v>65</v>
      </c>
      <c r="AT780">
        <v>1</v>
      </c>
      <c r="AU780" t="s">
        <v>1155</v>
      </c>
      <c r="AV780" t="s">
        <v>1156</v>
      </c>
      <c r="AW780" t="s">
        <v>60</v>
      </c>
      <c r="AX780" t="s">
        <v>68</v>
      </c>
      <c r="AY780" t="s">
        <v>69</v>
      </c>
      <c r="AZ780" t="b">
        <v>1</v>
      </c>
    </row>
    <row r="781" spans="1:52" x14ac:dyDescent="0.3">
      <c r="A781" t="s">
        <v>52</v>
      </c>
      <c r="B781" t="s">
        <v>53</v>
      </c>
      <c r="C781" t="s">
        <v>54</v>
      </c>
      <c r="D781" t="s">
        <v>55</v>
      </c>
      <c r="E781" t="s">
        <v>2099</v>
      </c>
      <c r="F781" t="s">
        <v>190</v>
      </c>
      <c r="G781" t="s">
        <v>1157</v>
      </c>
      <c r="H781" t="s">
        <v>1158</v>
      </c>
      <c r="I781" t="s">
        <v>1158</v>
      </c>
      <c r="J781" t="s">
        <v>60</v>
      </c>
      <c r="K781" t="s">
        <v>791</v>
      </c>
      <c r="L781" t="s">
        <v>62</v>
      </c>
      <c r="M781" t="s">
        <v>791</v>
      </c>
      <c r="N781" t="s">
        <v>1159</v>
      </c>
      <c r="O781" t="s">
        <v>1160</v>
      </c>
      <c r="P781">
        <v>-20.108114</v>
      </c>
      <c r="Q781">
        <v>-44.905804000000003</v>
      </c>
      <c r="R781" s="2" t="str">
        <f>HYPERLINK("https://www.google.com/maps?q=-20.1081140,-44.9058040","Abrir no Google Maps")</f>
        <v>Abrir no Google Maps</v>
      </c>
      <c r="S781">
        <v>3</v>
      </c>
      <c r="T781">
        <v>603.1428230097074</v>
      </c>
      <c r="U781">
        <v>4</v>
      </c>
      <c r="V781">
        <v>23</v>
      </c>
      <c r="W781">
        <v>1</v>
      </c>
      <c r="X781">
        <v>23</v>
      </c>
      <c r="Y781">
        <v>300</v>
      </c>
      <c r="Z781">
        <v>444.71482981499793</v>
      </c>
      <c r="AA781">
        <v>198</v>
      </c>
      <c r="AB781">
        <v>332</v>
      </c>
      <c r="AC781">
        <v>536</v>
      </c>
      <c r="AD781">
        <v>30.48</v>
      </c>
      <c r="AE781">
        <v>542</v>
      </c>
      <c r="AF781">
        <v>30</v>
      </c>
      <c r="AG781">
        <v>176</v>
      </c>
      <c r="AH781">
        <v>129</v>
      </c>
      <c r="AI781">
        <v>5.54</v>
      </c>
      <c r="AJ781">
        <v>32.47</v>
      </c>
      <c r="AK781">
        <v>23.8</v>
      </c>
      <c r="AL781">
        <v>-20.108146549999962</v>
      </c>
      <c r="AM781">
        <v>-44.905744943453513</v>
      </c>
      <c r="AN781">
        <v>-20.108146549999962</v>
      </c>
      <c r="AO781">
        <v>-44.905744943453513</v>
      </c>
      <c r="AP781">
        <v>-20.108114</v>
      </c>
      <c r="AQ781">
        <v>-44.905804000000003</v>
      </c>
      <c r="AR781">
        <v>7.1582799138071884</v>
      </c>
      <c r="AS781" t="s">
        <v>65</v>
      </c>
      <c r="AT781">
        <v>1</v>
      </c>
      <c r="AU781" t="s">
        <v>1161</v>
      </c>
      <c r="AV781" t="s">
        <v>1162</v>
      </c>
      <c r="AW781" t="s">
        <v>60</v>
      </c>
      <c r="AX781" t="s">
        <v>68</v>
      </c>
      <c r="AY781" t="s">
        <v>69</v>
      </c>
      <c r="AZ781" t="b">
        <v>1</v>
      </c>
    </row>
    <row r="782" spans="1:52" x14ac:dyDescent="0.3">
      <c r="A782" t="s">
        <v>52</v>
      </c>
      <c r="B782" t="s">
        <v>53</v>
      </c>
      <c r="C782" t="s">
        <v>54</v>
      </c>
      <c r="D782" t="s">
        <v>55</v>
      </c>
      <c r="E782" t="s">
        <v>2099</v>
      </c>
      <c r="F782" t="s">
        <v>190</v>
      </c>
      <c r="G782" t="s">
        <v>1774</v>
      </c>
      <c r="H782" t="s">
        <v>1775</v>
      </c>
      <c r="I782" t="s">
        <v>1775</v>
      </c>
      <c r="J782" t="s">
        <v>60</v>
      </c>
      <c r="K782" t="s">
        <v>791</v>
      </c>
      <c r="L782" t="s">
        <v>62</v>
      </c>
      <c r="M782" t="s">
        <v>791</v>
      </c>
      <c r="N782" t="s">
        <v>1776</v>
      </c>
      <c r="O782" t="s">
        <v>1777</v>
      </c>
      <c r="P782">
        <v>-20.108148</v>
      </c>
      <c r="Q782">
        <v>-44.909519000000003</v>
      </c>
      <c r="R782" s="2" t="str">
        <f>HYPERLINK("https://www.google.com/maps?q=-20.1081480,-44.9095190","Abrir no Google Maps")</f>
        <v>Abrir no Google Maps</v>
      </c>
      <c r="S782">
        <v>3</v>
      </c>
      <c r="T782">
        <v>960.99382263787027</v>
      </c>
      <c r="U782">
        <v>4</v>
      </c>
      <c r="V782">
        <v>25</v>
      </c>
      <c r="W782">
        <v>0.85</v>
      </c>
      <c r="X782">
        <v>21.25</v>
      </c>
      <c r="Y782">
        <v>300</v>
      </c>
      <c r="Z782">
        <v>830.02784879078899</v>
      </c>
      <c r="AA782">
        <v>198</v>
      </c>
      <c r="AB782">
        <v>332</v>
      </c>
      <c r="AC782">
        <v>536</v>
      </c>
      <c r="AD782">
        <v>30.48</v>
      </c>
      <c r="AE782">
        <v>542</v>
      </c>
      <c r="AF782">
        <v>30</v>
      </c>
      <c r="AG782">
        <v>176</v>
      </c>
      <c r="AH782">
        <v>129</v>
      </c>
      <c r="AI782">
        <v>5.54</v>
      </c>
      <c r="AJ782">
        <v>32.47</v>
      </c>
      <c r="AK782">
        <v>23.8</v>
      </c>
      <c r="AL782">
        <v>-20.10824884999996</v>
      </c>
      <c r="AM782">
        <v>-44.909675442736678</v>
      </c>
      <c r="AN782">
        <v>-20.10824884999996</v>
      </c>
      <c r="AO782">
        <v>-44.909675442736678</v>
      </c>
      <c r="AP782">
        <v>-20.108148</v>
      </c>
      <c r="AQ782">
        <v>-44.909519000000003</v>
      </c>
      <c r="AR782">
        <v>19.8363090254621</v>
      </c>
      <c r="AS782" t="s">
        <v>65</v>
      </c>
      <c r="AT782">
        <v>1</v>
      </c>
      <c r="AU782" t="s">
        <v>1778</v>
      </c>
      <c r="AV782" t="s">
        <v>1779</v>
      </c>
      <c r="AW782" t="s">
        <v>60</v>
      </c>
      <c r="AX782" t="s">
        <v>68</v>
      </c>
      <c r="AY782" t="s">
        <v>69</v>
      </c>
      <c r="AZ782" t="b">
        <v>1</v>
      </c>
    </row>
    <row r="783" spans="1:52" x14ac:dyDescent="0.3">
      <c r="A783" t="s">
        <v>52</v>
      </c>
      <c r="B783" t="s">
        <v>53</v>
      </c>
      <c r="C783" t="s">
        <v>54</v>
      </c>
      <c r="D783" t="s">
        <v>55</v>
      </c>
      <c r="E783" t="s">
        <v>2099</v>
      </c>
      <c r="F783" t="s">
        <v>190</v>
      </c>
      <c r="G783" t="s">
        <v>1785</v>
      </c>
      <c r="H783" t="s">
        <v>1786</v>
      </c>
      <c r="I783" t="s">
        <v>1786</v>
      </c>
      <c r="J783" t="s">
        <v>60</v>
      </c>
      <c r="K783" t="s">
        <v>323</v>
      </c>
      <c r="L783" t="s">
        <v>62</v>
      </c>
      <c r="M783" t="s">
        <v>323</v>
      </c>
      <c r="N783" t="s">
        <v>1787</v>
      </c>
      <c r="O783" t="s">
        <v>166</v>
      </c>
      <c r="P783">
        <v>-20.150456999999999</v>
      </c>
      <c r="Q783">
        <v>-44.859959000000003</v>
      </c>
      <c r="R783" s="2" t="str">
        <f>HYPERLINK("https://www.google.com/maps?q=-20.1504570,-44.8599590","Abrir no Google Maps")</f>
        <v>Abrir no Google Maps</v>
      </c>
      <c r="S783">
        <v>3</v>
      </c>
      <c r="T783">
        <v>658.64381182775185</v>
      </c>
      <c r="U783">
        <v>4</v>
      </c>
      <c r="V783">
        <v>23</v>
      </c>
      <c r="W783">
        <v>1</v>
      </c>
      <c r="X783">
        <v>23</v>
      </c>
      <c r="Y783">
        <v>264</v>
      </c>
      <c r="Z783">
        <v>516.83560872131818</v>
      </c>
      <c r="AA783">
        <v>198</v>
      </c>
      <c r="AB783">
        <v>332</v>
      </c>
      <c r="AC783">
        <v>536</v>
      </c>
      <c r="AD783">
        <v>30.48</v>
      </c>
      <c r="AE783">
        <v>542</v>
      </c>
      <c r="AF783">
        <v>30</v>
      </c>
      <c r="AG783">
        <v>176</v>
      </c>
      <c r="AH783">
        <v>129</v>
      </c>
      <c r="AI783">
        <v>5.54</v>
      </c>
      <c r="AJ783">
        <v>32.47</v>
      </c>
      <c r="AK783">
        <v>23.8</v>
      </c>
      <c r="AL783">
        <v>-20.150445899999969</v>
      </c>
      <c r="AM783">
        <v>-44.860119388819953</v>
      </c>
      <c r="AN783">
        <v>-20.150445899999969</v>
      </c>
      <c r="AO783">
        <v>-44.860119388819953</v>
      </c>
      <c r="AP783">
        <v>-20.150456999999999</v>
      </c>
      <c r="AQ783">
        <v>-44.859959000000003</v>
      </c>
      <c r="AR783">
        <v>16.807117810283469</v>
      </c>
      <c r="AS783" t="s">
        <v>65</v>
      </c>
      <c r="AT783">
        <v>1</v>
      </c>
      <c r="AU783" t="s">
        <v>1788</v>
      </c>
      <c r="AV783" t="s">
        <v>1789</v>
      </c>
      <c r="AW783" t="s">
        <v>60</v>
      </c>
      <c r="AX783" t="s">
        <v>68</v>
      </c>
      <c r="AY783" t="s">
        <v>69</v>
      </c>
      <c r="AZ783" t="b">
        <v>1</v>
      </c>
    </row>
    <row r="784" spans="1:52" x14ac:dyDescent="0.3">
      <c r="A784" t="s">
        <v>52</v>
      </c>
      <c r="B784" t="s">
        <v>53</v>
      </c>
      <c r="C784" t="s">
        <v>54</v>
      </c>
      <c r="D784" t="s">
        <v>55</v>
      </c>
      <c r="E784" t="s">
        <v>2099</v>
      </c>
      <c r="F784" t="s">
        <v>190</v>
      </c>
      <c r="G784" t="s">
        <v>1175</v>
      </c>
      <c r="H784" t="s">
        <v>1176</v>
      </c>
      <c r="I784" t="s">
        <v>1176</v>
      </c>
      <c r="J784" t="s">
        <v>60</v>
      </c>
      <c r="K784" t="s">
        <v>1177</v>
      </c>
      <c r="L784" t="s">
        <v>62</v>
      </c>
      <c r="M784" t="s">
        <v>1177</v>
      </c>
      <c r="N784" t="s">
        <v>1178</v>
      </c>
      <c r="O784" t="s">
        <v>1179</v>
      </c>
      <c r="P784">
        <v>-20.153393000000001</v>
      </c>
      <c r="Q784">
        <v>-44.865701999999999</v>
      </c>
      <c r="R784" s="2" t="str">
        <f>HYPERLINK("https://www.google.com/maps?q=-20.1533930,-44.8657020","Abrir no Google Maps")</f>
        <v>Abrir no Google Maps</v>
      </c>
      <c r="S784">
        <v>3</v>
      </c>
      <c r="T784">
        <v>0</v>
      </c>
      <c r="U784">
        <v>4</v>
      </c>
      <c r="V784">
        <v>31</v>
      </c>
      <c r="W784">
        <v>1</v>
      </c>
      <c r="X784">
        <v>31</v>
      </c>
      <c r="Y784">
        <v>264</v>
      </c>
      <c r="Z784">
        <v>187.61117597536</v>
      </c>
      <c r="AA784">
        <v>198</v>
      </c>
      <c r="AB784">
        <v>332</v>
      </c>
      <c r="AC784">
        <v>536</v>
      </c>
      <c r="AD784">
        <v>30.48</v>
      </c>
      <c r="AE784">
        <v>542</v>
      </c>
      <c r="AF784">
        <v>30</v>
      </c>
      <c r="AG784">
        <v>176</v>
      </c>
      <c r="AH784">
        <v>129</v>
      </c>
      <c r="AI784">
        <v>5.54</v>
      </c>
      <c r="AJ784">
        <v>32.47</v>
      </c>
      <c r="AK784">
        <v>23.8</v>
      </c>
      <c r="AL784">
        <v>-20.153365199999971</v>
      </c>
      <c r="AM784">
        <v>-44.865611713780503</v>
      </c>
      <c r="AN784">
        <v>-20.153365199999971</v>
      </c>
      <c r="AO784">
        <v>-44.865611713780503</v>
      </c>
      <c r="AP784">
        <v>-20.153393000000001</v>
      </c>
      <c r="AQ784">
        <v>-44.865701999999999</v>
      </c>
      <c r="AR784">
        <v>9.9298532940923003</v>
      </c>
      <c r="AS784" t="s">
        <v>65</v>
      </c>
      <c r="AT784">
        <v>1</v>
      </c>
      <c r="AU784" t="s">
        <v>1180</v>
      </c>
      <c r="AV784" t="s">
        <v>1181</v>
      </c>
      <c r="AW784" t="s">
        <v>60</v>
      </c>
      <c r="AX784" t="s">
        <v>68</v>
      </c>
      <c r="AY784" t="s">
        <v>69</v>
      </c>
      <c r="AZ784" t="b">
        <v>1</v>
      </c>
    </row>
    <row r="785" spans="1:52" x14ac:dyDescent="0.3">
      <c r="A785" t="s">
        <v>52</v>
      </c>
      <c r="B785" t="s">
        <v>53</v>
      </c>
      <c r="C785" t="s">
        <v>54</v>
      </c>
      <c r="D785" t="s">
        <v>55</v>
      </c>
      <c r="E785" t="s">
        <v>2099</v>
      </c>
      <c r="F785" t="s">
        <v>190</v>
      </c>
      <c r="G785" t="s">
        <v>803</v>
      </c>
      <c r="H785" t="s">
        <v>804</v>
      </c>
      <c r="I785" t="s">
        <v>804</v>
      </c>
      <c r="J785" t="s">
        <v>60</v>
      </c>
      <c r="K785" t="s">
        <v>805</v>
      </c>
      <c r="L785" t="s">
        <v>62</v>
      </c>
      <c r="M785" t="s">
        <v>805</v>
      </c>
      <c r="N785" t="s">
        <v>806</v>
      </c>
      <c r="O785" t="s">
        <v>807</v>
      </c>
      <c r="P785">
        <v>-20.133293999999999</v>
      </c>
      <c r="Q785">
        <v>-44.886302000000001</v>
      </c>
      <c r="R785" s="2" t="str">
        <f>HYPERLINK("https://www.google.com/maps?q=-20.1332940,-44.8863020","Abrir no Google Maps")</f>
        <v>Abrir no Google Maps</v>
      </c>
      <c r="S785">
        <v>3</v>
      </c>
      <c r="T785">
        <v>0</v>
      </c>
      <c r="U785">
        <v>4</v>
      </c>
      <c r="V785">
        <v>22</v>
      </c>
      <c r="W785">
        <v>1</v>
      </c>
      <c r="X785">
        <v>22</v>
      </c>
      <c r="Y785">
        <v>259</v>
      </c>
      <c r="Z785">
        <v>76.358812960729097</v>
      </c>
      <c r="AA785">
        <v>198</v>
      </c>
      <c r="AB785">
        <v>332</v>
      </c>
      <c r="AC785">
        <v>536</v>
      </c>
      <c r="AD785">
        <v>30.48</v>
      </c>
      <c r="AE785">
        <v>542</v>
      </c>
      <c r="AF785">
        <v>30</v>
      </c>
      <c r="AG785">
        <v>176</v>
      </c>
      <c r="AH785">
        <v>129</v>
      </c>
      <c r="AI785">
        <v>5.54</v>
      </c>
      <c r="AJ785">
        <v>32.47</v>
      </c>
      <c r="AK785">
        <v>23.8</v>
      </c>
      <c r="AL785">
        <v>-20.133281749999949</v>
      </c>
      <c r="AM785">
        <v>-44.886395047959027</v>
      </c>
      <c r="AN785">
        <v>-20.133281749999949</v>
      </c>
      <c r="AO785">
        <v>-44.886395047959027</v>
      </c>
      <c r="AP785">
        <v>-20.133293999999999</v>
      </c>
      <c r="AQ785">
        <v>-44.886302000000001</v>
      </c>
      <c r="AR785">
        <v>9.8203037443031231</v>
      </c>
      <c r="AS785" t="s">
        <v>65</v>
      </c>
      <c r="AT785">
        <v>1</v>
      </c>
      <c r="AU785" t="s">
        <v>808</v>
      </c>
      <c r="AV785" t="s">
        <v>809</v>
      </c>
      <c r="AW785" t="s">
        <v>60</v>
      </c>
      <c r="AX785" t="s">
        <v>68</v>
      </c>
      <c r="AY785" t="s">
        <v>69</v>
      </c>
      <c r="AZ785" t="b">
        <v>1</v>
      </c>
    </row>
    <row r="786" spans="1:52" x14ac:dyDescent="0.3">
      <c r="A786" t="s">
        <v>52</v>
      </c>
      <c r="B786" t="s">
        <v>53</v>
      </c>
      <c r="C786" t="s">
        <v>54</v>
      </c>
      <c r="D786" t="s">
        <v>55</v>
      </c>
      <c r="E786" t="s">
        <v>2099</v>
      </c>
      <c r="F786" t="s">
        <v>190</v>
      </c>
      <c r="G786" t="s">
        <v>815</v>
      </c>
      <c r="H786" t="s">
        <v>816</v>
      </c>
      <c r="I786" t="s">
        <v>816</v>
      </c>
      <c r="J786" t="s">
        <v>60</v>
      </c>
      <c r="K786" t="s">
        <v>805</v>
      </c>
      <c r="L786" t="s">
        <v>62</v>
      </c>
      <c r="M786" t="s">
        <v>805</v>
      </c>
      <c r="N786" t="s">
        <v>817</v>
      </c>
      <c r="O786" t="s">
        <v>818</v>
      </c>
      <c r="P786">
        <v>-20.129894</v>
      </c>
      <c r="Q786">
        <v>-44.886285000000001</v>
      </c>
      <c r="R786" s="2" t="str">
        <f>HYPERLINK("https://www.google.com/maps?q=-20.1298940,-44.8862850","Abrir no Google Maps")</f>
        <v>Abrir no Google Maps</v>
      </c>
      <c r="S786">
        <v>3</v>
      </c>
      <c r="T786">
        <v>245.88570896460399</v>
      </c>
      <c r="U786">
        <v>4</v>
      </c>
      <c r="V786">
        <v>20</v>
      </c>
      <c r="W786">
        <v>1</v>
      </c>
      <c r="X786">
        <v>20</v>
      </c>
      <c r="Y786">
        <v>259</v>
      </c>
      <c r="Z786">
        <v>274.53833463725539</v>
      </c>
      <c r="AA786">
        <v>198</v>
      </c>
      <c r="AB786">
        <v>332</v>
      </c>
      <c r="AC786">
        <v>536</v>
      </c>
      <c r="AD786">
        <v>30.48</v>
      </c>
      <c r="AE786">
        <v>542</v>
      </c>
      <c r="AF786">
        <v>30</v>
      </c>
      <c r="AG786">
        <v>176</v>
      </c>
      <c r="AH786">
        <v>129</v>
      </c>
      <c r="AI786">
        <v>5.54</v>
      </c>
      <c r="AJ786">
        <v>32.47</v>
      </c>
      <c r="AK786">
        <v>23.8</v>
      </c>
      <c r="AL786">
        <v>-20.129900749999969</v>
      </c>
      <c r="AM786">
        <v>-44.886258682425179</v>
      </c>
      <c r="AN786">
        <v>-20.129900749999969</v>
      </c>
      <c r="AO786">
        <v>-44.886258682425179</v>
      </c>
      <c r="AP786">
        <v>-20.129894</v>
      </c>
      <c r="AQ786">
        <v>-44.886285000000001</v>
      </c>
      <c r="AR786">
        <v>2.851497427576585</v>
      </c>
      <c r="AS786" t="s">
        <v>65</v>
      </c>
      <c r="AT786">
        <v>1</v>
      </c>
      <c r="AU786" t="s">
        <v>819</v>
      </c>
      <c r="AV786" t="s">
        <v>814</v>
      </c>
      <c r="AW786" t="s">
        <v>60</v>
      </c>
      <c r="AX786" t="s">
        <v>68</v>
      </c>
      <c r="AY786" t="s">
        <v>69</v>
      </c>
      <c r="AZ786" t="b">
        <v>1</v>
      </c>
    </row>
    <row r="787" spans="1:52" x14ac:dyDescent="0.3">
      <c r="A787" t="s">
        <v>52</v>
      </c>
      <c r="B787" t="s">
        <v>53</v>
      </c>
      <c r="C787" t="s">
        <v>54</v>
      </c>
      <c r="D787" t="s">
        <v>55</v>
      </c>
      <c r="E787" t="s">
        <v>2099</v>
      </c>
      <c r="F787" t="s">
        <v>190</v>
      </c>
      <c r="G787" t="s">
        <v>1187</v>
      </c>
      <c r="H787" t="s">
        <v>1188</v>
      </c>
      <c r="I787" t="s">
        <v>1188</v>
      </c>
      <c r="J787" t="s">
        <v>60</v>
      </c>
      <c r="K787" t="s">
        <v>1177</v>
      </c>
      <c r="L787" t="s">
        <v>62</v>
      </c>
      <c r="M787" t="s">
        <v>1177</v>
      </c>
      <c r="N787" t="s">
        <v>1189</v>
      </c>
      <c r="O787" t="s">
        <v>1190</v>
      </c>
      <c r="P787">
        <v>-20.151606999999998</v>
      </c>
      <c r="Q787">
        <v>-44.870784999999998</v>
      </c>
      <c r="R787" s="2" t="str">
        <f>HYPERLINK("https://www.google.com/maps?q=-20.1516070,-44.8707850","Abrir no Google Maps")</f>
        <v>Abrir no Google Maps</v>
      </c>
      <c r="S787">
        <v>3</v>
      </c>
      <c r="T787">
        <v>592.7601508996878</v>
      </c>
      <c r="U787">
        <v>4</v>
      </c>
      <c r="V787">
        <v>21</v>
      </c>
      <c r="W787">
        <v>1</v>
      </c>
      <c r="X787">
        <v>21</v>
      </c>
      <c r="Y787">
        <v>198</v>
      </c>
      <c r="Z787">
        <v>605.75141653963317</v>
      </c>
      <c r="AA787">
        <v>198</v>
      </c>
      <c r="AB787">
        <v>332</v>
      </c>
      <c r="AC787">
        <v>536</v>
      </c>
      <c r="AD787">
        <v>30.48</v>
      </c>
      <c r="AE787">
        <v>542</v>
      </c>
      <c r="AF787">
        <v>30</v>
      </c>
      <c r="AG787">
        <v>176</v>
      </c>
      <c r="AH787">
        <v>129</v>
      </c>
      <c r="AI787">
        <v>5.54</v>
      </c>
      <c r="AJ787">
        <v>32.47</v>
      </c>
      <c r="AK787">
        <v>23.8</v>
      </c>
      <c r="AL787">
        <v>-20.151457849999961</v>
      </c>
      <c r="AM787">
        <v>-44.870912038726253</v>
      </c>
      <c r="AN787">
        <v>-20.151457849999961</v>
      </c>
      <c r="AO787">
        <v>-44.870912038726253</v>
      </c>
      <c r="AP787">
        <v>-20.151606999999998</v>
      </c>
      <c r="AQ787">
        <v>-44.870784999999998</v>
      </c>
      <c r="AR787">
        <v>21.258671186047941</v>
      </c>
      <c r="AS787" t="s">
        <v>65</v>
      </c>
      <c r="AT787">
        <v>1</v>
      </c>
      <c r="AU787" t="s">
        <v>1191</v>
      </c>
      <c r="AV787" t="s">
        <v>1192</v>
      </c>
      <c r="AW787" t="s">
        <v>60</v>
      </c>
      <c r="AX787" t="s">
        <v>68</v>
      </c>
      <c r="AY787" t="s">
        <v>69</v>
      </c>
      <c r="AZ787" t="b">
        <v>1</v>
      </c>
    </row>
    <row r="788" spans="1:52" x14ac:dyDescent="0.3">
      <c r="A788" t="s">
        <v>52</v>
      </c>
      <c r="B788" t="s">
        <v>53</v>
      </c>
      <c r="C788" t="s">
        <v>54</v>
      </c>
      <c r="D788" t="s">
        <v>55</v>
      </c>
      <c r="E788" t="s">
        <v>2099</v>
      </c>
      <c r="F788" t="s">
        <v>190</v>
      </c>
      <c r="G788" t="s">
        <v>1200</v>
      </c>
      <c r="H788" t="s">
        <v>1201</v>
      </c>
      <c r="I788" t="s">
        <v>1201</v>
      </c>
      <c r="J788" t="s">
        <v>60</v>
      </c>
      <c r="K788" t="s">
        <v>1202</v>
      </c>
      <c r="L788" t="s">
        <v>62</v>
      </c>
      <c r="M788" t="s">
        <v>1202</v>
      </c>
      <c r="N788" t="s">
        <v>1203</v>
      </c>
      <c r="O788" t="s">
        <v>710</v>
      </c>
      <c r="P788">
        <v>-20.191745999999998</v>
      </c>
      <c r="Q788">
        <v>-44.904957000000003</v>
      </c>
      <c r="R788" s="2" t="str">
        <f>HYPERLINK("https://www.google.com/maps?q=-20.1917460,-44.9049570","Abrir no Google Maps")</f>
        <v>Abrir no Google Maps</v>
      </c>
      <c r="S788">
        <v>3</v>
      </c>
      <c r="T788">
        <v>882.9384716293963</v>
      </c>
      <c r="U788">
        <v>4</v>
      </c>
      <c r="V788">
        <v>23</v>
      </c>
      <c r="W788">
        <v>1</v>
      </c>
      <c r="X788">
        <v>23</v>
      </c>
      <c r="Y788">
        <v>135</v>
      </c>
      <c r="Z788">
        <v>802.45927673397398</v>
      </c>
      <c r="AA788">
        <v>198</v>
      </c>
      <c r="AB788">
        <v>332</v>
      </c>
      <c r="AC788">
        <v>536</v>
      </c>
      <c r="AD788">
        <v>30.48</v>
      </c>
      <c r="AE788">
        <v>542</v>
      </c>
      <c r="AF788">
        <v>30</v>
      </c>
      <c r="AG788">
        <v>176</v>
      </c>
      <c r="AH788">
        <v>129</v>
      </c>
      <c r="AI788">
        <v>5.54</v>
      </c>
      <c r="AJ788">
        <v>32.47</v>
      </c>
      <c r="AK788">
        <v>23.8</v>
      </c>
      <c r="AL788">
        <v>-20.19172654999997</v>
      </c>
      <c r="AM788">
        <v>-44.904976932073851</v>
      </c>
      <c r="AN788">
        <v>-20.19172654999997</v>
      </c>
      <c r="AO788">
        <v>-44.904976932073851</v>
      </c>
      <c r="AP788">
        <v>-20.191745999999998</v>
      </c>
      <c r="AQ788">
        <v>-44.904957000000003</v>
      </c>
      <c r="AR788">
        <v>3.004110632807953</v>
      </c>
      <c r="AS788" t="s">
        <v>65</v>
      </c>
      <c r="AT788">
        <v>1</v>
      </c>
      <c r="AU788" t="s">
        <v>1204</v>
      </c>
      <c r="AV788" t="s">
        <v>1205</v>
      </c>
      <c r="AW788" t="s">
        <v>60</v>
      </c>
      <c r="AX788" t="s">
        <v>68</v>
      </c>
      <c r="AY788" t="s">
        <v>69</v>
      </c>
      <c r="AZ788" t="b">
        <v>1</v>
      </c>
    </row>
    <row r="789" spans="1:52" x14ac:dyDescent="0.3">
      <c r="A789" t="s">
        <v>52</v>
      </c>
      <c r="B789" t="s">
        <v>53</v>
      </c>
      <c r="C789" t="s">
        <v>54</v>
      </c>
      <c r="D789" t="s">
        <v>55</v>
      </c>
      <c r="E789" t="s">
        <v>2099</v>
      </c>
      <c r="F789" t="s">
        <v>190</v>
      </c>
      <c r="G789" t="s">
        <v>1218</v>
      </c>
      <c r="H789" t="s">
        <v>1219</v>
      </c>
      <c r="I789" t="s">
        <v>1219</v>
      </c>
      <c r="J789" t="s">
        <v>60</v>
      </c>
      <c r="K789" t="s">
        <v>828</v>
      </c>
      <c r="L789" t="s">
        <v>62</v>
      </c>
      <c r="M789" t="s">
        <v>828</v>
      </c>
      <c r="N789" t="s">
        <v>1220</v>
      </c>
      <c r="O789" t="s">
        <v>1221</v>
      </c>
      <c r="P789">
        <v>-20.132722000000001</v>
      </c>
      <c r="Q789">
        <v>-44.843550999999998</v>
      </c>
      <c r="R789" s="2" t="str">
        <f>HYPERLINK("https://www.google.com/maps?q=-20.1327220,-44.8435510","Abrir no Google Maps")</f>
        <v>Abrir no Google Maps</v>
      </c>
      <c r="S789">
        <v>3</v>
      </c>
      <c r="T789">
        <v>846.88659580558431</v>
      </c>
      <c r="U789">
        <v>4</v>
      </c>
      <c r="V789">
        <v>20</v>
      </c>
      <c r="W789">
        <v>1</v>
      </c>
      <c r="X789">
        <v>20</v>
      </c>
      <c r="Y789">
        <v>118</v>
      </c>
      <c r="Z789">
        <v>797.91643890712305</v>
      </c>
      <c r="AA789">
        <v>198</v>
      </c>
      <c r="AB789">
        <v>332</v>
      </c>
      <c r="AC789">
        <v>536</v>
      </c>
      <c r="AD789">
        <v>30.48</v>
      </c>
      <c r="AE789">
        <v>542</v>
      </c>
      <c r="AF789">
        <v>30</v>
      </c>
      <c r="AG789">
        <v>176</v>
      </c>
      <c r="AH789">
        <v>129</v>
      </c>
      <c r="AI789">
        <v>5.54</v>
      </c>
      <c r="AJ789">
        <v>32.47</v>
      </c>
      <c r="AK789">
        <v>23.8</v>
      </c>
      <c r="AL789">
        <v>-20.132714949999979</v>
      </c>
      <c r="AM789">
        <v>-44.843475702545703</v>
      </c>
      <c r="AN789">
        <v>-20.132714949999979</v>
      </c>
      <c r="AO789">
        <v>-44.843475702545703</v>
      </c>
      <c r="AP789">
        <v>-20.132722000000001</v>
      </c>
      <c r="AQ789">
        <v>-44.843550999999998</v>
      </c>
      <c r="AR789">
        <v>7.9089820822755481</v>
      </c>
      <c r="AS789" t="s">
        <v>65</v>
      </c>
      <c r="AT789">
        <v>1</v>
      </c>
      <c r="AU789" t="s">
        <v>1222</v>
      </c>
      <c r="AV789" t="s">
        <v>1223</v>
      </c>
      <c r="AW789" t="s">
        <v>60</v>
      </c>
      <c r="AX789" t="s">
        <v>68</v>
      </c>
      <c r="AY789" t="s">
        <v>69</v>
      </c>
      <c r="AZ789" t="b">
        <v>1</v>
      </c>
    </row>
    <row r="790" spans="1:52" x14ac:dyDescent="0.3">
      <c r="A790" t="s">
        <v>52</v>
      </c>
      <c r="B790" t="s">
        <v>53</v>
      </c>
      <c r="C790" t="s">
        <v>54</v>
      </c>
      <c r="D790" t="s">
        <v>55</v>
      </c>
      <c r="E790" t="s">
        <v>2099</v>
      </c>
      <c r="F790" t="s">
        <v>190</v>
      </c>
      <c r="G790" t="s">
        <v>1801</v>
      </c>
      <c r="H790" t="s">
        <v>1802</v>
      </c>
      <c r="I790" t="s">
        <v>1802</v>
      </c>
      <c r="J790" t="s">
        <v>60</v>
      </c>
      <c r="K790" t="s">
        <v>1803</v>
      </c>
      <c r="L790" t="s">
        <v>62</v>
      </c>
      <c r="M790" t="s">
        <v>1803</v>
      </c>
      <c r="N790" t="s">
        <v>1804</v>
      </c>
      <c r="O790" t="s">
        <v>1805</v>
      </c>
      <c r="P790">
        <v>-20.131599000000001</v>
      </c>
      <c r="Q790">
        <v>-44.839945</v>
      </c>
      <c r="R790" s="2" t="str">
        <f>HYPERLINK("https://www.google.com/maps?q=-20.1315990,-44.8399450","Abrir no Google Maps")</f>
        <v>Abrir no Google Maps</v>
      </c>
      <c r="S790">
        <v>3</v>
      </c>
      <c r="T790">
        <v>480.67866935083049</v>
      </c>
      <c r="U790">
        <v>4</v>
      </c>
      <c r="V790">
        <v>21</v>
      </c>
      <c r="W790">
        <v>1</v>
      </c>
      <c r="X790">
        <v>21</v>
      </c>
      <c r="Y790">
        <v>118</v>
      </c>
      <c r="Z790">
        <v>505.26312452494989</v>
      </c>
      <c r="AA790">
        <v>198</v>
      </c>
      <c r="AB790">
        <v>332</v>
      </c>
      <c r="AC790">
        <v>536</v>
      </c>
      <c r="AD790">
        <v>30.48</v>
      </c>
      <c r="AE790">
        <v>542</v>
      </c>
      <c r="AF790">
        <v>30</v>
      </c>
      <c r="AG790">
        <v>176</v>
      </c>
      <c r="AH790">
        <v>129</v>
      </c>
      <c r="AI790">
        <v>5.54</v>
      </c>
      <c r="AJ790">
        <v>32.47</v>
      </c>
      <c r="AK790">
        <v>23.8</v>
      </c>
      <c r="AL790">
        <v>-20.131561999999949</v>
      </c>
      <c r="AM790">
        <v>-44.839930272274998</v>
      </c>
      <c r="AN790">
        <v>-20.131561999999949</v>
      </c>
      <c r="AO790">
        <v>-44.839930272274998</v>
      </c>
      <c r="AP790">
        <v>-20.131599000000001</v>
      </c>
      <c r="AQ790">
        <v>-44.839945</v>
      </c>
      <c r="AR790">
        <v>4.3970860299791923</v>
      </c>
      <c r="AS790" t="s">
        <v>65</v>
      </c>
      <c r="AT790">
        <v>1</v>
      </c>
      <c r="AU790" t="s">
        <v>1806</v>
      </c>
      <c r="AV790" t="s">
        <v>1807</v>
      </c>
      <c r="AW790" t="s">
        <v>60</v>
      </c>
      <c r="AX790" t="s">
        <v>68</v>
      </c>
      <c r="AY790" t="s">
        <v>69</v>
      </c>
      <c r="AZ790" t="b">
        <v>1</v>
      </c>
    </row>
    <row r="791" spans="1:52" x14ac:dyDescent="0.3">
      <c r="A791" t="s">
        <v>52</v>
      </c>
      <c r="B791" t="s">
        <v>53</v>
      </c>
      <c r="C791" t="s">
        <v>54</v>
      </c>
      <c r="D791" t="s">
        <v>55</v>
      </c>
      <c r="E791" t="s">
        <v>2099</v>
      </c>
      <c r="F791" t="s">
        <v>190</v>
      </c>
      <c r="G791" t="s">
        <v>826</v>
      </c>
      <c r="H791" t="s">
        <v>827</v>
      </c>
      <c r="I791" t="s">
        <v>827</v>
      </c>
      <c r="J791" t="s">
        <v>60</v>
      </c>
      <c r="K791" t="s">
        <v>828</v>
      </c>
      <c r="L791" t="s">
        <v>62</v>
      </c>
      <c r="M791" t="s">
        <v>828</v>
      </c>
      <c r="N791" t="s">
        <v>829</v>
      </c>
      <c r="O791" t="s">
        <v>830</v>
      </c>
      <c r="P791">
        <v>-20.128309999999999</v>
      </c>
      <c r="Q791">
        <v>-44.8367</v>
      </c>
      <c r="R791" s="2" t="str">
        <f>HYPERLINK("https://www.google.com/maps?q=-20.1283100,-44.8367000","Abrir no Google Maps")</f>
        <v>Abrir no Google Maps</v>
      </c>
      <c r="S791">
        <v>3</v>
      </c>
      <c r="T791">
        <v>0</v>
      </c>
      <c r="U791">
        <v>4</v>
      </c>
      <c r="V791">
        <v>28</v>
      </c>
      <c r="W791">
        <v>1</v>
      </c>
      <c r="X791">
        <v>28</v>
      </c>
      <c r="Y791">
        <v>118</v>
      </c>
      <c r="Z791">
        <v>65.93296364139367</v>
      </c>
      <c r="AA791">
        <v>198</v>
      </c>
      <c r="AB791">
        <v>332</v>
      </c>
      <c r="AC791">
        <v>536</v>
      </c>
      <c r="AD791">
        <v>30.48</v>
      </c>
      <c r="AE791">
        <v>542</v>
      </c>
      <c r="AF791">
        <v>30</v>
      </c>
      <c r="AG791">
        <v>176</v>
      </c>
      <c r="AH791">
        <v>129</v>
      </c>
      <c r="AI791">
        <v>5.54</v>
      </c>
      <c r="AJ791">
        <v>32.47</v>
      </c>
      <c r="AK791">
        <v>23.8</v>
      </c>
      <c r="AL791">
        <v>-20.128383649999961</v>
      </c>
      <c r="AM791">
        <v>-44.836795615491283</v>
      </c>
      <c r="AN791">
        <v>-20.128383649999961</v>
      </c>
      <c r="AO791">
        <v>-44.836795615491283</v>
      </c>
      <c r="AP791">
        <v>-20.128309999999999</v>
      </c>
      <c r="AQ791">
        <v>-44.8367</v>
      </c>
      <c r="AR791">
        <v>12.92654496723039</v>
      </c>
      <c r="AS791" t="s">
        <v>65</v>
      </c>
      <c r="AT791">
        <v>1</v>
      </c>
      <c r="AU791" t="s">
        <v>831</v>
      </c>
      <c r="AV791" t="s">
        <v>832</v>
      </c>
      <c r="AW791" t="s">
        <v>60</v>
      </c>
      <c r="AX791" t="s">
        <v>68</v>
      </c>
      <c r="AY791" t="s">
        <v>69</v>
      </c>
      <c r="AZ791" t="b">
        <v>1</v>
      </c>
    </row>
    <row r="792" spans="1:52" x14ac:dyDescent="0.3">
      <c r="A792" t="s">
        <v>52</v>
      </c>
      <c r="B792" t="s">
        <v>53</v>
      </c>
      <c r="C792" t="s">
        <v>54</v>
      </c>
      <c r="D792" t="s">
        <v>55</v>
      </c>
      <c r="E792" t="s">
        <v>2099</v>
      </c>
      <c r="F792" t="s">
        <v>190</v>
      </c>
      <c r="G792" t="s">
        <v>1819</v>
      </c>
      <c r="H792" t="s">
        <v>1820</v>
      </c>
      <c r="I792" t="s">
        <v>1820</v>
      </c>
      <c r="J792" t="s">
        <v>60</v>
      </c>
      <c r="K792" t="s">
        <v>1821</v>
      </c>
      <c r="L792" t="s">
        <v>62</v>
      </c>
      <c r="M792" t="s">
        <v>1821</v>
      </c>
      <c r="N792" t="s">
        <v>1822</v>
      </c>
      <c r="O792" t="s">
        <v>250</v>
      </c>
      <c r="P792">
        <v>-20.206074999999998</v>
      </c>
      <c r="Q792">
        <v>-44.923881999999999</v>
      </c>
      <c r="R792" s="2" t="str">
        <f>HYPERLINK("https://www.google.com/maps?q=-20.2060750,-44.9238820","Abrir no Google Maps")</f>
        <v>Abrir no Google Maps</v>
      </c>
      <c r="S792">
        <v>3</v>
      </c>
      <c r="T792">
        <v>2167.614130207975</v>
      </c>
      <c r="U792">
        <v>4</v>
      </c>
      <c r="V792">
        <v>21</v>
      </c>
      <c r="W792">
        <v>1</v>
      </c>
      <c r="X792">
        <v>21</v>
      </c>
      <c r="Y792">
        <v>113</v>
      </c>
      <c r="Z792">
        <v>2279.572967498636</v>
      </c>
      <c r="AA792">
        <v>198</v>
      </c>
      <c r="AB792">
        <v>332</v>
      </c>
      <c r="AC792">
        <v>536</v>
      </c>
      <c r="AD792">
        <v>30.48</v>
      </c>
      <c r="AE792">
        <v>542</v>
      </c>
      <c r="AF792">
        <v>30</v>
      </c>
      <c r="AG792">
        <v>176</v>
      </c>
      <c r="AH792">
        <v>129</v>
      </c>
      <c r="AI792">
        <v>5.54</v>
      </c>
      <c r="AJ792">
        <v>32.47</v>
      </c>
      <c r="AK792">
        <v>23.8</v>
      </c>
      <c r="AL792">
        <v>-20.206031099999961</v>
      </c>
      <c r="AM792">
        <v>-44.923641529947623</v>
      </c>
      <c r="AN792">
        <v>-20.206031099999961</v>
      </c>
      <c r="AO792">
        <v>-44.923641529947623</v>
      </c>
      <c r="AP792">
        <v>-20.206074999999998</v>
      </c>
      <c r="AQ792">
        <v>-44.923881999999999</v>
      </c>
      <c r="AR792">
        <v>25.59258324329182</v>
      </c>
      <c r="AS792" t="s">
        <v>65</v>
      </c>
      <c r="AT792">
        <v>1</v>
      </c>
      <c r="AU792" t="s">
        <v>1823</v>
      </c>
      <c r="AV792" t="s">
        <v>1824</v>
      </c>
      <c r="AW792" t="s">
        <v>60</v>
      </c>
      <c r="AX792" t="s">
        <v>68</v>
      </c>
      <c r="AY792" t="s">
        <v>69</v>
      </c>
      <c r="AZ792" t="b">
        <v>1</v>
      </c>
    </row>
    <row r="793" spans="1:52" x14ac:dyDescent="0.3">
      <c r="A793" t="s">
        <v>52</v>
      </c>
      <c r="B793" t="s">
        <v>53</v>
      </c>
      <c r="C793" t="s">
        <v>54</v>
      </c>
      <c r="D793" t="s">
        <v>55</v>
      </c>
      <c r="E793" t="s">
        <v>2099</v>
      </c>
      <c r="F793" t="s">
        <v>190</v>
      </c>
      <c r="G793" t="s">
        <v>1825</v>
      </c>
      <c r="H793" t="s">
        <v>1826</v>
      </c>
      <c r="I793" t="s">
        <v>1826</v>
      </c>
      <c r="J793" t="s">
        <v>60</v>
      </c>
      <c r="K793" t="s">
        <v>1821</v>
      </c>
      <c r="L793" t="s">
        <v>62</v>
      </c>
      <c r="M793" t="s">
        <v>1821</v>
      </c>
      <c r="N793" t="s">
        <v>1827</v>
      </c>
      <c r="O793" t="s">
        <v>303</v>
      </c>
      <c r="P793">
        <v>-20.209962000000001</v>
      </c>
      <c r="Q793">
        <v>-44.922398000000001</v>
      </c>
      <c r="R793" s="2" t="str">
        <f>HYPERLINK("https://www.google.com/maps?q=-20.2099620,-44.9223980","Abrir no Google Maps")</f>
        <v>Abrir no Google Maps</v>
      </c>
      <c r="S793">
        <v>3</v>
      </c>
      <c r="T793">
        <v>2648.9288862562971</v>
      </c>
      <c r="U793">
        <v>4</v>
      </c>
      <c r="V793">
        <v>32</v>
      </c>
      <c r="W793">
        <v>1</v>
      </c>
      <c r="X793">
        <v>32</v>
      </c>
      <c r="Y793">
        <v>113</v>
      </c>
      <c r="Z793">
        <v>2658.455493028307</v>
      </c>
      <c r="AA793">
        <v>198</v>
      </c>
      <c r="AB793">
        <v>332</v>
      </c>
      <c r="AC793">
        <v>536</v>
      </c>
      <c r="AD793">
        <v>30.48</v>
      </c>
      <c r="AE793">
        <v>542</v>
      </c>
      <c r="AF793">
        <v>30</v>
      </c>
      <c r="AG793">
        <v>176</v>
      </c>
      <c r="AH793">
        <v>129</v>
      </c>
      <c r="AI793">
        <v>5.54</v>
      </c>
      <c r="AJ793">
        <v>32.47</v>
      </c>
      <c r="AK793">
        <v>23.8</v>
      </c>
      <c r="AL793">
        <v>-20.210291849999951</v>
      </c>
      <c r="AM793">
        <v>-44.921758447931353</v>
      </c>
      <c r="AN793">
        <v>-20.210291849999951</v>
      </c>
      <c r="AO793">
        <v>-44.921758447931353</v>
      </c>
      <c r="AP793">
        <v>-20.209962000000001</v>
      </c>
      <c r="AQ793">
        <v>-44.922398000000001</v>
      </c>
      <c r="AR793">
        <v>76.23686013355892</v>
      </c>
      <c r="AS793" t="s">
        <v>65</v>
      </c>
      <c r="AT793">
        <v>1</v>
      </c>
      <c r="AU793" t="s">
        <v>1828</v>
      </c>
      <c r="AV793" t="s">
        <v>1829</v>
      </c>
      <c r="AW793" t="s">
        <v>60</v>
      </c>
      <c r="AX793" t="s">
        <v>68</v>
      </c>
      <c r="AY793" t="s">
        <v>69</v>
      </c>
      <c r="AZ793" t="b">
        <v>1</v>
      </c>
    </row>
    <row r="794" spans="1:52" x14ac:dyDescent="0.3">
      <c r="A794" t="s">
        <v>52</v>
      </c>
      <c r="B794" t="s">
        <v>53</v>
      </c>
      <c r="C794" t="s">
        <v>54</v>
      </c>
      <c r="D794" t="s">
        <v>55</v>
      </c>
      <c r="E794" t="s">
        <v>2099</v>
      </c>
      <c r="F794" t="s">
        <v>190</v>
      </c>
      <c r="G794" t="s">
        <v>1235</v>
      </c>
      <c r="H794" t="s">
        <v>1236</v>
      </c>
      <c r="I794" t="s">
        <v>1236</v>
      </c>
      <c r="J794" t="s">
        <v>60</v>
      </c>
      <c r="K794" t="s">
        <v>1237</v>
      </c>
      <c r="L794" t="s">
        <v>62</v>
      </c>
      <c r="M794" t="s">
        <v>1237</v>
      </c>
      <c r="N794" t="s">
        <v>1238</v>
      </c>
      <c r="O794" t="s">
        <v>315</v>
      </c>
      <c r="P794">
        <v>-20.199687000000001</v>
      </c>
      <c r="Q794">
        <v>-44.941882999999997</v>
      </c>
      <c r="R794" s="2" t="str">
        <f>HYPERLINK("https://www.google.com/maps?q=-20.1996870,-44.9418830","Abrir no Google Maps")</f>
        <v>Abrir no Google Maps</v>
      </c>
      <c r="S794">
        <v>3</v>
      </c>
      <c r="T794">
        <v>928.80393950893483</v>
      </c>
      <c r="U794">
        <v>4</v>
      </c>
      <c r="V794">
        <v>21</v>
      </c>
      <c r="W794">
        <v>1</v>
      </c>
      <c r="X794">
        <v>21</v>
      </c>
      <c r="Y794">
        <v>113</v>
      </c>
      <c r="Z794">
        <v>798.11967422937732</v>
      </c>
      <c r="AA794">
        <v>198</v>
      </c>
      <c r="AB794">
        <v>332</v>
      </c>
      <c r="AC794">
        <v>536</v>
      </c>
      <c r="AD794">
        <v>30.48</v>
      </c>
      <c r="AE794">
        <v>542</v>
      </c>
      <c r="AF794">
        <v>30</v>
      </c>
      <c r="AG794">
        <v>176</v>
      </c>
      <c r="AH794">
        <v>129</v>
      </c>
      <c r="AI794">
        <v>5.54</v>
      </c>
      <c r="AJ794">
        <v>32.47</v>
      </c>
      <c r="AK794">
        <v>23.8</v>
      </c>
      <c r="AL794">
        <v>-20.199663899999958</v>
      </c>
      <c r="AM794">
        <v>-44.941858448694838</v>
      </c>
      <c r="AN794">
        <v>-20.199663899999958</v>
      </c>
      <c r="AO794">
        <v>-44.941858448694838</v>
      </c>
      <c r="AP794">
        <v>-20.199687000000001</v>
      </c>
      <c r="AQ794">
        <v>-44.941882999999997</v>
      </c>
      <c r="AR794">
        <v>3.632019521873886</v>
      </c>
      <c r="AS794" t="s">
        <v>65</v>
      </c>
      <c r="AT794">
        <v>1</v>
      </c>
      <c r="AU794" t="s">
        <v>1239</v>
      </c>
      <c r="AV794" t="s">
        <v>1240</v>
      </c>
      <c r="AW794" t="s">
        <v>60</v>
      </c>
      <c r="AX794" t="s">
        <v>68</v>
      </c>
      <c r="AY794" t="s">
        <v>69</v>
      </c>
      <c r="AZ794" t="b">
        <v>1</v>
      </c>
    </row>
    <row r="795" spans="1:52" x14ac:dyDescent="0.3">
      <c r="A795" t="s">
        <v>52</v>
      </c>
      <c r="B795" t="s">
        <v>53</v>
      </c>
      <c r="C795" t="s">
        <v>54</v>
      </c>
      <c r="D795" t="s">
        <v>55</v>
      </c>
      <c r="E795" t="s">
        <v>2099</v>
      </c>
      <c r="F795" t="s">
        <v>190</v>
      </c>
      <c r="G795" t="s">
        <v>1850</v>
      </c>
      <c r="H795" t="s">
        <v>1851</v>
      </c>
      <c r="I795" t="s">
        <v>1851</v>
      </c>
      <c r="J795" t="s">
        <v>60</v>
      </c>
      <c r="K795" t="s">
        <v>1681</v>
      </c>
      <c r="L795" t="s">
        <v>62</v>
      </c>
      <c r="M795" t="s">
        <v>1681</v>
      </c>
      <c r="N795" t="s">
        <v>1852</v>
      </c>
      <c r="O795" t="s">
        <v>1853</v>
      </c>
      <c r="P795">
        <v>-20.139354000000001</v>
      </c>
      <c r="Q795">
        <v>-44.855398999999998</v>
      </c>
      <c r="R795" s="2" t="str">
        <f>HYPERLINK("https://www.google.com/maps?q=-20.1393540,-44.8553990","Abrir no Google Maps")</f>
        <v>Abrir no Google Maps</v>
      </c>
      <c r="S795">
        <v>3</v>
      </c>
      <c r="T795">
        <v>694.41696355871329</v>
      </c>
      <c r="U795">
        <v>4</v>
      </c>
      <c r="V795">
        <v>22</v>
      </c>
      <c r="W795">
        <v>1</v>
      </c>
      <c r="X795">
        <v>22</v>
      </c>
      <c r="Y795">
        <v>95</v>
      </c>
      <c r="Z795">
        <v>790.58507878435637</v>
      </c>
      <c r="AA795">
        <v>198</v>
      </c>
      <c r="AB795">
        <v>332</v>
      </c>
      <c r="AC795">
        <v>536</v>
      </c>
      <c r="AD795">
        <v>30.48</v>
      </c>
      <c r="AE795">
        <v>542</v>
      </c>
      <c r="AF795">
        <v>30</v>
      </c>
      <c r="AG795">
        <v>176</v>
      </c>
      <c r="AH795">
        <v>129</v>
      </c>
      <c r="AI795">
        <v>5.54</v>
      </c>
      <c r="AJ795">
        <v>32.47</v>
      </c>
      <c r="AK795">
        <v>23.8</v>
      </c>
      <c r="AL795">
        <v>-20.139412599999961</v>
      </c>
      <c r="AM795">
        <v>-44.855150404999961</v>
      </c>
      <c r="AN795">
        <v>-20.139412599999961</v>
      </c>
      <c r="AO795">
        <v>-44.855150404999961</v>
      </c>
      <c r="AP795">
        <v>-20.139354000000001</v>
      </c>
      <c r="AQ795">
        <v>-44.855398999999998</v>
      </c>
      <c r="AR795">
        <v>26.787980665123101</v>
      </c>
      <c r="AS795" t="s">
        <v>65</v>
      </c>
      <c r="AT795">
        <v>1</v>
      </c>
      <c r="AU795" t="s">
        <v>1854</v>
      </c>
      <c r="AV795" t="s">
        <v>1855</v>
      </c>
      <c r="AW795" t="s">
        <v>60</v>
      </c>
      <c r="AX795" t="s">
        <v>68</v>
      </c>
      <c r="AY795" t="s">
        <v>69</v>
      </c>
      <c r="AZ795" t="b">
        <v>1</v>
      </c>
    </row>
    <row r="796" spans="1:52" x14ac:dyDescent="0.3">
      <c r="A796" t="s">
        <v>52</v>
      </c>
      <c r="B796" t="s">
        <v>53</v>
      </c>
      <c r="C796" t="s">
        <v>54</v>
      </c>
      <c r="D796" t="s">
        <v>55</v>
      </c>
      <c r="E796" t="s">
        <v>2099</v>
      </c>
      <c r="F796" t="s">
        <v>190</v>
      </c>
      <c r="G796" t="s">
        <v>380</v>
      </c>
      <c r="H796" t="s">
        <v>381</v>
      </c>
      <c r="I796" t="s">
        <v>381</v>
      </c>
      <c r="J796" t="s">
        <v>60</v>
      </c>
      <c r="K796" t="s">
        <v>72</v>
      </c>
      <c r="L796" t="s">
        <v>62</v>
      </c>
      <c r="M796" t="s">
        <v>72</v>
      </c>
      <c r="N796" t="s">
        <v>382</v>
      </c>
      <c r="O796" t="s">
        <v>383</v>
      </c>
      <c r="P796">
        <v>-20.147182000000001</v>
      </c>
      <c r="Q796">
        <v>-44.912728999999999</v>
      </c>
      <c r="R796" s="2" t="str">
        <f>HYPERLINK("https://www.google.com/maps?q=-20.1471820,-44.9127290","Abrir no Google Maps")</f>
        <v>Abrir no Google Maps</v>
      </c>
      <c r="S796">
        <v>3</v>
      </c>
      <c r="T796">
        <v>478.0141981540923</v>
      </c>
      <c r="U796">
        <v>3</v>
      </c>
      <c r="V796">
        <v>17</v>
      </c>
      <c r="W796">
        <v>1</v>
      </c>
      <c r="X796">
        <v>17</v>
      </c>
      <c r="Y796">
        <v>747</v>
      </c>
      <c r="Z796">
        <v>494.0254290673729</v>
      </c>
      <c r="AA796">
        <v>198</v>
      </c>
      <c r="AB796">
        <v>332</v>
      </c>
      <c r="AC796">
        <v>536</v>
      </c>
      <c r="AD796">
        <v>30.48</v>
      </c>
      <c r="AE796">
        <v>542</v>
      </c>
      <c r="AF796">
        <v>30</v>
      </c>
      <c r="AG796">
        <v>176</v>
      </c>
      <c r="AH796">
        <v>129</v>
      </c>
      <c r="AI796">
        <v>5.54</v>
      </c>
      <c r="AJ796">
        <v>32.47</v>
      </c>
      <c r="AK796">
        <v>23.8</v>
      </c>
      <c r="AL796">
        <v>-20.147375599999979</v>
      </c>
      <c r="AM796">
        <v>-44.912907472879468</v>
      </c>
      <c r="AN796">
        <v>-20.147375599999979</v>
      </c>
      <c r="AO796">
        <v>-44.912907472879468</v>
      </c>
      <c r="AP796">
        <v>-20.147182000000001</v>
      </c>
      <c r="AQ796">
        <v>-44.912728999999999</v>
      </c>
      <c r="AR796">
        <v>28.50197694184326</v>
      </c>
      <c r="AS796" t="s">
        <v>65</v>
      </c>
      <c r="AT796">
        <v>1</v>
      </c>
      <c r="AU796" t="s">
        <v>384</v>
      </c>
      <c r="AV796" t="s">
        <v>385</v>
      </c>
      <c r="AW796" t="s">
        <v>60</v>
      </c>
      <c r="AX796" t="s">
        <v>68</v>
      </c>
      <c r="AY796" t="s">
        <v>69</v>
      </c>
      <c r="AZ796" t="b">
        <v>1</v>
      </c>
    </row>
    <row r="797" spans="1:52" x14ac:dyDescent="0.3">
      <c r="A797" t="s">
        <v>52</v>
      </c>
      <c r="B797" t="s">
        <v>53</v>
      </c>
      <c r="C797" t="s">
        <v>54</v>
      </c>
      <c r="D797" t="s">
        <v>55</v>
      </c>
      <c r="E797" t="s">
        <v>2099</v>
      </c>
      <c r="F797" t="s">
        <v>190</v>
      </c>
      <c r="G797" t="s">
        <v>386</v>
      </c>
      <c r="H797" t="s">
        <v>387</v>
      </c>
      <c r="I797" t="s">
        <v>387</v>
      </c>
      <c r="J797" t="s">
        <v>60</v>
      </c>
      <c r="K797" t="s">
        <v>388</v>
      </c>
      <c r="L797" t="s">
        <v>62</v>
      </c>
      <c r="M797" t="s">
        <v>388</v>
      </c>
      <c r="N797" t="s">
        <v>389</v>
      </c>
      <c r="O797" t="s">
        <v>357</v>
      </c>
      <c r="P797">
        <v>-20.161041999999998</v>
      </c>
      <c r="Q797">
        <v>-44.901242000000003</v>
      </c>
      <c r="R797" s="2" t="str">
        <f>HYPERLINK("https://www.google.com/maps?q=-20.1610420,-44.9012420","Abrir no Google Maps")</f>
        <v>Abrir no Google Maps</v>
      </c>
      <c r="S797">
        <v>3</v>
      </c>
      <c r="T797">
        <v>440.22183232279212</v>
      </c>
      <c r="U797">
        <v>3</v>
      </c>
      <c r="V797">
        <v>12</v>
      </c>
      <c r="W797">
        <v>1</v>
      </c>
      <c r="X797">
        <v>12</v>
      </c>
      <c r="Y797">
        <v>729</v>
      </c>
      <c r="Z797">
        <v>398.48306829302379</v>
      </c>
      <c r="AA797">
        <v>198</v>
      </c>
      <c r="AB797">
        <v>332</v>
      </c>
      <c r="AC797">
        <v>536</v>
      </c>
      <c r="AD797">
        <v>30.48</v>
      </c>
      <c r="AE797">
        <v>542</v>
      </c>
      <c r="AF797">
        <v>30</v>
      </c>
      <c r="AG797">
        <v>176</v>
      </c>
      <c r="AH797">
        <v>129</v>
      </c>
      <c r="AI797">
        <v>5.54</v>
      </c>
      <c r="AJ797">
        <v>32.47</v>
      </c>
      <c r="AK797">
        <v>23.8</v>
      </c>
      <c r="AL797">
        <v>-20.16176629999995</v>
      </c>
      <c r="AM797">
        <v>-44.901582787827898</v>
      </c>
      <c r="AN797">
        <v>-20.16176629999995</v>
      </c>
      <c r="AO797">
        <v>-44.901582787827898</v>
      </c>
      <c r="AP797">
        <v>-20.161041999999998</v>
      </c>
      <c r="AQ797">
        <v>-44.901242000000003</v>
      </c>
      <c r="AR797">
        <v>88.143369157892835</v>
      </c>
      <c r="AS797" t="s">
        <v>65</v>
      </c>
      <c r="AT797">
        <v>1</v>
      </c>
      <c r="AU797" t="s">
        <v>390</v>
      </c>
      <c r="AV797" t="s">
        <v>391</v>
      </c>
      <c r="AW797" t="s">
        <v>60</v>
      </c>
      <c r="AX797" t="s">
        <v>68</v>
      </c>
      <c r="AY797" t="s">
        <v>69</v>
      </c>
      <c r="AZ797" t="b">
        <v>1</v>
      </c>
    </row>
    <row r="798" spans="1:52" x14ac:dyDescent="0.3">
      <c r="A798" t="s">
        <v>52</v>
      </c>
      <c r="B798" t="s">
        <v>53</v>
      </c>
      <c r="C798" t="s">
        <v>54</v>
      </c>
      <c r="D798" t="s">
        <v>55</v>
      </c>
      <c r="E798" t="s">
        <v>2099</v>
      </c>
      <c r="F798" t="s">
        <v>190</v>
      </c>
      <c r="G798" t="s">
        <v>392</v>
      </c>
      <c r="H798" t="s">
        <v>393</v>
      </c>
      <c r="I798" t="s">
        <v>393</v>
      </c>
      <c r="J798" t="s">
        <v>60</v>
      </c>
      <c r="K798" t="s">
        <v>388</v>
      </c>
      <c r="L798" t="s">
        <v>62</v>
      </c>
      <c r="M798" t="s">
        <v>388</v>
      </c>
      <c r="N798" t="s">
        <v>394</v>
      </c>
      <c r="O798" t="s">
        <v>395</v>
      </c>
      <c r="P798">
        <v>-20.158066999999999</v>
      </c>
      <c r="Q798">
        <v>-44.908164999999997</v>
      </c>
      <c r="R798" s="2" t="str">
        <f>HYPERLINK("https://www.google.com/maps?q=-20.1580670,-44.9081650","Abrir no Google Maps")</f>
        <v>Abrir no Google Maps</v>
      </c>
      <c r="S798">
        <v>3</v>
      </c>
      <c r="T798">
        <v>666.74434317993041</v>
      </c>
      <c r="U798">
        <v>3</v>
      </c>
      <c r="V798">
        <v>14</v>
      </c>
      <c r="W798">
        <v>1</v>
      </c>
      <c r="X798">
        <v>14</v>
      </c>
      <c r="Y798">
        <v>729</v>
      </c>
      <c r="Z798">
        <v>612.4323328215396</v>
      </c>
      <c r="AA798">
        <v>198</v>
      </c>
      <c r="AB798">
        <v>332</v>
      </c>
      <c r="AC798">
        <v>536</v>
      </c>
      <c r="AD798">
        <v>30.48</v>
      </c>
      <c r="AE798">
        <v>542</v>
      </c>
      <c r="AF798">
        <v>30</v>
      </c>
      <c r="AG798">
        <v>176</v>
      </c>
      <c r="AH798">
        <v>129</v>
      </c>
      <c r="AI798">
        <v>5.54</v>
      </c>
      <c r="AJ798">
        <v>32.47</v>
      </c>
      <c r="AK798">
        <v>23.8</v>
      </c>
      <c r="AL798">
        <v>-20.158151449999959</v>
      </c>
      <c r="AM798">
        <v>-44.908107718360938</v>
      </c>
      <c r="AN798">
        <v>-20.158151449999959</v>
      </c>
      <c r="AO798">
        <v>-44.908107718360938</v>
      </c>
      <c r="AP798">
        <v>-20.158066999999999</v>
      </c>
      <c r="AQ798">
        <v>-44.908164999999997</v>
      </c>
      <c r="AR798">
        <v>11.14497345894574</v>
      </c>
      <c r="AS798" t="s">
        <v>65</v>
      </c>
      <c r="AT798">
        <v>1</v>
      </c>
      <c r="AU798" t="s">
        <v>396</v>
      </c>
      <c r="AV798" t="s">
        <v>397</v>
      </c>
      <c r="AW798" t="s">
        <v>60</v>
      </c>
      <c r="AX798" t="s">
        <v>68</v>
      </c>
      <c r="AY798" t="s">
        <v>69</v>
      </c>
      <c r="AZ798" t="b">
        <v>1</v>
      </c>
    </row>
    <row r="799" spans="1:52" x14ac:dyDescent="0.3">
      <c r="A799" t="s">
        <v>52</v>
      </c>
      <c r="B799" t="s">
        <v>53</v>
      </c>
      <c r="C799" t="s">
        <v>54</v>
      </c>
      <c r="D799" t="s">
        <v>55</v>
      </c>
      <c r="E799" t="s">
        <v>2099</v>
      </c>
      <c r="F799" t="s">
        <v>190</v>
      </c>
      <c r="G799" t="s">
        <v>398</v>
      </c>
      <c r="H799" t="s">
        <v>399</v>
      </c>
      <c r="I799" t="s">
        <v>399</v>
      </c>
      <c r="J799" t="s">
        <v>60</v>
      </c>
      <c r="K799" t="s">
        <v>388</v>
      </c>
      <c r="L799" t="s">
        <v>62</v>
      </c>
      <c r="M799" t="s">
        <v>388</v>
      </c>
      <c r="N799" t="s">
        <v>400</v>
      </c>
      <c r="O799" t="s">
        <v>401</v>
      </c>
      <c r="P799">
        <v>-20.160157000000002</v>
      </c>
      <c r="Q799">
        <v>-44.904347999999999</v>
      </c>
      <c r="R799" s="2" t="str">
        <f>HYPERLINK("https://www.google.com/maps?q=-20.1601570,-44.9043480","Abrir no Google Maps")</f>
        <v>Abrir no Google Maps</v>
      </c>
      <c r="S799">
        <v>3</v>
      </c>
      <c r="T799">
        <v>469.26088527154809</v>
      </c>
      <c r="U799">
        <v>3</v>
      </c>
      <c r="V799">
        <v>18</v>
      </c>
      <c r="W799">
        <v>1</v>
      </c>
      <c r="X799">
        <v>18</v>
      </c>
      <c r="Y799">
        <v>729</v>
      </c>
      <c r="Z799">
        <v>253.57832452309071</v>
      </c>
      <c r="AA799">
        <v>198</v>
      </c>
      <c r="AB799">
        <v>332</v>
      </c>
      <c r="AC799">
        <v>536</v>
      </c>
      <c r="AD799">
        <v>30.48</v>
      </c>
      <c r="AE799">
        <v>542</v>
      </c>
      <c r="AF799">
        <v>30</v>
      </c>
      <c r="AG799">
        <v>176</v>
      </c>
      <c r="AH799">
        <v>129</v>
      </c>
      <c r="AI799">
        <v>5.54</v>
      </c>
      <c r="AJ799">
        <v>32.47</v>
      </c>
      <c r="AK799">
        <v>23.8</v>
      </c>
      <c r="AL799">
        <v>-20.160007949999969</v>
      </c>
      <c r="AM799">
        <v>-44.904396608560482</v>
      </c>
      <c r="AN799">
        <v>-20.160007949999969</v>
      </c>
      <c r="AO799">
        <v>-44.904396608560482</v>
      </c>
      <c r="AP799">
        <v>-20.160157000000002</v>
      </c>
      <c r="AQ799">
        <v>-44.904347999999999</v>
      </c>
      <c r="AR799">
        <v>17.35237255387942</v>
      </c>
      <c r="AS799" t="s">
        <v>65</v>
      </c>
      <c r="AT799">
        <v>1</v>
      </c>
      <c r="AU799" t="s">
        <v>402</v>
      </c>
      <c r="AV799" t="s">
        <v>403</v>
      </c>
      <c r="AW799" t="s">
        <v>60</v>
      </c>
      <c r="AX799" t="s">
        <v>68</v>
      </c>
      <c r="AY799" t="s">
        <v>69</v>
      </c>
      <c r="AZ799" t="b">
        <v>1</v>
      </c>
    </row>
    <row r="800" spans="1:52" x14ac:dyDescent="0.3">
      <c r="A800" t="s">
        <v>52</v>
      </c>
      <c r="B800" t="s">
        <v>53</v>
      </c>
      <c r="C800" t="s">
        <v>54</v>
      </c>
      <c r="D800" t="s">
        <v>55</v>
      </c>
      <c r="E800" t="s">
        <v>2099</v>
      </c>
      <c r="F800" t="s">
        <v>190</v>
      </c>
      <c r="G800" t="s">
        <v>416</v>
      </c>
      <c r="H800" t="s">
        <v>417</v>
      </c>
      <c r="I800" t="s">
        <v>417</v>
      </c>
      <c r="J800" t="s">
        <v>60</v>
      </c>
      <c r="K800" t="s">
        <v>418</v>
      </c>
      <c r="L800" t="s">
        <v>62</v>
      </c>
      <c r="M800" t="s">
        <v>418</v>
      </c>
      <c r="N800" t="s">
        <v>419</v>
      </c>
      <c r="O800" t="s">
        <v>202</v>
      </c>
      <c r="P800">
        <v>-20.169886000000002</v>
      </c>
      <c r="Q800">
        <v>-44.913288000000001</v>
      </c>
      <c r="R800" s="2" t="str">
        <f>HYPERLINK("https://www.google.com/maps?q=-20.1698860,-44.9132880","Abrir no Google Maps")</f>
        <v>Abrir no Google Maps</v>
      </c>
      <c r="S800">
        <v>3</v>
      </c>
      <c r="T800">
        <v>422.88733632898152</v>
      </c>
      <c r="U800">
        <v>3</v>
      </c>
      <c r="V800">
        <v>17</v>
      </c>
      <c r="W800">
        <v>1</v>
      </c>
      <c r="X800">
        <v>17</v>
      </c>
      <c r="Y800">
        <v>723</v>
      </c>
      <c r="Z800">
        <v>128.65003864232261</v>
      </c>
      <c r="AA800">
        <v>198</v>
      </c>
      <c r="AB800">
        <v>332</v>
      </c>
      <c r="AC800">
        <v>536</v>
      </c>
      <c r="AD800">
        <v>30.48</v>
      </c>
      <c r="AE800">
        <v>542</v>
      </c>
      <c r="AF800">
        <v>30</v>
      </c>
      <c r="AG800">
        <v>176</v>
      </c>
      <c r="AH800">
        <v>129</v>
      </c>
      <c r="AI800">
        <v>5.54</v>
      </c>
      <c r="AJ800">
        <v>32.47</v>
      </c>
      <c r="AK800">
        <v>23.8</v>
      </c>
      <c r="AL800">
        <v>-20.16970024999998</v>
      </c>
      <c r="AM800">
        <v>-44.913502201257437</v>
      </c>
      <c r="AN800">
        <v>-20.16970024999998</v>
      </c>
      <c r="AO800">
        <v>-44.913502201257437</v>
      </c>
      <c r="AP800">
        <v>-20.169886000000002</v>
      </c>
      <c r="AQ800">
        <v>-44.913288000000001</v>
      </c>
      <c r="AR800">
        <v>30.47208587597606</v>
      </c>
      <c r="AS800" t="s">
        <v>65</v>
      </c>
      <c r="AT800">
        <v>1</v>
      </c>
      <c r="AU800" t="s">
        <v>420</v>
      </c>
      <c r="AV800" t="s">
        <v>421</v>
      </c>
      <c r="AW800" t="s">
        <v>60</v>
      </c>
      <c r="AX800" t="s">
        <v>68</v>
      </c>
      <c r="AY800" t="s">
        <v>69</v>
      </c>
      <c r="AZ800" t="b">
        <v>1</v>
      </c>
    </row>
    <row r="801" spans="1:52" x14ac:dyDescent="0.3">
      <c r="A801" t="s">
        <v>52</v>
      </c>
      <c r="B801" t="s">
        <v>53</v>
      </c>
      <c r="C801" t="s">
        <v>54</v>
      </c>
      <c r="D801" t="s">
        <v>55</v>
      </c>
      <c r="E801" t="s">
        <v>2099</v>
      </c>
      <c r="F801" t="s">
        <v>190</v>
      </c>
      <c r="G801" t="s">
        <v>1294</v>
      </c>
      <c r="H801" t="s">
        <v>1295</v>
      </c>
      <c r="I801" t="s">
        <v>1295</v>
      </c>
      <c r="J801" t="s">
        <v>60</v>
      </c>
      <c r="K801" t="s">
        <v>418</v>
      </c>
      <c r="L801" t="s">
        <v>62</v>
      </c>
      <c r="M801" t="s">
        <v>418</v>
      </c>
      <c r="N801" t="s">
        <v>1296</v>
      </c>
      <c r="O801" t="s">
        <v>1297</v>
      </c>
      <c r="P801">
        <v>-20.169899999999998</v>
      </c>
      <c r="Q801">
        <v>-44.916176999999998</v>
      </c>
      <c r="R801" s="2" t="str">
        <f>HYPERLINK("https://www.google.com/maps?q=-20.1699000,-44.9161770","Abrir no Google Maps")</f>
        <v>Abrir no Google Maps</v>
      </c>
      <c r="S801">
        <v>3</v>
      </c>
      <c r="T801">
        <v>658.15251036568407</v>
      </c>
      <c r="U801">
        <v>3</v>
      </c>
      <c r="V801">
        <v>18</v>
      </c>
      <c r="W801">
        <v>0.85</v>
      </c>
      <c r="X801">
        <v>15.3</v>
      </c>
      <c r="Y801">
        <v>723</v>
      </c>
      <c r="Z801">
        <v>400.39092274559039</v>
      </c>
      <c r="AA801">
        <v>198</v>
      </c>
      <c r="AB801">
        <v>332</v>
      </c>
      <c r="AC801">
        <v>536</v>
      </c>
      <c r="AD801">
        <v>30.48</v>
      </c>
      <c r="AE801">
        <v>542</v>
      </c>
      <c r="AF801">
        <v>30</v>
      </c>
      <c r="AG801">
        <v>176</v>
      </c>
      <c r="AH801">
        <v>129</v>
      </c>
      <c r="AI801">
        <v>5.54</v>
      </c>
      <c r="AJ801">
        <v>32.47</v>
      </c>
      <c r="AK801">
        <v>23.8</v>
      </c>
      <c r="AL801">
        <v>-20.169898399999941</v>
      </c>
      <c r="AM801">
        <v>-44.916247682868359</v>
      </c>
      <c r="AN801">
        <v>-20.169898399999941</v>
      </c>
      <c r="AO801">
        <v>-44.916247682868359</v>
      </c>
      <c r="AP801">
        <v>-20.169899999999998</v>
      </c>
      <c r="AQ801">
        <v>-44.916176999999998</v>
      </c>
      <c r="AR801">
        <v>7.388028048308902</v>
      </c>
      <c r="AS801" t="s">
        <v>65</v>
      </c>
      <c r="AT801">
        <v>1</v>
      </c>
      <c r="AU801" t="s">
        <v>1298</v>
      </c>
      <c r="AV801" t="s">
        <v>1299</v>
      </c>
      <c r="AW801" t="s">
        <v>60</v>
      </c>
      <c r="AX801" t="s">
        <v>68</v>
      </c>
      <c r="AY801" t="s">
        <v>69</v>
      </c>
      <c r="AZ801" t="b">
        <v>1</v>
      </c>
    </row>
    <row r="802" spans="1:52" x14ac:dyDescent="0.3">
      <c r="A802" t="s">
        <v>52</v>
      </c>
      <c r="B802" t="s">
        <v>53</v>
      </c>
      <c r="C802" t="s">
        <v>54</v>
      </c>
      <c r="D802" t="s">
        <v>55</v>
      </c>
      <c r="E802" t="s">
        <v>2099</v>
      </c>
      <c r="F802" t="s">
        <v>190</v>
      </c>
      <c r="G802" t="s">
        <v>1312</v>
      </c>
      <c r="H802" t="s">
        <v>1313</v>
      </c>
      <c r="I802" t="s">
        <v>1313</v>
      </c>
      <c r="J802" t="s">
        <v>60</v>
      </c>
      <c r="K802" t="s">
        <v>1314</v>
      </c>
      <c r="L802" t="s">
        <v>62</v>
      </c>
      <c r="M802" t="s">
        <v>1314</v>
      </c>
      <c r="N802" t="s">
        <v>1315</v>
      </c>
      <c r="O802" t="s">
        <v>315</v>
      </c>
      <c r="P802">
        <v>-20.179649999999999</v>
      </c>
      <c r="Q802">
        <v>-44.927177</v>
      </c>
      <c r="R802" s="2" t="str">
        <f>HYPERLINK("https://www.google.com/maps?q=-20.1796500,-44.9271770","Abrir no Google Maps")</f>
        <v>Abrir no Google Maps</v>
      </c>
      <c r="S802">
        <v>3</v>
      </c>
      <c r="T802">
        <v>1742.181438658615</v>
      </c>
      <c r="U802">
        <v>3</v>
      </c>
      <c r="V802">
        <v>16</v>
      </c>
      <c r="W802">
        <v>0.85</v>
      </c>
      <c r="X802">
        <v>13.6</v>
      </c>
      <c r="Y802">
        <v>723</v>
      </c>
      <c r="Z802">
        <v>1801.262037027635</v>
      </c>
      <c r="AA802">
        <v>198</v>
      </c>
      <c r="AB802">
        <v>332</v>
      </c>
      <c r="AC802">
        <v>536</v>
      </c>
      <c r="AD802">
        <v>30.48</v>
      </c>
      <c r="AE802">
        <v>542</v>
      </c>
      <c r="AF802">
        <v>30</v>
      </c>
      <c r="AG802">
        <v>176</v>
      </c>
      <c r="AH802">
        <v>129</v>
      </c>
      <c r="AI802">
        <v>5.54</v>
      </c>
      <c r="AJ802">
        <v>32.47</v>
      </c>
      <c r="AK802">
        <v>23.8</v>
      </c>
      <c r="AL802">
        <v>-20.18058599999998</v>
      </c>
      <c r="AM802">
        <v>-44.926708474999977</v>
      </c>
      <c r="AN802">
        <v>-20.18058599999998</v>
      </c>
      <c r="AO802">
        <v>-44.926708474999977</v>
      </c>
      <c r="AP802">
        <v>-20.179649999999999</v>
      </c>
      <c r="AQ802">
        <v>-44.927177</v>
      </c>
      <c r="AR802">
        <v>115.1226868075416</v>
      </c>
      <c r="AS802" t="s">
        <v>65</v>
      </c>
      <c r="AT802">
        <v>1</v>
      </c>
      <c r="AU802" t="s">
        <v>1316</v>
      </c>
      <c r="AV802" t="s">
        <v>1317</v>
      </c>
      <c r="AW802" t="s">
        <v>60</v>
      </c>
      <c r="AX802" t="s">
        <v>68</v>
      </c>
      <c r="AY802" t="s">
        <v>69</v>
      </c>
      <c r="AZ802" t="b">
        <v>1</v>
      </c>
    </row>
    <row r="803" spans="1:52" x14ac:dyDescent="0.3">
      <c r="A803" t="s">
        <v>52</v>
      </c>
      <c r="B803" t="s">
        <v>53</v>
      </c>
      <c r="C803" t="s">
        <v>54</v>
      </c>
      <c r="D803" t="s">
        <v>55</v>
      </c>
      <c r="E803" t="s">
        <v>2099</v>
      </c>
      <c r="F803" t="s">
        <v>190</v>
      </c>
      <c r="G803" t="s">
        <v>435</v>
      </c>
      <c r="H803" t="s">
        <v>436</v>
      </c>
      <c r="I803" t="s">
        <v>436</v>
      </c>
      <c r="J803" t="s">
        <v>60</v>
      </c>
      <c r="K803" t="s">
        <v>437</v>
      </c>
      <c r="L803" t="s">
        <v>62</v>
      </c>
      <c r="M803" t="s">
        <v>437</v>
      </c>
      <c r="N803" t="s">
        <v>438</v>
      </c>
      <c r="O803" t="s">
        <v>439</v>
      </c>
      <c r="P803">
        <v>-20.145613000000001</v>
      </c>
      <c r="Q803">
        <v>-44.882375000000003</v>
      </c>
      <c r="R803" s="2" t="str">
        <f>HYPERLINK("https://www.google.com/maps?q=-20.1456130,-44.8823750","Abrir no Google Maps")</f>
        <v>Abrir no Google Maps</v>
      </c>
      <c r="S803">
        <v>3</v>
      </c>
      <c r="T803">
        <v>305.65092112314198</v>
      </c>
      <c r="U803">
        <v>3</v>
      </c>
      <c r="V803">
        <v>17</v>
      </c>
      <c r="W803">
        <v>1</v>
      </c>
      <c r="X803">
        <v>17</v>
      </c>
      <c r="Y803">
        <v>653</v>
      </c>
      <c r="Z803">
        <v>349.55297035282501</v>
      </c>
      <c r="AA803">
        <v>198</v>
      </c>
      <c r="AB803">
        <v>332</v>
      </c>
      <c r="AC803">
        <v>536</v>
      </c>
      <c r="AD803">
        <v>30.48</v>
      </c>
      <c r="AE803">
        <v>542</v>
      </c>
      <c r="AF803">
        <v>30</v>
      </c>
      <c r="AG803">
        <v>176</v>
      </c>
      <c r="AH803">
        <v>129</v>
      </c>
      <c r="AI803">
        <v>5.54</v>
      </c>
      <c r="AJ803">
        <v>32.47</v>
      </c>
      <c r="AK803">
        <v>23.8</v>
      </c>
      <c r="AL803">
        <v>-20.14550464999996</v>
      </c>
      <c r="AM803">
        <v>-44.882157007077737</v>
      </c>
      <c r="AN803">
        <v>-20.14550464999996</v>
      </c>
      <c r="AO803">
        <v>-44.882157007077737</v>
      </c>
      <c r="AP803">
        <v>-20.145613000000001</v>
      </c>
      <c r="AQ803">
        <v>-44.882375000000003</v>
      </c>
      <c r="AR803">
        <v>25.77819791856259</v>
      </c>
      <c r="AS803" t="s">
        <v>65</v>
      </c>
      <c r="AT803">
        <v>1</v>
      </c>
      <c r="AU803" t="s">
        <v>440</v>
      </c>
      <c r="AV803" t="s">
        <v>441</v>
      </c>
      <c r="AW803" t="s">
        <v>60</v>
      </c>
      <c r="AX803" t="s">
        <v>68</v>
      </c>
      <c r="AY803" t="s">
        <v>69</v>
      </c>
      <c r="AZ803" t="b">
        <v>1</v>
      </c>
    </row>
    <row r="804" spans="1:52" x14ac:dyDescent="0.3">
      <c r="A804" t="s">
        <v>52</v>
      </c>
      <c r="B804" t="s">
        <v>53</v>
      </c>
      <c r="C804" t="s">
        <v>54</v>
      </c>
      <c r="D804" t="s">
        <v>55</v>
      </c>
      <c r="E804" t="s">
        <v>2099</v>
      </c>
      <c r="F804" t="s">
        <v>190</v>
      </c>
      <c r="G804" t="s">
        <v>1333</v>
      </c>
      <c r="H804" t="s">
        <v>1334</v>
      </c>
      <c r="I804" t="s">
        <v>1334</v>
      </c>
      <c r="J804" t="s">
        <v>60</v>
      </c>
      <c r="K804" t="s">
        <v>437</v>
      </c>
      <c r="L804" t="s">
        <v>62</v>
      </c>
      <c r="M804" t="s">
        <v>437</v>
      </c>
      <c r="N804" t="s">
        <v>1335</v>
      </c>
      <c r="O804" t="s">
        <v>807</v>
      </c>
      <c r="P804">
        <v>-20.148</v>
      </c>
      <c r="Q804">
        <v>-44.880944999999997</v>
      </c>
      <c r="R804" s="2" t="str">
        <f>HYPERLINK("https://www.google.com/maps?q=-20.1480000,-44.8809450","Abrir no Google Maps")</f>
        <v>Abrir no Google Maps</v>
      </c>
      <c r="S804">
        <v>3</v>
      </c>
      <c r="T804">
        <v>0</v>
      </c>
      <c r="U804">
        <v>3</v>
      </c>
      <c r="V804">
        <v>14</v>
      </c>
      <c r="W804">
        <v>0.85</v>
      </c>
      <c r="X804">
        <v>11.9</v>
      </c>
      <c r="Y804">
        <v>653</v>
      </c>
      <c r="Z804">
        <v>108.2792411420544</v>
      </c>
      <c r="AA804">
        <v>198</v>
      </c>
      <c r="AB804">
        <v>332</v>
      </c>
      <c r="AC804">
        <v>536</v>
      </c>
      <c r="AD804">
        <v>30.48</v>
      </c>
      <c r="AE804">
        <v>542</v>
      </c>
      <c r="AF804">
        <v>30</v>
      </c>
      <c r="AG804">
        <v>176</v>
      </c>
      <c r="AH804">
        <v>129</v>
      </c>
      <c r="AI804">
        <v>5.54</v>
      </c>
      <c r="AJ804">
        <v>32.47</v>
      </c>
      <c r="AK804">
        <v>23.8</v>
      </c>
      <c r="AL804">
        <v>-20.14802099999994</v>
      </c>
      <c r="AM804">
        <v>-44.880951206225959</v>
      </c>
      <c r="AN804">
        <v>-20.14802099999994</v>
      </c>
      <c r="AO804">
        <v>-44.880951206225959</v>
      </c>
      <c r="AP804">
        <v>-20.148</v>
      </c>
      <c r="AQ804">
        <v>-44.880944999999997</v>
      </c>
      <c r="AR804">
        <v>2.4260288619737169</v>
      </c>
      <c r="AS804" t="s">
        <v>65</v>
      </c>
      <c r="AT804">
        <v>1</v>
      </c>
      <c r="AU804" t="s">
        <v>1336</v>
      </c>
      <c r="AV804" t="s">
        <v>1337</v>
      </c>
      <c r="AW804" t="s">
        <v>60</v>
      </c>
      <c r="AX804" t="s">
        <v>68</v>
      </c>
      <c r="AY804" t="s">
        <v>69</v>
      </c>
      <c r="AZ804" t="b">
        <v>1</v>
      </c>
    </row>
    <row r="805" spans="1:52" x14ac:dyDescent="0.3">
      <c r="A805" t="s">
        <v>52</v>
      </c>
      <c r="B805" t="s">
        <v>53</v>
      </c>
      <c r="C805" t="s">
        <v>54</v>
      </c>
      <c r="D805" t="s">
        <v>55</v>
      </c>
      <c r="E805" t="s">
        <v>2099</v>
      </c>
      <c r="F805" t="s">
        <v>190</v>
      </c>
      <c r="G805" t="s">
        <v>454</v>
      </c>
      <c r="H805" t="s">
        <v>455</v>
      </c>
      <c r="I805" t="s">
        <v>455</v>
      </c>
      <c r="J805" t="s">
        <v>60</v>
      </c>
      <c r="K805" t="s">
        <v>456</v>
      </c>
      <c r="L805" t="s">
        <v>62</v>
      </c>
      <c r="M805" t="s">
        <v>456</v>
      </c>
      <c r="N805" t="s">
        <v>102</v>
      </c>
      <c r="O805" t="s">
        <v>457</v>
      </c>
      <c r="P805">
        <v>-20.138373999999999</v>
      </c>
      <c r="Q805">
        <v>-44.903756999999999</v>
      </c>
      <c r="R805" s="2" t="str">
        <f>HYPERLINK("https://www.google.com/maps?q=-20.1383740,-44.9037570","Abrir no Google Maps")</f>
        <v>Abrir no Google Maps</v>
      </c>
      <c r="S805">
        <v>3</v>
      </c>
      <c r="T805">
        <v>357.59466273594461</v>
      </c>
      <c r="U805">
        <v>3</v>
      </c>
      <c r="V805">
        <v>12</v>
      </c>
      <c r="W805">
        <v>1</v>
      </c>
      <c r="X805">
        <v>12</v>
      </c>
      <c r="Y805">
        <v>581</v>
      </c>
      <c r="Z805">
        <v>406.92482694505992</v>
      </c>
      <c r="AA805">
        <v>198</v>
      </c>
      <c r="AB805">
        <v>332</v>
      </c>
      <c r="AC805">
        <v>536</v>
      </c>
      <c r="AD805">
        <v>30.48</v>
      </c>
      <c r="AE805">
        <v>542</v>
      </c>
      <c r="AF805">
        <v>30</v>
      </c>
      <c r="AG805">
        <v>176</v>
      </c>
      <c r="AH805">
        <v>129</v>
      </c>
      <c r="AI805">
        <v>5.54</v>
      </c>
      <c r="AJ805">
        <v>32.47</v>
      </c>
      <c r="AK805">
        <v>23.8</v>
      </c>
      <c r="AL805">
        <v>-20.138338199999961</v>
      </c>
      <c r="AM805">
        <v>-44.903768618976301</v>
      </c>
      <c r="AN805">
        <v>-20.138338199999961</v>
      </c>
      <c r="AO805">
        <v>-44.903768618976301</v>
      </c>
      <c r="AP805">
        <v>-20.138373999999999</v>
      </c>
      <c r="AQ805">
        <v>-44.903756999999999</v>
      </c>
      <c r="AR805">
        <v>4.1661625938922704</v>
      </c>
      <c r="AS805" t="s">
        <v>65</v>
      </c>
      <c r="AT805">
        <v>1</v>
      </c>
      <c r="AU805" t="s">
        <v>458</v>
      </c>
      <c r="AV805" t="s">
        <v>459</v>
      </c>
      <c r="AW805" t="s">
        <v>60</v>
      </c>
      <c r="AX805" t="s">
        <v>68</v>
      </c>
      <c r="AY805" t="s">
        <v>69</v>
      </c>
      <c r="AZ805" t="b">
        <v>1</v>
      </c>
    </row>
    <row r="806" spans="1:52" x14ac:dyDescent="0.3">
      <c r="A806" t="s">
        <v>52</v>
      </c>
      <c r="B806" t="s">
        <v>53</v>
      </c>
      <c r="C806" t="s">
        <v>54</v>
      </c>
      <c r="D806" t="s">
        <v>55</v>
      </c>
      <c r="E806" t="s">
        <v>2099</v>
      </c>
      <c r="F806" t="s">
        <v>190</v>
      </c>
      <c r="G806" t="s">
        <v>1347</v>
      </c>
      <c r="H806" t="s">
        <v>1348</v>
      </c>
      <c r="I806" t="s">
        <v>1348</v>
      </c>
      <c r="J806" t="s">
        <v>60</v>
      </c>
      <c r="K806" t="s">
        <v>1349</v>
      </c>
      <c r="L806" t="s">
        <v>62</v>
      </c>
      <c r="M806" t="s">
        <v>1349</v>
      </c>
      <c r="N806" t="s">
        <v>1350</v>
      </c>
      <c r="O806" t="s">
        <v>1351</v>
      </c>
      <c r="P806">
        <v>-20.140426999999999</v>
      </c>
      <c r="Q806">
        <v>-44.905327999999997</v>
      </c>
      <c r="R806" s="2" t="str">
        <f>HYPERLINK("https://www.google.com/maps?q=-20.1404270,-44.9053280","Abrir no Google Maps")</f>
        <v>Abrir no Google Maps</v>
      </c>
      <c r="S806">
        <v>3</v>
      </c>
      <c r="T806">
        <v>359.5810968231857</v>
      </c>
      <c r="U806">
        <v>3</v>
      </c>
      <c r="V806">
        <v>14</v>
      </c>
      <c r="W806">
        <v>0.85</v>
      </c>
      <c r="X806">
        <v>11.9</v>
      </c>
      <c r="Y806">
        <v>581</v>
      </c>
      <c r="Z806">
        <v>292.370097058873</v>
      </c>
      <c r="AA806">
        <v>198</v>
      </c>
      <c r="AB806">
        <v>332</v>
      </c>
      <c r="AC806">
        <v>536</v>
      </c>
      <c r="AD806">
        <v>30.48</v>
      </c>
      <c r="AE806">
        <v>542</v>
      </c>
      <c r="AF806">
        <v>30</v>
      </c>
      <c r="AG806">
        <v>176</v>
      </c>
      <c r="AH806">
        <v>129</v>
      </c>
      <c r="AI806">
        <v>5.54</v>
      </c>
      <c r="AJ806">
        <v>32.47</v>
      </c>
      <c r="AK806">
        <v>23.8</v>
      </c>
      <c r="AL806">
        <v>-20.140465449999969</v>
      </c>
      <c r="AM806">
        <v>-44.905317129037229</v>
      </c>
      <c r="AN806">
        <v>-20.140465449999969</v>
      </c>
      <c r="AO806">
        <v>-44.905317129037229</v>
      </c>
      <c r="AP806">
        <v>-20.140426999999999</v>
      </c>
      <c r="AQ806">
        <v>-44.905327999999997</v>
      </c>
      <c r="AR806">
        <v>4.4284788644958706</v>
      </c>
      <c r="AS806" t="s">
        <v>65</v>
      </c>
      <c r="AT806">
        <v>1</v>
      </c>
      <c r="AU806" t="s">
        <v>1352</v>
      </c>
      <c r="AV806" t="s">
        <v>1353</v>
      </c>
      <c r="AW806" t="s">
        <v>60</v>
      </c>
      <c r="AX806" t="s">
        <v>68</v>
      </c>
      <c r="AY806" t="s">
        <v>69</v>
      </c>
      <c r="AZ806" t="b">
        <v>1</v>
      </c>
    </row>
    <row r="807" spans="1:52" x14ac:dyDescent="0.3">
      <c r="A807" t="s">
        <v>52</v>
      </c>
      <c r="B807" t="s">
        <v>53</v>
      </c>
      <c r="C807" t="s">
        <v>54</v>
      </c>
      <c r="D807" t="s">
        <v>55</v>
      </c>
      <c r="E807" t="s">
        <v>2099</v>
      </c>
      <c r="F807" t="s">
        <v>190</v>
      </c>
      <c r="G807" t="s">
        <v>467</v>
      </c>
      <c r="H807" t="s">
        <v>468</v>
      </c>
      <c r="I807" t="s">
        <v>468</v>
      </c>
      <c r="J807" t="s">
        <v>60</v>
      </c>
      <c r="K807" t="s">
        <v>462</v>
      </c>
      <c r="L807" t="s">
        <v>62</v>
      </c>
      <c r="M807" t="s">
        <v>462</v>
      </c>
      <c r="N807" t="s">
        <v>469</v>
      </c>
      <c r="O807" t="s">
        <v>470</v>
      </c>
      <c r="P807">
        <v>-20.138233</v>
      </c>
      <c r="Q807">
        <v>-44.908200000000001</v>
      </c>
      <c r="R807" s="2" t="str">
        <f>HYPERLINK("https://www.google.com/maps?q=-20.1382330,-44.9082000","Abrir no Google Maps")</f>
        <v>Abrir no Google Maps</v>
      </c>
      <c r="S807">
        <v>3</v>
      </c>
      <c r="T807">
        <v>0</v>
      </c>
      <c r="U807">
        <v>3</v>
      </c>
      <c r="V807">
        <v>17</v>
      </c>
      <c r="W807">
        <v>1</v>
      </c>
      <c r="X807">
        <v>17</v>
      </c>
      <c r="Y807">
        <v>581</v>
      </c>
      <c r="Z807">
        <v>153.18688302958171</v>
      </c>
      <c r="AA807">
        <v>198</v>
      </c>
      <c r="AB807">
        <v>332</v>
      </c>
      <c r="AC807">
        <v>536</v>
      </c>
      <c r="AD807">
        <v>30.48</v>
      </c>
      <c r="AE807">
        <v>542</v>
      </c>
      <c r="AF807">
        <v>30</v>
      </c>
      <c r="AG807">
        <v>176</v>
      </c>
      <c r="AH807">
        <v>129</v>
      </c>
      <c r="AI807">
        <v>5.54</v>
      </c>
      <c r="AJ807">
        <v>32.47</v>
      </c>
      <c r="AK807">
        <v>23.8</v>
      </c>
      <c r="AL807">
        <v>-20.138364899999971</v>
      </c>
      <c r="AM807">
        <v>-44.907942114873997</v>
      </c>
      <c r="AN807">
        <v>-20.138364899999971</v>
      </c>
      <c r="AO807">
        <v>-44.907942114873997</v>
      </c>
      <c r="AP807">
        <v>-20.138233</v>
      </c>
      <c r="AQ807">
        <v>-44.908200000000001</v>
      </c>
      <c r="AR807">
        <v>30.692690617986941</v>
      </c>
      <c r="AS807" t="s">
        <v>65</v>
      </c>
      <c r="AT807">
        <v>1</v>
      </c>
      <c r="AU807" t="s">
        <v>471</v>
      </c>
      <c r="AV807" t="s">
        <v>472</v>
      </c>
      <c r="AW807" t="s">
        <v>60</v>
      </c>
      <c r="AX807" t="s">
        <v>68</v>
      </c>
      <c r="AY807" t="s">
        <v>69</v>
      </c>
      <c r="AZ807" t="b">
        <v>1</v>
      </c>
    </row>
    <row r="808" spans="1:52" x14ac:dyDescent="0.3">
      <c r="A808" t="s">
        <v>52</v>
      </c>
      <c r="B808" t="s">
        <v>53</v>
      </c>
      <c r="C808" t="s">
        <v>54</v>
      </c>
      <c r="D808" t="s">
        <v>55</v>
      </c>
      <c r="E808" t="s">
        <v>2099</v>
      </c>
      <c r="F808" t="s">
        <v>190</v>
      </c>
      <c r="G808" t="s">
        <v>851</v>
      </c>
      <c r="H808" t="s">
        <v>852</v>
      </c>
      <c r="I808" t="s">
        <v>852</v>
      </c>
      <c r="J808" t="s">
        <v>60</v>
      </c>
      <c r="K808" t="s">
        <v>853</v>
      </c>
      <c r="L808" t="s">
        <v>62</v>
      </c>
      <c r="M808" t="s">
        <v>853</v>
      </c>
      <c r="N808" t="s">
        <v>854</v>
      </c>
      <c r="O808" t="s">
        <v>855</v>
      </c>
      <c r="P808">
        <v>-20.127835000000001</v>
      </c>
      <c r="Q808">
        <v>-44.909329</v>
      </c>
      <c r="R808" s="2" t="str">
        <f>HYPERLINK("https://www.google.com/maps?q=-20.1278350,-44.9093290","Abrir no Google Maps")</f>
        <v>Abrir no Google Maps</v>
      </c>
      <c r="S808">
        <v>3</v>
      </c>
      <c r="T808">
        <v>1173.033690896357</v>
      </c>
      <c r="U808">
        <v>3</v>
      </c>
      <c r="V808">
        <v>18</v>
      </c>
      <c r="W808">
        <v>1</v>
      </c>
      <c r="X808">
        <v>18</v>
      </c>
      <c r="Y808">
        <v>581</v>
      </c>
      <c r="Z808">
        <v>1296.5011565926129</v>
      </c>
      <c r="AA808">
        <v>198</v>
      </c>
      <c r="AB808">
        <v>332</v>
      </c>
      <c r="AC808">
        <v>536</v>
      </c>
      <c r="AD808">
        <v>30.48</v>
      </c>
      <c r="AE808">
        <v>542</v>
      </c>
      <c r="AF808">
        <v>30</v>
      </c>
      <c r="AG808">
        <v>176</v>
      </c>
      <c r="AH808">
        <v>129</v>
      </c>
      <c r="AI808">
        <v>5.54</v>
      </c>
      <c r="AJ808">
        <v>32.47</v>
      </c>
      <c r="AK808">
        <v>23.8</v>
      </c>
      <c r="AL808">
        <v>-20.127852899999969</v>
      </c>
      <c r="AM808">
        <v>-44.909386667699948</v>
      </c>
      <c r="AN808">
        <v>-20.127852899999969</v>
      </c>
      <c r="AO808">
        <v>-44.909386667699948</v>
      </c>
      <c r="AP808">
        <v>-20.127835000000001</v>
      </c>
      <c r="AQ808">
        <v>-44.909329</v>
      </c>
      <c r="AR808">
        <v>6.3483385067119924</v>
      </c>
      <c r="AS808" t="s">
        <v>65</v>
      </c>
      <c r="AT808">
        <v>1</v>
      </c>
      <c r="AU808" t="s">
        <v>856</v>
      </c>
      <c r="AV808" t="s">
        <v>857</v>
      </c>
      <c r="AW808" t="s">
        <v>60</v>
      </c>
      <c r="AX808" t="s">
        <v>68</v>
      </c>
      <c r="AY808" t="s">
        <v>69</v>
      </c>
      <c r="AZ808" t="b">
        <v>1</v>
      </c>
    </row>
    <row r="809" spans="1:52" x14ac:dyDescent="0.3">
      <c r="A809" t="s">
        <v>52</v>
      </c>
      <c r="B809" t="s">
        <v>53</v>
      </c>
      <c r="C809" t="s">
        <v>54</v>
      </c>
      <c r="D809" t="s">
        <v>55</v>
      </c>
      <c r="E809" t="s">
        <v>2099</v>
      </c>
      <c r="F809" t="s">
        <v>190</v>
      </c>
      <c r="G809" t="s">
        <v>864</v>
      </c>
      <c r="H809" t="s">
        <v>865</v>
      </c>
      <c r="I809" t="s">
        <v>865</v>
      </c>
      <c r="J809" t="s">
        <v>60</v>
      </c>
      <c r="K809" t="s">
        <v>486</v>
      </c>
      <c r="L809" t="s">
        <v>62</v>
      </c>
      <c r="M809" t="s">
        <v>486</v>
      </c>
      <c r="N809" t="s">
        <v>866</v>
      </c>
      <c r="O809" t="s">
        <v>867</v>
      </c>
      <c r="P809">
        <v>-20.170919000000001</v>
      </c>
      <c r="Q809">
        <v>-44.905451999999997</v>
      </c>
      <c r="R809" s="2" t="str">
        <f>HYPERLINK("https://www.google.com/maps?q=-20.1709190,-44.9054520","Abrir no Google Maps")</f>
        <v>Abrir no Google Maps</v>
      </c>
      <c r="S809">
        <v>3</v>
      </c>
      <c r="T809">
        <v>0</v>
      </c>
      <c r="U809">
        <v>3</v>
      </c>
      <c r="V809">
        <v>18</v>
      </c>
      <c r="W809">
        <v>1</v>
      </c>
      <c r="X809">
        <v>18</v>
      </c>
      <c r="Y809">
        <v>578</v>
      </c>
      <c r="Z809">
        <v>205.34598855748419</v>
      </c>
      <c r="AA809">
        <v>198</v>
      </c>
      <c r="AB809">
        <v>332</v>
      </c>
      <c r="AC809">
        <v>536</v>
      </c>
      <c r="AD809">
        <v>30.48</v>
      </c>
      <c r="AE809">
        <v>542</v>
      </c>
      <c r="AF809">
        <v>30</v>
      </c>
      <c r="AG809">
        <v>176</v>
      </c>
      <c r="AH809">
        <v>129</v>
      </c>
      <c r="AI809">
        <v>5.54</v>
      </c>
      <c r="AJ809">
        <v>32.47</v>
      </c>
      <c r="AK809">
        <v>23.8</v>
      </c>
      <c r="AL809">
        <v>-20.170854399999939</v>
      </c>
      <c r="AM809">
        <v>-44.905524839633358</v>
      </c>
      <c r="AN809">
        <v>-20.170854399999939</v>
      </c>
      <c r="AO809">
        <v>-44.905524839633358</v>
      </c>
      <c r="AP809">
        <v>-20.170919000000001</v>
      </c>
      <c r="AQ809">
        <v>-44.905451999999997</v>
      </c>
      <c r="AR809">
        <v>10.471140355179269</v>
      </c>
      <c r="AS809" t="s">
        <v>65</v>
      </c>
      <c r="AT809">
        <v>1</v>
      </c>
      <c r="AU809" t="s">
        <v>868</v>
      </c>
      <c r="AV809" t="s">
        <v>869</v>
      </c>
      <c r="AW809" t="s">
        <v>60</v>
      </c>
      <c r="AX809" t="s">
        <v>68</v>
      </c>
      <c r="AY809" t="s">
        <v>69</v>
      </c>
      <c r="AZ809" t="b">
        <v>1</v>
      </c>
    </row>
    <row r="810" spans="1:52" x14ac:dyDescent="0.3">
      <c r="A810" t="s">
        <v>52</v>
      </c>
      <c r="B810" t="s">
        <v>53</v>
      </c>
      <c r="C810" t="s">
        <v>54</v>
      </c>
      <c r="D810" t="s">
        <v>55</v>
      </c>
      <c r="E810" t="s">
        <v>2099</v>
      </c>
      <c r="F810" t="s">
        <v>190</v>
      </c>
      <c r="G810" t="s">
        <v>479</v>
      </c>
      <c r="H810" t="s">
        <v>480</v>
      </c>
      <c r="I810" t="s">
        <v>480</v>
      </c>
      <c r="J810" t="s">
        <v>60</v>
      </c>
      <c r="K810" t="s">
        <v>388</v>
      </c>
      <c r="L810" t="s">
        <v>62</v>
      </c>
      <c r="M810" t="s">
        <v>388</v>
      </c>
      <c r="N810" t="s">
        <v>481</v>
      </c>
      <c r="O810" t="s">
        <v>315</v>
      </c>
      <c r="P810">
        <v>-20.166903999999999</v>
      </c>
      <c r="Q810">
        <v>-44.903492</v>
      </c>
      <c r="R810" s="2" t="str">
        <f>HYPERLINK("https://www.google.com/maps?q=-20.1669040,-44.9034920","Abrir no Google Maps")</f>
        <v>Abrir no Google Maps</v>
      </c>
      <c r="S810">
        <v>3</v>
      </c>
      <c r="T810">
        <v>517.12253532511602</v>
      </c>
      <c r="U810">
        <v>3</v>
      </c>
      <c r="V810">
        <v>12</v>
      </c>
      <c r="W810">
        <v>1</v>
      </c>
      <c r="X810">
        <v>12</v>
      </c>
      <c r="Y810">
        <v>578</v>
      </c>
      <c r="Z810">
        <v>721.79551240050432</v>
      </c>
      <c r="AA810">
        <v>198</v>
      </c>
      <c r="AB810">
        <v>332</v>
      </c>
      <c r="AC810">
        <v>536</v>
      </c>
      <c r="AD810">
        <v>30.48</v>
      </c>
      <c r="AE810">
        <v>542</v>
      </c>
      <c r="AF810">
        <v>30</v>
      </c>
      <c r="AG810">
        <v>176</v>
      </c>
      <c r="AH810">
        <v>129</v>
      </c>
      <c r="AI810">
        <v>5.54</v>
      </c>
      <c r="AJ810">
        <v>32.47</v>
      </c>
      <c r="AK810">
        <v>23.8</v>
      </c>
      <c r="AL810">
        <v>-20.166610649999971</v>
      </c>
      <c r="AM810">
        <v>-44.903452988928308</v>
      </c>
      <c r="AN810">
        <v>-20.166610649999971</v>
      </c>
      <c r="AO810">
        <v>-44.903452988928308</v>
      </c>
      <c r="AP810">
        <v>-20.166903999999999</v>
      </c>
      <c r="AQ810">
        <v>-44.903492</v>
      </c>
      <c r="AR810">
        <v>32.909175876856217</v>
      </c>
      <c r="AS810" t="s">
        <v>65</v>
      </c>
      <c r="AT810">
        <v>1</v>
      </c>
      <c r="AU810" t="s">
        <v>482</v>
      </c>
      <c r="AV810" t="s">
        <v>483</v>
      </c>
      <c r="AW810" t="s">
        <v>60</v>
      </c>
      <c r="AX810" t="s">
        <v>68</v>
      </c>
      <c r="AY810" t="s">
        <v>69</v>
      </c>
      <c r="AZ810" t="b">
        <v>1</v>
      </c>
    </row>
    <row r="811" spans="1:52" x14ac:dyDescent="0.3">
      <c r="A811" t="s">
        <v>52</v>
      </c>
      <c r="B811" t="s">
        <v>53</v>
      </c>
      <c r="C811" t="s">
        <v>54</v>
      </c>
      <c r="D811" t="s">
        <v>55</v>
      </c>
      <c r="E811" t="s">
        <v>2099</v>
      </c>
      <c r="F811" t="s">
        <v>190</v>
      </c>
      <c r="G811" t="s">
        <v>497</v>
      </c>
      <c r="H811" t="s">
        <v>498</v>
      </c>
      <c r="I811" t="s">
        <v>498</v>
      </c>
      <c r="J811" t="s">
        <v>60</v>
      </c>
      <c r="K811" t="s">
        <v>475</v>
      </c>
      <c r="L811" t="s">
        <v>62</v>
      </c>
      <c r="M811" t="s">
        <v>475</v>
      </c>
      <c r="N811" t="s">
        <v>499</v>
      </c>
      <c r="O811" t="s">
        <v>500</v>
      </c>
      <c r="P811">
        <v>-20.175492999999999</v>
      </c>
      <c r="Q811">
        <v>-44.900759000000001</v>
      </c>
      <c r="R811" s="2" t="str">
        <f>HYPERLINK("https://www.google.com/maps?q=-20.1754930,-44.9007590","Abrir no Google Maps")</f>
        <v>Abrir no Google Maps</v>
      </c>
      <c r="S811">
        <v>3</v>
      </c>
      <c r="T811">
        <v>753.30732354720431</v>
      </c>
      <c r="U811">
        <v>3</v>
      </c>
      <c r="V811">
        <v>14</v>
      </c>
      <c r="W811">
        <v>1</v>
      </c>
      <c r="X811">
        <v>14</v>
      </c>
      <c r="Y811">
        <v>578</v>
      </c>
      <c r="Z811">
        <v>695.28903655431702</v>
      </c>
      <c r="AA811">
        <v>198</v>
      </c>
      <c r="AB811">
        <v>332</v>
      </c>
      <c r="AC811">
        <v>536</v>
      </c>
      <c r="AD811">
        <v>30.48</v>
      </c>
      <c r="AE811">
        <v>542</v>
      </c>
      <c r="AF811">
        <v>30</v>
      </c>
      <c r="AG811">
        <v>176</v>
      </c>
      <c r="AH811">
        <v>129</v>
      </c>
      <c r="AI811">
        <v>5.54</v>
      </c>
      <c r="AJ811">
        <v>32.47</v>
      </c>
      <c r="AK811">
        <v>23.8</v>
      </c>
      <c r="AL811">
        <v>-20.175825999999969</v>
      </c>
      <c r="AM811">
        <v>-44.900600234646973</v>
      </c>
      <c r="AN811">
        <v>-20.175825999999969</v>
      </c>
      <c r="AO811">
        <v>-44.900600234646973</v>
      </c>
      <c r="AP811">
        <v>-20.175492999999999</v>
      </c>
      <c r="AQ811">
        <v>-44.900759000000001</v>
      </c>
      <c r="AR811">
        <v>40.612267304645073</v>
      </c>
      <c r="AS811" t="s">
        <v>65</v>
      </c>
      <c r="AT811">
        <v>1</v>
      </c>
      <c r="AU811" t="s">
        <v>501</v>
      </c>
      <c r="AV811" t="s">
        <v>502</v>
      </c>
      <c r="AW811" t="s">
        <v>60</v>
      </c>
      <c r="AX811" t="s">
        <v>68</v>
      </c>
      <c r="AY811" t="s">
        <v>69</v>
      </c>
      <c r="AZ811" t="b">
        <v>1</v>
      </c>
    </row>
    <row r="812" spans="1:52" x14ac:dyDescent="0.3">
      <c r="A812" t="s">
        <v>52</v>
      </c>
      <c r="B812" t="s">
        <v>53</v>
      </c>
      <c r="C812" t="s">
        <v>54</v>
      </c>
      <c r="D812" t="s">
        <v>55</v>
      </c>
      <c r="E812" t="s">
        <v>2099</v>
      </c>
      <c r="F812" t="s">
        <v>190</v>
      </c>
      <c r="G812" t="s">
        <v>398</v>
      </c>
      <c r="H812" t="s">
        <v>541</v>
      </c>
      <c r="I812" t="s">
        <v>541</v>
      </c>
      <c r="J812" t="s">
        <v>60</v>
      </c>
      <c r="K812" t="s">
        <v>388</v>
      </c>
      <c r="L812" t="s">
        <v>62</v>
      </c>
      <c r="M812" t="s">
        <v>388</v>
      </c>
      <c r="N812" t="s">
        <v>400</v>
      </c>
      <c r="O812" t="s">
        <v>542</v>
      </c>
      <c r="P812">
        <v>-20.151335</v>
      </c>
      <c r="Q812">
        <v>-44.901041999999997</v>
      </c>
      <c r="R812" s="2" t="str">
        <f>HYPERLINK("https://www.google.com/maps?q=-20.1513350,-44.9010420","Abrir no Google Maps")</f>
        <v>Abrir no Google Maps</v>
      </c>
      <c r="S812">
        <v>3</v>
      </c>
      <c r="T812">
        <v>0</v>
      </c>
      <c r="U812">
        <v>3</v>
      </c>
      <c r="V812">
        <v>18</v>
      </c>
      <c r="W812">
        <v>1</v>
      </c>
      <c r="X812">
        <v>18</v>
      </c>
      <c r="Y812">
        <v>556</v>
      </c>
      <c r="Z812">
        <v>137.71609036908939</v>
      </c>
      <c r="AA812">
        <v>198</v>
      </c>
      <c r="AB812">
        <v>332</v>
      </c>
      <c r="AC812">
        <v>536</v>
      </c>
      <c r="AD812">
        <v>30.48</v>
      </c>
      <c r="AE812">
        <v>542</v>
      </c>
      <c r="AF812">
        <v>30</v>
      </c>
      <c r="AG812">
        <v>176</v>
      </c>
      <c r="AH812">
        <v>129</v>
      </c>
      <c r="AI812">
        <v>5.54</v>
      </c>
      <c r="AJ812">
        <v>32.47</v>
      </c>
      <c r="AK812">
        <v>23.8</v>
      </c>
      <c r="AL812">
        <v>-20.15125899999995</v>
      </c>
      <c r="AM812">
        <v>-44.900838557594433</v>
      </c>
      <c r="AN812">
        <v>-20.15125899999995</v>
      </c>
      <c r="AO812">
        <v>-44.900838557594433</v>
      </c>
      <c r="AP812">
        <v>-20.151335</v>
      </c>
      <c r="AQ812">
        <v>-44.901041999999997</v>
      </c>
      <c r="AR812">
        <v>22.882363139483491</v>
      </c>
      <c r="AS812" t="s">
        <v>65</v>
      </c>
      <c r="AT812">
        <v>1</v>
      </c>
      <c r="AU812" t="s">
        <v>543</v>
      </c>
      <c r="AV812" t="s">
        <v>544</v>
      </c>
      <c r="AW812" t="s">
        <v>60</v>
      </c>
      <c r="AX812" t="s">
        <v>68</v>
      </c>
      <c r="AY812" t="s">
        <v>69</v>
      </c>
      <c r="AZ812" t="b">
        <v>1</v>
      </c>
    </row>
    <row r="813" spans="1:52" x14ac:dyDescent="0.3">
      <c r="A813" t="s">
        <v>52</v>
      </c>
      <c r="B813" t="s">
        <v>53</v>
      </c>
      <c r="C813" t="s">
        <v>54</v>
      </c>
      <c r="D813" t="s">
        <v>55</v>
      </c>
      <c r="E813" t="s">
        <v>2099</v>
      </c>
      <c r="F813" t="s">
        <v>190</v>
      </c>
      <c r="G813" t="s">
        <v>545</v>
      </c>
      <c r="H813" t="s">
        <v>546</v>
      </c>
      <c r="I813" t="s">
        <v>546</v>
      </c>
      <c r="J813" t="s">
        <v>60</v>
      </c>
      <c r="K813" t="s">
        <v>388</v>
      </c>
      <c r="L813" t="s">
        <v>62</v>
      </c>
      <c r="M813" t="s">
        <v>388</v>
      </c>
      <c r="N813" t="s">
        <v>547</v>
      </c>
      <c r="O813" t="s">
        <v>548</v>
      </c>
      <c r="P813">
        <v>-20.155839</v>
      </c>
      <c r="Q813">
        <v>-44.905655000000003</v>
      </c>
      <c r="R813" s="2" t="str">
        <f>HYPERLINK("https://www.google.com/maps?q=-20.1558390,-44.9056550","Abrir no Google Maps")</f>
        <v>Abrir no Google Maps</v>
      </c>
      <c r="S813">
        <v>3</v>
      </c>
      <c r="T813">
        <v>309.7643089121122</v>
      </c>
      <c r="U813">
        <v>3</v>
      </c>
      <c r="V813">
        <v>17</v>
      </c>
      <c r="W813">
        <v>1</v>
      </c>
      <c r="X813">
        <v>17</v>
      </c>
      <c r="Y813">
        <v>548</v>
      </c>
      <c r="Z813">
        <v>284.24281731793161</v>
      </c>
      <c r="AA813">
        <v>198</v>
      </c>
      <c r="AB813">
        <v>332</v>
      </c>
      <c r="AC813">
        <v>536</v>
      </c>
      <c r="AD813">
        <v>30.48</v>
      </c>
      <c r="AE813">
        <v>542</v>
      </c>
      <c r="AF813">
        <v>30</v>
      </c>
      <c r="AG813">
        <v>176</v>
      </c>
      <c r="AH813">
        <v>129</v>
      </c>
      <c r="AI813">
        <v>5.54</v>
      </c>
      <c r="AJ813">
        <v>32.47</v>
      </c>
      <c r="AK813">
        <v>23.8</v>
      </c>
      <c r="AL813">
        <v>-20.155913549999951</v>
      </c>
      <c r="AM813">
        <v>-44.905554508392683</v>
      </c>
      <c r="AN813">
        <v>-20.155913549999951</v>
      </c>
      <c r="AO813">
        <v>-44.905554508392669</v>
      </c>
      <c r="AP813">
        <v>-20.155839</v>
      </c>
      <c r="AQ813">
        <v>-44.905655000000003</v>
      </c>
      <c r="AR813">
        <v>13.384922093797449</v>
      </c>
      <c r="AS813" t="s">
        <v>65</v>
      </c>
      <c r="AT813">
        <v>1</v>
      </c>
      <c r="AU813" t="s">
        <v>549</v>
      </c>
      <c r="AV813" t="s">
        <v>550</v>
      </c>
      <c r="AW813" t="s">
        <v>60</v>
      </c>
      <c r="AX813" t="s">
        <v>68</v>
      </c>
      <c r="AY813" t="s">
        <v>69</v>
      </c>
      <c r="AZ813" t="b">
        <v>1</v>
      </c>
    </row>
    <row r="814" spans="1:52" x14ac:dyDescent="0.3">
      <c r="A814" t="s">
        <v>52</v>
      </c>
      <c r="B814" t="s">
        <v>53</v>
      </c>
      <c r="C814" t="s">
        <v>54</v>
      </c>
      <c r="D814" t="s">
        <v>55</v>
      </c>
      <c r="E814" t="s">
        <v>2099</v>
      </c>
      <c r="F814" t="s">
        <v>190</v>
      </c>
      <c r="G814" t="s">
        <v>556</v>
      </c>
      <c r="H814" t="s">
        <v>557</v>
      </c>
      <c r="I814" t="s">
        <v>557</v>
      </c>
      <c r="J814" t="s">
        <v>60</v>
      </c>
      <c r="K814" t="s">
        <v>388</v>
      </c>
      <c r="L814" t="s">
        <v>62</v>
      </c>
      <c r="M814" t="s">
        <v>388</v>
      </c>
      <c r="N814" t="s">
        <v>558</v>
      </c>
      <c r="O814" t="s">
        <v>559</v>
      </c>
      <c r="P814">
        <v>-20.152670000000001</v>
      </c>
      <c r="Q814">
        <v>-44.902557999999999</v>
      </c>
      <c r="R814" s="2" t="str">
        <f>HYPERLINK("https://www.google.com/maps?q=-20.1526700,-44.9025580","Abrir no Google Maps")</f>
        <v>Abrir no Google Maps</v>
      </c>
      <c r="S814">
        <v>3</v>
      </c>
      <c r="T814">
        <v>228.56195217678911</v>
      </c>
      <c r="U814">
        <v>3</v>
      </c>
      <c r="V814">
        <v>13</v>
      </c>
      <c r="W814">
        <v>1</v>
      </c>
      <c r="X814">
        <v>13</v>
      </c>
      <c r="Y814">
        <v>548</v>
      </c>
      <c r="Z814">
        <v>250.63133895224919</v>
      </c>
      <c r="AA814">
        <v>198</v>
      </c>
      <c r="AB814">
        <v>332</v>
      </c>
      <c r="AC814">
        <v>536</v>
      </c>
      <c r="AD814">
        <v>30.48</v>
      </c>
      <c r="AE814">
        <v>542</v>
      </c>
      <c r="AF814">
        <v>30</v>
      </c>
      <c r="AG814">
        <v>176</v>
      </c>
      <c r="AH814">
        <v>129</v>
      </c>
      <c r="AI814">
        <v>5.54</v>
      </c>
      <c r="AJ814">
        <v>32.47</v>
      </c>
      <c r="AK814">
        <v>23.8</v>
      </c>
      <c r="AL814">
        <v>-20.152629799999939</v>
      </c>
      <c r="AM814">
        <v>-44.902604744705201</v>
      </c>
      <c r="AN814">
        <v>-20.152629799999939</v>
      </c>
      <c r="AO814">
        <v>-44.902604744705201</v>
      </c>
      <c r="AP814">
        <v>-20.152670000000001</v>
      </c>
      <c r="AQ814">
        <v>-44.902557999999999</v>
      </c>
      <c r="AR814">
        <v>6.6249428037111509</v>
      </c>
      <c r="AS814" t="s">
        <v>65</v>
      </c>
      <c r="AT814">
        <v>1</v>
      </c>
      <c r="AU814" t="s">
        <v>560</v>
      </c>
      <c r="AV814" t="s">
        <v>561</v>
      </c>
      <c r="AW814" t="s">
        <v>60</v>
      </c>
      <c r="AX814" t="s">
        <v>68</v>
      </c>
      <c r="AY814" t="s">
        <v>69</v>
      </c>
      <c r="AZ814" t="b">
        <v>1</v>
      </c>
    </row>
    <row r="815" spans="1:52" x14ac:dyDescent="0.3">
      <c r="A815" t="s">
        <v>52</v>
      </c>
      <c r="B815" t="s">
        <v>53</v>
      </c>
      <c r="C815" t="s">
        <v>54</v>
      </c>
      <c r="D815" t="s">
        <v>55</v>
      </c>
      <c r="E815" t="s">
        <v>2099</v>
      </c>
      <c r="F815" t="s">
        <v>190</v>
      </c>
      <c r="G815" t="s">
        <v>562</v>
      </c>
      <c r="H815" t="s">
        <v>563</v>
      </c>
      <c r="I815" t="s">
        <v>563</v>
      </c>
      <c r="J815" t="s">
        <v>60</v>
      </c>
      <c r="K815" t="s">
        <v>388</v>
      </c>
      <c r="L815" t="s">
        <v>62</v>
      </c>
      <c r="M815" t="s">
        <v>388</v>
      </c>
      <c r="N815" t="s">
        <v>564</v>
      </c>
      <c r="O815" t="s">
        <v>565</v>
      </c>
      <c r="P815">
        <v>-20.154432</v>
      </c>
      <c r="Q815">
        <v>-44.902977999999997</v>
      </c>
      <c r="R815" s="2" t="str">
        <f>HYPERLINK("https://www.google.com/maps?q=-20.1544320,-44.9029780","Abrir no Google Maps")</f>
        <v>Abrir no Google Maps</v>
      </c>
      <c r="S815">
        <v>3</v>
      </c>
      <c r="T815">
        <v>0</v>
      </c>
      <c r="U815">
        <v>3</v>
      </c>
      <c r="V815">
        <v>14</v>
      </c>
      <c r="W815">
        <v>1</v>
      </c>
      <c r="X815">
        <v>14</v>
      </c>
      <c r="Y815">
        <v>548</v>
      </c>
      <c r="Z815">
        <v>29.424211042533759</v>
      </c>
      <c r="AA815">
        <v>198</v>
      </c>
      <c r="AB815">
        <v>332</v>
      </c>
      <c r="AC815">
        <v>536</v>
      </c>
      <c r="AD815">
        <v>30.48</v>
      </c>
      <c r="AE815">
        <v>542</v>
      </c>
      <c r="AF815">
        <v>30</v>
      </c>
      <c r="AG815">
        <v>176</v>
      </c>
      <c r="AH815">
        <v>129</v>
      </c>
      <c r="AI815">
        <v>5.54</v>
      </c>
      <c r="AJ815">
        <v>32.47</v>
      </c>
      <c r="AK815">
        <v>23.8</v>
      </c>
      <c r="AL815">
        <v>-20.15467689999997</v>
      </c>
      <c r="AM815">
        <v>-44.902895281771222</v>
      </c>
      <c r="AN815">
        <v>-20.15467689999997</v>
      </c>
      <c r="AO815">
        <v>-44.902895281771222</v>
      </c>
      <c r="AP815">
        <v>-20.154432</v>
      </c>
      <c r="AQ815">
        <v>-44.902977999999997</v>
      </c>
      <c r="AR815">
        <v>28.5999270636025</v>
      </c>
      <c r="AS815" t="s">
        <v>65</v>
      </c>
      <c r="AT815">
        <v>1</v>
      </c>
      <c r="AU815" t="s">
        <v>566</v>
      </c>
      <c r="AV815" t="s">
        <v>567</v>
      </c>
      <c r="AW815" t="s">
        <v>60</v>
      </c>
      <c r="AX815" t="s">
        <v>68</v>
      </c>
      <c r="AY815" t="s">
        <v>69</v>
      </c>
      <c r="AZ815" t="b">
        <v>1</v>
      </c>
    </row>
    <row r="816" spans="1:52" x14ac:dyDescent="0.3">
      <c r="A816" t="s">
        <v>52</v>
      </c>
      <c r="B816" t="s">
        <v>53</v>
      </c>
      <c r="C816" t="s">
        <v>54</v>
      </c>
      <c r="D816" t="s">
        <v>55</v>
      </c>
      <c r="E816" t="s">
        <v>2099</v>
      </c>
      <c r="F816" t="s">
        <v>190</v>
      </c>
      <c r="G816" t="s">
        <v>903</v>
      </c>
      <c r="H816" t="s">
        <v>904</v>
      </c>
      <c r="I816" t="s">
        <v>904</v>
      </c>
      <c r="J816" t="s">
        <v>60</v>
      </c>
      <c r="K816" t="s">
        <v>905</v>
      </c>
      <c r="L816" t="s">
        <v>62</v>
      </c>
      <c r="M816" t="s">
        <v>905</v>
      </c>
      <c r="N816" t="s">
        <v>906</v>
      </c>
      <c r="O816" t="s">
        <v>907</v>
      </c>
      <c r="P816">
        <v>-20.112969</v>
      </c>
      <c r="Q816">
        <v>-44.891264</v>
      </c>
      <c r="R816" s="2" t="str">
        <f>HYPERLINK("https://www.google.com/maps?q=-20.1129690,-44.8912640","Abrir no Google Maps")</f>
        <v>Abrir no Google Maps</v>
      </c>
      <c r="S816">
        <v>3</v>
      </c>
      <c r="T816">
        <v>760.33197426397032</v>
      </c>
      <c r="U816">
        <v>3</v>
      </c>
      <c r="V816">
        <v>14</v>
      </c>
      <c r="W816">
        <v>1</v>
      </c>
      <c r="X816">
        <v>14</v>
      </c>
      <c r="Y816">
        <v>536</v>
      </c>
      <c r="Z816">
        <v>755.3791742519096</v>
      </c>
      <c r="AA816">
        <v>198</v>
      </c>
      <c r="AB816">
        <v>332</v>
      </c>
      <c r="AC816">
        <v>536</v>
      </c>
      <c r="AD816">
        <v>30.48</v>
      </c>
      <c r="AE816">
        <v>542</v>
      </c>
      <c r="AF816">
        <v>30</v>
      </c>
      <c r="AG816">
        <v>176</v>
      </c>
      <c r="AH816">
        <v>129</v>
      </c>
      <c r="AI816">
        <v>5.54</v>
      </c>
      <c r="AJ816">
        <v>32.47</v>
      </c>
      <c r="AK816">
        <v>23.8</v>
      </c>
      <c r="AL816">
        <v>-20.11260604999995</v>
      </c>
      <c r="AM816">
        <v>-44.891480970454502</v>
      </c>
      <c r="AN816">
        <v>-20.11260604999995</v>
      </c>
      <c r="AO816">
        <v>-44.891480970454502</v>
      </c>
      <c r="AP816">
        <v>-20.112969</v>
      </c>
      <c r="AQ816">
        <v>-44.891264</v>
      </c>
      <c r="AR816">
        <v>46.334053708506183</v>
      </c>
      <c r="AS816" t="s">
        <v>65</v>
      </c>
      <c r="AT816">
        <v>1</v>
      </c>
      <c r="AU816" t="s">
        <v>908</v>
      </c>
      <c r="AV816" t="s">
        <v>909</v>
      </c>
      <c r="AW816" t="s">
        <v>60</v>
      </c>
      <c r="AX816" t="s">
        <v>68</v>
      </c>
      <c r="AY816" t="s">
        <v>69</v>
      </c>
      <c r="AZ816" t="b">
        <v>1</v>
      </c>
    </row>
    <row r="817" spans="1:52" x14ac:dyDescent="0.3">
      <c r="A817" t="s">
        <v>52</v>
      </c>
      <c r="B817" t="s">
        <v>53</v>
      </c>
      <c r="C817" t="s">
        <v>54</v>
      </c>
      <c r="D817" t="s">
        <v>55</v>
      </c>
      <c r="E817" t="s">
        <v>2099</v>
      </c>
      <c r="F817" t="s">
        <v>190</v>
      </c>
      <c r="G817" t="s">
        <v>579</v>
      </c>
      <c r="H817" t="s">
        <v>580</v>
      </c>
      <c r="I817" t="s">
        <v>580</v>
      </c>
      <c r="J817" t="s">
        <v>60</v>
      </c>
      <c r="K817" t="s">
        <v>117</v>
      </c>
      <c r="L817" t="s">
        <v>62</v>
      </c>
      <c r="M817" t="s">
        <v>117</v>
      </c>
      <c r="N817" t="s">
        <v>581</v>
      </c>
      <c r="O817" t="s">
        <v>338</v>
      </c>
      <c r="P817">
        <v>-20.119333000000001</v>
      </c>
      <c r="Q817">
        <v>-44.892454999999998</v>
      </c>
      <c r="R817" s="2" t="str">
        <f>HYPERLINK("https://www.google.com/maps?q=-20.1193330,-44.8924550","Abrir no Google Maps")</f>
        <v>Abrir no Google Maps</v>
      </c>
      <c r="S817">
        <v>3</v>
      </c>
      <c r="T817">
        <v>545.06582215852734</v>
      </c>
      <c r="U817">
        <v>3</v>
      </c>
      <c r="V817">
        <v>16</v>
      </c>
      <c r="W817">
        <v>1</v>
      </c>
      <c r="X817">
        <v>16</v>
      </c>
      <c r="Y817">
        <v>536</v>
      </c>
      <c r="Z817">
        <v>583.72689769042404</v>
      </c>
      <c r="AA817">
        <v>198</v>
      </c>
      <c r="AB817">
        <v>332</v>
      </c>
      <c r="AC817">
        <v>536</v>
      </c>
      <c r="AD817">
        <v>30.48</v>
      </c>
      <c r="AE817">
        <v>542</v>
      </c>
      <c r="AF817">
        <v>30</v>
      </c>
      <c r="AG817">
        <v>176</v>
      </c>
      <c r="AH817">
        <v>129</v>
      </c>
      <c r="AI817">
        <v>5.54</v>
      </c>
      <c r="AJ817">
        <v>32.47</v>
      </c>
      <c r="AK817">
        <v>23.8</v>
      </c>
      <c r="AL817">
        <v>-20.11966729999995</v>
      </c>
      <c r="AM817">
        <v>-44.892529474102908</v>
      </c>
      <c r="AN817">
        <v>-20.119667299999939</v>
      </c>
      <c r="AO817">
        <v>-44.892529474102908</v>
      </c>
      <c r="AP817">
        <v>-20.119333000000001</v>
      </c>
      <c r="AQ817">
        <v>-44.892454999999998</v>
      </c>
      <c r="AR817">
        <v>38.019750592693072</v>
      </c>
      <c r="AS817" t="s">
        <v>65</v>
      </c>
      <c r="AT817">
        <v>1</v>
      </c>
      <c r="AU817" t="s">
        <v>582</v>
      </c>
      <c r="AV817" t="s">
        <v>583</v>
      </c>
      <c r="AW817" t="s">
        <v>60</v>
      </c>
      <c r="AX817" t="s">
        <v>68</v>
      </c>
      <c r="AY817" t="s">
        <v>69</v>
      </c>
      <c r="AZ817" t="b">
        <v>1</v>
      </c>
    </row>
    <row r="818" spans="1:52" x14ac:dyDescent="0.3">
      <c r="A818" t="s">
        <v>52</v>
      </c>
      <c r="B818" t="s">
        <v>53</v>
      </c>
      <c r="C818" t="s">
        <v>54</v>
      </c>
      <c r="D818" t="s">
        <v>55</v>
      </c>
      <c r="E818" t="s">
        <v>2099</v>
      </c>
      <c r="F818" t="s">
        <v>190</v>
      </c>
      <c r="G818" t="s">
        <v>910</v>
      </c>
      <c r="H818" t="s">
        <v>911</v>
      </c>
      <c r="I818" t="s">
        <v>911</v>
      </c>
      <c r="J818" t="s">
        <v>60</v>
      </c>
      <c r="K818" t="s">
        <v>207</v>
      </c>
      <c r="L818" t="s">
        <v>62</v>
      </c>
      <c r="M818" t="s">
        <v>207</v>
      </c>
      <c r="N818" t="s">
        <v>912</v>
      </c>
      <c r="O818" t="s">
        <v>548</v>
      </c>
      <c r="P818">
        <v>-20.116987000000002</v>
      </c>
      <c r="Q818">
        <v>-44.885240000000003</v>
      </c>
      <c r="R818" s="2" t="str">
        <f>HYPERLINK("https://www.google.com/maps?q=-20.1169870,-44.8852400","Abrir no Google Maps")</f>
        <v>Abrir no Google Maps</v>
      </c>
      <c r="S818">
        <v>3</v>
      </c>
      <c r="T818">
        <v>283.94804862214067</v>
      </c>
      <c r="U818">
        <v>3</v>
      </c>
      <c r="V818">
        <v>14</v>
      </c>
      <c r="W818">
        <v>1</v>
      </c>
      <c r="X818">
        <v>14</v>
      </c>
      <c r="Y818">
        <v>536</v>
      </c>
      <c r="Z818">
        <v>297.39410031170689</v>
      </c>
      <c r="AA818">
        <v>198</v>
      </c>
      <c r="AB818">
        <v>332</v>
      </c>
      <c r="AC818">
        <v>536</v>
      </c>
      <c r="AD818">
        <v>30.48</v>
      </c>
      <c r="AE818">
        <v>542</v>
      </c>
      <c r="AF818">
        <v>30</v>
      </c>
      <c r="AG818">
        <v>176</v>
      </c>
      <c r="AH818">
        <v>129</v>
      </c>
      <c r="AI818">
        <v>5.54</v>
      </c>
      <c r="AJ818">
        <v>32.47</v>
      </c>
      <c r="AK818">
        <v>23.8</v>
      </c>
      <c r="AL818">
        <v>-20.116999599999961</v>
      </c>
      <c r="AM818">
        <v>-44.885197873315192</v>
      </c>
      <c r="AN818">
        <v>-20.116999599999961</v>
      </c>
      <c r="AO818">
        <v>-44.885197873315192</v>
      </c>
      <c r="AP818">
        <v>-20.116987000000002</v>
      </c>
      <c r="AQ818">
        <v>-44.885240000000003</v>
      </c>
      <c r="AR818">
        <v>4.6214387870334246</v>
      </c>
      <c r="AS818" t="s">
        <v>65</v>
      </c>
      <c r="AT818">
        <v>1</v>
      </c>
      <c r="AU818" t="s">
        <v>913</v>
      </c>
      <c r="AV818" t="s">
        <v>914</v>
      </c>
      <c r="AW818" t="s">
        <v>60</v>
      </c>
      <c r="AX818" t="s">
        <v>68</v>
      </c>
      <c r="AY818" t="s">
        <v>69</v>
      </c>
      <c r="AZ818" t="b">
        <v>1</v>
      </c>
    </row>
    <row r="819" spans="1:52" x14ac:dyDescent="0.3">
      <c r="A819" t="s">
        <v>52</v>
      </c>
      <c r="B819" t="s">
        <v>53</v>
      </c>
      <c r="C819" t="s">
        <v>54</v>
      </c>
      <c r="D819" t="s">
        <v>55</v>
      </c>
      <c r="E819" t="s">
        <v>2099</v>
      </c>
      <c r="F819" t="s">
        <v>190</v>
      </c>
      <c r="G819" t="s">
        <v>584</v>
      </c>
      <c r="H819" t="s">
        <v>585</v>
      </c>
      <c r="I819" t="s">
        <v>585</v>
      </c>
      <c r="J819" t="s">
        <v>60</v>
      </c>
      <c r="K819" t="s">
        <v>207</v>
      </c>
      <c r="L819" t="s">
        <v>62</v>
      </c>
      <c r="M819" t="s">
        <v>207</v>
      </c>
      <c r="N819" t="s">
        <v>586</v>
      </c>
      <c r="O819" t="s">
        <v>587</v>
      </c>
      <c r="P819">
        <v>-20.122596999999999</v>
      </c>
      <c r="Q819">
        <v>-44.889994999999999</v>
      </c>
      <c r="R819" s="2" t="str">
        <f>HYPERLINK("https://www.google.com/maps?q=-20.1225970,-44.8899950","Abrir no Google Maps")</f>
        <v>Abrir no Google Maps</v>
      </c>
      <c r="S819">
        <v>3</v>
      </c>
      <c r="T819">
        <v>548.23336486960989</v>
      </c>
      <c r="U819">
        <v>3</v>
      </c>
      <c r="V819">
        <v>13</v>
      </c>
      <c r="W819">
        <v>1</v>
      </c>
      <c r="X819">
        <v>13</v>
      </c>
      <c r="Y819">
        <v>536</v>
      </c>
      <c r="Z819">
        <v>547.28307523929982</v>
      </c>
      <c r="AA819">
        <v>198</v>
      </c>
      <c r="AB819">
        <v>332</v>
      </c>
      <c r="AC819">
        <v>536</v>
      </c>
      <c r="AD819">
        <v>30.48</v>
      </c>
      <c r="AE819">
        <v>542</v>
      </c>
      <c r="AF819">
        <v>30</v>
      </c>
      <c r="AG819">
        <v>176</v>
      </c>
      <c r="AH819">
        <v>129</v>
      </c>
      <c r="AI819">
        <v>5.54</v>
      </c>
      <c r="AJ819">
        <v>32.47</v>
      </c>
      <c r="AK819">
        <v>23.8</v>
      </c>
      <c r="AL819">
        <v>-20.122693899999941</v>
      </c>
      <c r="AM819">
        <v>-44.890039706276887</v>
      </c>
      <c r="AN819">
        <v>-20.122693899999941</v>
      </c>
      <c r="AO819">
        <v>-44.890039706276887</v>
      </c>
      <c r="AP819">
        <v>-20.122596999999999</v>
      </c>
      <c r="AQ819">
        <v>-44.889994999999999</v>
      </c>
      <c r="AR819">
        <v>11.75557400261394</v>
      </c>
      <c r="AS819" t="s">
        <v>65</v>
      </c>
      <c r="AT819">
        <v>1</v>
      </c>
      <c r="AU819" t="s">
        <v>588</v>
      </c>
      <c r="AV819" t="s">
        <v>589</v>
      </c>
      <c r="AW819" t="s">
        <v>60</v>
      </c>
      <c r="AX819" t="s">
        <v>68</v>
      </c>
      <c r="AY819" t="s">
        <v>69</v>
      </c>
      <c r="AZ819" t="b">
        <v>1</v>
      </c>
    </row>
    <row r="820" spans="1:52" x14ac:dyDescent="0.3">
      <c r="A820" t="s">
        <v>52</v>
      </c>
      <c r="B820" t="s">
        <v>53</v>
      </c>
      <c r="C820" t="s">
        <v>54</v>
      </c>
      <c r="D820" t="s">
        <v>55</v>
      </c>
      <c r="E820" t="s">
        <v>2099</v>
      </c>
      <c r="F820" t="s">
        <v>190</v>
      </c>
      <c r="G820" t="s">
        <v>601</v>
      </c>
      <c r="H820" t="s">
        <v>602</v>
      </c>
      <c r="I820" t="s">
        <v>602</v>
      </c>
      <c r="J820" t="s">
        <v>60</v>
      </c>
      <c r="K820" t="s">
        <v>117</v>
      </c>
      <c r="L820" t="s">
        <v>62</v>
      </c>
      <c r="M820" t="s">
        <v>117</v>
      </c>
      <c r="N820" t="s">
        <v>603</v>
      </c>
      <c r="O820" t="s">
        <v>604</v>
      </c>
      <c r="P820">
        <v>-20.122198999999998</v>
      </c>
      <c r="Q820">
        <v>-44.893118999999999</v>
      </c>
      <c r="R820" s="2" t="str">
        <f>HYPERLINK("https://www.google.com/maps?q=-20.1221990,-44.8931190","Abrir no Google Maps")</f>
        <v>Abrir no Google Maps</v>
      </c>
      <c r="S820">
        <v>3</v>
      </c>
      <c r="T820">
        <v>737.41475740297403</v>
      </c>
      <c r="U820">
        <v>3</v>
      </c>
      <c r="V820">
        <v>14</v>
      </c>
      <c r="W820">
        <v>1</v>
      </c>
      <c r="X820">
        <v>14</v>
      </c>
      <c r="Y820">
        <v>536</v>
      </c>
      <c r="Z820">
        <v>753.81321098979549</v>
      </c>
      <c r="AA820">
        <v>198</v>
      </c>
      <c r="AB820">
        <v>332</v>
      </c>
      <c r="AC820">
        <v>536</v>
      </c>
      <c r="AD820">
        <v>30.48</v>
      </c>
      <c r="AE820">
        <v>542</v>
      </c>
      <c r="AF820">
        <v>30</v>
      </c>
      <c r="AG820">
        <v>176</v>
      </c>
      <c r="AH820">
        <v>129</v>
      </c>
      <c r="AI820">
        <v>5.54</v>
      </c>
      <c r="AJ820">
        <v>32.47</v>
      </c>
      <c r="AK820">
        <v>23.8</v>
      </c>
      <c r="AL820">
        <v>-20.122192249999959</v>
      </c>
      <c r="AM820">
        <v>-44.893272469204263</v>
      </c>
      <c r="AN820">
        <v>-20.122192249999959</v>
      </c>
      <c r="AO820">
        <v>-44.893272469204263</v>
      </c>
      <c r="AP820">
        <v>-20.122198999999998</v>
      </c>
      <c r="AQ820">
        <v>-44.893118999999999</v>
      </c>
      <c r="AR820">
        <v>16.058980187178161</v>
      </c>
      <c r="AS820" t="s">
        <v>65</v>
      </c>
      <c r="AT820">
        <v>1</v>
      </c>
      <c r="AU820" t="s">
        <v>605</v>
      </c>
      <c r="AV820" t="s">
        <v>606</v>
      </c>
      <c r="AW820" t="s">
        <v>60</v>
      </c>
      <c r="AX820" t="s">
        <v>68</v>
      </c>
      <c r="AY820" t="s">
        <v>69</v>
      </c>
      <c r="AZ820" t="b">
        <v>1</v>
      </c>
    </row>
    <row r="821" spans="1:52" x14ac:dyDescent="0.3">
      <c r="A821" t="s">
        <v>52</v>
      </c>
      <c r="B821" t="s">
        <v>53</v>
      </c>
      <c r="C821" t="s">
        <v>54</v>
      </c>
      <c r="D821" t="s">
        <v>55</v>
      </c>
      <c r="E821" t="s">
        <v>2099</v>
      </c>
      <c r="F821" t="s">
        <v>190</v>
      </c>
      <c r="G821" t="s">
        <v>607</v>
      </c>
      <c r="H821" t="s">
        <v>608</v>
      </c>
      <c r="I821" t="s">
        <v>608</v>
      </c>
      <c r="J821" t="s">
        <v>60</v>
      </c>
      <c r="K821" t="s">
        <v>609</v>
      </c>
      <c r="L821" t="s">
        <v>62</v>
      </c>
      <c r="M821" t="s">
        <v>609</v>
      </c>
      <c r="N821" t="s">
        <v>610</v>
      </c>
      <c r="O821" t="s">
        <v>611</v>
      </c>
      <c r="P821">
        <v>-20.110476999999999</v>
      </c>
      <c r="Q821">
        <v>-44.887531000000003</v>
      </c>
      <c r="R821" s="2" t="str">
        <f>HYPERLINK("https://www.google.com/maps?q=-20.1104770,-44.8875310","Abrir no Google Maps")</f>
        <v>Abrir no Google Maps</v>
      </c>
      <c r="S821">
        <v>3</v>
      </c>
      <c r="T821">
        <v>862.67854008986569</v>
      </c>
      <c r="U821">
        <v>3</v>
      </c>
      <c r="V821">
        <v>16</v>
      </c>
      <c r="W821">
        <v>1</v>
      </c>
      <c r="X821">
        <v>16</v>
      </c>
      <c r="Y821">
        <v>536</v>
      </c>
      <c r="Z821">
        <v>797.51469292431113</v>
      </c>
      <c r="AA821">
        <v>198</v>
      </c>
      <c r="AB821">
        <v>332</v>
      </c>
      <c r="AC821">
        <v>536</v>
      </c>
      <c r="AD821">
        <v>30.48</v>
      </c>
      <c r="AE821">
        <v>542</v>
      </c>
      <c r="AF821">
        <v>30</v>
      </c>
      <c r="AG821">
        <v>176</v>
      </c>
      <c r="AH821">
        <v>129</v>
      </c>
      <c r="AI821">
        <v>5.54</v>
      </c>
      <c r="AJ821">
        <v>32.47</v>
      </c>
      <c r="AK821">
        <v>23.8</v>
      </c>
      <c r="AL821">
        <v>-20.11057859999994</v>
      </c>
      <c r="AM821">
        <v>-44.888034950185293</v>
      </c>
      <c r="AN821">
        <v>-20.11057859999994</v>
      </c>
      <c r="AO821">
        <v>-44.888034950185293</v>
      </c>
      <c r="AP821">
        <v>-20.110476999999999</v>
      </c>
      <c r="AQ821">
        <v>-44.887531000000003</v>
      </c>
      <c r="AR821">
        <v>53.879824494602957</v>
      </c>
      <c r="AS821" t="s">
        <v>65</v>
      </c>
      <c r="AT821">
        <v>1</v>
      </c>
      <c r="AU821" t="s">
        <v>612</v>
      </c>
      <c r="AV821" t="s">
        <v>613</v>
      </c>
      <c r="AW821" t="s">
        <v>60</v>
      </c>
      <c r="AX821" t="s">
        <v>68</v>
      </c>
      <c r="AY821" t="s">
        <v>69</v>
      </c>
      <c r="AZ821" t="b">
        <v>1</v>
      </c>
    </row>
    <row r="822" spans="1:52" x14ac:dyDescent="0.3">
      <c r="A822" t="s">
        <v>52</v>
      </c>
      <c r="B822" t="s">
        <v>53</v>
      </c>
      <c r="C822" t="s">
        <v>54</v>
      </c>
      <c r="D822" t="s">
        <v>55</v>
      </c>
      <c r="E822" t="s">
        <v>2099</v>
      </c>
      <c r="F822" t="s">
        <v>190</v>
      </c>
      <c r="G822" t="s">
        <v>614</v>
      </c>
      <c r="H822" t="s">
        <v>615</v>
      </c>
      <c r="I822" t="s">
        <v>615</v>
      </c>
      <c r="J822" t="s">
        <v>60</v>
      </c>
      <c r="K822" t="s">
        <v>207</v>
      </c>
      <c r="L822" t="s">
        <v>62</v>
      </c>
      <c r="M822" t="s">
        <v>207</v>
      </c>
      <c r="N822" t="s">
        <v>616</v>
      </c>
      <c r="O822" t="s">
        <v>617</v>
      </c>
      <c r="P822">
        <v>-20.123118999999999</v>
      </c>
      <c r="Q822">
        <v>-44.886259000000003</v>
      </c>
      <c r="R822" s="2" t="str">
        <f>HYPERLINK("https://www.google.com/maps?q=-20.1231190,-44.8862590","Abrir no Google Maps")</f>
        <v>Abrir no Google Maps</v>
      </c>
      <c r="S822">
        <v>3</v>
      </c>
      <c r="T822">
        <v>534.91642326845545</v>
      </c>
      <c r="U822">
        <v>3</v>
      </c>
      <c r="V822">
        <v>14</v>
      </c>
      <c r="W822">
        <v>1</v>
      </c>
      <c r="X822">
        <v>14</v>
      </c>
      <c r="Y822">
        <v>536</v>
      </c>
      <c r="Z822">
        <v>478.9192959851456</v>
      </c>
      <c r="AA822">
        <v>198</v>
      </c>
      <c r="AB822">
        <v>332</v>
      </c>
      <c r="AC822">
        <v>536</v>
      </c>
      <c r="AD822">
        <v>30.48</v>
      </c>
      <c r="AE822">
        <v>542</v>
      </c>
      <c r="AF822">
        <v>30</v>
      </c>
      <c r="AG822">
        <v>176</v>
      </c>
      <c r="AH822">
        <v>129</v>
      </c>
      <c r="AI822">
        <v>5.54</v>
      </c>
      <c r="AJ822">
        <v>32.47</v>
      </c>
      <c r="AK822">
        <v>23.8</v>
      </c>
      <c r="AL822">
        <v>-20.12305974999995</v>
      </c>
      <c r="AM822">
        <v>-44.886314469108633</v>
      </c>
      <c r="AN822">
        <v>-20.12305974999995</v>
      </c>
      <c r="AO822">
        <v>-44.886314469108633</v>
      </c>
      <c r="AP822">
        <v>-20.123118999999999</v>
      </c>
      <c r="AQ822">
        <v>-44.886259000000003</v>
      </c>
      <c r="AR822">
        <v>8.7817342078334093</v>
      </c>
      <c r="AS822" t="s">
        <v>65</v>
      </c>
      <c r="AT822">
        <v>1</v>
      </c>
      <c r="AU822" t="s">
        <v>618</v>
      </c>
      <c r="AV822" t="s">
        <v>619</v>
      </c>
      <c r="AW822" t="s">
        <v>60</v>
      </c>
      <c r="AX822" t="s">
        <v>68</v>
      </c>
      <c r="AY822" t="s">
        <v>69</v>
      </c>
      <c r="AZ822" t="b">
        <v>1</v>
      </c>
    </row>
    <row r="823" spans="1:52" x14ac:dyDescent="0.3">
      <c r="A823" t="s">
        <v>52</v>
      </c>
      <c r="B823" t="s">
        <v>53</v>
      </c>
      <c r="C823" t="s">
        <v>54</v>
      </c>
      <c r="D823" t="s">
        <v>55</v>
      </c>
      <c r="E823" t="s">
        <v>2099</v>
      </c>
      <c r="F823" t="s">
        <v>190</v>
      </c>
      <c r="G823" t="s">
        <v>620</v>
      </c>
      <c r="H823" t="s">
        <v>621</v>
      </c>
      <c r="I823" t="s">
        <v>621</v>
      </c>
      <c r="J823" t="s">
        <v>60</v>
      </c>
      <c r="K823" t="s">
        <v>207</v>
      </c>
      <c r="L823" t="s">
        <v>62</v>
      </c>
      <c r="M823" t="s">
        <v>207</v>
      </c>
      <c r="N823" t="s">
        <v>622</v>
      </c>
      <c r="O823" t="s">
        <v>623</v>
      </c>
      <c r="P823">
        <v>-20.120775999999999</v>
      </c>
      <c r="Q823">
        <v>-44.885562999999998</v>
      </c>
      <c r="R823" s="2" t="str">
        <f>HYPERLINK("https://www.google.com/maps?q=-20.1207760,-44.8855630","Abrir no Google Maps")</f>
        <v>Abrir no Google Maps</v>
      </c>
      <c r="S823">
        <v>3</v>
      </c>
      <c r="T823">
        <v>332.24231777761912</v>
      </c>
      <c r="U823">
        <v>3</v>
      </c>
      <c r="V823">
        <v>17</v>
      </c>
      <c r="W823">
        <v>1</v>
      </c>
      <c r="X823">
        <v>17</v>
      </c>
      <c r="Y823">
        <v>536</v>
      </c>
      <c r="Z823">
        <v>255.48165096313261</v>
      </c>
      <c r="AA823">
        <v>198</v>
      </c>
      <c r="AB823">
        <v>332</v>
      </c>
      <c r="AC823">
        <v>536</v>
      </c>
      <c r="AD823">
        <v>30.48</v>
      </c>
      <c r="AE823">
        <v>542</v>
      </c>
      <c r="AF823">
        <v>30</v>
      </c>
      <c r="AG823">
        <v>176</v>
      </c>
      <c r="AH823">
        <v>129</v>
      </c>
      <c r="AI823">
        <v>5.54</v>
      </c>
      <c r="AJ823">
        <v>32.47</v>
      </c>
      <c r="AK823">
        <v>23.8</v>
      </c>
      <c r="AL823">
        <v>-20.120783799999941</v>
      </c>
      <c r="AM823">
        <v>-44.885629603396453</v>
      </c>
      <c r="AN823">
        <v>-20.120783799999941</v>
      </c>
      <c r="AO823">
        <v>-44.885629603396453</v>
      </c>
      <c r="AP823">
        <v>-20.120775999999999</v>
      </c>
      <c r="AQ823">
        <v>-44.885562999999998</v>
      </c>
      <c r="AR823">
        <v>7.0157317818911196</v>
      </c>
      <c r="AS823" t="s">
        <v>65</v>
      </c>
      <c r="AT823">
        <v>1</v>
      </c>
      <c r="AU823" t="s">
        <v>624</v>
      </c>
      <c r="AV823" t="s">
        <v>619</v>
      </c>
      <c r="AW823" t="s">
        <v>60</v>
      </c>
      <c r="AX823" t="s">
        <v>68</v>
      </c>
      <c r="AY823" t="s">
        <v>69</v>
      </c>
      <c r="AZ823" t="b">
        <v>1</v>
      </c>
    </row>
    <row r="824" spans="1:52" x14ac:dyDescent="0.3">
      <c r="A824" t="s">
        <v>52</v>
      </c>
      <c r="B824" t="s">
        <v>53</v>
      </c>
      <c r="C824" t="s">
        <v>54</v>
      </c>
      <c r="D824" t="s">
        <v>55</v>
      </c>
      <c r="E824" t="s">
        <v>2099</v>
      </c>
      <c r="F824" t="s">
        <v>190</v>
      </c>
      <c r="G824" t="s">
        <v>232</v>
      </c>
      <c r="H824" t="s">
        <v>925</v>
      </c>
      <c r="I824" t="s">
        <v>925</v>
      </c>
      <c r="J824" t="s">
        <v>60</v>
      </c>
      <c r="K824" t="s">
        <v>702</v>
      </c>
      <c r="L824" t="s">
        <v>62</v>
      </c>
      <c r="M824" t="s">
        <v>702</v>
      </c>
      <c r="N824" t="s">
        <v>234</v>
      </c>
      <c r="O824" t="s">
        <v>926</v>
      </c>
      <c r="P824">
        <v>-20.165887999999999</v>
      </c>
      <c r="Q824">
        <v>-44.865220000000001</v>
      </c>
      <c r="R824" s="2" t="str">
        <f>HYPERLINK("https://www.google.com/maps?q=-20.1658880,-44.8652200","Abrir no Google Maps")</f>
        <v>Abrir no Google Maps</v>
      </c>
      <c r="S824">
        <v>3</v>
      </c>
      <c r="T824">
        <v>711.71706763776342</v>
      </c>
      <c r="U824">
        <v>3</v>
      </c>
      <c r="V824">
        <v>17</v>
      </c>
      <c r="W824">
        <v>1</v>
      </c>
      <c r="X824">
        <v>17</v>
      </c>
      <c r="Y824">
        <v>518</v>
      </c>
      <c r="Z824">
        <v>801.45781285603209</v>
      </c>
      <c r="AA824">
        <v>198</v>
      </c>
      <c r="AB824">
        <v>332</v>
      </c>
      <c r="AC824">
        <v>536</v>
      </c>
      <c r="AD824">
        <v>30.48</v>
      </c>
      <c r="AE824">
        <v>542</v>
      </c>
      <c r="AF824">
        <v>30</v>
      </c>
      <c r="AG824">
        <v>176</v>
      </c>
      <c r="AH824">
        <v>129</v>
      </c>
      <c r="AI824">
        <v>5.54</v>
      </c>
      <c r="AJ824">
        <v>32.47</v>
      </c>
      <c r="AK824">
        <v>23.8</v>
      </c>
      <c r="AL824">
        <v>-20.165865449999959</v>
      </c>
      <c r="AM824">
        <v>-44.865240434761468</v>
      </c>
      <c r="AN824">
        <v>-20.165865449999959</v>
      </c>
      <c r="AO824">
        <v>-44.865240434761468</v>
      </c>
      <c r="AP824">
        <v>-20.165887999999999</v>
      </c>
      <c r="AQ824">
        <v>-44.865220000000001</v>
      </c>
      <c r="AR824">
        <v>3.2956262004279409</v>
      </c>
      <c r="AS824" t="s">
        <v>65</v>
      </c>
      <c r="AT824">
        <v>1</v>
      </c>
      <c r="AU824" t="s">
        <v>927</v>
      </c>
      <c r="AV824" t="s">
        <v>928</v>
      </c>
      <c r="AW824" t="s">
        <v>60</v>
      </c>
      <c r="AX824" t="s">
        <v>68</v>
      </c>
      <c r="AY824" t="s">
        <v>69</v>
      </c>
      <c r="AZ824" t="b">
        <v>1</v>
      </c>
    </row>
    <row r="825" spans="1:52" x14ac:dyDescent="0.3">
      <c r="A825" t="s">
        <v>52</v>
      </c>
      <c r="B825" t="s">
        <v>53</v>
      </c>
      <c r="C825" t="s">
        <v>54</v>
      </c>
      <c r="D825" t="s">
        <v>55</v>
      </c>
      <c r="E825" t="s">
        <v>2099</v>
      </c>
      <c r="F825" t="s">
        <v>190</v>
      </c>
      <c r="G825" t="s">
        <v>929</v>
      </c>
      <c r="H825" t="s">
        <v>930</v>
      </c>
      <c r="I825" t="s">
        <v>930</v>
      </c>
      <c r="J825" t="s">
        <v>60</v>
      </c>
      <c r="K825" t="s">
        <v>72</v>
      </c>
      <c r="L825" t="s">
        <v>62</v>
      </c>
      <c r="M825" t="s">
        <v>72</v>
      </c>
      <c r="N825" t="s">
        <v>931</v>
      </c>
      <c r="O825" t="s">
        <v>932</v>
      </c>
      <c r="P825">
        <v>-20.144780999999998</v>
      </c>
      <c r="Q825">
        <v>-44.914259000000001</v>
      </c>
      <c r="R825" s="2" t="str">
        <f>HYPERLINK("https://www.google.com/maps?q=-20.1447810,-44.9142590","Abrir no Google Maps")</f>
        <v>Abrir no Google Maps</v>
      </c>
      <c r="S825">
        <v>3</v>
      </c>
      <c r="T825">
        <v>256.09363485874093</v>
      </c>
      <c r="U825">
        <v>3</v>
      </c>
      <c r="V825">
        <v>13</v>
      </c>
      <c r="W825">
        <v>1</v>
      </c>
      <c r="X825">
        <v>13</v>
      </c>
      <c r="Y825">
        <v>508</v>
      </c>
      <c r="Z825">
        <v>318.29766547935321</v>
      </c>
      <c r="AA825">
        <v>198</v>
      </c>
      <c r="AB825">
        <v>332</v>
      </c>
      <c r="AC825">
        <v>536</v>
      </c>
      <c r="AD825">
        <v>30.48</v>
      </c>
      <c r="AE825">
        <v>542</v>
      </c>
      <c r="AF825">
        <v>30</v>
      </c>
      <c r="AG825">
        <v>176</v>
      </c>
      <c r="AH825">
        <v>129</v>
      </c>
      <c r="AI825">
        <v>5.54</v>
      </c>
      <c r="AJ825">
        <v>32.47</v>
      </c>
      <c r="AK825">
        <v>23.8</v>
      </c>
      <c r="AL825">
        <v>-20.144721899999951</v>
      </c>
      <c r="AM825">
        <v>-44.914368749511411</v>
      </c>
      <c r="AN825">
        <v>-20.144721899999951</v>
      </c>
      <c r="AO825">
        <v>-44.914368749511411</v>
      </c>
      <c r="AP825">
        <v>-20.144780999999998</v>
      </c>
      <c r="AQ825">
        <v>-44.914259000000001</v>
      </c>
      <c r="AR825">
        <v>13.22280973360979</v>
      </c>
      <c r="AS825" t="s">
        <v>65</v>
      </c>
      <c r="AT825">
        <v>1</v>
      </c>
      <c r="AU825" t="s">
        <v>933</v>
      </c>
      <c r="AV825" t="s">
        <v>934</v>
      </c>
      <c r="AW825" t="s">
        <v>60</v>
      </c>
      <c r="AX825" t="s">
        <v>68</v>
      </c>
      <c r="AY825" t="s">
        <v>69</v>
      </c>
      <c r="AZ825" t="b">
        <v>1</v>
      </c>
    </row>
    <row r="826" spans="1:52" x14ac:dyDescent="0.3">
      <c r="A826" t="s">
        <v>52</v>
      </c>
      <c r="B826" t="s">
        <v>53</v>
      </c>
      <c r="C826" t="s">
        <v>54</v>
      </c>
      <c r="D826" t="s">
        <v>55</v>
      </c>
      <c r="E826" t="s">
        <v>2099</v>
      </c>
      <c r="F826" t="s">
        <v>190</v>
      </c>
      <c r="G826" t="s">
        <v>935</v>
      </c>
      <c r="H826" t="s">
        <v>936</v>
      </c>
      <c r="I826" t="s">
        <v>936</v>
      </c>
      <c r="J826" t="s">
        <v>60</v>
      </c>
      <c r="K826" t="s">
        <v>193</v>
      </c>
      <c r="L826" t="s">
        <v>62</v>
      </c>
      <c r="M826" t="s">
        <v>193</v>
      </c>
      <c r="N826" t="s">
        <v>937</v>
      </c>
      <c r="O826" t="s">
        <v>938</v>
      </c>
      <c r="P826">
        <v>-20.144727</v>
      </c>
      <c r="Q826">
        <v>-44.919978999999998</v>
      </c>
      <c r="R826" s="2" t="str">
        <f>HYPERLINK("https://www.google.com/maps?q=-20.1447270,-44.9199790","Abrir no Google Maps")</f>
        <v>Abrir no Google Maps</v>
      </c>
      <c r="S826">
        <v>3</v>
      </c>
      <c r="T826">
        <v>341.13992759662477</v>
      </c>
      <c r="U826">
        <v>3</v>
      </c>
      <c r="V826">
        <v>15</v>
      </c>
      <c r="W826">
        <v>1</v>
      </c>
      <c r="X826">
        <v>15</v>
      </c>
      <c r="Y826">
        <v>508</v>
      </c>
      <c r="Z826">
        <v>274.58151985101409</v>
      </c>
      <c r="AA826">
        <v>198</v>
      </c>
      <c r="AB826">
        <v>332</v>
      </c>
      <c r="AC826">
        <v>536</v>
      </c>
      <c r="AD826">
        <v>30.48</v>
      </c>
      <c r="AE826">
        <v>542</v>
      </c>
      <c r="AF826">
        <v>30</v>
      </c>
      <c r="AG826">
        <v>176</v>
      </c>
      <c r="AH826">
        <v>129</v>
      </c>
      <c r="AI826">
        <v>5.54</v>
      </c>
      <c r="AJ826">
        <v>32.47</v>
      </c>
      <c r="AK826">
        <v>23.8</v>
      </c>
      <c r="AL826">
        <v>-20.144771099999961</v>
      </c>
      <c r="AM826">
        <v>-44.92003491095209</v>
      </c>
      <c r="AN826">
        <v>-20.144771099999961</v>
      </c>
      <c r="AO826">
        <v>-44.92003491095209</v>
      </c>
      <c r="AP826">
        <v>-20.144727</v>
      </c>
      <c r="AQ826">
        <v>-44.919978999999998</v>
      </c>
      <c r="AR826">
        <v>7.6317760459664177</v>
      </c>
      <c r="AS826" t="s">
        <v>65</v>
      </c>
      <c r="AT826">
        <v>1</v>
      </c>
      <c r="AU826" t="s">
        <v>939</v>
      </c>
      <c r="AV826" t="s">
        <v>940</v>
      </c>
      <c r="AW826" t="s">
        <v>60</v>
      </c>
      <c r="AX826" t="s">
        <v>68</v>
      </c>
      <c r="AY826" t="s">
        <v>69</v>
      </c>
      <c r="AZ826" t="b">
        <v>1</v>
      </c>
    </row>
    <row r="827" spans="1:52" x14ac:dyDescent="0.3">
      <c r="A827" t="s">
        <v>52</v>
      </c>
      <c r="B827" t="s">
        <v>53</v>
      </c>
      <c r="C827" t="s">
        <v>54</v>
      </c>
      <c r="D827" t="s">
        <v>55</v>
      </c>
      <c r="E827" t="s">
        <v>2099</v>
      </c>
      <c r="F827" t="s">
        <v>190</v>
      </c>
      <c r="G827" t="s">
        <v>946</v>
      </c>
      <c r="H827" t="s">
        <v>947</v>
      </c>
      <c r="I827" t="s">
        <v>947</v>
      </c>
      <c r="J827" t="s">
        <v>60</v>
      </c>
      <c r="K827" t="s">
        <v>193</v>
      </c>
      <c r="L827" t="s">
        <v>62</v>
      </c>
      <c r="M827" t="s">
        <v>193</v>
      </c>
      <c r="N827" t="s">
        <v>948</v>
      </c>
      <c r="O827" t="s">
        <v>949</v>
      </c>
      <c r="P827">
        <v>-20.141646000000001</v>
      </c>
      <c r="Q827">
        <v>-44.920682999999997</v>
      </c>
      <c r="R827" s="2" t="str">
        <f>HYPERLINK("https://www.google.com/maps?q=-20.1416460,-44.9206830","Abrir no Google Maps")</f>
        <v>Abrir no Google Maps</v>
      </c>
      <c r="S827">
        <v>3</v>
      </c>
      <c r="T827">
        <v>538.41742581974165</v>
      </c>
      <c r="U827">
        <v>3</v>
      </c>
      <c r="V827">
        <v>15</v>
      </c>
      <c r="W827">
        <v>1</v>
      </c>
      <c r="X827">
        <v>15</v>
      </c>
      <c r="Y827">
        <v>508</v>
      </c>
      <c r="Z827">
        <v>459.99626097363068</v>
      </c>
      <c r="AA827">
        <v>198</v>
      </c>
      <c r="AB827">
        <v>332</v>
      </c>
      <c r="AC827">
        <v>536</v>
      </c>
      <c r="AD827">
        <v>30.48</v>
      </c>
      <c r="AE827">
        <v>542</v>
      </c>
      <c r="AF827">
        <v>30</v>
      </c>
      <c r="AG827">
        <v>176</v>
      </c>
      <c r="AH827">
        <v>129</v>
      </c>
      <c r="AI827">
        <v>5.54</v>
      </c>
      <c r="AJ827">
        <v>32.47</v>
      </c>
      <c r="AK827">
        <v>23.8</v>
      </c>
      <c r="AL827">
        <v>-20.141877549999979</v>
      </c>
      <c r="AM827">
        <v>-44.920658074778594</v>
      </c>
      <c r="AN827">
        <v>-20.141877549999979</v>
      </c>
      <c r="AO827">
        <v>-44.920658074778594</v>
      </c>
      <c r="AP827">
        <v>-20.141646000000001</v>
      </c>
      <c r="AQ827">
        <v>-44.920682999999997</v>
      </c>
      <c r="AR827">
        <v>25.907443828287509</v>
      </c>
      <c r="AS827" t="s">
        <v>65</v>
      </c>
      <c r="AT827">
        <v>1</v>
      </c>
      <c r="AU827" t="s">
        <v>950</v>
      </c>
      <c r="AV827" t="s">
        <v>951</v>
      </c>
      <c r="AW827" t="s">
        <v>60</v>
      </c>
      <c r="AX827" t="s">
        <v>68</v>
      </c>
      <c r="AY827" t="s">
        <v>69</v>
      </c>
      <c r="AZ827" t="b">
        <v>1</v>
      </c>
    </row>
    <row r="828" spans="1:52" x14ac:dyDescent="0.3">
      <c r="A828" t="s">
        <v>52</v>
      </c>
      <c r="B828" t="s">
        <v>53</v>
      </c>
      <c r="C828" t="s">
        <v>54</v>
      </c>
      <c r="D828" t="s">
        <v>55</v>
      </c>
      <c r="E828" t="s">
        <v>2099</v>
      </c>
      <c r="F828" t="s">
        <v>190</v>
      </c>
      <c r="G828" t="s">
        <v>625</v>
      </c>
      <c r="H828" t="s">
        <v>626</v>
      </c>
      <c r="I828" t="s">
        <v>626</v>
      </c>
      <c r="J828" t="s">
        <v>60</v>
      </c>
      <c r="K828" t="s">
        <v>193</v>
      </c>
      <c r="L828" t="s">
        <v>62</v>
      </c>
      <c r="M828" t="s">
        <v>193</v>
      </c>
      <c r="N828" t="s">
        <v>627</v>
      </c>
      <c r="O828" t="s">
        <v>628</v>
      </c>
      <c r="P828">
        <v>-20.145171999999999</v>
      </c>
      <c r="Q828">
        <v>-44.916764000000001</v>
      </c>
      <c r="R828" s="2" t="str">
        <f>HYPERLINK("https://www.google.com/maps?q=-20.1451720,-44.9167640","Abrir no Google Maps")</f>
        <v>Abrir no Google Maps</v>
      </c>
      <c r="S828">
        <v>3</v>
      </c>
      <c r="T828">
        <v>0</v>
      </c>
      <c r="U828">
        <v>3</v>
      </c>
      <c r="V828">
        <v>12</v>
      </c>
      <c r="W828">
        <v>1</v>
      </c>
      <c r="X828">
        <v>12</v>
      </c>
      <c r="Y828">
        <v>508</v>
      </c>
      <c r="Z828">
        <v>79.403393114466795</v>
      </c>
      <c r="AA828">
        <v>198</v>
      </c>
      <c r="AB828">
        <v>332</v>
      </c>
      <c r="AC828">
        <v>536</v>
      </c>
      <c r="AD828">
        <v>30.48</v>
      </c>
      <c r="AE828">
        <v>542</v>
      </c>
      <c r="AF828">
        <v>30</v>
      </c>
      <c r="AG828">
        <v>176</v>
      </c>
      <c r="AH828">
        <v>129</v>
      </c>
      <c r="AI828">
        <v>5.54</v>
      </c>
      <c r="AJ828">
        <v>32.47</v>
      </c>
      <c r="AK828">
        <v>23.8</v>
      </c>
      <c r="AL828">
        <v>-20.145089199999969</v>
      </c>
      <c r="AM828">
        <v>-44.916788127791321</v>
      </c>
      <c r="AN828">
        <v>-20.145089199999969</v>
      </c>
      <c r="AO828">
        <v>-44.916788127791321</v>
      </c>
      <c r="AP828">
        <v>-20.145171999999999</v>
      </c>
      <c r="AQ828">
        <v>-44.916764000000001</v>
      </c>
      <c r="AR828">
        <v>9.555991267747272</v>
      </c>
      <c r="AS828" t="s">
        <v>65</v>
      </c>
      <c r="AT828">
        <v>1</v>
      </c>
      <c r="AU828" t="s">
        <v>629</v>
      </c>
      <c r="AV828" t="s">
        <v>630</v>
      </c>
      <c r="AW828" t="s">
        <v>60</v>
      </c>
      <c r="AX828" t="s">
        <v>68</v>
      </c>
      <c r="AY828" t="s">
        <v>69</v>
      </c>
      <c r="AZ828" t="b">
        <v>1</v>
      </c>
    </row>
    <row r="829" spans="1:52" x14ac:dyDescent="0.3">
      <c r="A829" t="s">
        <v>52</v>
      </c>
      <c r="B829" t="s">
        <v>53</v>
      </c>
      <c r="C829" t="s">
        <v>54</v>
      </c>
      <c r="D829" t="s">
        <v>55</v>
      </c>
      <c r="E829" t="s">
        <v>2099</v>
      </c>
      <c r="F829" t="s">
        <v>190</v>
      </c>
      <c r="G829" t="s">
        <v>957</v>
      </c>
      <c r="H829" t="s">
        <v>1750</v>
      </c>
      <c r="I829" t="s">
        <v>1750</v>
      </c>
      <c r="J829" t="s">
        <v>60</v>
      </c>
      <c r="K829" t="s">
        <v>982</v>
      </c>
      <c r="L829" t="s">
        <v>62</v>
      </c>
      <c r="M829" t="s">
        <v>982</v>
      </c>
      <c r="N829" t="s">
        <v>959</v>
      </c>
      <c r="O829" t="s">
        <v>1751</v>
      </c>
      <c r="P829">
        <v>-20.164285</v>
      </c>
      <c r="Q829">
        <v>-44.857562000000001</v>
      </c>
      <c r="R829" s="2" t="str">
        <f>HYPERLINK("https://www.google.com/maps?q=-20.1642850,-44.8575620","Abrir no Google Maps")</f>
        <v>Abrir no Google Maps</v>
      </c>
      <c r="S829">
        <v>3</v>
      </c>
      <c r="T829">
        <v>275.89108588842112</v>
      </c>
      <c r="U829">
        <v>3</v>
      </c>
      <c r="V829">
        <v>12</v>
      </c>
      <c r="W829">
        <v>1</v>
      </c>
      <c r="X829">
        <v>12</v>
      </c>
      <c r="Y829">
        <v>491</v>
      </c>
      <c r="Z829">
        <v>150.50906778215881</v>
      </c>
      <c r="AA829">
        <v>198</v>
      </c>
      <c r="AB829">
        <v>332</v>
      </c>
      <c r="AC829">
        <v>536</v>
      </c>
      <c r="AD829">
        <v>30.48</v>
      </c>
      <c r="AE829">
        <v>542</v>
      </c>
      <c r="AF829">
        <v>30</v>
      </c>
      <c r="AG829">
        <v>176</v>
      </c>
      <c r="AH829">
        <v>129</v>
      </c>
      <c r="AI829">
        <v>5.54</v>
      </c>
      <c r="AJ829">
        <v>32.47</v>
      </c>
      <c r="AK829">
        <v>23.8</v>
      </c>
      <c r="AL829">
        <v>-20.164333749999969</v>
      </c>
      <c r="AM829">
        <v>-44.857568319333943</v>
      </c>
      <c r="AN829">
        <v>-20.164333749999969</v>
      </c>
      <c r="AO829">
        <v>-44.857568319333943</v>
      </c>
      <c r="AP829">
        <v>-20.164285</v>
      </c>
      <c r="AQ829">
        <v>-44.857562000000001</v>
      </c>
      <c r="AR829">
        <v>5.4668788625524281</v>
      </c>
      <c r="AS829" t="s">
        <v>65</v>
      </c>
      <c r="AT829">
        <v>1</v>
      </c>
      <c r="AU829" t="s">
        <v>1752</v>
      </c>
      <c r="AV829" t="s">
        <v>1753</v>
      </c>
      <c r="AW829" t="s">
        <v>60</v>
      </c>
      <c r="AX829" t="s">
        <v>68</v>
      </c>
      <c r="AY829" t="s">
        <v>69</v>
      </c>
      <c r="AZ829" t="b">
        <v>1</v>
      </c>
    </row>
    <row r="830" spans="1:52" x14ac:dyDescent="0.3">
      <c r="A830" t="s">
        <v>52</v>
      </c>
      <c r="B830" t="s">
        <v>53</v>
      </c>
      <c r="C830" t="s">
        <v>54</v>
      </c>
      <c r="D830" t="s">
        <v>55</v>
      </c>
      <c r="E830" t="s">
        <v>2099</v>
      </c>
      <c r="F830" t="s">
        <v>190</v>
      </c>
      <c r="G830" t="s">
        <v>974</v>
      </c>
      <c r="H830" t="s">
        <v>975</v>
      </c>
      <c r="I830" t="s">
        <v>975</v>
      </c>
      <c r="J830" t="s">
        <v>60</v>
      </c>
      <c r="K830" t="s">
        <v>702</v>
      </c>
      <c r="L830" t="s">
        <v>62</v>
      </c>
      <c r="M830" t="s">
        <v>702</v>
      </c>
      <c r="N830" t="s">
        <v>976</v>
      </c>
      <c r="O830" t="s">
        <v>977</v>
      </c>
      <c r="P830">
        <v>-20.167021999999999</v>
      </c>
      <c r="Q830">
        <v>-44.863095000000001</v>
      </c>
      <c r="R830" s="2" t="str">
        <f>HYPERLINK("https://www.google.com/maps?q=-20.1670220,-44.8630950","Abrir no Google Maps")</f>
        <v>Abrir no Google Maps</v>
      </c>
      <c r="S830">
        <v>3</v>
      </c>
      <c r="T830">
        <v>629.02897442495839</v>
      </c>
      <c r="U830">
        <v>3</v>
      </c>
      <c r="V830">
        <v>14</v>
      </c>
      <c r="W830">
        <v>1</v>
      </c>
      <c r="X830">
        <v>14</v>
      </c>
      <c r="Y830">
        <v>491</v>
      </c>
      <c r="Z830">
        <v>693.48000708961661</v>
      </c>
      <c r="AA830">
        <v>198</v>
      </c>
      <c r="AB830">
        <v>332</v>
      </c>
      <c r="AC830">
        <v>536</v>
      </c>
      <c r="AD830">
        <v>30.48</v>
      </c>
      <c r="AE830">
        <v>542</v>
      </c>
      <c r="AF830">
        <v>30</v>
      </c>
      <c r="AG830">
        <v>176</v>
      </c>
      <c r="AH830">
        <v>129</v>
      </c>
      <c r="AI830">
        <v>5.54</v>
      </c>
      <c r="AJ830">
        <v>32.47</v>
      </c>
      <c r="AK830">
        <v>23.8</v>
      </c>
      <c r="AL830">
        <v>-20.167032199999941</v>
      </c>
      <c r="AM830">
        <v>-44.863123980291967</v>
      </c>
      <c r="AN830">
        <v>-20.167032199999941</v>
      </c>
      <c r="AO830">
        <v>-44.863123980291967</v>
      </c>
      <c r="AP830">
        <v>-20.167021999999999</v>
      </c>
      <c r="AQ830">
        <v>-44.863095000000001</v>
      </c>
      <c r="AR830">
        <v>3.2341734571542871</v>
      </c>
      <c r="AS830" t="s">
        <v>65</v>
      </c>
      <c r="AT830">
        <v>1</v>
      </c>
      <c r="AU830" t="s">
        <v>978</v>
      </c>
      <c r="AV830" t="s">
        <v>979</v>
      </c>
      <c r="AW830" t="s">
        <v>60</v>
      </c>
      <c r="AX830" t="s">
        <v>68</v>
      </c>
      <c r="AY830" t="s">
        <v>69</v>
      </c>
      <c r="AZ830" t="b">
        <v>1</v>
      </c>
    </row>
    <row r="831" spans="1:52" x14ac:dyDescent="0.3">
      <c r="A831" t="s">
        <v>52</v>
      </c>
      <c r="B831" t="s">
        <v>53</v>
      </c>
      <c r="C831" t="s">
        <v>54</v>
      </c>
      <c r="D831" t="s">
        <v>55</v>
      </c>
      <c r="E831" t="s">
        <v>2099</v>
      </c>
      <c r="F831" t="s">
        <v>190</v>
      </c>
      <c r="G831" t="s">
        <v>643</v>
      </c>
      <c r="H831" t="s">
        <v>644</v>
      </c>
      <c r="I831" t="s">
        <v>644</v>
      </c>
      <c r="J831" t="s">
        <v>60</v>
      </c>
      <c r="K831" t="s">
        <v>462</v>
      </c>
      <c r="L831" t="s">
        <v>62</v>
      </c>
      <c r="M831" t="s">
        <v>462</v>
      </c>
      <c r="N831" t="s">
        <v>645</v>
      </c>
      <c r="O831" t="s">
        <v>646</v>
      </c>
      <c r="P831">
        <v>-20.138680000000001</v>
      </c>
      <c r="Q831">
        <v>-44.901313000000002</v>
      </c>
      <c r="R831" s="2" t="str">
        <f>HYPERLINK("https://www.google.com/maps?q=-20.1386800,-44.9013130","Abrir no Google Maps")</f>
        <v>Abrir no Google Maps</v>
      </c>
      <c r="S831">
        <v>3</v>
      </c>
      <c r="T831">
        <v>322.91859681380862</v>
      </c>
      <c r="U831">
        <v>3</v>
      </c>
      <c r="V831">
        <v>13</v>
      </c>
      <c r="W831">
        <v>1</v>
      </c>
      <c r="X831">
        <v>13</v>
      </c>
      <c r="Y831">
        <v>435</v>
      </c>
      <c r="Z831">
        <v>299.891766434874</v>
      </c>
      <c r="AA831">
        <v>198</v>
      </c>
      <c r="AB831">
        <v>332</v>
      </c>
      <c r="AC831">
        <v>536</v>
      </c>
      <c r="AD831">
        <v>30.48</v>
      </c>
      <c r="AE831">
        <v>542</v>
      </c>
      <c r="AF831">
        <v>30</v>
      </c>
      <c r="AG831">
        <v>176</v>
      </c>
      <c r="AH831">
        <v>129</v>
      </c>
      <c r="AI831">
        <v>5.54</v>
      </c>
      <c r="AJ831">
        <v>32.47</v>
      </c>
      <c r="AK831">
        <v>23.8</v>
      </c>
      <c r="AL831">
        <v>-20.13865734999996</v>
      </c>
      <c r="AM831">
        <v>-44.901255803238627</v>
      </c>
      <c r="AN831">
        <v>-20.13865734999996</v>
      </c>
      <c r="AO831">
        <v>-44.901255803238627</v>
      </c>
      <c r="AP831">
        <v>-20.138680000000001</v>
      </c>
      <c r="AQ831">
        <v>-44.901313000000002</v>
      </c>
      <c r="AR831">
        <v>6.4878640135702481</v>
      </c>
      <c r="AS831" t="s">
        <v>65</v>
      </c>
      <c r="AT831">
        <v>1</v>
      </c>
      <c r="AU831" t="s">
        <v>647</v>
      </c>
      <c r="AV831" t="s">
        <v>648</v>
      </c>
      <c r="AW831" t="s">
        <v>60</v>
      </c>
      <c r="AX831" t="s">
        <v>68</v>
      </c>
      <c r="AY831" t="s">
        <v>69</v>
      </c>
      <c r="AZ831" t="b">
        <v>1</v>
      </c>
    </row>
    <row r="832" spans="1:52" x14ac:dyDescent="0.3">
      <c r="A832" t="s">
        <v>52</v>
      </c>
      <c r="B832" t="s">
        <v>53</v>
      </c>
      <c r="C832" t="s">
        <v>54</v>
      </c>
      <c r="D832" t="s">
        <v>55</v>
      </c>
      <c r="E832" t="s">
        <v>2099</v>
      </c>
      <c r="F832" t="s">
        <v>190</v>
      </c>
      <c r="G832" t="s">
        <v>669</v>
      </c>
      <c r="H832" t="s">
        <v>670</v>
      </c>
      <c r="I832" t="s">
        <v>670</v>
      </c>
      <c r="J832" t="s">
        <v>60</v>
      </c>
      <c r="K832" t="s">
        <v>530</v>
      </c>
      <c r="L832" t="s">
        <v>62</v>
      </c>
      <c r="M832" t="s">
        <v>530</v>
      </c>
      <c r="N832" t="s">
        <v>671</v>
      </c>
      <c r="O832" t="s">
        <v>672</v>
      </c>
      <c r="P832">
        <v>-20.139036999999998</v>
      </c>
      <c r="Q832">
        <v>-44.889187</v>
      </c>
      <c r="R832" s="2" t="str">
        <f>HYPERLINK("https://www.google.com/maps?q=-20.1390370,-44.8891870","Abrir no Google Maps")</f>
        <v>Abrir no Google Maps</v>
      </c>
      <c r="S832">
        <v>3</v>
      </c>
      <c r="T832">
        <v>162.03713995333371</v>
      </c>
      <c r="U832">
        <v>3</v>
      </c>
      <c r="V832">
        <v>16</v>
      </c>
      <c r="W832">
        <v>1</v>
      </c>
      <c r="X832">
        <v>16</v>
      </c>
      <c r="Y832">
        <v>428</v>
      </c>
      <c r="Z832">
        <v>126.21352118044651</v>
      </c>
      <c r="AA832">
        <v>198</v>
      </c>
      <c r="AB832">
        <v>332</v>
      </c>
      <c r="AC832">
        <v>536</v>
      </c>
      <c r="AD832">
        <v>30.48</v>
      </c>
      <c r="AE832">
        <v>542</v>
      </c>
      <c r="AF832">
        <v>30</v>
      </c>
      <c r="AG832">
        <v>176</v>
      </c>
      <c r="AH832">
        <v>129</v>
      </c>
      <c r="AI832">
        <v>5.54</v>
      </c>
      <c r="AJ832">
        <v>32.47</v>
      </c>
      <c r="AK832">
        <v>23.8</v>
      </c>
      <c r="AL832">
        <v>-20.13900394999996</v>
      </c>
      <c r="AM832">
        <v>-44.889298503583859</v>
      </c>
      <c r="AN832">
        <v>-20.13900394999996</v>
      </c>
      <c r="AO832">
        <v>-44.889298503583859</v>
      </c>
      <c r="AP832">
        <v>-20.139036999999998</v>
      </c>
      <c r="AQ832">
        <v>-44.889187</v>
      </c>
      <c r="AR832">
        <v>12.220642731957311</v>
      </c>
      <c r="AS832" t="s">
        <v>65</v>
      </c>
      <c r="AT832">
        <v>1</v>
      </c>
      <c r="AU832" t="s">
        <v>673</v>
      </c>
      <c r="AV832" t="s">
        <v>674</v>
      </c>
      <c r="AW832" t="s">
        <v>60</v>
      </c>
      <c r="AX832" t="s">
        <v>68</v>
      </c>
      <c r="AY832" t="s">
        <v>69</v>
      </c>
      <c r="AZ832" t="b">
        <v>1</v>
      </c>
    </row>
    <row r="833" spans="1:52" x14ac:dyDescent="0.3">
      <c r="A833" t="s">
        <v>52</v>
      </c>
      <c r="B833" t="s">
        <v>53</v>
      </c>
      <c r="C833" t="s">
        <v>54</v>
      </c>
      <c r="D833" t="s">
        <v>55</v>
      </c>
      <c r="E833" t="s">
        <v>2099</v>
      </c>
      <c r="F833" t="s">
        <v>190</v>
      </c>
      <c r="G833" t="s">
        <v>675</v>
      </c>
      <c r="H833" t="s">
        <v>676</v>
      </c>
      <c r="I833" t="s">
        <v>676</v>
      </c>
      <c r="J833" t="s">
        <v>60</v>
      </c>
      <c r="K833" t="s">
        <v>530</v>
      </c>
      <c r="L833" t="s">
        <v>62</v>
      </c>
      <c r="M833" t="s">
        <v>530</v>
      </c>
      <c r="N833" t="s">
        <v>677</v>
      </c>
      <c r="O833" t="s">
        <v>678</v>
      </c>
      <c r="P833">
        <v>-20.140103</v>
      </c>
      <c r="Q833">
        <v>-44.887059999999998</v>
      </c>
      <c r="R833" s="2" t="str">
        <f>HYPERLINK("https://www.google.com/maps?q=-20.1401030,-44.8870600","Abrir no Google Maps")</f>
        <v>Abrir no Google Maps</v>
      </c>
      <c r="S833">
        <v>3</v>
      </c>
      <c r="T833">
        <v>202.19329492684349</v>
      </c>
      <c r="U833">
        <v>3</v>
      </c>
      <c r="V833">
        <v>12</v>
      </c>
      <c r="W833">
        <v>1</v>
      </c>
      <c r="X833">
        <v>12</v>
      </c>
      <c r="Y833">
        <v>428</v>
      </c>
      <c r="Z833">
        <v>144.95603883960419</v>
      </c>
      <c r="AA833">
        <v>198</v>
      </c>
      <c r="AB833">
        <v>332</v>
      </c>
      <c r="AC833">
        <v>536</v>
      </c>
      <c r="AD833">
        <v>30.48</v>
      </c>
      <c r="AE833">
        <v>542</v>
      </c>
      <c r="AF833">
        <v>30</v>
      </c>
      <c r="AG833">
        <v>176</v>
      </c>
      <c r="AH833">
        <v>129</v>
      </c>
      <c r="AI833">
        <v>5.54</v>
      </c>
      <c r="AJ833">
        <v>32.47</v>
      </c>
      <c r="AK833">
        <v>23.8</v>
      </c>
      <c r="AL833">
        <v>-20.13997164999995</v>
      </c>
      <c r="AM833">
        <v>-44.887075246455773</v>
      </c>
      <c r="AN833">
        <v>-20.13997164999995</v>
      </c>
      <c r="AO833">
        <v>-44.887075246455773</v>
      </c>
      <c r="AP833">
        <v>-20.140103</v>
      </c>
      <c r="AQ833">
        <v>-44.887059999999998</v>
      </c>
      <c r="AR833">
        <v>14.7084512385181</v>
      </c>
      <c r="AS833" t="s">
        <v>65</v>
      </c>
      <c r="AT833">
        <v>1</v>
      </c>
      <c r="AU833" t="s">
        <v>679</v>
      </c>
      <c r="AV833" t="s">
        <v>680</v>
      </c>
      <c r="AW833" t="s">
        <v>60</v>
      </c>
      <c r="AX833" t="s">
        <v>68</v>
      </c>
      <c r="AY833" t="s">
        <v>69</v>
      </c>
      <c r="AZ833" t="b">
        <v>1</v>
      </c>
    </row>
    <row r="834" spans="1:52" x14ac:dyDescent="0.3">
      <c r="A834" t="s">
        <v>52</v>
      </c>
      <c r="B834" t="s">
        <v>53</v>
      </c>
      <c r="C834" t="s">
        <v>54</v>
      </c>
      <c r="D834" t="s">
        <v>55</v>
      </c>
      <c r="E834" t="s">
        <v>2099</v>
      </c>
      <c r="F834" t="s">
        <v>190</v>
      </c>
      <c r="G834" t="s">
        <v>681</v>
      </c>
      <c r="H834" t="s">
        <v>682</v>
      </c>
      <c r="I834" t="s">
        <v>682</v>
      </c>
      <c r="J834" t="s">
        <v>60</v>
      </c>
      <c r="K834" t="s">
        <v>530</v>
      </c>
      <c r="L834" t="s">
        <v>62</v>
      </c>
      <c r="M834" t="s">
        <v>530</v>
      </c>
      <c r="N834" t="s">
        <v>683</v>
      </c>
      <c r="O834" t="s">
        <v>173</v>
      </c>
      <c r="P834">
        <v>-20.138342999999999</v>
      </c>
      <c r="Q834">
        <v>-44.887732</v>
      </c>
      <c r="R834" s="2" t="str">
        <f>HYPERLINK("https://www.google.com/maps?q=-20.1383430,-44.8877320","Abrir no Google Maps")</f>
        <v>Abrir no Google Maps</v>
      </c>
      <c r="S834">
        <v>3</v>
      </c>
      <c r="T834">
        <v>0</v>
      </c>
      <c r="U834">
        <v>3</v>
      </c>
      <c r="V834">
        <v>15</v>
      </c>
      <c r="W834">
        <v>1</v>
      </c>
      <c r="X834">
        <v>15</v>
      </c>
      <c r="Y834">
        <v>428</v>
      </c>
      <c r="Z834">
        <v>82.685534812530861</v>
      </c>
      <c r="AA834">
        <v>198</v>
      </c>
      <c r="AB834">
        <v>332</v>
      </c>
      <c r="AC834">
        <v>536</v>
      </c>
      <c r="AD834">
        <v>30.48</v>
      </c>
      <c r="AE834">
        <v>542</v>
      </c>
      <c r="AF834">
        <v>30</v>
      </c>
      <c r="AG834">
        <v>176</v>
      </c>
      <c r="AH834">
        <v>129</v>
      </c>
      <c r="AI834">
        <v>5.54</v>
      </c>
      <c r="AJ834">
        <v>32.47</v>
      </c>
      <c r="AK834">
        <v>23.8</v>
      </c>
      <c r="AL834">
        <v>-20.138329099999961</v>
      </c>
      <c r="AM834">
        <v>-44.887922589375549</v>
      </c>
      <c r="AN834">
        <v>-20.138329099999961</v>
      </c>
      <c r="AO834">
        <v>-44.887922589375549</v>
      </c>
      <c r="AP834">
        <v>-20.138342999999999</v>
      </c>
      <c r="AQ834">
        <v>-44.887732</v>
      </c>
      <c r="AR834">
        <v>19.979335127307191</v>
      </c>
      <c r="AS834" t="s">
        <v>65</v>
      </c>
      <c r="AT834">
        <v>1</v>
      </c>
      <c r="AU834" t="s">
        <v>684</v>
      </c>
      <c r="AV834" t="s">
        <v>685</v>
      </c>
      <c r="AW834" t="s">
        <v>60</v>
      </c>
      <c r="AX834" t="s">
        <v>68</v>
      </c>
      <c r="AY834" t="s">
        <v>69</v>
      </c>
      <c r="AZ834" t="b">
        <v>1</v>
      </c>
    </row>
    <row r="835" spans="1:52" x14ac:dyDescent="0.3">
      <c r="A835" t="s">
        <v>52</v>
      </c>
      <c r="B835" t="s">
        <v>53</v>
      </c>
      <c r="C835" t="s">
        <v>54</v>
      </c>
      <c r="D835" t="s">
        <v>55</v>
      </c>
      <c r="E835" t="s">
        <v>2099</v>
      </c>
      <c r="F835" t="s">
        <v>190</v>
      </c>
      <c r="G835" t="s">
        <v>1028</v>
      </c>
      <c r="H835" t="s">
        <v>1029</v>
      </c>
      <c r="I835" t="s">
        <v>1029</v>
      </c>
      <c r="J835" t="s">
        <v>60</v>
      </c>
      <c r="K835" t="s">
        <v>1016</v>
      </c>
      <c r="L835" t="s">
        <v>62</v>
      </c>
      <c r="M835" t="s">
        <v>1016</v>
      </c>
      <c r="N835" t="s">
        <v>1030</v>
      </c>
      <c r="O835" t="s">
        <v>855</v>
      </c>
      <c r="P835">
        <v>-20.169778000000001</v>
      </c>
      <c r="Q835">
        <v>-44.871940000000002</v>
      </c>
      <c r="R835" s="2" t="str">
        <f>HYPERLINK("https://www.google.com/maps?q=-20.1697780,-44.8719400","Abrir no Google Maps")</f>
        <v>Abrir no Google Maps</v>
      </c>
      <c r="S835">
        <v>3</v>
      </c>
      <c r="T835">
        <v>730.45462447863167</v>
      </c>
      <c r="U835">
        <v>3</v>
      </c>
      <c r="V835">
        <v>18</v>
      </c>
      <c r="W835">
        <v>1</v>
      </c>
      <c r="X835">
        <v>18</v>
      </c>
      <c r="Y835">
        <v>422</v>
      </c>
      <c r="Z835">
        <v>600.74952959765801</v>
      </c>
      <c r="AA835">
        <v>198</v>
      </c>
      <c r="AB835">
        <v>332</v>
      </c>
      <c r="AC835">
        <v>536</v>
      </c>
      <c r="AD835">
        <v>30.48</v>
      </c>
      <c r="AE835">
        <v>542</v>
      </c>
      <c r="AF835">
        <v>30</v>
      </c>
      <c r="AG835">
        <v>176</v>
      </c>
      <c r="AH835">
        <v>129</v>
      </c>
      <c r="AI835">
        <v>5.54</v>
      </c>
      <c r="AJ835">
        <v>32.47</v>
      </c>
      <c r="AK835">
        <v>23.8</v>
      </c>
      <c r="AL835">
        <v>-20.169770599999961</v>
      </c>
      <c r="AM835">
        <v>-44.871857291666629</v>
      </c>
      <c r="AN835">
        <v>-20.169770599999961</v>
      </c>
      <c r="AO835">
        <v>-44.871857291666629</v>
      </c>
      <c r="AP835">
        <v>-20.169778000000001</v>
      </c>
      <c r="AQ835">
        <v>-44.871940000000002</v>
      </c>
      <c r="AR835">
        <v>8.6816379320830315</v>
      </c>
      <c r="AS835" t="s">
        <v>65</v>
      </c>
      <c r="AT835">
        <v>1</v>
      </c>
      <c r="AU835" t="s">
        <v>1031</v>
      </c>
      <c r="AV835" t="s">
        <v>1032</v>
      </c>
      <c r="AW835" t="s">
        <v>60</v>
      </c>
      <c r="AX835" t="s">
        <v>68</v>
      </c>
      <c r="AY835" t="s">
        <v>69</v>
      </c>
      <c r="AZ835" t="b">
        <v>1</v>
      </c>
    </row>
    <row r="836" spans="1:52" x14ac:dyDescent="0.3">
      <c r="A836" t="s">
        <v>52</v>
      </c>
      <c r="B836" t="s">
        <v>53</v>
      </c>
      <c r="C836" t="s">
        <v>54</v>
      </c>
      <c r="D836" t="s">
        <v>55</v>
      </c>
      <c r="E836" t="s">
        <v>2099</v>
      </c>
      <c r="F836" t="s">
        <v>190</v>
      </c>
      <c r="G836" t="s">
        <v>1033</v>
      </c>
      <c r="H836" t="s">
        <v>1034</v>
      </c>
      <c r="I836" t="s">
        <v>1034</v>
      </c>
      <c r="J836" t="s">
        <v>60</v>
      </c>
      <c r="K836" t="s">
        <v>1016</v>
      </c>
      <c r="L836" t="s">
        <v>62</v>
      </c>
      <c r="M836" t="s">
        <v>1016</v>
      </c>
      <c r="N836" t="s">
        <v>1035</v>
      </c>
      <c r="O836" t="s">
        <v>1036</v>
      </c>
      <c r="P836">
        <v>-20.176404999999999</v>
      </c>
      <c r="Q836">
        <v>-44.871102</v>
      </c>
      <c r="R836" s="2" t="str">
        <f>HYPERLINK("https://www.google.com/maps?q=-20.1764050,-44.8711020","Abrir no Google Maps")</f>
        <v>Abrir no Google Maps</v>
      </c>
      <c r="S836">
        <v>3</v>
      </c>
      <c r="T836">
        <v>746.17794449655105</v>
      </c>
      <c r="U836">
        <v>3</v>
      </c>
      <c r="V836">
        <v>13</v>
      </c>
      <c r="W836">
        <v>1</v>
      </c>
      <c r="X836">
        <v>13</v>
      </c>
      <c r="Y836">
        <v>422</v>
      </c>
      <c r="Z836">
        <v>532.61564453099913</v>
      </c>
      <c r="AA836">
        <v>198</v>
      </c>
      <c r="AB836">
        <v>332</v>
      </c>
      <c r="AC836">
        <v>536</v>
      </c>
      <c r="AD836">
        <v>30.48</v>
      </c>
      <c r="AE836">
        <v>542</v>
      </c>
      <c r="AF836">
        <v>30</v>
      </c>
      <c r="AG836">
        <v>176</v>
      </c>
      <c r="AH836">
        <v>129</v>
      </c>
      <c r="AI836">
        <v>5.54</v>
      </c>
      <c r="AJ836">
        <v>32.47</v>
      </c>
      <c r="AK836">
        <v>23.8</v>
      </c>
      <c r="AL836">
        <v>-20.176464949999971</v>
      </c>
      <c r="AM836">
        <v>-44.871010194676387</v>
      </c>
      <c r="AN836">
        <v>-20.176464949999971</v>
      </c>
      <c r="AO836">
        <v>-44.871010194676387</v>
      </c>
      <c r="AP836">
        <v>-20.176404999999999</v>
      </c>
      <c r="AQ836">
        <v>-44.871102</v>
      </c>
      <c r="AR836">
        <v>11.68571547850415</v>
      </c>
      <c r="AS836" t="s">
        <v>65</v>
      </c>
      <c r="AT836">
        <v>1</v>
      </c>
      <c r="AU836" t="s">
        <v>1037</v>
      </c>
      <c r="AV836" t="s">
        <v>1038</v>
      </c>
      <c r="AW836" t="s">
        <v>60</v>
      </c>
      <c r="AX836" t="s">
        <v>68</v>
      </c>
      <c r="AY836" t="s">
        <v>69</v>
      </c>
      <c r="AZ836" t="b">
        <v>1</v>
      </c>
    </row>
    <row r="837" spans="1:52" x14ac:dyDescent="0.3">
      <c r="A837" t="s">
        <v>52</v>
      </c>
      <c r="B837" t="s">
        <v>53</v>
      </c>
      <c r="C837" t="s">
        <v>54</v>
      </c>
      <c r="D837" t="s">
        <v>55</v>
      </c>
      <c r="E837" t="s">
        <v>2099</v>
      </c>
      <c r="F837" t="s">
        <v>190</v>
      </c>
      <c r="G837" t="s">
        <v>693</v>
      </c>
      <c r="H837" t="s">
        <v>694</v>
      </c>
      <c r="I837" t="s">
        <v>694</v>
      </c>
      <c r="J837" t="s">
        <v>60</v>
      </c>
      <c r="K837" t="s">
        <v>695</v>
      </c>
      <c r="L837" t="s">
        <v>62</v>
      </c>
      <c r="M837" t="s">
        <v>695</v>
      </c>
      <c r="N837" t="s">
        <v>696</v>
      </c>
      <c r="O837" t="s">
        <v>697</v>
      </c>
      <c r="P837">
        <v>-20.174917000000001</v>
      </c>
      <c r="Q837">
        <v>-44.857677000000002</v>
      </c>
      <c r="R837" s="2" t="str">
        <f>HYPERLINK("https://www.google.com/maps?q=-20.1749170,-44.8576770","Abrir no Google Maps")</f>
        <v>Abrir no Google Maps</v>
      </c>
      <c r="S837">
        <v>3</v>
      </c>
      <c r="T837">
        <v>850.52349144267646</v>
      </c>
      <c r="U837">
        <v>3</v>
      </c>
      <c r="V837">
        <v>17</v>
      </c>
      <c r="W837">
        <v>1</v>
      </c>
      <c r="X837">
        <v>17</v>
      </c>
      <c r="Y837">
        <v>422</v>
      </c>
      <c r="Z837">
        <v>1042.4685698911451</v>
      </c>
      <c r="AA837">
        <v>198</v>
      </c>
      <c r="AB837">
        <v>332</v>
      </c>
      <c r="AC837">
        <v>536</v>
      </c>
      <c r="AD837">
        <v>30.48</v>
      </c>
      <c r="AE837">
        <v>542</v>
      </c>
      <c r="AF837">
        <v>30</v>
      </c>
      <c r="AG837">
        <v>176</v>
      </c>
      <c r="AH837">
        <v>129</v>
      </c>
      <c r="AI837">
        <v>5.54</v>
      </c>
      <c r="AJ837">
        <v>32.47</v>
      </c>
      <c r="AK837">
        <v>23.8</v>
      </c>
      <c r="AL837">
        <v>-20.17483459999994</v>
      </c>
      <c r="AM837">
        <v>-44.857715667542379</v>
      </c>
      <c r="AN837">
        <v>-20.17483459999994</v>
      </c>
      <c r="AO837">
        <v>-44.857715667542379</v>
      </c>
      <c r="AP837">
        <v>-20.174917000000001</v>
      </c>
      <c r="AQ837">
        <v>-44.857677000000002</v>
      </c>
      <c r="AR837">
        <v>10.02318555136439</v>
      </c>
      <c r="AS837" t="s">
        <v>65</v>
      </c>
      <c r="AT837">
        <v>1</v>
      </c>
      <c r="AU837" t="s">
        <v>698</v>
      </c>
      <c r="AV837" t="s">
        <v>699</v>
      </c>
      <c r="AW837" t="s">
        <v>60</v>
      </c>
      <c r="AX837" t="s">
        <v>68</v>
      </c>
      <c r="AY837" t="s">
        <v>69</v>
      </c>
      <c r="AZ837" t="b">
        <v>1</v>
      </c>
    </row>
    <row r="838" spans="1:52" x14ac:dyDescent="0.3">
      <c r="A838" t="s">
        <v>52</v>
      </c>
      <c r="B838" t="s">
        <v>53</v>
      </c>
      <c r="C838" t="s">
        <v>54</v>
      </c>
      <c r="D838" t="s">
        <v>55</v>
      </c>
      <c r="E838" t="s">
        <v>2099</v>
      </c>
      <c r="F838" t="s">
        <v>190</v>
      </c>
      <c r="G838" t="s">
        <v>1877</v>
      </c>
      <c r="H838" t="s">
        <v>1878</v>
      </c>
      <c r="I838" t="s">
        <v>1878</v>
      </c>
      <c r="J838" t="s">
        <v>60</v>
      </c>
      <c r="K838" t="s">
        <v>1023</v>
      </c>
      <c r="L838" t="s">
        <v>62</v>
      </c>
      <c r="M838" t="s">
        <v>1023</v>
      </c>
      <c r="N838" t="s">
        <v>1879</v>
      </c>
      <c r="O838" t="s">
        <v>1880</v>
      </c>
      <c r="P838">
        <v>-20.174357000000001</v>
      </c>
      <c r="Q838">
        <v>-44.866101</v>
      </c>
      <c r="R838" s="2" t="str">
        <f>HYPERLINK("https://www.google.com/maps?q=-20.1743570,-44.8661010","Abrir no Google Maps")</f>
        <v>Abrir no Google Maps</v>
      </c>
      <c r="S838">
        <v>3</v>
      </c>
      <c r="T838">
        <v>238.56176556684929</v>
      </c>
      <c r="U838">
        <v>3</v>
      </c>
      <c r="V838">
        <v>15</v>
      </c>
      <c r="W838">
        <v>0.85</v>
      </c>
      <c r="X838">
        <v>12.75</v>
      </c>
      <c r="Y838">
        <v>422</v>
      </c>
      <c r="Z838">
        <v>225.29948026941889</v>
      </c>
      <c r="AA838">
        <v>198</v>
      </c>
      <c r="AB838">
        <v>332</v>
      </c>
      <c r="AC838">
        <v>536</v>
      </c>
      <c r="AD838">
        <v>30.48</v>
      </c>
      <c r="AE838">
        <v>542</v>
      </c>
      <c r="AF838">
        <v>30</v>
      </c>
      <c r="AG838">
        <v>176</v>
      </c>
      <c r="AH838">
        <v>129</v>
      </c>
      <c r="AI838">
        <v>5.54</v>
      </c>
      <c r="AJ838">
        <v>32.47</v>
      </c>
      <c r="AK838">
        <v>23.8</v>
      </c>
      <c r="AL838">
        <v>-20.17434419999995</v>
      </c>
      <c r="AM838">
        <v>-44.866107665675429</v>
      </c>
      <c r="AN838">
        <v>-20.17434419999995</v>
      </c>
      <c r="AO838">
        <v>-44.866107665675429</v>
      </c>
      <c r="AP838">
        <v>-20.174357000000001</v>
      </c>
      <c r="AQ838">
        <v>-44.866101</v>
      </c>
      <c r="AR838">
        <v>1.586013294508726</v>
      </c>
      <c r="AS838" t="s">
        <v>65</v>
      </c>
      <c r="AT838">
        <v>1</v>
      </c>
      <c r="AU838" t="s">
        <v>1881</v>
      </c>
      <c r="AV838" t="s">
        <v>1043</v>
      </c>
      <c r="AW838" t="s">
        <v>60</v>
      </c>
      <c r="AX838" t="s">
        <v>68</v>
      </c>
      <c r="AY838" t="s">
        <v>69</v>
      </c>
      <c r="AZ838" t="b">
        <v>1</v>
      </c>
    </row>
    <row r="839" spans="1:52" x14ac:dyDescent="0.3">
      <c r="A839" t="s">
        <v>52</v>
      </c>
      <c r="B839" t="s">
        <v>53</v>
      </c>
      <c r="C839" t="s">
        <v>54</v>
      </c>
      <c r="D839" t="s">
        <v>55</v>
      </c>
      <c r="E839" t="s">
        <v>2099</v>
      </c>
      <c r="F839" t="s">
        <v>190</v>
      </c>
      <c r="G839" t="s">
        <v>1039</v>
      </c>
      <c r="H839" t="s">
        <v>1040</v>
      </c>
      <c r="I839" t="s">
        <v>1040</v>
      </c>
      <c r="J839" t="s">
        <v>60</v>
      </c>
      <c r="K839" t="s">
        <v>1023</v>
      </c>
      <c r="L839" t="s">
        <v>62</v>
      </c>
      <c r="M839" t="s">
        <v>1023</v>
      </c>
      <c r="N839" t="s">
        <v>1041</v>
      </c>
      <c r="O839" t="s">
        <v>738</v>
      </c>
      <c r="P839">
        <v>-20.172284000000001</v>
      </c>
      <c r="Q839">
        <v>-44.865392999999997</v>
      </c>
      <c r="R839" s="2" t="str">
        <f>HYPERLINK("https://www.google.com/maps?q=-20.1722840,-44.8653930","Abrir no Google Maps")</f>
        <v>Abrir no Google Maps</v>
      </c>
      <c r="S839">
        <v>3</v>
      </c>
      <c r="T839">
        <v>0</v>
      </c>
      <c r="U839">
        <v>3</v>
      </c>
      <c r="V839">
        <v>15</v>
      </c>
      <c r="W839">
        <v>1</v>
      </c>
      <c r="X839">
        <v>15</v>
      </c>
      <c r="Y839">
        <v>422</v>
      </c>
      <c r="Z839">
        <v>202.96804500763591</v>
      </c>
      <c r="AA839">
        <v>198</v>
      </c>
      <c r="AB839">
        <v>332</v>
      </c>
      <c r="AC839">
        <v>536</v>
      </c>
      <c r="AD839">
        <v>30.48</v>
      </c>
      <c r="AE839">
        <v>542</v>
      </c>
      <c r="AF839">
        <v>30</v>
      </c>
      <c r="AG839">
        <v>176</v>
      </c>
      <c r="AH839">
        <v>129</v>
      </c>
      <c r="AI839">
        <v>5.54</v>
      </c>
      <c r="AJ839">
        <v>32.47</v>
      </c>
      <c r="AK839">
        <v>23.8</v>
      </c>
      <c r="AL839">
        <v>-20.17229514999994</v>
      </c>
      <c r="AM839">
        <v>-44.865398249858011</v>
      </c>
      <c r="AN839">
        <v>-20.17229514999994</v>
      </c>
      <c r="AO839">
        <v>-44.865398249858011</v>
      </c>
      <c r="AP839">
        <v>-20.172284000000001</v>
      </c>
      <c r="AQ839">
        <v>-44.865392999999997</v>
      </c>
      <c r="AR839">
        <v>1.357036084497409</v>
      </c>
      <c r="AS839" t="s">
        <v>65</v>
      </c>
      <c r="AT839">
        <v>1</v>
      </c>
      <c r="AU839" t="s">
        <v>1042</v>
      </c>
      <c r="AV839" t="s">
        <v>1043</v>
      </c>
      <c r="AW839" t="s">
        <v>60</v>
      </c>
      <c r="AX839" t="s">
        <v>68</v>
      </c>
      <c r="AY839" t="s">
        <v>69</v>
      </c>
      <c r="AZ839" t="b">
        <v>1</v>
      </c>
    </row>
    <row r="840" spans="1:52" x14ac:dyDescent="0.3">
      <c r="A840" t="s">
        <v>52</v>
      </c>
      <c r="B840" t="s">
        <v>53</v>
      </c>
      <c r="C840" t="s">
        <v>54</v>
      </c>
      <c r="D840" t="s">
        <v>55</v>
      </c>
      <c r="E840" t="s">
        <v>2099</v>
      </c>
      <c r="F840" t="s">
        <v>190</v>
      </c>
      <c r="G840" t="s">
        <v>1048</v>
      </c>
      <c r="H840" t="s">
        <v>1049</v>
      </c>
      <c r="I840" t="s">
        <v>1049</v>
      </c>
      <c r="J840" t="s">
        <v>60</v>
      </c>
      <c r="K840" t="s">
        <v>708</v>
      </c>
      <c r="L840" t="s">
        <v>62</v>
      </c>
      <c r="M840" t="s">
        <v>708</v>
      </c>
      <c r="N840" t="s">
        <v>1050</v>
      </c>
      <c r="O840" t="s">
        <v>1051</v>
      </c>
      <c r="P840">
        <v>-20.128316000000002</v>
      </c>
      <c r="Q840">
        <v>-44.878137000000002</v>
      </c>
      <c r="R840" s="2" t="str">
        <f>HYPERLINK("https://www.google.com/maps?q=-20.1283160,-44.8781370","Abrir no Google Maps")</f>
        <v>Abrir no Google Maps</v>
      </c>
      <c r="S840">
        <v>3</v>
      </c>
      <c r="T840">
        <v>513.28053815499243</v>
      </c>
      <c r="U840">
        <v>3</v>
      </c>
      <c r="V840">
        <v>13</v>
      </c>
      <c r="W840">
        <v>1</v>
      </c>
      <c r="X840">
        <v>13</v>
      </c>
      <c r="Y840">
        <v>387</v>
      </c>
      <c r="Z840">
        <v>385.74604528561741</v>
      </c>
      <c r="AA840">
        <v>198</v>
      </c>
      <c r="AB840">
        <v>332</v>
      </c>
      <c r="AC840">
        <v>536</v>
      </c>
      <c r="AD840">
        <v>30.48</v>
      </c>
      <c r="AE840">
        <v>542</v>
      </c>
      <c r="AF840">
        <v>30</v>
      </c>
      <c r="AG840">
        <v>176</v>
      </c>
      <c r="AH840">
        <v>129</v>
      </c>
      <c r="AI840">
        <v>5.54</v>
      </c>
      <c r="AJ840">
        <v>32.47</v>
      </c>
      <c r="AK840">
        <v>23.8</v>
      </c>
      <c r="AL840">
        <v>-20.128308349999969</v>
      </c>
      <c r="AM840">
        <v>-44.878115052779357</v>
      </c>
      <c r="AN840">
        <v>-20.128308349999969</v>
      </c>
      <c r="AO840">
        <v>-44.878115052779357</v>
      </c>
      <c r="AP840">
        <v>-20.128316000000002</v>
      </c>
      <c r="AQ840">
        <v>-44.878137000000002</v>
      </c>
      <c r="AR840">
        <v>2.4469186172207671</v>
      </c>
      <c r="AS840" t="s">
        <v>65</v>
      </c>
      <c r="AT840">
        <v>1</v>
      </c>
      <c r="AU840" t="s">
        <v>1052</v>
      </c>
      <c r="AV840" t="s">
        <v>1053</v>
      </c>
      <c r="AW840" t="s">
        <v>60</v>
      </c>
      <c r="AX840" t="s">
        <v>68</v>
      </c>
      <c r="AY840" t="s">
        <v>69</v>
      </c>
      <c r="AZ840" t="b">
        <v>1</v>
      </c>
    </row>
    <row r="841" spans="1:52" x14ac:dyDescent="0.3">
      <c r="A841" t="s">
        <v>52</v>
      </c>
      <c r="B841" t="s">
        <v>53</v>
      </c>
      <c r="C841" t="s">
        <v>54</v>
      </c>
      <c r="D841" t="s">
        <v>55</v>
      </c>
      <c r="E841" t="s">
        <v>2099</v>
      </c>
      <c r="F841" t="s">
        <v>190</v>
      </c>
      <c r="G841" t="s">
        <v>718</v>
      </c>
      <c r="H841" t="s">
        <v>719</v>
      </c>
      <c r="I841" t="s">
        <v>719</v>
      </c>
      <c r="J841" t="s">
        <v>60</v>
      </c>
      <c r="K841" t="s">
        <v>708</v>
      </c>
      <c r="L841" t="s">
        <v>62</v>
      </c>
      <c r="M841" t="s">
        <v>708</v>
      </c>
      <c r="N841" t="s">
        <v>720</v>
      </c>
      <c r="O841" t="s">
        <v>721</v>
      </c>
      <c r="P841">
        <v>-20.130344000000001</v>
      </c>
      <c r="Q841">
        <v>-44.878869000000002</v>
      </c>
      <c r="R841" s="2" t="str">
        <f>HYPERLINK("https://www.google.com/maps?q=-20.1303440,-44.8788690","Abrir no Google Maps")</f>
        <v>Abrir no Google Maps</v>
      </c>
      <c r="S841">
        <v>3</v>
      </c>
      <c r="T841">
        <v>556.14753541089829</v>
      </c>
      <c r="U841">
        <v>3</v>
      </c>
      <c r="V841">
        <v>17</v>
      </c>
      <c r="W841">
        <v>1</v>
      </c>
      <c r="X841">
        <v>17</v>
      </c>
      <c r="Y841">
        <v>387</v>
      </c>
      <c r="Z841">
        <v>521.53850378132177</v>
      </c>
      <c r="AA841">
        <v>198</v>
      </c>
      <c r="AB841">
        <v>332</v>
      </c>
      <c r="AC841">
        <v>536</v>
      </c>
      <c r="AD841">
        <v>30.48</v>
      </c>
      <c r="AE841">
        <v>542</v>
      </c>
      <c r="AF841">
        <v>30</v>
      </c>
      <c r="AG841">
        <v>176</v>
      </c>
      <c r="AH841">
        <v>129</v>
      </c>
      <c r="AI841">
        <v>5.54</v>
      </c>
      <c r="AJ841">
        <v>32.47</v>
      </c>
      <c r="AK841">
        <v>23.8</v>
      </c>
      <c r="AL841">
        <v>-20.13050289999995</v>
      </c>
      <c r="AM841">
        <v>-44.878831282856943</v>
      </c>
      <c r="AN841">
        <v>-20.13050289999995</v>
      </c>
      <c r="AO841">
        <v>-44.878831282856943</v>
      </c>
      <c r="AP841">
        <v>-20.130344000000001</v>
      </c>
      <c r="AQ841">
        <v>-44.878869000000002</v>
      </c>
      <c r="AR841">
        <v>18.122709277240279</v>
      </c>
      <c r="AS841" t="s">
        <v>65</v>
      </c>
      <c r="AT841">
        <v>1</v>
      </c>
      <c r="AU841" t="s">
        <v>722</v>
      </c>
      <c r="AV841" t="s">
        <v>723</v>
      </c>
      <c r="AW841" t="s">
        <v>60</v>
      </c>
      <c r="AX841" t="s">
        <v>68</v>
      </c>
      <c r="AY841" t="s">
        <v>69</v>
      </c>
      <c r="AZ841" t="b">
        <v>1</v>
      </c>
    </row>
    <row r="842" spans="1:52" x14ac:dyDescent="0.3">
      <c r="A842" t="s">
        <v>52</v>
      </c>
      <c r="B842" t="s">
        <v>53</v>
      </c>
      <c r="C842" t="s">
        <v>54</v>
      </c>
      <c r="D842" t="s">
        <v>55</v>
      </c>
      <c r="E842" t="s">
        <v>2099</v>
      </c>
      <c r="F842" t="s">
        <v>190</v>
      </c>
      <c r="G842" t="s">
        <v>127</v>
      </c>
      <c r="H842" t="s">
        <v>2100</v>
      </c>
      <c r="I842" t="s">
        <v>2100</v>
      </c>
      <c r="J842" t="s">
        <v>60</v>
      </c>
      <c r="K842" t="s">
        <v>708</v>
      </c>
      <c r="L842" t="s">
        <v>62</v>
      </c>
      <c r="M842" t="s">
        <v>708</v>
      </c>
      <c r="N842" t="s">
        <v>130</v>
      </c>
      <c r="O842" t="s">
        <v>2101</v>
      </c>
      <c r="P842">
        <v>-20.126211000000001</v>
      </c>
      <c r="Q842">
        <v>-44.876140999999997</v>
      </c>
      <c r="R842" s="2" t="str">
        <f>HYPERLINK("https://www.google.com/maps?q=-20.1262110,-44.8761410","Abrir no Google Maps")</f>
        <v>Abrir no Google Maps</v>
      </c>
      <c r="S842">
        <v>3</v>
      </c>
      <c r="T842">
        <v>491.23729716823732</v>
      </c>
      <c r="U842">
        <v>3</v>
      </c>
      <c r="V842">
        <v>15</v>
      </c>
      <c r="W842">
        <v>0.85</v>
      </c>
      <c r="X842">
        <v>12.75</v>
      </c>
      <c r="Y842">
        <v>387</v>
      </c>
      <c r="Z842">
        <v>484.37443137695487</v>
      </c>
      <c r="AA842">
        <v>198</v>
      </c>
      <c r="AB842">
        <v>332</v>
      </c>
      <c r="AC842">
        <v>536</v>
      </c>
      <c r="AD842">
        <v>30.48</v>
      </c>
      <c r="AE842">
        <v>542</v>
      </c>
      <c r="AF842">
        <v>30</v>
      </c>
      <c r="AG842">
        <v>176</v>
      </c>
      <c r="AH842">
        <v>129</v>
      </c>
      <c r="AI842">
        <v>5.54</v>
      </c>
      <c r="AJ842">
        <v>32.47</v>
      </c>
      <c r="AK842">
        <v>23.8</v>
      </c>
      <c r="AL842">
        <v>-20.126304899999951</v>
      </c>
      <c r="AM842">
        <v>-44.876159380076217</v>
      </c>
      <c r="AN842">
        <v>-20.126304899999951</v>
      </c>
      <c r="AO842">
        <v>-44.876159380076217</v>
      </c>
      <c r="AP842">
        <v>-20.126211000000001</v>
      </c>
      <c r="AQ842">
        <v>-44.876140999999997</v>
      </c>
      <c r="AR842">
        <v>10.628022432940419</v>
      </c>
      <c r="AS842" t="s">
        <v>65</v>
      </c>
      <c r="AT842">
        <v>1</v>
      </c>
      <c r="AU842" t="s">
        <v>2102</v>
      </c>
      <c r="AV842" t="s">
        <v>2103</v>
      </c>
      <c r="AW842" t="s">
        <v>60</v>
      </c>
      <c r="AX842" t="s">
        <v>68</v>
      </c>
      <c r="AY842" t="s">
        <v>69</v>
      </c>
      <c r="AZ842" t="b">
        <v>1</v>
      </c>
    </row>
    <row r="843" spans="1:52" x14ac:dyDescent="0.3">
      <c r="A843" t="s">
        <v>52</v>
      </c>
      <c r="B843" t="s">
        <v>53</v>
      </c>
      <c r="C843" t="s">
        <v>54</v>
      </c>
      <c r="D843" t="s">
        <v>55</v>
      </c>
      <c r="E843" t="s">
        <v>2099</v>
      </c>
      <c r="F843" t="s">
        <v>190</v>
      </c>
      <c r="G843" t="s">
        <v>734</v>
      </c>
      <c r="H843" t="s">
        <v>1059</v>
      </c>
      <c r="I843" t="s">
        <v>1059</v>
      </c>
      <c r="J843" t="s">
        <v>60</v>
      </c>
      <c r="K843" t="s">
        <v>736</v>
      </c>
      <c r="L843" t="s">
        <v>62</v>
      </c>
      <c r="M843" t="s">
        <v>736</v>
      </c>
      <c r="N843" t="s">
        <v>1060</v>
      </c>
      <c r="O843" t="s">
        <v>1061</v>
      </c>
      <c r="P843">
        <v>-20.104700000000001</v>
      </c>
      <c r="Q843">
        <v>-44.972988000000001</v>
      </c>
      <c r="R843" s="2" t="str">
        <f>HYPERLINK("https://www.google.com/maps?q=-20.1047000,-44.9729880","Abrir no Google Maps")</f>
        <v>Abrir no Google Maps</v>
      </c>
      <c r="S843">
        <v>3</v>
      </c>
      <c r="T843">
        <v>0</v>
      </c>
      <c r="U843">
        <v>3</v>
      </c>
      <c r="V843">
        <v>17</v>
      </c>
      <c r="W843">
        <v>1</v>
      </c>
      <c r="X843">
        <v>17</v>
      </c>
      <c r="Y843">
        <v>385</v>
      </c>
      <c r="Z843">
        <v>130.87424695814411</v>
      </c>
      <c r="AA843">
        <v>198</v>
      </c>
      <c r="AB843">
        <v>332</v>
      </c>
      <c r="AC843">
        <v>536</v>
      </c>
      <c r="AD843">
        <v>30.48</v>
      </c>
      <c r="AE843">
        <v>542</v>
      </c>
      <c r="AF843">
        <v>30</v>
      </c>
      <c r="AG843">
        <v>176</v>
      </c>
      <c r="AH843">
        <v>129</v>
      </c>
      <c r="AI843">
        <v>5.54</v>
      </c>
      <c r="AJ843">
        <v>32.47</v>
      </c>
      <c r="AK843">
        <v>23.8</v>
      </c>
      <c r="AL843">
        <v>-20.104640449999948</v>
      </c>
      <c r="AM843">
        <v>-44.972990283032523</v>
      </c>
      <c r="AN843">
        <v>-20.104640449999948</v>
      </c>
      <c r="AO843">
        <v>-44.972990283032509</v>
      </c>
      <c r="AP843">
        <v>-20.104700000000001</v>
      </c>
      <c r="AQ843">
        <v>-44.972988000000001</v>
      </c>
      <c r="AR843">
        <v>6.6334007529191332</v>
      </c>
      <c r="AS843" t="s">
        <v>65</v>
      </c>
      <c r="AT843">
        <v>1</v>
      </c>
      <c r="AU843" t="s">
        <v>1062</v>
      </c>
      <c r="AV843" t="s">
        <v>1063</v>
      </c>
      <c r="AW843" t="s">
        <v>60</v>
      </c>
      <c r="AX843" t="s">
        <v>68</v>
      </c>
      <c r="AY843" t="s">
        <v>69</v>
      </c>
      <c r="AZ843" t="b">
        <v>1</v>
      </c>
    </row>
    <row r="844" spans="1:52" x14ac:dyDescent="0.3">
      <c r="A844" t="s">
        <v>52</v>
      </c>
      <c r="B844" t="s">
        <v>53</v>
      </c>
      <c r="C844" t="s">
        <v>54</v>
      </c>
      <c r="D844" t="s">
        <v>55</v>
      </c>
      <c r="E844" t="s">
        <v>2099</v>
      </c>
      <c r="F844" t="s">
        <v>190</v>
      </c>
      <c r="G844" t="s">
        <v>734</v>
      </c>
      <c r="H844" t="s">
        <v>1064</v>
      </c>
      <c r="I844" t="s">
        <v>1064</v>
      </c>
      <c r="J844" t="s">
        <v>60</v>
      </c>
      <c r="K844" t="s">
        <v>530</v>
      </c>
      <c r="L844" t="s">
        <v>62</v>
      </c>
      <c r="M844" t="s">
        <v>530</v>
      </c>
      <c r="N844" t="s">
        <v>1060</v>
      </c>
      <c r="O844" t="s">
        <v>1065</v>
      </c>
      <c r="P844">
        <v>-20.102878</v>
      </c>
      <c r="Q844">
        <v>-44.974297</v>
      </c>
      <c r="R844" s="2" t="str">
        <f>HYPERLINK("https://www.google.com/maps?q=-20.1028780,-44.9742970","Abrir no Google Maps")</f>
        <v>Abrir no Google Maps</v>
      </c>
      <c r="S844">
        <v>3</v>
      </c>
      <c r="T844">
        <v>261.64376156647683</v>
      </c>
      <c r="U844">
        <v>3</v>
      </c>
      <c r="V844">
        <v>16</v>
      </c>
      <c r="W844">
        <v>1</v>
      </c>
      <c r="X844">
        <v>16</v>
      </c>
      <c r="Y844">
        <v>385</v>
      </c>
      <c r="Z844">
        <v>272.78931550338098</v>
      </c>
      <c r="AA844">
        <v>198</v>
      </c>
      <c r="AB844">
        <v>332</v>
      </c>
      <c r="AC844">
        <v>536</v>
      </c>
      <c r="AD844">
        <v>30.48</v>
      </c>
      <c r="AE844">
        <v>542</v>
      </c>
      <c r="AF844">
        <v>30</v>
      </c>
      <c r="AG844">
        <v>176</v>
      </c>
      <c r="AH844">
        <v>129</v>
      </c>
      <c r="AI844">
        <v>5.54</v>
      </c>
      <c r="AJ844">
        <v>32.47</v>
      </c>
      <c r="AK844">
        <v>23.8</v>
      </c>
      <c r="AL844">
        <v>-20.102914199999962</v>
      </c>
      <c r="AM844">
        <v>-44.974700580584418</v>
      </c>
      <c r="AN844">
        <v>-20.102914199999962</v>
      </c>
      <c r="AO844">
        <v>-44.974700580584418</v>
      </c>
      <c r="AP844">
        <v>-20.102878</v>
      </c>
      <c r="AQ844">
        <v>-44.974297</v>
      </c>
      <c r="AR844">
        <v>42.381535645626968</v>
      </c>
      <c r="AS844" t="s">
        <v>65</v>
      </c>
      <c r="AT844">
        <v>1</v>
      </c>
      <c r="AU844" t="s">
        <v>1066</v>
      </c>
      <c r="AV844" t="s">
        <v>1067</v>
      </c>
      <c r="AW844" t="s">
        <v>60</v>
      </c>
      <c r="AX844" t="s">
        <v>68</v>
      </c>
      <c r="AY844" t="s">
        <v>69</v>
      </c>
      <c r="AZ844" t="b">
        <v>1</v>
      </c>
    </row>
    <row r="845" spans="1:52" x14ac:dyDescent="0.3">
      <c r="A845" t="s">
        <v>52</v>
      </c>
      <c r="B845" t="s">
        <v>53</v>
      </c>
      <c r="C845" t="s">
        <v>54</v>
      </c>
      <c r="D845" t="s">
        <v>55</v>
      </c>
      <c r="E845" t="s">
        <v>2099</v>
      </c>
      <c r="F845" t="s">
        <v>190</v>
      </c>
      <c r="G845" t="s">
        <v>734</v>
      </c>
      <c r="H845" t="s">
        <v>1896</v>
      </c>
      <c r="I845" t="s">
        <v>1896</v>
      </c>
      <c r="J845" t="s">
        <v>60</v>
      </c>
      <c r="K845" t="s">
        <v>1897</v>
      </c>
      <c r="L845" t="s">
        <v>62</v>
      </c>
      <c r="M845" t="s">
        <v>1897</v>
      </c>
      <c r="N845" t="s">
        <v>1898</v>
      </c>
      <c r="O845" t="s">
        <v>1504</v>
      </c>
      <c r="P845">
        <v>-20.107769000000001</v>
      </c>
      <c r="Q845">
        <v>-44.970954999999996</v>
      </c>
      <c r="R845" s="2" t="str">
        <f>HYPERLINK("https://www.google.com/maps?q=-20.1077690,-44.9709550","Abrir no Google Maps")</f>
        <v>Abrir no Google Maps</v>
      </c>
      <c r="S845">
        <v>3</v>
      </c>
      <c r="T845">
        <v>476.78106430105362</v>
      </c>
      <c r="U845">
        <v>3</v>
      </c>
      <c r="V845">
        <v>14</v>
      </c>
      <c r="W845">
        <v>0.85</v>
      </c>
      <c r="X845">
        <v>11.9</v>
      </c>
      <c r="Y845">
        <v>385</v>
      </c>
      <c r="Z845">
        <v>509.54667933721629</v>
      </c>
      <c r="AA845">
        <v>198</v>
      </c>
      <c r="AB845">
        <v>332</v>
      </c>
      <c r="AC845">
        <v>536</v>
      </c>
      <c r="AD845">
        <v>30.48</v>
      </c>
      <c r="AE845">
        <v>542</v>
      </c>
      <c r="AF845">
        <v>30</v>
      </c>
      <c r="AG845">
        <v>176</v>
      </c>
      <c r="AH845">
        <v>129</v>
      </c>
      <c r="AI845">
        <v>5.54</v>
      </c>
      <c r="AJ845">
        <v>32.47</v>
      </c>
      <c r="AK845">
        <v>23.8</v>
      </c>
      <c r="AL845">
        <v>-20.108115599999959</v>
      </c>
      <c r="AM845">
        <v>-44.970294209500551</v>
      </c>
      <c r="AN845">
        <v>-20.108115599999959</v>
      </c>
      <c r="AO845">
        <v>-44.970294209500551</v>
      </c>
      <c r="AP845">
        <v>-20.107769000000001</v>
      </c>
      <c r="AQ845">
        <v>-44.970954999999996</v>
      </c>
      <c r="AR845">
        <v>79.120816966903064</v>
      </c>
      <c r="AS845" t="s">
        <v>65</v>
      </c>
      <c r="AT845">
        <v>1</v>
      </c>
      <c r="AU845" t="s">
        <v>1899</v>
      </c>
      <c r="AV845" t="s">
        <v>1900</v>
      </c>
      <c r="AW845" t="s">
        <v>60</v>
      </c>
      <c r="AX845" t="s">
        <v>68</v>
      </c>
      <c r="AY845" t="s">
        <v>69</v>
      </c>
      <c r="AZ845" t="b">
        <v>1</v>
      </c>
    </row>
    <row r="846" spans="1:52" x14ac:dyDescent="0.3">
      <c r="A846" t="s">
        <v>52</v>
      </c>
      <c r="B846" t="s">
        <v>53</v>
      </c>
      <c r="C846" t="s">
        <v>54</v>
      </c>
      <c r="D846" t="s">
        <v>55</v>
      </c>
      <c r="E846" t="s">
        <v>2099</v>
      </c>
      <c r="F846" t="s">
        <v>190</v>
      </c>
      <c r="G846" t="s">
        <v>741</v>
      </c>
      <c r="H846" t="s">
        <v>742</v>
      </c>
      <c r="I846" t="s">
        <v>742</v>
      </c>
      <c r="J846" t="s">
        <v>60</v>
      </c>
      <c r="K846" t="s">
        <v>688</v>
      </c>
      <c r="L846" t="s">
        <v>62</v>
      </c>
      <c r="M846" t="s">
        <v>688</v>
      </c>
      <c r="N846" t="s">
        <v>743</v>
      </c>
      <c r="O846" t="s">
        <v>744</v>
      </c>
      <c r="P846">
        <v>-20.136733</v>
      </c>
      <c r="Q846">
        <v>-44.888140999999997</v>
      </c>
      <c r="R846" s="2" t="str">
        <f>HYPERLINK("https://www.google.com/maps?q=-20.1367330,-44.8881410","Abrir no Google Maps")</f>
        <v>Abrir no Google Maps</v>
      </c>
      <c r="S846">
        <v>3</v>
      </c>
      <c r="T846">
        <v>175.84339996559589</v>
      </c>
      <c r="U846">
        <v>3</v>
      </c>
      <c r="V846">
        <v>15</v>
      </c>
      <c r="W846">
        <v>1</v>
      </c>
      <c r="X846">
        <v>15</v>
      </c>
      <c r="Y846">
        <v>350</v>
      </c>
      <c r="Z846">
        <v>171.90575296051961</v>
      </c>
      <c r="AA846">
        <v>198</v>
      </c>
      <c r="AB846">
        <v>332</v>
      </c>
      <c r="AC846">
        <v>536</v>
      </c>
      <c r="AD846">
        <v>30.48</v>
      </c>
      <c r="AE846">
        <v>542</v>
      </c>
      <c r="AF846">
        <v>30</v>
      </c>
      <c r="AG846">
        <v>176</v>
      </c>
      <c r="AH846">
        <v>129</v>
      </c>
      <c r="AI846">
        <v>5.54</v>
      </c>
      <c r="AJ846">
        <v>32.47</v>
      </c>
      <c r="AK846">
        <v>23.8</v>
      </c>
      <c r="AL846">
        <v>-20.136726099999979</v>
      </c>
      <c r="AM846">
        <v>-44.888062077766982</v>
      </c>
      <c r="AN846">
        <v>-20.136726099999979</v>
      </c>
      <c r="AO846">
        <v>-44.888062077766982</v>
      </c>
      <c r="AP846">
        <v>-20.136733</v>
      </c>
      <c r="AQ846">
        <v>-44.888140999999997</v>
      </c>
      <c r="AR846">
        <v>8.2842769013797852</v>
      </c>
      <c r="AS846" t="s">
        <v>65</v>
      </c>
      <c r="AT846">
        <v>1</v>
      </c>
      <c r="AU846" t="s">
        <v>745</v>
      </c>
      <c r="AV846" t="s">
        <v>746</v>
      </c>
      <c r="AW846" t="s">
        <v>60</v>
      </c>
      <c r="AX846" t="s">
        <v>68</v>
      </c>
      <c r="AY846" t="s">
        <v>69</v>
      </c>
      <c r="AZ846" t="b">
        <v>1</v>
      </c>
    </row>
    <row r="847" spans="1:52" x14ac:dyDescent="0.3">
      <c r="A847" t="s">
        <v>52</v>
      </c>
      <c r="B847" t="s">
        <v>53</v>
      </c>
      <c r="C847" t="s">
        <v>54</v>
      </c>
      <c r="D847" t="s">
        <v>55</v>
      </c>
      <c r="E847" t="s">
        <v>2099</v>
      </c>
      <c r="F847" t="s">
        <v>190</v>
      </c>
      <c r="G847" t="s">
        <v>2104</v>
      </c>
      <c r="H847" t="s">
        <v>2105</v>
      </c>
      <c r="I847" t="s">
        <v>2105</v>
      </c>
      <c r="J847" t="s">
        <v>60</v>
      </c>
      <c r="K847" t="s">
        <v>761</v>
      </c>
      <c r="L847" t="s">
        <v>62</v>
      </c>
      <c r="M847" t="s">
        <v>761</v>
      </c>
      <c r="N847" t="s">
        <v>2106</v>
      </c>
      <c r="O847" t="s">
        <v>1766</v>
      </c>
      <c r="P847">
        <v>-20.112945</v>
      </c>
      <c r="Q847">
        <v>-44.846407999999997</v>
      </c>
      <c r="R847" s="2" t="str">
        <f>HYPERLINK("https://www.google.com/maps?q=-20.1129450,-44.8464080","Abrir no Google Maps")</f>
        <v>Abrir no Google Maps</v>
      </c>
      <c r="S847">
        <v>3</v>
      </c>
      <c r="T847">
        <v>1668.780010060626</v>
      </c>
      <c r="U847">
        <v>3</v>
      </c>
      <c r="V847">
        <v>15</v>
      </c>
      <c r="W847">
        <v>0.85</v>
      </c>
      <c r="X847">
        <v>12.75</v>
      </c>
      <c r="Y847">
        <v>350</v>
      </c>
      <c r="Z847">
        <v>1256.745217274372</v>
      </c>
      <c r="AA847">
        <v>198</v>
      </c>
      <c r="AB847">
        <v>332</v>
      </c>
      <c r="AC847">
        <v>536</v>
      </c>
      <c r="AD847">
        <v>30.48</v>
      </c>
      <c r="AE847">
        <v>542</v>
      </c>
      <c r="AF847">
        <v>30</v>
      </c>
      <c r="AG847">
        <v>176</v>
      </c>
      <c r="AH847">
        <v>129</v>
      </c>
      <c r="AI847">
        <v>5.54</v>
      </c>
      <c r="AJ847">
        <v>32.47</v>
      </c>
      <c r="AK847">
        <v>23.8</v>
      </c>
      <c r="AL847">
        <v>-20.111980249999959</v>
      </c>
      <c r="AM847">
        <v>-44.847351973048802</v>
      </c>
      <c r="AN847">
        <v>-20.111980249999959</v>
      </c>
      <c r="AO847">
        <v>-44.847351973048802</v>
      </c>
      <c r="AP847">
        <v>-20.112945</v>
      </c>
      <c r="AQ847">
        <v>-44.846407999999997</v>
      </c>
      <c r="AR847">
        <v>145.84485472325181</v>
      </c>
      <c r="AS847" t="s">
        <v>65</v>
      </c>
      <c r="AT847">
        <v>1</v>
      </c>
      <c r="AU847" t="s">
        <v>2107</v>
      </c>
      <c r="AV847" t="s">
        <v>2108</v>
      </c>
      <c r="AW847" t="s">
        <v>60</v>
      </c>
      <c r="AX847" t="s">
        <v>68</v>
      </c>
      <c r="AY847" t="s">
        <v>69</v>
      </c>
      <c r="AZ847" t="b">
        <v>1</v>
      </c>
    </row>
    <row r="848" spans="1:52" x14ac:dyDescent="0.3">
      <c r="A848" t="s">
        <v>52</v>
      </c>
      <c r="B848" t="s">
        <v>53</v>
      </c>
      <c r="C848" t="s">
        <v>54</v>
      </c>
      <c r="D848" t="s">
        <v>55</v>
      </c>
      <c r="E848" t="s">
        <v>2099</v>
      </c>
      <c r="F848" t="s">
        <v>190</v>
      </c>
      <c r="G848" t="s">
        <v>759</v>
      </c>
      <c r="H848" t="s">
        <v>760</v>
      </c>
      <c r="I848" t="s">
        <v>760</v>
      </c>
      <c r="J848" t="s">
        <v>60</v>
      </c>
      <c r="K848" t="s">
        <v>761</v>
      </c>
      <c r="L848" t="s">
        <v>62</v>
      </c>
      <c r="M848" t="s">
        <v>761</v>
      </c>
      <c r="N848" t="s">
        <v>762</v>
      </c>
      <c r="O848" t="s">
        <v>763</v>
      </c>
      <c r="P848">
        <v>-20.118755</v>
      </c>
      <c r="Q848">
        <v>-44.850627000000003</v>
      </c>
      <c r="R848" s="2" t="str">
        <f>HYPERLINK("https://www.google.com/maps?q=-20.1187550,-44.8506270","Abrir no Google Maps")</f>
        <v>Abrir no Google Maps</v>
      </c>
      <c r="S848">
        <v>3</v>
      </c>
      <c r="T848">
        <v>848.81670834514034</v>
      </c>
      <c r="U848">
        <v>3</v>
      </c>
      <c r="V848">
        <v>18</v>
      </c>
      <c r="W848">
        <v>1</v>
      </c>
      <c r="X848">
        <v>18</v>
      </c>
      <c r="Y848">
        <v>350</v>
      </c>
      <c r="Z848">
        <v>443.51354125420028</v>
      </c>
      <c r="AA848">
        <v>198</v>
      </c>
      <c r="AB848">
        <v>332</v>
      </c>
      <c r="AC848">
        <v>536</v>
      </c>
      <c r="AD848">
        <v>30.48</v>
      </c>
      <c r="AE848">
        <v>542</v>
      </c>
      <c r="AF848">
        <v>30</v>
      </c>
      <c r="AG848">
        <v>176</v>
      </c>
      <c r="AH848">
        <v>129</v>
      </c>
      <c r="AI848">
        <v>5.54</v>
      </c>
      <c r="AJ848">
        <v>32.47</v>
      </c>
      <c r="AK848">
        <v>23.8</v>
      </c>
      <c r="AL848">
        <v>-20.11882464999994</v>
      </c>
      <c r="AM848">
        <v>-44.850497004056017</v>
      </c>
      <c r="AN848">
        <v>-20.11882464999994</v>
      </c>
      <c r="AO848">
        <v>-44.850497004056017</v>
      </c>
      <c r="AP848">
        <v>-20.118755</v>
      </c>
      <c r="AQ848">
        <v>-44.850627000000003</v>
      </c>
      <c r="AR848">
        <v>15.6445928866994</v>
      </c>
      <c r="AS848" t="s">
        <v>65</v>
      </c>
      <c r="AT848">
        <v>1</v>
      </c>
      <c r="AU848" t="s">
        <v>764</v>
      </c>
      <c r="AV848" t="s">
        <v>765</v>
      </c>
      <c r="AW848" t="s">
        <v>60</v>
      </c>
      <c r="AX848" t="s">
        <v>68</v>
      </c>
      <c r="AY848" t="s">
        <v>69</v>
      </c>
      <c r="AZ848" t="b">
        <v>1</v>
      </c>
    </row>
    <row r="849" spans="1:52" x14ac:dyDescent="0.3">
      <c r="A849" t="s">
        <v>52</v>
      </c>
      <c r="B849" t="s">
        <v>53</v>
      </c>
      <c r="C849" t="s">
        <v>54</v>
      </c>
      <c r="D849" t="s">
        <v>55</v>
      </c>
      <c r="E849" t="s">
        <v>2099</v>
      </c>
      <c r="F849" t="s">
        <v>190</v>
      </c>
      <c r="G849" t="s">
        <v>1109</v>
      </c>
      <c r="H849" t="s">
        <v>1110</v>
      </c>
      <c r="I849" t="s">
        <v>1110</v>
      </c>
      <c r="J849" t="s">
        <v>60</v>
      </c>
      <c r="K849" t="s">
        <v>768</v>
      </c>
      <c r="L849" t="s">
        <v>62</v>
      </c>
      <c r="M849" t="s">
        <v>768</v>
      </c>
      <c r="N849" t="s">
        <v>1111</v>
      </c>
      <c r="O849" t="s">
        <v>1112</v>
      </c>
      <c r="P849">
        <v>-20.135508000000002</v>
      </c>
      <c r="Q849">
        <v>-44.871786999999998</v>
      </c>
      <c r="R849" s="2" t="str">
        <f>HYPERLINK("https://www.google.com/maps?q=-20.1355080,-44.8717870","Abrir no Google Maps")</f>
        <v>Abrir no Google Maps</v>
      </c>
      <c r="S849">
        <v>3</v>
      </c>
      <c r="T849">
        <v>167.5382405548801</v>
      </c>
      <c r="U849">
        <v>3</v>
      </c>
      <c r="V849">
        <v>14</v>
      </c>
      <c r="W849">
        <v>1</v>
      </c>
      <c r="X849">
        <v>14</v>
      </c>
      <c r="Y849">
        <v>332</v>
      </c>
      <c r="Z849">
        <v>179.76671916562941</v>
      </c>
      <c r="AA849">
        <v>198</v>
      </c>
      <c r="AB849">
        <v>332</v>
      </c>
      <c r="AC849">
        <v>536</v>
      </c>
      <c r="AD849">
        <v>30.48</v>
      </c>
      <c r="AE849">
        <v>542</v>
      </c>
      <c r="AF849">
        <v>30</v>
      </c>
      <c r="AG849">
        <v>176</v>
      </c>
      <c r="AH849">
        <v>129</v>
      </c>
      <c r="AI849">
        <v>5.54</v>
      </c>
      <c r="AJ849">
        <v>32.47</v>
      </c>
      <c r="AK849">
        <v>23.8</v>
      </c>
      <c r="AL849">
        <v>-20.135532899999959</v>
      </c>
      <c r="AM849">
        <v>-44.871828172735903</v>
      </c>
      <c r="AN849">
        <v>-20.135532899999959</v>
      </c>
      <c r="AO849">
        <v>-44.871828172735903</v>
      </c>
      <c r="AP849">
        <v>-20.135508000000002</v>
      </c>
      <c r="AQ849">
        <v>-44.871786999999998</v>
      </c>
      <c r="AR849">
        <v>5.1186859635787858</v>
      </c>
      <c r="AS849" t="s">
        <v>65</v>
      </c>
      <c r="AT849">
        <v>1</v>
      </c>
      <c r="AU849" t="s">
        <v>1113</v>
      </c>
      <c r="AV849" t="s">
        <v>1114</v>
      </c>
      <c r="AW849" t="s">
        <v>60</v>
      </c>
      <c r="AX849" t="s">
        <v>68</v>
      </c>
      <c r="AY849" t="s">
        <v>69</v>
      </c>
      <c r="AZ849" t="b">
        <v>1</v>
      </c>
    </row>
    <row r="850" spans="1:52" x14ac:dyDescent="0.3">
      <c r="A850" t="s">
        <v>52</v>
      </c>
      <c r="B850" t="s">
        <v>53</v>
      </c>
      <c r="C850" t="s">
        <v>54</v>
      </c>
      <c r="D850" t="s">
        <v>55</v>
      </c>
      <c r="E850" t="s">
        <v>2099</v>
      </c>
      <c r="F850" t="s">
        <v>190</v>
      </c>
      <c r="G850" t="s">
        <v>2109</v>
      </c>
      <c r="H850" t="s">
        <v>2110</v>
      </c>
      <c r="I850" t="s">
        <v>2110</v>
      </c>
      <c r="J850" t="s">
        <v>60</v>
      </c>
      <c r="K850" t="s">
        <v>781</v>
      </c>
      <c r="L850" t="s">
        <v>62</v>
      </c>
      <c r="M850" t="s">
        <v>781</v>
      </c>
      <c r="N850" t="s">
        <v>2111</v>
      </c>
      <c r="O850" t="s">
        <v>830</v>
      </c>
      <c r="P850">
        <v>-20.138555</v>
      </c>
      <c r="Q850">
        <v>-44.870283999999998</v>
      </c>
      <c r="R850" s="2" t="str">
        <f>HYPERLINK("https://www.google.com/maps?q=-20.1385550,-44.8702840","Abrir no Google Maps")</f>
        <v>Abrir no Google Maps</v>
      </c>
      <c r="S850">
        <v>3</v>
      </c>
      <c r="T850">
        <v>282.99569910083773</v>
      </c>
      <c r="U850">
        <v>3</v>
      </c>
      <c r="V850">
        <v>18</v>
      </c>
      <c r="W850">
        <v>0.85</v>
      </c>
      <c r="X850">
        <v>15.3</v>
      </c>
      <c r="Y850">
        <v>332</v>
      </c>
      <c r="Z850">
        <v>387.1795741504522</v>
      </c>
      <c r="AA850">
        <v>198</v>
      </c>
      <c r="AB850">
        <v>332</v>
      </c>
      <c r="AC850">
        <v>536</v>
      </c>
      <c r="AD850">
        <v>30.48</v>
      </c>
      <c r="AE850">
        <v>542</v>
      </c>
      <c r="AF850">
        <v>30</v>
      </c>
      <c r="AG850">
        <v>176</v>
      </c>
      <c r="AH850">
        <v>129</v>
      </c>
      <c r="AI850">
        <v>5.54</v>
      </c>
      <c r="AJ850">
        <v>32.47</v>
      </c>
      <c r="AK850">
        <v>23.8</v>
      </c>
      <c r="AL850">
        <v>-20.138577899999941</v>
      </c>
      <c r="AM850">
        <v>-44.870329210766158</v>
      </c>
      <c r="AN850">
        <v>-20.138577899999941</v>
      </c>
      <c r="AO850">
        <v>-44.870329210766158</v>
      </c>
      <c r="AP850">
        <v>-20.138555</v>
      </c>
      <c r="AQ850">
        <v>-44.870283999999998</v>
      </c>
      <c r="AR850">
        <v>5.3689629216704953</v>
      </c>
      <c r="AS850" t="s">
        <v>65</v>
      </c>
      <c r="AT850">
        <v>1</v>
      </c>
      <c r="AU850" t="s">
        <v>2112</v>
      </c>
      <c r="AV850" t="s">
        <v>2113</v>
      </c>
      <c r="AW850" t="s">
        <v>60</v>
      </c>
      <c r="AX850" t="s">
        <v>68</v>
      </c>
      <c r="AY850" t="s">
        <v>69</v>
      </c>
      <c r="AZ850" t="b">
        <v>1</v>
      </c>
    </row>
    <row r="851" spans="1:52" x14ac:dyDescent="0.3">
      <c r="A851" t="s">
        <v>52</v>
      </c>
      <c r="B851" t="s">
        <v>53</v>
      </c>
      <c r="C851" t="s">
        <v>54</v>
      </c>
      <c r="D851" t="s">
        <v>55</v>
      </c>
      <c r="E851" t="s">
        <v>2099</v>
      </c>
      <c r="F851" t="s">
        <v>190</v>
      </c>
      <c r="G851" t="s">
        <v>1133</v>
      </c>
      <c r="H851" t="s">
        <v>1134</v>
      </c>
      <c r="I851" t="s">
        <v>1134</v>
      </c>
      <c r="J851" t="s">
        <v>60</v>
      </c>
      <c r="K851" t="s">
        <v>1123</v>
      </c>
      <c r="L851" t="s">
        <v>62</v>
      </c>
      <c r="M851" t="s">
        <v>1123</v>
      </c>
      <c r="N851" t="s">
        <v>1135</v>
      </c>
      <c r="O851" t="s">
        <v>138</v>
      </c>
      <c r="P851">
        <v>-20.106113000000001</v>
      </c>
      <c r="Q851">
        <v>-44.876035999999999</v>
      </c>
      <c r="R851" s="2" t="str">
        <f>HYPERLINK("https://www.google.com/maps?q=-20.1061130,-44.8760360","Abrir no Google Maps")</f>
        <v>Abrir no Google Maps</v>
      </c>
      <c r="S851">
        <v>3</v>
      </c>
      <c r="T851">
        <v>0</v>
      </c>
      <c r="U851">
        <v>3</v>
      </c>
      <c r="V851">
        <v>15</v>
      </c>
      <c r="W851">
        <v>1</v>
      </c>
      <c r="X851">
        <v>15</v>
      </c>
      <c r="Y851">
        <v>314</v>
      </c>
      <c r="Z851">
        <v>98.504848991092999</v>
      </c>
      <c r="AA851">
        <v>198</v>
      </c>
      <c r="AB851">
        <v>332</v>
      </c>
      <c r="AC851">
        <v>536</v>
      </c>
      <c r="AD851">
        <v>30.48</v>
      </c>
      <c r="AE851">
        <v>542</v>
      </c>
      <c r="AF851">
        <v>30</v>
      </c>
      <c r="AG851">
        <v>176</v>
      </c>
      <c r="AH851">
        <v>129</v>
      </c>
      <c r="AI851">
        <v>5.54</v>
      </c>
      <c r="AJ851">
        <v>32.47</v>
      </c>
      <c r="AK851">
        <v>23.8</v>
      </c>
      <c r="AL851">
        <v>-20.106190249999941</v>
      </c>
      <c r="AM851">
        <v>-44.876327742253288</v>
      </c>
      <c r="AN851">
        <v>-20.106190249999941</v>
      </c>
      <c r="AO851">
        <v>-44.876327742253288</v>
      </c>
      <c r="AP851">
        <v>-20.106113000000001</v>
      </c>
      <c r="AQ851">
        <v>-44.876035999999999</v>
      </c>
      <c r="AR851">
        <v>31.686742853465731</v>
      </c>
      <c r="AS851" t="s">
        <v>65</v>
      </c>
      <c r="AT851">
        <v>1</v>
      </c>
      <c r="AU851" t="s">
        <v>1136</v>
      </c>
      <c r="AV851" t="s">
        <v>1137</v>
      </c>
      <c r="AW851" t="s">
        <v>60</v>
      </c>
      <c r="AX851" t="s">
        <v>68</v>
      </c>
      <c r="AY851" t="s">
        <v>69</v>
      </c>
      <c r="AZ851" t="b">
        <v>1</v>
      </c>
    </row>
    <row r="852" spans="1:52" x14ac:dyDescent="0.3">
      <c r="A852" t="s">
        <v>52</v>
      </c>
      <c r="B852" t="s">
        <v>53</v>
      </c>
      <c r="C852" t="s">
        <v>54</v>
      </c>
      <c r="D852" t="s">
        <v>55</v>
      </c>
      <c r="E852" t="s">
        <v>2099</v>
      </c>
      <c r="F852" t="s">
        <v>190</v>
      </c>
      <c r="G852" t="s">
        <v>607</v>
      </c>
      <c r="H852" t="s">
        <v>786</v>
      </c>
      <c r="I852" t="s">
        <v>786</v>
      </c>
      <c r="J852" t="s">
        <v>60</v>
      </c>
      <c r="K852" t="s">
        <v>609</v>
      </c>
      <c r="L852" t="s">
        <v>62</v>
      </c>
      <c r="M852" t="s">
        <v>609</v>
      </c>
      <c r="N852" t="s">
        <v>610</v>
      </c>
      <c r="O852" t="s">
        <v>315</v>
      </c>
      <c r="P852">
        <v>-20.108561999999999</v>
      </c>
      <c r="Q852">
        <v>-44.883811000000001</v>
      </c>
      <c r="R852" s="2" t="str">
        <f>HYPERLINK("https://www.google.com/maps?q=-20.1085620,-44.8838110","Abrir no Google Maps")</f>
        <v>Abrir no Google Maps</v>
      </c>
      <c r="S852">
        <v>3</v>
      </c>
      <c r="T852">
        <v>875.82813532572072</v>
      </c>
      <c r="U852">
        <v>3</v>
      </c>
      <c r="V852">
        <v>12</v>
      </c>
      <c r="W852">
        <v>1</v>
      </c>
      <c r="X852">
        <v>12</v>
      </c>
      <c r="Y852">
        <v>314</v>
      </c>
      <c r="Z852">
        <v>824.504668554717</v>
      </c>
      <c r="AA852">
        <v>198</v>
      </c>
      <c r="AB852">
        <v>332</v>
      </c>
      <c r="AC852">
        <v>536</v>
      </c>
      <c r="AD852">
        <v>30.48</v>
      </c>
      <c r="AE852">
        <v>542</v>
      </c>
      <c r="AF852">
        <v>30</v>
      </c>
      <c r="AG852">
        <v>176</v>
      </c>
      <c r="AH852">
        <v>129</v>
      </c>
      <c r="AI852">
        <v>5.54</v>
      </c>
      <c r="AJ852">
        <v>32.47</v>
      </c>
      <c r="AK852">
        <v>23.8</v>
      </c>
      <c r="AL852">
        <v>-20.108622949999951</v>
      </c>
      <c r="AM852">
        <v>-44.884300516660261</v>
      </c>
      <c r="AN852">
        <v>-20.108622949999951</v>
      </c>
      <c r="AO852">
        <v>-44.884300516660261</v>
      </c>
      <c r="AP852">
        <v>-20.108561999999999</v>
      </c>
      <c r="AQ852">
        <v>-44.883811000000001</v>
      </c>
      <c r="AR852">
        <v>51.619098272465493</v>
      </c>
      <c r="AS852" t="s">
        <v>65</v>
      </c>
      <c r="AT852">
        <v>1</v>
      </c>
      <c r="AU852" t="s">
        <v>787</v>
      </c>
      <c r="AV852" t="s">
        <v>788</v>
      </c>
      <c r="AW852" t="s">
        <v>60</v>
      </c>
      <c r="AX852" t="s">
        <v>68</v>
      </c>
      <c r="AY852" t="s">
        <v>69</v>
      </c>
      <c r="AZ852" t="b">
        <v>1</v>
      </c>
    </row>
    <row r="853" spans="1:52" x14ac:dyDescent="0.3">
      <c r="A853" t="s">
        <v>52</v>
      </c>
      <c r="B853" t="s">
        <v>53</v>
      </c>
      <c r="C853" t="s">
        <v>54</v>
      </c>
      <c r="D853" t="s">
        <v>55</v>
      </c>
      <c r="E853" t="s">
        <v>2099</v>
      </c>
      <c r="F853" t="s">
        <v>190</v>
      </c>
      <c r="G853" t="s">
        <v>2114</v>
      </c>
      <c r="H853" t="s">
        <v>2115</v>
      </c>
      <c r="I853" t="s">
        <v>2115</v>
      </c>
      <c r="J853" t="s">
        <v>60</v>
      </c>
      <c r="K853" t="s">
        <v>1123</v>
      </c>
      <c r="L853" t="s">
        <v>62</v>
      </c>
      <c r="M853" t="s">
        <v>1123</v>
      </c>
      <c r="N853" t="s">
        <v>2116</v>
      </c>
      <c r="O853" t="s">
        <v>2117</v>
      </c>
      <c r="P853">
        <v>-20.102357000000001</v>
      </c>
      <c r="Q853">
        <v>-44.876989000000002</v>
      </c>
      <c r="R853" s="2" t="str">
        <f>HYPERLINK("https://www.google.com/maps?q=-20.1023570,-44.8769890","Abrir no Google Maps")</f>
        <v>Abrir no Google Maps</v>
      </c>
      <c r="S853">
        <v>3</v>
      </c>
      <c r="T853">
        <v>454.11282395638511</v>
      </c>
      <c r="U853">
        <v>3</v>
      </c>
      <c r="V853">
        <v>14</v>
      </c>
      <c r="W853">
        <v>0.85</v>
      </c>
      <c r="X853">
        <v>11.9</v>
      </c>
      <c r="Y853">
        <v>314</v>
      </c>
      <c r="Z853">
        <v>352.26842550518722</v>
      </c>
      <c r="AA853">
        <v>198</v>
      </c>
      <c r="AB853">
        <v>332</v>
      </c>
      <c r="AC853">
        <v>536</v>
      </c>
      <c r="AD853">
        <v>30.48</v>
      </c>
      <c r="AE853">
        <v>542</v>
      </c>
      <c r="AF853">
        <v>30</v>
      </c>
      <c r="AG853">
        <v>176</v>
      </c>
      <c r="AH853">
        <v>129</v>
      </c>
      <c r="AI853">
        <v>5.54</v>
      </c>
      <c r="AJ853">
        <v>32.47</v>
      </c>
      <c r="AK853">
        <v>23.8</v>
      </c>
      <c r="AL853">
        <v>-20.10213364999996</v>
      </c>
      <c r="AM853">
        <v>-44.876983461947091</v>
      </c>
      <c r="AN853">
        <v>-20.10213364999996</v>
      </c>
      <c r="AO853">
        <v>-44.876983461947091</v>
      </c>
      <c r="AP853">
        <v>-20.102357000000001</v>
      </c>
      <c r="AQ853">
        <v>-44.876989000000002</v>
      </c>
      <c r="AR853">
        <v>24.870061372191081</v>
      </c>
      <c r="AS853" t="s">
        <v>65</v>
      </c>
      <c r="AT853">
        <v>1</v>
      </c>
      <c r="AU853" t="s">
        <v>2118</v>
      </c>
      <c r="AV853" t="s">
        <v>1146</v>
      </c>
      <c r="AW853" t="s">
        <v>60</v>
      </c>
      <c r="AX853" t="s">
        <v>68</v>
      </c>
      <c r="AY853" t="s">
        <v>69</v>
      </c>
      <c r="AZ853" t="b">
        <v>1</v>
      </c>
    </row>
    <row r="854" spans="1:52" x14ac:dyDescent="0.3">
      <c r="A854" t="s">
        <v>52</v>
      </c>
      <c r="B854" t="s">
        <v>53</v>
      </c>
      <c r="C854" t="s">
        <v>54</v>
      </c>
      <c r="D854" t="s">
        <v>55</v>
      </c>
      <c r="E854" t="s">
        <v>2099</v>
      </c>
      <c r="F854" t="s">
        <v>190</v>
      </c>
      <c r="G854" t="s">
        <v>1918</v>
      </c>
      <c r="H854" t="s">
        <v>1919</v>
      </c>
      <c r="I854" t="s">
        <v>1919</v>
      </c>
      <c r="J854" t="s">
        <v>60</v>
      </c>
      <c r="K854" t="s">
        <v>1123</v>
      </c>
      <c r="L854" t="s">
        <v>62</v>
      </c>
      <c r="M854" t="s">
        <v>1123</v>
      </c>
      <c r="N854" t="s">
        <v>1920</v>
      </c>
      <c r="O854" t="s">
        <v>488</v>
      </c>
      <c r="P854">
        <v>-20.101592</v>
      </c>
      <c r="Q854">
        <v>-44.873168</v>
      </c>
      <c r="R854" s="2" t="str">
        <f>HYPERLINK("https://www.google.com/maps?q=-20.1015920,-44.8731680","Abrir no Google Maps")</f>
        <v>Abrir no Google Maps</v>
      </c>
      <c r="S854">
        <v>3</v>
      </c>
      <c r="T854">
        <v>645.78864758037298</v>
      </c>
      <c r="U854">
        <v>3</v>
      </c>
      <c r="V854">
        <v>16</v>
      </c>
      <c r="W854">
        <v>0.85</v>
      </c>
      <c r="X854">
        <v>13.6</v>
      </c>
      <c r="Y854">
        <v>314</v>
      </c>
      <c r="Z854">
        <v>638.12677452007381</v>
      </c>
      <c r="AA854">
        <v>198</v>
      </c>
      <c r="AB854">
        <v>332</v>
      </c>
      <c r="AC854">
        <v>536</v>
      </c>
      <c r="AD854">
        <v>30.48</v>
      </c>
      <c r="AE854">
        <v>542</v>
      </c>
      <c r="AF854">
        <v>30</v>
      </c>
      <c r="AG854">
        <v>176</v>
      </c>
      <c r="AH854">
        <v>129</v>
      </c>
      <c r="AI854">
        <v>5.54</v>
      </c>
      <c r="AJ854">
        <v>32.47</v>
      </c>
      <c r="AK854">
        <v>23.8</v>
      </c>
      <c r="AL854">
        <v>-20.10147439999994</v>
      </c>
      <c r="AM854">
        <v>-44.872688858759382</v>
      </c>
      <c r="AN854">
        <v>-20.10147439999994</v>
      </c>
      <c r="AO854">
        <v>-44.872688858759382</v>
      </c>
      <c r="AP854">
        <v>-20.101592</v>
      </c>
      <c r="AQ854">
        <v>-44.873168</v>
      </c>
      <c r="AR854">
        <v>51.771442800867931</v>
      </c>
      <c r="AS854" t="s">
        <v>65</v>
      </c>
      <c r="AT854">
        <v>1</v>
      </c>
      <c r="AU854" t="s">
        <v>1921</v>
      </c>
      <c r="AV854" t="s">
        <v>1922</v>
      </c>
      <c r="AW854" t="s">
        <v>60</v>
      </c>
      <c r="AX854" t="s">
        <v>68</v>
      </c>
      <c r="AY854" t="s">
        <v>69</v>
      </c>
      <c r="AZ854" t="b">
        <v>1</v>
      </c>
    </row>
    <row r="855" spans="1:52" x14ac:dyDescent="0.3">
      <c r="A855" t="s">
        <v>52</v>
      </c>
      <c r="B855" t="s">
        <v>53</v>
      </c>
      <c r="C855" t="s">
        <v>54</v>
      </c>
      <c r="D855" t="s">
        <v>55</v>
      </c>
      <c r="E855" t="s">
        <v>2099</v>
      </c>
      <c r="F855" t="s">
        <v>190</v>
      </c>
      <c r="G855" t="s">
        <v>1147</v>
      </c>
      <c r="H855" t="s">
        <v>1148</v>
      </c>
      <c r="I855" t="s">
        <v>1148</v>
      </c>
      <c r="J855" t="s">
        <v>60</v>
      </c>
      <c r="K855" t="s">
        <v>798</v>
      </c>
      <c r="L855" t="s">
        <v>62</v>
      </c>
      <c r="M855" t="s">
        <v>798</v>
      </c>
      <c r="N855" t="s">
        <v>1149</v>
      </c>
      <c r="O855" t="s">
        <v>836</v>
      </c>
      <c r="P855">
        <v>-20.112448000000001</v>
      </c>
      <c r="Q855">
        <v>-44.904887000000002</v>
      </c>
      <c r="R855" s="2" t="str">
        <f>HYPERLINK("https://www.google.com/maps?q=-20.1124480,-44.9048870","Abrir no Google Maps")</f>
        <v>Abrir no Google Maps</v>
      </c>
      <c r="S855">
        <v>3</v>
      </c>
      <c r="T855">
        <v>404.16588765758058</v>
      </c>
      <c r="U855">
        <v>3</v>
      </c>
      <c r="V855">
        <v>16</v>
      </c>
      <c r="W855">
        <v>1</v>
      </c>
      <c r="X855">
        <v>16</v>
      </c>
      <c r="Y855">
        <v>300</v>
      </c>
      <c r="Z855">
        <v>435.21165957304731</v>
      </c>
      <c r="AA855">
        <v>198</v>
      </c>
      <c r="AB855">
        <v>332</v>
      </c>
      <c r="AC855">
        <v>536</v>
      </c>
      <c r="AD855">
        <v>30.48</v>
      </c>
      <c r="AE855">
        <v>542</v>
      </c>
      <c r="AF855">
        <v>30</v>
      </c>
      <c r="AG855">
        <v>176</v>
      </c>
      <c r="AH855">
        <v>129</v>
      </c>
      <c r="AI855">
        <v>5.54</v>
      </c>
      <c r="AJ855">
        <v>32.47</v>
      </c>
      <c r="AK855">
        <v>23.8</v>
      </c>
      <c r="AL855">
        <v>-20.11243479999996</v>
      </c>
      <c r="AM855">
        <v>-44.904803228053026</v>
      </c>
      <c r="AN855">
        <v>-20.11243479999996</v>
      </c>
      <c r="AO855">
        <v>-44.904803228053026</v>
      </c>
      <c r="AP855">
        <v>-20.112448000000001</v>
      </c>
      <c r="AQ855">
        <v>-44.904887000000002</v>
      </c>
      <c r="AR855">
        <v>8.8792525353759544</v>
      </c>
      <c r="AS855" t="s">
        <v>65</v>
      </c>
      <c r="AT855">
        <v>1</v>
      </c>
      <c r="AU855" t="s">
        <v>1150</v>
      </c>
      <c r="AV855" t="s">
        <v>1151</v>
      </c>
      <c r="AW855" t="s">
        <v>60</v>
      </c>
      <c r="AX855" t="s">
        <v>68</v>
      </c>
      <c r="AY855" t="s">
        <v>69</v>
      </c>
      <c r="AZ855" t="b">
        <v>1</v>
      </c>
    </row>
    <row r="856" spans="1:52" x14ac:dyDescent="0.3">
      <c r="A856" t="s">
        <v>52</v>
      </c>
      <c r="B856" t="s">
        <v>53</v>
      </c>
      <c r="C856" t="s">
        <v>54</v>
      </c>
      <c r="D856" t="s">
        <v>55</v>
      </c>
      <c r="E856" t="s">
        <v>2099</v>
      </c>
      <c r="F856" t="s">
        <v>190</v>
      </c>
      <c r="G856" t="s">
        <v>1769</v>
      </c>
      <c r="H856" t="s">
        <v>1770</v>
      </c>
      <c r="I856" t="s">
        <v>1770</v>
      </c>
      <c r="J856" t="s">
        <v>60</v>
      </c>
      <c r="K856" t="s">
        <v>791</v>
      </c>
      <c r="L856" t="s">
        <v>62</v>
      </c>
      <c r="M856" t="s">
        <v>791</v>
      </c>
      <c r="N856" t="s">
        <v>1771</v>
      </c>
      <c r="O856" t="s">
        <v>494</v>
      </c>
      <c r="P856">
        <v>-20.108464999999999</v>
      </c>
      <c r="Q856">
        <v>-44.902169000000001</v>
      </c>
      <c r="R856" s="2" t="str">
        <f>HYPERLINK("https://www.google.com/maps?q=-20.1084650,-44.9021690","Abrir no Google Maps")</f>
        <v>Abrir no Google Maps</v>
      </c>
      <c r="S856">
        <v>3</v>
      </c>
      <c r="T856">
        <v>332.55452480320798</v>
      </c>
      <c r="U856">
        <v>3</v>
      </c>
      <c r="V856">
        <v>14</v>
      </c>
      <c r="W856">
        <v>1</v>
      </c>
      <c r="X856">
        <v>14</v>
      </c>
      <c r="Y856">
        <v>300</v>
      </c>
      <c r="Z856">
        <v>139.01495543278119</v>
      </c>
      <c r="AA856">
        <v>198</v>
      </c>
      <c r="AB856">
        <v>332</v>
      </c>
      <c r="AC856">
        <v>536</v>
      </c>
      <c r="AD856">
        <v>30.48</v>
      </c>
      <c r="AE856">
        <v>542</v>
      </c>
      <c r="AF856">
        <v>30</v>
      </c>
      <c r="AG856">
        <v>176</v>
      </c>
      <c r="AH856">
        <v>129</v>
      </c>
      <c r="AI856">
        <v>5.54</v>
      </c>
      <c r="AJ856">
        <v>32.47</v>
      </c>
      <c r="AK856">
        <v>23.8</v>
      </c>
      <c r="AL856">
        <v>-20.108420149999969</v>
      </c>
      <c r="AM856">
        <v>-44.90164352007664</v>
      </c>
      <c r="AN856">
        <v>-20.108420149999969</v>
      </c>
      <c r="AO856">
        <v>-44.90164352007664</v>
      </c>
      <c r="AP856">
        <v>-20.108464999999999</v>
      </c>
      <c r="AQ856">
        <v>-44.902169000000001</v>
      </c>
      <c r="AR856">
        <v>55.157130612493773</v>
      </c>
      <c r="AS856" t="s">
        <v>65</v>
      </c>
      <c r="AT856">
        <v>1</v>
      </c>
      <c r="AU856" t="s">
        <v>1772</v>
      </c>
      <c r="AV856" t="s">
        <v>1773</v>
      </c>
      <c r="AW856" t="s">
        <v>60</v>
      </c>
      <c r="AX856" t="s">
        <v>68</v>
      </c>
      <c r="AY856" t="s">
        <v>69</v>
      </c>
      <c r="AZ856" t="b">
        <v>1</v>
      </c>
    </row>
    <row r="857" spans="1:52" x14ac:dyDescent="0.3">
      <c r="A857" t="s">
        <v>52</v>
      </c>
      <c r="B857" t="s">
        <v>53</v>
      </c>
      <c r="C857" t="s">
        <v>54</v>
      </c>
      <c r="D857" t="s">
        <v>55</v>
      </c>
      <c r="E857" t="s">
        <v>2099</v>
      </c>
      <c r="F857" t="s">
        <v>190</v>
      </c>
      <c r="G857" t="s">
        <v>796</v>
      </c>
      <c r="H857" t="s">
        <v>797</v>
      </c>
      <c r="I857" t="s">
        <v>797</v>
      </c>
      <c r="J857" t="s">
        <v>60</v>
      </c>
      <c r="K857" t="s">
        <v>798</v>
      </c>
      <c r="L857" t="s">
        <v>62</v>
      </c>
      <c r="M857" t="s">
        <v>798</v>
      </c>
      <c r="N857" t="s">
        <v>799</v>
      </c>
      <c r="O857" t="s">
        <v>800</v>
      </c>
      <c r="P857">
        <v>-20.105681000000001</v>
      </c>
      <c r="Q857">
        <v>-44.902771999999999</v>
      </c>
      <c r="R857" s="2" t="str">
        <f>HYPERLINK("https://www.google.com/maps?q=-20.1056810,-44.9027720","Abrir no Google Maps")</f>
        <v>Abrir no Google Maps</v>
      </c>
      <c r="S857">
        <v>3</v>
      </c>
      <c r="T857">
        <v>654.76334876090721</v>
      </c>
      <c r="U857">
        <v>3</v>
      </c>
      <c r="V857">
        <v>13</v>
      </c>
      <c r="W857">
        <v>1</v>
      </c>
      <c r="X857">
        <v>13</v>
      </c>
      <c r="Y857">
        <v>300</v>
      </c>
      <c r="Z857">
        <v>473.90209409135377</v>
      </c>
      <c r="AA857">
        <v>198</v>
      </c>
      <c r="AB857">
        <v>332</v>
      </c>
      <c r="AC857">
        <v>536</v>
      </c>
      <c r="AD857">
        <v>30.48</v>
      </c>
      <c r="AE857">
        <v>542</v>
      </c>
      <c r="AF857">
        <v>30</v>
      </c>
      <c r="AG857">
        <v>176</v>
      </c>
      <c r="AH857">
        <v>129</v>
      </c>
      <c r="AI857">
        <v>5.54</v>
      </c>
      <c r="AJ857">
        <v>32.47</v>
      </c>
      <c r="AK857">
        <v>23.8</v>
      </c>
      <c r="AL857">
        <v>-20.105710249999959</v>
      </c>
      <c r="AM857">
        <v>-44.902887601574513</v>
      </c>
      <c r="AN857">
        <v>-20.105710249999959</v>
      </c>
      <c r="AO857">
        <v>-44.902887601574513</v>
      </c>
      <c r="AP857">
        <v>-20.105681000000001</v>
      </c>
      <c r="AQ857">
        <v>-44.902771999999999</v>
      </c>
      <c r="AR857">
        <v>12.5155291382583</v>
      </c>
      <c r="AS857" t="s">
        <v>65</v>
      </c>
      <c r="AT857">
        <v>1</v>
      </c>
      <c r="AU857" t="s">
        <v>801</v>
      </c>
      <c r="AV857" t="s">
        <v>802</v>
      </c>
      <c r="AW857" t="s">
        <v>60</v>
      </c>
      <c r="AX857" t="s">
        <v>68</v>
      </c>
      <c r="AY857" t="s">
        <v>69</v>
      </c>
      <c r="AZ857" t="b">
        <v>1</v>
      </c>
    </row>
    <row r="858" spans="1:52" x14ac:dyDescent="0.3">
      <c r="A858" t="s">
        <v>52</v>
      </c>
      <c r="B858" t="s">
        <v>53</v>
      </c>
      <c r="C858" t="s">
        <v>54</v>
      </c>
      <c r="D858" t="s">
        <v>55</v>
      </c>
      <c r="E858" t="s">
        <v>2099</v>
      </c>
      <c r="F858" t="s">
        <v>190</v>
      </c>
      <c r="G858" t="s">
        <v>1935</v>
      </c>
      <c r="H858" t="s">
        <v>1936</v>
      </c>
      <c r="I858" t="s">
        <v>1936</v>
      </c>
      <c r="J858" t="s">
        <v>60</v>
      </c>
      <c r="K858" t="s">
        <v>1265</v>
      </c>
      <c r="L858" t="s">
        <v>62</v>
      </c>
      <c r="M858" t="s">
        <v>1265</v>
      </c>
      <c r="N858" t="s">
        <v>1937</v>
      </c>
      <c r="O858" t="s">
        <v>738</v>
      </c>
      <c r="P858">
        <v>-20.112497999999999</v>
      </c>
      <c r="Q858">
        <v>-44.907307000000003</v>
      </c>
      <c r="R858" s="2" t="str">
        <f>HYPERLINK("https://www.google.com/maps?q=-20.1124980,-44.9073070","Abrir no Google Maps")</f>
        <v>Abrir no Google Maps</v>
      </c>
      <c r="S858">
        <v>3</v>
      </c>
      <c r="T858">
        <v>682.46188175859595</v>
      </c>
      <c r="U858">
        <v>3</v>
      </c>
      <c r="V858">
        <v>16</v>
      </c>
      <c r="W858">
        <v>0.85</v>
      </c>
      <c r="X858">
        <v>13.6</v>
      </c>
      <c r="Y858">
        <v>300</v>
      </c>
      <c r="Z858">
        <v>693.47964384474699</v>
      </c>
      <c r="AA858">
        <v>198</v>
      </c>
      <c r="AB858">
        <v>332</v>
      </c>
      <c r="AC858">
        <v>536</v>
      </c>
      <c r="AD858">
        <v>30.48</v>
      </c>
      <c r="AE858">
        <v>542</v>
      </c>
      <c r="AF858">
        <v>30</v>
      </c>
      <c r="AG858">
        <v>176</v>
      </c>
      <c r="AH858">
        <v>129</v>
      </c>
      <c r="AI858">
        <v>5.54</v>
      </c>
      <c r="AJ858">
        <v>32.47</v>
      </c>
      <c r="AK858">
        <v>23.8</v>
      </c>
      <c r="AL858">
        <v>-20.112429099999961</v>
      </c>
      <c r="AM858">
        <v>-44.907534975307001</v>
      </c>
      <c r="AN858">
        <v>-20.112429099999961</v>
      </c>
      <c r="AO858">
        <v>-44.907534975307001</v>
      </c>
      <c r="AP858">
        <v>-20.112497999999999</v>
      </c>
      <c r="AQ858">
        <v>-44.907307000000003</v>
      </c>
      <c r="AR858">
        <v>25.034526020325121</v>
      </c>
      <c r="AS858" t="s">
        <v>65</v>
      </c>
      <c r="AT858">
        <v>1</v>
      </c>
      <c r="AU858" t="s">
        <v>1938</v>
      </c>
      <c r="AV858" t="s">
        <v>1939</v>
      </c>
      <c r="AW858" t="s">
        <v>60</v>
      </c>
      <c r="AX858" t="s">
        <v>68</v>
      </c>
      <c r="AY858" t="s">
        <v>69</v>
      </c>
      <c r="AZ858" t="b">
        <v>1</v>
      </c>
    </row>
    <row r="859" spans="1:52" x14ac:dyDescent="0.3">
      <c r="A859" t="s">
        <v>52</v>
      </c>
      <c r="B859" t="s">
        <v>53</v>
      </c>
      <c r="C859" t="s">
        <v>54</v>
      </c>
      <c r="D859" t="s">
        <v>55</v>
      </c>
      <c r="E859" t="s">
        <v>2099</v>
      </c>
      <c r="F859" t="s">
        <v>190</v>
      </c>
      <c r="G859" t="s">
        <v>1940</v>
      </c>
      <c r="H859" t="s">
        <v>1941</v>
      </c>
      <c r="I859" t="s">
        <v>1941</v>
      </c>
      <c r="J859" t="s">
        <v>60</v>
      </c>
      <c r="K859" t="s">
        <v>791</v>
      </c>
      <c r="L859" t="s">
        <v>62</v>
      </c>
      <c r="M859" t="s">
        <v>791</v>
      </c>
      <c r="N859" t="s">
        <v>1942</v>
      </c>
      <c r="O859" t="s">
        <v>1943</v>
      </c>
      <c r="P859">
        <v>-20.10868</v>
      </c>
      <c r="Q859">
        <v>-44.914802999999999</v>
      </c>
      <c r="R859" s="2" t="str">
        <f>HYPERLINK("https://www.google.com/maps?q=-20.1086800,-44.9148030","Abrir no Google Maps")</f>
        <v>Abrir no Google Maps</v>
      </c>
      <c r="S859">
        <v>3</v>
      </c>
      <c r="T859">
        <v>1497.818218016964</v>
      </c>
      <c r="U859">
        <v>3</v>
      </c>
      <c r="V859">
        <v>15</v>
      </c>
      <c r="W859">
        <v>0.85</v>
      </c>
      <c r="X859">
        <v>12.75</v>
      </c>
      <c r="Y859">
        <v>300</v>
      </c>
      <c r="Z859">
        <v>1347.8282808622</v>
      </c>
      <c r="AA859">
        <v>198</v>
      </c>
      <c r="AB859">
        <v>332</v>
      </c>
      <c r="AC859">
        <v>536</v>
      </c>
      <c r="AD859">
        <v>30.48</v>
      </c>
      <c r="AE859">
        <v>542</v>
      </c>
      <c r="AF859">
        <v>30</v>
      </c>
      <c r="AG859">
        <v>176</v>
      </c>
      <c r="AH859">
        <v>129</v>
      </c>
      <c r="AI859">
        <v>5.54</v>
      </c>
      <c r="AJ859">
        <v>32.47</v>
      </c>
      <c r="AK859">
        <v>23.8</v>
      </c>
      <c r="AL859">
        <v>-20.108341949999978</v>
      </c>
      <c r="AM859">
        <v>-44.915063905998323</v>
      </c>
      <c r="AN859">
        <v>-20.108341949999978</v>
      </c>
      <c r="AO859">
        <v>-44.915063905998323</v>
      </c>
      <c r="AP859">
        <v>-20.10868</v>
      </c>
      <c r="AQ859">
        <v>-44.914802999999999</v>
      </c>
      <c r="AR859">
        <v>46.47578843967414</v>
      </c>
      <c r="AS859" t="s">
        <v>65</v>
      </c>
      <c r="AT859">
        <v>1</v>
      </c>
      <c r="AU859" t="s">
        <v>1944</v>
      </c>
      <c r="AV859" t="s">
        <v>1945</v>
      </c>
      <c r="AW859" t="s">
        <v>60</v>
      </c>
      <c r="AX859" t="s">
        <v>68</v>
      </c>
      <c r="AY859" t="s">
        <v>69</v>
      </c>
      <c r="AZ859" t="b">
        <v>1</v>
      </c>
    </row>
    <row r="860" spans="1:52" x14ac:dyDescent="0.3">
      <c r="A860" t="s">
        <v>52</v>
      </c>
      <c r="B860" t="s">
        <v>53</v>
      </c>
      <c r="C860" t="s">
        <v>54</v>
      </c>
      <c r="D860" t="s">
        <v>55</v>
      </c>
      <c r="E860" t="s">
        <v>2099</v>
      </c>
      <c r="F860" t="s">
        <v>190</v>
      </c>
      <c r="G860" t="s">
        <v>1170</v>
      </c>
      <c r="H860" t="s">
        <v>1171</v>
      </c>
      <c r="I860" t="s">
        <v>1171</v>
      </c>
      <c r="J860" t="s">
        <v>60</v>
      </c>
      <c r="K860" t="s">
        <v>1165</v>
      </c>
      <c r="L860" t="s">
        <v>62</v>
      </c>
      <c r="M860" t="s">
        <v>1165</v>
      </c>
      <c r="N860" t="s">
        <v>1172</v>
      </c>
      <c r="O860" t="s">
        <v>1160</v>
      </c>
      <c r="P860">
        <v>-20.158208999999999</v>
      </c>
      <c r="Q860">
        <v>-44.865242000000002</v>
      </c>
      <c r="R860" s="2" t="str">
        <f>HYPERLINK("https://www.google.com/maps?q=-20.1582090,-44.8652420","Abrir no Google Maps")</f>
        <v>Abrir no Google Maps</v>
      </c>
      <c r="S860">
        <v>3</v>
      </c>
      <c r="T860">
        <v>529.55269054560301</v>
      </c>
      <c r="U860">
        <v>3</v>
      </c>
      <c r="V860">
        <v>13</v>
      </c>
      <c r="W860">
        <v>1</v>
      </c>
      <c r="X860">
        <v>13</v>
      </c>
      <c r="Y860">
        <v>264</v>
      </c>
      <c r="Z860">
        <v>576.82525833351326</v>
      </c>
      <c r="AA860">
        <v>198</v>
      </c>
      <c r="AB860">
        <v>332</v>
      </c>
      <c r="AC860">
        <v>536</v>
      </c>
      <c r="AD860">
        <v>30.48</v>
      </c>
      <c r="AE860">
        <v>542</v>
      </c>
      <c r="AF860">
        <v>30</v>
      </c>
      <c r="AG860">
        <v>176</v>
      </c>
      <c r="AH860">
        <v>129</v>
      </c>
      <c r="AI860">
        <v>5.54</v>
      </c>
      <c r="AJ860">
        <v>32.47</v>
      </c>
      <c r="AK860">
        <v>23.8</v>
      </c>
      <c r="AL860">
        <v>-20.15813384999996</v>
      </c>
      <c r="AM860">
        <v>-44.865189279062598</v>
      </c>
      <c r="AN860">
        <v>-20.15813384999996</v>
      </c>
      <c r="AO860">
        <v>-44.865189279062598</v>
      </c>
      <c r="AP860">
        <v>-20.158208999999999</v>
      </c>
      <c r="AQ860">
        <v>-44.865242000000002</v>
      </c>
      <c r="AR860">
        <v>10.01690313145691</v>
      </c>
      <c r="AS860" t="s">
        <v>65</v>
      </c>
      <c r="AT860">
        <v>1</v>
      </c>
      <c r="AU860" t="s">
        <v>1173</v>
      </c>
      <c r="AV860" t="s">
        <v>1174</v>
      </c>
      <c r="AW860" t="s">
        <v>60</v>
      </c>
      <c r="AX860" t="s">
        <v>68</v>
      </c>
      <c r="AY860" t="s">
        <v>69</v>
      </c>
      <c r="AZ860" t="b">
        <v>1</v>
      </c>
    </row>
    <row r="861" spans="1:52" x14ac:dyDescent="0.3">
      <c r="A861" t="s">
        <v>52</v>
      </c>
      <c r="B861" t="s">
        <v>53</v>
      </c>
      <c r="C861" t="s">
        <v>54</v>
      </c>
      <c r="D861" t="s">
        <v>55</v>
      </c>
      <c r="E861" t="s">
        <v>2099</v>
      </c>
      <c r="F861" t="s">
        <v>190</v>
      </c>
      <c r="G861" t="s">
        <v>1193</v>
      </c>
      <c r="H861" t="s">
        <v>1194</v>
      </c>
      <c r="I861" t="s">
        <v>1194</v>
      </c>
      <c r="J861" t="s">
        <v>60</v>
      </c>
      <c r="K861" t="s">
        <v>1195</v>
      </c>
      <c r="L861" t="s">
        <v>62</v>
      </c>
      <c r="M861" t="s">
        <v>1195</v>
      </c>
      <c r="N861" t="s">
        <v>1196</v>
      </c>
      <c r="O861" t="s">
        <v>1197</v>
      </c>
      <c r="P861">
        <v>-20.105342</v>
      </c>
      <c r="Q861">
        <v>-44.964716000000003</v>
      </c>
      <c r="R861" s="2" t="str">
        <f>HYPERLINK("https://www.google.com/maps?q=-20.1053420,-44.9647160","Abrir no Google Maps")</f>
        <v>Abrir no Google Maps</v>
      </c>
      <c r="S861">
        <v>3</v>
      </c>
      <c r="T861">
        <v>893.28710125086457</v>
      </c>
      <c r="U861">
        <v>3</v>
      </c>
      <c r="V861">
        <v>18</v>
      </c>
      <c r="W861">
        <v>1</v>
      </c>
      <c r="X861">
        <v>18</v>
      </c>
      <c r="Y861">
        <v>187</v>
      </c>
      <c r="Z861">
        <v>592.18957175243293</v>
      </c>
      <c r="AA861">
        <v>198</v>
      </c>
      <c r="AB861">
        <v>332</v>
      </c>
      <c r="AC861">
        <v>536</v>
      </c>
      <c r="AD861">
        <v>30.48</v>
      </c>
      <c r="AE861">
        <v>542</v>
      </c>
      <c r="AF861">
        <v>30</v>
      </c>
      <c r="AG861">
        <v>176</v>
      </c>
      <c r="AH861">
        <v>129</v>
      </c>
      <c r="AI861">
        <v>5.54</v>
      </c>
      <c r="AJ861">
        <v>32.47</v>
      </c>
      <c r="AK861">
        <v>23.8</v>
      </c>
      <c r="AL861">
        <v>-20.105505699999949</v>
      </c>
      <c r="AM861">
        <v>-44.964494228377532</v>
      </c>
      <c r="AN861">
        <v>-20.105505699999949</v>
      </c>
      <c r="AO861">
        <v>-44.964494228377532</v>
      </c>
      <c r="AP861">
        <v>-20.105342</v>
      </c>
      <c r="AQ861">
        <v>-44.964716000000003</v>
      </c>
      <c r="AR861">
        <v>29.48797728637869</v>
      </c>
      <c r="AS861" t="s">
        <v>65</v>
      </c>
      <c r="AT861">
        <v>1</v>
      </c>
      <c r="AU861" t="s">
        <v>1198</v>
      </c>
      <c r="AV861" t="s">
        <v>1199</v>
      </c>
      <c r="AW861" t="s">
        <v>60</v>
      </c>
      <c r="AX861" t="s">
        <v>68</v>
      </c>
      <c r="AY861" t="s">
        <v>69</v>
      </c>
      <c r="AZ861" t="b">
        <v>1</v>
      </c>
    </row>
    <row r="862" spans="1:52" x14ac:dyDescent="0.3">
      <c r="A862" t="s">
        <v>52</v>
      </c>
      <c r="B862" t="s">
        <v>53</v>
      </c>
      <c r="C862" t="s">
        <v>54</v>
      </c>
      <c r="D862" t="s">
        <v>55</v>
      </c>
      <c r="E862" t="s">
        <v>2099</v>
      </c>
      <c r="F862" t="s">
        <v>190</v>
      </c>
      <c r="G862" t="s">
        <v>2119</v>
      </c>
      <c r="H862" t="s">
        <v>2120</v>
      </c>
      <c r="I862" t="s">
        <v>2120</v>
      </c>
      <c r="J862" t="s">
        <v>60</v>
      </c>
      <c r="K862" t="s">
        <v>424</v>
      </c>
      <c r="L862" t="s">
        <v>62</v>
      </c>
      <c r="M862" t="s">
        <v>424</v>
      </c>
      <c r="N862" t="s">
        <v>2121</v>
      </c>
      <c r="O862" t="s">
        <v>138</v>
      </c>
      <c r="P862">
        <v>-20.180432</v>
      </c>
      <c r="Q862">
        <v>-44.919674999999998</v>
      </c>
      <c r="R862" s="2" t="str">
        <f>HYPERLINK("https://www.google.com/maps?q=-20.1804320,-44.9196750","Abrir no Google Maps")</f>
        <v>Abrir no Google Maps</v>
      </c>
      <c r="S862">
        <v>3</v>
      </c>
      <c r="T862">
        <v>1130.785681295049</v>
      </c>
      <c r="U862">
        <v>3</v>
      </c>
      <c r="V862">
        <v>16</v>
      </c>
      <c r="W862">
        <v>0.85</v>
      </c>
      <c r="X862">
        <v>13.6</v>
      </c>
      <c r="Y862">
        <v>135</v>
      </c>
      <c r="Z862">
        <v>1282.28677301785</v>
      </c>
      <c r="AA862">
        <v>198</v>
      </c>
      <c r="AB862">
        <v>332</v>
      </c>
      <c r="AC862">
        <v>536</v>
      </c>
      <c r="AD862">
        <v>30.48</v>
      </c>
      <c r="AE862">
        <v>542</v>
      </c>
      <c r="AF862">
        <v>30</v>
      </c>
      <c r="AG862">
        <v>176</v>
      </c>
      <c r="AH862">
        <v>129</v>
      </c>
      <c r="AI862">
        <v>5.54</v>
      </c>
      <c r="AJ862">
        <v>32.47</v>
      </c>
      <c r="AK862">
        <v>23.8</v>
      </c>
      <c r="AL862">
        <v>-20.18032049999994</v>
      </c>
      <c r="AM862">
        <v>-44.919725277861453</v>
      </c>
      <c r="AN862">
        <v>-20.18032049999994</v>
      </c>
      <c r="AO862">
        <v>-44.919725277861453</v>
      </c>
      <c r="AP862">
        <v>-20.180432</v>
      </c>
      <c r="AQ862">
        <v>-44.919674999999998</v>
      </c>
      <c r="AR862">
        <v>13.478124605492161</v>
      </c>
      <c r="AS862" t="s">
        <v>65</v>
      </c>
      <c r="AT862">
        <v>1</v>
      </c>
      <c r="AU862" t="s">
        <v>2122</v>
      </c>
      <c r="AV862" t="s">
        <v>2123</v>
      </c>
      <c r="AW862" t="s">
        <v>60</v>
      </c>
      <c r="AX862" t="s">
        <v>68</v>
      </c>
      <c r="AY862" t="s">
        <v>69</v>
      </c>
      <c r="AZ862" t="b">
        <v>1</v>
      </c>
    </row>
    <row r="863" spans="1:52" x14ac:dyDescent="0.3">
      <c r="A863" t="s">
        <v>52</v>
      </c>
      <c r="B863" t="s">
        <v>53</v>
      </c>
      <c r="C863" t="s">
        <v>54</v>
      </c>
      <c r="D863" t="s">
        <v>55</v>
      </c>
      <c r="E863" t="s">
        <v>2099</v>
      </c>
      <c r="F863" t="s">
        <v>190</v>
      </c>
      <c r="G863" t="s">
        <v>1978</v>
      </c>
      <c r="H863" t="s">
        <v>1979</v>
      </c>
      <c r="I863" t="s">
        <v>1979</v>
      </c>
      <c r="J863" t="s">
        <v>60</v>
      </c>
      <c r="K863" t="s">
        <v>822</v>
      </c>
      <c r="L863" t="s">
        <v>62</v>
      </c>
      <c r="M863" t="s">
        <v>822</v>
      </c>
      <c r="N863" t="s">
        <v>1980</v>
      </c>
      <c r="O863" t="s">
        <v>1981</v>
      </c>
      <c r="P863">
        <v>-20.183568000000001</v>
      </c>
      <c r="Q863">
        <v>-44.904950999999997</v>
      </c>
      <c r="R863" s="2" t="str">
        <f>HYPERLINK("https://www.google.com/maps?q=-20.1835680,-44.9049510","Abrir no Google Maps")</f>
        <v>Abrir no Google Maps</v>
      </c>
      <c r="S863">
        <v>3</v>
      </c>
      <c r="T863">
        <v>739.49865836455649</v>
      </c>
      <c r="U863">
        <v>3</v>
      </c>
      <c r="V863">
        <v>18</v>
      </c>
      <c r="W863">
        <v>0.85</v>
      </c>
      <c r="X863">
        <v>15.3</v>
      </c>
      <c r="Y863">
        <v>135</v>
      </c>
      <c r="Z863">
        <v>563.62602480507815</v>
      </c>
      <c r="AA863">
        <v>198</v>
      </c>
      <c r="AB863">
        <v>332</v>
      </c>
      <c r="AC863">
        <v>536</v>
      </c>
      <c r="AD863">
        <v>30.48</v>
      </c>
      <c r="AE863">
        <v>542</v>
      </c>
      <c r="AF863">
        <v>30</v>
      </c>
      <c r="AG863">
        <v>176</v>
      </c>
      <c r="AH863">
        <v>129</v>
      </c>
      <c r="AI863">
        <v>5.54</v>
      </c>
      <c r="AJ863">
        <v>32.47</v>
      </c>
      <c r="AK863">
        <v>23.8</v>
      </c>
      <c r="AL863">
        <v>-20.18318414999996</v>
      </c>
      <c r="AM863">
        <v>-44.903984104996781</v>
      </c>
      <c r="AN863">
        <v>-20.18318414999996</v>
      </c>
      <c r="AO863">
        <v>-44.903984104996781</v>
      </c>
      <c r="AP863">
        <v>-20.183568000000001</v>
      </c>
      <c r="AQ863">
        <v>-44.904950999999997</v>
      </c>
      <c r="AR863">
        <v>109.69044287201569</v>
      </c>
      <c r="AS863" t="s">
        <v>65</v>
      </c>
      <c r="AT863">
        <v>1</v>
      </c>
      <c r="AU863" t="s">
        <v>1982</v>
      </c>
      <c r="AV863" t="s">
        <v>1983</v>
      </c>
      <c r="AW863" t="s">
        <v>60</v>
      </c>
      <c r="AX863" t="s">
        <v>68</v>
      </c>
      <c r="AY863" t="s">
        <v>69</v>
      </c>
      <c r="AZ863" t="b">
        <v>1</v>
      </c>
    </row>
    <row r="864" spans="1:52" x14ac:dyDescent="0.3">
      <c r="A864" t="s">
        <v>52</v>
      </c>
      <c r="B864" t="s">
        <v>53</v>
      </c>
      <c r="C864" t="s">
        <v>54</v>
      </c>
      <c r="D864" t="s">
        <v>55</v>
      </c>
      <c r="E864" t="s">
        <v>2099</v>
      </c>
      <c r="F864" t="s">
        <v>190</v>
      </c>
      <c r="G864" t="s">
        <v>1990</v>
      </c>
      <c r="H864" t="s">
        <v>1991</v>
      </c>
      <c r="I864" t="s">
        <v>1991</v>
      </c>
      <c r="J864" t="s">
        <v>60</v>
      </c>
      <c r="K864" t="s">
        <v>822</v>
      </c>
      <c r="L864" t="s">
        <v>62</v>
      </c>
      <c r="M864" t="s">
        <v>822</v>
      </c>
      <c r="N864" t="s">
        <v>1992</v>
      </c>
      <c r="O864" t="s">
        <v>1993</v>
      </c>
      <c r="P864">
        <v>-20.185697000000001</v>
      </c>
      <c r="Q864">
        <v>-44.910505999999998</v>
      </c>
      <c r="R864" s="2" t="str">
        <f>HYPERLINK("https://www.google.com/maps?q=-20.1856970,-44.9105060","Abrir no Google Maps")</f>
        <v>Abrir no Google Maps</v>
      </c>
      <c r="S864">
        <v>3</v>
      </c>
      <c r="T864">
        <v>0</v>
      </c>
      <c r="U864">
        <v>3</v>
      </c>
      <c r="V864">
        <v>15</v>
      </c>
      <c r="W864">
        <v>0.85</v>
      </c>
      <c r="X864">
        <v>12.75</v>
      </c>
      <c r="Y864">
        <v>135</v>
      </c>
      <c r="Z864">
        <v>343.69681053463609</v>
      </c>
      <c r="AA864">
        <v>198</v>
      </c>
      <c r="AB864">
        <v>332</v>
      </c>
      <c r="AC864">
        <v>536</v>
      </c>
      <c r="AD864">
        <v>30.48</v>
      </c>
      <c r="AE864">
        <v>542</v>
      </c>
      <c r="AF864">
        <v>30</v>
      </c>
      <c r="AG864">
        <v>176</v>
      </c>
      <c r="AH864">
        <v>129</v>
      </c>
      <c r="AI864">
        <v>5.54</v>
      </c>
      <c r="AJ864">
        <v>32.47</v>
      </c>
      <c r="AK864">
        <v>23.8</v>
      </c>
      <c r="AL864">
        <v>-20.185715749999961</v>
      </c>
      <c r="AM864">
        <v>-44.910534239471573</v>
      </c>
      <c r="AN864">
        <v>-20.185715749999961</v>
      </c>
      <c r="AO864">
        <v>-44.910534239471573</v>
      </c>
      <c r="AP864">
        <v>-20.185697000000001</v>
      </c>
      <c r="AQ864">
        <v>-44.910505999999998</v>
      </c>
      <c r="AR864">
        <v>3.6141753980162412</v>
      </c>
      <c r="AS864" t="s">
        <v>65</v>
      </c>
      <c r="AT864">
        <v>1</v>
      </c>
      <c r="AU864" t="s">
        <v>1994</v>
      </c>
      <c r="AV864" t="s">
        <v>1995</v>
      </c>
      <c r="AW864" t="s">
        <v>60</v>
      </c>
      <c r="AX864" t="s">
        <v>68</v>
      </c>
      <c r="AY864" t="s">
        <v>69</v>
      </c>
      <c r="AZ864" t="b">
        <v>1</v>
      </c>
    </row>
    <row r="865" spans="1:52" x14ac:dyDescent="0.3">
      <c r="A865" t="s">
        <v>52</v>
      </c>
      <c r="B865" t="s">
        <v>53</v>
      </c>
      <c r="C865" t="s">
        <v>54</v>
      </c>
      <c r="D865" t="s">
        <v>55</v>
      </c>
      <c r="E865" t="s">
        <v>2099</v>
      </c>
      <c r="F865" t="s">
        <v>190</v>
      </c>
      <c r="G865" t="s">
        <v>845</v>
      </c>
      <c r="H865" t="s">
        <v>2124</v>
      </c>
      <c r="I865" t="s">
        <v>2124</v>
      </c>
      <c r="J865" t="s">
        <v>60</v>
      </c>
      <c r="K865" t="s">
        <v>424</v>
      </c>
      <c r="L865" t="s">
        <v>62</v>
      </c>
      <c r="M865" t="s">
        <v>424</v>
      </c>
      <c r="N865" t="s">
        <v>847</v>
      </c>
      <c r="O865" t="s">
        <v>2125</v>
      </c>
      <c r="P865">
        <v>-20.180002999999999</v>
      </c>
      <c r="Q865">
        <v>-44.915557999999997</v>
      </c>
      <c r="R865" s="2" t="str">
        <f>HYPERLINK("https://www.google.com/maps?q=-20.1800030,-44.9155580","Abrir no Google Maps")</f>
        <v>Abrir no Google Maps</v>
      </c>
      <c r="S865">
        <v>3</v>
      </c>
      <c r="T865">
        <v>849.07837312552761</v>
      </c>
      <c r="U865">
        <v>3</v>
      </c>
      <c r="V865">
        <v>16</v>
      </c>
      <c r="W865">
        <v>0.85</v>
      </c>
      <c r="X865">
        <v>13.6</v>
      </c>
      <c r="Y865">
        <v>135</v>
      </c>
      <c r="Z865">
        <v>1017.379067015247</v>
      </c>
      <c r="AA865">
        <v>198</v>
      </c>
      <c r="AB865">
        <v>332</v>
      </c>
      <c r="AC865">
        <v>536</v>
      </c>
      <c r="AD865">
        <v>30.48</v>
      </c>
      <c r="AE865">
        <v>542</v>
      </c>
      <c r="AF865">
        <v>30</v>
      </c>
      <c r="AG865">
        <v>176</v>
      </c>
      <c r="AH865">
        <v>129</v>
      </c>
      <c r="AI865">
        <v>5.54</v>
      </c>
      <c r="AJ865">
        <v>32.47</v>
      </c>
      <c r="AK865">
        <v>23.8</v>
      </c>
      <c r="AL865">
        <v>-20.180131649999961</v>
      </c>
      <c r="AM865">
        <v>-44.916107332085438</v>
      </c>
      <c r="AN865">
        <v>-20.180131649999961</v>
      </c>
      <c r="AO865">
        <v>-44.916107332085438</v>
      </c>
      <c r="AP865">
        <v>-20.180002999999999</v>
      </c>
      <c r="AQ865">
        <v>-44.915557999999997</v>
      </c>
      <c r="AR865">
        <v>59.157397370141183</v>
      </c>
      <c r="AS865" t="s">
        <v>65</v>
      </c>
      <c r="AT865">
        <v>1</v>
      </c>
      <c r="AU865" t="s">
        <v>2126</v>
      </c>
      <c r="AV865" t="s">
        <v>2127</v>
      </c>
      <c r="AW865" t="s">
        <v>60</v>
      </c>
      <c r="AX865" t="s">
        <v>68</v>
      </c>
      <c r="AY865" t="s">
        <v>69</v>
      </c>
      <c r="AZ865" t="b">
        <v>1</v>
      </c>
    </row>
    <row r="866" spans="1:52" x14ac:dyDescent="0.3">
      <c r="A866" t="s">
        <v>52</v>
      </c>
      <c r="B866" t="s">
        <v>53</v>
      </c>
      <c r="C866" t="s">
        <v>54</v>
      </c>
      <c r="D866" t="s">
        <v>55</v>
      </c>
      <c r="E866" t="s">
        <v>2099</v>
      </c>
      <c r="F866" t="s">
        <v>190</v>
      </c>
      <c r="G866" t="s">
        <v>422</v>
      </c>
      <c r="H866" t="s">
        <v>2001</v>
      </c>
      <c r="I866" t="s">
        <v>2001</v>
      </c>
      <c r="J866" t="s">
        <v>60</v>
      </c>
      <c r="K866" t="s">
        <v>475</v>
      </c>
      <c r="L866" t="s">
        <v>62</v>
      </c>
      <c r="M866" t="s">
        <v>475</v>
      </c>
      <c r="N866" t="s">
        <v>425</v>
      </c>
      <c r="O866" t="s">
        <v>1663</v>
      </c>
      <c r="P866">
        <v>-20.180004</v>
      </c>
      <c r="Q866">
        <v>-44.911242999999999</v>
      </c>
      <c r="R866" s="2" t="str">
        <f>HYPERLINK("https://www.google.com/maps?q=-20.1800040,-44.9112430","Abrir no Google Maps")</f>
        <v>Abrir no Google Maps</v>
      </c>
      <c r="S866">
        <v>3</v>
      </c>
      <c r="T866">
        <v>529.77473531196472</v>
      </c>
      <c r="U866">
        <v>3</v>
      </c>
      <c r="V866">
        <v>19</v>
      </c>
      <c r="W866">
        <v>0.85</v>
      </c>
      <c r="X866">
        <v>16.149999999999999</v>
      </c>
      <c r="Y866">
        <v>135</v>
      </c>
      <c r="Z866">
        <v>464.21721188606858</v>
      </c>
      <c r="AA866">
        <v>198</v>
      </c>
      <c r="AB866">
        <v>332</v>
      </c>
      <c r="AC866">
        <v>536</v>
      </c>
      <c r="AD866">
        <v>30.48</v>
      </c>
      <c r="AE866">
        <v>542</v>
      </c>
      <c r="AF866">
        <v>30</v>
      </c>
      <c r="AG866">
        <v>176</v>
      </c>
      <c r="AH866">
        <v>129</v>
      </c>
      <c r="AI866">
        <v>5.54</v>
      </c>
      <c r="AJ866">
        <v>32.47</v>
      </c>
      <c r="AK866">
        <v>23.8</v>
      </c>
      <c r="AL866">
        <v>-20.180959999999949</v>
      </c>
      <c r="AM866">
        <v>-44.911115442322981</v>
      </c>
      <c r="AN866">
        <v>-20.180959999999949</v>
      </c>
      <c r="AO866">
        <v>-44.911115442322981</v>
      </c>
      <c r="AP866">
        <v>-20.180004</v>
      </c>
      <c r="AQ866">
        <v>-44.911242999999999</v>
      </c>
      <c r="AR866">
        <v>107.2532506205936</v>
      </c>
      <c r="AS866" t="s">
        <v>65</v>
      </c>
      <c r="AT866">
        <v>1</v>
      </c>
      <c r="AU866" t="s">
        <v>2002</v>
      </c>
      <c r="AV866" t="s">
        <v>1211</v>
      </c>
      <c r="AW866" t="s">
        <v>60</v>
      </c>
      <c r="AX866" t="s">
        <v>68</v>
      </c>
      <c r="AY866" t="s">
        <v>69</v>
      </c>
      <c r="AZ866" t="b">
        <v>1</v>
      </c>
    </row>
    <row r="867" spans="1:52" x14ac:dyDescent="0.3">
      <c r="A867" t="s">
        <v>52</v>
      </c>
      <c r="B867" t="s">
        <v>53</v>
      </c>
      <c r="C867" t="s">
        <v>54</v>
      </c>
      <c r="D867" t="s">
        <v>55</v>
      </c>
      <c r="E867" t="s">
        <v>2099</v>
      </c>
      <c r="F867" t="s">
        <v>190</v>
      </c>
      <c r="G867" t="s">
        <v>1206</v>
      </c>
      <c r="H867" t="s">
        <v>1207</v>
      </c>
      <c r="I867" t="s">
        <v>1207</v>
      </c>
      <c r="J867" t="s">
        <v>60</v>
      </c>
      <c r="K867" t="s">
        <v>475</v>
      </c>
      <c r="L867" t="s">
        <v>62</v>
      </c>
      <c r="M867" t="s">
        <v>475</v>
      </c>
      <c r="N867" t="s">
        <v>1208</v>
      </c>
      <c r="O867" t="s">
        <v>1209</v>
      </c>
      <c r="P867">
        <v>-20.180554999999998</v>
      </c>
      <c r="Q867">
        <v>-44.905642999999998</v>
      </c>
      <c r="R867" s="2" t="str">
        <f>HYPERLINK("https://www.google.com/maps?q=-20.1805550,-44.9056430","Abrir no Google Maps")</f>
        <v>Abrir no Google Maps</v>
      </c>
      <c r="S867">
        <v>3</v>
      </c>
      <c r="T867">
        <v>768.13826761541702</v>
      </c>
      <c r="U867">
        <v>3</v>
      </c>
      <c r="V867">
        <v>14</v>
      </c>
      <c r="W867">
        <v>1</v>
      </c>
      <c r="X867">
        <v>14</v>
      </c>
      <c r="Y867">
        <v>135</v>
      </c>
      <c r="Z867">
        <v>442.64437152702573</v>
      </c>
      <c r="AA867">
        <v>198</v>
      </c>
      <c r="AB867">
        <v>332</v>
      </c>
      <c r="AC867">
        <v>536</v>
      </c>
      <c r="AD867">
        <v>30.48</v>
      </c>
      <c r="AE867">
        <v>542</v>
      </c>
      <c r="AF867">
        <v>30</v>
      </c>
      <c r="AG867">
        <v>176</v>
      </c>
      <c r="AH867">
        <v>129</v>
      </c>
      <c r="AI867">
        <v>5.54</v>
      </c>
      <c r="AJ867">
        <v>32.47</v>
      </c>
      <c r="AK867">
        <v>23.8</v>
      </c>
      <c r="AL867">
        <v>-20.180439499999949</v>
      </c>
      <c r="AM867">
        <v>-44.905757266135502</v>
      </c>
      <c r="AN867">
        <v>-20.180439499999949</v>
      </c>
      <c r="AO867">
        <v>-44.905757266135502</v>
      </c>
      <c r="AP867">
        <v>-20.180554999999998</v>
      </c>
      <c r="AQ867">
        <v>-44.905642999999998</v>
      </c>
      <c r="AR867">
        <v>17.545924993698129</v>
      </c>
      <c r="AS867" t="s">
        <v>65</v>
      </c>
      <c r="AT867">
        <v>1</v>
      </c>
      <c r="AU867" t="s">
        <v>1210</v>
      </c>
      <c r="AV867" t="s">
        <v>1211</v>
      </c>
      <c r="AW867" t="s">
        <v>60</v>
      </c>
      <c r="AX867" t="s">
        <v>68</v>
      </c>
      <c r="AY867" t="s">
        <v>69</v>
      </c>
      <c r="AZ867" t="b">
        <v>1</v>
      </c>
    </row>
    <row r="868" spans="1:52" x14ac:dyDescent="0.3">
      <c r="A868" t="s">
        <v>52</v>
      </c>
      <c r="B868" t="s">
        <v>53</v>
      </c>
      <c r="C868" t="s">
        <v>54</v>
      </c>
      <c r="D868" t="s">
        <v>55</v>
      </c>
      <c r="E868" t="s">
        <v>2099</v>
      </c>
      <c r="F868" t="s">
        <v>190</v>
      </c>
      <c r="G868" t="s">
        <v>820</v>
      </c>
      <c r="H868" t="s">
        <v>821</v>
      </c>
      <c r="I868" t="s">
        <v>821</v>
      </c>
      <c r="J868" t="s">
        <v>60</v>
      </c>
      <c r="K868" t="s">
        <v>822</v>
      </c>
      <c r="L868" t="s">
        <v>62</v>
      </c>
      <c r="M868" t="s">
        <v>822</v>
      </c>
      <c r="N868" t="s">
        <v>823</v>
      </c>
      <c r="O868" t="s">
        <v>187</v>
      </c>
      <c r="P868">
        <v>-20.182960999999999</v>
      </c>
      <c r="Q868">
        <v>-44.902512999999999</v>
      </c>
      <c r="R868" s="2" t="str">
        <f>HYPERLINK("https://www.google.com/maps?q=-20.1829610,-44.9025130","Abrir no Google Maps")</f>
        <v>Abrir no Google Maps</v>
      </c>
      <c r="S868">
        <v>3</v>
      </c>
      <c r="T868">
        <v>908.09917748271926</v>
      </c>
      <c r="U868">
        <v>3</v>
      </c>
      <c r="V868">
        <v>12</v>
      </c>
      <c r="W868">
        <v>1</v>
      </c>
      <c r="X868">
        <v>12</v>
      </c>
      <c r="Y868">
        <v>135</v>
      </c>
      <c r="Z868">
        <v>562.42494356837676</v>
      </c>
      <c r="AA868">
        <v>198</v>
      </c>
      <c r="AB868">
        <v>332</v>
      </c>
      <c r="AC868">
        <v>536</v>
      </c>
      <c r="AD868">
        <v>30.48</v>
      </c>
      <c r="AE868">
        <v>542</v>
      </c>
      <c r="AF868">
        <v>30</v>
      </c>
      <c r="AG868">
        <v>176</v>
      </c>
      <c r="AH868">
        <v>129</v>
      </c>
      <c r="AI868">
        <v>5.54</v>
      </c>
      <c r="AJ868">
        <v>32.47</v>
      </c>
      <c r="AK868">
        <v>23.8</v>
      </c>
      <c r="AL868">
        <v>-20.18277184999997</v>
      </c>
      <c r="AM868">
        <v>-44.902421436048833</v>
      </c>
      <c r="AN868">
        <v>-20.18277184999997</v>
      </c>
      <c r="AO868">
        <v>-44.902421436048833</v>
      </c>
      <c r="AP868">
        <v>-20.182960999999999</v>
      </c>
      <c r="AQ868">
        <v>-44.902512999999999</v>
      </c>
      <c r="AR868">
        <v>23.127700959037089</v>
      </c>
      <c r="AS868" t="s">
        <v>65</v>
      </c>
      <c r="AT868">
        <v>1</v>
      </c>
      <c r="AU868" t="s">
        <v>824</v>
      </c>
      <c r="AV868" t="s">
        <v>825</v>
      </c>
      <c r="AW868" t="s">
        <v>60</v>
      </c>
      <c r="AX868" t="s">
        <v>68</v>
      </c>
      <c r="AY868" t="s">
        <v>69</v>
      </c>
      <c r="AZ868" t="b">
        <v>1</v>
      </c>
    </row>
    <row r="869" spans="1:52" x14ac:dyDescent="0.3">
      <c r="A869" t="s">
        <v>52</v>
      </c>
      <c r="B869" t="s">
        <v>53</v>
      </c>
      <c r="C869" t="s">
        <v>54</v>
      </c>
      <c r="D869" t="s">
        <v>55</v>
      </c>
      <c r="E869" t="s">
        <v>2099</v>
      </c>
      <c r="F869" t="s">
        <v>190</v>
      </c>
      <c r="G869" t="s">
        <v>1795</v>
      </c>
      <c r="H869" t="s">
        <v>1796</v>
      </c>
      <c r="I869" t="s">
        <v>1796</v>
      </c>
      <c r="J869" t="s">
        <v>60</v>
      </c>
      <c r="K869" t="s">
        <v>1797</v>
      </c>
      <c r="L869" t="s">
        <v>62</v>
      </c>
      <c r="M869" t="s">
        <v>1797</v>
      </c>
      <c r="N869" t="s">
        <v>1798</v>
      </c>
      <c r="O869" t="s">
        <v>166</v>
      </c>
      <c r="P869">
        <v>-20.137136999999999</v>
      </c>
      <c r="Q869">
        <v>-44.844737000000002</v>
      </c>
      <c r="R869" s="2" t="str">
        <f>HYPERLINK("https://www.google.com/maps?q=-20.1371370,-44.8447370","Abrir no Google Maps")</f>
        <v>Abrir no Google Maps</v>
      </c>
      <c r="S869">
        <v>3</v>
      </c>
      <c r="T869">
        <v>1265.572541081038</v>
      </c>
      <c r="U869">
        <v>3</v>
      </c>
      <c r="V869">
        <v>21</v>
      </c>
      <c r="W869">
        <v>0.85</v>
      </c>
      <c r="X869">
        <v>17.850000000000001</v>
      </c>
      <c r="Y869">
        <v>118</v>
      </c>
      <c r="Z869">
        <v>1247.9681773794671</v>
      </c>
      <c r="AA869">
        <v>198</v>
      </c>
      <c r="AB869">
        <v>332</v>
      </c>
      <c r="AC869">
        <v>536</v>
      </c>
      <c r="AD869">
        <v>30.48</v>
      </c>
      <c r="AE869">
        <v>542</v>
      </c>
      <c r="AF869">
        <v>30</v>
      </c>
      <c r="AG869">
        <v>176</v>
      </c>
      <c r="AH869">
        <v>129</v>
      </c>
      <c r="AI869">
        <v>5.54</v>
      </c>
      <c r="AJ869">
        <v>32.47</v>
      </c>
      <c r="AK869">
        <v>23.8</v>
      </c>
      <c r="AL869">
        <v>-20.137060849999951</v>
      </c>
      <c r="AM869">
        <v>-44.844683186696408</v>
      </c>
      <c r="AN869">
        <v>-20.137060849999951</v>
      </c>
      <c r="AO869">
        <v>-44.844683186696408</v>
      </c>
      <c r="AP869">
        <v>-20.137136999999999</v>
      </c>
      <c r="AQ869">
        <v>-44.844737000000002</v>
      </c>
      <c r="AR869">
        <v>10.173135199564809</v>
      </c>
      <c r="AS869" t="s">
        <v>65</v>
      </c>
      <c r="AT869">
        <v>1</v>
      </c>
      <c r="AU869" t="s">
        <v>1799</v>
      </c>
      <c r="AV869" t="s">
        <v>1800</v>
      </c>
      <c r="AW869" t="s">
        <v>60</v>
      </c>
      <c r="AX869" t="s">
        <v>68</v>
      </c>
      <c r="AY869" t="s">
        <v>69</v>
      </c>
      <c r="AZ869" t="b">
        <v>1</v>
      </c>
    </row>
    <row r="870" spans="1:52" x14ac:dyDescent="0.3">
      <c r="A870" t="s">
        <v>52</v>
      </c>
      <c r="B870" t="s">
        <v>53</v>
      </c>
      <c r="C870" t="s">
        <v>54</v>
      </c>
      <c r="D870" t="s">
        <v>55</v>
      </c>
      <c r="E870" t="s">
        <v>2099</v>
      </c>
      <c r="F870" t="s">
        <v>190</v>
      </c>
      <c r="G870" t="s">
        <v>1224</v>
      </c>
      <c r="H870" t="s">
        <v>1230</v>
      </c>
      <c r="I870" t="s">
        <v>1230</v>
      </c>
      <c r="J870" t="s">
        <v>60</v>
      </c>
      <c r="K870" t="s">
        <v>828</v>
      </c>
      <c r="L870" t="s">
        <v>62</v>
      </c>
      <c r="M870" t="s">
        <v>828</v>
      </c>
      <c r="N870" t="s">
        <v>1231</v>
      </c>
      <c r="O870" t="s">
        <v>1232</v>
      </c>
      <c r="P870">
        <v>-20.136106000000002</v>
      </c>
      <c r="Q870">
        <v>-44.838470999999998</v>
      </c>
      <c r="R870" s="2" t="str">
        <f>HYPERLINK("https://www.google.com/maps?q=-20.1361060,-44.8384710","Abrir no Google Maps")</f>
        <v>Abrir no Google Maps</v>
      </c>
      <c r="S870">
        <v>3</v>
      </c>
      <c r="T870">
        <v>910.01690137237858</v>
      </c>
      <c r="U870">
        <v>3</v>
      </c>
      <c r="V870">
        <v>17</v>
      </c>
      <c r="W870">
        <v>1</v>
      </c>
      <c r="X870">
        <v>17</v>
      </c>
      <c r="Y870">
        <v>118</v>
      </c>
      <c r="Z870">
        <v>892.76979321439796</v>
      </c>
      <c r="AA870">
        <v>198</v>
      </c>
      <c r="AB870">
        <v>332</v>
      </c>
      <c r="AC870">
        <v>536</v>
      </c>
      <c r="AD870">
        <v>30.48</v>
      </c>
      <c r="AE870">
        <v>542</v>
      </c>
      <c r="AF870">
        <v>30</v>
      </c>
      <c r="AG870">
        <v>176</v>
      </c>
      <c r="AH870">
        <v>129</v>
      </c>
      <c r="AI870">
        <v>5.54</v>
      </c>
      <c r="AJ870">
        <v>32.47</v>
      </c>
      <c r="AK870">
        <v>23.8</v>
      </c>
      <c r="AL870">
        <v>-20.136356149999951</v>
      </c>
      <c r="AM870">
        <v>-44.838929886373997</v>
      </c>
      <c r="AN870">
        <v>-20.136356149999951</v>
      </c>
      <c r="AO870">
        <v>-44.838929886373997</v>
      </c>
      <c r="AP870">
        <v>-20.136106000000002</v>
      </c>
      <c r="AQ870">
        <v>-44.838470999999998</v>
      </c>
      <c r="AR870">
        <v>55.458802856549369</v>
      </c>
      <c r="AS870" t="s">
        <v>65</v>
      </c>
      <c r="AT870">
        <v>1</v>
      </c>
      <c r="AU870" t="s">
        <v>1233</v>
      </c>
      <c r="AV870" t="s">
        <v>1234</v>
      </c>
      <c r="AW870" t="s">
        <v>60</v>
      </c>
      <c r="AX870" t="s">
        <v>68</v>
      </c>
      <c r="AY870" t="s">
        <v>69</v>
      </c>
      <c r="AZ870" t="b">
        <v>1</v>
      </c>
    </row>
    <row r="871" spans="1:52" x14ac:dyDescent="0.3">
      <c r="A871" t="s">
        <v>52</v>
      </c>
      <c r="B871" t="s">
        <v>53</v>
      </c>
      <c r="C871" t="s">
        <v>54</v>
      </c>
      <c r="D871" t="s">
        <v>55</v>
      </c>
      <c r="E871" t="s">
        <v>2099</v>
      </c>
      <c r="F871" t="s">
        <v>190</v>
      </c>
      <c r="G871" t="s">
        <v>1193</v>
      </c>
      <c r="H871" t="s">
        <v>2020</v>
      </c>
      <c r="I871" t="s">
        <v>2020</v>
      </c>
      <c r="J871" t="s">
        <v>60</v>
      </c>
      <c r="K871" t="s">
        <v>1803</v>
      </c>
      <c r="L871" t="s">
        <v>62</v>
      </c>
      <c r="M871" t="s">
        <v>1803</v>
      </c>
      <c r="N871" t="s">
        <v>2021</v>
      </c>
      <c r="O871" t="s">
        <v>2022</v>
      </c>
      <c r="P871">
        <v>-20.131063000000001</v>
      </c>
      <c r="Q871">
        <v>-44.835818000000003</v>
      </c>
      <c r="R871" s="2" t="str">
        <f>HYPERLINK("https://www.google.com/maps?q=-20.1310630,-44.8358180","Abrir no Google Maps")</f>
        <v>Abrir no Google Maps</v>
      </c>
      <c r="S871">
        <v>3</v>
      </c>
      <c r="T871">
        <v>341.23125780909078</v>
      </c>
      <c r="U871">
        <v>3</v>
      </c>
      <c r="V871">
        <v>20</v>
      </c>
      <c r="W871">
        <v>0.85</v>
      </c>
      <c r="X871">
        <v>17</v>
      </c>
      <c r="Y871">
        <v>118</v>
      </c>
      <c r="Z871">
        <v>313.11962562154281</v>
      </c>
      <c r="AA871">
        <v>198</v>
      </c>
      <c r="AB871">
        <v>332</v>
      </c>
      <c r="AC871">
        <v>536</v>
      </c>
      <c r="AD871">
        <v>30.48</v>
      </c>
      <c r="AE871">
        <v>542</v>
      </c>
      <c r="AF871">
        <v>30</v>
      </c>
      <c r="AG871">
        <v>176</v>
      </c>
      <c r="AH871">
        <v>129</v>
      </c>
      <c r="AI871">
        <v>5.54</v>
      </c>
      <c r="AJ871">
        <v>32.47</v>
      </c>
      <c r="AK871">
        <v>23.8</v>
      </c>
      <c r="AL871">
        <v>-20.131250049999949</v>
      </c>
      <c r="AM871">
        <v>-44.835592156063377</v>
      </c>
      <c r="AN871">
        <v>-20.131250049999949</v>
      </c>
      <c r="AO871">
        <v>-44.835592156063377</v>
      </c>
      <c r="AP871">
        <v>-20.131063000000001</v>
      </c>
      <c r="AQ871">
        <v>-44.835818000000003</v>
      </c>
      <c r="AR871">
        <v>31.47647942151896</v>
      </c>
      <c r="AS871" t="s">
        <v>65</v>
      </c>
      <c r="AT871">
        <v>1</v>
      </c>
      <c r="AU871" t="s">
        <v>2023</v>
      </c>
      <c r="AV871" t="s">
        <v>2024</v>
      </c>
      <c r="AW871" t="s">
        <v>60</v>
      </c>
      <c r="AX871" t="s">
        <v>68</v>
      </c>
      <c r="AY871" t="s">
        <v>69</v>
      </c>
      <c r="AZ871" t="b">
        <v>1</v>
      </c>
    </row>
    <row r="872" spans="1:52" x14ac:dyDescent="0.3">
      <c r="A872" t="s">
        <v>52</v>
      </c>
      <c r="B872" t="s">
        <v>53</v>
      </c>
      <c r="C872" t="s">
        <v>54</v>
      </c>
      <c r="D872" t="s">
        <v>55</v>
      </c>
      <c r="E872" t="s">
        <v>2099</v>
      </c>
      <c r="F872" t="s">
        <v>190</v>
      </c>
      <c r="G872" t="s">
        <v>1808</v>
      </c>
      <c r="H872" t="s">
        <v>1809</v>
      </c>
      <c r="I872" t="s">
        <v>1809</v>
      </c>
      <c r="J872" t="s">
        <v>60</v>
      </c>
      <c r="K872" t="s">
        <v>1710</v>
      </c>
      <c r="L872" t="s">
        <v>62</v>
      </c>
      <c r="M872" t="s">
        <v>1710</v>
      </c>
      <c r="N872" t="s">
        <v>1810</v>
      </c>
      <c r="O872" t="s">
        <v>297</v>
      </c>
      <c r="P872">
        <v>-20.144154</v>
      </c>
      <c r="Q872">
        <v>-44.840567</v>
      </c>
      <c r="R872" s="2" t="str">
        <f>HYPERLINK("https://www.google.com/maps?q=-20.1441540,-44.8405670","Abrir no Google Maps")</f>
        <v>Abrir no Google Maps</v>
      </c>
      <c r="S872">
        <v>3</v>
      </c>
      <c r="T872">
        <v>1790.4609200116779</v>
      </c>
      <c r="U872">
        <v>3</v>
      </c>
      <c r="V872">
        <v>16</v>
      </c>
      <c r="W872">
        <v>0.85</v>
      </c>
      <c r="X872">
        <v>13.6</v>
      </c>
      <c r="Y872">
        <v>118</v>
      </c>
      <c r="Z872">
        <v>1718.5674352993251</v>
      </c>
      <c r="AA872">
        <v>198</v>
      </c>
      <c r="AB872">
        <v>332</v>
      </c>
      <c r="AC872">
        <v>536</v>
      </c>
      <c r="AD872">
        <v>30.48</v>
      </c>
      <c r="AE872">
        <v>542</v>
      </c>
      <c r="AF872">
        <v>30</v>
      </c>
      <c r="AG872">
        <v>176</v>
      </c>
      <c r="AH872">
        <v>129</v>
      </c>
      <c r="AI872">
        <v>5.54</v>
      </c>
      <c r="AJ872">
        <v>32.47</v>
      </c>
      <c r="AK872">
        <v>23.8</v>
      </c>
      <c r="AL872">
        <v>-20.144149799999951</v>
      </c>
      <c r="AM872">
        <v>-44.840643310374091</v>
      </c>
      <c r="AN872">
        <v>-20.144149799999951</v>
      </c>
      <c r="AO872">
        <v>-44.840643310374091</v>
      </c>
      <c r="AP872">
        <v>-20.144154</v>
      </c>
      <c r="AQ872">
        <v>-44.840567</v>
      </c>
      <c r="AR872">
        <v>7.9889254965004346</v>
      </c>
      <c r="AS872" t="s">
        <v>65</v>
      </c>
      <c r="AT872">
        <v>1</v>
      </c>
      <c r="AU872" t="s">
        <v>1811</v>
      </c>
      <c r="AV872" t="s">
        <v>1812</v>
      </c>
      <c r="AW872" t="s">
        <v>60</v>
      </c>
      <c r="AX872" t="s">
        <v>68</v>
      </c>
      <c r="AY872" t="s">
        <v>69</v>
      </c>
      <c r="AZ872" t="b">
        <v>1</v>
      </c>
    </row>
    <row r="873" spans="1:52" x14ac:dyDescent="0.3">
      <c r="A873" t="s">
        <v>52</v>
      </c>
      <c r="B873" t="s">
        <v>53</v>
      </c>
      <c r="C873" t="s">
        <v>54</v>
      </c>
      <c r="D873" t="s">
        <v>55</v>
      </c>
      <c r="E873" t="s">
        <v>2099</v>
      </c>
      <c r="F873" t="s">
        <v>190</v>
      </c>
      <c r="G873" t="s">
        <v>1813</v>
      </c>
      <c r="H873" t="s">
        <v>1814</v>
      </c>
      <c r="I873" t="s">
        <v>1814</v>
      </c>
      <c r="J873" t="s">
        <v>60</v>
      </c>
      <c r="K873" t="s">
        <v>1815</v>
      </c>
      <c r="L873" t="s">
        <v>62</v>
      </c>
      <c r="M873" t="s">
        <v>1815</v>
      </c>
      <c r="N873" t="s">
        <v>1816</v>
      </c>
      <c r="O873" t="s">
        <v>793</v>
      </c>
      <c r="P873">
        <v>-20.144487999999999</v>
      </c>
      <c r="Q873">
        <v>-44.836683000000001</v>
      </c>
      <c r="R873" s="2" t="str">
        <f>HYPERLINK("https://www.google.com/maps?q=-20.1444880,-44.8366830","Abrir no Google Maps")</f>
        <v>Abrir no Google Maps</v>
      </c>
      <c r="S873">
        <v>3</v>
      </c>
      <c r="T873">
        <v>1786.4671732320769</v>
      </c>
      <c r="U873">
        <v>3</v>
      </c>
      <c r="V873">
        <v>19</v>
      </c>
      <c r="W873">
        <v>0.85</v>
      </c>
      <c r="X873">
        <v>16.149999999999999</v>
      </c>
      <c r="Y873">
        <v>118</v>
      </c>
      <c r="Z873">
        <v>1788.4311204774231</v>
      </c>
      <c r="AA873">
        <v>198</v>
      </c>
      <c r="AB873">
        <v>332</v>
      </c>
      <c r="AC873">
        <v>536</v>
      </c>
      <c r="AD873">
        <v>30.48</v>
      </c>
      <c r="AE873">
        <v>542</v>
      </c>
      <c r="AF873">
        <v>30</v>
      </c>
      <c r="AG873">
        <v>176</v>
      </c>
      <c r="AH873">
        <v>129</v>
      </c>
      <c r="AI873">
        <v>5.54</v>
      </c>
      <c r="AJ873">
        <v>32.47</v>
      </c>
      <c r="AK873">
        <v>23.8</v>
      </c>
      <c r="AL873">
        <v>-20.14452704999994</v>
      </c>
      <c r="AM873">
        <v>-44.836757520268662</v>
      </c>
      <c r="AN873">
        <v>-20.14452704999994</v>
      </c>
      <c r="AO873">
        <v>-44.836757520268662</v>
      </c>
      <c r="AP873">
        <v>-20.144487999999999</v>
      </c>
      <c r="AQ873">
        <v>-44.836683000000001</v>
      </c>
      <c r="AR873">
        <v>8.9191793946858624</v>
      </c>
      <c r="AS873" t="s">
        <v>65</v>
      </c>
      <c r="AT873">
        <v>1</v>
      </c>
      <c r="AU873" t="s">
        <v>1817</v>
      </c>
      <c r="AV873" t="s">
        <v>1818</v>
      </c>
      <c r="AW873" t="s">
        <v>60</v>
      </c>
      <c r="AX873" t="s">
        <v>68</v>
      </c>
      <c r="AY873" t="s">
        <v>69</v>
      </c>
      <c r="AZ873" t="b">
        <v>1</v>
      </c>
    </row>
    <row r="874" spans="1:52" x14ac:dyDescent="0.3">
      <c r="A874" t="s">
        <v>52</v>
      </c>
      <c r="B874" t="s">
        <v>53</v>
      </c>
      <c r="C874" t="s">
        <v>54</v>
      </c>
      <c r="D874" t="s">
        <v>55</v>
      </c>
      <c r="E874" t="s">
        <v>2099</v>
      </c>
      <c r="F874" t="s">
        <v>190</v>
      </c>
      <c r="G874" t="s">
        <v>1830</v>
      </c>
      <c r="H874" t="s">
        <v>1831</v>
      </c>
      <c r="I874" t="s">
        <v>1831</v>
      </c>
      <c r="J874" t="s">
        <v>60</v>
      </c>
      <c r="K874" t="s">
        <v>1243</v>
      </c>
      <c r="L874" t="s">
        <v>62</v>
      </c>
      <c r="M874" t="s">
        <v>1243</v>
      </c>
      <c r="N874" t="s">
        <v>1832</v>
      </c>
      <c r="O874" t="s">
        <v>1833</v>
      </c>
      <c r="P874">
        <v>-20.196815999999998</v>
      </c>
      <c r="Q874">
        <v>-44.940482000000003</v>
      </c>
      <c r="R874" s="2" t="str">
        <f>HYPERLINK("https://www.google.com/maps?q=-20.1968160,-44.9404820","Abrir no Google Maps")</f>
        <v>Abrir no Google Maps</v>
      </c>
      <c r="S874">
        <v>3</v>
      </c>
      <c r="T874">
        <v>536.34378309151361</v>
      </c>
      <c r="U874">
        <v>3</v>
      </c>
      <c r="V874">
        <v>17</v>
      </c>
      <c r="W874">
        <v>1</v>
      </c>
      <c r="X874">
        <v>17</v>
      </c>
      <c r="Y874">
        <v>113</v>
      </c>
      <c r="Z874">
        <v>376.90325621866373</v>
      </c>
      <c r="AA874">
        <v>198</v>
      </c>
      <c r="AB874">
        <v>332</v>
      </c>
      <c r="AC874">
        <v>536</v>
      </c>
      <c r="AD874">
        <v>30.48</v>
      </c>
      <c r="AE874">
        <v>542</v>
      </c>
      <c r="AF874">
        <v>30</v>
      </c>
      <c r="AG874">
        <v>176</v>
      </c>
      <c r="AH874">
        <v>129</v>
      </c>
      <c r="AI874">
        <v>5.54</v>
      </c>
      <c r="AJ874">
        <v>32.47</v>
      </c>
      <c r="AK874">
        <v>23.8</v>
      </c>
      <c r="AL874">
        <v>-20.196517149999949</v>
      </c>
      <c r="AM874">
        <v>-44.94010487355537</v>
      </c>
      <c r="AN874">
        <v>-20.196517149999949</v>
      </c>
      <c r="AO874">
        <v>-44.94010487355537</v>
      </c>
      <c r="AP874">
        <v>-20.196815999999998</v>
      </c>
      <c r="AQ874">
        <v>-44.940482000000003</v>
      </c>
      <c r="AR874">
        <v>51.566969969189948</v>
      </c>
      <c r="AS874" t="s">
        <v>65</v>
      </c>
      <c r="AT874">
        <v>1</v>
      </c>
      <c r="AU874" t="s">
        <v>1834</v>
      </c>
      <c r="AV874" t="s">
        <v>1835</v>
      </c>
      <c r="AW874" t="s">
        <v>60</v>
      </c>
      <c r="AX874" t="s">
        <v>68</v>
      </c>
      <c r="AY874" t="s">
        <v>69</v>
      </c>
      <c r="AZ874" t="b">
        <v>1</v>
      </c>
    </row>
    <row r="875" spans="1:52" x14ac:dyDescent="0.3">
      <c r="A875" t="s">
        <v>52</v>
      </c>
      <c r="B875" t="s">
        <v>53</v>
      </c>
      <c r="C875" t="s">
        <v>54</v>
      </c>
      <c r="D875" t="s">
        <v>55</v>
      </c>
      <c r="E875" t="s">
        <v>2099</v>
      </c>
      <c r="F875" t="s">
        <v>190</v>
      </c>
      <c r="G875" t="s">
        <v>1836</v>
      </c>
      <c r="H875" t="s">
        <v>1837</v>
      </c>
      <c r="I875" t="s">
        <v>1837</v>
      </c>
      <c r="J875" t="s">
        <v>60</v>
      </c>
      <c r="K875" t="s">
        <v>1243</v>
      </c>
      <c r="L875" t="s">
        <v>62</v>
      </c>
      <c r="M875" t="s">
        <v>1243</v>
      </c>
      <c r="N875" t="s">
        <v>1838</v>
      </c>
      <c r="O875" t="s">
        <v>1839</v>
      </c>
      <c r="P875">
        <v>-20.194417999999999</v>
      </c>
      <c r="Q875">
        <v>-44.943080999999999</v>
      </c>
      <c r="R875" s="2" t="str">
        <f>HYPERLINK("https://www.google.com/maps?q=-20.1944180,-44.9430810","Abrir no Google Maps")</f>
        <v>Abrir no Google Maps</v>
      </c>
      <c r="S875">
        <v>3</v>
      </c>
      <c r="T875">
        <v>570.3426559957137</v>
      </c>
      <c r="U875">
        <v>3</v>
      </c>
      <c r="V875">
        <v>16</v>
      </c>
      <c r="W875">
        <v>1</v>
      </c>
      <c r="X875">
        <v>16</v>
      </c>
      <c r="Y875">
        <v>113</v>
      </c>
      <c r="Z875">
        <v>342.73864025959449</v>
      </c>
      <c r="AA875">
        <v>198</v>
      </c>
      <c r="AB875">
        <v>332</v>
      </c>
      <c r="AC875">
        <v>536</v>
      </c>
      <c r="AD875">
        <v>30.48</v>
      </c>
      <c r="AE875">
        <v>542</v>
      </c>
      <c r="AF875">
        <v>30</v>
      </c>
      <c r="AG875">
        <v>176</v>
      </c>
      <c r="AH875">
        <v>129</v>
      </c>
      <c r="AI875">
        <v>5.54</v>
      </c>
      <c r="AJ875">
        <v>32.47</v>
      </c>
      <c r="AK875">
        <v>23.8</v>
      </c>
      <c r="AL875">
        <v>-20.194494749999929</v>
      </c>
      <c r="AM875">
        <v>-44.942951635393733</v>
      </c>
      <c r="AN875">
        <v>-20.194494749999929</v>
      </c>
      <c r="AO875">
        <v>-44.942951635393733</v>
      </c>
      <c r="AP875">
        <v>-20.194417999999999</v>
      </c>
      <c r="AQ875">
        <v>-44.943080999999999</v>
      </c>
      <c r="AR875">
        <v>15.9896188813922</v>
      </c>
      <c r="AS875" t="s">
        <v>65</v>
      </c>
      <c r="AT875">
        <v>1</v>
      </c>
      <c r="AU875" t="s">
        <v>1840</v>
      </c>
      <c r="AV875" t="s">
        <v>1841</v>
      </c>
      <c r="AW875" t="s">
        <v>60</v>
      </c>
      <c r="AX875" t="s">
        <v>68</v>
      </c>
      <c r="AY875" t="s">
        <v>69</v>
      </c>
      <c r="AZ875" t="b">
        <v>1</v>
      </c>
    </row>
    <row r="876" spans="1:52" x14ac:dyDescent="0.3">
      <c r="A876" t="s">
        <v>52</v>
      </c>
      <c r="B876" t="s">
        <v>53</v>
      </c>
      <c r="C876" t="s">
        <v>54</v>
      </c>
      <c r="D876" t="s">
        <v>55</v>
      </c>
      <c r="E876" t="s">
        <v>2099</v>
      </c>
      <c r="F876" t="s">
        <v>190</v>
      </c>
      <c r="G876" t="s">
        <v>1842</v>
      </c>
      <c r="H876" t="s">
        <v>1843</v>
      </c>
      <c r="I876" t="s">
        <v>1843</v>
      </c>
      <c r="J876" t="s">
        <v>60</v>
      </c>
      <c r="K876" t="s">
        <v>1243</v>
      </c>
      <c r="L876" t="s">
        <v>62</v>
      </c>
      <c r="M876" t="s">
        <v>1243</v>
      </c>
      <c r="N876" t="s">
        <v>1844</v>
      </c>
      <c r="O876" t="s">
        <v>598</v>
      </c>
      <c r="P876">
        <v>-20.191507999999999</v>
      </c>
      <c r="Q876">
        <v>-44.942765000000001</v>
      </c>
      <c r="R876" s="2" t="str">
        <f>HYPERLINK("https://www.google.com/maps?q=-20.1915080,-44.9427650","Abrir no Google Maps")</f>
        <v>Abrir no Google Maps</v>
      </c>
      <c r="S876">
        <v>3</v>
      </c>
      <c r="T876">
        <v>481.65843439031818</v>
      </c>
      <c r="U876">
        <v>3</v>
      </c>
      <c r="V876">
        <v>12</v>
      </c>
      <c r="W876">
        <v>1</v>
      </c>
      <c r="X876">
        <v>12</v>
      </c>
      <c r="Y876">
        <v>113</v>
      </c>
      <c r="Z876">
        <v>403.01657911729887</v>
      </c>
      <c r="AA876">
        <v>198</v>
      </c>
      <c r="AB876">
        <v>332</v>
      </c>
      <c r="AC876">
        <v>536</v>
      </c>
      <c r="AD876">
        <v>30.48</v>
      </c>
      <c r="AE876">
        <v>542</v>
      </c>
      <c r="AF876">
        <v>30</v>
      </c>
      <c r="AG876">
        <v>176</v>
      </c>
      <c r="AH876">
        <v>129</v>
      </c>
      <c r="AI876">
        <v>5.54</v>
      </c>
      <c r="AJ876">
        <v>32.47</v>
      </c>
      <c r="AK876">
        <v>23.8</v>
      </c>
      <c r="AL876">
        <v>-20.19144764999993</v>
      </c>
      <c r="AM876">
        <v>-44.942723431709183</v>
      </c>
      <c r="AN876">
        <v>-20.19144764999993</v>
      </c>
      <c r="AO876">
        <v>-44.942723431709183</v>
      </c>
      <c r="AP876">
        <v>-20.191507999999999</v>
      </c>
      <c r="AQ876">
        <v>-44.942765000000001</v>
      </c>
      <c r="AR876">
        <v>7.9997116897974587</v>
      </c>
      <c r="AS876" t="s">
        <v>65</v>
      </c>
      <c r="AT876">
        <v>1</v>
      </c>
      <c r="AU876" t="s">
        <v>1845</v>
      </c>
      <c r="AV876" t="s">
        <v>1846</v>
      </c>
      <c r="AW876" t="s">
        <v>60</v>
      </c>
      <c r="AX876" t="s">
        <v>68</v>
      </c>
      <c r="AY876" t="s">
        <v>69</v>
      </c>
      <c r="AZ876" t="b">
        <v>1</v>
      </c>
    </row>
    <row r="877" spans="1:52" x14ac:dyDescent="0.3">
      <c r="A877" t="s">
        <v>52</v>
      </c>
      <c r="B877" t="s">
        <v>53</v>
      </c>
      <c r="C877" t="s">
        <v>54</v>
      </c>
      <c r="D877" t="s">
        <v>55</v>
      </c>
      <c r="E877" t="s">
        <v>2099</v>
      </c>
      <c r="F877" t="s">
        <v>190</v>
      </c>
      <c r="G877" t="s">
        <v>1241</v>
      </c>
      <c r="H877" t="s">
        <v>1242</v>
      </c>
      <c r="I877" t="s">
        <v>1242</v>
      </c>
      <c r="J877" t="s">
        <v>60</v>
      </c>
      <c r="K877" t="s">
        <v>1243</v>
      </c>
      <c r="L877" t="s">
        <v>62</v>
      </c>
      <c r="M877" t="s">
        <v>1243</v>
      </c>
      <c r="N877" t="s">
        <v>1244</v>
      </c>
      <c r="O877" t="s">
        <v>315</v>
      </c>
      <c r="P877">
        <v>-20.188538000000001</v>
      </c>
      <c r="Q877">
        <v>-44.930104</v>
      </c>
      <c r="R877" s="2" t="str">
        <f>HYPERLINK("https://www.google.com/maps?q=-20.1885380,-44.9301040","Abrir no Google Maps")</f>
        <v>Abrir no Google Maps</v>
      </c>
      <c r="S877">
        <v>3</v>
      </c>
      <c r="T877">
        <v>928.27105405717066</v>
      </c>
      <c r="U877">
        <v>3</v>
      </c>
      <c r="V877">
        <v>13</v>
      </c>
      <c r="W877">
        <v>1</v>
      </c>
      <c r="X877">
        <v>13</v>
      </c>
      <c r="Y877">
        <v>113</v>
      </c>
      <c r="Z877">
        <v>1111.4269393179579</v>
      </c>
      <c r="AA877">
        <v>198</v>
      </c>
      <c r="AB877">
        <v>332</v>
      </c>
      <c r="AC877">
        <v>536</v>
      </c>
      <c r="AD877">
        <v>30.48</v>
      </c>
      <c r="AE877">
        <v>542</v>
      </c>
      <c r="AF877">
        <v>30</v>
      </c>
      <c r="AG877">
        <v>176</v>
      </c>
      <c r="AH877">
        <v>129</v>
      </c>
      <c r="AI877">
        <v>5.54</v>
      </c>
      <c r="AJ877">
        <v>32.47</v>
      </c>
      <c r="AK877">
        <v>23.8</v>
      </c>
      <c r="AL877">
        <v>-20.18852899999996</v>
      </c>
      <c r="AM877">
        <v>-44.930083089036543</v>
      </c>
      <c r="AN877">
        <v>-20.18852899999996</v>
      </c>
      <c r="AO877">
        <v>-44.930083089036543</v>
      </c>
      <c r="AP877">
        <v>-20.188538000000001</v>
      </c>
      <c r="AQ877">
        <v>-44.930104</v>
      </c>
      <c r="AR877">
        <v>2.4035564137158438</v>
      </c>
      <c r="AS877" t="s">
        <v>65</v>
      </c>
      <c r="AT877">
        <v>1</v>
      </c>
      <c r="AU877" t="s">
        <v>1245</v>
      </c>
      <c r="AV877" t="s">
        <v>1246</v>
      </c>
      <c r="AW877" t="s">
        <v>60</v>
      </c>
      <c r="AX877" t="s">
        <v>68</v>
      </c>
      <c r="AY877" t="s">
        <v>69</v>
      </c>
      <c r="AZ877" t="b">
        <v>1</v>
      </c>
    </row>
    <row r="878" spans="1:52" x14ac:dyDescent="0.3">
      <c r="A878" t="s">
        <v>52</v>
      </c>
      <c r="B878" t="s">
        <v>53</v>
      </c>
      <c r="C878" t="s">
        <v>54</v>
      </c>
      <c r="D878" t="s">
        <v>55</v>
      </c>
      <c r="E878" t="s">
        <v>2099</v>
      </c>
      <c r="F878" t="s">
        <v>190</v>
      </c>
      <c r="G878" t="s">
        <v>2068</v>
      </c>
      <c r="H878" t="s">
        <v>2069</v>
      </c>
      <c r="I878" t="s">
        <v>2069</v>
      </c>
      <c r="J878" t="s">
        <v>60</v>
      </c>
      <c r="K878" t="s">
        <v>1243</v>
      </c>
      <c r="L878" t="s">
        <v>62</v>
      </c>
      <c r="M878" t="s">
        <v>1243</v>
      </c>
      <c r="N878" t="s">
        <v>2070</v>
      </c>
      <c r="O878" t="s">
        <v>2071</v>
      </c>
      <c r="P878">
        <v>-20.191583999999999</v>
      </c>
      <c r="Q878">
        <v>-44.935839999999999</v>
      </c>
      <c r="R878" s="2" t="str">
        <f>HYPERLINK("https://www.google.com/maps?q=-20.1915840,-44.9358400","Abrir no Google Maps")</f>
        <v>Abrir no Google Maps</v>
      </c>
      <c r="S878">
        <v>3</v>
      </c>
      <c r="T878">
        <v>307.37698546101831</v>
      </c>
      <c r="U878">
        <v>3</v>
      </c>
      <c r="V878">
        <v>14</v>
      </c>
      <c r="W878">
        <v>0.85</v>
      </c>
      <c r="X878">
        <v>11.9</v>
      </c>
      <c r="Y878">
        <v>113</v>
      </c>
      <c r="Z878">
        <v>564.35501618411911</v>
      </c>
      <c r="AA878">
        <v>198</v>
      </c>
      <c r="AB878">
        <v>332</v>
      </c>
      <c r="AC878">
        <v>536</v>
      </c>
      <c r="AD878">
        <v>30.48</v>
      </c>
      <c r="AE878">
        <v>542</v>
      </c>
      <c r="AF878">
        <v>30</v>
      </c>
      <c r="AG878">
        <v>176</v>
      </c>
      <c r="AH878">
        <v>129</v>
      </c>
      <c r="AI878">
        <v>5.54</v>
      </c>
      <c r="AJ878">
        <v>32.47</v>
      </c>
      <c r="AK878">
        <v>23.8</v>
      </c>
      <c r="AL878">
        <v>-20.191156699999961</v>
      </c>
      <c r="AM878">
        <v>-44.935363697152681</v>
      </c>
      <c r="AN878">
        <v>-20.191156699999961</v>
      </c>
      <c r="AO878">
        <v>-44.935363697152681</v>
      </c>
      <c r="AP878">
        <v>-20.191583999999999</v>
      </c>
      <c r="AQ878">
        <v>-44.935839999999999</v>
      </c>
      <c r="AR878">
        <v>68.84070092388103</v>
      </c>
      <c r="AS878" t="s">
        <v>65</v>
      </c>
      <c r="AT878">
        <v>1</v>
      </c>
      <c r="AU878" t="s">
        <v>2072</v>
      </c>
      <c r="AV878" t="s">
        <v>2073</v>
      </c>
      <c r="AW878" t="s">
        <v>60</v>
      </c>
      <c r="AX878" t="s">
        <v>68</v>
      </c>
      <c r="AY878" t="s">
        <v>69</v>
      </c>
      <c r="AZ878" t="b">
        <v>1</v>
      </c>
    </row>
    <row r="879" spans="1:52" x14ac:dyDescent="0.3">
      <c r="A879" t="s">
        <v>52</v>
      </c>
      <c r="B879" t="s">
        <v>53</v>
      </c>
      <c r="C879" t="s">
        <v>54</v>
      </c>
      <c r="D879" t="s">
        <v>55</v>
      </c>
      <c r="E879" t="s">
        <v>2099</v>
      </c>
      <c r="F879" t="s">
        <v>190</v>
      </c>
      <c r="G879" t="s">
        <v>2074</v>
      </c>
      <c r="H879" t="s">
        <v>2075</v>
      </c>
      <c r="I879" t="s">
        <v>2075</v>
      </c>
      <c r="J879" t="s">
        <v>60</v>
      </c>
      <c r="K879" t="s">
        <v>1314</v>
      </c>
      <c r="L879" t="s">
        <v>62</v>
      </c>
      <c r="M879" t="s">
        <v>1314</v>
      </c>
      <c r="N879" t="s">
        <v>2076</v>
      </c>
      <c r="O879" t="s">
        <v>2077</v>
      </c>
      <c r="P879">
        <v>-20.176835000000001</v>
      </c>
      <c r="Q879">
        <v>-44.930950000000003</v>
      </c>
      <c r="R879" s="2" t="str">
        <f>HYPERLINK("https://www.google.com/maps?q=-20.1768350,-44.9309500","Abrir no Google Maps")</f>
        <v>Abrir no Google Maps</v>
      </c>
      <c r="S879">
        <v>3</v>
      </c>
      <c r="T879">
        <v>1806.8580939436499</v>
      </c>
      <c r="U879">
        <v>3</v>
      </c>
      <c r="V879">
        <v>18</v>
      </c>
      <c r="W879">
        <v>0.85</v>
      </c>
      <c r="X879">
        <v>15.3</v>
      </c>
      <c r="Y879">
        <v>113</v>
      </c>
      <c r="Z879">
        <v>1921.313394530237</v>
      </c>
      <c r="AA879">
        <v>198</v>
      </c>
      <c r="AB879">
        <v>332</v>
      </c>
      <c r="AC879">
        <v>536</v>
      </c>
      <c r="AD879">
        <v>30.48</v>
      </c>
      <c r="AE879">
        <v>542</v>
      </c>
      <c r="AF879">
        <v>30</v>
      </c>
      <c r="AG879">
        <v>176</v>
      </c>
      <c r="AH879">
        <v>129</v>
      </c>
      <c r="AI879">
        <v>5.54</v>
      </c>
      <c r="AJ879">
        <v>32.47</v>
      </c>
      <c r="AK879">
        <v>23.8</v>
      </c>
      <c r="AL879">
        <v>-20.17717879999995</v>
      </c>
      <c r="AM879">
        <v>-44.930977454083752</v>
      </c>
      <c r="AN879">
        <v>-20.17717879999995</v>
      </c>
      <c r="AO879">
        <v>-44.930977454083752</v>
      </c>
      <c r="AP879">
        <v>-20.176835000000001</v>
      </c>
      <c r="AQ879">
        <v>-44.930950000000003</v>
      </c>
      <c r="AR879">
        <v>38.379173360223952</v>
      </c>
      <c r="AS879" t="s">
        <v>65</v>
      </c>
      <c r="AT879">
        <v>1</v>
      </c>
      <c r="AU879" t="s">
        <v>2078</v>
      </c>
      <c r="AV879" t="s">
        <v>1553</v>
      </c>
      <c r="AW879" t="s">
        <v>60</v>
      </c>
      <c r="AX879" t="s">
        <v>68</v>
      </c>
      <c r="AY879" t="s">
        <v>69</v>
      </c>
      <c r="AZ879" t="b">
        <v>1</v>
      </c>
    </row>
    <row r="880" spans="1:52" x14ac:dyDescent="0.3">
      <c r="A880" t="s">
        <v>52</v>
      </c>
      <c r="B880" t="s">
        <v>53</v>
      </c>
      <c r="C880" t="s">
        <v>54</v>
      </c>
      <c r="D880" t="s">
        <v>55</v>
      </c>
      <c r="E880" t="s">
        <v>2099</v>
      </c>
      <c r="F880" t="s">
        <v>190</v>
      </c>
      <c r="G880" t="s">
        <v>1235</v>
      </c>
      <c r="H880" t="s">
        <v>1847</v>
      </c>
      <c r="I880" t="s">
        <v>1847</v>
      </c>
      <c r="J880" t="s">
        <v>60</v>
      </c>
      <c r="K880" t="s">
        <v>1243</v>
      </c>
      <c r="L880" t="s">
        <v>62</v>
      </c>
      <c r="M880" t="s">
        <v>1243</v>
      </c>
      <c r="N880" t="s">
        <v>1238</v>
      </c>
      <c r="O880" t="s">
        <v>1351</v>
      </c>
      <c r="P880">
        <v>-20.194087</v>
      </c>
      <c r="Q880">
        <v>-44.936889999999998</v>
      </c>
      <c r="R880" s="2" t="str">
        <f>HYPERLINK("https://www.google.com/maps?q=-20.1940870,-44.9368900","Abrir no Google Maps")</f>
        <v>Abrir no Google Maps</v>
      </c>
      <c r="S880">
        <v>3</v>
      </c>
      <c r="T880">
        <v>257.18642318734362</v>
      </c>
      <c r="U880">
        <v>3</v>
      </c>
      <c r="V880">
        <v>15</v>
      </c>
      <c r="W880">
        <v>1</v>
      </c>
      <c r="X880">
        <v>15</v>
      </c>
      <c r="Y880">
        <v>113</v>
      </c>
      <c r="Z880">
        <v>339.77652558311001</v>
      </c>
      <c r="AA880">
        <v>198</v>
      </c>
      <c r="AB880">
        <v>332</v>
      </c>
      <c r="AC880">
        <v>536</v>
      </c>
      <c r="AD880">
        <v>30.48</v>
      </c>
      <c r="AE880">
        <v>542</v>
      </c>
      <c r="AF880">
        <v>30</v>
      </c>
      <c r="AG880">
        <v>176</v>
      </c>
      <c r="AH880">
        <v>129</v>
      </c>
      <c r="AI880">
        <v>5.54</v>
      </c>
      <c r="AJ880">
        <v>32.47</v>
      </c>
      <c r="AK880">
        <v>23.8</v>
      </c>
      <c r="AL880">
        <v>-20.19405954999996</v>
      </c>
      <c r="AM880">
        <v>-44.936949074015281</v>
      </c>
      <c r="AN880">
        <v>-20.19405954999996</v>
      </c>
      <c r="AO880">
        <v>-44.936949074015281</v>
      </c>
      <c r="AP880">
        <v>-20.194087</v>
      </c>
      <c r="AQ880">
        <v>-44.936889999999998</v>
      </c>
      <c r="AR880">
        <v>6.8869138825619167</v>
      </c>
      <c r="AS880" t="s">
        <v>65</v>
      </c>
      <c r="AT880">
        <v>1</v>
      </c>
      <c r="AU880" t="s">
        <v>1848</v>
      </c>
      <c r="AV880" t="s">
        <v>1849</v>
      </c>
      <c r="AW880" t="s">
        <v>60</v>
      </c>
      <c r="AX880" t="s">
        <v>68</v>
      </c>
      <c r="AY880" t="s">
        <v>69</v>
      </c>
      <c r="AZ880" t="b">
        <v>1</v>
      </c>
    </row>
    <row r="881" spans="1:52" x14ac:dyDescent="0.3">
      <c r="A881" t="s">
        <v>52</v>
      </c>
      <c r="B881" t="s">
        <v>53</v>
      </c>
      <c r="C881" t="s">
        <v>54</v>
      </c>
      <c r="D881" t="s">
        <v>55</v>
      </c>
      <c r="E881" t="s">
        <v>2099</v>
      </c>
      <c r="F881" t="s">
        <v>1247</v>
      </c>
      <c r="G881" t="s">
        <v>122</v>
      </c>
      <c r="H881" t="s">
        <v>123</v>
      </c>
      <c r="I881" t="s">
        <v>123</v>
      </c>
      <c r="J881" t="s">
        <v>60</v>
      </c>
      <c r="K881" t="s">
        <v>117</v>
      </c>
      <c r="L881" t="s">
        <v>62</v>
      </c>
      <c r="M881" t="s">
        <v>117</v>
      </c>
      <c r="N881" t="s">
        <v>124</v>
      </c>
      <c r="O881" t="s">
        <v>125</v>
      </c>
      <c r="P881">
        <v>-20.11853</v>
      </c>
      <c r="Q881">
        <v>-44.896925000000003</v>
      </c>
      <c r="R881" s="2" t="str">
        <f>HYPERLINK("https://www.google.com/maps?q=-20.1185300,-44.8969250","Abrir no Google Maps")</f>
        <v>Abrir no Google Maps</v>
      </c>
      <c r="S881">
        <v>4</v>
      </c>
      <c r="T881">
        <v>325.32255721093247</v>
      </c>
      <c r="U881">
        <v>4</v>
      </c>
      <c r="V881">
        <v>19</v>
      </c>
      <c r="W881">
        <v>1</v>
      </c>
      <c r="X881">
        <v>19</v>
      </c>
      <c r="Y881">
        <v>567</v>
      </c>
      <c r="Z881">
        <v>306.04423478678871</v>
      </c>
      <c r="AA881">
        <v>198</v>
      </c>
      <c r="AB881">
        <v>332</v>
      </c>
      <c r="AC881">
        <v>536</v>
      </c>
      <c r="AD881">
        <v>30.48</v>
      </c>
      <c r="AE881">
        <v>542</v>
      </c>
      <c r="AF881">
        <v>30</v>
      </c>
      <c r="AG881">
        <v>176</v>
      </c>
      <c r="AH881">
        <v>129</v>
      </c>
      <c r="AI881">
        <v>5.54</v>
      </c>
      <c r="AJ881">
        <v>32.47</v>
      </c>
      <c r="AK881">
        <v>23.8</v>
      </c>
      <c r="AL881">
        <v>-20.118682499999949</v>
      </c>
      <c r="AM881">
        <v>-44.896643089287927</v>
      </c>
      <c r="AN881">
        <v>-20.118682499999949</v>
      </c>
      <c r="AO881">
        <v>-44.896643089287927</v>
      </c>
      <c r="AP881">
        <v>-20.11853</v>
      </c>
      <c r="AQ881">
        <v>-44.896925000000003</v>
      </c>
      <c r="AR881">
        <v>34.007698996886518</v>
      </c>
      <c r="AS881" t="s">
        <v>65</v>
      </c>
      <c r="AT881">
        <v>1</v>
      </c>
      <c r="AU881" t="s">
        <v>126</v>
      </c>
      <c r="AV881" t="s">
        <v>121</v>
      </c>
      <c r="AW881" t="s">
        <v>60</v>
      </c>
      <c r="AX881" t="s">
        <v>68</v>
      </c>
      <c r="AY881" t="s">
        <v>69</v>
      </c>
      <c r="AZ881" t="b">
        <v>1</v>
      </c>
    </row>
    <row r="882" spans="1:52" x14ac:dyDescent="0.3">
      <c r="A882" t="s">
        <v>52</v>
      </c>
      <c r="B882" t="s">
        <v>53</v>
      </c>
      <c r="C882" t="s">
        <v>54</v>
      </c>
      <c r="D882" t="s">
        <v>55</v>
      </c>
      <c r="E882" t="s">
        <v>2099</v>
      </c>
      <c r="F882" t="s">
        <v>1247</v>
      </c>
      <c r="G882" t="s">
        <v>58</v>
      </c>
      <c r="H882" t="s">
        <v>59</v>
      </c>
      <c r="I882" t="s">
        <v>59</v>
      </c>
      <c r="J882" t="s">
        <v>60</v>
      </c>
      <c r="K882" t="s">
        <v>61</v>
      </c>
      <c r="L882" t="s">
        <v>62</v>
      </c>
      <c r="M882" t="s">
        <v>61</v>
      </c>
      <c r="N882" t="s">
        <v>63</v>
      </c>
      <c r="O882" t="s">
        <v>64</v>
      </c>
      <c r="P882">
        <v>-20.147940999999999</v>
      </c>
      <c r="Q882">
        <v>-44.906514000000001</v>
      </c>
      <c r="R882" s="2" t="str">
        <f>HYPERLINK("https://www.google.com/maps?q=-20.1479410,-44.9065140","Abrir no Google Maps")</f>
        <v>Abrir no Google Maps</v>
      </c>
      <c r="S882">
        <v>4</v>
      </c>
      <c r="T882">
        <v>308.67004994113421</v>
      </c>
      <c r="U882">
        <v>3</v>
      </c>
      <c r="V882">
        <v>16</v>
      </c>
      <c r="W882">
        <v>1</v>
      </c>
      <c r="X882">
        <v>16</v>
      </c>
      <c r="Y882">
        <v>747</v>
      </c>
      <c r="Z882">
        <v>274.71440454502522</v>
      </c>
      <c r="AA882">
        <v>198</v>
      </c>
      <c r="AB882">
        <v>332</v>
      </c>
      <c r="AC882">
        <v>536</v>
      </c>
      <c r="AD882">
        <v>30.48</v>
      </c>
      <c r="AE882">
        <v>542</v>
      </c>
      <c r="AF882">
        <v>30</v>
      </c>
      <c r="AG882">
        <v>176</v>
      </c>
      <c r="AH882">
        <v>129</v>
      </c>
      <c r="AI882">
        <v>5.54</v>
      </c>
      <c r="AJ882">
        <v>32.47</v>
      </c>
      <c r="AK882">
        <v>23.8</v>
      </c>
      <c r="AL882">
        <v>-20.147947799999969</v>
      </c>
      <c r="AM882">
        <v>-44.906591596129203</v>
      </c>
      <c r="AN882">
        <v>-20.147947799999969</v>
      </c>
      <c r="AO882">
        <v>-44.906591596129203</v>
      </c>
      <c r="AP882">
        <v>-20.147940999999999</v>
      </c>
      <c r="AQ882">
        <v>-44.906514000000001</v>
      </c>
      <c r="AR882">
        <v>8.1446636170570326</v>
      </c>
      <c r="AS882" t="s">
        <v>65</v>
      </c>
      <c r="AT882">
        <v>1</v>
      </c>
      <c r="AU882" t="s">
        <v>66</v>
      </c>
      <c r="AV882" t="s">
        <v>67</v>
      </c>
      <c r="AW882" t="s">
        <v>60</v>
      </c>
      <c r="AX882" t="s">
        <v>68</v>
      </c>
      <c r="AY882" t="s">
        <v>69</v>
      </c>
      <c r="AZ882" t="b">
        <v>1</v>
      </c>
    </row>
    <row r="883" spans="1:52" x14ac:dyDescent="0.3">
      <c r="A883" t="s">
        <v>52</v>
      </c>
      <c r="B883" t="s">
        <v>53</v>
      </c>
      <c r="C883" t="s">
        <v>54</v>
      </c>
      <c r="D883" t="s">
        <v>55</v>
      </c>
      <c r="E883" t="s">
        <v>2099</v>
      </c>
      <c r="F883" t="s">
        <v>1247</v>
      </c>
      <c r="G883" t="s">
        <v>191</v>
      </c>
      <c r="H883" t="s">
        <v>192</v>
      </c>
      <c r="I883" t="s">
        <v>192</v>
      </c>
      <c r="J883" t="s">
        <v>60</v>
      </c>
      <c r="K883" t="s">
        <v>193</v>
      </c>
      <c r="L883" t="s">
        <v>62</v>
      </c>
      <c r="M883" t="s">
        <v>193</v>
      </c>
      <c r="N883" t="s">
        <v>194</v>
      </c>
      <c r="O883" t="s">
        <v>195</v>
      </c>
      <c r="P883">
        <v>-20.143266000000001</v>
      </c>
      <c r="Q883">
        <v>-44.912075000000002</v>
      </c>
      <c r="R883" s="2" t="str">
        <f>HYPERLINK("https://www.google.com/maps?q=-20.1432660,-44.9120750","Abrir no Google Maps")</f>
        <v>Abrir no Google Maps</v>
      </c>
      <c r="S883">
        <v>4</v>
      </c>
      <c r="T883">
        <v>467.04339396175408</v>
      </c>
      <c r="U883">
        <v>3</v>
      </c>
      <c r="V883">
        <v>16</v>
      </c>
      <c r="W883">
        <v>1</v>
      </c>
      <c r="X883">
        <v>16</v>
      </c>
      <c r="Y883">
        <v>747</v>
      </c>
      <c r="Z883">
        <v>585.1742452866996</v>
      </c>
      <c r="AA883">
        <v>198</v>
      </c>
      <c r="AB883">
        <v>332</v>
      </c>
      <c r="AC883">
        <v>536</v>
      </c>
      <c r="AD883">
        <v>30.48</v>
      </c>
      <c r="AE883">
        <v>542</v>
      </c>
      <c r="AF883">
        <v>30</v>
      </c>
      <c r="AG883">
        <v>176</v>
      </c>
      <c r="AH883">
        <v>129</v>
      </c>
      <c r="AI883">
        <v>5.54</v>
      </c>
      <c r="AJ883">
        <v>32.47</v>
      </c>
      <c r="AK883">
        <v>23.8</v>
      </c>
      <c r="AL883">
        <v>-20.143307949999951</v>
      </c>
      <c r="AM883">
        <v>-44.912066629431067</v>
      </c>
      <c r="AN883">
        <v>-20.143307949999951</v>
      </c>
      <c r="AO883">
        <v>-44.912066629431067</v>
      </c>
      <c r="AP883">
        <v>-20.143266000000001</v>
      </c>
      <c r="AQ883">
        <v>-44.912075000000002</v>
      </c>
      <c r="AR883">
        <v>4.751108024498329</v>
      </c>
      <c r="AS883" t="s">
        <v>65</v>
      </c>
      <c r="AT883">
        <v>1</v>
      </c>
      <c r="AU883" t="s">
        <v>196</v>
      </c>
      <c r="AV883" t="s">
        <v>197</v>
      </c>
      <c r="AW883" t="s">
        <v>60</v>
      </c>
      <c r="AX883" t="s">
        <v>68</v>
      </c>
      <c r="AY883" t="s">
        <v>69</v>
      </c>
      <c r="AZ883" t="b">
        <v>1</v>
      </c>
    </row>
    <row r="884" spans="1:52" x14ac:dyDescent="0.3">
      <c r="A884" t="s">
        <v>52</v>
      </c>
      <c r="B884" t="s">
        <v>53</v>
      </c>
      <c r="C884" t="s">
        <v>54</v>
      </c>
      <c r="D884" t="s">
        <v>55</v>
      </c>
      <c r="E884" t="s">
        <v>2099</v>
      </c>
      <c r="F884" t="s">
        <v>1247</v>
      </c>
      <c r="G884" t="s">
        <v>70</v>
      </c>
      <c r="H884" t="s">
        <v>71</v>
      </c>
      <c r="I884" t="s">
        <v>71</v>
      </c>
      <c r="J884" t="s">
        <v>60</v>
      </c>
      <c r="K884" t="s">
        <v>72</v>
      </c>
      <c r="L884" t="s">
        <v>62</v>
      </c>
      <c r="M884" t="s">
        <v>72</v>
      </c>
      <c r="N884" t="s">
        <v>73</v>
      </c>
      <c r="O884" t="s">
        <v>74</v>
      </c>
      <c r="P884">
        <v>-20.149349000000001</v>
      </c>
      <c r="Q884">
        <v>-44.910784</v>
      </c>
      <c r="R884" s="2" t="str">
        <f>HYPERLINK("https://www.google.com/maps?q=-20.1493490,-44.9107840","Abrir no Google Maps")</f>
        <v>Abrir no Google Maps</v>
      </c>
      <c r="S884">
        <v>4</v>
      </c>
      <c r="T884">
        <v>472.43876549769578</v>
      </c>
      <c r="U884">
        <v>3</v>
      </c>
      <c r="V884">
        <v>12</v>
      </c>
      <c r="W884">
        <v>1</v>
      </c>
      <c r="X884">
        <v>12</v>
      </c>
      <c r="Y884">
        <v>747</v>
      </c>
      <c r="Z884">
        <v>441.03921887407779</v>
      </c>
      <c r="AA884">
        <v>198</v>
      </c>
      <c r="AB884">
        <v>332</v>
      </c>
      <c r="AC884">
        <v>536</v>
      </c>
      <c r="AD884">
        <v>30.48</v>
      </c>
      <c r="AE884">
        <v>542</v>
      </c>
      <c r="AF884">
        <v>30</v>
      </c>
      <c r="AG884">
        <v>176</v>
      </c>
      <c r="AH884">
        <v>129</v>
      </c>
      <c r="AI884">
        <v>5.54</v>
      </c>
      <c r="AJ884">
        <v>32.47</v>
      </c>
      <c r="AK884">
        <v>23.8</v>
      </c>
      <c r="AL884">
        <v>-20.149403999999951</v>
      </c>
      <c r="AM884">
        <v>-44.91080895147438</v>
      </c>
      <c r="AN884">
        <v>-20.149403999999951</v>
      </c>
      <c r="AO884">
        <v>-44.91080895147438</v>
      </c>
      <c r="AP884">
        <v>-20.149349000000001</v>
      </c>
      <c r="AQ884">
        <v>-44.910784</v>
      </c>
      <c r="AR884">
        <v>6.6547592699416382</v>
      </c>
      <c r="AS884" t="s">
        <v>65</v>
      </c>
      <c r="AT884">
        <v>1</v>
      </c>
      <c r="AU884" t="s">
        <v>75</v>
      </c>
      <c r="AV884" t="s">
        <v>76</v>
      </c>
      <c r="AW884" t="s">
        <v>60</v>
      </c>
      <c r="AX884" t="s">
        <v>68</v>
      </c>
      <c r="AY884" t="s">
        <v>69</v>
      </c>
      <c r="AZ884" t="b">
        <v>1</v>
      </c>
    </row>
    <row r="885" spans="1:52" x14ac:dyDescent="0.3">
      <c r="A885" t="s">
        <v>52</v>
      </c>
      <c r="B885" t="s">
        <v>53</v>
      </c>
      <c r="C885" t="s">
        <v>54</v>
      </c>
      <c r="D885" t="s">
        <v>55</v>
      </c>
      <c r="E885" t="s">
        <v>2099</v>
      </c>
      <c r="F885" t="s">
        <v>1247</v>
      </c>
      <c r="G885" t="s">
        <v>77</v>
      </c>
      <c r="H885" t="s">
        <v>78</v>
      </c>
      <c r="I885" t="s">
        <v>78</v>
      </c>
      <c r="J885" t="s">
        <v>60</v>
      </c>
      <c r="K885" t="s">
        <v>72</v>
      </c>
      <c r="L885" t="s">
        <v>62</v>
      </c>
      <c r="M885" t="s">
        <v>72</v>
      </c>
      <c r="N885" t="s">
        <v>79</v>
      </c>
      <c r="O885" t="s">
        <v>80</v>
      </c>
      <c r="P885">
        <v>-20.147821</v>
      </c>
      <c r="Q885">
        <v>-44.908887</v>
      </c>
      <c r="R885" s="2" t="str">
        <f>HYPERLINK("https://www.google.com/maps?q=-20.1478210,-44.9088870","Abrir no Google Maps")</f>
        <v>Abrir no Google Maps</v>
      </c>
      <c r="S885">
        <v>4</v>
      </c>
      <c r="T885">
        <v>232.2893841532152</v>
      </c>
      <c r="U885">
        <v>3</v>
      </c>
      <c r="V885">
        <v>17</v>
      </c>
      <c r="W885">
        <v>1</v>
      </c>
      <c r="X885">
        <v>17</v>
      </c>
      <c r="Y885">
        <v>747</v>
      </c>
      <c r="Z885">
        <v>195.3668648953757</v>
      </c>
      <c r="AA885">
        <v>198</v>
      </c>
      <c r="AB885">
        <v>332</v>
      </c>
      <c r="AC885">
        <v>536</v>
      </c>
      <c r="AD885">
        <v>30.48</v>
      </c>
      <c r="AE885">
        <v>542</v>
      </c>
      <c r="AF885">
        <v>30</v>
      </c>
      <c r="AG885">
        <v>176</v>
      </c>
      <c r="AH885">
        <v>129</v>
      </c>
      <c r="AI885">
        <v>5.54</v>
      </c>
      <c r="AJ885">
        <v>32.47</v>
      </c>
      <c r="AK885">
        <v>23.8</v>
      </c>
      <c r="AL885">
        <v>-20.147802849999952</v>
      </c>
      <c r="AM885">
        <v>-44.908989919229477</v>
      </c>
      <c r="AN885">
        <v>-20.147802849999952</v>
      </c>
      <c r="AO885">
        <v>-44.908989919229491</v>
      </c>
      <c r="AP885">
        <v>-20.147821</v>
      </c>
      <c r="AQ885">
        <v>-44.908887</v>
      </c>
      <c r="AR885">
        <v>10.944007761262529</v>
      </c>
      <c r="AS885" t="s">
        <v>65</v>
      </c>
      <c r="AT885">
        <v>1</v>
      </c>
      <c r="AU885" t="s">
        <v>81</v>
      </c>
      <c r="AV885" t="s">
        <v>82</v>
      </c>
      <c r="AW885" t="s">
        <v>60</v>
      </c>
      <c r="AX885" t="s">
        <v>68</v>
      </c>
      <c r="AY885" t="s">
        <v>69</v>
      </c>
      <c r="AZ885" t="b">
        <v>1</v>
      </c>
    </row>
    <row r="886" spans="1:52" x14ac:dyDescent="0.3">
      <c r="A886" t="s">
        <v>52</v>
      </c>
      <c r="B886" t="s">
        <v>53</v>
      </c>
      <c r="C886" t="s">
        <v>54</v>
      </c>
      <c r="D886" t="s">
        <v>55</v>
      </c>
      <c r="E886" t="s">
        <v>2099</v>
      </c>
      <c r="F886" t="s">
        <v>1247</v>
      </c>
      <c r="G886" t="s">
        <v>83</v>
      </c>
      <c r="H886" t="s">
        <v>84</v>
      </c>
      <c r="I886" t="s">
        <v>84</v>
      </c>
      <c r="J886" t="s">
        <v>60</v>
      </c>
      <c r="K886" t="s">
        <v>61</v>
      </c>
      <c r="L886" t="s">
        <v>62</v>
      </c>
      <c r="M886" t="s">
        <v>61</v>
      </c>
      <c r="N886" t="s">
        <v>85</v>
      </c>
      <c r="O886" t="s">
        <v>86</v>
      </c>
      <c r="P886">
        <v>-20.149799000000002</v>
      </c>
      <c r="Q886">
        <v>-44.906517000000001</v>
      </c>
      <c r="R886" s="2" t="str">
        <f>HYPERLINK("https://www.google.com/maps?q=-20.1497990,-44.9065170","Abrir no Google Maps")</f>
        <v>Abrir no Google Maps</v>
      </c>
      <c r="S886">
        <v>4</v>
      </c>
      <c r="T886">
        <v>487.90051105537998</v>
      </c>
      <c r="U886">
        <v>3</v>
      </c>
      <c r="V886">
        <v>17</v>
      </c>
      <c r="W886">
        <v>1</v>
      </c>
      <c r="X886">
        <v>17</v>
      </c>
      <c r="Y886">
        <v>747</v>
      </c>
      <c r="Z886">
        <v>365.93785960107078</v>
      </c>
      <c r="AA886">
        <v>198</v>
      </c>
      <c r="AB886">
        <v>332</v>
      </c>
      <c r="AC886">
        <v>536</v>
      </c>
      <c r="AD886">
        <v>30.48</v>
      </c>
      <c r="AE886">
        <v>542</v>
      </c>
      <c r="AF886">
        <v>30</v>
      </c>
      <c r="AG886">
        <v>176</v>
      </c>
      <c r="AH886">
        <v>129</v>
      </c>
      <c r="AI886">
        <v>5.54</v>
      </c>
      <c r="AJ886">
        <v>32.47</v>
      </c>
      <c r="AK886">
        <v>23.8</v>
      </c>
      <c r="AL886">
        <v>-20.149879599999959</v>
      </c>
      <c r="AM886">
        <v>-44.906746466068469</v>
      </c>
      <c r="AN886">
        <v>-20.149879599999959</v>
      </c>
      <c r="AO886">
        <v>-44.906746466068469</v>
      </c>
      <c r="AP886">
        <v>-20.149799000000002</v>
      </c>
      <c r="AQ886">
        <v>-44.906517000000001</v>
      </c>
      <c r="AR886">
        <v>25.604276856970429</v>
      </c>
      <c r="AS886" t="s">
        <v>65</v>
      </c>
      <c r="AT886">
        <v>1</v>
      </c>
      <c r="AU886" t="s">
        <v>87</v>
      </c>
      <c r="AV886" t="s">
        <v>88</v>
      </c>
      <c r="AW886" t="s">
        <v>60</v>
      </c>
      <c r="AX886" t="s">
        <v>68</v>
      </c>
      <c r="AY886" t="s">
        <v>69</v>
      </c>
      <c r="AZ886" t="b">
        <v>1</v>
      </c>
    </row>
    <row r="887" spans="1:52" x14ac:dyDescent="0.3">
      <c r="A887" t="s">
        <v>52</v>
      </c>
      <c r="B887" t="s">
        <v>53</v>
      </c>
      <c r="C887" t="s">
        <v>54</v>
      </c>
      <c r="D887" t="s">
        <v>55</v>
      </c>
      <c r="E887" t="s">
        <v>2099</v>
      </c>
      <c r="F887" t="s">
        <v>1247</v>
      </c>
      <c r="G887" t="s">
        <v>89</v>
      </c>
      <c r="H887" t="s">
        <v>90</v>
      </c>
      <c r="I887" t="s">
        <v>90</v>
      </c>
      <c r="J887" t="s">
        <v>60</v>
      </c>
      <c r="K887" t="s">
        <v>72</v>
      </c>
      <c r="L887" t="s">
        <v>62</v>
      </c>
      <c r="M887" t="s">
        <v>72</v>
      </c>
      <c r="N887" t="s">
        <v>91</v>
      </c>
      <c r="O887" t="s">
        <v>92</v>
      </c>
      <c r="P887">
        <v>-20.145848999999998</v>
      </c>
      <c r="Q887">
        <v>-44.908419000000002</v>
      </c>
      <c r="R887" s="2" t="str">
        <f>HYPERLINK("https://www.google.com/maps?q=-20.1458490,-44.9084190","Abrir no Google Maps")</f>
        <v>Abrir no Google Maps</v>
      </c>
      <c r="S887">
        <v>4</v>
      </c>
      <c r="T887">
        <v>0</v>
      </c>
      <c r="U887">
        <v>3</v>
      </c>
      <c r="V887">
        <v>12</v>
      </c>
      <c r="W887">
        <v>1</v>
      </c>
      <c r="X887">
        <v>12</v>
      </c>
      <c r="Y887">
        <v>747</v>
      </c>
      <c r="Z887">
        <v>136.08168502765241</v>
      </c>
      <c r="AA887">
        <v>198</v>
      </c>
      <c r="AB887">
        <v>332</v>
      </c>
      <c r="AC887">
        <v>536</v>
      </c>
      <c r="AD887">
        <v>30.48</v>
      </c>
      <c r="AE887">
        <v>542</v>
      </c>
      <c r="AF887">
        <v>30</v>
      </c>
      <c r="AG887">
        <v>176</v>
      </c>
      <c r="AH887">
        <v>129</v>
      </c>
      <c r="AI887">
        <v>5.54</v>
      </c>
      <c r="AJ887">
        <v>32.47</v>
      </c>
      <c r="AK887">
        <v>23.8</v>
      </c>
      <c r="AL887">
        <v>-20.14576979999995</v>
      </c>
      <c r="AM887">
        <v>-44.908436775053183</v>
      </c>
      <c r="AN887">
        <v>-20.14576979999995</v>
      </c>
      <c r="AO887">
        <v>-44.908436775053183</v>
      </c>
      <c r="AP887">
        <v>-20.145848999999998</v>
      </c>
      <c r="AQ887">
        <v>-44.908419000000002</v>
      </c>
      <c r="AR887">
        <v>9.0101247482327356</v>
      </c>
      <c r="AS887" t="s">
        <v>65</v>
      </c>
      <c r="AT887">
        <v>1</v>
      </c>
      <c r="AU887" t="s">
        <v>93</v>
      </c>
      <c r="AV887" t="s">
        <v>94</v>
      </c>
      <c r="AW887" t="s">
        <v>60</v>
      </c>
      <c r="AX887" t="s">
        <v>68</v>
      </c>
      <c r="AY887" t="s">
        <v>69</v>
      </c>
      <c r="AZ887" t="b">
        <v>1</v>
      </c>
    </row>
    <row r="888" spans="1:52" x14ac:dyDescent="0.3">
      <c r="A888" t="s">
        <v>52</v>
      </c>
      <c r="B888" t="s">
        <v>53</v>
      </c>
      <c r="C888" t="s">
        <v>54</v>
      </c>
      <c r="D888" t="s">
        <v>55</v>
      </c>
      <c r="E888" t="s">
        <v>2099</v>
      </c>
      <c r="F888" t="s">
        <v>1247</v>
      </c>
      <c r="G888" t="s">
        <v>95</v>
      </c>
      <c r="H888" t="s">
        <v>96</v>
      </c>
      <c r="I888" t="s">
        <v>96</v>
      </c>
      <c r="J888" t="s">
        <v>60</v>
      </c>
      <c r="K888" t="s">
        <v>72</v>
      </c>
      <c r="L888" t="s">
        <v>62</v>
      </c>
      <c r="M888" t="s">
        <v>72</v>
      </c>
      <c r="N888" t="s">
        <v>97</v>
      </c>
      <c r="O888" t="s">
        <v>98</v>
      </c>
      <c r="P888">
        <v>-20.144062999999999</v>
      </c>
      <c r="Q888">
        <v>-44.909627999999998</v>
      </c>
      <c r="R888" s="2" t="str">
        <f>HYPERLINK("https://www.google.com/maps?q=-20.1440630,-44.9096280","Abrir no Google Maps")</f>
        <v>Abrir no Google Maps</v>
      </c>
      <c r="S888">
        <v>4</v>
      </c>
      <c r="T888">
        <v>205.27083326529291</v>
      </c>
      <c r="U888">
        <v>3</v>
      </c>
      <c r="V888">
        <v>16</v>
      </c>
      <c r="W888">
        <v>1</v>
      </c>
      <c r="X888">
        <v>16</v>
      </c>
      <c r="Y888">
        <v>747</v>
      </c>
      <c r="Z888">
        <v>336.75785483480968</v>
      </c>
      <c r="AA888">
        <v>198</v>
      </c>
      <c r="AB888">
        <v>332</v>
      </c>
      <c r="AC888">
        <v>536</v>
      </c>
      <c r="AD888">
        <v>30.48</v>
      </c>
      <c r="AE888">
        <v>542</v>
      </c>
      <c r="AF888">
        <v>30</v>
      </c>
      <c r="AG888">
        <v>176</v>
      </c>
      <c r="AH888">
        <v>129</v>
      </c>
      <c r="AI888">
        <v>5.54</v>
      </c>
      <c r="AJ888">
        <v>32.47</v>
      </c>
      <c r="AK888">
        <v>23.8</v>
      </c>
      <c r="AL888">
        <v>-20.144164099999951</v>
      </c>
      <c r="AM888">
        <v>-44.909420167767642</v>
      </c>
      <c r="AN888">
        <v>-20.144164099999951</v>
      </c>
      <c r="AO888">
        <v>-44.909420167767642</v>
      </c>
      <c r="AP888">
        <v>-20.144062999999999</v>
      </c>
      <c r="AQ888">
        <v>-44.909627999999998</v>
      </c>
      <c r="AR888">
        <v>24.46321571724976</v>
      </c>
      <c r="AS888" t="s">
        <v>65</v>
      </c>
      <c r="AT888">
        <v>1</v>
      </c>
      <c r="AU888" t="s">
        <v>99</v>
      </c>
      <c r="AV888" t="s">
        <v>94</v>
      </c>
      <c r="AW888" t="s">
        <v>60</v>
      </c>
      <c r="AX888" t="s">
        <v>68</v>
      </c>
      <c r="AY888" t="s">
        <v>69</v>
      </c>
      <c r="AZ888" t="b">
        <v>1</v>
      </c>
    </row>
    <row r="889" spans="1:52" x14ac:dyDescent="0.3">
      <c r="A889" t="s">
        <v>52</v>
      </c>
      <c r="B889" t="s">
        <v>53</v>
      </c>
      <c r="C889" t="s">
        <v>54</v>
      </c>
      <c r="D889" t="s">
        <v>55</v>
      </c>
      <c r="E889" t="s">
        <v>2099</v>
      </c>
      <c r="F889" t="s">
        <v>1247</v>
      </c>
      <c r="G889" t="s">
        <v>100</v>
      </c>
      <c r="H889" t="s">
        <v>101</v>
      </c>
      <c r="I889" t="s">
        <v>101</v>
      </c>
      <c r="J889" t="s">
        <v>60</v>
      </c>
      <c r="K889" t="s">
        <v>61</v>
      </c>
      <c r="L889" t="s">
        <v>62</v>
      </c>
      <c r="M889" t="s">
        <v>61</v>
      </c>
      <c r="N889" t="s">
        <v>102</v>
      </c>
      <c r="O889" t="s">
        <v>103</v>
      </c>
      <c r="P889">
        <v>-20.151098999999999</v>
      </c>
      <c r="Q889">
        <v>-44.909699000000003</v>
      </c>
      <c r="R889" s="2" t="str">
        <f>HYPERLINK("https://www.google.com/maps?q=-20.1510990,-44.9096990","Abrir no Google Maps")</f>
        <v>Abrir no Google Maps</v>
      </c>
      <c r="S889">
        <v>4</v>
      </c>
      <c r="T889">
        <v>628.5023128813533</v>
      </c>
      <c r="U889">
        <v>3</v>
      </c>
      <c r="V889">
        <v>12</v>
      </c>
      <c r="W889">
        <v>1</v>
      </c>
      <c r="X889">
        <v>12</v>
      </c>
      <c r="Y889">
        <v>747</v>
      </c>
      <c r="Z889">
        <v>563.16456625265948</v>
      </c>
      <c r="AA889">
        <v>198</v>
      </c>
      <c r="AB889">
        <v>332</v>
      </c>
      <c r="AC889">
        <v>536</v>
      </c>
      <c r="AD889">
        <v>30.48</v>
      </c>
      <c r="AE889">
        <v>542</v>
      </c>
      <c r="AF889">
        <v>30</v>
      </c>
      <c r="AG889">
        <v>176</v>
      </c>
      <c r="AH889">
        <v>129</v>
      </c>
      <c r="AI889">
        <v>5.54</v>
      </c>
      <c r="AJ889">
        <v>32.47</v>
      </c>
      <c r="AK889">
        <v>23.8</v>
      </c>
      <c r="AL889">
        <v>-20.151307349999971</v>
      </c>
      <c r="AM889">
        <v>-44.909772836123523</v>
      </c>
      <c r="AN889">
        <v>-20.151307349999971</v>
      </c>
      <c r="AO889">
        <v>-44.909772836123523</v>
      </c>
      <c r="AP889">
        <v>-20.151098999999999</v>
      </c>
      <c r="AQ889">
        <v>-44.909699000000003</v>
      </c>
      <c r="AR889">
        <v>24.443417349564811</v>
      </c>
      <c r="AS889" t="s">
        <v>65</v>
      </c>
      <c r="AT889">
        <v>1</v>
      </c>
      <c r="AU889" t="s">
        <v>104</v>
      </c>
      <c r="AV889" t="s">
        <v>105</v>
      </c>
      <c r="AW889" t="s">
        <v>60</v>
      </c>
      <c r="AX889" t="s">
        <v>68</v>
      </c>
      <c r="AY889" t="s">
        <v>69</v>
      </c>
      <c r="AZ889" t="b">
        <v>1</v>
      </c>
    </row>
    <row r="890" spans="1:52" x14ac:dyDescent="0.3">
      <c r="A890" t="s">
        <v>52</v>
      </c>
      <c r="B890" t="s">
        <v>53</v>
      </c>
      <c r="C890" t="s">
        <v>54</v>
      </c>
      <c r="D890" t="s">
        <v>55</v>
      </c>
      <c r="E890" t="s">
        <v>2099</v>
      </c>
      <c r="F890" t="s">
        <v>1247</v>
      </c>
      <c r="G890" t="s">
        <v>1258</v>
      </c>
      <c r="H890" t="s">
        <v>1259</v>
      </c>
      <c r="I890" t="s">
        <v>1259</v>
      </c>
      <c r="J890" t="s">
        <v>60</v>
      </c>
      <c r="K890" t="s">
        <v>905</v>
      </c>
      <c r="L890" t="s">
        <v>62</v>
      </c>
      <c r="M890" t="s">
        <v>905</v>
      </c>
      <c r="N890" t="s">
        <v>1260</v>
      </c>
      <c r="O890" t="s">
        <v>628</v>
      </c>
      <c r="P890">
        <v>-20.113569999999999</v>
      </c>
      <c r="Q890">
        <v>-44.897216</v>
      </c>
      <c r="R890" s="2" t="str">
        <f>HYPERLINK("https://www.google.com/maps?q=-20.1135700,-44.8972160","Abrir no Google Maps")</f>
        <v>Abrir no Google Maps</v>
      </c>
      <c r="S890">
        <v>4</v>
      </c>
      <c r="T890">
        <v>418.54368277643368</v>
      </c>
      <c r="U890">
        <v>3</v>
      </c>
      <c r="V890">
        <v>19</v>
      </c>
      <c r="W890">
        <v>0.85</v>
      </c>
      <c r="X890">
        <v>16.149999999999999</v>
      </c>
      <c r="Y890">
        <v>567</v>
      </c>
      <c r="Z890">
        <v>315.02989622191018</v>
      </c>
      <c r="AA890">
        <v>198</v>
      </c>
      <c r="AB890">
        <v>332</v>
      </c>
      <c r="AC890">
        <v>536</v>
      </c>
      <c r="AD890">
        <v>30.48</v>
      </c>
      <c r="AE890">
        <v>542</v>
      </c>
      <c r="AF890">
        <v>30</v>
      </c>
      <c r="AG890">
        <v>176</v>
      </c>
      <c r="AH890">
        <v>129</v>
      </c>
      <c r="AI890">
        <v>5.54</v>
      </c>
      <c r="AJ890">
        <v>32.47</v>
      </c>
      <c r="AK890">
        <v>23.8</v>
      </c>
      <c r="AL890">
        <v>-20.113750149999959</v>
      </c>
      <c r="AM890">
        <v>-44.897427949999937</v>
      </c>
      <c r="AN890">
        <v>-20.113750149999959</v>
      </c>
      <c r="AO890">
        <v>-44.897427949999937</v>
      </c>
      <c r="AP890">
        <v>-20.113569999999999</v>
      </c>
      <c r="AQ890">
        <v>-44.897216</v>
      </c>
      <c r="AR890">
        <v>29.883644534822711</v>
      </c>
      <c r="AS890" t="s">
        <v>65</v>
      </c>
      <c r="AT890">
        <v>1</v>
      </c>
      <c r="AU890" t="s">
        <v>1261</v>
      </c>
      <c r="AV890" t="s">
        <v>1262</v>
      </c>
      <c r="AW890" t="s">
        <v>60</v>
      </c>
      <c r="AX890" t="s">
        <v>68</v>
      </c>
      <c r="AY890" t="s">
        <v>69</v>
      </c>
      <c r="AZ890" t="b">
        <v>1</v>
      </c>
    </row>
    <row r="891" spans="1:52" x14ac:dyDescent="0.3">
      <c r="A891" t="s">
        <v>52</v>
      </c>
      <c r="B891" t="s">
        <v>53</v>
      </c>
      <c r="C891" t="s">
        <v>54</v>
      </c>
      <c r="D891" t="s">
        <v>55</v>
      </c>
      <c r="E891" t="s">
        <v>2099</v>
      </c>
      <c r="F891" t="s">
        <v>1247</v>
      </c>
      <c r="G891" t="s">
        <v>198</v>
      </c>
      <c r="H891" t="s">
        <v>199</v>
      </c>
      <c r="I891" t="s">
        <v>199</v>
      </c>
      <c r="J891" t="s">
        <v>60</v>
      </c>
      <c r="K891" t="s">
        <v>200</v>
      </c>
      <c r="L891" t="s">
        <v>62</v>
      </c>
      <c r="M891" t="s">
        <v>200</v>
      </c>
      <c r="N891" t="s">
        <v>201</v>
      </c>
      <c r="O891" t="s">
        <v>202</v>
      </c>
      <c r="P891">
        <v>-20.122433000000001</v>
      </c>
      <c r="Q891">
        <v>-44.897013999999999</v>
      </c>
      <c r="R891" s="2" t="str">
        <f>HYPERLINK("https://www.google.com/maps?q=-20.1224330,-44.8970140","Abrir no Google Maps")</f>
        <v>Abrir no Google Maps</v>
      </c>
      <c r="S891">
        <v>4</v>
      </c>
      <c r="T891">
        <v>616.04759279207849</v>
      </c>
      <c r="U891">
        <v>3</v>
      </c>
      <c r="V891">
        <v>16</v>
      </c>
      <c r="W891">
        <v>0.85</v>
      </c>
      <c r="X891">
        <v>13.6</v>
      </c>
      <c r="Y891">
        <v>567</v>
      </c>
      <c r="Z891">
        <v>655.51024138861465</v>
      </c>
      <c r="AA891">
        <v>198</v>
      </c>
      <c r="AB891">
        <v>332</v>
      </c>
      <c r="AC891">
        <v>536</v>
      </c>
      <c r="AD891">
        <v>30.48</v>
      </c>
      <c r="AE891">
        <v>542</v>
      </c>
      <c r="AF891">
        <v>30</v>
      </c>
      <c r="AG891">
        <v>176</v>
      </c>
      <c r="AH891">
        <v>129</v>
      </c>
      <c r="AI891">
        <v>5.54</v>
      </c>
      <c r="AJ891">
        <v>32.47</v>
      </c>
      <c r="AK891">
        <v>23.8</v>
      </c>
      <c r="AL891">
        <v>-20.122144949999949</v>
      </c>
      <c r="AM891">
        <v>-44.896761973125983</v>
      </c>
      <c r="AN891">
        <v>-20.122144949999949</v>
      </c>
      <c r="AO891">
        <v>-44.896761973125983</v>
      </c>
      <c r="AP891">
        <v>-20.122433000000001</v>
      </c>
      <c r="AQ891">
        <v>-44.897013999999999</v>
      </c>
      <c r="AR891">
        <v>41.499066772735389</v>
      </c>
      <c r="AS891" t="s">
        <v>65</v>
      </c>
      <c r="AT891">
        <v>1</v>
      </c>
      <c r="AU891" t="s">
        <v>203</v>
      </c>
      <c r="AV891" t="s">
        <v>204</v>
      </c>
      <c r="AW891" t="s">
        <v>60</v>
      </c>
      <c r="AX891" t="s">
        <v>68</v>
      </c>
      <c r="AY891" t="s">
        <v>69</v>
      </c>
      <c r="AZ891" t="b">
        <v>1</v>
      </c>
    </row>
    <row r="892" spans="1:52" x14ac:dyDescent="0.3">
      <c r="A892" t="s">
        <v>52</v>
      </c>
      <c r="B892" t="s">
        <v>53</v>
      </c>
      <c r="C892" t="s">
        <v>54</v>
      </c>
      <c r="D892" t="s">
        <v>55</v>
      </c>
      <c r="E892" t="s">
        <v>2099</v>
      </c>
      <c r="F892" t="s">
        <v>1247</v>
      </c>
      <c r="G892" t="s">
        <v>115</v>
      </c>
      <c r="H892" t="s">
        <v>116</v>
      </c>
      <c r="I892" t="s">
        <v>116</v>
      </c>
      <c r="J892" t="s">
        <v>60</v>
      </c>
      <c r="K892" t="s">
        <v>117</v>
      </c>
      <c r="L892" t="s">
        <v>62</v>
      </c>
      <c r="M892" t="s">
        <v>117</v>
      </c>
      <c r="N892" t="s">
        <v>118</v>
      </c>
      <c r="O892" t="s">
        <v>119</v>
      </c>
      <c r="P892">
        <v>-20.116992</v>
      </c>
      <c r="Q892">
        <v>-44.899355</v>
      </c>
      <c r="R892" s="2" t="str">
        <f>HYPERLINK("https://www.google.com/maps?q=-20.1169920,-44.8993550","Abrir no Google Maps")</f>
        <v>Abrir no Google Maps</v>
      </c>
      <c r="S892">
        <v>4</v>
      </c>
      <c r="T892">
        <v>0</v>
      </c>
      <c r="U892">
        <v>3</v>
      </c>
      <c r="V892">
        <v>14</v>
      </c>
      <c r="W892">
        <v>1</v>
      </c>
      <c r="X892">
        <v>14</v>
      </c>
      <c r="Y892">
        <v>567</v>
      </c>
      <c r="Z892">
        <v>54.913678078353321</v>
      </c>
      <c r="AA892">
        <v>198</v>
      </c>
      <c r="AB892">
        <v>332</v>
      </c>
      <c r="AC892">
        <v>536</v>
      </c>
      <c r="AD892">
        <v>30.48</v>
      </c>
      <c r="AE892">
        <v>542</v>
      </c>
      <c r="AF892">
        <v>30</v>
      </c>
      <c r="AG892">
        <v>176</v>
      </c>
      <c r="AH892">
        <v>129</v>
      </c>
      <c r="AI892">
        <v>5.54</v>
      </c>
      <c r="AJ892">
        <v>32.47</v>
      </c>
      <c r="AK892">
        <v>23.8</v>
      </c>
      <c r="AL892">
        <v>-20.117107749999949</v>
      </c>
      <c r="AM892">
        <v>-44.899271226243108</v>
      </c>
      <c r="AN892">
        <v>-20.117107749999949</v>
      </c>
      <c r="AO892">
        <v>-44.899271226243108</v>
      </c>
      <c r="AP892">
        <v>-20.116992</v>
      </c>
      <c r="AQ892">
        <v>-44.899355</v>
      </c>
      <c r="AR892">
        <v>15.579196044083419</v>
      </c>
      <c r="AS892" t="s">
        <v>65</v>
      </c>
      <c r="AT892">
        <v>1</v>
      </c>
      <c r="AU892" t="s">
        <v>120</v>
      </c>
      <c r="AV892" t="s">
        <v>121</v>
      </c>
      <c r="AW892" t="s">
        <v>60</v>
      </c>
      <c r="AX892" t="s">
        <v>68</v>
      </c>
      <c r="AY892" t="s">
        <v>69</v>
      </c>
      <c r="AZ892" t="b">
        <v>1</v>
      </c>
    </row>
    <row r="893" spans="1:52" x14ac:dyDescent="0.3">
      <c r="A893" t="s">
        <v>52</v>
      </c>
      <c r="B893" t="s">
        <v>53</v>
      </c>
      <c r="C893" t="s">
        <v>54</v>
      </c>
      <c r="D893" t="s">
        <v>55</v>
      </c>
      <c r="E893" t="s">
        <v>2099</v>
      </c>
      <c r="F893" t="s">
        <v>1247</v>
      </c>
      <c r="G893" t="s">
        <v>1248</v>
      </c>
      <c r="H893" t="s">
        <v>1249</v>
      </c>
      <c r="I893" t="s">
        <v>1249</v>
      </c>
      <c r="J893" t="s">
        <v>60</v>
      </c>
      <c r="K893" t="s">
        <v>61</v>
      </c>
      <c r="L893" t="s">
        <v>62</v>
      </c>
      <c r="M893" t="s">
        <v>61</v>
      </c>
      <c r="N893" t="s">
        <v>1250</v>
      </c>
      <c r="O893" t="s">
        <v>202</v>
      </c>
      <c r="P893">
        <v>-20.145337999999999</v>
      </c>
      <c r="Q893">
        <v>-44.906260000000003</v>
      </c>
      <c r="R893" s="2" t="str">
        <f>HYPERLINK("https://www.google.com/maps?q=-20.1453380,-44.9062600","Abrir no Google Maps")</f>
        <v>Abrir no Google Maps</v>
      </c>
      <c r="S893">
        <v>4</v>
      </c>
      <c r="T893">
        <v>231.8105263092443</v>
      </c>
      <c r="U893">
        <v>2</v>
      </c>
      <c r="V893">
        <v>8</v>
      </c>
      <c r="W893">
        <v>0.85</v>
      </c>
      <c r="X893">
        <v>6.8</v>
      </c>
      <c r="Y893">
        <v>747</v>
      </c>
      <c r="Z893">
        <v>210.09098260239841</v>
      </c>
      <c r="AA893">
        <v>198</v>
      </c>
      <c r="AB893">
        <v>332</v>
      </c>
      <c r="AC893">
        <v>536</v>
      </c>
      <c r="AD893">
        <v>30.48</v>
      </c>
      <c r="AE893">
        <v>542</v>
      </c>
      <c r="AF893">
        <v>30</v>
      </c>
      <c r="AG893">
        <v>176</v>
      </c>
      <c r="AH893">
        <v>129</v>
      </c>
      <c r="AI893">
        <v>5.54</v>
      </c>
      <c r="AJ893">
        <v>32.47</v>
      </c>
      <c r="AK893">
        <v>23.8</v>
      </c>
      <c r="AL893">
        <v>-20.14545934999995</v>
      </c>
      <c r="AM893">
        <v>-44.906243174283489</v>
      </c>
      <c r="AN893">
        <v>-20.14545934999995</v>
      </c>
      <c r="AO893">
        <v>-44.906243174283489</v>
      </c>
      <c r="AP893">
        <v>-20.145337999999999</v>
      </c>
      <c r="AQ893">
        <v>-44.906260000000003</v>
      </c>
      <c r="AR893">
        <v>13.622651392262521</v>
      </c>
      <c r="AS893" t="s">
        <v>65</v>
      </c>
      <c r="AT893">
        <v>1</v>
      </c>
      <c r="AU893" t="s">
        <v>1251</v>
      </c>
      <c r="AV893" t="s">
        <v>1252</v>
      </c>
      <c r="AW893" t="s">
        <v>60</v>
      </c>
      <c r="AX893" t="s">
        <v>68</v>
      </c>
      <c r="AY893" t="s">
        <v>69</v>
      </c>
      <c r="AZ893" t="b">
        <v>1</v>
      </c>
    </row>
    <row r="894" spans="1:52" x14ac:dyDescent="0.3">
      <c r="A894" t="s">
        <v>52</v>
      </c>
      <c r="B894" t="s">
        <v>53</v>
      </c>
      <c r="C894" t="s">
        <v>54</v>
      </c>
      <c r="D894" t="s">
        <v>55</v>
      </c>
      <c r="E894" t="s">
        <v>2099</v>
      </c>
      <c r="F894" t="s">
        <v>1247</v>
      </c>
      <c r="G894" t="s">
        <v>100</v>
      </c>
      <c r="H894" t="s">
        <v>106</v>
      </c>
      <c r="I894" t="s">
        <v>106</v>
      </c>
      <c r="J894" t="s">
        <v>60</v>
      </c>
      <c r="K894" t="s">
        <v>61</v>
      </c>
      <c r="L894" t="s">
        <v>62</v>
      </c>
      <c r="M894" t="s">
        <v>61</v>
      </c>
      <c r="N894" t="s">
        <v>102</v>
      </c>
      <c r="O894" t="s">
        <v>103</v>
      </c>
      <c r="P894">
        <v>-20.151107</v>
      </c>
      <c r="Q894">
        <v>-44.908918</v>
      </c>
      <c r="R894" s="2" t="str">
        <f>HYPERLINK("https://www.google.com/maps?q=-20.1511070,-44.9089180","Abrir no Google Maps")</f>
        <v>Abrir no Google Maps</v>
      </c>
      <c r="S894">
        <v>4</v>
      </c>
      <c r="T894">
        <v>615.86400245321579</v>
      </c>
      <c r="U894">
        <v>2</v>
      </c>
      <c r="V894">
        <v>12</v>
      </c>
      <c r="W894">
        <v>0.85</v>
      </c>
      <c r="X894">
        <v>10.199999999999999</v>
      </c>
      <c r="Y894">
        <v>747</v>
      </c>
      <c r="Z894">
        <v>535.34543763764702</v>
      </c>
      <c r="AA894">
        <v>198</v>
      </c>
      <c r="AB894">
        <v>332</v>
      </c>
      <c r="AC894">
        <v>536</v>
      </c>
      <c r="AD894">
        <v>30.48</v>
      </c>
      <c r="AE894">
        <v>542</v>
      </c>
      <c r="AF894">
        <v>30</v>
      </c>
      <c r="AG894">
        <v>176</v>
      </c>
      <c r="AH894">
        <v>129</v>
      </c>
      <c r="AI894">
        <v>5.54</v>
      </c>
      <c r="AJ894">
        <v>32.47</v>
      </c>
      <c r="AK894">
        <v>23.8</v>
      </c>
      <c r="AL894">
        <v>-20.151307349999971</v>
      </c>
      <c r="AM894">
        <v>-44.909024234051429</v>
      </c>
      <c r="AN894">
        <v>-20.151307349999971</v>
      </c>
      <c r="AO894">
        <v>-44.909024234051429</v>
      </c>
      <c r="AP894">
        <v>-20.151107</v>
      </c>
      <c r="AQ894">
        <v>-44.908918</v>
      </c>
      <c r="AR894">
        <v>24.91340747371116</v>
      </c>
      <c r="AS894" t="s">
        <v>65</v>
      </c>
      <c r="AT894">
        <v>1</v>
      </c>
      <c r="AU894" t="s">
        <v>107</v>
      </c>
      <c r="AV894" t="s">
        <v>105</v>
      </c>
      <c r="AW894" t="s">
        <v>60</v>
      </c>
      <c r="AX894" t="s">
        <v>68</v>
      </c>
      <c r="AY894" t="s">
        <v>69</v>
      </c>
      <c r="AZ894" t="b">
        <v>1</v>
      </c>
    </row>
    <row r="895" spans="1:52" x14ac:dyDescent="0.3">
      <c r="A895" t="s">
        <v>52</v>
      </c>
      <c r="B895" t="s">
        <v>53</v>
      </c>
      <c r="C895" t="s">
        <v>54</v>
      </c>
      <c r="D895" t="s">
        <v>55</v>
      </c>
      <c r="E895" t="s">
        <v>2099</v>
      </c>
      <c r="F895" t="s">
        <v>1247</v>
      </c>
      <c r="G895" t="s">
        <v>108</v>
      </c>
      <c r="H895" t="s">
        <v>109</v>
      </c>
      <c r="I895" t="s">
        <v>109</v>
      </c>
      <c r="J895" t="s">
        <v>60</v>
      </c>
      <c r="K895" t="s">
        <v>110</v>
      </c>
      <c r="L895" t="s">
        <v>62</v>
      </c>
      <c r="M895" t="s">
        <v>110</v>
      </c>
      <c r="N895" t="s">
        <v>111</v>
      </c>
      <c r="O895" t="s">
        <v>112</v>
      </c>
      <c r="P895">
        <v>-20.122233999999999</v>
      </c>
      <c r="Q895">
        <v>-44.909194999999997</v>
      </c>
      <c r="R895" s="2" t="str">
        <f>HYPERLINK("https://www.google.com/maps?q=-20.1222340,-44.9091950","Abrir no Google Maps")</f>
        <v>Abrir no Google Maps</v>
      </c>
      <c r="S895">
        <v>4</v>
      </c>
      <c r="T895">
        <v>1171.396020763932</v>
      </c>
      <c r="U895">
        <v>2</v>
      </c>
      <c r="V895">
        <v>9</v>
      </c>
      <c r="W895">
        <v>0.85</v>
      </c>
      <c r="X895">
        <v>7.6499999999999986</v>
      </c>
      <c r="Y895">
        <v>567</v>
      </c>
      <c r="Z895">
        <v>1238.711234283244</v>
      </c>
      <c r="AA895">
        <v>198</v>
      </c>
      <c r="AB895">
        <v>332</v>
      </c>
      <c r="AC895">
        <v>536</v>
      </c>
      <c r="AD895">
        <v>30.48</v>
      </c>
      <c r="AE895">
        <v>542</v>
      </c>
      <c r="AF895">
        <v>30</v>
      </c>
      <c r="AG895">
        <v>176</v>
      </c>
      <c r="AH895">
        <v>129</v>
      </c>
      <c r="AI895">
        <v>5.54</v>
      </c>
      <c r="AJ895">
        <v>32.47</v>
      </c>
      <c r="AK895">
        <v>23.8</v>
      </c>
      <c r="AL895">
        <v>-20.121881249999941</v>
      </c>
      <c r="AM895">
        <v>-44.909273766094323</v>
      </c>
      <c r="AN895">
        <v>-20.121881249999941</v>
      </c>
      <c r="AO895">
        <v>-44.909273766094323</v>
      </c>
      <c r="AP895">
        <v>-20.122233999999999</v>
      </c>
      <c r="AQ895">
        <v>-44.909194999999997</v>
      </c>
      <c r="AR895">
        <v>40.12192930593006</v>
      </c>
      <c r="AS895" t="s">
        <v>65</v>
      </c>
      <c r="AT895">
        <v>1</v>
      </c>
      <c r="AU895" t="s">
        <v>113</v>
      </c>
      <c r="AV895" t="s">
        <v>114</v>
      </c>
      <c r="AW895" t="s">
        <v>60</v>
      </c>
      <c r="AX895" t="s">
        <v>68</v>
      </c>
      <c r="AY895" t="s">
        <v>69</v>
      </c>
      <c r="AZ895" t="b">
        <v>1</v>
      </c>
    </row>
    <row r="896" spans="1:52" x14ac:dyDescent="0.3">
      <c r="A896" t="s">
        <v>52</v>
      </c>
      <c r="B896" t="s">
        <v>53</v>
      </c>
      <c r="C896" t="s">
        <v>54</v>
      </c>
      <c r="D896" t="s">
        <v>55</v>
      </c>
      <c r="E896" t="s">
        <v>2099</v>
      </c>
      <c r="F896" t="s">
        <v>1247</v>
      </c>
      <c r="G896" t="s">
        <v>83</v>
      </c>
      <c r="H896" t="s">
        <v>1253</v>
      </c>
      <c r="I896" t="s">
        <v>1253</v>
      </c>
      <c r="J896" t="s">
        <v>60</v>
      </c>
      <c r="K896" t="s">
        <v>72</v>
      </c>
      <c r="L896" t="s">
        <v>62</v>
      </c>
      <c r="M896" t="s">
        <v>72</v>
      </c>
      <c r="N896" t="s">
        <v>1254</v>
      </c>
      <c r="O896" t="s">
        <v>1255</v>
      </c>
      <c r="P896">
        <v>-20.147164</v>
      </c>
      <c r="Q896">
        <v>-44.905259000000001</v>
      </c>
      <c r="R896" s="2" t="str">
        <f>HYPERLINK("https://www.google.com/maps?q=-20.1471640,-44.9052590","Abrir no Google Maps")</f>
        <v>Abrir no Google Maps</v>
      </c>
      <c r="S896">
        <v>4</v>
      </c>
      <c r="T896">
        <v>364.08569180502712</v>
      </c>
      <c r="U896">
        <v>1</v>
      </c>
      <c r="V896">
        <v>6</v>
      </c>
      <c r="W896">
        <v>0.85</v>
      </c>
      <c r="X896">
        <v>5.0999999999999996</v>
      </c>
      <c r="Y896">
        <v>747</v>
      </c>
      <c r="Z896">
        <v>309.89238988435022</v>
      </c>
      <c r="AA896">
        <v>198</v>
      </c>
      <c r="AB896">
        <v>332</v>
      </c>
      <c r="AC896">
        <v>536</v>
      </c>
      <c r="AD896">
        <v>30.48</v>
      </c>
      <c r="AE896">
        <v>542</v>
      </c>
      <c r="AF896">
        <v>30</v>
      </c>
      <c r="AG896">
        <v>176</v>
      </c>
      <c r="AH896">
        <v>129</v>
      </c>
      <c r="AI896">
        <v>5.54</v>
      </c>
      <c r="AJ896">
        <v>32.47</v>
      </c>
      <c r="AK896">
        <v>23.8</v>
      </c>
      <c r="AL896">
        <v>-20.14718674999995</v>
      </c>
      <c r="AM896">
        <v>-44.905292621565764</v>
      </c>
      <c r="AN896">
        <v>-20.147186749999939</v>
      </c>
      <c r="AO896">
        <v>-44.905292621565764</v>
      </c>
      <c r="AP896">
        <v>-20.147164</v>
      </c>
      <c r="AQ896">
        <v>-44.905259000000001</v>
      </c>
      <c r="AR896">
        <v>4.3312880650984971</v>
      </c>
      <c r="AS896" t="s">
        <v>65</v>
      </c>
      <c r="AT896">
        <v>1</v>
      </c>
      <c r="AU896" t="s">
        <v>1256</v>
      </c>
      <c r="AV896" t="s">
        <v>1257</v>
      </c>
      <c r="AW896" t="s">
        <v>60</v>
      </c>
      <c r="AX896" t="s">
        <v>68</v>
      </c>
      <c r="AY896" t="s">
        <v>69</v>
      </c>
      <c r="AZ896" t="b">
        <v>1</v>
      </c>
    </row>
    <row r="897" spans="1:52" x14ac:dyDescent="0.3">
      <c r="A897" t="s">
        <v>52</v>
      </c>
      <c r="B897" t="s">
        <v>53</v>
      </c>
      <c r="C897" t="s">
        <v>54</v>
      </c>
      <c r="D897" t="s">
        <v>55</v>
      </c>
      <c r="E897" t="s">
        <v>2099</v>
      </c>
      <c r="F897" t="s">
        <v>1247</v>
      </c>
      <c r="G897" t="s">
        <v>1263</v>
      </c>
      <c r="H897" t="s">
        <v>1264</v>
      </c>
      <c r="I897" t="s">
        <v>1264</v>
      </c>
      <c r="J897" t="s">
        <v>60</v>
      </c>
      <c r="K897" t="s">
        <v>1265</v>
      </c>
      <c r="L897" t="s">
        <v>62</v>
      </c>
      <c r="M897" t="s">
        <v>1265</v>
      </c>
      <c r="N897" t="s">
        <v>1266</v>
      </c>
      <c r="O897" t="s">
        <v>1267</v>
      </c>
      <c r="P897">
        <v>-20.116924000000001</v>
      </c>
      <c r="Q897">
        <v>-44.906587000000002</v>
      </c>
      <c r="R897" s="2" t="str">
        <f>HYPERLINK("https://www.google.com/maps?q=-20.1169240,-44.9065870","Abrir no Google Maps")</f>
        <v>Abrir no Google Maps</v>
      </c>
      <c r="S897">
        <v>4</v>
      </c>
      <c r="T897">
        <v>745.10453961787857</v>
      </c>
      <c r="U897">
        <v>1</v>
      </c>
      <c r="V897">
        <v>3</v>
      </c>
      <c r="W897">
        <v>0.85</v>
      </c>
      <c r="X897">
        <v>2.5499999999999998</v>
      </c>
      <c r="Y897">
        <v>567</v>
      </c>
      <c r="Z897">
        <v>816.44456345071217</v>
      </c>
      <c r="AA897">
        <v>198</v>
      </c>
      <c r="AB897">
        <v>332</v>
      </c>
      <c r="AC897">
        <v>536</v>
      </c>
      <c r="AD897">
        <v>30.48</v>
      </c>
      <c r="AE897">
        <v>542</v>
      </c>
      <c r="AF897">
        <v>30</v>
      </c>
      <c r="AG897">
        <v>176</v>
      </c>
      <c r="AH897">
        <v>129</v>
      </c>
      <c r="AI897">
        <v>5.54</v>
      </c>
      <c r="AJ897">
        <v>32.47</v>
      </c>
      <c r="AK897">
        <v>23.8</v>
      </c>
      <c r="AL897">
        <v>-20.117279149999941</v>
      </c>
      <c r="AM897">
        <v>-44.906397211815133</v>
      </c>
      <c r="AN897">
        <v>-20.117279149999941</v>
      </c>
      <c r="AO897">
        <v>-44.906397211815133</v>
      </c>
      <c r="AP897">
        <v>-20.116924000000001</v>
      </c>
      <c r="AQ897">
        <v>-44.906587000000002</v>
      </c>
      <c r="AR897">
        <v>44.233430660980403</v>
      </c>
      <c r="AS897" t="s">
        <v>65</v>
      </c>
      <c r="AT897">
        <v>1</v>
      </c>
      <c r="AU897" t="s">
        <v>1268</v>
      </c>
      <c r="AV897" t="s">
        <v>1269</v>
      </c>
      <c r="AW897" t="s">
        <v>60</v>
      </c>
      <c r="AX897" t="s">
        <v>68</v>
      </c>
      <c r="AY897" t="s">
        <v>69</v>
      </c>
      <c r="AZ897" t="b">
        <v>1</v>
      </c>
    </row>
    <row r="898" spans="1:52" x14ac:dyDescent="0.3">
      <c r="A898" t="s">
        <v>52</v>
      </c>
      <c r="B898" t="s">
        <v>53</v>
      </c>
      <c r="C898" t="s">
        <v>54</v>
      </c>
      <c r="D898" t="s">
        <v>55</v>
      </c>
      <c r="E898" t="s">
        <v>2099</v>
      </c>
      <c r="F898" t="s">
        <v>1247</v>
      </c>
      <c r="G898" t="s">
        <v>205</v>
      </c>
      <c r="H898" t="s">
        <v>206</v>
      </c>
      <c r="I898" t="s">
        <v>206</v>
      </c>
      <c r="J898" t="s">
        <v>60</v>
      </c>
      <c r="K898" t="s">
        <v>207</v>
      </c>
      <c r="L898" t="s">
        <v>62</v>
      </c>
      <c r="M898" t="s">
        <v>207</v>
      </c>
      <c r="N898" t="s">
        <v>208</v>
      </c>
      <c r="O898" t="s">
        <v>209</v>
      </c>
      <c r="P898">
        <v>-20.117533999999999</v>
      </c>
      <c r="Q898">
        <v>-44.892943000000002</v>
      </c>
      <c r="R898" s="2" t="str">
        <f>HYPERLINK("https://www.google.com/maps?q=-20.1175340,-44.8929430","Abrir no Google Maps")</f>
        <v>Abrir no Google Maps</v>
      </c>
      <c r="S898">
        <v>4</v>
      </c>
      <c r="T898">
        <v>601.98486688021592</v>
      </c>
      <c r="U898">
        <v>1</v>
      </c>
      <c r="V898">
        <v>0</v>
      </c>
      <c r="W898">
        <v>0.85</v>
      </c>
      <c r="X898">
        <v>0</v>
      </c>
      <c r="Y898">
        <v>567</v>
      </c>
      <c r="Z898">
        <v>574.59225706016446</v>
      </c>
      <c r="AA898">
        <v>198</v>
      </c>
      <c r="AB898">
        <v>332</v>
      </c>
      <c r="AC898">
        <v>536</v>
      </c>
      <c r="AD898">
        <v>30.48</v>
      </c>
      <c r="AE898">
        <v>542</v>
      </c>
      <c r="AF898">
        <v>30</v>
      </c>
      <c r="AG898">
        <v>176</v>
      </c>
      <c r="AH898">
        <v>129</v>
      </c>
      <c r="AI898">
        <v>5.54</v>
      </c>
      <c r="AJ898">
        <v>32.47</v>
      </c>
      <c r="AK898">
        <v>23.8</v>
      </c>
      <c r="AL898">
        <v>-20.11671494999996</v>
      </c>
      <c r="AM898">
        <v>-44.89352717833448</v>
      </c>
      <c r="AN898">
        <v>-20.11671494999996</v>
      </c>
      <c r="AO898">
        <v>-44.89352717833448</v>
      </c>
      <c r="AP898">
        <v>-20.117533999999999</v>
      </c>
      <c r="AQ898">
        <v>-44.892943000000002</v>
      </c>
      <c r="AR898">
        <v>109.7357164799156</v>
      </c>
      <c r="AS898" t="s">
        <v>65</v>
      </c>
      <c r="AT898">
        <v>1</v>
      </c>
      <c r="AU898" t="s">
        <v>210</v>
      </c>
      <c r="AV898" t="s">
        <v>211</v>
      </c>
      <c r="AW898" t="s">
        <v>60</v>
      </c>
      <c r="AX898" t="s">
        <v>68</v>
      </c>
      <c r="AY898" t="s">
        <v>69</v>
      </c>
      <c r="AZ898" t="b">
        <v>1</v>
      </c>
    </row>
    <row r="899" spans="1:52" x14ac:dyDescent="0.3">
      <c r="A899" t="s">
        <v>52</v>
      </c>
      <c r="B899" t="s">
        <v>53</v>
      </c>
      <c r="C899" t="s">
        <v>54</v>
      </c>
      <c r="D899" t="s">
        <v>55</v>
      </c>
      <c r="E899" t="s">
        <v>2099</v>
      </c>
      <c r="F899" t="s">
        <v>1247</v>
      </c>
      <c r="G899" t="s">
        <v>1127</v>
      </c>
      <c r="H899" t="s">
        <v>1270</v>
      </c>
      <c r="I899" t="s">
        <v>1270</v>
      </c>
      <c r="J899" t="s">
        <v>60</v>
      </c>
      <c r="K899" t="s">
        <v>200</v>
      </c>
      <c r="L899" t="s">
        <v>62</v>
      </c>
      <c r="M899" t="s">
        <v>200</v>
      </c>
      <c r="N899" t="s">
        <v>1271</v>
      </c>
      <c r="O899" t="s">
        <v>315</v>
      </c>
      <c r="P899">
        <v>-20.123483</v>
      </c>
      <c r="Q899">
        <v>-44.904159</v>
      </c>
      <c r="R899" s="2" t="str">
        <f>HYPERLINK("https://www.google.com/maps?q=-20.1234830,-44.9041590","Abrir no Google Maps")</f>
        <v>Abrir no Google Maps</v>
      </c>
      <c r="S899">
        <v>4</v>
      </c>
      <c r="T899">
        <v>1046.2792913459141</v>
      </c>
      <c r="U899">
        <v>1</v>
      </c>
      <c r="V899">
        <v>0</v>
      </c>
      <c r="W899">
        <v>0.85</v>
      </c>
      <c r="X899">
        <v>0</v>
      </c>
      <c r="Y899">
        <v>567</v>
      </c>
      <c r="Z899">
        <v>1072.1273144328541</v>
      </c>
      <c r="AA899">
        <v>198</v>
      </c>
      <c r="AB899">
        <v>332</v>
      </c>
      <c r="AC899">
        <v>536</v>
      </c>
      <c r="AD899">
        <v>30.48</v>
      </c>
      <c r="AE899">
        <v>542</v>
      </c>
      <c r="AF899">
        <v>30</v>
      </c>
      <c r="AG899">
        <v>176</v>
      </c>
      <c r="AH899">
        <v>129</v>
      </c>
      <c r="AI899">
        <v>5.54</v>
      </c>
      <c r="AJ899">
        <v>32.47</v>
      </c>
      <c r="AK899">
        <v>23.8</v>
      </c>
      <c r="AL899">
        <v>-20.12548399999994</v>
      </c>
      <c r="AM899">
        <v>-44.903913990586467</v>
      </c>
      <c r="AN899">
        <v>-20.12548399999994</v>
      </c>
      <c r="AO899">
        <v>-44.903913990586467</v>
      </c>
      <c r="AP899">
        <v>-20.123483</v>
      </c>
      <c r="AQ899">
        <v>-44.904159</v>
      </c>
      <c r="AR899">
        <v>224.218591682908</v>
      </c>
      <c r="AS899" t="s">
        <v>65</v>
      </c>
      <c r="AT899">
        <v>1</v>
      </c>
      <c r="AU899" t="s">
        <v>1272</v>
      </c>
      <c r="AV899" t="s">
        <v>1273</v>
      </c>
      <c r="AW899" t="s">
        <v>60</v>
      </c>
      <c r="AX899" t="s">
        <v>68</v>
      </c>
      <c r="AY899" t="s">
        <v>69</v>
      </c>
      <c r="AZ899" t="b">
        <v>1</v>
      </c>
    </row>
    <row r="900" spans="1:52" x14ac:dyDescent="0.3">
      <c r="A900" t="s">
        <v>52</v>
      </c>
      <c r="B900" t="s">
        <v>53</v>
      </c>
      <c r="C900" t="s">
        <v>54</v>
      </c>
      <c r="D900" t="s">
        <v>55</v>
      </c>
      <c r="E900" t="s">
        <v>2099</v>
      </c>
      <c r="F900" t="s">
        <v>1247</v>
      </c>
      <c r="G900" t="s">
        <v>833</v>
      </c>
      <c r="H900" t="s">
        <v>834</v>
      </c>
      <c r="I900" t="s">
        <v>834</v>
      </c>
      <c r="J900" t="s">
        <v>60</v>
      </c>
      <c r="K900" t="s">
        <v>388</v>
      </c>
      <c r="L900" t="s">
        <v>62</v>
      </c>
      <c r="M900" t="s">
        <v>388</v>
      </c>
      <c r="N900" t="s">
        <v>835</v>
      </c>
      <c r="O900" t="s">
        <v>836</v>
      </c>
      <c r="P900">
        <v>-20.157906000000001</v>
      </c>
      <c r="Q900">
        <v>-44.900458999999998</v>
      </c>
      <c r="R900" s="2" t="str">
        <f>HYPERLINK("https://www.google.com/maps?q=-20.1579060,-44.9004590","Abrir no Google Maps")</f>
        <v>Abrir no Google Maps</v>
      </c>
      <c r="S900">
        <v>3</v>
      </c>
      <c r="T900">
        <v>0</v>
      </c>
      <c r="U900">
        <v>4</v>
      </c>
      <c r="V900">
        <v>22</v>
      </c>
      <c r="W900">
        <v>1</v>
      </c>
      <c r="X900">
        <v>22</v>
      </c>
      <c r="Y900">
        <v>729</v>
      </c>
      <c r="Z900">
        <v>203.63168486652771</v>
      </c>
      <c r="AA900">
        <v>198</v>
      </c>
      <c r="AB900">
        <v>332</v>
      </c>
      <c r="AC900">
        <v>536</v>
      </c>
      <c r="AD900">
        <v>30.48</v>
      </c>
      <c r="AE900">
        <v>542</v>
      </c>
      <c r="AF900">
        <v>30</v>
      </c>
      <c r="AG900">
        <v>176</v>
      </c>
      <c r="AH900">
        <v>129</v>
      </c>
      <c r="AI900">
        <v>5.54</v>
      </c>
      <c r="AJ900">
        <v>32.47</v>
      </c>
      <c r="AK900">
        <v>23.8</v>
      </c>
      <c r="AL900">
        <v>-20.157925749999951</v>
      </c>
      <c r="AM900">
        <v>-44.900484707799812</v>
      </c>
      <c r="AN900">
        <v>-20.157925749999951</v>
      </c>
      <c r="AO900">
        <v>-44.900484707799812</v>
      </c>
      <c r="AP900">
        <v>-20.157906000000001</v>
      </c>
      <c r="AQ900">
        <v>-44.900458999999998</v>
      </c>
      <c r="AR900">
        <v>3.4714515960382508</v>
      </c>
      <c r="AS900" t="s">
        <v>65</v>
      </c>
      <c r="AT900">
        <v>1</v>
      </c>
      <c r="AU900" t="s">
        <v>837</v>
      </c>
      <c r="AV900" t="s">
        <v>838</v>
      </c>
      <c r="AW900" t="s">
        <v>60</v>
      </c>
      <c r="AX900" t="s">
        <v>68</v>
      </c>
      <c r="AY900" t="s">
        <v>69</v>
      </c>
      <c r="AZ900" t="b">
        <v>1</v>
      </c>
    </row>
    <row r="901" spans="1:52" x14ac:dyDescent="0.3">
      <c r="A901" t="s">
        <v>52</v>
      </c>
      <c r="B901" t="s">
        <v>53</v>
      </c>
      <c r="C901" t="s">
        <v>54</v>
      </c>
      <c r="D901" t="s">
        <v>55</v>
      </c>
      <c r="E901" t="s">
        <v>2099</v>
      </c>
      <c r="F901" t="s">
        <v>1247</v>
      </c>
      <c r="G901" t="s">
        <v>410</v>
      </c>
      <c r="H901" t="s">
        <v>411</v>
      </c>
      <c r="I901" t="s">
        <v>411</v>
      </c>
      <c r="J901" t="s">
        <v>60</v>
      </c>
      <c r="K901" t="s">
        <v>388</v>
      </c>
      <c r="L901" t="s">
        <v>62</v>
      </c>
      <c r="M901" t="s">
        <v>388</v>
      </c>
      <c r="N901" t="s">
        <v>412</v>
      </c>
      <c r="O901" t="s">
        <v>413</v>
      </c>
      <c r="P901">
        <v>-20.161394000000001</v>
      </c>
      <c r="Q901">
        <v>-44.906725999999999</v>
      </c>
      <c r="R901" s="2" t="str">
        <f>HYPERLINK("https://www.google.com/maps?q=-20.1613940,-44.9067260","Abrir no Google Maps")</f>
        <v>Abrir no Google Maps</v>
      </c>
      <c r="S901">
        <v>3</v>
      </c>
      <c r="T901">
        <v>763.68157548493457</v>
      </c>
      <c r="U901">
        <v>4</v>
      </c>
      <c r="V901">
        <v>24</v>
      </c>
      <c r="W901">
        <v>1</v>
      </c>
      <c r="X901">
        <v>24</v>
      </c>
      <c r="Y901">
        <v>729</v>
      </c>
      <c r="Z901">
        <v>551.70379325948545</v>
      </c>
      <c r="AA901">
        <v>198</v>
      </c>
      <c r="AB901">
        <v>332</v>
      </c>
      <c r="AC901">
        <v>536</v>
      </c>
      <c r="AD901">
        <v>30.48</v>
      </c>
      <c r="AE901">
        <v>542</v>
      </c>
      <c r="AF901">
        <v>30</v>
      </c>
      <c r="AG901">
        <v>176</v>
      </c>
      <c r="AH901">
        <v>129</v>
      </c>
      <c r="AI901">
        <v>5.54</v>
      </c>
      <c r="AJ901">
        <v>32.47</v>
      </c>
      <c r="AK901">
        <v>23.8</v>
      </c>
      <c r="AL901">
        <v>-20.161371049999929</v>
      </c>
      <c r="AM901">
        <v>-44.906816797310228</v>
      </c>
      <c r="AN901">
        <v>-20.161371049999929</v>
      </c>
      <c r="AO901">
        <v>-44.906816797310228</v>
      </c>
      <c r="AP901">
        <v>-20.161394000000001</v>
      </c>
      <c r="AQ901">
        <v>-44.906725999999999</v>
      </c>
      <c r="AR901">
        <v>9.8261555662022495</v>
      </c>
      <c r="AS901" t="s">
        <v>65</v>
      </c>
      <c r="AT901">
        <v>1</v>
      </c>
      <c r="AU901" t="s">
        <v>414</v>
      </c>
      <c r="AV901" t="s">
        <v>415</v>
      </c>
      <c r="AW901" t="s">
        <v>60</v>
      </c>
      <c r="AX901" t="s">
        <v>68</v>
      </c>
      <c r="AY901" t="s">
        <v>69</v>
      </c>
      <c r="AZ901" t="b">
        <v>1</v>
      </c>
    </row>
    <row r="902" spans="1:52" x14ac:dyDescent="0.3">
      <c r="A902" t="s">
        <v>52</v>
      </c>
      <c r="B902" t="s">
        <v>53</v>
      </c>
      <c r="C902" t="s">
        <v>54</v>
      </c>
      <c r="D902" t="s">
        <v>55</v>
      </c>
      <c r="E902" t="s">
        <v>2099</v>
      </c>
      <c r="F902" t="s">
        <v>1247</v>
      </c>
      <c r="G902" t="s">
        <v>442</v>
      </c>
      <c r="H902" t="s">
        <v>443</v>
      </c>
      <c r="I902" t="s">
        <v>443</v>
      </c>
      <c r="J902" t="s">
        <v>60</v>
      </c>
      <c r="K902" t="s">
        <v>437</v>
      </c>
      <c r="L902" t="s">
        <v>62</v>
      </c>
      <c r="M902" t="s">
        <v>437</v>
      </c>
      <c r="N902" t="s">
        <v>444</v>
      </c>
      <c r="O902" t="s">
        <v>445</v>
      </c>
      <c r="P902">
        <v>-20.149744999999999</v>
      </c>
      <c r="Q902">
        <v>-44.881385000000002</v>
      </c>
      <c r="R902" s="2" t="str">
        <f>HYPERLINK("https://www.google.com/maps?q=-20.1497450,-44.8813850","Abrir no Google Maps")</f>
        <v>Abrir no Google Maps</v>
      </c>
      <c r="S902">
        <v>3</v>
      </c>
      <c r="T902">
        <v>188.80690546111239</v>
      </c>
      <c r="U902">
        <v>4</v>
      </c>
      <c r="V902">
        <v>31</v>
      </c>
      <c r="W902">
        <v>1</v>
      </c>
      <c r="X902">
        <v>31</v>
      </c>
      <c r="Y902">
        <v>653</v>
      </c>
      <c r="Z902">
        <v>86.575080390731017</v>
      </c>
      <c r="AA902">
        <v>198</v>
      </c>
      <c r="AB902">
        <v>332</v>
      </c>
      <c r="AC902">
        <v>536</v>
      </c>
      <c r="AD902">
        <v>30.48</v>
      </c>
      <c r="AE902">
        <v>542</v>
      </c>
      <c r="AF902">
        <v>30</v>
      </c>
      <c r="AG902">
        <v>176</v>
      </c>
      <c r="AH902">
        <v>129</v>
      </c>
      <c r="AI902">
        <v>5.54</v>
      </c>
      <c r="AJ902">
        <v>32.47</v>
      </c>
      <c r="AK902">
        <v>23.8</v>
      </c>
      <c r="AL902">
        <v>-20.149645149999941</v>
      </c>
      <c r="AM902">
        <v>-44.881504585149607</v>
      </c>
      <c r="AN902">
        <v>-20.149645149999941</v>
      </c>
      <c r="AO902">
        <v>-44.881504585149607</v>
      </c>
      <c r="AP902">
        <v>-20.149744999999999</v>
      </c>
      <c r="AQ902">
        <v>-44.881385000000002</v>
      </c>
      <c r="AR902">
        <v>16.725323110840389</v>
      </c>
      <c r="AS902" t="s">
        <v>65</v>
      </c>
      <c r="AT902">
        <v>1</v>
      </c>
      <c r="AU902" t="s">
        <v>446</v>
      </c>
      <c r="AV902" t="s">
        <v>447</v>
      </c>
      <c r="AW902" t="s">
        <v>60</v>
      </c>
      <c r="AX902" t="s">
        <v>68</v>
      </c>
      <c r="AY902" t="s">
        <v>69</v>
      </c>
      <c r="AZ902" t="b">
        <v>1</v>
      </c>
    </row>
    <row r="903" spans="1:52" x14ac:dyDescent="0.3">
      <c r="A903" t="s">
        <v>52</v>
      </c>
      <c r="B903" t="s">
        <v>53</v>
      </c>
      <c r="C903" t="s">
        <v>54</v>
      </c>
      <c r="D903" t="s">
        <v>55</v>
      </c>
      <c r="E903" t="s">
        <v>2099</v>
      </c>
      <c r="F903" t="s">
        <v>1247</v>
      </c>
      <c r="G903" t="s">
        <v>448</v>
      </c>
      <c r="H903" t="s">
        <v>449</v>
      </c>
      <c r="I903" t="s">
        <v>449</v>
      </c>
      <c r="J903" t="s">
        <v>60</v>
      </c>
      <c r="K903" t="s">
        <v>388</v>
      </c>
      <c r="L903" t="s">
        <v>62</v>
      </c>
      <c r="M903" t="s">
        <v>388</v>
      </c>
      <c r="N903" t="s">
        <v>450</v>
      </c>
      <c r="O903" t="s">
        <v>451</v>
      </c>
      <c r="P903">
        <v>-20.163981</v>
      </c>
      <c r="Q903">
        <v>-44.907128999999998</v>
      </c>
      <c r="R903" s="2" t="str">
        <f>HYPERLINK("https://www.google.com/maps?q=-20.1639810,-44.9071290","Abrir no Google Maps")</f>
        <v>Abrir no Google Maps</v>
      </c>
      <c r="S903">
        <v>3</v>
      </c>
      <c r="T903">
        <v>782.50730806588319</v>
      </c>
      <c r="U903">
        <v>4</v>
      </c>
      <c r="V903">
        <v>24</v>
      </c>
      <c r="W903">
        <v>1</v>
      </c>
      <c r="X903">
        <v>24</v>
      </c>
      <c r="Y903">
        <v>639</v>
      </c>
      <c r="Z903">
        <v>710.90621453796166</v>
      </c>
      <c r="AA903">
        <v>198</v>
      </c>
      <c r="AB903">
        <v>332</v>
      </c>
      <c r="AC903">
        <v>536</v>
      </c>
      <c r="AD903">
        <v>30.48</v>
      </c>
      <c r="AE903">
        <v>542</v>
      </c>
      <c r="AF903">
        <v>30</v>
      </c>
      <c r="AG903">
        <v>176</v>
      </c>
      <c r="AH903">
        <v>129</v>
      </c>
      <c r="AI903">
        <v>5.54</v>
      </c>
      <c r="AJ903">
        <v>32.47</v>
      </c>
      <c r="AK903">
        <v>23.8</v>
      </c>
      <c r="AL903">
        <v>-20.163958349999969</v>
      </c>
      <c r="AM903">
        <v>-44.907180923930973</v>
      </c>
      <c r="AN903">
        <v>-20.163958349999969</v>
      </c>
      <c r="AO903">
        <v>-44.907180923930973</v>
      </c>
      <c r="AP903">
        <v>-20.163981</v>
      </c>
      <c r="AQ903">
        <v>-44.907128999999998</v>
      </c>
      <c r="AR903">
        <v>5.9831345092457884</v>
      </c>
      <c r="AS903" t="s">
        <v>65</v>
      </c>
      <c r="AT903">
        <v>1</v>
      </c>
      <c r="AU903" t="s">
        <v>452</v>
      </c>
      <c r="AV903" t="s">
        <v>453</v>
      </c>
      <c r="AW903" t="s">
        <v>60</v>
      </c>
      <c r="AX903" t="s">
        <v>68</v>
      </c>
      <c r="AY903" t="s">
        <v>69</v>
      </c>
      <c r="AZ903" t="b">
        <v>1</v>
      </c>
    </row>
    <row r="904" spans="1:52" x14ac:dyDescent="0.3">
      <c r="A904" t="s">
        <v>52</v>
      </c>
      <c r="B904" t="s">
        <v>53</v>
      </c>
      <c r="C904" t="s">
        <v>54</v>
      </c>
      <c r="D904" t="s">
        <v>55</v>
      </c>
      <c r="E904" t="s">
        <v>2099</v>
      </c>
      <c r="F904" t="s">
        <v>1247</v>
      </c>
      <c r="G904" t="s">
        <v>460</v>
      </c>
      <c r="H904" t="s">
        <v>461</v>
      </c>
      <c r="I904" t="s">
        <v>461</v>
      </c>
      <c r="J904" t="s">
        <v>60</v>
      </c>
      <c r="K904" t="s">
        <v>462</v>
      </c>
      <c r="L904" t="s">
        <v>62</v>
      </c>
      <c r="M904" t="s">
        <v>462</v>
      </c>
      <c r="N904" t="s">
        <v>463</v>
      </c>
      <c r="O904" t="s">
        <v>464</v>
      </c>
      <c r="P904">
        <v>-20.137919</v>
      </c>
      <c r="Q904">
        <v>-44.905591000000001</v>
      </c>
      <c r="R904" s="2" t="str">
        <f>HYPERLINK("https://www.google.com/maps?q=-20.1379190,-44.9055910","Abrir no Google Maps")</f>
        <v>Abrir no Google Maps</v>
      </c>
      <c r="S904">
        <v>3</v>
      </c>
      <c r="T904">
        <v>262.01115919461103</v>
      </c>
      <c r="U904">
        <v>4</v>
      </c>
      <c r="V904">
        <v>20</v>
      </c>
      <c r="W904">
        <v>1</v>
      </c>
      <c r="X904">
        <v>20</v>
      </c>
      <c r="Y904">
        <v>581</v>
      </c>
      <c r="Z904">
        <v>318.63337303219271</v>
      </c>
      <c r="AA904">
        <v>198</v>
      </c>
      <c r="AB904">
        <v>332</v>
      </c>
      <c r="AC904">
        <v>536</v>
      </c>
      <c r="AD904">
        <v>30.48</v>
      </c>
      <c r="AE904">
        <v>542</v>
      </c>
      <c r="AF904">
        <v>30</v>
      </c>
      <c r="AG904">
        <v>176</v>
      </c>
      <c r="AH904">
        <v>129</v>
      </c>
      <c r="AI904">
        <v>5.54</v>
      </c>
      <c r="AJ904">
        <v>32.47</v>
      </c>
      <c r="AK904">
        <v>23.8</v>
      </c>
      <c r="AL904">
        <v>-20.13789079999998</v>
      </c>
      <c r="AM904">
        <v>-44.90548593520333</v>
      </c>
      <c r="AN904">
        <v>-20.13789079999998</v>
      </c>
      <c r="AO904">
        <v>-44.90548593520333</v>
      </c>
      <c r="AP904">
        <v>-20.137919</v>
      </c>
      <c r="AQ904">
        <v>-44.905591000000001</v>
      </c>
      <c r="AR904">
        <v>11.42072348298178</v>
      </c>
      <c r="AS904" t="s">
        <v>65</v>
      </c>
      <c r="AT904">
        <v>1</v>
      </c>
      <c r="AU904" t="s">
        <v>465</v>
      </c>
      <c r="AV904" t="s">
        <v>466</v>
      </c>
      <c r="AW904" t="s">
        <v>60</v>
      </c>
      <c r="AX904" t="s">
        <v>68</v>
      </c>
      <c r="AY904" t="s">
        <v>69</v>
      </c>
      <c r="AZ904" t="b">
        <v>1</v>
      </c>
    </row>
    <row r="905" spans="1:52" x14ac:dyDescent="0.3">
      <c r="A905" t="s">
        <v>52</v>
      </c>
      <c r="B905" t="s">
        <v>53</v>
      </c>
      <c r="C905" t="s">
        <v>54</v>
      </c>
      <c r="D905" t="s">
        <v>55</v>
      </c>
      <c r="E905" t="s">
        <v>2099</v>
      </c>
      <c r="F905" t="s">
        <v>1247</v>
      </c>
      <c r="G905" t="s">
        <v>870</v>
      </c>
      <c r="H905" t="s">
        <v>871</v>
      </c>
      <c r="I905" t="s">
        <v>871</v>
      </c>
      <c r="J905" t="s">
        <v>60</v>
      </c>
      <c r="K905" t="s">
        <v>475</v>
      </c>
      <c r="L905" t="s">
        <v>62</v>
      </c>
      <c r="M905" t="s">
        <v>475</v>
      </c>
      <c r="N905" t="s">
        <v>872</v>
      </c>
      <c r="O905" t="s">
        <v>507</v>
      </c>
      <c r="P905">
        <v>-20.176269999999999</v>
      </c>
      <c r="Q905">
        <v>-44.909323999999998</v>
      </c>
      <c r="R905" s="2" t="str">
        <f>HYPERLINK("https://www.google.com/maps?q=-20.1762700,-44.9093240","Abrir no Google Maps")</f>
        <v>Abrir no Google Maps</v>
      </c>
      <c r="S905">
        <v>3</v>
      </c>
      <c r="T905">
        <v>472.42731136821368</v>
      </c>
      <c r="U905">
        <v>4</v>
      </c>
      <c r="V905">
        <v>25</v>
      </c>
      <c r="W905">
        <v>1</v>
      </c>
      <c r="X905">
        <v>25</v>
      </c>
      <c r="Y905">
        <v>578</v>
      </c>
      <c r="Z905">
        <v>495.19726726344601</v>
      </c>
      <c r="AA905">
        <v>198</v>
      </c>
      <c r="AB905">
        <v>332</v>
      </c>
      <c r="AC905">
        <v>536</v>
      </c>
      <c r="AD905">
        <v>30.48</v>
      </c>
      <c r="AE905">
        <v>542</v>
      </c>
      <c r="AF905">
        <v>30</v>
      </c>
      <c r="AG905">
        <v>176</v>
      </c>
      <c r="AH905">
        <v>129</v>
      </c>
      <c r="AI905">
        <v>5.54</v>
      </c>
      <c r="AJ905">
        <v>32.47</v>
      </c>
      <c r="AK905">
        <v>23.8</v>
      </c>
      <c r="AL905">
        <v>-20.17630284999996</v>
      </c>
      <c r="AM905">
        <v>-44.909199064318948</v>
      </c>
      <c r="AN905">
        <v>-20.17630284999996</v>
      </c>
      <c r="AO905">
        <v>-44.909199064318948</v>
      </c>
      <c r="AP905">
        <v>-20.176269999999999</v>
      </c>
      <c r="AQ905">
        <v>-44.909323999999998</v>
      </c>
      <c r="AR905">
        <v>13.55691308737447</v>
      </c>
      <c r="AS905" t="s">
        <v>65</v>
      </c>
      <c r="AT905">
        <v>1</v>
      </c>
      <c r="AU905" t="s">
        <v>873</v>
      </c>
      <c r="AV905" t="s">
        <v>874</v>
      </c>
      <c r="AW905" t="s">
        <v>60</v>
      </c>
      <c r="AX905" t="s">
        <v>68</v>
      </c>
      <c r="AY905" t="s">
        <v>69</v>
      </c>
      <c r="AZ905" t="b">
        <v>1</v>
      </c>
    </row>
    <row r="906" spans="1:52" x14ac:dyDescent="0.3">
      <c r="A906" t="s">
        <v>52</v>
      </c>
      <c r="B906" t="s">
        <v>53</v>
      </c>
      <c r="C906" t="s">
        <v>54</v>
      </c>
      <c r="D906" t="s">
        <v>55</v>
      </c>
      <c r="E906" t="s">
        <v>2099</v>
      </c>
      <c r="F906" t="s">
        <v>1247</v>
      </c>
      <c r="G906" t="s">
        <v>473</v>
      </c>
      <c r="H906" t="s">
        <v>474</v>
      </c>
      <c r="I906" t="s">
        <v>474</v>
      </c>
      <c r="J906" t="s">
        <v>60</v>
      </c>
      <c r="K906" t="s">
        <v>475</v>
      </c>
      <c r="L906" t="s">
        <v>62</v>
      </c>
      <c r="M906" t="s">
        <v>475</v>
      </c>
      <c r="N906" t="s">
        <v>406</v>
      </c>
      <c r="O906" t="s">
        <v>476</v>
      </c>
      <c r="P906">
        <v>-20.177902</v>
      </c>
      <c r="Q906">
        <v>-44.908504000000001</v>
      </c>
      <c r="R906" s="2" t="str">
        <f>HYPERLINK("https://www.google.com/maps?q=-20.1779020,-44.9085040","Abrir no Google Maps")</f>
        <v>Abrir no Google Maps</v>
      </c>
      <c r="S906">
        <v>3</v>
      </c>
      <c r="T906">
        <v>656.92307673247149</v>
      </c>
      <c r="U906">
        <v>4</v>
      </c>
      <c r="V906">
        <v>20</v>
      </c>
      <c r="W906">
        <v>1</v>
      </c>
      <c r="X906">
        <v>20</v>
      </c>
      <c r="Y906">
        <v>578</v>
      </c>
      <c r="Z906">
        <v>635.01982153722327</v>
      </c>
      <c r="AA906">
        <v>198</v>
      </c>
      <c r="AB906">
        <v>332</v>
      </c>
      <c r="AC906">
        <v>536</v>
      </c>
      <c r="AD906">
        <v>30.48</v>
      </c>
      <c r="AE906">
        <v>542</v>
      </c>
      <c r="AF906">
        <v>30</v>
      </c>
      <c r="AG906">
        <v>176</v>
      </c>
      <c r="AH906">
        <v>129</v>
      </c>
      <c r="AI906">
        <v>5.54</v>
      </c>
      <c r="AJ906">
        <v>32.47</v>
      </c>
      <c r="AK906">
        <v>23.8</v>
      </c>
      <c r="AL906">
        <v>-20.177800399999938</v>
      </c>
      <c r="AM906">
        <v>-44.908361879701268</v>
      </c>
      <c r="AN906">
        <v>-20.177800399999938</v>
      </c>
      <c r="AO906">
        <v>-44.908361879701268</v>
      </c>
      <c r="AP906">
        <v>-20.177902</v>
      </c>
      <c r="AQ906">
        <v>-44.908504000000001</v>
      </c>
      <c r="AR906">
        <v>18.666463141775541</v>
      </c>
      <c r="AS906" t="s">
        <v>65</v>
      </c>
      <c r="AT906">
        <v>1</v>
      </c>
      <c r="AU906" t="s">
        <v>477</v>
      </c>
      <c r="AV906" t="s">
        <v>478</v>
      </c>
      <c r="AW906" t="s">
        <v>60</v>
      </c>
      <c r="AX906" t="s">
        <v>68</v>
      </c>
      <c r="AY906" t="s">
        <v>69</v>
      </c>
      <c r="AZ906" t="b">
        <v>1</v>
      </c>
    </row>
    <row r="907" spans="1:52" x14ac:dyDescent="0.3">
      <c r="A907" t="s">
        <v>52</v>
      </c>
      <c r="B907" t="s">
        <v>53</v>
      </c>
      <c r="C907" t="s">
        <v>54</v>
      </c>
      <c r="D907" t="s">
        <v>55</v>
      </c>
      <c r="E907" t="s">
        <v>2099</v>
      </c>
      <c r="F907" t="s">
        <v>1247</v>
      </c>
      <c r="G907" t="s">
        <v>484</v>
      </c>
      <c r="H907" t="s">
        <v>485</v>
      </c>
      <c r="I907" t="s">
        <v>485</v>
      </c>
      <c r="J907" t="s">
        <v>60</v>
      </c>
      <c r="K907" t="s">
        <v>486</v>
      </c>
      <c r="L907" t="s">
        <v>62</v>
      </c>
      <c r="M907" t="s">
        <v>486</v>
      </c>
      <c r="N907" t="s">
        <v>487</v>
      </c>
      <c r="O907" t="s">
        <v>488</v>
      </c>
      <c r="P907">
        <v>-20.173000999999999</v>
      </c>
      <c r="Q907">
        <v>-44.901876999999999</v>
      </c>
      <c r="R907" s="2" t="str">
        <f>HYPERLINK("https://www.google.com/maps?q=-20.1730010,-44.9018770","Abrir no Google Maps")</f>
        <v>Abrir no Google Maps</v>
      </c>
      <c r="S907">
        <v>3</v>
      </c>
      <c r="T907">
        <v>437.59695450783011</v>
      </c>
      <c r="U907">
        <v>4</v>
      </c>
      <c r="V907">
        <v>22</v>
      </c>
      <c r="W907">
        <v>1</v>
      </c>
      <c r="X907">
        <v>22</v>
      </c>
      <c r="Y907">
        <v>578</v>
      </c>
      <c r="Z907">
        <v>440.53629183653243</v>
      </c>
      <c r="AA907">
        <v>198</v>
      </c>
      <c r="AB907">
        <v>332</v>
      </c>
      <c r="AC907">
        <v>536</v>
      </c>
      <c r="AD907">
        <v>30.48</v>
      </c>
      <c r="AE907">
        <v>542</v>
      </c>
      <c r="AF907">
        <v>30</v>
      </c>
      <c r="AG907">
        <v>176</v>
      </c>
      <c r="AH907">
        <v>129</v>
      </c>
      <c r="AI907">
        <v>5.54</v>
      </c>
      <c r="AJ907">
        <v>32.47</v>
      </c>
      <c r="AK907">
        <v>23.8</v>
      </c>
      <c r="AL907">
        <v>-20.173065299999969</v>
      </c>
      <c r="AM907">
        <v>-44.902052686008687</v>
      </c>
      <c r="AN907">
        <v>-20.173065299999969</v>
      </c>
      <c r="AO907">
        <v>-44.902052686008687</v>
      </c>
      <c r="AP907">
        <v>-20.173000999999999</v>
      </c>
      <c r="AQ907">
        <v>-44.901876999999999</v>
      </c>
      <c r="AR907">
        <v>19.703745070768829</v>
      </c>
      <c r="AS907" t="s">
        <v>65</v>
      </c>
      <c r="AT907">
        <v>1</v>
      </c>
      <c r="AU907" t="s">
        <v>489</v>
      </c>
      <c r="AV907" t="s">
        <v>490</v>
      </c>
      <c r="AW907" t="s">
        <v>60</v>
      </c>
      <c r="AX907" t="s">
        <v>68</v>
      </c>
      <c r="AY907" t="s">
        <v>69</v>
      </c>
      <c r="AZ907" t="b">
        <v>1</v>
      </c>
    </row>
    <row r="908" spans="1:52" x14ac:dyDescent="0.3">
      <c r="A908" t="s">
        <v>52</v>
      </c>
      <c r="B908" t="s">
        <v>53</v>
      </c>
      <c r="C908" t="s">
        <v>54</v>
      </c>
      <c r="D908" t="s">
        <v>55</v>
      </c>
      <c r="E908" t="s">
        <v>2099</v>
      </c>
      <c r="F908" t="s">
        <v>1247</v>
      </c>
      <c r="G908" t="s">
        <v>491</v>
      </c>
      <c r="H908" t="s">
        <v>492</v>
      </c>
      <c r="I908" t="s">
        <v>492</v>
      </c>
      <c r="J908" t="s">
        <v>60</v>
      </c>
      <c r="K908" t="s">
        <v>475</v>
      </c>
      <c r="L908" t="s">
        <v>62</v>
      </c>
      <c r="M908" t="s">
        <v>475</v>
      </c>
      <c r="N908" t="s">
        <v>493</v>
      </c>
      <c r="O908" t="s">
        <v>494</v>
      </c>
      <c r="P908">
        <v>-20.175250999999999</v>
      </c>
      <c r="Q908">
        <v>-44.897357</v>
      </c>
      <c r="R908" s="2" t="str">
        <f>HYPERLINK("https://www.google.com/maps?q=-20.1752510,-44.8973570","Abrir no Google Maps")</f>
        <v>Abrir no Google Maps</v>
      </c>
      <c r="S908">
        <v>3</v>
      </c>
      <c r="T908">
        <v>992.29631678149951</v>
      </c>
      <c r="U908">
        <v>4</v>
      </c>
      <c r="V908">
        <v>20</v>
      </c>
      <c r="W908">
        <v>1</v>
      </c>
      <c r="X908">
        <v>20</v>
      </c>
      <c r="Y908">
        <v>578</v>
      </c>
      <c r="Z908">
        <v>1008.5871064168319</v>
      </c>
      <c r="AA908">
        <v>198</v>
      </c>
      <c r="AB908">
        <v>332</v>
      </c>
      <c r="AC908">
        <v>536</v>
      </c>
      <c r="AD908">
        <v>30.48</v>
      </c>
      <c r="AE908">
        <v>542</v>
      </c>
      <c r="AF908">
        <v>30</v>
      </c>
      <c r="AG908">
        <v>176</v>
      </c>
      <c r="AH908">
        <v>129</v>
      </c>
      <c r="AI908">
        <v>5.54</v>
      </c>
      <c r="AJ908">
        <v>32.47</v>
      </c>
      <c r="AK908">
        <v>23.8</v>
      </c>
      <c r="AL908">
        <v>-20.175290599999951</v>
      </c>
      <c r="AM908">
        <v>-44.897271931010721</v>
      </c>
      <c r="AN908">
        <v>-20.175290599999951</v>
      </c>
      <c r="AO908">
        <v>-44.897271931010721</v>
      </c>
      <c r="AP908">
        <v>-20.175250999999999</v>
      </c>
      <c r="AQ908">
        <v>-44.897357</v>
      </c>
      <c r="AR908">
        <v>9.921899108467926</v>
      </c>
      <c r="AS908" t="s">
        <v>65</v>
      </c>
      <c r="AT908">
        <v>1</v>
      </c>
      <c r="AU908" t="s">
        <v>495</v>
      </c>
      <c r="AV908" t="s">
        <v>496</v>
      </c>
      <c r="AW908" t="s">
        <v>60</v>
      </c>
      <c r="AX908" t="s">
        <v>68</v>
      </c>
      <c r="AY908" t="s">
        <v>69</v>
      </c>
      <c r="AZ908" t="b">
        <v>1</v>
      </c>
    </row>
    <row r="909" spans="1:52" x14ac:dyDescent="0.3">
      <c r="A909" t="s">
        <v>52</v>
      </c>
      <c r="B909" t="s">
        <v>53</v>
      </c>
      <c r="C909" t="s">
        <v>54</v>
      </c>
      <c r="D909" t="s">
        <v>55</v>
      </c>
      <c r="E909" t="s">
        <v>2099</v>
      </c>
      <c r="F909" t="s">
        <v>1247</v>
      </c>
      <c r="G909" t="s">
        <v>497</v>
      </c>
      <c r="H909" t="s">
        <v>875</v>
      </c>
      <c r="I909" t="s">
        <v>875</v>
      </c>
      <c r="J909" t="s">
        <v>60</v>
      </c>
      <c r="K909" t="s">
        <v>475</v>
      </c>
      <c r="L909" t="s">
        <v>62</v>
      </c>
      <c r="M909" t="s">
        <v>475</v>
      </c>
      <c r="N909" t="s">
        <v>499</v>
      </c>
      <c r="O909" t="s">
        <v>876</v>
      </c>
      <c r="P909">
        <v>-20.177212999999998</v>
      </c>
      <c r="Q909">
        <v>-44.904026999999999</v>
      </c>
      <c r="R909" s="2" t="str">
        <f>HYPERLINK("https://www.google.com/maps?q=-20.1772130,-44.9040270","Abrir no Google Maps")</f>
        <v>Abrir no Google Maps</v>
      </c>
      <c r="S909">
        <v>3</v>
      </c>
      <c r="T909">
        <v>706.4159561113795</v>
      </c>
      <c r="U909">
        <v>4</v>
      </c>
      <c r="V909">
        <v>21</v>
      </c>
      <c r="W909">
        <v>1</v>
      </c>
      <c r="X909">
        <v>21</v>
      </c>
      <c r="Y909">
        <v>578</v>
      </c>
      <c r="Z909">
        <v>588.7160518608398</v>
      </c>
      <c r="AA909">
        <v>198</v>
      </c>
      <c r="AB909">
        <v>332</v>
      </c>
      <c r="AC909">
        <v>536</v>
      </c>
      <c r="AD909">
        <v>30.48</v>
      </c>
      <c r="AE909">
        <v>542</v>
      </c>
      <c r="AF909">
        <v>30</v>
      </c>
      <c r="AG909">
        <v>176</v>
      </c>
      <c r="AH909">
        <v>129</v>
      </c>
      <c r="AI909">
        <v>5.54</v>
      </c>
      <c r="AJ909">
        <v>32.47</v>
      </c>
      <c r="AK909">
        <v>23.8</v>
      </c>
      <c r="AL909">
        <v>-20.177090199999949</v>
      </c>
      <c r="AM909">
        <v>-44.904078820930181</v>
      </c>
      <c r="AN909">
        <v>-20.177090199999949</v>
      </c>
      <c r="AO909">
        <v>-44.904078820930181</v>
      </c>
      <c r="AP909">
        <v>-20.177212999999998</v>
      </c>
      <c r="AQ909">
        <v>-44.904026999999999</v>
      </c>
      <c r="AR909">
        <v>14.7034129632295</v>
      </c>
      <c r="AS909" t="s">
        <v>65</v>
      </c>
      <c r="AT909">
        <v>1</v>
      </c>
      <c r="AU909" t="s">
        <v>877</v>
      </c>
      <c r="AV909" t="s">
        <v>878</v>
      </c>
      <c r="AW909" t="s">
        <v>60</v>
      </c>
      <c r="AX909" t="s">
        <v>68</v>
      </c>
      <c r="AY909" t="s">
        <v>69</v>
      </c>
      <c r="AZ909" t="b">
        <v>1</v>
      </c>
    </row>
    <row r="910" spans="1:52" x14ac:dyDescent="0.3">
      <c r="A910" t="s">
        <v>52</v>
      </c>
      <c r="B910" t="s">
        <v>53</v>
      </c>
      <c r="C910" t="s">
        <v>54</v>
      </c>
      <c r="D910" t="s">
        <v>55</v>
      </c>
      <c r="E910" t="s">
        <v>2099</v>
      </c>
      <c r="F910" t="s">
        <v>1247</v>
      </c>
      <c r="G910" t="s">
        <v>503</v>
      </c>
      <c r="H910" t="s">
        <v>504</v>
      </c>
      <c r="I910" t="s">
        <v>504</v>
      </c>
      <c r="J910" t="s">
        <v>60</v>
      </c>
      <c r="K910" t="s">
        <v>505</v>
      </c>
      <c r="L910" t="s">
        <v>62</v>
      </c>
      <c r="M910" t="s">
        <v>505</v>
      </c>
      <c r="N910" t="s">
        <v>506</v>
      </c>
      <c r="O910" t="s">
        <v>507</v>
      </c>
      <c r="P910">
        <v>-20.131428</v>
      </c>
      <c r="Q910">
        <v>-44.888921000000003</v>
      </c>
      <c r="R910" s="2" t="str">
        <f>HYPERLINK("https://www.google.com/maps?q=-20.1314280,-44.8889210","Abrir no Google Maps")</f>
        <v>Abrir no Google Maps</v>
      </c>
      <c r="S910">
        <v>3</v>
      </c>
      <c r="T910">
        <v>250.64150698244501</v>
      </c>
      <c r="U910">
        <v>4</v>
      </c>
      <c r="V910">
        <v>19</v>
      </c>
      <c r="W910">
        <v>1</v>
      </c>
      <c r="X910">
        <v>19</v>
      </c>
      <c r="Y910">
        <v>564</v>
      </c>
      <c r="Z910">
        <v>189.93933888952441</v>
      </c>
      <c r="AA910">
        <v>198</v>
      </c>
      <c r="AB910">
        <v>332</v>
      </c>
      <c r="AC910">
        <v>536</v>
      </c>
      <c r="AD910">
        <v>30.48</v>
      </c>
      <c r="AE910">
        <v>542</v>
      </c>
      <c r="AF910">
        <v>30</v>
      </c>
      <c r="AG910">
        <v>176</v>
      </c>
      <c r="AH910">
        <v>129</v>
      </c>
      <c r="AI910">
        <v>5.54</v>
      </c>
      <c r="AJ910">
        <v>32.47</v>
      </c>
      <c r="AK910">
        <v>23.8</v>
      </c>
      <c r="AL910">
        <v>-20.13123589999995</v>
      </c>
      <c r="AM910">
        <v>-44.888742396501762</v>
      </c>
      <c r="AN910">
        <v>-20.13123589999995</v>
      </c>
      <c r="AO910">
        <v>-44.888742396501762</v>
      </c>
      <c r="AP910">
        <v>-20.131428</v>
      </c>
      <c r="AQ910">
        <v>-44.888921000000003</v>
      </c>
      <c r="AR910">
        <v>28.386169462917032</v>
      </c>
      <c r="AS910" t="s">
        <v>65</v>
      </c>
      <c r="AT910">
        <v>1</v>
      </c>
      <c r="AU910" t="s">
        <v>508</v>
      </c>
      <c r="AV910" t="s">
        <v>509</v>
      </c>
      <c r="AW910" t="s">
        <v>60</v>
      </c>
      <c r="AX910" t="s">
        <v>68</v>
      </c>
      <c r="AY910" t="s">
        <v>69</v>
      </c>
      <c r="AZ910" t="b">
        <v>1</v>
      </c>
    </row>
    <row r="911" spans="1:52" x14ac:dyDescent="0.3">
      <c r="A911" t="s">
        <v>52</v>
      </c>
      <c r="B911" t="s">
        <v>53</v>
      </c>
      <c r="C911" t="s">
        <v>54</v>
      </c>
      <c r="D911" t="s">
        <v>55</v>
      </c>
      <c r="E911" t="s">
        <v>2099</v>
      </c>
      <c r="F911" t="s">
        <v>1247</v>
      </c>
      <c r="G911" t="s">
        <v>510</v>
      </c>
      <c r="H911" t="s">
        <v>511</v>
      </c>
      <c r="I911" t="s">
        <v>511</v>
      </c>
      <c r="J911" t="s">
        <v>60</v>
      </c>
      <c r="K911" t="s">
        <v>512</v>
      </c>
      <c r="L911" t="s">
        <v>62</v>
      </c>
      <c r="M911" t="s">
        <v>512</v>
      </c>
      <c r="N911" t="s">
        <v>406</v>
      </c>
      <c r="O911" t="s">
        <v>513</v>
      </c>
      <c r="P911">
        <v>-20.127853000000002</v>
      </c>
      <c r="Q911">
        <v>-44.891415000000002</v>
      </c>
      <c r="R911" s="2" t="str">
        <f>HYPERLINK("https://www.google.com/maps?q=-20.1278530,-44.8914150","Abrir no Google Maps")</f>
        <v>Abrir no Google Maps</v>
      </c>
      <c r="S911">
        <v>3</v>
      </c>
      <c r="T911">
        <v>340.86994528233612</v>
      </c>
      <c r="U911">
        <v>4</v>
      </c>
      <c r="V911">
        <v>23</v>
      </c>
      <c r="W911">
        <v>1</v>
      </c>
      <c r="X911">
        <v>23</v>
      </c>
      <c r="Y911">
        <v>564</v>
      </c>
      <c r="Z911">
        <v>294.18108015916812</v>
      </c>
      <c r="AA911">
        <v>198</v>
      </c>
      <c r="AB911">
        <v>332</v>
      </c>
      <c r="AC911">
        <v>536</v>
      </c>
      <c r="AD911">
        <v>30.48</v>
      </c>
      <c r="AE911">
        <v>542</v>
      </c>
      <c r="AF911">
        <v>30</v>
      </c>
      <c r="AG911">
        <v>176</v>
      </c>
      <c r="AH911">
        <v>129</v>
      </c>
      <c r="AI911">
        <v>5.54</v>
      </c>
      <c r="AJ911">
        <v>32.47</v>
      </c>
      <c r="AK911">
        <v>23.8</v>
      </c>
      <c r="AL911">
        <v>-20.12777399999996</v>
      </c>
      <c r="AM911">
        <v>-44.891400975758501</v>
      </c>
      <c r="AN911">
        <v>-20.12777399999996</v>
      </c>
      <c r="AO911">
        <v>-44.891400975758501</v>
      </c>
      <c r="AP911">
        <v>-20.127853000000002</v>
      </c>
      <c r="AQ911">
        <v>-44.891415000000002</v>
      </c>
      <c r="AR911">
        <v>8.9156059162975616</v>
      </c>
      <c r="AS911" t="s">
        <v>65</v>
      </c>
      <c r="AT911">
        <v>1</v>
      </c>
      <c r="AU911" t="s">
        <v>514</v>
      </c>
      <c r="AV911" t="s">
        <v>515</v>
      </c>
      <c r="AW911" t="s">
        <v>60</v>
      </c>
      <c r="AX911" t="s">
        <v>68</v>
      </c>
      <c r="AY911" t="s">
        <v>69</v>
      </c>
      <c r="AZ911" t="b">
        <v>1</v>
      </c>
    </row>
    <row r="912" spans="1:52" x14ac:dyDescent="0.3">
      <c r="A912" t="s">
        <v>52</v>
      </c>
      <c r="B912" t="s">
        <v>53</v>
      </c>
      <c r="C912" t="s">
        <v>54</v>
      </c>
      <c r="D912" t="s">
        <v>55</v>
      </c>
      <c r="E912" t="s">
        <v>2099</v>
      </c>
      <c r="F912" t="s">
        <v>1247</v>
      </c>
      <c r="G912" t="s">
        <v>516</v>
      </c>
      <c r="H912" t="s">
        <v>517</v>
      </c>
      <c r="I912" t="s">
        <v>517</v>
      </c>
      <c r="J912" t="s">
        <v>60</v>
      </c>
      <c r="K912" t="s">
        <v>518</v>
      </c>
      <c r="L912" t="s">
        <v>62</v>
      </c>
      <c r="M912" t="s">
        <v>518</v>
      </c>
      <c r="N912" t="s">
        <v>519</v>
      </c>
      <c r="O912" t="s">
        <v>520</v>
      </c>
      <c r="P912">
        <v>-20.124502</v>
      </c>
      <c r="Q912">
        <v>-44.888424000000001</v>
      </c>
      <c r="R912" s="2" t="str">
        <f>HYPERLINK("https://www.google.com/maps?q=-20.1245020,-44.8884240","Abrir no Google Maps")</f>
        <v>Abrir no Google Maps</v>
      </c>
      <c r="S912">
        <v>3</v>
      </c>
      <c r="T912">
        <v>483.42298121929559</v>
      </c>
      <c r="U912">
        <v>4</v>
      </c>
      <c r="V912">
        <v>20</v>
      </c>
      <c r="W912">
        <v>1</v>
      </c>
      <c r="X912">
        <v>20</v>
      </c>
      <c r="Y912">
        <v>564</v>
      </c>
      <c r="Z912">
        <v>565.43074237076587</v>
      </c>
      <c r="AA912">
        <v>198</v>
      </c>
      <c r="AB912">
        <v>332</v>
      </c>
      <c r="AC912">
        <v>536</v>
      </c>
      <c r="AD912">
        <v>30.48</v>
      </c>
      <c r="AE912">
        <v>542</v>
      </c>
      <c r="AF912">
        <v>30</v>
      </c>
      <c r="AG912">
        <v>176</v>
      </c>
      <c r="AH912">
        <v>129</v>
      </c>
      <c r="AI912">
        <v>5.54</v>
      </c>
      <c r="AJ912">
        <v>32.47</v>
      </c>
      <c r="AK912">
        <v>23.8</v>
      </c>
      <c r="AL912">
        <v>-20.124624949999941</v>
      </c>
      <c r="AM912">
        <v>-44.888432821777258</v>
      </c>
      <c r="AN912">
        <v>-20.124624949999941</v>
      </c>
      <c r="AO912">
        <v>-44.888432821777258</v>
      </c>
      <c r="AP912">
        <v>-20.124502</v>
      </c>
      <c r="AQ912">
        <v>-44.888424000000001</v>
      </c>
      <c r="AR912">
        <v>13.717819333897451</v>
      </c>
      <c r="AS912" t="s">
        <v>65</v>
      </c>
      <c r="AT912">
        <v>1</v>
      </c>
      <c r="AU912" t="s">
        <v>521</v>
      </c>
      <c r="AV912" t="s">
        <v>522</v>
      </c>
      <c r="AW912" t="s">
        <v>60</v>
      </c>
      <c r="AX912" t="s">
        <v>68</v>
      </c>
      <c r="AY912" t="s">
        <v>69</v>
      </c>
      <c r="AZ912" t="b">
        <v>1</v>
      </c>
    </row>
    <row r="913" spans="1:52" x14ac:dyDescent="0.3">
      <c r="A913" t="s">
        <v>52</v>
      </c>
      <c r="B913" t="s">
        <v>53</v>
      </c>
      <c r="C913" t="s">
        <v>54</v>
      </c>
      <c r="D913" t="s">
        <v>55</v>
      </c>
      <c r="E913" t="s">
        <v>2099</v>
      </c>
      <c r="F913" t="s">
        <v>1247</v>
      </c>
      <c r="G913" t="s">
        <v>528</v>
      </c>
      <c r="H913" t="s">
        <v>529</v>
      </c>
      <c r="I913" t="s">
        <v>529</v>
      </c>
      <c r="J913" t="s">
        <v>60</v>
      </c>
      <c r="K913" t="s">
        <v>530</v>
      </c>
      <c r="L913" t="s">
        <v>62</v>
      </c>
      <c r="M913" t="s">
        <v>530</v>
      </c>
      <c r="N913" t="s">
        <v>531</v>
      </c>
      <c r="O913" t="s">
        <v>532</v>
      </c>
      <c r="P913">
        <v>-20.142457</v>
      </c>
      <c r="Q913">
        <v>-44.891688000000002</v>
      </c>
      <c r="R913" s="2" t="str">
        <f>HYPERLINK("https://www.google.com/maps?q=-20.1424570,-44.8916880","Abrir no Google Maps")</f>
        <v>Abrir no Google Maps</v>
      </c>
      <c r="S913">
        <v>3</v>
      </c>
      <c r="T913">
        <v>0</v>
      </c>
      <c r="U913">
        <v>4</v>
      </c>
      <c r="V913">
        <v>24</v>
      </c>
      <c r="W913">
        <v>1</v>
      </c>
      <c r="X913">
        <v>24</v>
      </c>
      <c r="Y913">
        <v>557</v>
      </c>
      <c r="Z913">
        <v>42.611952255679803</v>
      </c>
      <c r="AA913">
        <v>198</v>
      </c>
      <c r="AB913">
        <v>332</v>
      </c>
      <c r="AC913">
        <v>536</v>
      </c>
      <c r="AD913">
        <v>30.48</v>
      </c>
      <c r="AE913">
        <v>542</v>
      </c>
      <c r="AF913">
        <v>30</v>
      </c>
      <c r="AG913">
        <v>176</v>
      </c>
      <c r="AH913">
        <v>129</v>
      </c>
      <c r="AI913">
        <v>5.54</v>
      </c>
      <c r="AJ913">
        <v>32.47</v>
      </c>
      <c r="AK913">
        <v>23.8</v>
      </c>
      <c r="AL913">
        <v>-20.142523099999948</v>
      </c>
      <c r="AM913">
        <v>-44.891523817588819</v>
      </c>
      <c r="AN913">
        <v>-20.142523099999948</v>
      </c>
      <c r="AO913">
        <v>-44.891523817588819</v>
      </c>
      <c r="AP913">
        <v>-20.142457</v>
      </c>
      <c r="AQ913">
        <v>-44.891688000000002</v>
      </c>
      <c r="AR913">
        <v>18.670129248632971</v>
      </c>
      <c r="AS913" t="s">
        <v>65</v>
      </c>
      <c r="AT913">
        <v>1</v>
      </c>
      <c r="AU913" t="s">
        <v>533</v>
      </c>
      <c r="AV913" t="s">
        <v>534</v>
      </c>
      <c r="AW913" t="s">
        <v>60</v>
      </c>
      <c r="AX913" t="s">
        <v>68</v>
      </c>
      <c r="AY913" t="s">
        <v>69</v>
      </c>
      <c r="AZ913" t="b">
        <v>1</v>
      </c>
    </row>
    <row r="914" spans="1:52" x14ac:dyDescent="0.3">
      <c r="A914" t="s">
        <v>52</v>
      </c>
      <c r="B914" t="s">
        <v>53</v>
      </c>
      <c r="C914" t="s">
        <v>54</v>
      </c>
      <c r="D914" t="s">
        <v>55</v>
      </c>
      <c r="E914" t="s">
        <v>2099</v>
      </c>
      <c r="F914" t="s">
        <v>1247</v>
      </c>
      <c r="G914" t="s">
        <v>890</v>
      </c>
      <c r="H914" t="s">
        <v>891</v>
      </c>
      <c r="I914" t="s">
        <v>891</v>
      </c>
      <c r="J914" t="s">
        <v>60</v>
      </c>
      <c r="K914" t="s">
        <v>892</v>
      </c>
      <c r="L914" t="s">
        <v>62</v>
      </c>
      <c r="M914" t="s">
        <v>892</v>
      </c>
      <c r="N914" t="s">
        <v>893</v>
      </c>
      <c r="O914" t="s">
        <v>894</v>
      </c>
      <c r="P914">
        <v>-20.152519000000002</v>
      </c>
      <c r="Q914">
        <v>-44.899177000000002</v>
      </c>
      <c r="R914" s="2" t="str">
        <f>HYPERLINK("https://www.google.com/maps?q=-20.1525190,-44.8991770","Abrir no Google Maps")</f>
        <v>Abrir no Google Maps</v>
      </c>
      <c r="S914">
        <v>3</v>
      </c>
      <c r="T914">
        <v>211.80188552994721</v>
      </c>
      <c r="U914">
        <v>4</v>
      </c>
      <c r="V914">
        <v>21</v>
      </c>
      <c r="W914">
        <v>1</v>
      </c>
      <c r="X914">
        <v>21</v>
      </c>
      <c r="Y914">
        <v>556</v>
      </c>
      <c r="Z914">
        <v>290.34804137107091</v>
      </c>
      <c r="AA914">
        <v>198</v>
      </c>
      <c r="AB914">
        <v>332</v>
      </c>
      <c r="AC914">
        <v>536</v>
      </c>
      <c r="AD914">
        <v>30.48</v>
      </c>
      <c r="AE914">
        <v>542</v>
      </c>
      <c r="AF914">
        <v>30</v>
      </c>
      <c r="AG914">
        <v>176</v>
      </c>
      <c r="AH914">
        <v>129</v>
      </c>
      <c r="AI914">
        <v>5.54</v>
      </c>
      <c r="AJ914">
        <v>32.47</v>
      </c>
      <c r="AK914">
        <v>23.8</v>
      </c>
      <c r="AL914">
        <v>-20.152516249999959</v>
      </c>
      <c r="AM914">
        <v>-44.899310431333959</v>
      </c>
      <c r="AN914">
        <v>-20.152516249999959</v>
      </c>
      <c r="AO914">
        <v>-44.899310431333959</v>
      </c>
      <c r="AP914">
        <v>-20.152519000000002</v>
      </c>
      <c r="AQ914">
        <v>-44.899177000000002</v>
      </c>
      <c r="AR914">
        <v>13.947583284957719</v>
      </c>
      <c r="AS914" t="s">
        <v>65</v>
      </c>
      <c r="AT914">
        <v>1</v>
      </c>
      <c r="AU914" t="s">
        <v>895</v>
      </c>
      <c r="AV914" t="s">
        <v>896</v>
      </c>
      <c r="AW914" t="s">
        <v>60</v>
      </c>
      <c r="AX914" t="s">
        <v>68</v>
      </c>
      <c r="AY914" t="s">
        <v>69</v>
      </c>
      <c r="AZ914" t="b">
        <v>1</v>
      </c>
    </row>
    <row r="915" spans="1:52" x14ac:dyDescent="0.3">
      <c r="A915" t="s">
        <v>52</v>
      </c>
      <c r="B915" t="s">
        <v>53</v>
      </c>
      <c r="C915" t="s">
        <v>54</v>
      </c>
      <c r="D915" t="s">
        <v>55</v>
      </c>
      <c r="E915" t="s">
        <v>2099</v>
      </c>
      <c r="F915" t="s">
        <v>1247</v>
      </c>
      <c r="G915" t="s">
        <v>535</v>
      </c>
      <c r="H915" t="s">
        <v>536</v>
      </c>
      <c r="I915" t="s">
        <v>536</v>
      </c>
      <c r="J915" t="s">
        <v>60</v>
      </c>
      <c r="K915" t="s">
        <v>388</v>
      </c>
      <c r="L915" t="s">
        <v>62</v>
      </c>
      <c r="M915" t="s">
        <v>388</v>
      </c>
      <c r="N915" t="s">
        <v>537</v>
      </c>
      <c r="O915" t="s">
        <v>538</v>
      </c>
      <c r="P915">
        <v>-20.150061999999998</v>
      </c>
      <c r="Q915">
        <v>-44.903379000000001</v>
      </c>
      <c r="R915" s="2" t="str">
        <f>HYPERLINK("https://www.google.com/maps?q=-20.1500620,-44.9033790","Abrir no Google Maps")</f>
        <v>Abrir no Google Maps</v>
      </c>
      <c r="S915">
        <v>3</v>
      </c>
      <c r="T915">
        <v>286.20313674219977</v>
      </c>
      <c r="U915">
        <v>4</v>
      </c>
      <c r="V915">
        <v>21</v>
      </c>
      <c r="W915">
        <v>1</v>
      </c>
      <c r="X915">
        <v>21</v>
      </c>
      <c r="Y915">
        <v>556</v>
      </c>
      <c r="Z915">
        <v>315.81851898667401</v>
      </c>
      <c r="AA915">
        <v>198</v>
      </c>
      <c r="AB915">
        <v>332</v>
      </c>
      <c r="AC915">
        <v>536</v>
      </c>
      <c r="AD915">
        <v>30.48</v>
      </c>
      <c r="AE915">
        <v>542</v>
      </c>
      <c r="AF915">
        <v>30</v>
      </c>
      <c r="AG915">
        <v>176</v>
      </c>
      <c r="AH915">
        <v>129</v>
      </c>
      <c r="AI915">
        <v>5.54</v>
      </c>
      <c r="AJ915">
        <v>32.47</v>
      </c>
      <c r="AK915">
        <v>23.8</v>
      </c>
      <c r="AL915">
        <v>-20.150084299999971</v>
      </c>
      <c r="AM915">
        <v>-44.903278407568479</v>
      </c>
      <c r="AN915">
        <v>-20.150084299999971</v>
      </c>
      <c r="AO915">
        <v>-44.903278407568479</v>
      </c>
      <c r="AP915">
        <v>-20.150061999999998</v>
      </c>
      <c r="AQ915">
        <v>-44.903379000000001</v>
      </c>
      <c r="AR915">
        <v>10.801687336134639</v>
      </c>
      <c r="AS915" t="s">
        <v>65</v>
      </c>
      <c r="AT915">
        <v>1</v>
      </c>
      <c r="AU915" t="s">
        <v>539</v>
      </c>
      <c r="AV915" t="s">
        <v>540</v>
      </c>
      <c r="AW915" t="s">
        <v>60</v>
      </c>
      <c r="AX915" t="s">
        <v>68</v>
      </c>
      <c r="AY915" t="s">
        <v>69</v>
      </c>
      <c r="AZ915" t="b">
        <v>1</v>
      </c>
    </row>
    <row r="916" spans="1:52" x14ac:dyDescent="0.3">
      <c r="A916" t="s">
        <v>52</v>
      </c>
      <c r="B916" t="s">
        <v>53</v>
      </c>
      <c r="C916" t="s">
        <v>54</v>
      </c>
      <c r="D916" t="s">
        <v>55</v>
      </c>
      <c r="E916" t="s">
        <v>2099</v>
      </c>
      <c r="F916" t="s">
        <v>1247</v>
      </c>
      <c r="G916" t="s">
        <v>897</v>
      </c>
      <c r="H916" t="s">
        <v>898</v>
      </c>
      <c r="I916" t="s">
        <v>898</v>
      </c>
      <c r="J916" t="s">
        <v>60</v>
      </c>
      <c r="K916" t="s">
        <v>892</v>
      </c>
      <c r="L916" t="s">
        <v>62</v>
      </c>
      <c r="M916" t="s">
        <v>892</v>
      </c>
      <c r="N916" t="s">
        <v>899</v>
      </c>
      <c r="O916" t="s">
        <v>900</v>
      </c>
      <c r="P916">
        <v>-20.154885</v>
      </c>
      <c r="Q916">
        <v>-44.899890999999997</v>
      </c>
      <c r="R916" s="2" t="str">
        <f>HYPERLINK("https://www.google.com/maps?q=-20.1548850,-44.8998910","Abrir no Google Maps")</f>
        <v>Abrir no Google Maps</v>
      </c>
      <c r="S916">
        <v>3</v>
      </c>
      <c r="T916">
        <v>314.66339661014308</v>
      </c>
      <c r="U916">
        <v>4</v>
      </c>
      <c r="V916">
        <v>24</v>
      </c>
      <c r="W916">
        <v>1</v>
      </c>
      <c r="X916">
        <v>24</v>
      </c>
      <c r="Y916">
        <v>548</v>
      </c>
      <c r="Z916">
        <v>319.02252584834253</v>
      </c>
      <c r="AA916">
        <v>198</v>
      </c>
      <c r="AB916">
        <v>332</v>
      </c>
      <c r="AC916">
        <v>536</v>
      </c>
      <c r="AD916">
        <v>30.48</v>
      </c>
      <c r="AE916">
        <v>542</v>
      </c>
      <c r="AF916">
        <v>30</v>
      </c>
      <c r="AG916">
        <v>176</v>
      </c>
      <c r="AH916">
        <v>129</v>
      </c>
      <c r="AI916">
        <v>5.54</v>
      </c>
      <c r="AJ916">
        <v>32.47</v>
      </c>
      <c r="AK916">
        <v>23.8</v>
      </c>
      <c r="AL916">
        <v>-20.154906649999951</v>
      </c>
      <c r="AM916">
        <v>-44.899894072543653</v>
      </c>
      <c r="AN916">
        <v>-20.154906649999951</v>
      </c>
      <c r="AO916">
        <v>-44.899894072543653</v>
      </c>
      <c r="AP916">
        <v>-20.154885</v>
      </c>
      <c r="AQ916">
        <v>-44.899890999999997</v>
      </c>
      <c r="AR916">
        <v>2.431373123904943</v>
      </c>
      <c r="AS916" t="s">
        <v>65</v>
      </c>
      <c r="AT916">
        <v>1</v>
      </c>
      <c r="AU916" t="s">
        <v>901</v>
      </c>
      <c r="AV916" t="s">
        <v>902</v>
      </c>
      <c r="AW916" t="s">
        <v>60</v>
      </c>
      <c r="AX916" t="s">
        <v>68</v>
      </c>
      <c r="AY916" t="s">
        <v>69</v>
      </c>
      <c r="AZ916" t="b">
        <v>1</v>
      </c>
    </row>
    <row r="917" spans="1:52" x14ac:dyDescent="0.3">
      <c r="A917" t="s">
        <v>52</v>
      </c>
      <c r="B917" t="s">
        <v>53</v>
      </c>
      <c r="C917" t="s">
        <v>54</v>
      </c>
      <c r="D917" t="s">
        <v>55</v>
      </c>
      <c r="E917" t="s">
        <v>2099</v>
      </c>
      <c r="F917" t="s">
        <v>1247</v>
      </c>
      <c r="G917" t="s">
        <v>551</v>
      </c>
      <c r="H917" t="s">
        <v>552</v>
      </c>
      <c r="I917" t="s">
        <v>552</v>
      </c>
      <c r="J917" t="s">
        <v>60</v>
      </c>
      <c r="K917" t="s">
        <v>388</v>
      </c>
      <c r="L917" t="s">
        <v>62</v>
      </c>
      <c r="M917" t="s">
        <v>388</v>
      </c>
      <c r="N917" t="s">
        <v>553</v>
      </c>
      <c r="O917" t="s">
        <v>315</v>
      </c>
      <c r="P917">
        <v>-20.153086999999999</v>
      </c>
      <c r="Q917">
        <v>-44.905451999999997</v>
      </c>
      <c r="R917" s="2" t="str">
        <f>HYPERLINK("https://www.google.com/maps?q=-20.1530870,-44.9054520","Abrir no Google Maps")</f>
        <v>Abrir no Google Maps</v>
      </c>
      <c r="S917">
        <v>3</v>
      </c>
      <c r="T917">
        <v>313.69387682409018</v>
      </c>
      <c r="U917">
        <v>4</v>
      </c>
      <c r="V917">
        <v>22</v>
      </c>
      <c r="W917">
        <v>1</v>
      </c>
      <c r="X917">
        <v>22</v>
      </c>
      <c r="Y917">
        <v>548</v>
      </c>
      <c r="Z917">
        <v>319.51605309906859</v>
      </c>
      <c r="AA917">
        <v>198</v>
      </c>
      <c r="AB917">
        <v>332</v>
      </c>
      <c r="AC917">
        <v>536</v>
      </c>
      <c r="AD917">
        <v>30.48</v>
      </c>
      <c r="AE917">
        <v>542</v>
      </c>
      <c r="AF917">
        <v>30</v>
      </c>
      <c r="AG917">
        <v>176</v>
      </c>
      <c r="AH917">
        <v>129</v>
      </c>
      <c r="AI917">
        <v>5.54</v>
      </c>
      <c r="AJ917">
        <v>32.47</v>
      </c>
      <c r="AK917">
        <v>23.8</v>
      </c>
      <c r="AL917">
        <v>-20.153043049999951</v>
      </c>
      <c r="AM917">
        <v>-44.905348275899513</v>
      </c>
      <c r="AN917">
        <v>-20.153043049999951</v>
      </c>
      <c r="AO917">
        <v>-44.905348275899513</v>
      </c>
      <c r="AP917">
        <v>-20.153086999999999</v>
      </c>
      <c r="AQ917">
        <v>-44.905451999999997</v>
      </c>
      <c r="AR917">
        <v>11.892619975648341</v>
      </c>
      <c r="AS917" t="s">
        <v>65</v>
      </c>
      <c r="AT917">
        <v>1</v>
      </c>
      <c r="AU917" t="s">
        <v>554</v>
      </c>
      <c r="AV917" t="s">
        <v>555</v>
      </c>
      <c r="AW917" t="s">
        <v>60</v>
      </c>
      <c r="AX917" t="s">
        <v>68</v>
      </c>
      <c r="AY917" t="s">
        <v>69</v>
      </c>
      <c r="AZ917" t="b">
        <v>1</v>
      </c>
    </row>
    <row r="918" spans="1:52" x14ac:dyDescent="0.3">
      <c r="A918" t="s">
        <v>52</v>
      </c>
      <c r="B918" t="s">
        <v>53</v>
      </c>
      <c r="C918" t="s">
        <v>54</v>
      </c>
      <c r="D918" t="s">
        <v>55</v>
      </c>
      <c r="E918" t="s">
        <v>2099</v>
      </c>
      <c r="F918" t="s">
        <v>1247</v>
      </c>
      <c r="G918" t="s">
        <v>380</v>
      </c>
      <c r="H918" t="s">
        <v>381</v>
      </c>
      <c r="I918" t="s">
        <v>381</v>
      </c>
      <c r="J918" t="s">
        <v>60</v>
      </c>
      <c r="K918" t="s">
        <v>72</v>
      </c>
      <c r="L918" t="s">
        <v>62</v>
      </c>
      <c r="M918" t="s">
        <v>72</v>
      </c>
      <c r="N918" t="s">
        <v>382</v>
      </c>
      <c r="O918" t="s">
        <v>383</v>
      </c>
      <c r="P918">
        <v>-20.147182000000001</v>
      </c>
      <c r="Q918">
        <v>-44.912728999999999</v>
      </c>
      <c r="R918" s="2" t="str">
        <f>HYPERLINK("https://www.google.com/maps?q=-20.1471820,-44.9127290","Abrir no Google Maps")</f>
        <v>Abrir no Google Maps</v>
      </c>
      <c r="S918">
        <v>3</v>
      </c>
      <c r="T918">
        <v>478.0141981540923</v>
      </c>
      <c r="U918">
        <v>3</v>
      </c>
      <c r="V918">
        <v>17</v>
      </c>
      <c r="W918">
        <v>1</v>
      </c>
      <c r="X918">
        <v>17</v>
      </c>
      <c r="Y918">
        <v>747</v>
      </c>
      <c r="Z918">
        <v>494.0254290673729</v>
      </c>
      <c r="AA918">
        <v>198</v>
      </c>
      <c r="AB918">
        <v>332</v>
      </c>
      <c r="AC918">
        <v>536</v>
      </c>
      <c r="AD918">
        <v>30.48</v>
      </c>
      <c r="AE918">
        <v>542</v>
      </c>
      <c r="AF918">
        <v>30</v>
      </c>
      <c r="AG918">
        <v>176</v>
      </c>
      <c r="AH918">
        <v>129</v>
      </c>
      <c r="AI918">
        <v>5.54</v>
      </c>
      <c r="AJ918">
        <v>32.47</v>
      </c>
      <c r="AK918">
        <v>23.8</v>
      </c>
      <c r="AL918">
        <v>-20.147375599999979</v>
      </c>
      <c r="AM918">
        <v>-44.912907472879468</v>
      </c>
      <c r="AN918">
        <v>-20.147375599999979</v>
      </c>
      <c r="AO918">
        <v>-44.912907472879468</v>
      </c>
      <c r="AP918">
        <v>-20.147182000000001</v>
      </c>
      <c r="AQ918">
        <v>-44.912728999999999</v>
      </c>
      <c r="AR918">
        <v>28.50197694184326</v>
      </c>
      <c r="AS918" t="s">
        <v>65</v>
      </c>
      <c r="AT918">
        <v>1</v>
      </c>
      <c r="AU918" t="s">
        <v>384</v>
      </c>
      <c r="AV918" t="s">
        <v>385</v>
      </c>
      <c r="AW918" t="s">
        <v>60</v>
      </c>
      <c r="AX918" t="s">
        <v>68</v>
      </c>
      <c r="AY918" t="s">
        <v>69</v>
      </c>
      <c r="AZ918" t="b">
        <v>1</v>
      </c>
    </row>
    <row r="919" spans="1:52" x14ac:dyDescent="0.3">
      <c r="A919" t="s">
        <v>52</v>
      </c>
      <c r="B919" t="s">
        <v>53</v>
      </c>
      <c r="C919" t="s">
        <v>54</v>
      </c>
      <c r="D919" t="s">
        <v>55</v>
      </c>
      <c r="E919" t="s">
        <v>2099</v>
      </c>
      <c r="F919" t="s">
        <v>1247</v>
      </c>
      <c r="G919" t="s">
        <v>386</v>
      </c>
      <c r="H919" t="s">
        <v>387</v>
      </c>
      <c r="I919" t="s">
        <v>387</v>
      </c>
      <c r="J919" t="s">
        <v>60</v>
      </c>
      <c r="K919" t="s">
        <v>388</v>
      </c>
      <c r="L919" t="s">
        <v>62</v>
      </c>
      <c r="M919" t="s">
        <v>388</v>
      </c>
      <c r="N919" t="s">
        <v>389</v>
      </c>
      <c r="O919" t="s">
        <v>357</v>
      </c>
      <c r="P919">
        <v>-20.161041999999998</v>
      </c>
      <c r="Q919">
        <v>-44.901242000000003</v>
      </c>
      <c r="R919" s="2" t="str">
        <f>HYPERLINK("https://www.google.com/maps?q=-20.1610420,-44.9012420","Abrir no Google Maps")</f>
        <v>Abrir no Google Maps</v>
      </c>
      <c r="S919">
        <v>3</v>
      </c>
      <c r="T919">
        <v>440.22183232279212</v>
      </c>
      <c r="U919">
        <v>3</v>
      </c>
      <c r="V919">
        <v>12</v>
      </c>
      <c r="W919">
        <v>1</v>
      </c>
      <c r="X919">
        <v>12</v>
      </c>
      <c r="Y919">
        <v>729</v>
      </c>
      <c r="Z919">
        <v>398.48306829302379</v>
      </c>
      <c r="AA919">
        <v>198</v>
      </c>
      <c r="AB919">
        <v>332</v>
      </c>
      <c r="AC919">
        <v>536</v>
      </c>
      <c r="AD919">
        <v>30.48</v>
      </c>
      <c r="AE919">
        <v>542</v>
      </c>
      <c r="AF919">
        <v>30</v>
      </c>
      <c r="AG919">
        <v>176</v>
      </c>
      <c r="AH919">
        <v>129</v>
      </c>
      <c r="AI919">
        <v>5.54</v>
      </c>
      <c r="AJ919">
        <v>32.47</v>
      </c>
      <c r="AK919">
        <v>23.8</v>
      </c>
      <c r="AL919">
        <v>-20.16176629999995</v>
      </c>
      <c r="AM919">
        <v>-44.901582787827898</v>
      </c>
      <c r="AN919">
        <v>-20.16176629999995</v>
      </c>
      <c r="AO919">
        <v>-44.901582787827898</v>
      </c>
      <c r="AP919">
        <v>-20.161041999999998</v>
      </c>
      <c r="AQ919">
        <v>-44.901242000000003</v>
      </c>
      <c r="AR919">
        <v>88.143369157892835</v>
      </c>
      <c r="AS919" t="s">
        <v>65</v>
      </c>
      <c r="AT919">
        <v>1</v>
      </c>
      <c r="AU919" t="s">
        <v>390</v>
      </c>
      <c r="AV919" t="s">
        <v>391</v>
      </c>
      <c r="AW919" t="s">
        <v>60</v>
      </c>
      <c r="AX919" t="s">
        <v>68</v>
      </c>
      <c r="AY919" t="s">
        <v>69</v>
      </c>
      <c r="AZ919" t="b">
        <v>1</v>
      </c>
    </row>
    <row r="920" spans="1:52" x14ac:dyDescent="0.3">
      <c r="A920" t="s">
        <v>52</v>
      </c>
      <c r="B920" t="s">
        <v>53</v>
      </c>
      <c r="C920" t="s">
        <v>54</v>
      </c>
      <c r="D920" t="s">
        <v>55</v>
      </c>
      <c r="E920" t="s">
        <v>2099</v>
      </c>
      <c r="F920" t="s">
        <v>1247</v>
      </c>
      <c r="G920" t="s">
        <v>392</v>
      </c>
      <c r="H920" t="s">
        <v>393</v>
      </c>
      <c r="I920" t="s">
        <v>393</v>
      </c>
      <c r="J920" t="s">
        <v>60</v>
      </c>
      <c r="K920" t="s">
        <v>388</v>
      </c>
      <c r="L920" t="s">
        <v>62</v>
      </c>
      <c r="M920" t="s">
        <v>388</v>
      </c>
      <c r="N920" t="s">
        <v>394</v>
      </c>
      <c r="O920" t="s">
        <v>395</v>
      </c>
      <c r="P920">
        <v>-20.158066999999999</v>
      </c>
      <c r="Q920">
        <v>-44.908164999999997</v>
      </c>
      <c r="R920" s="2" t="str">
        <f>HYPERLINK("https://www.google.com/maps?q=-20.1580670,-44.9081650","Abrir no Google Maps")</f>
        <v>Abrir no Google Maps</v>
      </c>
      <c r="S920">
        <v>3</v>
      </c>
      <c r="T920">
        <v>666.74434317993041</v>
      </c>
      <c r="U920">
        <v>3</v>
      </c>
      <c r="V920">
        <v>14</v>
      </c>
      <c r="W920">
        <v>1</v>
      </c>
      <c r="X920">
        <v>14</v>
      </c>
      <c r="Y920">
        <v>729</v>
      </c>
      <c r="Z920">
        <v>612.4323328215396</v>
      </c>
      <c r="AA920">
        <v>198</v>
      </c>
      <c r="AB920">
        <v>332</v>
      </c>
      <c r="AC920">
        <v>536</v>
      </c>
      <c r="AD920">
        <v>30.48</v>
      </c>
      <c r="AE920">
        <v>542</v>
      </c>
      <c r="AF920">
        <v>30</v>
      </c>
      <c r="AG920">
        <v>176</v>
      </c>
      <c r="AH920">
        <v>129</v>
      </c>
      <c r="AI920">
        <v>5.54</v>
      </c>
      <c r="AJ920">
        <v>32.47</v>
      </c>
      <c r="AK920">
        <v>23.8</v>
      </c>
      <c r="AL920">
        <v>-20.158151449999959</v>
      </c>
      <c r="AM920">
        <v>-44.908107718360938</v>
      </c>
      <c r="AN920">
        <v>-20.158151449999959</v>
      </c>
      <c r="AO920">
        <v>-44.908107718360938</v>
      </c>
      <c r="AP920">
        <v>-20.158066999999999</v>
      </c>
      <c r="AQ920">
        <v>-44.908164999999997</v>
      </c>
      <c r="AR920">
        <v>11.14497345894574</v>
      </c>
      <c r="AS920" t="s">
        <v>65</v>
      </c>
      <c r="AT920">
        <v>1</v>
      </c>
      <c r="AU920" t="s">
        <v>396</v>
      </c>
      <c r="AV920" t="s">
        <v>397</v>
      </c>
      <c r="AW920" t="s">
        <v>60</v>
      </c>
      <c r="AX920" t="s">
        <v>68</v>
      </c>
      <c r="AY920" t="s">
        <v>69</v>
      </c>
      <c r="AZ920" t="b">
        <v>1</v>
      </c>
    </row>
    <row r="921" spans="1:52" x14ac:dyDescent="0.3">
      <c r="A921" t="s">
        <v>52</v>
      </c>
      <c r="B921" t="s">
        <v>53</v>
      </c>
      <c r="C921" t="s">
        <v>54</v>
      </c>
      <c r="D921" t="s">
        <v>55</v>
      </c>
      <c r="E921" t="s">
        <v>2099</v>
      </c>
      <c r="F921" t="s">
        <v>1247</v>
      </c>
      <c r="G921" t="s">
        <v>398</v>
      </c>
      <c r="H921" t="s">
        <v>399</v>
      </c>
      <c r="I921" t="s">
        <v>399</v>
      </c>
      <c r="J921" t="s">
        <v>60</v>
      </c>
      <c r="K921" t="s">
        <v>388</v>
      </c>
      <c r="L921" t="s">
        <v>62</v>
      </c>
      <c r="M921" t="s">
        <v>388</v>
      </c>
      <c r="N921" t="s">
        <v>400</v>
      </c>
      <c r="O921" t="s">
        <v>401</v>
      </c>
      <c r="P921">
        <v>-20.160157000000002</v>
      </c>
      <c r="Q921">
        <v>-44.904347999999999</v>
      </c>
      <c r="R921" s="2" t="str">
        <f>HYPERLINK("https://www.google.com/maps?q=-20.1601570,-44.9043480","Abrir no Google Maps")</f>
        <v>Abrir no Google Maps</v>
      </c>
      <c r="S921">
        <v>3</v>
      </c>
      <c r="T921">
        <v>469.26088527154809</v>
      </c>
      <c r="U921">
        <v>3</v>
      </c>
      <c r="V921">
        <v>18</v>
      </c>
      <c r="W921">
        <v>1</v>
      </c>
      <c r="X921">
        <v>18</v>
      </c>
      <c r="Y921">
        <v>729</v>
      </c>
      <c r="Z921">
        <v>253.57832452309071</v>
      </c>
      <c r="AA921">
        <v>198</v>
      </c>
      <c r="AB921">
        <v>332</v>
      </c>
      <c r="AC921">
        <v>536</v>
      </c>
      <c r="AD921">
        <v>30.48</v>
      </c>
      <c r="AE921">
        <v>542</v>
      </c>
      <c r="AF921">
        <v>30</v>
      </c>
      <c r="AG921">
        <v>176</v>
      </c>
      <c r="AH921">
        <v>129</v>
      </c>
      <c r="AI921">
        <v>5.54</v>
      </c>
      <c r="AJ921">
        <v>32.47</v>
      </c>
      <c r="AK921">
        <v>23.8</v>
      </c>
      <c r="AL921">
        <v>-20.160007949999969</v>
      </c>
      <c r="AM921">
        <v>-44.904396608560482</v>
      </c>
      <c r="AN921">
        <v>-20.160007949999969</v>
      </c>
      <c r="AO921">
        <v>-44.904396608560482</v>
      </c>
      <c r="AP921">
        <v>-20.160157000000002</v>
      </c>
      <c r="AQ921">
        <v>-44.904347999999999</v>
      </c>
      <c r="AR921">
        <v>17.35237255387942</v>
      </c>
      <c r="AS921" t="s">
        <v>65</v>
      </c>
      <c r="AT921">
        <v>1</v>
      </c>
      <c r="AU921" t="s">
        <v>402</v>
      </c>
      <c r="AV921" t="s">
        <v>403</v>
      </c>
      <c r="AW921" t="s">
        <v>60</v>
      </c>
      <c r="AX921" t="s">
        <v>68</v>
      </c>
      <c r="AY921" t="s">
        <v>69</v>
      </c>
      <c r="AZ921" t="b">
        <v>1</v>
      </c>
    </row>
    <row r="922" spans="1:52" x14ac:dyDescent="0.3">
      <c r="A922" t="s">
        <v>52</v>
      </c>
      <c r="B922" t="s">
        <v>53</v>
      </c>
      <c r="C922" t="s">
        <v>54</v>
      </c>
      <c r="D922" t="s">
        <v>55</v>
      </c>
      <c r="E922" t="s">
        <v>2099</v>
      </c>
      <c r="F922" t="s">
        <v>1247</v>
      </c>
      <c r="G922" t="s">
        <v>416</v>
      </c>
      <c r="H922" t="s">
        <v>417</v>
      </c>
      <c r="I922" t="s">
        <v>417</v>
      </c>
      <c r="J922" t="s">
        <v>60</v>
      </c>
      <c r="K922" t="s">
        <v>418</v>
      </c>
      <c r="L922" t="s">
        <v>62</v>
      </c>
      <c r="M922" t="s">
        <v>418</v>
      </c>
      <c r="N922" t="s">
        <v>419</v>
      </c>
      <c r="O922" t="s">
        <v>202</v>
      </c>
      <c r="P922">
        <v>-20.169886000000002</v>
      </c>
      <c r="Q922">
        <v>-44.913288000000001</v>
      </c>
      <c r="R922" s="2" t="str">
        <f>HYPERLINK("https://www.google.com/maps?q=-20.1698860,-44.9132880","Abrir no Google Maps")</f>
        <v>Abrir no Google Maps</v>
      </c>
      <c r="S922">
        <v>3</v>
      </c>
      <c r="T922">
        <v>422.88733632898152</v>
      </c>
      <c r="U922">
        <v>3</v>
      </c>
      <c r="V922">
        <v>17</v>
      </c>
      <c r="W922">
        <v>1</v>
      </c>
      <c r="X922">
        <v>17</v>
      </c>
      <c r="Y922">
        <v>723</v>
      </c>
      <c r="Z922">
        <v>128.65003864232261</v>
      </c>
      <c r="AA922">
        <v>198</v>
      </c>
      <c r="AB922">
        <v>332</v>
      </c>
      <c r="AC922">
        <v>536</v>
      </c>
      <c r="AD922">
        <v>30.48</v>
      </c>
      <c r="AE922">
        <v>542</v>
      </c>
      <c r="AF922">
        <v>30</v>
      </c>
      <c r="AG922">
        <v>176</v>
      </c>
      <c r="AH922">
        <v>129</v>
      </c>
      <c r="AI922">
        <v>5.54</v>
      </c>
      <c r="AJ922">
        <v>32.47</v>
      </c>
      <c r="AK922">
        <v>23.8</v>
      </c>
      <c r="AL922">
        <v>-20.16970024999998</v>
      </c>
      <c r="AM922">
        <v>-44.913502201257437</v>
      </c>
      <c r="AN922">
        <v>-20.16970024999998</v>
      </c>
      <c r="AO922">
        <v>-44.913502201257437</v>
      </c>
      <c r="AP922">
        <v>-20.169886000000002</v>
      </c>
      <c r="AQ922">
        <v>-44.913288000000001</v>
      </c>
      <c r="AR922">
        <v>30.47208587597606</v>
      </c>
      <c r="AS922" t="s">
        <v>65</v>
      </c>
      <c r="AT922">
        <v>1</v>
      </c>
      <c r="AU922" t="s">
        <v>420</v>
      </c>
      <c r="AV922" t="s">
        <v>421</v>
      </c>
      <c r="AW922" t="s">
        <v>60</v>
      </c>
      <c r="AX922" t="s">
        <v>68</v>
      </c>
      <c r="AY922" t="s">
        <v>69</v>
      </c>
      <c r="AZ922" t="b">
        <v>1</v>
      </c>
    </row>
    <row r="923" spans="1:52" x14ac:dyDescent="0.3">
      <c r="A923" t="s">
        <v>52</v>
      </c>
      <c r="B923" t="s">
        <v>53</v>
      </c>
      <c r="C923" t="s">
        <v>54</v>
      </c>
      <c r="D923" t="s">
        <v>55</v>
      </c>
      <c r="E923" t="s">
        <v>2099</v>
      </c>
      <c r="F923" t="s">
        <v>1247</v>
      </c>
      <c r="G923" t="s">
        <v>1294</v>
      </c>
      <c r="H923" t="s">
        <v>1295</v>
      </c>
      <c r="I923" t="s">
        <v>1295</v>
      </c>
      <c r="J923" t="s">
        <v>60</v>
      </c>
      <c r="K923" t="s">
        <v>418</v>
      </c>
      <c r="L923" t="s">
        <v>62</v>
      </c>
      <c r="M923" t="s">
        <v>418</v>
      </c>
      <c r="N923" t="s">
        <v>1296</v>
      </c>
      <c r="O923" t="s">
        <v>1297</v>
      </c>
      <c r="P923">
        <v>-20.169899999999998</v>
      </c>
      <c r="Q923">
        <v>-44.916176999999998</v>
      </c>
      <c r="R923" s="2" t="str">
        <f>HYPERLINK("https://www.google.com/maps?q=-20.1699000,-44.9161770","Abrir no Google Maps")</f>
        <v>Abrir no Google Maps</v>
      </c>
      <c r="S923">
        <v>3</v>
      </c>
      <c r="T923">
        <v>658.15251036568407</v>
      </c>
      <c r="U923">
        <v>3</v>
      </c>
      <c r="V923">
        <v>18</v>
      </c>
      <c r="W923">
        <v>0.85</v>
      </c>
      <c r="X923">
        <v>15.3</v>
      </c>
      <c r="Y923">
        <v>723</v>
      </c>
      <c r="Z923">
        <v>400.39092274559039</v>
      </c>
      <c r="AA923">
        <v>198</v>
      </c>
      <c r="AB923">
        <v>332</v>
      </c>
      <c r="AC923">
        <v>536</v>
      </c>
      <c r="AD923">
        <v>30.48</v>
      </c>
      <c r="AE923">
        <v>542</v>
      </c>
      <c r="AF923">
        <v>30</v>
      </c>
      <c r="AG923">
        <v>176</v>
      </c>
      <c r="AH923">
        <v>129</v>
      </c>
      <c r="AI923">
        <v>5.54</v>
      </c>
      <c r="AJ923">
        <v>32.47</v>
      </c>
      <c r="AK923">
        <v>23.8</v>
      </c>
      <c r="AL923">
        <v>-20.169898399999941</v>
      </c>
      <c r="AM923">
        <v>-44.916247682868359</v>
      </c>
      <c r="AN923">
        <v>-20.169898399999941</v>
      </c>
      <c r="AO923">
        <v>-44.916247682868359</v>
      </c>
      <c r="AP923">
        <v>-20.169899999999998</v>
      </c>
      <c r="AQ923">
        <v>-44.916176999999998</v>
      </c>
      <c r="AR923">
        <v>7.388028048308902</v>
      </c>
      <c r="AS923" t="s">
        <v>65</v>
      </c>
      <c r="AT923">
        <v>1</v>
      </c>
      <c r="AU923" t="s">
        <v>1298</v>
      </c>
      <c r="AV923" t="s">
        <v>1299</v>
      </c>
      <c r="AW923" t="s">
        <v>60</v>
      </c>
      <c r="AX923" t="s">
        <v>68</v>
      </c>
      <c r="AY923" t="s">
        <v>69</v>
      </c>
      <c r="AZ923" t="b">
        <v>1</v>
      </c>
    </row>
    <row r="924" spans="1:52" x14ac:dyDescent="0.3">
      <c r="A924" t="s">
        <v>52</v>
      </c>
      <c r="B924" t="s">
        <v>53</v>
      </c>
      <c r="C924" t="s">
        <v>54</v>
      </c>
      <c r="D924" t="s">
        <v>55</v>
      </c>
      <c r="E924" t="s">
        <v>2099</v>
      </c>
      <c r="F924" t="s">
        <v>1247</v>
      </c>
      <c r="G924" t="s">
        <v>1312</v>
      </c>
      <c r="H924" t="s">
        <v>1313</v>
      </c>
      <c r="I924" t="s">
        <v>1313</v>
      </c>
      <c r="J924" t="s">
        <v>60</v>
      </c>
      <c r="K924" t="s">
        <v>1314</v>
      </c>
      <c r="L924" t="s">
        <v>62</v>
      </c>
      <c r="M924" t="s">
        <v>1314</v>
      </c>
      <c r="N924" t="s">
        <v>1315</v>
      </c>
      <c r="O924" t="s">
        <v>315</v>
      </c>
      <c r="P924">
        <v>-20.179649999999999</v>
      </c>
      <c r="Q924">
        <v>-44.927177</v>
      </c>
      <c r="R924" s="2" t="str">
        <f>HYPERLINK("https://www.google.com/maps?q=-20.1796500,-44.9271770","Abrir no Google Maps")</f>
        <v>Abrir no Google Maps</v>
      </c>
      <c r="S924">
        <v>3</v>
      </c>
      <c r="T924">
        <v>1742.181438658615</v>
      </c>
      <c r="U924">
        <v>3</v>
      </c>
      <c r="V924">
        <v>16</v>
      </c>
      <c r="W924">
        <v>0.85</v>
      </c>
      <c r="X924">
        <v>13.6</v>
      </c>
      <c r="Y924">
        <v>723</v>
      </c>
      <c r="Z924">
        <v>1801.262037027635</v>
      </c>
      <c r="AA924">
        <v>198</v>
      </c>
      <c r="AB924">
        <v>332</v>
      </c>
      <c r="AC924">
        <v>536</v>
      </c>
      <c r="AD924">
        <v>30.48</v>
      </c>
      <c r="AE924">
        <v>542</v>
      </c>
      <c r="AF924">
        <v>30</v>
      </c>
      <c r="AG924">
        <v>176</v>
      </c>
      <c r="AH924">
        <v>129</v>
      </c>
      <c r="AI924">
        <v>5.54</v>
      </c>
      <c r="AJ924">
        <v>32.47</v>
      </c>
      <c r="AK924">
        <v>23.8</v>
      </c>
      <c r="AL924">
        <v>-20.18058599999998</v>
      </c>
      <c r="AM924">
        <v>-44.926708474999977</v>
      </c>
      <c r="AN924">
        <v>-20.18058599999998</v>
      </c>
      <c r="AO924">
        <v>-44.926708474999977</v>
      </c>
      <c r="AP924">
        <v>-20.179649999999999</v>
      </c>
      <c r="AQ924">
        <v>-44.927177</v>
      </c>
      <c r="AR924">
        <v>115.1226868075416</v>
      </c>
      <c r="AS924" t="s">
        <v>65</v>
      </c>
      <c r="AT924">
        <v>1</v>
      </c>
      <c r="AU924" t="s">
        <v>1316</v>
      </c>
      <c r="AV924" t="s">
        <v>1317</v>
      </c>
      <c r="AW924" t="s">
        <v>60</v>
      </c>
      <c r="AX924" t="s">
        <v>68</v>
      </c>
      <c r="AY924" t="s">
        <v>69</v>
      </c>
      <c r="AZ924" t="b">
        <v>1</v>
      </c>
    </row>
    <row r="925" spans="1:52" x14ac:dyDescent="0.3">
      <c r="A925" t="s">
        <v>52</v>
      </c>
      <c r="B925" t="s">
        <v>53</v>
      </c>
      <c r="C925" t="s">
        <v>54</v>
      </c>
      <c r="D925" t="s">
        <v>55</v>
      </c>
      <c r="E925" t="s">
        <v>2099</v>
      </c>
      <c r="F925" t="s">
        <v>1247</v>
      </c>
      <c r="G925" t="s">
        <v>435</v>
      </c>
      <c r="H925" t="s">
        <v>436</v>
      </c>
      <c r="I925" t="s">
        <v>436</v>
      </c>
      <c r="J925" t="s">
        <v>60</v>
      </c>
      <c r="K925" t="s">
        <v>437</v>
      </c>
      <c r="L925" t="s">
        <v>62</v>
      </c>
      <c r="M925" t="s">
        <v>437</v>
      </c>
      <c r="N925" t="s">
        <v>438</v>
      </c>
      <c r="O925" t="s">
        <v>439</v>
      </c>
      <c r="P925">
        <v>-20.145613000000001</v>
      </c>
      <c r="Q925">
        <v>-44.882375000000003</v>
      </c>
      <c r="R925" s="2" t="str">
        <f>HYPERLINK("https://www.google.com/maps?q=-20.1456130,-44.8823750","Abrir no Google Maps")</f>
        <v>Abrir no Google Maps</v>
      </c>
      <c r="S925">
        <v>3</v>
      </c>
      <c r="T925">
        <v>305.65092112314198</v>
      </c>
      <c r="U925">
        <v>3</v>
      </c>
      <c r="V925">
        <v>17</v>
      </c>
      <c r="W925">
        <v>1</v>
      </c>
      <c r="X925">
        <v>17</v>
      </c>
      <c r="Y925">
        <v>653</v>
      </c>
      <c r="Z925">
        <v>349.55297035282501</v>
      </c>
      <c r="AA925">
        <v>198</v>
      </c>
      <c r="AB925">
        <v>332</v>
      </c>
      <c r="AC925">
        <v>536</v>
      </c>
      <c r="AD925">
        <v>30.48</v>
      </c>
      <c r="AE925">
        <v>542</v>
      </c>
      <c r="AF925">
        <v>30</v>
      </c>
      <c r="AG925">
        <v>176</v>
      </c>
      <c r="AH925">
        <v>129</v>
      </c>
      <c r="AI925">
        <v>5.54</v>
      </c>
      <c r="AJ925">
        <v>32.47</v>
      </c>
      <c r="AK925">
        <v>23.8</v>
      </c>
      <c r="AL925">
        <v>-20.14550464999996</v>
      </c>
      <c r="AM925">
        <v>-44.882157007077737</v>
      </c>
      <c r="AN925">
        <v>-20.14550464999996</v>
      </c>
      <c r="AO925">
        <v>-44.882157007077737</v>
      </c>
      <c r="AP925">
        <v>-20.145613000000001</v>
      </c>
      <c r="AQ925">
        <v>-44.882375000000003</v>
      </c>
      <c r="AR925">
        <v>25.77819791856259</v>
      </c>
      <c r="AS925" t="s">
        <v>65</v>
      </c>
      <c r="AT925">
        <v>1</v>
      </c>
      <c r="AU925" t="s">
        <v>440</v>
      </c>
      <c r="AV925" t="s">
        <v>441</v>
      </c>
      <c r="AW925" t="s">
        <v>60</v>
      </c>
      <c r="AX925" t="s">
        <v>68</v>
      </c>
      <c r="AY925" t="s">
        <v>69</v>
      </c>
      <c r="AZ925" t="b">
        <v>1</v>
      </c>
    </row>
    <row r="926" spans="1:52" x14ac:dyDescent="0.3">
      <c r="A926" t="s">
        <v>52</v>
      </c>
      <c r="B926" t="s">
        <v>53</v>
      </c>
      <c r="C926" t="s">
        <v>54</v>
      </c>
      <c r="D926" t="s">
        <v>55</v>
      </c>
      <c r="E926" t="s">
        <v>2099</v>
      </c>
      <c r="F926" t="s">
        <v>1247</v>
      </c>
      <c r="G926" t="s">
        <v>1333</v>
      </c>
      <c r="H926" t="s">
        <v>1334</v>
      </c>
      <c r="I926" t="s">
        <v>1334</v>
      </c>
      <c r="J926" t="s">
        <v>60</v>
      </c>
      <c r="K926" t="s">
        <v>437</v>
      </c>
      <c r="L926" t="s">
        <v>62</v>
      </c>
      <c r="M926" t="s">
        <v>437</v>
      </c>
      <c r="N926" t="s">
        <v>1335</v>
      </c>
      <c r="O926" t="s">
        <v>807</v>
      </c>
      <c r="P926">
        <v>-20.148</v>
      </c>
      <c r="Q926">
        <v>-44.880944999999997</v>
      </c>
      <c r="R926" s="2" t="str">
        <f>HYPERLINK("https://www.google.com/maps?q=-20.1480000,-44.8809450","Abrir no Google Maps")</f>
        <v>Abrir no Google Maps</v>
      </c>
      <c r="S926">
        <v>3</v>
      </c>
      <c r="T926">
        <v>0</v>
      </c>
      <c r="U926">
        <v>3</v>
      </c>
      <c r="V926">
        <v>14</v>
      </c>
      <c r="W926">
        <v>0.85</v>
      </c>
      <c r="X926">
        <v>11.9</v>
      </c>
      <c r="Y926">
        <v>653</v>
      </c>
      <c r="Z926">
        <v>108.2792411420544</v>
      </c>
      <c r="AA926">
        <v>198</v>
      </c>
      <c r="AB926">
        <v>332</v>
      </c>
      <c r="AC926">
        <v>536</v>
      </c>
      <c r="AD926">
        <v>30.48</v>
      </c>
      <c r="AE926">
        <v>542</v>
      </c>
      <c r="AF926">
        <v>30</v>
      </c>
      <c r="AG926">
        <v>176</v>
      </c>
      <c r="AH926">
        <v>129</v>
      </c>
      <c r="AI926">
        <v>5.54</v>
      </c>
      <c r="AJ926">
        <v>32.47</v>
      </c>
      <c r="AK926">
        <v>23.8</v>
      </c>
      <c r="AL926">
        <v>-20.14802099999994</v>
      </c>
      <c r="AM926">
        <v>-44.880951206225959</v>
      </c>
      <c r="AN926">
        <v>-20.14802099999994</v>
      </c>
      <c r="AO926">
        <v>-44.880951206225959</v>
      </c>
      <c r="AP926">
        <v>-20.148</v>
      </c>
      <c r="AQ926">
        <v>-44.880944999999997</v>
      </c>
      <c r="AR926">
        <v>2.4260288619737169</v>
      </c>
      <c r="AS926" t="s">
        <v>65</v>
      </c>
      <c r="AT926">
        <v>1</v>
      </c>
      <c r="AU926" t="s">
        <v>1336</v>
      </c>
      <c r="AV926" t="s">
        <v>1337</v>
      </c>
      <c r="AW926" t="s">
        <v>60</v>
      </c>
      <c r="AX926" t="s">
        <v>68</v>
      </c>
      <c r="AY926" t="s">
        <v>69</v>
      </c>
      <c r="AZ926" t="b">
        <v>1</v>
      </c>
    </row>
    <row r="927" spans="1:52" x14ac:dyDescent="0.3">
      <c r="A927" t="s">
        <v>52</v>
      </c>
      <c r="B927" t="s">
        <v>53</v>
      </c>
      <c r="C927" t="s">
        <v>54</v>
      </c>
      <c r="D927" t="s">
        <v>55</v>
      </c>
      <c r="E927" t="s">
        <v>2099</v>
      </c>
      <c r="F927" t="s">
        <v>1247</v>
      </c>
      <c r="G927" t="s">
        <v>454</v>
      </c>
      <c r="H927" t="s">
        <v>455</v>
      </c>
      <c r="I927" t="s">
        <v>455</v>
      </c>
      <c r="J927" t="s">
        <v>60</v>
      </c>
      <c r="K927" t="s">
        <v>456</v>
      </c>
      <c r="L927" t="s">
        <v>62</v>
      </c>
      <c r="M927" t="s">
        <v>456</v>
      </c>
      <c r="N927" t="s">
        <v>102</v>
      </c>
      <c r="O927" t="s">
        <v>457</v>
      </c>
      <c r="P927">
        <v>-20.138373999999999</v>
      </c>
      <c r="Q927">
        <v>-44.903756999999999</v>
      </c>
      <c r="R927" s="2" t="str">
        <f>HYPERLINK("https://www.google.com/maps?q=-20.1383740,-44.9037570","Abrir no Google Maps")</f>
        <v>Abrir no Google Maps</v>
      </c>
      <c r="S927">
        <v>3</v>
      </c>
      <c r="T927">
        <v>357.59466273594461</v>
      </c>
      <c r="U927">
        <v>3</v>
      </c>
      <c r="V927">
        <v>12</v>
      </c>
      <c r="W927">
        <v>1</v>
      </c>
      <c r="X927">
        <v>12</v>
      </c>
      <c r="Y927">
        <v>581</v>
      </c>
      <c r="Z927">
        <v>406.92482694505992</v>
      </c>
      <c r="AA927">
        <v>198</v>
      </c>
      <c r="AB927">
        <v>332</v>
      </c>
      <c r="AC927">
        <v>536</v>
      </c>
      <c r="AD927">
        <v>30.48</v>
      </c>
      <c r="AE927">
        <v>542</v>
      </c>
      <c r="AF927">
        <v>30</v>
      </c>
      <c r="AG927">
        <v>176</v>
      </c>
      <c r="AH927">
        <v>129</v>
      </c>
      <c r="AI927">
        <v>5.54</v>
      </c>
      <c r="AJ927">
        <v>32.47</v>
      </c>
      <c r="AK927">
        <v>23.8</v>
      </c>
      <c r="AL927">
        <v>-20.138338199999961</v>
      </c>
      <c r="AM927">
        <v>-44.903768618976301</v>
      </c>
      <c r="AN927">
        <v>-20.138338199999961</v>
      </c>
      <c r="AO927">
        <v>-44.903768618976301</v>
      </c>
      <c r="AP927">
        <v>-20.138373999999999</v>
      </c>
      <c r="AQ927">
        <v>-44.903756999999999</v>
      </c>
      <c r="AR927">
        <v>4.1661625938922704</v>
      </c>
      <c r="AS927" t="s">
        <v>65</v>
      </c>
      <c r="AT927">
        <v>1</v>
      </c>
      <c r="AU927" t="s">
        <v>458</v>
      </c>
      <c r="AV927" t="s">
        <v>459</v>
      </c>
      <c r="AW927" t="s">
        <v>60</v>
      </c>
      <c r="AX927" t="s">
        <v>68</v>
      </c>
      <c r="AY927" t="s">
        <v>69</v>
      </c>
      <c r="AZ927" t="b">
        <v>1</v>
      </c>
    </row>
    <row r="928" spans="1:52" x14ac:dyDescent="0.3">
      <c r="A928" t="s">
        <v>52</v>
      </c>
      <c r="B928" t="s">
        <v>53</v>
      </c>
      <c r="C928" t="s">
        <v>54</v>
      </c>
      <c r="D928" t="s">
        <v>55</v>
      </c>
      <c r="E928" t="s">
        <v>2099</v>
      </c>
      <c r="F928" t="s">
        <v>1247</v>
      </c>
      <c r="G928" t="s">
        <v>1347</v>
      </c>
      <c r="H928" t="s">
        <v>1348</v>
      </c>
      <c r="I928" t="s">
        <v>1348</v>
      </c>
      <c r="J928" t="s">
        <v>60</v>
      </c>
      <c r="K928" t="s">
        <v>1349</v>
      </c>
      <c r="L928" t="s">
        <v>62</v>
      </c>
      <c r="M928" t="s">
        <v>1349</v>
      </c>
      <c r="N928" t="s">
        <v>1350</v>
      </c>
      <c r="O928" t="s">
        <v>1351</v>
      </c>
      <c r="P928">
        <v>-20.140426999999999</v>
      </c>
      <c r="Q928">
        <v>-44.905327999999997</v>
      </c>
      <c r="R928" s="2" t="str">
        <f>HYPERLINK("https://www.google.com/maps?q=-20.1404270,-44.9053280","Abrir no Google Maps")</f>
        <v>Abrir no Google Maps</v>
      </c>
      <c r="S928">
        <v>3</v>
      </c>
      <c r="T928">
        <v>359.5810968231857</v>
      </c>
      <c r="U928">
        <v>3</v>
      </c>
      <c r="V928">
        <v>14</v>
      </c>
      <c r="W928">
        <v>0.85</v>
      </c>
      <c r="X928">
        <v>11.9</v>
      </c>
      <c r="Y928">
        <v>581</v>
      </c>
      <c r="Z928">
        <v>292.370097058873</v>
      </c>
      <c r="AA928">
        <v>198</v>
      </c>
      <c r="AB928">
        <v>332</v>
      </c>
      <c r="AC928">
        <v>536</v>
      </c>
      <c r="AD928">
        <v>30.48</v>
      </c>
      <c r="AE928">
        <v>542</v>
      </c>
      <c r="AF928">
        <v>30</v>
      </c>
      <c r="AG928">
        <v>176</v>
      </c>
      <c r="AH928">
        <v>129</v>
      </c>
      <c r="AI928">
        <v>5.54</v>
      </c>
      <c r="AJ928">
        <v>32.47</v>
      </c>
      <c r="AK928">
        <v>23.8</v>
      </c>
      <c r="AL928">
        <v>-20.140465449999969</v>
      </c>
      <c r="AM928">
        <v>-44.905317129037229</v>
      </c>
      <c r="AN928">
        <v>-20.140465449999969</v>
      </c>
      <c r="AO928">
        <v>-44.905317129037229</v>
      </c>
      <c r="AP928">
        <v>-20.140426999999999</v>
      </c>
      <c r="AQ928">
        <v>-44.905327999999997</v>
      </c>
      <c r="AR928">
        <v>4.4284788644958706</v>
      </c>
      <c r="AS928" t="s">
        <v>65</v>
      </c>
      <c r="AT928">
        <v>1</v>
      </c>
      <c r="AU928" t="s">
        <v>1352</v>
      </c>
      <c r="AV928" t="s">
        <v>1353</v>
      </c>
      <c r="AW928" t="s">
        <v>60</v>
      </c>
      <c r="AX928" t="s">
        <v>68</v>
      </c>
      <c r="AY928" t="s">
        <v>69</v>
      </c>
      <c r="AZ928" t="b">
        <v>1</v>
      </c>
    </row>
    <row r="929" spans="1:52" x14ac:dyDescent="0.3">
      <c r="A929" t="s">
        <v>52</v>
      </c>
      <c r="B929" t="s">
        <v>53</v>
      </c>
      <c r="C929" t="s">
        <v>54</v>
      </c>
      <c r="D929" t="s">
        <v>55</v>
      </c>
      <c r="E929" t="s">
        <v>2099</v>
      </c>
      <c r="F929" t="s">
        <v>1247</v>
      </c>
      <c r="G929" t="s">
        <v>467</v>
      </c>
      <c r="H929" t="s">
        <v>468</v>
      </c>
      <c r="I929" t="s">
        <v>468</v>
      </c>
      <c r="J929" t="s">
        <v>60</v>
      </c>
      <c r="K929" t="s">
        <v>462</v>
      </c>
      <c r="L929" t="s">
        <v>62</v>
      </c>
      <c r="M929" t="s">
        <v>462</v>
      </c>
      <c r="N929" t="s">
        <v>469</v>
      </c>
      <c r="O929" t="s">
        <v>470</v>
      </c>
      <c r="P929">
        <v>-20.138233</v>
      </c>
      <c r="Q929">
        <v>-44.908200000000001</v>
      </c>
      <c r="R929" s="2" t="str">
        <f>HYPERLINK("https://www.google.com/maps?q=-20.1382330,-44.9082000","Abrir no Google Maps")</f>
        <v>Abrir no Google Maps</v>
      </c>
      <c r="S929">
        <v>3</v>
      </c>
      <c r="T929">
        <v>0</v>
      </c>
      <c r="U929">
        <v>3</v>
      </c>
      <c r="V929">
        <v>17</v>
      </c>
      <c r="W929">
        <v>1</v>
      </c>
      <c r="X929">
        <v>17</v>
      </c>
      <c r="Y929">
        <v>581</v>
      </c>
      <c r="Z929">
        <v>153.18688302958171</v>
      </c>
      <c r="AA929">
        <v>198</v>
      </c>
      <c r="AB929">
        <v>332</v>
      </c>
      <c r="AC929">
        <v>536</v>
      </c>
      <c r="AD929">
        <v>30.48</v>
      </c>
      <c r="AE929">
        <v>542</v>
      </c>
      <c r="AF929">
        <v>30</v>
      </c>
      <c r="AG929">
        <v>176</v>
      </c>
      <c r="AH929">
        <v>129</v>
      </c>
      <c r="AI929">
        <v>5.54</v>
      </c>
      <c r="AJ929">
        <v>32.47</v>
      </c>
      <c r="AK929">
        <v>23.8</v>
      </c>
      <c r="AL929">
        <v>-20.138364899999971</v>
      </c>
      <c r="AM929">
        <v>-44.907942114873997</v>
      </c>
      <c r="AN929">
        <v>-20.138364899999971</v>
      </c>
      <c r="AO929">
        <v>-44.907942114873997</v>
      </c>
      <c r="AP929">
        <v>-20.138233</v>
      </c>
      <c r="AQ929">
        <v>-44.908200000000001</v>
      </c>
      <c r="AR929">
        <v>30.692690617986941</v>
      </c>
      <c r="AS929" t="s">
        <v>65</v>
      </c>
      <c r="AT929">
        <v>1</v>
      </c>
      <c r="AU929" t="s">
        <v>471</v>
      </c>
      <c r="AV929" t="s">
        <v>472</v>
      </c>
      <c r="AW929" t="s">
        <v>60</v>
      </c>
      <c r="AX929" t="s">
        <v>68</v>
      </c>
      <c r="AY929" t="s">
        <v>69</v>
      </c>
      <c r="AZ929" t="b">
        <v>1</v>
      </c>
    </row>
    <row r="930" spans="1:52" x14ac:dyDescent="0.3">
      <c r="A930" t="s">
        <v>52</v>
      </c>
      <c r="B930" t="s">
        <v>53</v>
      </c>
      <c r="C930" t="s">
        <v>54</v>
      </c>
      <c r="D930" t="s">
        <v>55</v>
      </c>
      <c r="E930" t="s">
        <v>2099</v>
      </c>
      <c r="F930" t="s">
        <v>1247</v>
      </c>
      <c r="G930" t="s">
        <v>851</v>
      </c>
      <c r="H930" t="s">
        <v>852</v>
      </c>
      <c r="I930" t="s">
        <v>852</v>
      </c>
      <c r="J930" t="s">
        <v>60</v>
      </c>
      <c r="K930" t="s">
        <v>853</v>
      </c>
      <c r="L930" t="s">
        <v>62</v>
      </c>
      <c r="M930" t="s">
        <v>853</v>
      </c>
      <c r="N930" t="s">
        <v>854</v>
      </c>
      <c r="O930" t="s">
        <v>855</v>
      </c>
      <c r="P930">
        <v>-20.127835000000001</v>
      </c>
      <c r="Q930">
        <v>-44.909329</v>
      </c>
      <c r="R930" s="2" t="str">
        <f>HYPERLINK("https://www.google.com/maps?q=-20.1278350,-44.9093290","Abrir no Google Maps")</f>
        <v>Abrir no Google Maps</v>
      </c>
      <c r="S930">
        <v>3</v>
      </c>
      <c r="T930">
        <v>1173.033690896357</v>
      </c>
      <c r="U930">
        <v>3</v>
      </c>
      <c r="V930">
        <v>18</v>
      </c>
      <c r="W930">
        <v>1</v>
      </c>
      <c r="X930">
        <v>18</v>
      </c>
      <c r="Y930">
        <v>581</v>
      </c>
      <c r="Z930">
        <v>1296.5011565926129</v>
      </c>
      <c r="AA930">
        <v>198</v>
      </c>
      <c r="AB930">
        <v>332</v>
      </c>
      <c r="AC930">
        <v>536</v>
      </c>
      <c r="AD930">
        <v>30.48</v>
      </c>
      <c r="AE930">
        <v>542</v>
      </c>
      <c r="AF930">
        <v>30</v>
      </c>
      <c r="AG930">
        <v>176</v>
      </c>
      <c r="AH930">
        <v>129</v>
      </c>
      <c r="AI930">
        <v>5.54</v>
      </c>
      <c r="AJ930">
        <v>32.47</v>
      </c>
      <c r="AK930">
        <v>23.8</v>
      </c>
      <c r="AL930">
        <v>-20.127852899999969</v>
      </c>
      <c r="AM930">
        <v>-44.909386667699948</v>
      </c>
      <c r="AN930">
        <v>-20.127852899999969</v>
      </c>
      <c r="AO930">
        <v>-44.909386667699948</v>
      </c>
      <c r="AP930">
        <v>-20.127835000000001</v>
      </c>
      <c r="AQ930">
        <v>-44.909329</v>
      </c>
      <c r="AR930">
        <v>6.3483385067119924</v>
      </c>
      <c r="AS930" t="s">
        <v>65</v>
      </c>
      <c r="AT930">
        <v>1</v>
      </c>
      <c r="AU930" t="s">
        <v>856</v>
      </c>
      <c r="AV930" t="s">
        <v>857</v>
      </c>
      <c r="AW930" t="s">
        <v>60</v>
      </c>
      <c r="AX930" t="s">
        <v>68</v>
      </c>
      <c r="AY930" t="s">
        <v>69</v>
      </c>
      <c r="AZ930" t="b">
        <v>1</v>
      </c>
    </row>
    <row r="931" spans="1:52" x14ac:dyDescent="0.3">
      <c r="A931" t="s">
        <v>52</v>
      </c>
      <c r="B931" t="s">
        <v>53</v>
      </c>
      <c r="C931" t="s">
        <v>54</v>
      </c>
      <c r="D931" t="s">
        <v>55</v>
      </c>
      <c r="E931" t="s">
        <v>2099</v>
      </c>
      <c r="F931" t="s">
        <v>1247</v>
      </c>
      <c r="G931" t="s">
        <v>864</v>
      </c>
      <c r="H931" t="s">
        <v>865</v>
      </c>
      <c r="I931" t="s">
        <v>865</v>
      </c>
      <c r="J931" t="s">
        <v>60</v>
      </c>
      <c r="K931" t="s">
        <v>486</v>
      </c>
      <c r="L931" t="s">
        <v>62</v>
      </c>
      <c r="M931" t="s">
        <v>486</v>
      </c>
      <c r="N931" t="s">
        <v>866</v>
      </c>
      <c r="O931" t="s">
        <v>867</v>
      </c>
      <c r="P931">
        <v>-20.170919000000001</v>
      </c>
      <c r="Q931">
        <v>-44.905451999999997</v>
      </c>
      <c r="R931" s="2" t="str">
        <f>HYPERLINK("https://www.google.com/maps?q=-20.1709190,-44.9054520","Abrir no Google Maps")</f>
        <v>Abrir no Google Maps</v>
      </c>
      <c r="S931">
        <v>3</v>
      </c>
      <c r="T931">
        <v>0</v>
      </c>
      <c r="U931">
        <v>3</v>
      </c>
      <c r="V931">
        <v>18</v>
      </c>
      <c r="W931">
        <v>1</v>
      </c>
      <c r="X931">
        <v>18</v>
      </c>
      <c r="Y931">
        <v>578</v>
      </c>
      <c r="Z931">
        <v>205.34598855748419</v>
      </c>
      <c r="AA931">
        <v>198</v>
      </c>
      <c r="AB931">
        <v>332</v>
      </c>
      <c r="AC931">
        <v>536</v>
      </c>
      <c r="AD931">
        <v>30.48</v>
      </c>
      <c r="AE931">
        <v>542</v>
      </c>
      <c r="AF931">
        <v>30</v>
      </c>
      <c r="AG931">
        <v>176</v>
      </c>
      <c r="AH931">
        <v>129</v>
      </c>
      <c r="AI931">
        <v>5.54</v>
      </c>
      <c r="AJ931">
        <v>32.47</v>
      </c>
      <c r="AK931">
        <v>23.8</v>
      </c>
      <c r="AL931">
        <v>-20.170854399999939</v>
      </c>
      <c r="AM931">
        <v>-44.905524839633358</v>
      </c>
      <c r="AN931">
        <v>-20.170854399999939</v>
      </c>
      <c r="AO931">
        <v>-44.905524839633358</v>
      </c>
      <c r="AP931">
        <v>-20.170919000000001</v>
      </c>
      <c r="AQ931">
        <v>-44.905451999999997</v>
      </c>
      <c r="AR931">
        <v>10.471140355179269</v>
      </c>
      <c r="AS931" t="s">
        <v>65</v>
      </c>
      <c r="AT931">
        <v>1</v>
      </c>
      <c r="AU931" t="s">
        <v>868</v>
      </c>
      <c r="AV931" t="s">
        <v>869</v>
      </c>
      <c r="AW931" t="s">
        <v>60</v>
      </c>
      <c r="AX931" t="s">
        <v>68</v>
      </c>
      <c r="AY931" t="s">
        <v>69</v>
      </c>
      <c r="AZ931" t="b">
        <v>1</v>
      </c>
    </row>
    <row r="932" spans="1:52" x14ac:dyDescent="0.3">
      <c r="A932" t="s">
        <v>52</v>
      </c>
      <c r="B932" t="s">
        <v>53</v>
      </c>
      <c r="C932" t="s">
        <v>54</v>
      </c>
      <c r="D932" t="s">
        <v>55</v>
      </c>
      <c r="E932" t="s">
        <v>2099</v>
      </c>
      <c r="F932" t="s">
        <v>1247</v>
      </c>
      <c r="G932" t="s">
        <v>479</v>
      </c>
      <c r="H932" t="s">
        <v>480</v>
      </c>
      <c r="I932" t="s">
        <v>480</v>
      </c>
      <c r="J932" t="s">
        <v>60</v>
      </c>
      <c r="K932" t="s">
        <v>388</v>
      </c>
      <c r="L932" t="s">
        <v>62</v>
      </c>
      <c r="M932" t="s">
        <v>388</v>
      </c>
      <c r="N932" t="s">
        <v>481</v>
      </c>
      <c r="O932" t="s">
        <v>315</v>
      </c>
      <c r="P932">
        <v>-20.166903999999999</v>
      </c>
      <c r="Q932">
        <v>-44.903492</v>
      </c>
      <c r="R932" s="2" t="str">
        <f>HYPERLINK("https://www.google.com/maps?q=-20.1669040,-44.9034920","Abrir no Google Maps")</f>
        <v>Abrir no Google Maps</v>
      </c>
      <c r="S932">
        <v>3</v>
      </c>
      <c r="T932">
        <v>517.12253532511602</v>
      </c>
      <c r="U932">
        <v>3</v>
      </c>
      <c r="V932">
        <v>12</v>
      </c>
      <c r="W932">
        <v>1</v>
      </c>
      <c r="X932">
        <v>12</v>
      </c>
      <c r="Y932">
        <v>578</v>
      </c>
      <c r="Z932">
        <v>721.79551240050432</v>
      </c>
      <c r="AA932">
        <v>198</v>
      </c>
      <c r="AB932">
        <v>332</v>
      </c>
      <c r="AC932">
        <v>536</v>
      </c>
      <c r="AD932">
        <v>30.48</v>
      </c>
      <c r="AE932">
        <v>542</v>
      </c>
      <c r="AF932">
        <v>30</v>
      </c>
      <c r="AG932">
        <v>176</v>
      </c>
      <c r="AH932">
        <v>129</v>
      </c>
      <c r="AI932">
        <v>5.54</v>
      </c>
      <c r="AJ932">
        <v>32.47</v>
      </c>
      <c r="AK932">
        <v>23.8</v>
      </c>
      <c r="AL932">
        <v>-20.166610649999971</v>
      </c>
      <c r="AM932">
        <v>-44.903452988928308</v>
      </c>
      <c r="AN932">
        <v>-20.166610649999971</v>
      </c>
      <c r="AO932">
        <v>-44.903452988928308</v>
      </c>
      <c r="AP932">
        <v>-20.166903999999999</v>
      </c>
      <c r="AQ932">
        <v>-44.903492</v>
      </c>
      <c r="AR932">
        <v>32.909175876856217</v>
      </c>
      <c r="AS932" t="s">
        <v>65</v>
      </c>
      <c r="AT932">
        <v>1</v>
      </c>
      <c r="AU932" t="s">
        <v>482</v>
      </c>
      <c r="AV932" t="s">
        <v>483</v>
      </c>
      <c r="AW932" t="s">
        <v>60</v>
      </c>
      <c r="AX932" t="s">
        <v>68</v>
      </c>
      <c r="AY932" t="s">
        <v>69</v>
      </c>
      <c r="AZ932" t="b">
        <v>1</v>
      </c>
    </row>
    <row r="933" spans="1:52" x14ac:dyDescent="0.3">
      <c r="A933" t="s">
        <v>52</v>
      </c>
      <c r="B933" t="s">
        <v>53</v>
      </c>
      <c r="C933" t="s">
        <v>54</v>
      </c>
      <c r="D933" t="s">
        <v>55</v>
      </c>
      <c r="E933" t="s">
        <v>2099</v>
      </c>
      <c r="F933" t="s">
        <v>1247</v>
      </c>
      <c r="G933" t="s">
        <v>497</v>
      </c>
      <c r="H933" t="s">
        <v>498</v>
      </c>
      <c r="I933" t="s">
        <v>498</v>
      </c>
      <c r="J933" t="s">
        <v>60</v>
      </c>
      <c r="K933" t="s">
        <v>475</v>
      </c>
      <c r="L933" t="s">
        <v>62</v>
      </c>
      <c r="M933" t="s">
        <v>475</v>
      </c>
      <c r="N933" t="s">
        <v>499</v>
      </c>
      <c r="O933" t="s">
        <v>500</v>
      </c>
      <c r="P933">
        <v>-20.175492999999999</v>
      </c>
      <c r="Q933">
        <v>-44.900759000000001</v>
      </c>
      <c r="R933" s="2" t="str">
        <f>HYPERLINK("https://www.google.com/maps?q=-20.1754930,-44.9007590","Abrir no Google Maps")</f>
        <v>Abrir no Google Maps</v>
      </c>
      <c r="S933">
        <v>3</v>
      </c>
      <c r="T933">
        <v>753.30732354720431</v>
      </c>
      <c r="U933">
        <v>3</v>
      </c>
      <c r="V933">
        <v>14</v>
      </c>
      <c r="W933">
        <v>1</v>
      </c>
      <c r="X933">
        <v>14</v>
      </c>
      <c r="Y933">
        <v>578</v>
      </c>
      <c r="Z933">
        <v>695.28903655431702</v>
      </c>
      <c r="AA933">
        <v>198</v>
      </c>
      <c r="AB933">
        <v>332</v>
      </c>
      <c r="AC933">
        <v>536</v>
      </c>
      <c r="AD933">
        <v>30.48</v>
      </c>
      <c r="AE933">
        <v>542</v>
      </c>
      <c r="AF933">
        <v>30</v>
      </c>
      <c r="AG933">
        <v>176</v>
      </c>
      <c r="AH933">
        <v>129</v>
      </c>
      <c r="AI933">
        <v>5.54</v>
      </c>
      <c r="AJ933">
        <v>32.47</v>
      </c>
      <c r="AK933">
        <v>23.8</v>
      </c>
      <c r="AL933">
        <v>-20.175825999999969</v>
      </c>
      <c r="AM933">
        <v>-44.900600234646973</v>
      </c>
      <c r="AN933">
        <v>-20.175825999999969</v>
      </c>
      <c r="AO933">
        <v>-44.900600234646973</v>
      </c>
      <c r="AP933">
        <v>-20.175492999999999</v>
      </c>
      <c r="AQ933">
        <v>-44.900759000000001</v>
      </c>
      <c r="AR933">
        <v>40.612267304645073</v>
      </c>
      <c r="AS933" t="s">
        <v>65</v>
      </c>
      <c r="AT933">
        <v>1</v>
      </c>
      <c r="AU933" t="s">
        <v>501</v>
      </c>
      <c r="AV933" t="s">
        <v>502</v>
      </c>
      <c r="AW933" t="s">
        <v>60</v>
      </c>
      <c r="AX933" t="s">
        <v>68</v>
      </c>
      <c r="AY933" t="s">
        <v>69</v>
      </c>
      <c r="AZ933" t="b">
        <v>1</v>
      </c>
    </row>
    <row r="934" spans="1:52" x14ac:dyDescent="0.3">
      <c r="A934" t="s">
        <v>52</v>
      </c>
      <c r="B934" t="s">
        <v>53</v>
      </c>
      <c r="C934" t="s">
        <v>54</v>
      </c>
      <c r="D934" t="s">
        <v>55</v>
      </c>
      <c r="E934" t="s">
        <v>2099</v>
      </c>
      <c r="F934" t="s">
        <v>1247</v>
      </c>
      <c r="G934" t="s">
        <v>398</v>
      </c>
      <c r="H934" t="s">
        <v>541</v>
      </c>
      <c r="I934" t="s">
        <v>541</v>
      </c>
      <c r="J934" t="s">
        <v>60</v>
      </c>
      <c r="K934" t="s">
        <v>388</v>
      </c>
      <c r="L934" t="s">
        <v>62</v>
      </c>
      <c r="M934" t="s">
        <v>388</v>
      </c>
      <c r="N934" t="s">
        <v>400</v>
      </c>
      <c r="O934" t="s">
        <v>542</v>
      </c>
      <c r="P934">
        <v>-20.151335</v>
      </c>
      <c r="Q934">
        <v>-44.901041999999997</v>
      </c>
      <c r="R934" s="2" t="str">
        <f>HYPERLINK("https://www.google.com/maps?q=-20.1513350,-44.9010420","Abrir no Google Maps")</f>
        <v>Abrir no Google Maps</v>
      </c>
      <c r="S934">
        <v>3</v>
      </c>
      <c r="T934">
        <v>0</v>
      </c>
      <c r="U934">
        <v>3</v>
      </c>
      <c r="V934">
        <v>18</v>
      </c>
      <c r="W934">
        <v>1</v>
      </c>
      <c r="X934">
        <v>18</v>
      </c>
      <c r="Y934">
        <v>556</v>
      </c>
      <c r="Z934">
        <v>137.71609036908939</v>
      </c>
      <c r="AA934">
        <v>198</v>
      </c>
      <c r="AB934">
        <v>332</v>
      </c>
      <c r="AC934">
        <v>536</v>
      </c>
      <c r="AD934">
        <v>30.48</v>
      </c>
      <c r="AE934">
        <v>542</v>
      </c>
      <c r="AF934">
        <v>30</v>
      </c>
      <c r="AG934">
        <v>176</v>
      </c>
      <c r="AH934">
        <v>129</v>
      </c>
      <c r="AI934">
        <v>5.54</v>
      </c>
      <c r="AJ934">
        <v>32.47</v>
      </c>
      <c r="AK934">
        <v>23.8</v>
      </c>
      <c r="AL934">
        <v>-20.15125899999995</v>
      </c>
      <c r="AM934">
        <v>-44.900838557594433</v>
      </c>
      <c r="AN934">
        <v>-20.15125899999995</v>
      </c>
      <c r="AO934">
        <v>-44.900838557594433</v>
      </c>
      <c r="AP934">
        <v>-20.151335</v>
      </c>
      <c r="AQ934">
        <v>-44.901041999999997</v>
      </c>
      <c r="AR934">
        <v>22.882363139483491</v>
      </c>
      <c r="AS934" t="s">
        <v>65</v>
      </c>
      <c r="AT934">
        <v>1</v>
      </c>
      <c r="AU934" t="s">
        <v>543</v>
      </c>
      <c r="AV934" t="s">
        <v>544</v>
      </c>
      <c r="AW934" t="s">
        <v>60</v>
      </c>
      <c r="AX934" t="s">
        <v>68</v>
      </c>
      <c r="AY934" t="s">
        <v>69</v>
      </c>
      <c r="AZ934" t="b">
        <v>1</v>
      </c>
    </row>
    <row r="935" spans="1:52" x14ac:dyDescent="0.3">
      <c r="A935" t="s">
        <v>52</v>
      </c>
      <c r="B935" t="s">
        <v>53</v>
      </c>
      <c r="C935" t="s">
        <v>54</v>
      </c>
      <c r="D935" t="s">
        <v>55</v>
      </c>
      <c r="E935" t="s">
        <v>2099</v>
      </c>
      <c r="F935" t="s">
        <v>1247</v>
      </c>
      <c r="G935" t="s">
        <v>545</v>
      </c>
      <c r="H935" t="s">
        <v>546</v>
      </c>
      <c r="I935" t="s">
        <v>546</v>
      </c>
      <c r="J935" t="s">
        <v>60</v>
      </c>
      <c r="K935" t="s">
        <v>388</v>
      </c>
      <c r="L935" t="s">
        <v>62</v>
      </c>
      <c r="M935" t="s">
        <v>388</v>
      </c>
      <c r="N935" t="s">
        <v>547</v>
      </c>
      <c r="O935" t="s">
        <v>548</v>
      </c>
      <c r="P935">
        <v>-20.155839</v>
      </c>
      <c r="Q935">
        <v>-44.905655000000003</v>
      </c>
      <c r="R935" s="2" t="str">
        <f>HYPERLINK("https://www.google.com/maps?q=-20.1558390,-44.9056550","Abrir no Google Maps")</f>
        <v>Abrir no Google Maps</v>
      </c>
      <c r="S935">
        <v>3</v>
      </c>
      <c r="T935">
        <v>309.7643089121122</v>
      </c>
      <c r="U935">
        <v>3</v>
      </c>
      <c r="V935">
        <v>17</v>
      </c>
      <c r="W935">
        <v>1</v>
      </c>
      <c r="X935">
        <v>17</v>
      </c>
      <c r="Y935">
        <v>548</v>
      </c>
      <c r="Z935">
        <v>284.24281731793161</v>
      </c>
      <c r="AA935">
        <v>198</v>
      </c>
      <c r="AB935">
        <v>332</v>
      </c>
      <c r="AC935">
        <v>536</v>
      </c>
      <c r="AD935">
        <v>30.48</v>
      </c>
      <c r="AE935">
        <v>542</v>
      </c>
      <c r="AF935">
        <v>30</v>
      </c>
      <c r="AG935">
        <v>176</v>
      </c>
      <c r="AH935">
        <v>129</v>
      </c>
      <c r="AI935">
        <v>5.54</v>
      </c>
      <c r="AJ935">
        <v>32.47</v>
      </c>
      <c r="AK935">
        <v>23.8</v>
      </c>
      <c r="AL935">
        <v>-20.155913549999951</v>
      </c>
      <c r="AM935">
        <v>-44.905554508392683</v>
      </c>
      <c r="AN935">
        <v>-20.155913549999951</v>
      </c>
      <c r="AO935">
        <v>-44.905554508392669</v>
      </c>
      <c r="AP935">
        <v>-20.155839</v>
      </c>
      <c r="AQ935">
        <v>-44.905655000000003</v>
      </c>
      <c r="AR935">
        <v>13.384922093797449</v>
      </c>
      <c r="AS935" t="s">
        <v>65</v>
      </c>
      <c r="AT935">
        <v>1</v>
      </c>
      <c r="AU935" t="s">
        <v>549</v>
      </c>
      <c r="AV935" t="s">
        <v>550</v>
      </c>
      <c r="AW935" t="s">
        <v>60</v>
      </c>
      <c r="AX935" t="s">
        <v>68</v>
      </c>
      <c r="AY935" t="s">
        <v>69</v>
      </c>
      <c r="AZ935" t="b">
        <v>1</v>
      </c>
    </row>
    <row r="936" spans="1:52" x14ac:dyDescent="0.3">
      <c r="A936" t="s">
        <v>52</v>
      </c>
      <c r="B936" t="s">
        <v>53</v>
      </c>
      <c r="C936" t="s">
        <v>54</v>
      </c>
      <c r="D936" t="s">
        <v>55</v>
      </c>
      <c r="E936" t="s">
        <v>2099</v>
      </c>
      <c r="F936" t="s">
        <v>1247</v>
      </c>
      <c r="G936" t="s">
        <v>556</v>
      </c>
      <c r="H936" t="s">
        <v>557</v>
      </c>
      <c r="I936" t="s">
        <v>557</v>
      </c>
      <c r="J936" t="s">
        <v>60</v>
      </c>
      <c r="K936" t="s">
        <v>388</v>
      </c>
      <c r="L936" t="s">
        <v>62</v>
      </c>
      <c r="M936" t="s">
        <v>388</v>
      </c>
      <c r="N936" t="s">
        <v>558</v>
      </c>
      <c r="O936" t="s">
        <v>559</v>
      </c>
      <c r="P936">
        <v>-20.152670000000001</v>
      </c>
      <c r="Q936">
        <v>-44.902557999999999</v>
      </c>
      <c r="R936" s="2" t="str">
        <f>HYPERLINK("https://www.google.com/maps?q=-20.1526700,-44.9025580","Abrir no Google Maps")</f>
        <v>Abrir no Google Maps</v>
      </c>
      <c r="S936">
        <v>3</v>
      </c>
      <c r="T936">
        <v>228.56195217678911</v>
      </c>
      <c r="U936">
        <v>3</v>
      </c>
      <c r="V936">
        <v>13</v>
      </c>
      <c r="W936">
        <v>1</v>
      </c>
      <c r="X936">
        <v>13</v>
      </c>
      <c r="Y936">
        <v>548</v>
      </c>
      <c r="Z936">
        <v>250.63133895224919</v>
      </c>
      <c r="AA936">
        <v>198</v>
      </c>
      <c r="AB936">
        <v>332</v>
      </c>
      <c r="AC936">
        <v>536</v>
      </c>
      <c r="AD936">
        <v>30.48</v>
      </c>
      <c r="AE936">
        <v>542</v>
      </c>
      <c r="AF936">
        <v>30</v>
      </c>
      <c r="AG936">
        <v>176</v>
      </c>
      <c r="AH936">
        <v>129</v>
      </c>
      <c r="AI936">
        <v>5.54</v>
      </c>
      <c r="AJ936">
        <v>32.47</v>
      </c>
      <c r="AK936">
        <v>23.8</v>
      </c>
      <c r="AL936">
        <v>-20.152629799999939</v>
      </c>
      <c r="AM936">
        <v>-44.902604744705201</v>
      </c>
      <c r="AN936">
        <v>-20.152629799999939</v>
      </c>
      <c r="AO936">
        <v>-44.902604744705201</v>
      </c>
      <c r="AP936">
        <v>-20.152670000000001</v>
      </c>
      <c r="AQ936">
        <v>-44.902557999999999</v>
      </c>
      <c r="AR936">
        <v>6.6249428037111509</v>
      </c>
      <c r="AS936" t="s">
        <v>65</v>
      </c>
      <c r="AT936">
        <v>1</v>
      </c>
      <c r="AU936" t="s">
        <v>560</v>
      </c>
      <c r="AV936" t="s">
        <v>561</v>
      </c>
      <c r="AW936" t="s">
        <v>60</v>
      </c>
      <c r="AX936" t="s">
        <v>68</v>
      </c>
      <c r="AY936" t="s">
        <v>69</v>
      </c>
      <c r="AZ936" t="b">
        <v>1</v>
      </c>
    </row>
    <row r="937" spans="1:52" x14ac:dyDescent="0.3">
      <c r="A937" t="s">
        <v>52</v>
      </c>
      <c r="B937" t="s">
        <v>53</v>
      </c>
      <c r="C937" t="s">
        <v>54</v>
      </c>
      <c r="D937" t="s">
        <v>55</v>
      </c>
      <c r="E937" t="s">
        <v>2099</v>
      </c>
      <c r="F937" t="s">
        <v>1247</v>
      </c>
      <c r="G937" t="s">
        <v>562</v>
      </c>
      <c r="H937" t="s">
        <v>563</v>
      </c>
      <c r="I937" t="s">
        <v>563</v>
      </c>
      <c r="J937" t="s">
        <v>60</v>
      </c>
      <c r="K937" t="s">
        <v>388</v>
      </c>
      <c r="L937" t="s">
        <v>62</v>
      </c>
      <c r="M937" t="s">
        <v>388</v>
      </c>
      <c r="N937" t="s">
        <v>564</v>
      </c>
      <c r="O937" t="s">
        <v>565</v>
      </c>
      <c r="P937">
        <v>-20.154432</v>
      </c>
      <c r="Q937">
        <v>-44.902977999999997</v>
      </c>
      <c r="R937" s="2" t="str">
        <f>HYPERLINK("https://www.google.com/maps?q=-20.1544320,-44.9029780","Abrir no Google Maps")</f>
        <v>Abrir no Google Maps</v>
      </c>
      <c r="S937">
        <v>3</v>
      </c>
      <c r="T937">
        <v>0</v>
      </c>
      <c r="U937">
        <v>3</v>
      </c>
      <c r="V937">
        <v>14</v>
      </c>
      <c r="W937">
        <v>1</v>
      </c>
      <c r="X937">
        <v>14</v>
      </c>
      <c r="Y937">
        <v>548</v>
      </c>
      <c r="Z937">
        <v>29.424211042533759</v>
      </c>
      <c r="AA937">
        <v>198</v>
      </c>
      <c r="AB937">
        <v>332</v>
      </c>
      <c r="AC937">
        <v>536</v>
      </c>
      <c r="AD937">
        <v>30.48</v>
      </c>
      <c r="AE937">
        <v>542</v>
      </c>
      <c r="AF937">
        <v>30</v>
      </c>
      <c r="AG937">
        <v>176</v>
      </c>
      <c r="AH937">
        <v>129</v>
      </c>
      <c r="AI937">
        <v>5.54</v>
      </c>
      <c r="AJ937">
        <v>32.47</v>
      </c>
      <c r="AK937">
        <v>23.8</v>
      </c>
      <c r="AL937">
        <v>-20.15467689999997</v>
      </c>
      <c r="AM937">
        <v>-44.902895281771222</v>
      </c>
      <c r="AN937">
        <v>-20.15467689999997</v>
      </c>
      <c r="AO937">
        <v>-44.902895281771222</v>
      </c>
      <c r="AP937">
        <v>-20.154432</v>
      </c>
      <c r="AQ937">
        <v>-44.902977999999997</v>
      </c>
      <c r="AR937">
        <v>28.5999270636025</v>
      </c>
      <c r="AS937" t="s">
        <v>65</v>
      </c>
      <c r="AT937">
        <v>1</v>
      </c>
      <c r="AU937" t="s">
        <v>566</v>
      </c>
      <c r="AV937" t="s">
        <v>567</v>
      </c>
      <c r="AW937" t="s">
        <v>60</v>
      </c>
      <c r="AX937" t="s">
        <v>68</v>
      </c>
      <c r="AY937" t="s">
        <v>69</v>
      </c>
      <c r="AZ937" t="b">
        <v>1</v>
      </c>
    </row>
    <row r="938" spans="1:52" x14ac:dyDescent="0.3">
      <c r="A938" t="s">
        <v>52</v>
      </c>
      <c r="B938" t="s">
        <v>53</v>
      </c>
      <c r="C938" t="s">
        <v>54</v>
      </c>
      <c r="D938" t="s">
        <v>55</v>
      </c>
      <c r="E938" t="s">
        <v>2099</v>
      </c>
      <c r="F938" t="s">
        <v>1247</v>
      </c>
      <c r="G938" t="s">
        <v>839</v>
      </c>
      <c r="H938" t="s">
        <v>840</v>
      </c>
      <c r="I938" t="s">
        <v>840</v>
      </c>
      <c r="J938" t="s">
        <v>60</v>
      </c>
      <c r="K938" t="s">
        <v>388</v>
      </c>
      <c r="L938" t="s">
        <v>62</v>
      </c>
      <c r="M938" t="s">
        <v>388</v>
      </c>
      <c r="N938" t="s">
        <v>841</v>
      </c>
      <c r="O938" t="s">
        <v>842</v>
      </c>
      <c r="P938">
        <v>-20.159977999999999</v>
      </c>
      <c r="Q938">
        <v>-44.900207000000002</v>
      </c>
      <c r="R938" s="2" t="str">
        <f>HYPERLINK("https://www.google.com/maps?q=-20.1599780,-44.9002070","Abrir no Google Maps")</f>
        <v>Abrir no Google Maps</v>
      </c>
      <c r="S938">
        <v>3</v>
      </c>
      <c r="T938">
        <v>213.24333517300789</v>
      </c>
      <c r="U938">
        <v>2</v>
      </c>
      <c r="V938">
        <v>11</v>
      </c>
      <c r="W938">
        <v>1</v>
      </c>
      <c r="X938">
        <v>11</v>
      </c>
      <c r="Y938">
        <v>729</v>
      </c>
      <c r="Z938">
        <v>315.47173727880028</v>
      </c>
      <c r="AA938">
        <v>198</v>
      </c>
      <c r="AB938">
        <v>332</v>
      </c>
      <c r="AC938">
        <v>536</v>
      </c>
      <c r="AD938">
        <v>30.48</v>
      </c>
      <c r="AE938">
        <v>542</v>
      </c>
      <c r="AF938">
        <v>30</v>
      </c>
      <c r="AG938">
        <v>176</v>
      </c>
      <c r="AH938">
        <v>129</v>
      </c>
      <c r="AI938">
        <v>5.54</v>
      </c>
      <c r="AJ938">
        <v>32.47</v>
      </c>
      <c r="AK938">
        <v>23.8</v>
      </c>
      <c r="AL938">
        <v>-20.159825649999959</v>
      </c>
      <c r="AM938">
        <v>-44.900143828909613</v>
      </c>
      <c r="AN938">
        <v>-20.159825649999959</v>
      </c>
      <c r="AO938">
        <v>-44.900143828909613</v>
      </c>
      <c r="AP938">
        <v>-20.159977999999999</v>
      </c>
      <c r="AQ938">
        <v>-44.900207000000002</v>
      </c>
      <c r="AR938">
        <v>18.199073573580371</v>
      </c>
      <c r="AS938" t="s">
        <v>65</v>
      </c>
      <c r="AT938">
        <v>1</v>
      </c>
      <c r="AU938" t="s">
        <v>843</v>
      </c>
      <c r="AV938" t="s">
        <v>844</v>
      </c>
      <c r="AW938" t="s">
        <v>60</v>
      </c>
      <c r="AX938" t="s">
        <v>68</v>
      </c>
      <c r="AY938" t="s">
        <v>69</v>
      </c>
      <c r="AZ938" t="b">
        <v>1</v>
      </c>
    </row>
    <row r="939" spans="1:52" x14ac:dyDescent="0.3">
      <c r="A939" t="s">
        <v>52</v>
      </c>
      <c r="B939" t="s">
        <v>53</v>
      </c>
      <c r="C939" t="s">
        <v>54</v>
      </c>
      <c r="D939" t="s">
        <v>55</v>
      </c>
      <c r="E939" t="s">
        <v>2099</v>
      </c>
      <c r="F939" t="s">
        <v>1247</v>
      </c>
      <c r="G939" t="s">
        <v>839</v>
      </c>
      <c r="H939" t="s">
        <v>1274</v>
      </c>
      <c r="I939" t="s">
        <v>1274</v>
      </c>
      <c r="J939" t="s">
        <v>60</v>
      </c>
      <c r="K939" t="s">
        <v>388</v>
      </c>
      <c r="L939" t="s">
        <v>62</v>
      </c>
      <c r="M939" t="s">
        <v>388</v>
      </c>
      <c r="N939" t="s">
        <v>841</v>
      </c>
      <c r="O939" t="s">
        <v>1275</v>
      </c>
      <c r="P939">
        <v>-20.157979999999998</v>
      </c>
      <c r="Q939">
        <v>-44.906365999999998</v>
      </c>
      <c r="R939" s="2" t="str">
        <f>HYPERLINK("https://www.google.com/maps?q=-20.1579800,-44.9063660","Abrir no Google Maps")</f>
        <v>Abrir no Google Maps</v>
      </c>
      <c r="S939">
        <v>3</v>
      </c>
      <c r="T939">
        <v>519.48953004348823</v>
      </c>
      <c r="U939">
        <v>2</v>
      </c>
      <c r="V939">
        <v>10</v>
      </c>
      <c r="W939">
        <v>0.85</v>
      </c>
      <c r="X939">
        <v>8.5</v>
      </c>
      <c r="Y939">
        <v>729</v>
      </c>
      <c r="Z939">
        <v>393.22938248316768</v>
      </c>
      <c r="AA939">
        <v>198</v>
      </c>
      <c r="AB939">
        <v>332</v>
      </c>
      <c r="AC939">
        <v>536</v>
      </c>
      <c r="AD939">
        <v>30.48</v>
      </c>
      <c r="AE939">
        <v>542</v>
      </c>
      <c r="AF939">
        <v>30</v>
      </c>
      <c r="AG939">
        <v>176</v>
      </c>
      <c r="AH939">
        <v>129</v>
      </c>
      <c r="AI939">
        <v>5.54</v>
      </c>
      <c r="AJ939">
        <v>32.47</v>
      </c>
      <c r="AK939">
        <v>23.8</v>
      </c>
      <c r="AL939">
        <v>-20.157977799999941</v>
      </c>
      <c r="AM939">
        <v>-44.906429896327573</v>
      </c>
      <c r="AN939">
        <v>-20.157977799999941</v>
      </c>
      <c r="AO939">
        <v>-44.906429896327573</v>
      </c>
      <c r="AP939">
        <v>-20.157979999999998</v>
      </c>
      <c r="AQ939">
        <v>-44.906365999999998</v>
      </c>
      <c r="AR939">
        <v>6.6817330699236734</v>
      </c>
      <c r="AS939" t="s">
        <v>65</v>
      </c>
      <c r="AT939">
        <v>1</v>
      </c>
      <c r="AU939" t="s">
        <v>1276</v>
      </c>
      <c r="AV939" t="s">
        <v>1277</v>
      </c>
      <c r="AW939" t="s">
        <v>60</v>
      </c>
      <c r="AX939" t="s">
        <v>68</v>
      </c>
      <c r="AY939" t="s">
        <v>69</v>
      </c>
      <c r="AZ939" t="b">
        <v>1</v>
      </c>
    </row>
    <row r="940" spans="1:52" x14ac:dyDescent="0.3">
      <c r="A940" t="s">
        <v>52</v>
      </c>
      <c r="B940" t="s">
        <v>53</v>
      </c>
      <c r="C940" t="s">
        <v>54</v>
      </c>
      <c r="D940" t="s">
        <v>55</v>
      </c>
      <c r="E940" t="s">
        <v>2099</v>
      </c>
      <c r="F940" t="s">
        <v>1247</v>
      </c>
      <c r="G940" t="s">
        <v>1278</v>
      </c>
      <c r="H940" t="s">
        <v>1279</v>
      </c>
      <c r="I940" t="s">
        <v>1279</v>
      </c>
      <c r="J940" t="s">
        <v>60</v>
      </c>
      <c r="K940" t="s">
        <v>388</v>
      </c>
      <c r="L940" t="s">
        <v>62</v>
      </c>
      <c r="M940" t="s">
        <v>388</v>
      </c>
      <c r="N940" t="s">
        <v>1280</v>
      </c>
      <c r="O940" t="s">
        <v>216</v>
      </c>
      <c r="P940">
        <v>-20.15681</v>
      </c>
      <c r="Q940">
        <v>-44.899290999999998</v>
      </c>
      <c r="R940" s="2" t="str">
        <f>HYPERLINK("https://www.google.com/maps?q=-20.1568100,-44.8992910","Abrir no Google Maps")</f>
        <v>Abrir no Google Maps</v>
      </c>
      <c r="S940">
        <v>3</v>
      </c>
      <c r="T940">
        <v>180.10162979749811</v>
      </c>
      <c r="U940">
        <v>2</v>
      </c>
      <c r="V940">
        <v>13</v>
      </c>
      <c r="W940">
        <v>0.85</v>
      </c>
      <c r="X940">
        <v>11.05</v>
      </c>
      <c r="Y940">
        <v>729</v>
      </c>
      <c r="Z940">
        <v>368.06065118133841</v>
      </c>
      <c r="AA940">
        <v>198</v>
      </c>
      <c r="AB940">
        <v>332</v>
      </c>
      <c r="AC940">
        <v>536</v>
      </c>
      <c r="AD940">
        <v>30.48</v>
      </c>
      <c r="AE940">
        <v>542</v>
      </c>
      <c r="AF940">
        <v>30</v>
      </c>
      <c r="AG940">
        <v>176</v>
      </c>
      <c r="AH940">
        <v>129</v>
      </c>
      <c r="AI940">
        <v>5.54</v>
      </c>
      <c r="AJ940">
        <v>32.47</v>
      </c>
      <c r="AK940">
        <v>23.8</v>
      </c>
      <c r="AL940">
        <v>-20.156785649999961</v>
      </c>
      <c r="AM940">
        <v>-44.899254812291332</v>
      </c>
      <c r="AN940">
        <v>-20.156785649999961</v>
      </c>
      <c r="AO940">
        <v>-44.899254812291332</v>
      </c>
      <c r="AP940">
        <v>-20.15681</v>
      </c>
      <c r="AQ940">
        <v>-44.899290999999998</v>
      </c>
      <c r="AR940">
        <v>4.6528211992813118</v>
      </c>
      <c r="AS940" t="s">
        <v>65</v>
      </c>
      <c r="AT940">
        <v>1</v>
      </c>
      <c r="AU940" t="s">
        <v>1281</v>
      </c>
      <c r="AV940" t="s">
        <v>1282</v>
      </c>
      <c r="AW940" t="s">
        <v>60</v>
      </c>
      <c r="AX940" t="s">
        <v>68</v>
      </c>
      <c r="AY940" t="s">
        <v>69</v>
      </c>
      <c r="AZ940" t="b">
        <v>1</v>
      </c>
    </row>
    <row r="941" spans="1:52" x14ac:dyDescent="0.3">
      <c r="A941" t="s">
        <v>52</v>
      </c>
      <c r="B941" t="s">
        <v>53</v>
      </c>
      <c r="C941" t="s">
        <v>54</v>
      </c>
      <c r="D941" t="s">
        <v>55</v>
      </c>
      <c r="E941" t="s">
        <v>2099</v>
      </c>
      <c r="F941" t="s">
        <v>1247</v>
      </c>
      <c r="G941" t="s">
        <v>404</v>
      </c>
      <c r="H941" t="s">
        <v>405</v>
      </c>
      <c r="I941" t="s">
        <v>405</v>
      </c>
      <c r="J941" t="s">
        <v>60</v>
      </c>
      <c r="K941" t="s">
        <v>388</v>
      </c>
      <c r="L941" t="s">
        <v>62</v>
      </c>
      <c r="M941" t="s">
        <v>388</v>
      </c>
      <c r="N941" t="s">
        <v>406</v>
      </c>
      <c r="O941" t="s">
        <v>407</v>
      </c>
      <c r="P941">
        <v>-20.162780999999999</v>
      </c>
      <c r="Q941">
        <v>-44.904437999999999</v>
      </c>
      <c r="R941" s="2" t="str">
        <f>HYPERLINK("https://www.google.com/maps?q=-20.1627810,-44.9044380","Abrir no Google Maps")</f>
        <v>Abrir no Google Maps</v>
      </c>
      <c r="S941">
        <v>3</v>
      </c>
      <c r="T941">
        <v>681.0891377731482</v>
      </c>
      <c r="U941">
        <v>2</v>
      </c>
      <c r="V941">
        <v>11</v>
      </c>
      <c r="W941">
        <v>1</v>
      </c>
      <c r="X941">
        <v>11</v>
      </c>
      <c r="Y941">
        <v>729</v>
      </c>
      <c r="Z941">
        <v>564.17713687218622</v>
      </c>
      <c r="AA941">
        <v>198</v>
      </c>
      <c r="AB941">
        <v>332</v>
      </c>
      <c r="AC941">
        <v>536</v>
      </c>
      <c r="AD941">
        <v>30.48</v>
      </c>
      <c r="AE941">
        <v>542</v>
      </c>
      <c r="AF941">
        <v>30</v>
      </c>
      <c r="AG941">
        <v>176</v>
      </c>
      <c r="AH941">
        <v>129</v>
      </c>
      <c r="AI941">
        <v>5.54</v>
      </c>
      <c r="AJ941">
        <v>32.47</v>
      </c>
      <c r="AK941">
        <v>23.8</v>
      </c>
      <c r="AL941">
        <v>-20.16295434999995</v>
      </c>
      <c r="AM941">
        <v>-44.904242686956152</v>
      </c>
      <c r="AN941">
        <v>-20.16295434999995</v>
      </c>
      <c r="AO941">
        <v>-44.904242686956152</v>
      </c>
      <c r="AP941">
        <v>-20.162780999999999</v>
      </c>
      <c r="AQ941">
        <v>-44.904437999999999</v>
      </c>
      <c r="AR941">
        <v>28.088191280523411</v>
      </c>
      <c r="AS941" t="s">
        <v>65</v>
      </c>
      <c r="AT941">
        <v>1</v>
      </c>
      <c r="AU941" t="s">
        <v>408</v>
      </c>
      <c r="AV941" t="s">
        <v>409</v>
      </c>
      <c r="AW941" t="s">
        <v>60</v>
      </c>
      <c r="AX941" t="s">
        <v>68</v>
      </c>
      <c r="AY941" t="s">
        <v>69</v>
      </c>
      <c r="AZ941" t="b">
        <v>1</v>
      </c>
    </row>
    <row r="942" spans="1:52" x14ac:dyDescent="0.3">
      <c r="A942" t="s">
        <v>52</v>
      </c>
      <c r="B942" t="s">
        <v>53</v>
      </c>
      <c r="C942" t="s">
        <v>54</v>
      </c>
      <c r="D942" t="s">
        <v>55</v>
      </c>
      <c r="E942" t="s">
        <v>2099</v>
      </c>
      <c r="F942" t="s">
        <v>1247</v>
      </c>
      <c r="G942" t="s">
        <v>1417</v>
      </c>
      <c r="H942" t="s">
        <v>1418</v>
      </c>
      <c r="I942" t="s">
        <v>1418</v>
      </c>
      <c r="J942" t="s">
        <v>60</v>
      </c>
      <c r="K942" t="s">
        <v>1419</v>
      </c>
      <c r="L942" t="s">
        <v>62</v>
      </c>
      <c r="M942" t="s">
        <v>1419</v>
      </c>
      <c r="N942" t="s">
        <v>1420</v>
      </c>
      <c r="O942" t="s">
        <v>1421</v>
      </c>
      <c r="P942">
        <v>-20.159427000000001</v>
      </c>
      <c r="Q942">
        <v>-44.897143</v>
      </c>
      <c r="R942" s="2" t="str">
        <f>HYPERLINK("https://www.google.com/maps?q=-20.1594270,-44.8971430","Abrir no Google Maps")</f>
        <v>Abrir no Google Maps</v>
      </c>
      <c r="S942">
        <v>3</v>
      </c>
      <c r="T942">
        <v>392.64349875646298</v>
      </c>
      <c r="U942">
        <v>2</v>
      </c>
      <c r="V942">
        <v>8</v>
      </c>
      <c r="W942">
        <v>0.85</v>
      </c>
      <c r="X942">
        <v>6.8</v>
      </c>
      <c r="Y942">
        <v>729</v>
      </c>
      <c r="Z942">
        <v>550.20062797366995</v>
      </c>
      <c r="AA942">
        <v>198</v>
      </c>
      <c r="AB942">
        <v>332</v>
      </c>
      <c r="AC942">
        <v>536</v>
      </c>
      <c r="AD942">
        <v>30.48</v>
      </c>
      <c r="AE942">
        <v>542</v>
      </c>
      <c r="AF942">
        <v>30</v>
      </c>
      <c r="AG942">
        <v>176</v>
      </c>
      <c r="AH942">
        <v>129</v>
      </c>
      <c r="AI942">
        <v>5.54</v>
      </c>
      <c r="AJ942">
        <v>32.47</v>
      </c>
      <c r="AK942">
        <v>23.8</v>
      </c>
      <c r="AL942">
        <v>-20.15946549999995</v>
      </c>
      <c r="AM942">
        <v>-44.89709959354267</v>
      </c>
      <c r="AN942">
        <v>-20.15946549999995</v>
      </c>
      <c r="AO942">
        <v>-44.89709959354267</v>
      </c>
      <c r="AP942">
        <v>-20.159427000000001</v>
      </c>
      <c r="AQ942">
        <v>-44.897143</v>
      </c>
      <c r="AR942">
        <v>6.2404649979039286</v>
      </c>
      <c r="AS942" t="s">
        <v>65</v>
      </c>
      <c r="AT942">
        <v>1</v>
      </c>
      <c r="AU942" t="s">
        <v>1422</v>
      </c>
      <c r="AV942" t="s">
        <v>1423</v>
      </c>
      <c r="AW942" t="s">
        <v>60</v>
      </c>
      <c r="AX942" t="s">
        <v>68</v>
      </c>
      <c r="AY942" t="s">
        <v>69</v>
      </c>
      <c r="AZ942" t="b">
        <v>1</v>
      </c>
    </row>
    <row r="943" spans="1:52" x14ac:dyDescent="0.3">
      <c r="A943" t="s">
        <v>52</v>
      </c>
      <c r="B943" t="s">
        <v>53</v>
      </c>
      <c r="C943" t="s">
        <v>54</v>
      </c>
      <c r="D943" t="s">
        <v>55</v>
      </c>
      <c r="E943" t="s">
        <v>2099</v>
      </c>
      <c r="F943" t="s">
        <v>1247</v>
      </c>
      <c r="G943" t="s">
        <v>1288</v>
      </c>
      <c r="H943" t="s">
        <v>1289</v>
      </c>
      <c r="I943" t="s">
        <v>1289</v>
      </c>
      <c r="J943" t="s">
        <v>60</v>
      </c>
      <c r="K943" t="s">
        <v>1290</v>
      </c>
      <c r="L943" t="s">
        <v>62</v>
      </c>
      <c r="M943" t="s">
        <v>1290</v>
      </c>
      <c r="N943" t="s">
        <v>1291</v>
      </c>
      <c r="O943" t="s">
        <v>315</v>
      </c>
      <c r="P943">
        <v>-20.171008</v>
      </c>
      <c r="Q943">
        <v>-44.918908999999999</v>
      </c>
      <c r="R943" s="2" t="str">
        <f>HYPERLINK("https://www.google.com/maps?q=-20.1710080,-44.9189090","Abrir no Google Maps")</f>
        <v>Abrir no Google Maps</v>
      </c>
      <c r="S943">
        <v>3</v>
      </c>
      <c r="T943">
        <v>972.86786700299888</v>
      </c>
      <c r="U943">
        <v>2</v>
      </c>
      <c r="V943">
        <v>8</v>
      </c>
      <c r="W943">
        <v>0.85</v>
      </c>
      <c r="X943">
        <v>6.8</v>
      </c>
      <c r="Y943">
        <v>723</v>
      </c>
      <c r="Z943">
        <v>690.55600110253613</v>
      </c>
      <c r="AA943">
        <v>198</v>
      </c>
      <c r="AB943">
        <v>332</v>
      </c>
      <c r="AC943">
        <v>536</v>
      </c>
      <c r="AD943">
        <v>30.48</v>
      </c>
      <c r="AE943">
        <v>542</v>
      </c>
      <c r="AF943">
        <v>30</v>
      </c>
      <c r="AG943">
        <v>176</v>
      </c>
      <c r="AH943">
        <v>129</v>
      </c>
      <c r="AI943">
        <v>5.54</v>
      </c>
      <c r="AJ943">
        <v>32.47</v>
      </c>
      <c r="AK943">
        <v>23.8</v>
      </c>
      <c r="AL943">
        <v>-20.171738249999979</v>
      </c>
      <c r="AM943">
        <v>-44.919736490382917</v>
      </c>
      <c r="AN943">
        <v>-20.171738249999979</v>
      </c>
      <c r="AO943">
        <v>-44.919736490382931</v>
      </c>
      <c r="AP943">
        <v>-20.171008</v>
      </c>
      <c r="AQ943">
        <v>-44.918908999999999</v>
      </c>
      <c r="AR943">
        <v>118.678920061485</v>
      </c>
      <c r="AS943" t="s">
        <v>65</v>
      </c>
      <c r="AT943">
        <v>1</v>
      </c>
      <c r="AU943" t="s">
        <v>1292</v>
      </c>
      <c r="AV943" t="s">
        <v>1293</v>
      </c>
      <c r="AW943" t="s">
        <v>60</v>
      </c>
      <c r="AX943" t="s">
        <v>68</v>
      </c>
      <c r="AY943" t="s">
        <v>69</v>
      </c>
      <c r="AZ943" t="b">
        <v>1</v>
      </c>
    </row>
    <row r="944" spans="1:52" x14ac:dyDescent="0.3">
      <c r="A944" t="s">
        <v>52</v>
      </c>
      <c r="B944" t="s">
        <v>53</v>
      </c>
      <c r="C944" t="s">
        <v>54</v>
      </c>
      <c r="D944" t="s">
        <v>55</v>
      </c>
      <c r="E944" t="s">
        <v>2099</v>
      </c>
      <c r="F944" t="s">
        <v>1247</v>
      </c>
      <c r="G944" t="s">
        <v>1307</v>
      </c>
      <c r="H944" t="s">
        <v>1308</v>
      </c>
      <c r="I944" t="s">
        <v>1308</v>
      </c>
      <c r="J944" t="s">
        <v>60</v>
      </c>
      <c r="K944" t="s">
        <v>1302</v>
      </c>
      <c r="L944" t="s">
        <v>62</v>
      </c>
      <c r="M944" t="s">
        <v>1302</v>
      </c>
      <c r="N944" t="s">
        <v>558</v>
      </c>
      <c r="O944" t="s">
        <v>1309</v>
      </c>
      <c r="P944">
        <v>-20.169051</v>
      </c>
      <c r="Q944">
        <v>-44.910093000000003</v>
      </c>
      <c r="R944" s="2" t="str">
        <f>HYPERLINK("https://www.google.com/maps?q=-20.1690510,-44.9100930","Abrir no Google Maps")</f>
        <v>Abrir no Google Maps</v>
      </c>
      <c r="S944">
        <v>3</v>
      </c>
      <c r="T944">
        <v>375.90504489887479</v>
      </c>
      <c r="U944">
        <v>2</v>
      </c>
      <c r="V944">
        <v>8</v>
      </c>
      <c r="W944">
        <v>0.85</v>
      </c>
      <c r="X944">
        <v>6.8</v>
      </c>
      <c r="Y944">
        <v>723</v>
      </c>
      <c r="Z944">
        <v>456.19893675176831</v>
      </c>
      <c r="AA944">
        <v>198</v>
      </c>
      <c r="AB944">
        <v>332</v>
      </c>
      <c r="AC944">
        <v>536</v>
      </c>
      <c r="AD944">
        <v>30.48</v>
      </c>
      <c r="AE944">
        <v>542</v>
      </c>
      <c r="AF944">
        <v>30</v>
      </c>
      <c r="AG944">
        <v>176</v>
      </c>
      <c r="AH944">
        <v>129</v>
      </c>
      <c r="AI944">
        <v>5.54</v>
      </c>
      <c r="AJ944">
        <v>32.47</v>
      </c>
      <c r="AK944">
        <v>23.8</v>
      </c>
      <c r="AL944">
        <v>-20.168810949999941</v>
      </c>
      <c r="AM944">
        <v>-44.910156475447927</v>
      </c>
      <c r="AN944">
        <v>-20.168810949999941</v>
      </c>
      <c r="AO944">
        <v>-44.910156475447927</v>
      </c>
      <c r="AP944">
        <v>-20.169051</v>
      </c>
      <c r="AQ944">
        <v>-44.910093000000003</v>
      </c>
      <c r="AR944">
        <v>27.533232396417059</v>
      </c>
      <c r="AS944" t="s">
        <v>65</v>
      </c>
      <c r="AT944">
        <v>1</v>
      </c>
      <c r="AU944" t="s">
        <v>1310</v>
      </c>
      <c r="AV944" t="s">
        <v>1311</v>
      </c>
      <c r="AW944" t="s">
        <v>60</v>
      </c>
      <c r="AX944" t="s">
        <v>68</v>
      </c>
      <c r="AY944" t="s">
        <v>69</v>
      </c>
      <c r="AZ944" t="b">
        <v>1</v>
      </c>
    </row>
    <row r="945" spans="1:52" x14ac:dyDescent="0.3">
      <c r="A945" t="s">
        <v>52</v>
      </c>
      <c r="B945" t="s">
        <v>53</v>
      </c>
      <c r="C945" t="s">
        <v>54</v>
      </c>
      <c r="D945" t="s">
        <v>55</v>
      </c>
      <c r="E945" t="s">
        <v>2099</v>
      </c>
      <c r="F945" t="s">
        <v>1247</v>
      </c>
      <c r="G945" t="s">
        <v>422</v>
      </c>
      <c r="H945" t="s">
        <v>423</v>
      </c>
      <c r="I945" t="s">
        <v>423</v>
      </c>
      <c r="J945" t="s">
        <v>60</v>
      </c>
      <c r="K945" t="s">
        <v>424</v>
      </c>
      <c r="L945" t="s">
        <v>62</v>
      </c>
      <c r="M945" t="s">
        <v>424</v>
      </c>
      <c r="N945" t="s">
        <v>425</v>
      </c>
      <c r="O945" t="s">
        <v>426</v>
      </c>
      <c r="P945">
        <v>-20.177748000000001</v>
      </c>
      <c r="Q945">
        <v>-44.912475000000001</v>
      </c>
      <c r="R945" s="2" t="str">
        <f>HYPERLINK("https://www.google.com/maps?q=-20.1777480,-44.9124750","Abrir no Google Maps")</f>
        <v>Abrir no Google Maps</v>
      </c>
      <c r="S945">
        <v>3</v>
      </c>
      <c r="T945">
        <v>657.07560140436533</v>
      </c>
      <c r="U945">
        <v>2</v>
      </c>
      <c r="V945">
        <v>9</v>
      </c>
      <c r="W945">
        <v>1</v>
      </c>
      <c r="X945">
        <v>9</v>
      </c>
      <c r="Y945">
        <v>723</v>
      </c>
      <c r="Z945">
        <v>796.94198000561175</v>
      </c>
      <c r="AA945">
        <v>198</v>
      </c>
      <c r="AB945">
        <v>332</v>
      </c>
      <c r="AC945">
        <v>536</v>
      </c>
      <c r="AD945">
        <v>30.48</v>
      </c>
      <c r="AE945">
        <v>542</v>
      </c>
      <c r="AF945">
        <v>30</v>
      </c>
      <c r="AG945">
        <v>176</v>
      </c>
      <c r="AH945">
        <v>129</v>
      </c>
      <c r="AI945">
        <v>5.54</v>
      </c>
      <c r="AJ945">
        <v>32.47</v>
      </c>
      <c r="AK945">
        <v>23.8</v>
      </c>
      <c r="AL945">
        <v>-20.177761749999949</v>
      </c>
      <c r="AM945">
        <v>-44.91263311624418</v>
      </c>
      <c r="AN945">
        <v>-20.177761749999949</v>
      </c>
      <c r="AO945">
        <v>-44.91263311624418</v>
      </c>
      <c r="AP945">
        <v>-20.177748000000001</v>
      </c>
      <c r="AQ945">
        <v>-44.912475000000001</v>
      </c>
      <c r="AR945">
        <v>16.591996803075372</v>
      </c>
      <c r="AS945" t="s">
        <v>65</v>
      </c>
      <c r="AT945">
        <v>1</v>
      </c>
      <c r="AU945" t="s">
        <v>427</v>
      </c>
      <c r="AV945" t="s">
        <v>428</v>
      </c>
      <c r="AW945" t="s">
        <v>60</v>
      </c>
      <c r="AX945" t="s">
        <v>68</v>
      </c>
      <c r="AY945" t="s">
        <v>69</v>
      </c>
      <c r="AZ945" t="b">
        <v>1</v>
      </c>
    </row>
    <row r="946" spans="1:52" x14ac:dyDescent="0.3">
      <c r="A946" t="s">
        <v>52</v>
      </c>
      <c r="B946" t="s">
        <v>53</v>
      </c>
      <c r="C946" t="s">
        <v>54</v>
      </c>
      <c r="D946" t="s">
        <v>55</v>
      </c>
      <c r="E946" t="s">
        <v>2099</v>
      </c>
      <c r="F946" t="s">
        <v>1247</v>
      </c>
      <c r="G946" t="s">
        <v>845</v>
      </c>
      <c r="H946" t="s">
        <v>846</v>
      </c>
      <c r="I946" t="s">
        <v>846</v>
      </c>
      <c r="J946" t="s">
        <v>60</v>
      </c>
      <c r="K946" t="s">
        <v>424</v>
      </c>
      <c r="L946" t="s">
        <v>62</v>
      </c>
      <c r="M946" t="s">
        <v>424</v>
      </c>
      <c r="N946" t="s">
        <v>847</v>
      </c>
      <c r="O946" t="s">
        <v>848</v>
      </c>
      <c r="P946">
        <v>-20.175523999999999</v>
      </c>
      <c r="Q946">
        <v>-44.918016999999999</v>
      </c>
      <c r="R946" s="2" t="str">
        <f>HYPERLINK("https://www.google.com/maps?q=-20.1755240,-44.9180170","Abrir no Google Maps")</f>
        <v>Abrir no Google Maps</v>
      </c>
      <c r="S946">
        <v>3</v>
      </c>
      <c r="T946">
        <v>833.59191671824021</v>
      </c>
      <c r="U946">
        <v>2</v>
      </c>
      <c r="V946">
        <v>8</v>
      </c>
      <c r="W946">
        <v>0.85</v>
      </c>
      <c r="X946">
        <v>6.8</v>
      </c>
      <c r="Y946">
        <v>723</v>
      </c>
      <c r="Z946">
        <v>701.05790658871581</v>
      </c>
      <c r="AA946">
        <v>198</v>
      </c>
      <c r="AB946">
        <v>332</v>
      </c>
      <c r="AC946">
        <v>536</v>
      </c>
      <c r="AD946">
        <v>30.48</v>
      </c>
      <c r="AE946">
        <v>542</v>
      </c>
      <c r="AF946">
        <v>30</v>
      </c>
      <c r="AG946">
        <v>176</v>
      </c>
      <c r="AH946">
        <v>129</v>
      </c>
      <c r="AI946">
        <v>5.54</v>
      </c>
      <c r="AJ946">
        <v>32.47</v>
      </c>
      <c r="AK946">
        <v>23.8</v>
      </c>
      <c r="AL946">
        <v>-20.17533859999995</v>
      </c>
      <c r="AM946">
        <v>-44.917689627873088</v>
      </c>
      <c r="AN946">
        <v>-20.17533859999995</v>
      </c>
      <c r="AO946">
        <v>-44.917689627873088</v>
      </c>
      <c r="AP946">
        <v>-20.175523999999999</v>
      </c>
      <c r="AQ946">
        <v>-44.918016999999999</v>
      </c>
      <c r="AR946">
        <v>39.950898228213873</v>
      </c>
      <c r="AS946" t="s">
        <v>65</v>
      </c>
      <c r="AT946">
        <v>1</v>
      </c>
      <c r="AU946" t="s">
        <v>849</v>
      </c>
      <c r="AV946" t="s">
        <v>850</v>
      </c>
      <c r="AW946" t="s">
        <v>60</v>
      </c>
      <c r="AX946" t="s">
        <v>68</v>
      </c>
      <c r="AY946" t="s">
        <v>69</v>
      </c>
      <c r="AZ946" t="b">
        <v>1</v>
      </c>
    </row>
    <row r="947" spans="1:52" x14ac:dyDescent="0.3">
      <c r="A947" t="s">
        <v>52</v>
      </c>
      <c r="B947" t="s">
        <v>53</v>
      </c>
      <c r="C947" t="s">
        <v>54</v>
      </c>
      <c r="D947" t="s">
        <v>55</v>
      </c>
      <c r="E947" t="s">
        <v>2099</v>
      </c>
      <c r="F947" t="s">
        <v>1247</v>
      </c>
      <c r="G947" t="s">
        <v>429</v>
      </c>
      <c r="H947" t="s">
        <v>430</v>
      </c>
      <c r="I947" t="s">
        <v>430</v>
      </c>
      <c r="J947" t="s">
        <v>60</v>
      </c>
      <c r="K947" t="s">
        <v>431</v>
      </c>
      <c r="L947" t="s">
        <v>62</v>
      </c>
      <c r="M947" t="s">
        <v>431</v>
      </c>
      <c r="N947" t="s">
        <v>432</v>
      </c>
      <c r="O947" t="s">
        <v>315</v>
      </c>
      <c r="P947">
        <v>-20.172698</v>
      </c>
      <c r="Q947">
        <v>-44.923842</v>
      </c>
      <c r="R947" s="2" t="str">
        <f>HYPERLINK("https://www.google.com/maps?q=-20.1726980,-44.9238420","Abrir no Google Maps")</f>
        <v>Abrir no Google Maps</v>
      </c>
      <c r="S947">
        <v>3</v>
      </c>
      <c r="T947">
        <v>1376.1843173402931</v>
      </c>
      <c r="U947">
        <v>2</v>
      </c>
      <c r="V947">
        <v>10</v>
      </c>
      <c r="W947">
        <v>0.85</v>
      </c>
      <c r="X947">
        <v>8.5</v>
      </c>
      <c r="Y947">
        <v>723</v>
      </c>
      <c r="Z947">
        <v>1101.340635002096</v>
      </c>
      <c r="AA947">
        <v>198</v>
      </c>
      <c r="AB947">
        <v>332</v>
      </c>
      <c r="AC947">
        <v>536</v>
      </c>
      <c r="AD947">
        <v>30.48</v>
      </c>
      <c r="AE947">
        <v>542</v>
      </c>
      <c r="AF947">
        <v>30</v>
      </c>
      <c r="AG947">
        <v>176</v>
      </c>
      <c r="AH947">
        <v>129</v>
      </c>
      <c r="AI947">
        <v>5.54</v>
      </c>
      <c r="AJ947">
        <v>32.47</v>
      </c>
      <c r="AK947">
        <v>23.8</v>
      </c>
      <c r="AL947">
        <v>-20.172942799999959</v>
      </c>
      <c r="AM947">
        <v>-44.923585372665762</v>
      </c>
      <c r="AN947">
        <v>-20.172942799999959</v>
      </c>
      <c r="AO947">
        <v>-44.923585372665762</v>
      </c>
      <c r="AP947">
        <v>-20.172698</v>
      </c>
      <c r="AQ947">
        <v>-44.923842</v>
      </c>
      <c r="AR947">
        <v>38.231981408478958</v>
      </c>
      <c r="AS947" t="s">
        <v>65</v>
      </c>
      <c r="AT947">
        <v>1</v>
      </c>
      <c r="AU947" t="s">
        <v>433</v>
      </c>
      <c r="AV947" t="s">
        <v>434</v>
      </c>
      <c r="AW947" t="s">
        <v>60</v>
      </c>
      <c r="AX947" t="s">
        <v>68</v>
      </c>
      <c r="AY947" t="s">
        <v>69</v>
      </c>
      <c r="AZ947" t="b">
        <v>1</v>
      </c>
    </row>
    <row r="948" spans="1:52" x14ac:dyDescent="0.3">
      <c r="A948" t="s">
        <v>52</v>
      </c>
      <c r="B948" t="s">
        <v>53</v>
      </c>
      <c r="C948" t="s">
        <v>54</v>
      </c>
      <c r="D948" t="s">
        <v>55</v>
      </c>
      <c r="E948" t="s">
        <v>2099</v>
      </c>
      <c r="F948" t="s">
        <v>1247</v>
      </c>
      <c r="G948" t="s">
        <v>1318</v>
      </c>
      <c r="H948" t="s">
        <v>1319</v>
      </c>
      <c r="I948" t="s">
        <v>1319</v>
      </c>
      <c r="J948" t="s">
        <v>60</v>
      </c>
      <c r="K948" t="s">
        <v>1314</v>
      </c>
      <c r="L948" t="s">
        <v>62</v>
      </c>
      <c r="M948" t="s">
        <v>1314</v>
      </c>
      <c r="N948" t="s">
        <v>1320</v>
      </c>
      <c r="O948" t="s">
        <v>1321</v>
      </c>
      <c r="P948">
        <v>-20.178615000000001</v>
      </c>
      <c r="Q948">
        <v>-44.924697999999999</v>
      </c>
      <c r="R948" s="2" t="str">
        <f>HYPERLINK("https://www.google.com/maps?q=-20.1786150,-44.9246980","Abrir no Google Maps")</f>
        <v>Abrir no Google Maps</v>
      </c>
      <c r="S948">
        <v>3</v>
      </c>
      <c r="T948">
        <v>1583.462557226148</v>
      </c>
      <c r="U948">
        <v>2</v>
      </c>
      <c r="V948">
        <v>13</v>
      </c>
      <c r="W948">
        <v>0.85</v>
      </c>
      <c r="X948">
        <v>11.05</v>
      </c>
      <c r="Y948">
        <v>723</v>
      </c>
      <c r="Z948">
        <v>1414.1542726995031</v>
      </c>
      <c r="AA948">
        <v>198</v>
      </c>
      <c r="AB948">
        <v>332</v>
      </c>
      <c r="AC948">
        <v>536</v>
      </c>
      <c r="AD948">
        <v>30.48</v>
      </c>
      <c r="AE948">
        <v>542</v>
      </c>
      <c r="AF948">
        <v>30</v>
      </c>
      <c r="AG948">
        <v>176</v>
      </c>
      <c r="AH948">
        <v>129</v>
      </c>
      <c r="AI948">
        <v>5.54</v>
      </c>
      <c r="AJ948">
        <v>32.47</v>
      </c>
      <c r="AK948">
        <v>23.8</v>
      </c>
      <c r="AL948">
        <v>-20.17821329999995</v>
      </c>
      <c r="AM948">
        <v>-44.924188563452951</v>
      </c>
      <c r="AN948">
        <v>-20.17821329999995</v>
      </c>
      <c r="AO948">
        <v>-44.924188563452951</v>
      </c>
      <c r="AP948">
        <v>-20.178615000000001</v>
      </c>
      <c r="AQ948">
        <v>-44.924697999999999</v>
      </c>
      <c r="AR948">
        <v>69.520116290580319</v>
      </c>
      <c r="AS948" t="s">
        <v>65</v>
      </c>
      <c r="AT948">
        <v>1</v>
      </c>
      <c r="AU948" t="s">
        <v>1322</v>
      </c>
      <c r="AV948" t="s">
        <v>1317</v>
      </c>
      <c r="AW948" t="s">
        <v>60</v>
      </c>
      <c r="AX948" t="s">
        <v>68</v>
      </c>
      <c r="AY948" t="s">
        <v>69</v>
      </c>
      <c r="AZ948" t="b">
        <v>1</v>
      </c>
    </row>
    <row r="949" spans="1:52" x14ac:dyDescent="0.3">
      <c r="A949" t="s">
        <v>52</v>
      </c>
      <c r="B949" t="s">
        <v>53</v>
      </c>
      <c r="C949" t="s">
        <v>54</v>
      </c>
      <c r="D949" t="s">
        <v>55</v>
      </c>
      <c r="E949" t="s">
        <v>2099</v>
      </c>
      <c r="F949" t="s">
        <v>1247</v>
      </c>
      <c r="G949" t="s">
        <v>1328</v>
      </c>
      <c r="H949" t="s">
        <v>1329</v>
      </c>
      <c r="I949" t="s">
        <v>1329</v>
      </c>
      <c r="J949" t="s">
        <v>60</v>
      </c>
      <c r="K949" t="s">
        <v>1324</v>
      </c>
      <c r="L949" t="s">
        <v>62</v>
      </c>
      <c r="M949" t="s">
        <v>1324</v>
      </c>
      <c r="N949" t="s">
        <v>1330</v>
      </c>
      <c r="O949" t="s">
        <v>1331</v>
      </c>
      <c r="P949">
        <v>-20.172984</v>
      </c>
      <c r="Q949">
        <v>-44.915225999999997</v>
      </c>
      <c r="R949" s="2" t="str">
        <f>HYPERLINK("https://www.google.com/maps?q=-20.1729840,-44.9152260","Abrir no Google Maps")</f>
        <v>Abrir no Google Maps</v>
      </c>
      <c r="S949">
        <v>3</v>
      </c>
      <c r="T949">
        <v>498.21203543103741</v>
      </c>
      <c r="U949">
        <v>2</v>
      </c>
      <c r="V949">
        <v>8</v>
      </c>
      <c r="W949">
        <v>0.85</v>
      </c>
      <c r="X949">
        <v>6.8</v>
      </c>
      <c r="Y949">
        <v>723</v>
      </c>
      <c r="Z949">
        <v>297.36167326949931</v>
      </c>
      <c r="AA949">
        <v>198</v>
      </c>
      <c r="AB949">
        <v>332</v>
      </c>
      <c r="AC949">
        <v>536</v>
      </c>
      <c r="AD949">
        <v>30.48</v>
      </c>
      <c r="AE949">
        <v>542</v>
      </c>
      <c r="AF949">
        <v>30</v>
      </c>
      <c r="AG949">
        <v>176</v>
      </c>
      <c r="AH949">
        <v>129</v>
      </c>
      <c r="AI949">
        <v>5.54</v>
      </c>
      <c r="AJ949">
        <v>32.47</v>
      </c>
      <c r="AK949">
        <v>23.8</v>
      </c>
      <c r="AL949">
        <v>-20.172838899999959</v>
      </c>
      <c r="AM949">
        <v>-44.915158011603552</v>
      </c>
      <c r="AN949">
        <v>-20.172838899999959</v>
      </c>
      <c r="AO949">
        <v>-44.915158011603552</v>
      </c>
      <c r="AP949">
        <v>-20.172984</v>
      </c>
      <c r="AQ949">
        <v>-44.915225999999997</v>
      </c>
      <c r="AR949">
        <v>17.645788305942119</v>
      </c>
      <c r="AS949" t="s">
        <v>65</v>
      </c>
      <c r="AT949">
        <v>1</v>
      </c>
      <c r="AU949" t="s">
        <v>1332</v>
      </c>
      <c r="AV949" t="s">
        <v>1327</v>
      </c>
      <c r="AW949" t="s">
        <v>60</v>
      </c>
      <c r="AX949" t="s">
        <v>68</v>
      </c>
      <c r="AY949" t="s">
        <v>69</v>
      </c>
      <c r="AZ949" t="b">
        <v>1</v>
      </c>
    </row>
    <row r="950" spans="1:52" x14ac:dyDescent="0.3">
      <c r="A950" t="s">
        <v>52</v>
      </c>
      <c r="B950" t="s">
        <v>53</v>
      </c>
      <c r="C950" t="s">
        <v>54</v>
      </c>
      <c r="D950" t="s">
        <v>55</v>
      </c>
      <c r="E950" t="s">
        <v>2099</v>
      </c>
      <c r="F950" t="s">
        <v>1247</v>
      </c>
      <c r="G950" t="s">
        <v>479</v>
      </c>
      <c r="H950" t="s">
        <v>1338</v>
      </c>
      <c r="I950" t="s">
        <v>1338</v>
      </c>
      <c r="J950" t="s">
        <v>60</v>
      </c>
      <c r="K950" t="s">
        <v>1302</v>
      </c>
      <c r="L950" t="s">
        <v>62</v>
      </c>
      <c r="M950" t="s">
        <v>1302</v>
      </c>
      <c r="N950" t="s">
        <v>481</v>
      </c>
      <c r="O950" t="s">
        <v>1339</v>
      </c>
      <c r="P950">
        <v>-20.165590000000002</v>
      </c>
      <c r="Q950">
        <v>-44.907876000000002</v>
      </c>
      <c r="R950" s="2" t="str">
        <f>HYPERLINK("https://www.google.com/maps?q=-20.1655900,-44.9078760","Abrir no Google Maps")</f>
        <v>Abrir no Google Maps</v>
      </c>
      <c r="S950">
        <v>3</v>
      </c>
      <c r="T950">
        <v>626.07643944893005</v>
      </c>
      <c r="U950">
        <v>2</v>
      </c>
      <c r="V950">
        <v>13</v>
      </c>
      <c r="W950">
        <v>0.85</v>
      </c>
      <c r="X950">
        <v>11.05</v>
      </c>
      <c r="Y950">
        <v>639</v>
      </c>
      <c r="Z950">
        <v>723.2656461789519</v>
      </c>
      <c r="AA950">
        <v>198</v>
      </c>
      <c r="AB950">
        <v>332</v>
      </c>
      <c r="AC950">
        <v>536</v>
      </c>
      <c r="AD950">
        <v>30.48</v>
      </c>
      <c r="AE950">
        <v>542</v>
      </c>
      <c r="AF950">
        <v>30</v>
      </c>
      <c r="AG950">
        <v>176</v>
      </c>
      <c r="AH950">
        <v>129</v>
      </c>
      <c r="AI950">
        <v>5.54</v>
      </c>
      <c r="AJ950">
        <v>32.47</v>
      </c>
      <c r="AK950">
        <v>23.8</v>
      </c>
      <c r="AL950">
        <v>-20.16561419999994</v>
      </c>
      <c r="AM950">
        <v>-44.907783360572083</v>
      </c>
      <c r="AN950">
        <v>-20.16561419999994</v>
      </c>
      <c r="AO950">
        <v>-44.907783360572083</v>
      </c>
      <c r="AP950">
        <v>-20.165590000000002</v>
      </c>
      <c r="AQ950">
        <v>-44.907876000000002</v>
      </c>
      <c r="AR950">
        <v>10.04831364257741</v>
      </c>
      <c r="AS950" t="s">
        <v>65</v>
      </c>
      <c r="AT950">
        <v>1</v>
      </c>
      <c r="AU950" t="s">
        <v>1340</v>
      </c>
      <c r="AV950" t="s">
        <v>1341</v>
      </c>
      <c r="AW950" t="s">
        <v>60</v>
      </c>
      <c r="AX950" t="s">
        <v>68</v>
      </c>
      <c r="AY950" t="s">
        <v>69</v>
      </c>
      <c r="AZ950" t="b">
        <v>1</v>
      </c>
    </row>
    <row r="951" spans="1:52" x14ac:dyDescent="0.3">
      <c r="A951" t="s">
        <v>52</v>
      </c>
      <c r="B951" t="s">
        <v>53</v>
      </c>
      <c r="C951" t="s">
        <v>54</v>
      </c>
      <c r="D951" t="s">
        <v>55</v>
      </c>
      <c r="E951" t="s">
        <v>2099</v>
      </c>
      <c r="F951" t="s">
        <v>1247</v>
      </c>
      <c r="G951" t="s">
        <v>1354</v>
      </c>
      <c r="H951" t="s">
        <v>1355</v>
      </c>
      <c r="I951" t="s">
        <v>1355</v>
      </c>
      <c r="J951" t="s">
        <v>60</v>
      </c>
      <c r="K951" t="s">
        <v>1356</v>
      </c>
      <c r="L951" t="s">
        <v>62</v>
      </c>
      <c r="M951" t="s">
        <v>1356</v>
      </c>
      <c r="N951" t="s">
        <v>1357</v>
      </c>
      <c r="O951" t="s">
        <v>315</v>
      </c>
      <c r="P951">
        <v>-20.132080999999999</v>
      </c>
      <c r="Q951">
        <v>-44.908614</v>
      </c>
      <c r="R951" s="2" t="str">
        <f>HYPERLINK("https://www.google.com/maps?q=-20.1320810,-44.9086140","Abrir no Google Maps")</f>
        <v>Abrir no Google Maps</v>
      </c>
      <c r="S951">
        <v>3</v>
      </c>
      <c r="T951">
        <v>701.02570959373259</v>
      </c>
      <c r="U951">
        <v>2</v>
      </c>
      <c r="V951">
        <v>9</v>
      </c>
      <c r="W951">
        <v>0.85</v>
      </c>
      <c r="X951">
        <v>7.6499999999999986</v>
      </c>
      <c r="Y951">
        <v>581</v>
      </c>
      <c r="Z951">
        <v>811.38061352229215</v>
      </c>
      <c r="AA951">
        <v>198</v>
      </c>
      <c r="AB951">
        <v>332</v>
      </c>
      <c r="AC951">
        <v>536</v>
      </c>
      <c r="AD951">
        <v>30.48</v>
      </c>
      <c r="AE951">
        <v>542</v>
      </c>
      <c r="AF951">
        <v>30</v>
      </c>
      <c r="AG951">
        <v>176</v>
      </c>
      <c r="AH951">
        <v>129</v>
      </c>
      <c r="AI951">
        <v>5.54</v>
      </c>
      <c r="AJ951">
        <v>32.47</v>
      </c>
      <c r="AK951">
        <v>23.8</v>
      </c>
      <c r="AL951">
        <v>-20.132063499999951</v>
      </c>
      <c r="AM951">
        <v>-44.908630454878519</v>
      </c>
      <c r="AN951">
        <v>-20.132063499999951</v>
      </c>
      <c r="AO951">
        <v>-44.908630454878519</v>
      </c>
      <c r="AP951">
        <v>-20.132080999999999</v>
      </c>
      <c r="AQ951">
        <v>-44.908614</v>
      </c>
      <c r="AR951">
        <v>2.5986425761911551</v>
      </c>
      <c r="AS951" t="s">
        <v>65</v>
      </c>
      <c r="AT951">
        <v>1</v>
      </c>
      <c r="AU951" t="s">
        <v>1358</v>
      </c>
      <c r="AV951" t="s">
        <v>1359</v>
      </c>
      <c r="AW951" t="s">
        <v>60</v>
      </c>
      <c r="AX951" t="s">
        <v>68</v>
      </c>
      <c r="AY951" t="s">
        <v>69</v>
      </c>
      <c r="AZ951" t="b">
        <v>1</v>
      </c>
    </row>
    <row r="952" spans="1:52" x14ac:dyDescent="0.3">
      <c r="A952" t="s">
        <v>52</v>
      </c>
      <c r="B952" t="s">
        <v>53</v>
      </c>
      <c r="C952" t="s">
        <v>54</v>
      </c>
      <c r="D952" t="s">
        <v>55</v>
      </c>
      <c r="E952" t="s">
        <v>2099</v>
      </c>
      <c r="F952" t="s">
        <v>1247</v>
      </c>
      <c r="G952" t="s">
        <v>858</v>
      </c>
      <c r="H952" t="s">
        <v>1360</v>
      </c>
      <c r="I952" t="s">
        <v>1360</v>
      </c>
      <c r="J952" t="s">
        <v>60</v>
      </c>
      <c r="K952" t="s">
        <v>1356</v>
      </c>
      <c r="L952" t="s">
        <v>62</v>
      </c>
      <c r="M952" t="s">
        <v>1356</v>
      </c>
      <c r="N952" t="s">
        <v>860</v>
      </c>
      <c r="O952" t="s">
        <v>1361</v>
      </c>
      <c r="P952">
        <v>-20.134969000000002</v>
      </c>
      <c r="Q952">
        <v>-44.909384000000003</v>
      </c>
      <c r="R952" s="2" t="str">
        <f>HYPERLINK("https://www.google.com/maps?q=-20.1349690,-44.9093840","Abrir no Google Maps")</f>
        <v>Abrir no Google Maps</v>
      </c>
      <c r="S952">
        <v>3</v>
      </c>
      <c r="T952">
        <v>413.6655911675532</v>
      </c>
      <c r="U952">
        <v>2</v>
      </c>
      <c r="V952">
        <v>13</v>
      </c>
      <c r="W952">
        <v>0.85</v>
      </c>
      <c r="X952">
        <v>11.05</v>
      </c>
      <c r="Y952">
        <v>581</v>
      </c>
      <c r="Z952">
        <v>555.30228470489919</v>
      </c>
      <c r="AA952">
        <v>198</v>
      </c>
      <c r="AB952">
        <v>332</v>
      </c>
      <c r="AC952">
        <v>536</v>
      </c>
      <c r="AD952">
        <v>30.48</v>
      </c>
      <c r="AE952">
        <v>542</v>
      </c>
      <c r="AF952">
        <v>30</v>
      </c>
      <c r="AG952">
        <v>176</v>
      </c>
      <c r="AH952">
        <v>129</v>
      </c>
      <c r="AI952">
        <v>5.54</v>
      </c>
      <c r="AJ952">
        <v>32.47</v>
      </c>
      <c r="AK952">
        <v>23.8</v>
      </c>
      <c r="AL952">
        <v>-20.134922099999951</v>
      </c>
      <c r="AM952">
        <v>-44.909483975879112</v>
      </c>
      <c r="AN952">
        <v>-20.134922099999951</v>
      </c>
      <c r="AO952">
        <v>-44.909483975879112</v>
      </c>
      <c r="AP952">
        <v>-20.134969000000002</v>
      </c>
      <c r="AQ952">
        <v>-44.909384000000003</v>
      </c>
      <c r="AR952">
        <v>11.68085867639515</v>
      </c>
      <c r="AS952" t="s">
        <v>65</v>
      </c>
      <c r="AT952">
        <v>1</v>
      </c>
      <c r="AU952" t="s">
        <v>1362</v>
      </c>
      <c r="AV952" t="s">
        <v>1363</v>
      </c>
      <c r="AW952" t="s">
        <v>60</v>
      </c>
      <c r="AX952" t="s">
        <v>68</v>
      </c>
      <c r="AY952" t="s">
        <v>69</v>
      </c>
      <c r="AZ952" t="b">
        <v>1</v>
      </c>
    </row>
    <row r="953" spans="1:52" x14ac:dyDescent="0.3">
      <c r="A953" t="s">
        <v>52</v>
      </c>
      <c r="B953" t="s">
        <v>53</v>
      </c>
      <c r="C953" t="s">
        <v>54</v>
      </c>
      <c r="D953" t="s">
        <v>55</v>
      </c>
      <c r="E953" t="s">
        <v>2099</v>
      </c>
      <c r="F953" t="s">
        <v>1247</v>
      </c>
      <c r="G953" t="s">
        <v>1364</v>
      </c>
      <c r="H953" t="s">
        <v>1369</v>
      </c>
      <c r="I953" t="s">
        <v>1369</v>
      </c>
      <c r="J953" t="s">
        <v>60</v>
      </c>
      <c r="K953" t="s">
        <v>1370</v>
      </c>
      <c r="L953" t="s">
        <v>62</v>
      </c>
      <c r="M953" t="s">
        <v>1370</v>
      </c>
      <c r="N953" t="s">
        <v>1366</v>
      </c>
      <c r="O953" t="s">
        <v>989</v>
      </c>
      <c r="P953">
        <v>-20.141185</v>
      </c>
      <c r="Q953">
        <v>-44.914200999999998</v>
      </c>
      <c r="R953" s="2" t="str">
        <f>HYPERLINK("https://www.google.com/maps?q=-20.1411850,-44.9142010","Abrir no Google Maps")</f>
        <v>Abrir no Google Maps</v>
      </c>
      <c r="S953">
        <v>3</v>
      </c>
      <c r="T953">
        <v>512.52588459346453</v>
      </c>
      <c r="U953">
        <v>2</v>
      </c>
      <c r="V953">
        <v>10</v>
      </c>
      <c r="W953">
        <v>0.85</v>
      </c>
      <c r="X953">
        <v>8.5</v>
      </c>
      <c r="Y953">
        <v>581</v>
      </c>
      <c r="Z953">
        <v>473.10673043319349</v>
      </c>
      <c r="AA953">
        <v>198</v>
      </c>
      <c r="AB953">
        <v>332</v>
      </c>
      <c r="AC953">
        <v>536</v>
      </c>
      <c r="AD953">
        <v>30.48</v>
      </c>
      <c r="AE953">
        <v>542</v>
      </c>
      <c r="AF953">
        <v>30</v>
      </c>
      <c r="AG953">
        <v>176</v>
      </c>
      <c r="AH953">
        <v>129</v>
      </c>
      <c r="AI953">
        <v>5.54</v>
      </c>
      <c r="AJ953">
        <v>32.47</v>
      </c>
      <c r="AK953">
        <v>23.8</v>
      </c>
      <c r="AL953">
        <v>-20.14133909999995</v>
      </c>
      <c r="AM953">
        <v>-44.913910219286038</v>
      </c>
      <c r="AN953">
        <v>-20.14133909999995</v>
      </c>
      <c r="AO953">
        <v>-44.913910219286038</v>
      </c>
      <c r="AP953">
        <v>-20.141185</v>
      </c>
      <c r="AQ953">
        <v>-44.914200999999998</v>
      </c>
      <c r="AR953">
        <v>34.897514361429593</v>
      </c>
      <c r="AS953" t="s">
        <v>65</v>
      </c>
      <c r="AT953">
        <v>1</v>
      </c>
      <c r="AU953" t="s">
        <v>1371</v>
      </c>
      <c r="AV953" t="s">
        <v>863</v>
      </c>
      <c r="AW953" t="s">
        <v>60</v>
      </c>
      <c r="AX953" t="s">
        <v>68</v>
      </c>
      <c r="AY953" t="s">
        <v>69</v>
      </c>
      <c r="AZ953" t="b">
        <v>1</v>
      </c>
    </row>
    <row r="954" spans="1:52" x14ac:dyDescent="0.3">
      <c r="A954" t="s">
        <v>52</v>
      </c>
      <c r="B954" t="s">
        <v>53</v>
      </c>
      <c r="C954" t="s">
        <v>54</v>
      </c>
      <c r="D954" t="s">
        <v>55</v>
      </c>
      <c r="E954" t="s">
        <v>2099</v>
      </c>
      <c r="F954" t="s">
        <v>1247</v>
      </c>
      <c r="G954" t="s">
        <v>858</v>
      </c>
      <c r="H954" t="s">
        <v>859</v>
      </c>
      <c r="I954" t="s">
        <v>859</v>
      </c>
      <c r="J954" t="s">
        <v>60</v>
      </c>
      <c r="K954" t="s">
        <v>462</v>
      </c>
      <c r="L954" t="s">
        <v>62</v>
      </c>
      <c r="M954" t="s">
        <v>462</v>
      </c>
      <c r="N954" t="s">
        <v>860</v>
      </c>
      <c r="O954" t="s">
        <v>861</v>
      </c>
      <c r="P954">
        <v>-20.139693999999999</v>
      </c>
      <c r="Q954">
        <v>-44.911256000000002</v>
      </c>
      <c r="R954" s="2" t="str">
        <f>HYPERLINK("https://www.google.com/maps?q=-20.1396940,-44.9112560","Abrir no Google Maps")</f>
        <v>Abrir no Google Maps</v>
      </c>
      <c r="S954">
        <v>3</v>
      </c>
      <c r="T954">
        <v>380.48036838042862</v>
      </c>
      <c r="U954">
        <v>2</v>
      </c>
      <c r="V954">
        <v>10</v>
      </c>
      <c r="W954">
        <v>0.85</v>
      </c>
      <c r="X954">
        <v>8.5</v>
      </c>
      <c r="Y954">
        <v>581</v>
      </c>
      <c r="Z954">
        <v>374.61146000000178</v>
      </c>
      <c r="AA954">
        <v>198</v>
      </c>
      <c r="AB954">
        <v>332</v>
      </c>
      <c r="AC954">
        <v>536</v>
      </c>
      <c r="AD954">
        <v>30.48</v>
      </c>
      <c r="AE954">
        <v>542</v>
      </c>
      <c r="AF954">
        <v>30</v>
      </c>
      <c r="AG954">
        <v>176</v>
      </c>
      <c r="AH954">
        <v>129</v>
      </c>
      <c r="AI954">
        <v>5.54</v>
      </c>
      <c r="AJ954">
        <v>32.47</v>
      </c>
      <c r="AK954">
        <v>23.8</v>
      </c>
      <c r="AL954">
        <v>-20.139768699999959</v>
      </c>
      <c r="AM954">
        <v>-44.911265351587588</v>
      </c>
      <c r="AN954">
        <v>-20.139768699999959</v>
      </c>
      <c r="AO954">
        <v>-44.911265351587588</v>
      </c>
      <c r="AP954">
        <v>-20.139693999999999</v>
      </c>
      <c r="AQ954">
        <v>-44.911256000000002</v>
      </c>
      <c r="AR954">
        <v>8.3728438666521061</v>
      </c>
      <c r="AS954" t="s">
        <v>65</v>
      </c>
      <c r="AT954">
        <v>1</v>
      </c>
      <c r="AU954" t="s">
        <v>862</v>
      </c>
      <c r="AV954" t="s">
        <v>863</v>
      </c>
      <c r="AW954" t="s">
        <v>60</v>
      </c>
      <c r="AX954" t="s">
        <v>68</v>
      </c>
      <c r="AY954" t="s">
        <v>69</v>
      </c>
      <c r="AZ954" t="b">
        <v>1</v>
      </c>
    </row>
    <row r="955" spans="1:52" x14ac:dyDescent="0.3">
      <c r="A955" t="s">
        <v>52</v>
      </c>
      <c r="B955" t="s">
        <v>53</v>
      </c>
      <c r="C955" t="s">
        <v>54</v>
      </c>
      <c r="D955" t="s">
        <v>55</v>
      </c>
      <c r="E955" t="s">
        <v>2099</v>
      </c>
      <c r="F955" t="s">
        <v>1247</v>
      </c>
      <c r="G955" t="s">
        <v>1300</v>
      </c>
      <c r="H955" t="s">
        <v>1372</v>
      </c>
      <c r="I955" t="s">
        <v>1372</v>
      </c>
      <c r="J955" t="s">
        <v>60</v>
      </c>
      <c r="K955" t="s">
        <v>486</v>
      </c>
      <c r="L955" t="s">
        <v>62</v>
      </c>
      <c r="M955" t="s">
        <v>486</v>
      </c>
      <c r="N955" t="s">
        <v>1303</v>
      </c>
      <c r="O955" t="s">
        <v>1373</v>
      </c>
      <c r="P955">
        <v>-20.170458</v>
      </c>
      <c r="Q955">
        <v>-44.900936000000002</v>
      </c>
      <c r="R955" s="2" t="str">
        <f>HYPERLINK("https://www.google.com/maps?q=-20.1704580,-44.9009360","Abrir no Google Maps")</f>
        <v>Abrir no Google Maps</v>
      </c>
      <c r="S955">
        <v>3</v>
      </c>
      <c r="T955">
        <v>470.55793133653339</v>
      </c>
      <c r="U955">
        <v>2</v>
      </c>
      <c r="V955">
        <v>9</v>
      </c>
      <c r="W955">
        <v>0.85</v>
      </c>
      <c r="X955">
        <v>7.6499999999999986</v>
      </c>
      <c r="Y955">
        <v>578</v>
      </c>
      <c r="Z955">
        <v>645.48909402437766</v>
      </c>
      <c r="AA955">
        <v>198</v>
      </c>
      <c r="AB955">
        <v>332</v>
      </c>
      <c r="AC955">
        <v>536</v>
      </c>
      <c r="AD955">
        <v>30.48</v>
      </c>
      <c r="AE955">
        <v>542</v>
      </c>
      <c r="AF955">
        <v>30</v>
      </c>
      <c r="AG955">
        <v>176</v>
      </c>
      <c r="AH955">
        <v>129</v>
      </c>
      <c r="AI955">
        <v>5.54</v>
      </c>
      <c r="AJ955">
        <v>32.47</v>
      </c>
      <c r="AK955">
        <v>23.8</v>
      </c>
      <c r="AL955">
        <v>-20.17025029999996</v>
      </c>
      <c r="AM955">
        <v>-44.901067235372473</v>
      </c>
      <c r="AN955">
        <v>-20.17025029999996</v>
      </c>
      <c r="AO955">
        <v>-44.901067235372473</v>
      </c>
      <c r="AP955">
        <v>-20.170458</v>
      </c>
      <c r="AQ955">
        <v>-44.900936000000002</v>
      </c>
      <c r="AR955">
        <v>26.88195352459519</v>
      </c>
      <c r="AS955" t="s">
        <v>65</v>
      </c>
      <c r="AT955">
        <v>1</v>
      </c>
      <c r="AU955" t="s">
        <v>1374</v>
      </c>
      <c r="AV955" t="s">
        <v>1375</v>
      </c>
      <c r="AW955" t="s">
        <v>60</v>
      </c>
      <c r="AX955" t="s">
        <v>68</v>
      </c>
      <c r="AY955" t="s">
        <v>69</v>
      </c>
      <c r="AZ955" t="b">
        <v>1</v>
      </c>
    </row>
    <row r="956" spans="1:52" x14ac:dyDescent="0.3">
      <c r="A956" t="s">
        <v>52</v>
      </c>
      <c r="B956" t="s">
        <v>53</v>
      </c>
      <c r="C956" t="s">
        <v>54</v>
      </c>
      <c r="D956" t="s">
        <v>55</v>
      </c>
      <c r="E956" t="s">
        <v>2099</v>
      </c>
      <c r="F956" t="s">
        <v>1247</v>
      </c>
      <c r="G956" t="s">
        <v>1376</v>
      </c>
      <c r="H956" t="s">
        <v>1377</v>
      </c>
      <c r="I956" t="s">
        <v>1377</v>
      </c>
      <c r="J956" t="s">
        <v>60</v>
      </c>
      <c r="K956" t="s">
        <v>475</v>
      </c>
      <c r="L956" t="s">
        <v>62</v>
      </c>
      <c r="M956" t="s">
        <v>475</v>
      </c>
      <c r="N956" t="s">
        <v>1378</v>
      </c>
      <c r="O956" t="s">
        <v>1379</v>
      </c>
      <c r="P956">
        <v>-20.175298000000002</v>
      </c>
      <c r="Q956">
        <v>-44.904794000000003</v>
      </c>
      <c r="R956" s="2" t="str">
        <f>HYPERLINK("https://www.google.com/maps?q=-20.1752980,-44.9047940","Abrir no Google Maps")</f>
        <v>Abrir no Google Maps</v>
      </c>
      <c r="S956">
        <v>3</v>
      </c>
      <c r="T956">
        <v>497.7557906927301</v>
      </c>
      <c r="U956">
        <v>2</v>
      </c>
      <c r="V956">
        <v>11</v>
      </c>
      <c r="W956">
        <v>0.85</v>
      </c>
      <c r="X956">
        <v>9.35</v>
      </c>
      <c r="Y956">
        <v>578</v>
      </c>
      <c r="Z956">
        <v>363.80816567363502</v>
      </c>
      <c r="AA956">
        <v>198</v>
      </c>
      <c r="AB956">
        <v>332</v>
      </c>
      <c r="AC956">
        <v>536</v>
      </c>
      <c r="AD956">
        <v>30.48</v>
      </c>
      <c r="AE956">
        <v>542</v>
      </c>
      <c r="AF956">
        <v>30</v>
      </c>
      <c r="AG956">
        <v>176</v>
      </c>
      <c r="AH956">
        <v>129</v>
      </c>
      <c r="AI956">
        <v>5.54</v>
      </c>
      <c r="AJ956">
        <v>32.47</v>
      </c>
      <c r="AK956">
        <v>23.8</v>
      </c>
      <c r="AL956">
        <v>-20.17530484999995</v>
      </c>
      <c r="AM956">
        <v>-44.904834224351781</v>
      </c>
      <c r="AN956">
        <v>-20.17530484999995</v>
      </c>
      <c r="AO956">
        <v>-44.904834224351781</v>
      </c>
      <c r="AP956">
        <v>-20.175298000000002</v>
      </c>
      <c r="AQ956">
        <v>-44.904794000000003</v>
      </c>
      <c r="AR956">
        <v>4.2716392411563806</v>
      </c>
      <c r="AS956" t="s">
        <v>65</v>
      </c>
      <c r="AT956">
        <v>1</v>
      </c>
      <c r="AU956" t="s">
        <v>1380</v>
      </c>
      <c r="AV956" t="s">
        <v>1381</v>
      </c>
      <c r="AW956" t="s">
        <v>60</v>
      </c>
      <c r="AX956" t="s">
        <v>68</v>
      </c>
      <c r="AY956" t="s">
        <v>69</v>
      </c>
      <c r="AZ956" t="b">
        <v>1</v>
      </c>
    </row>
    <row r="957" spans="1:52" x14ac:dyDescent="0.3">
      <c r="A957" t="s">
        <v>52</v>
      </c>
      <c r="B957" t="s">
        <v>53</v>
      </c>
      <c r="C957" t="s">
        <v>54</v>
      </c>
      <c r="D957" t="s">
        <v>55</v>
      </c>
      <c r="E957" t="s">
        <v>2099</v>
      </c>
      <c r="F957" t="s">
        <v>1247</v>
      </c>
      <c r="G957" t="s">
        <v>1388</v>
      </c>
      <c r="H957" t="s">
        <v>1389</v>
      </c>
      <c r="I957" t="s">
        <v>1389</v>
      </c>
      <c r="J957" t="s">
        <v>60</v>
      </c>
      <c r="K957" t="s">
        <v>475</v>
      </c>
      <c r="L957" t="s">
        <v>62</v>
      </c>
      <c r="M957" t="s">
        <v>475</v>
      </c>
      <c r="N957" t="s">
        <v>1390</v>
      </c>
      <c r="O957" t="s">
        <v>855</v>
      </c>
      <c r="P957">
        <v>-20.173748</v>
      </c>
      <c r="Q957">
        <v>-44.894596999999997</v>
      </c>
      <c r="R957" s="2" t="str">
        <f>HYPERLINK("https://www.google.com/maps?q=-20.1737480,-44.8945970","Abrir no Google Maps")</f>
        <v>Abrir no Google Maps</v>
      </c>
      <c r="S957">
        <v>3</v>
      </c>
      <c r="T957">
        <v>1217.388518792701</v>
      </c>
      <c r="U957">
        <v>2</v>
      </c>
      <c r="V957">
        <v>8</v>
      </c>
      <c r="W957">
        <v>0.85</v>
      </c>
      <c r="X957">
        <v>6.8</v>
      </c>
      <c r="Y957">
        <v>578</v>
      </c>
      <c r="Z957">
        <v>1268.0048337091989</v>
      </c>
      <c r="AA957">
        <v>198</v>
      </c>
      <c r="AB957">
        <v>332</v>
      </c>
      <c r="AC957">
        <v>536</v>
      </c>
      <c r="AD957">
        <v>30.48</v>
      </c>
      <c r="AE957">
        <v>542</v>
      </c>
      <c r="AF957">
        <v>30</v>
      </c>
      <c r="AG957">
        <v>176</v>
      </c>
      <c r="AH957">
        <v>129</v>
      </c>
      <c r="AI957">
        <v>5.54</v>
      </c>
      <c r="AJ957">
        <v>32.47</v>
      </c>
      <c r="AK957">
        <v>23.8</v>
      </c>
      <c r="AL957">
        <v>-20.173821999999941</v>
      </c>
      <c r="AM957">
        <v>-44.894306105833543</v>
      </c>
      <c r="AN957">
        <v>-20.173821999999941</v>
      </c>
      <c r="AO957">
        <v>-44.894306105833543</v>
      </c>
      <c r="AP957">
        <v>-20.173748</v>
      </c>
      <c r="AQ957">
        <v>-44.894596999999997</v>
      </c>
      <c r="AR957">
        <v>31.492193006406161</v>
      </c>
      <c r="AS957" t="s">
        <v>65</v>
      </c>
      <c r="AT957">
        <v>1</v>
      </c>
      <c r="AU957" t="s">
        <v>1391</v>
      </c>
      <c r="AV957" t="s">
        <v>1392</v>
      </c>
      <c r="AW957" t="s">
        <v>60</v>
      </c>
      <c r="AX957" t="s">
        <v>68</v>
      </c>
      <c r="AY957" t="s">
        <v>69</v>
      </c>
      <c r="AZ957" t="b">
        <v>1</v>
      </c>
    </row>
    <row r="958" spans="1:52" x14ac:dyDescent="0.3">
      <c r="A958" t="s">
        <v>52</v>
      </c>
      <c r="B958" t="s">
        <v>53</v>
      </c>
      <c r="C958" t="s">
        <v>54</v>
      </c>
      <c r="D958" t="s">
        <v>55</v>
      </c>
      <c r="E958" t="s">
        <v>2099</v>
      </c>
      <c r="F958" t="s">
        <v>1247</v>
      </c>
      <c r="G958" t="s">
        <v>1393</v>
      </c>
      <c r="H958" t="s">
        <v>1394</v>
      </c>
      <c r="I958" t="s">
        <v>1394</v>
      </c>
      <c r="J958" t="s">
        <v>60</v>
      </c>
      <c r="K958" t="s">
        <v>388</v>
      </c>
      <c r="L958" t="s">
        <v>62</v>
      </c>
      <c r="M958" t="s">
        <v>388</v>
      </c>
      <c r="N958" t="s">
        <v>1395</v>
      </c>
      <c r="O958" t="s">
        <v>1396</v>
      </c>
      <c r="P958">
        <v>-20.167425000000001</v>
      </c>
      <c r="Q958">
        <v>-44.907733999999998</v>
      </c>
      <c r="R958" s="2" t="str">
        <f>HYPERLINK("https://www.google.com/maps?q=-20.1674250,-44.9077340","Abrir no Google Maps")</f>
        <v>Abrir no Google Maps</v>
      </c>
      <c r="S958">
        <v>3</v>
      </c>
      <c r="T958">
        <v>424.62372109792739</v>
      </c>
      <c r="U958">
        <v>2</v>
      </c>
      <c r="V958">
        <v>10</v>
      </c>
      <c r="W958">
        <v>0.85</v>
      </c>
      <c r="X958">
        <v>8.5</v>
      </c>
      <c r="Y958">
        <v>578</v>
      </c>
      <c r="Z958">
        <v>559.08337206965382</v>
      </c>
      <c r="AA958">
        <v>198</v>
      </c>
      <c r="AB958">
        <v>332</v>
      </c>
      <c r="AC958">
        <v>536</v>
      </c>
      <c r="AD958">
        <v>30.48</v>
      </c>
      <c r="AE958">
        <v>542</v>
      </c>
      <c r="AF958">
        <v>30</v>
      </c>
      <c r="AG958">
        <v>176</v>
      </c>
      <c r="AH958">
        <v>129</v>
      </c>
      <c r="AI958">
        <v>5.54</v>
      </c>
      <c r="AJ958">
        <v>32.47</v>
      </c>
      <c r="AK958">
        <v>23.8</v>
      </c>
      <c r="AL958">
        <v>-20.167592099999951</v>
      </c>
      <c r="AM958">
        <v>-44.907664214502859</v>
      </c>
      <c r="AN958">
        <v>-20.167592099999951</v>
      </c>
      <c r="AO958">
        <v>-44.907664214502859</v>
      </c>
      <c r="AP958">
        <v>-20.167425000000001</v>
      </c>
      <c r="AQ958">
        <v>-44.907733999999998</v>
      </c>
      <c r="AR958">
        <v>19.979863459652229</v>
      </c>
      <c r="AS958" t="s">
        <v>65</v>
      </c>
      <c r="AT958">
        <v>1</v>
      </c>
      <c r="AU958" t="s">
        <v>1397</v>
      </c>
      <c r="AV958" t="s">
        <v>1398</v>
      </c>
      <c r="AW958" t="s">
        <v>60</v>
      </c>
      <c r="AX958" t="s">
        <v>68</v>
      </c>
      <c r="AY958" t="s">
        <v>69</v>
      </c>
      <c r="AZ958" t="b">
        <v>1</v>
      </c>
    </row>
    <row r="959" spans="1:52" x14ac:dyDescent="0.3">
      <c r="A959" t="s">
        <v>52</v>
      </c>
      <c r="B959" t="s">
        <v>53</v>
      </c>
      <c r="C959" t="s">
        <v>54</v>
      </c>
      <c r="D959" t="s">
        <v>55</v>
      </c>
      <c r="E959" t="s">
        <v>2099</v>
      </c>
      <c r="F959" t="s">
        <v>1247</v>
      </c>
      <c r="G959" t="s">
        <v>1399</v>
      </c>
      <c r="H959" t="s">
        <v>1400</v>
      </c>
      <c r="I959" t="s">
        <v>1400</v>
      </c>
      <c r="J959" t="s">
        <v>60</v>
      </c>
      <c r="K959" t="s">
        <v>475</v>
      </c>
      <c r="L959" t="s">
        <v>62</v>
      </c>
      <c r="M959" t="s">
        <v>475</v>
      </c>
      <c r="N959" t="s">
        <v>1401</v>
      </c>
      <c r="O959" t="s">
        <v>1080</v>
      </c>
      <c r="P959">
        <v>-20.178809000000001</v>
      </c>
      <c r="Q959">
        <v>-44.900204000000002</v>
      </c>
      <c r="R959" s="2" t="str">
        <f>HYPERLINK("https://www.google.com/maps?q=-20.1788090,-44.9002040","Abrir no Google Maps")</f>
        <v>Abrir no Google Maps</v>
      </c>
      <c r="S959">
        <v>3</v>
      </c>
      <c r="T959">
        <v>1015.86498565614</v>
      </c>
      <c r="U959">
        <v>2</v>
      </c>
      <c r="V959">
        <v>11</v>
      </c>
      <c r="W959">
        <v>0.85</v>
      </c>
      <c r="X959">
        <v>9.35</v>
      </c>
      <c r="Y959">
        <v>578</v>
      </c>
      <c r="Z959">
        <v>954.77111474428102</v>
      </c>
      <c r="AA959">
        <v>198</v>
      </c>
      <c r="AB959">
        <v>332</v>
      </c>
      <c r="AC959">
        <v>536</v>
      </c>
      <c r="AD959">
        <v>30.48</v>
      </c>
      <c r="AE959">
        <v>542</v>
      </c>
      <c r="AF959">
        <v>30</v>
      </c>
      <c r="AG959">
        <v>176</v>
      </c>
      <c r="AH959">
        <v>129</v>
      </c>
      <c r="AI959">
        <v>5.54</v>
      </c>
      <c r="AJ959">
        <v>32.47</v>
      </c>
      <c r="AK959">
        <v>23.8</v>
      </c>
      <c r="AL959">
        <v>-20.178590099999951</v>
      </c>
      <c r="AM959">
        <v>-44.90029029928732</v>
      </c>
      <c r="AN959">
        <v>-20.178590099999951</v>
      </c>
      <c r="AO959">
        <v>-44.90029029928732</v>
      </c>
      <c r="AP959">
        <v>-20.178809000000001</v>
      </c>
      <c r="AQ959">
        <v>-44.900204000000002</v>
      </c>
      <c r="AR959">
        <v>25.982812999798391</v>
      </c>
      <c r="AS959" t="s">
        <v>65</v>
      </c>
      <c r="AT959">
        <v>1</v>
      </c>
      <c r="AU959" t="s">
        <v>1402</v>
      </c>
      <c r="AV959" t="s">
        <v>1403</v>
      </c>
      <c r="AW959" t="s">
        <v>60</v>
      </c>
      <c r="AX959" t="s">
        <v>68</v>
      </c>
      <c r="AY959" t="s">
        <v>69</v>
      </c>
      <c r="AZ959" t="b">
        <v>1</v>
      </c>
    </row>
    <row r="960" spans="1:52" x14ac:dyDescent="0.3">
      <c r="A960" t="s">
        <v>52</v>
      </c>
      <c r="B960" t="s">
        <v>53</v>
      </c>
      <c r="C960" t="s">
        <v>54</v>
      </c>
      <c r="D960" t="s">
        <v>55</v>
      </c>
      <c r="E960" t="s">
        <v>2099</v>
      </c>
      <c r="F960" t="s">
        <v>1247</v>
      </c>
      <c r="G960" t="s">
        <v>879</v>
      </c>
      <c r="H960" t="s">
        <v>880</v>
      </c>
      <c r="I960" t="s">
        <v>880</v>
      </c>
      <c r="J960" t="s">
        <v>60</v>
      </c>
      <c r="K960" t="s">
        <v>505</v>
      </c>
      <c r="L960" t="s">
        <v>62</v>
      </c>
      <c r="M960" t="s">
        <v>505</v>
      </c>
      <c r="N960" t="s">
        <v>881</v>
      </c>
      <c r="O960" t="s">
        <v>882</v>
      </c>
      <c r="P960">
        <v>-20.133452999999999</v>
      </c>
      <c r="Q960">
        <v>-44.890571999999999</v>
      </c>
      <c r="R960" s="2" t="str">
        <f>HYPERLINK("https://www.google.com/maps?q=-20.1334530,-44.8905720","Abrir no Google Maps")</f>
        <v>Abrir no Google Maps</v>
      </c>
      <c r="S960">
        <v>3</v>
      </c>
      <c r="T960">
        <v>373.51332104809921</v>
      </c>
      <c r="U960">
        <v>2</v>
      </c>
      <c r="V960">
        <v>10</v>
      </c>
      <c r="W960">
        <v>1</v>
      </c>
      <c r="X960">
        <v>10</v>
      </c>
      <c r="Y960">
        <v>564</v>
      </c>
      <c r="Z960">
        <v>422.34693311930448</v>
      </c>
      <c r="AA960">
        <v>198</v>
      </c>
      <c r="AB960">
        <v>332</v>
      </c>
      <c r="AC960">
        <v>536</v>
      </c>
      <c r="AD960">
        <v>30.48</v>
      </c>
      <c r="AE960">
        <v>542</v>
      </c>
      <c r="AF960">
        <v>30</v>
      </c>
      <c r="AG960">
        <v>176</v>
      </c>
      <c r="AH960">
        <v>129</v>
      </c>
      <c r="AI960">
        <v>5.54</v>
      </c>
      <c r="AJ960">
        <v>32.47</v>
      </c>
      <c r="AK960">
        <v>23.8</v>
      </c>
      <c r="AL960">
        <v>-20.133421549999952</v>
      </c>
      <c r="AM960">
        <v>-44.890623456009052</v>
      </c>
      <c r="AN960">
        <v>-20.133421549999952</v>
      </c>
      <c r="AO960">
        <v>-44.890623456009052</v>
      </c>
      <c r="AP960">
        <v>-20.133452999999999</v>
      </c>
      <c r="AQ960">
        <v>-44.890571999999999</v>
      </c>
      <c r="AR960">
        <v>6.4172139275452773</v>
      </c>
      <c r="AS960" t="s">
        <v>65</v>
      </c>
      <c r="AT960">
        <v>1</v>
      </c>
      <c r="AU960" t="s">
        <v>883</v>
      </c>
      <c r="AV960" t="s">
        <v>884</v>
      </c>
      <c r="AW960" t="s">
        <v>60</v>
      </c>
      <c r="AX960" t="s">
        <v>68</v>
      </c>
      <c r="AY960" t="s">
        <v>69</v>
      </c>
      <c r="AZ960" t="b">
        <v>1</v>
      </c>
    </row>
    <row r="961" spans="1:52" x14ac:dyDescent="0.3">
      <c r="A961" t="s">
        <v>52</v>
      </c>
      <c r="B961" t="s">
        <v>53</v>
      </c>
      <c r="C961" t="s">
        <v>54</v>
      </c>
      <c r="D961" t="s">
        <v>55</v>
      </c>
      <c r="E961" t="s">
        <v>2099</v>
      </c>
      <c r="F961" t="s">
        <v>1247</v>
      </c>
      <c r="G961" t="s">
        <v>815</v>
      </c>
      <c r="H961" t="s">
        <v>1404</v>
      </c>
      <c r="I961" t="s">
        <v>1404</v>
      </c>
      <c r="J961" t="s">
        <v>60</v>
      </c>
      <c r="K961" t="s">
        <v>512</v>
      </c>
      <c r="L961" t="s">
        <v>62</v>
      </c>
      <c r="M961" t="s">
        <v>512</v>
      </c>
      <c r="N961" t="s">
        <v>817</v>
      </c>
      <c r="O961" t="s">
        <v>1405</v>
      </c>
      <c r="P961">
        <v>-20.129069999999999</v>
      </c>
      <c r="Q961">
        <v>-44.888452000000001</v>
      </c>
      <c r="R961" s="2" t="str">
        <f>HYPERLINK("https://www.google.com/maps?q=-20.1290700,-44.8884520","Abrir no Google Maps")</f>
        <v>Abrir no Google Maps</v>
      </c>
      <c r="S961">
        <v>3</v>
      </c>
      <c r="T961">
        <v>0</v>
      </c>
      <c r="U961">
        <v>2</v>
      </c>
      <c r="V961">
        <v>13</v>
      </c>
      <c r="W961">
        <v>0.85</v>
      </c>
      <c r="X961">
        <v>11.05</v>
      </c>
      <c r="Y961">
        <v>564</v>
      </c>
      <c r="Z961">
        <v>95.870354837220688</v>
      </c>
      <c r="AA961">
        <v>198</v>
      </c>
      <c r="AB961">
        <v>332</v>
      </c>
      <c r="AC961">
        <v>536</v>
      </c>
      <c r="AD961">
        <v>30.48</v>
      </c>
      <c r="AE961">
        <v>542</v>
      </c>
      <c r="AF961">
        <v>30</v>
      </c>
      <c r="AG961">
        <v>176</v>
      </c>
      <c r="AH961">
        <v>129</v>
      </c>
      <c r="AI961">
        <v>5.54</v>
      </c>
      <c r="AJ961">
        <v>32.47</v>
      </c>
      <c r="AK961">
        <v>23.8</v>
      </c>
      <c r="AL961">
        <v>-20.12899334999997</v>
      </c>
      <c r="AM961">
        <v>-44.888406102471222</v>
      </c>
      <c r="AN961">
        <v>-20.12899334999997</v>
      </c>
      <c r="AO961">
        <v>-44.888406102471222</v>
      </c>
      <c r="AP961">
        <v>-20.129069999999999</v>
      </c>
      <c r="AQ961">
        <v>-44.888452000000001</v>
      </c>
      <c r="AR961">
        <v>9.7887731150376265</v>
      </c>
      <c r="AS961" t="s">
        <v>65</v>
      </c>
      <c r="AT961">
        <v>1</v>
      </c>
      <c r="AU961" t="s">
        <v>1406</v>
      </c>
      <c r="AV961" t="s">
        <v>1407</v>
      </c>
      <c r="AW961" t="s">
        <v>60</v>
      </c>
      <c r="AX961" t="s">
        <v>68</v>
      </c>
      <c r="AY961" t="s">
        <v>69</v>
      </c>
      <c r="AZ961" t="b">
        <v>1</v>
      </c>
    </row>
    <row r="962" spans="1:52" x14ac:dyDescent="0.3">
      <c r="A962" t="s">
        <v>52</v>
      </c>
      <c r="B962" t="s">
        <v>53</v>
      </c>
      <c r="C962" t="s">
        <v>54</v>
      </c>
      <c r="D962" t="s">
        <v>55</v>
      </c>
      <c r="E962" t="s">
        <v>2099</v>
      </c>
      <c r="F962" t="s">
        <v>1247</v>
      </c>
      <c r="G962" t="s">
        <v>523</v>
      </c>
      <c r="H962" t="s">
        <v>524</v>
      </c>
      <c r="I962" t="s">
        <v>524</v>
      </c>
      <c r="J962" t="s">
        <v>60</v>
      </c>
      <c r="K962" t="s">
        <v>518</v>
      </c>
      <c r="L962" t="s">
        <v>62</v>
      </c>
      <c r="M962" t="s">
        <v>518</v>
      </c>
      <c r="N962" t="s">
        <v>525</v>
      </c>
      <c r="O962" t="s">
        <v>331</v>
      </c>
      <c r="P962">
        <v>-20.126553000000001</v>
      </c>
      <c r="Q962">
        <v>-44.888599999999997</v>
      </c>
      <c r="R962" s="2" t="str">
        <f>HYPERLINK("https://www.google.com/maps?q=-20.1265530,-44.8886000","Abrir no Google Maps")</f>
        <v>Abrir no Google Maps</v>
      </c>
      <c r="S962">
        <v>3</v>
      </c>
      <c r="T962">
        <v>256.34043440603853</v>
      </c>
      <c r="U962">
        <v>2</v>
      </c>
      <c r="V962">
        <v>9</v>
      </c>
      <c r="W962">
        <v>1</v>
      </c>
      <c r="X962">
        <v>9</v>
      </c>
      <c r="Y962">
        <v>564</v>
      </c>
      <c r="Z962">
        <v>325.4404273055876</v>
      </c>
      <c r="AA962">
        <v>198</v>
      </c>
      <c r="AB962">
        <v>332</v>
      </c>
      <c r="AC962">
        <v>536</v>
      </c>
      <c r="AD962">
        <v>30.48</v>
      </c>
      <c r="AE962">
        <v>542</v>
      </c>
      <c r="AF962">
        <v>30</v>
      </c>
      <c r="AG962">
        <v>176</v>
      </c>
      <c r="AH962">
        <v>129</v>
      </c>
      <c r="AI962">
        <v>5.54</v>
      </c>
      <c r="AJ962">
        <v>32.47</v>
      </c>
      <c r="AK962">
        <v>23.8</v>
      </c>
      <c r="AL962">
        <v>-20.12669049999997</v>
      </c>
      <c r="AM962">
        <v>-44.888671289876577</v>
      </c>
      <c r="AN962">
        <v>-20.12669049999997</v>
      </c>
      <c r="AO962">
        <v>-44.888671289876577</v>
      </c>
      <c r="AP962">
        <v>-20.126553000000001</v>
      </c>
      <c r="AQ962">
        <v>-44.888599999999997</v>
      </c>
      <c r="AR962">
        <v>17.023861591720589</v>
      </c>
      <c r="AS962" t="s">
        <v>65</v>
      </c>
      <c r="AT962">
        <v>1</v>
      </c>
      <c r="AU962" t="s">
        <v>526</v>
      </c>
      <c r="AV962" t="s">
        <v>527</v>
      </c>
      <c r="AW962" t="s">
        <v>60</v>
      </c>
      <c r="AX962" t="s">
        <v>68</v>
      </c>
      <c r="AY962" t="s">
        <v>69</v>
      </c>
      <c r="AZ962" t="b">
        <v>1</v>
      </c>
    </row>
    <row r="963" spans="1:52" x14ac:dyDescent="0.3">
      <c r="A963" t="s">
        <v>52</v>
      </c>
      <c r="B963" t="s">
        <v>53</v>
      </c>
      <c r="C963" t="s">
        <v>54</v>
      </c>
      <c r="D963" t="s">
        <v>55</v>
      </c>
      <c r="E963" t="s">
        <v>2099</v>
      </c>
      <c r="F963" t="s">
        <v>1247</v>
      </c>
      <c r="G963" t="s">
        <v>649</v>
      </c>
      <c r="H963" t="s">
        <v>885</v>
      </c>
      <c r="I963" t="s">
        <v>885</v>
      </c>
      <c r="J963" t="s">
        <v>60</v>
      </c>
      <c r="K963" t="s">
        <v>886</v>
      </c>
      <c r="L963" t="s">
        <v>62</v>
      </c>
      <c r="M963" t="s">
        <v>886</v>
      </c>
      <c r="N963" t="s">
        <v>652</v>
      </c>
      <c r="O963" t="s">
        <v>887</v>
      </c>
      <c r="P963">
        <v>-20.132252000000001</v>
      </c>
      <c r="Q963">
        <v>-44.894159000000002</v>
      </c>
      <c r="R963" s="2" t="str">
        <f>HYPERLINK("https://www.google.com/maps?q=-20.1322520,-44.8941590","Abrir no Google Maps")</f>
        <v>Abrir no Google Maps</v>
      </c>
      <c r="S963">
        <v>3</v>
      </c>
      <c r="T963">
        <v>699.5004749448899</v>
      </c>
      <c r="U963">
        <v>2</v>
      </c>
      <c r="V963">
        <v>8</v>
      </c>
      <c r="W963">
        <v>0.85</v>
      </c>
      <c r="X963">
        <v>6.8</v>
      </c>
      <c r="Y963">
        <v>564</v>
      </c>
      <c r="Z963">
        <v>522.21103586457991</v>
      </c>
      <c r="AA963">
        <v>198</v>
      </c>
      <c r="AB963">
        <v>332</v>
      </c>
      <c r="AC963">
        <v>536</v>
      </c>
      <c r="AD963">
        <v>30.48</v>
      </c>
      <c r="AE963">
        <v>542</v>
      </c>
      <c r="AF963">
        <v>30</v>
      </c>
      <c r="AG963">
        <v>176</v>
      </c>
      <c r="AH963">
        <v>129</v>
      </c>
      <c r="AI963">
        <v>5.54</v>
      </c>
      <c r="AJ963">
        <v>32.47</v>
      </c>
      <c r="AK963">
        <v>23.8</v>
      </c>
      <c r="AL963">
        <v>-20.132285999999969</v>
      </c>
      <c r="AM963">
        <v>-44.894119001288672</v>
      </c>
      <c r="AN963">
        <v>-20.132285999999969</v>
      </c>
      <c r="AO963">
        <v>-44.894119001288672</v>
      </c>
      <c r="AP963">
        <v>-20.132252000000001</v>
      </c>
      <c r="AQ963">
        <v>-44.894159000000002</v>
      </c>
      <c r="AR963">
        <v>5.6393921063261629</v>
      </c>
      <c r="AS963" t="s">
        <v>65</v>
      </c>
      <c r="AT963">
        <v>1</v>
      </c>
      <c r="AU963" t="s">
        <v>888</v>
      </c>
      <c r="AV963" t="s">
        <v>889</v>
      </c>
      <c r="AW963" t="s">
        <v>60</v>
      </c>
      <c r="AX963" t="s">
        <v>68</v>
      </c>
      <c r="AY963" t="s">
        <v>69</v>
      </c>
      <c r="AZ963" t="b">
        <v>1</v>
      </c>
    </row>
    <row r="964" spans="1:52" x14ac:dyDescent="0.3">
      <c r="A964" t="s">
        <v>52</v>
      </c>
      <c r="B964" t="s">
        <v>53</v>
      </c>
      <c r="C964" t="s">
        <v>54</v>
      </c>
      <c r="D964" t="s">
        <v>55</v>
      </c>
      <c r="E964" t="s">
        <v>2099</v>
      </c>
      <c r="F964" t="s">
        <v>1247</v>
      </c>
      <c r="G964" t="s">
        <v>1435</v>
      </c>
      <c r="H964" t="s">
        <v>1436</v>
      </c>
      <c r="I964" t="s">
        <v>1436</v>
      </c>
      <c r="J964" t="s">
        <v>60</v>
      </c>
      <c r="K964" t="s">
        <v>886</v>
      </c>
      <c r="L964" t="s">
        <v>62</v>
      </c>
      <c r="M964" t="s">
        <v>886</v>
      </c>
      <c r="N964" t="s">
        <v>1437</v>
      </c>
      <c r="O964" t="s">
        <v>1438</v>
      </c>
      <c r="P964">
        <v>-20.131108000000001</v>
      </c>
      <c r="Q964">
        <v>-44.893228000000001</v>
      </c>
      <c r="R964" s="2" t="str">
        <f>HYPERLINK("https://www.google.com/maps?q=-20.1311080,-44.8932280","Abrir no Google Maps")</f>
        <v>Abrir no Google Maps</v>
      </c>
      <c r="S964">
        <v>3</v>
      </c>
      <c r="T964">
        <v>548.07497919430136</v>
      </c>
      <c r="U964">
        <v>2</v>
      </c>
      <c r="V964">
        <v>8</v>
      </c>
      <c r="W964">
        <v>0.85</v>
      </c>
      <c r="X964">
        <v>6.8</v>
      </c>
      <c r="Y964">
        <v>564</v>
      </c>
      <c r="Z964">
        <v>369.17139216388432</v>
      </c>
      <c r="AA964">
        <v>198</v>
      </c>
      <c r="AB964">
        <v>332</v>
      </c>
      <c r="AC964">
        <v>536</v>
      </c>
      <c r="AD964">
        <v>30.48</v>
      </c>
      <c r="AE964">
        <v>542</v>
      </c>
      <c r="AF964">
        <v>30</v>
      </c>
      <c r="AG964">
        <v>176</v>
      </c>
      <c r="AH964">
        <v>129</v>
      </c>
      <c r="AI964">
        <v>5.54</v>
      </c>
      <c r="AJ964">
        <v>32.47</v>
      </c>
      <c r="AK964">
        <v>23.8</v>
      </c>
      <c r="AL964">
        <v>-20.13103294999997</v>
      </c>
      <c r="AM964">
        <v>-44.89318457893738</v>
      </c>
      <c r="AN964">
        <v>-20.13103294999997</v>
      </c>
      <c r="AO964">
        <v>-44.89318457893738</v>
      </c>
      <c r="AP964">
        <v>-20.131108000000001</v>
      </c>
      <c r="AQ964">
        <v>-44.893228000000001</v>
      </c>
      <c r="AR964">
        <v>9.5076426885244203</v>
      </c>
      <c r="AS964" t="s">
        <v>65</v>
      </c>
      <c r="AT964">
        <v>1</v>
      </c>
      <c r="AU964" t="s">
        <v>1439</v>
      </c>
      <c r="AV964" t="s">
        <v>1440</v>
      </c>
      <c r="AW964" t="s">
        <v>60</v>
      </c>
      <c r="AX964" t="s">
        <v>68</v>
      </c>
      <c r="AY964" t="s">
        <v>69</v>
      </c>
      <c r="AZ964" t="b">
        <v>1</v>
      </c>
    </row>
    <row r="965" spans="1:52" x14ac:dyDescent="0.3">
      <c r="A965" t="s">
        <v>52</v>
      </c>
      <c r="B965" t="s">
        <v>53</v>
      </c>
      <c r="C965" t="s">
        <v>54</v>
      </c>
      <c r="D965" t="s">
        <v>55</v>
      </c>
      <c r="E965" t="s">
        <v>2099</v>
      </c>
      <c r="F965" t="s">
        <v>1247</v>
      </c>
      <c r="G965" t="s">
        <v>503</v>
      </c>
      <c r="H965" t="s">
        <v>1441</v>
      </c>
      <c r="I965" t="s">
        <v>1441</v>
      </c>
      <c r="J965" t="s">
        <v>60</v>
      </c>
      <c r="K965" t="s">
        <v>512</v>
      </c>
      <c r="L965" t="s">
        <v>62</v>
      </c>
      <c r="M965" t="s">
        <v>512</v>
      </c>
      <c r="N965" t="s">
        <v>506</v>
      </c>
      <c r="O965" t="s">
        <v>1442</v>
      </c>
      <c r="P965">
        <v>-20.13036</v>
      </c>
      <c r="Q965">
        <v>-44.891019</v>
      </c>
      <c r="R965" s="2" t="str">
        <f>HYPERLINK("https://www.google.com/maps?q=-20.1303600,-44.8910190","Abrir no Google Maps")</f>
        <v>Abrir no Google Maps</v>
      </c>
      <c r="S965">
        <v>3</v>
      </c>
      <c r="T965">
        <v>313.17410616307359</v>
      </c>
      <c r="U965">
        <v>2</v>
      </c>
      <c r="V965">
        <v>10</v>
      </c>
      <c r="W965">
        <v>0.85</v>
      </c>
      <c r="X965">
        <v>8.5</v>
      </c>
      <c r="Y965">
        <v>564</v>
      </c>
      <c r="Z965">
        <v>208.43159293494489</v>
      </c>
      <c r="AA965">
        <v>198</v>
      </c>
      <c r="AB965">
        <v>332</v>
      </c>
      <c r="AC965">
        <v>536</v>
      </c>
      <c r="AD965">
        <v>30.48</v>
      </c>
      <c r="AE965">
        <v>542</v>
      </c>
      <c r="AF965">
        <v>30</v>
      </c>
      <c r="AG965">
        <v>176</v>
      </c>
      <c r="AH965">
        <v>129</v>
      </c>
      <c r="AI965">
        <v>5.54</v>
      </c>
      <c r="AJ965">
        <v>32.47</v>
      </c>
      <c r="AK965">
        <v>23.8</v>
      </c>
      <c r="AL965">
        <v>-20.130100449999961</v>
      </c>
      <c r="AM965">
        <v>-44.891163633475301</v>
      </c>
      <c r="AN965">
        <v>-20.130100449999961</v>
      </c>
      <c r="AO965">
        <v>-44.891163633475301</v>
      </c>
      <c r="AP965">
        <v>-20.13036</v>
      </c>
      <c r="AQ965">
        <v>-44.891019</v>
      </c>
      <c r="AR965">
        <v>32.608854575381159</v>
      </c>
      <c r="AS965" t="s">
        <v>65</v>
      </c>
      <c r="AT965">
        <v>1</v>
      </c>
      <c r="AU965" t="s">
        <v>1443</v>
      </c>
      <c r="AV965" t="s">
        <v>1444</v>
      </c>
      <c r="AW965" t="s">
        <v>60</v>
      </c>
      <c r="AX965" t="s">
        <v>68</v>
      </c>
      <c r="AY965" t="s">
        <v>69</v>
      </c>
      <c r="AZ965" t="b">
        <v>1</v>
      </c>
    </row>
    <row r="966" spans="1:52" x14ac:dyDescent="0.3">
      <c r="A966" t="s">
        <v>52</v>
      </c>
      <c r="B966" t="s">
        <v>53</v>
      </c>
      <c r="C966" t="s">
        <v>54</v>
      </c>
      <c r="D966" t="s">
        <v>55</v>
      </c>
      <c r="E966" t="s">
        <v>2099</v>
      </c>
      <c r="F966" t="s">
        <v>1247</v>
      </c>
      <c r="G966" t="s">
        <v>568</v>
      </c>
      <c r="H966" t="s">
        <v>569</v>
      </c>
      <c r="I966" t="s">
        <v>569</v>
      </c>
      <c r="J966" t="s">
        <v>60</v>
      </c>
      <c r="K966" t="s">
        <v>61</v>
      </c>
      <c r="L966" t="s">
        <v>62</v>
      </c>
      <c r="M966" t="s">
        <v>61</v>
      </c>
      <c r="N966" t="s">
        <v>570</v>
      </c>
      <c r="O966" t="s">
        <v>548</v>
      </c>
      <c r="P966">
        <v>-20.151508</v>
      </c>
      <c r="Q966">
        <v>-44.907826</v>
      </c>
      <c r="R966" s="2" t="str">
        <f>HYPERLINK("https://www.google.com/maps?q=-20.1515080,-44.9078260","Abrir no Google Maps")</f>
        <v>Abrir no Google Maps</v>
      </c>
      <c r="S966">
        <v>3</v>
      </c>
      <c r="T966">
        <v>567.15905416240514</v>
      </c>
      <c r="U966">
        <v>2</v>
      </c>
      <c r="V966">
        <v>13</v>
      </c>
      <c r="W966">
        <v>0.85</v>
      </c>
      <c r="X966">
        <v>11.05</v>
      </c>
      <c r="Y966">
        <v>548</v>
      </c>
      <c r="Z966">
        <v>560.49158010771464</v>
      </c>
      <c r="AA966">
        <v>198</v>
      </c>
      <c r="AB966">
        <v>332</v>
      </c>
      <c r="AC966">
        <v>536</v>
      </c>
      <c r="AD966">
        <v>30.48</v>
      </c>
      <c r="AE966">
        <v>542</v>
      </c>
      <c r="AF966">
        <v>30</v>
      </c>
      <c r="AG966">
        <v>176</v>
      </c>
      <c r="AH966">
        <v>129</v>
      </c>
      <c r="AI966">
        <v>5.54</v>
      </c>
      <c r="AJ966">
        <v>32.47</v>
      </c>
      <c r="AK966">
        <v>23.8</v>
      </c>
      <c r="AL966">
        <v>-20.15211779999996</v>
      </c>
      <c r="AM966">
        <v>-44.907597469593128</v>
      </c>
      <c r="AN966">
        <v>-20.15211779999996</v>
      </c>
      <c r="AO966">
        <v>-44.907597469593128</v>
      </c>
      <c r="AP966">
        <v>-20.151508</v>
      </c>
      <c r="AQ966">
        <v>-44.907826</v>
      </c>
      <c r="AR966">
        <v>71.961597929314735</v>
      </c>
      <c r="AS966" t="s">
        <v>65</v>
      </c>
      <c r="AT966">
        <v>1</v>
      </c>
      <c r="AU966" t="s">
        <v>571</v>
      </c>
      <c r="AV966" t="s">
        <v>572</v>
      </c>
      <c r="AW966" t="s">
        <v>60</v>
      </c>
      <c r="AX966" t="s">
        <v>68</v>
      </c>
      <c r="AY966" t="s">
        <v>69</v>
      </c>
      <c r="AZ966" t="b">
        <v>1</v>
      </c>
    </row>
    <row r="967" spans="1:52" x14ac:dyDescent="0.3">
      <c r="A967" t="s">
        <v>52</v>
      </c>
      <c r="B967" t="s">
        <v>53</v>
      </c>
      <c r="C967" t="s">
        <v>54</v>
      </c>
      <c r="D967" t="s">
        <v>55</v>
      </c>
      <c r="E967" t="s">
        <v>2099</v>
      </c>
      <c r="F967" t="s">
        <v>1247</v>
      </c>
      <c r="G967" t="s">
        <v>1283</v>
      </c>
      <c r="H967" t="s">
        <v>1284</v>
      </c>
      <c r="I967" t="s">
        <v>1284</v>
      </c>
      <c r="J967" t="s">
        <v>60</v>
      </c>
      <c r="K967" t="s">
        <v>388</v>
      </c>
      <c r="L967" t="s">
        <v>62</v>
      </c>
      <c r="M967" t="s">
        <v>388</v>
      </c>
      <c r="N967" t="s">
        <v>400</v>
      </c>
      <c r="O967" t="s">
        <v>1285</v>
      </c>
      <c r="P967">
        <v>-20.156977999999999</v>
      </c>
      <c r="Q967">
        <v>-44.90325</v>
      </c>
      <c r="R967" s="2" t="str">
        <f>HYPERLINK("https://www.google.com/maps?q=-20.1569780,-44.9032500","Abrir no Google Maps")</f>
        <v>Abrir no Google Maps</v>
      </c>
      <c r="S967">
        <v>3</v>
      </c>
      <c r="T967">
        <v>256.05633739092571</v>
      </c>
      <c r="U967">
        <v>1</v>
      </c>
      <c r="V967">
        <v>7</v>
      </c>
      <c r="W967">
        <v>0.85</v>
      </c>
      <c r="X967">
        <v>5.95</v>
      </c>
      <c r="Y967">
        <v>729</v>
      </c>
      <c r="Z967">
        <v>162.99447055889971</v>
      </c>
      <c r="AA967">
        <v>198</v>
      </c>
      <c r="AB967">
        <v>332</v>
      </c>
      <c r="AC967">
        <v>536</v>
      </c>
      <c r="AD967">
        <v>30.48</v>
      </c>
      <c r="AE967">
        <v>542</v>
      </c>
      <c r="AF967">
        <v>30</v>
      </c>
      <c r="AG967">
        <v>176</v>
      </c>
      <c r="AH967">
        <v>129</v>
      </c>
      <c r="AI967">
        <v>5.54</v>
      </c>
      <c r="AJ967">
        <v>32.47</v>
      </c>
      <c r="AK967">
        <v>23.8</v>
      </c>
      <c r="AL967">
        <v>-20.15696524999996</v>
      </c>
      <c r="AM967">
        <v>-44.903258102626708</v>
      </c>
      <c r="AN967">
        <v>-20.15696524999996</v>
      </c>
      <c r="AO967">
        <v>-44.903258102626708</v>
      </c>
      <c r="AP967">
        <v>-20.156977999999999</v>
      </c>
      <c r="AQ967">
        <v>-44.90325</v>
      </c>
      <c r="AR967">
        <v>1.6527147033629741</v>
      </c>
      <c r="AS967" t="s">
        <v>65</v>
      </c>
      <c r="AT967">
        <v>1</v>
      </c>
      <c r="AU967" t="s">
        <v>1286</v>
      </c>
      <c r="AV967" t="s">
        <v>1287</v>
      </c>
      <c r="AW967" t="s">
        <v>60</v>
      </c>
      <c r="AX967" t="s">
        <v>68</v>
      </c>
      <c r="AY967" t="s">
        <v>69</v>
      </c>
      <c r="AZ967" t="b">
        <v>1</v>
      </c>
    </row>
    <row r="968" spans="1:52" x14ac:dyDescent="0.3">
      <c r="A968" t="s">
        <v>52</v>
      </c>
      <c r="B968" t="s">
        <v>53</v>
      </c>
      <c r="C968" t="s">
        <v>54</v>
      </c>
      <c r="D968" t="s">
        <v>55</v>
      </c>
      <c r="E968" t="s">
        <v>2099</v>
      </c>
      <c r="F968" t="s">
        <v>1247</v>
      </c>
      <c r="G968" t="s">
        <v>1300</v>
      </c>
      <c r="H968" t="s">
        <v>1301</v>
      </c>
      <c r="I968" t="s">
        <v>1301</v>
      </c>
      <c r="J968" t="s">
        <v>60</v>
      </c>
      <c r="K968" t="s">
        <v>1302</v>
      </c>
      <c r="L968" t="s">
        <v>62</v>
      </c>
      <c r="M968" t="s">
        <v>1302</v>
      </c>
      <c r="N968" t="s">
        <v>1303</v>
      </c>
      <c r="O968" t="s">
        <v>1304</v>
      </c>
      <c r="P968">
        <v>-20.166618</v>
      </c>
      <c r="Q968">
        <v>-44.912920999999997</v>
      </c>
      <c r="R968" s="2" t="str">
        <f>HYPERLINK("https://www.google.com/maps?q=-20.1666180,-44.9129210","Abrir no Google Maps")</f>
        <v>Abrir no Google Maps</v>
      </c>
      <c r="S968">
        <v>3</v>
      </c>
      <c r="T968">
        <v>636.32880156364706</v>
      </c>
      <c r="U968">
        <v>1</v>
      </c>
      <c r="V968">
        <v>6</v>
      </c>
      <c r="W968">
        <v>0.85</v>
      </c>
      <c r="X968">
        <v>5.0999999999999996</v>
      </c>
      <c r="Y968">
        <v>723</v>
      </c>
      <c r="Z968">
        <v>407.62145176971592</v>
      </c>
      <c r="AA968">
        <v>198</v>
      </c>
      <c r="AB968">
        <v>332</v>
      </c>
      <c r="AC968">
        <v>536</v>
      </c>
      <c r="AD968">
        <v>30.48</v>
      </c>
      <c r="AE968">
        <v>542</v>
      </c>
      <c r="AF968">
        <v>30</v>
      </c>
      <c r="AG968">
        <v>176</v>
      </c>
      <c r="AH968">
        <v>129</v>
      </c>
      <c r="AI968">
        <v>5.54</v>
      </c>
      <c r="AJ968">
        <v>32.47</v>
      </c>
      <c r="AK968">
        <v>23.8</v>
      </c>
      <c r="AL968">
        <v>-20.166924799999951</v>
      </c>
      <c r="AM968">
        <v>-44.912868681724092</v>
      </c>
      <c r="AN968">
        <v>-20.166924799999951</v>
      </c>
      <c r="AO968">
        <v>-44.912868681724092</v>
      </c>
      <c r="AP968">
        <v>-20.166618</v>
      </c>
      <c r="AQ968">
        <v>-44.912920999999997</v>
      </c>
      <c r="AR968">
        <v>34.587771860198139</v>
      </c>
      <c r="AS968" t="s">
        <v>65</v>
      </c>
      <c r="AT968">
        <v>1</v>
      </c>
      <c r="AU968" t="s">
        <v>1305</v>
      </c>
      <c r="AV968" t="s">
        <v>1306</v>
      </c>
      <c r="AW968" t="s">
        <v>60</v>
      </c>
      <c r="AX968" t="s">
        <v>68</v>
      </c>
      <c r="AY968" t="s">
        <v>69</v>
      </c>
      <c r="AZ968" t="b">
        <v>1</v>
      </c>
    </row>
    <row r="969" spans="1:52" x14ac:dyDescent="0.3">
      <c r="A969" t="s">
        <v>52</v>
      </c>
      <c r="B969" t="s">
        <v>53</v>
      </c>
      <c r="C969" t="s">
        <v>54</v>
      </c>
      <c r="D969" t="s">
        <v>55</v>
      </c>
      <c r="E969" t="s">
        <v>2099</v>
      </c>
      <c r="F969" t="s">
        <v>1247</v>
      </c>
      <c r="G969" t="s">
        <v>422</v>
      </c>
      <c r="H969" t="s">
        <v>1323</v>
      </c>
      <c r="I969" t="s">
        <v>1323</v>
      </c>
      <c r="J969" t="s">
        <v>60</v>
      </c>
      <c r="K969" t="s">
        <v>1324</v>
      </c>
      <c r="L969" t="s">
        <v>62</v>
      </c>
      <c r="M969" t="s">
        <v>1324</v>
      </c>
      <c r="N969" t="s">
        <v>425</v>
      </c>
      <c r="O969" t="s">
        <v>1325</v>
      </c>
      <c r="P969">
        <v>-20.175142000000001</v>
      </c>
      <c r="Q969">
        <v>-44.913783000000002</v>
      </c>
      <c r="R969" s="2" t="str">
        <f>HYPERLINK("https://www.google.com/maps?q=-20.1751420,-44.9137830","Abrir no Google Maps")</f>
        <v>Abrir no Google Maps</v>
      </c>
      <c r="S969">
        <v>3</v>
      </c>
      <c r="T969">
        <v>495.73888273066677</v>
      </c>
      <c r="U969">
        <v>1</v>
      </c>
      <c r="V969">
        <v>6</v>
      </c>
      <c r="W969">
        <v>0.85</v>
      </c>
      <c r="X969">
        <v>5.0999999999999996</v>
      </c>
      <c r="Y969">
        <v>723</v>
      </c>
      <c r="Z969">
        <v>488.51574748236328</v>
      </c>
      <c r="AA969">
        <v>198</v>
      </c>
      <c r="AB969">
        <v>332</v>
      </c>
      <c r="AC969">
        <v>536</v>
      </c>
      <c r="AD969">
        <v>30.48</v>
      </c>
      <c r="AE969">
        <v>542</v>
      </c>
      <c r="AF969">
        <v>30</v>
      </c>
      <c r="AG969">
        <v>176</v>
      </c>
      <c r="AH969">
        <v>129</v>
      </c>
      <c r="AI969">
        <v>5.54</v>
      </c>
      <c r="AJ969">
        <v>32.47</v>
      </c>
      <c r="AK969">
        <v>23.8</v>
      </c>
      <c r="AL969">
        <v>-20.175195199999958</v>
      </c>
      <c r="AM969">
        <v>-44.913964122548052</v>
      </c>
      <c r="AN969">
        <v>-20.175195199999958</v>
      </c>
      <c r="AO969">
        <v>-44.913964122548052</v>
      </c>
      <c r="AP969">
        <v>-20.175142000000001</v>
      </c>
      <c r="AQ969">
        <v>-44.913783000000002</v>
      </c>
      <c r="AR969">
        <v>19.830402633152101</v>
      </c>
      <c r="AS969" t="s">
        <v>65</v>
      </c>
      <c r="AT969">
        <v>1</v>
      </c>
      <c r="AU969" t="s">
        <v>1326</v>
      </c>
      <c r="AV969" t="s">
        <v>1327</v>
      </c>
      <c r="AW969" t="s">
        <v>60</v>
      </c>
      <c r="AX969" t="s">
        <v>68</v>
      </c>
      <c r="AY969" t="s">
        <v>69</v>
      </c>
      <c r="AZ969" t="b">
        <v>1</v>
      </c>
    </row>
    <row r="970" spans="1:52" x14ac:dyDescent="0.3">
      <c r="A970" t="s">
        <v>52</v>
      </c>
      <c r="B970" t="s">
        <v>53</v>
      </c>
      <c r="C970" t="s">
        <v>54</v>
      </c>
      <c r="D970" t="s">
        <v>55</v>
      </c>
      <c r="E970" t="s">
        <v>2099</v>
      </c>
      <c r="F970" t="s">
        <v>1247</v>
      </c>
      <c r="G970" t="s">
        <v>1342</v>
      </c>
      <c r="H970" t="s">
        <v>1343</v>
      </c>
      <c r="I970" t="s">
        <v>1343</v>
      </c>
      <c r="J970" t="s">
        <v>60</v>
      </c>
      <c r="K970" t="s">
        <v>462</v>
      </c>
      <c r="L970" t="s">
        <v>62</v>
      </c>
      <c r="M970" t="s">
        <v>462</v>
      </c>
      <c r="N970" t="s">
        <v>921</v>
      </c>
      <c r="O970" t="s">
        <v>1344</v>
      </c>
      <c r="P970">
        <v>-20.137526000000001</v>
      </c>
      <c r="Q970">
        <v>-44.912452999999999</v>
      </c>
      <c r="R970" s="2" t="str">
        <f>HYPERLINK("https://www.google.com/maps?q=-20.1375260,-44.9124530","Abrir no Google Maps")</f>
        <v>Abrir no Google Maps</v>
      </c>
      <c r="S970">
        <v>3</v>
      </c>
      <c r="T970">
        <v>446.95091416730708</v>
      </c>
      <c r="U970">
        <v>1</v>
      </c>
      <c r="V970">
        <v>6</v>
      </c>
      <c r="W970">
        <v>0.85</v>
      </c>
      <c r="X970">
        <v>5.0999999999999996</v>
      </c>
      <c r="Y970">
        <v>581</v>
      </c>
      <c r="Z970">
        <v>507.4747778269288</v>
      </c>
      <c r="AA970">
        <v>198</v>
      </c>
      <c r="AB970">
        <v>332</v>
      </c>
      <c r="AC970">
        <v>536</v>
      </c>
      <c r="AD970">
        <v>30.48</v>
      </c>
      <c r="AE970">
        <v>542</v>
      </c>
      <c r="AF970">
        <v>30</v>
      </c>
      <c r="AG970">
        <v>176</v>
      </c>
      <c r="AH970">
        <v>129</v>
      </c>
      <c r="AI970">
        <v>5.54</v>
      </c>
      <c r="AJ970">
        <v>32.47</v>
      </c>
      <c r="AK970">
        <v>23.8</v>
      </c>
      <c r="AL970">
        <v>-20.136672649999959</v>
      </c>
      <c r="AM970">
        <v>-44.911825104396357</v>
      </c>
      <c r="AN970">
        <v>-20.136672649999959</v>
      </c>
      <c r="AO970">
        <v>-44.911825104396357</v>
      </c>
      <c r="AP970">
        <v>-20.137526000000001</v>
      </c>
      <c r="AQ970">
        <v>-44.912452999999999</v>
      </c>
      <c r="AR970">
        <v>115.45843265992529</v>
      </c>
      <c r="AS970" t="s">
        <v>65</v>
      </c>
      <c r="AT970">
        <v>1</v>
      </c>
      <c r="AU970" t="s">
        <v>1345</v>
      </c>
      <c r="AV970" t="s">
        <v>1346</v>
      </c>
      <c r="AW970" t="s">
        <v>60</v>
      </c>
      <c r="AX970" t="s">
        <v>68</v>
      </c>
      <c r="AY970" t="s">
        <v>69</v>
      </c>
      <c r="AZ970" t="b">
        <v>1</v>
      </c>
    </row>
    <row r="971" spans="1:52" x14ac:dyDescent="0.3">
      <c r="A971" t="s">
        <v>52</v>
      </c>
      <c r="B971" t="s">
        <v>53</v>
      </c>
      <c r="C971" t="s">
        <v>54</v>
      </c>
      <c r="D971" t="s">
        <v>55</v>
      </c>
      <c r="E971" t="s">
        <v>2099</v>
      </c>
      <c r="F971" t="s">
        <v>1247</v>
      </c>
      <c r="G971" t="s">
        <v>1364</v>
      </c>
      <c r="H971" t="s">
        <v>1365</v>
      </c>
      <c r="I971" t="s">
        <v>1365</v>
      </c>
      <c r="J971" t="s">
        <v>60</v>
      </c>
      <c r="K971" t="s">
        <v>1356</v>
      </c>
      <c r="L971" t="s">
        <v>62</v>
      </c>
      <c r="M971" t="s">
        <v>1356</v>
      </c>
      <c r="N971" t="s">
        <v>1366</v>
      </c>
      <c r="O971" t="s">
        <v>548</v>
      </c>
      <c r="P971">
        <v>-20.131240999999999</v>
      </c>
      <c r="Q971">
        <v>-44.910567999999998</v>
      </c>
      <c r="R971" s="2" t="str">
        <f>HYPERLINK("https://www.google.com/maps?q=-20.1312410,-44.9105680","Abrir no Google Maps")</f>
        <v>Abrir no Google Maps</v>
      </c>
      <c r="S971">
        <v>3</v>
      </c>
      <c r="T971">
        <v>822.61354861726704</v>
      </c>
      <c r="U971">
        <v>1</v>
      </c>
      <c r="V971">
        <v>0</v>
      </c>
      <c r="W971">
        <v>0.85</v>
      </c>
      <c r="X971">
        <v>0</v>
      </c>
      <c r="Y971">
        <v>581</v>
      </c>
      <c r="Z971">
        <v>982.3990834787046</v>
      </c>
      <c r="AA971">
        <v>198</v>
      </c>
      <c r="AB971">
        <v>332</v>
      </c>
      <c r="AC971">
        <v>536</v>
      </c>
      <c r="AD971">
        <v>30.48</v>
      </c>
      <c r="AE971">
        <v>542</v>
      </c>
      <c r="AF971">
        <v>30</v>
      </c>
      <c r="AG971">
        <v>176</v>
      </c>
      <c r="AH971">
        <v>129</v>
      </c>
      <c r="AI971">
        <v>5.54</v>
      </c>
      <c r="AJ971">
        <v>32.47</v>
      </c>
      <c r="AK971">
        <v>23.8</v>
      </c>
      <c r="AL971">
        <v>-20.131367099999981</v>
      </c>
      <c r="AM971">
        <v>-44.910597350758543</v>
      </c>
      <c r="AN971">
        <v>-20.131367099999981</v>
      </c>
      <c r="AO971">
        <v>-44.910597350758543</v>
      </c>
      <c r="AP971">
        <v>-20.131240999999999</v>
      </c>
      <c r="AQ971">
        <v>-44.910567999999998</v>
      </c>
      <c r="AR971">
        <v>14.36874794070623</v>
      </c>
      <c r="AS971" t="s">
        <v>65</v>
      </c>
      <c r="AT971">
        <v>1</v>
      </c>
      <c r="AU971" t="s">
        <v>1367</v>
      </c>
      <c r="AV971" t="s">
        <v>1368</v>
      </c>
      <c r="AW971" t="s">
        <v>60</v>
      </c>
      <c r="AX971" t="s">
        <v>68</v>
      </c>
      <c r="AY971" t="s">
        <v>69</v>
      </c>
      <c r="AZ971" t="b">
        <v>1</v>
      </c>
    </row>
    <row r="972" spans="1:52" x14ac:dyDescent="0.3">
      <c r="A972" t="s">
        <v>52</v>
      </c>
      <c r="B972" t="s">
        <v>53</v>
      </c>
      <c r="C972" t="s">
        <v>54</v>
      </c>
      <c r="D972" t="s">
        <v>55</v>
      </c>
      <c r="E972" t="s">
        <v>2099</v>
      </c>
      <c r="F972" t="s">
        <v>1247</v>
      </c>
      <c r="G972" t="s">
        <v>1382</v>
      </c>
      <c r="H972" t="s">
        <v>1383</v>
      </c>
      <c r="I972" t="s">
        <v>1383</v>
      </c>
      <c r="J972" t="s">
        <v>60</v>
      </c>
      <c r="K972" t="s">
        <v>1384</v>
      </c>
      <c r="L972" t="s">
        <v>62</v>
      </c>
      <c r="M972" t="s">
        <v>1384</v>
      </c>
      <c r="N972" t="s">
        <v>1385</v>
      </c>
      <c r="O972" t="s">
        <v>1379</v>
      </c>
      <c r="P972">
        <v>-20.168914999999998</v>
      </c>
      <c r="Q972">
        <v>-44.897015000000003</v>
      </c>
      <c r="R972" s="2" t="str">
        <f>HYPERLINK("https://www.google.com/maps?q=-20.1689150,-44.8970150","Abrir no Google Maps")</f>
        <v>Abrir no Google Maps</v>
      </c>
      <c r="S972">
        <v>3</v>
      </c>
      <c r="T972">
        <v>1082.4313448281291</v>
      </c>
      <c r="U972">
        <v>1</v>
      </c>
      <c r="V972">
        <v>7</v>
      </c>
      <c r="W972">
        <v>0.85</v>
      </c>
      <c r="X972">
        <v>5.95</v>
      </c>
      <c r="Y972">
        <v>578</v>
      </c>
      <c r="Z972">
        <v>1085.6751638476369</v>
      </c>
      <c r="AA972">
        <v>198</v>
      </c>
      <c r="AB972">
        <v>332</v>
      </c>
      <c r="AC972">
        <v>536</v>
      </c>
      <c r="AD972">
        <v>30.48</v>
      </c>
      <c r="AE972">
        <v>542</v>
      </c>
      <c r="AF972">
        <v>30</v>
      </c>
      <c r="AG972">
        <v>176</v>
      </c>
      <c r="AH972">
        <v>129</v>
      </c>
      <c r="AI972">
        <v>5.54</v>
      </c>
      <c r="AJ972">
        <v>32.47</v>
      </c>
      <c r="AK972">
        <v>23.8</v>
      </c>
      <c r="AL972">
        <v>-20.168195549999979</v>
      </c>
      <c r="AM972">
        <v>-44.895555997240763</v>
      </c>
      <c r="AN972">
        <v>-20.168195549999979</v>
      </c>
      <c r="AO972">
        <v>-44.895555997240763</v>
      </c>
      <c r="AP972">
        <v>-20.168914999999998</v>
      </c>
      <c r="AQ972">
        <v>-44.897015000000003</v>
      </c>
      <c r="AR972">
        <v>172.21377736735809</v>
      </c>
      <c r="AS972" t="s">
        <v>65</v>
      </c>
      <c r="AT972">
        <v>1</v>
      </c>
      <c r="AU972" t="s">
        <v>1386</v>
      </c>
      <c r="AV972" t="s">
        <v>1387</v>
      </c>
      <c r="AW972" t="s">
        <v>60</v>
      </c>
      <c r="AX972" t="s">
        <v>68</v>
      </c>
      <c r="AY972" t="s">
        <v>69</v>
      </c>
      <c r="AZ972" t="b">
        <v>1</v>
      </c>
    </row>
    <row r="973" spans="1:52" x14ac:dyDescent="0.3">
      <c r="A973" t="s">
        <v>52</v>
      </c>
      <c r="B973" t="s">
        <v>53</v>
      </c>
      <c r="C973" t="s">
        <v>54</v>
      </c>
      <c r="D973" t="s">
        <v>55</v>
      </c>
      <c r="E973" t="s">
        <v>2099</v>
      </c>
      <c r="F973" t="s">
        <v>1247</v>
      </c>
      <c r="G973" t="s">
        <v>1424</v>
      </c>
      <c r="H973" t="s">
        <v>1425</v>
      </c>
      <c r="I973" t="s">
        <v>1425</v>
      </c>
      <c r="J973" t="s">
        <v>60</v>
      </c>
      <c r="K973" t="s">
        <v>1324</v>
      </c>
      <c r="L973" t="s">
        <v>62</v>
      </c>
      <c r="M973" t="s">
        <v>1324</v>
      </c>
      <c r="N973" t="s">
        <v>1426</v>
      </c>
      <c r="O973" t="s">
        <v>938</v>
      </c>
      <c r="P973">
        <v>-20.172844999999999</v>
      </c>
      <c r="Q973">
        <v>-44.909215000000003</v>
      </c>
      <c r="R973" s="2" t="str">
        <f>HYPERLINK("https://www.google.com/maps?q=-20.1728450,-44.9092150","Abrir no Google Maps")</f>
        <v>Abrir no Google Maps</v>
      </c>
      <c r="S973">
        <v>3</v>
      </c>
      <c r="T973">
        <v>0</v>
      </c>
      <c r="U973">
        <v>1</v>
      </c>
      <c r="V973">
        <v>0</v>
      </c>
      <c r="W973">
        <v>0.85</v>
      </c>
      <c r="X973">
        <v>0</v>
      </c>
      <c r="Y973">
        <v>578</v>
      </c>
      <c r="Z973">
        <v>365.56549317689053</v>
      </c>
      <c r="AA973">
        <v>198</v>
      </c>
      <c r="AB973">
        <v>332</v>
      </c>
      <c r="AC973">
        <v>536</v>
      </c>
      <c r="AD973">
        <v>30.48</v>
      </c>
      <c r="AE973">
        <v>542</v>
      </c>
      <c r="AF973">
        <v>30</v>
      </c>
      <c r="AG973">
        <v>176</v>
      </c>
      <c r="AH973">
        <v>129</v>
      </c>
      <c r="AI973">
        <v>5.54</v>
      </c>
      <c r="AJ973">
        <v>32.47</v>
      </c>
      <c r="AK973">
        <v>23.8</v>
      </c>
      <c r="AL973">
        <v>-20.172197349999941</v>
      </c>
      <c r="AM973">
        <v>-44.910438675762883</v>
      </c>
      <c r="AN973">
        <v>-20.172197349999941</v>
      </c>
      <c r="AO973">
        <v>-44.910438675762883</v>
      </c>
      <c r="AP973">
        <v>-20.172844999999999</v>
      </c>
      <c r="AQ973">
        <v>-44.909215000000003</v>
      </c>
      <c r="AR973">
        <v>146.78922919749749</v>
      </c>
      <c r="AS973" t="s">
        <v>65</v>
      </c>
      <c r="AT973">
        <v>1</v>
      </c>
      <c r="AU973" t="s">
        <v>1427</v>
      </c>
      <c r="AV973" t="s">
        <v>1428</v>
      </c>
      <c r="AW973" t="s">
        <v>60</v>
      </c>
      <c r="AX973" t="s">
        <v>68</v>
      </c>
      <c r="AY973" t="s">
        <v>69</v>
      </c>
      <c r="AZ973" t="b">
        <v>1</v>
      </c>
    </row>
    <row r="974" spans="1:52" x14ac:dyDescent="0.3">
      <c r="A974" t="s">
        <v>52</v>
      </c>
      <c r="B974" t="s">
        <v>53</v>
      </c>
      <c r="C974" t="s">
        <v>54</v>
      </c>
      <c r="D974" t="s">
        <v>55</v>
      </c>
      <c r="E974" t="s">
        <v>2099</v>
      </c>
      <c r="F974" t="s">
        <v>1247</v>
      </c>
      <c r="G974" t="s">
        <v>1429</v>
      </c>
      <c r="H974" t="s">
        <v>1430</v>
      </c>
      <c r="I974" t="s">
        <v>1430</v>
      </c>
      <c r="J974" t="s">
        <v>60</v>
      </c>
      <c r="K974" t="s">
        <v>505</v>
      </c>
      <c r="L974" t="s">
        <v>62</v>
      </c>
      <c r="M974" t="s">
        <v>505</v>
      </c>
      <c r="N974" t="s">
        <v>1431</v>
      </c>
      <c r="O974" t="s">
        <v>1432</v>
      </c>
      <c r="P974">
        <v>-20.132069000000001</v>
      </c>
      <c r="Q974">
        <v>-44.891694000000001</v>
      </c>
      <c r="R974" s="2" t="str">
        <f>HYPERLINK("https://www.google.com/maps?q=-20.1320690,-44.8916940","Abrir no Google Maps")</f>
        <v>Abrir no Google Maps</v>
      </c>
      <c r="S974">
        <v>3</v>
      </c>
      <c r="T974">
        <v>463.84477613866852</v>
      </c>
      <c r="U974">
        <v>1</v>
      </c>
      <c r="V974">
        <v>5</v>
      </c>
      <c r="W974">
        <v>0.85</v>
      </c>
      <c r="X974">
        <v>4.25</v>
      </c>
      <c r="Y974">
        <v>564</v>
      </c>
      <c r="Z974">
        <v>349.6044774510159</v>
      </c>
      <c r="AA974">
        <v>198</v>
      </c>
      <c r="AB974">
        <v>332</v>
      </c>
      <c r="AC974">
        <v>536</v>
      </c>
      <c r="AD974">
        <v>30.48</v>
      </c>
      <c r="AE974">
        <v>542</v>
      </c>
      <c r="AF974">
        <v>30</v>
      </c>
      <c r="AG974">
        <v>176</v>
      </c>
      <c r="AH974">
        <v>129</v>
      </c>
      <c r="AI974">
        <v>5.54</v>
      </c>
      <c r="AJ974">
        <v>32.47</v>
      </c>
      <c r="AK974">
        <v>23.8</v>
      </c>
      <c r="AL974">
        <v>-20.131860799999941</v>
      </c>
      <c r="AM974">
        <v>-44.891643045551348</v>
      </c>
      <c r="AN974">
        <v>-20.131860799999941</v>
      </c>
      <c r="AO974">
        <v>-44.891643045551348</v>
      </c>
      <c r="AP974">
        <v>-20.132069000000001</v>
      </c>
      <c r="AQ974">
        <v>-44.891694000000001</v>
      </c>
      <c r="AR974">
        <v>23.780836080569209</v>
      </c>
      <c r="AS974" t="s">
        <v>65</v>
      </c>
      <c r="AT974">
        <v>1</v>
      </c>
      <c r="AU974" t="s">
        <v>1433</v>
      </c>
      <c r="AV974" t="s">
        <v>1434</v>
      </c>
      <c r="AW974" t="s">
        <v>60</v>
      </c>
      <c r="AX974" t="s">
        <v>68</v>
      </c>
      <c r="AY974" t="s">
        <v>69</v>
      </c>
      <c r="AZ974" t="b">
        <v>1</v>
      </c>
    </row>
    <row r="975" spans="1:52" x14ac:dyDescent="0.3">
      <c r="A975" t="s">
        <v>52</v>
      </c>
      <c r="B975" t="s">
        <v>53</v>
      </c>
      <c r="C975" t="s">
        <v>54</v>
      </c>
      <c r="D975" t="s">
        <v>55</v>
      </c>
      <c r="E975" t="s">
        <v>2099</v>
      </c>
      <c r="F975" t="s">
        <v>1247</v>
      </c>
      <c r="G975" t="s">
        <v>1408</v>
      </c>
      <c r="H975" t="s">
        <v>1409</v>
      </c>
      <c r="I975" t="s">
        <v>1409</v>
      </c>
      <c r="J975" t="s">
        <v>60</v>
      </c>
      <c r="K975" t="s">
        <v>200</v>
      </c>
      <c r="L975" t="s">
        <v>62</v>
      </c>
      <c r="M975" t="s">
        <v>200</v>
      </c>
      <c r="N975" t="s">
        <v>1410</v>
      </c>
      <c r="O975" t="s">
        <v>1001</v>
      </c>
      <c r="P975">
        <v>-20.126062999999998</v>
      </c>
      <c r="Q975">
        <v>-44.894936999999999</v>
      </c>
      <c r="R975" s="2" t="str">
        <f>HYPERLINK("https://www.google.com/maps?q=-20.1260630,-44.8949370","Abrir no Google Maps")</f>
        <v>Abrir no Google Maps</v>
      </c>
      <c r="S975">
        <v>3</v>
      </c>
      <c r="T975">
        <v>747.3122077966558</v>
      </c>
      <c r="U975">
        <v>1</v>
      </c>
      <c r="V975">
        <v>7</v>
      </c>
      <c r="W975">
        <v>0.85</v>
      </c>
      <c r="X975">
        <v>5.95</v>
      </c>
      <c r="Y975">
        <v>564</v>
      </c>
      <c r="Z975">
        <v>693.80888866206885</v>
      </c>
      <c r="AA975">
        <v>198</v>
      </c>
      <c r="AB975">
        <v>332</v>
      </c>
      <c r="AC975">
        <v>536</v>
      </c>
      <c r="AD975">
        <v>30.48</v>
      </c>
      <c r="AE975">
        <v>542</v>
      </c>
      <c r="AF975">
        <v>30</v>
      </c>
      <c r="AG975">
        <v>176</v>
      </c>
      <c r="AH975">
        <v>129</v>
      </c>
      <c r="AI975">
        <v>5.54</v>
      </c>
      <c r="AJ975">
        <v>32.47</v>
      </c>
      <c r="AK975">
        <v>23.8</v>
      </c>
      <c r="AL975">
        <v>-20.126099149999959</v>
      </c>
      <c r="AM975">
        <v>-44.894866076436763</v>
      </c>
      <c r="AN975">
        <v>-20.126099149999959</v>
      </c>
      <c r="AO975">
        <v>-44.894866076436749</v>
      </c>
      <c r="AP975">
        <v>-20.126062999999998</v>
      </c>
      <c r="AQ975">
        <v>-44.894936999999999</v>
      </c>
      <c r="AR975">
        <v>8.4349593682699737</v>
      </c>
      <c r="AS975" t="s">
        <v>65</v>
      </c>
      <c r="AT975">
        <v>1</v>
      </c>
      <c r="AU975" t="s">
        <v>1411</v>
      </c>
      <c r="AV975" t="s">
        <v>1003</v>
      </c>
      <c r="AW975" t="s">
        <v>60</v>
      </c>
      <c r="AX975" t="s">
        <v>68</v>
      </c>
      <c r="AY975" t="s">
        <v>69</v>
      </c>
      <c r="AZ975" t="b">
        <v>1</v>
      </c>
    </row>
    <row r="976" spans="1:52" x14ac:dyDescent="0.3">
      <c r="A976" t="s">
        <v>52</v>
      </c>
      <c r="B976" t="s">
        <v>53</v>
      </c>
      <c r="C976" t="s">
        <v>54</v>
      </c>
      <c r="D976" t="s">
        <v>55</v>
      </c>
      <c r="E976" t="s">
        <v>2099</v>
      </c>
      <c r="F976" t="s">
        <v>1247</v>
      </c>
      <c r="G976" t="s">
        <v>473</v>
      </c>
      <c r="H976" t="s">
        <v>1445</v>
      </c>
      <c r="I976" t="s">
        <v>1445</v>
      </c>
      <c r="J976" t="s">
        <v>60</v>
      </c>
      <c r="K976" t="s">
        <v>892</v>
      </c>
      <c r="L976" t="s">
        <v>62</v>
      </c>
      <c r="M976" t="s">
        <v>892</v>
      </c>
      <c r="N976" t="s">
        <v>406</v>
      </c>
      <c r="O976" t="s">
        <v>1446</v>
      </c>
      <c r="P976">
        <v>-20.14941</v>
      </c>
      <c r="Q976">
        <v>-44.899535</v>
      </c>
      <c r="R976" s="2" t="str">
        <f>HYPERLINK("https://www.google.com/maps?q=-20.1494100,-44.8995350","Abrir no Google Maps")</f>
        <v>Abrir no Google Maps</v>
      </c>
      <c r="S976">
        <v>3</v>
      </c>
      <c r="T976">
        <v>249.83945591849931</v>
      </c>
      <c r="U976">
        <v>1</v>
      </c>
      <c r="V976">
        <v>7</v>
      </c>
      <c r="W976">
        <v>0.85</v>
      </c>
      <c r="X976">
        <v>5.95</v>
      </c>
      <c r="Y976">
        <v>556</v>
      </c>
      <c r="Z976">
        <v>156.62360082488701</v>
      </c>
      <c r="AA976">
        <v>198</v>
      </c>
      <c r="AB976">
        <v>332</v>
      </c>
      <c r="AC976">
        <v>536</v>
      </c>
      <c r="AD976">
        <v>30.48</v>
      </c>
      <c r="AE976">
        <v>542</v>
      </c>
      <c r="AF976">
        <v>30</v>
      </c>
      <c r="AG976">
        <v>176</v>
      </c>
      <c r="AH976">
        <v>129</v>
      </c>
      <c r="AI976">
        <v>5.54</v>
      </c>
      <c r="AJ976">
        <v>32.47</v>
      </c>
      <c r="AK976">
        <v>23.8</v>
      </c>
      <c r="AL976">
        <v>-20.149341899999939</v>
      </c>
      <c r="AM976">
        <v>-44.899575902083967</v>
      </c>
      <c r="AN976">
        <v>-20.149341899999939</v>
      </c>
      <c r="AO976">
        <v>-44.899575902083967</v>
      </c>
      <c r="AP976">
        <v>-20.14941</v>
      </c>
      <c r="AQ976">
        <v>-44.899535</v>
      </c>
      <c r="AR976">
        <v>8.7029725999778709</v>
      </c>
      <c r="AS976" t="s">
        <v>65</v>
      </c>
      <c r="AT976">
        <v>1</v>
      </c>
      <c r="AU976" t="s">
        <v>1447</v>
      </c>
      <c r="AV976" t="s">
        <v>1448</v>
      </c>
      <c r="AW976" t="s">
        <v>60</v>
      </c>
      <c r="AX976" t="s">
        <v>68</v>
      </c>
      <c r="AY976" t="s">
        <v>69</v>
      </c>
      <c r="AZ976" t="b">
        <v>1</v>
      </c>
    </row>
    <row r="977" spans="1:52" x14ac:dyDescent="0.3">
      <c r="A977" t="s">
        <v>52</v>
      </c>
      <c r="B977" t="s">
        <v>53</v>
      </c>
      <c r="C977" t="s">
        <v>54</v>
      </c>
      <c r="D977" t="s">
        <v>55</v>
      </c>
      <c r="E977" t="s">
        <v>2099</v>
      </c>
      <c r="F977" t="s">
        <v>1247</v>
      </c>
      <c r="G977" t="s">
        <v>1412</v>
      </c>
      <c r="H977" t="s">
        <v>1413</v>
      </c>
      <c r="I977" t="s">
        <v>1413</v>
      </c>
      <c r="J977" t="s">
        <v>60</v>
      </c>
      <c r="K977" t="s">
        <v>892</v>
      </c>
      <c r="L977" t="s">
        <v>62</v>
      </c>
      <c r="M977" t="s">
        <v>892</v>
      </c>
      <c r="N977" t="s">
        <v>1414</v>
      </c>
      <c r="O977" t="s">
        <v>293</v>
      </c>
      <c r="P977">
        <v>-20.150780999999998</v>
      </c>
      <c r="Q977">
        <v>-44.897972000000003</v>
      </c>
      <c r="R977" s="2" t="str">
        <f>HYPERLINK("https://www.google.com/maps?q=-20.1507810,-44.8979720","Abrir no Google Maps")</f>
        <v>Abrir no Google Maps</v>
      </c>
      <c r="S977">
        <v>3</v>
      </c>
      <c r="T977">
        <v>306.36394634674508</v>
      </c>
      <c r="U977">
        <v>1</v>
      </c>
      <c r="V977">
        <v>6</v>
      </c>
      <c r="W977">
        <v>0.85</v>
      </c>
      <c r="X977">
        <v>5.0999999999999996</v>
      </c>
      <c r="Y977">
        <v>556</v>
      </c>
      <c r="Z977">
        <v>233.85692443628571</v>
      </c>
      <c r="AA977">
        <v>198</v>
      </c>
      <c r="AB977">
        <v>332</v>
      </c>
      <c r="AC977">
        <v>536</v>
      </c>
      <c r="AD977">
        <v>30.48</v>
      </c>
      <c r="AE977">
        <v>542</v>
      </c>
      <c r="AF977">
        <v>30</v>
      </c>
      <c r="AG977">
        <v>176</v>
      </c>
      <c r="AH977">
        <v>129</v>
      </c>
      <c r="AI977">
        <v>5.54</v>
      </c>
      <c r="AJ977">
        <v>32.47</v>
      </c>
      <c r="AK977">
        <v>23.8</v>
      </c>
      <c r="AL977">
        <v>-20.15074609999996</v>
      </c>
      <c r="AM977">
        <v>-44.89795774234689</v>
      </c>
      <c r="AN977">
        <v>-20.15074609999996</v>
      </c>
      <c r="AO977">
        <v>-44.89795774234689</v>
      </c>
      <c r="AP977">
        <v>-20.150780999999998</v>
      </c>
      <c r="AQ977">
        <v>-44.897972000000003</v>
      </c>
      <c r="AR977">
        <v>4.160995809097348</v>
      </c>
      <c r="AS977" t="s">
        <v>65</v>
      </c>
      <c r="AT977">
        <v>1</v>
      </c>
      <c r="AU977" t="s">
        <v>1415</v>
      </c>
      <c r="AV977" t="s">
        <v>1416</v>
      </c>
      <c r="AW977" t="s">
        <v>60</v>
      </c>
      <c r="AX977" t="s">
        <v>68</v>
      </c>
      <c r="AY977" t="s">
        <v>69</v>
      </c>
      <c r="AZ977" t="b">
        <v>1</v>
      </c>
    </row>
    <row r="978" spans="1:52" x14ac:dyDescent="0.3">
      <c r="A978" t="s">
        <v>52</v>
      </c>
      <c r="B978" t="s">
        <v>53</v>
      </c>
      <c r="C978" t="s">
        <v>54</v>
      </c>
      <c r="D978" t="s">
        <v>55</v>
      </c>
      <c r="E978" t="s">
        <v>2099</v>
      </c>
      <c r="F978" t="s">
        <v>1247</v>
      </c>
      <c r="G978" t="s">
        <v>1127</v>
      </c>
      <c r="H978" t="s">
        <v>1449</v>
      </c>
      <c r="I978" t="s">
        <v>1449</v>
      </c>
      <c r="J978" t="s">
        <v>60</v>
      </c>
      <c r="K978" t="s">
        <v>1450</v>
      </c>
      <c r="L978" t="s">
        <v>62</v>
      </c>
      <c r="M978" t="s">
        <v>1450</v>
      </c>
      <c r="N978" t="s">
        <v>1451</v>
      </c>
      <c r="O978" t="s">
        <v>1452</v>
      </c>
      <c r="P978">
        <v>-20.152612000000001</v>
      </c>
      <c r="Q978">
        <v>-44.897098</v>
      </c>
      <c r="R978" s="2" t="str">
        <f>HYPERLINK("https://www.google.com/maps?q=-20.1526120,-44.8970980","Abrir no Google Maps")</f>
        <v>Abrir no Google Maps</v>
      </c>
      <c r="S978">
        <v>3</v>
      </c>
      <c r="T978">
        <v>418.6283592063233</v>
      </c>
      <c r="U978">
        <v>1</v>
      </c>
      <c r="V978">
        <v>5</v>
      </c>
      <c r="W978">
        <v>0.85</v>
      </c>
      <c r="X978">
        <v>4.25</v>
      </c>
      <c r="Y978">
        <v>556</v>
      </c>
      <c r="Z978">
        <v>387.16462225830952</v>
      </c>
      <c r="AA978">
        <v>198</v>
      </c>
      <c r="AB978">
        <v>332</v>
      </c>
      <c r="AC978">
        <v>536</v>
      </c>
      <c r="AD978">
        <v>30.48</v>
      </c>
      <c r="AE978">
        <v>542</v>
      </c>
      <c r="AF978">
        <v>30</v>
      </c>
      <c r="AG978">
        <v>176</v>
      </c>
      <c r="AH978">
        <v>129</v>
      </c>
      <c r="AI978">
        <v>5.54</v>
      </c>
      <c r="AJ978">
        <v>32.47</v>
      </c>
      <c r="AK978">
        <v>23.8</v>
      </c>
      <c r="AL978">
        <v>-20.15253669999996</v>
      </c>
      <c r="AM978">
        <v>-44.897068126936119</v>
      </c>
      <c r="AN978">
        <v>-20.15253669999996</v>
      </c>
      <c r="AO978">
        <v>-44.897068126936119</v>
      </c>
      <c r="AP978">
        <v>-20.152612000000001</v>
      </c>
      <c r="AQ978">
        <v>-44.897098</v>
      </c>
      <c r="AR978">
        <v>8.9448699164987104</v>
      </c>
      <c r="AS978" t="s">
        <v>65</v>
      </c>
      <c r="AT978">
        <v>1</v>
      </c>
      <c r="AU978" t="s">
        <v>1453</v>
      </c>
      <c r="AV978" t="s">
        <v>1454</v>
      </c>
      <c r="AW978" t="s">
        <v>60</v>
      </c>
      <c r="AX978" t="s">
        <v>68</v>
      </c>
      <c r="AY978" t="s">
        <v>69</v>
      </c>
      <c r="AZ978" t="b">
        <v>1</v>
      </c>
    </row>
    <row r="979" spans="1:52" x14ac:dyDescent="0.3">
      <c r="A979" t="s">
        <v>52</v>
      </c>
      <c r="B979" t="s">
        <v>53</v>
      </c>
      <c r="C979" t="s">
        <v>54</v>
      </c>
      <c r="D979" t="s">
        <v>55</v>
      </c>
      <c r="E979" t="s">
        <v>2099</v>
      </c>
      <c r="F979" t="s">
        <v>1247</v>
      </c>
      <c r="G979" t="s">
        <v>1464</v>
      </c>
      <c r="H979" t="s">
        <v>1485</v>
      </c>
      <c r="I979" t="s">
        <v>1485</v>
      </c>
      <c r="J979" t="s">
        <v>60</v>
      </c>
      <c r="K979" t="s">
        <v>1486</v>
      </c>
      <c r="L979" t="s">
        <v>62</v>
      </c>
      <c r="M979" t="s">
        <v>1486</v>
      </c>
      <c r="N979" t="s">
        <v>1467</v>
      </c>
      <c r="O979" t="s">
        <v>1487</v>
      </c>
      <c r="P979">
        <v>-20.162842000000001</v>
      </c>
      <c r="Q979">
        <v>-44.883769999999998</v>
      </c>
      <c r="R979" s="2" t="str">
        <f>HYPERLINK("https://www.google.com/maps?q=-20.1628420,-44.8837700","Abrir no Google Maps")</f>
        <v>Abrir no Google Maps</v>
      </c>
      <c r="S979">
        <v>2</v>
      </c>
      <c r="T979">
        <v>659.67909450906006</v>
      </c>
      <c r="U979">
        <v>4</v>
      </c>
      <c r="V979">
        <v>28</v>
      </c>
      <c r="W979">
        <v>1</v>
      </c>
      <c r="X979">
        <v>28</v>
      </c>
      <c r="Y979">
        <v>671</v>
      </c>
      <c r="Z979">
        <v>566.23107864368092</v>
      </c>
      <c r="AA979">
        <v>198</v>
      </c>
      <c r="AB979">
        <v>332</v>
      </c>
      <c r="AC979">
        <v>536</v>
      </c>
      <c r="AD979">
        <v>30.48</v>
      </c>
      <c r="AE979">
        <v>542</v>
      </c>
      <c r="AF979">
        <v>30</v>
      </c>
      <c r="AG979">
        <v>176</v>
      </c>
      <c r="AH979">
        <v>129</v>
      </c>
      <c r="AI979">
        <v>5.54</v>
      </c>
      <c r="AJ979">
        <v>32.47</v>
      </c>
      <c r="AK979">
        <v>23.8</v>
      </c>
      <c r="AL979">
        <v>-20.162791299999949</v>
      </c>
      <c r="AM979">
        <v>-44.883966852092939</v>
      </c>
      <c r="AN979">
        <v>-20.162791299999949</v>
      </c>
      <c r="AO979">
        <v>-44.883966852092939</v>
      </c>
      <c r="AP979">
        <v>-20.162842000000001</v>
      </c>
      <c r="AQ979">
        <v>-44.883769999999998</v>
      </c>
      <c r="AR979">
        <v>21.33085532825611</v>
      </c>
      <c r="AS979" t="s">
        <v>65</v>
      </c>
      <c r="AT979">
        <v>1</v>
      </c>
      <c r="AU979" t="s">
        <v>1488</v>
      </c>
      <c r="AV979" t="s">
        <v>1489</v>
      </c>
      <c r="AW979" t="s">
        <v>60</v>
      </c>
      <c r="AX979" t="s">
        <v>68</v>
      </c>
      <c r="AY979" t="s">
        <v>69</v>
      </c>
      <c r="AZ979" t="b">
        <v>1</v>
      </c>
    </row>
    <row r="980" spans="1:52" x14ac:dyDescent="0.3">
      <c r="A980" t="s">
        <v>52</v>
      </c>
      <c r="B980" t="s">
        <v>53</v>
      </c>
      <c r="C980" t="s">
        <v>54</v>
      </c>
      <c r="D980" t="s">
        <v>55</v>
      </c>
      <c r="E980" t="s">
        <v>2099</v>
      </c>
      <c r="F980" t="s">
        <v>1247</v>
      </c>
      <c r="G980" t="s">
        <v>1464</v>
      </c>
      <c r="H980" t="s">
        <v>1465</v>
      </c>
      <c r="I980" t="s">
        <v>1465</v>
      </c>
      <c r="J980" t="s">
        <v>60</v>
      </c>
      <c r="K980" t="s">
        <v>1466</v>
      </c>
      <c r="L980" t="s">
        <v>62</v>
      </c>
      <c r="M980" t="s">
        <v>1466</v>
      </c>
      <c r="N980" t="s">
        <v>1467</v>
      </c>
      <c r="O980" t="s">
        <v>145</v>
      </c>
      <c r="P980">
        <v>-20.160509999999999</v>
      </c>
      <c r="Q980">
        <v>-44.884123000000002</v>
      </c>
      <c r="R980" s="2" t="str">
        <f>HYPERLINK("https://www.google.com/maps?q=-20.1605100,-44.8841230","Abrir no Google Maps")</f>
        <v>Abrir no Google Maps</v>
      </c>
      <c r="S980">
        <v>2</v>
      </c>
      <c r="T980">
        <v>650.04961276595373</v>
      </c>
      <c r="U980">
        <v>4</v>
      </c>
      <c r="V980">
        <v>20</v>
      </c>
      <c r="W980">
        <v>1</v>
      </c>
      <c r="X980">
        <v>20</v>
      </c>
      <c r="Y980">
        <v>671</v>
      </c>
      <c r="Z980">
        <v>591.49066685698506</v>
      </c>
      <c r="AA980">
        <v>198</v>
      </c>
      <c r="AB980">
        <v>332</v>
      </c>
      <c r="AC980">
        <v>536</v>
      </c>
      <c r="AD980">
        <v>30.48</v>
      </c>
      <c r="AE980">
        <v>542</v>
      </c>
      <c r="AF980">
        <v>30</v>
      </c>
      <c r="AG980">
        <v>176</v>
      </c>
      <c r="AH980">
        <v>129</v>
      </c>
      <c r="AI980">
        <v>5.54</v>
      </c>
      <c r="AJ980">
        <v>32.47</v>
      </c>
      <c r="AK980">
        <v>23.8</v>
      </c>
      <c r="AL980">
        <v>-20.16056479999995</v>
      </c>
      <c r="AM980">
        <v>-44.88424978393428</v>
      </c>
      <c r="AN980">
        <v>-20.160564799999939</v>
      </c>
      <c r="AO980">
        <v>-44.88424978393428</v>
      </c>
      <c r="AP980">
        <v>-20.160509999999999</v>
      </c>
      <c r="AQ980">
        <v>-44.884123000000002</v>
      </c>
      <c r="AR980">
        <v>14.585823463739541</v>
      </c>
      <c r="AS980" t="s">
        <v>65</v>
      </c>
      <c r="AT980">
        <v>1</v>
      </c>
      <c r="AU980" t="s">
        <v>1468</v>
      </c>
      <c r="AV980" t="s">
        <v>1469</v>
      </c>
      <c r="AW980" t="s">
        <v>60</v>
      </c>
      <c r="AX980" t="s">
        <v>68</v>
      </c>
      <c r="AY980" t="s">
        <v>69</v>
      </c>
      <c r="AZ980" t="b">
        <v>1</v>
      </c>
    </row>
    <row r="981" spans="1:52" x14ac:dyDescent="0.3">
      <c r="A981" t="s">
        <v>52</v>
      </c>
      <c r="B981" t="s">
        <v>53</v>
      </c>
      <c r="C981" t="s">
        <v>54</v>
      </c>
      <c r="D981" t="s">
        <v>55</v>
      </c>
      <c r="E981" t="s">
        <v>2099</v>
      </c>
      <c r="F981" t="s">
        <v>1247</v>
      </c>
      <c r="G981" t="s">
        <v>1490</v>
      </c>
      <c r="H981" t="s">
        <v>1491</v>
      </c>
      <c r="I981" t="s">
        <v>1491</v>
      </c>
      <c r="J981" t="s">
        <v>60</v>
      </c>
      <c r="K981" t="s">
        <v>336</v>
      </c>
      <c r="L981" t="s">
        <v>62</v>
      </c>
      <c r="M981" t="s">
        <v>336</v>
      </c>
      <c r="N981" t="s">
        <v>1492</v>
      </c>
      <c r="O981" t="s">
        <v>842</v>
      </c>
      <c r="P981">
        <v>-20.164228999999999</v>
      </c>
      <c r="Q981">
        <v>-44.876455999999997</v>
      </c>
      <c r="R981" s="2" t="str">
        <f>HYPERLINK("https://www.google.com/maps?q=-20.1642290,-44.8764560","Abrir no Google Maps")</f>
        <v>Abrir no Google Maps</v>
      </c>
      <c r="S981">
        <v>2</v>
      </c>
      <c r="T981">
        <v>420.00990411628987</v>
      </c>
      <c r="U981">
        <v>4</v>
      </c>
      <c r="V981">
        <v>27</v>
      </c>
      <c r="W981">
        <v>1</v>
      </c>
      <c r="X981">
        <v>27</v>
      </c>
      <c r="Y981">
        <v>671</v>
      </c>
      <c r="Z981">
        <v>375.90194920648611</v>
      </c>
      <c r="AA981">
        <v>198</v>
      </c>
      <c r="AB981">
        <v>332</v>
      </c>
      <c r="AC981">
        <v>536</v>
      </c>
      <c r="AD981">
        <v>30.48</v>
      </c>
      <c r="AE981">
        <v>542</v>
      </c>
      <c r="AF981">
        <v>30</v>
      </c>
      <c r="AG981">
        <v>176</v>
      </c>
      <c r="AH981">
        <v>129</v>
      </c>
      <c r="AI981">
        <v>5.54</v>
      </c>
      <c r="AJ981">
        <v>32.47</v>
      </c>
      <c r="AK981">
        <v>23.8</v>
      </c>
      <c r="AL981">
        <v>-20.164255749999938</v>
      </c>
      <c r="AM981">
        <v>-44.876471676086922</v>
      </c>
      <c r="AN981">
        <v>-20.164255749999938</v>
      </c>
      <c r="AO981">
        <v>-44.876471676086922</v>
      </c>
      <c r="AP981">
        <v>-20.164228999999999</v>
      </c>
      <c r="AQ981">
        <v>-44.876455999999997</v>
      </c>
      <c r="AR981">
        <v>3.3986375813953771</v>
      </c>
      <c r="AS981" t="s">
        <v>65</v>
      </c>
      <c r="AT981">
        <v>1</v>
      </c>
      <c r="AU981" t="s">
        <v>1493</v>
      </c>
      <c r="AV981" t="s">
        <v>1494</v>
      </c>
      <c r="AW981" t="s">
        <v>60</v>
      </c>
      <c r="AX981" t="s">
        <v>68</v>
      </c>
      <c r="AY981" t="s">
        <v>69</v>
      </c>
      <c r="AZ981" t="b">
        <v>1</v>
      </c>
    </row>
    <row r="982" spans="1:52" x14ac:dyDescent="0.3">
      <c r="A982" t="s">
        <v>52</v>
      </c>
      <c r="B982" t="s">
        <v>53</v>
      </c>
      <c r="C982" t="s">
        <v>54</v>
      </c>
      <c r="D982" t="s">
        <v>55</v>
      </c>
      <c r="E982" t="s">
        <v>2099</v>
      </c>
      <c r="F982" t="s">
        <v>1247</v>
      </c>
      <c r="G982" t="s">
        <v>1495</v>
      </c>
      <c r="H982" t="s">
        <v>1496</v>
      </c>
      <c r="I982" t="s">
        <v>1496</v>
      </c>
      <c r="J982" t="s">
        <v>60</v>
      </c>
      <c r="K982" t="s">
        <v>1466</v>
      </c>
      <c r="L982" t="s">
        <v>62</v>
      </c>
      <c r="M982" t="s">
        <v>1466</v>
      </c>
      <c r="N982" t="s">
        <v>1497</v>
      </c>
      <c r="O982" t="s">
        <v>1498</v>
      </c>
      <c r="P982">
        <v>-20.163160999999999</v>
      </c>
      <c r="Q982">
        <v>-44.880460999999997</v>
      </c>
      <c r="R982" s="2" t="str">
        <f>HYPERLINK("https://www.google.com/maps?q=-20.1631610,-44.8804610","Abrir no Google Maps")</f>
        <v>Abrir no Google Maps</v>
      </c>
      <c r="S982">
        <v>2</v>
      </c>
      <c r="T982">
        <v>372.63783804650222</v>
      </c>
      <c r="U982">
        <v>4</v>
      </c>
      <c r="V982">
        <v>19</v>
      </c>
      <c r="W982">
        <v>1</v>
      </c>
      <c r="X982">
        <v>19</v>
      </c>
      <c r="Y982">
        <v>671</v>
      </c>
      <c r="Z982">
        <v>250.43144487082299</v>
      </c>
      <c r="AA982">
        <v>198</v>
      </c>
      <c r="AB982">
        <v>332</v>
      </c>
      <c r="AC982">
        <v>536</v>
      </c>
      <c r="AD982">
        <v>30.48</v>
      </c>
      <c r="AE982">
        <v>542</v>
      </c>
      <c r="AF982">
        <v>30</v>
      </c>
      <c r="AG982">
        <v>176</v>
      </c>
      <c r="AH982">
        <v>129</v>
      </c>
      <c r="AI982">
        <v>5.54</v>
      </c>
      <c r="AJ982">
        <v>32.47</v>
      </c>
      <c r="AK982">
        <v>23.8</v>
      </c>
      <c r="AL982">
        <v>-20.163296749999969</v>
      </c>
      <c r="AM982">
        <v>-44.88037544059182</v>
      </c>
      <c r="AN982">
        <v>-20.163296749999969</v>
      </c>
      <c r="AO982">
        <v>-44.88037544059182</v>
      </c>
      <c r="AP982">
        <v>-20.163160999999999</v>
      </c>
      <c r="AQ982">
        <v>-44.880460999999997</v>
      </c>
      <c r="AR982">
        <v>17.558482416121191</v>
      </c>
      <c r="AS982" t="s">
        <v>65</v>
      </c>
      <c r="AT982">
        <v>1</v>
      </c>
      <c r="AU982" t="s">
        <v>1499</v>
      </c>
      <c r="AV982" t="s">
        <v>1500</v>
      </c>
      <c r="AW982" t="s">
        <v>60</v>
      </c>
      <c r="AX982" t="s">
        <v>68</v>
      </c>
      <c r="AY982" t="s">
        <v>69</v>
      </c>
      <c r="AZ982" t="b">
        <v>1</v>
      </c>
    </row>
    <row r="983" spans="1:52" x14ac:dyDescent="0.3">
      <c r="A983" t="s">
        <v>52</v>
      </c>
      <c r="B983" t="s">
        <v>53</v>
      </c>
      <c r="C983" t="s">
        <v>54</v>
      </c>
      <c r="D983" t="s">
        <v>55</v>
      </c>
      <c r="E983" t="s">
        <v>2099</v>
      </c>
      <c r="F983" t="s">
        <v>1247</v>
      </c>
      <c r="G983" t="s">
        <v>1479</v>
      </c>
      <c r="H983" t="s">
        <v>1480</v>
      </c>
      <c r="I983" t="s">
        <v>1480</v>
      </c>
      <c r="J983" t="s">
        <v>60</v>
      </c>
      <c r="K983" t="s">
        <v>1302</v>
      </c>
      <c r="L983" t="s">
        <v>62</v>
      </c>
      <c r="M983" t="s">
        <v>1302</v>
      </c>
      <c r="N983" t="s">
        <v>1481</v>
      </c>
      <c r="O983" t="s">
        <v>1482</v>
      </c>
      <c r="P983">
        <v>-20.164655</v>
      </c>
      <c r="Q983">
        <v>-44.912697000000001</v>
      </c>
      <c r="R983" s="2" t="str">
        <f>HYPERLINK("https://www.google.com/maps?q=-20.1646550,-44.9126970","Abrir no Google Maps")</f>
        <v>Abrir no Google Maps</v>
      </c>
      <c r="S983">
        <v>2</v>
      </c>
      <c r="T983">
        <v>441.50274004930441</v>
      </c>
      <c r="U983">
        <v>4</v>
      </c>
      <c r="V983">
        <v>30</v>
      </c>
      <c r="W983">
        <v>1</v>
      </c>
      <c r="X983">
        <v>30</v>
      </c>
      <c r="Y983">
        <v>639</v>
      </c>
      <c r="Z983">
        <v>311.03317029936522</v>
      </c>
      <c r="AA983">
        <v>198</v>
      </c>
      <c r="AB983">
        <v>332</v>
      </c>
      <c r="AC983">
        <v>536</v>
      </c>
      <c r="AD983">
        <v>30.48</v>
      </c>
      <c r="AE983">
        <v>542</v>
      </c>
      <c r="AF983">
        <v>30</v>
      </c>
      <c r="AG983">
        <v>176</v>
      </c>
      <c r="AH983">
        <v>129</v>
      </c>
      <c r="AI983">
        <v>5.54</v>
      </c>
      <c r="AJ983">
        <v>32.47</v>
      </c>
      <c r="AK983">
        <v>23.8</v>
      </c>
      <c r="AL983">
        <v>-20.164702999999971</v>
      </c>
      <c r="AM983">
        <v>-44.912418857911163</v>
      </c>
      <c r="AN983">
        <v>-20.164702999999971</v>
      </c>
      <c r="AO983">
        <v>-44.912418857911163</v>
      </c>
      <c r="AP983">
        <v>-20.164655</v>
      </c>
      <c r="AQ983">
        <v>-44.912697000000001</v>
      </c>
      <c r="AR983">
        <v>29.552017409892429</v>
      </c>
      <c r="AS983" t="s">
        <v>65</v>
      </c>
      <c r="AT983">
        <v>1</v>
      </c>
      <c r="AU983" t="s">
        <v>1483</v>
      </c>
      <c r="AV983" t="s">
        <v>1484</v>
      </c>
      <c r="AW983" t="s">
        <v>60</v>
      </c>
      <c r="AX983" t="s">
        <v>68</v>
      </c>
      <c r="AY983" t="s">
        <v>69</v>
      </c>
      <c r="AZ983" t="b">
        <v>1</v>
      </c>
    </row>
    <row r="984" spans="1:52" x14ac:dyDescent="0.3">
      <c r="A984" t="s">
        <v>52</v>
      </c>
      <c r="B984" t="s">
        <v>53</v>
      </c>
      <c r="C984" t="s">
        <v>54</v>
      </c>
      <c r="D984" t="s">
        <v>55</v>
      </c>
      <c r="E984" t="s">
        <v>2099</v>
      </c>
      <c r="F984" t="s">
        <v>1247</v>
      </c>
      <c r="G984" t="s">
        <v>1524</v>
      </c>
      <c r="H984" t="s">
        <v>1525</v>
      </c>
      <c r="I984" t="s">
        <v>1525</v>
      </c>
      <c r="J984" t="s">
        <v>60</v>
      </c>
      <c r="K984" t="s">
        <v>1302</v>
      </c>
      <c r="L984" t="s">
        <v>62</v>
      </c>
      <c r="M984" t="s">
        <v>1302</v>
      </c>
      <c r="N984" t="s">
        <v>1526</v>
      </c>
      <c r="O984" t="s">
        <v>303</v>
      </c>
      <c r="P984">
        <v>-20.159873000000001</v>
      </c>
      <c r="Q984">
        <v>-44.911431999999998</v>
      </c>
      <c r="R984" s="2" t="str">
        <f>HYPERLINK("https://www.google.com/maps?q=-20.1598730,-44.9114320","Abrir no Google Maps")</f>
        <v>Abrir no Google Maps</v>
      </c>
      <c r="S984">
        <v>2</v>
      </c>
      <c r="T984">
        <v>359.34785817593553</v>
      </c>
      <c r="U984">
        <v>4</v>
      </c>
      <c r="V984">
        <v>23</v>
      </c>
      <c r="W984">
        <v>1</v>
      </c>
      <c r="X984">
        <v>23</v>
      </c>
      <c r="Y984">
        <v>639</v>
      </c>
      <c r="Z984">
        <v>388.13505700247691</v>
      </c>
      <c r="AA984">
        <v>198</v>
      </c>
      <c r="AB984">
        <v>332</v>
      </c>
      <c r="AC984">
        <v>536</v>
      </c>
      <c r="AD984">
        <v>30.48</v>
      </c>
      <c r="AE984">
        <v>542</v>
      </c>
      <c r="AF984">
        <v>30</v>
      </c>
      <c r="AG984">
        <v>176</v>
      </c>
      <c r="AH984">
        <v>129</v>
      </c>
      <c r="AI984">
        <v>5.54</v>
      </c>
      <c r="AJ984">
        <v>32.47</v>
      </c>
      <c r="AK984">
        <v>23.8</v>
      </c>
      <c r="AL984">
        <v>-20.159583599999969</v>
      </c>
      <c r="AM984">
        <v>-44.911691929105316</v>
      </c>
      <c r="AN984">
        <v>-20.159583599999969</v>
      </c>
      <c r="AO984">
        <v>-44.911691929105316</v>
      </c>
      <c r="AP984">
        <v>-20.159873000000001</v>
      </c>
      <c r="AQ984">
        <v>-44.911431999999998</v>
      </c>
      <c r="AR984">
        <v>42.138811218570019</v>
      </c>
      <c r="AS984" t="s">
        <v>65</v>
      </c>
      <c r="AT984">
        <v>1</v>
      </c>
      <c r="AU984" t="s">
        <v>1527</v>
      </c>
      <c r="AV984" t="s">
        <v>1528</v>
      </c>
      <c r="AW984" t="s">
        <v>60</v>
      </c>
      <c r="AX984" t="s">
        <v>68</v>
      </c>
      <c r="AY984" t="s">
        <v>69</v>
      </c>
      <c r="AZ984" t="b">
        <v>1</v>
      </c>
    </row>
    <row r="985" spans="1:52" x14ac:dyDescent="0.3">
      <c r="A985" t="s">
        <v>52</v>
      </c>
      <c r="B985" t="s">
        <v>53</v>
      </c>
      <c r="C985" t="s">
        <v>54</v>
      </c>
      <c r="D985" t="s">
        <v>55</v>
      </c>
      <c r="E985" t="s">
        <v>2099</v>
      </c>
      <c r="F985" t="s">
        <v>1247</v>
      </c>
      <c r="G985" t="s">
        <v>1501</v>
      </c>
      <c r="H985" t="s">
        <v>1502</v>
      </c>
      <c r="I985" t="s">
        <v>1502</v>
      </c>
      <c r="J985" t="s">
        <v>60</v>
      </c>
      <c r="K985" t="s">
        <v>1466</v>
      </c>
      <c r="L985" t="s">
        <v>62</v>
      </c>
      <c r="M985" t="s">
        <v>1466</v>
      </c>
      <c r="N985" t="s">
        <v>1503</v>
      </c>
      <c r="O985" t="s">
        <v>1504</v>
      </c>
      <c r="P985">
        <v>-20.159618999999999</v>
      </c>
      <c r="Q985">
        <v>-44.880065000000002</v>
      </c>
      <c r="R985" s="2" t="str">
        <f>HYPERLINK("https://www.google.com/maps?q=-20.1596190,-44.8800650","Abrir no Google Maps")</f>
        <v>Abrir no Google Maps</v>
      </c>
      <c r="S985">
        <v>2</v>
      </c>
      <c r="T985">
        <v>243.9950282285559</v>
      </c>
      <c r="U985">
        <v>3</v>
      </c>
      <c r="V985">
        <v>18</v>
      </c>
      <c r="W985">
        <v>1</v>
      </c>
      <c r="X985">
        <v>18</v>
      </c>
      <c r="Y985">
        <v>671</v>
      </c>
      <c r="Z985">
        <v>265.31354384517681</v>
      </c>
      <c r="AA985">
        <v>198</v>
      </c>
      <c r="AB985">
        <v>332</v>
      </c>
      <c r="AC985">
        <v>536</v>
      </c>
      <c r="AD985">
        <v>30.48</v>
      </c>
      <c r="AE985">
        <v>542</v>
      </c>
      <c r="AF985">
        <v>30</v>
      </c>
      <c r="AG985">
        <v>176</v>
      </c>
      <c r="AH985">
        <v>129</v>
      </c>
      <c r="AI985">
        <v>5.54</v>
      </c>
      <c r="AJ985">
        <v>32.47</v>
      </c>
      <c r="AK985">
        <v>23.8</v>
      </c>
      <c r="AL985">
        <v>-20.159689949999969</v>
      </c>
      <c r="AM985">
        <v>-44.880075072344489</v>
      </c>
      <c r="AN985">
        <v>-20.159689949999969</v>
      </c>
      <c r="AO985">
        <v>-44.880075072344489</v>
      </c>
      <c r="AP985">
        <v>-20.159618999999999</v>
      </c>
      <c r="AQ985">
        <v>-44.880065000000002</v>
      </c>
      <c r="AR985">
        <v>7.9679809486040876</v>
      </c>
      <c r="AS985" t="s">
        <v>65</v>
      </c>
      <c r="AT985">
        <v>1</v>
      </c>
      <c r="AU985" t="s">
        <v>1505</v>
      </c>
      <c r="AV985" t="s">
        <v>1506</v>
      </c>
      <c r="AW985" t="s">
        <v>60</v>
      </c>
      <c r="AX985" t="s">
        <v>68</v>
      </c>
      <c r="AY985" t="s">
        <v>69</v>
      </c>
      <c r="AZ985" t="b">
        <v>1</v>
      </c>
    </row>
    <row r="986" spans="1:52" x14ac:dyDescent="0.3">
      <c r="A986" t="s">
        <v>52</v>
      </c>
      <c r="B986" t="s">
        <v>53</v>
      </c>
      <c r="C986" t="s">
        <v>54</v>
      </c>
      <c r="D986" t="s">
        <v>55</v>
      </c>
      <c r="E986" t="s">
        <v>2099</v>
      </c>
      <c r="F986" t="s">
        <v>1247</v>
      </c>
      <c r="G986" t="s">
        <v>1507</v>
      </c>
      <c r="H986" t="s">
        <v>1508</v>
      </c>
      <c r="I986" t="s">
        <v>1508</v>
      </c>
      <c r="J986" t="s">
        <v>60</v>
      </c>
      <c r="K986" t="s">
        <v>1466</v>
      </c>
      <c r="L986" t="s">
        <v>62</v>
      </c>
      <c r="M986" t="s">
        <v>1466</v>
      </c>
      <c r="N986" t="s">
        <v>1509</v>
      </c>
      <c r="O986" t="s">
        <v>270</v>
      </c>
      <c r="P986">
        <v>-20.164501999999999</v>
      </c>
      <c r="Q986">
        <v>-44.883226999999998</v>
      </c>
      <c r="R986" s="2" t="str">
        <f>HYPERLINK("https://www.google.com/maps?q=-20.1645020,-44.8832270","Abrir no Google Maps")</f>
        <v>Abrir no Google Maps</v>
      </c>
      <c r="S986">
        <v>2</v>
      </c>
      <c r="T986">
        <v>691.62667420887726</v>
      </c>
      <c r="U986">
        <v>3</v>
      </c>
      <c r="V986">
        <v>18</v>
      </c>
      <c r="W986">
        <v>1</v>
      </c>
      <c r="X986">
        <v>18</v>
      </c>
      <c r="Y986">
        <v>671</v>
      </c>
      <c r="Z986">
        <v>591.13935302436732</v>
      </c>
      <c r="AA986">
        <v>198</v>
      </c>
      <c r="AB986">
        <v>332</v>
      </c>
      <c r="AC986">
        <v>536</v>
      </c>
      <c r="AD986">
        <v>30.48</v>
      </c>
      <c r="AE986">
        <v>542</v>
      </c>
      <c r="AF986">
        <v>30</v>
      </c>
      <c r="AG986">
        <v>176</v>
      </c>
      <c r="AH986">
        <v>129</v>
      </c>
      <c r="AI986">
        <v>5.54</v>
      </c>
      <c r="AJ986">
        <v>32.47</v>
      </c>
      <c r="AK986">
        <v>23.8</v>
      </c>
      <c r="AL986">
        <v>-20.164470149999939</v>
      </c>
      <c r="AM986">
        <v>-44.883357321672527</v>
      </c>
      <c r="AN986">
        <v>-20.164470149999939</v>
      </c>
      <c r="AO986">
        <v>-44.883357321672527</v>
      </c>
      <c r="AP986">
        <v>-20.164501999999999</v>
      </c>
      <c r="AQ986">
        <v>-44.883226999999998</v>
      </c>
      <c r="AR986">
        <v>14.072184947340521</v>
      </c>
      <c r="AS986" t="s">
        <v>65</v>
      </c>
      <c r="AT986">
        <v>1</v>
      </c>
      <c r="AU986" t="s">
        <v>1510</v>
      </c>
      <c r="AV986" t="s">
        <v>1511</v>
      </c>
      <c r="AW986" t="s">
        <v>60</v>
      </c>
      <c r="AX986" t="s">
        <v>68</v>
      </c>
      <c r="AY986" t="s">
        <v>69</v>
      </c>
      <c r="AZ986" t="b">
        <v>1</v>
      </c>
    </row>
    <row r="987" spans="1:52" x14ac:dyDescent="0.3">
      <c r="A987" t="s">
        <v>52</v>
      </c>
      <c r="B987" t="s">
        <v>53</v>
      </c>
      <c r="C987" t="s">
        <v>54</v>
      </c>
      <c r="D987" t="s">
        <v>55</v>
      </c>
      <c r="E987" t="s">
        <v>2099</v>
      </c>
      <c r="F987" t="s">
        <v>1247</v>
      </c>
      <c r="G987" t="s">
        <v>1333</v>
      </c>
      <c r="H987" t="s">
        <v>1470</v>
      </c>
      <c r="I987" t="s">
        <v>1470</v>
      </c>
      <c r="J987" t="s">
        <v>60</v>
      </c>
      <c r="K987" t="s">
        <v>437</v>
      </c>
      <c r="L987" t="s">
        <v>62</v>
      </c>
      <c r="M987" t="s">
        <v>437</v>
      </c>
      <c r="N987" t="s">
        <v>1335</v>
      </c>
      <c r="O987" t="s">
        <v>900</v>
      </c>
      <c r="P987">
        <v>-20.147047000000001</v>
      </c>
      <c r="Q987">
        <v>-44.883921999999998</v>
      </c>
      <c r="R987" s="2" t="str">
        <f>HYPERLINK("https://www.google.com/maps?q=-20.1470470,-44.8839220","Abrir no Google Maps")</f>
        <v>Abrir no Google Maps</v>
      </c>
      <c r="S987">
        <v>2</v>
      </c>
      <c r="T987">
        <v>296.4098018832658</v>
      </c>
      <c r="U987">
        <v>3</v>
      </c>
      <c r="V987">
        <v>15</v>
      </c>
      <c r="W987">
        <v>1</v>
      </c>
      <c r="X987">
        <v>15</v>
      </c>
      <c r="Y987">
        <v>653</v>
      </c>
      <c r="Z987">
        <v>299.72271006042178</v>
      </c>
      <c r="AA987">
        <v>198</v>
      </c>
      <c r="AB987">
        <v>332</v>
      </c>
      <c r="AC987">
        <v>536</v>
      </c>
      <c r="AD987">
        <v>30.48</v>
      </c>
      <c r="AE987">
        <v>542</v>
      </c>
      <c r="AF987">
        <v>30</v>
      </c>
      <c r="AG987">
        <v>176</v>
      </c>
      <c r="AH987">
        <v>129</v>
      </c>
      <c r="AI987">
        <v>5.54</v>
      </c>
      <c r="AJ987">
        <v>32.47</v>
      </c>
      <c r="AK987">
        <v>23.8</v>
      </c>
      <c r="AL987">
        <v>-20.147074949999929</v>
      </c>
      <c r="AM987">
        <v>-44.883796511502347</v>
      </c>
      <c r="AN987">
        <v>-20.147074949999929</v>
      </c>
      <c r="AO987">
        <v>-44.883796511502347</v>
      </c>
      <c r="AP987">
        <v>-20.147047000000001</v>
      </c>
      <c r="AQ987">
        <v>-44.883921999999998</v>
      </c>
      <c r="AR987">
        <v>13.47864632994</v>
      </c>
      <c r="AS987" t="s">
        <v>65</v>
      </c>
      <c r="AT987">
        <v>1</v>
      </c>
      <c r="AU987" t="s">
        <v>1471</v>
      </c>
      <c r="AV987" t="s">
        <v>1472</v>
      </c>
      <c r="AW987" t="s">
        <v>60</v>
      </c>
      <c r="AX987" t="s">
        <v>68</v>
      </c>
      <c r="AY987" t="s">
        <v>69</v>
      </c>
      <c r="AZ987" t="b">
        <v>1</v>
      </c>
    </row>
    <row r="988" spans="1:52" x14ac:dyDescent="0.3">
      <c r="A988" t="s">
        <v>52</v>
      </c>
      <c r="B988" t="s">
        <v>53</v>
      </c>
      <c r="C988" t="s">
        <v>54</v>
      </c>
      <c r="D988" t="s">
        <v>55</v>
      </c>
      <c r="E988" t="s">
        <v>2099</v>
      </c>
      <c r="F988" t="s">
        <v>1247</v>
      </c>
      <c r="G988" t="s">
        <v>1518</v>
      </c>
      <c r="H988" t="s">
        <v>1519</v>
      </c>
      <c r="I988" t="s">
        <v>1519</v>
      </c>
      <c r="J988" t="s">
        <v>60</v>
      </c>
      <c r="K988" t="s">
        <v>1302</v>
      </c>
      <c r="L988" t="s">
        <v>62</v>
      </c>
      <c r="M988" t="s">
        <v>1302</v>
      </c>
      <c r="N988" t="s">
        <v>1520</v>
      </c>
      <c r="O988" t="s">
        <v>1521</v>
      </c>
      <c r="P988">
        <v>-20.16263</v>
      </c>
      <c r="Q988">
        <v>-44.910342999999997</v>
      </c>
      <c r="R988" s="2" t="str">
        <f>HYPERLINK("https://www.google.com/maps?q=-20.1626300,-44.9103430","Abrir no Google Maps")</f>
        <v>Abrir no Google Maps</v>
      </c>
      <c r="S988">
        <v>2</v>
      </c>
      <c r="T988">
        <v>492.63980270666781</v>
      </c>
      <c r="U988">
        <v>3</v>
      </c>
      <c r="V988">
        <v>17</v>
      </c>
      <c r="W988">
        <v>1</v>
      </c>
      <c r="X988">
        <v>17</v>
      </c>
      <c r="Y988">
        <v>639</v>
      </c>
      <c r="Z988">
        <v>412.49960371731271</v>
      </c>
      <c r="AA988">
        <v>198</v>
      </c>
      <c r="AB988">
        <v>332</v>
      </c>
      <c r="AC988">
        <v>536</v>
      </c>
      <c r="AD988">
        <v>30.48</v>
      </c>
      <c r="AE988">
        <v>542</v>
      </c>
      <c r="AF988">
        <v>30</v>
      </c>
      <c r="AG988">
        <v>176</v>
      </c>
      <c r="AH988">
        <v>129</v>
      </c>
      <c r="AI988">
        <v>5.54</v>
      </c>
      <c r="AJ988">
        <v>32.47</v>
      </c>
      <c r="AK988">
        <v>23.8</v>
      </c>
      <c r="AL988">
        <v>-20.162579949999952</v>
      </c>
      <c r="AM988">
        <v>-44.910101148008863</v>
      </c>
      <c r="AN988">
        <v>-20.162579949999952</v>
      </c>
      <c r="AO988">
        <v>-44.910101148008863</v>
      </c>
      <c r="AP988">
        <v>-20.16263</v>
      </c>
      <c r="AQ988">
        <v>-44.910342999999997</v>
      </c>
      <c r="AR988">
        <v>25.879932474893501</v>
      </c>
      <c r="AS988" t="s">
        <v>65</v>
      </c>
      <c r="AT988">
        <v>1</v>
      </c>
      <c r="AU988" t="s">
        <v>1522</v>
      </c>
      <c r="AV988" t="s">
        <v>1523</v>
      </c>
      <c r="AW988" t="s">
        <v>60</v>
      </c>
      <c r="AX988" t="s">
        <v>68</v>
      </c>
      <c r="AY988" t="s">
        <v>69</v>
      </c>
      <c r="AZ988" t="b">
        <v>1</v>
      </c>
    </row>
    <row r="989" spans="1:52" x14ac:dyDescent="0.3">
      <c r="A989" t="s">
        <v>52</v>
      </c>
      <c r="B989" t="s">
        <v>53</v>
      </c>
      <c r="C989" t="s">
        <v>54</v>
      </c>
      <c r="D989" t="s">
        <v>55</v>
      </c>
      <c r="E989" t="s">
        <v>2099</v>
      </c>
      <c r="F989" t="s">
        <v>1247</v>
      </c>
      <c r="G989" t="s">
        <v>1547</v>
      </c>
      <c r="H989" t="s">
        <v>1548</v>
      </c>
      <c r="I989" t="s">
        <v>1548</v>
      </c>
      <c r="J989" t="s">
        <v>60</v>
      </c>
      <c r="K989" t="s">
        <v>1549</v>
      </c>
      <c r="L989" t="s">
        <v>62</v>
      </c>
      <c r="M989" t="s">
        <v>1549</v>
      </c>
      <c r="N989" t="s">
        <v>1550</v>
      </c>
      <c r="O989" t="s">
        <v>1551</v>
      </c>
      <c r="P989">
        <v>-20.173258000000001</v>
      </c>
      <c r="Q989">
        <v>-44.930354000000001</v>
      </c>
      <c r="R989" s="2" t="str">
        <f>HYPERLINK("https://www.google.com/maps?q=-20.1732580,-44.9303540","Abrir no Google Maps")</f>
        <v>Abrir no Google Maps</v>
      </c>
      <c r="S989">
        <v>2</v>
      </c>
      <c r="T989">
        <v>2023.802197028052</v>
      </c>
      <c r="U989">
        <v>2</v>
      </c>
      <c r="V989">
        <v>10</v>
      </c>
      <c r="W989">
        <v>0.85</v>
      </c>
      <c r="X989">
        <v>8.5</v>
      </c>
      <c r="Y989">
        <v>723</v>
      </c>
      <c r="Z989">
        <v>1727.7445576555911</v>
      </c>
      <c r="AA989">
        <v>198</v>
      </c>
      <c r="AB989">
        <v>332</v>
      </c>
      <c r="AC989">
        <v>536</v>
      </c>
      <c r="AD989">
        <v>30.48</v>
      </c>
      <c r="AE989">
        <v>542</v>
      </c>
      <c r="AF989">
        <v>30</v>
      </c>
      <c r="AG989">
        <v>176</v>
      </c>
      <c r="AH989">
        <v>129</v>
      </c>
      <c r="AI989">
        <v>5.54</v>
      </c>
      <c r="AJ989">
        <v>32.47</v>
      </c>
      <c r="AK989">
        <v>23.8</v>
      </c>
      <c r="AL989">
        <v>-20.172996449999939</v>
      </c>
      <c r="AM989">
        <v>-44.930058436825973</v>
      </c>
      <c r="AN989">
        <v>-20.172996449999939</v>
      </c>
      <c r="AO989">
        <v>-44.930058436825973</v>
      </c>
      <c r="AP989">
        <v>-20.173258000000001</v>
      </c>
      <c r="AQ989">
        <v>-44.930354000000001</v>
      </c>
      <c r="AR989">
        <v>42.444455141884362</v>
      </c>
      <c r="AS989" t="s">
        <v>65</v>
      </c>
      <c r="AT989">
        <v>1</v>
      </c>
      <c r="AU989" t="s">
        <v>1552</v>
      </c>
      <c r="AV989" t="s">
        <v>1553</v>
      </c>
      <c r="AW989" t="s">
        <v>60</v>
      </c>
      <c r="AX989" t="s">
        <v>68</v>
      </c>
      <c r="AY989" t="s">
        <v>69</v>
      </c>
      <c r="AZ989" t="b">
        <v>1</v>
      </c>
    </row>
    <row r="990" spans="1:52" x14ac:dyDescent="0.3">
      <c r="A990" t="s">
        <v>52</v>
      </c>
      <c r="B990" t="s">
        <v>53</v>
      </c>
      <c r="C990" t="s">
        <v>54</v>
      </c>
      <c r="D990" t="s">
        <v>55</v>
      </c>
      <c r="E990" t="s">
        <v>2099</v>
      </c>
      <c r="F990" t="s">
        <v>1247</v>
      </c>
      <c r="G990" t="s">
        <v>1554</v>
      </c>
      <c r="H990" t="s">
        <v>1555</v>
      </c>
      <c r="I990" t="s">
        <v>1555</v>
      </c>
      <c r="J990" t="s">
        <v>60</v>
      </c>
      <c r="K990" t="s">
        <v>1466</v>
      </c>
      <c r="L990" t="s">
        <v>62</v>
      </c>
      <c r="M990" t="s">
        <v>1466</v>
      </c>
      <c r="N990" t="s">
        <v>1556</v>
      </c>
      <c r="O990" t="s">
        <v>989</v>
      </c>
      <c r="P990">
        <v>-20.160997999999999</v>
      </c>
      <c r="Q990">
        <v>-44.878385999999999</v>
      </c>
      <c r="R990" s="2" t="str">
        <f>HYPERLINK("https://www.google.com/maps?q=-20.1609980,-44.8783860","Abrir no Google Maps")</f>
        <v>Abrir no Google Maps</v>
      </c>
      <c r="S990">
        <v>2</v>
      </c>
      <c r="T990">
        <v>0</v>
      </c>
      <c r="U990">
        <v>2</v>
      </c>
      <c r="V990">
        <v>11</v>
      </c>
      <c r="W990">
        <v>0.85</v>
      </c>
      <c r="X990">
        <v>9.35</v>
      </c>
      <c r="Y990">
        <v>671</v>
      </c>
      <c r="Z990">
        <v>74.014802531188664</v>
      </c>
      <c r="AA990">
        <v>198</v>
      </c>
      <c r="AB990">
        <v>332</v>
      </c>
      <c r="AC990">
        <v>536</v>
      </c>
      <c r="AD990">
        <v>30.48</v>
      </c>
      <c r="AE990">
        <v>542</v>
      </c>
      <c r="AF990">
        <v>30</v>
      </c>
      <c r="AG990">
        <v>176</v>
      </c>
      <c r="AH990">
        <v>129</v>
      </c>
      <c r="AI990">
        <v>5.54</v>
      </c>
      <c r="AJ990">
        <v>32.47</v>
      </c>
      <c r="AK990">
        <v>23.8</v>
      </c>
      <c r="AL990">
        <v>-20.160758199999979</v>
      </c>
      <c r="AM990">
        <v>-44.878032519747983</v>
      </c>
      <c r="AN990">
        <v>-20.160758199999979</v>
      </c>
      <c r="AO990">
        <v>-44.878032519747983</v>
      </c>
      <c r="AP990">
        <v>-20.160997999999999</v>
      </c>
      <c r="AQ990">
        <v>-44.878385999999999</v>
      </c>
      <c r="AR990">
        <v>45.574638830261883</v>
      </c>
      <c r="AS990" t="s">
        <v>65</v>
      </c>
      <c r="AT990">
        <v>1</v>
      </c>
      <c r="AU990" t="s">
        <v>1557</v>
      </c>
      <c r="AV990" t="s">
        <v>1558</v>
      </c>
      <c r="AW990" t="s">
        <v>60</v>
      </c>
      <c r="AX990" t="s">
        <v>68</v>
      </c>
      <c r="AY990" t="s">
        <v>69</v>
      </c>
      <c r="AZ990" t="b">
        <v>1</v>
      </c>
    </row>
    <row r="991" spans="1:52" x14ac:dyDescent="0.3">
      <c r="A991" t="s">
        <v>52</v>
      </c>
      <c r="B991" t="s">
        <v>53</v>
      </c>
      <c r="C991" t="s">
        <v>54</v>
      </c>
      <c r="D991" t="s">
        <v>55</v>
      </c>
      <c r="E991" t="s">
        <v>2099</v>
      </c>
      <c r="F991" t="s">
        <v>1247</v>
      </c>
      <c r="G991" t="s">
        <v>1529</v>
      </c>
      <c r="H991" t="s">
        <v>1530</v>
      </c>
      <c r="I991" t="s">
        <v>1530</v>
      </c>
      <c r="J991" t="s">
        <v>60</v>
      </c>
      <c r="K991" t="s">
        <v>1466</v>
      </c>
      <c r="L991" t="s">
        <v>62</v>
      </c>
      <c r="M991" t="s">
        <v>1466</v>
      </c>
      <c r="N991" t="s">
        <v>1531</v>
      </c>
      <c r="O991" t="s">
        <v>145</v>
      </c>
      <c r="P991">
        <v>-20.162952000000001</v>
      </c>
      <c r="Q991">
        <v>-44.877612999999997</v>
      </c>
      <c r="R991" s="2" t="str">
        <f>HYPERLINK("https://www.google.com/maps?q=-20.1629520,-44.8776130","Abrir no Google Maps")</f>
        <v>Abrir no Google Maps</v>
      </c>
      <c r="S991">
        <v>2</v>
      </c>
      <c r="T991">
        <v>229.91388913695721</v>
      </c>
      <c r="U991">
        <v>2</v>
      </c>
      <c r="V991">
        <v>12</v>
      </c>
      <c r="W991">
        <v>0.85</v>
      </c>
      <c r="X991">
        <v>10.199999999999999</v>
      </c>
      <c r="Y991">
        <v>671</v>
      </c>
      <c r="Z991">
        <v>157.6775523644973</v>
      </c>
      <c r="AA991">
        <v>198</v>
      </c>
      <c r="AB991">
        <v>332</v>
      </c>
      <c r="AC991">
        <v>536</v>
      </c>
      <c r="AD991">
        <v>30.48</v>
      </c>
      <c r="AE991">
        <v>542</v>
      </c>
      <c r="AF991">
        <v>30</v>
      </c>
      <c r="AG991">
        <v>176</v>
      </c>
      <c r="AH991">
        <v>129</v>
      </c>
      <c r="AI991">
        <v>5.54</v>
      </c>
      <c r="AJ991">
        <v>32.47</v>
      </c>
      <c r="AK991">
        <v>23.8</v>
      </c>
      <c r="AL991">
        <v>-20.16278829999996</v>
      </c>
      <c r="AM991">
        <v>-44.877564655204168</v>
      </c>
      <c r="AN991">
        <v>-20.16278829999996</v>
      </c>
      <c r="AO991">
        <v>-44.877564655204168</v>
      </c>
      <c r="AP991">
        <v>-20.162952000000001</v>
      </c>
      <c r="AQ991">
        <v>-44.877612999999997</v>
      </c>
      <c r="AR991">
        <v>18.91038935762678</v>
      </c>
      <c r="AS991" t="s">
        <v>65</v>
      </c>
      <c r="AT991">
        <v>1</v>
      </c>
      <c r="AU991" t="s">
        <v>1532</v>
      </c>
      <c r="AV991" t="s">
        <v>1533</v>
      </c>
      <c r="AW991" t="s">
        <v>60</v>
      </c>
      <c r="AX991" t="s">
        <v>68</v>
      </c>
      <c r="AY991" t="s">
        <v>69</v>
      </c>
      <c r="AZ991" t="b">
        <v>1</v>
      </c>
    </row>
    <row r="992" spans="1:52" x14ac:dyDescent="0.3">
      <c r="A992" t="s">
        <v>52</v>
      </c>
      <c r="B992" t="s">
        <v>53</v>
      </c>
      <c r="C992" t="s">
        <v>54</v>
      </c>
      <c r="D992" t="s">
        <v>55</v>
      </c>
      <c r="E992" t="s">
        <v>2099</v>
      </c>
      <c r="F992" t="s">
        <v>1247</v>
      </c>
      <c r="G992" t="s">
        <v>1512</v>
      </c>
      <c r="H992" t="s">
        <v>1513</v>
      </c>
      <c r="I992" t="s">
        <v>1513</v>
      </c>
      <c r="J992" t="s">
        <v>60</v>
      </c>
      <c r="K992" t="s">
        <v>1302</v>
      </c>
      <c r="L992" t="s">
        <v>62</v>
      </c>
      <c r="M992" t="s">
        <v>1302</v>
      </c>
      <c r="N992" t="s">
        <v>1514</v>
      </c>
      <c r="O992" t="s">
        <v>1515</v>
      </c>
      <c r="P992">
        <v>-20.163709000000001</v>
      </c>
      <c r="Q992">
        <v>-44.916074999999999</v>
      </c>
      <c r="R992" s="2" t="str">
        <f>HYPERLINK("https://www.google.com/maps?q=-20.1637090,-44.9160750","Abrir no Google Maps")</f>
        <v>Abrir no Google Maps</v>
      </c>
      <c r="S992">
        <v>2</v>
      </c>
      <c r="T992">
        <v>305.09593452131332</v>
      </c>
      <c r="U992">
        <v>2</v>
      </c>
      <c r="V992">
        <v>11</v>
      </c>
      <c r="W992">
        <v>1</v>
      </c>
      <c r="X992">
        <v>11</v>
      </c>
      <c r="Y992">
        <v>639</v>
      </c>
      <c r="Z992">
        <v>289.37841230131949</v>
      </c>
      <c r="AA992">
        <v>198</v>
      </c>
      <c r="AB992">
        <v>332</v>
      </c>
      <c r="AC992">
        <v>536</v>
      </c>
      <c r="AD992">
        <v>30.48</v>
      </c>
      <c r="AE992">
        <v>542</v>
      </c>
      <c r="AF992">
        <v>30</v>
      </c>
      <c r="AG992">
        <v>176</v>
      </c>
      <c r="AH992">
        <v>129</v>
      </c>
      <c r="AI992">
        <v>5.54</v>
      </c>
      <c r="AJ992">
        <v>32.47</v>
      </c>
      <c r="AK992">
        <v>23.8</v>
      </c>
      <c r="AL992">
        <v>-20.163666449999969</v>
      </c>
      <c r="AM992">
        <v>-44.916102906827042</v>
      </c>
      <c r="AN992">
        <v>-20.163666449999969</v>
      </c>
      <c r="AO992">
        <v>-44.916102906827042</v>
      </c>
      <c r="AP992">
        <v>-20.163709000000001</v>
      </c>
      <c r="AQ992">
        <v>-44.916074999999999</v>
      </c>
      <c r="AR992">
        <v>5.5623892025550603</v>
      </c>
      <c r="AS992" t="s">
        <v>65</v>
      </c>
      <c r="AT992">
        <v>1</v>
      </c>
      <c r="AU992" t="s">
        <v>1516</v>
      </c>
      <c r="AV992" t="s">
        <v>1517</v>
      </c>
      <c r="AW992" t="s">
        <v>60</v>
      </c>
      <c r="AX992" t="s">
        <v>68</v>
      </c>
      <c r="AY992" t="s">
        <v>69</v>
      </c>
      <c r="AZ992" t="b">
        <v>1</v>
      </c>
    </row>
    <row r="993" spans="1:52" x14ac:dyDescent="0.3">
      <c r="A993" t="s">
        <v>52</v>
      </c>
      <c r="B993" t="s">
        <v>53</v>
      </c>
      <c r="C993" t="s">
        <v>54</v>
      </c>
      <c r="D993" t="s">
        <v>55</v>
      </c>
      <c r="E993" t="s">
        <v>2099</v>
      </c>
      <c r="F993" t="s">
        <v>1247</v>
      </c>
      <c r="G993" t="s">
        <v>1473</v>
      </c>
      <c r="H993" t="s">
        <v>1474</v>
      </c>
      <c r="I993" t="s">
        <v>1474</v>
      </c>
      <c r="J993" t="s">
        <v>60</v>
      </c>
      <c r="K993" t="s">
        <v>1302</v>
      </c>
      <c r="L993" t="s">
        <v>62</v>
      </c>
      <c r="M993" t="s">
        <v>1302</v>
      </c>
      <c r="N993" t="s">
        <v>1475</v>
      </c>
      <c r="O993" t="s">
        <v>1476</v>
      </c>
      <c r="P993">
        <v>-20.161372</v>
      </c>
      <c r="Q993">
        <v>-44.914636999999999</v>
      </c>
      <c r="R993" s="2" t="str">
        <f>HYPERLINK("https://www.google.com/maps?q=-20.1613720,-44.9146370","Abrir no Google Maps")</f>
        <v>Abrir no Google Maps</v>
      </c>
      <c r="S993">
        <v>2</v>
      </c>
      <c r="T993">
        <v>0</v>
      </c>
      <c r="U993">
        <v>2</v>
      </c>
      <c r="V993">
        <v>11</v>
      </c>
      <c r="W993">
        <v>1</v>
      </c>
      <c r="X993">
        <v>11</v>
      </c>
      <c r="Y993">
        <v>639</v>
      </c>
      <c r="Z993">
        <v>81.742669907651447</v>
      </c>
      <c r="AA993">
        <v>198</v>
      </c>
      <c r="AB993">
        <v>332</v>
      </c>
      <c r="AC993">
        <v>536</v>
      </c>
      <c r="AD993">
        <v>30.48</v>
      </c>
      <c r="AE993">
        <v>542</v>
      </c>
      <c r="AF993">
        <v>30</v>
      </c>
      <c r="AG993">
        <v>176</v>
      </c>
      <c r="AH993">
        <v>129</v>
      </c>
      <c r="AI993">
        <v>5.54</v>
      </c>
      <c r="AJ993">
        <v>32.47</v>
      </c>
      <c r="AK993">
        <v>23.8</v>
      </c>
      <c r="AL993">
        <v>-20.161294499999961</v>
      </c>
      <c r="AM993">
        <v>-44.914614684493202</v>
      </c>
      <c r="AN993">
        <v>-20.161294499999961</v>
      </c>
      <c r="AO993">
        <v>-44.914614684493202</v>
      </c>
      <c r="AP993">
        <v>-20.161372</v>
      </c>
      <c r="AQ993">
        <v>-44.914636999999999</v>
      </c>
      <c r="AR993">
        <v>8.9369058443944862</v>
      </c>
      <c r="AS993" t="s">
        <v>65</v>
      </c>
      <c r="AT993">
        <v>1</v>
      </c>
      <c r="AU993" t="s">
        <v>1477</v>
      </c>
      <c r="AV993" t="s">
        <v>1478</v>
      </c>
      <c r="AW993" t="s">
        <v>60</v>
      </c>
      <c r="AX993" t="s">
        <v>68</v>
      </c>
      <c r="AY993" t="s">
        <v>69</v>
      </c>
      <c r="AZ993" t="b">
        <v>1</v>
      </c>
    </row>
    <row r="994" spans="1:52" x14ac:dyDescent="0.3">
      <c r="A994" t="s">
        <v>52</v>
      </c>
      <c r="B994" t="s">
        <v>53</v>
      </c>
      <c r="C994" t="s">
        <v>54</v>
      </c>
      <c r="D994" t="s">
        <v>55</v>
      </c>
      <c r="E994" t="s">
        <v>2099</v>
      </c>
      <c r="F994" t="s">
        <v>1247</v>
      </c>
      <c r="G994" t="s">
        <v>1541</v>
      </c>
      <c r="H994" t="s">
        <v>1542</v>
      </c>
      <c r="I994" t="s">
        <v>1542</v>
      </c>
      <c r="J994" t="s">
        <v>60</v>
      </c>
      <c r="K994" t="s">
        <v>1302</v>
      </c>
      <c r="L994" t="s">
        <v>62</v>
      </c>
      <c r="M994" t="s">
        <v>1302</v>
      </c>
      <c r="N994" t="s">
        <v>1543</v>
      </c>
      <c r="O994" t="s">
        <v>1544</v>
      </c>
      <c r="P994">
        <v>-20.166267999999999</v>
      </c>
      <c r="Q994">
        <v>-44.916902</v>
      </c>
      <c r="R994" s="2" t="str">
        <f>HYPERLINK("https://www.google.com/maps?q=-20.1662680,-44.9169020","Abrir no Google Maps")</f>
        <v>Abrir no Google Maps</v>
      </c>
      <c r="S994">
        <v>2</v>
      </c>
      <c r="T994">
        <v>580.14556008922216</v>
      </c>
      <c r="U994">
        <v>2</v>
      </c>
      <c r="V994">
        <v>11</v>
      </c>
      <c r="W994">
        <v>0.85</v>
      </c>
      <c r="X994">
        <v>9.35</v>
      </c>
      <c r="Y994">
        <v>639</v>
      </c>
      <c r="Z994">
        <v>590.87477783185614</v>
      </c>
      <c r="AA994">
        <v>198</v>
      </c>
      <c r="AB994">
        <v>332</v>
      </c>
      <c r="AC994">
        <v>536</v>
      </c>
      <c r="AD994">
        <v>30.48</v>
      </c>
      <c r="AE994">
        <v>542</v>
      </c>
      <c r="AF994">
        <v>30</v>
      </c>
      <c r="AG994">
        <v>176</v>
      </c>
      <c r="AH994">
        <v>129</v>
      </c>
      <c r="AI994">
        <v>5.54</v>
      </c>
      <c r="AJ994">
        <v>32.47</v>
      </c>
      <c r="AK994">
        <v>23.8</v>
      </c>
      <c r="AL994">
        <v>-20.165891749999961</v>
      </c>
      <c r="AM994">
        <v>-44.917283075074913</v>
      </c>
      <c r="AN994">
        <v>-20.165891749999961</v>
      </c>
      <c r="AO994">
        <v>-44.917283075074913</v>
      </c>
      <c r="AP994">
        <v>-20.166267999999999</v>
      </c>
      <c r="AQ994">
        <v>-44.916902</v>
      </c>
      <c r="AR994">
        <v>57.792534087281872</v>
      </c>
      <c r="AS994" t="s">
        <v>65</v>
      </c>
      <c r="AT994">
        <v>1</v>
      </c>
      <c r="AU994" t="s">
        <v>1545</v>
      </c>
      <c r="AV994" t="s">
        <v>1546</v>
      </c>
      <c r="AW994" t="s">
        <v>60</v>
      </c>
      <c r="AX994" t="s">
        <v>68</v>
      </c>
      <c r="AY994" t="s">
        <v>69</v>
      </c>
      <c r="AZ994" t="b">
        <v>1</v>
      </c>
    </row>
    <row r="995" spans="1:52" x14ac:dyDescent="0.3">
      <c r="A995" t="s">
        <v>52</v>
      </c>
      <c r="B995" t="s">
        <v>53</v>
      </c>
      <c r="C995" t="s">
        <v>54</v>
      </c>
      <c r="D995" t="s">
        <v>55</v>
      </c>
      <c r="E995" t="s">
        <v>2099</v>
      </c>
      <c r="F995" t="s">
        <v>1247</v>
      </c>
      <c r="G995" t="s">
        <v>1127</v>
      </c>
      <c r="H995" t="s">
        <v>1455</v>
      </c>
      <c r="I995" t="s">
        <v>1455</v>
      </c>
      <c r="J995" t="s">
        <v>60</v>
      </c>
      <c r="K995" t="s">
        <v>431</v>
      </c>
      <c r="L995" t="s">
        <v>62</v>
      </c>
      <c r="M995" t="s">
        <v>431</v>
      </c>
      <c r="N995" t="s">
        <v>1456</v>
      </c>
      <c r="O995" t="s">
        <v>1001</v>
      </c>
      <c r="P995">
        <v>-20.168237999999999</v>
      </c>
      <c r="Q995">
        <v>-44.924250999999998</v>
      </c>
      <c r="R995" s="2" t="str">
        <f>HYPERLINK("https://www.google.com/maps?q=-20.1682380,-44.9242510","Abrir no Google Maps")</f>
        <v>Abrir no Google Maps</v>
      </c>
      <c r="S995">
        <v>2</v>
      </c>
      <c r="T995">
        <v>1220.188820430971</v>
      </c>
      <c r="U995">
        <v>1</v>
      </c>
      <c r="V995">
        <v>0</v>
      </c>
      <c r="W995">
        <v>0.85</v>
      </c>
      <c r="X995">
        <v>0</v>
      </c>
      <c r="Y995">
        <v>723</v>
      </c>
      <c r="Z995">
        <v>1092.4377883150901</v>
      </c>
      <c r="AA995">
        <v>198</v>
      </c>
      <c r="AB995">
        <v>332</v>
      </c>
      <c r="AC995">
        <v>536</v>
      </c>
      <c r="AD995">
        <v>30.48</v>
      </c>
      <c r="AE995">
        <v>542</v>
      </c>
      <c r="AF995">
        <v>30</v>
      </c>
      <c r="AG995">
        <v>176</v>
      </c>
      <c r="AH995">
        <v>129</v>
      </c>
      <c r="AI995">
        <v>5.54</v>
      </c>
      <c r="AJ995">
        <v>32.47</v>
      </c>
      <c r="AK995">
        <v>23.8</v>
      </c>
      <c r="AL995">
        <v>-20.168394999999951</v>
      </c>
      <c r="AM995">
        <v>-44.923548168580673</v>
      </c>
      <c r="AN995">
        <v>-20.168394999999951</v>
      </c>
      <c r="AO995">
        <v>-44.923548168580673</v>
      </c>
      <c r="AP995">
        <v>-20.168237999999999</v>
      </c>
      <c r="AQ995">
        <v>-44.924250999999998</v>
      </c>
      <c r="AR995">
        <v>75.492755104934275</v>
      </c>
      <c r="AS995" t="s">
        <v>65</v>
      </c>
      <c r="AT995">
        <v>1</v>
      </c>
      <c r="AU995" t="s">
        <v>1457</v>
      </c>
      <c r="AV995" t="s">
        <v>1458</v>
      </c>
      <c r="AW995" t="s">
        <v>60</v>
      </c>
      <c r="AX995" t="s">
        <v>68</v>
      </c>
      <c r="AY995" t="s">
        <v>69</v>
      </c>
      <c r="AZ995" t="b">
        <v>1</v>
      </c>
    </row>
    <row r="996" spans="1:52" x14ac:dyDescent="0.3">
      <c r="A996" t="s">
        <v>52</v>
      </c>
      <c r="B996" t="s">
        <v>53</v>
      </c>
      <c r="C996" t="s">
        <v>54</v>
      </c>
      <c r="D996" t="s">
        <v>55</v>
      </c>
      <c r="E996" t="s">
        <v>2099</v>
      </c>
      <c r="F996" t="s">
        <v>1247</v>
      </c>
      <c r="G996" t="s">
        <v>1459</v>
      </c>
      <c r="H996" t="s">
        <v>1460</v>
      </c>
      <c r="I996" t="s">
        <v>1460</v>
      </c>
      <c r="J996" t="s">
        <v>60</v>
      </c>
      <c r="K996" t="s">
        <v>431</v>
      </c>
      <c r="L996" t="s">
        <v>62</v>
      </c>
      <c r="M996" t="s">
        <v>431</v>
      </c>
      <c r="N996" t="s">
        <v>1461</v>
      </c>
      <c r="O996" t="s">
        <v>1462</v>
      </c>
      <c r="P996">
        <v>-20.170182</v>
      </c>
      <c r="Q996">
        <v>-44.922556999999998</v>
      </c>
      <c r="R996" s="2" t="str">
        <f>HYPERLINK("https://www.google.com/maps?q=-20.1701820,-44.9225570","Abrir no Google Maps")</f>
        <v>Abrir no Google Maps</v>
      </c>
      <c r="S996">
        <v>2</v>
      </c>
      <c r="T996">
        <v>1189.3885679843149</v>
      </c>
      <c r="U996">
        <v>1</v>
      </c>
      <c r="V996">
        <v>5</v>
      </c>
      <c r="W996">
        <v>0.85</v>
      </c>
      <c r="X996">
        <v>4.25</v>
      </c>
      <c r="Y996">
        <v>723</v>
      </c>
      <c r="Z996">
        <v>961.89164604479117</v>
      </c>
      <c r="AA996">
        <v>198</v>
      </c>
      <c r="AB996">
        <v>332</v>
      </c>
      <c r="AC996">
        <v>536</v>
      </c>
      <c r="AD996">
        <v>30.48</v>
      </c>
      <c r="AE996">
        <v>542</v>
      </c>
      <c r="AF996">
        <v>30</v>
      </c>
      <c r="AG996">
        <v>176</v>
      </c>
      <c r="AH996">
        <v>129</v>
      </c>
      <c r="AI996">
        <v>5.54</v>
      </c>
      <c r="AJ996">
        <v>32.47</v>
      </c>
      <c r="AK996">
        <v>23.8</v>
      </c>
      <c r="AL996">
        <v>-20.169385449999961</v>
      </c>
      <c r="AM996">
        <v>-44.922107101898007</v>
      </c>
      <c r="AN996">
        <v>-20.169385449999961</v>
      </c>
      <c r="AO996">
        <v>-44.922107101898007</v>
      </c>
      <c r="AP996">
        <v>-20.170182</v>
      </c>
      <c r="AQ996">
        <v>-44.922556999999998</v>
      </c>
      <c r="AR996">
        <v>100.36329580049031</v>
      </c>
      <c r="AS996" t="s">
        <v>65</v>
      </c>
      <c r="AT996">
        <v>1</v>
      </c>
      <c r="AU996" t="s">
        <v>1463</v>
      </c>
      <c r="AV996" t="s">
        <v>1458</v>
      </c>
      <c r="AW996" t="s">
        <v>60</v>
      </c>
      <c r="AX996" t="s">
        <v>68</v>
      </c>
      <c r="AY996" t="s">
        <v>69</v>
      </c>
      <c r="AZ996" t="b">
        <v>1</v>
      </c>
    </row>
    <row r="997" spans="1:52" x14ac:dyDescent="0.3">
      <c r="A997" t="s">
        <v>52</v>
      </c>
      <c r="B997" t="s">
        <v>53</v>
      </c>
      <c r="C997" t="s">
        <v>54</v>
      </c>
      <c r="D997" t="s">
        <v>55</v>
      </c>
      <c r="E997" t="s">
        <v>2099</v>
      </c>
      <c r="F997" t="s">
        <v>1247</v>
      </c>
      <c r="G997" t="s">
        <v>1534</v>
      </c>
      <c r="H997" t="s">
        <v>1535</v>
      </c>
      <c r="I997" t="s">
        <v>1535</v>
      </c>
      <c r="J997" t="s">
        <v>60</v>
      </c>
      <c r="K997" t="s">
        <v>1536</v>
      </c>
      <c r="L997" t="s">
        <v>62</v>
      </c>
      <c r="M997" t="s">
        <v>1536</v>
      </c>
      <c r="N997" t="s">
        <v>1537</v>
      </c>
      <c r="O997" t="s">
        <v>1538</v>
      </c>
      <c r="P997">
        <v>-20.164618999999998</v>
      </c>
      <c r="Q997">
        <v>-44.921776999999999</v>
      </c>
      <c r="R997" s="2" t="str">
        <f>HYPERLINK("https://www.google.com/maps?q=-20.1646190,-44.9217770","Abrir no Google Maps")</f>
        <v>Abrir no Google Maps</v>
      </c>
      <c r="S997">
        <v>2</v>
      </c>
      <c r="T997">
        <v>835.70698013544222</v>
      </c>
      <c r="U997">
        <v>1</v>
      </c>
      <c r="V997">
        <v>6</v>
      </c>
      <c r="W997">
        <v>0.85</v>
      </c>
      <c r="X997">
        <v>5.0999999999999996</v>
      </c>
      <c r="Y997">
        <v>639</v>
      </c>
      <c r="Z997">
        <v>821.59880323911125</v>
      </c>
      <c r="AA997">
        <v>198</v>
      </c>
      <c r="AB997">
        <v>332</v>
      </c>
      <c r="AC997">
        <v>536</v>
      </c>
      <c r="AD997">
        <v>30.48</v>
      </c>
      <c r="AE997">
        <v>542</v>
      </c>
      <c r="AF997">
        <v>30</v>
      </c>
      <c r="AG997">
        <v>176</v>
      </c>
      <c r="AH997">
        <v>129</v>
      </c>
      <c r="AI997">
        <v>5.54</v>
      </c>
      <c r="AJ997">
        <v>32.47</v>
      </c>
      <c r="AK997">
        <v>23.8</v>
      </c>
      <c r="AL997">
        <v>-20.164312499999969</v>
      </c>
      <c r="AM997">
        <v>-44.921945691824099</v>
      </c>
      <c r="AN997">
        <v>-20.164312499999969</v>
      </c>
      <c r="AO997">
        <v>-44.921945691824099</v>
      </c>
      <c r="AP997">
        <v>-20.164618999999998</v>
      </c>
      <c r="AQ997">
        <v>-44.921776999999999</v>
      </c>
      <c r="AR997">
        <v>38.404224975746608</v>
      </c>
      <c r="AS997" t="s">
        <v>65</v>
      </c>
      <c r="AT997">
        <v>1</v>
      </c>
      <c r="AU997" t="s">
        <v>1539</v>
      </c>
      <c r="AV997" t="s">
        <v>1540</v>
      </c>
      <c r="AW997" t="s">
        <v>60</v>
      </c>
      <c r="AX997" t="s">
        <v>68</v>
      </c>
      <c r="AY997" t="s">
        <v>69</v>
      </c>
      <c r="AZ997" t="b">
        <v>1</v>
      </c>
    </row>
    <row r="998" spans="1:52" x14ac:dyDescent="0.3">
      <c r="A998" t="s">
        <v>52</v>
      </c>
      <c r="B998" t="s">
        <v>53</v>
      </c>
      <c r="C998" t="s">
        <v>54</v>
      </c>
      <c r="D998" t="s">
        <v>55</v>
      </c>
      <c r="E998" t="s">
        <v>2099</v>
      </c>
      <c r="F998" t="s">
        <v>1247</v>
      </c>
      <c r="G998" t="s">
        <v>1559</v>
      </c>
      <c r="H998" t="s">
        <v>1560</v>
      </c>
      <c r="I998" t="s">
        <v>1560</v>
      </c>
      <c r="J998" t="s">
        <v>60</v>
      </c>
      <c r="K998" t="s">
        <v>61</v>
      </c>
      <c r="L998" t="s">
        <v>62</v>
      </c>
      <c r="M998" t="s">
        <v>61</v>
      </c>
      <c r="N998" t="s">
        <v>1561</v>
      </c>
      <c r="O998" t="s">
        <v>1562</v>
      </c>
      <c r="P998">
        <v>-20.154959000000002</v>
      </c>
      <c r="Q998">
        <v>-44.91525</v>
      </c>
      <c r="R998" s="2" t="str">
        <f>HYPERLINK("https://www.google.com/maps?q=-20.1549590,-44.9152500","Abrir no Google Maps")</f>
        <v>Abrir no Google Maps</v>
      </c>
      <c r="S998">
        <v>2</v>
      </c>
      <c r="T998">
        <v>738.36411213380245</v>
      </c>
      <c r="U998">
        <v>1</v>
      </c>
      <c r="V998">
        <v>0</v>
      </c>
      <c r="W998">
        <v>0.85</v>
      </c>
      <c r="X998">
        <v>0</v>
      </c>
      <c r="Y998">
        <v>639</v>
      </c>
      <c r="Z998">
        <v>860.82840850294542</v>
      </c>
      <c r="AA998">
        <v>198</v>
      </c>
      <c r="AB998">
        <v>332</v>
      </c>
      <c r="AC998">
        <v>536</v>
      </c>
      <c r="AD998">
        <v>30.48</v>
      </c>
      <c r="AE998">
        <v>542</v>
      </c>
      <c r="AF998">
        <v>30</v>
      </c>
      <c r="AG998">
        <v>176</v>
      </c>
      <c r="AH998">
        <v>129</v>
      </c>
      <c r="AI998">
        <v>5.54</v>
      </c>
      <c r="AJ998">
        <v>32.47</v>
      </c>
      <c r="AK998">
        <v>23.8</v>
      </c>
      <c r="AL998">
        <v>-20.154629849999939</v>
      </c>
      <c r="AM998">
        <v>-44.914951620624052</v>
      </c>
      <c r="AN998">
        <v>-20.154629849999939</v>
      </c>
      <c r="AO998">
        <v>-44.914951620624052</v>
      </c>
      <c r="AP998">
        <v>-20.154959000000002</v>
      </c>
      <c r="AQ998">
        <v>-44.91525</v>
      </c>
      <c r="AR998">
        <v>48.11297170616912</v>
      </c>
      <c r="AS998" t="s">
        <v>65</v>
      </c>
      <c r="AT998">
        <v>1</v>
      </c>
      <c r="AU998" t="s">
        <v>1563</v>
      </c>
      <c r="AV998" t="s">
        <v>1564</v>
      </c>
      <c r="AW998" t="s">
        <v>60</v>
      </c>
      <c r="AX998" t="s">
        <v>68</v>
      </c>
      <c r="AY998" t="s">
        <v>69</v>
      </c>
      <c r="AZ998" t="b">
        <v>1</v>
      </c>
    </row>
    <row r="999" spans="1:52" x14ac:dyDescent="0.3">
      <c r="A999" t="s">
        <v>52</v>
      </c>
      <c r="B999" t="s">
        <v>53</v>
      </c>
      <c r="C999" t="s">
        <v>54</v>
      </c>
      <c r="D999" t="s">
        <v>55</v>
      </c>
      <c r="E999" t="s">
        <v>2099</v>
      </c>
      <c r="F999" t="s">
        <v>1247</v>
      </c>
      <c r="G999" t="s">
        <v>631</v>
      </c>
      <c r="H999" t="s">
        <v>1565</v>
      </c>
      <c r="I999" t="s">
        <v>1565</v>
      </c>
      <c r="J999" t="s">
        <v>60</v>
      </c>
      <c r="K999" t="s">
        <v>530</v>
      </c>
      <c r="L999" t="s">
        <v>62</v>
      </c>
      <c r="M999" t="s">
        <v>530</v>
      </c>
      <c r="N999" t="s">
        <v>633</v>
      </c>
      <c r="O999" t="s">
        <v>1566</v>
      </c>
      <c r="P999">
        <v>-20.143915</v>
      </c>
      <c r="Q999">
        <v>-44.8947</v>
      </c>
      <c r="R999" s="2" t="str">
        <f>HYPERLINK("https://www.google.com/maps?q=-20.1439150,-44.8947000","Abrir no Google Maps")</f>
        <v>Abrir no Google Maps</v>
      </c>
      <c r="S999">
        <v>1</v>
      </c>
      <c r="T999">
        <v>327.74435325417051</v>
      </c>
      <c r="U999">
        <v>4</v>
      </c>
      <c r="V999">
        <v>20</v>
      </c>
      <c r="W999">
        <v>1</v>
      </c>
      <c r="X999">
        <v>20</v>
      </c>
      <c r="Y999">
        <v>602</v>
      </c>
      <c r="Z999">
        <v>236.41345279429891</v>
      </c>
      <c r="AA999">
        <v>198</v>
      </c>
      <c r="AB999">
        <v>332</v>
      </c>
      <c r="AC999">
        <v>536</v>
      </c>
      <c r="AD999">
        <v>30.48</v>
      </c>
      <c r="AE999">
        <v>542</v>
      </c>
      <c r="AF999">
        <v>30</v>
      </c>
      <c r="AG999">
        <v>176</v>
      </c>
      <c r="AH999">
        <v>129</v>
      </c>
      <c r="AI999">
        <v>5.54</v>
      </c>
      <c r="AJ999">
        <v>32.47</v>
      </c>
      <c r="AK999">
        <v>23.8</v>
      </c>
      <c r="AL999">
        <v>-20.143900549999959</v>
      </c>
      <c r="AM999">
        <v>-44.894835636584318</v>
      </c>
      <c r="AN999">
        <v>-20.143900549999959</v>
      </c>
      <c r="AO999">
        <v>-44.894835636584318</v>
      </c>
      <c r="AP999">
        <v>-20.143915</v>
      </c>
      <c r="AQ999">
        <v>-44.8947</v>
      </c>
      <c r="AR999">
        <v>14.266440053785869</v>
      </c>
      <c r="AS999" t="s">
        <v>65</v>
      </c>
      <c r="AT999">
        <v>1</v>
      </c>
      <c r="AU999" t="s">
        <v>1567</v>
      </c>
      <c r="AV999" t="s">
        <v>1568</v>
      </c>
      <c r="AW999" t="s">
        <v>60</v>
      </c>
      <c r="AX999" t="s">
        <v>68</v>
      </c>
      <c r="AY999" t="s">
        <v>69</v>
      </c>
      <c r="AZ999" t="b">
        <v>1</v>
      </c>
    </row>
    <row r="1000" spans="1:52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2099</v>
      </c>
      <c r="F1000" t="s">
        <v>1247</v>
      </c>
      <c r="G1000" t="s">
        <v>1578</v>
      </c>
      <c r="H1000" t="s">
        <v>1579</v>
      </c>
      <c r="I1000" t="s">
        <v>1579</v>
      </c>
      <c r="J1000" t="s">
        <v>60</v>
      </c>
      <c r="K1000" t="s">
        <v>530</v>
      </c>
      <c r="L1000" t="s">
        <v>62</v>
      </c>
      <c r="M1000" t="s">
        <v>530</v>
      </c>
      <c r="N1000" t="s">
        <v>1580</v>
      </c>
      <c r="O1000" t="s">
        <v>1581</v>
      </c>
      <c r="P1000">
        <v>-20.143713999999999</v>
      </c>
      <c r="Q1000">
        <v>-44.897387999999999</v>
      </c>
      <c r="R1000" s="2" t="str">
        <f>HYPERLINK("https://www.google.com/maps?q=-20.1437140,-44.8973880","Abrir no Google Maps")</f>
        <v>Abrir no Google Maps</v>
      </c>
      <c r="S1000">
        <v>1</v>
      </c>
      <c r="T1000">
        <v>354.74438118735611</v>
      </c>
      <c r="U1000">
        <v>4</v>
      </c>
      <c r="V1000">
        <v>20</v>
      </c>
      <c r="W1000">
        <v>1</v>
      </c>
      <c r="X1000">
        <v>20</v>
      </c>
      <c r="Y1000">
        <v>588</v>
      </c>
      <c r="Z1000">
        <v>336.29881064197872</v>
      </c>
      <c r="AA1000">
        <v>198</v>
      </c>
      <c r="AB1000">
        <v>332</v>
      </c>
      <c r="AC1000">
        <v>536</v>
      </c>
      <c r="AD1000">
        <v>30.48</v>
      </c>
      <c r="AE1000">
        <v>542</v>
      </c>
      <c r="AF1000">
        <v>30</v>
      </c>
      <c r="AG1000">
        <v>176</v>
      </c>
      <c r="AH1000">
        <v>129</v>
      </c>
      <c r="AI1000">
        <v>5.54</v>
      </c>
      <c r="AJ1000">
        <v>32.47</v>
      </c>
      <c r="AK1000">
        <v>23.8</v>
      </c>
      <c r="AL1000">
        <v>-20.14371329999997</v>
      </c>
      <c r="AM1000">
        <v>-44.897384604125257</v>
      </c>
      <c r="AN1000">
        <v>-20.14371329999997</v>
      </c>
      <c r="AO1000">
        <v>-44.897384604125257</v>
      </c>
      <c r="AP1000">
        <v>-20.143713999999999</v>
      </c>
      <c r="AQ1000">
        <v>-44.897387999999999</v>
      </c>
      <c r="AR1000">
        <v>0.36335934693921551</v>
      </c>
      <c r="AS1000" t="s">
        <v>65</v>
      </c>
      <c r="AT1000">
        <v>1</v>
      </c>
      <c r="AU1000" t="s">
        <v>1582</v>
      </c>
      <c r="AV1000" t="s">
        <v>1583</v>
      </c>
      <c r="AW1000" t="s">
        <v>60</v>
      </c>
      <c r="AX1000" t="s">
        <v>68</v>
      </c>
      <c r="AY1000" t="s">
        <v>69</v>
      </c>
      <c r="AZ1000" t="b">
        <v>1</v>
      </c>
    </row>
    <row r="1001" spans="1:52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2099</v>
      </c>
      <c r="F1001" t="s">
        <v>1247</v>
      </c>
      <c r="G1001" t="s">
        <v>1584</v>
      </c>
      <c r="H1001" t="s">
        <v>1585</v>
      </c>
      <c r="I1001" t="s">
        <v>1585</v>
      </c>
      <c r="J1001" t="s">
        <v>60</v>
      </c>
      <c r="K1001" t="s">
        <v>530</v>
      </c>
      <c r="L1001" t="s">
        <v>62</v>
      </c>
      <c r="M1001" t="s">
        <v>530</v>
      </c>
      <c r="N1001" t="s">
        <v>406</v>
      </c>
      <c r="O1001" t="s">
        <v>1586</v>
      </c>
      <c r="P1001">
        <v>-20.141316</v>
      </c>
      <c r="Q1001">
        <v>-44.896424000000003</v>
      </c>
      <c r="R1001" s="2" t="str">
        <f>HYPERLINK("https://www.google.com/maps?q=-20.1413160,-44.8964240","Abrir no Google Maps")</f>
        <v>Abrir no Google Maps</v>
      </c>
      <c r="S1001">
        <v>1</v>
      </c>
      <c r="T1001">
        <v>236.6687095166524</v>
      </c>
      <c r="U1001">
        <v>4</v>
      </c>
      <c r="V1001">
        <v>20</v>
      </c>
      <c r="W1001">
        <v>1</v>
      </c>
      <c r="X1001">
        <v>20</v>
      </c>
      <c r="Y1001">
        <v>588</v>
      </c>
      <c r="Z1001">
        <v>255.50729797374251</v>
      </c>
      <c r="AA1001">
        <v>198</v>
      </c>
      <c r="AB1001">
        <v>332</v>
      </c>
      <c r="AC1001">
        <v>536</v>
      </c>
      <c r="AD1001">
        <v>30.48</v>
      </c>
      <c r="AE1001">
        <v>542</v>
      </c>
      <c r="AF1001">
        <v>30</v>
      </c>
      <c r="AG1001">
        <v>176</v>
      </c>
      <c r="AH1001">
        <v>129</v>
      </c>
      <c r="AI1001">
        <v>5.54</v>
      </c>
      <c r="AJ1001">
        <v>32.47</v>
      </c>
      <c r="AK1001">
        <v>23.8</v>
      </c>
      <c r="AL1001">
        <v>-20.141468299999961</v>
      </c>
      <c r="AM1001">
        <v>-44.896566678331098</v>
      </c>
      <c r="AN1001">
        <v>-20.141468299999961</v>
      </c>
      <c r="AO1001">
        <v>-44.896566678331098</v>
      </c>
      <c r="AP1001">
        <v>-20.141316</v>
      </c>
      <c r="AQ1001">
        <v>-44.896424000000003</v>
      </c>
      <c r="AR1001">
        <v>22.578666373759301</v>
      </c>
      <c r="AS1001" t="s">
        <v>65</v>
      </c>
      <c r="AT1001">
        <v>1</v>
      </c>
      <c r="AU1001" t="s">
        <v>1587</v>
      </c>
      <c r="AV1001" t="s">
        <v>1588</v>
      </c>
      <c r="AW1001" t="s">
        <v>60</v>
      </c>
      <c r="AX1001" t="s">
        <v>68</v>
      </c>
      <c r="AY1001" t="s">
        <v>69</v>
      </c>
      <c r="AZ1001" t="b">
        <v>1</v>
      </c>
    </row>
    <row r="1002" spans="1:52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2099</v>
      </c>
      <c r="F1002" t="s">
        <v>1247</v>
      </c>
      <c r="G1002" t="s">
        <v>1589</v>
      </c>
      <c r="H1002" t="s">
        <v>1590</v>
      </c>
      <c r="I1002" t="s">
        <v>1590</v>
      </c>
      <c r="J1002" t="s">
        <v>60</v>
      </c>
      <c r="K1002" t="s">
        <v>1591</v>
      </c>
      <c r="L1002" t="s">
        <v>62</v>
      </c>
      <c r="M1002" t="s">
        <v>1591</v>
      </c>
      <c r="N1002" t="s">
        <v>1592</v>
      </c>
      <c r="O1002" t="s">
        <v>659</v>
      </c>
      <c r="P1002">
        <v>-20.140789000000002</v>
      </c>
      <c r="Q1002">
        <v>-44.898631000000002</v>
      </c>
      <c r="R1002" s="2" t="str">
        <f>HYPERLINK("https://www.google.com/maps?q=-20.1407890,-44.8986310","Abrir no Google Maps")</f>
        <v>Abrir no Google Maps</v>
      </c>
      <c r="S1002">
        <v>1</v>
      </c>
      <c r="T1002">
        <v>0</v>
      </c>
      <c r="U1002">
        <v>4</v>
      </c>
      <c r="V1002">
        <v>20</v>
      </c>
      <c r="W1002">
        <v>1</v>
      </c>
      <c r="X1002">
        <v>20</v>
      </c>
      <c r="Y1002">
        <v>588</v>
      </c>
      <c r="Z1002">
        <v>51.152636251897107</v>
      </c>
      <c r="AA1002">
        <v>198</v>
      </c>
      <c r="AB1002">
        <v>332</v>
      </c>
      <c r="AC1002">
        <v>536</v>
      </c>
      <c r="AD1002">
        <v>30.48</v>
      </c>
      <c r="AE1002">
        <v>542</v>
      </c>
      <c r="AF1002">
        <v>30</v>
      </c>
      <c r="AG1002">
        <v>176</v>
      </c>
      <c r="AH1002">
        <v>129</v>
      </c>
      <c r="AI1002">
        <v>5.54</v>
      </c>
      <c r="AJ1002">
        <v>32.47</v>
      </c>
      <c r="AK1002">
        <v>23.8</v>
      </c>
      <c r="AL1002">
        <v>-20.140759399999951</v>
      </c>
      <c r="AM1002">
        <v>-44.898703172474903</v>
      </c>
      <c r="AN1002">
        <v>-20.140759399999951</v>
      </c>
      <c r="AO1002">
        <v>-44.898703172474903</v>
      </c>
      <c r="AP1002">
        <v>-20.140789000000002</v>
      </c>
      <c r="AQ1002">
        <v>-44.898631000000002</v>
      </c>
      <c r="AR1002">
        <v>8.2312502179962053</v>
      </c>
      <c r="AS1002" t="s">
        <v>65</v>
      </c>
      <c r="AT1002">
        <v>1</v>
      </c>
      <c r="AU1002" t="s">
        <v>1593</v>
      </c>
      <c r="AV1002" t="s">
        <v>1594</v>
      </c>
      <c r="AW1002" t="s">
        <v>60</v>
      </c>
      <c r="AX1002" t="s">
        <v>68</v>
      </c>
      <c r="AY1002" t="s">
        <v>69</v>
      </c>
      <c r="AZ1002" t="b">
        <v>1</v>
      </c>
    </row>
    <row r="1003" spans="1:52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2099</v>
      </c>
      <c r="F1003" t="s">
        <v>1247</v>
      </c>
      <c r="G1003" t="s">
        <v>1607</v>
      </c>
      <c r="H1003" t="s">
        <v>1608</v>
      </c>
      <c r="I1003" t="s">
        <v>1608</v>
      </c>
      <c r="J1003" t="s">
        <v>60</v>
      </c>
      <c r="K1003" t="s">
        <v>1486</v>
      </c>
      <c r="L1003" t="s">
        <v>62</v>
      </c>
      <c r="M1003" t="s">
        <v>1486</v>
      </c>
      <c r="N1003" t="s">
        <v>1609</v>
      </c>
      <c r="O1003" t="s">
        <v>1255</v>
      </c>
      <c r="P1003">
        <v>-20.157689000000001</v>
      </c>
      <c r="Q1003">
        <v>-44.883887000000001</v>
      </c>
      <c r="R1003" s="2" t="str">
        <f>HYPERLINK("https://www.google.com/maps?q=-20.1576890,-44.8838870","Abrir no Google Maps")</f>
        <v>Abrir no Google Maps</v>
      </c>
      <c r="S1003">
        <v>1</v>
      </c>
      <c r="T1003">
        <v>603.38424821205774</v>
      </c>
      <c r="U1003">
        <v>3</v>
      </c>
      <c r="V1003">
        <v>14</v>
      </c>
      <c r="W1003">
        <v>1</v>
      </c>
      <c r="X1003">
        <v>14</v>
      </c>
      <c r="Y1003">
        <v>671</v>
      </c>
      <c r="Z1003">
        <v>682.48636898467089</v>
      </c>
      <c r="AA1003">
        <v>198</v>
      </c>
      <c r="AB1003">
        <v>332</v>
      </c>
      <c r="AC1003">
        <v>536</v>
      </c>
      <c r="AD1003">
        <v>30.48</v>
      </c>
      <c r="AE1003">
        <v>542</v>
      </c>
      <c r="AF1003">
        <v>30</v>
      </c>
      <c r="AG1003">
        <v>176</v>
      </c>
      <c r="AH1003">
        <v>129</v>
      </c>
      <c r="AI1003">
        <v>5.54</v>
      </c>
      <c r="AJ1003">
        <v>32.47</v>
      </c>
      <c r="AK1003">
        <v>23.8</v>
      </c>
      <c r="AL1003">
        <v>-20.157732249999949</v>
      </c>
      <c r="AM1003">
        <v>-44.883829923283272</v>
      </c>
      <c r="AN1003">
        <v>-20.157732249999949</v>
      </c>
      <c r="AO1003">
        <v>-44.883829923283272</v>
      </c>
      <c r="AP1003">
        <v>-20.157689000000001</v>
      </c>
      <c r="AQ1003">
        <v>-44.883887000000001</v>
      </c>
      <c r="AR1003">
        <v>7.6652901074925257</v>
      </c>
      <c r="AS1003" t="s">
        <v>65</v>
      </c>
      <c r="AT1003">
        <v>1</v>
      </c>
      <c r="AU1003" t="s">
        <v>1610</v>
      </c>
      <c r="AV1003" t="s">
        <v>1611</v>
      </c>
      <c r="AW1003" t="s">
        <v>60</v>
      </c>
      <c r="AX1003" t="s">
        <v>68</v>
      </c>
      <c r="AY1003" t="s">
        <v>69</v>
      </c>
      <c r="AZ1003" t="b">
        <v>1</v>
      </c>
    </row>
    <row r="1004" spans="1:52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2099</v>
      </c>
      <c r="F1004" t="s">
        <v>1247</v>
      </c>
      <c r="G1004" t="s">
        <v>1595</v>
      </c>
      <c r="H1004" t="s">
        <v>1596</v>
      </c>
      <c r="I1004" t="s">
        <v>1596</v>
      </c>
      <c r="J1004" t="s">
        <v>60</v>
      </c>
      <c r="K1004" t="s">
        <v>530</v>
      </c>
      <c r="L1004" t="s">
        <v>62</v>
      </c>
      <c r="M1004" t="s">
        <v>530</v>
      </c>
      <c r="N1004" t="s">
        <v>1006</v>
      </c>
      <c r="O1004" t="s">
        <v>1597</v>
      </c>
      <c r="P1004">
        <v>-20.139135</v>
      </c>
      <c r="Q1004">
        <v>-44.895907000000001</v>
      </c>
      <c r="R1004" s="2" t="str">
        <f>HYPERLINK("https://www.google.com/maps?q=-20.1391350,-44.8959070","Abrir no Google Maps")</f>
        <v>Abrir no Google Maps</v>
      </c>
      <c r="S1004">
        <v>1</v>
      </c>
      <c r="T1004">
        <v>324.98342996447241</v>
      </c>
      <c r="U1004">
        <v>3</v>
      </c>
      <c r="V1004">
        <v>18</v>
      </c>
      <c r="W1004">
        <v>1</v>
      </c>
      <c r="X1004">
        <v>18</v>
      </c>
      <c r="Y1004">
        <v>588</v>
      </c>
      <c r="Z1004">
        <v>411.69998599301618</v>
      </c>
      <c r="AA1004">
        <v>198</v>
      </c>
      <c r="AB1004">
        <v>332</v>
      </c>
      <c r="AC1004">
        <v>536</v>
      </c>
      <c r="AD1004">
        <v>30.48</v>
      </c>
      <c r="AE1004">
        <v>542</v>
      </c>
      <c r="AF1004">
        <v>30</v>
      </c>
      <c r="AG1004">
        <v>176</v>
      </c>
      <c r="AH1004">
        <v>129</v>
      </c>
      <c r="AI1004">
        <v>5.54</v>
      </c>
      <c r="AJ1004">
        <v>32.47</v>
      </c>
      <c r="AK1004">
        <v>23.8</v>
      </c>
      <c r="AL1004">
        <v>-20.139299649999941</v>
      </c>
      <c r="AM1004">
        <v>-44.896005009217312</v>
      </c>
      <c r="AN1004">
        <v>-20.139299649999941</v>
      </c>
      <c r="AO1004">
        <v>-44.896005009217312</v>
      </c>
      <c r="AP1004">
        <v>-20.139135</v>
      </c>
      <c r="AQ1004">
        <v>-44.895907000000001</v>
      </c>
      <c r="AR1004">
        <v>20.996943428875841</v>
      </c>
      <c r="AS1004" t="s">
        <v>65</v>
      </c>
      <c r="AT1004">
        <v>1</v>
      </c>
      <c r="AU1004" t="s">
        <v>1598</v>
      </c>
      <c r="AV1004" t="s">
        <v>1599</v>
      </c>
      <c r="AW1004" t="s">
        <v>60</v>
      </c>
      <c r="AX1004" t="s">
        <v>68</v>
      </c>
      <c r="AY1004" t="s">
        <v>69</v>
      </c>
      <c r="AZ1004" t="b">
        <v>1</v>
      </c>
    </row>
    <row r="1005" spans="1:52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2099</v>
      </c>
      <c r="F1005" t="s">
        <v>1247</v>
      </c>
      <c r="G1005" t="s">
        <v>1569</v>
      </c>
      <c r="H1005" t="s">
        <v>1570</v>
      </c>
      <c r="I1005" t="s">
        <v>1570</v>
      </c>
      <c r="J1005" t="s">
        <v>60</v>
      </c>
      <c r="K1005" t="s">
        <v>530</v>
      </c>
      <c r="L1005" t="s">
        <v>62</v>
      </c>
      <c r="M1005" t="s">
        <v>530</v>
      </c>
      <c r="N1005" t="s">
        <v>1571</v>
      </c>
      <c r="O1005" t="s">
        <v>598</v>
      </c>
      <c r="P1005">
        <v>-20.146418000000001</v>
      </c>
      <c r="Q1005">
        <v>-44.893861999999999</v>
      </c>
      <c r="R1005" s="2" t="str">
        <f>HYPERLINK("https://www.google.com/maps?q=-20.1464180,-44.8938620","Abrir no Google Maps")</f>
        <v>Abrir no Google Maps</v>
      </c>
      <c r="S1005">
        <v>1</v>
      </c>
      <c r="T1005">
        <v>0</v>
      </c>
      <c r="U1005">
        <v>2</v>
      </c>
      <c r="V1005">
        <v>12</v>
      </c>
      <c r="W1005">
        <v>0.85</v>
      </c>
      <c r="X1005">
        <v>10.199999999999999</v>
      </c>
      <c r="Y1005">
        <v>602</v>
      </c>
      <c r="Z1005">
        <v>124.5475134899211</v>
      </c>
      <c r="AA1005">
        <v>198</v>
      </c>
      <c r="AB1005">
        <v>332</v>
      </c>
      <c r="AC1005">
        <v>536</v>
      </c>
      <c r="AD1005">
        <v>30.48</v>
      </c>
      <c r="AE1005">
        <v>542</v>
      </c>
      <c r="AF1005">
        <v>30</v>
      </c>
      <c r="AG1005">
        <v>176</v>
      </c>
      <c r="AH1005">
        <v>129</v>
      </c>
      <c r="AI1005">
        <v>5.54</v>
      </c>
      <c r="AJ1005">
        <v>32.47</v>
      </c>
      <c r="AK1005">
        <v>23.8</v>
      </c>
      <c r="AL1005">
        <v>-20.146753399999941</v>
      </c>
      <c r="AM1005">
        <v>-44.893993355901941</v>
      </c>
      <c r="AN1005">
        <v>-20.146753399999941</v>
      </c>
      <c r="AO1005">
        <v>-44.893993355901941</v>
      </c>
      <c r="AP1005">
        <v>-20.146418000000001</v>
      </c>
      <c r="AQ1005">
        <v>-44.893861999999999</v>
      </c>
      <c r="AR1005">
        <v>39.780457157851913</v>
      </c>
      <c r="AS1005" t="s">
        <v>65</v>
      </c>
      <c r="AT1005">
        <v>1</v>
      </c>
      <c r="AU1005" t="s">
        <v>1572</v>
      </c>
      <c r="AV1005" t="s">
        <v>1573</v>
      </c>
      <c r="AW1005" t="s">
        <v>60</v>
      </c>
      <c r="AX1005" t="s">
        <v>68</v>
      </c>
      <c r="AY1005" t="s">
        <v>69</v>
      </c>
      <c r="AZ1005" t="b">
        <v>1</v>
      </c>
    </row>
    <row r="1006" spans="1:52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2099</v>
      </c>
      <c r="F1006" t="s">
        <v>1247</v>
      </c>
      <c r="G1006" t="s">
        <v>1569</v>
      </c>
      <c r="H1006" t="s">
        <v>1574</v>
      </c>
      <c r="I1006" t="s">
        <v>1574</v>
      </c>
      <c r="J1006" t="s">
        <v>60</v>
      </c>
      <c r="K1006" t="s">
        <v>530</v>
      </c>
      <c r="L1006" t="s">
        <v>62</v>
      </c>
      <c r="M1006" t="s">
        <v>530</v>
      </c>
      <c r="N1006" t="s">
        <v>1571</v>
      </c>
      <c r="O1006" t="s">
        <v>1575</v>
      </c>
      <c r="P1006">
        <v>-20.14554</v>
      </c>
      <c r="Q1006">
        <v>-44.895606000000001</v>
      </c>
      <c r="R1006" s="2" t="str">
        <f>HYPERLINK("https://www.google.com/maps?q=-20.1455400,-44.8956060","Abrir no Google Maps")</f>
        <v>Abrir no Google Maps</v>
      </c>
      <c r="S1006">
        <v>1</v>
      </c>
      <c r="T1006">
        <v>218.66647838959381</v>
      </c>
      <c r="U1006">
        <v>2</v>
      </c>
      <c r="V1006">
        <v>8</v>
      </c>
      <c r="W1006">
        <v>1</v>
      </c>
      <c r="X1006">
        <v>8</v>
      </c>
      <c r="Y1006">
        <v>602</v>
      </c>
      <c r="Z1006">
        <v>263.6501043391637</v>
      </c>
      <c r="AA1006">
        <v>198</v>
      </c>
      <c r="AB1006">
        <v>332</v>
      </c>
      <c r="AC1006">
        <v>536</v>
      </c>
      <c r="AD1006">
        <v>30.48</v>
      </c>
      <c r="AE1006">
        <v>542</v>
      </c>
      <c r="AF1006">
        <v>30</v>
      </c>
      <c r="AG1006">
        <v>176</v>
      </c>
      <c r="AH1006">
        <v>129</v>
      </c>
      <c r="AI1006">
        <v>5.54</v>
      </c>
      <c r="AJ1006">
        <v>32.47</v>
      </c>
      <c r="AK1006">
        <v>23.8</v>
      </c>
      <c r="AL1006">
        <v>-20.145504749999962</v>
      </c>
      <c r="AM1006">
        <v>-44.89561499588882</v>
      </c>
      <c r="AN1006">
        <v>-20.145504749999962</v>
      </c>
      <c r="AO1006">
        <v>-44.89561499588882</v>
      </c>
      <c r="AP1006">
        <v>-20.14554</v>
      </c>
      <c r="AQ1006">
        <v>-44.895606000000001</v>
      </c>
      <c r="AR1006">
        <v>4.0350843151508604</v>
      </c>
      <c r="AS1006" t="s">
        <v>65</v>
      </c>
      <c r="AT1006">
        <v>1</v>
      </c>
      <c r="AU1006" t="s">
        <v>1576</v>
      </c>
      <c r="AV1006" t="s">
        <v>1577</v>
      </c>
      <c r="AW1006" t="s">
        <v>60</v>
      </c>
      <c r="AX1006" t="s">
        <v>68</v>
      </c>
      <c r="AY1006" t="s">
        <v>69</v>
      </c>
      <c r="AZ1006" t="b">
        <v>1</v>
      </c>
    </row>
    <row r="1007" spans="1:52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2099</v>
      </c>
      <c r="F1007" t="s">
        <v>1247</v>
      </c>
      <c r="G1007" t="s">
        <v>1342</v>
      </c>
      <c r="H1007" t="s">
        <v>1600</v>
      </c>
      <c r="I1007" t="s">
        <v>1600</v>
      </c>
      <c r="J1007" t="s">
        <v>60</v>
      </c>
      <c r="K1007" t="s">
        <v>462</v>
      </c>
      <c r="L1007" t="s">
        <v>62</v>
      </c>
      <c r="M1007" t="s">
        <v>462</v>
      </c>
      <c r="N1007" t="s">
        <v>921</v>
      </c>
      <c r="O1007" t="s">
        <v>1601</v>
      </c>
      <c r="P1007">
        <v>-20.140741999999999</v>
      </c>
      <c r="Q1007">
        <v>-44.902729000000001</v>
      </c>
      <c r="R1007" s="2" t="str">
        <f>HYPERLINK("https://www.google.com/maps?q=-20.1407420,-44.9027290","Abrir no Google Maps")</f>
        <v>Abrir no Google Maps</v>
      </c>
      <c r="S1007">
        <v>1</v>
      </c>
      <c r="T1007">
        <v>373.97936588503438</v>
      </c>
      <c r="U1007">
        <v>2</v>
      </c>
      <c r="V1007">
        <v>9</v>
      </c>
      <c r="W1007">
        <v>1</v>
      </c>
      <c r="X1007">
        <v>9</v>
      </c>
      <c r="Y1007">
        <v>588</v>
      </c>
      <c r="Z1007">
        <v>427.55758539734131</v>
      </c>
      <c r="AA1007">
        <v>198</v>
      </c>
      <c r="AB1007">
        <v>332</v>
      </c>
      <c r="AC1007">
        <v>536</v>
      </c>
      <c r="AD1007">
        <v>30.48</v>
      </c>
      <c r="AE1007">
        <v>542</v>
      </c>
      <c r="AF1007">
        <v>30</v>
      </c>
      <c r="AG1007">
        <v>176</v>
      </c>
      <c r="AH1007">
        <v>129</v>
      </c>
      <c r="AI1007">
        <v>5.54</v>
      </c>
      <c r="AJ1007">
        <v>32.47</v>
      </c>
      <c r="AK1007">
        <v>23.8</v>
      </c>
      <c r="AL1007">
        <v>-20.140729549999971</v>
      </c>
      <c r="AM1007">
        <v>-44.902779454814521</v>
      </c>
      <c r="AN1007">
        <v>-20.140729549999971</v>
      </c>
      <c r="AO1007">
        <v>-44.902779454814521</v>
      </c>
      <c r="AP1007">
        <v>-20.140741999999999</v>
      </c>
      <c r="AQ1007">
        <v>-44.902729000000001</v>
      </c>
      <c r="AR1007">
        <v>5.4522610212697993</v>
      </c>
      <c r="AS1007" t="s">
        <v>65</v>
      </c>
      <c r="AT1007">
        <v>1</v>
      </c>
      <c r="AU1007" t="s">
        <v>1602</v>
      </c>
      <c r="AV1007" t="s">
        <v>1603</v>
      </c>
      <c r="AW1007" t="s">
        <v>60</v>
      </c>
      <c r="AX1007" t="s">
        <v>68</v>
      </c>
      <c r="AY1007" t="s">
        <v>69</v>
      </c>
      <c r="AZ1007" t="b">
        <v>1</v>
      </c>
    </row>
    <row r="1008" spans="1:52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2099</v>
      </c>
      <c r="F1008" t="s">
        <v>1247</v>
      </c>
      <c r="G1008" t="s">
        <v>1612</v>
      </c>
      <c r="H1008" t="s">
        <v>1613</v>
      </c>
      <c r="I1008" t="s">
        <v>1613</v>
      </c>
      <c r="J1008" t="s">
        <v>60</v>
      </c>
      <c r="K1008" t="s">
        <v>1349</v>
      </c>
      <c r="L1008" t="s">
        <v>62</v>
      </c>
      <c r="M1008" t="s">
        <v>1349</v>
      </c>
      <c r="N1008" t="s">
        <v>1614</v>
      </c>
      <c r="O1008" t="s">
        <v>710</v>
      </c>
      <c r="P1008">
        <v>-20.141335999999999</v>
      </c>
      <c r="Q1008">
        <v>-44.901133000000002</v>
      </c>
      <c r="R1008" s="2" t="str">
        <f>HYPERLINK("https://www.google.com/maps?q=-20.1413360,-44.9011330","Abrir no Google Maps")</f>
        <v>Abrir no Google Maps</v>
      </c>
      <c r="S1008">
        <v>1</v>
      </c>
      <c r="T1008">
        <v>257.92927430829218</v>
      </c>
      <c r="U1008">
        <v>2</v>
      </c>
      <c r="V1008">
        <v>10</v>
      </c>
      <c r="W1008">
        <v>0.85</v>
      </c>
      <c r="X1008">
        <v>8.5</v>
      </c>
      <c r="Y1008">
        <v>588</v>
      </c>
      <c r="Z1008">
        <v>252.62617475231269</v>
      </c>
      <c r="AA1008">
        <v>198</v>
      </c>
      <c r="AB1008">
        <v>332</v>
      </c>
      <c r="AC1008">
        <v>536</v>
      </c>
      <c r="AD1008">
        <v>30.48</v>
      </c>
      <c r="AE1008">
        <v>542</v>
      </c>
      <c r="AF1008">
        <v>30</v>
      </c>
      <c r="AG1008">
        <v>176</v>
      </c>
      <c r="AH1008">
        <v>129</v>
      </c>
      <c r="AI1008">
        <v>5.54</v>
      </c>
      <c r="AJ1008">
        <v>32.47</v>
      </c>
      <c r="AK1008">
        <v>23.8</v>
      </c>
      <c r="AL1008">
        <v>-20.141297649999959</v>
      </c>
      <c r="AM1008">
        <v>-44.901104406351408</v>
      </c>
      <c r="AN1008">
        <v>-20.141297649999959</v>
      </c>
      <c r="AO1008">
        <v>-44.901104406351408</v>
      </c>
      <c r="AP1008">
        <v>-20.141335999999999</v>
      </c>
      <c r="AQ1008">
        <v>-44.901133000000002</v>
      </c>
      <c r="AR1008">
        <v>5.211130154459668</v>
      </c>
      <c r="AS1008" t="s">
        <v>65</v>
      </c>
      <c r="AT1008">
        <v>1</v>
      </c>
      <c r="AU1008" t="s">
        <v>1615</v>
      </c>
      <c r="AV1008" t="s">
        <v>1616</v>
      </c>
      <c r="AW1008" t="s">
        <v>60</v>
      </c>
      <c r="AX1008" t="s">
        <v>68</v>
      </c>
      <c r="AY1008" t="s">
        <v>69</v>
      </c>
      <c r="AZ1008" t="b">
        <v>1</v>
      </c>
    </row>
    <row r="1009" spans="1:52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2099</v>
      </c>
      <c r="F1009" t="s">
        <v>1247</v>
      </c>
      <c r="G1009" t="s">
        <v>1584</v>
      </c>
      <c r="H1009" t="s">
        <v>1604</v>
      </c>
      <c r="I1009" t="s">
        <v>1604</v>
      </c>
      <c r="J1009" t="s">
        <v>60</v>
      </c>
      <c r="K1009" t="s">
        <v>530</v>
      </c>
      <c r="L1009" t="s">
        <v>62</v>
      </c>
      <c r="M1009" t="s">
        <v>530</v>
      </c>
      <c r="N1009" t="s">
        <v>406</v>
      </c>
      <c r="O1009" t="s">
        <v>1267</v>
      </c>
      <c r="P1009">
        <v>-20.147068000000001</v>
      </c>
      <c r="Q1009">
        <v>-44.898629999999997</v>
      </c>
      <c r="R1009" s="2" t="str">
        <f>HYPERLINK("https://www.google.com/maps?q=-20.1470680,-44.8986300","Abrir no Google Maps")</f>
        <v>Abrir no Google Maps</v>
      </c>
      <c r="S1009">
        <v>1</v>
      </c>
      <c r="T1009">
        <v>468.5580266389448</v>
      </c>
      <c r="U1009">
        <v>2</v>
      </c>
      <c r="V1009">
        <v>11</v>
      </c>
      <c r="W1009">
        <v>1</v>
      </c>
      <c r="X1009">
        <v>11</v>
      </c>
      <c r="Y1009">
        <v>556</v>
      </c>
      <c r="Z1009">
        <v>447.77738134922419</v>
      </c>
      <c r="AA1009">
        <v>198</v>
      </c>
      <c r="AB1009">
        <v>332</v>
      </c>
      <c r="AC1009">
        <v>536</v>
      </c>
      <c r="AD1009">
        <v>30.48</v>
      </c>
      <c r="AE1009">
        <v>542</v>
      </c>
      <c r="AF1009">
        <v>30</v>
      </c>
      <c r="AG1009">
        <v>176</v>
      </c>
      <c r="AH1009">
        <v>129</v>
      </c>
      <c r="AI1009">
        <v>5.54</v>
      </c>
      <c r="AJ1009">
        <v>32.47</v>
      </c>
      <c r="AK1009">
        <v>23.8</v>
      </c>
      <c r="AL1009">
        <v>-20.14701759999997</v>
      </c>
      <c r="AM1009">
        <v>-44.898633710342303</v>
      </c>
      <c r="AN1009">
        <v>-20.14701759999997</v>
      </c>
      <c r="AO1009">
        <v>-44.898633710342303</v>
      </c>
      <c r="AP1009">
        <v>-20.147068000000001</v>
      </c>
      <c r="AQ1009">
        <v>-44.898629999999997</v>
      </c>
      <c r="AR1009">
        <v>5.6239118246064832</v>
      </c>
      <c r="AS1009" t="s">
        <v>65</v>
      </c>
      <c r="AT1009">
        <v>1</v>
      </c>
      <c r="AU1009" t="s">
        <v>1605</v>
      </c>
      <c r="AV1009" t="s">
        <v>1606</v>
      </c>
      <c r="AW1009" t="s">
        <v>60</v>
      </c>
      <c r="AX1009" t="s">
        <v>68</v>
      </c>
      <c r="AY1009" t="s">
        <v>69</v>
      </c>
      <c r="AZ1009" t="b">
        <v>1</v>
      </c>
    </row>
    <row r="1010" spans="1:52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2128</v>
      </c>
      <c r="F1010" t="s">
        <v>57</v>
      </c>
      <c r="G1010" t="s">
        <v>212</v>
      </c>
      <c r="H1010" t="s">
        <v>213</v>
      </c>
      <c r="I1010" t="s">
        <v>213</v>
      </c>
      <c r="J1010" t="s">
        <v>60</v>
      </c>
      <c r="K1010" t="s">
        <v>214</v>
      </c>
      <c r="L1010" t="s">
        <v>62</v>
      </c>
      <c r="M1010" t="s">
        <v>214</v>
      </c>
      <c r="N1010" t="s">
        <v>215</v>
      </c>
      <c r="O1010" t="s">
        <v>216</v>
      </c>
      <c r="P1010">
        <v>-20.158149000000002</v>
      </c>
      <c r="Q1010">
        <v>-44.872593000000002</v>
      </c>
      <c r="R1010" s="2" t="str">
        <f>HYPERLINK("https://www.google.com/maps?q=-20.1581490,-44.8725930","Abrir no Google Maps")</f>
        <v>Abrir no Google Maps</v>
      </c>
      <c r="S1010">
        <v>4</v>
      </c>
      <c r="T1010">
        <v>0</v>
      </c>
      <c r="U1010">
        <v>4</v>
      </c>
      <c r="V1010">
        <v>22</v>
      </c>
      <c r="W1010">
        <v>1</v>
      </c>
      <c r="X1010">
        <v>22</v>
      </c>
      <c r="Y1010">
        <v>531</v>
      </c>
      <c r="Z1010">
        <v>127.8805352974544</v>
      </c>
      <c r="AA1010">
        <v>198</v>
      </c>
      <c r="AB1010">
        <v>332</v>
      </c>
      <c r="AC1010">
        <v>536</v>
      </c>
      <c r="AD1010">
        <v>29.96</v>
      </c>
      <c r="AE1010">
        <v>542</v>
      </c>
      <c r="AF1010">
        <v>29</v>
      </c>
      <c r="AG1010">
        <v>174</v>
      </c>
      <c r="AH1010">
        <v>129</v>
      </c>
      <c r="AI1010">
        <v>5.35</v>
      </c>
      <c r="AJ1010">
        <v>32.1</v>
      </c>
      <c r="AK1010">
        <v>23.8</v>
      </c>
      <c r="AL1010">
        <v>-20.158114249999951</v>
      </c>
      <c r="AM1010">
        <v>-44.872583123264782</v>
      </c>
      <c r="AN1010">
        <v>-20.158114249999951</v>
      </c>
      <c r="AO1010">
        <v>-44.872583123264782</v>
      </c>
      <c r="AP1010">
        <v>-20.158149000000002</v>
      </c>
      <c r="AQ1010">
        <v>-44.872593000000002</v>
      </c>
      <c r="AR1010">
        <v>4.0036956087599238</v>
      </c>
      <c r="AS1010" t="s">
        <v>65</v>
      </c>
      <c r="AT1010">
        <v>1</v>
      </c>
      <c r="AU1010" t="s">
        <v>217</v>
      </c>
      <c r="AV1010" t="s">
        <v>218</v>
      </c>
      <c r="AW1010" t="s">
        <v>60</v>
      </c>
      <c r="AX1010" t="s">
        <v>68</v>
      </c>
      <c r="AY1010" t="s">
        <v>69</v>
      </c>
      <c r="AZ1010" t="b">
        <v>1</v>
      </c>
    </row>
    <row r="1011" spans="1:52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2128</v>
      </c>
      <c r="F1011" t="s">
        <v>57</v>
      </c>
      <c r="G1011" t="s">
        <v>219</v>
      </c>
      <c r="H1011" t="s">
        <v>220</v>
      </c>
      <c r="I1011" t="s">
        <v>220</v>
      </c>
      <c r="J1011" t="s">
        <v>60</v>
      </c>
      <c r="K1011" t="s">
        <v>214</v>
      </c>
      <c r="L1011" t="s">
        <v>62</v>
      </c>
      <c r="M1011" t="s">
        <v>214</v>
      </c>
      <c r="N1011" t="s">
        <v>221</v>
      </c>
      <c r="O1011" t="s">
        <v>222</v>
      </c>
      <c r="P1011">
        <v>-20.158049999999999</v>
      </c>
      <c r="Q1011">
        <v>-44.868823999999996</v>
      </c>
      <c r="R1011" s="2" t="str">
        <f>HYPERLINK("https://www.google.com/maps?q=-20.1580500,-44.8688240","Abrir no Google Maps")</f>
        <v>Abrir no Google Maps</v>
      </c>
      <c r="S1011">
        <v>4</v>
      </c>
      <c r="T1011">
        <v>400.85705002223079</v>
      </c>
      <c r="U1011">
        <v>4</v>
      </c>
      <c r="V1011">
        <v>27</v>
      </c>
      <c r="W1011">
        <v>1</v>
      </c>
      <c r="X1011">
        <v>27</v>
      </c>
      <c r="Y1011">
        <v>531</v>
      </c>
      <c r="Z1011">
        <v>493.98501624607121</v>
      </c>
      <c r="AA1011">
        <v>198</v>
      </c>
      <c r="AB1011">
        <v>332</v>
      </c>
      <c r="AC1011">
        <v>536</v>
      </c>
      <c r="AD1011">
        <v>29.96</v>
      </c>
      <c r="AE1011">
        <v>542</v>
      </c>
      <c r="AF1011">
        <v>29</v>
      </c>
      <c r="AG1011">
        <v>174</v>
      </c>
      <c r="AH1011">
        <v>129</v>
      </c>
      <c r="AI1011">
        <v>5.35</v>
      </c>
      <c r="AJ1011">
        <v>32.1</v>
      </c>
      <c r="AK1011">
        <v>23.8</v>
      </c>
      <c r="AL1011">
        <v>-20.158020649999969</v>
      </c>
      <c r="AM1011">
        <v>-44.868748475381317</v>
      </c>
      <c r="AN1011">
        <v>-20.158020649999969</v>
      </c>
      <c r="AO1011">
        <v>-44.868748475381331</v>
      </c>
      <c r="AP1011">
        <v>-20.158049999999999</v>
      </c>
      <c r="AQ1011">
        <v>-44.868823999999996</v>
      </c>
      <c r="AR1011">
        <v>8.5419571471718818</v>
      </c>
      <c r="AS1011" t="s">
        <v>65</v>
      </c>
      <c r="AT1011">
        <v>1</v>
      </c>
      <c r="AU1011" t="s">
        <v>223</v>
      </c>
      <c r="AV1011" t="s">
        <v>224</v>
      </c>
      <c r="AW1011" t="s">
        <v>60</v>
      </c>
      <c r="AX1011" t="s">
        <v>68</v>
      </c>
      <c r="AY1011" t="s">
        <v>69</v>
      </c>
      <c r="AZ1011" t="b">
        <v>1</v>
      </c>
    </row>
    <row r="1012" spans="1:52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2128</v>
      </c>
      <c r="F1012" t="s">
        <v>57</v>
      </c>
      <c r="G1012" t="s">
        <v>219</v>
      </c>
      <c r="H1012" t="s">
        <v>2129</v>
      </c>
      <c r="I1012" t="s">
        <v>2129</v>
      </c>
      <c r="J1012" t="s">
        <v>60</v>
      </c>
      <c r="K1012" t="s">
        <v>1165</v>
      </c>
      <c r="L1012" t="s">
        <v>62</v>
      </c>
      <c r="M1012" t="s">
        <v>1165</v>
      </c>
      <c r="N1012" t="s">
        <v>221</v>
      </c>
      <c r="O1012" t="s">
        <v>2130</v>
      </c>
      <c r="P1012">
        <v>-20.156721000000001</v>
      </c>
      <c r="Q1012">
        <v>-44.862000000000002</v>
      </c>
      <c r="R1012" s="2" t="str">
        <f>HYPERLINK("https://www.google.com/maps?q=-20.1567210,-44.8620000","Abrir no Google Maps")</f>
        <v>Abrir no Google Maps</v>
      </c>
      <c r="S1012">
        <v>4</v>
      </c>
      <c r="T1012">
        <v>471.61852854830028</v>
      </c>
      <c r="U1012">
        <v>4</v>
      </c>
      <c r="V1012">
        <v>25</v>
      </c>
      <c r="W1012">
        <v>0.85</v>
      </c>
      <c r="X1012">
        <v>21.25</v>
      </c>
      <c r="Y1012">
        <v>518</v>
      </c>
      <c r="Z1012">
        <v>453.51649447198128</v>
      </c>
      <c r="AA1012">
        <v>198</v>
      </c>
      <c r="AB1012">
        <v>332</v>
      </c>
      <c r="AC1012">
        <v>536</v>
      </c>
      <c r="AD1012">
        <v>29.96</v>
      </c>
      <c r="AE1012">
        <v>542</v>
      </c>
      <c r="AF1012">
        <v>29</v>
      </c>
      <c r="AG1012">
        <v>174</v>
      </c>
      <c r="AH1012">
        <v>129</v>
      </c>
      <c r="AI1012">
        <v>5.35</v>
      </c>
      <c r="AJ1012">
        <v>32.1</v>
      </c>
      <c r="AK1012">
        <v>23.8</v>
      </c>
      <c r="AL1012">
        <v>-20.156574899999949</v>
      </c>
      <c r="AM1012">
        <v>-44.861856840496699</v>
      </c>
      <c r="AN1012">
        <v>-20.156574899999949</v>
      </c>
      <c r="AO1012">
        <v>-44.861856840496699</v>
      </c>
      <c r="AP1012">
        <v>-20.156721000000001</v>
      </c>
      <c r="AQ1012">
        <v>-44.862000000000002</v>
      </c>
      <c r="AR1012">
        <v>22.09816067181935</v>
      </c>
      <c r="AS1012" t="s">
        <v>65</v>
      </c>
      <c r="AT1012">
        <v>1</v>
      </c>
      <c r="AU1012" t="s">
        <v>2131</v>
      </c>
      <c r="AV1012" t="s">
        <v>2132</v>
      </c>
      <c r="AW1012" t="s">
        <v>60</v>
      </c>
      <c r="AX1012" t="s">
        <v>68</v>
      </c>
      <c r="AY1012" t="s">
        <v>69</v>
      </c>
      <c r="AZ1012" t="b">
        <v>1</v>
      </c>
    </row>
    <row r="1013" spans="1:52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2128</v>
      </c>
      <c r="F1013" t="s">
        <v>57</v>
      </c>
      <c r="G1013" t="s">
        <v>1618</v>
      </c>
      <c r="H1013" t="s">
        <v>1619</v>
      </c>
      <c r="I1013" t="s">
        <v>1619</v>
      </c>
      <c r="J1013" t="s">
        <v>60</v>
      </c>
      <c r="K1013" t="s">
        <v>227</v>
      </c>
      <c r="L1013" t="s">
        <v>62</v>
      </c>
      <c r="M1013" t="s">
        <v>227</v>
      </c>
      <c r="N1013" t="s">
        <v>228</v>
      </c>
      <c r="O1013" t="s">
        <v>1620</v>
      </c>
      <c r="P1013">
        <v>-20.159497999999999</v>
      </c>
      <c r="Q1013">
        <v>-44.852925999999997</v>
      </c>
      <c r="R1013" s="2" t="str">
        <f>HYPERLINK("https://www.google.com/maps?q=-20.1594980,-44.8529260","Abrir no Google Maps")</f>
        <v>Abrir no Google Maps</v>
      </c>
      <c r="S1013">
        <v>4</v>
      </c>
      <c r="T1013">
        <v>560.11627509727657</v>
      </c>
      <c r="U1013">
        <v>4</v>
      </c>
      <c r="V1013">
        <v>22</v>
      </c>
      <c r="W1013">
        <v>1</v>
      </c>
      <c r="X1013">
        <v>22</v>
      </c>
      <c r="Y1013">
        <v>491</v>
      </c>
      <c r="Z1013">
        <v>609.25494989442086</v>
      </c>
      <c r="AA1013">
        <v>198</v>
      </c>
      <c r="AB1013">
        <v>332</v>
      </c>
      <c r="AC1013">
        <v>536</v>
      </c>
      <c r="AD1013">
        <v>29.96</v>
      </c>
      <c r="AE1013">
        <v>542</v>
      </c>
      <c r="AF1013">
        <v>29</v>
      </c>
      <c r="AG1013">
        <v>174</v>
      </c>
      <c r="AH1013">
        <v>129</v>
      </c>
      <c r="AI1013">
        <v>5.35</v>
      </c>
      <c r="AJ1013">
        <v>32.1</v>
      </c>
      <c r="AK1013">
        <v>23.8</v>
      </c>
      <c r="AL1013">
        <v>-20.159495399999969</v>
      </c>
      <c r="AM1013">
        <v>-44.85297928977559</v>
      </c>
      <c r="AN1013">
        <v>-20.159495399999969</v>
      </c>
      <c r="AO1013">
        <v>-44.85297928977559</v>
      </c>
      <c r="AP1013">
        <v>-20.159497999999999</v>
      </c>
      <c r="AQ1013">
        <v>-44.852925999999997</v>
      </c>
      <c r="AR1013">
        <v>5.5763081103260701</v>
      </c>
      <c r="AS1013" t="s">
        <v>65</v>
      </c>
      <c r="AT1013">
        <v>1</v>
      </c>
      <c r="AU1013" t="s">
        <v>1621</v>
      </c>
      <c r="AV1013" t="s">
        <v>1622</v>
      </c>
      <c r="AW1013" t="s">
        <v>60</v>
      </c>
      <c r="AX1013" t="s">
        <v>68</v>
      </c>
      <c r="AY1013" t="s">
        <v>69</v>
      </c>
      <c r="AZ1013" t="b">
        <v>1</v>
      </c>
    </row>
    <row r="1014" spans="1:52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2128</v>
      </c>
      <c r="F1014" t="s">
        <v>57</v>
      </c>
      <c r="G1014" t="s">
        <v>127</v>
      </c>
      <c r="H1014" t="s">
        <v>128</v>
      </c>
      <c r="I1014" t="s">
        <v>128</v>
      </c>
      <c r="J1014" t="s">
        <v>60</v>
      </c>
      <c r="K1014" t="s">
        <v>129</v>
      </c>
      <c r="L1014" t="s">
        <v>62</v>
      </c>
      <c r="M1014" t="s">
        <v>129</v>
      </c>
      <c r="N1014" t="s">
        <v>130</v>
      </c>
      <c r="O1014" t="s">
        <v>131</v>
      </c>
      <c r="P1014">
        <v>-20.130752000000001</v>
      </c>
      <c r="Q1014">
        <v>-44.865676999999998</v>
      </c>
      <c r="R1014" s="2" t="str">
        <f>HYPERLINK("https://www.google.com/maps?q=-20.1307520,-44.8656770","Abrir no Google Maps")</f>
        <v>Abrir no Google Maps</v>
      </c>
      <c r="S1014">
        <v>4</v>
      </c>
      <c r="T1014">
        <v>666.25741128624747</v>
      </c>
      <c r="U1014">
        <v>4</v>
      </c>
      <c r="V1014">
        <v>29</v>
      </c>
      <c r="W1014">
        <v>1</v>
      </c>
      <c r="X1014">
        <v>29</v>
      </c>
      <c r="Y1014">
        <v>387</v>
      </c>
      <c r="Z1014">
        <v>838.7193965949632</v>
      </c>
      <c r="AA1014">
        <v>198</v>
      </c>
      <c r="AB1014">
        <v>332</v>
      </c>
      <c r="AC1014">
        <v>536</v>
      </c>
      <c r="AD1014">
        <v>29.96</v>
      </c>
      <c r="AE1014">
        <v>542</v>
      </c>
      <c r="AF1014">
        <v>29</v>
      </c>
      <c r="AG1014">
        <v>174</v>
      </c>
      <c r="AH1014">
        <v>129</v>
      </c>
      <c r="AI1014">
        <v>5.35</v>
      </c>
      <c r="AJ1014">
        <v>32.1</v>
      </c>
      <c r="AK1014">
        <v>23.8</v>
      </c>
      <c r="AL1014">
        <v>-20.130734049999969</v>
      </c>
      <c r="AM1014">
        <v>-44.86564904282416</v>
      </c>
      <c r="AN1014">
        <v>-20.130734049999969</v>
      </c>
      <c r="AO1014">
        <v>-44.86564904282416</v>
      </c>
      <c r="AP1014">
        <v>-20.130752000000001</v>
      </c>
      <c r="AQ1014">
        <v>-44.865676999999998</v>
      </c>
      <c r="AR1014">
        <v>3.539952280780454</v>
      </c>
      <c r="AS1014" t="s">
        <v>65</v>
      </c>
      <c r="AT1014">
        <v>1</v>
      </c>
      <c r="AU1014" t="s">
        <v>132</v>
      </c>
      <c r="AV1014" t="s">
        <v>133</v>
      </c>
      <c r="AW1014" t="s">
        <v>60</v>
      </c>
      <c r="AX1014" t="s">
        <v>68</v>
      </c>
      <c r="AY1014" t="s">
        <v>69</v>
      </c>
      <c r="AZ1014" t="b">
        <v>1</v>
      </c>
    </row>
    <row r="1015" spans="1:52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2128</v>
      </c>
      <c r="F1015" t="s">
        <v>57</v>
      </c>
      <c r="G1015" t="s">
        <v>1623</v>
      </c>
      <c r="H1015" t="s">
        <v>1624</v>
      </c>
      <c r="I1015" t="s">
        <v>1624</v>
      </c>
      <c r="J1015" t="s">
        <v>60</v>
      </c>
      <c r="K1015" t="s">
        <v>281</v>
      </c>
      <c r="L1015" t="s">
        <v>62</v>
      </c>
      <c r="M1015" t="s">
        <v>281</v>
      </c>
      <c r="N1015" t="s">
        <v>1625</v>
      </c>
      <c r="O1015" t="s">
        <v>1538</v>
      </c>
      <c r="P1015">
        <v>-20.177247000000001</v>
      </c>
      <c r="Q1015">
        <v>-44.848650999999997</v>
      </c>
      <c r="R1015" s="2" t="str">
        <f>HYPERLINK("https://www.google.com/maps?q=-20.1772470,-44.8486510","Abrir no Google Maps")</f>
        <v>Abrir no Google Maps</v>
      </c>
      <c r="S1015">
        <v>4</v>
      </c>
      <c r="T1015">
        <v>1293.074917502197</v>
      </c>
      <c r="U1015">
        <v>4</v>
      </c>
      <c r="V1015">
        <v>23</v>
      </c>
      <c r="W1015">
        <v>1</v>
      </c>
      <c r="X1015">
        <v>23</v>
      </c>
      <c r="Y1015">
        <v>292</v>
      </c>
      <c r="Z1015">
        <v>1225.3954943545491</v>
      </c>
      <c r="AA1015">
        <v>198</v>
      </c>
      <c r="AB1015">
        <v>332</v>
      </c>
      <c r="AC1015">
        <v>536</v>
      </c>
      <c r="AD1015">
        <v>29.96</v>
      </c>
      <c r="AE1015">
        <v>542</v>
      </c>
      <c r="AF1015">
        <v>29</v>
      </c>
      <c r="AG1015">
        <v>174</v>
      </c>
      <c r="AH1015">
        <v>129</v>
      </c>
      <c r="AI1015">
        <v>5.35</v>
      </c>
      <c r="AJ1015">
        <v>32.1</v>
      </c>
      <c r="AK1015">
        <v>23.8</v>
      </c>
      <c r="AL1015">
        <v>-20.17729789999996</v>
      </c>
      <c r="AM1015">
        <v>-44.848543982702637</v>
      </c>
      <c r="AN1015">
        <v>-20.17729789999996</v>
      </c>
      <c r="AO1015">
        <v>-44.848543982702637</v>
      </c>
      <c r="AP1015">
        <v>-20.177247000000001</v>
      </c>
      <c r="AQ1015">
        <v>-44.848650999999997</v>
      </c>
      <c r="AR1015">
        <v>12.53570773213052</v>
      </c>
      <c r="AS1015" t="s">
        <v>65</v>
      </c>
      <c r="AT1015">
        <v>1</v>
      </c>
      <c r="AU1015" t="s">
        <v>1626</v>
      </c>
      <c r="AV1015" t="s">
        <v>1627</v>
      </c>
      <c r="AW1015" t="s">
        <v>60</v>
      </c>
      <c r="AX1015" t="s">
        <v>68</v>
      </c>
      <c r="AY1015" t="s">
        <v>69</v>
      </c>
      <c r="AZ1015" t="b">
        <v>1</v>
      </c>
    </row>
    <row r="1016" spans="1:52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2128</v>
      </c>
      <c r="F1016" t="s">
        <v>57</v>
      </c>
      <c r="G1016" t="s">
        <v>260</v>
      </c>
      <c r="H1016" t="s">
        <v>261</v>
      </c>
      <c r="I1016" t="s">
        <v>261</v>
      </c>
      <c r="J1016" t="s">
        <v>60</v>
      </c>
      <c r="K1016" t="s">
        <v>262</v>
      </c>
      <c r="L1016" t="s">
        <v>62</v>
      </c>
      <c r="M1016" t="s">
        <v>262</v>
      </c>
      <c r="N1016" t="s">
        <v>263</v>
      </c>
      <c r="O1016" t="s">
        <v>264</v>
      </c>
      <c r="P1016">
        <v>-20.162230000000001</v>
      </c>
      <c r="Q1016">
        <v>-44.850189</v>
      </c>
      <c r="R1016" s="2" t="str">
        <f>HYPERLINK("https://www.google.com/maps?q=-20.1622300,-44.8501890","Abrir no Google Maps")</f>
        <v>Abrir no Google Maps</v>
      </c>
      <c r="S1016">
        <v>4</v>
      </c>
      <c r="T1016">
        <v>485.03737650296068</v>
      </c>
      <c r="U1016">
        <v>4</v>
      </c>
      <c r="V1016">
        <v>25</v>
      </c>
      <c r="W1016">
        <v>1</v>
      </c>
      <c r="X1016">
        <v>25</v>
      </c>
      <c r="Y1016">
        <v>292</v>
      </c>
      <c r="Z1016">
        <v>461.03925198673232</v>
      </c>
      <c r="AA1016">
        <v>198</v>
      </c>
      <c r="AB1016">
        <v>332</v>
      </c>
      <c r="AC1016">
        <v>536</v>
      </c>
      <c r="AD1016">
        <v>29.96</v>
      </c>
      <c r="AE1016">
        <v>542</v>
      </c>
      <c r="AF1016">
        <v>29</v>
      </c>
      <c r="AG1016">
        <v>174</v>
      </c>
      <c r="AH1016">
        <v>129</v>
      </c>
      <c r="AI1016">
        <v>5.35</v>
      </c>
      <c r="AJ1016">
        <v>32.1</v>
      </c>
      <c r="AK1016">
        <v>23.8</v>
      </c>
      <c r="AL1016">
        <v>-20.162067849999971</v>
      </c>
      <c r="AM1016">
        <v>-44.850230909322903</v>
      </c>
      <c r="AN1016">
        <v>-20.162067849999971</v>
      </c>
      <c r="AO1016">
        <v>-44.850230909322903</v>
      </c>
      <c r="AP1016">
        <v>-20.162230000000001</v>
      </c>
      <c r="AQ1016">
        <v>-44.850189</v>
      </c>
      <c r="AR1016">
        <v>18.574218491036259</v>
      </c>
      <c r="AS1016" t="s">
        <v>65</v>
      </c>
      <c r="AT1016">
        <v>1</v>
      </c>
      <c r="AU1016" t="s">
        <v>265</v>
      </c>
      <c r="AV1016" t="s">
        <v>266</v>
      </c>
      <c r="AW1016" t="s">
        <v>60</v>
      </c>
      <c r="AX1016" t="s">
        <v>68</v>
      </c>
      <c r="AY1016" t="s">
        <v>69</v>
      </c>
      <c r="AZ1016" t="b">
        <v>1</v>
      </c>
    </row>
    <row r="1017" spans="1:52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2128</v>
      </c>
      <c r="F1017" t="s">
        <v>57</v>
      </c>
      <c r="G1017" t="s">
        <v>1628</v>
      </c>
      <c r="H1017" t="s">
        <v>1629</v>
      </c>
      <c r="I1017" t="s">
        <v>1629</v>
      </c>
      <c r="J1017" t="s">
        <v>60</v>
      </c>
      <c r="K1017" t="s">
        <v>136</v>
      </c>
      <c r="L1017" t="s">
        <v>62</v>
      </c>
      <c r="M1017" t="s">
        <v>136</v>
      </c>
      <c r="N1017" t="s">
        <v>1630</v>
      </c>
      <c r="O1017" t="s">
        <v>103</v>
      </c>
      <c r="P1017">
        <v>-20.169488999999999</v>
      </c>
      <c r="Q1017">
        <v>-44.848812000000002</v>
      </c>
      <c r="R1017" s="2" t="str">
        <f>HYPERLINK("https://www.google.com/maps?q=-20.1694890,-44.8488120","Abrir no Google Maps")</f>
        <v>Abrir no Google Maps</v>
      </c>
      <c r="S1017">
        <v>4</v>
      </c>
      <c r="T1017">
        <v>426.92881761579793</v>
      </c>
      <c r="U1017">
        <v>4</v>
      </c>
      <c r="V1017">
        <v>29</v>
      </c>
      <c r="W1017">
        <v>1</v>
      </c>
      <c r="X1017">
        <v>29</v>
      </c>
      <c r="Y1017">
        <v>292</v>
      </c>
      <c r="Z1017">
        <v>345.01829288722871</v>
      </c>
      <c r="AA1017">
        <v>198</v>
      </c>
      <c r="AB1017">
        <v>332</v>
      </c>
      <c r="AC1017">
        <v>536</v>
      </c>
      <c r="AD1017">
        <v>29.96</v>
      </c>
      <c r="AE1017">
        <v>542</v>
      </c>
      <c r="AF1017">
        <v>29</v>
      </c>
      <c r="AG1017">
        <v>174</v>
      </c>
      <c r="AH1017">
        <v>129</v>
      </c>
      <c r="AI1017">
        <v>5.35</v>
      </c>
      <c r="AJ1017">
        <v>32.1</v>
      </c>
      <c r="AK1017">
        <v>23.8</v>
      </c>
      <c r="AL1017">
        <v>-20.169293749999959</v>
      </c>
      <c r="AM1017">
        <v>-44.848899945665508</v>
      </c>
      <c r="AN1017">
        <v>-20.169293749999959</v>
      </c>
      <c r="AO1017">
        <v>-44.848899945665508</v>
      </c>
      <c r="AP1017">
        <v>-20.169488999999999</v>
      </c>
      <c r="AQ1017">
        <v>-44.848812000000002</v>
      </c>
      <c r="AR1017">
        <v>23.598134321543789</v>
      </c>
      <c r="AS1017" t="s">
        <v>65</v>
      </c>
      <c r="AT1017">
        <v>1</v>
      </c>
      <c r="AU1017" t="s">
        <v>1631</v>
      </c>
      <c r="AV1017" t="s">
        <v>1632</v>
      </c>
      <c r="AW1017" t="s">
        <v>60</v>
      </c>
      <c r="AX1017" t="s">
        <v>68</v>
      </c>
      <c r="AY1017" t="s">
        <v>69</v>
      </c>
      <c r="AZ1017" t="b">
        <v>1</v>
      </c>
    </row>
    <row r="1018" spans="1:52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2128</v>
      </c>
      <c r="F1018" t="s">
        <v>57</v>
      </c>
      <c r="G1018" t="s">
        <v>267</v>
      </c>
      <c r="H1018" t="s">
        <v>268</v>
      </c>
      <c r="I1018" t="s">
        <v>268</v>
      </c>
      <c r="J1018" t="s">
        <v>60</v>
      </c>
      <c r="K1018" t="s">
        <v>150</v>
      </c>
      <c r="L1018" t="s">
        <v>62</v>
      </c>
      <c r="M1018" t="s">
        <v>150</v>
      </c>
      <c r="N1018" t="s">
        <v>269</v>
      </c>
      <c r="O1018" t="s">
        <v>270</v>
      </c>
      <c r="P1018">
        <v>-20.172367999999999</v>
      </c>
      <c r="Q1018">
        <v>-44.848661</v>
      </c>
      <c r="R1018" s="2" t="str">
        <f>HYPERLINK("https://www.google.com/maps?q=-20.1723680,-44.8486610","Abrir no Google Maps")</f>
        <v>Abrir no Google Maps</v>
      </c>
      <c r="S1018">
        <v>4</v>
      </c>
      <c r="T1018">
        <v>759.75892180950234</v>
      </c>
      <c r="U1018">
        <v>4</v>
      </c>
      <c r="V1018">
        <v>33</v>
      </c>
      <c r="W1018">
        <v>1</v>
      </c>
      <c r="X1018">
        <v>33</v>
      </c>
      <c r="Y1018">
        <v>292</v>
      </c>
      <c r="Z1018">
        <v>735.80511761487242</v>
      </c>
      <c r="AA1018">
        <v>198</v>
      </c>
      <c r="AB1018">
        <v>332</v>
      </c>
      <c r="AC1018">
        <v>536</v>
      </c>
      <c r="AD1018">
        <v>29.96</v>
      </c>
      <c r="AE1018">
        <v>542</v>
      </c>
      <c r="AF1018">
        <v>29</v>
      </c>
      <c r="AG1018">
        <v>174</v>
      </c>
      <c r="AH1018">
        <v>129</v>
      </c>
      <c r="AI1018">
        <v>5.35</v>
      </c>
      <c r="AJ1018">
        <v>32.1</v>
      </c>
      <c r="AK1018">
        <v>23.8</v>
      </c>
      <c r="AL1018">
        <v>-20.172435999999951</v>
      </c>
      <c r="AM1018">
        <v>-44.84866233556005</v>
      </c>
      <c r="AN1018">
        <v>-20.172435999999951</v>
      </c>
      <c r="AO1018">
        <v>-44.84866233556005</v>
      </c>
      <c r="AP1018">
        <v>-20.172367999999999</v>
      </c>
      <c r="AQ1018">
        <v>-44.848661</v>
      </c>
      <c r="AR1018">
        <v>7.5710462874877198</v>
      </c>
      <c r="AS1018" t="s">
        <v>65</v>
      </c>
      <c r="AT1018">
        <v>1</v>
      </c>
      <c r="AU1018" t="s">
        <v>271</v>
      </c>
      <c r="AV1018" t="s">
        <v>272</v>
      </c>
      <c r="AW1018" t="s">
        <v>60</v>
      </c>
      <c r="AX1018" t="s">
        <v>68</v>
      </c>
      <c r="AY1018" t="s">
        <v>69</v>
      </c>
      <c r="AZ1018" t="b">
        <v>1</v>
      </c>
    </row>
    <row r="1019" spans="1:52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2128</v>
      </c>
      <c r="F1019" t="s">
        <v>57</v>
      </c>
      <c r="G1019" t="s">
        <v>273</v>
      </c>
      <c r="H1019" t="s">
        <v>274</v>
      </c>
      <c r="I1019" t="s">
        <v>274</v>
      </c>
      <c r="J1019" t="s">
        <v>60</v>
      </c>
      <c r="K1019" t="s">
        <v>143</v>
      </c>
      <c r="L1019" t="s">
        <v>62</v>
      </c>
      <c r="M1019" t="s">
        <v>143</v>
      </c>
      <c r="N1019" t="s">
        <v>275</v>
      </c>
      <c r="O1019" t="s">
        <v>276</v>
      </c>
      <c r="P1019">
        <v>-20.171367</v>
      </c>
      <c r="Q1019">
        <v>-44.844709999999999</v>
      </c>
      <c r="R1019" s="2" t="str">
        <f>HYPERLINK("https://www.google.com/maps?q=-20.1713670,-44.8447100","Abrir no Google Maps")</f>
        <v>Abrir no Google Maps</v>
      </c>
      <c r="S1019">
        <v>4</v>
      </c>
      <c r="T1019">
        <v>700.36715126879801</v>
      </c>
      <c r="U1019">
        <v>4</v>
      </c>
      <c r="V1019">
        <v>30</v>
      </c>
      <c r="W1019">
        <v>1</v>
      </c>
      <c r="X1019">
        <v>30</v>
      </c>
      <c r="Y1019">
        <v>292</v>
      </c>
      <c r="Z1019">
        <v>767.70201658334747</v>
      </c>
      <c r="AA1019">
        <v>198</v>
      </c>
      <c r="AB1019">
        <v>332</v>
      </c>
      <c r="AC1019">
        <v>536</v>
      </c>
      <c r="AD1019">
        <v>29.96</v>
      </c>
      <c r="AE1019">
        <v>542</v>
      </c>
      <c r="AF1019">
        <v>29</v>
      </c>
      <c r="AG1019">
        <v>174</v>
      </c>
      <c r="AH1019">
        <v>129</v>
      </c>
      <c r="AI1019">
        <v>5.35</v>
      </c>
      <c r="AJ1019">
        <v>32.1</v>
      </c>
      <c r="AK1019">
        <v>23.8</v>
      </c>
      <c r="AL1019">
        <v>-20.17140124999997</v>
      </c>
      <c r="AM1019">
        <v>-44.844758486699448</v>
      </c>
      <c r="AN1019">
        <v>-20.171401249999981</v>
      </c>
      <c r="AO1019">
        <v>-44.844758486699448</v>
      </c>
      <c r="AP1019">
        <v>-20.171367</v>
      </c>
      <c r="AQ1019">
        <v>-44.844709999999999</v>
      </c>
      <c r="AR1019">
        <v>6.3408204899540994</v>
      </c>
      <c r="AS1019" t="s">
        <v>65</v>
      </c>
      <c r="AT1019">
        <v>1</v>
      </c>
      <c r="AU1019" t="s">
        <v>277</v>
      </c>
      <c r="AV1019" t="s">
        <v>278</v>
      </c>
      <c r="AW1019" t="s">
        <v>60</v>
      </c>
      <c r="AX1019" t="s">
        <v>68</v>
      </c>
      <c r="AY1019" t="s">
        <v>69</v>
      </c>
      <c r="AZ1019" t="b">
        <v>1</v>
      </c>
    </row>
    <row r="1020" spans="1:52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2128</v>
      </c>
      <c r="F1020" t="s">
        <v>57</v>
      </c>
      <c r="G1020" t="s">
        <v>279</v>
      </c>
      <c r="H1020" t="s">
        <v>280</v>
      </c>
      <c r="I1020" t="s">
        <v>280</v>
      </c>
      <c r="J1020" t="s">
        <v>60</v>
      </c>
      <c r="K1020" t="s">
        <v>281</v>
      </c>
      <c r="L1020" t="s">
        <v>62</v>
      </c>
      <c r="M1020" t="s">
        <v>281</v>
      </c>
      <c r="N1020" t="s">
        <v>282</v>
      </c>
      <c r="O1020" t="s">
        <v>283</v>
      </c>
      <c r="P1020">
        <v>-20.175312999999999</v>
      </c>
      <c r="Q1020">
        <v>-44.848562999999999</v>
      </c>
      <c r="R1020" s="2" t="str">
        <f>HYPERLINK("https://www.google.com/maps?q=-20.1753130,-44.8485630","Abrir no Google Maps")</f>
        <v>Abrir no Google Maps</v>
      </c>
      <c r="S1020">
        <v>4</v>
      </c>
      <c r="T1020">
        <v>1076.9164078034139</v>
      </c>
      <c r="U1020">
        <v>4</v>
      </c>
      <c r="V1020">
        <v>42</v>
      </c>
      <c r="W1020">
        <v>1</v>
      </c>
      <c r="X1020">
        <v>42</v>
      </c>
      <c r="Y1020">
        <v>292</v>
      </c>
      <c r="Z1020">
        <v>1035.650579259463</v>
      </c>
      <c r="AA1020">
        <v>198</v>
      </c>
      <c r="AB1020">
        <v>332</v>
      </c>
      <c r="AC1020">
        <v>536</v>
      </c>
      <c r="AD1020">
        <v>29.96</v>
      </c>
      <c r="AE1020">
        <v>542</v>
      </c>
      <c r="AF1020">
        <v>29</v>
      </c>
      <c r="AG1020">
        <v>174</v>
      </c>
      <c r="AH1020">
        <v>129</v>
      </c>
      <c r="AI1020">
        <v>5.35</v>
      </c>
      <c r="AJ1020">
        <v>32.1</v>
      </c>
      <c r="AK1020">
        <v>23.8</v>
      </c>
      <c r="AL1020">
        <v>-20.175338949999961</v>
      </c>
      <c r="AM1020">
        <v>-44.848523168324952</v>
      </c>
      <c r="AN1020">
        <v>-20.175338949999961</v>
      </c>
      <c r="AO1020">
        <v>-44.848523168324952</v>
      </c>
      <c r="AP1020">
        <v>-20.175312999999999</v>
      </c>
      <c r="AQ1020">
        <v>-44.848562999999999</v>
      </c>
      <c r="AR1020">
        <v>5.0662709576519056</v>
      </c>
      <c r="AS1020" t="s">
        <v>65</v>
      </c>
      <c r="AT1020">
        <v>1</v>
      </c>
      <c r="AU1020" t="s">
        <v>284</v>
      </c>
      <c r="AV1020" t="s">
        <v>285</v>
      </c>
      <c r="AW1020" t="s">
        <v>60</v>
      </c>
      <c r="AX1020" t="s">
        <v>68</v>
      </c>
      <c r="AY1020" t="s">
        <v>69</v>
      </c>
      <c r="AZ1020" t="b">
        <v>1</v>
      </c>
    </row>
    <row r="1021" spans="1:52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2128</v>
      </c>
      <c r="F1021" t="s">
        <v>57</v>
      </c>
      <c r="G1021" t="s">
        <v>134</v>
      </c>
      <c r="H1021" t="s">
        <v>135</v>
      </c>
      <c r="I1021" t="s">
        <v>135</v>
      </c>
      <c r="J1021" t="s">
        <v>60</v>
      </c>
      <c r="K1021" t="s">
        <v>136</v>
      </c>
      <c r="L1021" t="s">
        <v>62</v>
      </c>
      <c r="M1021" t="s">
        <v>136</v>
      </c>
      <c r="N1021" t="s">
        <v>137</v>
      </c>
      <c r="O1021" t="s">
        <v>138</v>
      </c>
      <c r="P1021">
        <v>-20.165773000000002</v>
      </c>
      <c r="Q1021">
        <v>-44.847566999999998</v>
      </c>
      <c r="R1021" s="2" t="str">
        <f>HYPERLINK("https://www.google.com/maps?q=-20.1657730,-44.8475670","Abrir no Google Maps")</f>
        <v>Abrir no Google Maps</v>
      </c>
      <c r="S1021">
        <v>4</v>
      </c>
      <c r="T1021">
        <v>0</v>
      </c>
      <c r="U1021">
        <v>4</v>
      </c>
      <c r="V1021">
        <v>36</v>
      </c>
      <c r="W1021">
        <v>1</v>
      </c>
      <c r="X1021">
        <v>36</v>
      </c>
      <c r="Y1021">
        <v>292</v>
      </c>
      <c r="Z1021">
        <v>98.987346341524855</v>
      </c>
      <c r="AA1021">
        <v>198</v>
      </c>
      <c r="AB1021">
        <v>332</v>
      </c>
      <c r="AC1021">
        <v>536</v>
      </c>
      <c r="AD1021">
        <v>29.96</v>
      </c>
      <c r="AE1021">
        <v>542</v>
      </c>
      <c r="AF1021">
        <v>29</v>
      </c>
      <c r="AG1021">
        <v>174</v>
      </c>
      <c r="AH1021">
        <v>129</v>
      </c>
      <c r="AI1021">
        <v>5.35</v>
      </c>
      <c r="AJ1021">
        <v>32.1</v>
      </c>
      <c r="AK1021">
        <v>23.8</v>
      </c>
      <c r="AL1021">
        <v>-20.16565029999995</v>
      </c>
      <c r="AM1021">
        <v>-44.847556627666897</v>
      </c>
      <c r="AN1021">
        <v>-20.16565029999995</v>
      </c>
      <c r="AO1021">
        <v>-44.847556627666897</v>
      </c>
      <c r="AP1021">
        <v>-20.165773000000002</v>
      </c>
      <c r="AQ1021">
        <v>-44.847566999999998</v>
      </c>
      <c r="AR1021">
        <v>13.701900146251189</v>
      </c>
      <c r="AS1021" t="s">
        <v>65</v>
      </c>
      <c r="AT1021">
        <v>1</v>
      </c>
      <c r="AU1021" t="s">
        <v>139</v>
      </c>
      <c r="AV1021" t="s">
        <v>140</v>
      </c>
      <c r="AW1021" t="s">
        <v>60</v>
      </c>
      <c r="AX1021" t="s">
        <v>68</v>
      </c>
      <c r="AY1021" t="s">
        <v>69</v>
      </c>
      <c r="AZ1021" t="b">
        <v>1</v>
      </c>
    </row>
    <row r="1022" spans="1:52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2128</v>
      </c>
      <c r="F1022" t="s">
        <v>57</v>
      </c>
      <c r="G1022" t="s">
        <v>253</v>
      </c>
      <c r="H1022" t="s">
        <v>286</v>
      </c>
      <c r="I1022" t="s">
        <v>286</v>
      </c>
      <c r="J1022" t="s">
        <v>60</v>
      </c>
      <c r="K1022" t="s">
        <v>136</v>
      </c>
      <c r="L1022" t="s">
        <v>62</v>
      </c>
      <c r="M1022" t="s">
        <v>136</v>
      </c>
      <c r="N1022" t="s">
        <v>256</v>
      </c>
      <c r="O1022" t="s">
        <v>287</v>
      </c>
      <c r="P1022">
        <v>-20.165067000000001</v>
      </c>
      <c r="Q1022">
        <v>-44.851146999999997</v>
      </c>
      <c r="R1022" s="2" t="str">
        <f>HYPERLINK("https://www.google.com/maps?q=-20.1650670,-44.8511470","Abrir no Google Maps")</f>
        <v>Abrir no Google Maps</v>
      </c>
      <c r="S1022">
        <v>4</v>
      </c>
      <c r="T1022">
        <v>374.14945573570043</v>
      </c>
      <c r="U1022">
        <v>4</v>
      </c>
      <c r="V1022">
        <v>27</v>
      </c>
      <c r="W1022">
        <v>1</v>
      </c>
      <c r="X1022">
        <v>27</v>
      </c>
      <c r="Y1022">
        <v>292</v>
      </c>
      <c r="Z1022">
        <v>295.9878686859272</v>
      </c>
      <c r="AA1022">
        <v>198</v>
      </c>
      <c r="AB1022">
        <v>332</v>
      </c>
      <c r="AC1022">
        <v>536</v>
      </c>
      <c r="AD1022">
        <v>29.96</v>
      </c>
      <c r="AE1022">
        <v>542</v>
      </c>
      <c r="AF1022">
        <v>29</v>
      </c>
      <c r="AG1022">
        <v>174</v>
      </c>
      <c r="AH1022">
        <v>129</v>
      </c>
      <c r="AI1022">
        <v>5.35</v>
      </c>
      <c r="AJ1022">
        <v>32.1</v>
      </c>
      <c r="AK1022">
        <v>23.8</v>
      </c>
      <c r="AL1022">
        <v>-20.164961799999961</v>
      </c>
      <c r="AM1022">
        <v>-44.851062119796737</v>
      </c>
      <c r="AN1022">
        <v>-20.164961799999961</v>
      </c>
      <c r="AO1022">
        <v>-44.851062119796737</v>
      </c>
      <c r="AP1022">
        <v>-20.165067000000001</v>
      </c>
      <c r="AQ1022">
        <v>-44.851146999999997</v>
      </c>
      <c r="AR1022">
        <v>14.690666366415</v>
      </c>
      <c r="AS1022" t="s">
        <v>65</v>
      </c>
      <c r="AT1022">
        <v>1</v>
      </c>
      <c r="AU1022" t="s">
        <v>288</v>
      </c>
      <c r="AV1022" t="s">
        <v>289</v>
      </c>
      <c r="AW1022" t="s">
        <v>60</v>
      </c>
      <c r="AX1022" t="s">
        <v>68</v>
      </c>
      <c r="AY1022" t="s">
        <v>69</v>
      </c>
      <c r="AZ1022" t="b">
        <v>1</v>
      </c>
    </row>
    <row r="1023" spans="1:52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2128</v>
      </c>
      <c r="F1023" t="s">
        <v>57</v>
      </c>
      <c r="G1023" t="s">
        <v>253</v>
      </c>
      <c r="H1023" t="s">
        <v>296</v>
      </c>
      <c r="I1023" t="s">
        <v>296</v>
      </c>
      <c r="J1023" t="s">
        <v>60</v>
      </c>
      <c r="K1023" t="s">
        <v>136</v>
      </c>
      <c r="L1023" t="s">
        <v>62</v>
      </c>
      <c r="M1023" t="s">
        <v>136</v>
      </c>
      <c r="N1023" t="s">
        <v>256</v>
      </c>
      <c r="O1023" t="s">
        <v>297</v>
      </c>
      <c r="P1023">
        <v>-20.168476999999999</v>
      </c>
      <c r="Q1023">
        <v>-44.852528</v>
      </c>
      <c r="R1023" s="2" t="str">
        <f>HYPERLINK("https://www.google.com/maps?q=-20.1684770,-44.8525280","Abrir no Google Maps")</f>
        <v>Abrir no Google Maps</v>
      </c>
      <c r="S1023">
        <v>4</v>
      </c>
      <c r="T1023">
        <v>587.16898087421623</v>
      </c>
      <c r="U1023">
        <v>4</v>
      </c>
      <c r="V1023">
        <v>27</v>
      </c>
      <c r="W1023">
        <v>1</v>
      </c>
      <c r="X1023">
        <v>27</v>
      </c>
      <c r="Y1023">
        <v>292</v>
      </c>
      <c r="Z1023">
        <v>471.75619463337938</v>
      </c>
      <c r="AA1023">
        <v>198</v>
      </c>
      <c r="AB1023">
        <v>332</v>
      </c>
      <c r="AC1023">
        <v>536</v>
      </c>
      <c r="AD1023">
        <v>29.96</v>
      </c>
      <c r="AE1023">
        <v>542</v>
      </c>
      <c r="AF1023">
        <v>29</v>
      </c>
      <c r="AG1023">
        <v>174</v>
      </c>
      <c r="AH1023">
        <v>129</v>
      </c>
      <c r="AI1023">
        <v>5.35</v>
      </c>
      <c r="AJ1023">
        <v>32.1</v>
      </c>
      <c r="AK1023">
        <v>23.8</v>
      </c>
      <c r="AL1023">
        <v>-20.16846514999995</v>
      </c>
      <c r="AM1023">
        <v>-44.852319844682007</v>
      </c>
      <c r="AN1023">
        <v>-20.168465149999939</v>
      </c>
      <c r="AO1023">
        <v>-44.852319844682007</v>
      </c>
      <c r="AP1023">
        <v>-20.168476999999999</v>
      </c>
      <c r="AQ1023">
        <v>-44.852528</v>
      </c>
      <c r="AR1023">
        <v>21.790984536052999</v>
      </c>
      <c r="AS1023" t="s">
        <v>65</v>
      </c>
      <c r="AT1023">
        <v>1</v>
      </c>
      <c r="AU1023" t="s">
        <v>298</v>
      </c>
      <c r="AV1023" t="s">
        <v>299</v>
      </c>
      <c r="AW1023" t="s">
        <v>60</v>
      </c>
      <c r="AX1023" t="s">
        <v>68</v>
      </c>
      <c r="AY1023" t="s">
        <v>69</v>
      </c>
      <c r="AZ1023" t="b">
        <v>1</v>
      </c>
    </row>
    <row r="1024" spans="1:52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2128</v>
      </c>
      <c r="F1024" t="s">
        <v>57</v>
      </c>
      <c r="G1024" t="s">
        <v>253</v>
      </c>
      <c r="H1024" t="s">
        <v>1633</v>
      </c>
      <c r="I1024" t="s">
        <v>1633</v>
      </c>
      <c r="J1024" t="s">
        <v>60</v>
      </c>
      <c r="K1024" t="s">
        <v>982</v>
      </c>
      <c r="L1024" t="s">
        <v>62</v>
      </c>
      <c r="M1024" t="s">
        <v>982</v>
      </c>
      <c r="N1024" t="s">
        <v>256</v>
      </c>
      <c r="O1024" t="s">
        <v>1634</v>
      </c>
      <c r="P1024">
        <v>-20.170407000000001</v>
      </c>
      <c r="Q1024">
        <v>-44.853330999999997</v>
      </c>
      <c r="R1024" s="2" t="str">
        <f>HYPERLINK("https://www.google.com/maps?q=-20.1704070,-44.8533310","Abrir no Google Maps")</f>
        <v>Abrir no Google Maps</v>
      </c>
      <c r="S1024">
        <v>4</v>
      </c>
      <c r="T1024">
        <v>801.41180076523165</v>
      </c>
      <c r="U1024">
        <v>4</v>
      </c>
      <c r="V1024">
        <v>27</v>
      </c>
      <c r="W1024">
        <v>1</v>
      </c>
      <c r="X1024">
        <v>27</v>
      </c>
      <c r="Y1024">
        <v>292</v>
      </c>
      <c r="Z1024">
        <v>726.46828777213966</v>
      </c>
      <c r="AA1024">
        <v>198</v>
      </c>
      <c r="AB1024">
        <v>332</v>
      </c>
      <c r="AC1024">
        <v>536</v>
      </c>
      <c r="AD1024">
        <v>29.96</v>
      </c>
      <c r="AE1024">
        <v>542</v>
      </c>
      <c r="AF1024">
        <v>29</v>
      </c>
      <c r="AG1024">
        <v>174</v>
      </c>
      <c r="AH1024">
        <v>129</v>
      </c>
      <c r="AI1024">
        <v>5.35</v>
      </c>
      <c r="AJ1024">
        <v>32.1</v>
      </c>
      <c r="AK1024">
        <v>23.8</v>
      </c>
      <c r="AL1024">
        <v>-20.170412849999959</v>
      </c>
      <c r="AM1024">
        <v>-44.853334311192633</v>
      </c>
      <c r="AN1024">
        <v>-20.170412849999959</v>
      </c>
      <c r="AO1024">
        <v>-44.853334311192633</v>
      </c>
      <c r="AP1024">
        <v>-20.170407000000001</v>
      </c>
      <c r="AQ1024">
        <v>-44.853330999999997</v>
      </c>
      <c r="AR1024">
        <v>0.73743023728700929</v>
      </c>
      <c r="AS1024" t="s">
        <v>65</v>
      </c>
      <c r="AT1024">
        <v>1</v>
      </c>
      <c r="AU1024" t="s">
        <v>1635</v>
      </c>
      <c r="AV1024" t="s">
        <v>1636</v>
      </c>
      <c r="AW1024" t="s">
        <v>60</v>
      </c>
      <c r="AX1024" t="s">
        <v>68</v>
      </c>
      <c r="AY1024" t="s">
        <v>69</v>
      </c>
      <c r="AZ1024" t="b">
        <v>1</v>
      </c>
    </row>
    <row r="1025" spans="1:52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2128</v>
      </c>
      <c r="F1025" t="s">
        <v>57</v>
      </c>
      <c r="G1025" t="s">
        <v>148</v>
      </c>
      <c r="H1025" t="s">
        <v>149</v>
      </c>
      <c r="I1025" t="s">
        <v>149</v>
      </c>
      <c r="J1025" t="s">
        <v>60</v>
      </c>
      <c r="K1025" t="s">
        <v>150</v>
      </c>
      <c r="L1025" t="s">
        <v>62</v>
      </c>
      <c r="M1025" t="s">
        <v>150</v>
      </c>
      <c r="N1025" t="s">
        <v>151</v>
      </c>
      <c r="O1025" t="s">
        <v>152</v>
      </c>
      <c r="P1025">
        <v>-20.174192999999999</v>
      </c>
      <c r="Q1025">
        <v>-44.850782000000002</v>
      </c>
      <c r="R1025" s="2" t="str">
        <f>HYPERLINK("https://www.google.com/maps?q=-20.1741930,-44.8507820","Abrir no Google Maps")</f>
        <v>Abrir no Google Maps</v>
      </c>
      <c r="S1025">
        <v>4</v>
      </c>
      <c r="T1025">
        <v>994.93657848632188</v>
      </c>
      <c r="U1025">
        <v>4</v>
      </c>
      <c r="V1025">
        <v>32</v>
      </c>
      <c r="W1025">
        <v>1</v>
      </c>
      <c r="X1025">
        <v>32</v>
      </c>
      <c r="Y1025">
        <v>292</v>
      </c>
      <c r="Z1025">
        <v>948.95851793804729</v>
      </c>
      <c r="AA1025">
        <v>198</v>
      </c>
      <c r="AB1025">
        <v>332</v>
      </c>
      <c r="AC1025">
        <v>536</v>
      </c>
      <c r="AD1025">
        <v>29.96</v>
      </c>
      <c r="AE1025">
        <v>542</v>
      </c>
      <c r="AF1025">
        <v>29</v>
      </c>
      <c r="AG1025">
        <v>174</v>
      </c>
      <c r="AH1025">
        <v>129</v>
      </c>
      <c r="AI1025">
        <v>5.35</v>
      </c>
      <c r="AJ1025">
        <v>32.1</v>
      </c>
      <c r="AK1025">
        <v>23.8</v>
      </c>
      <c r="AL1025">
        <v>-20.174122099999941</v>
      </c>
      <c r="AM1025">
        <v>-44.850744657037339</v>
      </c>
      <c r="AN1025">
        <v>-20.174122099999941</v>
      </c>
      <c r="AO1025">
        <v>-44.850744657037339</v>
      </c>
      <c r="AP1025">
        <v>-20.174192999999999</v>
      </c>
      <c r="AQ1025">
        <v>-44.850782000000002</v>
      </c>
      <c r="AR1025">
        <v>8.8044534253701947</v>
      </c>
      <c r="AS1025" t="s">
        <v>65</v>
      </c>
      <c r="AT1025">
        <v>1</v>
      </c>
      <c r="AU1025" t="s">
        <v>153</v>
      </c>
      <c r="AV1025" t="s">
        <v>154</v>
      </c>
      <c r="AW1025" t="s">
        <v>60</v>
      </c>
      <c r="AX1025" t="s">
        <v>68</v>
      </c>
      <c r="AY1025" t="s">
        <v>69</v>
      </c>
      <c r="AZ1025" t="b">
        <v>1</v>
      </c>
    </row>
    <row r="1026" spans="1:52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2128</v>
      </c>
      <c r="F1026" t="s">
        <v>57</v>
      </c>
      <c r="G1026" t="s">
        <v>260</v>
      </c>
      <c r="H1026" t="s">
        <v>317</v>
      </c>
      <c r="I1026" t="s">
        <v>317</v>
      </c>
      <c r="J1026" t="s">
        <v>60</v>
      </c>
      <c r="K1026" t="s">
        <v>255</v>
      </c>
      <c r="L1026" t="s">
        <v>62</v>
      </c>
      <c r="M1026" t="s">
        <v>255</v>
      </c>
      <c r="N1026" t="s">
        <v>263</v>
      </c>
      <c r="O1026" t="s">
        <v>318</v>
      </c>
      <c r="P1026">
        <v>-20.163532</v>
      </c>
      <c r="Q1026">
        <v>-44.846910999999999</v>
      </c>
      <c r="R1026" s="2" t="str">
        <f>HYPERLINK("https://www.google.com/maps?q=-20.1635320,-44.8469110","Abrir no Google Maps")</f>
        <v>Abrir no Google Maps</v>
      </c>
      <c r="S1026">
        <v>4</v>
      </c>
      <c r="T1026">
        <v>259.92389401636012</v>
      </c>
      <c r="U1026">
        <v>4</v>
      </c>
      <c r="V1026">
        <v>29</v>
      </c>
      <c r="W1026">
        <v>1</v>
      </c>
      <c r="X1026">
        <v>29</v>
      </c>
      <c r="Y1026">
        <v>292</v>
      </c>
      <c r="Z1026">
        <v>316.26738966059708</v>
      </c>
      <c r="AA1026">
        <v>198</v>
      </c>
      <c r="AB1026">
        <v>332</v>
      </c>
      <c r="AC1026">
        <v>536</v>
      </c>
      <c r="AD1026">
        <v>29.96</v>
      </c>
      <c r="AE1026">
        <v>542</v>
      </c>
      <c r="AF1026">
        <v>29</v>
      </c>
      <c r="AG1026">
        <v>174</v>
      </c>
      <c r="AH1026">
        <v>129</v>
      </c>
      <c r="AI1026">
        <v>5.35</v>
      </c>
      <c r="AJ1026">
        <v>32.1</v>
      </c>
      <c r="AK1026">
        <v>23.8</v>
      </c>
      <c r="AL1026">
        <v>-20.16343344999996</v>
      </c>
      <c r="AM1026">
        <v>-44.846734659744428</v>
      </c>
      <c r="AN1026">
        <v>-20.16343344999996</v>
      </c>
      <c r="AO1026">
        <v>-44.846734659744428</v>
      </c>
      <c r="AP1026">
        <v>-20.163532</v>
      </c>
      <c r="AQ1026">
        <v>-44.846910999999999</v>
      </c>
      <c r="AR1026">
        <v>21.445575432006599</v>
      </c>
      <c r="AS1026" t="s">
        <v>65</v>
      </c>
      <c r="AT1026">
        <v>1</v>
      </c>
      <c r="AU1026" t="s">
        <v>319</v>
      </c>
      <c r="AV1026" t="s">
        <v>320</v>
      </c>
      <c r="AW1026" t="s">
        <v>60</v>
      </c>
      <c r="AX1026" t="s">
        <v>68</v>
      </c>
      <c r="AY1026" t="s">
        <v>69</v>
      </c>
      <c r="AZ1026" t="b">
        <v>1</v>
      </c>
    </row>
    <row r="1027" spans="1:52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2128</v>
      </c>
      <c r="F1027" t="s">
        <v>57</v>
      </c>
      <c r="G1027" t="s">
        <v>321</v>
      </c>
      <c r="H1027" t="s">
        <v>322</v>
      </c>
      <c r="I1027" t="s">
        <v>322</v>
      </c>
      <c r="J1027" t="s">
        <v>60</v>
      </c>
      <c r="K1027" t="s">
        <v>323</v>
      </c>
      <c r="L1027" t="s">
        <v>62</v>
      </c>
      <c r="M1027" t="s">
        <v>323</v>
      </c>
      <c r="N1027" t="s">
        <v>324</v>
      </c>
      <c r="O1027" t="s">
        <v>325</v>
      </c>
      <c r="P1027">
        <v>-20.151437999999999</v>
      </c>
      <c r="Q1027">
        <v>-44.855761000000001</v>
      </c>
      <c r="R1027" s="2" t="str">
        <f>HYPERLINK("https://www.google.com/maps?q=-20.1514380,-44.8557610","Abrir no Google Maps")</f>
        <v>Abrir no Google Maps</v>
      </c>
      <c r="S1027">
        <v>4</v>
      </c>
      <c r="T1027">
        <v>970.69989262042009</v>
      </c>
      <c r="U1027">
        <v>4</v>
      </c>
      <c r="V1027">
        <v>24</v>
      </c>
      <c r="W1027">
        <v>1</v>
      </c>
      <c r="X1027">
        <v>24</v>
      </c>
      <c r="Y1027">
        <v>264</v>
      </c>
      <c r="Z1027">
        <v>1041.0105988261671</v>
      </c>
      <c r="AA1027">
        <v>198</v>
      </c>
      <c r="AB1027">
        <v>332</v>
      </c>
      <c r="AC1027">
        <v>536</v>
      </c>
      <c r="AD1027">
        <v>29.96</v>
      </c>
      <c r="AE1027">
        <v>542</v>
      </c>
      <c r="AF1027">
        <v>29</v>
      </c>
      <c r="AG1027">
        <v>174</v>
      </c>
      <c r="AH1027">
        <v>129</v>
      </c>
      <c r="AI1027">
        <v>5.35</v>
      </c>
      <c r="AJ1027">
        <v>32.1</v>
      </c>
      <c r="AK1027">
        <v>23.8</v>
      </c>
      <c r="AL1027">
        <v>-20.15142824999996</v>
      </c>
      <c r="AM1027">
        <v>-44.854100160898767</v>
      </c>
      <c r="AN1027">
        <v>-20.15142824999996</v>
      </c>
      <c r="AO1027">
        <v>-44.854100160898767</v>
      </c>
      <c r="AP1027">
        <v>-20.151437999999999</v>
      </c>
      <c r="AQ1027">
        <v>-44.855761000000001</v>
      </c>
      <c r="AR1027">
        <v>173.57036632351381</v>
      </c>
      <c r="AS1027" t="s">
        <v>65</v>
      </c>
      <c r="AT1027">
        <v>1</v>
      </c>
      <c r="AU1027" t="s">
        <v>326</v>
      </c>
      <c r="AV1027" t="s">
        <v>327</v>
      </c>
      <c r="AW1027" t="s">
        <v>60</v>
      </c>
      <c r="AX1027" t="s">
        <v>68</v>
      </c>
      <c r="AY1027" t="s">
        <v>69</v>
      </c>
      <c r="AZ1027" t="b">
        <v>1</v>
      </c>
    </row>
    <row r="1028" spans="1:52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2128</v>
      </c>
      <c r="F1028" t="s">
        <v>57</v>
      </c>
      <c r="G1028" t="s">
        <v>328</v>
      </c>
      <c r="H1028" t="s">
        <v>329</v>
      </c>
      <c r="I1028" t="s">
        <v>329</v>
      </c>
      <c r="J1028" t="s">
        <v>60</v>
      </c>
      <c r="K1028" t="s">
        <v>157</v>
      </c>
      <c r="L1028" t="s">
        <v>62</v>
      </c>
      <c r="M1028" t="s">
        <v>157</v>
      </c>
      <c r="N1028" t="s">
        <v>330</v>
      </c>
      <c r="O1028" t="s">
        <v>331</v>
      </c>
      <c r="P1028">
        <v>-20.167981999999999</v>
      </c>
      <c r="Q1028">
        <v>-44.885706999999996</v>
      </c>
      <c r="R1028" s="2" t="str">
        <f>HYPERLINK("https://www.google.com/maps?q=-20.1679820,-44.8857070","Abrir no Google Maps")</f>
        <v>Abrir no Google Maps</v>
      </c>
      <c r="S1028">
        <v>4</v>
      </c>
      <c r="T1028">
        <v>594.70112534633722</v>
      </c>
      <c r="U1028">
        <v>4</v>
      </c>
      <c r="V1028">
        <v>29</v>
      </c>
      <c r="W1028">
        <v>1</v>
      </c>
      <c r="X1028">
        <v>29</v>
      </c>
      <c r="Y1028">
        <v>232</v>
      </c>
      <c r="Z1028">
        <v>560.38516624860983</v>
      </c>
      <c r="AA1028">
        <v>198</v>
      </c>
      <c r="AB1028">
        <v>332</v>
      </c>
      <c r="AC1028">
        <v>536</v>
      </c>
      <c r="AD1028">
        <v>29.96</v>
      </c>
      <c r="AE1028">
        <v>542</v>
      </c>
      <c r="AF1028">
        <v>29</v>
      </c>
      <c r="AG1028">
        <v>174</v>
      </c>
      <c r="AH1028">
        <v>129</v>
      </c>
      <c r="AI1028">
        <v>5.35</v>
      </c>
      <c r="AJ1028">
        <v>32.1</v>
      </c>
      <c r="AK1028">
        <v>23.8</v>
      </c>
      <c r="AL1028">
        <v>-20.167931149999959</v>
      </c>
      <c r="AM1028">
        <v>-44.885606821741909</v>
      </c>
      <c r="AN1028">
        <v>-20.167931149999959</v>
      </c>
      <c r="AO1028">
        <v>-44.885606821741909</v>
      </c>
      <c r="AP1028">
        <v>-20.167981999999999</v>
      </c>
      <c r="AQ1028">
        <v>-44.885706999999996</v>
      </c>
      <c r="AR1028">
        <v>11.90056149590643</v>
      </c>
      <c r="AS1028" t="s">
        <v>65</v>
      </c>
      <c r="AT1028">
        <v>1</v>
      </c>
      <c r="AU1028" t="s">
        <v>332</v>
      </c>
      <c r="AV1028" t="s">
        <v>333</v>
      </c>
      <c r="AW1028" t="s">
        <v>60</v>
      </c>
      <c r="AX1028" t="s">
        <v>68</v>
      </c>
      <c r="AY1028" t="s">
        <v>69</v>
      </c>
      <c r="AZ1028" t="b">
        <v>1</v>
      </c>
    </row>
    <row r="1029" spans="1:52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2128</v>
      </c>
      <c r="F1029" t="s">
        <v>57</v>
      </c>
      <c r="G1029" t="s">
        <v>334</v>
      </c>
      <c r="H1029" t="s">
        <v>335</v>
      </c>
      <c r="I1029" t="s">
        <v>335</v>
      </c>
      <c r="J1029" t="s">
        <v>60</v>
      </c>
      <c r="K1029" t="s">
        <v>336</v>
      </c>
      <c r="L1029" t="s">
        <v>62</v>
      </c>
      <c r="M1029" t="s">
        <v>336</v>
      </c>
      <c r="N1029" t="s">
        <v>337</v>
      </c>
      <c r="O1029" t="s">
        <v>338</v>
      </c>
      <c r="P1029">
        <v>-20.168142</v>
      </c>
      <c r="Q1029">
        <v>-44.875697000000002</v>
      </c>
      <c r="R1029" s="2" t="str">
        <f>HYPERLINK("https://www.google.com/maps?q=-20.1681420,-44.8756970","Abrir no Google Maps")</f>
        <v>Abrir no Google Maps</v>
      </c>
      <c r="S1029">
        <v>4</v>
      </c>
      <c r="T1029">
        <v>678.04878367834192</v>
      </c>
      <c r="U1029">
        <v>4</v>
      </c>
      <c r="V1029">
        <v>21</v>
      </c>
      <c r="W1029">
        <v>1</v>
      </c>
      <c r="X1029">
        <v>21</v>
      </c>
      <c r="Y1029">
        <v>232</v>
      </c>
      <c r="Z1029">
        <v>595.98467532792097</v>
      </c>
      <c r="AA1029">
        <v>198</v>
      </c>
      <c r="AB1029">
        <v>332</v>
      </c>
      <c r="AC1029">
        <v>536</v>
      </c>
      <c r="AD1029">
        <v>29.96</v>
      </c>
      <c r="AE1029">
        <v>542</v>
      </c>
      <c r="AF1029">
        <v>29</v>
      </c>
      <c r="AG1029">
        <v>174</v>
      </c>
      <c r="AH1029">
        <v>129</v>
      </c>
      <c r="AI1029">
        <v>5.35</v>
      </c>
      <c r="AJ1029">
        <v>32.1</v>
      </c>
      <c r="AK1029">
        <v>23.8</v>
      </c>
      <c r="AL1029">
        <v>-20.16787839999995</v>
      </c>
      <c r="AM1029">
        <v>-44.875681825945229</v>
      </c>
      <c r="AN1029">
        <v>-20.16787839999995</v>
      </c>
      <c r="AO1029">
        <v>-44.875681825945229</v>
      </c>
      <c r="AP1029">
        <v>-20.168142</v>
      </c>
      <c r="AQ1029">
        <v>-44.875697000000002</v>
      </c>
      <c r="AR1029">
        <v>29.386760063894371</v>
      </c>
      <c r="AS1029" t="s">
        <v>65</v>
      </c>
      <c r="AT1029">
        <v>1</v>
      </c>
      <c r="AU1029" t="s">
        <v>339</v>
      </c>
      <c r="AV1029" t="s">
        <v>340</v>
      </c>
      <c r="AW1029" t="s">
        <v>60</v>
      </c>
      <c r="AX1029" t="s">
        <v>68</v>
      </c>
      <c r="AY1029" t="s">
        <v>69</v>
      </c>
      <c r="AZ1029" t="b">
        <v>1</v>
      </c>
    </row>
    <row r="1030" spans="1:52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2128</v>
      </c>
      <c r="F1030" t="s">
        <v>57</v>
      </c>
      <c r="G1030" t="s">
        <v>155</v>
      </c>
      <c r="H1030" t="s">
        <v>156</v>
      </c>
      <c r="I1030" t="s">
        <v>156</v>
      </c>
      <c r="J1030" t="s">
        <v>60</v>
      </c>
      <c r="K1030" t="s">
        <v>157</v>
      </c>
      <c r="L1030" t="s">
        <v>62</v>
      </c>
      <c r="M1030" t="s">
        <v>157</v>
      </c>
      <c r="N1030" t="s">
        <v>158</v>
      </c>
      <c r="O1030" t="s">
        <v>159</v>
      </c>
      <c r="P1030">
        <v>-20.166302999999999</v>
      </c>
      <c r="Q1030">
        <v>-44.880659999999999</v>
      </c>
      <c r="R1030" s="2" t="str">
        <f>HYPERLINK("https://www.google.com/maps?q=-20.1663030,-44.8806600","Abrir no Google Maps")</f>
        <v>Abrir no Google Maps</v>
      </c>
      <c r="S1030">
        <v>4</v>
      </c>
      <c r="T1030">
        <v>504.41812426451338</v>
      </c>
      <c r="U1030">
        <v>4</v>
      </c>
      <c r="V1030">
        <v>24</v>
      </c>
      <c r="W1030">
        <v>1</v>
      </c>
      <c r="X1030">
        <v>24</v>
      </c>
      <c r="Y1030">
        <v>232</v>
      </c>
      <c r="Z1030">
        <v>279.57571553948952</v>
      </c>
      <c r="AA1030">
        <v>198</v>
      </c>
      <c r="AB1030">
        <v>332</v>
      </c>
      <c r="AC1030">
        <v>536</v>
      </c>
      <c r="AD1030">
        <v>29.96</v>
      </c>
      <c r="AE1030">
        <v>542</v>
      </c>
      <c r="AF1030">
        <v>29</v>
      </c>
      <c r="AG1030">
        <v>174</v>
      </c>
      <c r="AH1030">
        <v>129</v>
      </c>
      <c r="AI1030">
        <v>5.35</v>
      </c>
      <c r="AJ1030">
        <v>32.1</v>
      </c>
      <c r="AK1030">
        <v>23.8</v>
      </c>
      <c r="AL1030">
        <v>-20.166700449999951</v>
      </c>
      <c r="AM1030">
        <v>-44.880573341714289</v>
      </c>
      <c r="AN1030">
        <v>-20.166700449999951</v>
      </c>
      <c r="AO1030">
        <v>-44.880573341714289</v>
      </c>
      <c r="AP1030">
        <v>-20.166302999999999</v>
      </c>
      <c r="AQ1030">
        <v>-44.880659999999999</v>
      </c>
      <c r="AR1030">
        <v>45.161304979350312</v>
      </c>
      <c r="AS1030" t="s">
        <v>65</v>
      </c>
      <c r="AT1030">
        <v>1</v>
      </c>
      <c r="AU1030" t="s">
        <v>160</v>
      </c>
      <c r="AV1030" t="s">
        <v>161</v>
      </c>
      <c r="AW1030" t="s">
        <v>60</v>
      </c>
      <c r="AX1030" t="s">
        <v>68</v>
      </c>
      <c r="AY1030" t="s">
        <v>69</v>
      </c>
      <c r="AZ1030" t="b">
        <v>1</v>
      </c>
    </row>
    <row r="1031" spans="1:52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2128</v>
      </c>
      <c r="F1031" t="s">
        <v>57</v>
      </c>
      <c r="G1031" t="s">
        <v>162</v>
      </c>
      <c r="H1031" t="s">
        <v>163</v>
      </c>
      <c r="I1031" t="s">
        <v>163</v>
      </c>
      <c r="J1031" t="s">
        <v>60</v>
      </c>
      <c r="K1031" t="s">
        <v>164</v>
      </c>
      <c r="L1031" t="s">
        <v>62</v>
      </c>
      <c r="M1031" t="s">
        <v>164</v>
      </c>
      <c r="N1031" t="s">
        <v>165</v>
      </c>
      <c r="O1031" t="s">
        <v>166</v>
      </c>
      <c r="P1031">
        <v>-20.175967</v>
      </c>
      <c r="Q1031">
        <v>-44.876730000000002</v>
      </c>
      <c r="R1031" s="2" t="str">
        <f>HYPERLINK("https://www.google.com/maps?q=-20.1759670,-44.8767300","Abrir no Google Maps")</f>
        <v>Abrir no Google Maps</v>
      </c>
      <c r="S1031">
        <v>4</v>
      </c>
      <c r="T1031">
        <v>692.5753730151132</v>
      </c>
      <c r="U1031">
        <v>4</v>
      </c>
      <c r="V1031">
        <v>24</v>
      </c>
      <c r="W1031">
        <v>1</v>
      </c>
      <c r="X1031">
        <v>24</v>
      </c>
      <c r="Y1031">
        <v>232</v>
      </c>
      <c r="Z1031">
        <v>686.15054949166824</v>
      </c>
      <c r="AA1031">
        <v>198</v>
      </c>
      <c r="AB1031">
        <v>332</v>
      </c>
      <c r="AC1031">
        <v>536</v>
      </c>
      <c r="AD1031">
        <v>29.96</v>
      </c>
      <c r="AE1031">
        <v>542</v>
      </c>
      <c r="AF1031">
        <v>29</v>
      </c>
      <c r="AG1031">
        <v>174</v>
      </c>
      <c r="AH1031">
        <v>129</v>
      </c>
      <c r="AI1031">
        <v>5.35</v>
      </c>
      <c r="AJ1031">
        <v>32.1</v>
      </c>
      <c r="AK1031">
        <v>23.8</v>
      </c>
      <c r="AL1031">
        <v>-20.17598664999997</v>
      </c>
      <c r="AM1031">
        <v>-44.876806510253203</v>
      </c>
      <c r="AN1031">
        <v>-20.17598664999997</v>
      </c>
      <c r="AO1031">
        <v>-44.876806510253203</v>
      </c>
      <c r="AP1031">
        <v>-20.175967</v>
      </c>
      <c r="AQ1031">
        <v>-44.876730000000002</v>
      </c>
      <c r="AR1031">
        <v>8.2883514287440097</v>
      </c>
      <c r="AS1031" t="s">
        <v>65</v>
      </c>
      <c r="AT1031">
        <v>1</v>
      </c>
      <c r="AU1031" t="s">
        <v>167</v>
      </c>
      <c r="AV1031" t="s">
        <v>168</v>
      </c>
      <c r="AW1031" t="s">
        <v>60</v>
      </c>
      <c r="AX1031" t="s">
        <v>68</v>
      </c>
      <c r="AY1031" t="s">
        <v>69</v>
      </c>
      <c r="AZ1031" t="b">
        <v>1</v>
      </c>
    </row>
    <row r="1032" spans="1:52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2128</v>
      </c>
      <c r="F1032" t="s">
        <v>57</v>
      </c>
      <c r="G1032" t="s">
        <v>353</v>
      </c>
      <c r="H1032" t="s">
        <v>354</v>
      </c>
      <c r="I1032" t="s">
        <v>354</v>
      </c>
      <c r="J1032" t="s">
        <v>60</v>
      </c>
      <c r="K1032" t="s">
        <v>355</v>
      </c>
      <c r="L1032" t="s">
        <v>62</v>
      </c>
      <c r="M1032" t="s">
        <v>355</v>
      </c>
      <c r="N1032" t="s">
        <v>356</v>
      </c>
      <c r="O1032" t="s">
        <v>357</v>
      </c>
      <c r="P1032">
        <v>-20.147373999999999</v>
      </c>
      <c r="Q1032">
        <v>-44.875141999999997</v>
      </c>
      <c r="R1032" s="2" t="str">
        <f>HYPERLINK("https://www.google.com/maps?q=-20.1473740,-44.8751420","Abrir no Google Maps")</f>
        <v>Abrir no Google Maps</v>
      </c>
      <c r="S1032">
        <v>4</v>
      </c>
      <c r="T1032">
        <v>394.29708169591709</v>
      </c>
      <c r="U1032">
        <v>4</v>
      </c>
      <c r="V1032">
        <v>30</v>
      </c>
      <c r="W1032">
        <v>1</v>
      </c>
      <c r="X1032">
        <v>30</v>
      </c>
      <c r="Y1032">
        <v>209</v>
      </c>
      <c r="Z1032">
        <v>326.95034461828868</v>
      </c>
      <c r="AA1032">
        <v>198</v>
      </c>
      <c r="AB1032">
        <v>332</v>
      </c>
      <c r="AC1032">
        <v>536</v>
      </c>
      <c r="AD1032">
        <v>29.96</v>
      </c>
      <c r="AE1032">
        <v>542</v>
      </c>
      <c r="AF1032">
        <v>29</v>
      </c>
      <c r="AG1032">
        <v>174</v>
      </c>
      <c r="AH1032">
        <v>129</v>
      </c>
      <c r="AI1032">
        <v>5.35</v>
      </c>
      <c r="AJ1032">
        <v>32.1</v>
      </c>
      <c r="AK1032">
        <v>23.8</v>
      </c>
      <c r="AL1032">
        <v>-20.147207999999949</v>
      </c>
      <c r="AM1032">
        <v>-44.875152120336942</v>
      </c>
      <c r="AN1032">
        <v>-20.147207999999949</v>
      </c>
      <c r="AO1032">
        <v>-44.875152120336942</v>
      </c>
      <c r="AP1032">
        <v>-20.147373999999999</v>
      </c>
      <c r="AQ1032">
        <v>-44.875141999999997</v>
      </c>
      <c r="AR1032">
        <v>18.509363081081169</v>
      </c>
      <c r="AS1032" t="s">
        <v>65</v>
      </c>
      <c r="AT1032">
        <v>1</v>
      </c>
      <c r="AU1032" t="s">
        <v>358</v>
      </c>
      <c r="AV1032" t="s">
        <v>359</v>
      </c>
      <c r="AW1032" t="s">
        <v>60</v>
      </c>
      <c r="AX1032" t="s">
        <v>68</v>
      </c>
      <c r="AY1032" t="s">
        <v>69</v>
      </c>
      <c r="AZ1032" t="b">
        <v>1</v>
      </c>
    </row>
    <row r="1033" spans="1:52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2128</v>
      </c>
      <c r="F1033" t="s">
        <v>57</v>
      </c>
      <c r="G1033" t="s">
        <v>366</v>
      </c>
      <c r="H1033" t="s">
        <v>367</v>
      </c>
      <c r="I1033" t="s">
        <v>367</v>
      </c>
      <c r="J1033" t="s">
        <v>60</v>
      </c>
      <c r="K1033" t="s">
        <v>368</v>
      </c>
      <c r="L1033" t="s">
        <v>62</v>
      </c>
      <c r="M1033" t="s">
        <v>368</v>
      </c>
      <c r="N1033" t="s">
        <v>369</v>
      </c>
      <c r="O1033" t="s">
        <v>370</v>
      </c>
      <c r="P1033">
        <v>-20.144553999999999</v>
      </c>
      <c r="Q1033">
        <v>-44.868183000000002</v>
      </c>
      <c r="R1033" s="2" t="str">
        <f>HYPERLINK("https://www.google.com/maps?q=-20.1445540,-44.8681830","Abrir no Google Maps")</f>
        <v>Abrir no Google Maps</v>
      </c>
      <c r="S1033">
        <v>4</v>
      </c>
      <c r="T1033">
        <v>783.87848835431373</v>
      </c>
      <c r="U1033">
        <v>4</v>
      </c>
      <c r="V1033">
        <v>36</v>
      </c>
      <c r="W1033">
        <v>1</v>
      </c>
      <c r="X1033">
        <v>36</v>
      </c>
      <c r="Y1033">
        <v>198</v>
      </c>
      <c r="Z1033">
        <v>360.68413994394842</v>
      </c>
      <c r="AA1033">
        <v>198</v>
      </c>
      <c r="AB1033">
        <v>332</v>
      </c>
      <c r="AC1033">
        <v>536</v>
      </c>
      <c r="AD1033">
        <v>29.96</v>
      </c>
      <c r="AE1033">
        <v>542</v>
      </c>
      <c r="AF1033">
        <v>29</v>
      </c>
      <c r="AG1033">
        <v>174</v>
      </c>
      <c r="AH1033">
        <v>129</v>
      </c>
      <c r="AI1033">
        <v>5.35</v>
      </c>
      <c r="AJ1033">
        <v>32.1</v>
      </c>
      <c r="AK1033">
        <v>23.8</v>
      </c>
      <c r="AL1033">
        <v>-20.144487399999949</v>
      </c>
      <c r="AM1033">
        <v>-44.868111936674481</v>
      </c>
      <c r="AN1033">
        <v>-20.144487399999939</v>
      </c>
      <c r="AO1033">
        <v>-44.868111936674481</v>
      </c>
      <c r="AP1033">
        <v>-20.144553999999999</v>
      </c>
      <c r="AQ1033">
        <v>-44.868183000000002</v>
      </c>
      <c r="AR1033">
        <v>10.49400387332288</v>
      </c>
      <c r="AS1033" t="s">
        <v>65</v>
      </c>
      <c r="AT1033">
        <v>1</v>
      </c>
      <c r="AU1033" t="s">
        <v>371</v>
      </c>
      <c r="AV1033" t="s">
        <v>372</v>
      </c>
      <c r="AW1033" t="s">
        <v>60</v>
      </c>
      <c r="AX1033" t="s">
        <v>68</v>
      </c>
      <c r="AY1033" t="s">
        <v>69</v>
      </c>
      <c r="AZ1033" t="b">
        <v>1</v>
      </c>
    </row>
    <row r="1034" spans="1:52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2128</v>
      </c>
      <c r="F1034" t="s">
        <v>57</v>
      </c>
      <c r="G1034" t="s">
        <v>1660</v>
      </c>
      <c r="H1034" t="s">
        <v>1661</v>
      </c>
      <c r="I1034" t="s">
        <v>1661</v>
      </c>
      <c r="J1034" t="s">
        <v>60</v>
      </c>
      <c r="K1034" t="s">
        <v>164</v>
      </c>
      <c r="L1034" t="s">
        <v>62</v>
      </c>
      <c r="M1034" t="s">
        <v>164</v>
      </c>
      <c r="N1034" t="s">
        <v>1662</v>
      </c>
      <c r="O1034" t="s">
        <v>1663</v>
      </c>
      <c r="P1034">
        <v>-20.181692000000002</v>
      </c>
      <c r="Q1034">
        <v>-44.877276000000002</v>
      </c>
      <c r="R1034" s="2" t="str">
        <f>HYPERLINK("https://www.google.com/maps?q=-20.1816920,-44.8772760","Abrir no Google Maps")</f>
        <v>Abrir no Google Maps</v>
      </c>
      <c r="S1034">
        <v>4</v>
      </c>
      <c r="T1034">
        <v>630.49689192580956</v>
      </c>
      <c r="U1034">
        <v>4</v>
      </c>
      <c r="V1034">
        <v>21</v>
      </c>
      <c r="W1034">
        <v>1</v>
      </c>
      <c r="X1034">
        <v>21</v>
      </c>
      <c r="Y1034">
        <v>101</v>
      </c>
      <c r="Z1034">
        <v>732.81472992851411</v>
      </c>
      <c r="AA1034">
        <v>198</v>
      </c>
      <c r="AB1034">
        <v>332</v>
      </c>
      <c r="AC1034">
        <v>536</v>
      </c>
      <c r="AD1034">
        <v>29.96</v>
      </c>
      <c r="AE1034">
        <v>542</v>
      </c>
      <c r="AF1034">
        <v>29</v>
      </c>
      <c r="AG1034">
        <v>174</v>
      </c>
      <c r="AH1034">
        <v>129</v>
      </c>
      <c r="AI1034">
        <v>5.35</v>
      </c>
      <c r="AJ1034">
        <v>32.1</v>
      </c>
      <c r="AK1034">
        <v>23.8</v>
      </c>
      <c r="AL1034">
        <v>-20.181644349999971</v>
      </c>
      <c r="AM1034">
        <v>-44.876890970787557</v>
      </c>
      <c r="AN1034">
        <v>-20.181644349999971</v>
      </c>
      <c r="AO1034">
        <v>-44.876890970787557</v>
      </c>
      <c r="AP1034">
        <v>-20.181692000000002</v>
      </c>
      <c r="AQ1034">
        <v>-44.877276000000002</v>
      </c>
      <c r="AR1034">
        <v>40.578104107908509</v>
      </c>
      <c r="AS1034" t="s">
        <v>65</v>
      </c>
      <c r="AT1034">
        <v>1</v>
      </c>
      <c r="AU1034" t="s">
        <v>1664</v>
      </c>
      <c r="AV1034" t="s">
        <v>1665</v>
      </c>
      <c r="AW1034" t="s">
        <v>60</v>
      </c>
      <c r="AX1034" t="s">
        <v>68</v>
      </c>
      <c r="AY1034" t="s">
        <v>69</v>
      </c>
      <c r="AZ1034" t="b">
        <v>1</v>
      </c>
    </row>
    <row r="1035" spans="1:52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2128</v>
      </c>
      <c r="F1035" t="s">
        <v>57</v>
      </c>
      <c r="G1035" t="s">
        <v>373</v>
      </c>
      <c r="H1035" t="s">
        <v>374</v>
      </c>
      <c r="I1035" t="s">
        <v>374</v>
      </c>
      <c r="J1035" t="s">
        <v>60</v>
      </c>
      <c r="K1035" t="s">
        <v>375</v>
      </c>
      <c r="L1035" t="s">
        <v>62</v>
      </c>
      <c r="M1035" t="s">
        <v>375</v>
      </c>
      <c r="N1035" t="s">
        <v>376</v>
      </c>
      <c r="O1035" t="s">
        <v>377</v>
      </c>
      <c r="P1035">
        <v>-20.178172</v>
      </c>
      <c r="Q1035">
        <v>-44.882871999999999</v>
      </c>
      <c r="R1035" s="2" t="str">
        <f>HYPERLINK("https://www.google.com/maps?q=-20.1781720,-44.8828720","Abrir no Google Maps")</f>
        <v>Abrir no Google Maps</v>
      </c>
      <c r="S1035">
        <v>4</v>
      </c>
      <c r="T1035">
        <v>817.23317190190858</v>
      </c>
      <c r="U1035">
        <v>4</v>
      </c>
      <c r="V1035">
        <v>30</v>
      </c>
      <c r="W1035">
        <v>1</v>
      </c>
      <c r="X1035">
        <v>30</v>
      </c>
      <c r="Y1035">
        <v>101</v>
      </c>
      <c r="Z1035">
        <v>845.03006728789421</v>
      </c>
      <c r="AA1035">
        <v>198</v>
      </c>
      <c r="AB1035">
        <v>332</v>
      </c>
      <c r="AC1035">
        <v>536</v>
      </c>
      <c r="AD1035">
        <v>29.96</v>
      </c>
      <c r="AE1035">
        <v>542</v>
      </c>
      <c r="AF1035">
        <v>29</v>
      </c>
      <c r="AG1035">
        <v>174</v>
      </c>
      <c r="AH1035">
        <v>129</v>
      </c>
      <c r="AI1035">
        <v>5.35</v>
      </c>
      <c r="AJ1035">
        <v>32.1</v>
      </c>
      <c r="AK1035">
        <v>23.8</v>
      </c>
      <c r="AL1035">
        <v>-20.178380049999959</v>
      </c>
      <c r="AM1035">
        <v>-44.883070555357122</v>
      </c>
      <c r="AN1035">
        <v>-20.178380049999959</v>
      </c>
      <c r="AO1035">
        <v>-44.883070555357122</v>
      </c>
      <c r="AP1035">
        <v>-20.178172</v>
      </c>
      <c r="AQ1035">
        <v>-44.882871999999999</v>
      </c>
      <c r="AR1035">
        <v>31.093588149250511</v>
      </c>
      <c r="AS1035" t="s">
        <v>65</v>
      </c>
      <c r="AT1035">
        <v>1</v>
      </c>
      <c r="AU1035" t="s">
        <v>378</v>
      </c>
      <c r="AV1035" t="s">
        <v>379</v>
      </c>
      <c r="AW1035" t="s">
        <v>60</v>
      </c>
      <c r="AX1035" t="s">
        <v>68</v>
      </c>
      <c r="AY1035" t="s">
        <v>69</v>
      </c>
      <c r="AZ1035" t="b">
        <v>1</v>
      </c>
    </row>
    <row r="1036" spans="1:52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2128</v>
      </c>
      <c r="F1036" t="s">
        <v>57</v>
      </c>
      <c r="G1036" t="s">
        <v>176</v>
      </c>
      <c r="H1036" t="s">
        <v>177</v>
      </c>
      <c r="I1036" t="s">
        <v>177</v>
      </c>
      <c r="J1036" t="s">
        <v>60</v>
      </c>
      <c r="K1036" t="s">
        <v>178</v>
      </c>
      <c r="L1036" t="s">
        <v>62</v>
      </c>
      <c r="M1036" t="s">
        <v>178</v>
      </c>
      <c r="N1036" t="s">
        <v>179</v>
      </c>
      <c r="O1036" t="s">
        <v>180</v>
      </c>
      <c r="P1036">
        <v>-20.129152999999999</v>
      </c>
      <c r="Q1036">
        <v>-44.859299</v>
      </c>
      <c r="R1036" s="2" t="str">
        <f>HYPERLINK("https://www.google.com/maps?q=-20.1291530,-44.8592990","Abrir no Google Maps")</f>
        <v>Abrir no Google Maps</v>
      </c>
      <c r="S1036">
        <v>4</v>
      </c>
      <c r="T1036">
        <v>0</v>
      </c>
      <c r="U1036">
        <v>4</v>
      </c>
      <c r="V1036">
        <v>31</v>
      </c>
      <c r="W1036">
        <v>1</v>
      </c>
      <c r="X1036">
        <v>31</v>
      </c>
      <c r="Y1036">
        <v>95</v>
      </c>
      <c r="Z1036">
        <v>323.58963420291411</v>
      </c>
      <c r="AA1036">
        <v>198</v>
      </c>
      <c r="AB1036">
        <v>332</v>
      </c>
      <c r="AC1036">
        <v>536</v>
      </c>
      <c r="AD1036">
        <v>29.96</v>
      </c>
      <c r="AE1036">
        <v>542</v>
      </c>
      <c r="AF1036">
        <v>29</v>
      </c>
      <c r="AG1036">
        <v>174</v>
      </c>
      <c r="AH1036">
        <v>129</v>
      </c>
      <c r="AI1036">
        <v>5.35</v>
      </c>
      <c r="AJ1036">
        <v>32.1</v>
      </c>
      <c r="AK1036">
        <v>23.8</v>
      </c>
      <c r="AL1036">
        <v>-20.129260799999969</v>
      </c>
      <c r="AM1036">
        <v>-44.859468344955843</v>
      </c>
      <c r="AN1036">
        <v>-20.129260799999969</v>
      </c>
      <c r="AO1036">
        <v>-44.859468344955843</v>
      </c>
      <c r="AP1036">
        <v>-20.129152999999999</v>
      </c>
      <c r="AQ1036">
        <v>-44.859299</v>
      </c>
      <c r="AR1036">
        <v>21.38451122307773</v>
      </c>
      <c r="AS1036" t="s">
        <v>65</v>
      </c>
      <c r="AT1036">
        <v>1</v>
      </c>
      <c r="AU1036" t="s">
        <v>181</v>
      </c>
      <c r="AV1036" t="s">
        <v>182</v>
      </c>
      <c r="AW1036" t="s">
        <v>60</v>
      </c>
      <c r="AX1036" t="s">
        <v>68</v>
      </c>
      <c r="AY1036" t="s">
        <v>69</v>
      </c>
      <c r="AZ1036" t="b">
        <v>1</v>
      </c>
    </row>
    <row r="1037" spans="1:52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2128</v>
      </c>
      <c r="F1037" t="s">
        <v>57</v>
      </c>
      <c r="G1037" t="s">
        <v>1679</v>
      </c>
      <c r="H1037" t="s">
        <v>1680</v>
      </c>
      <c r="I1037" t="s">
        <v>1680</v>
      </c>
      <c r="J1037" t="s">
        <v>60</v>
      </c>
      <c r="K1037" t="s">
        <v>1681</v>
      </c>
      <c r="L1037" t="s">
        <v>62</v>
      </c>
      <c r="M1037" t="s">
        <v>1681</v>
      </c>
      <c r="N1037" t="s">
        <v>1682</v>
      </c>
      <c r="O1037" t="s">
        <v>315</v>
      </c>
      <c r="P1037">
        <v>-20.136075999999999</v>
      </c>
      <c r="Q1037">
        <v>-44.854410999999999</v>
      </c>
      <c r="R1037" s="2" t="str">
        <f>HYPERLINK("https://www.google.com/maps?q=-20.1360760,-44.8544110","Abrir no Google Maps")</f>
        <v>Abrir no Google Maps</v>
      </c>
      <c r="S1037">
        <v>4</v>
      </c>
      <c r="T1037">
        <v>923.14535705095284</v>
      </c>
      <c r="U1037">
        <v>4</v>
      </c>
      <c r="V1037">
        <v>29</v>
      </c>
      <c r="W1037">
        <v>1</v>
      </c>
      <c r="X1037">
        <v>29</v>
      </c>
      <c r="Y1037">
        <v>95</v>
      </c>
      <c r="Z1037">
        <v>512.25410822465881</v>
      </c>
      <c r="AA1037">
        <v>198</v>
      </c>
      <c r="AB1037">
        <v>332</v>
      </c>
      <c r="AC1037">
        <v>536</v>
      </c>
      <c r="AD1037">
        <v>29.96</v>
      </c>
      <c r="AE1037">
        <v>542</v>
      </c>
      <c r="AF1037">
        <v>29</v>
      </c>
      <c r="AG1037">
        <v>174</v>
      </c>
      <c r="AH1037">
        <v>129</v>
      </c>
      <c r="AI1037">
        <v>5.35</v>
      </c>
      <c r="AJ1037">
        <v>32.1</v>
      </c>
      <c r="AK1037">
        <v>23.8</v>
      </c>
      <c r="AL1037">
        <v>-20.13612434999996</v>
      </c>
      <c r="AM1037">
        <v>-44.854448179058288</v>
      </c>
      <c r="AN1037">
        <v>-20.13612434999996</v>
      </c>
      <c r="AO1037">
        <v>-44.854448179058288</v>
      </c>
      <c r="AP1037">
        <v>-20.136075999999999</v>
      </c>
      <c r="AQ1037">
        <v>-44.854410999999999</v>
      </c>
      <c r="AR1037">
        <v>6.6384360450222868</v>
      </c>
      <c r="AS1037" t="s">
        <v>65</v>
      </c>
      <c r="AT1037">
        <v>1</v>
      </c>
      <c r="AU1037" t="s">
        <v>1683</v>
      </c>
      <c r="AV1037" t="s">
        <v>1684</v>
      </c>
      <c r="AW1037" t="s">
        <v>60</v>
      </c>
      <c r="AX1037" t="s">
        <v>68</v>
      </c>
      <c r="AY1037" t="s">
        <v>69</v>
      </c>
      <c r="AZ1037" t="b">
        <v>1</v>
      </c>
    </row>
    <row r="1038" spans="1:52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2128</v>
      </c>
      <c r="F1038" t="s">
        <v>57</v>
      </c>
      <c r="G1038" t="s">
        <v>183</v>
      </c>
      <c r="H1038" t="s">
        <v>184</v>
      </c>
      <c r="I1038" t="s">
        <v>184</v>
      </c>
      <c r="J1038" t="s">
        <v>60</v>
      </c>
      <c r="K1038" t="s">
        <v>185</v>
      </c>
      <c r="L1038" t="s">
        <v>62</v>
      </c>
      <c r="M1038" t="s">
        <v>185</v>
      </c>
      <c r="N1038" t="s">
        <v>186</v>
      </c>
      <c r="O1038" t="s">
        <v>187</v>
      </c>
      <c r="P1038">
        <v>-20.134855000000002</v>
      </c>
      <c r="Q1038">
        <v>-44.860174000000001</v>
      </c>
      <c r="R1038" s="2" t="str">
        <f>HYPERLINK("https://www.google.com/maps?q=-20.1348550,-44.8601740","Abrir no Google Maps")</f>
        <v>Abrir no Google Maps</v>
      </c>
      <c r="S1038">
        <v>4</v>
      </c>
      <c r="T1038">
        <v>625.96998974571841</v>
      </c>
      <c r="U1038">
        <v>4</v>
      </c>
      <c r="V1038">
        <v>21</v>
      </c>
      <c r="W1038">
        <v>1</v>
      </c>
      <c r="X1038">
        <v>21</v>
      </c>
      <c r="Y1038">
        <v>95</v>
      </c>
      <c r="Z1038">
        <v>257.67818504656498</v>
      </c>
      <c r="AA1038">
        <v>198</v>
      </c>
      <c r="AB1038">
        <v>332</v>
      </c>
      <c r="AC1038">
        <v>536</v>
      </c>
      <c r="AD1038">
        <v>29.96</v>
      </c>
      <c r="AE1038">
        <v>542</v>
      </c>
      <c r="AF1038">
        <v>29</v>
      </c>
      <c r="AG1038">
        <v>174</v>
      </c>
      <c r="AH1038">
        <v>129</v>
      </c>
      <c r="AI1038">
        <v>5.35</v>
      </c>
      <c r="AJ1038">
        <v>32.1</v>
      </c>
      <c r="AK1038">
        <v>23.8</v>
      </c>
      <c r="AL1038">
        <v>-20.134903999999981</v>
      </c>
      <c r="AM1038">
        <v>-44.859880285335962</v>
      </c>
      <c r="AN1038">
        <v>-20.134903999999981</v>
      </c>
      <c r="AO1038">
        <v>-44.859880285335962</v>
      </c>
      <c r="AP1038">
        <v>-20.134855000000002</v>
      </c>
      <c r="AQ1038">
        <v>-44.860174000000001</v>
      </c>
      <c r="AR1038">
        <v>31.178921696823132</v>
      </c>
      <c r="AS1038" t="s">
        <v>65</v>
      </c>
      <c r="AT1038">
        <v>1</v>
      </c>
      <c r="AU1038" t="s">
        <v>188</v>
      </c>
      <c r="AV1038" t="s">
        <v>189</v>
      </c>
      <c r="AW1038" t="s">
        <v>60</v>
      </c>
      <c r="AX1038" t="s">
        <v>68</v>
      </c>
      <c r="AY1038" t="s">
        <v>69</v>
      </c>
      <c r="AZ1038" t="b">
        <v>1</v>
      </c>
    </row>
    <row r="1039" spans="1:52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2128</v>
      </c>
      <c r="F1039" t="s">
        <v>190</v>
      </c>
      <c r="G1039" t="s">
        <v>58</v>
      </c>
      <c r="H1039" t="s">
        <v>59</v>
      </c>
      <c r="I1039" t="s">
        <v>59</v>
      </c>
      <c r="J1039" t="s">
        <v>60</v>
      </c>
      <c r="K1039" t="s">
        <v>61</v>
      </c>
      <c r="L1039" t="s">
        <v>62</v>
      </c>
      <c r="M1039" t="s">
        <v>61</v>
      </c>
      <c r="N1039" t="s">
        <v>63</v>
      </c>
      <c r="O1039" t="s">
        <v>64</v>
      </c>
      <c r="P1039">
        <v>-20.147940999999999</v>
      </c>
      <c r="Q1039">
        <v>-44.906514000000001</v>
      </c>
      <c r="R1039" s="2" t="str">
        <f>HYPERLINK("https://www.google.com/maps?q=-20.1479410,-44.9065140","Abrir no Google Maps")</f>
        <v>Abrir no Google Maps</v>
      </c>
      <c r="S1039">
        <v>4</v>
      </c>
      <c r="T1039">
        <v>308.67004994113421</v>
      </c>
      <c r="U1039">
        <v>3</v>
      </c>
      <c r="V1039">
        <v>20</v>
      </c>
      <c r="W1039">
        <v>1</v>
      </c>
      <c r="X1039">
        <v>20</v>
      </c>
      <c r="Y1039">
        <v>747</v>
      </c>
      <c r="Z1039">
        <v>274.71440454502522</v>
      </c>
      <c r="AA1039">
        <v>198</v>
      </c>
      <c r="AB1039">
        <v>332</v>
      </c>
      <c r="AC1039">
        <v>536</v>
      </c>
      <c r="AD1039">
        <v>29.96</v>
      </c>
      <c r="AE1039">
        <v>542</v>
      </c>
      <c r="AF1039">
        <v>29</v>
      </c>
      <c r="AG1039">
        <v>174</v>
      </c>
      <c r="AH1039">
        <v>129</v>
      </c>
      <c r="AI1039">
        <v>5.35</v>
      </c>
      <c r="AJ1039">
        <v>32.1</v>
      </c>
      <c r="AK1039">
        <v>23.8</v>
      </c>
      <c r="AL1039">
        <v>-20.147947799999969</v>
      </c>
      <c r="AM1039">
        <v>-44.906591596129203</v>
      </c>
      <c r="AN1039">
        <v>-20.147947799999969</v>
      </c>
      <c r="AO1039">
        <v>-44.906591596129203</v>
      </c>
      <c r="AP1039">
        <v>-20.147940999999999</v>
      </c>
      <c r="AQ1039">
        <v>-44.906514000000001</v>
      </c>
      <c r="AR1039">
        <v>8.1446636170570326</v>
      </c>
      <c r="AS1039" t="s">
        <v>65</v>
      </c>
      <c r="AT1039">
        <v>1</v>
      </c>
      <c r="AU1039" t="s">
        <v>66</v>
      </c>
      <c r="AV1039" t="s">
        <v>67</v>
      </c>
      <c r="AW1039" t="s">
        <v>60</v>
      </c>
      <c r="AX1039" t="s">
        <v>68</v>
      </c>
      <c r="AY1039" t="s">
        <v>69</v>
      </c>
      <c r="AZ1039" t="b">
        <v>1</v>
      </c>
    </row>
    <row r="1040" spans="1:52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2128</v>
      </c>
      <c r="F1040" t="s">
        <v>190</v>
      </c>
      <c r="G1040" t="s">
        <v>191</v>
      </c>
      <c r="H1040" t="s">
        <v>192</v>
      </c>
      <c r="I1040" t="s">
        <v>192</v>
      </c>
      <c r="J1040" t="s">
        <v>60</v>
      </c>
      <c r="K1040" t="s">
        <v>193</v>
      </c>
      <c r="L1040" t="s">
        <v>62</v>
      </c>
      <c r="M1040" t="s">
        <v>193</v>
      </c>
      <c r="N1040" t="s">
        <v>194</v>
      </c>
      <c r="O1040" t="s">
        <v>195</v>
      </c>
      <c r="P1040">
        <v>-20.143266000000001</v>
      </c>
      <c r="Q1040">
        <v>-44.912075000000002</v>
      </c>
      <c r="R1040" s="2" t="str">
        <f>HYPERLINK("https://www.google.com/maps?q=-20.1432660,-44.9120750","Abrir no Google Maps")</f>
        <v>Abrir no Google Maps</v>
      </c>
      <c r="S1040">
        <v>4</v>
      </c>
      <c r="T1040">
        <v>467.04339396175408</v>
      </c>
      <c r="U1040">
        <v>3</v>
      </c>
      <c r="V1040">
        <v>15</v>
      </c>
      <c r="W1040">
        <v>1</v>
      </c>
      <c r="X1040">
        <v>15</v>
      </c>
      <c r="Y1040">
        <v>747</v>
      </c>
      <c r="Z1040">
        <v>585.1742452866996</v>
      </c>
      <c r="AA1040">
        <v>198</v>
      </c>
      <c r="AB1040">
        <v>332</v>
      </c>
      <c r="AC1040">
        <v>536</v>
      </c>
      <c r="AD1040">
        <v>29.96</v>
      </c>
      <c r="AE1040">
        <v>542</v>
      </c>
      <c r="AF1040">
        <v>29</v>
      </c>
      <c r="AG1040">
        <v>174</v>
      </c>
      <c r="AH1040">
        <v>129</v>
      </c>
      <c r="AI1040">
        <v>5.35</v>
      </c>
      <c r="AJ1040">
        <v>32.1</v>
      </c>
      <c r="AK1040">
        <v>23.8</v>
      </c>
      <c r="AL1040">
        <v>-20.143307949999951</v>
      </c>
      <c r="AM1040">
        <v>-44.912066629431067</v>
      </c>
      <c r="AN1040">
        <v>-20.143307949999951</v>
      </c>
      <c r="AO1040">
        <v>-44.912066629431067</v>
      </c>
      <c r="AP1040">
        <v>-20.143266000000001</v>
      </c>
      <c r="AQ1040">
        <v>-44.912075000000002</v>
      </c>
      <c r="AR1040">
        <v>4.751108024498329</v>
      </c>
      <c r="AS1040" t="s">
        <v>65</v>
      </c>
      <c r="AT1040">
        <v>1</v>
      </c>
      <c r="AU1040" t="s">
        <v>196</v>
      </c>
      <c r="AV1040" t="s">
        <v>197</v>
      </c>
      <c r="AW1040" t="s">
        <v>60</v>
      </c>
      <c r="AX1040" t="s">
        <v>68</v>
      </c>
      <c r="AY1040" t="s">
        <v>69</v>
      </c>
      <c r="AZ1040" t="b">
        <v>1</v>
      </c>
    </row>
    <row r="1041" spans="1:52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2128</v>
      </c>
      <c r="F1041" t="s">
        <v>190</v>
      </c>
      <c r="G1041" t="s">
        <v>70</v>
      </c>
      <c r="H1041" t="s">
        <v>71</v>
      </c>
      <c r="I1041" t="s">
        <v>71</v>
      </c>
      <c r="J1041" t="s">
        <v>60</v>
      </c>
      <c r="K1041" t="s">
        <v>72</v>
      </c>
      <c r="L1041" t="s">
        <v>62</v>
      </c>
      <c r="M1041" t="s">
        <v>72</v>
      </c>
      <c r="N1041" t="s">
        <v>73</v>
      </c>
      <c r="O1041" t="s">
        <v>74</v>
      </c>
      <c r="P1041">
        <v>-20.149349000000001</v>
      </c>
      <c r="Q1041">
        <v>-44.910784</v>
      </c>
      <c r="R1041" s="2" t="str">
        <f>HYPERLINK("https://www.google.com/maps?q=-20.1493490,-44.9107840","Abrir no Google Maps")</f>
        <v>Abrir no Google Maps</v>
      </c>
      <c r="S1041">
        <v>4</v>
      </c>
      <c r="T1041">
        <v>472.43876549769578</v>
      </c>
      <c r="U1041">
        <v>3</v>
      </c>
      <c r="V1041">
        <v>16</v>
      </c>
      <c r="W1041">
        <v>1</v>
      </c>
      <c r="X1041">
        <v>16</v>
      </c>
      <c r="Y1041">
        <v>747</v>
      </c>
      <c r="Z1041">
        <v>441.03921887407779</v>
      </c>
      <c r="AA1041">
        <v>198</v>
      </c>
      <c r="AB1041">
        <v>332</v>
      </c>
      <c r="AC1041">
        <v>536</v>
      </c>
      <c r="AD1041">
        <v>29.96</v>
      </c>
      <c r="AE1041">
        <v>542</v>
      </c>
      <c r="AF1041">
        <v>29</v>
      </c>
      <c r="AG1041">
        <v>174</v>
      </c>
      <c r="AH1041">
        <v>129</v>
      </c>
      <c r="AI1041">
        <v>5.35</v>
      </c>
      <c r="AJ1041">
        <v>32.1</v>
      </c>
      <c r="AK1041">
        <v>23.8</v>
      </c>
      <c r="AL1041">
        <v>-20.149403999999951</v>
      </c>
      <c r="AM1041">
        <v>-44.91080895147438</v>
      </c>
      <c r="AN1041">
        <v>-20.149403999999951</v>
      </c>
      <c r="AO1041">
        <v>-44.91080895147438</v>
      </c>
      <c r="AP1041">
        <v>-20.149349000000001</v>
      </c>
      <c r="AQ1041">
        <v>-44.910784</v>
      </c>
      <c r="AR1041">
        <v>6.6547592699416382</v>
      </c>
      <c r="AS1041" t="s">
        <v>65</v>
      </c>
      <c r="AT1041">
        <v>1</v>
      </c>
      <c r="AU1041" t="s">
        <v>75</v>
      </c>
      <c r="AV1041" t="s">
        <v>76</v>
      </c>
      <c r="AW1041" t="s">
        <v>60</v>
      </c>
      <c r="AX1041" t="s">
        <v>68</v>
      </c>
      <c r="AY1041" t="s">
        <v>69</v>
      </c>
      <c r="AZ1041" t="b">
        <v>1</v>
      </c>
    </row>
    <row r="1042" spans="1:52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2128</v>
      </c>
      <c r="F1042" t="s">
        <v>190</v>
      </c>
      <c r="G1042" t="s">
        <v>77</v>
      </c>
      <c r="H1042" t="s">
        <v>78</v>
      </c>
      <c r="I1042" t="s">
        <v>78</v>
      </c>
      <c r="J1042" t="s">
        <v>60</v>
      </c>
      <c r="K1042" t="s">
        <v>72</v>
      </c>
      <c r="L1042" t="s">
        <v>62</v>
      </c>
      <c r="M1042" t="s">
        <v>72</v>
      </c>
      <c r="N1042" t="s">
        <v>79</v>
      </c>
      <c r="O1042" t="s">
        <v>80</v>
      </c>
      <c r="P1042">
        <v>-20.147821</v>
      </c>
      <c r="Q1042">
        <v>-44.908887</v>
      </c>
      <c r="R1042" s="2" t="str">
        <f>HYPERLINK("https://www.google.com/maps?q=-20.1478210,-44.9088870","Abrir no Google Maps")</f>
        <v>Abrir no Google Maps</v>
      </c>
      <c r="S1042">
        <v>4</v>
      </c>
      <c r="T1042">
        <v>232.2893841532152</v>
      </c>
      <c r="U1042">
        <v>3</v>
      </c>
      <c r="V1042">
        <v>20</v>
      </c>
      <c r="W1042">
        <v>1</v>
      </c>
      <c r="X1042">
        <v>20</v>
      </c>
      <c r="Y1042">
        <v>747</v>
      </c>
      <c r="Z1042">
        <v>195.3668648953757</v>
      </c>
      <c r="AA1042">
        <v>198</v>
      </c>
      <c r="AB1042">
        <v>332</v>
      </c>
      <c r="AC1042">
        <v>536</v>
      </c>
      <c r="AD1042">
        <v>29.96</v>
      </c>
      <c r="AE1042">
        <v>542</v>
      </c>
      <c r="AF1042">
        <v>29</v>
      </c>
      <c r="AG1042">
        <v>174</v>
      </c>
      <c r="AH1042">
        <v>129</v>
      </c>
      <c r="AI1042">
        <v>5.35</v>
      </c>
      <c r="AJ1042">
        <v>32.1</v>
      </c>
      <c r="AK1042">
        <v>23.8</v>
      </c>
      <c r="AL1042">
        <v>-20.147802849999952</v>
      </c>
      <c r="AM1042">
        <v>-44.908989919229477</v>
      </c>
      <c r="AN1042">
        <v>-20.147802849999952</v>
      </c>
      <c r="AO1042">
        <v>-44.908989919229491</v>
      </c>
      <c r="AP1042">
        <v>-20.147821</v>
      </c>
      <c r="AQ1042">
        <v>-44.908887</v>
      </c>
      <c r="AR1042">
        <v>10.944007761262529</v>
      </c>
      <c r="AS1042" t="s">
        <v>65</v>
      </c>
      <c r="AT1042">
        <v>1</v>
      </c>
      <c r="AU1042" t="s">
        <v>81</v>
      </c>
      <c r="AV1042" t="s">
        <v>82</v>
      </c>
      <c r="AW1042" t="s">
        <v>60</v>
      </c>
      <c r="AX1042" t="s">
        <v>68</v>
      </c>
      <c r="AY1042" t="s">
        <v>69</v>
      </c>
      <c r="AZ1042" t="b">
        <v>1</v>
      </c>
    </row>
    <row r="1043" spans="1:52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2128</v>
      </c>
      <c r="F1043" t="s">
        <v>190</v>
      </c>
      <c r="G1043" t="s">
        <v>83</v>
      </c>
      <c r="H1043" t="s">
        <v>84</v>
      </c>
      <c r="I1043" t="s">
        <v>84</v>
      </c>
      <c r="J1043" t="s">
        <v>60</v>
      </c>
      <c r="K1043" t="s">
        <v>61</v>
      </c>
      <c r="L1043" t="s">
        <v>62</v>
      </c>
      <c r="M1043" t="s">
        <v>61</v>
      </c>
      <c r="N1043" t="s">
        <v>85</v>
      </c>
      <c r="O1043" t="s">
        <v>86</v>
      </c>
      <c r="P1043">
        <v>-20.149799000000002</v>
      </c>
      <c r="Q1043">
        <v>-44.906517000000001</v>
      </c>
      <c r="R1043" s="2" t="str">
        <f>HYPERLINK("https://www.google.com/maps?q=-20.1497990,-44.9065170","Abrir no Google Maps")</f>
        <v>Abrir no Google Maps</v>
      </c>
      <c r="S1043">
        <v>4</v>
      </c>
      <c r="T1043">
        <v>487.90051105537998</v>
      </c>
      <c r="U1043">
        <v>3</v>
      </c>
      <c r="V1043">
        <v>15</v>
      </c>
      <c r="W1043">
        <v>1</v>
      </c>
      <c r="X1043">
        <v>15</v>
      </c>
      <c r="Y1043">
        <v>747</v>
      </c>
      <c r="Z1043">
        <v>365.93785960107078</v>
      </c>
      <c r="AA1043">
        <v>198</v>
      </c>
      <c r="AB1043">
        <v>332</v>
      </c>
      <c r="AC1043">
        <v>536</v>
      </c>
      <c r="AD1043">
        <v>29.96</v>
      </c>
      <c r="AE1043">
        <v>542</v>
      </c>
      <c r="AF1043">
        <v>29</v>
      </c>
      <c r="AG1043">
        <v>174</v>
      </c>
      <c r="AH1043">
        <v>129</v>
      </c>
      <c r="AI1043">
        <v>5.35</v>
      </c>
      <c r="AJ1043">
        <v>32.1</v>
      </c>
      <c r="AK1043">
        <v>23.8</v>
      </c>
      <c r="AL1043">
        <v>-20.149879599999959</v>
      </c>
      <c r="AM1043">
        <v>-44.906746466068469</v>
      </c>
      <c r="AN1043">
        <v>-20.149879599999959</v>
      </c>
      <c r="AO1043">
        <v>-44.906746466068469</v>
      </c>
      <c r="AP1043">
        <v>-20.149799000000002</v>
      </c>
      <c r="AQ1043">
        <v>-44.906517000000001</v>
      </c>
      <c r="AR1043">
        <v>25.604276856970429</v>
      </c>
      <c r="AS1043" t="s">
        <v>65</v>
      </c>
      <c r="AT1043">
        <v>1</v>
      </c>
      <c r="AU1043" t="s">
        <v>87</v>
      </c>
      <c r="AV1043" t="s">
        <v>88</v>
      </c>
      <c r="AW1043" t="s">
        <v>60</v>
      </c>
      <c r="AX1043" t="s">
        <v>68</v>
      </c>
      <c r="AY1043" t="s">
        <v>69</v>
      </c>
      <c r="AZ1043" t="b">
        <v>1</v>
      </c>
    </row>
    <row r="1044" spans="1:52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2128</v>
      </c>
      <c r="F1044" t="s">
        <v>190</v>
      </c>
      <c r="G1044" t="s">
        <v>95</v>
      </c>
      <c r="H1044" t="s">
        <v>96</v>
      </c>
      <c r="I1044" t="s">
        <v>96</v>
      </c>
      <c r="J1044" t="s">
        <v>60</v>
      </c>
      <c r="K1044" t="s">
        <v>72</v>
      </c>
      <c r="L1044" t="s">
        <v>62</v>
      </c>
      <c r="M1044" t="s">
        <v>72</v>
      </c>
      <c r="N1044" t="s">
        <v>97</v>
      </c>
      <c r="O1044" t="s">
        <v>98</v>
      </c>
      <c r="P1044">
        <v>-20.144062999999999</v>
      </c>
      <c r="Q1044">
        <v>-44.909627999999998</v>
      </c>
      <c r="R1044" s="2" t="str">
        <f>HYPERLINK("https://www.google.com/maps?q=-20.1440630,-44.9096280","Abrir no Google Maps")</f>
        <v>Abrir no Google Maps</v>
      </c>
      <c r="S1044">
        <v>4</v>
      </c>
      <c r="T1044">
        <v>205.27083326529291</v>
      </c>
      <c r="U1044">
        <v>3</v>
      </c>
      <c r="V1044">
        <v>19</v>
      </c>
      <c r="W1044">
        <v>1</v>
      </c>
      <c r="X1044">
        <v>19</v>
      </c>
      <c r="Y1044">
        <v>747</v>
      </c>
      <c r="Z1044">
        <v>336.75785483480968</v>
      </c>
      <c r="AA1044">
        <v>198</v>
      </c>
      <c r="AB1044">
        <v>332</v>
      </c>
      <c r="AC1044">
        <v>536</v>
      </c>
      <c r="AD1044">
        <v>29.96</v>
      </c>
      <c r="AE1044">
        <v>542</v>
      </c>
      <c r="AF1044">
        <v>29</v>
      </c>
      <c r="AG1044">
        <v>174</v>
      </c>
      <c r="AH1044">
        <v>129</v>
      </c>
      <c r="AI1044">
        <v>5.35</v>
      </c>
      <c r="AJ1044">
        <v>32.1</v>
      </c>
      <c r="AK1044">
        <v>23.8</v>
      </c>
      <c r="AL1044">
        <v>-20.144164099999951</v>
      </c>
      <c r="AM1044">
        <v>-44.909420167767642</v>
      </c>
      <c r="AN1044">
        <v>-20.144164099999951</v>
      </c>
      <c r="AO1044">
        <v>-44.909420167767642</v>
      </c>
      <c r="AP1044">
        <v>-20.144062999999999</v>
      </c>
      <c r="AQ1044">
        <v>-44.909627999999998</v>
      </c>
      <c r="AR1044">
        <v>24.46321571724976</v>
      </c>
      <c r="AS1044" t="s">
        <v>65</v>
      </c>
      <c r="AT1044">
        <v>1</v>
      </c>
      <c r="AU1044" t="s">
        <v>99</v>
      </c>
      <c r="AV1044" t="s">
        <v>94</v>
      </c>
      <c r="AW1044" t="s">
        <v>60</v>
      </c>
      <c r="AX1044" t="s">
        <v>68</v>
      </c>
      <c r="AY1044" t="s">
        <v>69</v>
      </c>
      <c r="AZ1044" t="b">
        <v>1</v>
      </c>
    </row>
    <row r="1045" spans="1:52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2128</v>
      </c>
      <c r="F1045" t="s">
        <v>190</v>
      </c>
      <c r="G1045" t="s">
        <v>100</v>
      </c>
      <c r="H1045" t="s">
        <v>101</v>
      </c>
      <c r="I1045" t="s">
        <v>101</v>
      </c>
      <c r="J1045" t="s">
        <v>60</v>
      </c>
      <c r="K1045" t="s">
        <v>61</v>
      </c>
      <c r="L1045" t="s">
        <v>62</v>
      </c>
      <c r="M1045" t="s">
        <v>61</v>
      </c>
      <c r="N1045" t="s">
        <v>102</v>
      </c>
      <c r="O1045" t="s">
        <v>103</v>
      </c>
      <c r="P1045">
        <v>-20.151098999999999</v>
      </c>
      <c r="Q1045">
        <v>-44.909699000000003</v>
      </c>
      <c r="R1045" s="2" t="str">
        <f>HYPERLINK("https://www.google.com/maps?q=-20.1510990,-44.9096990","Abrir no Google Maps")</f>
        <v>Abrir no Google Maps</v>
      </c>
      <c r="S1045">
        <v>4</v>
      </c>
      <c r="T1045">
        <v>628.5023128813533</v>
      </c>
      <c r="U1045">
        <v>3</v>
      </c>
      <c r="V1045">
        <v>20</v>
      </c>
      <c r="W1045">
        <v>1</v>
      </c>
      <c r="X1045">
        <v>20</v>
      </c>
      <c r="Y1045">
        <v>747</v>
      </c>
      <c r="Z1045">
        <v>563.16456625265948</v>
      </c>
      <c r="AA1045">
        <v>198</v>
      </c>
      <c r="AB1045">
        <v>332</v>
      </c>
      <c r="AC1045">
        <v>536</v>
      </c>
      <c r="AD1045">
        <v>29.96</v>
      </c>
      <c r="AE1045">
        <v>542</v>
      </c>
      <c r="AF1045">
        <v>29</v>
      </c>
      <c r="AG1045">
        <v>174</v>
      </c>
      <c r="AH1045">
        <v>129</v>
      </c>
      <c r="AI1045">
        <v>5.35</v>
      </c>
      <c r="AJ1045">
        <v>32.1</v>
      </c>
      <c r="AK1045">
        <v>23.8</v>
      </c>
      <c r="AL1045">
        <v>-20.151307349999971</v>
      </c>
      <c r="AM1045">
        <v>-44.909772836123523</v>
      </c>
      <c r="AN1045">
        <v>-20.151307349999971</v>
      </c>
      <c r="AO1045">
        <v>-44.909772836123523</v>
      </c>
      <c r="AP1045">
        <v>-20.151098999999999</v>
      </c>
      <c r="AQ1045">
        <v>-44.909699000000003</v>
      </c>
      <c r="AR1045">
        <v>24.443417349564811</v>
      </c>
      <c r="AS1045" t="s">
        <v>65</v>
      </c>
      <c r="AT1045">
        <v>1</v>
      </c>
      <c r="AU1045" t="s">
        <v>104</v>
      </c>
      <c r="AV1045" t="s">
        <v>105</v>
      </c>
      <c r="AW1045" t="s">
        <v>60</v>
      </c>
      <c r="AX1045" t="s">
        <v>68</v>
      </c>
      <c r="AY1045" t="s">
        <v>69</v>
      </c>
      <c r="AZ1045" t="b">
        <v>1</v>
      </c>
    </row>
    <row r="1046" spans="1:52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2128</v>
      </c>
      <c r="F1046" t="s">
        <v>190</v>
      </c>
      <c r="G1046" t="s">
        <v>115</v>
      </c>
      <c r="H1046" t="s">
        <v>116</v>
      </c>
      <c r="I1046" t="s">
        <v>116</v>
      </c>
      <c r="J1046" t="s">
        <v>60</v>
      </c>
      <c r="K1046" t="s">
        <v>117</v>
      </c>
      <c r="L1046" t="s">
        <v>62</v>
      </c>
      <c r="M1046" t="s">
        <v>117</v>
      </c>
      <c r="N1046" t="s">
        <v>118</v>
      </c>
      <c r="O1046" t="s">
        <v>119</v>
      </c>
      <c r="P1046">
        <v>-20.116992</v>
      </c>
      <c r="Q1046">
        <v>-44.899355</v>
      </c>
      <c r="R1046" s="2" t="str">
        <f>HYPERLINK("https://www.google.com/maps?q=-20.1169920,-44.8993550","Abrir no Google Maps")</f>
        <v>Abrir no Google Maps</v>
      </c>
      <c r="S1046">
        <v>4</v>
      </c>
      <c r="T1046">
        <v>0</v>
      </c>
      <c r="U1046">
        <v>3</v>
      </c>
      <c r="V1046">
        <v>19</v>
      </c>
      <c r="W1046">
        <v>1</v>
      </c>
      <c r="X1046">
        <v>19</v>
      </c>
      <c r="Y1046">
        <v>567</v>
      </c>
      <c r="Z1046">
        <v>54.913678078353321</v>
      </c>
      <c r="AA1046">
        <v>198</v>
      </c>
      <c r="AB1046">
        <v>332</v>
      </c>
      <c r="AC1046">
        <v>536</v>
      </c>
      <c r="AD1046">
        <v>29.96</v>
      </c>
      <c r="AE1046">
        <v>542</v>
      </c>
      <c r="AF1046">
        <v>29</v>
      </c>
      <c r="AG1046">
        <v>174</v>
      </c>
      <c r="AH1046">
        <v>129</v>
      </c>
      <c r="AI1046">
        <v>5.35</v>
      </c>
      <c r="AJ1046">
        <v>32.1</v>
      </c>
      <c r="AK1046">
        <v>23.8</v>
      </c>
      <c r="AL1046">
        <v>-20.117107749999949</v>
      </c>
      <c r="AM1046">
        <v>-44.899271226243108</v>
      </c>
      <c r="AN1046">
        <v>-20.117107749999949</v>
      </c>
      <c r="AO1046">
        <v>-44.899271226243108</v>
      </c>
      <c r="AP1046">
        <v>-20.116992</v>
      </c>
      <c r="AQ1046">
        <v>-44.899355</v>
      </c>
      <c r="AR1046">
        <v>15.579196044083419</v>
      </c>
      <c r="AS1046" t="s">
        <v>65</v>
      </c>
      <c r="AT1046">
        <v>1</v>
      </c>
      <c r="AU1046" t="s">
        <v>120</v>
      </c>
      <c r="AV1046" t="s">
        <v>121</v>
      </c>
      <c r="AW1046" t="s">
        <v>60</v>
      </c>
      <c r="AX1046" t="s">
        <v>68</v>
      </c>
      <c r="AY1046" t="s">
        <v>69</v>
      </c>
      <c r="AZ1046" t="b">
        <v>1</v>
      </c>
    </row>
    <row r="1047" spans="1:52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2128</v>
      </c>
      <c r="F1047" t="s">
        <v>190</v>
      </c>
      <c r="G1047" t="s">
        <v>225</v>
      </c>
      <c r="H1047" t="s">
        <v>226</v>
      </c>
      <c r="I1047" t="s">
        <v>226</v>
      </c>
      <c r="J1047" t="s">
        <v>60</v>
      </c>
      <c r="K1047" t="s">
        <v>227</v>
      </c>
      <c r="L1047" t="s">
        <v>62</v>
      </c>
      <c r="M1047" t="s">
        <v>227</v>
      </c>
      <c r="N1047" t="s">
        <v>228</v>
      </c>
      <c r="O1047" t="s">
        <v>229</v>
      </c>
      <c r="P1047">
        <v>-20.156986</v>
      </c>
      <c r="Q1047">
        <v>-44.857474000000003</v>
      </c>
      <c r="R1047" s="2" t="str">
        <f>HYPERLINK("https://www.google.com/maps?q=-20.1569860,-44.8574740","Abrir no Google Maps")</f>
        <v>Abrir no Google Maps</v>
      </c>
      <c r="S1047">
        <v>4</v>
      </c>
      <c r="T1047">
        <v>270.52797591847911</v>
      </c>
      <c r="U1047">
        <v>3</v>
      </c>
      <c r="V1047">
        <v>16</v>
      </c>
      <c r="W1047">
        <v>1</v>
      </c>
      <c r="X1047">
        <v>16</v>
      </c>
      <c r="Y1047">
        <v>518</v>
      </c>
      <c r="Z1047">
        <v>441.86584449256071</v>
      </c>
      <c r="AA1047">
        <v>198</v>
      </c>
      <c r="AB1047">
        <v>332</v>
      </c>
      <c r="AC1047">
        <v>536</v>
      </c>
      <c r="AD1047">
        <v>29.96</v>
      </c>
      <c r="AE1047">
        <v>542</v>
      </c>
      <c r="AF1047">
        <v>29</v>
      </c>
      <c r="AG1047">
        <v>174</v>
      </c>
      <c r="AH1047">
        <v>129</v>
      </c>
      <c r="AI1047">
        <v>5.35</v>
      </c>
      <c r="AJ1047">
        <v>32.1</v>
      </c>
      <c r="AK1047">
        <v>23.8</v>
      </c>
      <c r="AL1047">
        <v>-20.156957249999952</v>
      </c>
      <c r="AM1047">
        <v>-44.857396682659299</v>
      </c>
      <c r="AN1047">
        <v>-20.156957249999952</v>
      </c>
      <c r="AO1047">
        <v>-44.857396682659299</v>
      </c>
      <c r="AP1047">
        <v>-20.156986</v>
      </c>
      <c r="AQ1047">
        <v>-44.857474000000003</v>
      </c>
      <c r="AR1047">
        <v>8.6905800579264607</v>
      </c>
      <c r="AS1047" t="s">
        <v>65</v>
      </c>
      <c r="AT1047">
        <v>1</v>
      </c>
      <c r="AU1047" t="s">
        <v>230</v>
      </c>
      <c r="AV1047" t="s">
        <v>231</v>
      </c>
      <c r="AW1047" t="s">
        <v>60</v>
      </c>
      <c r="AX1047" t="s">
        <v>68</v>
      </c>
      <c r="AY1047" t="s">
        <v>69</v>
      </c>
      <c r="AZ1047" t="b">
        <v>1</v>
      </c>
    </row>
    <row r="1048" spans="1:52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2128</v>
      </c>
      <c r="F1048" t="s">
        <v>190</v>
      </c>
      <c r="G1048" t="s">
        <v>232</v>
      </c>
      <c r="H1048" t="s">
        <v>233</v>
      </c>
      <c r="I1048" t="s">
        <v>233</v>
      </c>
      <c r="J1048" t="s">
        <v>60</v>
      </c>
      <c r="K1048" t="s">
        <v>227</v>
      </c>
      <c r="L1048" t="s">
        <v>62</v>
      </c>
      <c r="M1048" t="s">
        <v>227</v>
      </c>
      <c r="N1048" t="s">
        <v>234</v>
      </c>
      <c r="O1048" t="s">
        <v>235</v>
      </c>
      <c r="P1048">
        <v>-20.158666</v>
      </c>
      <c r="Q1048">
        <v>-44.861398999999999</v>
      </c>
      <c r="R1048" s="2" t="str">
        <f>HYPERLINK("https://www.google.com/maps?q=-20.1586660,-44.8613990","Abrir no Google Maps")</f>
        <v>Abrir no Google Maps</v>
      </c>
      <c r="S1048">
        <v>4</v>
      </c>
      <c r="T1048">
        <v>330.01505397941582</v>
      </c>
      <c r="U1048">
        <v>3</v>
      </c>
      <c r="V1048">
        <v>17</v>
      </c>
      <c r="W1048">
        <v>1</v>
      </c>
      <c r="X1048">
        <v>17</v>
      </c>
      <c r="Y1048">
        <v>518</v>
      </c>
      <c r="Z1048">
        <v>251.8092920281106</v>
      </c>
      <c r="AA1048">
        <v>198</v>
      </c>
      <c r="AB1048">
        <v>332</v>
      </c>
      <c r="AC1048">
        <v>536</v>
      </c>
      <c r="AD1048">
        <v>29.96</v>
      </c>
      <c r="AE1048">
        <v>542</v>
      </c>
      <c r="AF1048">
        <v>29</v>
      </c>
      <c r="AG1048">
        <v>174</v>
      </c>
      <c r="AH1048">
        <v>129</v>
      </c>
      <c r="AI1048">
        <v>5.35</v>
      </c>
      <c r="AJ1048">
        <v>32.1</v>
      </c>
      <c r="AK1048">
        <v>23.8</v>
      </c>
      <c r="AL1048">
        <v>-20.158631449999969</v>
      </c>
      <c r="AM1048">
        <v>-44.861424574758061</v>
      </c>
      <c r="AN1048">
        <v>-20.158631449999969</v>
      </c>
      <c r="AO1048">
        <v>-44.861424574758061</v>
      </c>
      <c r="AP1048">
        <v>-20.158666</v>
      </c>
      <c r="AQ1048">
        <v>-44.861398999999999</v>
      </c>
      <c r="AR1048">
        <v>4.6835056709567411</v>
      </c>
      <c r="AS1048" t="s">
        <v>65</v>
      </c>
      <c r="AT1048">
        <v>1</v>
      </c>
      <c r="AU1048" t="s">
        <v>236</v>
      </c>
      <c r="AV1048" t="s">
        <v>237</v>
      </c>
      <c r="AW1048" t="s">
        <v>60</v>
      </c>
      <c r="AX1048" t="s">
        <v>68</v>
      </c>
      <c r="AY1048" t="s">
        <v>69</v>
      </c>
      <c r="AZ1048" t="b">
        <v>1</v>
      </c>
    </row>
    <row r="1049" spans="1:52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2128</v>
      </c>
      <c r="F1049" t="s">
        <v>190</v>
      </c>
      <c r="G1049" t="s">
        <v>238</v>
      </c>
      <c r="H1049" t="s">
        <v>239</v>
      </c>
      <c r="I1049" t="s">
        <v>239</v>
      </c>
      <c r="J1049" t="s">
        <v>60</v>
      </c>
      <c r="K1049" t="s">
        <v>227</v>
      </c>
      <c r="L1049" t="s">
        <v>62</v>
      </c>
      <c r="M1049" t="s">
        <v>227</v>
      </c>
      <c r="N1049" t="s">
        <v>240</v>
      </c>
      <c r="O1049" t="s">
        <v>202</v>
      </c>
      <c r="P1049">
        <v>-20.155833999999999</v>
      </c>
      <c r="Q1049">
        <v>-44.859437999999997</v>
      </c>
      <c r="R1049" s="2" t="str">
        <f>HYPERLINK("https://www.google.com/maps?q=-20.1558340,-44.8594380","Abrir no Google Maps")</f>
        <v>Abrir no Google Maps</v>
      </c>
      <c r="S1049">
        <v>4</v>
      </c>
      <c r="T1049">
        <v>381.00646482339403</v>
      </c>
      <c r="U1049">
        <v>3</v>
      </c>
      <c r="V1049">
        <v>15</v>
      </c>
      <c r="W1049">
        <v>1</v>
      </c>
      <c r="X1049">
        <v>15</v>
      </c>
      <c r="Y1049">
        <v>518</v>
      </c>
      <c r="Z1049">
        <v>484.9275363207239</v>
      </c>
      <c r="AA1049">
        <v>198</v>
      </c>
      <c r="AB1049">
        <v>332</v>
      </c>
      <c r="AC1049">
        <v>536</v>
      </c>
      <c r="AD1049">
        <v>29.96</v>
      </c>
      <c r="AE1049">
        <v>542</v>
      </c>
      <c r="AF1049">
        <v>29</v>
      </c>
      <c r="AG1049">
        <v>174</v>
      </c>
      <c r="AH1049">
        <v>129</v>
      </c>
      <c r="AI1049">
        <v>5.35</v>
      </c>
      <c r="AJ1049">
        <v>32.1</v>
      </c>
      <c r="AK1049">
        <v>23.8</v>
      </c>
      <c r="AL1049">
        <v>-20.155935399999979</v>
      </c>
      <c r="AM1049">
        <v>-44.859367525422847</v>
      </c>
      <c r="AN1049">
        <v>-20.155935399999979</v>
      </c>
      <c r="AO1049">
        <v>-44.859367525422847</v>
      </c>
      <c r="AP1049">
        <v>-20.155833999999999</v>
      </c>
      <c r="AQ1049">
        <v>-44.859437999999997</v>
      </c>
      <c r="AR1049">
        <v>13.477960508152201</v>
      </c>
      <c r="AS1049" t="s">
        <v>65</v>
      </c>
      <c r="AT1049">
        <v>1</v>
      </c>
      <c r="AU1049" t="s">
        <v>241</v>
      </c>
      <c r="AV1049" t="s">
        <v>242</v>
      </c>
      <c r="AW1049" t="s">
        <v>60</v>
      </c>
      <c r="AX1049" t="s">
        <v>68</v>
      </c>
      <c r="AY1049" t="s">
        <v>69</v>
      </c>
      <c r="AZ1049" t="b">
        <v>1</v>
      </c>
    </row>
    <row r="1050" spans="1:52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2128</v>
      </c>
      <c r="F1050" t="s">
        <v>190</v>
      </c>
      <c r="G1050" t="s">
        <v>212</v>
      </c>
      <c r="H1050" t="s">
        <v>249</v>
      </c>
      <c r="I1050" t="s">
        <v>249</v>
      </c>
      <c r="J1050" t="s">
        <v>60</v>
      </c>
      <c r="K1050" t="s">
        <v>214</v>
      </c>
      <c r="L1050" t="s">
        <v>62</v>
      </c>
      <c r="M1050" t="s">
        <v>214</v>
      </c>
      <c r="N1050" t="s">
        <v>215</v>
      </c>
      <c r="O1050" t="s">
        <v>250</v>
      </c>
      <c r="P1050">
        <v>-20.153901000000001</v>
      </c>
      <c r="Q1050">
        <v>-44.873201000000002</v>
      </c>
      <c r="R1050" s="2" t="str">
        <f>HYPERLINK("https://www.google.com/maps?q=-20.1539010,-44.8732010","Abrir no Google Maps")</f>
        <v>Abrir no Google Maps</v>
      </c>
      <c r="S1050">
        <v>4</v>
      </c>
      <c r="T1050">
        <v>478.23282142593177</v>
      </c>
      <c r="U1050">
        <v>3</v>
      </c>
      <c r="V1050">
        <v>16</v>
      </c>
      <c r="W1050">
        <v>1</v>
      </c>
      <c r="X1050">
        <v>16</v>
      </c>
      <c r="Y1050">
        <v>305</v>
      </c>
      <c r="Z1050">
        <v>392.82025973713081</v>
      </c>
      <c r="AA1050">
        <v>198</v>
      </c>
      <c r="AB1050">
        <v>332</v>
      </c>
      <c r="AC1050">
        <v>536</v>
      </c>
      <c r="AD1050">
        <v>29.96</v>
      </c>
      <c r="AE1050">
        <v>542</v>
      </c>
      <c r="AF1050">
        <v>29</v>
      </c>
      <c r="AG1050">
        <v>174</v>
      </c>
      <c r="AH1050">
        <v>129</v>
      </c>
      <c r="AI1050">
        <v>5.35</v>
      </c>
      <c r="AJ1050">
        <v>32.1</v>
      </c>
      <c r="AK1050">
        <v>23.8</v>
      </c>
      <c r="AL1050">
        <v>-20.153814849999971</v>
      </c>
      <c r="AM1050">
        <v>-44.87304592111829</v>
      </c>
      <c r="AN1050">
        <v>-20.153814849999971</v>
      </c>
      <c r="AO1050">
        <v>-44.87304592111829</v>
      </c>
      <c r="AP1050">
        <v>-20.153901000000001</v>
      </c>
      <c r="AQ1050">
        <v>-44.873201000000002</v>
      </c>
      <c r="AR1050">
        <v>18.831316146831309</v>
      </c>
      <c r="AS1050" t="s">
        <v>65</v>
      </c>
      <c r="AT1050">
        <v>1</v>
      </c>
      <c r="AU1050" t="s">
        <v>251</v>
      </c>
      <c r="AV1050" t="s">
        <v>252</v>
      </c>
      <c r="AW1050" t="s">
        <v>60</v>
      </c>
      <c r="AX1050" t="s">
        <v>68</v>
      </c>
      <c r="AY1050" t="s">
        <v>69</v>
      </c>
      <c r="AZ1050" t="b">
        <v>1</v>
      </c>
    </row>
    <row r="1051" spans="1:52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2128</v>
      </c>
      <c r="F1051" t="s">
        <v>190</v>
      </c>
      <c r="G1051" t="s">
        <v>253</v>
      </c>
      <c r="H1051" t="s">
        <v>254</v>
      </c>
      <c r="I1051" t="s">
        <v>254</v>
      </c>
      <c r="J1051" t="s">
        <v>60</v>
      </c>
      <c r="K1051" t="s">
        <v>255</v>
      </c>
      <c r="L1051" t="s">
        <v>62</v>
      </c>
      <c r="M1051" t="s">
        <v>255</v>
      </c>
      <c r="N1051" t="s">
        <v>256</v>
      </c>
      <c r="O1051" t="s">
        <v>257</v>
      </c>
      <c r="P1051">
        <v>-20.159638000000001</v>
      </c>
      <c r="Q1051">
        <v>-44.849030999999997</v>
      </c>
      <c r="R1051" s="2" t="str">
        <f>HYPERLINK("https://www.google.com/maps?q=-20.1596380,-44.8490310","Abrir no Google Maps")</f>
        <v>Abrir no Google Maps</v>
      </c>
      <c r="S1051">
        <v>4</v>
      </c>
      <c r="T1051">
        <v>691.81173220845892</v>
      </c>
      <c r="U1051">
        <v>3</v>
      </c>
      <c r="V1051">
        <v>19</v>
      </c>
      <c r="W1051">
        <v>1</v>
      </c>
      <c r="X1051">
        <v>19</v>
      </c>
      <c r="Y1051">
        <v>292</v>
      </c>
      <c r="Z1051">
        <v>678.56824923431736</v>
      </c>
      <c r="AA1051">
        <v>198</v>
      </c>
      <c r="AB1051">
        <v>332</v>
      </c>
      <c r="AC1051">
        <v>536</v>
      </c>
      <c r="AD1051">
        <v>29.96</v>
      </c>
      <c r="AE1051">
        <v>542</v>
      </c>
      <c r="AF1051">
        <v>29</v>
      </c>
      <c r="AG1051">
        <v>174</v>
      </c>
      <c r="AH1051">
        <v>129</v>
      </c>
      <c r="AI1051">
        <v>5.35</v>
      </c>
      <c r="AJ1051">
        <v>32.1</v>
      </c>
      <c r="AK1051">
        <v>23.8</v>
      </c>
      <c r="AL1051">
        <v>-20.159590049999959</v>
      </c>
      <c r="AM1051">
        <v>-44.849181856774607</v>
      </c>
      <c r="AN1051">
        <v>-20.159590049999959</v>
      </c>
      <c r="AO1051">
        <v>-44.849181856774607</v>
      </c>
      <c r="AP1051">
        <v>-20.159638000000001</v>
      </c>
      <c r="AQ1051">
        <v>-44.849030999999997</v>
      </c>
      <c r="AR1051">
        <v>16.643712040087191</v>
      </c>
      <c r="AS1051" t="s">
        <v>65</v>
      </c>
      <c r="AT1051">
        <v>1</v>
      </c>
      <c r="AU1051" t="s">
        <v>258</v>
      </c>
      <c r="AV1051" t="s">
        <v>259</v>
      </c>
      <c r="AW1051" t="s">
        <v>60</v>
      </c>
      <c r="AX1051" t="s">
        <v>68</v>
      </c>
      <c r="AY1051" t="s">
        <v>69</v>
      </c>
      <c r="AZ1051" t="b">
        <v>1</v>
      </c>
    </row>
    <row r="1052" spans="1:52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2128</v>
      </c>
      <c r="F1052" t="s">
        <v>190</v>
      </c>
      <c r="G1052" t="s">
        <v>141</v>
      </c>
      <c r="H1052" t="s">
        <v>142</v>
      </c>
      <c r="I1052" t="s">
        <v>142</v>
      </c>
      <c r="J1052" t="s">
        <v>60</v>
      </c>
      <c r="K1052" t="s">
        <v>143</v>
      </c>
      <c r="L1052" t="s">
        <v>62</v>
      </c>
      <c r="M1052" t="s">
        <v>143</v>
      </c>
      <c r="N1052" t="s">
        <v>144</v>
      </c>
      <c r="O1052" t="s">
        <v>145</v>
      </c>
      <c r="P1052">
        <v>-20.163377000000001</v>
      </c>
      <c r="Q1052">
        <v>-44.843598</v>
      </c>
      <c r="R1052" s="2" t="str">
        <f>HYPERLINK("https://www.google.com/maps?q=-20.1633770,-44.8435980","Abrir no Google Maps")</f>
        <v>Abrir no Google Maps</v>
      </c>
      <c r="S1052">
        <v>4</v>
      </c>
      <c r="T1052">
        <v>481.58374128635978</v>
      </c>
      <c r="U1052">
        <v>3</v>
      </c>
      <c r="V1052">
        <v>19</v>
      </c>
      <c r="W1052">
        <v>1</v>
      </c>
      <c r="X1052">
        <v>19</v>
      </c>
      <c r="Y1052">
        <v>292</v>
      </c>
      <c r="Z1052">
        <v>575.44522663909652</v>
      </c>
      <c r="AA1052">
        <v>198</v>
      </c>
      <c r="AB1052">
        <v>332</v>
      </c>
      <c r="AC1052">
        <v>536</v>
      </c>
      <c r="AD1052">
        <v>29.96</v>
      </c>
      <c r="AE1052">
        <v>542</v>
      </c>
      <c r="AF1052">
        <v>29</v>
      </c>
      <c r="AG1052">
        <v>174</v>
      </c>
      <c r="AH1052">
        <v>129</v>
      </c>
      <c r="AI1052">
        <v>5.35</v>
      </c>
      <c r="AJ1052">
        <v>32.1</v>
      </c>
      <c r="AK1052">
        <v>23.8</v>
      </c>
      <c r="AL1052">
        <v>-20.16343344999996</v>
      </c>
      <c r="AM1052">
        <v>-44.843590796247732</v>
      </c>
      <c r="AN1052">
        <v>-20.16343344999996</v>
      </c>
      <c r="AO1052">
        <v>-44.843590796247732</v>
      </c>
      <c r="AP1052">
        <v>-20.163377000000001</v>
      </c>
      <c r="AQ1052">
        <v>-44.843598</v>
      </c>
      <c r="AR1052">
        <v>6.3289415646640057</v>
      </c>
      <c r="AS1052" t="s">
        <v>65</v>
      </c>
      <c r="AT1052">
        <v>1</v>
      </c>
      <c r="AU1052" t="s">
        <v>146</v>
      </c>
      <c r="AV1052" t="s">
        <v>147</v>
      </c>
      <c r="AW1052" t="s">
        <v>60</v>
      </c>
      <c r="AX1052" t="s">
        <v>68</v>
      </c>
      <c r="AY1052" t="s">
        <v>69</v>
      </c>
      <c r="AZ1052" t="b">
        <v>1</v>
      </c>
    </row>
    <row r="1053" spans="1:52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2128</v>
      </c>
      <c r="F1053" t="s">
        <v>190</v>
      </c>
      <c r="G1053" t="s">
        <v>312</v>
      </c>
      <c r="H1053" t="s">
        <v>313</v>
      </c>
      <c r="I1053" t="s">
        <v>313</v>
      </c>
      <c r="J1053" t="s">
        <v>60</v>
      </c>
      <c r="K1053" t="s">
        <v>143</v>
      </c>
      <c r="L1053" t="s">
        <v>62</v>
      </c>
      <c r="M1053" t="s">
        <v>143</v>
      </c>
      <c r="N1053" t="s">
        <v>314</v>
      </c>
      <c r="O1053" t="s">
        <v>315</v>
      </c>
      <c r="P1053">
        <v>-20.168939000000002</v>
      </c>
      <c r="Q1053">
        <v>-44.843286999999997</v>
      </c>
      <c r="R1053" s="2" t="str">
        <f>HYPERLINK("https://www.google.com/maps?q=-20.1689390,-44.8432870","Abrir no Google Maps")</f>
        <v>Abrir no Google Maps</v>
      </c>
      <c r="S1053">
        <v>4</v>
      </c>
      <c r="T1053">
        <v>582.22902758915586</v>
      </c>
      <c r="U1053">
        <v>3</v>
      </c>
      <c r="V1053">
        <v>18</v>
      </c>
      <c r="W1053">
        <v>1</v>
      </c>
      <c r="X1053">
        <v>18</v>
      </c>
      <c r="Y1053">
        <v>292</v>
      </c>
      <c r="Z1053">
        <v>628.29035609472794</v>
      </c>
      <c r="AA1053">
        <v>198</v>
      </c>
      <c r="AB1053">
        <v>332</v>
      </c>
      <c r="AC1053">
        <v>536</v>
      </c>
      <c r="AD1053">
        <v>29.96</v>
      </c>
      <c r="AE1053">
        <v>542</v>
      </c>
      <c r="AF1053">
        <v>29</v>
      </c>
      <c r="AG1053">
        <v>174</v>
      </c>
      <c r="AH1053">
        <v>129</v>
      </c>
      <c r="AI1053">
        <v>5.35</v>
      </c>
      <c r="AJ1053">
        <v>32.1</v>
      </c>
      <c r="AK1053">
        <v>23.8</v>
      </c>
      <c r="AL1053">
        <v>-20.16917709999996</v>
      </c>
      <c r="AM1053">
        <v>-44.84342194427667</v>
      </c>
      <c r="AN1053">
        <v>-20.16917709999996</v>
      </c>
      <c r="AO1053">
        <v>-44.84342194427667</v>
      </c>
      <c r="AP1053">
        <v>-20.168939000000002</v>
      </c>
      <c r="AQ1053">
        <v>-44.843286999999997</v>
      </c>
      <c r="AR1053">
        <v>30.02272213565665</v>
      </c>
      <c r="AS1053" t="s">
        <v>65</v>
      </c>
      <c r="AT1053">
        <v>1</v>
      </c>
      <c r="AU1053" t="s">
        <v>316</v>
      </c>
      <c r="AV1053" t="s">
        <v>311</v>
      </c>
      <c r="AW1053" t="s">
        <v>60</v>
      </c>
      <c r="AX1053" t="s">
        <v>68</v>
      </c>
      <c r="AY1053" t="s">
        <v>69</v>
      </c>
      <c r="AZ1053" t="b">
        <v>1</v>
      </c>
    </row>
    <row r="1054" spans="1:52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2128</v>
      </c>
      <c r="F1054" t="s">
        <v>190</v>
      </c>
      <c r="G1054" t="s">
        <v>341</v>
      </c>
      <c r="H1054" t="s">
        <v>342</v>
      </c>
      <c r="I1054" t="s">
        <v>342</v>
      </c>
      <c r="J1054" t="s">
        <v>60</v>
      </c>
      <c r="K1054" t="s">
        <v>164</v>
      </c>
      <c r="L1054" t="s">
        <v>62</v>
      </c>
      <c r="M1054" t="s">
        <v>164</v>
      </c>
      <c r="N1054" t="s">
        <v>343</v>
      </c>
      <c r="O1054" t="s">
        <v>344</v>
      </c>
      <c r="P1054">
        <v>-20.17606</v>
      </c>
      <c r="Q1054">
        <v>-44.880409999999998</v>
      </c>
      <c r="R1054" s="2" t="str">
        <f>HYPERLINK("https://www.google.com/maps?q=-20.1760600,-44.8804100","Abrir no Google Maps")</f>
        <v>Abrir no Google Maps</v>
      </c>
      <c r="S1054">
        <v>4</v>
      </c>
      <c r="T1054">
        <v>556.35468246023754</v>
      </c>
      <c r="U1054">
        <v>3</v>
      </c>
      <c r="V1054">
        <v>17</v>
      </c>
      <c r="W1054">
        <v>1</v>
      </c>
      <c r="X1054">
        <v>17</v>
      </c>
      <c r="Y1054">
        <v>232</v>
      </c>
      <c r="Z1054">
        <v>674.22003156100322</v>
      </c>
      <c r="AA1054">
        <v>198</v>
      </c>
      <c r="AB1054">
        <v>332</v>
      </c>
      <c r="AC1054">
        <v>536</v>
      </c>
      <c r="AD1054">
        <v>29.96</v>
      </c>
      <c r="AE1054">
        <v>542</v>
      </c>
      <c r="AF1054">
        <v>29</v>
      </c>
      <c r="AG1054">
        <v>174</v>
      </c>
      <c r="AH1054">
        <v>129</v>
      </c>
      <c r="AI1054">
        <v>5.35</v>
      </c>
      <c r="AJ1054">
        <v>32.1</v>
      </c>
      <c r="AK1054">
        <v>23.8</v>
      </c>
      <c r="AL1054">
        <v>-20.176226899999961</v>
      </c>
      <c r="AM1054">
        <v>-44.880527903427911</v>
      </c>
      <c r="AN1054">
        <v>-20.176226899999961</v>
      </c>
      <c r="AO1054">
        <v>-44.880527903427911</v>
      </c>
      <c r="AP1054">
        <v>-20.17606</v>
      </c>
      <c r="AQ1054">
        <v>-44.880409999999998</v>
      </c>
      <c r="AR1054">
        <v>22.292677247804349</v>
      </c>
      <c r="AS1054" t="s">
        <v>65</v>
      </c>
      <c r="AT1054">
        <v>1</v>
      </c>
      <c r="AU1054" t="s">
        <v>345</v>
      </c>
      <c r="AV1054" t="s">
        <v>346</v>
      </c>
      <c r="AW1054" t="s">
        <v>60</v>
      </c>
      <c r="AX1054" t="s">
        <v>68</v>
      </c>
      <c r="AY1054" t="s">
        <v>69</v>
      </c>
      <c r="AZ1054" t="b">
        <v>1</v>
      </c>
    </row>
    <row r="1055" spans="1:52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2128</v>
      </c>
      <c r="F1055" t="s">
        <v>190</v>
      </c>
      <c r="G1055" t="s">
        <v>347</v>
      </c>
      <c r="H1055" t="s">
        <v>348</v>
      </c>
      <c r="I1055" t="s">
        <v>348</v>
      </c>
      <c r="J1055" t="s">
        <v>60</v>
      </c>
      <c r="K1055" t="s">
        <v>157</v>
      </c>
      <c r="L1055" t="s">
        <v>62</v>
      </c>
      <c r="M1055" t="s">
        <v>157</v>
      </c>
      <c r="N1055" t="s">
        <v>349</v>
      </c>
      <c r="O1055" t="s">
        <v>350</v>
      </c>
      <c r="P1055">
        <v>-20.171206999999999</v>
      </c>
      <c r="Q1055">
        <v>-44.881143999999999</v>
      </c>
      <c r="R1055" s="2" t="str">
        <f>HYPERLINK("https://www.google.com/maps?q=-20.1712070,-44.8811440","Abrir no Google Maps")</f>
        <v>Abrir no Google Maps</v>
      </c>
      <c r="S1055">
        <v>4</v>
      </c>
      <c r="T1055">
        <v>0</v>
      </c>
      <c r="U1055">
        <v>3</v>
      </c>
      <c r="V1055">
        <v>15</v>
      </c>
      <c r="W1055">
        <v>1</v>
      </c>
      <c r="X1055">
        <v>15</v>
      </c>
      <c r="Y1055">
        <v>232</v>
      </c>
      <c r="Z1055">
        <v>184.81719774496389</v>
      </c>
      <c r="AA1055">
        <v>198</v>
      </c>
      <c r="AB1055">
        <v>332</v>
      </c>
      <c r="AC1055">
        <v>536</v>
      </c>
      <c r="AD1055">
        <v>29.96</v>
      </c>
      <c r="AE1055">
        <v>542</v>
      </c>
      <c r="AF1055">
        <v>29</v>
      </c>
      <c r="AG1055">
        <v>174</v>
      </c>
      <c r="AH1055">
        <v>129</v>
      </c>
      <c r="AI1055">
        <v>5.35</v>
      </c>
      <c r="AJ1055">
        <v>32.1</v>
      </c>
      <c r="AK1055">
        <v>23.8</v>
      </c>
      <c r="AL1055">
        <v>-20.171229949999969</v>
      </c>
      <c r="AM1055">
        <v>-44.881113944480241</v>
      </c>
      <c r="AN1055">
        <v>-20.171229949999969</v>
      </c>
      <c r="AO1055">
        <v>-44.881113944480241</v>
      </c>
      <c r="AP1055">
        <v>-20.171206999999999</v>
      </c>
      <c r="AQ1055">
        <v>-44.881143999999999</v>
      </c>
      <c r="AR1055">
        <v>4.0484763362859333</v>
      </c>
      <c r="AS1055" t="s">
        <v>65</v>
      </c>
      <c r="AT1055">
        <v>1</v>
      </c>
      <c r="AU1055" t="s">
        <v>351</v>
      </c>
      <c r="AV1055" t="s">
        <v>352</v>
      </c>
      <c r="AW1055" t="s">
        <v>60</v>
      </c>
      <c r="AX1055" t="s">
        <v>68</v>
      </c>
      <c r="AY1055" t="s">
        <v>69</v>
      </c>
      <c r="AZ1055" t="b">
        <v>1</v>
      </c>
    </row>
    <row r="1056" spans="1:52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2128</v>
      </c>
      <c r="F1056" t="s">
        <v>190</v>
      </c>
      <c r="G1056" t="s">
        <v>1127</v>
      </c>
      <c r="H1056" t="s">
        <v>1643</v>
      </c>
      <c r="I1056" t="s">
        <v>1643</v>
      </c>
      <c r="J1056" t="s">
        <v>60</v>
      </c>
      <c r="K1056" t="s">
        <v>1644</v>
      </c>
      <c r="L1056" t="s">
        <v>62</v>
      </c>
      <c r="M1056" t="s">
        <v>1644</v>
      </c>
      <c r="N1056" t="s">
        <v>1645</v>
      </c>
      <c r="O1056" t="s">
        <v>1646</v>
      </c>
      <c r="P1056">
        <v>-20.144261</v>
      </c>
      <c r="Q1056">
        <v>-44.872231999999997</v>
      </c>
      <c r="R1056" s="2" t="str">
        <f>HYPERLINK("https://www.google.com/maps?q=-20.1442610,-44.8722320","Abrir no Google Maps")</f>
        <v>Abrir no Google Maps</v>
      </c>
      <c r="S1056">
        <v>4</v>
      </c>
      <c r="T1056">
        <v>347.76810049345352</v>
      </c>
      <c r="U1056">
        <v>3</v>
      </c>
      <c r="V1056">
        <v>21</v>
      </c>
      <c r="W1056">
        <v>0.85</v>
      </c>
      <c r="X1056">
        <v>17.850000000000001</v>
      </c>
      <c r="Y1056">
        <v>209</v>
      </c>
      <c r="Z1056">
        <v>239.9249814054366</v>
      </c>
      <c r="AA1056">
        <v>198</v>
      </c>
      <c r="AB1056">
        <v>332</v>
      </c>
      <c r="AC1056">
        <v>536</v>
      </c>
      <c r="AD1056">
        <v>29.96</v>
      </c>
      <c r="AE1056">
        <v>542</v>
      </c>
      <c r="AF1056">
        <v>29</v>
      </c>
      <c r="AG1056">
        <v>174</v>
      </c>
      <c r="AH1056">
        <v>129</v>
      </c>
      <c r="AI1056">
        <v>5.35</v>
      </c>
      <c r="AJ1056">
        <v>32.1</v>
      </c>
      <c r="AK1056">
        <v>23.8</v>
      </c>
      <c r="AL1056">
        <v>-20.144283649999949</v>
      </c>
      <c r="AM1056">
        <v>-44.872299150008573</v>
      </c>
      <c r="AN1056">
        <v>-20.144283649999949</v>
      </c>
      <c r="AO1056">
        <v>-44.872299150008573</v>
      </c>
      <c r="AP1056">
        <v>-20.144261</v>
      </c>
      <c r="AQ1056">
        <v>-44.872231999999997</v>
      </c>
      <c r="AR1056">
        <v>7.4570759248114484</v>
      </c>
      <c r="AS1056" t="s">
        <v>65</v>
      </c>
      <c r="AT1056">
        <v>1</v>
      </c>
      <c r="AU1056" t="s">
        <v>1647</v>
      </c>
      <c r="AV1056" t="s">
        <v>1648</v>
      </c>
      <c r="AW1056" t="s">
        <v>60</v>
      </c>
      <c r="AX1056" t="s">
        <v>68</v>
      </c>
      <c r="AY1056" t="s">
        <v>69</v>
      </c>
      <c r="AZ1056" t="b">
        <v>1</v>
      </c>
    </row>
    <row r="1057" spans="1:52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2128</v>
      </c>
      <c r="F1057" t="s">
        <v>190</v>
      </c>
      <c r="G1057" t="s">
        <v>1649</v>
      </c>
      <c r="H1057" t="s">
        <v>1650</v>
      </c>
      <c r="I1057" t="s">
        <v>1650</v>
      </c>
      <c r="J1057" t="s">
        <v>60</v>
      </c>
      <c r="K1057" t="s">
        <v>355</v>
      </c>
      <c r="L1057" t="s">
        <v>62</v>
      </c>
      <c r="M1057" t="s">
        <v>355</v>
      </c>
      <c r="N1057" t="s">
        <v>1651</v>
      </c>
      <c r="O1057" t="s">
        <v>293</v>
      </c>
      <c r="P1057">
        <v>-20.141983</v>
      </c>
      <c r="Q1057">
        <v>-44.871161000000001</v>
      </c>
      <c r="R1057" s="2" t="str">
        <f>HYPERLINK("https://www.google.com/maps?q=-20.1419830,-44.8711610","Abrir no Google Maps")</f>
        <v>Abrir no Google Maps</v>
      </c>
      <c r="S1057">
        <v>4</v>
      </c>
      <c r="T1057">
        <v>492.40092389187612</v>
      </c>
      <c r="U1057">
        <v>3</v>
      </c>
      <c r="V1057">
        <v>15</v>
      </c>
      <c r="W1057">
        <v>1</v>
      </c>
      <c r="X1057">
        <v>15</v>
      </c>
      <c r="Y1057">
        <v>209</v>
      </c>
      <c r="Z1057">
        <v>425.51195583014947</v>
      </c>
      <c r="AA1057">
        <v>198</v>
      </c>
      <c r="AB1057">
        <v>332</v>
      </c>
      <c r="AC1057">
        <v>536</v>
      </c>
      <c r="AD1057">
        <v>29.96</v>
      </c>
      <c r="AE1057">
        <v>542</v>
      </c>
      <c r="AF1057">
        <v>29</v>
      </c>
      <c r="AG1057">
        <v>174</v>
      </c>
      <c r="AH1057">
        <v>129</v>
      </c>
      <c r="AI1057">
        <v>5.35</v>
      </c>
      <c r="AJ1057">
        <v>32.1</v>
      </c>
      <c r="AK1057">
        <v>23.8</v>
      </c>
      <c r="AL1057">
        <v>-20.142006349999971</v>
      </c>
      <c r="AM1057">
        <v>-44.871190369486733</v>
      </c>
      <c r="AN1057">
        <v>-20.142006349999981</v>
      </c>
      <c r="AO1057">
        <v>-44.871190369486733</v>
      </c>
      <c r="AP1057">
        <v>-20.141983</v>
      </c>
      <c r="AQ1057">
        <v>-44.871161000000001</v>
      </c>
      <c r="AR1057">
        <v>4.0221964388318616</v>
      </c>
      <c r="AS1057" t="s">
        <v>65</v>
      </c>
      <c r="AT1057">
        <v>1</v>
      </c>
      <c r="AU1057" t="s">
        <v>1652</v>
      </c>
      <c r="AV1057" t="s">
        <v>1653</v>
      </c>
      <c r="AW1057" t="s">
        <v>60</v>
      </c>
      <c r="AX1057" t="s">
        <v>68</v>
      </c>
      <c r="AY1057" t="s">
        <v>69</v>
      </c>
      <c r="AZ1057" t="b">
        <v>1</v>
      </c>
    </row>
    <row r="1058" spans="1:52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2128</v>
      </c>
      <c r="F1058" t="s">
        <v>190</v>
      </c>
      <c r="G1058" t="s">
        <v>1654</v>
      </c>
      <c r="H1058" t="s">
        <v>1655</v>
      </c>
      <c r="I1058" t="s">
        <v>1655</v>
      </c>
      <c r="J1058" t="s">
        <v>60</v>
      </c>
      <c r="K1058" t="s">
        <v>368</v>
      </c>
      <c r="L1058" t="s">
        <v>62</v>
      </c>
      <c r="M1058" t="s">
        <v>368</v>
      </c>
      <c r="N1058" t="s">
        <v>1656</v>
      </c>
      <c r="O1058" t="s">
        <v>1657</v>
      </c>
      <c r="P1058">
        <v>-20.143647999999999</v>
      </c>
      <c r="Q1058">
        <v>-44.870466</v>
      </c>
      <c r="R1058" s="2" t="str">
        <f>HYPERLINK("https://www.google.com/maps?q=-20.1436480,-44.8704660","Abrir no Google Maps")</f>
        <v>Abrir no Google Maps</v>
      </c>
      <c r="S1058">
        <v>4</v>
      </c>
      <c r="T1058">
        <v>545.81556277505979</v>
      </c>
      <c r="U1058">
        <v>3</v>
      </c>
      <c r="V1058">
        <v>17</v>
      </c>
      <c r="W1058">
        <v>1</v>
      </c>
      <c r="X1058">
        <v>17</v>
      </c>
      <c r="Y1058">
        <v>198</v>
      </c>
      <c r="Z1058">
        <v>258.83396188518708</v>
      </c>
      <c r="AA1058">
        <v>198</v>
      </c>
      <c r="AB1058">
        <v>332</v>
      </c>
      <c r="AC1058">
        <v>536</v>
      </c>
      <c r="AD1058">
        <v>29.96</v>
      </c>
      <c r="AE1058">
        <v>542</v>
      </c>
      <c r="AF1058">
        <v>29</v>
      </c>
      <c r="AG1058">
        <v>174</v>
      </c>
      <c r="AH1058">
        <v>129</v>
      </c>
      <c r="AI1058">
        <v>5.35</v>
      </c>
      <c r="AJ1058">
        <v>32.1</v>
      </c>
      <c r="AK1058">
        <v>23.8</v>
      </c>
      <c r="AL1058">
        <v>-20.143704099999951</v>
      </c>
      <c r="AM1058">
        <v>-44.870339403868741</v>
      </c>
      <c r="AN1058">
        <v>-20.143704099999951</v>
      </c>
      <c r="AO1058">
        <v>-44.870339403868741</v>
      </c>
      <c r="AP1058">
        <v>-20.143647999999999</v>
      </c>
      <c r="AQ1058">
        <v>-44.870466</v>
      </c>
      <c r="AR1058">
        <v>14.63048136060379</v>
      </c>
      <c r="AS1058" t="s">
        <v>65</v>
      </c>
      <c r="AT1058">
        <v>1</v>
      </c>
      <c r="AU1058" t="s">
        <v>1658</v>
      </c>
      <c r="AV1058" t="s">
        <v>1659</v>
      </c>
      <c r="AW1058" t="s">
        <v>60</v>
      </c>
      <c r="AX1058" t="s">
        <v>68</v>
      </c>
      <c r="AY1058" t="s">
        <v>69</v>
      </c>
      <c r="AZ1058" t="b">
        <v>1</v>
      </c>
    </row>
    <row r="1059" spans="1:52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2128</v>
      </c>
      <c r="F1059" t="s">
        <v>190</v>
      </c>
      <c r="G1059" t="s">
        <v>1728</v>
      </c>
      <c r="H1059" t="s">
        <v>1729</v>
      </c>
      <c r="I1059" t="s">
        <v>1729</v>
      </c>
      <c r="J1059" t="s">
        <v>60</v>
      </c>
      <c r="K1059" t="s">
        <v>171</v>
      </c>
      <c r="L1059" t="s">
        <v>62</v>
      </c>
      <c r="M1059" t="s">
        <v>171</v>
      </c>
      <c r="N1059" t="s">
        <v>1730</v>
      </c>
      <c r="O1059" t="s">
        <v>1731</v>
      </c>
      <c r="P1059">
        <v>-20.153237000000001</v>
      </c>
      <c r="Q1059">
        <v>-44.893830999999999</v>
      </c>
      <c r="R1059" s="2" t="str">
        <f>HYPERLINK("https://www.google.com/maps?q=-20.1532370,-44.8938310","Abrir no Google Maps")</f>
        <v>Abrir no Google Maps</v>
      </c>
      <c r="S1059">
        <v>4</v>
      </c>
      <c r="T1059">
        <v>413.69072684661631</v>
      </c>
      <c r="U1059">
        <v>3</v>
      </c>
      <c r="V1059">
        <v>16</v>
      </c>
      <c r="W1059">
        <v>1</v>
      </c>
      <c r="X1059">
        <v>16</v>
      </c>
      <c r="Y1059">
        <v>129</v>
      </c>
      <c r="Z1059">
        <v>276.95856023076033</v>
      </c>
      <c r="AA1059">
        <v>198</v>
      </c>
      <c r="AB1059">
        <v>332</v>
      </c>
      <c r="AC1059">
        <v>536</v>
      </c>
      <c r="AD1059">
        <v>29.96</v>
      </c>
      <c r="AE1059">
        <v>542</v>
      </c>
      <c r="AF1059">
        <v>29</v>
      </c>
      <c r="AG1059">
        <v>174</v>
      </c>
      <c r="AH1059">
        <v>129</v>
      </c>
      <c r="AI1059">
        <v>5.35</v>
      </c>
      <c r="AJ1059">
        <v>32.1</v>
      </c>
      <c r="AK1059">
        <v>23.8</v>
      </c>
      <c r="AL1059">
        <v>-20.15278304999995</v>
      </c>
      <c r="AM1059">
        <v>-44.894325691070982</v>
      </c>
      <c r="AN1059">
        <v>-20.15278304999995</v>
      </c>
      <c r="AO1059">
        <v>-44.894325691070982</v>
      </c>
      <c r="AP1059">
        <v>-20.153237000000001</v>
      </c>
      <c r="AQ1059">
        <v>-44.893830999999999</v>
      </c>
      <c r="AR1059">
        <v>72.293093135883012</v>
      </c>
      <c r="AS1059" t="s">
        <v>65</v>
      </c>
      <c r="AT1059">
        <v>1</v>
      </c>
      <c r="AU1059" t="s">
        <v>1732</v>
      </c>
      <c r="AV1059" t="s">
        <v>1733</v>
      </c>
      <c r="AW1059" t="s">
        <v>60</v>
      </c>
      <c r="AX1059" t="s">
        <v>68</v>
      </c>
      <c r="AY1059" t="s">
        <v>69</v>
      </c>
      <c r="AZ1059" t="b">
        <v>1</v>
      </c>
    </row>
    <row r="1060" spans="1:52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2128</v>
      </c>
      <c r="F1060" t="s">
        <v>190</v>
      </c>
      <c r="G1060" t="s">
        <v>380</v>
      </c>
      <c r="H1060" t="s">
        <v>381</v>
      </c>
      <c r="I1060" t="s">
        <v>381</v>
      </c>
      <c r="J1060" t="s">
        <v>60</v>
      </c>
      <c r="K1060" t="s">
        <v>72</v>
      </c>
      <c r="L1060" t="s">
        <v>62</v>
      </c>
      <c r="M1060" t="s">
        <v>72</v>
      </c>
      <c r="N1060" t="s">
        <v>382</v>
      </c>
      <c r="O1060" t="s">
        <v>383</v>
      </c>
      <c r="P1060">
        <v>-20.147182000000001</v>
      </c>
      <c r="Q1060">
        <v>-44.912728999999999</v>
      </c>
      <c r="R1060" s="2" t="str">
        <f>HYPERLINK("https://www.google.com/maps?q=-20.1471820,-44.9127290","Abrir no Google Maps")</f>
        <v>Abrir no Google Maps</v>
      </c>
      <c r="S1060">
        <v>3</v>
      </c>
      <c r="T1060">
        <v>478.0141981540923</v>
      </c>
      <c r="U1060">
        <v>4</v>
      </c>
      <c r="V1060">
        <v>25</v>
      </c>
      <c r="W1060">
        <v>1</v>
      </c>
      <c r="X1060">
        <v>25</v>
      </c>
      <c r="Y1060">
        <v>747</v>
      </c>
      <c r="Z1060">
        <v>494.0254290673729</v>
      </c>
      <c r="AA1060">
        <v>198</v>
      </c>
      <c r="AB1060">
        <v>332</v>
      </c>
      <c r="AC1060">
        <v>536</v>
      </c>
      <c r="AD1060">
        <v>29.96</v>
      </c>
      <c r="AE1060">
        <v>542</v>
      </c>
      <c r="AF1060">
        <v>29</v>
      </c>
      <c r="AG1060">
        <v>174</v>
      </c>
      <c r="AH1060">
        <v>129</v>
      </c>
      <c r="AI1060">
        <v>5.35</v>
      </c>
      <c r="AJ1060">
        <v>32.1</v>
      </c>
      <c r="AK1060">
        <v>23.8</v>
      </c>
      <c r="AL1060">
        <v>-20.147375599999979</v>
      </c>
      <c r="AM1060">
        <v>-44.912907472879468</v>
      </c>
      <c r="AN1060">
        <v>-20.147375599999979</v>
      </c>
      <c r="AO1060">
        <v>-44.912907472879468</v>
      </c>
      <c r="AP1060">
        <v>-20.147182000000001</v>
      </c>
      <c r="AQ1060">
        <v>-44.912728999999999</v>
      </c>
      <c r="AR1060">
        <v>28.50197694184326</v>
      </c>
      <c r="AS1060" t="s">
        <v>65</v>
      </c>
      <c r="AT1060">
        <v>1</v>
      </c>
      <c r="AU1060" t="s">
        <v>384</v>
      </c>
      <c r="AV1060" t="s">
        <v>385</v>
      </c>
      <c r="AW1060" t="s">
        <v>60</v>
      </c>
      <c r="AX1060" t="s">
        <v>68</v>
      </c>
      <c r="AY1060" t="s">
        <v>69</v>
      </c>
      <c r="AZ1060" t="b">
        <v>1</v>
      </c>
    </row>
    <row r="1061" spans="1:52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2128</v>
      </c>
      <c r="F1061" t="s">
        <v>190</v>
      </c>
      <c r="G1061" t="s">
        <v>392</v>
      </c>
      <c r="H1061" t="s">
        <v>393</v>
      </c>
      <c r="I1061" t="s">
        <v>393</v>
      </c>
      <c r="J1061" t="s">
        <v>60</v>
      </c>
      <c r="K1061" t="s">
        <v>388</v>
      </c>
      <c r="L1061" t="s">
        <v>62</v>
      </c>
      <c r="M1061" t="s">
        <v>388</v>
      </c>
      <c r="N1061" t="s">
        <v>394</v>
      </c>
      <c r="O1061" t="s">
        <v>395</v>
      </c>
      <c r="P1061">
        <v>-20.158066999999999</v>
      </c>
      <c r="Q1061">
        <v>-44.908164999999997</v>
      </c>
      <c r="R1061" s="2" t="str">
        <f>HYPERLINK("https://www.google.com/maps?q=-20.1580670,-44.9081650","Abrir no Google Maps")</f>
        <v>Abrir no Google Maps</v>
      </c>
      <c r="S1061">
        <v>3</v>
      </c>
      <c r="T1061">
        <v>666.74434317993041</v>
      </c>
      <c r="U1061">
        <v>4</v>
      </c>
      <c r="V1061">
        <v>23</v>
      </c>
      <c r="W1061">
        <v>1</v>
      </c>
      <c r="X1061">
        <v>23</v>
      </c>
      <c r="Y1061">
        <v>729</v>
      </c>
      <c r="Z1061">
        <v>612.4323328215396</v>
      </c>
      <c r="AA1061">
        <v>198</v>
      </c>
      <c r="AB1061">
        <v>332</v>
      </c>
      <c r="AC1061">
        <v>536</v>
      </c>
      <c r="AD1061">
        <v>29.96</v>
      </c>
      <c r="AE1061">
        <v>542</v>
      </c>
      <c r="AF1061">
        <v>29</v>
      </c>
      <c r="AG1061">
        <v>174</v>
      </c>
      <c r="AH1061">
        <v>129</v>
      </c>
      <c r="AI1061">
        <v>5.35</v>
      </c>
      <c r="AJ1061">
        <v>32.1</v>
      </c>
      <c r="AK1061">
        <v>23.8</v>
      </c>
      <c r="AL1061">
        <v>-20.158151449999959</v>
      </c>
      <c r="AM1061">
        <v>-44.908107718360938</v>
      </c>
      <c r="AN1061">
        <v>-20.158151449999959</v>
      </c>
      <c r="AO1061">
        <v>-44.908107718360938</v>
      </c>
      <c r="AP1061">
        <v>-20.158066999999999</v>
      </c>
      <c r="AQ1061">
        <v>-44.908164999999997</v>
      </c>
      <c r="AR1061">
        <v>11.14497345894574</v>
      </c>
      <c r="AS1061" t="s">
        <v>65</v>
      </c>
      <c r="AT1061">
        <v>1</v>
      </c>
      <c r="AU1061" t="s">
        <v>396</v>
      </c>
      <c r="AV1061" t="s">
        <v>397</v>
      </c>
      <c r="AW1061" t="s">
        <v>60</v>
      </c>
      <c r="AX1061" t="s">
        <v>68</v>
      </c>
      <c r="AY1061" t="s">
        <v>69</v>
      </c>
      <c r="AZ1061" t="b">
        <v>1</v>
      </c>
    </row>
    <row r="1062" spans="1:52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2128</v>
      </c>
      <c r="F1062" t="s">
        <v>190</v>
      </c>
      <c r="G1062" t="s">
        <v>398</v>
      </c>
      <c r="H1062" t="s">
        <v>399</v>
      </c>
      <c r="I1062" t="s">
        <v>399</v>
      </c>
      <c r="J1062" t="s">
        <v>60</v>
      </c>
      <c r="K1062" t="s">
        <v>388</v>
      </c>
      <c r="L1062" t="s">
        <v>62</v>
      </c>
      <c r="M1062" t="s">
        <v>388</v>
      </c>
      <c r="N1062" t="s">
        <v>400</v>
      </c>
      <c r="O1062" t="s">
        <v>401</v>
      </c>
      <c r="P1062">
        <v>-20.160157000000002</v>
      </c>
      <c r="Q1062">
        <v>-44.904347999999999</v>
      </c>
      <c r="R1062" s="2" t="str">
        <f>HYPERLINK("https://www.google.com/maps?q=-20.1601570,-44.9043480","Abrir no Google Maps")</f>
        <v>Abrir no Google Maps</v>
      </c>
      <c r="S1062">
        <v>3</v>
      </c>
      <c r="T1062">
        <v>469.26088527154809</v>
      </c>
      <c r="U1062">
        <v>4</v>
      </c>
      <c r="V1062">
        <v>35</v>
      </c>
      <c r="W1062">
        <v>1</v>
      </c>
      <c r="X1062">
        <v>35</v>
      </c>
      <c r="Y1062">
        <v>729</v>
      </c>
      <c r="Z1062">
        <v>253.57832452309071</v>
      </c>
      <c r="AA1062">
        <v>198</v>
      </c>
      <c r="AB1062">
        <v>332</v>
      </c>
      <c r="AC1062">
        <v>536</v>
      </c>
      <c r="AD1062">
        <v>29.96</v>
      </c>
      <c r="AE1062">
        <v>542</v>
      </c>
      <c r="AF1062">
        <v>29</v>
      </c>
      <c r="AG1062">
        <v>174</v>
      </c>
      <c r="AH1062">
        <v>129</v>
      </c>
      <c r="AI1062">
        <v>5.35</v>
      </c>
      <c r="AJ1062">
        <v>32.1</v>
      </c>
      <c r="AK1062">
        <v>23.8</v>
      </c>
      <c r="AL1062">
        <v>-20.160007949999969</v>
      </c>
      <c r="AM1062">
        <v>-44.904396608560482</v>
      </c>
      <c r="AN1062">
        <v>-20.160007949999969</v>
      </c>
      <c r="AO1062">
        <v>-44.904396608560482</v>
      </c>
      <c r="AP1062">
        <v>-20.160157000000002</v>
      </c>
      <c r="AQ1062">
        <v>-44.904347999999999</v>
      </c>
      <c r="AR1062">
        <v>17.35237255387942</v>
      </c>
      <c r="AS1062" t="s">
        <v>65</v>
      </c>
      <c r="AT1062">
        <v>1</v>
      </c>
      <c r="AU1062" t="s">
        <v>402</v>
      </c>
      <c r="AV1062" t="s">
        <v>403</v>
      </c>
      <c r="AW1062" t="s">
        <v>60</v>
      </c>
      <c r="AX1062" t="s">
        <v>68</v>
      </c>
      <c r="AY1062" t="s">
        <v>69</v>
      </c>
      <c r="AZ1062" t="b">
        <v>1</v>
      </c>
    </row>
    <row r="1063" spans="1:52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2128</v>
      </c>
      <c r="F1063" t="s">
        <v>190</v>
      </c>
      <c r="G1063" t="s">
        <v>410</v>
      </c>
      <c r="H1063" t="s">
        <v>411</v>
      </c>
      <c r="I1063" t="s">
        <v>411</v>
      </c>
      <c r="J1063" t="s">
        <v>60</v>
      </c>
      <c r="K1063" t="s">
        <v>388</v>
      </c>
      <c r="L1063" t="s">
        <v>62</v>
      </c>
      <c r="M1063" t="s">
        <v>388</v>
      </c>
      <c r="N1063" t="s">
        <v>412</v>
      </c>
      <c r="O1063" t="s">
        <v>413</v>
      </c>
      <c r="P1063">
        <v>-20.161394000000001</v>
      </c>
      <c r="Q1063">
        <v>-44.906725999999999</v>
      </c>
      <c r="R1063" s="2" t="str">
        <f>HYPERLINK("https://www.google.com/maps?q=-20.1613940,-44.9067260","Abrir no Google Maps")</f>
        <v>Abrir no Google Maps</v>
      </c>
      <c r="S1063">
        <v>3</v>
      </c>
      <c r="T1063">
        <v>763.68157548493457</v>
      </c>
      <c r="U1063">
        <v>4</v>
      </c>
      <c r="V1063">
        <v>34</v>
      </c>
      <c r="W1063">
        <v>1</v>
      </c>
      <c r="X1063">
        <v>34</v>
      </c>
      <c r="Y1063">
        <v>729</v>
      </c>
      <c r="Z1063">
        <v>551.70379325948545</v>
      </c>
      <c r="AA1063">
        <v>198</v>
      </c>
      <c r="AB1063">
        <v>332</v>
      </c>
      <c r="AC1063">
        <v>536</v>
      </c>
      <c r="AD1063">
        <v>29.96</v>
      </c>
      <c r="AE1063">
        <v>542</v>
      </c>
      <c r="AF1063">
        <v>29</v>
      </c>
      <c r="AG1063">
        <v>174</v>
      </c>
      <c r="AH1063">
        <v>129</v>
      </c>
      <c r="AI1063">
        <v>5.35</v>
      </c>
      <c r="AJ1063">
        <v>32.1</v>
      </c>
      <c r="AK1063">
        <v>23.8</v>
      </c>
      <c r="AL1063">
        <v>-20.161371049999929</v>
      </c>
      <c r="AM1063">
        <v>-44.906816797310228</v>
      </c>
      <c r="AN1063">
        <v>-20.161371049999929</v>
      </c>
      <c r="AO1063">
        <v>-44.906816797310228</v>
      </c>
      <c r="AP1063">
        <v>-20.161394000000001</v>
      </c>
      <c r="AQ1063">
        <v>-44.906725999999999</v>
      </c>
      <c r="AR1063">
        <v>9.8261555662022495</v>
      </c>
      <c r="AS1063" t="s">
        <v>65</v>
      </c>
      <c r="AT1063">
        <v>1</v>
      </c>
      <c r="AU1063" t="s">
        <v>414</v>
      </c>
      <c r="AV1063" t="s">
        <v>415</v>
      </c>
      <c r="AW1063" t="s">
        <v>60</v>
      </c>
      <c r="AX1063" t="s">
        <v>68</v>
      </c>
      <c r="AY1063" t="s">
        <v>69</v>
      </c>
      <c r="AZ1063" t="b">
        <v>1</v>
      </c>
    </row>
    <row r="1064" spans="1:52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2128</v>
      </c>
      <c r="F1064" t="s">
        <v>190</v>
      </c>
      <c r="G1064" t="s">
        <v>416</v>
      </c>
      <c r="H1064" t="s">
        <v>417</v>
      </c>
      <c r="I1064" t="s">
        <v>417</v>
      </c>
      <c r="J1064" t="s">
        <v>60</v>
      </c>
      <c r="K1064" t="s">
        <v>418</v>
      </c>
      <c r="L1064" t="s">
        <v>62</v>
      </c>
      <c r="M1064" t="s">
        <v>418</v>
      </c>
      <c r="N1064" t="s">
        <v>419</v>
      </c>
      <c r="O1064" t="s">
        <v>202</v>
      </c>
      <c r="P1064">
        <v>-20.169886000000002</v>
      </c>
      <c r="Q1064">
        <v>-44.913288000000001</v>
      </c>
      <c r="R1064" s="2" t="str">
        <f>HYPERLINK("https://www.google.com/maps?q=-20.1698860,-44.9132880","Abrir no Google Maps")</f>
        <v>Abrir no Google Maps</v>
      </c>
      <c r="S1064">
        <v>3</v>
      </c>
      <c r="T1064">
        <v>422.88733632898152</v>
      </c>
      <c r="U1064">
        <v>4</v>
      </c>
      <c r="V1064">
        <v>33</v>
      </c>
      <c r="W1064">
        <v>1</v>
      </c>
      <c r="X1064">
        <v>33</v>
      </c>
      <c r="Y1064">
        <v>723</v>
      </c>
      <c r="Z1064">
        <v>128.65003864232261</v>
      </c>
      <c r="AA1064">
        <v>198</v>
      </c>
      <c r="AB1064">
        <v>332</v>
      </c>
      <c r="AC1064">
        <v>536</v>
      </c>
      <c r="AD1064">
        <v>29.96</v>
      </c>
      <c r="AE1064">
        <v>542</v>
      </c>
      <c r="AF1064">
        <v>29</v>
      </c>
      <c r="AG1064">
        <v>174</v>
      </c>
      <c r="AH1064">
        <v>129</v>
      </c>
      <c r="AI1064">
        <v>5.35</v>
      </c>
      <c r="AJ1064">
        <v>32.1</v>
      </c>
      <c r="AK1064">
        <v>23.8</v>
      </c>
      <c r="AL1064">
        <v>-20.16970024999998</v>
      </c>
      <c r="AM1064">
        <v>-44.913502201257437</v>
      </c>
      <c r="AN1064">
        <v>-20.16970024999998</v>
      </c>
      <c r="AO1064">
        <v>-44.913502201257437</v>
      </c>
      <c r="AP1064">
        <v>-20.169886000000002</v>
      </c>
      <c r="AQ1064">
        <v>-44.913288000000001</v>
      </c>
      <c r="AR1064">
        <v>30.47208587597606</v>
      </c>
      <c r="AS1064" t="s">
        <v>65</v>
      </c>
      <c r="AT1064">
        <v>1</v>
      </c>
      <c r="AU1064" t="s">
        <v>420</v>
      </c>
      <c r="AV1064" t="s">
        <v>421</v>
      </c>
      <c r="AW1064" t="s">
        <v>60</v>
      </c>
      <c r="AX1064" t="s">
        <v>68</v>
      </c>
      <c r="AY1064" t="s">
        <v>69</v>
      </c>
      <c r="AZ1064" t="b">
        <v>1</v>
      </c>
    </row>
    <row r="1065" spans="1:52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2128</v>
      </c>
      <c r="F1065" t="s">
        <v>190</v>
      </c>
      <c r="G1065" t="s">
        <v>422</v>
      </c>
      <c r="H1065" t="s">
        <v>423</v>
      </c>
      <c r="I1065" t="s">
        <v>423</v>
      </c>
      <c r="J1065" t="s">
        <v>60</v>
      </c>
      <c r="K1065" t="s">
        <v>424</v>
      </c>
      <c r="L1065" t="s">
        <v>62</v>
      </c>
      <c r="M1065" t="s">
        <v>424</v>
      </c>
      <c r="N1065" t="s">
        <v>425</v>
      </c>
      <c r="O1065" t="s">
        <v>426</v>
      </c>
      <c r="P1065">
        <v>-20.177748000000001</v>
      </c>
      <c r="Q1065">
        <v>-44.912475000000001</v>
      </c>
      <c r="R1065" s="2" t="str">
        <f>HYPERLINK("https://www.google.com/maps?q=-20.1777480,-44.9124750","Abrir no Google Maps")</f>
        <v>Abrir no Google Maps</v>
      </c>
      <c r="S1065">
        <v>3</v>
      </c>
      <c r="T1065">
        <v>657.07560140436533</v>
      </c>
      <c r="U1065">
        <v>4</v>
      </c>
      <c r="V1065">
        <v>23</v>
      </c>
      <c r="W1065">
        <v>1</v>
      </c>
      <c r="X1065">
        <v>23</v>
      </c>
      <c r="Y1065">
        <v>723</v>
      </c>
      <c r="Z1065">
        <v>796.94198000561175</v>
      </c>
      <c r="AA1065">
        <v>198</v>
      </c>
      <c r="AB1065">
        <v>332</v>
      </c>
      <c r="AC1065">
        <v>536</v>
      </c>
      <c r="AD1065">
        <v>29.96</v>
      </c>
      <c r="AE1065">
        <v>542</v>
      </c>
      <c r="AF1065">
        <v>29</v>
      </c>
      <c r="AG1065">
        <v>174</v>
      </c>
      <c r="AH1065">
        <v>129</v>
      </c>
      <c r="AI1065">
        <v>5.35</v>
      </c>
      <c r="AJ1065">
        <v>32.1</v>
      </c>
      <c r="AK1065">
        <v>23.8</v>
      </c>
      <c r="AL1065">
        <v>-20.177761749999949</v>
      </c>
      <c r="AM1065">
        <v>-44.91263311624418</v>
      </c>
      <c r="AN1065">
        <v>-20.177761749999949</v>
      </c>
      <c r="AO1065">
        <v>-44.91263311624418</v>
      </c>
      <c r="AP1065">
        <v>-20.177748000000001</v>
      </c>
      <c r="AQ1065">
        <v>-44.912475000000001</v>
      </c>
      <c r="AR1065">
        <v>16.591996803075372</v>
      </c>
      <c r="AS1065" t="s">
        <v>65</v>
      </c>
      <c r="AT1065">
        <v>1</v>
      </c>
      <c r="AU1065" t="s">
        <v>427</v>
      </c>
      <c r="AV1065" t="s">
        <v>428</v>
      </c>
      <c r="AW1065" t="s">
        <v>60</v>
      </c>
      <c r="AX1065" t="s">
        <v>68</v>
      </c>
      <c r="AY1065" t="s">
        <v>69</v>
      </c>
      <c r="AZ1065" t="b">
        <v>1</v>
      </c>
    </row>
    <row r="1066" spans="1:52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2128</v>
      </c>
      <c r="F1066" t="s">
        <v>190</v>
      </c>
      <c r="G1066" t="s">
        <v>448</v>
      </c>
      <c r="H1066" t="s">
        <v>449</v>
      </c>
      <c r="I1066" t="s">
        <v>449</v>
      </c>
      <c r="J1066" t="s">
        <v>60</v>
      </c>
      <c r="K1066" t="s">
        <v>388</v>
      </c>
      <c r="L1066" t="s">
        <v>62</v>
      </c>
      <c r="M1066" t="s">
        <v>388</v>
      </c>
      <c r="N1066" t="s">
        <v>450</v>
      </c>
      <c r="O1066" t="s">
        <v>451</v>
      </c>
      <c r="P1066">
        <v>-20.163981</v>
      </c>
      <c r="Q1066">
        <v>-44.907128999999998</v>
      </c>
      <c r="R1066" s="2" t="str">
        <f>HYPERLINK("https://www.google.com/maps?q=-20.1639810,-44.9071290","Abrir no Google Maps")</f>
        <v>Abrir no Google Maps</v>
      </c>
      <c r="S1066">
        <v>3</v>
      </c>
      <c r="T1066">
        <v>782.50730806588319</v>
      </c>
      <c r="U1066">
        <v>4</v>
      </c>
      <c r="V1066">
        <v>23</v>
      </c>
      <c r="W1066">
        <v>1</v>
      </c>
      <c r="X1066">
        <v>23</v>
      </c>
      <c r="Y1066">
        <v>639</v>
      </c>
      <c r="Z1066">
        <v>710.90621453796166</v>
      </c>
      <c r="AA1066">
        <v>198</v>
      </c>
      <c r="AB1066">
        <v>332</v>
      </c>
      <c r="AC1066">
        <v>536</v>
      </c>
      <c r="AD1066">
        <v>29.96</v>
      </c>
      <c r="AE1066">
        <v>542</v>
      </c>
      <c r="AF1066">
        <v>29</v>
      </c>
      <c r="AG1066">
        <v>174</v>
      </c>
      <c r="AH1066">
        <v>129</v>
      </c>
      <c r="AI1066">
        <v>5.35</v>
      </c>
      <c r="AJ1066">
        <v>32.1</v>
      </c>
      <c r="AK1066">
        <v>23.8</v>
      </c>
      <c r="AL1066">
        <v>-20.163958349999969</v>
      </c>
      <c r="AM1066">
        <v>-44.907180923930973</v>
      </c>
      <c r="AN1066">
        <v>-20.163958349999969</v>
      </c>
      <c r="AO1066">
        <v>-44.907180923930973</v>
      </c>
      <c r="AP1066">
        <v>-20.163981</v>
      </c>
      <c r="AQ1066">
        <v>-44.907128999999998</v>
      </c>
      <c r="AR1066">
        <v>5.9831345092457884</v>
      </c>
      <c r="AS1066" t="s">
        <v>65</v>
      </c>
      <c r="AT1066">
        <v>1</v>
      </c>
      <c r="AU1066" t="s">
        <v>452</v>
      </c>
      <c r="AV1066" t="s">
        <v>453</v>
      </c>
      <c r="AW1066" t="s">
        <v>60</v>
      </c>
      <c r="AX1066" t="s">
        <v>68</v>
      </c>
      <c r="AY1066" t="s">
        <v>69</v>
      </c>
      <c r="AZ1066" t="b">
        <v>1</v>
      </c>
    </row>
    <row r="1067" spans="1:52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2128</v>
      </c>
      <c r="F1067" t="s">
        <v>190</v>
      </c>
      <c r="G1067" t="s">
        <v>467</v>
      </c>
      <c r="H1067" t="s">
        <v>468</v>
      </c>
      <c r="I1067" t="s">
        <v>468</v>
      </c>
      <c r="J1067" t="s">
        <v>60</v>
      </c>
      <c r="K1067" t="s">
        <v>462</v>
      </c>
      <c r="L1067" t="s">
        <v>62</v>
      </c>
      <c r="M1067" t="s">
        <v>462</v>
      </c>
      <c r="N1067" t="s">
        <v>469</v>
      </c>
      <c r="O1067" t="s">
        <v>470</v>
      </c>
      <c r="P1067">
        <v>-20.138233</v>
      </c>
      <c r="Q1067">
        <v>-44.908200000000001</v>
      </c>
      <c r="R1067" s="2" t="str">
        <f>HYPERLINK("https://www.google.com/maps?q=-20.1382330,-44.9082000","Abrir no Google Maps")</f>
        <v>Abrir no Google Maps</v>
      </c>
      <c r="S1067">
        <v>3</v>
      </c>
      <c r="T1067">
        <v>0</v>
      </c>
      <c r="U1067">
        <v>4</v>
      </c>
      <c r="V1067">
        <v>30</v>
      </c>
      <c r="W1067">
        <v>1</v>
      </c>
      <c r="X1067">
        <v>30</v>
      </c>
      <c r="Y1067">
        <v>581</v>
      </c>
      <c r="Z1067">
        <v>153.18688302958171</v>
      </c>
      <c r="AA1067">
        <v>198</v>
      </c>
      <c r="AB1067">
        <v>332</v>
      </c>
      <c r="AC1067">
        <v>536</v>
      </c>
      <c r="AD1067">
        <v>29.96</v>
      </c>
      <c r="AE1067">
        <v>542</v>
      </c>
      <c r="AF1067">
        <v>29</v>
      </c>
      <c r="AG1067">
        <v>174</v>
      </c>
      <c r="AH1067">
        <v>129</v>
      </c>
      <c r="AI1067">
        <v>5.35</v>
      </c>
      <c r="AJ1067">
        <v>32.1</v>
      </c>
      <c r="AK1067">
        <v>23.8</v>
      </c>
      <c r="AL1067">
        <v>-20.138364899999971</v>
      </c>
      <c r="AM1067">
        <v>-44.907942114873997</v>
      </c>
      <c r="AN1067">
        <v>-20.138364899999971</v>
      </c>
      <c r="AO1067">
        <v>-44.907942114873997</v>
      </c>
      <c r="AP1067">
        <v>-20.138233</v>
      </c>
      <c r="AQ1067">
        <v>-44.908200000000001</v>
      </c>
      <c r="AR1067">
        <v>30.692690617986941</v>
      </c>
      <c r="AS1067" t="s">
        <v>65</v>
      </c>
      <c r="AT1067">
        <v>1</v>
      </c>
      <c r="AU1067" t="s">
        <v>471</v>
      </c>
      <c r="AV1067" t="s">
        <v>472</v>
      </c>
      <c r="AW1067" t="s">
        <v>60</v>
      </c>
      <c r="AX1067" t="s">
        <v>68</v>
      </c>
      <c r="AY1067" t="s">
        <v>69</v>
      </c>
      <c r="AZ1067" t="b">
        <v>1</v>
      </c>
    </row>
    <row r="1068" spans="1:52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2128</v>
      </c>
      <c r="F1068" t="s">
        <v>190</v>
      </c>
      <c r="G1068" t="s">
        <v>864</v>
      </c>
      <c r="H1068" t="s">
        <v>865</v>
      </c>
      <c r="I1068" t="s">
        <v>865</v>
      </c>
      <c r="J1068" t="s">
        <v>60</v>
      </c>
      <c r="K1068" t="s">
        <v>486</v>
      </c>
      <c r="L1068" t="s">
        <v>62</v>
      </c>
      <c r="M1068" t="s">
        <v>486</v>
      </c>
      <c r="N1068" t="s">
        <v>866</v>
      </c>
      <c r="O1068" t="s">
        <v>867</v>
      </c>
      <c r="P1068">
        <v>-20.170919000000001</v>
      </c>
      <c r="Q1068">
        <v>-44.905451999999997</v>
      </c>
      <c r="R1068" s="2" t="str">
        <f>HYPERLINK("https://www.google.com/maps?q=-20.1709190,-44.9054520","Abrir no Google Maps")</f>
        <v>Abrir no Google Maps</v>
      </c>
      <c r="S1068">
        <v>3</v>
      </c>
      <c r="T1068">
        <v>0</v>
      </c>
      <c r="U1068">
        <v>4</v>
      </c>
      <c r="V1068">
        <v>26</v>
      </c>
      <c r="W1068">
        <v>1</v>
      </c>
      <c r="X1068">
        <v>26</v>
      </c>
      <c r="Y1068">
        <v>578</v>
      </c>
      <c r="Z1068">
        <v>205.34598855748419</v>
      </c>
      <c r="AA1068">
        <v>198</v>
      </c>
      <c r="AB1068">
        <v>332</v>
      </c>
      <c r="AC1068">
        <v>536</v>
      </c>
      <c r="AD1068">
        <v>29.96</v>
      </c>
      <c r="AE1068">
        <v>542</v>
      </c>
      <c r="AF1068">
        <v>29</v>
      </c>
      <c r="AG1068">
        <v>174</v>
      </c>
      <c r="AH1068">
        <v>129</v>
      </c>
      <c r="AI1068">
        <v>5.35</v>
      </c>
      <c r="AJ1068">
        <v>32.1</v>
      </c>
      <c r="AK1068">
        <v>23.8</v>
      </c>
      <c r="AL1068">
        <v>-20.170854399999939</v>
      </c>
      <c r="AM1068">
        <v>-44.905524839633358</v>
      </c>
      <c r="AN1068">
        <v>-20.170854399999939</v>
      </c>
      <c r="AO1068">
        <v>-44.905524839633358</v>
      </c>
      <c r="AP1068">
        <v>-20.170919000000001</v>
      </c>
      <c r="AQ1068">
        <v>-44.905451999999997</v>
      </c>
      <c r="AR1068">
        <v>10.471140355179269</v>
      </c>
      <c r="AS1068" t="s">
        <v>65</v>
      </c>
      <c r="AT1068">
        <v>1</v>
      </c>
      <c r="AU1068" t="s">
        <v>868</v>
      </c>
      <c r="AV1068" t="s">
        <v>869</v>
      </c>
      <c r="AW1068" t="s">
        <v>60</v>
      </c>
      <c r="AX1068" t="s">
        <v>68</v>
      </c>
      <c r="AY1068" t="s">
        <v>69</v>
      </c>
      <c r="AZ1068" t="b">
        <v>1</v>
      </c>
    </row>
    <row r="1069" spans="1:52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2128</v>
      </c>
      <c r="F1069" t="s">
        <v>190</v>
      </c>
      <c r="G1069" t="s">
        <v>870</v>
      </c>
      <c r="H1069" t="s">
        <v>871</v>
      </c>
      <c r="I1069" t="s">
        <v>871</v>
      </c>
      <c r="J1069" t="s">
        <v>60</v>
      </c>
      <c r="K1069" t="s">
        <v>475</v>
      </c>
      <c r="L1069" t="s">
        <v>62</v>
      </c>
      <c r="M1069" t="s">
        <v>475</v>
      </c>
      <c r="N1069" t="s">
        <v>872</v>
      </c>
      <c r="O1069" t="s">
        <v>507</v>
      </c>
      <c r="P1069">
        <v>-20.176269999999999</v>
      </c>
      <c r="Q1069">
        <v>-44.909323999999998</v>
      </c>
      <c r="R1069" s="2" t="str">
        <f>HYPERLINK("https://www.google.com/maps?q=-20.1762700,-44.9093240","Abrir no Google Maps")</f>
        <v>Abrir no Google Maps</v>
      </c>
      <c r="S1069">
        <v>3</v>
      </c>
      <c r="T1069">
        <v>472.42731136821368</v>
      </c>
      <c r="U1069">
        <v>4</v>
      </c>
      <c r="V1069">
        <v>24</v>
      </c>
      <c r="W1069">
        <v>1</v>
      </c>
      <c r="X1069">
        <v>24</v>
      </c>
      <c r="Y1069">
        <v>578</v>
      </c>
      <c r="Z1069">
        <v>495.19726726344601</v>
      </c>
      <c r="AA1069">
        <v>198</v>
      </c>
      <c r="AB1069">
        <v>332</v>
      </c>
      <c r="AC1069">
        <v>536</v>
      </c>
      <c r="AD1069">
        <v>29.96</v>
      </c>
      <c r="AE1069">
        <v>542</v>
      </c>
      <c r="AF1069">
        <v>29</v>
      </c>
      <c r="AG1069">
        <v>174</v>
      </c>
      <c r="AH1069">
        <v>129</v>
      </c>
      <c r="AI1069">
        <v>5.35</v>
      </c>
      <c r="AJ1069">
        <v>32.1</v>
      </c>
      <c r="AK1069">
        <v>23.8</v>
      </c>
      <c r="AL1069">
        <v>-20.17630284999996</v>
      </c>
      <c r="AM1069">
        <v>-44.909199064318948</v>
      </c>
      <c r="AN1069">
        <v>-20.17630284999996</v>
      </c>
      <c r="AO1069">
        <v>-44.909199064318948</v>
      </c>
      <c r="AP1069">
        <v>-20.176269999999999</v>
      </c>
      <c r="AQ1069">
        <v>-44.909323999999998</v>
      </c>
      <c r="AR1069">
        <v>13.55691308737447</v>
      </c>
      <c r="AS1069" t="s">
        <v>65</v>
      </c>
      <c r="AT1069">
        <v>1</v>
      </c>
      <c r="AU1069" t="s">
        <v>873</v>
      </c>
      <c r="AV1069" t="s">
        <v>874</v>
      </c>
      <c r="AW1069" t="s">
        <v>60</v>
      </c>
      <c r="AX1069" t="s">
        <v>68</v>
      </c>
      <c r="AY1069" t="s">
        <v>69</v>
      </c>
      <c r="AZ1069" t="b">
        <v>1</v>
      </c>
    </row>
    <row r="1070" spans="1:52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2128</v>
      </c>
      <c r="F1070" t="s">
        <v>190</v>
      </c>
      <c r="G1070" t="s">
        <v>473</v>
      </c>
      <c r="H1070" t="s">
        <v>474</v>
      </c>
      <c r="I1070" t="s">
        <v>474</v>
      </c>
      <c r="J1070" t="s">
        <v>60</v>
      </c>
      <c r="K1070" t="s">
        <v>475</v>
      </c>
      <c r="L1070" t="s">
        <v>62</v>
      </c>
      <c r="M1070" t="s">
        <v>475</v>
      </c>
      <c r="N1070" t="s">
        <v>406</v>
      </c>
      <c r="O1070" t="s">
        <v>476</v>
      </c>
      <c r="P1070">
        <v>-20.177902</v>
      </c>
      <c r="Q1070">
        <v>-44.908504000000001</v>
      </c>
      <c r="R1070" s="2" t="str">
        <f>HYPERLINK("https://www.google.com/maps?q=-20.1779020,-44.9085040","Abrir no Google Maps")</f>
        <v>Abrir no Google Maps</v>
      </c>
      <c r="S1070">
        <v>3</v>
      </c>
      <c r="T1070">
        <v>656.92307673247149</v>
      </c>
      <c r="U1070">
        <v>4</v>
      </c>
      <c r="V1070">
        <v>28</v>
      </c>
      <c r="W1070">
        <v>1</v>
      </c>
      <c r="X1070">
        <v>28</v>
      </c>
      <c r="Y1070">
        <v>578</v>
      </c>
      <c r="Z1070">
        <v>635.01982153722327</v>
      </c>
      <c r="AA1070">
        <v>198</v>
      </c>
      <c r="AB1070">
        <v>332</v>
      </c>
      <c r="AC1070">
        <v>536</v>
      </c>
      <c r="AD1070">
        <v>29.96</v>
      </c>
      <c r="AE1070">
        <v>542</v>
      </c>
      <c r="AF1070">
        <v>29</v>
      </c>
      <c r="AG1070">
        <v>174</v>
      </c>
      <c r="AH1070">
        <v>129</v>
      </c>
      <c r="AI1070">
        <v>5.35</v>
      </c>
      <c r="AJ1070">
        <v>32.1</v>
      </c>
      <c r="AK1070">
        <v>23.8</v>
      </c>
      <c r="AL1070">
        <v>-20.177800399999938</v>
      </c>
      <c r="AM1070">
        <v>-44.908361879701268</v>
      </c>
      <c r="AN1070">
        <v>-20.177800399999938</v>
      </c>
      <c r="AO1070">
        <v>-44.908361879701268</v>
      </c>
      <c r="AP1070">
        <v>-20.177902</v>
      </c>
      <c r="AQ1070">
        <v>-44.908504000000001</v>
      </c>
      <c r="AR1070">
        <v>18.666463141775541</v>
      </c>
      <c r="AS1070" t="s">
        <v>65</v>
      </c>
      <c r="AT1070">
        <v>1</v>
      </c>
      <c r="AU1070" t="s">
        <v>477</v>
      </c>
      <c r="AV1070" t="s">
        <v>478</v>
      </c>
      <c r="AW1070" t="s">
        <v>60</v>
      </c>
      <c r="AX1070" t="s">
        <v>68</v>
      </c>
      <c r="AY1070" t="s">
        <v>69</v>
      </c>
      <c r="AZ1070" t="b">
        <v>1</v>
      </c>
    </row>
    <row r="1071" spans="1:52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2128</v>
      </c>
      <c r="F1071" t="s">
        <v>190</v>
      </c>
      <c r="G1071" t="s">
        <v>491</v>
      </c>
      <c r="H1071" t="s">
        <v>492</v>
      </c>
      <c r="I1071" t="s">
        <v>492</v>
      </c>
      <c r="J1071" t="s">
        <v>60</v>
      </c>
      <c r="K1071" t="s">
        <v>475</v>
      </c>
      <c r="L1071" t="s">
        <v>62</v>
      </c>
      <c r="M1071" t="s">
        <v>475</v>
      </c>
      <c r="N1071" t="s">
        <v>493</v>
      </c>
      <c r="O1071" t="s">
        <v>494</v>
      </c>
      <c r="P1071">
        <v>-20.175250999999999</v>
      </c>
      <c r="Q1071">
        <v>-44.897357</v>
      </c>
      <c r="R1071" s="2" t="str">
        <f>HYPERLINK("https://www.google.com/maps?q=-20.1752510,-44.8973570","Abrir no Google Maps")</f>
        <v>Abrir no Google Maps</v>
      </c>
      <c r="S1071">
        <v>3</v>
      </c>
      <c r="T1071">
        <v>992.29631678149951</v>
      </c>
      <c r="U1071">
        <v>4</v>
      </c>
      <c r="V1071">
        <v>23</v>
      </c>
      <c r="W1071">
        <v>1</v>
      </c>
      <c r="X1071">
        <v>23</v>
      </c>
      <c r="Y1071">
        <v>578</v>
      </c>
      <c r="Z1071">
        <v>1008.5871064168319</v>
      </c>
      <c r="AA1071">
        <v>198</v>
      </c>
      <c r="AB1071">
        <v>332</v>
      </c>
      <c r="AC1071">
        <v>536</v>
      </c>
      <c r="AD1071">
        <v>29.96</v>
      </c>
      <c r="AE1071">
        <v>542</v>
      </c>
      <c r="AF1071">
        <v>29</v>
      </c>
      <c r="AG1071">
        <v>174</v>
      </c>
      <c r="AH1071">
        <v>129</v>
      </c>
      <c r="AI1071">
        <v>5.35</v>
      </c>
      <c r="AJ1071">
        <v>32.1</v>
      </c>
      <c r="AK1071">
        <v>23.8</v>
      </c>
      <c r="AL1071">
        <v>-20.175290599999951</v>
      </c>
      <c r="AM1071">
        <v>-44.897271931010721</v>
      </c>
      <c r="AN1071">
        <v>-20.175290599999951</v>
      </c>
      <c r="AO1071">
        <v>-44.897271931010721</v>
      </c>
      <c r="AP1071">
        <v>-20.175250999999999</v>
      </c>
      <c r="AQ1071">
        <v>-44.897357</v>
      </c>
      <c r="AR1071">
        <v>9.921899108467926</v>
      </c>
      <c r="AS1071" t="s">
        <v>65</v>
      </c>
      <c r="AT1071">
        <v>1</v>
      </c>
      <c r="AU1071" t="s">
        <v>495</v>
      </c>
      <c r="AV1071" t="s">
        <v>496</v>
      </c>
      <c r="AW1071" t="s">
        <v>60</v>
      </c>
      <c r="AX1071" t="s">
        <v>68</v>
      </c>
      <c r="AY1071" t="s">
        <v>69</v>
      </c>
      <c r="AZ1071" t="b">
        <v>1</v>
      </c>
    </row>
    <row r="1072" spans="1:52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2128</v>
      </c>
      <c r="F1072" t="s">
        <v>190</v>
      </c>
      <c r="G1072" t="s">
        <v>497</v>
      </c>
      <c r="H1072" t="s">
        <v>498</v>
      </c>
      <c r="I1072" t="s">
        <v>498</v>
      </c>
      <c r="J1072" t="s">
        <v>60</v>
      </c>
      <c r="K1072" t="s">
        <v>475</v>
      </c>
      <c r="L1072" t="s">
        <v>62</v>
      </c>
      <c r="M1072" t="s">
        <v>475</v>
      </c>
      <c r="N1072" t="s">
        <v>499</v>
      </c>
      <c r="O1072" t="s">
        <v>500</v>
      </c>
      <c r="P1072">
        <v>-20.175492999999999</v>
      </c>
      <c r="Q1072">
        <v>-44.900759000000001</v>
      </c>
      <c r="R1072" s="2" t="str">
        <f>HYPERLINK("https://www.google.com/maps?q=-20.1754930,-44.9007590","Abrir no Google Maps")</f>
        <v>Abrir no Google Maps</v>
      </c>
      <c r="S1072">
        <v>3</v>
      </c>
      <c r="T1072">
        <v>753.30732354720431</v>
      </c>
      <c r="U1072">
        <v>4</v>
      </c>
      <c r="V1072">
        <v>23</v>
      </c>
      <c r="W1072">
        <v>1</v>
      </c>
      <c r="X1072">
        <v>23</v>
      </c>
      <c r="Y1072">
        <v>578</v>
      </c>
      <c r="Z1072">
        <v>695.28903655431702</v>
      </c>
      <c r="AA1072">
        <v>198</v>
      </c>
      <c r="AB1072">
        <v>332</v>
      </c>
      <c r="AC1072">
        <v>536</v>
      </c>
      <c r="AD1072">
        <v>29.96</v>
      </c>
      <c r="AE1072">
        <v>542</v>
      </c>
      <c r="AF1072">
        <v>29</v>
      </c>
      <c r="AG1072">
        <v>174</v>
      </c>
      <c r="AH1072">
        <v>129</v>
      </c>
      <c r="AI1072">
        <v>5.35</v>
      </c>
      <c r="AJ1072">
        <v>32.1</v>
      </c>
      <c r="AK1072">
        <v>23.8</v>
      </c>
      <c r="AL1072">
        <v>-20.175825999999969</v>
      </c>
      <c r="AM1072">
        <v>-44.900600234646973</v>
      </c>
      <c r="AN1072">
        <v>-20.175825999999969</v>
      </c>
      <c r="AO1072">
        <v>-44.900600234646973</v>
      </c>
      <c r="AP1072">
        <v>-20.175492999999999</v>
      </c>
      <c r="AQ1072">
        <v>-44.900759000000001</v>
      </c>
      <c r="AR1072">
        <v>40.612267304645073</v>
      </c>
      <c r="AS1072" t="s">
        <v>65</v>
      </c>
      <c r="AT1072">
        <v>1</v>
      </c>
      <c r="AU1072" t="s">
        <v>501</v>
      </c>
      <c r="AV1072" t="s">
        <v>502</v>
      </c>
      <c r="AW1072" t="s">
        <v>60</v>
      </c>
      <c r="AX1072" t="s">
        <v>68</v>
      </c>
      <c r="AY1072" t="s">
        <v>69</v>
      </c>
      <c r="AZ1072" t="b">
        <v>1</v>
      </c>
    </row>
    <row r="1073" spans="1:52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2128</v>
      </c>
      <c r="F1073" t="s">
        <v>190</v>
      </c>
      <c r="G1073" t="s">
        <v>890</v>
      </c>
      <c r="H1073" t="s">
        <v>891</v>
      </c>
      <c r="I1073" t="s">
        <v>891</v>
      </c>
      <c r="J1073" t="s">
        <v>60</v>
      </c>
      <c r="K1073" t="s">
        <v>892</v>
      </c>
      <c r="L1073" t="s">
        <v>62</v>
      </c>
      <c r="M1073" t="s">
        <v>892</v>
      </c>
      <c r="N1073" t="s">
        <v>893</v>
      </c>
      <c r="O1073" t="s">
        <v>894</v>
      </c>
      <c r="P1073">
        <v>-20.152519000000002</v>
      </c>
      <c r="Q1073">
        <v>-44.899177000000002</v>
      </c>
      <c r="R1073" s="2" t="str">
        <f>HYPERLINK("https://www.google.com/maps?q=-20.1525190,-44.8991770","Abrir no Google Maps")</f>
        <v>Abrir no Google Maps</v>
      </c>
      <c r="S1073">
        <v>3</v>
      </c>
      <c r="T1073">
        <v>211.80188552994721</v>
      </c>
      <c r="U1073">
        <v>4</v>
      </c>
      <c r="V1073">
        <v>33</v>
      </c>
      <c r="W1073">
        <v>1</v>
      </c>
      <c r="X1073">
        <v>33</v>
      </c>
      <c r="Y1073">
        <v>556</v>
      </c>
      <c r="Z1073">
        <v>290.34804137107091</v>
      </c>
      <c r="AA1073">
        <v>198</v>
      </c>
      <c r="AB1073">
        <v>332</v>
      </c>
      <c r="AC1073">
        <v>536</v>
      </c>
      <c r="AD1073">
        <v>29.96</v>
      </c>
      <c r="AE1073">
        <v>542</v>
      </c>
      <c r="AF1073">
        <v>29</v>
      </c>
      <c r="AG1073">
        <v>174</v>
      </c>
      <c r="AH1073">
        <v>129</v>
      </c>
      <c r="AI1073">
        <v>5.35</v>
      </c>
      <c r="AJ1073">
        <v>32.1</v>
      </c>
      <c r="AK1073">
        <v>23.8</v>
      </c>
      <c r="AL1073">
        <v>-20.152516249999959</v>
      </c>
      <c r="AM1073">
        <v>-44.899310431333959</v>
      </c>
      <c r="AN1073">
        <v>-20.152516249999959</v>
      </c>
      <c r="AO1073">
        <v>-44.899310431333959</v>
      </c>
      <c r="AP1073">
        <v>-20.152519000000002</v>
      </c>
      <c r="AQ1073">
        <v>-44.899177000000002</v>
      </c>
      <c r="AR1073">
        <v>13.947583284957719</v>
      </c>
      <c r="AS1073" t="s">
        <v>65</v>
      </c>
      <c r="AT1073">
        <v>1</v>
      </c>
      <c r="AU1073" t="s">
        <v>895</v>
      </c>
      <c r="AV1073" t="s">
        <v>896</v>
      </c>
      <c r="AW1073" t="s">
        <v>60</v>
      </c>
      <c r="AX1073" t="s">
        <v>68</v>
      </c>
      <c r="AY1073" t="s">
        <v>69</v>
      </c>
      <c r="AZ1073" t="b">
        <v>1</v>
      </c>
    </row>
    <row r="1074" spans="1:52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2128</v>
      </c>
      <c r="F1074" t="s">
        <v>190</v>
      </c>
      <c r="G1074" t="s">
        <v>897</v>
      </c>
      <c r="H1074" t="s">
        <v>898</v>
      </c>
      <c r="I1074" t="s">
        <v>898</v>
      </c>
      <c r="J1074" t="s">
        <v>60</v>
      </c>
      <c r="K1074" t="s">
        <v>892</v>
      </c>
      <c r="L1074" t="s">
        <v>62</v>
      </c>
      <c r="M1074" t="s">
        <v>892</v>
      </c>
      <c r="N1074" t="s">
        <v>899</v>
      </c>
      <c r="O1074" t="s">
        <v>900</v>
      </c>
      <c r="P1074">
        <v>-20.154885</v>
      </c>
      <c r="Q1074">
        <v>-44.899890999999997</v>
      </c>
      <c r="R1074" s="2" t="str">
        <f>HYPERLINK("https://www.google.com/maps?q=-20.1548850,-44.8998910","Abrir no Google Maps")</f>
        <v>Abrir no Google Maps</v>
      </c>
      <c r="S1074">
        <v>3</v>
      </c>
      <c r="T1074">
        <v>314.66339661014308</v>
      </c>
      <c r="U1074">
        <v>4</v>
      </c>
      <c r="V1074">
        <v>26</v>
      </c>
      <c r="W1074">
        <v>1</v>
      </c>
      <c r="X1074">
        <v>26</v>
      </c>
      <c r="Y1074">
        <v>548</v>
      </c>
      <c r="Z1074">
        <v>319.02252584834253</v>
      </c>
      <c r="AA1074">
        <v>198</v>
      </c>
      <c r="AB1074">
        <v>332</v>
      </c>
      <c r="AC1074">
        <v>536</v>
      </c>
      <c r="AD1074">
        <v>29.96</v>
      </c>
      <c r="AE1074">
        <v>542</v>
      </c>
      <c r="AF1074">
        <v>29</v>
      </c>
      <c r="AG1074">
        <v>174</v>
      </c>
      <c r="AH1074">
        <v>129</v>
      </c>
      <c r="AI1074">
        <v>5.35</v>
      </c>
      <c r="AJ1074">
        <v>32.1</v>
      </c>
      <c r="AK1074">
        <v>23.8</v>
      </c>
      <c r="AL1074">
        <v>-20.154906649999951</v>
      </c>
      <c r="AM1074">
        <v>-44.899894072543653</v>
      </c>
      <c r="AN1074">
        <v>-20.154906649999951</v>
      </c>
      <c r="AO1074">
        <v>-44.899894072543653</v>
      </c>
      <c r="AP1074">
        <v>-20.154885</v>
      </c>
      <c r="AQ1074">
        <v>-44.899890999999997</v>
      </c>
      <c r="AR1074">
        <v>2.431373123904943</v>
      </c>
      <c r="AS1074" t="s">
        <v>65</v>
      </c>
      <c r="AT1074">
        <v>1</v>
      </c>
      <c r="AU1074" t="s">
        <v>901</v>
      </c>
      <c r="AV1074" t="s">
        <v>902</v>
      </c>
      <c r="AW1074" t="s">
        <v>60</v>
      </c>
      <c r="AX1074" t="s">
        <v>68</v>
      </c>
      <c r="AY1074" t="s">
        <v>69</v>
      </c>
      <c r="AZ1074" t="b">
        <v>1</v>
      </c>
    </row>
    <row r="1075" spans="1:52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2128</v>
      </c>
      <c r="F1075" t="s">
        <v>190</v>
      </c>
      <c r="G1075" t="s">
        <v>551</v>
      </c>
      <c r="H1075" t="s">
        <v>552</v>
      </c>
      <c r="I1075" t="s">
        <v>552</v>
      </c>
      <c r="J1075" t="s">
        <v>60</v>
      </c>
      <c r="K1075" t="s">
        <v>388</v>
      </c>
      <c r="L1075" t="s">
        <v>62</v>
      </c>
      <c r="M1075" t="s">
        <v>388</v>
      </c>
      <c r="N1075" t="s">
        <v>553</v>
      </c>
      <c r="O1075" t="s">
        <v>315</v>
      </c>
      <c r="P1075">
        <v>-20.153086999999999</v>
      </c>
      <c r="Q1075">
        <v>-44.905451999999997</v>
      </c>
      <c r="R1075" s="2" t="str">
        <f>HYPERLINK("https://www.google.com/maps?q=-20.1530870,-44.9054520","Abrir no Google Maps")</f>
        <v>Abrir no Google Maps</v>
      </c>
      <c r="S1075">
        <v>3</v>
      </c>
      <c r="T1075">
        <v>313.69387682409018</v>
      </c>
      <c r="U1075">
        <v>4</v>
      </c>
      <c r="V1075">
        <v>22</v>
      </c>
      <c r="W1075">
        <v>1</v>
      </c>
      <c r="X1075">
        <v>22</v>
      </c>
      <c r="Y1075">
        <v>548</v>
      </c>
      <c r="Z1075">
        <v>319.51605309906859</v>
      </c>
      <c r="AA1075">
        <v>198</v>
      </c>
      <c r="AB1075">
        <v>332</v>
      </c>
      <c r="AC1075">
        <v>536</v>
      </c>
      <c r="AD1075">
        <v>29.96</v>
      </c>
      <c r="AE1075">
        <v>542</v>
      </c>
      <c r="AF1075">
        <v>29</v>
      </c>
      <c r="AG1075">
        <v>174</v>
      </c>
      <c r="AH1075">
        <v>129</v>
      </c>
      <c r="AI1075">
        <v>5.35</v>
      </c>
      <c r="AJ1075">
        <v>32.1</v>
      </c>
      <c r="AK1075">
        <v>23.8</v>
      </c>
      <c r="AL1075">
        <v>-20.153043049999951</v>
      </c>
      <c r="AM1075">
        <v>-44.905348275899513</v>
      </c>
      <c r="AN1075">
        <v>-20.153043049999951</v>
      </c>
      <c r="AO1075">
        <v>-44.905348275899513</v>
      </c>
      <c r="AP1075">
        <v>-20.153086999999999</v>
      </c>
      <c r="AQ1075">
        <v>-44.905451999999997</v>
      </c>
      <c r="AR1075">
        <v>11.892619975648341</v>
      </c>
      <c r="AS1075" t="s">
        <v>65</v>
      </c>
      <c r="AT1075">
        <v>1</v>
      </c>
      <c r="AU1075" t="s">
        <v>554</v>
      </c>
      <c r="AV1075" t="s">
        <v>555</v>
      </c>
      <c r="AW1075" t="s">
        <v>60</v>
      </c>
      <c r="AX1075" t="s">
        <v>68</v>
      </c>
      <c r="AY1075" t="s">
        <v>69</v>
      </c>
      <c r="AZ1075" t="b">
        <v>1</v>
      </c>
    </row>
    <row r="1076" spans="1:52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2128</v>
      </c>
      <c r="F1076" t="s">
        <v>190</v>
      </c>
      <c r="G1076" t="s">
        <v>556</v>
      </c>
      <c r="H1076" t="s">
        <v>557</v>
      </c>
      <c r="I1076" t="s">
        <v>557</v>
      </c>
      <c r="J1076" t="s">
        <v>60</v>
      </c>
      <c r="K1076" t="s">
        <v>388</v>
      </c>
      <c r="L1076" t="s">
        <v>62</v>
      </c>
      <c r="M1076" t="s">
        <v>388</v>
      </c>
      <c r="N1076" t="s">
        <v>558</v>
      </c>
      <c r="O1076" t="s">
        <v>559</v>
      </c>
      <c r="P1076">
        <v>-20.152670000000001</v>
      </c>
      <c r="Q1076">
        <v>-44.902557999999999</v>
      </c>
      <c r="R1076" s="2" t="str">
        <f>HYPERLINK("https://www.google.com/maps?q=-20.1526700,-44.9025580","Abrir no Google Maps")</f>
        <v>Abrir no Google Maps</v>
      </c>
      <c r="S1076">
        <v>3</v>
      </c>
      <c r="T1076">
        <v>228.56195217678911</v>
      </c>
      <c r="U1076">
        <v>4</v>
      </c>
      <c r="V1076">
        <v>25</v>
      </c>
      <c r="W1076">
        <v>1</v>
      </c>
      <c r="X1076">
        <v>25</v>
      </c>
      <c r="Y1076">
        <v>548</v>
      </c>
      <c r="Z1076">
        <v>250.63133895224919</v>
      </c>
      <c r="AA1076">
        <v>198</v>
      </c>
      <c r="AB1076">
        <v>332</v>
      </c>
      <c r="AC1076">
        <v>536</v>
      </c>
      <c r="AD1076">
        <v>29.96</v>
      </c>
      <c r="AE1076">
        <v>542</v>
      </c>
      <c r="AF1076">
        <v>29</v>
      </c>
      <c r="AG1076">
        <v>174</v>
      </c>
      <c r="AH1076">
        <v>129</v>
      </c>
      <c r="AI1076">
        <v>5.35</v>
      </c>
      <c r="AJ1076">
        <v>32.1</v>
      </c>
      <c r="AK1076">
        <v>23.8</v>
      </c>
      <c r="AL1076">
        <v>-20.152629799999939</v>
      </c>
      <c r="AM1076">
        <v>-44.902604744705201</v>
      </c>
      <c r="AN1076">
        <v>-20.152629799999939</v>
      </c>
      <c r="AO1076">
        <v>-44.902604744705201</v>
      </c>
      <c r="AP1076">
        <v>-20.152670000000001</v>
      </c>
      <c r="AQ1076">
        <v>-44.902557999999999</v>
      </c>
      <c r="AR1076">
        <v>6.6249428037111509</v>
      </c>
      <c r="AS1076" t="s">
        <v>65</v>
      </c>
      <c r="AT1076">
        <v>1</v>
      </c>
      <c r="AU1076" t="s">
        <v>560</v>
      </c>
      <c r="AV1076" t="s">
        <v>561</v>
      </c>
      <c r="AW1076" t="s">
        <v>60</v>
      </c>
      <c r="AX1076" t="s">
        <v>68</v>
      </c>
      <c r="AY1076" t="s">
        <v>69</v>
      </c>
      <c r="AZ1076" t="b">
        <v>1</v>
      </c>
    </row>
    <row r="1077" spans="1:52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2128</v>
      </c>
      <c r="F1077" t="s">
        <v>190</v>
      </c>
      <c r="G1077" t="s">
        <v>562</v>
      </c>
      <c r="H1077" t="s">
        <v>563</v>
      </c>
      <c r="I1077" t="s">
        <v>563</v>
      </c>
      <c r="J1077" t="s">
        <v>60</v>
      </c>
      <c r="K1077" t="s">
        <v>388</v>
      </c>
      <c r="L1077" t="s">
        <v>62</v>
      </c>
      <c r="M1077" t="s">
        <v>388</v>
      </c>
      <c r="N1077" t="s">
        <v>564</v>
      </c>
      <c r="O1077" t="s">
        <v>565</v>
      </c>
      <c r="P1077">
        <v>-20.154432</v>
      </c>
      <c r="Q1077">
        <v>-44.902977999999997</v>
      </c>
      <c r="R1077" s="2" t="str">
        <f>HYPERLINK("https://www.google.com/maps?q=-20.1544320,-44.9029780","Abrir no Google Maps")</f>
        <v>Abrir no Google Maps</v>
      </c>
      <c r="S1077">
        <v>3</v>
      </c>
      <c r="T1077">
        <v>0</v>
      </c>
      <c r="U1077">
        <v>4</v>
      </c>
      <c r="V1077">
        <v>30</v>
      </c>
      <c r="W1077">
        <v>1</v>
      </c>
      <c r="X1077">
        <v>30</v>
      </c>
      <c r="Y1077">
        <v>548</v>
      </c>
      <c r="Z1077">
        <v>29.424211042533759</v>
      </c>
      <c r="AA1077">
        <v>198</v>
      </c>
      <c r="AB1077">
        <v>332</v>
      </c>
      <c r="AC1077">
        <v>536</v>
      </c>
      <c r="AD1077">
        <v>29.96</v>
      </c>
      <c r="AE1077">
        <v>542</v>
      </c>
      <c r="AF1077">
        <v>29</v>
      </c>
      <c r="AG1077">
        <v>174</v>
      </c>
      <c r="AH1077">
        <v>129</v>
      </c>
      <c r="AI1077">
        <v>5.35</v>
      </c>
      <c r="AJ1077">
        <v>32.1</v>
      </c>
      <c r="AK1077">
        <v>23.8</v>
      </c>
      <c r="AL1077">
        <v>-20.15467689999997</v>
      </c>
      <c r="AM1077">
        <v>-44.902895281771222</v>
      </c>
      <c r="AN1077">
        <v>-20.15467689999997</v>
      </c>
      <c r="AO1077">
        <v>-44.902895281771222</v>
      </c>
      <c r="AP1077">
        <v>-20.154432</v>
      </c>
      <c r="AQ1077">
        <v>-44.902977999999997</v>
      </c>
      <c r="AR1077">
        <v>28.5999270636025</v>
      </c>
      <c r="AS1077" t="s">
        <v>65</v>
      </c>
      <c r="AT1077">
        <v>1</v>
      </c>
      <c r="AU1077" t="s">
        <v>566</v>
      </c>
      <c r="AV1077" t="s">
        <v>567</v>
      </c>
      <c r="AW1077" t="s">
        <v>60</v>
      </c>
      <c r="AX1077" t="s">
        <v>68</v>
      </c>
      <c r="AY1077" t="s">
        <v>69</v>
      </c>
      <c r="AZ1077" t="b">
        <v>1</v>
      </c>
    </row>
    <row r="1078" spans="1:52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2128</v>
      </c>
      <c r="F1078" t="s">
        <v>190</v>
      </c>
      <c r="G1078" t="s">
        <v>903</v>
      </c>
      <c r="H1078" t="s">
        <v>904</v>
      </c>
      <c r="I1078" t="s">
        <v>904</v>
      </c>
      <c r="J1078" t="s">
        <v>60</v>
      </c>
      <c r="K1078" t="s">
        <v>905</v>
      </c>
      <c r="L1078" t="s">
        <v>62</v>
      </c>
      <c r="M1078" t="s">
        <v>905</v>
      </c>
      <c r="N1078" t="s">
        <v>906</v>
      </c>
      <c r="O1078" t="s">
        <v>907</v>
      </c>
      <c r="P1078">
        <v>-20.112969</v>
      </c>
      <c r="Q1078">
        <v>-44.891264</v>
      </c>
      <c r="R1078" s="2" t="str">
        <f>HYPERLINK("https://www.google.com/maps?q=-20.1129690,-44.8912640","Abrir no Google Maps")</f>
        <v>Abrir no Google Maps</v>
      </c>
      <c r="S1078">
        <v>3</v>
      </c>
      <c r="T1078">
        <v>760.33197426397032</v>
      </c>
      <c r="U1078">
        <v>4</v>
      </c>
      <c r="V1078">
        <v>21</v>
      </c>
      <c r="W1078">
        <v>1</v>
      </c>
      <c r="X1078">
        <v>21</v>
      </c>
      <c r="Y1078">
        <v>536</v>
      </c>
      <c r="Z1078">
        <v>755.3791742519096</v>
      </c>
      <c r="AA1078">
        <v>198</v>
      </c>
      <c r="AB1078">
        <v>332</v>
      </c>
      <c r="AC1078">
        <v>536</v>
      </c>
      <c r="AD1078">
        <v>29.96</v>
      </c>
      <c r="AE1078">
        <v>542</v>
      </c>
      <c r="AF1078">
        <v>29</v>
      </c>
      <c r="AG1078">
        <v>174</v>
      </c>
      <c r="AH1078">
        <v>129</v>
      </c>
      <c r="AI1078">
        <v>5.35</v>
      </c>
      <c r="AJ1078">
        <v>32.1</v>
      </c>
      <c r="AK1078">
        <v>23.8</v>
      </c>
      <c r="AL1078">
        <v>-20.11260604999995</v>
      </c>
      <c r="AM1078">
        <v>-44.891480970454502</v>
      </c>
      <c r="AN1078">
        <v>-20.11260604999995</v>
      </c>
      <c r="AO1078">
        <v>-44.891480970454502</v>
      </c>
      <c r="AP1078">
        <v>-20.112969</v>
      </c>
      <c r="AQ1078">
        <v>-44.891264</v>
      </c>
      <c r="AR1078">
        <v>46.334053708506183</v>
      </c>
      <c r="AS1078" t="s">
        <v>65</v>
      </c>
      <c r="AT1078">
        <v>1</v>
      </c>
      <c r="AU1078" t="s">
        <v>908</v>
      </c>
      <c r="AV1078" t="s">
        <v>909</v>
      </c>
      <c r="AW1078" t="s">
        <v>60</v>
      </c>
      <c r="AX1078" t="s">
        <v>68</v>
      </c>
      <c r="AY1078" t="s">
        <v>69</v>
      </c>
      <c r="AZ1078" t="b">
        <v>1</v>
      </c>
    </row>
    <row r="1079" spans="1:52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2128</v>
      </c>
      <c r="F1079" t="s">
        <v>190</v>
      </c>
      <c r="G1079" t="s">
        <v>579</v>
      </c>
      <c r="H1079" t="s">
        <v>580</v>
      </c>
      <c r="I1079" t="s">
        <v>580</v>
      </c>
      <c r="J1079" t="s">
        <v>60</v>
      </c>
      <c r="K1079" t="s">
        <v>117</v>
      </c>
      <c r="L1079" t="s">
        <v>62</v>
      </c>
      <c r="M1079" t="s">
        <v>117</v>
      </c>
      <c r="N1079" t="s">
        <v>581</v>
      </c>
      <c r="O1079" t="s">
        <v>338</v>
      </c>
      <c r="P1079">
        <v>-20.119333000000001</v>
      </c>
      <c r="Q1079">
        <v>-44.892454999999998</v>
      </c>
      <c r="R1079" s="2" t="str">
        <f>HYPERLINK("https://www.google.com/maps?q=-20.1193330,-44.8924550","Abrir no Google Maps")</f>
        <v>Abrir no Google Maps</v>
      </c>
      <c r="S1079">
        <v>3</v>
      </c>
      <c r="T1079">
        <v>545.06582215852734</v>
      </c>
      <c r="U1079">
        <v>4</v>
      </c>
      <c r="V1079">
        <v>27</v>
      </c>
      <c r="W1079">
        <v>1</v>
      </c>
      <c r="X1079">
        <v>27</v>
      </c>
      <c r="Y1079">
        <v>536</v>
      </c>
      <c r="Z1079">
        <v>583.72689769042404</v>
      </c>
      <c r="AA1079">
        <v>198</v>
      </c>
      <c r="AB1079">
        <v>332</v>
      </c>
      <c r="AC1079">
        <v>536</v>
      </c>
      <c r="AD1079">
        <v>29.96</v>
      </c>
      <c r="AE1079">
        <v>542</v>
      </c>
      <c r="AF1079">
        <v>29</v>
      </c>
      <c r="AG1079">
        <v>174</v>
      </c>
      <c r="AH1079">
        <v>129</v>
      </c>
      <c r="AI1079">
        <v>5.35</v>
      </c>
      <c r="AJ1079">
        <v>32.1</v>
      </c>
      <c r="AK1079">
        <v>23.8</v>
      </c>
      <c r="AL1079">
        <v>-20.11966729999995</v>
      </c>
      <c r="AM1079">
        <v>-44.892529474102908</v>
      </c>
      <c r="AN1079">
        <v>-20.119667299999939</v>
      </c>
      <c r="AO1079">
        <v>-44.892529474102908</v>
      </c>
      <c r="AP1079">
        <v>-20.119333000000001</v>
      </c>
      <c r="AQ1079">
        <v>-44.892454999999998</v>
      </c>
      <c r="AR1079">
        <v>38.019750592693072</v>
      </c>
      <c r="AS1079" t="s">
        <v>65</v>
      </c>
      <c r="AT1079">
        <v>1</v>
      </c>
      <c r="AU1079" t="s">
        <v>582</v>
      </c>
      <c r="AV1079" t="s">
        <v>583</v>
      </c>
      <c r="AW1079" t="s">
        <v>60</v>
      </c>
      <c r="AX1079" t="s">
        <v>68</v>
      </c>
      <c r="AY1079" t="s">
        <v>69</v>
      </c>
      <c r="AZ1079" t="b">
        <v>1</v>
      </c>
    </row>
    <row r="1080" spans="1:52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2128</v>
      </c>
      <c r="F1080" t="s">
        <v>190</v>
      </c>
      <c r="G1080" t="s">
        <v>614</v>
      </c>
      <c r="H1080" t="s">
        <v>615</v>
      </c>
      <c r="I1080" t="s">
        <v>615</v>
      </c>
      <c r="J1080" t="s">
        <v>60</v>
      </c>
      <c r="K1080" t="s">
        <v>207</v>
      </c>
      <c r="L1080" t="s">
        <v>62</v>
      </c>
      <c r="M1080" t="s">
        <v>207</v>
      </c>
      <c r="N1080" t="s">
        <v>616</v>
      </c>
      <c r="O1080" t="s">
        <v>617</v>
      </c>
      <c r="P1080">
        <v>-20.123118999999999</v>
      </c>
      <c r="Q1080">
        <v>-44.886259000000003</v>
      </c>
      <c r="R1080" s="2" t="str">
        <f>HYPERLINK("https://www.google.com/maps?q=-20.1231190,-44.8862590","Abrir no Google Maps")</f>
        <v>Abrir no Google Maps</v>
      </c>
      <c r="S1080">
        <v>3</v>
      </c>
      <c r="T1080">
        <v>534.91642326845545</v>
      </c>
      <c r="U1080">
        <v>4</v>
      </c>
      <c r="V1080">
        <v>21</v>
      </c>
      <c r="W1080">
        <v>1</v>
      </c>
      <c r="X1080">
        <v>21</v>
      </c>
      <c r="Y1080">
        <v>536</v>
      </c>
      <c r="Z1080">
        <v>478.9192959851456</v>
      </c>
      <c r="AA1080">
        <v>198</v>
      </c>
      <c r="AB1080">
        <v>332</v>
      </c>
      <c r="AC1080">
        <v>536</v>
      </c>
      <c r="AD1080">
        <v>29.96</v>
      </c>
      <c r="AE1080">
        <v>542</v>
      </c>
      <c r="AF1080">
        <v>29</v>
      </c>
      <c r="AG1080">
        <v>174</v>
      </c>
      <c r="AH1080">
        <v>129</v>
      </c>
      <c r="AI1080">
        <v>5.35</v>
      </c>
      <c r="AJ1080">
        <v>32.1</v>
      </c>
      <c r="AK1080">
        <v>23.8</v>
      </c>
      <c r="AL1080">
        <v>-20.12305974999995</v>
      </c>
      <c r="AM1080">
        <v>-44.886314469108633</v>
      </c>
      <c r="AN1080">
        <v>-20.12305974999995</v>
      </c>
      <c r="AO1080">
        <v>-44.886314469108633</v>
      </c>
      <c r="AP1080">
        <v>-20.123118999999999</v>
      </c>
      <c r="AQ1080">
        <v>-44.886259000000003</v>
      </c>
      <c r="AR1080">
        <v>8.7817342078334093</v>
      </c>
      <c r="AS1080" t="s">
        <v>65</v>
      </c>
      <c r="AT1080">
        <v>1</v>
      </c>
      <c r="AU1080" t="s">
        <v>618</v>
      </c>
      <c r="AV1080" t="s">
        <v>619</v>
      </c>
      <c r="AW1080" t="s">
        <v>60</v>
      </c>
      <c r="AX1080" t="s">
        <v>68</v>
      </c>
      <c r="AY1080" t="s">
        <v>69</v>
      </c>
      <c r="AZ1080" t="b">
        <v>1</v>
      </c>
    </row>
    <row r="1081" spans="1:52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2128</v>
      </c>
      <c r="F1081" t="s">
        <v>190</v>
      </c>
      <c r="G1081" t="s">
        <v>620</v>
      </c>
      <c r="H1081" t="s">
        <v>621</v>
      </c>
      <c r="I1081" t="s">
        <v>621</v>
      </c>
      <c r="J1081" t="s">
        <v>60</v>
      </c>
      <c r="K1081" t="s">
        <v>207</v>
      </c>
      <c r="L1081" t="s">
        <v>62</v>
      </c>
      <c r="M1081" t="s">
        <v>207</v>
      </c>
      <c r="N1081" t="s">
        <v>622</v>
      </c>
      <c r="O1081" t="s">
        <v>623</v>
      </c>
      <c r="P1081">
        <v>-20.120775999999999</v>
      </c>
      <c r="Q1081">
        <v>-44.885562999999998</v>
      </c>
      <c r="R1081" s="2" t="str">
        <f>HYPERLINK("https://www.google.com/maps?q=-20.1207760,-44.8855630","Abrir no Google Maps")</f>
        <v>Abrir no Google Maps</v>
      </c>
      <c r="S1081">
        <v>3</v>
      </c>
      <c r="T1081">
        <v>332.24231777761912</v>
      </c>
      <c r="U1081">
        <v>4</v>
      </c>
      <c r="V1081">
        <v>23</v>
      </c>
      <c r="W1081">
        <v>1</v>
      </c>
      <c r="X1081">
        <v>23</v>
      </c>
      <c r="Y1081">
        <v>536</v>
      </c>
      <c r="Z1081">
        <v>255.48165096313261</v>
      </c>
      <c r="AA1081">
        <v>198</v>
      </c>
      <c r="AB1081">
        <v>332</v>
      </c>
      <c r="AC1081">
        <v>536</v>
      </c>
      <c r="AD1081">
        <v>29.96</v>
      </c>
      <c r="AE1081">
        <v>542</v>
      </c>
      <c r="AF1081">
        <v>29</v>
      </c>
      <c r="AG1081">
        <v>174</v>
      </c>
      <c r="AH1081">
        <v>129</v>
      </c>
      <c r="AI1081">
        <v>5.35</v>
      </c>
      <c r="AJ1081">
        <v>32.1</v>
      </c>
      <c r="AK1081">
        <v>23.8</v>
      </c>
      <c r="AL1081">
        <v>-20.120783799999941</v>
      </c>
      <c r="AM1081">
        <v>-44.885629603396453</v>
      </c>
      <c r="AN1081">
        <v>-20.120783799999941</v>
      </c>
      <c r="AO1081">
        <v>-44.885629603396453</v>
      </c>
      <c r="AP1081">
        <v>-20.120775999999999</v>
      </c>
      <c r="AQ1081">
        <v>-44.885562999999998</v>
      </c>
      <c r="AR1081">
        <v>7.0157317818911196</v>
      </c>
      <c r="AS1081" t="s">
        <v>65</v>
      </c>
      <c r="AT1081">
        <v>1</v>
      </c>
      <c r="AU1081" t="s">
        <v>624</v>
      </c>
      <c r="AV1081" t="s">
        <v>619</v>
      </c>
      <c r="AW1081" t="s">
        <v>60</v>
      </c>
      <c r="AX1081" t="s">
        <v>68</v>
      </c>
      <c r="AY1081" t="s">
        <v>69</v>
      </c>
      <c r="AZ1081" t="b">
        <v>1</v>
      </c>
    </row>
    <row r="1082" spans="1:52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2128</v>
      </c>
      <c r="F1082" t="s">
        <v>190</v>
      </c>
      <c r="G1082" t="s">
        <v>232</v>
      </c>
      <c r="H1082" t="s">
        <v>925</v>
      </c>
      <c r="I1082" t="s">
        <v>925</v>
      </c>
      <c r="J1082" t="s">
        <v>60</v>
      </c>
      <c r="K1082" t="s">
        <v>702</v>
      </c>
      <c r="L1082" t="s">
        <v>62</v>
      </c>
      <c r="M1082" t="s">
        <v>702</v>
      </c>
      <c r="N1082" t="s">
        <v>234</v>
      </c>
      <c r="O1082" t="s">
        <v>926</v>
      </c>
      <c r="P1082">
        <v>-20.165887999999999</v>
      </c>
      <c r="Q1082">
        <v>-44.865220000000001</v>
      </c>
      <c r="R1082" s="2" t="str">
        <f>HYPERLINK("https://www.google.com/maps?q=-20.1658880,-44.8652200","Abrir no Google Maps")</f>
        <v>Abrir no Google Maps</v>
      </c>
      <c r="S1082">
        <v>3</v>
      </c>
      <c r="T1082">
        <v>711.71706763776342</v>
      </c>
      <c r="U1082">
        <v>4</v>
      </c>
      <c r="V1082">
        <v>24</v>
      </c>
      <c r="W1082">
        <v>1</v>
      </c>
      <c r="X1082">
        <v>24</v>
      </c>
      <c r="Y1082">
        <v>518</v>
      </c>
      <c r="Z1082">
        <v>801.45781285603209</v>
      </c>
      <c r="AA1082">
        <v>198</v>
      </c>
      <c r="AB1082">
        <v>332</v>
      </c>
      <c r="AC1082">
        <v>536</v>
      </c>
      <c r="AD1082">
        <v>29.96</v>
      </c>
      <c r="AE1082">
        <v>542</v>
      </c>
      <c r="AF1082">
        <v>29</v>
      </c>
      <c r="AG1082">
        <v>174</v>
      </c>
      <c r="AH1082">
        <v>129</v>
      </c>
      <c r="AI1082">
        <v>5.35</v>
      </c>
      <c r="AJ1082">
        <v>32.1</v>
      </c>
      <c r="AK1082">
        <v>23.8</v>
      </c>
      <c r="AL1082">
        <v>-20.165865449999959</v>
      </c>
      <c r="AM1082">
        <v>-44.865240434761468</v>
      </c>
      <c r="AN1082">
        <v>-20.165865449999959</v>
      </c>
      <c r="AO1082">
        <v>-44.865240434761468</v>
      </c>
      <c r="AP1082">
        <v>-20.165887999999999</v>
      </c>
      <c r="AQ1082">
        <v>-44.865220000000001</v>
      </c>
      <c r="AR1082">
        <v>3.2956262004279409</v>
      </c>
      <c r="AS1082" t="s">
        <v>65</v>
      </c>
      <c r="AT1082">
        <v>1</v>
      </c>
      <c r="AU1082" t="s">
        <v>927</v>
      </c>
      <c r="AV1082" t="s">
        <v>928</v>
      </c>
      <c r="AW1082" t="s">
        <v>60</v>
      </c>
      <c r="AX1082" t="s">
        <v>68</v>
      </c>
      <c r="AY1082" t="s">
        <v>69</v>
      </c>
      <c r="AZ1082" t="b">
        <v>1</v>
      </c>
    </row>
    <row r="1083" spans="1:52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2128</v>
      </c>
      <c r="F1083" t="s">
        <v>190</v>
      </c>
      <c r="G1083" t="s">
        <v>946</v>
      </c>
      <c r="H1083" t="s">
        <v>947</v>
      </c>
      <c r="I1083" t="s">
        <v>947</v>
      </c>
      <c r="J1083" t="s">
        <v>60</v>
      </c>
      <c r="K1083" t="s">
        <v>193</v>
      </c>
      <c r="L1083" t="s">
        <v>62</v>
      </c>
      <c r="M1083" t="s">
        <v>193</v>
      </c>
      <c r="N1083" t="s">
        <v>948</v>
      </c>
      <c r="O1083" t="s">
        <v>949</v>
      </c>
      <c r="P1083">
        <v>-20.141646000000001</v>
      </c>
      <c r="Q1083">
        <v>-44.920682999999997</v>
      </c>
      <c r="R1083" s="2" t="str">
        <f>HYPERLINK("https://www.google.com/maps?q=-20.1416460,-44.9206830","Abrir no Google Maps")</f>
        <v>Abrir no Google Maps</v>
      </c>
      <c r="S1083">
        <v>3</v>
      </c>
      <c r="T1083">
        <v>538.41742581974165</v>
      </c>
      <c r="U1083">
        <v>4</v>
      </c>
      <c r="V1083">
        <v>22</v>
      </c>
      <c r="W1083">
        <v>1</v>
      </c>
      <c r="X1083">
        <v>22</v>
      </c>
      <c r="Y1083">
        <v>508</v>
      </c>
      <c r="Z1083">
        <v>459.99626097363068</v>
      </c>
      <c r="AA1083">
        <v>198</v>
      </c>
      <c r="AB1083">
        <v>332</v>
      </c>
      <c r="AC1083">
        <v>536</v>
      </c>
      <c r="AD1083">
        <v>29.96</v>
      </c>
      <c r="AE1083">
        <v>542</v>
      </c>
      <c r="AF1083">
        <v>29</v>
      </c>
      <c r="AG1083">
        <v>174</v>
      </c>
      <c r="AH1083">
        <v>129</v>
      </c>
      <c r="AI1083">
        <v>5.35</v>
      </c>
      <c r="AJ1083">
        <v>32.1</v>
      </c>
      <c r="AK1083">
        <v>23.8</v>
      </c>
      <c r="AL1083">
        <v>-20.141877549999979</v>
      </c>
      <c r="AM1083">
        <v>-44.920658074778594</v>
      </c>
      <c r="AN1083">
        <v>-20.141877549999979</v>
      </c>
      <c r="AO1083">
        <v>-44.920658074778594</v>
      </c>
      <c r="AP1083">
        <v>-20.141646000000001</v>
      </c>
      <c r="AQ1083">
        <v>-44.920682999999997</v>
      </c>
      <c r="AR1083">
        <v>25.907443828287509</v>
      </c>
      <c r="AS1083" t="s">
        <v>65</v>
      </c>
      <c r="AT1083">
        <v>1</v>
      </c>
      <c r="AU1083" t="s">
        <v>950</v>
      </c>
      <c r="AV1083" t="s">
        <v>951</v>
      </c>
      <c r="AW1083" t="s">
        <v>60</v>
      </c>
      <c r="AX1083" t="s">
        <v>68</v>
      </c>
      <c r="AY1083" t="s">
        <v>69</v>
      </c>
      <c r="AZ1083" t="b">
        <v>1</v>
      </c>
    </row>
    <row r="1084" spans="1:52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2128</v>
      </c>
      <c r="F1084" t="s">
        <v>190</v>
      </c>
      <c r="G1084" t="s">
        <v>631</v>
      </c>
      <c r="H1084" t="s">
        <v>632</v>
      </c>
      <c r="I1084" t="s">
        <v>632</v>
      </c>
      <c r="J1084" t="s">
        <v>60</v>
      </c>
      <c r="K1084" t="s">
        <v>530</v>
      </c>
      <c r="L1084" t="s">
        <v>62</v>
      </c>
      <c r="M1084" t="s">
        <v>530</v>
      </c>
      <c r="N1084" t="s">
        <v>633</v>
      </c>
      <c r="O1084" t="s">
        <v>634</v>
      </c>
      <c r="P1084">
        <v>-20.142136000000001</v>
      </c>
      <c r="Q1084">
        <v>-44.893895999999998</v>
      </c>
      <c r="R1084" s="2" t="str">
        <f>HYPERLINK("https://www.google.com/maps?q=-20.1421360,-44.8938960","Abrir no Google Maps")</f>
        <v>Abrir no Google Maps</v>
      </c>
      <c r="S1084">
        <v>3</v>
      </c>
      <c r="T1084">
        <v>252.77776243958951</v>
      </c>
      <c r="U1084">
        <v>4</v>
      </c>
      <c r="V1084">
        <v>30</v>
      </c>
      <c r="W1084">
        <v>1</v>
      </c>
      <c r="X1084">
        <v>30</v>
      </c>
      <c r="Y1084">
        <v>505</v>
      </c>
      <c r="Z1084">
        <v>331.79497003706751</v>
      </c>
      <c r="AA1084">
        <v>198</v>
      </c>
      <c r="AB1084">
        <v>332</v>
      </c>
      <c r="AC1084">
        <v>536</v>
      </c>
      <c r="AD1084">
        <v>29.96</v>
      </c>
      <c r="AE1084">
        <v>542</v>
      </c>
      <c r="AF1084">
        <v>29</v>
      </c>
      <c r="AG1084">
        <v>174</v>
      </c>
      <c r="AH1084">
        <v>129</v>
      </c>
      <c r="AI1084">
        <v>5.35</v>
      </c>
      <c r="AJ1084">
        <v>32.1</v>
      </c>
      <c r="AK1084">
        <v>23.8</v>
      </c>
      <c r="AL1084">
        <v>-20.142209999999949</v>
      </c>
      <c r="AM1084">
        <v>-44.893919659400702</v>
      </c>
      <c r="AN1084">
        <v>-20.142209999999949</v>
      </c>
      <c r="AO1084">
        <v>-44.893919659400702</v>
      </c>
      <c r="AP1084">
        <v>-20.142136000000001</v>
      </c>
      <c r="AQ1084">
        <v>-44.893895999999998</v>
      </c>
      <c r="AR1084">
        <v>8.6007875127343159</v>
      </c>
      <c r="AS1084" t="s">
        <v>65</v>
      </c>
      <c r="AT1084">
        <v>1</v>
      </c>
      <c r="AU1084" t="s">
        <v>635</v>
      </c>
      <c r="AV1084" t="s">
        <v>636</v>
      </c>
      <c r="AW1084" t="s">
        <v>60</v>
      </c>
      <c r="AX1084" t="s">
        <v>68</v>
      </c>
      <c r="AY1084" t="s">
        <v>69</v>
      </c>
      <c r="AZ1084" t="b">
        <v>1</v>
      </c>
    </row>
    <row r="1085" spans="1:52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2128</v>
      </c>
      <c r="F1085" t="s">
        <v>190</v>
      </c>
      <c r="G1085" t="s">
        <v>957</v>
      </c>
      <c r="H1085" t="s">
        <v>958</v>
      </c>
      <c r="I1085" t="s">
        <v>958</v>
      </c>
      <c r="J1085" t="s">
        <v>60</v>
      </c>
      <c r="K1085" t="s">
        <v>262</v>
      </c>
      <c r="L1085" t="s">
        <v>62</v>
      </c>
      <c r="M1085" t="s">
        <v>262</v>
      </c>
      <c r="N1085" t="s">
        <v>959</v>
      </c>
      <c r="O1085" t="s">
        <v>960</v>
      </c>
      <c r="P1085">
        <v>-20.165469999999999</v>
      </c>
      <c r="Q1085">
        <v>-44.854308000000003</v>
      </c>
      <c r="R1085" s="2" t="str">
        <f>HYPERLINK("https://www.google.com/maps?q=-20.1654700,-44.8543080","Abrir no Google Maps")</f>
        <v>Abrir no Google Maps</v>
      </c>
      <c r="S1085">
        <v>3</v>
      </c>
      <c r="T1085">
        <v>555.06043712641599</v>
      </c>
      <c r="U1085">
        <v>4</v>
      </c>
      <c r="V1085">
        <v>21</v>
      </c>
      <c r="W1085">
        <v>1</v>
      </c>
      <c r="X1085">
        <v>21</v>
      </c>
      <c r="Y1085">
        <v>491</v>
      </c>
      <c r="Z1085">
        <v>423.16855805320131</v>
      </c>
      <c r="AA1085">
        <v>198</v>
      </c>
      <c r="AB1085">
        <v>332</v>
      </c>
      <c r="AC1085">
        <v>536</v>
      </c>
      <c r="AD1085">
        <v>29.96</v>
      </c>
      <c r="AE1085">
        <v>542</v>
      </c>
      <c r="AF1085">
        <v>29</v>
      </c>
      <c r="AG1085">
        <v>174</v>
      </c>
      <c r="AH1085">
        <v>129</v>
      </c>
      <c r="AI1085">
        <v>5.35</v>
      </c>
      <c r="AJ1085">
        <v>32.1</v>
      </c>
      <c r="AK1085">
        <v>23.8</v>
      </c>
      <c r="AL1085">
        <v>-20.165538449999961</v>
      </c>
      <c r="AM1085">
        <v>-44.854274624633042</v>
      </c>
      <c r="AN1085">
        <v>-20.165538449999961</v>
      </c>
      <c r="AO1085">
        <v>-44.854274624633042</v>
      </c>
      <c r="AP1085">
        <v>-20.165469999999999</v>
      </c>
      <c r="AQ1085">
        <v>-44.854308000000003</v>
      </c>
      <c r="AR1085">
        <v>8.3800661572970956</v>
      </c>
      <c r="AS1085" t="s">
        <v>65</v>
      </c>
      <c r="AT1085">
        <v>1</v>
      </c>
      <c r="AU1085" t="s">
        <v>961</v>
      </c>
      <c r="AV1085" t="s">
        <v>962</v>
      </c>
      <c r="AW1085" t="s">
        <v>60</v>
      </c>
      <c r="AX1085" t="s">
        <v>68</v>
      </c>
      <c r="AY1085" t="s">
        <v>69</v>
      </c>
      <c r="AZ1085" t="b">
        <v>1</v>
      </c>
    </row>
    <row r="1086" spans="1:52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2128</v>
      </c>
      <c r="F1086" t="s">
        <v>190</v>
      </c>
      <c r="G1086" t="s">
        <v>968</v>
      </c>
      <c r="H1086" t="s">
        <v>969</v>
      </c>
      <c r="I1086" t="s">
        <v>969</v>
      </c>
      <c r="J1086" t="s">
        <v>60</v>
      </c>
      <c r="K1086" t="s">
        <v>262</v>
      </c>
      <c r="L1086" t="s">
        <v>62</v>
      </c>
      <c r="M1086" t="s">
        <v>262</v>
      </c>
      <c r="N1086" t="s">
        <v>970</v>
      </c>
      <c r="O1086" t="s">
        <v>971</v>
      </c>
      <c r="P1086">
        <v>-20.163060999999999</v>
      </c>
      <c r="Q1086">
        <v>-44.854047000000001</v>
      </c>
      <c r="R1086" s="2" t="str">
        <f>HYPERLINK("https://www.google.com/maps?q=-20.1630610,-44.8540470","Abrir no Google Maps")</f>
        <v>Abrir no Google Maps</v>
      </c>
      <c r="S1086">
        <v>3</v>
      </c>
      <c r="T1086">
        <v>418.63868463200271</v>
      </c>
      <c r="U1086">
        <v>4</v>
      </c>
      <c r="V1086">
        <v>26</v>
      </c>
      <c r="W1086">
        <v>1</v>
      </c>
      <c r="X1086">
        <v>26</v>
      </c>
      <c r="Y1086">
        <v>491</v>
      </c>
      <c r="Z1086">
        <v>339.19068595447408</v>
      </c>
      <c r="AA1086">
        <v>198</v>
      </c>
      <c r="AB1086">
        <v>332</v>
      </c>
      <c r="AC1086">
        <v>536</v>
      </c>
      <c r="AD1086">
        <v>29.96</v>
      </c>
      <c r="AE1086">
        <v>542</v>
      </c>
      <c r="AF1086">
        <v>29</v>
      </c>
      <c r="AG1086">
        <v>174</v>
      </c>
      <c r="AH1086">
        <v>129</v>
      </c>
      <c r="AI1086">
        <v>5.35</v>
      </c>
      <c r="AJ1086">
        <v>32.1</v>
      </c>
      <c r="AK1086">
        <v>23.8</v>
      </c>
      <c r="AL1086">
        <v>-20.163118949999959</v>
      </c>
      <c r="AM1086">
        <v>-44.854106723889032</v>
      </c>
      <c r="AN1086">
        <v>-20.163118949999959</v>
      </c>
      <c r="AO1086">
        <v>-44.854106723889032</v>
      </c>
      <c r="AP1086">
        <v>-20.163060999999999</v>
      </c>
      <c r="AQ1086">
        <v>-44.854047000000001</v>
      </c>
      <c r="AR1086">
        <v>8.9758322935491428</v>
      </c>
      <c r="AS1086" t="s">
        <v>65</v>
      </c>
      <c r="AT1086">
        <v>1</v>
      </c>
      <c r="AU1086" t="s">
        <v>972</v>
      </c>
      <c r="AV1086" t="s">
        <v>973</v>
      </c>
      <c r="AW1086" t="s">
        <v>60</v>
      </c>
      <c r="AX1086" t="s">
        <v>68</v>
      </c>
      <c r="AY1086" t="s">
        <v>69</v>
      </c>
      <c r="AZ1086" t="b">
        <v>1</v>
      </c>
    </row>
    <row r="1087" spans="1:52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2128</v>
      </c>
      <c r="F1087" t="s">
        <v>190</v>
      </c>
      <c r="G1087" t="s">
        <v>968</v>
      </c>
      <c r="H1087" t="s">
        <v>1754</v>
      </c>
      <c r="I1087" t="s">
        <v>1754</v>
      </c>
      <c r="J1087" t="s">
        <v>60</v>
      </c>
      <c r="K1087" t="s">
        <v>262</v>
      </c>
      <c r="L1087" t="s">
        <v>62</v>
      </c>
      <c r="M1087" t="s">
        <v>262</v>
      </c>
      <c r="N1087" t="s">
        <v>970</v>
      </c>
      <c r="O1087" t="s">
        <v>1331</v>
      </c>
      <c r="P1087">
        <v>-20.161989999999999</v>
      </c>
      <c r="Q1087">
        <v>-44.857933000000003</v>
      </c>
      <c r="R1087" s="2" t="str">
        <f>HYPERLINK("https://www.google.com/maps?q=-20.1619900,-44.8579330","Abrir no Google Maps")</f>
        <v>Abrir no Google Maps</v>
      </c>
      <c r="S1087">
        <v>3</v>
      </c>
      <c r="T1087">
        <v>0</v>
      </c>
      <c r="U1087">
        <v>4</v>
      </c>
      <c r="V1087">
        <v>24</v>
      </c>
      <c r="W1087">
        <v>1</v>
      </c>
      <c r="X1087">
        <v>24</v>
      </c>
      <c r="Y1087">
        <v>491</v>
      </c>
      <c r="Z1087">
        <v>131.1697533741382</v>
      </c>
      <c r="AA1087">
        <v>198</v>
      </c>
      <c r="AB1087">
        <v>332</v>
      </c>
      <c r="AC1087">
        <v>536</v>
      </c>
      <c r="AD1087">
        <v>29.96</v>
      </c>
      <c r="AE1087">
        <v>542</v>
      </c>
      <c r="AF1087">
        <v>29</v>
      </c>
      <c r="AG1087">
        <v>174</v>
      </c>
      <c r="AH1087">
        <v>129</v>
      </c>
      <c r="AI1087">
        <v>5.35</v>
      </c>
      <c r="AJ1087">
        <v>32.1</v>
      </c>
      <c r="AK1087">
        <v>23.8</v>
      </c>
      <c r="AL1087">
        <v>-20.161858549999948</v>
      </c>
      <c r="AM1087">
        <v>-44.857884031071968</v>
      </c>
      <c r="AN1087">
        <v>-20.161858549999948</v>
      </c>
      <c r="AO1087">
        <v>-44.857884031071968</v>
      </c>
      <c r="AP1087">
        <v>-20.161989999999999</v>
      </c>
      <c r="AQ1087">
        <v>-44.857933000000003</v>
      </c>
      <c r="AR1087">
        <v>15.501957281614381</v>
      </c>
      <c r="AS1087" t="s">
        <v>65</v>
      </c>
      <c r="AT1087">
        <v>1</v>
      </c>
      <c r="AU1087" t="s">
        <v>1755</v>
      </c>
      <c r="AV1087" t="s">
        <v>1756</v>
      </c>
      <c r="AW1087" t="s">
        <v>60</v>
      </c>
      <c r="AX1087" t="s">
        <v>68</v>
      </c>
      <c r="AY1087" t="s">
        <v>69</v>
      </c>
      <c r="AZ1087" t="b">
        <v>1</v>
      </c>
    </row>
    <row r="1088" spans="1:52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2128</v>
      </c>
      <c r="F1088" t="s">
        <v>190</v>
      </c>
      <c r="G1088" t="s">
        <v>986</v>
      </c>
      <c r="H1088" t="s">
        <v>987</v>
      </c>
      <c r="I1088" t="s">
        <v>987</v>
      </c>
      <c r="J1088" t="s">
        <v>60</v>
      </c>
      <c r="K1088" t="s">
        <v>702</v>
      </c>
      <c r="L1088" t="s">
        <v>62</v>
      </c>
      <c r="M1088" t="s">
        <v>702</v>
      </c>
      <c r="N1088" t="s">
        <v>988</v>
      </c>
      <c r="O1088" t="s">
        <v>989</v>
      </c>
      <c r="P1088">
        <v>-20.1691</v>
      </c>
      <c r="Q1088">
        <v>-44.860813999999998</v>
      </c>
      <c r="R1088" s="2" t="str">
        <f>HYPERLINK("https://www.google.com/maps?q=-20.1691000,-44.8608140","Abrir no Google Maps")</f>
        <v>Abrir no Google Maps</v>
      </c>
      <c r="S1088">
        <v>3</v>
      </c>
      <c r="T1088">
        <v>596.11124105675003</v>
      </c>
      <c r="U1088">
        <v>4</v>
      </c>
      <c r="V1088">
        <v>33</v>
      </c>
      <c r="W1088">
        <v>1</v>
      </c>
      <c r="X1088">
        <v>33</v>
      </c>
      <c r="Y1088">
        <v>491</v>
      </c>
      <c r="Z1088">
        <v>741.65354053819078</v>
      </c>
      <c r="AA1088">
        <v>198</v>
      </c>
      <c r="AB1088">
        <v>332</v>
      </c>
      <c r="AC1088">
        <v>536</v>
      </c>
      <c r="AD1088">
        <v>29.96</v>
      </c>
      <c r="AE1088">
        <v>542</v>
      </c>
      <c r="AF1088">
        <v>29</v>
      </c>
      <c r="AG1088">
        <v>174</v>
      </c>
      <c r="AH1088">
        <v>129</v>
      </c>
      <c r="AI1088">
        <v>5.35</v>
      </c>
      <c r="AJ1088">
        <v>32.1</v>
      </c>
      <c r="AK1088">
        <v>23.8</v>
      </c>
      <c r="AL1088">
        <v>-20.168995449999951</v>
      </c>
      <c r="AM1088">
        <v>-44.86088900357106</v>
      </c>
      <c r="AN1088">
        <v>-20.168995449999951</v>
      </c>
      <c r="AO1088">
        <v>-44.86088900357106</v>
      </c>
      <c r="AP1088">
        <v>-20.1691</v>
      </c>
      <c r="AQ1088">
        <v>-44.860813999999998</v>
      </c>
      <c r="AR1088">
        <v>14.03138702725616</v>
      </c>
      <c r="AS1088" t="s">
        <v>65</v>
      </c>
      <c r="AT1088">
        <v>1</v>
      </c>
      <c r="AU1088" t="s">
        <v>990</v>
      </c>
      <c r="AV1088" t="s">
        <v>991</v>
      </c>
      <c r="AW1088" t="s">
        <v>60</v>
      </c>
      <c r="AX1088" t="s">
        <v>68</v>
      </c>
      <c r="AY1088" t="s">
        <v>69</v>
      </c>
      <c r="AZ1088" t="b">
        <v>1</v>
      </c>
    </row>
    <row r="1089" spans="1:52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2128</v>
      </c>
      <c r="F1089" t="s">
        <v>190</v>
      </c>
      <c r="G1089" t="s">
        <v>1856</v>
      </c>
      <c r="H1089" t="s">
        <v>1857</v>
      </c>
      <c r="I1089" t="s">
        <v>1857</v>
      </c>
      <c r="J1089" t="s">
        <v>60</v>
      </c>
      <c r="K1089" t="s">
        <v>982</v>
      </c>
      <c r="L1089" t="s">
        <v>62</v>
      </c>
      <c r="M1089" t="s">
        <v>982</v>
      </c>
      <c r="N1089" t="s">
        <v>1858</v>
      </c>
      <c r="O1089" t="s">
        <v>1859</v>
      </c>
      <c r="P1089">
        <v>-20.170065000000001</v>
      </c>
      <c r="Q1089">
        <v>-44.856502999999996</v>
      </c>
      <c r="R1089" s="2" t="str">
        <f>HYPERLINK("https://www.google.com/maps?q=-20.1700650,-44.8565030","Abrir no Google Maps")</f>
        <v>Abrir no Google Maps</v>
      </c>
      <c r="S1089">
        <v>3</v>
      </c>
      <c r="T1089">
        <v>924.49628970405706</v>
      </c>
      <c r="U1089">
        <v>4</v>
      </c>
      <c r="V1089">
        <v>24</v>
      </c>
      <c r="W1089">
        <v>0.85</v>
      </c>
      <c r="X1089">
        <v>20.399999999999999</v>
      </c>
      <c r="Y1089">
        <v>491</v>
      </c>
      <c r="Z1089">
        <v>781.19994751508341</v>
      </c>
      <c r="AA1089">
        <v>198</v>
      </c>
      <c r="AB1089">
        <v>332</v>
      </c>
      <c r="AC1089">
        <v>536</v>
      </c>
      <c r="AD1089">
        <v>29.96</v>
      </c>
      <c r="AE1089">
        <v>542</v>
      </c>
      <c r="AF1089">
        <v>29</v>
      </c>
      <c r="AG1089">
        <v>174</v>
      </c>
      <c r="AH1089">
        <v>129</v>
      </c>
      <c r="AI1089">
        <v>5.35</v>
      </c>
      <c r="AJ1089">
        <v>32.1</v>
      </c>
      <c r="AK1089">
        <v>23.8</v>
      </c>
      <c r="AL1089">
        <v>-20.170106749999949</v>
      </c>
      <c r="AM1089">
        <v>-44.856479111371733</v>
      </c>
      <c r="AN1089">
        <v>-20.170106749999949</v>
      </c>
      <c r="AO1089">
        <v>-44.856479111371733</v>
      </c>
      <c r="AP1089">
        <v>-20.170065000000001</v>
      </c>
      <c r="AQ1089">
        <v>-44.856502999999996</v>
      </c>
      <c r="AR1089">
        <v>5.275535546946946</v>
      </c>
      <c r="AS1089" t="s">
        <v>65</v>
      </c>
      <c r="AT1089">
        <v>1</v>
      </c>
      <c r="AU1089" t="s">
        <v>1860</v>
      </c>
      <c r="AV1089" t="s">
        <v>1861</v>
      </c>
      <c r="AW1089" t="s">
        <v>60</v>
      </c>
      <c r="AX1089" t="s">
        <v>68</v>
      </c>
      <c r="AY1089" t="s">
        <v>69</v>
      </c>
      <c r="AZ1089" t="b">
        <v>1</v>
      </c>
    </row>
    <row r="1090" spans="1:52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2128</v>
      </c>
      <c r="F1090" t="s">
        <v>190</v>
      </c>
      <c r="G1090" t="s">
        <v>637</v>
      </c>
      <c r="H1090" t="s">
        <v>638</v>
      </c>
      <c r="I1090" t="s">
        <v>638</v>
      </c>
      <c r="J1090" t="s">
        <v>60</v>
      </c>
      <c r="K1090" t="s">
        <v>530</v>
      </c>
      <c r="L1090" t="s">
        <v>62</v>
      </c>
      <c r="M1090" t="s">
        <v>530</v>
      </c>
      <c r="N1090" t="s">
        <v>639</v>
      </c>
      <c r="O1090" t="s">
        <v>640</v>
      </c>
      <c r="P1090">
        <v>-20.143090000000001</v>
      </c>
      <c r="Q1090">
        <v>-44.888948999999997</v>
      </c>
      <c r="R1090" s="2" t="str">
        <f>HYPERLINK("https://www.google.com/maps?q=-20.1430900,-44.8889490","Abrir no Google Maps")</f>
        <v>Abrir no Google Maps</v>
      </c>
      <c r="S1090">
        <v>3</v>
      </c>
      <c r="T1090">
        <v>264.88903234377068</v>
      </c>
      <c r="U1090">
        <v>4</v>
      </c>
      <c r="V1090">
        <v>21</v>
      </c>
      <c r="W1090">
        <v>1</v>
      </c>
      <c r="X1090">
        <v>21</v>
      </c>
      <c r="Y1090">
        <v>478</v>
      </c>
      <c r="Z1090">
        <v>216.60886577490871</v>
      </c>
      <c r="AA1090">
        <v>198</v>
      </c>
      <c r="AB1090">
        <v>332</v>
      </c>
      <c r="AC1090">
        <v>536</v>
      </c>
      <c r="AD1090">
        <v>29.96</v>
      </c>
      <c r="AE1090">
        <v>542</v>
      </c>
      <c r="AF1090">
        <v>29</v>
      </c>
      <c r="AG1090">
        <v>174</v>
      </c>
      <c r="AH1090">
        <v>129</v>
      </c>
      <c r="AI1090">
        <v>5.35</v>
      </c>
      <c r="AJ1090">
        <v>32.1</v>
      </c>
      <c r="AK1090">
        <v>23.8</v>
      </c>
      <c r="AL1090">
        <v>-20.14306029999997</v>
      </c>
      <c r="AM1090">
        <v>-44.889053908028878</v>
      </c>
      <c r="AN1090">
        <v>-20.14306029999997</v>
      </c>
      <c r="AO1090">
        <v>-44.889053908028878</v>
      </c>
      <c r="AP1090">
        <v>-20.143090000000001</v>
      </c>
      <c r="AQ1090">
        <v>-44.888948999999997</v>
      </c>
      <c r="AR1090">
        <v>11.451710102611671</v>
      </c>
      <c r="AS1090" t="s">
        <v>65</v>
      </c>
      <c r="AT1090">
        <v>1</v>
      </c>
      <c r="AU1090" t="s">
        <v>641</v>
      </c>
      <c r="AV1090" t="s">
        <v>642</v>
      </c>
      <c r="AW1090" t="s">
        <v>60</v>
      </c>
      <c r="AX1090" t="s">
        <v>68</v>
      </c>
      <c r="AY1090" t="s">
        <v>69</v>
      </c>
      <c r="AZ1090" t="b">
        <v>1</v>
      </c>
    </row>
    <row r="1091" spans="1:52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2128</v>
      </c>
      <c r="F1091" t="s">
        <v>190</v>
      </c>
      <c r="G1091" t="s">
        <v>992</v>
      </c>
      <c r="H1091" t="s">
        <v>993</v>
      </c>
      <c r="I1091" t="s">
        <v>993</v>
      </c>
      <c r="J1091" t="s">
        <v>60</v>
      </c>
      <c r="K1091" t="s">
        <v>530</v>
      </c>
      <c r="L1091" t="s">
        <v>62</v>
      </c>
      <c r="M1091" t="s">
        <v>530</v>
      </c>
      <c r="N1091" t="s">
        <v>994</v>
      </c>
      <c r="O1091" t="s">
        <v>995</v>
      </c>
      <c r="P1091">
        <v>-20.144141000000001</v>
      </c>
      <c r="Q1091">
        <v>-44.884635000000003</v>
      </c>
      <c r="R1091" s="2" t="str">
        <f>HYPERLINK("https://www.google.com/maps?q=-20.1441410,-44.8846350","Abrir no Google Maps")</f>
        <v>Abrir no Google Maps</v>
      </c>
      <c r="S1091">
        <v>3</v>
      </c>
      <c r="T1091">
        <v>0</v>
      </c>
      <c r="U1091">
        <v>4</v>
      </c>
      <c r="V1091">
        <v>27</v>
      </c>
      <c r="W1091">
        <v>0.85</v>
      </c>
      <c r="X1091">
        <v>22.95</v>
      </c>
      <c r="Y1091">
        <v>478</v>
      </c>
      <c r="Z1091">
        <v>252.29400768218821</v>
      </c>
      <c r="AA1091">
        <v>198</v>
      </c>
      <c r="AB1091">
        <v>332</v>
      </c>
      <c r="AC1091">
        <v>536</v>
      </c>
      <c r="AD1091">
        <v>29.96</v>
      </c>
      <c r="AE1091">
        <v>542</v>
      </c>
      <c r="AF1091">
        <v>29</v>
      </c>
      <c r="AG1091">
        <v>174</v>
      </c>
      <c r="AH1091">
        <v>129</v>
      </c>
      <c r="AI1091">
        <v>5.35</v>
      </c>
      <c r="AJ1091">
        <v>32.1</v>
      </c>
      <c r="AK1091">
        <v>23.8</v>
      </c>
      <c r="AL1091">
        <v>-20.144119999999951</v>
      </c>
      <c r="AM1091">
        <v>-44.884814928637752</v>
      </c>
      <c r="AN1091">
        <v>-20.144119999999951</v>
      </c>
      <c r="AO1091">
        <v>-44.884814928637752</v>
      </c>
      <c r="AP1091">
        <v>-20.144141000000001</v>
      </c>
      <c r="AQ1091">
        <v>-44.884635000000003</v>
      </c>
      <c r="AR1091">
        <v>18.949181367223549</v>
      </c>
      <c r="AS1091" t="s">
        <v>65</v>
      </c>
      <c r="AT1091">
        <v>1</v>
      </c>
      <c r="AU1091" t="s">
        <v>996</v>
      </c>
      <c r="AV1091" t="s">
        <v>997</v>
      </c>
      <c r="AW1091" t="s">
        <v>60</v>
      </c>
      <c r="AX1091" t="s">
        <v>68</v>
      </c>
      <c r="AY1091" t="s">
        <v>69</v>
      </c>
      <c r="AZ1091" t="b">
        <v>1</v>
      </c>
    </row>
    <row r="1092" spans="1:52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2128</v>
      </c>
      <c r="F1092" t="s">
        <v>190</v>
      </c>
      <c r="G1092" t="s">
        <v>643</v>
      </c>
      <c r="H1092" t="s">
        <v>644</v>
      </c>
      <c r="I1092" t="s">
        <v>644</v>
      </c>
      <c r="J1092" t="s">
        <v>60</v>
      </c>
      <c r="K1092" t="s">
        <v>462</v>
      </c>
      <c r="L1092" t="s">
        <v>62</v>
      </c>
      <c r="M1092" t="s">
        <v>462</v>
      </c>
      <c r="N1092" t="s">
        <v>645</v>
      </c>
      <c r="O1092" t="s">
        <v>646</v>
      </c>
      <c r="P1092">
        <v>-20.138680000000001</v>
      </c>
      <c r="Q1092">
        <v>-44.901313000000002</v>
      </c>
      <c r="R1092" s="2" t="str">
        <f>HYPERLINK("https://www.google.com/maps?q=-20.1386800,-44.9013130","Abrir no Google Maps")</f>
        <v>Abrir no Google Maps</v>
      </c>
      <c r="S1092">
        <v>3</v>
      </c>
      <c r="T1092">
        <v>322.91859681380862</v>
      </c>
      <c r="U1092">
        <v>4</v>
      </c>
      <c r="V1092">
        <v>35</v>
      </c>
      <c r="W1092">
        <v>1</v>
      </c>
      <c r="X1092">
        <v>35</v>
      </c>
      <c r="Y1092">
        <v>435</v>
      </c>
      <c r="Z1092">
        <v>299.891766434874</v>
      </c>
      <c r="AA1092">
        <v>198</v>
      </c>
      <c r="AB1092">
        <v>332</v>
      </c>
      <c r="AC1092">
        <v>536</v>
      </c>
      <c r="AD1092">
        <v>29.96</v>
      </c>
      <c r="AE1092">
        <v>542</v>
      </c>
      <c r="AF1092">
        <v>29</v>
      </c>
      <c r="AG1092">
        <v>174</v>
      </c>
      <c r="AH1092">
        <v>129</v>
      </c>
      <c r="AI1092">
        <v>5.35</v>
      </c>
      <c r="AJ1092">
        <v>32.1</v>
      </c>
      <c r="AK1092">
        <v>23.8</v>
      </c>
      <c r="AL1092">
        <v>-20.13865734999996</v>
      </c>
      <c r="AM1092">
        <v>-44.901255803238627</v>
      </c>
      <c r="AN1092">
        <v>-20.13865734999996</v>
      </c>
      <c r="AO1092">
        <v>-44.901255803238627</v>
      </c>
      <c r="AP1092">
        <v>-20.138680000000001</v>
      </c>
      <c r="AQ1092">
        <v>-44.901313000000002</v>
      </c>
      <c r="AR1092">
        <v>6.4878640135702481</v>
      </c>
      <c r="AS1092" t="s">
        <v>65</v>
      </c>
      <c r="AT1092">
        <v>1</v>
      </c>
      <c r="AU1092" t="s">
        <v>647</v>
      </c>
      <c r="AV1092" t="s">
        <v>648</v>
      </c>
      <c r="AW1092" t="s">
        <v>60</v>
      </c>
      <c r="AX1092" t="s">
        <v>68</v>
      </c>
      <c r="AY1092" t="s">
        <v>69</v>
      </c>
      <c r="AZ1092" t="b">
        <v>1</v>
      </c>
    </row>
    <row r="1093" spans="1:52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2128</v>
      </c>
      <c r="F1093" t="s">
        <v>190</v>
      </c>
      <c r="G1093" t="s">
        <v>656</v>
      </c>
      <c r="H1093" t="s">
        <v>657</v>
      </c>
      <c r="I1093" t="s">
        <v>657</v>
      </c>
      <c r="J1093" t="s">
        <v>60</v>
      </c>
      <c r="K1093" t="s">
        <v>651</v>
      </c>
      <c r="L1093" t="s">
        <v>62</v>
      </c>
      <c r="M1093" t="s">
        <v>651</v>
      </c>
      <c r="N1093" t="s">
        <v>658</v>
      </c>
      <c r="O1093" t="s">
        <v>659</v>
      </c>
      <c r="P1093">
        <v>-20.134922</v>
      </c>
      <c r="Q1093">
        <v>-44.893098000000002</v>
      </c>
      <c r="R1093" s="2" t="str">
        <f>HYPERLINK("https://www.google.com/maps?q=-20.1349220,-44.8930980","Abrir no Google Maps")</f>
        <v>Abrir no Google Maps</v>
      </c>
      <c r="S1093">
        <v>3</v>
      </c>
      <c r="T1093">
        <v>589.83980259734562</v>
      </c>
      <c r="U1093">
        <v>4</v>
      </c>
      <c r="V1093">
        <v>33</v>
      </c>
      <c r="W1093">
        <v>1</v>
      </c>
      <c r="X1093">
        <v>33</v>
      </c>
      <c r="Y1093">
        <v>435</v>
      </c>
      <c r="Z1093">
        <v>663.80986080131709</v>
      </c>
      <c r="AA1093">
        <v>198</v>
      </c>
      <c r="AB1093">
        <v>332</v>
      </c>
      <c r="AC1093">
        <v>536</v>
      </c>
      <c r="AD1093">
        <v>29.96</v>
      </c>
      <c r="AE1093">
        <v>542</v>
      </c>
      <c r="AF1093">
        <v>29</v>
      </c>
      <c r="AG1093">
        <v>174</v>
      </c>
      <c r="AH1093">
        <v>129</v>
      </c>
      <c r="AI1093">
        <v>5.35</v>
      </c>
      <c r="AJ1093">
        <v>32.1</v>
      </c>
      <c r="AK1093">
        <v>23.8</v>
      </c>
      <c r="AL1093">
        <v>-20.135021049999949</v>
      </c>
      <c r="AM1093">
        <v>-44.893227478208203</v>
      </c>
      <c r="AN1093">
        <v>-20.135021049999949</v>
      </c>
      <c r="AO1093">
        <v>-44.893227478208203</v>
      </c>
      <c r="AP1093">
        <v>-20.134922</v>
      </c>
      <c r="AQ1093">
        <v>-44.893098000000002</v>
      </c>
      <c r="AR1093">
        <v>17.455940349902249</v>
      </c>
      <c r="AS1093" t="s">
        <v>65</v>
      </c>
      <c r="AT1093">
        <v>1</v>
      </c>
      <c r="AU1093" t="s">
        <v>660</v>
      </c>
      <c r="AV1093" t="s">
        <v>661</v>
      </c>
      <c r="AW1093" t="s">
        <v>60</v>
      </c>
      <c r="AX1093" t="s">
        <v>68</v>
      </c>
      <c r="AY1093" t="s">
        <v>69</v>
      </c>
      <c r="AZ1093" t="b">
        <v>1</v>
      </c>
    </row>
    <row r="1094" spans="1:52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2128</v>
      </c>
      <c r="F1094" t="s">
        <v>190</v>
      </c>
      <c r="G1094" t="s">
        <v>669</v>
      </c>
      <c r="H1094" t="s">
        <v>670</v>
      </c>
      <c r="I1094" t="s">
        <v>670</v>
      </c>
      <c r="J1094" t="s">
        <v>60</v>
      </c>
      <c r="K1094" t="s">
        <v>530</v>
      </c>
      <c r="L1094" t="s">
        <v>62</v>
      </c>
      <c r="M1094" t="s">
        <v>530</v>
      </c>
      <c r="N1094" t="s">
        <v>671</v>
      </c>
      <c r="O1094" t="s">
        <v>672</v>
      </c>
      <c r="P1094">
        <v>-20.139036999999998</v>
      </c>
      <c r="Q1094">
        <v>-44.889187</v>
      </c>
      <c r="R1094" s="2" t="str">
        <f>HYPERLINK("https://www.google.com/maps?q=-20.1390370,-44.8891870","Abrir no Google Maps")</f>
        <v>Abrir no Google Maps</v>
      </c>
      <c r="S1094">
        <v>3</v>
      </c>
      <c r="T1094">
        <v>162.03713995333371</v>
      </c>
      <c r="U1094">
        <v>4</v>
      </c>
      <c r="V1094">
        <v>22</v>
      </c>
      <c r="W1094">
        <v>1</v>
      </c>
      <c r="X1094">
        <v>22</v>
      </c>
      <c r="Y1094">
        <v>428</v>
      </c>
      <c r="Z1094">
        <v>126.21352118044651</v>
      </c>
      <c r="AA1094">
        <v>198</v>
      </c>
      <c r="AB1094">
        <v>332</v>
      </c>
      <c r="AC1094">
        <v>536</v>
      </c>
      <c r="AD1094">
        <v>29.96</v>
      </c>
      <c r="AE1094">
        <v>542</v>
      </c>
      <c r="AF1094">
        <v>29</v>
      </c>
      <c r="AG1094">
        <v>174</v>
      </c>
      <c r="AH1094">
        <v>129</v>
      </c>
      <c r="AI1094">
        <v>5.35</v>
      </c>
      <c r="AJ1094">
        <v>32.1</v>
      </c>
      <c r="AK1094">
        <v>23.8</v>
      </c>
      <c r="AL1094">
        <v>-20.13900394999996</v>
      </c>
      <c r="AM1094">
        <v>-44.889298503583859</v>
      </c>
      <c r="AN1094">
        <v>-20.13900394999996</v>
      </c>
      <c r="AO1094">
        <v>-44.889298503583859</v>
      </c>
      <c r="AP1094">
        <v>-20.139036999999998</v>
      </c>
      <c r="AQ1094">
        <v>-44.889187</v>
      </c>
      <c r="AR1094">
        <v>12.220642731957311</v>
      </c>
      <c r="AS1094" t="s">
        <v>65</v>
      </c>
      <c r="AT1094">
        <v>1</v>
      </c>
      <c r="AU1094" t="s">
        <v>673</v>
      </c>
      <c r="AV1094" t="s">
        <v>674</v>
      </c>
      <c r="AW1094" t="s">
        <v>60</v>
      </c>
      <c r="AX1094" t="s">
        <v>68</v>
      </c>
      <c r="AY1094" t="s">
        <v>69</v>
      </c>
      <c r="AZ1094" t="b">
        <v>1</v>
      </c>
    </row>
    <row r="1095" spans="1:52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2128</v>
      </c>
      <c r="F1095" t="s">
        <v>190</v>
      </c>
      <c r="G1095" t="s">
        <v>681</v>
      </c>
      <c r="H1095" t="s">
        <v>682</v>
      </c>
      <c r="I1095" t="s">
        <v>682</v>
      </c>
      <c r="J1095" t="s">
        <v>60</v>
      </c>
      <c r="K1095" t="s">
        <v>530</v>
      </c>
      <c r="L1095" t="s">
        <v>62</v>
      </c>
      <c r="M1095" t="s">
        <v>530</v>
      </c>
      <c r="N1095" t="s">
        <v>683</v>
      </c>
      <c r="O1095" t="s">
        <v>173</v>
      </c>
      <c r="P1095">
        <v>-20.138342999999999</v>
      </c>
      <c r="Q1095">
        <v>-44.887732</v>
      </c>
      <c r="R1095" s="2" t="str">
        <f>HYPERLINK("https://www.google.com/maps?q=-20.1383430,-44.8877320","Abrir no Google Maps")</f>
        <v>Abrir no Google Maps</v>
      </c>
      <c r="S1095">
        <v>3</v>
      </c>
      <c r="T1095">
        <v>0</v>
      </c>
      <c r="U1095">
        <v>4</v>
      </c>
      <c r="V1095">
        <v>33</v>
      </c>
      <c r="W1095">
        <v>1</v>
      </c>
      <c r="X1095">
        <v>33</v>
      </c>
      <c r="Y1095">
        <v>428</v>
      </c>
      <c r="Z1095">
        <v>82.685534812530861</v>
      </c>
      <c r="AA1095">
        <v>198</v>
      </c>
      <c r="AB1095">
        <v>332</v>
      </c>
      <c r="AC1095">
        <v>536</v>
      </c>
      <c r="AD1095">
        <v>29.96</v>
      </c>
      <c r="AE1095">
        <v>542</v>
      </c>
      <c r="AF1095">
        <v>29</v>
      </c>
      <c r="AG1095">
        <v>174</v>
      </c>
      <c r="AH1095">
        <v>129</v>
      </c>
      <c r="AI1095">
        <v>5.35</v>
      </c>
      <c r="AJ1095">
        <v>32.1</v>
      </c>
      <c r="AK1095">
        <v>23.8</v>
      </c>
      <c r="AL1095">
        <v>-20.138329099999961</v>
      </c>
      <c r="AM1095">
        <v>-44.887922589375549</v>
      </c>
      <c r="AN1095">
        <v>-20.138329099999961</v>
      </c>
      <c r="AO1095">
        <v>-44.887922589375549</v>
      </c>
      <c r="AP1095">
        <v>-20.138342999999999</v>
      </c>
      <c r="AQ1095">
        <v>-44.887732</v>
      </c>
      <c r="AR1095">
        <v>19.979335127307191</v>
      </c>
      <c r="AS1095" t="s">
        <v>65</v>
      </c>
      <c r="AT1095">
        <v>1</v>
      </c>
      <c r="AU1095" t="s">
        <v>684</v>
      </c>
      <c r="AV1095" t="s">
        <v>685</v>
      </c>
      <c r="AW1095" t="s">
        <v>60</v>
      </c>
      <c r="AX1095" t="s">
        <v>68</v>
      </c>
      <c r="AY1095" t="s">
        <v>69</v>
      </c>
      <c r="AZ1095" t="b">
        <v>1</v>
      </c>
    </row>
    <row r="1096" spans="1:52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2128</v>
      </c>
      <c r="F1096" t="s">
        <v>190</v>
      </c>
      <c r="G1096" t="s">
        <v>1014</v>
      </c>
      <c r="H1096" t="s">
        <v>1015</v>
      </c>
      <c r="I1096" t="s">
        <v>1015</v>
      </c>
      <c r="J1096" t="s">
        <v>60</v>
      </c>
      <c r="K1096" t="s">
        <v>1016</v>
      </c>
      <c r="L1096" t="s">
        <v>62</v>
      </c>
      <c r="M1096" t="s">
        <v>1016</v>
      </c>
      <c r="N1096" t="s">
        <v>1017</v>
      </c>
      <c r="O1096" t="s">
        <v>1018</v>
      </c>
      <c r="P1096">
        <v>-20.174461000000001</v>
      </c>
      <c r="Q1096">
        <v>-44.868710999999998</v>
      </c>
      <c r="R1096" s="2" t="str">
        <f>HYPERLINK("https://www.google.com/maps?q=-20.1744610,-44.8687110","Abrir no Google Maps")</f>
        <v>Abrir no Google Maps</v>
      </c>
      <c r="S1096">
        <v>3</v>
      </c>
      <c r="T1096">
        <v>435.39504742850158</v>
      </c>
      <c r="U1096">
        <v>4</v>
      </c>
      <c r="V1096">
        <v>38</v>
      </c>
      <c r="W1096">
        <v>1</v>
      </c>
      <c r="X1096">
        <v>38</v>
      </c>
      <c r="Y1096">
        <v>422</v>
      </c>
      <c r="Z1096">
        <v>264.99958639233438</v>
      </c>
      <c r="AA1096">
        <v>198</v>
      </c>
      <c r="AB1096">
        <v>332</v>
      </c>
      <c r="AC1096">
        <v>536</v>
      </c>
      <c r="AD1096">
        <v>29.96</v>
      </c>
      <c r="AE1096">
        <v>542</v>
      </c>
      <c r="AF1096">
        <v>29</v>
      </c>
      <c r="AG1096">
        <v>174</v>
      </c>
      <c r="AH1096">
        <v>129</v>
      </c>
      <c r="AI1096">
        <v>5.35</v>
      </c>
      <c r="AJ1096">
        <v>32.1</v>
      </c>
      <c r="AK1096">
        <v>23.8</v>
      </c>
      <c r="AL1096">
        <v>-20.174459749999951</v>
      </c>
      <c r="AM1096">
        <v>-44.868877789186897</v>
      </c>
      <c r="AN1096">
        <v>-20.174459749999951</v>
      </c>
      <c r="AO1096">
        <v>-44.868877789186897</v>
      </c>
      <c r="AP1096">
        <v>-20.174461000000001</v>
      </c>
      <c r="AQ1096">
        <v>-44.868710999999998</v>
      </c>
      <c r="AR1096">
        <v>17.42838555603738</v>
      </c>
      <c r="AS1096" t="s">
        <v>65</v>
      </c>
      <c r="AT1096">
        <v>1</v>
      </c>
      <c r="AU1096" t="s">
        <v>1019</v>
      </c>
      <c r="AV1096" t="s">
        <v>1020</v>
      </c>
      <c r="AW1096" t="s">
        <v>60</v>
      </c>
      <c r="AX1096" t="s">
        <v>68</v>
      </c>
      <c r="AY1096" t="s">
        <v>69</v>
      </c>
      <c r="AZ1096" t="b">
        <v>1</v>
      </c>
    </row>
    <row r="1097" spans="1:52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2128</v>
      </c>
      <c r="F1097" t="s">
        <v>190</v>
      </c>
      <c r="G1097" t="s">
        <v>1021</v>
      </c>
      <c r="H1097" t="s">
        <v>1022</v>
      </c>
      <c r="I1097" t="s">
        <v>1022</v>
      </c>
      <c r="J1097" t="s">
        <v>60</v>
      </c>
      <c r="K1097" t="s">
        <v>1023</v>
      </c>
      <c r="L1097" t="s">
        <v>62</v>
      </c>
      <c r="M1097" t="s">
        <v>1023</v>
      </c>
      <c r="N1097" t="s">
        <v>1024</v>
      </c>
      <c r="O1097" t="s">
        <v>1025</v>
      </c>
      <c r="P1097">
        <v>-20.169588999999998</v>
      </c>
      <c r="Q1097">
        <v>-44.866636</v>
      </c>
      <c r="R1097" s="2" t="str">
        <f>HYPERLINK("https://www.google.com/maps?q=-20.1695890,-44.8666360","Abrir no Google Maps")</f>
        <v>Abrir no Google Maps</v>
      </c>
      <c r="S1097">
        <v>3</v>
      </c>
      <c r="T1097">
        <v>326.02709617860302</v>
      </c>
      <c r="U1097">
        <v>4</v>
      </c>
      <c r="V1097">
        <v>29</v>
      </c>
      <c r="W1097">
        <v>1</v>
      </c>
      <c r="X1097">
        <v>29</v>
      </c>
      <c r="Y1097">
        <v>422</v>
      </c>
      <c r="Z1097">
        <v>333.05362278862168</v>
      </c>
      <c r="AA1097">
        <v>198</v>
      </c>
      <c r="AB1097">
        <v>332</v>
      </c>
      <c r="AC1097">
        <v>536</v>
      </c>
      <c r="AD1097">
        <v>29.96</v>
      </c>
      <c r="AE1097">
        <v>542</v>
      </c>
      <c r="AF1097">
        <v>29</v>
      </c>
      <c r="AG1097">
        <v>174</v>
      </c>
      <c r="AH1097">
        <v>129</v>
      </c>
      <c r="AI1097">
        <v>5.35</v>
      </c>
      <c r="AJ1097">
        <v>32.1</v>
      </c>
      <c r="AK1097">
        <v>23.8</v>
      </c>
      <c r="AL1097">
        <v>-20.16956104999997</v>
      </c>
      <c r="AM1097">
        <v>-44.866560528183591</v>
      </c>
      <c r="AN1097">
        <v>-20.16956104999997</v>
      </c>
      <c r="AO1097">
        <v>-44.866560528183591</v>
      </c>
      <c r="AP1097">
        <v>-20.169588999999998</v>
      </c>
      <c r="AQ1097">
        <v>-44.866636</v>
      </c>
      <c r="AR1097">
        <v>8.4778927137831293</v>
      </c>
      <c r="AS1097" t="s">
        <v>65</v>
      </c>
      <c r="AT1097">
        <v>1</v>
      </c>
      <c r="AU1097" t="s">
        <v>1026</v>
      </c>
      <c r="AV1097" t="s">
        <v>1027</v>
      </c>
      <c r="AW1097" t="s">
        <v>60</v>
      </c>
      <c r="AX1097" t="s">
        <v>68</v>
      </c>
      <c r="AY1097" t="s">
        <v>69</v>
      </c>
      <c r="AZ1097" t="b">
        <v>1</v>
      </c>
    </row>
    <row r="1098" spans="1:52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2128</v>
      </c>
      <c r="F1098" t="s">
        <v>190</v>
      </c>
      <c r="G1098" t="s">
        <v>1028</v>
      </c>
      <c r="H1098" t="s">
        <v>1029</v>
      </c>
      <c r="I1098" t="s">
        <v>1029</v>
      </c>
      <c r="J1098" t="s">
        <v>60</v>
      </c>
      <c r="K1098" t="s">
        <v>1016</v>
      </c>
      <c r="L1098" t="s">
        <v>62</v>
      </c>
      <c r="M1098" t="s">
        <v>1016</v>
      </c>
      <c r="N1098" t="s">
        <v>1030</v>
      </c>
      <c r="O1098" t="s">
        <v>855</v>
      </c>
      <c r="P1098">
        <v>-20.169778000000001</v>
      </c>
      <c r="Q1098">
        <v>-44.871940000000002</v>
      </c>
      <c r="R1098" s="2" t="str">
        <f>HYPERLINK("https://www.google.com/maps?q=-20.1697780,-44.8719400","Abrir no Google Maps")</f>
        <v>Abrir no Google Maps</v>
      </c>
      <c r="S1098">
        <v>3</v>
      </c>
      <c r="T1098">
        <v>730.45462447863167</v>
      </c>
      <c r="U1098">
        <v>4</v>
      </c>
      <c r="V1098">
        <v>23</v>
      </c>
      <c r="W1098">
        <v>1</v>
      </c>
      <c r="X1098">
        <v>23</v>
      </c>
      <c r="Y1098">
        <v>422</v>
      </c>
      <c r="Z1098">
        <v>600.74952959765801</v>
      </c>
      <c r="AA1098">
        <v>198</v>
      </c>
      <c r="AB1098">
        <v>332</v>
      </c>
      <c r="AC1098">
        <v>536</v>
      </c>
      <c r="AD1098">
        <v>29.96</v>
      </c>
      <c r="AE1098">
        <v>542</v>
      </c>
      <c r="AF1098">
        <v>29</v>
      </c>
      <c r="AG1098">
        <v>174</v>
      </c>
      <c r="AH1098">
        <v>129</v>
      </c>
      <c r="AI1098">
        <v>5.35</v>
      </c>
      <c r="AJ1098">
        <v>32.1</v>
      </c>
      <c r="AK1098">
        <v>23.8</v>
      </c>
      <c r="AL1098">
        <v>-20.169770599999961</v>
      </c>
      <c r="AM1098">
        <v>-44.871857291666629</v>
      </c>
      <c r="AN1098">
        <v>-20.169770599999961</v>
      </c>
      <c r="AO1098">
        <v>-44.871857291666629</v>
      </c>
      <c r="AP1098">
        <v>-20.169778000000001</v>
      </c>
      <c r="AQ1098">
        <v>-44.871940000000002</v>
      </c>
      <c r="AR1098">
        <v>8.6816379320830315</v>
      </c>
      <c r="AS1098" t="s">
        <v>65</v>
      </c>
      <c r="AT1098">
        <v>1</v>
      </c>
      <c r="AU1098" t="s">
        <v>1031</v>
      </c>
      <c r="AV1098" t="s">
        <v>1032</v>
      </c>
      <c r="AW1098" t="s">
        <v>60</v>
      </c>
      <c r="AX1098" t="s">
        <v>68</v>
      </c>
      <c r="AY1098" t="s">
        <v>69</v>
      </c>
      <c r="AZ1098" t="b">
        <v>1</v>
      </c>
    </row>
    <row r="1099" spans="1:52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2128</v>
      </c>
      <c r="F1099" t="s">
        <v>190</v>
      </c>
      <c r="G1099" t="s">
        <v>693</v>
      </c>
      <c r="H1099" t="s">
        <v>694</v>
      </c>
      <c r="I1099" t="s">
        <v>694</v>
      </c>
      <c r="J1099" t="s">
        <v>60</v>
      </c>
      <c r="K1099" t="s">
        <v>695</v>
      </c>
      <c r="L1099" t="s">
        <v>62</v>
      </c>
      <c r="M1099" t="s">
        <v>695</v>
      </c>
      <c r="N1099" t="s">
        <v>696</v>
      </c>
      <c r="O1099" t="s">
        <v>697</v>
      </c>
      <c r="P1099">
        <v>-20.174917000000001</v>
      </c>
      <c r="Q1099">
        <v>-44.857677000000002</v>
      </c>
      <c r="R1099" s="2" t="str">
        <f>HYPERLINK("https://www.google.com/maps?q=-20.1749170,-44.8576770","Abrir no Google Maps")</f>
        <v>Abrir no Google Maps</v>
      </c>
      <c r="S1099">
        <v>3</v>
      </c>
      <c r="T1099">
        <v>850.52349144267646</v>
      </c>
      <c r="U1099">
        <v>4</v>
      </c>
      <c r="V1099">
        <v>31</v>
      </c>
      <c r="W1099">
        <v>1</v>
      </c>
      <c r="X1099">
        <v>31</v>
      </c>
      <c r="Y1099">
        <v>422</v>
      </c>
      <c r="Z1099">
        <v>1042.4685698911451</v>
      </c>
      <c r="AA1099">
        <v>198</v>
      </c>
      <c r="AB1099">
        <v>332</v>
      </c>
      <c r="AC1099">
        <v>536</v>
      </c>
      <c r="AD1099">
        <v>29.96</v>
      </c>
      <c r="AE1099">
        <v>542</v>
      </c>
      <c r="AF1099">
        <v>29</v>
      </c>
      <c r="AG1099">
        <v>174</v>
      </c>
      <c r="AH1099">
        <v>129</v>
      </c>
      <c r="AI1099">
        <v>5.35</v>
      </c>
      <c r="AJ1099">
        <v>32.1</v>
      </c>
      <c r="AK1099">
        <v>23.8</v>
      </c>
      <c r="AL1099">
        <v>-20.17483459999994</v>
      </c>
      <c r="AM1099">
        <v>-44.857715667542379</v>
      </c>
      <c r="AN1099">
        <v>-20.17483459999994</v>
      </c>
      <c r="AO1099">
        <v>-44.857715667542379</v>
      </c>
      <c r="AP1099">
        <v>-20.174917000000001</v>
      </c>
      <c r="AQ1099">
        <v>-44.857677000000002</v>
      </c>
      <c r="AR1099">
        <v>10.02318555136439</v>
      </c>
      <c r="AS1099" t="s">
        <v>65</v>
      </c>
      <c r="AT1099">
        <v>1</v>
      </c>
      <c r="AU1099" t="s">
        <v>698</v>
      </c>
      <c r="AV1099" t="s">
        <v>699</v>
      </c>
      <c r="AW1099" t="s">
        <v>60</v>
      </c>
      <c r="AX1099" t="s">
        <v>68</v>
      </c>
      <c r="AY1099" t="s">
        <v>69</v>
      </c>
      <c r="AZ1099" t="b">
        <v>1</v>
      </c>
    </row>
    <row r="1100" spans="1:52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2128</v>
      </c>
      <c r="F1100" t="s">
        <v>190</v>
      </c>
      <c r="G1100" t="s">
        <v>1044</v>
      </c>
      <c r="H1100" t="s">
        <v>1045</v>
      </c>
      <c r="I1100" t="s">
        <v>1045</v>
      </c>
      <c r="J1100" t="s">
        <v>60</v>
      </c>
      <c r="K1100" t="s">
        <v>702</v>
      </c>
      <c r="L1100" t="s">
        <v>62</v>
      </c>
      <c r="M1100" t="s">
        <v>702</v>
      </c>
      <c r="N1100" t="s">
        <v>983</v>
      </c>
      <c r="O1100" t="s">
        <v>1046</v>
      </c>
      <c r="P1100">
        <v>-20.172056000000001</v>
      </c>
      <c r="Q1100">
        <v>-44.861556999999998</v>
      </c>
      <c r="R1100" s="2" t="str">
        <f>HYPERLINK("https://www.google.com/maps?q=-20.1720560,-44.8615570","Abrir no Google Maps")</f>
        <v>Abrir no Google Maps</v>
      </c>
      <c r="S1100">
        <v>3</v>
      </c>
      <c r="T1100">
        <v>387.50881633442719</v>
      </c>
      <c r="U1100">
        <v>4</v>
      </c>
      <c r="V1100">
        <v>24</v>
      </c>
      <c r="W1100">
        <v>1</v>
      </c>
      <c r="X1100">
        <v>24</v>
      </c>
      <c r="Y1100">
        <v>422</v>
      </c>
      <c r="Z1100">
        <v>592.01060063884404</v>
      </c>
      <c r="AA1100">
        <v>198</v>
      </c>
      <c r="AB1100">
        <v>332</v>
      </c>
      <c r="AC1100">
        <v>536</v>
      </c>
      <c r="AD1100">
        <v>29.96</v>
      </c>
      <c r="AE1100">
        <v>542</v>
      </c>
      <c r="AF1100">
        <v>29</v>
      </c>
      <c r="AG1100">
        <v>174</v>
      </c>
      <c r="AH1100">
        <v>129</v>
      </c>
      <c r="AI1100">
        <v>5.35</v>
      </c>
      <c r="AJ1100">
        <v>32.1</v>
      </c>
      <c r="AK1100">
        <v>23.8</v>
      </c>
      <c r="AL1100">
        <v>-20.171880149999961</v>
      </c>
      <c r="AM1100">
        <v>-44.861715860253369</v>
      </c>
      <c r="AN1100">
        <v>-20.171880149999961</v>
      </c>
      <c r="AO1100">
        <v>-44.861715860253369</v>
      </c>
      <c r="AP1100">
        <v>-20.172056000000001</v>
      </c>
      <c r="AQ1100">
        <v>-44.861556999999998</v>
      </c>
      <c r="AR1100">
        <v>25.66616443825145</v>
      </c>
      <c r="AS1100" t="s">
        <v>65</v>
      </c>
      <c r="AT1100">
        <v>1</v>
      </c>
      <c r="AU1100" t="s">
        <v>1047</v>
      </c>
      <c r="AV1100" t="s">
        <v>705</v>
      </c>
      <c r="AW1100" t="s">
        <v>60</v>
      </c>
      <c r="AX1100" t="s">
        <v>68</v>
      </c>
      <c r="AY1100" t="s">
        <v>69</v>
      </c>
      <c r="AZ1100" t="b">
        <v>1</v>
      </c>
    </row>
    <row r="1101" spans="1:52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2128</v>
      </c>
      <c r="F1101" t="s">
        <v>190</v>
      </c>
      <c r="G1101" t="s">
        <v>724</v>
      </c>
      <c r="H1101" t="s">
        <v>725</v>
      </c>
      <c r="I1101" t="s">
        <v>725</v>
      </c>
      <c r="J1101" t="s">
        <v>60</v>
      </c>
      <c r="K1101" t="s">
        <v>708</v>
      </c>
      <c r="L1101" t="s">
        <v>62</v>
      </c>
      <c r="M1101" t="s">
        <v>708</v>
      </c>
      <c r="N1101" t="s">
        <v>726</v>
      </c>
      <c r="O1101" t="s">
        <v>727</v>
      </c>
      <c r="P1101">
        <v>-20.131702000000001</v>
      </c>
      <c r="Q1101">
        <v>-44.873930999999999</v>
      </c>
      <c r="R1101" s="2" t="str">
        <f>HYPERLINK("https://www.google.com/maps?q=-20.1317020,-44.8739310","Abrir no Google Maps")</f>
        <v>Abrir no Google Maps</v>
      </c>
      <c r="S1101">
        <v>3</v>
      </c>
      <c r="T1101">
        <v>207.9085436463628</v>
      </c>
      <c r="U1101">
        <v>4</v>
      </c>
      <c r="V1101">
        <v>28</v>
      </c>
      <c r="W1101">
        <v>1</v>
      </c>
      <c r="X1101">
        <v>28</v>
      </c>
      <c r="Y1101">
        <v>387</v>
      </c>
      <c r="Z1101">
        <v>213.98086855276571</v>
      </c>
      <c r="AA1101">
        <v>198</v>
      </c>
      <c r="AB1101">
        <v>332</v>
      </c>
      <c r="AC1101">
        <v>536</v>
      </c>
      <c r="AD1101">
        <v>29.96</v>
      </c>
      <c r="AE1101">
        <v>542</v>
      </c>
      <c r="AF1101">
        <v>29</v>
      </c>
      <c r="AG1101">
        <v>174</v>
      </c>
      <c r="AH1101">
        <v>129</v>
      </c>
      <c r="AI1101">
        <v>5.35</v>
      </c>
      <c r="AJ1101">
        <v>32.1</v>
      </c>
      <c r="AK1101">
        <v>23.8</v>
      </c>
      <c r="AL1101">
        <v>-20.131807549999959</v>
      </c>
      <c r="AM1101">
        <v>-44.874039553784442</v>
      </c>
      <c r="AN1101">
        <v>-20.131807549999959</v>
      </c>
      <c r="AO1101">
        <v>-44.874039553784442</v>
      </c>
      <c r="AP1101">
        <v>-20.131702000000001</v>
      </c>
      <c r="AQ1101">
        <v>-44.873930999999999</v>
      </c>
      <c r="AR1101">
        <v>16.333643574998401</v>
      </c>
      <c r="AS1101" t="s">
        <v>65</v>
      </c>
      <c r="AT1101">
        <v>1</v>
      </c>
      <c r="AU1101" t="s">
        <v>728</v>
      </c>
      <c r="AV1101" t="s">
        <v>729</v>
      </c>
      <c r="AW1101" t="s">
        <v>60</v>
      </c>
      <c r="AX1101" t="s">
        <v>68</v>
      </c>
      <c r="AY1101" t="s">
        <v>69</v>
      </c>
      <c r="AZ1101" t="b">
        <v>1</v>
      </c>
    </row>
    <row r="1102" spans="1:52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2128</v>
      </c>
      <c r="F1102" t="s">
        <v>190</v>
      </c>
      <c r="G1102" t="s">
        <v>734</v>
      </c>
      <c r="H1102" t="s">
        <v>1064</v>
      </c>
      <c r="I1102" t="s">
        <v>1064</v>
      </c>
      <c r="J1102" t="s">
        <v>60</v>
      </c>
      <c r="K1102" t="s">
        <v>530</v>
      </c>
      <c r="L1102" t="s">
        <v>62</v>
      </c>
      <c r="M1102" t="s">
        <v>530</v>
      </c>
      <c r="N1102" t="s">
        <v>1060</v>
      </c>
      <c r="O1102" t="s">
        <v>1065</v>
      </c>
      <c r="P1102">
        <v>-20.102878</v>
      </c>
      <c r="Q1102">
        <v>-44.974297</v>
      </c>
      <c r="R1102" s="2" t="str">
        <f>HYPERLINK("https://www.google.com/maps?q=-20.1028780,-44.9742970","Abrir no Google Maps")</f>
        <v>Abrir no Google Maps</v>
      </c>
      <c r="S1102">
        <v>3</v>
      </c>
      <c r="T1102">
        <v>261.64376156647683</v>
      </c>
      <c r="U1102">
        <v>4</v>
      </c>
      <c r="V1102">
        <v>24</v>
      </c>
      <c r="W1102">
        <v>1</v>
      </c>
      <c r="X1102">
        <v>24</v>
      </c>
      <c r="Y1102">
        <v>385</v>
      </c>
      <c r="Z1102">
        <v>272.78931550338098</v>
      </c>
      <c r="AA1102">
        <v>198</v>
      </c>
      <c r="AB1102">
        <v>332</v>
      </c>
      <c r="AC1102">
        <v>536</v>
      </c>
      <c r="AD1102">
        <v>29.96</v>
      </c>
      <c r="AE1102">
        <v>542</v>
      </c>
      <c r="AF1102">
        <v>29</v>
      </c>
      <c r="AG1102">
        <v>174</v>
      </c>
      <c r="AH1102">
        <v>129</v>
      </c>
      <c r="AI1102">
        <v>5.35</v>
      </c>
      <c r="AJ1102">
        <v>32.1</v>
      </c>
      <c r="AK1102">
        <v>23.8</v>
      </c>
      <c r="AL1102">
        <v>-20.102914199999962</v>
      </c>
      <c r="AM1102">
        <v>-44.974700580584418</v>
      </c>
      <c r="AN1102">
        <v>-20.102914199999962</v>
      </c>
      <c r="AO1102">
        <v>-44.974700580584418</v>
      </c>
      <c r="AP1102">
        <v>-20.102878</v>
      </c>
      <c r="AQ1102">
        <v>-44.974297</v>
      </c>
      <c r="AR1102">
        <v>42.381535645626968</v>
      </c>
      <c r="AS1102" t="s">
        <v>65</v>
      </c>
      <c r="AT1102">
        <v>1</v>
      </c>
      <c r="AU1102" t="s">
        <v>1066</v>
      </c>
      <c r="AV1102" t="s">
        <v>1067</v>
      </c>
      <c r="AW1102" t="s">
        <v>60</v>
      </c>
      <c r="AX1102" t="s">
        <v>68</v>
      </c>
      <c r="AY1102" t="s">
        <v>69</v>
      </c>
      <c r="AZ1102" t="b">
        <v>1</v>
      </c>
    </row>
    <row r="1103" spans="1:52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2128</v>
      </c>
      <c r="F1103" t="s">
        <v>190</v>
      </c>
      <c r="G1103" t="s">
        <v>734</v>
      </c>
      <c r="H1103" t="s">
        <v>1068</v>
      </c>
      <c r="I1103" t="s">
        <v>1068</v>
      </c>
      <c r="J1103" t="s">
        <v>60</v>
      </c>
      <c r="K1103" t="s">
        <v>736</v>
      </c>
      <c r="L1103" t="s">
        <v>62</v>
      </c>
      <c r="M1103" t="s">
        <v>736</v>
      </c>
      <c r="N1103" t="s">
        <v>1069</v>
      </c>
      <c r="O1103" t="s">
        <v>1070</v>
      </c>
      <c r="P1103">
        <v>-20.110289999999999</v>
      </c>
      <c r="Q1103">
        <v>-44.981574000000002</v>
      </c>
      <c r="R1103" s="2" t="str">
        <f>HYPERLINK("https://www.google.com/maps?q=-20.1102900,-44.9815740","Abrir no Google Maps")</f>
        <v>Abrir no Google Maps</v>
      </c>
      <c r="S1103">
        <v>3</v>
      </c>
      <c r="T1103">
        <v>1081.8012210194311</v>
      </c>
      <c r="U1103">
        <v>4</v>
      </c>
      <c r="V1103">
        <v>34</v>
      </c>
      <c r="W1103">
        <v>1</v>
      </c>
      <c r="X1103">
        <v>34</v>
      </c>
      <c r="Y1103">
        <v>385</v>
      </c>
      <c r="Z1103">
        <v>1009.915869278438</v>
      </c>
      <c r="AA1103">
        <v>198</v>
      </c>
      <c r="AB1103">
        <v>332</v>
      </c>
      <c r="AC1103">
        <v>536</v>
      </c>
      <c r="AD1103">
        <v>29.96</v>
      </c>
      <c r="AE1103">
        <v>542</v>
      </c>
      <c r="AF1103">
        <v>29</v>
      </c>
      <c r="AG1103">
        <v>174</v>
      </c>
      <c r="AH1103">
        <v>129</v>
      </c>
      <c r="AI1103">
        <v>5.35</v>
      </c>
      <c r="AJ1103">
        <v>32.1</v>
      </c>
      <c r="AK1103">
        <v>23.8</v>
      </c>
      <c r="AL1103">
        <v>-20.110281699999941</v>
      </c>
      <c r="AM1103">
        <v>-44.98144213076452</v>
      </c>
      <c r="AN1103">
        <v>-20.110281699999941</v>
      </c>
      <c r="AO1103">
        <v>-44.98144213076452</v>
      </c>
      <c r="AP1103">
        <v>-20.110289999999999</v>
      </c>
      <c r="AQ1103">
        <v>-44.981574000000002</v>
      </c>
      <c r="AR1103">
        <v>13.815631287504781</v>
      </c>
      <c r="AS1103" t="s">
        <v>65</v>
      </c>
      <c r="AT1103">
        <v>1</v>
      </c>
      <c r="AU1103" t="s">
        <v>1071</v>
      </c>
      <c r="AV1103" t="s">
        <v>1072</v>
      </c>
      <c r="AW1103" t="s">
        <v>60</v>
      </c>
      <c r="AX1103" t="s">
        <v>68</v>
      </c>
      <c r="AY1103" t="s">
        <v>69</v>
      </c>
      <c r="AZ1103" t="b">
        <v>1</v>
      </c>
    </row>
    <row r="1104" spans="1:52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2128</v>
      </c>
      <c r="F1104" t="s">
        <v>190</v>
      </c>
      <c r="G1104" t="s">
        <v>1077</v>
      </c>
      <c r="H1104" t="s">
        <v>1078</v>
      </c>
      <c r="I1104" t="s">
        <v>1078</v>
      </c>
      <c r="J1104" t="s">
        <v>60</v>
      </c>
      <c r="K1104" t="s">
        <v>761</v>
      </c>
      <c r="L1104" t="s">
        <v>62</v>
      </c>
      <c r="M1104" t="s">
        <v>761</v>
      </c>
      <c r="N1104" t="s">
        <v>1079</v>
      </c>
      <c r="O1104" t="s">
        <v>1080</v>
      </c>
      <c r="P1104">
        <v>-20.119579999999999</v>
      </c>
      <c r="Q1104">
        <v>-44.855030999999997</v>
      </c>
      <c r="R1104" s="2" t="str">
        <f>HYPERLINK("https://www.google.com/maps?q=-20.1195800,-44.8550310","Abrir no Google Maps")</f>
        <v>Abrir no Google Maps</v>
      </c>
      <c r="S1104">
        <v>3</v>
      </c>
      <c r="T1104">
        <v>800.32085104254202</v>
      </c>
      <c r="U1104">
        <v>4</v>
      </c>
      <c r="V1104">
        <v>27</v>
      </c>
      <c r="W1104">
        <v>1</v>
      </c>
      <c r="X1104">
        <v>27</v>
      </c>
      <c r="Y1104">
        <v>350</v>
      </c>
      <c r="Z1104">
        <v>431.56201899267722</v>
      </c>
      <c r="AA1104">
        <v>198</v>
      </c>
      <c r="AB1104">
        <v>332</v>
      </c>
      <c r="AC1104">
        <v>536</v>
      </c>
      <c r="AD1104">
        <v>29.96</v>
      </c>
      <c r="AE1104">
        <v>542</v>
      </c>
      <c r="AF1104">
        <v>29</v>
      </c>
      <c r="AG1104">
        <v>174</v>
      </c>
      <c r="AH1104">
        <v>129</v>
      </c>
      <c r="AI1104">
        <v>5.35</v>
      </c>
      <c r="AJ1104">
        <v>32.1</v>
      </c>
      <c r="AK1104">
        <v>23.8</v>
      </c>
      <c r="AL1104">
        <v>-20.119806999999948</v>
      </c>
      <c r="AM1104">
        <v>-44.855901548391778</v>
      </c>
      <c r="AN1104">
        <v>-20.119806999999948</v>
      </c>
      <c r="AO1104">
        <v>-44.855901548391778</v>
      </c>
      <c r="AP1104">
        <v>-20.119579999999999</v>
      </c>
      <c r="AQ1104">
        <v>-44.855030999999997</v>
      </c>
      <c r="AR1104">
        <v>94.439141250965164</v>
      </c>
      <c r="AS1104" t="s">
        <v>65</v>
      </c>
      <c r="AT1104">
        <v>1</v>
      </c>
      <c r="AU1104" t="s">
        <v>1081</v>
      </c>
      <c r="AV1104" t="s">
        <v>1082</v>
      </c>
      <c r="AW1104" t="s">
        <v>60</v>
      </c>
      <c r="AX1104" t="s">
        <v>68</v>
      </c>
      <c r="AY1104" t="s">
        <v>69</v>
      </c>
      <c r="AZ1104" t="b">
        <v>1</v>
      </c>
    </row>
    <row r="1105" spans="1:52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2128</v>
      </c>
      <c r="F1105" t="s">
        <v>190</v>
      </c>
      <c r="G1105" t="s">
        <v>1083</v>
      </c>
      <c r="H1105" t="s">
        <v>1084</v>
      </c>
      <c r="I1105" t="s">
        <v>1084</v>
      </c>
      <c r="J1105" t="s">
        <v>60</v>
      </c>
      <c r="K1105" t="s">
        <v>761</v>
      </c>
      <c r="L1105" t="s">
        <v>62</v>
      </c>
      <c r="M1105" t="s">
        <v>761</v>
      </c>
      <c r="N1105" t="s">
        <v>1085</v>
      </c>
      <c r="O1105" t="s">
        <v>1086</v>
      </c>
      <c r="P1105">
        <v>-20.124312</v>
      </c>
      <c r="Q1105">
        <v>-44.850425000000001</v>
      </c>
      <c r="R1105" s="2" t="str">
        <f>HYPERLINK("https://www.google.com/maps?q=-20.1243120,-44.8504250","Abrir no Google Maps")</f>
        <v>Abrir no Google Maps</v>
      </c>
      <c r="S1105">
        <v>3</v>
      </c>
      <c r="T1105">
        <v>0</v>
      </c>
      <c r="U1105">
        <v>4</v>
      </c>
      <c r="V1105">
        <v>32</v>
      </c>
      <c r="W1105">
        <v>1</v>
      </c>
      <c r="X1105">
        <v>32</v>
      </c>
      <c r="Y1105">
        <v>350</v>
      </c>
      <c r="Z1105">
        <v>380.24040721202471</v>
      </c>
      <c r="AA1105">
        <v>198</v>
      </c>
      <c r="AB1105">
        <v>332</v>
      </c>
      <c r="AC1105">
        <v>536</v>
      </c>
      <c r="AD1105">
        <v>29.96</v>
      </c>
      <c r="AE1105">
        <v>542</v>
      </c>
      <c r="AF1105">
        <v>29</v>
      </c>
      <c r="AG1105">
        <v>174</v>
      </c>
      <c r="AH1105">
        <v>129</v>
      </c>
      <c r="AI1105">
        <v>5.35</v>
      </c>
      <c r="AJ1105">
        <v>32.1</v>
      </c>
      <c r="AK1105">
        <v>23.8</v>
      </c>
      <c r="AL1105">
        <v>-20.126267499999951</v>
      </c>
      <c r="AM1105">
        <v>-44.852460192840908</v>
      </c>
      <c r="AN1105">
        <v>-20.126267499999951</v>
      </c>
      <c r="AO1105">
        <v>-44.852460192840908</v>
      </c>
      <c r="AP1105">
        <v>-20.124312</v>
      </c>
      <c r="AQ1105">
        <v>-44.850425000000001</v>
      </c>
      <c r="AR1105">
        <v>304.36574074135672</v>
      </c>
      <c r="AS1105" t="s">
        <v>65</v>
      </c>
      <c r="AT1105">
        <v>1</v>
      </c>
      <c r="AU1105" t="s">
        <v>1087</v>
      </c>
      <c r="AV1105" t="s">
        <v>1088</v>
      </c>
      <c r="AW1105" t="s">
        <v>60</v>
      </c>
      <c r="AX1105" t="s">
        <v>68</v>
      </c>
      <c r="AY1105" t="s">
        <v>69</v>
      </c>
      <c r="AZ1105" t="b">
        <v>1</v>
      </c>
    </row>
    <row r="1106" spans="1:52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2128</v>
      </c>
      <c r="F1106" t="s">
        <v>190</v>
      </c>
      <c r="G1106" t="s">
        <v>1094</v>
      </c>
      <c r="H1106" t="s">
        <v>1095</v>
      </c>
      <c r="I1106" t="s">
        <v>1095</v>
      </c>
      <c r="J1106" t="s">
        <v>60</v>
      </c>
      <c r="K1106" t="s">
        <v>761</v>
      </c>
      <c r="L1106" t="s">
        <v>62</v>
      </c>
      <c r="M1106" t="s">
        <v>761</v>
      </c>
      <c r="N1106" t="s">
        <v>1096</v>
      </c>
      <c r="O1106" t="s">
        <v>1070</v>
      </c>
      <c r="P1106">
        <v>-20.122955999999999</v>
      </c>
      <c r="Q1106">
        <v>-44.847842</v>
      </c>
      <c r="R1106" s="2" t="str">
        <f>HYPERLINK("https://www.google.com/maps?q=-20.1229560,-44.8478420","Abrir no Google Maps")</f>
        <v>Abrir no Google Maps</v>
      </c>
      <c r="S1106">
        <v>3</v>
      </c>
      <c r="T1106">
        <v>611.23533866709147</v>
      </c>
      <c r="U1106">
        <v>4</v>
      </c>
      <c r="V1106">
        <v>27</v>
      </c>
      <c r="W1106">
        <v>1</v>
      </c>
      <c r="X1106">
        <v>27</v>
      </c>
      <c r="Y1106">
        <v>350</v>
      </c>
      <c r="Z1106">
        <v>567.3129443637539</v>
      </c>
      <c r="AA1106">
        <v>198</v>
      </c>
      <c r="AB1106">
        <v>332</v>
      </c>
      <c r="AC1106">
        <v>536</v>
      </c>
      <c r="AD1106">
        <v>29.96</v>
      </c>
      <c r="AE1106">
        <v>542</v>
      </c>
      <c r="AF1106">
        <v>29</v>
      </c>
      <c r="AG1106">
        <v>174</v>
      </c>
      <c r="AH1106">
        <v>129</v>
      </c>
      <c r="AI1106">
        <v>5.35</v>
      </c>
      <c r="AJ1106">
        <v>32.1</v>
      </c>
      <c r="AK1106">
        <v>23.8</v>
      </c>
      <c r="AL1106">
        <v>-20.122854299999972</v>
      </c>
      <c r="AM1106">
        <v>-44.847862495675152</v>
      </c>
      <c r="AN1106">
        <v>-20.122854299999972</v>
      </c>
      <c r="AO1106">
        <v>-44.847862495675152</v>
      </c>
      <c r="AP1106">
        <v>-20.122955999999999</v>
      </c>
      <c r="AQ1106">
        <v>-44.847842</v>
      </c>
      <c r="AR1106">
        <v>11.522154044835331</v>
      </c>
      <c r="AS1106" t="s">
        <v>65</v>
      </c>
      <c r="AT1106">
        <v>1</v>
      </c>
      <c r="AU1106" t="s">
        <v>1097</v>
      </c>
      <c r="AV1106" t="s">
        <v>1098</v>
      </c>
      <c r="AW1106" t="s">
        <v>60</v>
      </c>
      <c r="AX1106" t="s">
        <v>68</v>
      </c>
      <c r="AY1106" t="s">
        <v>69</v>
      </c>
      <c r="AZ1106" t="b">
        <v>1</v>
      </c>
    </row>
    <row r="1107" spans="1:52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2128</v>
      </c>
      <c r="F1107" t="s">
        <v>190</v>
      </c>
      <c r="G1107" t="s">
        <v>1104</v>
      </c>
      <c r="H1107" t="s">
        <v>1105</v>
      </c>
      <c r="I1107" t="s">
        <v>1105</v>
      </c>
      <c r="J1107" t="s">
        <v>60</v>
      </c>
      <c r="K1107" t="s">
        <v>781</v>
      </c>
      <c r="L1107" t="s">
        <v>62</v>
      </c>
      <c r="M1107" t="s">
        <v>781</v>
      </c>
      <c r="N1107" t="s">
        <v>1106</v>
      </c>
      <c r="O1107" t="s">
        <v>1080</v>
      </c>
      <c r="P1107">
        <v>-20.138683</v>
      </c>
      <c r="Q1107">
        <v>-44.868507999999999</v>
      </c>
      <c r="R1107" s="2" t="str">
        <f>HYPERLINK("https://www.google.com/maps?q=-20.1386830,-44.8685080","Abrir no Google Maps")</f>
        <v>Abrir no Google Maps</v>
      </c>
      <c r="S1107">
        <v>3</v>
      </c>
      <c r="T1107">
        <v>450.88210098833099</v>
      </c>
      <c r="U1107">
        <v>4</v>
      </c>
      <c r="V1107">
        <v>33</v>
      </c>
      <c r="W1107">
        <v>1</v>
      </c>
      <c r="X1107">
        <v>33</v>
      </c>
      <c r="Y1107">
        <v>332</v>
      </c>
      <c r="Z1107">
        <v>601.27669048153166</v>
      </c>
      <c r="AA1107">
        <v>198</v>
      </c>
      <c r="AB1107">
        <v>332</v>
      </c>
      <c r="AC1107">
        <v>536</v>
      </c>
      <c r="AD1107">
        <v>29.96</v>
      </c>
      <c r="AE1107">
        <v>542</v>
      </c>
      <c r="AF1107">
        <v>29</v>
      </c>
      <c r="AG1107">
        <v>174</v>
      </c>
      <c r="AH1107">
        <v>129</v>
      </c>
      <c r="AI1107">
        <v>5.35</v>
      </c>
      <c r="AJ1107">
        <v>32.1</v>
      </c>
      <c r="AK1107">
        <v>23.8</v>
      </c>
      <c r="AL1107">
        <v>-20.13870544999995</v>
      </c>
      <c r="AM1107">
        <v>-44.868521774012208</v>
      </c>
      <c r="AN1107">
        <v>-20.138705449999939</v>
      </c>
      <c r="AO1107">
        <v>-44.868521774012208</v>
      </c>
      <c r="AP1107">
        <v>-20.138683</v>
      </c>
      <c r="AQ1107">
        <v>-44.868507999999999</v>
      </c>
      <c r="AR1107">
        <v>2.8841042175322271</v>
      </c>
      <c r="AS1107" t="s">
        <v>65</v>
      </c>
      <c r="AT1107">
        <v>1</v>
      </c>
      <c r="AU1107" t="s">
        <v>1107</v>
      </c>
      <c r="AV1107" t="s">
        <v>1108</v>
      </c>
      <c r="AW1107" t="s">
        <v>60</v>
      </c>
      <c r="AX1107" t="s">
        <v>68</v>
      </c>
      <c r="AY1107" t="s">
        <v>69</v>
      </c>
      <c r="AZ1107" t="b">
        <v>1</v>
      </c>
    </row>
    <row r="1108" spans="1:52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2128</v>
      </c>
      <c r="F1108" t="s">
        <v>190</v>
      </c>
      <c r="G1108" t="s">
        <v>1121</v>
      </c>
      <c r="H1108" t="s">
        <v>1122</v>
      </c>
      <c r="I1108" t="s">
        <v>1122</v>
      </c>
      <c r="J1108" t="s">
        <v>60</v>
      </c>
      <c r="K1108" t="s">
        <v>1123</v>
      </c>
      <c r="L1108" t="s">
        <v>62</v>
      </c>
      <c r="M1108" t="s">
        <v>1123</v>
      </c>
      <c r="N1108" t="s">
        <v>1124</v>
      </c>
      <c r="O1108" t="s">
        <v>74</v>
      </c>
      <c r="P1108">
        <v>-20.105318</v>
      </c>
      <c r="Q1108">
        <v>-44.879216</v>
      </c>
      <c r="R1108" s="2" t="str">
        <f>HYPERLINK("https://www.google.com/maps?q=-20.1053180,-44.8792160","Abrir no Google Maps")</f>
        <v>Abrir no Google Maps</v>
      </c>
      <c r="S1108">
        <v>3</v>
      </c>
      <c r="T1108">
        <v>318.57668516180911</v>
      </c>
      <c r="U1108">
        <v>4</v>
      </c>
      <c r="V1108">
        <v>26</v>
      </c>
      <c r="W1108">
        <v>1</v>
      </c>
      <c r="X1108">
        <v>26</v>
      </c>
      <c r="Y1108">
        <v>314</v>
      </c>
      <c r="Z1108">
        <v>207.50829098881519</v>
      </c>
      <c r="AA1108">
        <v>198</v>
      </c>
      <c r="AB1108">
        <v>332</v>
      </c>
      <c r="AC1108">
        <v>536</v>
      </c>
      <c r="AD1108">
        <v>29.96</v>
      </c>
      <c r="AE1108">
        <v>542</v>
      </c>
      <c r="AF1108">
        <v>29</v>
      </c>
      <c r="AG1108">
        <v>174</v>
      </c>
      <c r="AH1108">
        <v>129</v>
      </c>
      <c r="AI1108">
        <v>5.35</v>
      </c>
      <c r="AJ1108">
        <v>32.1</v>
      </c>
      <c r="AK1108">
        <v>23.8</v>
      </c>
      <c r="AL1108">
        <v>-20.105361049999939</v>
      </c>
      <c r="AM1108">
        <v>-44.87924613740698</v>
      </c>
      <c r="AN1108">
        <v>-20.105361049999939</v>
      </c>
      <c r="AO1108">
        <v>-44.87924613740698</v>
      </c>
      <c r="AP1108">
        <v>-20.105318</v>
      </c>
      <c r="AQ1108">
        <v>-44.879216</v>
      </c>
      <c r="AR1108">
        <v>5.7351338374851242</v>
      </c>
      <c r="AS1108" t="s">
        <v>65</v>
      </c>
      <c r="AT1108">
        <v>1</v>
      </c>
      <c r="AU1108" t="s">
        <v>1125</v>
      </c>
      <c r="AV1108" t="s">
        <v>1126</v>
      </c>
      <c r="AW1108" t="s">
        <v>60</v>
      </c>
      <c r="AX1108" t="s">
        <v>68</v>
      </c>
      <c r="AY1108" t="s">
        <v>69</v>
      </c>
      <c r="AZ1108" t="b">
        <v>1</v>
      </c>
    </row>
    <row r="1109" spans="1:52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2128</v>
      </c>
      <c r="F1109" t="s">
        <v>190</v>
      </c>
      <c r="G1109" t="s">
        <v>1127</v>
      </c>
      <c r="H1109" t="s">
        <v>1128</v>
      </c>
      <c r="I1109" t="s">
        <v>1128</v>
      </c>
      <c r="J1109" t="s">
        <v>60</v>
      </c>
      <c r="K1109" t="s">
        <v>1129</v>
      </c>
      <c r="L1109" t="s">
        <v>62</v>
      </c>
      <c r="M1109" t="s">
        <v>1129</v>
      </c>
      <c r="N1109" t="s">
        <v>1130</v>
      </c>
      <c r="O1109" t="s">
        <v>357</v>
      </c>
      <c r="P1109">
        <v>-20.106638</v>
      </c>
      <c r="Q1109">
        <v>-44.883538000000001</v>
      </c>
      <c r="R1109" s="2" t="str">
        <f>HYPERLINK("https://www.google.com/maps?q=-20.1066380,-44.8835380","Abrir no Google Maps")</f>
        <v>Abrir no Google Maps</v>
      </c>
      <c r="S1109">
        <v>3</v>
      </c>
      <c r="T1109">
        <v>754.03514396665969</v>
      </c>
      <c r="U1109">
        <v>4</v>
      </c>
      <c r="V1109">
        <v>35</v>
      </c>
      <c r="W1109">
        <v>1</v>
      </c>
      <c r="X1109">
        <v>35</v>
      </c>
      <c r="Y1109">
        <v>314</v>
      </c>
      <c r="Z1109">
        <v>584.1161650721092</v>
      </c>
      <c r="AA1109">
        <v>198</v>
      </c>
      <c r="AB1109">
        <v>332</v>
      </c>
      <c r="AC1109">
        <v>536</v>
      </c>
      <c r="AD1109">
        <v>29.96</v>
      </c>
      <c r="AE1109">
        <v>542</v>
      </c>
      <c r="AF1109">
        <v>29</v>
      </c>
      <c r="AG1109">
        <v>174</v>
      </c>
      <c r="AH1109">
        <v>129</v>
      </c>
      <c r="AI1109">
        <v>5.35</v>
      </c>
      <c r="AJ1109">
        <v>32.1</v>
      </c>
      <c r="AK1109">
        <v>23.8</v>
      </c>
      <c r="AL1109">
        <v>-20.106599599999949</v>
      </c>
      <c r="AM1109">
        <v>-44.883527947279568</v>
      </c>
      <c r="AN1109">
        <v>-20.106599599999949</v>
      </c>
      <c r="AO1109">
        <v>-44.883527947279568</v>
      </c>
      <c r="AP1109">
        <v>-20.106638</v>
      </c>
      <c r="AQ1109">
        <v>-44.883538000000001</v>
      </c>
      <c r="AR1109">
        <v>4.4019630384815924</v>
      </c>
      <c r="AS1109" t="s">
        <v>65</v>
      </c>
      <c r="AT1109">
        <v>1</v>
      </c>
      <c r="AU1109" t="s">
        <v>1131</v>
      </c>
      <c r="AV1109" t="s">
        <v>1132</v>
      </c>
      <c r="AW1109" t="s">
        <v>60</v>
      </c>
      <c r="AX1109" t="s">
        <v>68</v>
      </c>
      <c r="AY1109" t="s">
        <v>69</v>
      </c>
      <c r="AZ1109" t="b">
        <v>1</v>
      </c>
    </row>
    <row r="1110" spans="1:52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2128</v>
      </c>
      <c r="F1110" t="s">
        <v>190</v>
      </c>
      <c r="G1110" t="s">
        <v>1923</v>
      </c>
      <c r="H1110" t="s">
        <v>1924</v>
      </c>
      <c r="I1110" t="s">
        <v>1924</v>
      </c>
      <c r="J1110" t="s">
        <v>60</v>
      </c>
      <c r="K1110" t="s">
        <v>1925</v>
      </c>
      <c r="L1110" t="s">
        <v>62</v>
      </c>
      <c r="M1110" t="s">
        <v>1925</v>
      </c>
      <c r="N1110" t="s">
        <v>1184</v>
      </c>
      <c r="O1110" t="s">
        <v>1926</v>
      </c>
      <c r="P1110">
        <v>-20.110175999999999</v>
      </c>
      <c r="Q1110">
        <v>-44.878174000000001</v>
      </c>
      <c r="R1110" s="2" t="str">
        <f>HYPERLINK("https://www.google.com/maps?q=-20.1101760,-44.8781740","Abrir no Google Maps")</f>
        <v>Abrir no Google Maps</v>
      </c>
      <c r="S1110">
        <v>3</v>
      </c>
      <c r="T1110">
        <v>483.09360915139621</v>
      </c>
      <c r="U1110">
        <v>4</v>
      </c>
      <c r="V1110">
        <v>25</v>
      </c>
      <c r="W1110">
        <v>0.85</v>
      </c>
      <c r="X1110">
        <v>21.25</v>
      </c>
      <c r="Y1110">
        <v>314</v>
      </c>
      <c r="Z1110">
        <v>570.40116580928134</v>
      </c>
      <c r="AA1110">
        <v>198</v>
      </c>
      <c r="AB1110">
        <v>332</v>
      </c>
      <c r="AC1110">
        <v>536</v>
      </c>
      <c r="AD1110">
        <v>29.96</v>
      </c>
      <c r="AE1110">
        <v>542</v>
      </c>
      <c r="AF1110">
        <v>29</v>
      </c>
      <c r="AG1110">
        <v>174</v>
      </c>
      <c r="AH1110">
        <v>129</v>
      </c>
      <c r="AI1110">
        <v>5.35</v>
      </c>
      <c r="AJ1110">
        <v>32.1</v>
      </c>
      <c r="AK1110">
        <v>23.8</v>
      </c>
      <c r="AL1110">
        <v>-20.110151299999959</v>
      </c>
      <c r="AM1110">
        <v>-44.878270449999967</v>
      </c>
      <c r="AN1110">
        <v>-20.110151299999959</v>
      </c>
      <c r="AO1110">
        <v>-44.878270449999967</v>
      </c>
      <c r="AP1110">
        <v>-20.110175999999999</v>
      </c>
      <c r="AQ1110">
        <v>-44.878174000000001</v>
      </c>
      <c r="AR1110">
        <v>10.450435955197751</v>
      </c>
      <c r="AS1110" t="s">
        <v>65</v>
      </c>
      <c r="AT1110">
        <v>1</v>
      </c>
      <c r="AU1110" t="s">
        <v>1927</v>
      </c>
      <c r="AV1110" t="s">
        <v>1928</v>
      </c>
      <c r="AW1110" t="s">
        <v>60</v>
      </c>
      <c r="AX1110" t="s">
        <v>68</v>
      </c>
      <c r="AY1110" t="s">
        <v>69</v>
      </c>
      <c r="AZ1110" t="b">
        <v>1</v>
      </c>
    </row>
    <row r="1111" spans="1:52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2128</v>
      </c>
      <c r="F1111" t="s">
        <v>190</v>
      </c>
      <c r="G1111" t="s">
        <v>1147</v>
      </c>
      <c r="H1111" t="s">
        <v>1148</v>
      </c>
      <c r="I1111" t="s">
        <v>1148</v>
      </c>
      <c r="J1111" t="s">
        <v>60</v>
      </c>
      <c r="K1111" t="s">
        <v>798</v>
      </c>
      <c r="L1111" t="s">
        <v>62</v>
      </c>
      <c r="M1111" t="s">
        <v>798</v>
      </c>
      <c r="N1111" t="s">
        <v>1149</v>
      </c>
      <c r="O1111" t="s">
        <v>836</v>
      </c>
      <c r="P1111">
        <v>-20.112448000000001</v>
      </c>
      <c r="Q1111">
        <v>-44.904887000000002</v>
      </c>
      <c r="R1111" s="2" t="str">
        <f>HYPERLINK("https://www.google.com/maps?q=-20.1124480,-44.9048870","Abrir no Google Maps")</f>
        <v>Abrir no Google Maps</v>
      </c>
      <c r="S1111">
        <v>3</v>
      </c>
      <c r="T1111">
        <v>404.16588765758058</v>
      </c>
      <c r="U1111">
        <v>4</v>
      </c>
      <c r="V1111">
        <v>21</v>
      </c>
      <c r="W1111">
        <v>1</v>
      </c>
      <c r="X1111">
        <v>21</v>
      </c>
      <c r="Y1111">
        <v>300</v>
      </c>
      <c r="Z1111">
        <v>435.21165957304731</v>
      </c>
      <c r="AA1111">
        <v>198</v>
      </c>
      <c r="AB1111">
        <v>332</v>
      </c>
      <c r="AC1111">
        <v>536</v>
      </c>
      <c r="AD1111">
        <v>29.96</v>
      </c>
      <c r="AE1111">
        <v>542</v>
      </c>
      <c r="AF1111">
        <v>29</v>
      </c>
      <c r="AG1111">
        <v>174</v>
      </c>
      <c r="AH1111">
        <v>129</v>
      </c>
      <c r="AI1111">
        <v>5.35</v>
      </c>
      <c r="AJ1111">
        <v>32.1</v>
      </c>
      <c r="AK1111">
        <v>23.8</v>
      </c>
      <c r="AL1111">
        <v>-20.11243479999996</v>
      </c>
      <c r="AM1111">
        <v>-44.904803228053026</v>
      </c>
      <c r="AN1111">
        <v>-20.11243479999996</v>
      </c>
      <c r="AO1111">
        <v>-44.904803228053026</v>
      </c>
      <c r="AP1111">
        <v>-20.112448000000001</v>
      </c>
      <c r="AQ1111">
        <v>-44.904887000000002</v>
      </c>
      <c r="AR1111">
        <v>8.8792525353759544</v>
      </c>
      <c r="AS1111" t="s">
        <v>65</v>
      </c>
      <c r="AT1111">
        <v>1</v>
      </c>
      <c r="AU1111" t="s">
        <v>1150</v>
      </c>
      <c r="AV1111" t="s">
        <v>1151</v>
      </c>
      <c r="AW1111" t="s">
        <v>60</v>
      </c>
      <c r="AX1111" t="s">
        <v>68</v>
      </c>
      <c r="AY1111" t="s">
        <v>69</v>
      </c>
      <c r="AZ1111" t="b">
        <v>1</v>
      </c>
    </row>
    <row r="1112" spans="1:52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2128</v>
      </c>
      <c r="F1112" t="s">
        <v>190</v>
      </c>
      <c r="G1112" t="s">
        <v>1763</v>
      </c>
      <c r="H1112" t="s">
        <v>1764</v>
      </c>
      <c r="I1112" t="s">
        <v>1764</v>
      </c>
      <c r="J1112" t="s">
        <v>60</v>
      </c>
      <c r="K1112" t="s">
        <v>798</v>
      </c>
      <c r="L1112" t="s">
        <v>62</v>
      </c>
      <c r="M1112" t="s">
        <v>798</v>
      </c>
      <c r="N1112" t="s">
        <v>1765</v>
      </c>
      <c r="O1112" t="s">
        <v>1766</v>
      </c>
      <c r="P1112">
        <v>-20.111158</v>
      </c>
      <c r="Q1112">
        <v>-44.901231000000003</v>
      </c>
      <c r="R1112" s="2" t="str">
        <f>HYPERLINK("https://www.google.com/maps?q=-20.1111580,-44.9012310","Abrir no Google Maps")</f>
        <v>Abrir no Google Maps</v>
      </c>
      <c r="S1112">
        <v>3</v>
      </c>
      <c r="T1112">
        <v>0</v>
      </c>
      <c r="U1112">
        <v>4</v>
      </c>
      <c r="V1112">
        <v>24</v>
      </c>
      <c r="W1112">
        <v>1</v>
      </c>
      <c r="X1112">
        <v>24</v>
      </c>
      <c r="Y1112">
        <v>300</v>
      </c>
      <c r="Z1112">
        <v>159.5707781627477</v>
      </c>
      <c r="AA1112">
        <v>198</v>
      </c>
      <c r="AB1112">
        <v>332</v>
      </c>
      <c r="AC1112">
        <v>536</v>
      </c>
      <c r="AD1112">
        <v>29.96</v>
      </c>
      <c r="AE1112">
        <v>542</v>
      </c>
      <c r="AF1112">
        <v>29</v>
      </c>
      <c r="AG1112">
        <v>174</v>
      </c>
      <c r="AH1112">
        <v>129</v>
      </c>
      <c r="AI1112">
        <v>5.35</v>
      </c>
      <c r="AJ1112">
        <v>32.1</v>
      </c>
      <c r="AK1112">
        <v>23.8</v>
      </c>
      <c r="AL1112">
        <v>-20.111381299999941</v>
      </c>
      <c r="AM1112">
        <v>-44.90110111260114</v>
      </c>
      <c r="AN1112">
        <v>-20.111381299999941</v>
      </c>
      <c r="AO1112">
        <v>-44.90110111260114</v>
      </c>
      <c r="AP1112">
        <v>-20.111158</v>
      </c>
      <c r="AQ1112">
        <v>-44.901231000000003</v>
      </c>
      <c r="AR1112">
        <v>28.32410367036935</v>
      </c>
      <c r="AS1112" t="s">
        <v>65</v>
      </c>
      <c r="AT1112">
        <v>1</v>
      </c>
      <c r="AU1112" t="s">
        <v>1767</v>
      </c>
      <c r="AV1112" t="s">
        <v>1768</v>
      </c>
      <c r="AW1112" t="s">
        <v>60</v>
      </c>
      <c r="AX1112" t="s">
        <v>68</v>
      </c>
      <c r="AY1112" t="s">
        <v>69</v>
      </c>
      <c r="AZ1112" t="b">
        <v>1</v>
      </c>
    </row>
    <row r="1113" spans="1:52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2128</v>
      </c>
      <c r="F1113" t="s">
        <v>190</v>
      </c>
      <c r="G1113" t="s">
        <v>1152</v>
      </c>
      <c r="H1113" t="s">
        <v>1153</v>
      </c>
      <c r="I1113" t="s">
        <v>1153</v>
      </c>
      <c r="J1113" t="s">
        <v>60</v>
      </c>
      <c r="K1113" t="s">
        <v>798</v>
      </c>
      <c r="L1113" t="s">
        <v>62</v>
      </c>
      <c r="M1113" t="s">
        <v>798</v>
      </c>
      <c r="N1113" t="s">
        <v>1154</v>
      </c>
      <c r="O1113" t="s">
        <v>293</v>
      </c>
      <c r="P1113">
        <v>-20.112477999999999</v>
      </c>
      <c r="Q1113">
        <v>-44.903066000000003</v>
      </c>
      <c r="R1113" s="2" t="str">
        <f>HYPERLINK("https://www.google.com/maps?q=-20.1124780,-44.9030660","Abrir no Google Maps")</f>
        <v>Abrir no Google Maps</v>
      </c>
      <c r="S1113">
        <v>3</v>
      </c>
      <c r="T1113">
        <v>246.8131690803576</v>
      </c>
      <c r="U1113">
        <v>4</v>
      </c>
      <c r="V1113">
        <v>27</v>
      </c>
      <c r="W1113">
        <v>1</v>
      </c>
      <c r="X1113">
        <v>27</v>
      </c>
      <c r="Y1113">
        <v>300</v>
      </c>
      <c r="Z1113">
        <v>335.63974056009812</v>
      </c>
      <c r="AA1113">
        <v>198</v>
      </c>
      <c r="AB1113">
        <v>332</v>
      </c>
      <c r="AC1113">
        <v>536</v>
      </c>
      <c r="AD1113">
        <v>29.96</v>
      </c>
      <c r="AE1113">
        <v>542</v>
      </c>
      <c r="AF1113">
        <v>29</v>
      </c>
      <c r="AG1113">
        <v>174</v>
      </c>
      <c r="AH1113">
        <v>129</v>
      </c>
      <c r="AI1113">
        <v>5.35</v>
      </c>
      <c r="AJ1113">
        <v>32.1</v>
      </c>
      <c r="AK1113">
        <v>23.8</v>
      </c>
      <c r="AL1113">
        <v>-20.112499949999972</v>
      </c>
      <c r="AM1113">
        <v>-44.903143791889391</v>
      </c>
      <c r="AN1113">
        <v>-20.112499949999972</v>
      </c>
      <c r="AO1113">
        <v>-44.903143791889391</v>
      </c>
      <c r="AP1113">
        <v>-20.112477999999999</v>
      </c>
      <c r="AQ1113">
        <v>-44.903066000000003</v>
      </c>
      <c r="AR1113">
        <v>8.4908959019572912</v>
      </c>
      <c r="AS1113" t="s">
        <v>65</v>
      </c>
      <c r="AT1113">
        <v>1</v>
      </c>
      <c r="AU1113" t="s">
        <v>1155</v>
      </c>
      <c r="AV1113" t="s">
        <v>1156</v>
      </c>
      <c r="AW1113" t="s">
        <v>60</v>
      </c>
      <c r="AX1113" t="s">
        <v>68</v>
      </c>
      <c r="AY1113" t="s">
        <v>69</v>
      </c>
      <c r="AZ1113" t="b">
        <v>1</v>
      </c>
    </row>
    <row r="1114" spans="1:52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2128</v>
      </c>
      <c r="F1114" t="s">
        <v>190</v>
      </c>
      <c r="G1114" t="s">
        <v>1157</v>
      </c>
      <c r="H1114" t="s">
        <v>1158</v>
      </c>
      <c r="I1114" t="s">
        <v>1158</v>
      </c>
      <c r="J1114" t="s">
        <v>60</v>
      </c>
      <c r="K1114" t="s">
        <v>791</v>
      </c>
      <c r="L1114" t="s">
        <v>62</v>
      </c>
      <c r="M1114" t="s">
        <v>791</v>
      </c>
      <c r="N1114" t="s">
        <v>1159</v>
      </c>
      <c r="O1114" t="s">
        <v>1160</v>
      </c>
      <c r="P1114">
        <v>-20.108114</v>
      </c>
      <c r="Q1114">
        <v>-44.905804000000003</v>
      </c>
      <c r="R1114" s="2" t="str">
        <f>HYPERLINK("https://www.google.com/maps?q=-20.1081140,-44.9058040","Abrir no Google Maps")</f>
        <v>Abrir no Google Maps</v>
      </c>
      <c r="S1114">
        <v>3</v>
      </c>
      <c r="T1114">
        <v>603.1428230097074</v>
      </c>
      <c r="U1114">
        <v>4</v>
      </c>
      <c r="V1114">
        <v>25</v>
      </c>
      <c r="W1114">
        <v>1</v>
      </c>
      <c r="X1114">
        <v>25</v>
      </c>
      <c r="Y1114">
        <v>300</v>
      </c>
      <c r="Z1114">
        <v>444.71482981499793</v>
      </c>
      <c r="AA1114">
        <v>198</v>
      </c>
      <c r="AB1114">
        <v>332</v>
      </c>
      <c r="AC1114">
        <v>536</v>
      </c>
      <c r="AD1114">
        <v>29.96</v>
      </c>
      <c r="AE1114">
        <v>542</v>
      </c>
      <c r="AF1114">
        <v>29</v>
      </c>
      <c r="AG1114">
        <v>174</v>
      </c>
      <c r="AH1114">
        <v>129</v>
      </c>
      <c r="AI1114">
        <v>5.35</v>
      </c>
      <c r="AJ1114">
        <v>32.1</v>
      </c>
      <c r="AK1114">
        <v>23.8</v>
      </c>
      <c r="AL1114">
        <v>-20.108146549999962</v>
      </c>
      <c r="AM1114">
        <v>-44.905744943453513</v>
      </c>
      <c r="AN1114">
        <v>-20.108146549999962</v>
      </c>
      <c r="AO1114">
        <v>-44.905744943453513</v>
      </c>
      <c r="AP1114">
        <v>-20.108114</v>
      </c>
      <c r="AQ1114">
        <v>-44.905804000000003</v>
      </c>
      <c r="AR1114">
        <v>7.1582799138071884</v>
      </c>
      <c r="AS1114" t="s">
        <v>65</v>
      </c>
      <c r="AT1114">
        <v>1</v>
      </c>
      <c r="AU1114" t="s">
        <v>1161</v>
      </c>
      <c r="AV1114" t="s">
        <v>1162</v>
      </c>
      <c r="AW1114" t="s">
        <v>60</v>
      </c>
      <c r="AX1114" t="s">
        <v>68</v>
      </c>
      <c r="AY1114" t="s">
        <v>69</v>
      </c>
      <c r="AZ1114" t="b">
        <v>1</v>
      </c>
    </row>
    <row r="1115" spans="1:52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2128</v>
      </c>
      <c r="F1115" t="s">
        <v>190</v>
      </c>
      <c r="G1115" t="s">
        <v>1163</v>
      </c>
      <c r="H1115" t="s">
        <v>1164</v>
      </c>
      <c r="I1115" t="s">
        <v>1164</v>
      </c>
      <c r="J1115" t="s">
        <v>60</v>
      </c>
      <c r="K1115" t="s">
        <v>1165</v>
      </c>
      <c r="L1115" t="s">
        <v>62</v>
      </c>
      <c r="M1115" t="s">
        <v>1165</v>
      </c>
      <c r="N1115" t="s">
        <v>1166</v>
      </c>
      <c r="O1115" t="s">
        <v>1167</v>
      </c>
      <c r="P1115">
        <v>-20.155543000000002</v>
      </c>
      <c r="Q1115">
        <v>-44.863444000000001</v>
      </c>
      <c r="R1115" s="2" t="str">
        <f>HYPERLINK("https://www.google.com/maps?q=-20.1555430,-44.8634440","Abrir no Google Maps")</f>
        <v>Abrir no Google Maps</v>
      </c>
      <c r="S1115">
        <v>3</v>
      </c>
      <c r="T1115">
        <v>314.02353400254742</v>
      </c>
      <c r="U1115">
        <v>4</v>
      </c>
      <c r="V1115">
        <v>25</v>
      </c>
      <c r="W1115">
        <v>1</v>
      </c>
      <c r="X1115">
        <v>25</v>
      </c>
      <c r="Y1115">
        <v>264</v>
      </c>
      <c r="Z1115">
        <v>282.65065866463459</v>
      </c>
      <c r="AA1115">
        <v>198</v>
      </c>
      <c r="AB1115">
        <v>332</v>
      </c>
      <c r="AC1115">
        <v>536</v>
      </c>
      <c r="AD1115">
        <v>29.96</v>
      </c>
      <c r="AE1115">
        <v>542</v>
      </c>
      <c r="AF1115">
        <v>29</v>
      </c>
      <c r="AG1115">
        <v>174</v>
      </c>
      <c r="AH1115">
        <v>129</v>
      </c>
      <c r="AI1115">
        <v>5.35</v>
      </c>
      <c r="AJ1115">
        <v>32.1</v>
      </c>
      <c r="AK1115">
        <v>23.8</v>
      </c>
      <c r="AL1115">
        <v>-20.155436449999939</v>
      </c>
      <c r="AM1115">
        <v>-44.863557722691183</v>
      </c>
      <c r="AN1115">
        <v>-20.155436449999939</v>
      </c>
      <c r="AO1115">
        <v>-44.863557722691183</v>
      </c>
      <c r="AP1115">
        <v>-20.155543000000002</v>
      </c>
      <c r="AQ1115">
        <v>-44.863444000000001</v>
      </c>
      <c r="AR1115">
        <v>16.790610674079979</v>
      </c>
      <c r="AS1115" t="s">
        <v>65</v>
      </c>
      <c r="AT1115">
        <v>1</v>
      </c>
      <c r="AU1115" t="s">
        <v>1168</v>
      </c>
      <c r="AV1115" t="s">
        <v>1169</v>
      </c>
      <c r="AW1115" t="s">
        <v>60</v>
      </c>
      <c r="AX1115" t="s">
        <v>68</v>
      </c>
      <c r="AY1115" t="s">
        <v>69</v>
      </c>
      <c r="AZ1115" t="b">
        <v>1</v>
      </c>
    </row>
    <row r="1116" spans="1:52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2128</v>
      </c>
      <c r="F1116" t="s">
        <v>190</v>
      </c>
      <c r="G1116" t="s">
        <v>1785</v>
      </c>
      <c r="H1116" t="s">
        <v>1786</v>
      </c>
      <c r="I1116" t="s">
        <v>1786</v>
      </c>
      <c r="J1116" t="s">
        <v>60</v>
      </c>
      <c r="K1116" t="s">
        <v>323</v>
      </c>
      <c r="L1116" t="s">
        <v>62</v>
      </c>
      <c r="M1116" t="s">
        <v>323</v>
      </c>
      <c r="N1116" t="s">
        <v>1787</v>
      </c>
      <c r="O1116" t="s">
        <v>166</v>
      </c>
      <c r="P1116">
        <v>-20.150456999999999</v>
      </c>
      <c r="Q1116">
        <v>-44.859959000000003</v>
      </c>
      <c r="R1116" s="2" t="str">
        <f>HYPERLINK("https://www.google.com/maps?q=-20.1504570,-44.8599590","Abrir no Google Maps")</f>
        <v>Abrir no Google Maps</v>
      </c>
      <c r="S1116">
        <v>3</v>
      </c>
      <c r="T1116">
        <v>658.64381182775185</v>
      </c>
      <c r="U1116">
        <v>4</v>
      </c>
      <c r="V1116">
        <v>38</v>
      </c>
      <c r="W1116">
        <v>1</v>
      </c>
      <c r="X1116">
        <v>38</v>
      </c>
      <c r="Y1116">
        <v>264</v>
      </c>
      <c r="Z1116">
        <v>516.83560872131818</v>
      </c>
      <c r="AA1116">
        <v>198</v>
      </c>
      <c r="AB1116">
        <v>332</v>
      </c>
      <c r="AC1116">
        <v>536</v>
      </c>
      <c r="AD1116">
        <v>29.96</v>
      </c>
      <c r="AE1116">
        <v>542</v>
      </c>
      <c r="AF1116">
        <v>29</v>
      </c>
      <c r="AG1116">
        <v>174</v>
      </c>
      <c r="AH1116">
        <v>129</v>
      </c>
      <c r="AI1116">
        <v>5.35</v>
      </c>
      <c r="AJ1116">
        <v>32.1</v>
      </c>
      <c r="AK1116">
        <v>23.8</v>
      </c>
      <c r="AL1116">
        <v>-20.150445899999969</v>
      </c>
      <c r="AM1116">
        <v>-44.860119388819953</v>
      </c>
      <c r="AN1116">
        <v>-20.150445899999969</v>
      </c>
      <c r="AO1116">
        <v>-44.860119388819953</v>
      </c>
      <c r="AP1116">
        <v>-20.150456999999999</v>
      </c>
      <c r="AQ1116">
        <v>-44.859959000000003</v>
      </c>
      <c r="AR1116">
        <v>16.807117810283469</v>
      </c>
      <c r="AS1116" t="s">
        <v>65</v>
      </c>
      <c r="AT1116">
        <v>1</v>
      </c>
      <c r="AU1116" t="s">
        <v>1788</v>
      </c>
      <c r="AV1116" t="s">
        <v>1789</v>
      </c>
      <c r="AW1116" t="s">
        <v>60</v>
      </c>
      <c r="AX1116" t="s">
        <v>68</v>
      </c>
      <c r="AY1116" t="s">
        <v>69</v>
      </c>
      <c r="AZ1116" t="b">
        <v>1</v>
      </c>
    </row>
    <row r="1117" spans="1:52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2128</v>
      </c>
      <c r="F1117" t="s">
        <v>190</v>
      </c>
      <c r="G1117" t="s">
        <v>1175</v>
      </c>
      <c r="H1117" t="s">
        <v>1176</v>
      </c>
      <c r="I1117" t="s">
        <v>1176</v>
      </c>
      <c r="J1117" t="s">
        <v>60</v>
      </c>
      <c r="K1117" t="s">
        <v>1177</v>
      </c>
      <c r="L1117" t="s">
        <v>62</v>
      </c>
      <c r="M1117" t="s">
        <v>1177</v>
      </c>
      <c r="N1117" t="s">
        <v>1178</v>
      </c>
      <c r="O1117" t="s">
        <v>1179</v>
      </c>
      <c r="P1117">
        <v>-20.153393000000001</v>
      </c>
      <c r="Q1117">
        <v>-44.865701999999999</v>
      </c>
      <c r="R1117" s="2" t="str">
        <f>HYPERLINK("https://www.google.com/maps?q=-20.1533930,-44.8657020","Abrir no Google Maps")</f>
        <v>Abrir no Google Maps</v>
      </c>
      <c r="S1117">
        <v>3</v>
      </c>
      <c r="T1117">
        <v>0</v>
      </c>
      <c r="U1117">
        <v>4</v>
      </c>
      <c r="V1117">
        <v>26</v>
      </c>
      <c r="W1117">
        <v>1</v>
      </c>
      <c r="X1117">
        <v>26</v>
      </c>
      <c r="Y1117">
        <v>264</v>
      </c>
      <c r="Z1117">
        <v>187.61117597536</v>
      </c>
      <c r="AA1117">
        <v>198</v>
      </c>
      <c r="AB1117">
        <v>332</v>
      </c>
      <c r="AC1117">
        <v>536</v>
      </c>
      <c r="AD1117">
        <v>29.96</v>
      </c>
      <c r="AE1117">
        <v>542</v>
      </c>
      <c r="AF1117">
        <v>29</v>
      </c>
      <c r="AG1117">
        <v>174</v>
      </c>
      <c r="AH1117">
        <v>129</v>
      </c>
      <c r="AI1117">
        <v>5.35</v>
      </c>
      <c r="AJ1117">
        <v>32.1</v>
      </c>
      <c r="AK1117">
        <v>23.8</v>
      </c>
      <c r="AL1117">
        <v>-20.153365199999971</v>
      </c>
      <c r="AM1117">
        <v>-44.865611713780503</v>
      </c>
      <c r="AN1117">
        <v>-20.153365199999971</v>
      </c>
      <c r="AO1117">
        <v>-44.865611713780503</v>
      </c>
      <c r="AP1117">
        <v>-20.153393000000001</v>
      </c>
      <c r="AQ1117">
        <v>-44.865701999999999</v>
      </c>
      <c r="AR1117">
        <v>9.9298532940923003</v>
      </c>
      <c r="AS1117" t="s">
        <v>65</v>
      </c>
      <c r="AT1117">
        <v>1</v>
      </c>
      <c r="AU1117" t="s">
        <v>1180</v>
      </c>
      <c r="AV1117" t="s">
        <v>1181</v>
      </c>
      <c r="AW1117" t="s">
        <v>60</v>
      </c>
      <c r="AX1117" t="s">
        <v>68</v>
      </c>
      <c r="AY1117" t="s">
        <v>69</v>
      </c>
      <c r="AZ1117" t="b">
        <v>1</v>
      </c>
    </row>
    <row r="1118" spans="1:52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2128</v>
      </c>
      <c r="F1118" t="s">
        <v>190</v>
      </c>
      <c r="G1118" t="s">
        <v>815</v>
      </c>
      <c r="H1118" t="s">
        <v>816</v>
      </c>
      <c r="I1118" t="s">
        <v>816</v>
      </c>
      <c r="J1118" t="s">
        <v>60</v>
      </c>
      <c r="K1118" t="s">
        <v>805</v>
      </c>
      <c r="L1118" t="s">
        <v>62</v>
      </c>
      <c r="M1118" t="s">
        <v>805</v>
      </c>
      <c r="N1118" t="s">
        <v>817</v>
      </c>
      <c r="O1118" t="s">
        <v>818</v>
      </c>
      <c r="P1118">
        <v>-20.129894</v>
      </c>
      <c r="Q1118">
        <v>-44.886285000000001</v>
      </c>
      <c r="R1118" s="2" t="str">
        <f>HYPERLINK("https://www.google.com/maps?q=-20.1298940,-44.8862850","Abrir no Google Maps")</f>
        <v>Abrir no Google Maps</v>
      </c>
      <c r="S1118">
        <v>3</v>
      </c>
      <c r="T1118">
        <v>245.88570896460399</v>
      </c>
      <c r="U1118">
        <v>4</v>
      </c>
      <c r="V1118">
        <v>24</v>
      </c>
      <c r="W1118">
        <v>1</v>
      </c>
      <c r="X1118">
        <v>24</v>
      </c>
      <c r="Y1118">
        <v>259</v>
      </c>
      <c r="Z1118">
        <v>274.53833463725539</v>
      </c>
      <c r="AA1118">
        <v>198</v>
      </c>
      <c r="AB1118">
        <v>332</v>
      </c>
      <c r="AC1118">
        <v>536</v>
      </c>
      <c r="AD1118">
        <v>29.96</v>
      </c>
      <c r="AE1118">
        <v>542</v>
      </c>
      <c r="AF1118">
        <v>29</v>
      </c>
      <c r="AG1118">
        <v>174</v>
      </c>
      <c r="AH1118">
        <v>129</v>
      </c>
      <c r="AI1118">
        <v>5.35</v>
      </c>
      <c r="AJ1118">
        <v>32.1</v>
      </c>
      <c r="AK1118">
        <v>23.8</v>
      </c>
      <c r="AL1118">
        <v>-20.129900749999969</v>
      </c>
      <c r="AM1118">
        <v>-44.886258682425179</v>
      </c>
      <c r="AN1118">
        <v>-20.129900749999969</v>
      </c>
      <c r="AO1118">
        <v>-44.886258682425179</v>
      </c>
      <c r="AP1118">
        <v>-20.129894</v>
      </c>
      <c r="AQ1118">
        <v>-44.886285000000001</v>
      </c>
      <c r="AR1118">
        <v>2.851497427576585</v>
      </c>
      <c r="AS1118" t="s">
        <v>65</v>
      </c>
      <c r="AT1118">
        <v>1</v>
      </c>
      <c r="AU1118" t="s">
        <v>819</v>
      </c>
      <c r="AV1118" t="s">
        <v>814</v>
      </c>
      <c r="AW1118" t="s">
        <v>60</v>
      </c>
      <c r="AX1118" t="s">
        <v>68</v>
      </c>
      <c r="AY1118" t="s">
        <v>69</v>
      </c>
      <c r="AZ1118" t="b">
        <v>1</v>
      </c>
    </row>
    <row r="1119" spans="1:52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2128</v>
      </c>
      <c r="F1119" t="s">
        <v>190</v>
      </c>
      <c r="G1119" t="s">
        <v>1200</v>
      </c>
      <c r="H1119" t="s">
        <v>1201</v>
      </c>
      <c r="I1119" t="s">
        <v>1201</v>
      </c>
      <c r="J1119" t="s">
        <v>60</v>
      </c>
      <c r="K1119" t="s">
        <v>1202</v>
      </c>
      <c r="L1119" t="s">
        <v>62</v>
      </c>
      <c r="M1119" t="s">
        <v>1202</v>
      </c>
      <c r="N1119" t="s">
        <v>1203</v>
      </c>
      <c r="O1119" t="s">
        <v>710</v>
      </c>
      <c r="P1119">
        <v>-20.191745999999998</v>
      </c>
      <c r="Q1119">
        <v>-44.904957000000003</v>
      </c>
      <c r="R1119" s="2" t="str">
        <f>HYPERLINK("https://www.google.com/maps?q=-20.1917460,-44.9049570","Abrir no Google Maps")</f>
        <v>Abrir no Google Maps</v>
      </c>
      <c r="S1119">
        <v>3</v>
      </c>
      <c r="T1119">
        <v>882.9384716293963</v>
      </c>
      <c r="U1119">
        <v>4</v>
      </c>
      <c r="V1119">
        <v>21</v>
      </c>
      <c r="W1119">
        <v>1</v>
      </c>
      <c r="X1119">
        <v>21</v>
      </c>
      <c r="Y1119">
        <v>135</v>
      </c>
      <c r="Z1119">
        <v>802.45927673397398</v>
      </c>
      <c r="AA1119">
        <v>198</v>
      </c>
      <c r="AB1119">
        <v>332</v>
      </c>
      <c r="AC1119">
        <v>536</v>
      </c>
      <c r="AD1119">
        <v>29.96</v>
      </c>
      <c r="AE1119">
        <v>542</v>
      </c>
      <c r="AF1119">
        <v>29</v>
      </c>
      <c r="AG1119">
        <v>174</v>
      </c>
      <c r="AH1119">
        <v>129</v>
      </c>
      <c r="AI1119">
        <v>5.35</v>
      </c>
      <c r="AJ1119">
        <v>32.1</v>
      </c>
      <c r="AK1119">
        <v>23.8</v>
      </c>
      <c r="AL1119">
        <v>-20.19172654999997</v>
      </c>
      <c r="AM1119">
        <v>-44.904976932073851</v>
      </c>
      <c r="AN1119">
        <v>-20.19172654999997</v>
      </c>
      <c r="AO1119">
        <v>-44.904976932073851</v>
      </c>
      <c r="AP1119">
        <v>-20.191745999999998</v>
      </c>
      <c r="AQ1119">
        <v>-44.904957000000003</v>
      </c>
      <c r="AR1119">
        <v>3.004110632807953</v>
      </c>
      <c r="AS1119" t="s">
        <v>65</v>
      </c>
      <c r="AT1119">
        <v>1</v>
      </c>
      <c r="AU1119" t="s">
        <v>1204</v>
      </c>
      <c r="AV1119" t="s">
        <v>1205</v>
      </c>
      <c r="AW1119" t="s">
        <v>60</v>
      </c>
      <c r="AX1119" t="s">
        <v>68</v>
      </c>
      <c r="AY1119" t="s">
        <v>69</v>
      </c>
      <c r="AZ1119" t="b">
        <v>1</v>
      </c>
    </row>
    <row r="1120" spans="1:52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2128</v>
      </c>
      <c r="F1120" t="s">
        <v>190</v>
      </c>
      <c r="G1120" t="s">
        <v>820</v>
      </c>
      <c r="H1120" t="s">
        <v>821</v>
      </c>
      <c r="I1120" t="s">
        <v>821</v>
      </c>
      <c r="J1120" t="s">
        <v>60</v>
      </c>
      <c r="K1120" t="s">
        <v>822</v>
      </c>
      <c r="L1120" t="s">
        <v>62</v>
      </c>
      <c r="M1120" t="s">
        <v>822</v>
      </c>
      <c r="N1120" t="s">
        <v>823</v>
      </c>
      <c r="O1120" t="s">
        <v>187</v>
      </c>
      <c r="P1120">
        <v>-20.182960999999999</v>
      </c>
      <c r="Q1120">
        <v>-44.902512999999999</v>
      </c>
      <c r="R1120" s="2" t="str">
        <f>HYPERLINK("https://www.google.com/maps?q=-20.1829610,-44.9025130","Abrir no Google Maps")</f>
        <v>Abrir no Google Maps</v>
      </c>
      <c r="S1120">
        <v>3</v>
      </c>
      <c r="T1120">
        <v>908.09917748271926</v>
      </c>
      <c r="U1120">
        <v>4</v>
      </c>
      <c r="V1120">
        <v>36</v>
      </c>
      <c r="W1120">
        <v>1</v>
      </c>
      <c r="X1120">
        <v>36</v>
      </c>
      <c r="Y1120">
        <v>135</v>
      </c>
      <c r="Z1120">
        <v>562.42494356837676</v>
      </c>
      <c r="AA1120">
        <v>198</v>
      </c>
      <c r="AB1120">
        <v>332</v>
      </c>
      <c r="AC1120">
        <v>536</v>
      </c>
      <c r="AD1120">
        <v>29.96</v>
      </c>
      <c r="AE1120">
        <v>542</v>
      </c>
      <c r="AF1120">
        <v>29</v>
      </c>
      <c r="AG1120">
        <v>174</v>
      </c>
      <c r="AH1120">
        <v>129</v>
      </c>
      <c r="AI1120">
        <v>5.35</v>
      </c>
      <c r="AJ1120">
        <v>32.1</v>
      </c>
      <c r="AK1120">
        <v>23.8</v>
      </c>
      <c r="AL1120">
        <v>-20.18277184999997</v>
      </c>
      <c r="AM1120">
        <v>-44.902421436048833</v>
      </c>
      <c r="AN1120">
        <v>-20.18277184999997</v>
      </c>
      <c r="AO1120">
        <v>-44.902421436048833</v>
      </c>
      <c r="AP1120">
        <v>-20.182960999999999</v>
      </c>
      <c r="AQ1120">
        <v>-44.902512999999999</v>
      </c>
      <c r="AR1120">
        <v>23.127700959037089</v>
      </c>
      <c r="AS1120" t="s">
        <v>65</v>
      </c>
      <c r="AT1120">
        <v>1</v>
      </c>
      <c r="AU1120" t="s">
        <v>824</v>
      </c>
      <c r="AV1120" t="s">
        <v>825</v>
      </c>
      <c r="AW1120" t="s">
        <v>60</v>
      </c>
      <c r="AX1120" t="s">
        <v>68</v>
      </c>
      <c r="AY1120" t="s">
        <v>69</v>
      </c>
      <c r="AZ1120" t="b">
        <v>1</v>
      </c>
    </row>
    <row r="1121" spans="1:52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2128</v>
      </c>
      <c r="F1121" t="s">
        <v>190</v>
      </c>
      <c r="G1121" t="s">
        <v>1218</v>
      </c>
      <c r="H1121" t="s">
        <v>1219</v>
      </c>
      <c r="I1121" t="s">
        <v>1219</v>
      </c>
      <c r="J1121" t="s">
        <v>60</v>
      </c>
      <c r="K1121" t="s">
        <v>828</v>
      </c>
      <c r="L1121" t="s">
        <v>62</v>
      </c>
      <c r="M1121" t="s">
        <v>828</v>
      </c>
      <c r="N1121" t="s">
        <v>1220</v>
      </c>
      <c r="O1121" t="s">
        <v>1221</v>
      </c>
      <c r="P1121">
        <v>-20.132722000000001</v>
      </c>
      <c r="Q1121">
        <v>-44.843550999999998</v>
      </c>
      <c r="R1121" s="2" t="str">
        <f>HYPERLINK("https://www.google.com/maps?q=-20.1327220,-44.8435510","Abrir no Google Maps")</f>
        <v>Abrir no Google Maps</v>
      </c>
      <c r="S1121">
        <v>3</v>
      </c>
      <c r="T1121">
        <v>846.88659580558431</v>
      </c>
      <c r="U1121">
        <v>4</v>
      </c>
      <c r="V1121">
        <v>33</v>
      </c>
      <c r="W1121">
        <v>1</v>
      </c>
      <c r="X1121">
        <v>33</v>
      </c>
      <c r="Y1121">
        <v>118</v>
      </c>
      <c r="Z1121">
        <v>797.91643890712305</v>
      </c>
      <c r="AA1121">
        <v>198</v>
      </c>
      <c r="AB1121">
        <v>332</v>
      </c>
      <c r="AC1121">
        <v>536</v>
      </c>
      <c r="AD1121">
        <v>29.96</v>
      </c>
      <c r="AE1121">
        <v>542</v>
      </c>
      <c r="AF1121">
        <v>29</v>
      </c>
      <c r="AG1121">
        <v>174</v>
      </c>
      <c r="AH1121">
        <v>129</v>
      </c>
      <c r="AI1121">
        <v>5.35</v>
      </c>
      <c r="AJ1121">
        <v>32.1</v>
      </c>
      <c r="AK1121">
        <v>23.8</v>
      </c>
      <c r="AL1121">
        <v>-20.132714949999979</v>
      </c>
      <c r="AM1121">
        <v>-44.843475702545703</v>
      </c>
      <c r="AN1121">
        <v>-20.132714949999979</v>
      </c>
      <c r="AO1121">
        <v>-44.843475702545703</v>
      </c>
      <c r="AP1121">
        <v>-20.132722000000001</v>
      </c>
      <c r="AQ1121">
        <v>-44.843550999999998</v>
      </c>
      <c r="AR1121">
        <v>7.9089820822755481</v>
      </c>
      <c r="AS1121" t="s">
        <v>65</v>
      </c>
      <c r="AT1121">
        <v>1</v>
      </c>
      <c r="AU1121" t="s">
        <v>1222</v>
      </c>
      <c r="AV1121" t="s">
        <v>1223</v>
      </c>
      <c r="AW1121" t="s">
        <v>60</v>
      </c>
      <c r="AX1121" t="s">
        <v>68</v>
      </c>
      <c r="AY1121" t="s">
        <v>69</v>
      </c>
      <c r="AZ1121" t="b">
        <v>1</v>
      </c>
    </row>
    <row r="1122" spans="1:52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2128</v>
      </c>
      <c r="F1122" t="s">
        <v>190</v>
      </c>
      <c r="G1122" t="s">
        <v>1224</v>
      </c>
      <c r="H1122" t="s">
        <v>1225</v>
      </c>
      <c r="I1122" t="s">
        <v>1225</v>
      </c>
      <c r="J1122" t="s">
        <v>60</v>
      </c>
      <c r="K1122" t="s">
        <v>828</v>
      </c>
      <c r="L1122" t="s">
        <v>62</v>
      </c>
      <c r="M1122" t="s">
        <v>828</v>
      </c>
      <c r="N1122" t="s">
        <v>1226</v>
      </c>
      <c r="O1122" t="s">
        <v>1227</v>
      </c>
      <c r="P1122">
        <v>-20.135355000000001</v>
      </c>
      <c r="Q1122">
        <v>-44.835469000000003</v>
      </c>
      <c r="R1122" s="2" t="str">
        <f>HYPERLINK("https://www.google.com/maps?q=-20.1353550,-44.8354690","Abrir no Google Maps")</f>
        <v>Abrir no Google Maps</v>
      </c>
      <c r="S1122">
        <v>3</v>
      </c>
      <c r="T1122">
        <v>751.16107206095137</v>
      </c>
      <c r="U1122">
        <v>4</v>
      </c>
      <c r="V1122">
        <v>26</v>
      </c>
      <c r="W1122">
        <v>0.85</v>
      </c>
      <c r="X1122">
        <v>22.1</v>
      </c>
      <c r="Y1122">
        <v>118</v>
      </c>
      <c r="Z1122">
        <v>677.63401865784431</v>
      </c>
      <c r="AA1122">
        <v>198</v>
      </c>
      <c r="AB1122">
        <v>332</v>
      </c>
      <c r="AC1122">
        <v>536</v>
      </c>
      <c r="AD1122">
        <v>29.96</v>
      </c>
      <c r="AE1122">
        <v>542</v>
      </c>
      <c r="AF1122">
        <v>29</v>
      </c>
      <c r="AG1122">
        <v>174</v>
      </c>
      <c r="AH1122">
        <v>129</v>
      </c>
      <c r="AI1122">
        <v>5.35</v>
      </c>
      <c r="AJ1122">
        <v>32.1</v>
      </c>
      <c r="AK1122">
        <v>23.8</v>
      </c>
      <c r="AL1122">
        <v>-20.134961199999939</v>
      </c>
      <c r="AM1122">
        <v>-44.835020399356488</v>
      </c>
      <c r="AN1122">
        <v>-20.134961199999939</v>
      </c>
      <c r="AO1122">
        <v>-44.835020399356488</v>
      </c>
      <c r="AP1122">
        <v>-20.135355000000001</v>
      </c>
      <c r="AQ1122">
        <v>-44.835469000000003</v>
      </c>
      <c r="AR1122">
        <v>64.187783608237439</v>
      </c>
      <c r="AS1122" t="s">
        <v>65</v>
      </c>
      <c r="AT1122">
        <v>1</v>
      </c>
      <c r="AU1122" t="s">
        <v>1228</v>
      </c>
      <c r="AV1122" t="s">
        <v>1229</v>
      </c>
      <c r="AW1122" t="s">
        <v>60</v>
      </c>
      <c r="AX1122" t="s">
        <v>68</v>
      </c>
      <c r="AY1122" t="s">
        <v>69</v>
      </c>
      <c r="AZ1122" t="b">
        <v>1</v>
      </c>
    </row>
    <row r="1123" spans="1:52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2128</v>
      </c>
      <c r="F1123" t="s">
        <v>190</v>
      </c>
      <c r="G1123" t="s">
        <v>1193</v>
      </c>
      <c r="H1123" t="s">
        <v>2020</v>
      </c>
      <c r="I1123" t="s">
        <v>2020</v>
      </c>
      <c r="J1123" t="s">
        <v>60</v>
      </c>
      <c r="K1123" t="s">
        <v>1803</v>
      </c>
      <c r="L1123" t="s">
        <v>62</v>
      </c>
      <c r="M1123" t="s">
        <v>1803</v>
      </c>
      <c r="N1123" t="s">
        <v>2021</v>
      </c>
      <c r="O1123" t="s">
        <v>2022</v>
      </c>
      <c r="P1123">
        <v>-20.131063000000001</v>
      </c>
      <c r="Q1123">
        <v>-44.835818000000003</v>
      </c>
      <c r="R1123" s="2" t="str">
        <f>HYPERLINK("https://www.google.com/maps?q=-20.1310630,-44.8358180","Abrir no Google Maps")</f>
        <v>Abrir no Google Maps</v>
      </c>
      <c r="S1123">
        <v>3</v>
      </c>
      <c r="T1123">
        <v>341.23125780909078</v>
      </c>
      <c r="U1123">
        <v>4</v>
      </c>
      <c r="V1123">
        <v>24</v>
      </c>
      <c r="W1123">
        <v>0.85</v>
      </c>
      <c r="X1123">
        <v>20.399999999999999</v>
      </c>
      <c r="Y1123">
        <v>118</v>
      </c>
      <c r="Z1123">
        <v>313.11962562154281</v>
      </c>
      <c r="AA1123">
        <v>198</v>
      </c>
      <c r="AB1123">
        <v>332</v>
      </c>
      <c r="AC1123">
        <v>536</v>
      </c>
      <c r="AD1123">
        <v>29.96</v>
      </c>
      <c r="AE1123">
        <v>542</v>
      </c>
      <c r="AF1123">
        <v>29</v>
      </c>
      <c r="AG1123">
        <v>174</v>
      </c>
      <c r="AH1123">
        <v>129</v>
      </c>
      <c r="AI1123">
        <v>5.35</v>
      </c>
      <c r="AJ1123">
        <v>32.1</v>
      </c>
      <c r="AK1123">
        <v>23.8</v>
      </c>
      <c r="AL1123">
        <v>-20.131250049999949</v>
      </c>
      <c r="AM1123">
        <v>-44.835592156063377</v>
      </c>
      <c r="AN1123">
        <v>-20.131250049999949</v>
      </c>
      <c r="AO1123">
        <v>-44.835592156063377</v>
      </c>
      <c r="AP1123">
        <v>-20.131063000000001</v>
      </c>
      <c r="AQ1123">
        <v>-44.835818000000003</v>
      </c>
      <c r="AR1123">
        <v>31.47647942151896</v>
      </c>
      <c r="AS1123" t="s">
        <v>65</v>
      </c>
      <c r="AT1123">
        <v>1</v>
      </c>
      <c r="AU1123" t="s">
        <v>2023</v>
      </c>
      <c r="AV1123" t="s">
        <v>2024</v>
      </c>
      <c r="AW1123" t="s">
        <v>60</v>
      </c>
      <c r="AX1123" t="s">
        <v>68</v>
      </c>
      <c r="AY1123" t="s">
        <v>69</v>
      </c>
      <c r="AZ1123" t="b">
        <v>1</v>
      </c>
    </row>
    <row r="1124" spans="1:52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2128</v>
      </c>
      <c r="F1124" t="s">
        <v>190</v>
      </c>
      <c r="G1124" t="s">
        <v>826</v>
      </c>
      <c r="H1124" t="s">
        <v>827</v>
      </c>
      <c r="I1124" t="s">
        <v>827</v>
      </c>
      <c r="J1124" t="s">
        <v>60</v>
      </c>
      <c r="K1124" t="s">
        <v>828</v>
      </c>
      <c r="L1124" t="s">
        <v>62</v>
      </c>
      <c r="M1124" t="s">
        <v>828</v>
      </c>
      <c r="N1124" t="s">
        <v>829</v>
      </c>
      <c r="O1124" t="s">
        <v>830</v>
      </c>
      <c r="P1124">
        <v>-20.128309999999999</v>
      </c>
      <c r="Q1124">
        <v>-44.8367</v>
      </c>
      <c r="R1124" s="2" t="str">
        <f>HYPERLINK("https://www.google.com/maps?q=-20.1283100,-44.8367000","Abrir no Google Maps")</f>
        <v>Abrir no Google Maps</v>
      </c>
      <c r="S1124">
        <v>3</v>
      </c>
      <c r="T1124">
        <v>0</v>
      </c>
      <c r="U1124">
        <v>4</v>
      </c>
      <c r="V1124">
        <v>29</v>
      </c>
      <c r="W1124">
        <v>1</v>
      </c>
      <c r="X1124">
        <v>29</v>
      </c>
      <c r="Y1124">
        <v>118</v>
      </c>
      <c r="Z1124">
        <v>65.93296364139367</v>
      </c>
      <c r="AA1124">
        <v>198</v>
      </c>
      <c r="AB1124">
        <v>332</v>
      </c>
      <c r="AC1124">
        <v>536</v>
      </c>
      <c r="AD1124">
        <v>29.96</v>
      </c>
      <c r="AE1124">
        <v>542</v>
      </c>
      <c r="AF1124">
        <v>29</v>
      </c>
      <c r="AG1124">
        <v>174</v>
      </c>
      <c r="AH1124">
        <v>129</v>
      </c>
      <c r="AI1124">
        <v>5.35</v>
      </c>
      <c r="AJ1124">
        <v>32.1</v>
      </c>
      <c r="AK1124">
        <v>23.8</v>
      </c>
      <c r="AL1124">
        <v>-20.128383649999961</v>
      </c>
      <c r="AM1124">
        <v>-44.836795615491283</v>
      </c>
      <c r="AN1124">
        <v>-20.128383649999961</v>
      </c>
      <c r="AO1124">
        <v>-44.836795615491283</v>
      </c>
      <c r="AP1124">
        <v>-20.128309999999999</v>
      </c>
      <c r="AQ1124">
        <v>-44.8367</v>
      </c>
      <c r="AR1124">
        <v>12.92654496723039</v>
      </c>
      <c r="AS1124" t="s">
        <v>65</v>
      </c>
      <c r="AT1124">
        <v>1</v>
      </c>
      <c r="AU1124" t="s">
        <v>831</v>
      </c>
      <c r="AV1124" t="s">
        <v>832</v>
      </c>
      <c r="AW1124" t="s">
        <v>60</v>
      </c>
      <c r="AX1124" t="s">
        <v>68</v>
      </c>
      <c r="AY1124" t="s">
        <v>69</v>
      </c>
      <c r="AZ1124" t="b">
        <v>1</v>
      </c>
    </row>
    <row r="1125" spans="1:52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2128</v>
      </c>
      <c r="F1125" t="s">
        <v>190</v>
      </c>
      <c r="G1125" t="s">
        <v>1193</v>
      </c>
      <c r="H1125" t="s">
        <v>2025</v>
      </c>
      <c r="I1125" t="s">
        <v>2025</v>
      </c>
      <c r="J1125" t="s">
        <v>60</v>
      </c>
      <c r="K1125" t="s">
        <v>1710</v>
      </c>
      <c r="L1125" t="s">
        <v>62</v>
      </c>
      <c r="M1125" t="s">
        <v>1710</v>
      </c>
      <c r="N1125" t="s">
        <v>2026</v>
      </c>
      <c r="O1125" t="s">
        <v>1438</v>
      </c>
      <c r="P1125">
        <v>-20.147459000000001</v>
      </c>
      <c r="Q1125">
        <v>-44.839049000000003</v>
      </c>
      <c r="R1125" s="2" t="str">
        <f>HYPERLINK("https://www.google.com/maps?q=-20.1474590,-44.8390490","Abrir no Google Maps")</f>
        <v>Abrir no Google Maps</v>
      </c>
      <c r="S1125">
        <v>3</v>
      </c>
      <c r="T1125">
        <v>2134.7842223159018</v>
      </c>
      <c r="U1125">
        <v>4</v>
      </c>
      <c r="V1125">
        <v>25</v>
      </c>
      <c r="W1125">
        <v>0.85</v>
      </c>
      <c r="X1125">
        <v>21.25</v>
      </c>
      <c r="Y1125">
        <v>118</v>
      </c>
      <c r="Z1125">
        <v>2105.8235104165119</v>
      </c>
      <c r="AA1125">
        <v>198</v>
      </c>
      <c r="AB1125">
        <v>332</v>
      </c>
      <c r="AC1125">
        <v>536</v>
      </c>
      <c r="AD1125">
        <v>29.96</v>
      </c>
      <c r="AE1125">
        <v>542</v>
      </c>
      <c r="AF1125">
        <v>29</v>
      </c>
      <c r="AG1125">
        <v>174</v>
      </c>
      <c r="AH1125">
        <v>129</v>
      </c>
      <c r="AI1125">
        <v>5.35</v>
      </c>
      <c r="AJ1125">
        <v>32.1</v>
      </c>
      <c r="AK1125">
        <v>23.8</v>
      </c>
      <c r="AL1125">
        <v>-20.147568249999949</v>
      </c>
      <c r="AM1125">
        <v>-44.838938056199567</v>
      </c>
      <c r="AN1125">
        <v>-20.147568249999949</v>
      </c>
      <c r="AO1125">
        <v>-44.838938056199567</v>
      </c>
      <c r="AP1125">
        <v>-20.147459000000001</v>
      </c>
      <c r="AQ1125">
        <v>-44.839049000000003</v>
      </c>
      <c r="AR1125">
        <v>16.80298816089098</v>
      </c>
      <c r="AS1125" t="s">
        <v>65</v>
      </c>
      <c r="AT1125">
        <v>1</v>
      </c>
      <c r="AU1125" t="s">
        <v>2027</v>
      </c>
      <c r="AV1125" t="s">
        <v>2028</v>
      </c>
      <c r="AW1125" t="s">
        <v>60</v>
      </c>
      <c r="AX1125" t="s">
        <v>68</v>
      </c>
      <c r="AY1125" t="s">
        <v>69</v>
      </c>
      <c r="AZ1125" t="b">
        <v>1</v>
      </c>
    </row>
    <row r="1126" spans="1:52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2128</v>
      </c>
      <c r="F1126" t="s">
        <v>190</v>
      </c>
      <c r="G1126" t="s">
        <v>1813</v>
      </c>
      <c r="H1126" t="s">
        <v>1814</v>
      </c>
      <c r="I1126" t="s">
        <v>1814</v>
      </c>
      <c r="J1126" t="s">
        <v>60</v>
      </c>
      <c r="K1126" t="s">
        <v>1815</v>
      </c>
      <c r="L1126" t="s">
        <v>62</v>
      </c>
      <c r="M1126" t="s">
        <v>1815</v>
      </c>
      <c r="N1126" t="s">
        <v>1816</v>
      </c>
      <c r="O1126" t="s">
        <v>793</v>
      </c>
      <c r="P1126">
        <v>-20.144487999999999</v>
      </c>
      <c r="Q1126">
        <v>-44.836683000000001</v>
      </c>
      <c r="R1126" s="2" t="str">
        <f>HYPERLINK("https://www.google.com/maps?q=-20.1444880,-44.8366830","Abrir no Google Maps")</f>
        <v>Abrir no Google Maps</v>
      </c>
      <c r="S1126">
        <v>3</v>
      </c>
      <c r="T1126">
        <v>1786.4671732320769</v>
      </c>
      <c r="U1126">
        <v>4</v>
      </c>
      <c r="V1126">
        <v>34</v>
      </c>
      <c r="W1126">
        <v>0.85</v>
      </c>
      <c r="X1126">
        <v>28.9</v>
      </c>
      <c r="Y1126">
        <v>118</v>
      </c>
      <c r="Z1126">
        <v>1788.4311204774231</v>
      </c>
      <c r="AA1126">
        <v>198</v>
      </c>
      <c r="AB1126">
        <v>332</v>
      </c>
      <c r="AC1126">
        <v>536</v>
      </c>
      <c r="AD1126">
        <v>29.96</v>
      </c>
      <c r="AE1126">
        <v>542</v>
      </c>
      <c r="AF1126">
        <v>29</v>
      </c>
      <c r="AG1126">
        <v>174</v>
      </c>
      <c r="AH1126">
        <v>129</v>
      </c>
      <c r="AI1126">
        <v>5.35</v>
      </c>
      <c r="AJ1126">
        <v>32.1</v>
      </c>
      <c r="AK1126">
        <v>23.8</v>
      </c>
      <c r="AL1126">
        <v>-20.14452704999994</v>
      </c>
      <c r="AM1126">
        <v>-44.836757520268662</v>
      </c>
      <c r="AN1126">
        <v>-20.14452704999994</v>
      </c>
      <c r="AO1126">
        <v>-44.836757520268662</v>
      </c>
      <c r="AP1126">
        <v>-20.144487999999999</v>
      </c>
      <c r="AQ1126">
        <v>-44.836683000000001</v>
      </c>
      <c r="AR1126">
        <v>8.9191793946858624</v>
      </c>
      <c r="AS1126" t="s">
        <v>65</v>
      </c>
      <c r="AT1126">
        <v>1</v>
      </c>
      <c r="AU1126" t="s">
        <v>1817</v>
      </c>
      <c r="AV1126" t="s">
        <v>1818</v>
      </c>
      <c r="AW1126" t="s">
        <v>60</v>
      </c>
      <c r="AX1126" t="s">
        <v>68</v>
      </c>
      <c r="AY1126" t="s">
        <v>69</v>
      </c>
      <c r="AZ1126" t="b">
        <v>1</v>
      </c>
    </row>
    <row r="1127" spans="1:52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2128</v>
      </c>
      <c r="F1127" t="s">
        <v>190</v>
      </c>
      <c r="G1127" t="s">
        <v>1819</v>
      </c>
      <c r="H1127" t="s">
        <v>1820</v>
      </c>
      <c r="I1127" t="s">
        <v>1820</v>
      </c>
      <c r="J1127" t="s">
        <v>60</v>
      </c>
      <c r="K1127" t="s">
        <v>1821</v>
      </c>
      <c r="L1127" t="s">
        <v>62</v>
      </c>
      <c r="M1127" t="s">
        <v>1821</v>
      </c>
      <c r="N1127" t="s">
        <v>1822</v>
      </c>
      <c r="O1127" t="s">
        <v>250</v>
      </c>
      <c r="P1127">
        <v>-20.206074999999998</v>
      </c>
      <c r="Q1127">
        <v>-44.923881999999999</v>
      </c>
      <c r="R1127" s="2" t="str">
        <f>HYPERLINK("https://www.google.com/maps?q=-20.2060750,-44.9238820","Abrir no Google Maps")</f>
        <v>Abrir no Google Maps</v>
      </c>
      <c r="S1127">
        <v>3</v>
      </c>
      <c r="T1127">
        <v>2167.614130207975</v>
      </c>
      <c r="U1127">
        <v>4</v>
      </c>
      <c r="V1127">
        <v>25</v>
      </c>
      <c r="W1127">
        <v>1</v>
      </c>
      <c r="X1127">
        <v>25</v>
      </c>
      <c r="Y1127">
        <v>113</v>
      </c>
      <c r="Z1127">
        <v>2279.572967498636</v>
      </c>
      <c r="AA1127">
        <v>198</v>
      </c>
      <c r="AB1127">
        <v>332</v>
      </c>
      <c r="AC1127">
        <v>536</v>
      </c>
      <c r="AD1127">
        <v>29.96</v>
      </c>
      <c r="AE1127">
        <v>542</v>
      </c>
      <c r="AF1127">
        <v>29</v>
      </c>
      <c r="AG1127">
        <v>174</v>
      </c>
      <c r="AH1127">
        <v>129</v>
      </c>
      <c r="AI1127">
        <v>5.35</v>
      </c>
      <c r="AJ1127">
        <v>32.1</v>
      </c>
      <c r="AK1127">
        <v>23.8</v>
      </c>
      <c r="AL1127">
        <v>-20.206031099999961</v>
      </c>
      <c r="AM1127">
        <v>-44.923641529947623</v>
      </c>
      <c r="AN1127">
        <v>-20.206031099999961</v>
      </c>
      <c r="AO1127">
        <v>-44.923641529947623</v>
      </c>
      <c r="AP1127">
        <v>-20.206074999999998</v>
      </c>
      <c r="AQ1127">
        <v>-44.923881999999999</v>
      </c>
      <c r="AR1127">
        <v>25.59258324329182</v>
      </c>
      <c r="AS1127" t="s">
        <v>65</v>
      </c>
      <c r="AT1127">
        <v>1</v>
      </c>
      <c r="AU1127" t="s">
        <v>1823</v>
      </c>
      <c r="AV1127" t="s">
        <v>1824</v>
      </c>
      <c r="AW1127" t="s">
        <v>60</v>
      </c>
      <c r="AX1127" t="s">
        <v>68</v>
      </c>
      <c r="AY1127" t="s">
        <v>69</v>
      </c>
      <c r="AZ1127" t="b">
        <v>1</v>
      </c>
    </row>
    <row r="1128" spans="1:52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2128</v>
      </c>
      <c r="F1128" t="s">
        <v>190</v>
      </c>
      <c r="G1128" t="s">
        <v>1825</v>
      </c>
      <c r="H1128" t="s">
        <v>1826</v>
      </c>
      <c r="I1128" t="s">
        <v>1826</v>
      </c>
      <c r="J1128" t="s">
        <v>60</v>
      </c>
      <c r="K1128" t="s">
        <v>1821</v>
      </c>
      <c r="L1128" t="s">
        <v>62</v>
      </c>
      <c r="M1128" t="s">
        <v>1821</v>
      </c>
      <c r="N1128" t="s">
        <v>1827</v>
      </c>
      <c r="O1128" t="s">
        <v>303</v>
      </c>
      <c r="P1128">
        <v>-20.209962000000001</v>
      </c>
      <c r="Q1128">
        <v>-44.922398000000001</v>
      </c>
      <c r="R1128" s="2" t="str">
        <f>HYPERLINK("https://www.google.com/maps?q=-20.2099620,-44.9223980","Abrir no Google Maps")</f>
        <v>Abrir no Google Maps</v>
      </c>
      <c r="S1128">
        <v>3</v>
      </c>
      <c r="T1128">
        <v>2648.9288862562971</v>
      </c>
      <c r="U1128">
        <v>4</v>
      </c>
      <c r="V1128">
        <v>34</v>
      </c>
      <c r="W1128">
        <v>1</v>
      </c>
      <c r="X1128">
        <v>34</v>
      </c>
      <c r="Y1128">
        <v>113</v>
      </c>
      <c r="Z1128">
        <v>2658.455493028307</v>
      </c>
      <c r="AA1128">
        <v>198</v>
      </c>
      <c r="AB1128">
        <v>332</v>
      </c>
      <c r="AC1128">
        <v>536</v>
      </c>
      <c r="AD1128">
        <v>29.96</v>
      </c>
      <c r="AE1128">
        <v>542</v>
      </c>
      <c r="AF1128">
        <v>29</v>
      </c>
      <c r="AG1128">
        <v>174</v>
      </c>
      <c r="AH1128">
        <v>129</v>
      </c>
      <c r="AI1128">
        <v>5.35</v>
      </c>
      <c r="AJ1128">
        <v>32.1</v>
      </c>
      <c r="AK1128">
        <v>23.8</v>
      </c>
      <c r="AL1128">
        <v>-20.210291849999951</v>
      </c>
      <c r="AM1128">
        <v>-44.921758447931353</v>
      </c>
      <c r="AN1128">
        <v>-20.210291849999951</v>
      </c>
      <c r="AO1128">
        <v>-44.921758447931353</v>
      </c>
      <c r="AP1128">
        <v>-20.209962000000001</v>
      </c>
      <c r="AQ1128">
        <v>-44.922398000000001</v>
      </c>
      <c r="AR1128">
        <v>76.23686013355892</v>
      </c>
      <c r="AS1128" t="s">
        <v>65</v>
      </c>
      <c r="AT1128">
        <v>1</v>
      </c>
      <c r="AU1128" t="s">
        <v>1828</v>
      </c>
      <c r="AV1128" t="s">
        <v>1829</v>
      </c>
      <c r="AW1128" t="s">
        <v>60</v>
      </c>
      <c r="AX1128" t="s">
        <v>68</v>
      </c>
      <c r="AY1128" t="s">
        <v>69</v>
      </c>
      <c r="AZ1128" t="b">
        <v>1</v>
      </c>
    </row>
    <row r="1129" spans="1:52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2128</v>
      </c>
      <c r="F1129" t="s">
        <v>190</v>
      </c>
      <c r="G1129" t="s">
        <v>1836</v>
      </c>
      <c r="H1129" t="s">
        <v>1837</v>
      </c>
      <c r="I1129" t="s">
        <v>1837</v>
      </c>
      <c r="J1129" t="s">
        <v>60</v>
      </c>
      <c r="K1129" t="s">
        <v>1243</v>
      </c>
      <c r="L1129" t="s">
        <v>62</v>
      </c>
      <c r="M1129" t="s">
        <v>1243</v>
      </c>
      <c r="N1129" t="s">
        <v>1838</v>
      </c>
      <c r="O1129" t="s">
        <v>1839</v>
      </c>
      <c r="P1129">
        <v>-20.194417999999999</v>
      </c>
      <c r="Q1129">
        <v>-44.943080999999999</v>
      </c>
      <c r="R1129" s="2" t="str">
        <f>HYPERLINK("https://www.google.com/maps?q=-20.1944180,-44.9430810","Abrir no Google Maps")</f>
        <v>Abrir no Google Maps</v>
      </c>
      <c r="S1129">
        <v>3</v>
      </c>
      <c r="T1129">
        <v>570.3426559957137</v>
      </c>
      <c r="U1129">
        <v>4</v>
      </c>
      <c r="V1129">
        <v>24</v>
      </c>
      <c r="W1129">
        <v>1</v>
      </c>
      <c r="X1129">
        <v>24</v>
      </c>
      <c r="Y1129">
        <v>113</v>
      </c>
      <c r="Z1129">
        <v>342.73864025959449</v>
      </c>
      <c r="AA1129">
        <v>198</v>
      </c>
      <c r="AB1129">
        <v>332</v>
      </c>
      <c r="AC1129">
        <v>536</v>
      </c>
      <c r="AD1129">
        <v>29.96</v>
      </c>
      <c r="AE1129">
        <v>542</v>
      </c>
      <c r="AF1129">
        <v>29</v>
      </c>
      <c r="AG1129">
        <v>174</v>
      </c>
      <c r="AH1129">
        <v>129</v>
      </c>
      <c r="AI1129">
        <v>5.35</v>
      </c>
      <c r="AJ1129">
        <v>32.1</v>
      </c>
      <c r="AK1129">
        <v>23.8</v>
      </c>
      <c r="AL1129">
        <v>-20.194494749999929</v>
      </c>
      <c r="AM1129">
        <v>-44.942951635393733</v>
      </c>
      <c r="AN1129">
        <v>-20.194494749999929</v>
      </c>
      <c r="AO1129">
        <v>-44.942951635393733</v>
      </c>
      <c r="AP1129">
        <v>-20.194417999999999</v>
      </c>
      <c r="AQ1129">
        <v>-44.943080999999999</v>
      </c>
      <c r="AR1129">
        <v>15.9896188813922</v>
      </c>
      <c r="AS1129" t="s">
        <v>65</v>
      </c>
      <c r="AT1129">
        <v>1</v>
      </c>
      <c r="AU1129" t="s">
        <v>1840</v>
      </c>
      <c r="AV1129" t="s">
        <v>1841</v>
      </c>
      <c r="AW1129" t="s">
        <v>60</v>
      </c>
      <c r="AX1129" t="s">
        <v>68</v>
      </c>
      <c r="AY1129" t="s">
        <v>69</v>
      </c>
      <c r="AZ1129" t="b">
        <v>1</v>
      </c>
    </row>
    <row r="1130" spans="1:52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2128</v>
      </c>
      <c r="F1130" t="s">
        <v>190</v>
      </c>
      <c r="G1130" t="s">
        <v>1235</v>
      </c>
      <c r="H1130" t="s">
        <v>1236</v>
      </c>
      <c r="I1130" t="s">
        <v>1236</v>
      </c>
      <c r="J1130" t="s">
        <v>60</v>
      </c>
      <c r="K1130" t="s">
        <v>1237</v>
      </c>
      <c r="L1130" t="s">
        <v>62</v>
      </c>
      <c r="M1130" t="s">
        <v>1237</v>
      </c>
      <c r="N1130" t="s">
        <v>1238</v>
      </c>
      <c r="O1130" t="s">
        <v>315</v>
      </c>
      <c r="P1130">
        <v>-20.199687000000001</v>
      </c>
      <c r="Q1130">
        <v>-44.941882999999997</v>
      </c>
      <c r="R1130" s="2" t="str">
        <f>HYPERLINK("https://www.google.com/maps?q=-20.1996870,-44.9418830","Abrir no Google Maps")</f>
        <v>Abrir no Google Maps</v>
      </c>
      <c r="S1130">
        <v>3</v>
      </c>
      <c r="T1130">
        <v>928.80393950893483</v>
      </c>
      <c r="U1130">
        <v>4</v>
      </c>
      <c r="V1130">
        <v>27</v>
      </c>
      <c r="W1130">
        <v>1</v>
      </c>
      <c r="X1130">
        <v>27</v>
      </c>
      <c r="Y1130">
        <v>113</v>
      </c>
      <c r="Z1130">
        <v>798.11967422937732</v>
      </c>
      <c r="AA1130">
        <v>198</v>
      </c>
      <c r="AB1130">
        <v>332</v>
      </c>
      <c r="AC1130">
        <v>536</v>
      </c>
      <c r="AD1130">
        <v>29.96</v>
      </c>
      <c r="AE1130">
        <v>542</v>
      </c>
      <c r="AF1130">
        <v>29</v>
      </c>
      <c r="AG1130">
        <v>174</v>
      </c>
      <c r="AH1130">
        <v>129</v>
      </c>
      <c r="AI1130">
        <v>5.35</v>
      </c>
      <c r="AJ1130">
        <v>32.1</v>
      </c>
      <c r="AK1130">
        <v>23.8</v>
      </c>
      <c r="AL1130">
        <v>-20.199663899999958</v>
      </c>
      <c r="AM1130">
        <v>-44.941858448694838</v>
      </c>
      <c r="AN1130">
        <v>-20.199663899999958</v>
      </c>
      <c r="AO1130">
        <v>-44.941858448694838</v>
      </c>
      <c r="AP1130">
        <v>-20.199687000000001</v>
      </c>
      <c r="AQ1130">
        <v>-44.941882999999997</v>
      </c>
      <c r="AR1130">
        <v>3.632019521873886</v>
      </c>
      <c r="AS1130" t="s">
        <v>65</v>
      </c>
      <c r="AT1130">
        <v>1</v>
      </c>
      <c r="AU1130" t="s">
        <v>1239</v>
      </c>
      <c r="AV1130" t="s">
        <v>1240</v>
      </c>
      <c r="AW1130" t="s">
        <v>60</v>
      </c>
      <c r="AX1130" t="s">
        <v>68</v>
      </c>
      <c r="AY1130" t="s">
        <v>69</v>
      </c>
      <c r="AZ1130" t="b">
        <v>1</v>
      </c>
    </row>
    <row r="1131" spans="1:52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2128</v>
      </c>
      <c r="F1131" t="s">
        <v>190</v>
      </c>
      <c r="G1131" t="s">
        <v>833</v>
      </c>
      <c r="H1131" t="s">
        <v>834</v>
      </c>
      <c r="I1131" t="s">
        <v>834</v>
      </c>
      <c r="J1131" t="s">
        <v>60</v>
      </c>
      <c r="K1131" t="s">
        <v>388</v>
      </c>
      <c r="L1131" t="s">
        <v>62</v>
      </c>
      <c r="M1131" t="s">
        <v>388</v>
      </c>
      <c r="N1131" t="s">
        <v>835</v>
      </c>
      <c r="O1131" t="s">
        <v>836</v>
      </c>
      <c r="P1131">
        <v>-20.157906000000001</v>
      </c>
      <c r="Q1131">
        <v>-44.900458999999998</v>
      </c>
      <c r="R1131" s="2" t="str">
        <f>HYPERLINK("https://www.google.com/maps?q=-20.1579060,-44.9004590","Abrir no Google Maps")</f>
        <v>Abrir no Google Maps</v>
      </c>
      <c r="S1131">
        <v>3</v>
      </c>
      <c r="T1131">
        <v>0</v>
      </c>
      <c r="U1131">
        <v>3</v>
      </c>
      <c r="V1131">
        <v>16</v>
      </c>
      <c r="W1131">
        <v>1</v>
      </c>
      <c r="X1131">
        <v>16</v>
      </c>
      <c r="Y1131">
        <v>729</v>
      </c>
      <c r="Z1131">
        <v>203.63168486652771</v>
      </c>
      <c r="AA1131">
        <v>198</v>
      </c>
      <c r="AB1131">
        <v>332</v>
      </c>
      <c r="AC1131">
        <v>536</v>
      </c>
      <c r="AD1131">
        <v>29.96</v>
      </c>
      <c r="AE1131">
        <v>542</v>
      </c>
      <c r="AF1131">
        <v>29</v>
      </c>
      <c r="AG1131">
        <v>174</v>
      </c>
      <c r="AH1131">
        <v>129</v>
      </c>
      <c r="AI1131">
        <v>5.35</v>
      </c>
      <c r="AJ1131">
        <v>32.1</v>
      </c>
      <c r="AK1131">
        <v>23.8</v>
      </c>
      <c r="AL1131">
        <v>-20.157925749999951</v>
      </c>
      <c r="AM1131">
        <v>-44.900484707799812</v>
      </c>
      <c r="AN1131">
        <v>-20.157925749999951</v>
      </c>
      <c r="AO1131">
        <v>-44.900484707799812</v>
      </c>
      <c r="AP1131">
        <v>-20.157906000000001</v>
      </c>
      <c r="AQ1131">
        <v>-44.900458999999998</v>
      </c>
      <c r="AR1131">
        <v>3.4714515960382508</v>
      </c>
      <c r="AS1131" t="s">
        <v>65</v>
      </c>
      <c r="AT1131">
        <v>1</v>
      </c>
      <c r="AU1131" t="s">
        <v>837</v>
      </c>
      <c r="AV1131" t="s">
        <v>838</v>
      </c>
      <c r="AW1131" t="s">
        <v>60</v>
      </c>
      <c r="AX1131" t="s">
        <v>68</v>
      </c>
      <c r="AY1131" t="s">
        <v>69</v>
      </c>
      <c r="AZ1131" t="b">
        <v>1</v>
      </c>
    </row>
    <row r="1132" spans="1:52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2128</v>
      </c>
      <c r="F1132" t="s">
        <v>190</v>
      </c>
      <c r="G1132" t="s">
        <v>386</v>
      </c>
      <c r="H1132" t="s">
        <v>387</v>
      </c>
      <c r="I1132" t="s">
        <v>387</v>
      </c>
      <c r="J1132" t="s">
        <v>60</v>
      </c>
      <c r="K1132" t="s">
        <v>388</v>
      </c>
      <c r="L1132" t="s">
        <v>62</v>
      </c>
      <c r="M1132" t="s">
        <v>388</v>
      </c>
      <c r="N1132" t="s">
        <v>389</v>
      </c>
      <c r="O1132" t="s">
        <v>357</v>
      </c>
      <c r="P1132">
        <v>-20.161041999999998</v>
      </c>
      <c r="Q1132">
        <v>-44.901242000000003</v>
      </c>
      <c r="R1132" s="2" t="str">
        <f>HYPERLINK("https://www.google.com/maps?q=-20.1610420,-44.9012420","Abrir no Google Maps")</f>
        <v>Abrir no Google Maps</v>
      </c>
      <c r="S1132">
        <v>3</v>
      </c>
      <c r="T1132">
        <v>440.22183232279212</v>
      </c>
      <c r="U1132">
        <v>3</v>
      </c>
      <c r="V1132">
        <v>18</v>
      </c>
      <c r="W1132">
        <v>1</v>
      </c>
      <c r="X1132">
        <v>18</v>
      </c>
      <c r="Y1132">
        <v>729</v>
      </c>
      <c r="Z1132">
        <v>398.48306829302379</v>
      </c>
      <c r="AA1132">
        <v>198</v>
      </c>
      <c r="AB1132">
        <v>332</v>
      </c>
      <c r="AC1132">
        <v>536</v>
      </c>
      <c r="AD1132">
        <v>29.96</v>
      </c>
      <c r="AE1132">
        <v>542</v>
      </c>
      <c r="AF1132">
        <v>29</v>
      </c>
      <c r="AG1132">
        <v>174</v>
      </c>
      <c r="AH1132">
        <v>129</v>
      </c>
      <c r="AI1132">
        <v>5.35</v>
      </c>
      <c r="AJ1132">
        <v>32.1</v>
      </c>
      <c r="AK1132">
        <v>23.8</v>
      </c>
      <c r="AL1132">
        <v>-20.16176629999995</v>
      </c>
      <c r="AM1132">
        <v>-44.901582787827898</v>
      </c>
      <c r="AN1132">
        <v>-20.16176629999995</v>
      </c>
      <c r="AO1132">
        <v>-44.901582787827898</v>
      </c>
      <c r="AP1132">
        <v>-20.161041999999998</v>
      </c>
      <c r="AQ1132">
        <v>-44.901242000000003</v>
      </c>
      <c r="AR1132">
        <v>88.143369157892835</v>
      </c>
      <c r="AS1132" t="s">
        <v>65</v>
      </c>
      <c r="AT1132">
        <v>1</v>
      </c>
      <c r="AU1132" t="s">
        <v>390</v>
      </c>
      <c r="AV1132" t="s">
        <v>391</v>
      </c>
      <c r="AW1132" t="s">
        <v>60</v>
      </c>
      <c r="AX1132" t="s">
        <v>68</v>
      </c>
      <c r="AY1132" t="s">
        <v>69</v>
      </c>
      <c r="AZ1132" t="b">
        <v>1</v>
      </c>
    </row>
    <row r="1133" spans="1:52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2128</v>
      </c>
      <c r="F1133" t="s">
        <v>190</v>
      </c>
      <c r="G1133" t="s">
        <v>404</v>
      </c>
      <c r="H1133" t="s">
        <v>405</v>
      </c>
      <c r="I1133" t="s">
        <v>405</v>
      </c>
      <c r="J1133" t="s">
        <v>60</v>
      </c>
      <c r="K1133" t="s">
        <v>388</v>
      </c>
      <c r="L1133" t="s">
        <v>62</v>
      </c>
      <c r="M1133" t="s">
        <v>388</v>
      </c>
      <c r="N1133" t="s">
        <v>406</v>
      </c>
      <c r="O1133" t="s">
        <v>407</v>
      </c>
      <c r="P1133">
        <v>-20.162780999999999</v>
      </c>
      <c r="Q1133">
        <v>-44.904437999999999</v>
      </c>
      <c r="R1133" s="2" t="str">
        <f>HYPERLINK("https://www.google.com/maps?q=-20.1627810,-44.9044380","Abrir no Google Maps")</f>
        <v>Abrir no Google Maps</v>
      </c>
      <c r="S1133">
        <v>3</v>
      </c>
      <c r="T1133">
        <v>681.0891377731482</v>
      </c>
      <c r="U1133">
        <v>3</v>
      </c>
      <c r="V1133">
        <v>19</v>
      </c>
      <c r="W1133">
        <v>1</v>
      </c>
      <c r="X1133">
        <v>19</v>
      </c>
      <c r="Y1133">
        <v>729</v>
      </c>
      <c r="Z1133">
        <v>564.17713687218622</v>
      </c>
      <c r="AA1133">
        <v>198</v>
      </c>
      <c r="AB1133">
        <v>332</v>
      </c>
      <c r="AC1133">
        <v>536</v>
      </c>
      <c r="AD1133">
        <v>29.96</v>
      </c>
      <c r="AE1133">
        <v>542</v>
      </c>
      <c r="AF1133">
        <v>29</v>
      </c>
      <c r="AG1133">
        <v>174</v>
      </c>
      <c r="AH1133">
        <v>129</v>
      </c>
      <c r="AI1133">
        <v>5.35</v>
      </c>
      <c r="AJ1133">
        <v>32.1</v>
      </c>
      <c r="AK1133">
        <v>23.8</v>
      </c>
      <c r="AL1133">
        <v>-20.16295434999995</v>
      </c>
      <c r="AM1133">
        <v>-44.904242686956152</v>
      </c>
      <c r="AN1133">
        <v>-20.16295434999995</v>
      </c>
      <c r="AO1133">
        <v>-44.904242686956152</v>
      </c>
      <c r="AP1133">
        <v>-20.162780999999999</v>
      </c>
      <c r="AQ1133">
        <v>-44.904437999999999</v>
      </c>
      <c r="AR1133">
        <v>28.088191280523411</v>
      </c>
      <c r="AS1133" t="s">
        <v>65</v>
      </c>
      <c r="AT1133">
        <v>1</v>
      </c>
      <c r="AU1133" t="s">
        <v>408</v>
      </c>
      <c r="AV1133" t="s">
        <v>409</v>
      </c>
      <c r="AW1133" t="s">
        <v>60</v>
      </c>
      <c r="AX1133" t="s">
        <v>68</v>
      </c>
      <c r="AY1133" t="s">
        <v>69</v>
      </c>
      <c r="AZ1133" t="b">
        <v>1</v>
      </c>
    </row>
    <row r="1134" spans="1:52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2128</v>
      </c>
      <c r="F1134" t="s">
        <v>190</v>
      </c>
      <c r="G1134" t="s">
        <v>429</v>
      </c>
      <c r="H1134" t="s">
        <v>430</v>
      </c>
      <c r="I1134" t="s">
        <v>430</v>
      </c>
      <c r="J1134" t="s">
        <v>60</v>
      </c>
      <c r="K1134" t="s">
        <v>431</v>
      </c>
      <c r="L1134" t="s">
        <v>62</v>
      </c>
      <c r="M1134" t="s">
        <v>431</v>
      </c>
      <c r="N1134" t="s">
        <v>432</v>
      </c>
      <c r="O1134" t="s">
        <v>315</v>
      </c>
      <c r="P1134">
        <v>-20.172698</v>
      </c>
      <c r="Q1134">
        <v>-44.923842</v>
      </c>
      <c r="R1134" s="2" t="str">
        <f>HYPERLINK("https://www.google.com/maps?q=-20.1726980,-44.9238420","Abrir no Google Maps")</f>
        <v>Abrir no Google Maps</v>
      </c>
      <c r="S1134">
        <v>3</v>
      </c>
      <c r="T1134">
        <v>1376.1843173402931</v>
      </c>
      <c r="U1134">
        <v>3</v>
      </c>
      <c r="V1134">
        <v>23</v>
      </c>
      <c r="W1134">
        <v>0.85</v>
      </c>
      <c r="X1134">
        <v>19.55</v>
      </c>
      <c r="Y1134">
        <v>723</v>
      </c>
      <c r="Z1134">
        <v>1101.340635002096</v>
      </c>
      <c r="AA1134">
        <v>198</v>
      </c>
      <c r="AB1134">
        <v>332</v>
      </c>
      <c r="AC1134">
        <v>536</v>
      </c>
      <c r="AD1134">
        <v>29.96</v>
      </c>
      <c r="AE1134">
        <v>542</v>
      </c>
      <c r="AF1134">
        <v>29</v>
      </c>
      <c r="AG1134">
        <v>174</v>
      </c>
      <c r="AH1134">
        <v>129</v>
      </c>
      <c r="AI1134">
        <v>5.35</v>
      </c>
      <c r="AJ1134">
        <v>32.1</v>
      </c>
      <c r="AK1134">
        <v>23.8</v>
      </c>
      <c r="AL1134">
        <v>-20.172942799999959</v>
      </c>
      <c r="AM1134">
        <v>-44.923585372665762</v>
      </c>
      <c r="AN1134">
        <v>-20.172942799999959</v>
      </c>
      <c r="AO1134">
        <v>-44.923585372665762</v>
      </c>
      <c r="AP1134">
        <v>-20.172698</v>
      </c>
      <c r="AQ1134">
        <v>-44.923842</v>
      </c>
      <c r="AR1134">
        <v>38.231981408478958</v>
      </c>
      <c r="AS1134" t="s">
        <v>65</v>
      </c>
      <c r="AT1134">
        <v>1</v>
      </c>
      <c r="AU1134" t="s">
        <v>433</v>
      </c>
      <c r="AV1134" t="s">
        <v>434</v>
      </c>
      <c r="AW1134" t="s">
        <v>60</v>
      </c>
      <c r="AX1134" t="s">
        <v>68</v>
      </c>
      <c r="AY1134" t="s">
        <v>69</v>
      </c>
      <c r="AZ1134" t="b">
        <v>1</v>
      </c>
    </row>
    <row r="1135" spans="1:52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2128</v>
      </c>
      <c r="F1135" t="s">
        <v>190</v>
      </c>
      <c r="G1135" t="s">
        <v>1312</v>
      </c>
      <c r="H1135" t="s">
        <v>1313</v>
      </c>
      <c r="I1135" t="s">
        <v>1313</v>
      </c>
      <c r="J1135" t="s">
        <v>60</v>
      </c>
      <c r="K1135" t="s">
        <v>1314</v>
      </c>
      <c r="L1135" t="s">
        <v>62</v>
      </c>
      <c r="M1135" t="s">
        <v>1314</v>
      </c>
      <c r="N1135" t="s">
        <v>1315</v>
      </c>
      <c r="O1135" t="s">
        <v>315</v>
      </c>
      <c r="P1135">
        <v>-20.179649999999999</v>
      </c>
      <c r="Q1135">
        <v>-44.927177</v>
      </c>
      <c r="R1135" s="2" t="str">
        <f>HYPERLINK("https://www.google.com/maps?q=-20.1796500,-44.9271770","Abrir no Google Maps")</f>
        <v>Abrir no Google Maps</v>
      </c>
      <c r="S1135">
        <v>3</v>
      </c>
      <c r="T1135">
        <v>1742.181438658615</v>
      </c>
      <c r="U1135">
        <v>3</v>
      </c>
      <c r="V1135">
        <v>22</v>
      </c>
      <c r="W1135">
        <v>0.85</v>
      </c>
      <c r="X1135">
        <v>18.7</v>
      </c>
      <c r="Y1135">
        <v>723</v>
      </c>
      <c r="Z1135">
        <v>1801.262037027635</v>
      </c>
      <c r="AA1135">
        <v>198</v>
      </c>
      <c r="AB1135">
        <v>332</v>
      </c>
      <c r="AC1135">
        <v>536</v>
      </c>
      <c r="AD1135">
        <v>29.96</v>
      </c>
      <c r="AE1135">
        <v>542</v>
      </c>
      <c r="AF1135">
        <v>29</v>
      </c>
      <c r="AG1135">
        <v>174</v>
      </c>
      <c r="AH1135">
        <v>129</v>
      </c>
      <c r="AI1135">
        <v>5.35</v>
      </c>
      <c r="AJ1135">
        <v>32.1</v>
      </c>
      <c r="AK1135">
        <v>23.8</v>
      </c>
      <c r="AL1135">
        <v>-20.18058599999998</v>
      </c>
      <c r="AM1135">
        <v>-44.926708474999977</v>
      </c>
      <c r="AN1135">
        <v>-20.18058599999998</v>
      </c>
      <c r="AO1135">
        <v>-44.926708474999977</v>
      </c>
      <c r="AP1135">
        <v>-20.179649999999999</v>
      </c>
      <c r="AQ1135">
        <v>-44.927177</v>
      </c>
      <c r="AR1135">
        <v>115.1226868075416</v>
      </c>
      <c r="AS1135" t="s">
        <v>65</v>
      </c>
      <c r="AT1135">
        <v>1</v>
      </c>
      <c r="AU1135" t="s">
        <v>1316</v>
      </c>
      <c r="AV1135" t="s">
        <v>1317</v>
      </c>
      <c r="AW1135" t="s">
        <v>60</v>
      </c>
      <c r="AX1135" t="s">
        <v>68</v>
      </c>
      <c r="AY1135" t="s">
        <v>69</v>
      </c>
      <c r="AZ1135" t="b">
        <v>1</v>
      </c>
    </row>
    <row r="1136" spans="1:52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2128</v>
      </c>
      <c r="F1136" t="s">
        <v>190</v>
      </c>
      <c r="G1136" t="s">
        <v>435</v>
      </c>
      <c r="H1136" t="s">
        <v>436</v>
      </c>
      <c r="I1136" t="s">
        <v>436</v>
      </c>
      <c r="J1136" t="s">
        <v>60</v>
      </c>
      <c r="K1136" t="s">
        <v>437</v>
      </c>
      <c r="L1136" t="s">
        <v>62</v>
      </c>
      <c r="M1136" t="s">
        <v>437</v>
      </c>
      <c r="N1136" t="s">
        <v>438</v>
      </c>
      <c r="O1136" t="s">
        <v>439</v>
      </c>
      <c r="P1136">
        <v>-20.145613000000001</v>
      </c>
      <c r="Q1136">
        <v>-44.882375000000003</v>
      </c>
      <c r="R1136" s="2" t="str">
        <f>HYPERLINK("https://www.google.com/maps?q=-20.1456130,-44.8823750","Abrir no Google Maps")</f>
        <v>Abrir no Google Maps</v>
      </c>
      <c r="S1136">
        <v>3</v>
      </c>
      <c r="T1136">
        <v>305.65092112314198</v>
      </c>
      <c r="U1136">
        <v>3</v>
      </c>
      <c r="V1136">
        <v>18</v>
      </c>
      <c r="W1136">
        <v>1</v>
      </c>
      <c r="X1136">
        <v>18</v>
      </c>
      <c r="Y1136">
        <v>653</v>
      </c>
      <c r="Z1136">
        <v>349.55297035282501</v>
      </c>
      <c r="AA1136">
        <v>198</v>
      </c>
      <c r="AB1136">
        <v>332</v>
      </c>
      <c r="AC1136">
        <v>536</v>
      </c>
      <c r="AD1136">
        <v>29.96</v>
      </c>
      <c r="AE1136">
        <v>542</v>
      </c>
      <c r="AF1136">
        <v>29</v>
      </c>
      <c r="AG1136">
        <v>174</v>
      </c>
      <c r="AH1136">
        <v>129</v>
      </c>
      <c r="AI1136">
        <v>5.35</v>
      </c>
      <c r="AJ1136">
        <v>32.1</v>
      </c>
      <c r="AK1136">
        <v>23.8</v>
      </c>
      <c r="AL1136">
        <v>-20.14550464999996</v>
      </c>
      <c r="AM1136">
        <v>-44.882157007077737</v>
      </c>
      <c r="AN1136">
        <v>-20.14550464999996</v>
      </c>
      <c r="AO1136">
        <v>-44.882157007077737</v>
      </c>
      <c r="AP1136">
        <v>-20.145613000000001</v>
      </c>
      <c r="AQ1136">
        <v>-44.882375000000003</v>
      </c>
      <c r="AR1136">
        <v>25.77819791856259</v>
      </c>
      <c r="AS1136" t="s">
        <v>65</v>
      </c>
      <c r="AT1136">
        <v>1</v>
      </c>
      <c r="AU1136" t="s">
        <v>440</v>
      </c>
      <c r="AV1136" t="s">
        <v>441</v>
      </c>
      <c r="AW1136" t="s">
        <v>60</v>
      </c>
      <c r="AX1136" t="s">
        <v>68</v>
      </c>
      <c r="AY1136" t="s">
        <v>69</v>
      </c>
      <c r="AZ1136" t="b">
        <v>1</v>
      </c>
    </row>
    <row r="1137" spans="1:52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2128</v>
      </c>
      <c r="F1137" t="s">
        <v>190</v>
      </c>
      <c r="G1137" t="s">
        <v>1333</v>
      </c>
      <c r="H1137" t="s">
        <v>1334</v>
      </c>
      <c r="I1137" t="s">
        <v>1334</v>
      </c>
      <c r="J1137" t="s">
        <v>60</v>
      </c>
      <c r="K1137" t="s">
        <v>437</v>
      </c>
      <c r="L1137" t="s">
        <v>62</v>
      </c>
      <c r="M1137" t="s">
        <v>437</v>
      </c>
      <c r="N1137" t="s">
        <v>1335</v>
      </c>
      <c r="O1137" t="s">
        <v>807</v>
      </c>
      <c r="P1137">
        <v>-20.148</v>
      </c>
      <c r="Q1137">
        <v>-44.880944999999997</v>
      </c>
      <c r="R1137" s="2" t="str">
        <f>HYPERLINK("https://www.google.com/maps?q=-20.1480000,-44.8809450","Abrir no Google Maps")</f>
        <v>Abrir no Google Maps</v>
      </c>
      <c r="S1137">
        <v>3</v>
      </c>
      <c r="T1137">
        <v>0</v>
      </c>
      <c r="U1137">
        <v>3</v>
      </c>
      <c r="V1137">
        <v>17</v>
      </c>
      <c r="W1137">
        <v>0.85</v>
      </c>
      <c r="X1137">
        <v>14.45</v>
      </c>
      <c r="Y1137">
        <v>653</v>
      </c>
      <c r="Z1137">
        <v>108.2792411420544</v>
      </c>
      <c r="AA1137">
        <v>198</v>
      </c>
      <c r="AB1137">
        <v>332</v>
      </c>
      <c r="AC1137">
        <v>536</v>
      </c>
      <c r="AD1137">
        <v>29.96</v>
      </c>
      <c r="AE1137">
        <v>542</v>
      </c>
      <c r="AF1137">
        <v>29</v>
      </c>
      <c r="AG1137">
        <v>174</v>
      </c>
      <c r="AH1137">
        <v>129</v>
      </c>
      <c r="AI1137">
        <v>5.35</v>
      </c>
      <c r="AJ1137">
        <v>32.1</v>
      </c>
      <c r="AK1137">
        <v>23.8</v>
      </c>
      <c r="AL1137">
        <v>-20.14802099999994</v>
      </c>
      <c r="AM1137">
        <v>-44.880951206225959</v>
      </c>
      <c r="AN1137">
        <v>-20.14802099999994</v>
      </c>
      <c r="AO1137">
        <v>-44.880951206225959</v>
      </c>
      <c r="AP1137">
        <v>-20.148</v>
      </c>
      <c r="AQ1137">
        <v>-44.880944999999997</v>
      </c>
      <c r="AR1137">
        <v>2.4260288619737169</v>
      </c>
      <c r="AS1137" t="s">
        <v>65</v>
      </c>
      <c r="AT1137">
        <v>1</v>
      </c>
      <c r="AU1137" t="s">
        <v>1336</v>
      </c>
      <c r="AV1137" t="s">
        <v>1337</v>
      </c>
      <c r="AW1137" t="s">
        <v>60</v>
      </c>
      <c r="AX1137" t="s">
        <v>68</v>
      </c>
      <c r="AY1137" t="s">
        <v>69</v>
      </c>
      <c r="AZ1137" t="b">
        <v>1</v>
      </c>
    </row>
    <row r="1138" spans="1:52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2128</v>
      </c>
      <c r="F1138" t="s">
        <v>190</v>
      </c>
      <c r="G1138" t="s">
        <v>442</v>
      </c>
      <c r="H1138" t="s">
        <v>443</v>
      </c>
      <c r="I1138" t="s">
        <v>443</v>
      </c>
      <c r="J1138" t="s">
        <v>60</v>
      </c>
      <c r="K1138" t="s">
        <v>437</v>
      </c>
      <c r="L1138" t="s">
        <v>62</v>
      </c>
      <c r="M1138" t="s">
        <v>437</v>
      </c>
      <c r="N1138" t="s">
        <v>444</v>
      </c>
      <c r="O1138" t="s">
        <v>445</v>
      </c>
      <c r="P1138">
        <v>-20.149744999999999</v>
      </c>
      <c r="Q1138">
        <v>-44.881385000000002</v>
      </c>
      <c r="R1138" s="2" t="str">
        <f>HYPERLINK("https://www.google.com/maps?q=-20.1497450,-44.8813850","Abrir no Google Maps")</f>
        <v>Abrir no Google Maps</v>
      </c>
      <c r="S1138">
        <v>3</v>
      </c>
      <c r="T1138">
        <v>188.80690546111239</v>
      </c>
      <c r="U1138">
        <v>3</v>
      </c>
      <c r="V1138">
        <v>17</v>
      </c>
      <c r="W1138">
        <v>1</v>
      </c>
      <c r="X1138">
        <v>17</v>
      </c>
      <c r="Y1138">
        <v>653</v>
      </c>
      <c r="Z1138">
        <v>86.575080390731017</v>
      </c>
      <c r="AA1138">
        <v>198</v>
      </c>
      <c r="AB1138">
        <v>332</v>
      </c>
      <c r="AC1138">
        <v>536</v>
      </c>
      <c r="AD1138">
        <v>29.96</v>
      </c>
      <c r="AE1138">
        <v>542</v>
      </c>
      <c r="AF1138">
        <v>29</v>
      </c>
      <c r="AG1138">
        <v>174</v>
      </c>
      <c r="AH1138">
        <v>129</v>
      </c>
      <c r="AI1138">
        <v>5.35</v>
      </c>
      <c r="AJ1138">
        <v>32.1</v>
      </c>
      <c r="AK1138">
        <v>23.8</v>
      </c>
      <c r="AL1138">
        <v>-20.149645149999941</v>
      </c>
      <c r="AM1138">
        <v>-44.881504585149607</v>
      </c>
      <c r="AN1138">
        <v>-20.149645149999941</v>
      </c>
      <c r="AO1138">
        <v>-44.881504585149607</v>
      </c>
      <c r="AP1138">
        <v>-20.149744999999999</v>
      </c>
      <c r="AQ1138">
        <v>-44.881385000000002</v>
      </c>
      <c r="AR1138">
        <v>16.725323110840389</v>
      </c>
      <c r="AS1138" t="s">
        <v>65</v>
      </c>
      <c r="AT1138">
        <v>1</v>
      </c>
      <c r="AU1138" t="s">
        <v>446</v>
      </c>
      <c r="AV1138" t="s">
        <v>447</v>
      </c>
      <c r="AW1138" t="s">
        <v>60</v>
      </c>
      <c r="AX1138" t="s">
        <v>68</v>
      </c>
      <c r="AY1138" t="s">
        <v>69</v>
      </c>
      <c r="AZ1138" t="b">
        <v>1</v>
      </c>
    </row>
    <row r="1139" spans="1:52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2128</v>
      </c>
      <c r="F1139" t="s">
        <v>190</v>
      </c>
      <c r="G1139" t="s">
        <v>454</v>
      </c>
      <c r="H1139" t="s">
        <v>455</v>
      </c>
      <c r="I1139" t="s">
        <v>455</v>
      </c>
      <c r="J1139" t="s">
        <v>60</v>
      </c>
      <c r="K1139" t="s">
        <v>456</v>
      </c>
      <c r="L1139" t="s">
        <v>62</v>
      </c>
      <c r="M1139" t="s">
        <v>456</v>
      </c>
      <c r="N1139" t="s">
        <v>102</v>
      </c>
      <c r="O1139" t="s">
        <v>457</v>
      </c>
      <c r="P1139">
        <v>-20.138373999999999</v>
      </c>
      <c r="Q1139">
        <v>-44.903756999999999</v>
      </c>
      <c r="R1139" s="2" t="str">
        <f>HYPERLINK("https://www.google.com/maps?q=-20.1383740,-44.9037570","Abrir no Google Maps")</f>
        <v>Abrir no Google Maps</v>
      </c>
      <c r="S1139">
        <v>3</v>
      </c>
      <c r="T1139">
        <v>357.59466273594461</v>
      </c>
      <c r="U1139">
        <v>3</v>
      </c>
      <c r="V1139">
        <v>17</v>
      </c>
      <c r="W1139">
        <v>1</v>
      </c>
      <c r="X1139">
        <v>17</v>
      </c>
      <c r="Y1139">
        <v>581</v>
      </c>
      <c r="Z1139">
        <v>406.92482694505992</v>
      </c>
      <c r="AA1139">
        <v>198</v>
      </c>
      <c r="AB1139">
        <v>332</v>
      </c>
      <c r="AC1139">
        <v>536</v>
      </c>
      <c r="AD1139">
        <v>29.96</v>
      </c>
      <c r="AE1139">
        <v>542</v>
      </c>
      <c r="AF1139">
        <v>29</v>
      </c>
      <c r="AG1139">
        <v>174</v>
      </c>
      <c r="AH1139">
        <v>129</v>
      </c>
      <c r="AI1139">
        <v>5.35</v>
      </c>
      <c r="AJ1139">
        <v>32.1</v>
      </c>
      <c r="AK1139">
        <v>23.8</v>
      </c>
      <c r="AL1139">
        <v>-20.138338199999961</v>
      </c>
      <c r="AM1139">
        <v>-44.903768618976301</v>
      </c>
      <c r="AN1139">
        <v>-20.138338199999961</v>
      </c>
      <c r="AO1139">
        <v>-44.903768618976301</v>
      </c>
      <c r="AP1139">
        <v>-20.138373999999999</v>
      </c>
      <c r="AQ1139">
        <v>-44.903756999999999</v>
      </c>
      <c r="AR1139">
        <v>4.1661625938922704</v>
      </c>
      <c r="AS1139" t="s">
        <v>65</v>
      </c>
      <c r="AT1139">
        <v>1</v>
      </c>
      <c r="AU1139" t="s">
        <v>458</v>
      </c>
      <c r="AV1139" t="s">
        <v>459</v>
      </c>
      <c r="AW1139" t="s">
        <v>60</v>
      </c>
      <c r="AX1139" t="s">
        <v>68</v>
      </c>
      <c r="AY1139" t="s">
        <v>69</v>
      </c>
      <c r="AZ1139" t="b">
        <v>1</v>
      </c>
    </row>
    <row r="1140" spans="1:52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2128</v>
      </c>
      <c r="F1140" t="s">
        <v>190</v>
      </c>
      <c r="G1140" t="s">
        <v>460</v>
      </c>
      <c r="H1140" t="s">
        <v>461</v>
      </c>
      <c r="I1140" t="s">
        <v>461</v>
      </c>
      <c r="J1140" t="s">
        <v>60</v>
      </c>
      <c r="K1140" t="s">
        <v>462</v>
      </c>
      <c r="L1140" t="s">
        <v>62</v>
      </c>
      <c r="M1140" t="s">
        <v>462</v>
      </c>
      <c r="N1140" t="s">
        <v>463</v>
      </c>
      <c r="O1140" t="s">
        <v>464</v>
      </c>
      <c r="P1140">
        <v>-20.137919</v>
      </c>
      <c r="Q1140">
        <v>-44.905591000000001</v>
      </c>
      <c r="R1140" s="2" t="str">
        <f>HYPERLINK("https://www.google.com/maps?q=-20.1379190,-44.9055910","Abrir no Google Maps")</f>
        <v>Abrir no Google Maps</v>
      </c>
      <c r="S1140">
        <v>3</v>
      </c>
      <c r="T1140">
        <v>262.01115919461103</v>
      </c>
      <c r="U1140">
        <v>3</v>
      </c>
      <c r="V1140">
        <v>16</v>
      </c>
      <c r="W1140">
        <v>1</v>
      </c>
      <c r="X1140">
        <v>16</v>
      </c>
      <c r="Y1140">
        <v>581</v>
      </c>
      <c r="Z1140">
        <v>318.63337303219271</v>
      </c>
      <c r="AA1140">
        <v>198</v>
      </c>
      <c r="AB1140">
        <v>332</v>
      </c>
      <c r="AC1140">
        <v>536</v>
      </c>
      <c r="AD1140">
        <v>29.96</v>
      </c>
      <c r="AE1140">
        <v>542</v>
      </c>
      <c r="AF1140">
        <v>29</v>
      </c>
      <c r="AG1140">
        <v>174</v>
      </c>
      <c r="AH1140">
        <v>129</v>
      </c>
      <c r="AI1140">
        <v>5.35</v>
      </c>
      <c r="AJ1140">
        <v>32.1</v>
      </c>
      <c r="AK1140">
        <v>23.8</v>
      </c>
      <c r="AL1140">
        <v>-20.13789079999998</v>
      </c>
      <c r="AM1140">
        <v>-44.90548593520333</v>
      </c>
      <c r="AN1140">
        <v>-20.13789079999998</v>
      </c>
      <c r="AO1140">
        <v>-44.90548593520333</v>
      </c>
      <c r="AP1140">
        <v>-20.137919</v>
      </c>
      <c r="AQ1140">
        <v>-44.905591000000001</v>
      </c>
      <c r="AR1140">
        <v>11.42072348298178</v>
      </c>
      <c r="AS1140" t="s">
        <v>65</v>
      </c>
      <c r="AT1140">
        <v>1</v>
      </c>
      <c r="AU1140" t="s">
        <v>465</v>
      </c>
      <c r="AV1140" t="s">
        <v>466</v>
      </c>
      <c r="AW1140" t="s">
        <v>60</v>
      </c>
      <c r="AX1140" t="s">
        <v>68</v>
      </c>
      <c r="AY1140" t="s">
        <v>69</v>
      </c>
      <c r="AZ1140" t="b">
        <v>1</v>
      </c>
    </row>
    <row r="1141" spans="1:52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2128</v>
      </c>
      <c r="F1141" t="s">
        <v>190</v>
      </c>
      <c r="G1141" t="s">
        <v>851</v>
      </c>
      <c r="H1141" t="s">
        <v>852</v>
      </c>
      <c r="I1141" t="s">
        <v>852</v>
      </c>
      <c r="J1141" t="s">
        <v>60</v>
      </c>
      <c r="K1141" t="s">
        <v>853</v>
      </c>
      <c r="L1141" t="s">
        <v>62</v>
      </c>
      <c r="M1141" t="s">
        <v>853</v>
      </c>
      <c r="N1141" t="s">
        <v>854</v>
      </c>
      <c r="O1141" t="s">
        <v>855</v>
      </c>
      <c r="P1141">
        <v>-20.127835000000001</v>
      </c>
      <c r="Q1141">
        <v>-44.909329</v>
      </c>
      <c r="R1141" s="2" t="str">
        <f>HYPERLINK("https://www.google.com/maps?q=-20.1278350,-44.9093290","Abrir no Google Maps")</f>
        <v>Abrir no Google Maps</v>
      </c>
      <c r="S1141">
        <v>3</v>
      </c>
      <c r="T1141">
        <v>1173.033690896357</v>
      </c>
      <c r="U1141">
        <v>3</v>
      </c>
      <c r="V1141">
        <v>18</v>
      </c>
      <c r="W1141">
        <v>1</v>
      </c>
      <c r="X1141">
        <v>18</v>
      </c>
      <c r="Y1141">
        <v>581</v>
      </c>
      <c r="Z1141">
        <v>1296.5011565926129</v>
      </c>
      <c r="AA1141">
        <v>198</v>
      </c>
      <c r="AB1141">
        <v>332</v>
      </c>
      <c r="AC1141">
        <v>536</v>
      </c>
      <c r="AD1141">
        <v>29.96</v>
      </c>
      <c r="AE1141">
        <v>542</v>
      </c>
      <c r="AF1141">
        <v>29</v>
      </c>
      <c r="AG1141">
        <v>174</v>
      </c>
      <c r="AH1141">
        <v>129</v>
      </c>
      <c r="AI1141">
        <v>5.35</v>
      </c>
      <c r="AJ1141">
        <v>32.1</v>
      </c>
      <c r="AK1141">
        <v>23.8</v>
      </c>
      <c r="AL1141">
        <v>-20.127852899999969</v>
      </c>
      <c r="AM1141">
        <v>-44.909386667699948</v>
      </c>
      <c r="AN1141">
        <v>-20.127852899999969</v>
      </c>
      <c r="AO1141">
        <v>-44.909386667699948</v>
      </c>
      <c r="AP1141">
        <v>-20.127835000000001</v>
      </c>
      <c r="AQ1141">
        <v>-44.909329</v>
      </c>
      <c r="AR1141">
        <v>6.3483385067119924</v>
      </c>
      <c r="AS1141" t="s">
        <v>65</v>
      </c>
      <c r="AT1141">
        <v>1</v>
      </c>
      <c r="AU1141" t="s">
        <v>856</v>
      </c>
      <c r="AV1141" t="s">
        <v>857</v>
      </c>
      <c r="AW1141" t="s">
        <v>60</v>
      </c>
      <c r="AX1141" t="s">
        <v>68</v>
      </c>
      <c r="AY1141" t="s">
        <v>69</v>
      </c>
      <c r="AZ1141" t="b">
        <v>1</v>
      </c>
    </row>
    <row r="1142" spans="1:52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2128</v>
      </c>
      <c r="F1142" t="s">
        <v>190</v>
      </c>
      <c r="G1142" t="s">
        <v>858</v>
      </c>
      <c r="H1142" t="s">
        <v>1360</v>
      </c>
      <c r="I1142" t="s">
        <v>1360</v>
      </c>
      <c r="J1142" t="s">
        <v>60</v>
      </c>
      <c r="K1142" t="s">
        <v>1356</v>
      </c>
      <c r="L1142" t="s">
        <v>62</v>
      </c>
      <c r="M1142" t="s">
        <v>1356</v>
      </c>
      <c r="N1142" t="s">
        <v>860</v>
      </c>
      <c r="O1142" t="s">
        <v>1361</v>
      </c>
      <c r="P1142">
        <v>-20.134969000000002</v>
      </c>
      <c r="Q1142">
        <v>-44.909384000000003</v>
      </c>
      <c r="R1142" s="2" t="str">
        <f>HYPERLINK("https://www.google.com/maps?q=-20.1349690,-44.9093840","Abrir no Google Maps")</f>
        <v>Abrir no Google Maps</v>
      </c>
      <c r="S1142">
        <v>3</v>
      </c>
      <c r="T1142">
        <v>413.6655911675532</v>
      </c>
      <c r="U1142">
        <v>3</v>
      </c>
      <c r="V1142">
        <v>17</v>
      </c>
      <c r="W1142">
        <v>0.85</v>
      </c>
      <c r="X1142">
        <v>14.45</v>
      </c>
      <c r="Y1142">
        <v>581</v>
      </c>
      <c r="Z1142">
        <v>555.30228470489919</v>
      </c>
      <c r="AA1142">
        <v>198</v>
      </c>
      <c r="AB1142">
        <v>332</v>
      </c>
      <c r="AC1142">
        <v>536</v>
      </c>
      <c r="AD1142">
        <v>29.96</v>
      </c>
      <c r="AE1142">
        <v>542</v>
      </c>
      <c r="AF1142">
        <v>29</v>
      </c>
      <c r="AG1142">
        <v>174</v>
      </c>
      <c r="AH1142">
        <v>129</v>
      </c>
      <c r="AI1142">
        <v>5.35</v>
      </c>
      <c r="AJ1142">
        <v>32.1</v>
      </c>
      <c r="AK1142">
        <v>23.8</v>
      </c>
      <c r="AL1142">
        <v>-20.134922099999951</v>
      </c>
      <c r="AM1142">
        <v>-44.909483975879112</v>
      </c>
      <c r="AN1142">
        <v>-20.134922099999951</v>
      </c>
      <c r="AO1142">
        <v>-44.909483975879112</v>
      </c>
      <c r="AP1142">
        <v>-20.134969000000002</v>
      </c>
      <c r="AQ1142">
        <v>-44.909384000000003</v>
      </c>
      <c r="AR1142">
        <v>11.68085867639515</v>
      </c>
      <c r="AS1142" t="s">
        <v>65</v>
      </c>
      <c r="AT1142">
        <v>1</v>
      </c>
      <c r="AU1142" t="s">
        <v>1362</v>
      </c>
      <c r="AV1142" t="s">
        <v>1363</v>
      </c>
      <c r="AW1142" t="s">
        <v>60</v>
      </c>
      <c r="AX1142" t="s">
        <v>68</v>
      </c>
      <c r="AY1142" t="s">
        <v>69</v>
      </c>
      <c r="AZ1142" t="b">
        <v>1</v>
      </c>
    </row>
    <row r="1143" spans="1:52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2128</v>
      </c>
      <c r="F1143" t="s">
        <v>190</v>
      </c>
      <c r="G1143" t="s">
        <v>479</v>
      </c>
      <c r="H1143" t="s">
        <v>480</v>
      </c>
      <c r="I1143" t="s">
        <v>480</v>
      </c>
      <c r="J1143" t="s">
        <v>60</v>
      </c>
      <c r="K1143" t="s">
        <v>388</v>
      </c>
      <c r="L1143" t="s">
        <v>62</v>
      </c>
      <c r="M1143" t="s">
        <v>388</v>
      </c>
      <c r="N1143" t="s">
        <v>481</v>
      </c>
      <c r="O1143" t="s">
        <v>315</v>
      </c>
      <c r="P1143">
        <v>-20.166903999999999</v>
      </c>
      <c r="Q1143">
        <v>-44.903492</v>
      </c>
      <c r="R1143" s="2" t="str">
        <f>HYPERLINK("https://www.google.com/maps?q=-20.1669040,-44.9034920","Abrir no Google Maps")</f>
        <v>Abrir no Google Maps</v>
      </c>
      <c r="S1143">
        <v>3</v>
      </c>
      <c r="T1143">
        <v>517.12253532511602</v>
      </c>
      <c r="U1143">
        <v>3</v>
      </c>
      <c r="V1143">
        <v>17</v>
      </c>
      <c r="W1143">
        <v>1</v>
      </c>
      <c r="X1143">
        <v>17</v>
      </c>
      <c r="Y1143">
        <v>578</v>
      </c>
      <c r="Z1143">
        <v>721.79551240050432</v>
      </c>
      <c r="AA1143">
        <v>198</v>
      </c>
      <c r="AB1143">
        <v>332</v>
      </c>
      <c r="AC1143">
        <v>536</v>
      </c>
      <c r="AD1143">
        <v>29.96</v>
      </c>
      <c r="AE1143">
        <v>542</v>
      </c>
      <c r="AF1143">
        <v>29</v>
      </c>
      <c r="AG1143">
        <v>174</v>
      </c>
      <c r="AH1143">
        <v>129</v>
      </c>
      <c r="AI1143">
        <v>5.35</v>
      </c>
      <c r="AJ1143">
        <v>32.1</v>
      </c>
      <c r="AK1143">
        <v>23.8</v>
      </c>
      <c r="AL1143">
        <v>-20.166610649999971</v>
      </c>
      <c r="AM1143">
        <v>-44.903452988928308</v>
      </c>
      <c r="AN1143">
        <v>-20.166610649999971</v>
      </c>
      <c r="AO1143">
        <v>-44.903452988928308</v>
      </c>
      <c r="AP1143">
        <v>-20.166903999999999</v>
      </c>
      <c r="AQ1143">
        <v>-44.903492</v>
      </c>
      <c r="AR1143">
        <v>32.909175876856217</v>
      </c>
      <c r="AS1143" t="s">
        <v>65</v>
      </c>
      <c r="AT1143">
        <v>1</v>
      </c>
      <c r="AU1143" t="s">
        <v>482</v>
      </c>
      <c r="AV1143" t="s">
        <v>483</v>
      </c>
      <c r="AW1143" t="s">
        <v>60</v>
      </c>
      <c r="AX1143" t="s">
        <v>68</v>
      </c>
      <c r="AY1143" t="s">
        <v>69</v>
      </c>
      <c r="AZ1143" t="b">
        <v>1</v>
      </c>
    </row>
    <row r="1144" spans="1:52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2128</v>
      </c>
      <c r="F1144" t="s">
        <v>190</v>
      </c>
      <c r="G1144" t="s">
        <v>484</v>
      </c>
      <c r="H1144" t="s">
        <v>485</v>
      </c>
      <c r="I1144" t="s">
        <v>485</v>
      </c>
      <c r="J1144" t="s">
        <v>60</v>
      </c>
      <c r="K1144" t="s">
        <v>486</v>
      </c>
      <c r="L1144" t="s">
        <v>62</v>
      </c>
      <c r="M1144" t="s">
        <v>486</v>
      </c>
      <c r="N1144" t="s">
        <v>487</v>
      </c>
      <c r="O1144" t="s">
        <v>488</v>
      </c>
      <c r="P1144">
        <v>-20.173000999999999</v>
      </c>
      <c r="Q1144">
        <v>-44.901876999999999</v>
      </c>
      <c r="R1144" s="2" t="str">
        <f>HYPERLINK("https://www.google.com/maps?q=-20.1730010,-44.9018770","Abrir no Google Maps")</f>
        <v>Abrir no Google Maps</v>
      </c>
      <c r="S1144">
        <v>3</v>
      </c>
      <c r="T1144">
        <v>437.59695450783011</v>
      </c>
      <c r="U1144">
        <v>3</v>
      </c>
      <c r="V1144">
        <v>19</v>
      </c>
      <c r="W1144">
        <v>1</v>
      </c>
      <c r="X1144">
        <v>19</v>
      </c>
      <c r="Y1144">
        <v>578</v>
      </c>
      <c r="Z1144">
        <v>440.53629183653243</v>
      </c>
      <c r="AA1144">
        <v>198</v>
      </c>
      <c r="AB1144">
        <v>332</v>
      </c>
      <c r="AC1144">
        <v>536</v>
      </c>
      <c r="AD1144">
        <v>29.96</v>
      </c>
      <c r="AE1144">
        <v>542</v>
      </c>
      <c r="AF1144">
        <v>29</v>
      </c>
      <c r="AG1144">
        <v>174</v>
      </c>
      <c r="AH1144">
        <v>129</v>
      </c>
      <c r="AI1144">
        <v>5.35</v>
      </c>
      <c r="AJ1144">
        <v>32.1</v>
      </c>
      <c r="AK1144">
        <v>23.8</v>
      </c>
      <c r="AL1144">
        <v>-20.173065299999969</v>
      </c>
      <c r="AM1144">
        <v>-44.902052686008687</v>
      </c>
      <c r="AN1144">
        <v>-20.173065299999969</v>
      </c>
      <c r="AO1144">
        <v>-44.902052686008687</v>
      </c>
      <c r="AP1144">
        <v>-20.173000999999999</v>
      </c>
      <c r="AQ1144">
        <v>-44.901876999999999</v>
      </c>
      <c r="AR1144">
        <v>19.703745070768829</v>
      </c>
      <c r="AS1144" t="s">
        <v>65</v>
      </c>
      <c r="AT1144">
        <v>1</v>
      </c>
      <c r="AU1144" t="s">
        <v>489</v>
      </c>
      <c r="AV1144" t="s">
        <v>490</v>
      </c>
      <c r="AW1144" t="s">
        <v>60</v>
      </c>
      <c r="AX1144" t="s">
        <v>68</v>
      </c>
      <c r="AY1144" t="s">
        <v>69</v>
      </c>
      <c r="AZ1144" t="b">
        <v>1</v>
      </c>
    </row>
    <row r="1145" spans="1:52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2128</v>
      </c>
      <c r="F1145" t="s">
        <v>190</v>
      </c>
      <c r="G1145" t="s">
        <v>497</v>
      </c>
      <c r="H1145" t="s">
        <v>875</v>
      </c>
      <c r="I1145" t="s">
        <v>875</v>
      </c>
      <c r="J1145" t="s">
        <v>60</v>
      </c>
      <c r="K1145" t="s">
        <v>475</v>
      </c>
      <c r="L1145" t="s">
        <v>62</v>
      </c>
      <c r="M1145" t="s">
        <v>475</v>
      </c>
      <c r="N1145" t="s">
        <v>499</v>
      </c>
      <c r="O1145" t="s">
        <v>876</v>
      </c>
      <c r="P1145">
        <v>-20.177212999999998</v>
      </c>
      <c r="Q1145">
        <v>-44.904026999999999</v>
      </c>
      <c r="R1145" s="2" t="str">
        <f>HYPERLINK("https://www.google.com/maps?q=-20.1772130,-44.9040270","Abrir no Google Maps")</f>
        <v>Abrir no Google Maps</v>
      </c>
      <c r="S1145">
        <v>3</v>
      </c>
      <c r="T1145">
        <v>706.4159561113795</v>
      </c>
      <c r="U1145">
        <v>3</v>
      </c>
      <c r="V1145">
        <v>16</v>
      </c>
      <c r="W1145">
        <v>1</v>
      </c>
      <c r="X1145">
        <v>16</v>
      </c>
      <c r="Y1145">
        <v>578</v>
      </c>
      <c r="Z1145">
        <v>588.7160518608398</v>
      </c>
      <c r="AA1145">
        <v>198</v>
      </c>
      <c r="AB1145">
        <v>332</v>
      </c>
      <c r="AC1145">
        <v>536</v>
      </c>
      <c r="AD1145">
        <v>29.96</v>
      </c>
      <c r="AE1145">
        <v>542</v>
      </c>
      <c r="AF1145">
        <v>29</v>
      </c>
      <c r="AG1145">
        <v>174</v>
      </c>
      <c r="AH1145">
        <v>129</v>
      </c>
      <c r="AI1145">
        <v>5.35</v>
      </c>
      <c r="AJ1145">
        <v>32.1</v>
      </c>
      <c r="AK1145">
        <v>23.8</v>
      </c>
      <c r="AL1145">
        <v>-20.177090199999949</v>
      </c>
      <c r="AM1145">
        <v>-44.904078820930181</v>
      </c>
      <c r="AN1145">
        <v>-20.177090199999949</v>
      </c>
      <c r="AO1145">
        <v>-44.904078820930181</v>
      </c>
      <c r="AP1145">
        <v>-20.177212999999998</v>
      </c>
      <c r="AQ1145">
        <v>-44.904026999999999</v>
      </c>
      <c r="AR1145">
        <v>14.7034129632295</v>
      </c>
      <c r="AS1145" t="s">
        <v>65</v>
      </c>
      <c r="AT1145">
        <v>1</v>
      </c>
      <c r="AU1145" t="s">
        <v>877</v>
      </c>
      <c r="AV1145" t="s">
        <v>878</v>
      </c>
      <c r="AW1145" t="s">
        <v>60</v>
      </c>
      <c r="AX1145" t="s">
        <v>68</v>
      </c>
      <c r="AY1145" t="s">
        <v>69</v>
      </c>
      <c r="AZ1145" t="b">
        <v>1</v>
      </c>
    </row>
    <row r="1146" spans="1:52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2128</v>
      </c>
      <c r="F1146" t="s">
        <v>190</v>
      </c>
      <c r="G1146" t="s">
        <v>503</v>
      </c>
      <c r="H1146" t="s">
        <v>504</v>
      </c>
      <c r="I1146" t="s">
        <v>504</v>
      </c>
      <c r="J1146" t="s">
        <v>60</v>
      </c>
      <c r="K1146" t="s">
        <v>505</v>
      </c>
      <c r="L1146" t="s">
        <v>62</v>
      </c>
      <c r="M1146" t="s">
        <v>505</v>
      </c>
      <c r="N1146" t="s">
        <v>506</v>
      </c>
      <c r="O1146" t="s">
        <v>507</v>
      </c>
      <c r="P1146">
        <v>-20.131428</v>
      </c>
      <c r="Q1146">
        <v>-44.888921000000003</v>
      </c>
      <c r="R1146" s="2" t="str">
        <f>HYPERLINK("https://www.google.com/maps?q=-20.1314280,-44.8889210","Abrir no Google Maps")</f>
        <v>Abrir no Google Maps</v>
      </c>
      <c r="S1146">
        <v>3</v>
      </c>
      <c r="T1146">
        <v>250.64150698244501</v>
      </c>
      <c r="U1146">
        <v>3</v>
      </c>
      <c r="V1146">
        <v>18</v>
      </c>
      <c r="W1146">
        <v>1</v>
      </c>
      <c r="X1146">
        <v>18</v>
      </c>
      <c r="Y1146">
        <v>564</v>
      </c>
      <c r="Z1146">
        <v>189.93933888952441</v>
      </c>
      <c r="AA1146">
        <v>198</v>
      </c>
      <c r="AB1146">
        <v>332</v>
      </c>
      <c r="AC1146">
        <v>536</v>
      </c>
      <c r="AD1146">
        <v>29.96</v>
      </c>
      <c r="AE1146">
        <v>542</v>
      </c>
      <c r="AF1146">
        <v>29</v>
      </c>
      <c r="AG1146">
        <v>174</v>
      </c>
      <c r="AH1146">
        <v>129</v>
      </c>
      <c r="AI1146">
        <v>5.35</v>
      </c>
      <c r="AJ1146">
        <v>32.1</v>
      </c>
      <c r="AK1146">
        <v>23.8</v>
      </c>
      <c r="AL1146">
        <v>-20.13123589999995</v>
      </c>
      <c r="AM1146">
        <v>-44.888742396501762</v>
      </c>
      <c r="AN1146">
        <v>-20.13123589999995</v>
      </c>
      <c r="AO1146">
        <v>-44.888742396501762</v>
      </c>
      <c r="AP1146">
        <v>-20.131428</v>
      </c>
      <c r="AQ1146">
        <v>-44.888921000000003</v>
      </c>
      <c r="AR1146">
        <v>28.386169462917032</v>
      </c>
      <c r="AS1146" t="s">
        <v>65</v>
      </c>
      <c r="AT1146">
        <v>1</v>
      </c>
      <c r="AU1146" t="s">
        <v>508</v>
      </c>
      <c r="AV1146" t="s">
        <v>509</v>
      </c>
      <c r="AW1146" t="s">
        <v>60</v>
      </c>
      <c r="AX1146" t="s">
        <v>68</v>
      </c>
      <c r="AY1146" t="s">
        <v>69</v>
      </c>
      <c r="AZ1146" t="b">
        <v>1</v>
      </c>
    </row>
    <row r="1147" spans="1:52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2128</v>
      </c>
      <c r="F1147" t="s">
        <v>190</v>
      </c>
      <c r="G1147" t="s">
        <v>510</v>
      </c>
      <c r="H1147" t="s">
        <v>511</v>
      </c>
      <c r="I1147" t="s">
        <v>511</v>
      </c>
      <c r="J1147" t="s">
        <v>60</v>
      </c>
      <c r="K1147" t="s">
        <v>512</v>
      </c>
      <c r="L1147" t="s">
        <v>62</v>
      </c>
      <c r="M1147" t="s">
        <v>512</v>
      </c>
      <c r="N1147" t="s">
        <v>406</v>
      </c>
      <c r="O1147" t="s">
        <v>513</v>
      </c>
      <c r="P1147">
        <v>-20.127853000000002</v>
      </c>
      <c r="Q1147">
        <v>-44.891415000000002</v>
      </c>
      <c r="R1147" s="2" t="str">
        <f>HYPERLINK("https://www.google.com/maps?q=-20.1278530,-44.8914150","Abrir no Google Maps")</f>
        <v>Abrir no Google Maps</v>
      </c>
      <c r="S1147">
        <v>3</v>
      </c>
      <c r="T1147">
        <v>340.86994528233612</v>
      </c>
      <c r="U1147">
        <v>3</v>
      </c>
      <c r="V1147">
        <v>20</v>
      </c>
      <c r="W1147">
        <v>1</v>
      </c>
      <c r="X1147">
        <v>20</v>
      </c>
      <c r="Y1147">
        <v>564</v>
      </c>
      <c r="Z1147">
        <v>294.18108015916812</v>
      </c>
      <c r="AA1147">
        <v>198</v>
      </c>
      <c r="AB1147">
        <v>332</v>
      </c>
      <c r="AC1147">
        <v>536</v>
      </c>
      <c r="AD1147">
        <v>29.96</v>
      </c>
      <c r="AE1147">
        <v>542</v>
      </c>
      <c r="AF1147">
        <v>29</v>
      </c>
      <c r="AG1147">
        <v>174</v>
      </c>
      <c r="AH1147">
        <v>129</v>
      </c>
      <c r="AI1147">
        <v>5.35</v>
      </c>
      <c r="AJ1147">
        <v>32.1</v>
      </c>
      <c r="AK1147">
        <v>23.8</v>
      </c>
      <c r="AL1147">
        <v>-20.12777399999996</v>
      </c>
      <c r="AM1147">
        <v>-44.891400975758501</v>
      </c>
      <c r="AN1147">
        <v>-20.12777399999996</v>
      </c>
      <c r="AO1147">
        <v>-44.891400975758501</v>
      </c>
      <c r="AP1147">
        <v>-20.127853000000002</v>
      </c>
      <c r="AQ1147">
        <v>-44.891415000000002</v>
      </c>
      <c r="AR1147">
        <v>8.9156059162975616</v>
      </c>
      <c r="AS1147" t="s">
        <v>65</v>
      </c>
      <c r="AT1147">
        <v>1</v>
      </c>
      <c r="AU1147" t="s">
        <v>514</v>
      </c>
      <c r="AV1147" t="s">
        <v>515</v>
      </c>
      <c r="AW1147" t="s">
        <v>60</v>
      </c>
      <c r="AX1147" t="s">
        <v>68</v>
      </c>
      <c r="AY1147" t="s">
        <v>69</v>
      </c>
      <c r="AZ1147" t="b">
        <v>1</v>
      </c>
    </row>
    <row r="1148" spans="1:52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2128</v>
      </c>
      <c r="F1148" t="s">
        <v>190</v>
      </c>
      <c r="G1148" t="s">
        <v>516</v>
      </c>
      <c r="H1148" t="s">
        <v>517</v>
      </c>
      <c r="I1148" t="s">
        <v>517</v>
      </c>
      <c r="J1148" t="s">
        <v>60</v>
      </c>
      <c r="K1148" t="s">
        <v>518</v>
      </c>
      <c r="L1148" t="s">
        <v>62</v>
      </c>
      <c r="M1148" t="s">
        <v>518</v>
      </c>
      <c r="N1148" t="s">
        <v>519</v>
      </c>
      <c r="O1148" t="s">
        <v>520</v>
      </c>
      <c r="P1148">
        <v>-20.124502</v>
      </c>
      <c r="Q1148">
        <v>-44.888424000000001</v>
      </c>
      <c r="R1148" s="2" t="str">
        <f>HYPERLINK("https://www.google.com/maps?q=-20.1245020,-44.8884240","Abrir no Google Maps")</f>
        <v>Abrir no Google Maps</v>
      </c>
      <c r="S1148">
        <v>3</v>
      </c>
      <c r="T1148">
        <v>483.42298121929559</v>
      </c>
      <c r="U1148">
        <v>3</v>
      </c>
      <c r="V1148">
        <v>19</v>
      </c>
      <c r="W1148">
        <v>1</v>
      </c>
      <c r="X1148">
        <v>19</v>
      </c>
      <c r="Y1148">
        <v>564</v>
      </c>
      <c r="Z1148">
        <v>565.43074237076587</v>
      </c>
      <c r="AA1148">
        <v>198</v>
      </c>
      <c r="AB1148">
        <v>332</v>
      </c>
      <c r="AC1148">
        <v>536</v>
      </c>
      <c r="AD1148">
        <v>29.96</v>
      </c>
      <c r="AE1148">
        <v>542</v>
      </c>
      <c r="AF1148">
        <v>29</v>
      </c>
      <c r="AG1148">
        <v>174</v>
      </c>
      <c r="AH1148">
        <v>129</v>
      </c>
      <c r="AI1148">
        <v>5.35</v>
      </c>
      <c r="AJ1148">
        <v>32.1</v>
      </c>
      <c r="AK1148">
        <v>23.8</v>
      </c>
      <c r="AL1148">
        <v>-20.124624949999941</v>
      </c>
      <c r="AM1148">
        <v>-44.888432821777258</v>
      </c>
      <c r="AN1148">
        <v>-20.124624949999941</v>
      </c>
      <c r="AO1148">
        <v>-44.888432821777258</v>
      </c>
      <c r="AP1148">
        <v>-20.124502</v>
      </c>
      <c r="AQ1148">
        <v>-44.888424000000001</v>
      </c>
      <c r="AR1148">
        <v>13.717819333897451</v>
      </c>
      <c r="AS1148" t="s">
        <v>65</v>
      </c>
      <c r="AT1148">
        <v>1</v>
      </c>
      <c r="AU1148" t="s">
        <v>521</v>
      </c>
      <c r="AV1148" t="s">
        <v>522</v>
      </c>
      <c r="AW1148" t="s">
        <v>60</v>
      </c>
      <c r="AX1148" t="s">
        <v>68</v>
      </c>
      <c r="AY1148" t="s">
        <v>69</v>
      </c>
      <c r="AZ1148" t="b">
        <v>1</v>
      </c>
    </row>
    <row r="1149" spans="1:52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2128</v>
      </c>
      <c r="F1149" t="s">
        <v>190</v>
      </c>
      <c r="G1149" t="s">
        <v>879</v>
      </c>
      <c r="H1149" t="s">
        <v>880</v>
      </c>
      <c r="I1149" t="s">
        <v>880</v>
      </c>
      <c r="J1149" t="s">
        <v>60</v>
      </c>
      <c r="K1149" t="s">
        <v>505</v>
      </c>
      <c r="L1149" t="s">
        <v>62</v>
      </c>
      <c r="M1149" t="s">
        <v>505</v>
      </c>
      <c r="N1149" t="s">
        <v>881</v>
      </c>
      <c r="O1149" t="s">
        <v>882</v>
      </c>
      <c r="P1149">
        <v>-20.133452999999999</v>
      </c>
      <c r="Q1149">
        <v>-44.890571999999999</v>
      </c>
      <c r="R1149" s="2" t="str">
        <f>HYPERLINK("https://www.google.com/maps?q=-20.1334530,-44.8905720","Abrir no Google Maps")</f>
        <v>Abrir no Google Maps</v>
      </c>
      <c r="S1149">
        <v>3</v>
      </c>
      <c r="T1149">
        <v>373.51332104809921</v>
      </c>
      <c r="U1149">
        <v>3</v>
      </c>
      <c r="V1149">
        <v>15</v>
      </c>
      <c r="W1149">
        <v>1</v>
      </c>
      <c r="X1149">
        <v>15</v>
      </c>
      <c r="Y1149">
        <v>564</v>
      </c>
      <c r="Z1149">
        <v>422.34693311930448</v>
      </c>
      <c r="AA1149">
        <v>198</v>
      </c>
      <c r="AB1149">
        <v>332</v>
      </c>
      <c r="AC1149">
        <v>536</v>
      </c>
      <c r="AD1149">
        <v>29.96</v>
      </c>
      <c r="AE1149">
        <v>542</v>
      </c>
      <c r="AF1149">
        <v>29</v>
      </c>
      <c r="AG1149">
        <v>174</v>
      </c>
      <c r="AH1149">
        <v>129</v>
      </c>
      <c r="AI1149">
        <v>5.35</v>
      </c>
      <c r="AJ1149">
        <v>32.1</v>
      </c>
      <c r="AK1149">
        <v>23.8</v>
      </c>
      <c r="AL1149">
        <v>-20.133421549999952</v>
      </c>
      <c r="AM1149">
        <v>-44.890623456009052</v>
      </c>
      <c r="AN1149">
        <v>-20.133421549999952</v>
      </c>
      <c r="AO1149">
        <v>-44.890623456009052</v>
      </c>
      <c r="AP1149">
        <v>-20.133452999999999</v>
      </c>
      <c r="AQ1149">
        <v>-44.890571999999999</v>
      </c>
      <c r="AR1149">
        <v>6.4172139275452773</v>
      </c>
      <c r="AS1149" t="s">
        <v>65</v>
      </c>
      <c r="AT1149">
        <v>1</v>
      </c>
      <c r="AU1149" t="s">
        <v>883</v>
      </c>
      <c r="AV1149" t="s">
        <v>884</v>
      </c>
      <c r="AW1149" t="s">
        <v>60</v>
      </c>
      <c r="AX1149" t="s">
        <v>68</v>
      </c>
      <c r="AY1149" t="s">
        <v>69</v>
      </c>
      <c r="AZ1149" t="b">
        <v>1</v>
      </c>
    </row>
    <row r="1150" spans="1:52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2128</v>
      </c>
      <c r="F1150" t="s">
        <v>190</v>
      </c>
      <c r="G1150" t="s">
        <v>528</v>
      </c>
      <c r="H1150" t="s">
        <v>529</v>
      </c>
      <c r="I1150" t="s">
        <v>529</v>
      </c>
      <c r="J1150" t="s">
        <v>60</v>
      </c>
      <c r="K1150" t="s">
        <v>530</v>
      </c>
      <c r="L1150" t="s">
        <v>62</v>
      </c>
      <c r="M1150" t="s">
        <v>530</v>
      </c>
      <c r="N1150" t="s">
        <v>531</v>
      </c>
      <c r="O1150" t="s">
        <v>532</v>
      </c>
      <c r="P1150">
        <v>-20.142457</v>
      </c>
      <c r="Q1150">
        <v>-44.891688000000002</v>
      </c>
      <c r="R1150" s="2" t="str">
        <f>HYPERLINK("https://www.google.com/maps?q=-20.1424570,-44.8916880","Abrir no Google Maps")</f>
        <v>Abrir no Google Maps</v>
      </c>
      <c r="S1150">
        <v>3</v>
      </c>
      <c r="T1150">
        <v>0</v>
      </c>
      <c r="U1150">
        <v>3</v>
      </c>
      <c r="V1150">
        <v>20</v>
      </c>
      <c r="W1150">
        <v>1</v>
      </c>
      <c r="X1150">
        <v>20</v>
      </c>
      <c r="Y1150">
        <v>557</v>
      </c>
      <c r="Z1150">
        <v>42.611952255679803</v>
      </c>
      <c r="AA1150">
        <v>198</v>
      </c>
      <c r="AB1150">
        <v>332</v>
      </c>
      <c r="AC1150">
        <v>536</v>
      </c>
      <c r="AD1150">
        <v>29.96</v>
      </c>
      <c r="AE1150">
        <v>542</v>
      </c>
      <c r="AF1150">
        <v>29</v>
      </c>
      <c r="AG1150">
        <v>174</v>
      </c>
      <c r="AH1150">
        <v>129</v>
      </c>
      <c r="AI1150">
        <v>5.35</v>
      </c>
      <c r="AJ1150">
        <v>32.1</v>
      </c>
      <c r="AK1150">
        <v>23.8</v>
      </c>
      <c r="AL1150">
        <v>-20.142523099999948</v>
      </c>
      <c r="AM1150">
        <v>-44.891523817588819</v>
      </c>
      <c r="AN1150">
        <v>-20.142523099999948</v>
      </c>
      <c r="AO1150">
        <v>-44.891523817588819</v>
      </c>
      <c r="AP1150">
        <v>-20.142457</v>
      </c>
      <c r="AQ1150">
        <v>-44.891688000000002</v>
      </c>
      <c r="AR1150">
        <v>18.670129248632971</v>
      </c>
      <c r="AS1150" t="s">
        <v>65</v>
      </c>
      <c r="AT1150">
        <v>1</v>
      </c>
      <c r="AU1150" t="s">
        <v>533</v>
      </c>
      <c r="AV1150" t="s">
        <v>534</v>
      </c>
      <c r="AW1150" t="s">
        <v>60</v>
      </c>
      <c r="AX1150" t="s">
        <v>68</v>
      </c>
      <c r="AY1150" t="s">
        <v>69</v>
      </c>
      <c r="AZ1150" t="b">
        <v>1</v>
      </c>
    </row>
    <row r="1151" spans="1:52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2128</v>
      </c>
      <c r="F1151" t="s">
        <v>190</v>
      </c>
      <c r="G1151" t="s">
        <v>535</v>
      </c>
      <c r="H1151" t="s">
        <v>536</v>
      </c>
      <c r="I1151" t="s">
        <v>536</v>
      </c>
      <c r="J1151" t="s">
        <v>60</v>
      </c>
      <c r="K1151" t="s">
        <v>388</v>
      </c>
      <c r="L1151" t="s">
        <v>62</v>
      </c>
      <c r="M1151" t="s">
        <v>388</v>
      </c>
      <c r="N1151" t="s">
        <v>537</v>
      </c>
      <c r="O1151" t="s">
        <v>538</v>
      </c>
      <c r="P1151">
        <v>-20.150061999999998</v>
      </c>
      <c r="Q1151">
        <v>-44.903379000000001</v>
      </c>
      <c r="R1151" s="2" t="str">
        <f>HYPERLINK("https://www.google.com/maps?q=-20.1500620,-44.9033790","Abrir no Google Maps")</f>
        <v>Abrir no Google Maps</v>
      </c>
      <c r="S1151">
        <v>3</v>
      </c>
      <c r="T1151">
        <v>286.20313674219977</v>
      </c>
      <c r="U1151">
        <v>3</v>
      </c>
      <c r="V1151">
        <v>15</v>
      </c>
      <c r="W1151">
        <v>1</v>
      </c>
      <c r="X1151">
        <v>15</v>
      </c>
      <c r="Y1151">
        <v>556</v>
      </c>
      <c r="Z1151">
        <v>315.81851898667401</v>
      </c>
      <c r="AA1151">
        <v>198</v>
      </c>
      <c r="AB1151">
        <v>332</v>
      </c>
      <c r="AC1151">
        <v>536</v>
      </c>
      <c r="AD1151">
        <v>29.96</v>
      </c>
      <c r="AE1151">
        <v>542</v>
      </c>
      <c r="AF1151">
        <v>29</v>
      </c>
      <c r="AG1151">
        <v>174</v>
      </c>
      <c r="AH1151">
        <v>129</v>
      </c>
      <c r="AI1151">
        <v>5.35</v>
      </c>
      <c r="AJ1151">
        <v>32.1</v>
      </c>
      <c r="AK1151">
        <v>23.8</v>
      </c>
      <c r="AL1151">
        <v>-20.150084299999971</v>
      </c>
      <c r="AM1151">
        <v>-44.903278407568479</v>
      </c>
      <c r="AN1151">
        <v>-20.150084299999971</v>
      </c>
      <c r="AO1151">
        <v>-44.903278407568479</v>
      </c>
      <c r="AP1151">
        <v>-20.150061999999998</v>
      </c>
      <c r="AQ1151">
        <v>-44.903379000000001</v>
      </c>
      <c r="AR1151">
        <v>10.801687336134639</v>
      </c>
      <c r="AS1151" t="s">
        <v>65</v>
      </c>
      <c r="AT1151">
        <v>1</v>
      </c>
      <c r="AU1151" t="s">
        <v>539</v>
      </c>
      <c r="AV1151" t="s">
        <v>540</v>
      </c>
      <c r="AW1151" t="s">
        <v>60</v>
      </c>
      <c r="AX1151" t="s">
        <v>68</v>
      </c>
      <c r="AY1151" t="s">
        <v>69</v>
      </c>
      <c r="AZ1151" t="b">
        <v>1</v>
      </c>
    </row>
    <row r="1152" spans="1:52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2128</v>
      </c>
      <c r="F1152" t="s">
        <v>190</v>
      </c>
      <c r="G1152" t="s">
        <v>545</v>
      </c>
      <c r="H1152" t="s">
        <v>546</v>
      </c>
      <c r="I1152" t="s">
        <v>546</v>
      </c>
      <c r="J1152" t="s">
        <v>60</v>
      </c>
      <c r="K1152" t="s">
        <v>388</v>
      </c>
      <c r="L1152" t="s">
        <v>62</v>
      </c>
      <c r="M1152" t="s">
        <v>388</v>
      </c>
      <c r="N1152" t="s">
        <v>547</v>
      </c>
      <c r="O1152" t="s">
        <v>548</v>
      </c>
      <c r="P1152">
        <v>-20.155839</v>
      </c>
      <c r="Q1152">
        <v>-44.905655000000003</v>
      </c>
      <c r="R1152" s="2" t="str">
        <f>HYPERLINK("https://www.google.com/maps?q=-20.1558390,-44.9056550","Abrir no Google Maps")</f>
        <v>Abrir no Google Maps</v>
      </c>
      <c r="S1152">
        <v>3</v>
      </c>
      <c r="T1152">
        <v>309.7643089121122</v>
      </c>
      <c r="U1152">
        <v>3</v>
      </c>
      <c r="V1152">
        <v>20</v>
      </c>
      <c r="W1152">
        <v>1</v>
      </c>
      <c r="X1152">
        <v>20</v>
      </c>
      <c r="Y1152">
        <v>548</v>
      </c>
      <c r="Z1152">
        <v>284.24281731793161</v>
      </c>
      <c r="AA1152">
        <v>198</v>
      </c>
      <c r="AB1152">
        <v>332</v>
      </c>
      <c r="AC1152">
        <v>536</v>
      </c>
      <c r="AD1152">
        <v>29.96</v>
      </c>
      <c r="AE1152">
        <v>542</v>
      </c>
      <c r="AF1152">
        <v>29</v>
      </c>
      <c r="AG1152">
        <v>174</v>
      </c>
      <c r="AH1152">
        <v>129</v>
      </c>
      <c r="AI1152">
        <v>5.35</v>
      </c>
      <c r="AJ1152">
        <v>32.1</v>
      </c>
      <c r="AK1152">
        <v>23.8</v>
      </c>
      <c r="AL1152">
        <v>-20.155913549999951</v>
      </c>
      <c r="AM1152">
        <v>-44.905554508392683</v>
      </c>
      <c r="AN1152">
        <v>-20.155913549999951</v>
      </c>
      <c r="AO1152">
        <v>-44.905554508392669</v>
      </c>
      <c r="AP1152">
        <v>-20.155839</v>
      </c>
      <c r="AQ1152">
        <v>-44.905655000000003</v>
      </c>
      <c r="AR1152">
        <v>13.384922093797449</v>
      </c>
      <c r="AS1152" t="s">
        <v>65</v>
      </c>
      <c r="AT1152">
        <v>1</v>
      </c>
      <c r="AU1152" t="s">
        <v>549</v>
      </c>
      <c r="AV1152" t="s">
        <v>550</v>
      </c>
      <c r="AW1152" t="s">
        <v>60</v>
      </c>
      <c r="AX1152" t="s">
        <v>68</v>
      </c>
      <c r="AY1152" t="s">
        <v>69</v>
      </c>
      <c r="AZ1152" t="b">
        <v>1</v>
      </c>
    </row>
    <row r="1153" spans="1:52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2128</v>
      </c>
      <c r="F1153" t="s">
        <v>190</v>
      </c>
      <c r="G1153" t="s">
        <v>568</v>
      </c>
      <c r="H1153" t="s">
        <v>569</v>
      </c>
      <c r="I1153" t="s">
        <v>569</v>
      </c>
      <c r="J1153" t="s">
        <v>60</v>
      </c>
      <c r="K1153" t="s">
        <v>61</v>
      </c>
      <c r="L1153" t="s">
        <v>62</v>
      </c>
      <c r="M1153" t="s">
        <v>61</v>
      </c>
      <c r="N1153" t="s">
        <v>570</v>
      </c>
      <c r="O1153" t="s">
        <v>548</v>
      </c>
      <c r="P1153">
        <v>-20.151508</v>
      </c>
      <c r="Q1153">
        <v>-44.907826</v>
      </c>
      <c r="R1153" s="2" t="str">
        <f>HYPERLINK("https://www.google.com/maps?q=-20.1515080,-44.9078260","Abrir no Google Maps")</f>
        <v>Abrir no Google Maps</v>
      </c>
      <c r="S1153">
        <v>3</v>
      </c>
      <c r="T1153">
        <v>567.15905416240514</v>
      </c>
      <c r="U1153">
        <v>3</v>
      </c>
      <c r="V1153">
        <v>20</v>
      </c>
      <c r="W1153">
        <v>0.85</v>
      </c>
      <c r="X1153">
        <v>17</v>
      </c>
      <c r="Y1153">
        <v>548</v>
      </c>
      <c r="Z1153">
        <v>560.49158010771464</v>
      </c>
      <c r="AA1153">
        <v>198</v>
      </c>
      <c r="AB1153">
        <v>332</v>
      </c>
      <c r="AC1153">
        <v>536</v>
      </c>
      <c r="AD1153">
        <v>29.96</v>
      </c>
      <c r="AE1153">
        <v>542</v>
      </c>
      <c r="AF1153">
        <v>29</v>
      </c>
      <c r="AG1153">
        <v>174</v>
      </c>
      <c r="AH1153">
        <v>129</v>
      </c>
      <c r="AI1153">
        <v>5.35</v>
      </c>
      <c r="AJ1153">
        <v>32.1</v>
      </c>
      <c r="AK1153">
        <v>23.8</v>
      </c>
      <c r="AL1153">
        <v>-20.15211779999996</v>
      </c>
      <c r="AM1153">
        <v>-44.907597469593128</v>
      </c>
      <c r="AN1153">
        <v>-20.15211779999996</v>
      </c>
      <c r="AO1153">
        <v>-44.907597469593128</v>
      </c>
      <c r="AP1153">
        <v>-20.151508</v>
      </c>
      <c r="AQ1153">
        <v>-44.907826</v>
      </c>
      <c r="AR1153">
        <v>71.961597929314735</v>
      </c>
      <c r="AS1153" t="s">
        <v>65</v>
      </c>
      <c r="AT1153">
        <v>1</v>
      </c>
      <c r="AU1153" t="s">
        <v>571</v>
      </c>
      <c r="AV1153" t="s">
        <v>572</v>
      </c>
      <c r="AW1153" t="s">
        <v>60</v>
      </c>
      <c r="AX1153" t="s">
        <v>68</v>
      </c>
      <c r="AY1153" t="s">
        <v>69</v>
      </c>
      <c r="AZ1153" t="b">
        <v>1</v>
      </c>
    </row>
    <row r="1154" spans="1:52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2128</v>
      </c>
      <c r="F1154" t="s">
        <v>190</v>
      </c>
      <c r="G1154" t="s">
        <v>590</v>
      </c>
      <c r="H1154" t="s">
        <v>591</v>
      </c>
      <c r="I1154" t="s">
        <v>591</v>
      </c>
      <c r="J1154" t="s">
        <v>60</v>
      </c>
      <c r="K1154" t="s">
        <v>207</v>
      </c>
      <c r="L1154" t="s">
        <v>62</v>
      </c>
      <c r="M1154" t="s">
        <v>207</v>
      </c>
      <c r="N1154" t="s">
        <v>592</v>
      </c>
      <c r="O1154" t="s">
        <v>565</v>
      </c>
      <c r="P1154">
        <v>-20.118652000000001</v>
      </c>
      <c r="Q1154">
        <v>-44.890574999999998</v>
      </c>
      <c r="R1154" s="2" t="str">
        <f>HYPERLINK("https://www.google.com/maps?q=-20.1186520,-44.8905750","Abrir no Google Maps")</f>
        <v>Abrir no Google Maps</v>
      </c>
      <c r="S1154">
        <v>3</v>
      </c>
      <c r="T1154">
        <v>305.97870753615422</v>
      </c>
      <c r="U1154">
        <v>3</v>
      </c>
      <c r="V1154">
        <v>17</v>
      </c>
      <c r="W1154">
        <v>1</v>
      </c>
      <c r="X1154">
        <v>17</v>
      </c>
      <c r="Y1154">
        <v>536</v>
      </c>
      <c r="Z1154">
        <v>368.07356795447242</v>
      </c>
      <c r="AA1154">
        <v>198</v>
      </c>
      <c r="AB1154">
        <v>332</v>
      </c>
      <c r="AC1154">
        <v>536</v>
      </c>
      <c r="AD1154">
        <v>29.96</v>
      </c>
      <c r="AE1154">
        <v>542</v>
      </c>
      <c r="AF1154">
        <v>29</v>
      </c>
      <c r="AG1154">
        <v>174</v>
      </c>
      <c r="AH1154">
        <v>129</v>
      </c>
      <c r="AI1154">
        <v>5.35</v>
      </c>
      <c r="AJ1154">
        <v>32.1</v>
      </c>
      <c r="AK1154">
        <v>23.8</v>
      </c>
      <c r="AL1154">
        <v>-20.118589699999941</v>
      </c>
      <c r="AM1154">
        <v>-44.890419442196389</v>
      </c>
      <c r="AN1154">
        <v>-20.118589699999941</v>
      </c>
      <c r="AO1154">
        <v>-44.890419442196389</v>
      </c>
      <c r="AP1154">
        <v>-20.118652000000001</v>
      </c>
      <c r="AQ1154">
        <v>-44.890574999999998</v>
      </c>
      <c r="AR1154">
        <v>17.67731866347437</v>
      </c>
      <c r="AS1154" t="s">
        <v>65</v>
      </c>
      <c r="AT1154">
        <v>1</v>
      </c>
      <c r="AU1154" t="s">
        <v>593</v>
      </c>
      <c r="AV1154" t="s">
        <v>594</v>
      </c>
      <c r="AW1154" t="s">
        <v>60</v>
      </c>
      <c r="AX1154" t="s">
        <v>68</v>
      </c>
      <c r="AY1154" t="s">
        <v>69</v>
      </c>
      <c r="AZ1154" t="b">
        <v>1</v>
      </c>
    </row>
    <row r="1155" spans="1:52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2128</v>
      </c>
      <c r="F1155" t="s">
        <v>190</v>
      </c>
      <c r="G1155" t="s">
        <v>595</v>
      </c>
      <c r="H1155" t="s">
        <v>596</v>
      </c>
      <c r="I1155" t="s">
        <v>596</v>
      </c>
      <c r="J1155" t="s">
        <v>60</v>
      </c>
      <c r="K1155" t="s">
        <v>207</v>
      </c>
      <c r="L1155" t="s">
        <v>62</v>
      </c>
      <c r="M1155" t="s">
        <v>207</v>
      </c>
      <c r="N1155" t="s">
        <v>597</v>
      </c>
      <c r="O1155" t="s">
        <v>598</v>
      </c>
      <c r="P1155">
        <v>-20.118335999999999</v>
      </c>
      <c r="Q1155">
        <v>-44.887441000000003</v>
      </c>
      <c r="R1155" s="2" t="str">
        <f>HYPERLINK("https://www.google.com/maps?q=-20.1183360,-44.8874410","Abrir no Google Maps")</f>
        <v>Abrir no Google Maps</v>
      </c>
      <c r="S1155">
        <v>3</v>
      </c>
      <c r="T1155">
        <v>0</v>
      </c>
      <c r="U1155">
        <v>3</v>
      </c>
      <c r="V1155">
        <v>20</v>
      </c>
      <c r="W1155">
        <v>1</v>
      </c>
      <c r="X1155">
        <v>20</v>
      </c>
      <c r="Y1155">
        <v>536</v>
      </c>
      <c r="Z1155">
        <v>70.729031566967279</v>
      </c>
      <c r="AA1155">
        <v>198</v>
      </c>
      <c r="AB1155">
        <v>332</v>
      </c>
      <c r="AC1155">
        <v>536</v>
      </c>
      <c r="AD1155">
        <v>29.96</v>
      </c>
      <c r="AE1155">
        <v>542</v>
      </c>
      <c r="AF1155">
        <v>29</v>
      </c>
      <c r="AG1155">
        <v>174</v>
      </c>
      <c r="AH1155">
        <v>129</v>
      </c>
      <c r="AI1155">
        <v>5.35</v>
      </c>
      <c r="AJ1155">
        <v>32.1</v>
      </c>
      <c r="AK1155">
        <v>23.8</v>
      </c>
      <c r="AL1155">
        <v>-20.118357999999969</v>
      </c>
      <c r="AM1155">
        <v>-44.88750246616479</v>
      </c>
      <c r="AN1155">
        <v>-20.118357999999969</v>
      </c>
      <c r="AO1155">
        <v>-44.88750246616479</v>
      </c>
      <c r="AP1155">
        <v>-20.118335999999999</v>
      </c>
      <c r="AQ1155">
        <v>-44.887441000000003</v>
      </c>
      <c r="AR1155">
        <v>6.875853437004074</v>
      </c>
      <c r="AS1155" t="s">
        <v>65</v>
      </c>
      <c r="AT1155">
        <v>1</v>
      </c>
      <c r="AU1155" t="s">
        <v>599</v>
      </c>
      <c r="AV1155" t="s">
        <v>600</v>
      </c>
      <c r="AW1155" t="s">
        <v>60</v>
      </c>
      <c r="AX1155" t="s">
        <v>68</v>
      </c>
      <c r="AY1155" t="s">
        <v>69</v>
      </c>
      <c r="AZ1155" t="b">
        <v>1</v>
      </c>
    </row>
    <row r="1156" spans="1:52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2128</v>
      </c>
      <c r="F1156" t="s">
        <v>190</v>
      </c>
      <c r="G1156" t="s">
        <v>607</v>
      </c>
      <c r="H1156" t="s">
        <v>608</v>
      </c>
      <c r="I1156" t="s">
        <v>608</v>
      </c>
      <c r="J1156" t="s">
        <v>60</v>
      </c>
      <c r="K1156" t="s">
        <v>609</v>
      </c>
      <c r="L1156" t="s">
        <v>62</v>
      </c>
      <c r="M1156" t="s">
        <v>609</v>
      </c>
      <c r="N1156" t="s">
        <v>610</v>
      </c>
      <c r="O1156" t="s">
        <v>611</v>
      </c>
      <c r="P1156">
        <v>-20.110476999999999</v>
      </c>
      <c r="Q1156">
        <v>-44.887531000000003</v>
      </c>
      <c r="R1156" s="2" t="str">
        <f>HYPERLINK("https://www.google.com/maps?q=-20.1104770,-44.8875310","Abrir no Google Maps")</f>
        <v>Abrir no Google Maps</v>
      </c>
      <c r="S1156">
        <v>3</v>
      </c>
      <c r="T1156">
        <v>862.67854008986569</v>
      </c>
      <c r="U1156">
        <v>3</v>
      </c>
      <c r="V1156">
        <v>15</v>
      </c>
      <c r="W1156">
        <v>1</v>
      </c>
      <c r="X1156">
        <v>15</v>
      </c>
      <c r="Y1156">
        <v>536</v>
      </c>
      <c r="Z1156">
        <v>797.51469292431113</v>
      </c>
      <c r="AA1156">
        <v>198</v>
      </c>
      <c r="AB1156">
        <v>332</v>
      </c>
      <c r="AC1156">
        <v>536</v>
      </c>
      <c r="AD1156">
        <v>29.96</v>
      </c>
      <c r="AE1156">
        <v>542</v>
      </c>
      <c r="AF1156">
        <v>29</v>
      </c>
      <c r="AG1156">
        <v>174</v>
      </c>
      <c r="AH1156">
        <v>129</v>
      </c>
      <c r="AI1156">
        <v>5.35</v>
      </c>
      <c r="AJ1156">
        <v>32.1</v>
      </c>
      <c r="AK1156">
        <v>23.8</v>
      </c>
      <c r="AL1156">
        <v>-20.11057859999994</v>
      </c>
      <c r="AM1156">
        <v>-44.888034950185293</v>
      </c>
      <c r="AN1156">
        <v>-20.11057859999994</v>
      </c>
      <c r="AO1156">
        <v>-44.888034950185293</v>
      </c>
      <c r="AP1156">
        <v>-20.110476999999999</v>
      </c>
      <c r="AQ1156">
        <v>-44.887531000000003</v>
      </c>
      <c r="AR1156">
        <v>53.879824494602957</v>
      </c>
      <c r="AS1156" t="s">
        <v>65</v>
      </c>
      <c r="AT1156">
        <v>1</v>
      </c>
      <c r="AU1156" t="s">
        <v>612</v>
      </c>
      <c r="AV1156" t="s">
        <v>613</v>
      </c>
      <c r="AW1156" t="s">
        <v>60</v>
      </c>
      <c r="AX1156" t="s">
        <v>68</v>
      </c>
      <c r="AY1156" t="s">
        <v>69</v>
      </c>
      <c r="AZ1156" t="b">
        <v>1</v>
      </c>
    </row>
    <row r="1157" spans="1:52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2128</v>
      </c>
      <c r="F1157" t="s">
        <v>190</v>
      </c>
      <c r="G1157" t="s">
        <v>929</v>
      </c>
      <c r="H1157" t="s">
        <v>930</v>
      </c>
      <c r="I1157" t="s">
        <v>930</v>
      </c>
      <c r="J1157" t="s">
        <v>60</v>
      </c>
      <c r="K1157" t="s">
        <v>72</v>
      </c>
      <c r="L1157" t="s">
        <v>62</v>
      </c>
      <c r="M1157" t="s">
        <v>72</v>
      </c>
      <c r="N1157" t="s">
        <v>931</v>
      </c>
      <c r="O1157" t="s">
        <v>932</v>
      </c>
      <c r="P1157">
        <v>-20.144780999999998</v>
      </c>
      <c r="Q1157">
        <v>-44.914259000000001</v>
      </c>
      <c r="R1157" s="2" t="str">
        <f>HYPERLINK("https://www.google.com/maps?q=-20.1447810,-44.9142590","Abrir no Google Maps")</f>
        <v>Abrir no Google Maps</v>
      </c>
      <c r="S1157">
        <v>3</v>
      </c>
      <c r="T1157">
        <v>256.09363485874093</v>
      </c>
      <c r="U1157">
        <v>3</v>
      </c>
      <c r="V1157">
        <v>18</v>
      </c>
      <c r="W1157">
        <v>1</v>
      </c>
      <c r="X1157">
        <v>18</v>
      </c>
      <c r="Y1157">
        <v>508</v>
      </c>
      <c r="Z1157">
        <v>318.29766547935321</v>
      </c>
      <c r="AA1157">
        <v>198</v>
      </c>
      <c r="AB1157">
        <v>332</v>
      </c>
      <c r="AC1157">
        <v>536</v>
      </c>
      <c r="AD1157">
        <v>29.96</v>
      </c>
      <c r="AE1157">
        <v>542</v>
      </c>
      <c r="AF1157">
        <v>29</v>
      </c>
      <c r="AG1157">
        <v>174</v>
      </c>
      <c r="AH1157">
        <v>129</v>
      </c>
      <c r="AI1157">
        <v>5.35</v>
      </c>
      <c r="AJ1157">
        <v>32.1</v>
      </c>
      <c r="AK1157">
        <v>23.8</v>
      </c>
      <c r="AL1157">
        <v>-20.144721899999951</v>
      </c>
      <c r="AM1157">
        <v>-44.914368749511411</v>
      </c>
      <c r="AN1157">
        <v>-20.144721899999951</v>
      </c>
      <c r="AO1157">
        <v>-44.914368749511411</v>
      </c>
      <c r="AP1157">
        <v>-20.144780999999998</v>
      </c>
      <c r="AQ1157">
        <v>-44.914259000000001</v>
      </c>
      <c r="AR1157">
        <v>13.22280973360979</v>
      </c>
      <c r="AS1157" t="s">
        <v>65</v>
      </c>
      <c r="AT1157">
        <v>1</v>
      </c>
      <c r="AU1157" t="s">
        <v>933</v>
      </c>
      <c r="AV1157" t="s">
        <v>934</v>
      </c>
      <c r="AW1157" t="s">
        <v>60</v>
      </c>
      <c r="AX1157" t="s">
        <v>68</v>
      </c>
      <c r="AY1157" t="s">
        <v>69</v>
      </c>
      <c r="AZ1157" t="b">
        <v>1</v>
      </c>
    </row>
    <row r="1158" spans="1:52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2128</v>
      </c>
      <c r="F1158" t="s">
        <v>190</v>
      </c>
      <c r="G1158" t="s">
        <v>935</v>
      </c>
      <c r="H1158" t="s">
        <v>936</v>
      </c>
      <c r="I1158" t="s">
        <v>936</v>
      </c>
      <c r="J1158" t="s">
        <v>60</v>
      </c>
      <c r="K1158" t="s">
        <v>193</v>
      </c>
      <c r="L1158" t="s">
        <v>62</v>
      </c>
      <c r="M1158" t="s">
        <v>193</v>
      </c>
      <c r="N1158" t="s">
        <v>937</v>
      </c>
      <c r="O1158" t="s">
        <v>938</v>
      </c>
      <c r="P1158">
        <v>-20.144727</v>
      </c>
      <c r="Q1158">
        <v>-44.919978999999998</v>
      </c>
      <c r="R1158" s="2" t="str">
        <f>HYPERLINK("https://www.google.com/maps?q=-20.1447270,-44.9199790","Abrir no Google Maps")</f>
        <v>Abrir no Google Maps</v>
      </c>
      <c r="S1158">
        <v>3</v>
      </c>
      <c r="T1158">
        <v>341.13992759662477</v>
      </c>
      <c r="U1158">
        <v>3</v>
      </c>
      <c r="V1158">
        <v>16</v>
      </c>
      <c r="W1158">
        <v>1</v>
      </c>
      <c r="X1158">
        <v>16</v>
      </c>
      <c r="Y1158">
        <v>508</v>
      </c>
      <c r="Z1158">
        <v>274.58151985101409</v>
      </c>
      <c r="AA1158">
        <v>198</v>
      </c>
      <c r="AB1158">
        <v>332</v>
      </c>
      <c r="AC1158">
        <v>536</v>
      </c>
      <c r="AD1158">
        <v>29.96</v>
      </c>
      <c r="AE1158">
        <v>542</v>
      </c>
      <c r="AF1158">
        <v>29</v>
      </c>
      <c r="AG1158">
        <v>174</v>
      </c>
      <c r="AH1158">
        <v>129</v>
      </c>
      <c r="AI1158">
        <v>5.35</v>
      </c>
      <c r="AJ1158">
        <v>32.1</v>
      </c>
      <c r="AK1158">
        <v>23.8</v>
      </c>
      <c r="AL1158">
        <v>-20.144771099999961</v>
      </c>
      <c r="AM1158">
        <v>-44.92003491095209</v>
      </c>
      <c r="AN1158">
        <v>-20.144771099999961</v>
      </c>
      <c r="AO1158">
        <v>-44.92003491095209</v>
      </c>
      <c r="AP1158">
        <v>-20.144727</v>
      </c>
      <c r="AQ1158">
        <v>-44.919978999999998</v>
      </c>
      <c r="AR1158">
        <v>7.6317760459664177</v>
      </c>
      <c r="AS1158" t="s">
        <v>65</v>
      </c>
      <c r="AT1158">
        <v>1</v>
      </c>
      <c r="AU1158" t="s">
        <v>939</v>
      </c>
      <c r="AV1158" t="s">
        <v>940</v>
      </c>
      <c r="AW1158" t="s">
        <v>60</v>
      </c>
      <c r="AX1158" t="s">
        <v>68</v>
      </c>
      <c r="AY1158" t="s">
        <v>69</v>
      </c>
      <c r="AZ1158" t="b">
        <v>1</v>
      </c>
    </row>
    <row r="1159" spans="1:52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2128</v>
      </c>
      <c r="F1159" t="s">
        <v>190</v>
      </c>
      <c r="G1159" t="s">
        <v>941</v>
      </c>
      <c r="H1159" t="s">
        <v>942</v>
      </c>
      <c r="I1159" t="s">
        <v>942</v>
      </c>
      <c r="J1159" t="s">
        <v>60</v>
      </c>
      <c r="K1159" t="s">
        <v>193</v>
      </c>
      <c r="L1159" t="s">
        <v>62</v>
      </c>
      <c r="M1159" t="s">
        <v>193</v>
      </c>
      <c r="N1159" t="s">
        <v>943</v>
      </c>
      <c r="O1159" t="s">
        <v>257</v>
      </c>
      <c r="P1159">
        <v>-20.142042</v>
      </c>
      <c r="Q1159">
        <v>-44.917906000000002</v>
      </c>
      <c r="R1159" s="2" t="str">
        <f>HYPERLINK("https://www.google.com/maps?q=-20.1420420,-44.9179060","Abrir no Google Maps")</f>
        <v>Abrir no Google Maps</v>
      </c>
      <c r="S1159">
        <v>3</v>
      </c>
      <c r="T1159">
        <v>373.14048213045743</v>
      </c>
      <c r="U1159">
        <v>3</v>
      </c>
      <c r="V1159">
        <v>15</v>
      </c>
      <c r="W1159">
        <v>1</v>
      </c>
      <c r="X1159">
        <v>15</v>
      </c>
      <c r="Y1159">
        <v>508</v>
      </c>
      <c r="Z1159">
        <v>271.52693841106122</v>
      </c>
      <c r="AA1159">
        <v>198</v>
      </c>
      <c r="AB1159">
        <v>332</v>
      </c>
      <c r="AC1159">
        <v>536</v>
      </c>
      <c r="AD1159">
        <v>29.96</v>
      </c>
      <c r="AE1159">
        <v>542</v>
      </c>
      <c r="AF1159">
        <v>29</v>
      </c>
      <c r="AG1159">
        <v>174</v>
      </c>
      <c r="AH1159">
        <v>129</v>
      </c>
      <c r="AI1159">
        <v>5.35</v>
      </c>
      <c r="AJ1159">
        <v>32.1</v>
      </c>
      <c r="AK1159">
        <v>23.8</v>
      </c>
      <c r="AL1159">
        <v>-20.14198914999994</v>
      </c>
      <c r="AM1159">
        <v>-44.918192618397512</v>
      </c>
      <c r="AN1159">
        <v>-20.14198914999994</v>
      </c>
      <c r="AO1159">
        <v>-44.918192618397512</v>
      </c>
      <c r="AP1159">
        <v>-20.142042</v>
      </c>
      <c r="AQ1159">
        <v>-44.917906000000002</v>
      </c>
      <c r="AR1159">
        <v>30.527314493281139</v>
      </c>
      <c r="AS1159" t="s">
        <v>65</v>
      </c>
      <c r="AT1159">
        <v>1</v>
      </c>
      <c r="AU1159" t="s">
        <v>944</v>
      </c>
      <c r="AV1159" t="s">
        <v>945</v>
      </c>
      <c r="AW1159" t="s">
        <v>60</v>
      </c>
      <c r="AX1159" t="s">
        <v>68</v>
      </c>
      <c r="AY1159" t="s">
        <v>69</v>
      </c>
      <c r="AZ1159" t="b">
        <v>1</v>
      </c>
    </row>
    <row r="1160" spans="1:52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2128</v>
      </c>
      <c r="F1160" t="s">
        <v>190</v>
      </c>
      <c r="G1160" t="s">
        <v>2133</v>
      </c>
      <c r="H1160" t="s">
        <v>2134</v>
      </c>
      <c r="I1160" t="s">
        <v>2134</v>
      </c>
      <c r="J1160" t="s">
        <v>60</v>
      </c>
      <c r="K1160" t="s">
        <v>1370</v>
      </c>
      <c r="L1160" t="s">
        <v>62</v>
      </c>
      <c r="M1160" t="s">
        <v>1370</v>
      </c>
      <c r="N1160" t="s">
        <v>2135</v>
      </c>
      <c r="O1160" t="s">
        <v>2136</v>
      </c>
      <c r="P1160">
        <v>-20.138978999999999</v>
      </c>
      <c r="Q1160">
        <v>-44.918754999999997</v>
      </c>
      <c r="R1160" s="2" t="str">
        <f>HYPERLINK("https://www.google.com/maps?q=-20.1389790,-44.9187550","Abrir no Google Maps")</f>
        <v>Abrir no Google Maps</v>
      </c>
      <c r="S1160">
        <v>3</v>
      </c>
      <c r="T1160">
        <v>608.26540925727613</v>
      </c>
      <c r="U1160">
        <v>3</v>
      </c>
      <c r="V1160">
        <v>17</v>
      </c>
      <c r="W1160">
        <v>0.85</v>
      </c>
      <c r="X1160">
        <v>14.45</v>
      </c>
      <c r="Y1160">
        <v>508</v>
      </c>
      <c r="Z1160">
        <v>572.45888642102534</v>
      </c>
      <c r="AA1160">
        <v>198</v>
      </c>
      <c r="AB1160">
        <v>332</v>
      </c>
      <c r="AC1160">
        <v>536</v>
      </c>
      <c r="AD1160">
        <v>29.96</v>
      </c>
      <c r="AE1160">
        <v>542</v>
      </c>
      <c r="AF1160">
        <v>29</v>
      </c>
      <c r="AG1160">
        <v>174</v>
      </c>
      <c r="AH1160">
        <v>129</v>
      </c>
      <c r="AI1160">
        <v>5.35</v>
      </c>
      <c r="AJ1160">
        <v>32.1</v>
      </c>
      <c r="AK1160">
        <v>23.8</v>
      </c>
      <c r="AL1160">
        <v>-20.13984584999994</v>
      </c>
      <c r="AM1160">
        <v>-44.918534442060277</v>
      </c>
      <c r="AN1160">
        <v>-20.13984584999994</v>
      </c>
      <c r="AO1160">
        <v>-44.918534442060277</v>
      </c>
      <c r="AP1160">
        <v>-20.138978999999999</v>
      </c>
      <c r="AQ1160">
        <v>-44.918754999999997</v>
      </c>
      <c r="AR1160">
        <v>99.212772439621006</v>
      </c>
      <c r="AS1160" t="s">
        <v>65</v>
      </c>
      <c r="AT1160">
        <v>1</v>
      </c>
      <c r="AU1160" t="s">
        <v>2137</v>
      </c>
      <c r="AV1160" t="s">
        <v>2138</v>
      </c>
      <c r="AW1160" t="s">
        <v>60</v>
      </c>
      <c r="AX1160" t="s">
        <v>68</v>
      </c>
      <c r="AY1160" t="s">
        <v>69</v>
      </c>
      <c r="AZ1160" t="b">
        <v>1</v>
      </c>
    </row>
    <row r="1161" spans="1:52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2128</v>
      </c>
      <c r="F1161" t="s">
        <v>190</v>
      </c>
      <c r="G1161" t="s">
        <v>625</v>
      </c>
      <c r="H1161" t="s">
        <v>626</v>
      </c>
      <c r="I1161" t="s">
        <v>626</v>
      </c>
      <c r="J1161" t="s">
        <v>60</v>
      </c>
      <c r="K1161" t="s">
        <v>193</v>
      </c>
      <c r="L1161" t="s">
        <v>62</v>
      </c>
      <c r="M1161" t="s">
        <v>193</v>
      </c>
      <c r="N1161" t="s">
        <v>627</v>
      </c>
      <c r="O1161" t="s">
        <v>628</v>
      </c>
      <c r="P1161">
        <v>-20.145171999999999</v>
      </c>
      <c r="Q1161">
        <v>-44.916764000000001</v>
      </c>
      <c r="R1161" s="2" t="str">
        <f>HYPERLINK("https://www.google.com/maps?q=-20.1451720,-44.9167640","Abrir no Google Maps")</f>
        <v>Abrir no Google Maps</v>
      </c>
      <c r="S1161">
        <v>3</v>
      </c>
      <c r="T1161">
        <v>0</v>
      </c>
      <c r="U1161">
        <v>3</v>
      </c>
      <c r="V1161">
        <v>18</v>
      </c>
      <c r="W1161">
        <v>1</v>
      </c>
      <c r="X1161">
        <v>18</v>
      </c>
      <c r="Y1161">
        <v>508</v>
      </c>
      <c r="Z1161">
        <v>79.403393114466795</v>
      </c>
      <c r="AA1161">
        <v>198</v>
      </c>
      <c r="AB1161">
        <v>332</v>
      </c>
      <c r="AC1161">
        <v>536</v>
      </c>
      <c r="AD1161">
        <v>29.96</v>
      </c>
      <c r="AE1161">
        <v>542</v>
      </c>
      <c r="AF1161">
        <v>29</v>
      </c>
      <c r="AG1161">
        <v>174</v>
      </c>
      <c r="AH1161">
        <v>129</v>
      </c>
      <c r="AI1161">
        <v>5.35</v>
      </c>
      <c r="AJ1161">
        <v>32.1</v>
      </c>
      <c r="AK1161">
        <v>23.8</v>
      </c>
      <c r="AL1161">
        <v>-20.145089199999969</v>
      </c>
      <c r="AM1161">
        <v>-44.916788127791321</v>
      </c>
      <c r="AN1161">
        <v>-20.145089199999969</v>
      </c>
      <c r="AO1161">
        <v>-44.916788127791321</v>
      </c>
      <c r="AP1161">
        <v>-20.145171999999999</v>
      </c>
      <c r="AQ1161">
        <v>-44.916764000000001</v>
      </c>
      <c r="AR1161">
        <v>9.555991267747272</v>
      </c>
      <c r="AS1161" t="s">
        <v>65</v>
      </c>
      <c r="AT1161">
        <v>1</v>
      </c>
      <c r="AU1161" t="s">
        <v>629</v>
      </c>
      <c r="AV1161" t="s">
        <v>630</v>
      </c>
      <c r="AW1161" t="s">
        <v>60</v>
      </c>
      <c r="AX1161" t="s">
        <v>68</v>
      </c>
      <c r="AY1161" t="s">
        <v>69</v>
      </c>
      <c r="AZ1161" t="b">
        <v>1</v>
      </c>
    </row>
    <row r="1162" spans="1:52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2128</v>
      </c>
      <c r="F1162" t="s">
        <v>190</v>
      </c>
      <c r="G1162" t="s">
        <v>957</v>
      </c>
      <c r="H1162" t="s">
        <v>1750</v>
      </c>
      <c r="I1162" t="s">
        <v>1750</v>
      </c>
      <c r="J1162" t="s">
        <v>60</v>
      </c>
      <c r="K1162" t="s">
        <v>982</v>
      </c>
      <c r="L1162" t="s">
        <v>62</v>
      </c>
      <c r="M1162" t="s">
        <v>982</v>
      </c>
      <c r="N1162" t="s">
        <v>959</v>
      </c>
      <c r="O1162" t="s">
        <v>1751</v>
      </c>
      <c r="P1162">
        <v>-20.164285</v>
      </c>
      <c r="Q1162">
        <v>-44.857562000000001</v>
      </c>
      <c r="R1162" s="2" t="str">
        <f>HYPERLINK("https://www.google.com/maps?q=-20.1642850,-44.8575620","Abrir no Google Maps")</f>
        <v>Abrir no Google Maps</v>
      </c>
      <c r="S1162">
        <v>3</v>
      </c>
      <c r="T1162">
        <v>275.89108588842112</v>
      </c>
      <c r="U1162">
        <v>3</v>
      </c>
      <c r="V1162">
        <v>17</v>
      </c>
      <c r="W1162">
        <v>1</v>
      </c>
      <c r="X1162">
        <v>17</v>
      </c>
      <c r="Y1162">
        <v>491</v>
      </c>
      <c r="Z1162">
        <v>150.50906778215881</v>
      </c>
      <c r="AA1162">
        <v>198</v>
      </c>
      <c r="AB1162">
        <v>332</v>
      </c>
      <c r="AC1162">
        <v>536</v>
      </c>
      <c r="AD1162">
        <v>29.96</v>
      </c>
      <c r="AE1162">
        <v>542</v>
      </c>
      <c r="AF1162">
        <v>29</v>
      </c>
      <c r="AG1162">
        <v>174</v>
      </c>
      <c r="AH1162">
        <v>129</v>
      </c>
      <c r="AI1162">
        <v>5.35</v>
      </c>
      <c r="AJ1162">
        <v>32.1</v>
      </c>
      <c r="AK1162">
        <v>23.8</v>
      </c>
      <c r="AL1162">
        <v>-20.164333749999969</v>
      </c>
      <c r="AM1162">
        <v>-44.857568319333943</v>
      </c>
      <c r="AN1162">
        <v>-20.164333749999969</v>
      </c>
      <c r="AO1162">
        <v>-44.857568319333943</v>
      </c>
      <c r="AP1162">
        <v>-20.164285</v>
      </c>
      <c r="AQ1162">
        <v>-44.857562000000001</v>
      </c>
      <c r="AR1162">
        <v>5.4668788625524281</v>
      </c>
      <c r="AS1162" t="s">
        <v>65</v>
      </c>
      <c r="AT1162">
        <v>1</v>
      </c>
      <c r="AU1162" t="s">
        <v>1752</v>
      </c>
      <c r="AV1162" t="s">
        <v>1753</v>
      </c>
      <c r="AW1162" t="s">
        <v>60</v>
      </c>
      <c r="AX1162" t="s">
        <v>68</v>
      </c>
      <c r="AY1162" t="s">
        <v>69</v>
      </c>
      <c r="AZ1162" t="b">
        <v>1</v>
      </c>
    </row>
    <row r="1163" spans="1:52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2128</v>
      </c>
      <c r="F1163" t="s">
        <v>190</v>
      </c>
      <c r="G1163" t="s">
        <v>963</v>
      </c>
      <c r="H1163" t="s">
        <v>964</v>
      </c>
      <c r="I1163" t="s">
        <v>964</v>
      </c>
      <c r="J1163" t="s">
        <v>60</v>
      </c>
      <c r="K1163" t="s">
        <v>702</v>
      </c>
      <c r="L1163" t="s">
        <v>62</v>
      </c>
      <c r="M1163" t="s">
        <v>702</v>
      </c>
      <c r="N1163" t="s">
        <v>965</v>
      </c>
      <c r="O1163" t="s">
        <v>960</v>
      </c>
      <c r="P1163">
        <v>-20.164622000000001</v>
      </c>
      <c r="Q1163">
        <v>-44.860289999999999</v>
      </c>
      <c r="R1163" s="2" t="str">
        <f>HYPERLINK("https://www.google.com/maps?q=-20.1646220,-44.8602900","Abrir no Google Maps")</f>
        <v>Abrir no Google Maps</v>
      </c>
      <c r="S1163">
        <v>3</v>
      </c>
      <c r="T1163">
        <v>393.43725605569188</v>
      </c>
      <c r="U1163">
        <v>3</v>
      </c>
      <c r="V1163">
        <v>18</v>
      </c>
      <c r="W1163">
        <v>1</v>
      </c>
      <c r="X1163">
        <v>18</v>
      </c>
      <c r="Y1163">
        <v>491</v>
      </c>
      <c r="Z1163">
        <v>358.96336458076678</v>
      </c>
      <c r="AA1163">
        <v>198</v>
      </c>
      <c r="AB1163">
        <v>332</v>
      </c>
      <c r="AC1163">
        <v>536</v>
      </c>
      <c r="AD1163">
        <v>29.96</v>
      </c>
      <c r="AE1163">
        <v>542</v>
      </c>
      <c r="AF1163">
        <v>29</v>
      </c>
      <c r="AG1163">
        <v>174</v>
      </c>
      <c r="AH1163">
        <v>129</v>
      </c>
      <c r="AI1163">
        <v>5.35</v>
      </c>
      <c r="AJ1163">
        <v>32.1</v>
      </c>
      <c r="AK1163">
        <v>23.8</v>
      </c>
      <c r="AL1163">
        <v>-20.164560849999951</v>
      </c>
      <c r="AM1163">
        <v>-44.860330680844072</v>
      </c>
      <c r="AN1163">
        <v>-20.164560849999951</v>
      </c>
      <c r="AO1163">
        <v>-44.860330680844072</v>
      </c>
      <c r="AP1163">
        <v>-20.164622000000001</v>
      </c>
      <c r="AQ1163">
        <v>-44.860289999999999</v>
      </c>
      <c r="AR1163">
        <v>8.0255448908437454</v>
      </c>
      <c r="AS1163" t="s">
        <v>65</v>
      </c>
      <c r="AT1163">
        <v>1</v>
      </c>
      <c r="AU1163" t="s">
        <v>966</v>
      </c>
      <c r="AV1163" t="s">
        <v>967</v>
      </c>
      <c r="AW1163" t="s">
        <v>60</v>
      </c>
      <c r="AX1163" t="s">
        <v>68</v>
      </c>
      <c r="AY1163" t="s">
        <v>69</v>
      </c>
      <c r="AZ1163" t="b">
        <v>1</v>
      </c>
    </row>
    <row r="1164" spans="1:52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2128</v>
      </c>
      <c r="F1164" t="s">
        <v>190</v>
      </c>
      <c r="G1164" t="s">
        <v>974</v>
      </c>
      <c r="H1164" t="s">
        <v>975</v>
      </c>
      <c r="I1164" t="s">
        <v>975</v>
      </c>
      <c r="J1164" t="s">
        <v>60</v>
      </c>
      <c r="K1164" t="s">
        <v>702</v>
      </c>
      <c r="L1164" t="s">
        <v>62</v>
      </c>
      <c r="M1164" t="s">
        <v>702</v>
      </c>
      <c r="N1164" t="s">
        <v>976</v>
      </c>
      <c r="O1164" t="s">
        <v>977</v>
      </c>
      <c r="P1164">
        <v>-20.167021999999999</v>
      </c>
      <c r="Q1164">
        <v>-44.863095000000001</v>
      </c>
      <c r="R1164" s="2" t="str">
        <f>HYPERLINK("https://www.google.com/maps?q=-20.1670220,-44.8630950","Abrir no Google Maps")</f>
        <v>Abrir no Google Maps</v>
      </c>
      <c r="S1164">
        <v>3</v>
      </c>
      <c r="T1164">
        <v>629.02897442495839</v>
      </c>
      <c r="U1164">
        <v>3</v>
      </c>
      <c r="V1164">
        <v>20</v>
      </c>
      <c r="W1164">
        <v>1</v>
      </c>
      <c r="X1164">
        <v>20</v>
      </c>
      <c r="Y1164">
        <v>491</v>
      </c>
      <c r="Z1164">
        <v>693.48000708961661</v>
      </c>
      <c r="AA1164">
        <v>198</v>
      </c>
      <c r="AB1164">
        <v>332</v>
      </c>
      <c r="AC1164">
        <v>536</v>
      </c>
      <c r="AD1164">
        <v>29.96</v>
      </c>
      <c r="AE1164">
        <v>542</v>
      </c>
      <c r="AF1164">
        <v>29</v>
      </c>
      <c r="AG1164">
        <v>174</v>
      </c>
      <c r="AH1164">
        <v>129</v>
      </c>
      <c r="AI1164">
        <v>5.35</v>
      </c>
      <c r="AJ1164">
        <v>32.1</v>
      </c>
      <c r="AK1164">
        <v>23.8</v>
      </c>
      <c r="AL1164">
        <v>-20.167032199999941</v>
      </c>
      <c r="AM1164">
        <v>-44.863123980291967</v>
      </c>
      <c r="AN1164">
        <v>-20.167032199999941</v>
      </c>
      <c r="AO1164">
        <v>-44.863123980291967</v>
      </c>
      <c r="AP1164">
        <v>-20.167021999999999</v>
      </c>
      <c r="AQ1164">
        <v>-44.863095000000001</v>
      </c>
      <c r="AR1164">
        <v>3.2341734571542871</v>
      </c>
      <c r="AS1164" t="s">
        <v>65</v>
      </c>
      <c r="AT1164">
        <v>1</v>
      </c>
      <c r="AU1164" t="s">
        <v>978</v>
      </c>
      <c r="AV1164" t="s">
        <v>979</v>
      </c>
      <c r="AW1164" t="s">
        <v>60</v>
      </c>
      <c r="AX1164" t="s">
        <v>68</v>
      </c>
      <c r="AY1164" t="s">
        <v>69</v>
      </c>
      <c r="AZ1164" t="b">
        <v>1</v>
      </c>
    </row>
    <row r="1165" spans="1:52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2128</v>
      </c>
      <c r="F1165" t="s">
        <v>190</v>
      </c>
      <c r="G1165" t="s">
        <v>980</v>
      </c>
      <c r="H1165" t="s">
        <v>981</v>
      </c>
      <c r="I1165" t="s">
        <v>981</v>
      </c>
      <c r="J1165" t="s">
        <v>60</v>
      </c>
      <c r="K1165" t="s">
        <v>982</v>
      </c>
      <c r="L1165" t="s">
        <v>62</v>
      </c>
      <c r="M1165" t="s">
        <v>982</v>
      </c>
      <c r="N1165" t="s">
        <v>983</v>
      </c>
      <c r="O1165" t="s">
        <v>264</v>
      </c>
      <c r="P1165">
        <v>-20.166967</v>
      </c>
      <c r="Q1165">
        <v>-44.859355000000001</v>
      </c>
      <c r="R1165" s="2" t="str">
        <f>HYPERLINK("https://www.google.com/maps?q=-20.1669670,-44.8593550","Abrir no Google Maps")</f>
        <v>Abrir no Google Maps</v>
      </c>
      <c r="S1165">
        <v>3</v>
      </c>
      <c r="T1165">
        <v>577.54934865824521</v>
      </c>
      <c r="U1165">
        <v>3</v>
      </c>
      <c r="V1165">
        <v>19</v>
      </c>
      <c r="W1165">
        <v>1</v>
      </c>
      <c r="X1165">
        <v>19</v>
      </c>
      <c r="Y1165">
        <v>491</v>
      </c>
      <c r="Z1165">
        <v>433.59782149216659</v>
      </c>
      <c r="AA1165">
        <v>198</v>
      </c>
      <c r="AB1165">
        <v>332</v>
      </c>
      <c r="AC1165">
        <v>536</v>
      </c>
      <c r="AD1165">
        <v>29.96</v>
      </c>
      <c r="AE1165">
        <v>542</v>
      </c>
      <c r="AF1165">
        <v>29</v>
      </c>
      <c r="AG1165">
        <v>174</v>
      </c>
      <c r="AH1165">
        <v>129</v>
      </c>
      <c r="AI1165">
        <v>5.35</v>
      </c>
      <c r="AJ1165">
        <v>32.1</v>
      </c>
      <c r="AK1165">
        <v>23.8</v>
      </c>
      <c r="AL1165">
        <v>-20.16694954999997</v>
      </c>
      <c r="AM1165">
        <v>-44.859100695938046</v>
      </c>
      <c r="AN1165">
        <v>-20.16694954999997</v>
      </c>
      <c r="AO1165">
        <v>-44.859100695938046</v>
      </c>
      <c r="AP1165">
        <v>-20.166967</v>
      </c>
      <c r="AQ1165">
        <v>-44.859355000000001</v>
      </c>
      <c r="AR1165">
        <v>26.644458793923111</v>
      </c>
      <c r="AS1165" t="s">
        <v>65</v>
      </c>
      <c r="AT1165">
        <v>1</v>
      </c>
      <c r="AU1165" t="s">
        <v>984</v>
      </c>
      <c r="AV1165" t="s">
        <v>985</v>
      </c>
      <c r="AW1165" t="s">
        <v>60</v>
      </c>
      <c r="AX1165" t="s">
        <v>68</v>
      </c>
      <c r="AY1165" t="s">
        <v>69</v>
      </c>
      <c r="AZ1165" t="b">
        <v>1</v>
      </c>
    </row>
    <row r="1166" spans="1:52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2128</v>
      </c>
      <c r="F1166" t="s">
        <v>190</v>
      </c>
      <c r="G1166" t="s">
        <v>675</v>
      </c>
      <c r="H1166" t="s">
        <v>676</v>
      </c>
      <c r="I1166" t="s">
        <v>676</v>
      </c>
      <c r="J1166" t="s">
        <v>60</v>
      </c>
      <c r="K1166" t="s">
        <v>530</v>
      </c>
      <c r="L1166" t="s">
        <v>62</v>
      </c>
      <c r="M1166" t="s">
        <v>530</v>
      </c>
      <c r="N1166" t="s">
        <v>677</v>
      </c>
      <c r="O1166" t="s">
        <v>678</v>
      </c>
      <c r="P1166">
        <v>-20.140103</v>
      </c>
      <c r="Q1166">
        <v>-44.887059999999998</v>
      </c>
      <c r="R1166" s="2" t="str">
        <f>HYPERLINK("https://www.google.com/maps?q=-20.1401030,-44.8870600","Abrir no Google Maps")</f>
        <v>Abrir no Google Maps</v>
      </c>
      <c r="S1166">
        <v>3</v>
      </c>
      <c r="T1166">
        <v>202.19329492684349</v>
      </c>
      <c r="U1166">
        <v>3</v>
      </c>
      <c r="V1166">
        <v>19</v>
      </c>
      <c r="W1166">
        <v>1</v>
      </c>
      <c r="X1166">
        <v>19</v>
      </c>
      <c r="Y1166">
        <v>428</v>
      </c>
      <c r="Z1166">
        <v>144.95603883960419</v>
      </c>
      <c r="AA1166">
        <v>198</v>
      </c>
      <c r="AB1166">
        <v>332</v>
      </c>
      <c r="AC1166">
        <v>536</v>
      </c>
      <c r="AD1166">
        <v>29.96</v>
      </c>
      <c r="AE1166">
        <v>542</v>
      </c>
      <c r="AF1166">
        <v>29</v>
      </c>
      <c r="AG1166">
        <v>174</v>
      </c>
      <c r="AH1166">
        <v>129</v>
      </c>
      <c r="AI1166">
        <v>5.35</v>
      </c>
      <c r="AJ1166">
        <v>32.1</v>
      </c>
      <c r="AK1166">
        <v>23.8</v>
      </c>
      <c r="AL1166">
        <v>-20.13997164999995</v>
      </c>
      <c r="AM1166">
        <v>-44.887075246455773</v>
      </c>
      <c r="AN1166">
        <v>-20.13997164999995</v>
      </c>
      <c r="AO1166">
        <v>-44.887075246455773</v>
      </c>
      <c r="AP1166">
        <v>-20.140103</v>
      </c>
      <c r="AQ1166">
        <v>-44.887059999999998</v>
      </c>
      <c r="AR1166">
        <v>14.7084512385181</v>
      </c>
      <c r="AS1166" t="s">
        <v>65</v>
      </c>
      <c r="AT1166">
        <v>1</v>
      </c>
      <c r="AU1166" t="s">
        <v>679</v>
      </c>
      <c r="AV1166" t="s">
        <v>680</v>
      </c>
      <c r="AW1166" t="s">
        <v>60</v>
      </c>
      <c r="AX1166" t="s">
        <v>68</v>
      </c>
      <c r="AY1166" t="s">
        <v>69</v>
      </c>
      <c r="AZ1166" t="b">
        <v>1</v>
      </c>
    </row>
    <row r="1167" spans="1:52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2128</v>
      </c>
      <c r="F1167" t="s">
        <v>190</v>
      </c>
      <c r="G1167" t="s">
        <v>686</v>
      </c>
      <c r="H1167" t="s">
        <v>687</v>
      </c>
      <c r="I1167" t="s">
        <v>687</v>
      </c>
      <c r="J1167" t="s">
        <v>60</v>
      </c>
      <c r="K1167" t="s">
        <v>688</v>
      </c>
      <c r="L1167" t="s">
        <v>62</v>
      </c>
      <c r="M1167" t="s">
        <v>688</v>
      </c>
      <c r="N1167" t="s">
        <v>689</v>
      </c>
      <c r="O1167" t="s">
        <v>690</v>
      </c>
      <c r="P1167">
        <v>-20.136451999999998</v>
      </c>
      <c r="Q1167">
        <v>-44.891254000000004</v>
      </c>
      <c r="R1167" s="2" t="str">
        <f>HYPERLINK("https://www.google.com/maps?q=-20.1364520,-44.8912540","Abrir no Google Maps")</f>
        <v>Abrir no Google Maps</v>
      </c>
      <c r="S1167">
        <v>3</v>
      </c>
      <c r="T1167">
        <v>397.58661308638909</v>
      </c>
      <c r="U1167">
        <v>3</v>
      </c>
      <c r="V1167">
        <v>19</v>
      </c>
      <c r="W1167">
        <v>1</v>
      </c>
      <c r="X1167">
        <v>19</v>
      </c>
      <c r="Y1167">
        <v>428</v>
      </c>
      <c r="Z1167">
        <v>449.62002896840892</v>
      </c>
      <c r="AA1167">
        <v>198</v>
      </c>
      <c r="AB1167">
        <v>332</v>
      </c>
      <c r="AC1167">
        <v>536</v>
      </c>
      <c r="AD1167">
        <v>29.96</v>
      </c>
      <c r="AE1167">
        <v>542</v>
      </c>
      <c r="AF1167">
        <v>29</v>
      </c>
      <c r="AG1167">
        <v>174</v>
      </c>
      <c r="AH1167">
        <v>129</v>
      </c>
      <c r="AI1167">
        <v>5.35</v>
      </c>
      <c r="AJ1167">
        <v>32.1</v>
      </c>
      <c r="AK1167">
        <v>23.8</v>
      </c>
      <c r="AL1167">
        <v>-20.136400499999951</v>
      </c>
      <c r="AM1167">
        <v>-44.891173264034883</v>
      </c>
      <c r="AN1167">
        <v>-20.136400499999951</v>
      </c>
      <c r="AO1167">
        <v>-44.891173264034883</v>
      </c>
      <c r="AP1167">
        <v>-20.136451999999998</v>
      </c>
      <c r="AQ1167">
        <v>-44.891254000000004</v>
      </c>
      <c r="AR1167">
        <v>10.20146066113916</v>
      </c>
      <c r="AS1167" t="s">
        <v>65</v>
      </c>
      <c r="AT1167">
        <v>1</v>
      </c>
      <c r="AU1167" t="s">
        <v>691</v>
      </c>
      <c r="AV1167" t="s">
        <v>692</v>
      </c>
      <c r="AW1167" t="s">
        <v>60</v>
      </c>
      <c r="AX1167" t="s">
        <v>68</v>
      </c>
      <c r="AY1167" t="s">
        <v>69</v>
      </c>
      <c r="AZ1167" t="b">
        <v>1</v>
      </c>
    </row>
    <row r="1168" spans="1:52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2128</v>
      </c>
      <c r="F1168" t="s">
        <v>190</v>
      </c>
      <c r="G1168" t="s">
        <v>1033</v>
      </c>
      <c r="H1168" t="s">
        <v>1034</v>
      </c>
      <c r="I1168" t="s">
        <v>1034</v>
      </c>
      <c r="J1168" t="s">
        <v>60</v>
      </c>
      <c r="K1168" t="s">
        <v>1016</v>
      </c>
      <c r="L1168" t="s">
        <v>62</v>
      </c>
      <c r="M1168" t="s">
        <v>1016</v>
      </c>
      <c r="N1168" t="s">
        <v>1035</v>
      </c>
      <c r="O1168" t="s">
        <v>1036</v>
      </c>
      <c r="P1168">
        <v>-20.176404999999999</v>
      </c>
      <c r="Q1168">
        <v>-44.871102</v>
      </c>
      <c r="R1168" s="2" t="str">
        <f>HYPERLINK("https://www.google.com/maps?q=-20.1764050,-44.8711020","Abrir no Google Maps")</f>
        <v>Abrir no Google Maps</v>
      </c>
      <c r="S1168">
        <v>3</v>
      </c>
      <c r="T1168">
        <v>746.17794449655105</v>
      </c>
      <c r="U1168">
        <v>3</v>
      </c>
      <c r="V1168">
        <v>16</v>
      </c>
      <c r="W1168">
        <v>1</v>
      </c>
      <c r="X1168">
        <v>16</v>
      </c>
      <c r="Y1168">
        <v>422</v>
      </c>
      <c r="Z1168">
        <v>532.61564453099913</v>
      </c>
      <c r="AA1168">
        <v>198</v>
      </c>
      <c r="AB1168">
        <v>332</v>
      </c>
      <c r="AC1168">
        <v>536</v>
      </c>
      <c r="AD1168">
        <v>29.96</v>
      </c>
      <c r="AE1168">
        <v>542</v>
      </c>
      <c r="AF1168">
        <v>29</v>
      </c>
      <c r="AG1168">
        <v>174</v>
      </c>
      <c r="AH1168">
        <v>129</v>
      </c>
      <c r="AI1168">
        <v>5.35</v>
      </c>
      <c r="AJ1168">
        <v>32.1</v>
      </c>
      <c r="AK1168">
        <v>23.8</v>
      </c>
      <c r="AL1168">
        <v>-20.176464949999971</v>
      </c>
      <c r="AM1168">
        <v>-44.871010194676387</v>
      </c>
      <c r="AN1168">
        <v>-20.176464949999971</v>
      </c>
      <c r="AO1168">
        <v>-44.871010194676387</v>
      </c>
      <c r="AP1168">
        <v>-20.176404999999999</v>
      </c>
      <c r="AQ1168">
        <v>-44.871102</v>
      </c>
      <c r="AR1168">
        <v>11.68571547850415</v>
      </c>
      <c r="AS1168" t="s">
        <v>65</v>
      </c>
      <c r="AT1168">
        <v>1</v>
      </c>
      <c r="AU1168" t="s">
        <v>1037</v>
      </c>
      <c r="AV1168" t="s">
        <v>1038</v>
      </c>
      <c r="AW1168" t="s">
        <v>60</v>
      </c>
      <c r="AX1168" t="s">
        <v>68</v>
      </c>
      <c r="AY1168" t="s">
        <v>69</v>
      </c>
      <c r="AZ1168" t="b">
        <v>1</v>
      </c>
    </row>
    <row r="1169" spans="1:52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2128</v>
      </c>
      <c r="F1169" t="s">
        <v>190</v>
      </c>
      <c r="G1169" t="s">
        <v>1877</v>
      </c>
      <c r="H1169" t="s">
        <v>1878</v>
      </c>
      <c r="I1169" t="s">
        <v>1878</v>
      </c>
      <c r="J1169" t="s">
        <v>60</v>
      </c>
      <c r="K1169" t="s">
        <v>1023</v>
      </c>
      <c r="L1169" t="s">
        <v>62</v>
      </c>
      <c r="M1169" t="s">
        <v>1023</v>
      </c>
      <c r="N1169" t="s">
        <v>1879</v>
      </c>
      <c r="O1169" t="s">
        <v>1880</v>
      </c>
      <c r="P1169">
        <v>-20.174357000000001</v>
      </c>
      <c r="Q1169">
        <v>-44.866101</v>
      </c>
      <c r="R1169" s="2" t="str">
        <f>HYPERLINK("https://www.google.com/maps?q=-20.1743570,-44.8661010","Abrir no Google Maps")</f>
        <v>Abrir no Google Maps</v>
      </c>
      <c r="S1169">
        <v>3</v>
      </c>
      <c r="T1169">
        <v>238.56176556684929</v>
      </c>
      <c r="U1169">
        <v>3</v>
      </c>
      <c r="V1169">
        <v>18</v>
      </c>
      <c r="W1169">
        <v>0.85</v>
      </c>
      <c r="X1169">
        <v>15.3</v>
      </c>
      <c r="Y1169">
        <v>422</v>
      </c>
      <c r="Z1169">
        <v>225.29948026941889</v>
      </c>
      <c r="AA1169">
        <v>198</v>
      </c>
      <c r="AB1169">
        <v>332</v>
      </c>
      <c r="AC1169">
        <v>536</v>
      </c>
      <c r="AD1169">
        <v>29.96</v>
      </c>
      <c r="AE1169">
        <v>542</v>
      </c>
      <c r="AF1169">
        <v>29</v>
      </c>
      <c r="AG1169">
        <v>174</v>
      </c>
      <c r="AH1169">
        <v>129</v>
      </c>
      <c r="AI1169">
        <v>5.35</v>
      </c>
      <c r="AJ1169">
        <v>32.1</v>
      </c>
      <c r="AK1169">
        <v>23.8</v>
      </c>
      <c r="AL1169">
        <v>-20.17434419999995</v>
      </c>
      <c r="AM1169">
        <v>-44.866107665675429</v>
      </c>
      <c r="AN1169">
        <v>-20.17434419999995</v>
      </c>
      <c r="AO1169">
        <v>-44.866107665675429</v>
      </c>
      <c r="AP1169">
        <v>-20.174357000000001</v>
      </c>
      <c r="AQ1169">
        <v>-44.866101</v>
      </c>
      <c r="AR1169">
        <v>1.586013294508726</v>
      </c>
      <c r="AS1169" t="s">
        <v>65</v>
      </c>
      <c r="AT1169">
        <v>1</v>
      </c>
      <c r="AU1169" t="s">
        <v>1881</v>
      </c>
      <c r="AV1169" t="s">
        <v>1043</v>
      </c>
      <c r="AW1169" t="s">
        <v>60</v>
      </c>
      <c r="AX1169" t="s">
        <v>68</v>
      </c>
      <c r="AY1169" t="s">
        <v>69</v>
      </c>
      <c r="AZ1169" t="b">
        <v>1</v>
      </c>
    </row>
    <row r="1170" spans="1:52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2128</v>
      </c>
      <c r="F1170" t="s">
        <v>190</v>
      </c>
      <c r="G1170" t="s">
        <v>1039</v>
      </c>
      <c r="H1170" t="s">
        <v>1040</v>
      </c>
      <c r="I1170" t="s">
        <v>1040</v>
      </c>
      <c r="J1170" t="s">
        <v>60</v>
      </c>
      <c r="K1170" t="s">
        <v>1023</v>
      </c>
      <c r="L1170" t="s">
        <v>62</v>
      </c>
      <c r="M1170" t="s">
        <v>1023</v>
      </c>
      <c r="N1170" t="s">
        <v>1041</v>
      </c>
      <c r="O1170" t="s">
        <v>738</v>
      </c>
      <c r="P1170">
        <v>-20.172284000000001</v>
      </c>
      <c r="Q1170">
        <v>-44.865392999999997</v>
      </c>
      <c r="R1170" s="2" t="str">
        <f>HYPERLINK("https://www.google.com/maps?q=-20.1722840,-44.8653930","Abrir no Google Maps")</f>
        <v>Abrir no Google Maps</v>
      </c>
      <c r="S1170">
        <v>3</v>
      </c>
      <c r="T1170">
        <v>0</v>
      </c>
      <c r="U1170">
        <v>3</v>
      </c>
      <c r="V1170">
        <v>20</v>
      </c>
      <c r="W1170">
        <v>1</v>
      </c>
      <c r="X1170">
        <v>20</v>
      </c>
      <c r="Y1170">
        <v>422</v>
      </c>
      <c r="Z1170">
        <v>202.96804500763591</v>
      </c>
      <c r="AA1170">
        <v>198</v>
      </c>
      <c r="AB1170">
        <v>332</v>
      </c>
      <c r="AC1170">
        <v>536</v>
      </c>
      <c r="AD1170">
        <v>29.96</v>
      </c>
      <c r="AE1170">
        <v>542</v>
      </c>
      <c r="AF1170">
        <v>29</v>
      </c>
      <c r="AG1170">
        <v>174</v>
      </c>
      <c r="AH1170">
        <v>129</v>
      </c>
      <c r="AI1170">
        <v>5.35</v>
      </c>
      <c r="AJ1170">
        <v>32.1</v>
      </c>
      <c r="AK1170">
        <v>23.8</v>
      </c>
      <c r="AL1170">
        <v>-20.17229514999994</v>
      </c>
      <c r="AM1170">
        <v>-44.865398249858011</v>
      </c>
      <c r="AN1170">
        <v>-20.17229514999994</v>
      </c>
      <c r="AO1170">
        <v>-44.865398249858011</v>
      </c>
      <c r="AP1170">
        <v>-20.172284000000001</v>
      </c>
      <c r="AQ1170">
        <v>-44.865392999999997</v>
      </c>
      <c r="AR1170">
        <v>1.357036084497409</v>
      </c>
      <c r="AS1170" t="s">
        <v>65</v>
      </c>
      <c r="AT1170">
        <v>1</v>
      </c>
      <c r="AU1170" t="s">
        <v>1042</v>
      </c>
      <c r="AV1170" t="s">
        <v>1043</v>
      </c>
      <c r="AW1170" t="s">
        <v>60</v>
      </c>
      <c r="AX1170" t="s">
        <v>68</v>
      </c>
      <c r="AY1170" t="s">
        <v>69</v>
      </c>
      <c r="AZ1170" t="b">
        <v>1</v>
      </c>
    </row>
    <row r="1171" spans="1:52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2128</v>
      </c>
      <c r="F1171" t="s">
        <v>190</v>
      </c>
      <c r="G1171" t="s">
        <v>700</v>
      </c>
      <c r="H1171" t="s">
        <v>701</v>
      </c>
      <c r="I1171" t="s">
        <v>701</v>
      </c>
      <c r="J1171" t="s">
        <v>60</v>
      </c>
      <c r="K1171" t="s">
        <v>702</v>
      </c>
      <c r="L1171" t="s">
        <v>62</v>
      </c>
      <c r="M1171" t="s">
        <v>702</v>
      </c>
      <c r="N1171" t="s">
        <v>703</v>
      </c>
      <c r="O1171" t="s">
        <v>315</v>
      </c>
      <c r="P1171">
        <v>-20.172599000000002</v>
      </c>
      <c r="Q1171">
        <v>-44.85915</v>
      </c>
      <c r="R1171" s="2" t="str">
        <f>HYPERLINK("https://www.google.com/maps?q=-20.1725990,-44.8591500","Abrir no Google Maps")</f>
        <v>Abrir no Google Maps</v>
      </c>
      <c r="S1171">
        <v>3</v>
      </c>
      <c r="T1171">
        <v>665.1003223445598</v>
      </c>
      <c r="U1171">
        <v>3</v>
      </c>
      <c r="V1171">
        <v>17</v>
      </c>
      <c r="W1171">
        <v>1</v>
      </c>
      <c r="X1171">
        <v>17</v>
      </c>
      <c r="Y1171">
        <v>422</v>
      </c>
      <c r="Z1171">
        <v>843.09189615634341</v>
      </c>
      <c r="AA1171">
        <v>198</v>
      </c>
      <c r="AB1171">
        <v>332</v>
      </c>
      <c r="AC1171">
        <v>536</v>
      </c>
      <c r="AD1171">
        <v>29.96</v>
      </c>
      <c r="AE1171">
        <v>542</v>
      </c>
      <c r="AF1171">
        <v>29</v>
      </c>
      <c r="AG1171">
        <v>174</v>
      </c>
      <c r="AH1171">
        <v>129</v>
      </c>
      <c r="AI1171">
        <v>5.35</v>
      </c>
      <c r="AJ1171">
        <v>32.1</v>
      </c>
      <c r="AK1171">
        <v>23.8</v>
      </c>
      <c r="AL1171">
        <v>-20.172576899999971</v>
      </c>
      <c r="AM1171">
        <v>-44.859040110359317</v>
      </c>
      <c r="AN1171">
        <v>-20.172576899999971</v>
      </c>
      <c r="AO1171">
        <v>-44.859040110359317</v>
      </c>
      <c r="AP1171">
        <v>-20.172599000000002</v>
      </c>
      <c r="AQ1171">
        <v>-44.85915</v>
      </c>
      <c r="AR1171">
        <v>11.743118835828479</v>
      </c>
      <c r="AS1171" t="s">
        <v>65</v>
      </c>
      <c r="AT1171">
        <v>1</v>
      </c>
      <c r="AU1171" t="s">
        <v>704</v>
      </c>
      <c r="AV1171" t="s">
        <v>705</v>
      </c>
      <c r="AW1171" t="s">
        <v>60</v>
      </c>
      <c r="AX1171" t="s">
        <v>68</v>
      </c>
      <c r="AY1171" t="s">
        <v>69</v>
      </c>
      <c r="AZ1171" t="b">
        <v>1</v>
      </c>
    </row>
    <row r="1172" spans="1:52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2128</v>
      </c>
      <c r="F1172" t="s">
        <v>190</v>
      </c>
      <c r="G1172" t="s">
        <v>1048</v>
      </c>
      <c r="H1172" t="s">
        <v>1049</v>
      </c>
      <c r="I1172" t="s">
        <v>1049</v>
      </c>
      <c r="J1172" t="s">
        <v>60</v>
      </c>
      <c r="K1172" t="s">
        <v>708</v>
      </c>
      <c r="L1172" t="s">
        <v>62</v>
      </c>
      <c r="M1172" t="s">
        <v>708</v>
      </c>
      <c r="N1172" t="s">
        <v>1050</v>
      </c>
      <c r="O1172" t="s">
        <v>1051</v>
      </c>
      <c r="P1172">
        <v>-20.128316000000002</v>
      </c>
      <c r="Q1172">
        <v>-44.878137000000002</v>
      </c>
      <c r="R1172" s="2" t="str">
        <f>HYPERLINK("https://www.google.com/maps?q=-20.1283160,-44.8781370","Abrir no Google Maps")</f>
        <v>Abrir no Google Maps</v>
      </c>
      <c r="S1172">
        <v>3</v>
      </c>
      <c r="T1172">
        <v>513.28053815499243</v>
      </c>
      <c r="U1172">
        <v>3</v>
      </c>
      <c r="V1172">
        <v>19</v>
      </c>
      <c r="W1172">
        <v>1</v>
      </c>
      <c r="X1172">
        <v>19</v>
      </c>
      <c r="Y1172">
        <v>387</v>
      </c>
      <c r="Z1172">
        <v>385.74604528561741</v>
      </c>
      <c r="AA1172">
        <v>198</v>
      </c>
      <c r="AB1172">
        <v>332</v>
      </c>
      <c r="AC1172">
        <v>536</v>
      </c>
      <c r="AD1172">
        <v>29.96</v>
      </c>
      <c r="AE1172">
        <v>542</v>
      </c>
      <c r="AF1172">
        <v>29</v>
      </c>
      <c r="AG1172">
        <v>174</v>
      </c>
      <c r="AH1172">
        <v>129</v>
      </c>
      <c r="AI1172">
        <v>5.35</v>
      </c>
      <c r="AJ1172">
        <v>32.1</v>
      </c>
      <c r="AK1172">
        <v>23.8</v>
      </c>
      <c r="AL1172">
        <v>-20.128308349999969</v>
      </c>
      <c r="AM1172">
        <v>-44.878115052779357</v>
      </c>
      <c r="AN1172">
        <v>-20.128308349999969</v>
      </c>
      <c r="AO1172">
        <v>-44.878115052779357</v>
      </c>
      <c r="AP1172">
        <v>-20.128316000000002</v>
      </c>
      <c r="AQ1172">
        <v>-44.878137000000002</v>
      </c>
      <c r="AR1172">
        <v>2.4469186172207671</v>
      </c>
      <c r="AS1172" t="s">
        <v>65</v>
      </c>
      <c r="AT1172">
        <v>1</v>
      </c>
      <c r="AU1172" t="s">
        <v>1052</v>
      </c>
      <c r="AV1172" t="s">
        <v>1053</v>
      </c>
      <c r="AW1172" t="s">
        <v>60</v>
      </c>
      <c r="AX1172" t="s">
        <v>68</v>
      </c>
      <c r="AY1172" t="s">
        <v>69</v>
      </c>
      <c r="AZ1172" t="b">
        <v>1</v>
      </c>
    </row>
    <row r="1173" spans="1:52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2128</v>
      </c>
      <c r="F1173" t="s">
        <v>190</v>
      </c>
      <c r="G1173" t="s">
        <v>706</v>
      </c>
      <c r="H1173" t="s">
        <v>707</v>
      </c>
      <c r="I1173" t="s">
        <v>707</v>
      </c>
      <c r="J1173" t="s">
        <v>60</v>
      </c>
      <c r="K1173" t="s">
        <v>708</v>
      </c>
      <c r="L1173" t="s">
        <v>62</v>
      </c>
      <c r="M1173" t="s">
        <v>708</v>
      </c>
      <c r="N1173" t="s">
        <v>709</v>
      </c>
      <c r="O1173" t="s">
        <v>710</v>
      </c>
      <c r="P1173">
        <v>-20.127054999999999</v>
      </c>
      <c r="Q1173">
        <v>-44.872073</v>
      </c>
      <c r="R1173" s="2" t="str">
        <f>HYPERLINK("https://www.google.com/maps?q=-20.1270550,-44.8720730","Abrir no Google Maps")</f>
        <v>Abrir no Google Maps</v>
      </c>
      <c r="S1173">
        <v>3</v>
      </c>
      <c r="T1173">
        <v>395.91108553086929</v>
      </c>
      <c r="U1173">
        <v>3</v>
      </c>
      <c r="V1173">
        <v>20</v>
      </c>
      <c r="W1173">
        <v>1</v>
      </c>
      <c r="X1173">
        <v>20</v>
      </c>
      <c r="Y1173">
        <v>387</v>
      </c>
      <c r="Z1173">
        <v>518.31496622382247</v>
      </c>
      <c r="AA1173">
        <v>198</v>
      </c>
      <c r="AB1173">
        <v>332</v>
      </c>
      <c r="AC1173">
        <v>536</v>
      </c>
      <c r="AD1173">
        <v>29.96</v>
      </c>
      <c r="AE1173">
        <v>542</v>
      </c>
      <c r="AF1173">
        <v>29</v>
      </c>
      <c r="AG1173">
        <v>174</v>
      </c>
      <c r="AH1173">
        <v>129</v>
      </c>
      <c r="AI1173">
        <v>5.35</v>
      </c>
      <c r="AJ1173">
        <v>32.1</v>
      </c>
      <c r="AK1173">
        <v>23.8</v>
      </c>
      <c r="AL1173">
        <v>-20.126854749999978</v>
      </c>
      <c r="AM1173">
        <v>-44.871712455027861</v>
      </c>
      <c r="AN1173">
        <v>-20.126854749999978</v>
      </c>
      <c r="AO1173">
        <v>-44.871712455027861</v>
      </c>
      <c r="AP1173">
        <v>-20.127054999999999</v>
      </c>
      <c r="AQ1173">
        <v>-44.872073</v>
      </c>
      <c r="AR1173">
        <v>43.784435535392717</v>
      </c>
      <c r="AS1173" t="s">
        <v>65</v>
      </c>
      <c r="AT1173">
        <v>1</v>
      </c>
      <c r="AU1173" t="s">
        <v>711</v>
      </c>
      <c r="AV1173" t="s">
        <v>712</v>
      </c>
      <c r="AW1173" t="s">
        <v>60</v>
      </c>
      <c r="AX1173" t="s">
        <v>68</v>
      </c>
      <c r="AY1173" t="s">
        <v>69</v>
      </c>
      <c r="AZ1173" t="b">
        <v>1</v>
      </c>
    </row>
    <row r="1174" spans="1:52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2128</v>
      </c>
      <c r="F1174" t="s">
        <v>190</v>
      </c>
      <c r="G1174" t="s">
        <v>713</v>
      </c>
      <c r="H1174" t="s">
        <v>714</v>
      </c>
      <c r="I1174" t="s">
        <v>714</v>
      </c>
      <c r="J1174" t="s">
        <v>60</v>
      </c>
      <c r="K1174" t="s">
        <v>708</v>
      </c>
      <c r="L1174" t="s">
        <v>62</v>
      </c>
      <c r="M1174" t="s">
        <v>708</v>
      </c>
      <c r="N1174" t="s">
        <v>715</v>
      </c>
      <c r="O1174" t="s">
        <v>604</v>
      </c>
      <c r="P1174">
        <v>-20.133372000000001</v>
      </c>
      <c r="Q1174">
        <v>-44.878864</v>
      </c>
      <c r="R1174" s="2" t="str">
        <f>HYPERLINK("https://www.google.com/maps?q=-20.1333720,-44.8788640","Abrir no Google Maps")</f>
        <v>Abrir no Google Maps</v>
      </c>
      <c r="S1174">
        <v>3</v>
      </c>
      <c r="T1174">
        <v>719.22842848296966</v>
      </c>
      <c r="U1174">
        <v>3</v>
      </c>
      <c r="V1174">
        <v>17</v>
      </c>
      <c r="W1174">
        <v>1</v>
      </c>
      <c r="X1174">
        <v>17</v>
      </c>
      <c r="Y1174">
        <v>387</v>
      </c>
      <c r="Z1174">
        <v>630.8628365125652</v>
      </c>
      <c r="AA1174">
        <v>198</v>
      </c>
      <c r="AB1174">
        <v>332</v>
      </c>
      <c r="AC1174">
        <v>536</v>
      </c>
      <c r="AD1174">
        <v>29.96</v>
      </c>
      <c r="AE1174">
        <v>542</v>
      </c>
      <c r="AF1174">
        <v>29</v>
      </c>
      <c r="AG1174">
        <v>174</v>
      </c>
      <c r="AH1174">
        <v>129</v>
      </c>
      <c r="AI1174">
        <v>5.35</v>
      </c>
      <c r="AJ1174">
        <v>32.1</v>
      </c>
      <c r="AK1174">
        <v>23.8</v>
      </c>
      <c r="AL1174">
        <v>-20.133312349999951</v>
      </c>
      <c r="AM1174">
        <v>-44.879452111094892</v>
      </c>
      <c r="AN1174">
        <v>-20.133312349999951</v>
      </c>
      <c r="AO1174">
        <v>-44.879452111094892</v>
      </c>
      <c r="AP1174">
        <v>-20.133372000000001</v>
      </c>
      <c r="AQ1174">
        <v>-44.878864</v>
      </c>
      <c r="AR1174">
        <v>61.825649864116713</v>
      </c>
      <c r="AS1174" t="s">
        <v>65</v>
      </c>
      <c r="AT1174">
        <v>1</v>
      </c>
      <c r="AU1174" t="s">
        <v>716</v>
      </c>
      <c r="AV1174" t="s">
        <v>717</v>
      </c>
      <c r="AW1174" t="s">
        <v>60</v>
      </c>
      <c r="AX1174" t="s">
        <v>68</v>
      </c>
      <c r="AY1174" t="s">
        <v>69</v>
      </c>
      <c r="AZ1174" t="b">
        <v>1</v>
      </c>
    </row>
    <row r="1175" spans="1:52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2128</v>
      </c>
      <c r="F1175" t="s">
        <v>190</v>
      </c>
      <c r="G1175" t="s">
        <v>706</v>
      </c>
      <c r="H1175" t="s">
        <v>730</v>
      </c>
      <c r="I1175" t="s">
        <v>730</v>
      </c>
      <c r="J1175" t="s">
        <v>60</v>
      </c>
      <c r="K1175" t="s">
        <v>708</v>
      </c>
      <c r="L1175" t="s">
        <v>62</v>
      </c>
      <c r="M1175" t="s">
        <v>708</v>
      </c>
      <c r="N1175" t="s">
        <v>709</v>
      </c>
      <c r="O1175" t="s">
        <v>731</v>
      </c>
      <c r="P1175">
        <v>-20.130037999999999</v>
      </c>
      <c r="Q1175">
        <v>-44.873514</v>
      </c>
      <c r="R1175" s="2" t="str">
        <f>HYPERLINK("https://www.google.com/maps?q=-20.1300380,-44.8735140","Abrir no Google Maps")</f>
        <v>Abrir no Google Maps</v>
      </c>
      <c r="S1175">
        <v>3</v>
      </c>
      <c r="T1175">
        <v>0</v>
      </c>
      <c r="U1175">
        <v>3</v>
      </c>
      <c r="V1175">
        <v>17</v>
      </c>
      <c r="W1175">
        <v>1</v>
      </c>
      <c r="X1175">
        <v>17</v>
      </c>
      <c r="Y1175">
        <v>387</v>
      </c>
      <c r="Z1175">
        <v>108.0014931591698</v>
      </c>
      <c r="AA1175">
        <v>198</v>
      </c>
      <c r="AB1175">
        <v>332</v>
      </c>
      <c r="AC1175">
        <v>536</v>
      </c>
      <c r="AD1175">
        <v>29.96</v>
      </c>
      <c r="AE1175">
        <v>542</v>
      </c>
      <c r="AF1175">
        <v>29</v>
      </c>
      <c r="AG1175">
        <v>174</v>
      </c>
      <c r="AH1175">
        <v>129</v>
      </c>
      <c r="AI1175">
        <v>5.35</v>
      </c>
      <c r="AJ1175">
        <v>32.1</v>
      </c>
      <c r="AK1175">
        <v>23.8</v>
      </c>
      <c r="AL1175">
        <v>-20.12998944999995</v>
      </c>
      <c r="AM1175">
        <v>-44.873538114227337</v>
      </c>
      <c r="AN1175">
        <v>-20.12998944999995</v>
      </c>
      <c r="AO1175">
        <v>-44.873538114227337</v>
      </c>
      <c r="AP1175">
        <v>-20.130037999999999</v>
      </c>
      <c r="AQ1175">
        <v>-44.873514</v>
      </c>
      <c r="AR1175">
        <v>5.9633928268280867</v>
      </c>
      <c r="AS1175" t="s">
        <v>65</v>
      </c>
      <c r="AT1175">
        <v>1</v>
      </c>
      <c r="AU1175" t="s">
        <v>732</v>
      </c>
      <c r="AV1175" t="s">
        <v>733</v>
      </c>
      <c r="AW1175" t="s">
        <v>60</v>
      </c>
      <c r="AX1175" t="s">
        <v>68</v>
      </c>
      <c r="AY1175" t="s">
        <v>69</v>
      </c>
      <c r="AZ1175" t="b">
        <v>1</v>
      </c>
    </row>
    <row r="1176" spans="1:52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2128</v>
      </c>
      <c r="F1176" t="s">
        <v>190</v>
      </c>
      <c r="G1176" t="s">
        <v>734</v>
      </c>
      <c r="H1176" t="s">
        <v>735</v>
      </c>
      <c r="I1176" t="s">
        <v>735</v>
      </c>
      <c r="J1176" t="s">
        <v>60</v>
      </c>
      <c r="K1176" t="s">
        <v>736</v>
      </c>
      <c r="L1176" t="s">
        <v>62</v>
      </c>
      <c r="M1176" t="s">
        <v>736</v>
      </c>
      <c r="N1176" t="s">
        <v>737</v>
      </c>
      <c r="O1176" t="s">
        <v>738</v>
      </c>
      <c r="P1176">
        <v>-20.113050000000001</v>
      </c>
      <c r="Q1176">
        <v>-44.977640999999998</v>
      </c>
      <c r="R1176" s="2" t="str">
        <f>HYPERLINK("https://www.google.com/maps?q=-20.1130500,-44.9776410","Abrir no Google Maps")</f>
        <v>Abrir no Google Maps</v>
      </c>
      <c r="S1176">
        <v>3</v>
      </c>
      <c r="T1176">
        <v>1057.751631532733</v>
      </c>
      <c r="U1176">
        <v>3</v>
      </c>
      <c r="V1176">
        <v>19</v>
      </c>
      <c r="W1176">
        <v>1</v>
      </c>
      <c r="X1176">
        <v>19</v>
      </c>
      <c r="Y1176">
        <v>385</v>
      </c>
      <c r="Z1176">
        <v>1001.029655866156</v>
      </c>
      <c r="AA1176">
        <v>198</v>
      </c>
      <c r="AB1176">
        <v>332</v>
      </c>
      <c r="AC1176">
        <v>536</v>
      </c>
      <c r="AD1176">
        <v>29.96</v>
      </c>
      <c r="AE1176">
        <v>542</v>
      </c>
      <c r="AF1176">
        <v>29</v>
      </c>
      <c r="AG1176">
        <v>174</v>
      </c>
      <c r="AH1176">
        <v>129</v>
      </c>
      <c r="AI1176">
        <v>5.35</v>
      </c>
      <c r="AJ1176">
        <v>32.1</v>
      </c>
      <c r="AK1176">
        <v>23.8</v>
      </c>
      <c r="AL1176">
        <v>-20.112977499999939</v>
      </c>
      <c r="AM1176">
        <v>-44.977939579895221</v>
      </c>
      <c r="AN1176">
        <v>-20.112977499999939</v>
      </c>
      <c r="AO1176">
        <v>-44.977939579895221</v>
      </c>
      <c r="AP1176">
        <v>-20.113050000000001</v>
      </c>
      <c r="AQ1176">
        <v>-44.977640999999998</v>
      </c>
      <c r="AR1176">
        <v>32.23754556505741</v>
      </c>
      <c r="AS1176" t="s">
        <v>65</v>
      </c>
      <c r="AT1176">
        <v>1</v>
      </c>
      <c r="AU1176" t="s">
        <v>739</v>
      </c>
      <c r="AV1176" t="s">
        <v>740</v>
      </c>
      <c r="AW1176" t="s">
        <v>60</v>
      </c>
      <c r="AX1176" t="s">
        <v>68</v>
      </c>
      <c r="AY1176" t="s">
        <v>69</v>
      </c>
      <c r="AZ1176" t="b">
        <v>1</v>
      </c>
    </row>
    <row r="1177" spans="1:52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2128</v>
      </c>
      <c r="F1177" t="s">
        <v>190</v>
      </c>
      <c r="G1177" t="s">
        <v>741</v>
      </c>
      <c r="H1177" t="s">
        <v>742</v>
      </c>
      <c r="I1177" t="s">
        <v>742</v>
      </c>
      <c r="J1177" t="s">
        <v>60</v>
      </c>
      <c r="K1177" t="s">
        <v>688</v>
      </c>
      <c r="L1177" t="s">
        <v>62</v>
      </c>
      <c r="M1177" t="s">
        <v>688</v>
      </c>
      <c r="N1177" t="s">
        <v>743</v>
      </c>
      <c r="O1177" t="s">
        <v>744</v>
      </c>
      <c r="P1177">
        <v>-20.136733</v>
      </c>
      <c r="Q1177">
        <v>-44.888140999999997</v>
      </c>
      <c r="R1177" s="2" t="str">
        <f>HYPERLINK("https://www.google.com/maps?q=-20.1367330,-44.8881410","Abrir no Google Maps")</f>
        <v>Abrir no Google Maps</v>
      </c>
      <c r="S1177">
        <v>3</v>
      </c>
      <c r="T1177">
        <v>175.84339996559589</v>
      </c>
      <c r="U1177">
        <v>3</v>
      </c>
      <c r="V1177">
        <v>20</v>
      </c>
      <c r="W1177">
        <v>1</v>
      </c>
      <c r="X1177">
        <v>20</v>
      </c>
      <c r="Y1177">
        <v>350</v>
      </c>
      <c r="Z1177">
        <v>171.90575296051961</v>
      </c>
      <c r="AA1177">
        <v>198</v>
      </c>
      <c r="AB1177">
        <v>332</v>
      </c>
      <c r="AC1177">
        <v>536</v>
      </c>
      <c r="AD1177">
        <v>29.96</v>
      </c>
      <c r="AE1177">
        <v>542</v>
      </c>
      <c r="AF1177">
        <v>29</v>
      </c>
      <c r="AG1177">
        <v>174</v>
      </c>
      <c r="AH1177">
        <v>129</v>
      </c>
      <c r="AI1177">
        <v>5.35</v>
      </c>
      <c r="AJ1177">
        <v>32.1</v>
      </c>
      <c r="AK1177">
        <v>23.8</v>
      </c>
      <c r="AL1177">
        <v>-20.136726099999979</v>
      </c>
      <c r="AM1177">
        <v>-44.888062077766982</v>
      </c>
      <c r="AN1177">
        <v>-20.136726099999979</v>
      </c>
      <c r="AO1177">
        <v>-44.888062077766982</v>
      </c>
      <c r="AP1177">
        <v>-20.136733</v>
      </c>
      <c r="AQ1177">
        <v>-44.888140999999997</v>
      </c>
      <c r="AR1177">
        <v>8.2842769013797852</v>
      </c>
      <c r="AS1177" t="s">
        <v>65</v>
      </c>
      <c r="AT1177">
        <v>1</v>
      </c>
      <c r="AU1177" t="s">
        <v>745</v>
      </c>
      <c r="AV1177" t="s">
        <v>746</v>
      </c>
      <c r="AW1177" t="s">
        <v>60</v>
      </c>
      <c r="AX1177" t="s">
        <v>68</v>
      </c>
      <c r="AY1177" t="s">
        <v>69</v>
      </c>
      <c r="AZ1177" t="b">
        <v>1</v>
      </c>
    </row>
    <row r="1178" spans="1:52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2128</v>
      </c>
      <c r="F1178" t="s">
        <v>190</v>
      </c>
      <c r="G1178" t="s">
        <v>747</v>
      </c>
      <c r="H1178" t="s">
        <v>748</v>
      </c>
      <c r="I1178" t="s">
        <v>748</v>
      </c>
      <c r="J1178" t="s">
        <v>60</v>
      </c>
      <c r="K1178" t="s">
        <v>505</v>
      </c>
      <c r="L1178" t="s">
        <v>62</v>
      </c>
      <c r="M1178" t="s">
        <v>505</v>
      </c>
      <c r="N1178" t="s">
        <v>749</v>
      </c>
      <c r="O1178" t="s">
        <v>750</v>
      </c>
      <c r="P1178">
        <v>-20.135107000000001</v>
      </c>
      <c r="Q1178">
        <v>-44.887521</v>
      </c>
      <c r="R1178" s="2" t="str">
        <f>HYPERLINK("https://www.google.com/maps?q=-20.1351070,-44.8875210","Abrir no Google Maps")</f>
        <v>Abrir no Google Maps</v>
      </c>
      <c r="S1178">
        <v>3</v>
      </c>
      <c r="T1178">
        <v>0</v>
      </c>
      <c r="U1178">
        <v>3</v>
      </c>
      <c r="V1178">
        <v>16</v>
      </c>
      <c r="W1178">
        <v>1</v>
      </c>
      <c r="X1178">
        <v>16</v>
      </c>
      <c r="Y1178">
        <v>350</v>
      </c>
      <c r="Z1178">
        <v>162.3716242776689</v>
      </c>
      <c r="AA1178">
        <v>198</v>
      </c>
      <c r="AB1178">
        <v>332</v>
      </c>
      <c r="AC1178">
        <v>536</v>
      </c>
      <c r="AD1178">
        <v>29.96</v>
      </c>
      <c r="AE1178">
        <v>542</v>
      </c>
      <c r="AF1178">
        <v>29</v>
      </c>
      <c r="AG1178">
        <v>174</v>
      </c>
      <c r="AH1178">
        <v>129</v>
      </c>
      <c r="AI1178">
        <v>5.35</v>
      </c>
      <c r="AJ1178">
        <v>32.1</v>
      </c>
      <c r="AK1178">
        <v>23.8</v>
      </c>
      <c r="AL1178">
        <v>-20.13520169999995</v>
      </c>
      <c r="AM1178">
        <v>-44.887587176802917</v>
      </c>
      <c r="AN1178">
        <v>-20.13520169999995</v>
      </c>
      <c r="AO1178">
        <v>-44.887587176802931</v>
      </c>
      <c r="AP1178">
        <v>-20.135107000000001</v>
      </c>
      <c r="AQ1178">
        <v>-44.887521</v>
      </c>
      <c r="AR1178">
        <v>12.608438103029821</v>
      </c>
      <c r="AS1178" t="s">
        <v>65</v>
      </c>
      <c r="AT1178">
        <v>1</v>
      </c>
      <c r="AU1178" t="s">
        <v>751</v>
      </c>
      <c r="AV1178" t="s">
        <v>752</v>
      </c>
      <c r="AW1178" t="s">
        <v>60</v>
      </c>
      <c r="AX1178" t="s">
        <v>68</v>
      </c>
      <c r="AY1178" t="s">
        <v>69</v>
      </c>
      <c r="AZ1178" t="b">
        <v>1</v>
      </c>
    </row>
    <row r="1179" spans="1:52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2128</v>
      </c>
      <c r="F1179" t="s">
        <v>190</v>
      </c>
      <c r="G1179" t="s">
        <v>753</v>
      </c>
      <c r="H1179" t="s">
        <v>754</v>
      </c>
      <c r="I1179" t="s">
        <v>754</v>
      </c>
      <c r="J1179" t="s">
        <v>60</v>
      </c>
      <c r="K1179" t="s">
        <v>688</v>
      </c>
      <c r="L1179" t="s">
        <v>62</v>
      </c>
      <c r="M1179" t="s">
        <v>688</v>
      </c>
      <c r="N1179" t="s">
        <v>755</v>
      </c>
      <c r="O1179" t="s">
        <v>756</v>
      </c>
      <c r="P1179">
        <v>-20.135238000000001</v>
      </c>
      <c r="Q1179">
        <v>-44.890405999999999</v>
      </c>
      <c r="R1179" s="2" t="str">
        <f>HYPERLINK("https://www.google.com/maps?q=-20.1352380,-44.8904060","Abrir no Google Maps")</f>
        <v>Abrir no Google Maps</v>
      </c>
      <c r="S1179">
        <v>3</v>
      </c>
      <c r="T1179">
        <v>314.49904475975598</v>
      </c>
      <c r="U1179">
        <v>3</v>
      </c>
      <c r="V1179">
        <v>15</v>
      </c>
      <c r="W1179">
        <v>1</v>
      </c>
      <c r="X1179">
        <v>15</v>
      </c>
      <c r="Y1179">
        <v>350</v>
      </c>
      <c r="Z1179">
        <v>443.96798796176353</v>
      </c>
      <c r="AA1179">
        <v>198</v>
      </c>
      <c r="AB1179">
        <v>332</v>
      </c>
      <c r="AC1179">
        <v>536</v>
      </c>
      <c r="AD1179">
        <v>29.96</v>
      </c>
      <c r="AE1179">
        <v>542</v>
      </c>
      <c r="AF1179">
        <v>29</v>
      </c>
      <c r="AG1179">
        <v>174</v>
      </c>
      <c r="AH1179">
        <v>129</v>
      </c>
      <c r="AI1179">
        <v>5.35</v>
      </c>
      <c r="AJ1179">
        <v>32.1</v>
      </c>
      <c r="AK1179">
        <v>23.8</v>
      </c>
      <c r="AL1179">
        <v>-20.134851099999931</v>
      </c>
      <c r="AM1179">
        <v>-44.890573293408117</v>
      </c>
      <c r="AN1179">
        <v>-20.134851099999931</v>
      </c>
      <c r="AO1179">
        <v>-44.890573293408131</v>
      </c>
      <c r="AP1179">
        <v>-20.135238000000001</v>
      </c>
      <c r="AQ1179">
        <v>-44.890405999999999</v>
      </c>
      <c r="AR1179">
        <v>46.483580940434933</v>
      </c>
      <c r="AS1179" t="s">
        <v>65</v>
      </c>
      <c r="AT1179">
        <v>1</v>
      </c>
      <c r="AU1179" t="s">
        <v>757</v>
      </c>
      <c r="AV1179" t="s">
        <v>758</v>
      </c>
      <c r="AW1179" t="s">
        <v>60</v>
      </c>
      <c r="AX1179" t="s">
        <v>68</v>
      </c>
      <c r="AY1179" t="s">
        <v>69</v>
      </c>
      <c r="AZ1179" t="b">
        <v>1</v>
      </c>
    </row>
    <row r="1180" spans="1:52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2128</v>
      </c>
      <c r="F1180" t="s">
        <v>190</v>
      </c>
      <c r="G1180" t="s">
        <v>1089</v>
      </c>
      <c r="H1180" t="s">
        <v>1090</v>
      </c>
      <c r="I1180" t="s">
        <v>1090</v>
      </c>
      <c r="J1180" t="s">
        <v>60</v>
      </c>
      <c r="K1180" t="s">
        <v>761</v>
      </c>
      <c r="L1180" t="s">
        <v>62</v>
      </c>
      <c r="M1180" t="s">
        <v>761</v>
      </c>
      <c r="N1180" t="s">
        <v>1091</v>
      </c>
      <c r="O1180" t="s">
        <v>86</v>
      </c>
      <c r="P1180">
        <v>-20.116182999999999</v>
      </c>
      <c r="Q1180">
        <v>-44.850524</v>
      </c>
      <c r="R1180" s="2" t="str">
        <f>HYPERLINK("https://www.google.com/maps?q=-20.1161830,-44.8505240","Abrir no Google Maps")</f>
        <v>Abrir no Google Maps</v>
      </c>
      <c r="S1180">
        <v>3</v>
      </c>
      <c r="T1180">
        <v>1142.6607426309961</v>
      </c>
      <c r="U1180">
        <v>3</v>
      </c>
      <c r="V1180">
        <v>20</v>
      </c>
      <c r="W1180">
        <v>1</v>
      </c>
      <c r="X1180">
        <v>20</v>
      </c>
      <c r="Y1180">
        <v>350</v>
      </c>
      <c r="Z1180">
        <v>723.44841640590141</v>
      </c>
      <c r="AA1180">
        <v>198</v>
      </c>
      <c r="AB1180">
        <v>332</v>
      </c>
      <c r="AC1180">
        <v>536</v>
      </c>
      <c r="AD1180">
        <v>29.96</v>
      </c>
      <c r="AE1180">
        <v>542</v>
      </c>
      <c r="AF1180">
        <v>29</v>
      </c>
      <c r="AG1180">
        <v>174</v>
      </c>
      <c r="AH1180">
        <v>129</v>
      </c>
      <c r="AI1180">
        <v>5.35</v>
      </c>
      <c r="AJ1180">
        <v>32.1</v>
      </c>
      <c r="AK1180">
        <v>23.8</v>
      </c>
      <c r="AL1180">
        <v>-20.11605684999995</v>
      </c>
      <c r="AM1180">
        <v>-44.850832861808193</v>
      </c>
      <c r="AN1180">
        <v>-20.11605684999995</v>
      </c>
      <c r="AO1180">
        <v>-44.850832861808193</v>
      </c>
      <c r="AP1180">
        <v>-20.116182999999999</v>
      </c>
      <c r="AQ1180">
        <v>-44.850524</v>
      </c>
      <c r="AR1180">
        <v>35.207009729928053</v>
      </c>
      <c r="AS1180" t="s">
        <v>65</v>
      </c>
      <c r="AT1180">
        <v>1</v>
      </c>
      <c r="AU1180" t="s">
        <v>1092</v>
      </c>
      <c r="AV1180" t="s">
        <v>1093</v>
      </c>
      <c r="AW1180" t="s">
        <v>60</v>
      </c>
      <c r="AX1180" t="s">
        <v>68</v>
      </c>
      <c r="AY1180" t="s">
        <v>69</v>
      </c>
      <c r="AZ1180" t="b">
        <v>1</v>
      </c>
    </row>
    <row r="1181" spans="1:52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2128</v>
      </c>
      <c r="F1181" t="s">
        <v>190</v>
      </c>
      <c r="G1181" t="s">
        <v>759</v>
      </c>
      <c r="H1181" t="s">
        <v>760</v>
      </c>
      <c r="I1181" t="s">
        <v>760</v>
      </c>
      <c r="J1181" t="s">
        <v>60</v>
      </c>
      <c r="K1181" t="s">
        <v>761</v>
      </c>
      <c r="L1181" t="s">
        <v>62</v>
      </c>
      <c r="M1181" t="s">
        <v>761</v>
      </c>
      <c r="N1181" t="s">
        <v>762</v>
      </c>
      <c r="O1181" t="s">
        <v>763</v>
      </c>
      <c r="P1181">
        <v>-20.118755</v>
      </c>
      <c r="Q1181">
        <v>-44.850627000000003</v>
      </c>
      <c r="R1181" s="2" t="str">
        <f>HYPERLINK("https://www.google.com/maps?q=-20.1187550,-44.8506270","Abrir no Google Maps")</f>
        <v>Abrir no Google Maps</v>
      </c>
      <c r="S1181">
        <v>3</v>
      </c>
      <c r="T1181">
        <v>848.81670834514034</v>
      </c>
      <c r="U1181">
        <v>3</v>
      </c>
      <c r="V1181">
        <v>20</v>
      </c>
      <c r="W1181">
        <v>1</v>
      </c>
      <c r="X1181">
        <v>20</v>
      </c>
      <c r="Y1181">
        <v>350</v>
      </c>
      <c r="Z1181">
        <v>443.51354125420028</v>
      </c>
      <c r="AA1181">
        <v>198</v>
      </c>
      <c r="AB1181">
        <v>332</v>
      </c>
      <c r="AC1181">
        <v>536</v>
      </c>
      <c r="AD1181">
        <v>29.96</v>
      </c>
      <c r="AE1181">
        <v>542</v>
      </c>
      <c r="AF1181">
        <v>29</v>
      </c>
      <c r="AG1181">
        <v>174</v>
      </c>
      <c r="AH1181">
        <v>129</v>
      </c>
      <c r="AI1181">
        <v>5.35</v>
      </c>
      <c r="AJ1181">
        <v>32.1</v>
      </c>
      <c r="AK1181">
        <v>23.8</v>
      </c>
      <c r="AL1181">
        <v>-20.11882464999994</v>
      </c>
      <c r="AM1181">
        <v>-44.850497004056017</v>
      </c>
      <c r="AN1181">
        <v>-20.11882464999994</v>
      </c>
      <c r="AO1181">
        <v>-44.850497004056017</v>
      </c>
      <c r="AP1181">
        <v>-20.118755</v>
      </c>
      <c r="AQ1181">
        <v>-44.850627000000003</v>
      </c>
      <c r="AR1181">
        <v>15.6445928866994</v>
      </c>
      <c r="AS1181" t="s">
        <v>65</v>
      </c>
      <c r="AT1181">
        <v>1</v>
      </c>
      <c r="AU1181" t="s">
        <v>764</v>
      </c>
      <c r="AV1181" t="s">
        <v>765</v>
      </c>
      <c r="AW1181" t="s">
        <v>60</v>
      </c>
      <c r="AX1181" t="s">
        <v>68</v>
      </c>
      <c r="AY1181" t="s">
        <v>69</v>
      </c>
      <c r="AZ1181" t="b">
        <v>1</v>
      </c>
    </row>
    <row r="1182" spans="1:52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2128</v>
      </c>
      <c r="F1182" t="s">
        <v>190</v>
      </c>
      <c r="G1182" t="s">
        <v>766</v>
      </c>
      <c r="H1182" t="s">
        <v>767</v>
      </c>
      <c r="I1182" t="s">
        <v>767</v>
      </c>
      <c r="J1182" t="s">
        <v>60</v>
      </c>
      <c r="K1182" t="s">
        <v>768</v>
      </c>
      <c r="L1182" t="s">
        <v>62</v>
      </c>
      <c r="M1182" t="s">
        <v>768</v>
      </c>
      <c r="N1182" t="s">
        <v>769</v>
      </c>
      <c r="O1182" t="s">
        <v>770</v>
      </c>
      <c r="P1182">
        <v>-20.135211000000002</v>
      </c>
      <c r="Q1182">
        <v>-44.875359000000003</v>
      </c>
      <c r="R1182" s="2" t="str">
        <f>HYPERLINK("https://www.google.com/maps?q=-20.1352110,-44.8753590","Abrir no Google Maps")</f>
        <v>Abrir no Google Maps</v>
      </c>
      <c r="S1182">
        <v>3</v>
      </c>
      <c r="T1182">
        <v>383.44405482521267</v>
      </c>
      <c r="U1182">
        <v>3</v>
      </c>
      <c r="V1182">
        <v>16</v>
      </c>
      <c r="W1182">
        <v>1</v>
      </c>
      <c r="X1182">
        <v>16</v>
      </c>
      <c r="Y1182">
        <v>332</v>
      </c>
      <c r="Z1182">
        <v>219.0766044611764</v>
      </c>
      <c r="AA1182">
        <v>198</v>
      </c>
      <c r="AB1182">
        <v>332</v>
      </c>
      <c r="AC1182">
        <v>536</v>
      </c>
      <c r="AD1182">
        <v>29.96</v>
      </c>
      <c r="AE1182">
        <v>542</v>
      </c>
      <c r="AF1182">
        <v>29</v>
      </c>
      <c r="AG1182">
        <v>174</v>
      </c>
      <c r="AH1182">
        <v>129</v>
      </c>
      <c r="AI1182">
        <v>5.35</v>
      </c>
      <c r="AJ1182">
        <v>32.1</v>
      </c>
      <c r="AK1182">
        <v>23.8</v>
      </c>
      <c r="AL1182">
        <v>-20.135125549999941</v>
      </c>
      <c r="AM1182">
        <v>-44.875534947489427</v>
      </c>
      <c r="AN1182">
        <v>-20.135125549999941</v>
      </c>
      <c r="AO1182">
        <v>-44.875534947489427</v>
      </c>
      <c r="AP1182">
        <v>-20.135211000000002</v>
      </c>
      <c r="AQ1182">
        <v>-44.875359000000003</v>
      </c>
      <c r="AR1182">
        <v>20.703969313709418</v>
      </c>
      <c r="AS1182" t="s">
        <v>65</v>
      </c>
      <c r="AT1182">
        <v>1</v>
      </c>
      <c r="AU1182" t="s">
        <v>771</v>
      </c>
      <c r="AV1182" t="s">
        <v>772</v>
      </c>
      <c r="AW1182" t="s">
        <v>60</v>
      </c>
      <c r="AX1182" t="s">
        <v>68</v>
      </c>
      <c r="AY1182" t="s">
        <v>69</v>
      </c>
      <c r="AZ1182" t="b">
        <v>1</v>
      </c>
    </row>
    <row r="1183" spans="1:52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2128</v>
      </c>
      <c r="F1183" t="s">
        <v>190</v>
      </c>
      <c r="G1183" t="s">
        <v>773</v>
      </c>
      <c r="H1183" t="s">
        <v>774</v>
      </c>
      <c r="I1183" t="s">
        <v>774</v>
      </c>
      <c r="J1183" t="s">
        <v>60</v>
      </c>
      <c r="K1183" t="s">
        <v>775</v>
      </c>
      <c r="L1183" t="s">
        <v>62</v>
      </c>
      <c r="M1183" t="s">
        <v>775</v>
      </c>
      <c r="N1183" t="s">
        <v>776</v>
      </c>
      <c r="O1183" t="s">
        <v>250</v>
      </c>
      <c r="P1183">
        <v>-20.135413</v>
      </c>
      <c r="Q1183">
        <v>-44.868969999999997</v>
      </c>
      <c r="R1183" s="2" t="str">
        <f>HYPERLINK("https://www.google.com/maps?q=-20.1354130,-44.8689700","Abrir no Google Maps")</f>
        <v>Abrir no Google Maps</v>
      </c>
      <c r="S1183">
        <v>3</v>
      </c>
      <c r="T1183">
        <v>403.5118397372845</v>
      </c>
      <c r="U1183">
        <v>3</v>
      </c>
      <c r="V1183">
        <v>20</v>
      </c>
      <c r="W1183">
        <v>1</v>
      </c>
      <c r="X1183">
        <v>20</v>
      </c>
      <c r="Y1183">
        <v>332</v>
      </c>
      <c r="Z1183">
        <v>455.74614750795899</v>
      </c>
      <c r="AA1183">
        <v>198</v>
      </c>
      <c r="AB1183">
        <v>332</v>
      </c>
      <c r="AC1183">
        <v>536</v>
      </c>
      <c r="AD1183">
        <v>29.96</v>
      </c>
      <c r="AE1183">
        <v>542</v>
      </c>
      <c r="AF1183">
        <v>29</v>
      </c>
      <c r="AG1183">
        <v>174</v>
      </c>
      <c r="AH1183">
        <v>129</v>
      </c>
      <c r="AI1183">
        <v>5.35</v>
      </c>
      <c r="AJ1183">
        <v>32.1</v>
      </c>
      <c r="AK1183">
        <v>23.8</v>
      </c>
      <c r="AL1183">
        <v>-20.13561149999995</v>
      </c>
      <c r="AM1183">
        <v>-44.868817260088647</v>
      </c>
      <c r="AN1183">
        <v>-20.13561149999995</v>
      </c>
      <c r="AO1183">
        <v>-44.868817260088647</v>
      </c>
      <c r="AP1183">
        <v>-20.135413</v>
      </c>
      <c r="AQ1183">
        <v>-44.868969999999997</v>
      </c>
      <c r="AR1183">
        <v>27.26024434808955</v>
      </c>
      <c r="AS1183" t="s">
        <v>65</v>
      </c>
      <c r="AT1183">
        <v>1</v>
      </c>
      <c r="AU1183" t="s">
        <v>777</v>
      </c>
      <c r="AV1183" t="s">
        <v>778</v>
      </c>
      <c r="AW1183" t="s">
        <v>60</v>
      </c>
      <c r="AX1183" t="s">
        <v>68</v>
      </c>
      <c r="AY1183" t="s">
        <v>69</v>
      </c>
      <c r="AZ1183" t="b">
        <v>1</v>
      </c>
    </row>
    <row r="1184" spans="1:52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2128</v>
      </c>
      <c r="F1184" t="s">
        <v>190</v>
      </c>
      <c r="G1184" t="s">
        <v>1099</v>
      </c>
      <c r="H1184" t="s">
        <v>1100</v>
      </c>
      <c r="I1184" t="s">
        <v>1100</v>
      </c>
      <c r="J1184" t="s">
        <v>60</v>
      </c>
      <c r="K1184" t="s">
        <v>781</v>
      </c>
      <c r="L1184" t="s">
        <v>62</v>
      </c>
      <c r="M1184" t="s">
        <v>781</v>
      </c>
      <c r="N1184" t="s">
        <v>1101</v>
      </c>
      <c r="O1184" t="s">
        <v>235</v>
      </c>
      <c r="P1184">
        <v>-20.136811999999999</v>
      </c>
      <c r="Q1184">
        <v>-44.872388000000001</v>
      </c>
      <c r="R1184" s="2" t="str">
        <f>HYPERLINK("https://www.google.com/maps?q=-20.1368120,-44.8723880","Abrir no Google Maps")</f>
        <v>Abrir no Google Maps</v>
      </c>
      <c r="S1184">
        <v>3</v>
      </c>
      <c r="T1184">
        <v>0</v>
      </c>
      <c r="U1184">
        <v>3</v>
      </c>
      <c r="V1184">
        <v>16</v>
      </c>
      <c r="W1184">
        <v>1</v>
      </c>
      <c r="X1184">
        <v>16</v>
      </c>
      <c r="Y1184">
        <v>332</v>
      </c>
      <c r="Z1184">
        <v>121.0319884418894</v>
      </c>
      <c r="AA1184">
        <v>198</v>
      </c>
      <c r="AB1184">
        <v>332</v>
      </c>
      <c r="AC1184">
        <v>536</v>
      </c>
      <c r="AD1184">
        <v>29.96</v>
      </c>
      <c r="AE1184">
        <v>542</v>
      </c>
      <c r="AF1184">
        <v>29</v>
      </c>
      <c r="AG1184">
        <v>174</v>
      </c>
      <c r="AH1184">
        <v>129</v>
      </c>
      <c r="AI1184">
        <v>5.35</v>
      </c>
      <c r="AJ1184">
        <v>32.1</v>
      </c>
      <c r="AK1184">
        <v>23.8</v>
      </c>
      <c r="AL1184">
        <v>-20.136943099999939</v>
      </c>
      <c r="AM1184">
        <v>-44.872411407897907</v>
      </c>
      <c r="AN1184">
        <v>-20.136943099999939</v>
      </c>
      <c r="AO1184">
        <v>-44.872411407897907</v>
      </c>
      <c r="AP1184">
        <v>-20.136811999999999</v>
      </c>
      <c r="AQ1184">
        <v>-44.872388000000001</v>
      </c>
      <c r="AR1184">
        <v>14.79769012694347</v>
      </c>
      <c r="AS1184" t="s">
        <v>65</v>
      </c>
      <c r="AT1184">
        <v>1</v>
      </c>
      <c r="AU1184" t="s">
        <v>1102</v>
      </c>
      <c r="AV1184" t="s">
        <v>1103</v>
      </c>
      <c r="AW1184" t="s">
        <v>60</v>
      </c>
      <c r="AX1184" t="s">
        <v>68</v>
      </c>
      <c r="AY1184" t="s">
        <v>69</v>
      </c>
      <c r="AZ1184" t="b">
        <v>1</v>
      </c>
    </row>
    <row r="1185" spans="1:52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2128</v>
      </c>
      <c r="F1185" t="s">
        <v>190</v>
      </c>
      <c r="G1185" t="s">
        <v>779</v>
      </c>
      <c r="H1185" t="s">
        <v>780</v>
      </c>
      <c r="I1185" t="s">
        <v>780</v>
      </c>
      <c r="J1185" t="s">
        <v>60</v>
      </c>
      <c r="K1185" t="s">
        <v>781</v>
      </c>
      <c r="L1185" t="s">
        <v>62</v>
      </c>
      <c r="M1185" t="s">
        <v>781</v>
      </c>
      <c r="N1185" t="s">
        <v>782</v>
      </c>
      <c r="O1185" t="s">
        <v>783</v>
      </c>
      <c r="P1185">
        <v>-20.137938999999999</v>
      </c>
      <c r="Q1185">
        <v>-44.865873000000001</v>
      </c>
      <c r="R1185" s="2" t="str">
        <f>HYPERLINK("https://www.google.com/maps?q=-20.1379390,-44.8658730","Abrir no Google Maps")</f>
        <v>Abrir no Google Maps</v>
      </c>
      <c r="S1185">
        <v>3</v>
      </c>
      <c r="T1185">
        <v>663.24596349877265</v>
      </c>
      <c r="U1185">
        <v>3</v>
      </c>
      <c r="V1185">
        <v>19</v>
      </c>
      <c r="W1185">
        <v>1</v>
      </c>
      <c r="X1185">
        <v>19</v>
      </c>
      <c r="Y1185">
        <v>332</v>
      </c>
      <c r="Z1185">
        <v>724.72470227972997</v>
      </c>
      <c r="AA1185">
        <v>198</v>
      </c>
      <c r="AB1185">
        <v>332</v>
      </c>
      <c r="AC1185">
        <v>536</v>
      </c>
      <c r="AD1185">
        <v>29.96</v>
      </c>
      <c r="AE1185">
        <v>542</v>
      </c>
      <c r="AF1185">
        <v>29</v>
      </c>
      <c r="AG1185">
        <v>174</v>
      </c>
      <c r="AH1185">
        <v>129</v>
      </c>
      <c r="AI1185">
        <v>5.35</v>
      </c>
      <c r="AJ1185">
        <v>32.1</v>
      </c>
      <c r="AK1185">
        <v>23.8</v>
      </c>
      <c r="AL1185">
        <v>-20.137865449999961</v>
      </c>
      <c r="AM1185">
        <v>-44.866141027847057</v>
      </c>
      <c r="AN1185">
        <v>-20.137865449999961</v>
      </c>
      <c r="AO1185">
        <v>-44.866141027847057</v>
      </c>
      <c r="AP1185">
        <v>-20.137938999999999</v>
      </c>
      <c r="AQ1185">
        <v>-44.865873000000001</v>
      </c>
      <c r="AR1185">
        <v>29.184856191831059</v>
      </c>
      <c r="AS1185" t="s">
        <v>65</v>
      </c>
      <c r="AT1185">
        <v>1</v>
      </c>
      <c r="AU1185" t="s">
        <v>784</v>
      </c>
      <c r="AV1185" t="s">
        <v>785</v>
      </c>
      <c r="AW1185" t="s">
        <v>60</v>
      </c>
      <c r="AX1185" t="s">
        <v>68</v>
      </c>
      <c r="AY1185" t="s">
        <v>69</v>
      </c>
      <c r="AZ1185" t="b">
        <v>1</v>
      </c>
    </row>
    <row r="1186" spans="1:52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2128</v>
      </c>
      <c r="F1186" t="s">
        <v>190</v>
      </c>
      <c r="G1186" t="s">
        <v>1109</v>
      </c>
      <c r="H1186" t="s">
        <v>1110</v>
      </c>
      <c r="I1186" t="s">
        <v>1110</v>
      </c>
      <c r="J1186" t="s">
        <v>60</v>
      </c>
      <c r="K1186" t="s">
        <v>768</v>
      </c>
      <c r="L1186" t="s">
        <v>62</v>
      </c>
      <c r="M1186" t="s">
        <v>768</v>
      </c>
      <c r="N1186" t="s">
        <v>1111</v>
      </c>
      <c r="O1186" t="s">
        <v>1112</v>
      </c>
      <c r="P1186">
        <v>-20.135508000000002</v>
      </c>
      <c r="Q1186">
        <v>-44.871786999999998</v>
      </c>
      <c r="R1186" s="2" t="str">
        <f>HYPERLINK("https://www.google.com/maps?q=-20.1355080,-44.8717870","Abrir no Google Maps")</f>
        <v>Abrir no Google Maps</v>
      </c>
      <c r="S1186">
        <v>3</v>
      </c>
      <c r="T1186">
        <v>167.5382405548801</v>
      </c>
      <c r="U1186">
        <v>3</v>
      </c>
      <c r="V1186">
        <v>18</v>
      </c>
      <c r="W1186">
        <v>1</v>
      </c>
      <c r="X1186">
        <v>18</v>
      </c>
      <c r="Y1186">
        <v>332</v>
      </c>
      <c r="Z1186">
        <v>179.76671916562941</v>
      </c>
      <c r="AA1186">
        <v>198</v>
      </c>
      <c r="AB1186">
        <v>332</v>
      </c>
      <c r="AC1186">
        <v>536</v>
      </c>
      <c r="AD1186">
        <v>29.96</v>
      </c>
      <c r="AE1186">
        <v>542</v>
      </c>
      <c r="AF1186">
        <v>29</v>
      </c>
      <c r="AG1186">
        <v>174</v>
      </c>
      <c r="AH1186">
        <v>129</v>
      </c>
      <c r="AI1186">
        <v>5.35</v>
      </c>
      <c r="AJ1186">
        <v>32.1</v>
      </c>
      <c r="AK1186">
        <v>23.8</v>
      </c>
      <c r="AL1186">
        <v>-20.135532899999959</v>
      </c>
      <c r="AM1186">
        <v>-44.871828172735903</v>
      </c>
      <c r="AN1186">
        <v>-20.135532899999959</v>
      </c>
      <c r="AO1186">
        <v>-44.871828172735903</v>
      </c>
      <c r="AP1186">
        <v>-20.135508000000002</v>
      </c>
      <c r="AQ1186">
        <v>-44.871786999999998</v>
      </c>
      <c r="AR1186">
        <v>5.1186859635787858</v>
      </c>
      <c r="AS1186" t="s">
        <v>65</v>
      </c>
      <c r="AT1186">
        <v>1</v>
      </c>
      <c r="AU1186" t="s">
        <v>1113</v>
      </c>
      <c r="AV1186" t="s">
        <v>1114</v>
      </c>
      <c r="AW1186" t="s">
        <v>60</v>
      </c>
      <c r="AX1186" t="s">
        <v>68</v>
      </c>
      <c r="AY1186" t="s">
        <v>69</v>
      </c>
      <c r="AZ1186" t="b">
        <v>1</v>
      </c>
    </row>
    <row r="1187" spans="1:52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2128</v>
      </c>
      <c r="F1187" t="s">
        <v>190</v>
      </c>
      <c r="G1187" t="s">
        <v>2109</v>
      </c>
      <c r="H1187" t="s">
        <v>2110</v>
      </c>
      <c r="I1187" t="s">
        <v>2110</v>
      </c>
      <c r="J1187" t="s">
        <v>60</v>
      </c>
      <c r="K1187" t="s">
        <v>781</v>
      </c>
      <c r="L1187" t="s">
        <v>62</v>
      </c>
      <c r="M1187" t="s">
        <v>781</v>
      </c>
      <c r="N1187" t="s">
        <v>2111</v>
      </c>
      <c r="O1187" t="s">
        <v>830</v>
      </c>
      <c r="P1187">
        <v>-20.138555</v>
      </c>
      <c r="Q1187">
        <v>-44.870283999999998</v>
      </c>
      <c r="R1187" s="2" t="str">
        <f>HYPERLINK("https://www.google.com/maps?q=-20.1385550,-44.8702840","Abrir no Google Maps")</f>
        <v>Abrir no Google Maps</v>
      </c>
      <c r="S1187">
        <v>3</v>
      </c>
      <c r="T1187">
        <v>282.99569910083773</v>
      </c>
      <c r="U1187">
        <v>3</v>
      </c>
      <c r="V1187">
        <v>21</v>
      </c>
      <c r="W1187">
        <v>0.85</v>
      </c>
      <c r="X1187">
        <v>17.850000000000001</v>
      </c>
      <c r="Y1187">
        <v>332</v>
      </c>
      <c r="Z1187">
        <v>387.1795741504522</v>
      </c>
      <c r="AA1187">
        <v>198</v>
      </c>
      <c r="AB1187">
        <v>332</v>
      </c>
      <c r="AC1187">
        <v>536</v>
      </c>
      <c r="AD1187">
        <v>29.96</v>
      </c>
      <c r="AE1187">
        <v>542</v>
      </c>
      <c r="AF1187">
        <v>29</v>
      </c>
      <c r="AG1187">
        <v>174</v>
      </c>
      <c r="AH1187">
        <v>129</v>
      </c>
      <c r="AI1187">
        <v>5.35</v>
      </c>
      <c r="AJ1187">
        <v>32.1</v>
      </c>
      <c r="AK1187">
        <v>23.8</v>
      </c>
      <c r="AL1187">
        <v>-20.138577899999941</v>
      </c>
      <c r="AM1187">
        <v>-44.870329210766158</v>
      </c>
      <c r="AN1187">
        <v>-20.138577899999941</v>
      </c>
      <c r="AO1187">
        <v>-44.870329210766158</v>
      </c>
      <c r="AP1187">
        <v>-20.138555</v>
      </c>
      <c r="AQ1187">
        <v>-44.870283999999998</v>
      </c>
      <c r="AR1187">
        <v>5.3689629216704953</v>
      </c>
      <c r="AS1187" t="s">
        <v>65</v>
      </c>
      <c r="AT1187">
        <v>1</v>
      </c>
      <c r="AU1187" t="s">
        <v>2112</v>
      </c>
      <c r="AV1187" t="s">
        <v>2113</v>
      </c>
      <c r="AW1187" t="s">
        <v>60</v>
      </c>
      <c r="AX1187" t="s">
        <v>68</v>
      </c>
      <c r="AY1187" t="s">
        <v>69</v>
      </c>
      <c r="AZ1187" t="b">
        <v>1</v>
      </c>
    </row>
    <row r="1188" spans="1:52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2128</v>
      </c>
      <c r="F1188" t="s">
        <v>190</v>
      </c>
      <c r="G1188" t="s">
        <v>1133</v>
      </c>
      <c r="H1188" t="s">
        <v>1134</v>
      </c>
      <c r="I1188" t="s">
        <v>1134</v>
      </c>
      <c r="J1188" t="s">
        <v>60</v>
      </c>
      <c r="K1188" t="s">
        <v>1123</v>
      </c>
      <c r="L1188" t="s">
        <v>62</v>
      </c>
      <c r="M1188" t="s">
        <v>1123</v>
      </c>
      <c r="N1188" t="s">
        <v>1135</v>
      </c>
      <c r="O1188" t="s">
        <v>138</v>
      </c>
      <c r="P1188">
        <v>-20.106113000000001</v>
      </c>
      <c r="Q1188">
        <v>-44.876035999999999</v>
      </c>
      <c r="R1188" s="2" t="str">
        <f>HYPERLINK("https://www.google.com/maps?q=-20.1061130,-44.8760360","Abrir no Google Maps")</f>
        <v>Abrir no Google Maps</v>
      </c>
      <c r="S1188">
        <v>3</v>
      </c>
      <c r="T1188">
        <v>0</v>
      </c>
      <c r="U1188">
        <v>3</v>
      </c>
      <c r="V1188">
        <v>17</v>
      </c>
      <c r="W1188">
        <v>1</v>
      </c>
      <c r="X1188">
        <v>17</v>
      </c>
      <c r="Y1188">
        <v>314</v>
      </c>
      <c r="Z1188">
        <v>98.504848991092999</v>
      </c>
      <c r="AA1188">
        <v>198</v>
      </c>
      <c r="AB1188">
        <v>332</v>
      </c>
      <c r="AC1188">
        <v>536</v>
      </c>
      <c r="AD1188">
        <v>29.96</v>
      </c>
      <c r="AE1188">
        <v>542</v>
      </c>
      <c r="AF1188">
        <v>29</v>
      </c>
      <c r="AG1188">
        <v>174</v>
      </c>
      <c r="AH1188">
        <v>129</v>
      </c>
      <c r="AI1188">
        <v>5.35</v>
      </c>
      <c r="AJ1188">
        <v>32.1</v>
      </c>
      <c r="AK1188">
        <v>23.8</v>
      </c>
      <c r="AL1188">
        <v>-20.106190249999941</v>
      </c>
      <c r="AM1188">
        <v>-44.876327742253288</v>
      </c>
      <c r="AN1188">
        <v>-20.106190249999941</v>
      </c>
      <c r="AO1188">
        <v>-44.876327742253288</v>
      </c>
      <c r="AP1188">
        <v>-20.106113000000001</v>
      </c>
      <c r="AQ1188">
        <v>-44.876035999999999</v>
      </c>
      <c r="AR1188">
        <v>31.686742853465731</v>
      </c>
      <c r="AS1188" t="s">
        <v>65</v>
      </c>
      <c r="AT1188">
        <v>1</v>
      </c>
      <c r="AU1188" t="s">
        <v>1136</v>
      </c>
      <c r="AV1188" t="s">
        <v>1137</v>
      </c>
      <c r="AW1188" t="s">
        <v>60</v>
      </c>
      <c r="AX1188" t="s">
        <v>68</v>
      </c>
      <c r="AY1188" t="s">
        <v>69</v>
      </c>
      <c r="AZ1188" t="b">
        <v>1</v>
      </c>
    </row>
    <row r="1189" spans="1:52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2128</v>
      </c>
      <c r="F1189" t="s">
        <v>190</v>
      </c>
      <c r="G1189" t="s">
        <v>1138</v>
      </c>
      <c r="H1189" t="s">
        <v>1139</v>
      </c>
      <c r="I1189" t="s">
        <v>1139</v>
      </c>
      <c r="J1189" t="s">
        <v>60</v>
      </c>
      <c r="K1189" t="s">
        <v>1140</v>
      </c>
      <c r="L1189" t="s">
        <v>62</v>
      </c>
      <c r="M1189" t="s">
        <v>1140</v>
      </c>
      <c r="N1189" t="s">
        <v>1141</v>
      </c>
      <c r="O1189" t="s">
        <v>293</v>
      </c>
      <c r="P1189">
        <v>-20.103041999999999</v>
      </c>
      <c r="Q1189">
        <v>-44.882694999999998</v>
      </c>
      <c r="R1189" s="2" t="str">
        <f>HYPERLINK("https://www.google.com/maps?q=-20.1030420,-44.8826950","Abrir no Google Maps")</f>
        <v>Abrir no Google Maps</v>
      </c>
      <c r="S1189">
        <v>3</v>
      </c>
      <c r="T1189">
        <v>764.07293048598467</v>
      </c>
      <c r="U1189">
        <v>3</v>
      </c>
      <c r="V1189">
        <v>16</v>
      </c>
      <c r="W1189">
        <v>1</v>
      </c>
      <c r="X1189">
        <v>16</v>
      </c>
      <c r="Y1189">
        <v>314</v>
      </c>
      <c r="Z1189">
        <v>696.03268335706969</v>
      </c>
      <c r="AA1189">
        <v>198</v>
      </c>
      <c r="AB1189">
        <v>332</v>
      </c>
      <c r="AC1189">
        <v>536</v>
      </c>
      <c r="AD1189">
        <v>29.96</v>
      </c>
      <c r="AE1189">
        <v>542</v>
      </c>
      <c r="AF1189">
        <v>29</v>
      </c>
      <c r="AG1189">
        <v>174</v>
      </c>
      <c r="AH1189">
        <v>129</v>
      </c>
      <c r="AI1189">
        <v>5.35</v>
      </c>
      <c r="AJ1189">
        <v>32.1</v>
      </c>
      <c r="AK1189">
        <v>23.8</v>
      </c>
      <c r="AL1189">
        <v>-20.10298734999995</v>
      </c>
      <c r="AM1189">
        <v>-44.882802925792483</v>
      </c>
      <c r="AN1189">
        <v>-20.10298734999995</v>
      </c>
      <c r="AO1189">
        <v>-44.882802925792483</v>
      </c>
      <c r="AP1189">
        <v>-20.103041999999999</v>
      </c>
      <c r="AQ1189">
        <v>-44.882694999999998</v>
      </c>
      <c r="AR1189">
        <v>12.8180317775525</v>
      </c>
      <c r="AS1189" t="s">
        <v>65</v>
      </c>
      <c r="AT1189">
        <v>1</v>
      </c>
      <c r="AU1189" t="s">
        <v>1142</v>
      </c>
      <c r="AV1189" t="s">
        <v>1143</v>
      </c>
      <c r="AW1189" t="s">
        <v>60</v>
      </c>
      <c r="AX1189" t="s">
        <v>68</v>
      </c>
      <c r="AY1189" t="s">
        <v>69</v>
      </c>
      <c r="AZ1189" t="b">
        <v>1</v>
      </c>
    </row>
    <row r="1190" spans="1:52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2128</v>
      </c>
      <c r="F1190" t="s">
        <v>190</v>
      </c>
      <c r="G1190" t="s">
        <v>1133</v>
      </c>
      <c r="H1190" t="s">
        <v>1144</v>
      </c>
      <c r="I1190" t="s">
        <v>1144</v>
      </c>
      <c r="J1190" t="s">
        <v>60</v>
      </c>
      <c r="K1190" t="s">
        <v>1123</v>
      </c>
      <c r="L1190" t="s">
        <v>62</v>
      </c>
      <c r="M1190" t="s">
        <v>1123</v>
      </c>
      <c r="N1190" t="s">
        <v>1135</v>
      </c>
      <c r="O1190" t="s">
        <v>907</v>
      </c>
      <c r="P1190">
        <v>-20.100351</v>
      </c>
      <c r="Q1190">
        <v>-44.878037999999997</v>
      </c>
      <c r="R1190" s="2" t="str">
        <f>HYPERLINK("https://www.google.com/maps?q=-20.1003510,-44.8780380","Abrir no Google Maps")</f>
        <v>Abrir no Google Maps</v>
      </c>
      <c r="S1190">
        <v>3</v>
      </c>
      <c r="T1190">
        <v>665.56785712469116</v>
      </c>
      <c r="U1190">
        <v>3</v>
      </c>
      <c r="V1190">
        <v>17</v>
      </c>
      <c r="W1190">
        <v>1</v>
      </c>
      <c r="X1190">
        <v>17</v>
      </c>
      <c r="Y1190">
        <v>314</v>
      </c>
      <c r="Z1190">
        <v>584.8532299266725</v>
      </c>
      <c r="AA1190">
        <v>198</v>
      </c>
      <c r="AB1190">
        <v>332</v>
      </c>
      <c r="AC1190">
        <v>536</v>
      </c>
      <c r="AD1190">
        <v>29.96</v>
      </c>
      <c r="AE1190">
        <v>542</v>
      </c>
      <c r="AF1190">
        <v>29</v>
      </c>
      <c r="AG1190">
        <v>174</v>
      </c>
      <c r="AH1190">
        <v>129</v>
      </c>
      <c r="AI1190">
        <v>5.35</v>
      </c>
      <c r="AJ1190">
        <v>32.1</v>
      </c>
      <c r="AK1190">
        <v>23.8</v>
      </c>
      <c r="AL1190">
        <v>-20.100420499999959</v>
      </c>
      <c r="AM1190">
        <v>-44.878125332575927</v>
      </c>
      <c r="AN1190">
        <v>-20.100420499999959</v>
      </c>
      <c r="AO1190">
        <v>-44.878125332575927</v>
      </c>
      <c r="AP1190">
        <v>-20.100351</v>
      </c>
      <c r="AQ1190">
        <v>-44.878037999999997</v>
      </c>
      <c r="AR1190">
        <v>11.966993892024719</v>
      </c>
      <c r="AS1190" t="s">
        <v>65</v>
      </c>
      <c r="AT1190">
        <v>1</v>
      </c>
      <c r="AU1190" t="s">
        <v>1145</v>
      </c>
      <c r="AV1190" t="s">
        <v>1146</v>
      </c>
      <c r="AW1190" t="s">
        <v>60</v>
      </c>
      <c r="AX1190" t="s">
        <v>68</v>
      </c>
      <c r="AY1190" t="s">
        <v>69</v>
      </c>
      <c r="AZ1190" t="b">
        <v>1</v>
      </c>
    </row>
    <row r="1191" spans="1:52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2128</v>
      </c>
      <c r="F1191" t="s">
        <v>190</v>
      </c>
      <c r="G1191" t="s">
        <v>1769</v>
      </c>
      <c r="H1191" t="s">
        <v>1770</v>
      </c>
      <c r="I1191" t="s">
        <v>1770</v>
      </c>
      <c r="J1191" t="s">
        <v>60</v>
      </c>
      <c r="K1191" t="s">
        <v>791</v>
      </c>
      <c r="L1191" t="s">
        <v>62</v>
      </c>
      <c r="M1191" t="s">
        <v>791</v>
      </c>
      <c r="N1191" t="s">
        <v>1771</v>
      </c>
      <c r="O1191" t="s">
        <v>494</v>
      </c>
      <c r="P1191">
        <v>-20.108464999999999</v>
      </c>
      <c r="Q1191">
        <v>-44.902169000000001</v>
      </c>
      <c r="R1191" s="2" t="str">
        <f>HYPERLINK("https://www.google.com/maps?q=-20.1084650,-44.9021690","Abrir no Google Maps")</f>
        <v>Abrir no Google Maps</v>
      </c>
      <c r="S1191">
        <v>3</v>
      </c>
      <c r="T1191">
        <v>332.55452480320798</v>
      </c>
      <c r="U1191">
        <v>3</v>
      </c>
      <c r="V1191">
        <v>20</v>
      </c>
      <c r="W1191">
        <v>1</v>
      </c>
      <c r="X1191">
        <v>20</v>
      </c>
      <c r="Y1191">
        <v>300</v>
      </c>
      <c r="Z1191">
        <v>139.01495543278119</v>
      </c>
      <c r="AA1191">
        <v>198</v>
      </c>
      <c r="AB1191">
        <v>332</v>
      </c>
      <c r="AC1191">
        <v>536</v>
      </c>
      <c r="AD1191">
        <v>29.96</v>
      </c>
      <c r="AE1191">
        <v>542</v>
      </c>
      <c r="AF1191">
        <v>29</v>
      </c>
      <c r="AG1191">
        <v>174</v>
      </c>
      <c r="AH1191">
        <v>129</v>
      </c>
      <c r="AI1191">
        <v>5.35</v>
      </c>
      <c r="AJ1191">
        <v>32.1</v>
      </c>
      <c r="AK1191">
        <v>23.8</v>
      </c>
      <c r="AL1191">
        <v>-20.108420149999969</v>
      </c>
      <c r="AM1191">
        <v>-44.90164352007664</v>
      </c>
      <c r="AN1191">
        <v>-20.108420149999969</v>
      </c>
      <c r="AO1191">
        <v>-44.90164352007664</v>
      </c>
      <c r="AP1191">
        <v>-20.108464999999999</v>
      </c>
      <c r="AQ1191">
        <v>-44.902169000000001</v>
      </c>
      <c r="AR1191">
        <v>55.157130612493773</v>
      </c>
      <c r="AS1191" t="s">
        <v>65</v>
      </c>
      <c r="AT1191">
        <v>1</v>
      </c>
      <c r="AU1191" t="s">
        <v>1772</v>
      </c>
      <c r="AV1191" t="s">
        <v>1773</v>
      </c>
      <c r="AW1191" t="s">
        <v>60</v>
      </c>
      <c r="AX1191" t="s">
        <v>68</v>
      </c>
      <c r="AY1191" t="s">
        <v>69</v>
      </c>
      <c r="AZ1191" t="b">
        <v>1</v>
      </c>
    </row>
    <row r="1192" spans="1:52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2128</v>
      </c>
      <c r="F1192" t="s">
        <v>190</v>
      </c>
      <c r="G1192" t="s">
        <v>796</v>
      </c>
      <c r="H1192" t="s">
        <v>797</v>
      </c>
      <c r="I1192" t="s">
        <v>797</v>
      </c>
      <c r="J1192" t="s">
        <v>60</v>
      </c>
      <c r="K1192" t="s">
        <v>798</v>
      </c>
      <c r="L1192" t="s">
        <v>62</v>
      </c>
      <c r="M1192" t="s">
        <v>798</v>
      </c>
      <c r="N1192" t="s">
        <v>799</v>
      </c>
      <c r="O1192" t="s">
        <v>800</v>
      </c>
      <c r="P1192">
        <v>-20.105681000000001</v>
      </c>
      <c r="Q1192">
        <v>-44.902771999999999</v>
      </c>
      <c r="R1192" s="2" t="str">
        <f>HYPERLINK("https://www.google.com/maps?q=-20.1056810,-44.9027720","Abrir no Google Maps")</f>
        <v>Abrir no Google Maps</v>
      </c>
      <c r="S1192">
        <v>3</v>
      </c>
      <c r="T1192">
        <v>654.76334876090721</v>
      </c>
      <c r="U1192">
        <v>3</v>
      </c>
      <c r="V1192">
        <v>20</v>
      </c>
      <c r="W1192">
        <v>1</v>
      </c>
      <c r="X1192">
        <v>20</v>
      </c>
      <c r="Y1192">
        <v>300</v>
      </c>
      <c r="Z1192">
        <v>473.90209409135377</v>
      </c>
      <c r="AA1192">
        <v>198</v>
      </c>
      <c r="AB1192">
        <v>332</v>
      </c>
      <c r="AC1192">
        <v>536</v>
      </c>
      <c r="AD1192">
        <v>29.96</v>
      </c>
      <c r="AE1192">
        <v>542</v>
      </c>
      <c r="AF1192">
        <v>29</v>
      </c>
      <c r="AG1192">
        <v>174</v>
      </c>
      <c r="AH1192">
        <v>129</v>
      </c>
      <c r="AI1192">
        <v>5.35</v>
      </c>
      <c r="AJ1192">
        <v>32.1</v>
      </c>
      <c r="AK1192">
        <v>23.8</v>
      </c>
      <c r="AL1192">
        <v>-20.105710249999959</v>
      </c>
      <c r="AM1192">
        <v>-44.902887601574513</v>
      </c>
      <c r="AN1192">
        <v>-20.105710249999959</v>
      </c>
      <c r="AO1192">
        <v>-44.902887601574513</v>
      </c>
      <c r="AP1192">
        <v>-20.105681000000001</v>
      </c>
      <c r="AQ1192">
        <v>-44.902771999999999</v>
      </c>
      <c r="AR1192">
        <v>12.5155291382583</v>
      </c>
      <c r="AS1192" t="s">
        <v>65</v>
      </c>
      <c r="AT1192">
        <v>1</v>
      </c>
      <c r="AU1192" t="s">
        <v>801</v>
      </c>
      <c r="AV1192" t="s">
        <v>802</v>
      </c>
      <c r="AW1192" t="s">
        <v>60</v>
      </c>
      <c r="AX1192" t="s">
        <v>68</v>
      </c>
      <c r="AY1192" t="s">
        <v>69</v>
      </c>
      <c r="AZ1192" t="b">
        <v>1</v>
      </c>
    </row>
    <row r="1193" spans="1:52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2128</v>
      </c>
      <c r="F1193" t="s">
        <v>190</v>
      </c>
      <c r="G1193" t="s">
        <v>1935</v>
      </c>
      <c r="H1193" t="s">
        <v>1936</v>
      </c>
      <c r="I1193" t="s">
        <v>1936</v>
      </c>
      <c r="J1193" t="s">
        <v>60</v>
      </c>
      <c r="K1193" t="s">
        <v>1265</v>
      </c>
      <c r="L1193" t="s">
        <v>62</v>
      </c>
      <c r="M1193" t="s">
        <v>1265</v>
      </c>
      <c r="N1193" t="s">
        <v>1937</v>
      </c>
      <c r="O1193" t="s">
        <v>738</v>
      </c>
      <c r="P1193">
        <v>-20.112497999999999</v>
      </c>
      <c r="Q1193">
        <v>-44.907307000000003</v>
      </c>
      <c r="R1193" s="2" t="str">
        <f>HYPERLINK("https://www.google.com/maps?q=-20.1124980,-44.9073070","Abrir no Google Maps")</f>
        <v>Abrir no Google Maps</v>
      </c>
      <c r="S1193">
        <v>3</v>
      </c>
      <c r="T1193">
        <v>682.46188175859595</v>
      </c>
      <c r="U1193">
        <v>3</v>
      </c>
      <c r="V1193">
        <v>18</v>
      </c>
      <c r="W1193">
        <v>0.85</v>
      </c>
      <c r="X1193">
        <v>15.3</v>
      </c>
      <c r="Y1193">
        <v>300</v>
      </c>
      <c r="Z1193">
        <v>693.47964384474699</v>
      </c>
      <c r="AA1193">
        <v>198</v>
      </c>
      <c r="AB1193">
        <v>332</v>
      </c>
      <c r="AC1193">
        <v>536</v>
      </c>
      <c r="AD1193">
        <v>29.96</v>
      </c>
      <c r="AE1193">
        <v>542</v>
      </c>
      <c r="AF1193">
        <v>29</v>
      </c>
      <c r="AG1193">
        <v>174</v>
      </c>
      <c r="AH1193">
        <v>129</v>
      </c>
      <c r="AI1193">
        <v>5.35</v>
      </c>
      <c r="AJ1193">
        <v>32.1</v>
      </c>
      <c r="AK1193">
        <v>23.8</v>
      </c>
      <c r="AL1193">
        <v>-20.112429099999961</v>
      </c>
      <c r="AM1193">
        <v>-44.907534975307001</v>
      </c>
      <c r="AN1193">
        <v>-20.112429099999961</v>
      </c>
      <c r="AO1193">
        <v>-44.907534975307001</v>
      </c>
      <c r="AP1193">
        <v>-20.112497999999999</v>
      </c>
      <c r="AQ1193">
        <v>-44.907307000000003</v>
      </c>
      <c r="AR1193">
        <v>25.034526020325121</v>
      </c>
      <c r="AS1193" t="s">
        <v>65</v>
      </c>
      <c r="AT1193">
        <v>1</v>
      </c>
      <c r="AU1193" t="s">
        <v>1938</v>
      </c>
      <c r="AV1193" t="s">
        <v>1939</v>
      </c>
      <c r="AW1193" t="s">
        <v>60</v>
      </c>
      <c r="AX1193" t="s">
        <v>68</v>
      </c>
      <c r="AY1193" t="s">
        <v>69</v>
      </c>
      <c r="AZ1193" t="b">
        <v>1</v>
      </c>
    </row>
    <row r="1194" spans="1:52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2128</v>
      </c>
      <c r="F1194" t="s">
        <v>190</v>
      </c>
      <c r="G1194" t="s">
        <v>1774</v>
      </c>
      <c r="H1194" t="s">
        <v>1775</v>
      </c>
      <c r="I1194" t="s">
        <v>1775</v>
      </c>
      <c r="J1194" t="s">
        <v>60</v>
      </c>
      <c r="K1194" t="s">
        <v>791</v>
      </c>
      <c r="L1194" t="s">
        <v>62</v>
      </c>
      <c r="M1194" t="s">
        <v>791</v>
      </c>
      <c r="N1194" t="s">
        <v>1776</v>
      </c>
      <c r="O1194" t="s">
        <v>1777</v>
      </c>
      <c r="P1194">
        <v>-20.108148</v>
      </c>
      <c r="Q1194">
        <v>-44.909519000000003</v>
      </c>
      <c r="R1194" s="2" t="str">
        <f>HYPERLINK("https://www.google.com/maps?q=-20.1081480,-44.9095190","Abrir no Google Maps")</f>
        <v>Abrir no Google Maps</v>
      </c>
      <c r="S1194">
        <v>3</v>
      </c>
      <c r="T1194">
        <v>960.99382263787027</v>
      </c>
      <c r="U1194">
        <v>3</v>
      </c>
      <c r="V1194">
        <v>23</v>
      </c>
      <c r="W1194">
        <v>0.85</v>
      </c>
      <c r="X1194">
        <v>19.55</v>
      </c>
      <c r="Y1194">
        <v>300</v>
      </c>
      <c r="Z1194">
        <v>830.02784879078899</v>
      </c>
      <c r="AA1194">
        <v>198</v>
      </c>
      <c r="AB1194">
        <v>332</v>
      </c>
      <c r="AC1194">
        <v>536</v>
      </c>
      <c r="AD1194">
        <v>29.96</v>
      </c>
      <c r="AE1194">
        <v>542</v>
      </c>
      <c r="AF1194">
        <v>29</v>
      </c>
      <c r="AG1194">
        <v>174</v>
      </c>
      <c r="AH1194">
        <v>129</v>
      </c>
      <c r="AI1194">
        <v>5.35</v>
      </c>
      <c r="AJ1194">
        <v>32.1</v>
      </c>
      <c r="AK1194">
        <v>23.8</v>
      </c>
      <c r="AL1194">
        <v>-20.10824884999996</v>
      </c>
      <c r="AM1194">
        <v>-44.909675442736678</v>
      </c>
      <c r="AN1194">
        <v>-20.10824884999996</v>
      </c>
      <c r="AO1194">
        <v>-44.909675442736678</v>
      </c>
      <c r="AP1194">
        <v>-20.108148</v>
      </c>
      <c r="AQ1194">
        <v>-44.909519000000003</v>
      </c>
      <c r="AR1194">
        <v>19.8363090254621</v>
      </c>
      <c r="AS1194" t="s">
        <v>65</v>
      </c>
      <c r="AT1194">
        <v>1</v>
      </c>
      <c r="AU1194" t="s">
        <v>1778</v>
      </c>
      <c r="AV1194" t="s">
        <v>1779</v>
      </c>
      <c r="AW1194" t="s">
        <v>60</v>
      </c>
      <c r="AX1194" t="s">
        <v>68</v>
      </c>
      <c r="AY1194" t="s">
        <v>69</v>
      </c>
      <c r="AZ1194" t="b">
        <v>1</v>
      </c>
    </row>
    <row r="1195" spans="1:52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2128</v>
      </c>
      <c r="F1195" t="s">
        <v>190</v>
      </c>
      <c r="G1195" t="s">
        <v>1170</v>
      </c>
      <c r="H1195" t="s">
        <v>1171</v>
      </c>
      <c r="I1195" t="s">
        <v>1171</v>
      </c>
      <c r="J1195" t="s">
        <v>60</v>
      </c>
      <c r="K1195" t="s">
        <v>1165</v>
      </c>
      <c r="L1195" t="s">
        <v>62</v>
      </c>
      <c r="M1195" t="s">
        <v>1165</v>
      </c>
      <c r="N1195" t="s">
        <v>1172</v>
      </c>
      <c r="O1195" t="s">
        <v>1160</v>
      </c>
      <c r="P1195">
        <v>-20.158208999999999</v>
      </c>
      <c r="Q1195">
        <v>-44.865242000000002</v>
      </c>
      <c r="R1195" s="2" t="str">
        <f>HYPERLINK("https://www.google.com/maps?q=-20.1582090,-44.8652420","Abrir no Google Maps")</f>
        <v>Abrir no Google Maps</v>
      </c>
      <c r="S1195">
        <v>3</v>
      </c>
      <c r="T1195">
        <v>529.55269054560301</v>
      </c>
      <c r="U1195">
        <v>3</v>
      </c>
      <c r="V1195">
        <v>19</v>
      </c>
      <c r="W1195">
        <v>1</v>
      </c>
      <c r="X1195">
        <v>19</v>
      </c>
      <c r="Y1195">
        <v>264</v>
      </c>
      <c r="Z1195">
        <v>576.82525833351326</v>
      </c>
      <c r="AA1195">
        <v>198</v>
      </c>
      <c r="AB1195">
        <v>332</v>
      </c>
      <c r="AC1195">
        <v>536</v>
      </c>
      <c r="AD1195">
        <v>29.96</v>
      </c>
      <c r="AE1195">
        <v>542</v>
      </c>
      <c r="AF1195">
        <v>29</v>
      </c>
      <c r="AG1195">
        <v>174</v>
      </c>
      <c r="AH1195">
        <v>129</v>
      </c>
      <c r="AI1195">
        <v>5.35</v>
      </c>
      <c r="AJ1195">
        <v>32.1</v>
      </c>
      <c r="AK1195">
        <v>23.8</v>
      </c>
      <c r="AL1195">
        <v>-20.15813384999996</v>
      </c>
      <c r="AM1195">
        <v>-44.865189279062598</v>
      </c>
      <c r="AN1195">
        <v>-20.15813384999996</v>
      </c>
      <c r="AO1195">
        <v>-44.865189279062598</v>
      </c>
      <c r="AP1195">
        <v>-20.158208999999999</v>
      </c>
      <c r="AQ1195">
        <v>-44.865242000000002</v>
      </c>
      <c r="AR1195">
        <v>10.01690313145691</v>
      </c>
      <c r="AS1195" t="s">
        <v>65</v>
      </c>
      <c r="AT1195">
        <v>1</v>
      </c>
      <c r="AU1195" t="s">
        <v>1173</v>
      </c>
      <c r="AV1195" t="s">
        <v>1174</v>
      </c>
      <c r="AW1195" t="s">
        <v>60</v>
      </c>
      <c r="AX1195" t="s">
        <v>68</v>
      </c>
      <c r="AY1195" t="s">
        <v>69</v>
      </c>
      <c r="AZ1195" t="b">
        <v>1</v>
      </c>
    </row>
    <row r="1196" spans="1:52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2128</v>
      </c>
      <c r="F1196" t="s">
        <v>190</v>
      </c>
      <c r="G1196" t="s">
        <v>803</v>
      </c>
      <c r="H1196" t="s">
        <v>804</v>
      </c>
      <c r="I1196" t="s">
        <v>804</v>
      </c>
      <c r="J1196" t="s">
        <v>60</v>
      </c>
      <c r="K1196" t="s">
        <v>805</v>
      </c>
      <c r="L1196" t="s">
        <v>62</v>
      </c>
      <c r="M1196" t="s">
        <v>805</v>
      </c>
      <c r="N1196" t="s">
        <v>806</v>
      </c>
      <c r="O1196" t="s">
        <v>807</v>
      </c>
      <c r="P1196">
        <v>-20.133293999999999</v>
      </c>
      <c r="Q1196">
        <v>-44.886302000000001</v>
      </c>
      <c r="R1196" s="2" t="str">
        <f>HYPERLINK("https://www.google.com/maps?q=-20.1332940,-44.8863020","Abrir no Google Maps")</f>
        <v>Abrir no Google Maps</v>
      </c>
      <c r="S1196">
        <v>3</v>
      </c>
      <c r="T1196">
        <v>0</v>
      </c>
      <c r="U1196">
        <v>3</v>
      </c>
      <c r="V1196">
        <v>18</v>
      </c>
      <c r="W1196">
        <v>1</v>
      </c>
      <c r="X1196">
        <v>18</v>
      </c>
      <c r="Y1196">
        <v>259</v>
      </c>
      <c r="Z1196">
        <v>76.358812960729097</v>
      </c>
      <c r="AA1196">
        <v>198</v>
      </c>
      <c r="AB1196">
        <v>332</v>
      </c>
      <c r="AC1196">
        <v>536</v>
      </c>
      <c r="AD1196">
        <v>29.96</v>
      </c>
      <c r="AE1196">
        <v>542</v>
      </c>
      <c r="AF1196">
        <v>29</v>
      </c>
      <c r="AG1196">
        <v>174</v>
      </c>
      <c r="AH1196">
        <v>129</v>
      </c>
      <c r="AI1196">
        <v>5.35</v>
      </c>
      <c r="AJ1196">
        <v>32.1</v>
      </c>
      <c r="AK1196">
        <v>23.8</v>
      </c>
      <c r="AL1196">
        <v>-20.133281749999949</v>
      </c>
      <c r="AM1196">
        <v>-44.886395047959027</v>
      </c>
      <c r="AN1196">
        <v>-20.133281749999949</v>
      </c>
      <c r="AO1196">
        <v>-44.886395047959027</v>
      </c>
      <c r="AP1196">
        <v>-20.133293999999999</v>
      </c>
      <c r="AQ1196">
        <v>-44.886302000000001</v>
      </c>
      <c r="AR1196">
        <v>9.8203037443031231</v>
      </c>
      <c r="AS1196" t="s">
        <v>65</v>
      </c>
      <c r="AT1196">
        <v>1</v>
      </c>
      <c r="AU1196" t="s">
        <v>808</v>
      </c>
      <c r="AV1196" t="s">
        <v>809</v>
      </c>
      <c r="AW1196" t="s">
        <v>60</v>
      </c>
      <c r="AX1196" t="s">
        <v>68</v>
      </c>
      <c r="AY1196" t="s">
        <v>69</v>
      </c>
      <c r="AZ1196" t="b">
        <v>1</v>
      </c>
    </row>
    <row r="1197" spans="1:52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2128</v>
      </c>
      <c r="F1197" t="s">
        <v>190</v>
      </c>
      <c r="G1197" t="s">
        <v>1790</v>
      </c>
      <c r="H1197" t="s">
        <v>1791</v>
      </c>
      <c r="I1197" t="s">
        <v>1791</v>
      </c>
      <c r="J1197" t="s">
        <v>60</v>
      </c>
      <c r="K1197" t="s">
        <v>781</v>
      </c>
      <c r="L1197" t="s">
        <v>62</v>
      </c>
      <c r="M1197" t="s">
        <v>781</v>
      </c>
      <c r="N1197" t="s">
        <v>1792</v>
      </c>
      <c r="O1197" t="s">
        <v>1438</v>
      </c>
      <c r="P1197">
        <v>-20.140640999999999</v>
      </c>
      <c r="Q1197">
        <v>-44.865606999999997</v>
      </c>
      <c r="R1197" s="2" t="str">
        <f>HYPERLINK("https://www.google.com/maps?q=-20.1406410,-44.8656070","Abrir no Google Maps")</f>
        <v>Abrir no Google Maps</v>
      </c>
      <c r="S1197">
        <v>3</v>
      </c>
      <c r="T1197">
        <v>718.83674500124857</v>
      </c>
      <c r="U1197">
        <v>3</v>
      </c>
      <c r="V1197">
        <v>18</v>
      </c>
      <c r="W1197">
        <v>1</v>
      </c>
      <c r="X1197">
        <v>18</v>
      </c>
      <c r="Y1197">
        <v>198</v>
      </c>
      <c r="Z1197">
        <v>796.27455839490824</v>
      </c>
      <c r="AA1197">
        <v>198</v>
      </c>
      <c r="AB1197">
        <v>332</v>
      </c>
      <c r="AC1197">
        <v>536</v>
      </c>
      <c r="AD1197">
        <v>29.96</v>
      </c>
      <c r="AE1197">
        <v>542</v>
      </c>
      <c r="AF1197">
        <v>29</v>
      </c>
      <c r="AG1197">
        <v>174</v>
      </c>
      <c r="AH1197">
        <v>129</v>
      </c>
      <c r="AI1197">
        <v>5.35</v>
      </c>
      <c r="AJ1197">
        <v>32.1</v>
      </c>
      <c r="AK1197">
        <v>23.8</v>
      </c>
      <c r="AL1197">
        <v>-20.14068544999995</v>
      </c>
      <c r="AM1197">
        <v>-44.865682971258813</v>
      </c>
      <c r="AN1197">
        <v>-20.140685449999939</v>
      </c>
      <c r="AO1197">
        <v>-44.865682971258813</v>
      </c>
      <c r="AP1197">
        <v>-20.140640999999999</v>
      </c>
      <c r="AQ1197">
        <v>-44.865606999999997</v>
      </c>
      <c r="AR1197">
        <v>9.3556137916774258</v>
      </c>
      <c r="AS1197" t="s">
        <v>65</v>
      </c>
      <c r="AT1197">
        <v>1</v>
      </c>
      <c r="AU1197" t="s">
        <v>1793</v>
      </c>
      <c r="AV1197" t="s">
        <v>1794</v>
      </c>
      <c r="AW1197" t="s">
        <v>60</v>
      </c>
      <c r="AX1197" t="s">
        <v>68</v>
      </c>
      <c r="AY1197" t="s">
        <v>69</v>
      </c>
      <c r="AZ1197" t="b">
        <v>1</v>
      </c>
    </row>
    <row r="1198" spans="1:52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2128</v>
      </c>
      <c r="F1198" t="s">
        <v>190</v>
      </c>
      <c r="G1198" t="s">
        <v>1200</v>
      </c>
      <c r="H1198" t="s">
        <v>2139</v>
      </c>
      <c r="I1198" t="s">
        <v>2139</v>
      </c>
      <c r="J1198" t="s">
        <v>60</v>
      </c>
      <c r="K1198" t="s">
        <v>822</v>
      </c>
      <c r="L1198" t="s">
        <v>62</v>
      </c>
      <c r="M1198" t="s">
        <v>822</v>
      </c>
      <c r="N1198" t="s">
        <v>1203</v>
      </c>
      <c r="O1198" t="s">
        <v>1438</v>
      </c>
      <c r="P1198">
        <v>-20.184719999999999</v>
      </c>
      <c r="Q1198">
        <v>-44.906370000000003</v>
      </c>
      <c r="R1198" s="2" t="str">
        <f>HYPERLINK("https://www.google.com/maps?q=-20.1847200,-44.9063700","Abrir no Google Maps")</f>
        <v>Abrir no Google Maps</v>
      </c>
      <c r="S1198">
        <v>3</v>
      </c>
      <c r="T1198">
        <v>449.57787654629061</v>
      </c>
      <c r="U1198">
        <v>3</v>
      </c>
      <c r="V1198">
        <v>17</v>
      </c>
      <c r="W1198">
        <v>0.85</v>
      </c>
      <c r="X1198">
        <v>14.45</v>
      </c>
      <c r="Y1198">
        <v>135</v>
      </c>
      <c r="Z1198">
        <v>137.4655678931708</v>
      </c>
      <c r="AA1198">
        <v>198</v>
      </c>
      <c r="AB1198">
        <v>332</v>
      </c>
      <c r="AC1198">
        <v>536</v>
      </c>
      <c r="AD1198">
        <v>29.96</v>
      </c>
      <c r="AE1198">
        <v>542</v>
      </c>
      <c r="AF1198">
        <v>29</v>
      </c>
      <c r="AG1198">
        <v>174</v>
      </c>
      <c r="AH1198">
        <v>129</v>
      </c>
      <c r="AI1198">
        <v>5.35</v>
      </c>
      <c r="AJ1198">
        <v>32.1</v>
      </c>
      <c r="AK1198">
        <v>23.8</v>
      </c>
      <c r="AL1198">
        <v>-20.184714349999979</v>
      </c>
      <c r="AM1198">
        <v>-44.906364103234253</v>
      </c>
      <c r="AN1198">
        <v>-20.184714349999979</v>
      </c>
      <c r="AO1198">
        <v>-44.906364103234253</v>
      </c>
      <c r="AP1198">
        <v>-20.184719999999999</v>
      </c>
      <c r="AQ1198">
        <v>-44.906370000000003</v>
      </c>
      <c r="AR1198">
        <v>0.88044535780078881</v>
      </c>
      <c r="AS1198" t="s">
        <v>65</v>
      </c>
      <c r="AT1198">
        <v>1</v>
      </c>
      <c r="AU1198" t="s">
        <v>2140</v>
      </c>
      <c r="AV1198" t="s">
        <v>2141</v>
      </c>
      <c r="AW1198" t="s">
        <v>60</v>
      </c>
      <c r="AX1198" t="s">
        <v>68</v>
      </c>
      <c r="AY1198" t="s">
        <v>69</v>
      </c>
      <c r="AZ1198" t="b">
        <v>1</v>
      </c>
    </row>
    <row r="1199" spans="1:52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2128</v>
      </c>
      <c r="F1199" t="s">
        <v>190</v>
      </c>
      <c r="G1199" t="s">
        <v>1990</v>
      </c>
      <c r="H1199" t="s">
        <v>1991</v>
      </c>
      <c r="I1199" t="s">
        <v>1991</v>
      </c>
      <c r="J1199" t="s">
        <v>60</v>
      </c>
      <c r="K1199" t="s">
        <v>822</v>
      </c>
      <c r="L1199" t="s">
        <v>62</v>
      </c>
      <c r="M1199" t="s">
        <v>822</v>
      </c>
      <c r="N1199" t="s">
        <v>1992</v>
      </c>
      <c r="O1199" t="s">
        <v>1993</v>
      </c>
      <c r="P1199">
        <v>-20.185697000000001</v>
      </c>
      <c r="Q1199">
        <v>-44.910505999999998</v>
      </c>
      <c r="R1199" s="2" t="str">
        <f>HYPERLINK("https://www.google.com/maps?q=-20.1856970,-44.9105060","Abrir no Google Maps")</f>
        <v>Abrir no Google Maps</v>
      </c>
      <c r="S1199">
        <v>3</v>
      </c>
      <c r="T1199">
        <v>0</v>
      </c>
      <c r="U1199">
        <v>3</v>
      </c>
      <c r="V1199">
        <v>19</v>
      </c>
      <c r="W1199">
        <v>0.85</v>
      </c>
      <c r="X1199">
        <v>16.149999999999999</v>
      </c>
      <c r="Y1199">
        <v>135</v>
      </c>
      <c r="Z1199">
        <v>343.69681053463609</v>
      </c>
      <c r="AA1199">
        <v>198</v>
      </c>
      <c r="AB1199">
        <v>332</v>
      </c>
      <c r="AC1199">
        <v>536</v>
      </c>
      <c r="AD1199">
        <v>29.96</v>
      </c>
      <c r="AE1199">
        <v>542</v>
      </c>
      <c r="AF1199">
        <v>29</v>
      </c>
      <c r="AG1199">
        <v>174</v>
      </c>
      <c r="AH1199">
        <v>129</v>
      </c>
      <c r="AI1199">
        <v>5.35</v>
      </c>
      <c r="AJ1199">
        <v>32.1</v>
      </c>
      <c r="AK1199">
        <v>23.8</v>
      </c>
      <c r="AL1199">
        <v>-20.185715749999961</v>
      </c>
      <c r="AM1199">
        <v>-44.910534239471573</v>
      </c>
      <c r="AN1199">
        <v>-20.185715749999961</v>
      </c>
      <c r="AO1199">
        <v>-44.910534239471573</v>
      </c>
      <c r="AP1199">
        <v>-20.185697000000001</v>
      </c>
      <c r="AQ1199">
        <v>-44.910505999999998</v>
      </c>
      <c r="AR1199">
        <v>3.6141753980162412</v>
      </c>
      <c r="AS1199" t="s">
        <v>65</v>
      </c>
      <c r="AT1199">
        <v>1</v>
      </c>
      <c r="AU1199" t="s">
        <v>1994</v>
      </c>
      <c r="AV1199" t="s">
        <v>1995</v>
      </c>
      <c r="AW1199" t="s">
        <v>60</v>
      </c>
      <c r="AX1199" t="s">
        <v>68</v>
      </c>
      <c r="AY1199" t="s">
        <v>69</v>
      </c>
      <c r="AZ1199" t="b">
        <v>1</v>
      </c>
    </row>
    <row r="1200" spans="1:52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2128</v>
      </c>
      <c r="F1200" t="s">
        <v>190</v>
      </c>
      <c r="G1200" t="s">
        <v>845</v>
      </c>
      <c r="H1200" t="s">
        <v>2124</v>
      </c>
      <c r="I1200" t="s">
        <v>2124</v>
      </c>
      <c r="J1200" t="s">
        <v>60</v>
      </c>
      <c r="K1200" t="s">
        <v>424</v>
      </c>
      <c r="L1200" t="s">
        <v>62</v>
      </c>
      <c r="M1200" t="s">
        <v>424</v>
      </c>
      <c r="N1200" t="s">
        <v>847</v>
      </c>
      <c r="O1200" t="s">
        <v>2125</v>
      </c>
      <c r="P1200">
        <v>-20.180002999999999</v>
      </c>
      <c r="Q1200">
        <v>-44.915557999999997</v>
      </c>
      <c r="R1200" s="2" t="str">
        <f>HYPERLINK("https://www.google.com/maps?q=-20.1800030,-44.9155580","Abrir no Google Maps")</f>
        <v>Abrir no Google Maps</v>
      </c>
      <c r="S1200">
        <v>3</v>
      </c>
      <c r="T1200">
        <v>849.07837312552761</v>
      </c>
      <c r="U1200">
        <v>3</v>
      </c>
      <c r="V1200">
        <v>21</v>
      </c>
      <c r="W1200">
        <v>0.85</v>
      </c>
      <c r="X1200">
        <v>17.850000000000001</v>
      </c>
      <c r="Y1200">
        <v>135</v>
      </c>
      <c r="Z1200">
        <v>1017.379067015247</v>
      </c>
      <c r="AA1200">
        <v>198</v>
      </c>
      <c r="AB1200">
        <v>332</v>
      </c>
      <c r="AC1200">
        <v>536</v>
      </c>
      <c r="AD1200">
        <v>29.96</v>
      </c>
      <c r="AE1200">
        <v>542</v>
      </c>
      <c r="AF1200">
        <v>29</v>
      </c>
      <c r="AG1200">
        <v>174</v>
      </c>
      <c r="AH1200">
        <v>129</v>
      </c>
      <c r="AI1200">
        <v>5.35</v>
      </c>
      <c r="AJ1200">
        <v>32.1</v>
      </c>
      <c r="AK1200">
        <v>23.8</v>
      </c>
      <c r="AL1200">
        <v>-20.180131649999961</v>
      </c>
      <c r="AM1200">
        <v>-44.916107332085438</v>
      </c>
      <c r="AN1200">
        <v>-20.180131649999961</v>
      </c>
      <c r="AO1200">
        <v>-44.916107332085438</v>
      </c>
      <c r="AP1200">
        <v>-20.180002999999999</v>
      </c>
      <c r="AQ1200">
        <v>-44.915557999999997</v>
      </c>
      <c r="AR1200">
        <v>59.157397370141183</v>
      </c>
      <c r="AS1200" t="s">
        <v>65</v>
      </c>
      <c r="AT1200">
        <v>1</v>
      </c>
      <c r="AU1200" t="s">
        <v>2126</v>
      </c>
      <c r="AV1200" t="s">
        <v>2127</v>
      </c>
      <c r="AW1200" t="s">
        <v>60</v>
      </c>
      <c r="AX1200" t="s">
        <v>68</v>
      </c>
      <c r="AY1200" t="s">
        <v>69</v>
      </c>
      <c r="AZ1200" t="b">
        <v>1</v>
      </c>
    </row>
    <row r="1201" spans="1:52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2128</v>
      </c>
      <c r="F1201" t="s">
        <v>190</v>
      </c>
      <c r="G1201" t="s">
        <v>1206</v>
      </c>
      <c r="H1201" t="s">
        <v>1207</v>
      </c>
      <c r="I1201" t="s">
        <v>1207</v>
      </c>
      <c r="J1201" t="s">
        <v>60</v>
      </c>
      <c r="K1201" t="s">
        <v>475</v>
      </c>
      <c r="L1201" t="s">
        <v>62</v>
      </c>
      <c r="M1201" t="s">
        <v>475</v>
      </c>
      <c r="N1201" t="s">
        <v>1208</v>
      </c>
      <c r="O1201" t="s">
        <v>1209</v>
      </c>
      <c r="P1201">
        <v>-20.180554999999998</v>
      </c>
      <c r="Q1201">
        <v>-44.905642999999998</v>
      </c>
      <c r="R1201" s="2" t="str">
        <f>HYPERLINK("https://www.google.com/maps?q=-20.1805550,-44.9056430","Abrir no Google Maps")</f>
        <v>Abrir no Google Maps</v>
      </c>
      <c r="S1201">
        <v>3</v>
      </c>
      <c r="T1201">
        <v>768.13826761541702</v>
      </c>
      <c r="U1201">
        <v>3</v>
      </c>
      <c r="V1201">
        <v>18</v>
      </c>
      <c r="W1201">
        <v>1</v>
      </c>
      <c r="X1201">
        <v>18</v>
      </c>
      <c r="Y1201">
        <v>135</v>
      </c>
      <c r="Z1201">
        <v>442.64437152702573</v>
      </c>
      <c r="AA1201">
        <v>198</v>
      </c>
      <c r="AB1201">
        <v>332</v>
      </c>
      <c r="AC1201">
        <v>536</v>
      </c>
      <c r="AD1201">
        <v>29.96</v>
      </c>
      <c r="AE1201">
        <v>542</v>
      </c>
      <c r="AF1201">
        <v>29</v>
      </c>
      <c r="AG1201">
        <v>174</v>
      </c>
      <c r="AH1201">
        <v>129</v>
      </c>
      <c r="AI1201">
        <v>5.35</v>
      </c>
      <c r="AJ1201">
        <v>32.1</v>
      </c>
      <c r="AK1201">
        <v>23.8</v>
      </c>
      <c r="AL1201">
        <v>-20.180439499999949</v>
      </c>
      <c r="AM1201">
        <v>-44.905757266135502</v>
      </c>
      <c r="AN1201">
        <v>-20.180439499999949</v>
      </c>
      <c r="AO1201">
        <v>-44.905757266135502</v>
      </c>
      <c r="AP1201">
        <v>-20.180554999999998</v>
      </c>
      <c r="AQ1201">
        <v>-44.905642999999998</v>
      </c>
      <c r="AR1201">
        <v>17.545924993698129</v>
      </c>
      <c r="AS1201" t="s">
        <v>65</v>
      </c>
      <c r="AT1201">
        <v>1</v>
      </c>
      <c r="AU1201" t="s">
        <v>1210</v>
      </c>
      <c r="AV1201" t="s">
        <v>1211</v>
      </c>
      <c r="AW1201" t="s">
        <v>60</v>
      </c>
      <c r="AX1201" t="s">
        <v>68</v>
      </c>
      <c r="AY1201" t="s">
        <v>69</v>
      </c>
      <c r="AZ1201" t="b">
        <v>1</v>
      </c>
    </row>
    <row r="1202" spans="1:52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2128</v>
      </c>
      <c r="F1202" t="s">
        <v>190</v>
      </c>
      <c r="G1202" t="s">
        <v>1795</v>
      </c>
      <c r="H1202" t="s">
        <v>1796</v>
      </c>
      <c r="I1202" t="s">
        <v>1796</v>
      </c>
      <c r="J1202" t="s">
        <v>60</v>
      </c>
      <c r="K1202" t="s">
        <v>1797</v>
      </c>
      <c r="L1202" t="s">
        <v>62</v>
      </c>
      <c r="M1202" t="s">
        <v>1797</v>
      </c>
      <c r="N1202" t="s">
        <v>1798</v>
      </c>
      <c r="O1202" t="s">
        <v>166</v>
      </c>
      <c r="P1202">
        <v>-20.137136999999999</v>
      </c>
      <c r="Q1202">
        <v>-44.844737000000002</v>
      </c>
      <c r="R1202" s="2" t="str">
        <f>HYPERLINK("https://www.google.com/maps?q=-20.1371370,-44.8447370","Abrir no Google Maps")</f>
        <v>Abrir no Google Maps</v>
      </c>
      <c r="S1202">
        <v>3</v>
      </c>
      <c r="T1202">
        <v>1265.572541081038</v>
      </c>
      <c r="U1202">
        <v>3</v>
      </c>
      <c r="V1202">
        <v>18</v>
      </c>
      <c r="W1202">
        <v>0.85</v>
      </c>
      <c r="X1202">
        <v>15.3</v>
      </c>
      <c r="Y1202">
        <v>118</v>
      </c>
      <c r="Z1202">
        <v>1247.9681773794671</v>
      </c>
      <c r="AA1202">
        <v>198</v>
      </c>
      <c r="AB1202">
        <v>332</v>
      </c>
      <c r="AC1202">
        <v>536</v>
      </c>
      <c r="AD1202">
        <v>29.96</v>
      </c>
      <c r="AE1202">
        <v>542</v>
      </c>
      <c r="AF1202">
        <v>29</v>
      </c>
      <c r="AG1202">
        <v>174</v>
      </c>
      <c r="AH1202">
        <v>129</v>
      </c>
      <c r="AI1202">
        <v>5.35</v>
      </c>
      <c r="AJ1202">
        <v>32.1</v>
      </c>
      <c r="AK1202">
        <v>23.8</v>
      </c>
      <c r="AL1202">
        <v>-20.137060849999951</v>
      </c>
      <c r="AM1202">
        <v>-44.844683186696408</v>
      </c>
      <c r="AN1202">
        <v>-20.137060849999951</v>
      </c>
      <c r="AO1202">
        <v>-44.844683186696408</v>
      </c>
      <c r="AP1202">
        <v>-20.137136999999999</v>
      </c>
      <c r="AQ1202">
        <v>-44.844737000000002</v>
      </c>
      <c r="AR1202">
        <v>10.173135199564809</v>
      </c>
      <c r="AS1202" t="s">
        <v>65</v>
      </c>
      <c r="AT1202">
        <v>1</v>
      </c>
      <c r="AU1202" t="s">
        <v>1799</v>
      </c>
      <c r="AV1202" t="s">
        <v>1800</v>
      </c>
      <c r="AW1202" t="s">
        <v>60</v>
      </c>
      <c r="AX1202" t="s">
        <v>68</v>
      </c>
      <c r="AY1202" t="s">
        <v>69</v>
      </c>
      <c r="AZ1202" t="b">
        <v>1</v>
      </c>
    </row>
    <row r="1203" spans="1:52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2128</v>
      </c>
      <c r="F1203" t="s">
        <v>190</v>
      </c>
      <c r="G1203" t="s">
        <v>2015</v>
      </c>
      <c r="H1203" t="s">
        <v>2016</v>
      </c>
      <c r="I1203" t="s">
        <v>2016</v>
      </c>
      <c r="J1203" t="s">
        <v>60</v>
      </c>
      <c r="K1203" t="s">
        <v>2010</v>
      </c>
      <c r="L1203" t="s">
        <v>62</v>
      </c>
      <c r="M1203" t="s">
        <v>2010</v>
      </c>
      <c r="N1203" t="s">
        <v>2017</v>
      </c>
      <c r="O1203" t="s">
        <v>202</v>
      </c>
      <c r="P1203">
        <v>-20.127607000000001</v>
      </c>
      <c r="Q1203">
        <v>-44.833697000000001</v>
      </c>
      <c r="R1203" s="2" t="str">
        <f>HYPERLINK("https://www.google.com/maps?q=-20.1276070,-44.8336970","Abrir no Google Maps")</f>
        <v>Abrir no Google Maps</v>
      </c>
      <c r="S1203">
        <v>3</v>
      </c>
      <c r="T1203">
        <v>313.23341761890651</v>
      </c>
      <c r="U1203">
        <v>3</v>
      </c>
      <c r="V1203">
        <v>21</v>
      </c>
      <c r="W1203">
        <v>0.85</v>
      </c>
      <c r="X1203">
        <v>17.850000000000001</v>
      </c>
      <c r="Y1203">
        <v>118</v>
      </c>
      <c r="Z1203">
        <v>357.91926098592711</v>
      </c>
      <c r="AA1203">
        <v>198</v>
      </c>
      <c r="AB1203">
        <v>332</v>
      </c>
      <c r="AC1203">
        <v>536</v>
      </c>
      <c r="AD1203">
        <v>29.96</v>
      </c>
      <c r="AE1203">
        <v>542</v>
      </c>
      <c r="AF1203">
        <v>29</v>
      </c>
      <c r="AG1203">
        <v>174</v>
      </c>
      <c r="AH1203">
        <v>129</v>
      </c>
      <c r="AI1203">
        <v>5.35</v>
      </c>
      <c r="AJ1203">
        <v>32.1</v>
      </c>
      <c r="AK1203">
        <v>23.8</v>
      </c>
      <c r="AL1203">
        <v>-20.127577799999951</v>
      </c>
      <c r="AM1203">
        <v>-44.833922781418423</v>
      </c>
      <c r="AN1203">
        <v>-20.127577799999951</v>
      </c>
      <c r="AO1203">
        <v>-44.833922781418423</v>
      </c>
      <c r="AP1203">
        <v>-20.127607000000001</v>
      </c>
      <c r="AQ1203">
        <v>-44.833697000000001</v>
      </c>
      <c r="AR1203">
        <v>23.82183710940641</v>
      </c>
      <c r="AS1203" t="s">
        <v>65</v>
      </c>
      <c r="AT1203">
        <v>1</v>
      </c>
      <c r="AU1203" t="s">
        <v>2018</v>
      </c>
      <c r="AV1203" t="s">
        <v>2019</v>
      </c>
      <c r="AW1203" t="s">
        <v>60</v>
      </c>
      <c r="AX1203" t="s">
        <v>68</v>
      </c>
      <c r="AY1203" t="s">
        <v>69</v>
      </c>
      <c r="AZ1203" t="b">
        <v>1</v>
      </c>
    </row>
    <row r="1204" spans="1:52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2128</v>
      </c>
      <c r="F1204" t="s">
        <v>190</v>
      </c>
      <c r="G1204" t="s">
        <v>1801</v>
      </c>
      <c r="H1204" t="s">
        <v>1802</v>
      </c>
      <c r="I1204" t="s">
        <v>1802</v>
      </c>
      <c r="J1204" t="s">
        <v>60</v>
      </c>
      <c r="K1204" t="s">
        <v>1803</v>
      </c>
      <c r="L1204" t="s">
        <v>62</v>
      </c>
      <c r="M1204" t="s">
        <v>1803</v>
      </c>
      <c r="N1204" t="s">
        <v>1804</v>
      </c>
      <c r="O1204" t="s">
        <v>1805</v>
      </c>
      <c r="P1204">
        <v>-20.131599000000001</v>
      </c>
      <c r="Q1204">
        <v>-44.839945</v>
      </c>
      <c r="R1204" s="2" t="str">
        <f>HYPERLINK("https://www.google.com/maps?q=-20.1315990,-44.8399450","Abrir no Google Maps")</f>
        <v>Abrir no Google Maps</v>
      </c>
      <c r="S1204">
        <v>3</v>
      </c>
      <c r="T1204">
        <v>480.67866935083049</v>
      </c>
      <c r="U1204">
        <v>3</v>
      </c>
      <c r="V1204">
        <v>17</v>
      </c>
      <c r="W1204">
        <v>1</v>
      </c>
      <c r="X1204">
        <v>17</v>
      </c>
      <c r="Y1204">
        <v>118</v>
      </c>
      <c r="Z1204">
        <v>505.26312452494989</v>
      </c>
      <c r="AA1204">
        <v>198</v>
      </c>
      <c r="AB1204">
        <v>332</v>
      </c>
      <c r="AC1204">
        <v>536</v>
      </c>
      <c r="AD1204">
        <v>29.96</v>
      </c>
      <c r="AE1204">
        <v>542</v>
      </c>
      <c r="AF1204">
        <v>29</v>
      </c>
      <c r="AG1204">
        <v>174</v>
      </c>
      <c r="AH1204">
        <v>129</v>
      </c>
      <c r="AI1204">
        <v>5.35</v>
      </c>
      <c r="AJ1204">
        <v>32.1</v>
      </c>
      <c r="AK1204">
        <v>23.8</v>
      </c>
      <c r="AL1204">
        <v>-20.131561999999949</v>
      </c>
      <c r="AM1204">
        <v>-44.839930272274998</v>
      </c>
      <c r="AN1204">
        <v>-20.131561999999949</v>
      </c>
      <c r="AO1204">
        <v>-44.839930272274998</v>
      </c>
      <c r="AP1204">
        <v>-20.131599000000001</v>
      </c>
      <c r="AQ1204">
        <v>-44.839945</v>
      </c>
      <c r="AR1204">
        <v>4.3970860299791923</v>
      </c>
      <c r="AS1204" t="s">
        <v>65</v>
      </c>
      <c r="AT1204">
        <v>1</v>
      </c>
      <c r="AU1204" t="s">
        <v>1806</v>
      </c>
      <c r="AV1204" t="s">
        <v>1807</v>
      </c>
      <c r="AW1204" t="s">
        <v>60</v>
      </c>
      <c r="AX1204" t="s">
        <v>68</v>
      </c>
      <c r="AY1204" t="s">
        <v>69</v>
      </c>
      <c r="AZ1204" t="b">
        <v>1</v>
      </c>
    </row>
    <row r="1205" spans="1:52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2128</v>
      </c>
      <c r="F1205" t="s">
        <v>190</v>
      </c>
      <c r="G1205" t="s">
        <v>1224</v>
      </c>
      <c r="H1205" t="s">
        <v>1230</v>
      </c>
      <c r="I1205" t="s">
        <v>1230</v>
      </c>
      <c r="J1205" t="s">
        <v>60</v>
      </c>
      <c r="K1205" t="s">
        <v>828</v>
      </c>
      <c r="L1205" t="s">
        <v>62</v>
      </c>
      <c r="M1205" t="s">
        <v>828</v>
      </c>
      <c r="N1205" t="s">
        <v>1231</v>
      </c>
      <c r="O1205" t="s">
        <v>1232</v>
      </c>
      <c r="P1205">
        <v>-20.136106000000002</v>
      </c>
      <c r="Q1205">
        <v>-44.838470999999998</v>
      </c>
      <c r="R1205" s="2" t="str">
        <f>HYPERLINK("https://www.google.com/maps?q=-20.1361060,-44.8384710","Abrir no Google Maps")</f>
        <v>Abrir no Google Maps</v>
      </c>
      <c r="S1205">
        <v>3</v>
      </c>
      <c r="T1205">
        <v>910.01690137237858</v>
      </c>
      <c r="U1205">
        <v>3</v>
      </c>
      <c r="V1205">
        <v>20</v>
      </c>
      <c r="W1205">
        <v>1</v>
      </c>
      <c r="X1205">
        <v>20</v>
      </c>
      <c r="Y1205">
        <v>118</v>
      </c>
      <c r="Z1205">
        <v>892.76979321439796</v>
      </c>
      <c r="AA1205">
        <v>198</v>
      </c>
      <c r="AB1205">
        <v>332</v>
      </c>
      <c r="AC1205">
        <v>536</v>
      </c>
      <c r="AD1205">
        <v>29.96</v>
      </c>
      <c r="AE1205">
        <v>542</v>
      </c>
      <c r="AF1205">
        <v>29</v>
      </c>
      <c r="AG1205">
        <v>174</v>
      </c>
      <c r="AH1205">
        <v>129</v>
      </c>
      <c r="AI1205">
        <v>5.35</v>
      </c>
      <c r="AJ1205">
        <v>32.1</v>
      </c>
      <c r="AK1205">
        <v>23.8</v>
      </c>
      <c r="AL1205">
        <v>-20.136356149999951</v>
      </c>
      <c r="AM1205">
        <v>-44.838929886373997</v>
      </c>
      <c r="AN1205">
        <v>-20.136356149999951</v>
      </c>
      <c r="AO1205">
        <v>-44.838929886373997</v>
      </c>
      <c r="AP1205">
        <v>-20.136106000000002</v>
      </c>
      <c r="AQ1205">
        <v>-44.838470999999998</v>
      </c>
      <c r="AR1205">
        <v>55.458802856549369</v>
      </c>
      <c r="AS1205" t="s">
        <v>65</v>
      </c>
      <c r="AT1205">
        <v>1</v>
      </c>
      <c r="AU1205" t="s">
        <v>1233</v>
      </c>
      <c r="AV1205" t="s">
        <v>1234</v>
      </c>
      <c r="AW1205" t="s">
        <v>60</v>
      </c>
      <c r="AX1205" t="s">
        <v>68</v>
      </c>
      <c r="AY1205" t="s">
        <v>69</v>
      </c>
      <c r="AZ1205" t="b">
        <v>1</v>
      </c>
    </row>
    <row r="1206" spans="1:52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2128</v>
      </c>
      <c r="F1206" t="s">
        <v>190</v>
      </c>
      <c r="G1206" t="s">
        <v>1808</v>
      </c>
      <c r="H1206" t="s">
        <v>1809</v>
      </c>
      <c r="I1206" t="s">
        <v>1809</v>
      </c>
      <c r="J1206" t="s">
        <v>60</v>
      </c>
      <c r="K1206" t="s">
        <v>1710</v>
      </c>
      <c r="L1206" t="s">
        <v>62</v>
      </c>
      <c r="M1206" t="s">
        <v>1710</v>
      </c>
      <c r="N1206" t="s">
        <v>1810</v>
      </c>
      <c r="O1206" t="s">
        <v>297</v>
      </c>
      <c r="P1206">
        <v>-20.144154</v>
      </c>
      <c r="Q1206">
        <v>-44.840567</v>
      </c>
      <c r="R1206" s="2" t="str">
        <f>HYPERLINK("https://www.google.com/maps?q=-20.1441540,-44.8405670","Abrir no Google Maps")</f>
        <v>Abrir no Google Maps</v>
      </c>
      <c r="S1206">
        <v>3</v>
      </c>
      <c r="T1206">
        <v>1790.4609200116779</v>
      </c>
      <c r="U1206">
        <v>3</v>
      </c>
      <c r="V1206">
        <v>17</v>
      </c>
      <c r="W1206">
        <v>0.85</v>
      </c>
      <c r="X1206">
        <v>14.45</v>
      </c>
      <c r="Y1206">
        <v>118</v>
      </c>
      <c r="Z1206">
        <v>1718.5674352993251</v>
      </c>
      <c r="AA1206">
        <v>198</v>
      </c>
      <c r="AB1206">
        <v>332</v>
      </c>
      <c r="AC1206">
        <v>536</v>
      </c>
      <c r="AD1206">
        <v>29.96</v>
      </c>
      <c r="AE1206">
        <v>542</v>
      </c>
      <c r="AF1206">
        <v>29</v>
      </c>
      <c r="AG1206">
        <v>174</v>
      </c>
      <c r="AH1206">
        <v>129</v>
      </c>
      <c r="AI1206">
        <v>5.35</v>
      </c>
      <c r="AJ1206">
        <v>32.1</v>
      </c>
      <c r="AK1206">
        <v>23.8</v>
      </c>
      <c r="AL1206">
        <v>-20.144149799999951</v>
      </c>
      <c r="AM1206">
        <v>-44.840643310374091</v>
      </c>
      <c r="AN1206">
        <v>-20.144149799999951</v>
      </c>
      <c r="AO1206">
        <v>-44.840643310374091</v>
      </c>
      <c r="AP1206">
        <v>-20.144154</v>
      </c>
      <c r="AQ1206">
        <v>-44.840567</v>
      </c>
      <c r="AR1206">
        <v>7.9889254965004346</v>
      </c>
      <c r="AS1206" t="s">
        <v>65</v>
      </c>
      <c r="AT1206">
        <v>1</v>
      </c>
      <c r="AU1206" t="s">
        <v>1811</v>
      </c>
      <c r="AV1206" t="s">
        <v>1812</v>
      </c>
      <c r="AW1206" t="s">
        <v>60</v>
      </c>
      <c r="AX1206" t="s">
        <v>68</v>
      </c>
      <c r="AY1206" t="s">
        <v>69</v>
      </c>
      <c r="AZ1206" t="b">
        <v>1</v>
      </c>
    </row>
    <row r="1207" spans="1:52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2128</v>
      </c>
      <c r="F1207" t="s">
        <v>190</v>
      </c>
      <c r="G1207" t="s">
        <v>1830</v>
      </c>
      <c r="H1207" t="s">
        <v>1831</v>
      </c>
      <c r="I1207" t="s">
        <v>1831</v>
      </c>
      <c r="J1207" t="s">
        <v>60</v>
      </c>
      <c r="K1207" t="s">
        <v>1243</v>
      </c>
      <c r="L1207" t="s">
        <v>62</v>
      </c>
      <c r="M1207" t="s">
        <v>1243</v>
      </c>
      <c r="N1207" t="s">
        <v>1832</v>
      </c>
      <c r="O1207" t="s">
        <v>1833</v>
      </c>
      <c r="P1207">
        <v>-20.196815999999998</v>
      </c>
      <c r="Q1207">
        <v>-44.940482000000003</v>
      </c>
      <c r="R1207" s="2" t="str">
        <f>HYPERLINK("https://www.google.com/maps?q=-20.1968160,-44.9404820","Abrir no Google Maps")</f>
        <v>Abrir no Google Maps</v>
      </c>
      <c r="S1207">
        <v>3</v>
      </c>
      <c r="T1207">
        <v>536.34378309151361</v>
      </c>
      <c r="U1207">
        <v>3</v>
      </c>
      <c r="V1207">
        <v>18</v>
      </c>
      <c r="W1207">
        <v>1</v>
      </c>
      <c r="X1207">
        <v>18</v>
      </c>
      <c r="Y1207">
        <v>113</v>
      </c>
      <c r="Z1207">
        <v>376.90325621866373</v>
      </c>
      <c r="AA1207">
        <v>198</v>
      </c>
      <c r="AB1207">
        <v>332</v>
      </c>
      <c r="AC1207">
        <v>536</v>
      </c>
      <c r="AD1207">
        <v>29.96</v>
      </c>
      <c r="AE1207">
        <v>542</v>
      </c>
      <c r="AF1207">
        <v>29</v>
      </c>
      <c r="AG1207">
        <v>174</v>
      </c>
      <c r="AH1207">
        <v>129</v>
      </c>
      <c r="AI1207">
        <v>5.35</v>
      </c>
      <c r="AJ1207">
        <v>32.1</v>
      </c>
      <c r="AK1207">
        <v>23.8</v>
      </c>
      <c r="AL1207">
        <v>-20.196517149999949</v>
      </c>
      <c r="AM1207">
        <v>-44.94010487355537</v>
      </c>
      <c r="AN1207">
        <v>-20.196517149999949</v>
      </c>
      <c r="AO1207">
        <v>-44.94010487355537</v>
      </c>
      <c r="AP1207">
        <v>-20.196815999999998</v>
      </c>
      <c r="AQ1207">
        <v>-44.940482000000003</v>
      </c>
      <c r="AR1207">
        <v>51.566969969189948</v>
      </c>
      <c r="AS1207" t="s">
        <v>65</v>
      </c>
      <c r="AT1207">
        <v>1</v>
      </c>
      <c r="AU1207" t="s">
        <v>1834</v>
      </c>
      <c r="AV1207" t="s">
        <v>1835</v>
      </c>
      <c r="AW1207" t="s">
        <v>60</v>
      </c>
      <c r="AX1207" t="s">
        <v>68</v>
      </c>
      <c r="AY1207" t="s">
        <v>69</v>
      </c>
      <c r="AZ1207" t="b">
        <v>1</v>
      </c>
    </row>
    <row r="1208" spans="1:52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2128</v>
      </c>
      <c r="F1208" t="s">
        <v>190</v>
      </c>
      <c r="G1208" t="s">
        <v>2062</v>
      </c>
      <c r="H1208" t="s">
        <v>2063</v>
      </c>
      <c r="I1208" t="s">
        <v>2063</v>
      </c>
      <c r="J1208" t="s">
        <v>60</v>
      </c>
      <c r="K1208" t="s">
        <v>1237</v>
      </c>
      <c r="L1208" t="s">
        <v>62</v>
      </c>
      <c r="M1208" t="s">
        <v>1237</v>
      </c>
      <c r="N1208" t="s">
        <v>2064</v>
      </c>
      <c r="O1208" t="s">
        <v>2065</v>
      </c>
      <c r="P1208">
        <v>-20.199923999999999</v>
      </c>
      <c r="Q1208">
        <v>-44.945999999999998</v>
      </c>
      <c r="R1208" s="2" t="str">
        <f>HYPERLINK("https://www.google.com/maps?q=-20.1999240,-44.9460000","Abrir no Google Maps")</f>
        <v>Abrir no Google Maps</v>
      </c>
      <c r="S1208">
        <v>3</v>
      </c>
      <c r="T1208">
        <v>1216.1967888086051</v>
      </c>
      <c r="U1208">
        <v>3</v>
      </c>
      <c r="V1208">
        <v>17</v>
      </c>
      <c r="W1208">
        <v>0.85</v>
      </c>
      <c r="X1208">
        <v>14.45</v>
      </c>
      <c r="Y1208">
        <v>113</v>
      </c>
      <c r="Z1208">
        <v>968.58538409204391</v>
      </c>
      <c r="AA1208">
        <v>198</v>
      </c>
      <c r="AB1208">
        <v>332</v>
      </c>
      <c r="AC1208">
        <v>536</v>
      </c>
      <c r="AD1208">
        <v>29.96</v>
      </c>
      <c r="AE1208">
        <v>542</v>
      </c>
      <c r="AF1208">
        <v>29</v>
      </c>
      <c r="AG1208">
        <v>174</v>
      </c>
      <c r="AH1208">
        <v>129</v>
      </c>
      <c r="AI1208">
        <v>5.35</v>
      </c>
      <c r="AJ1208">
        <v>32.1</v>
      </c>
      <c r="AK1208">
        <v>23.8</v>
      </c>
      <c r="AL1208">
        <v>-20.199893249999949</v>
      </c>
      <c r="AM1208">
        <v>-44.946291931421001</v>
      </c>
      <c r="AN1208">
        <v>-20.199893249999949</v>
      </c>
      <c r="AO1208">
        <v>-44.946291931421001</v>
      </c>
      <c r="AP1208">
        <v>-20.199923999999999</v>
      </c>
      <c r="AQ1208">
        <v>-44.945999999999998</v>
      </c>
      <c r="AR1208">
        <v>30.690481010373571</v>
      </c>
      <c r="AS1208" t="s">
        <v>65</v>
      </c>
      <c r="AT1208">
        <v>1</v>
      </c>
      <c r="AU1208" t="s">
        <v>2066</v>
      </c>
      <c r="AV1208" t="s">
        <v>2067</v>
      </c>
      <c r="AW1208" t="s">
        <v>60</v>
      </c>
      <c r="AX1208" t="s">
        <v>68</v>
      </c>
      <c r="AY1208" t="s">
        <v>69</v>
      </c>
      <c r="AZ1208" t="b">
        <v>1</v>
      </c>
    </row>
    <row r="1209" spans="1:52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2128</v>
      </c>
      <c r="F1209" t="s">
        <v>190</v>
      </c>
      <c r="G1209" t="s">
        <v>1241</v>
      </c>
      <c r="H1209" t="s">
        <v>1242</v>
      </c>
      <c r="I1209" t="s">
        <v>1242</v>
      </c>
      <c r="J1209" t="s">
        <v>60</v>
      </c>
      <c r="K1209" t="s">
        <v>1243</v>
      </c>
      <c r="L1209" t="s">
        <v>62</v>
      </c>
      <c r="M1209" t="s">
        <v>1243</v>
      </c>
      <c r="N1209" t="s">
        <v>1244</v>
      </c>
      <c r="O1209" t="s">
        <v>315</v>
      </c>
      <c r="P1209">
        <v>-20.188538000000001</v>
      </c>
      <c r="Q1209">
        <v>-44.930104</v>
      </c>
      <c r="R1209" s="2" t="str">
        <f>HYPERLINK("https://www.google.com/maps?q=-20.1885380,-44.9301040","Abrir no Google Maps")</f>
        <v>Abrir no Google Maps</v>
      </c>
      <c r="S1209">
        <v>3</v>
      </c>
      <c r="T1209">
        <v>928.27105405717066</v>
      </c>
      <c r="U1209">
        <v>3</v>
      </c>
      <c r="V1209">
        <v>19</v>
      </c>
      <c r="W1209">
        <v>1</v>
      </c>
      <c r="X1209">
        <v>19</v>
      </c>
      <c r="Y1209">
        <v>113</v>
      </c>
      <c r="Z1209">
        <v>1111.4269393179579</v>
      </c>
      <c r="AA1209">
        <v>198</v>
      </c>
      <c r="AB1209">
        <v>332</v>
      </c>
      <c r="AC1209">
        <v>536</v>
      </c>
      <c r="AD1209">
        <v>29.96</v>
      </c>
      <c r="AE1209">
        <v>542</v>
      </c>
      <c r="AF1209">
        <v>29</v>
      </c>
      <c r="AG1209">
        <v>174</v>
      </c>
      <c r="AH1209">
        <v>129</v>
      </c>
      <c r="AI1209">
        <v>5.35</v>
      </c>
      <c r="AJ1209">
        <v>32.1</v>
      </c>
      <c r="AK1209">
        <v>23.8</v>
      </c>
      <c r="AL1209">
        <v>-20.18852899999996</v>
      </c>
      <c r="AM1209">
        <v>-44.930083089036543</v>
      </c>
      <c r="AN1209">
        <v>-20.18852899999996</v>
      </c>
      <c r="AO1209">
        <v>-44.930083089036543</v>
      </c>
      <c r="AP1209">
        <v>-20.188538000000001</v>
      </c>
      <c r="AQ1209">
        <v>-44.930104</v>
      </c>
      <c r="AR1209">
        <v>2.4035564137158438</v>
      </c>
      <c r="AS1209" t="s">
        <v>65</v>
      </c>
      <c r="AT1209">
        <v>1</v>
      </c>
      <c r="AU1209" t="s">
        <v>1245</v>
      </c>
      <c r="AV1209" t="s">
        <v>1246</v>
      </c>
      <c r="AW1209" t="s">
        <v>60</v>
      </c>
      <c r="AX1209" t="s">
        <v>68</v>
      </c>
      <c r="AY1209" t="s">
        <v>69</v>
      </c>
      <c r="AZ1209" t="b">
        <v>1</v>
      </c>
    </row>
    <row r="1210" spans="1:52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2128</v>
      </c>
      <c r="F1210" t="s">
        <v>190</v>
      </c>
      <c r="G1210" t="s">
        <v>2074</v>
      </c>
      <c r="H1210" t="s">
        <v>2075</v>
      </c>
      <c r="I1210" t="s">
        <v>2075</v>
      </c>
      <c r="J1210" t="s">
        <v>60</v>
      </c>
      <c r="K1210" t="s">
        <v>1314</v>
      </c>
      <c r="L1210" t="s">
        <v>62</v>
      </c>
      <c r="M1210" t="s">
        <v>1314</v>
      </c>
      <c r="N1210" t="s">
        <v>2076</v>
      </c>
      <c r="O1210" t="s">
        <v>2077</v>
      </c>
      <c r="P1210">
        <v>-20.176835000000001</v>
      </c>
      <c r="Q1210">
        <v>-44.930950000000003</v>
      </c>
      <c r="R1210" s="2" t="str">
        <f>HYPERLINK("https://www.google.com/maps?q=-20.1768350,-44.9309500","Abrir no Google Maps")</f>
        <v>Abrir no Google Maps</v>
      </c>
      <c r="S1210">
        <v>3</v>
      </c>
      <c r="T1210">
        <v>1806.8580939436499</v>
      </c>
      <c r="U1210">
        <v>3</v>
      </c>
      <c r="V1210">
        <v>19</v>
      </c>
      <c r="W1210">
        <v>0.85</v>
      </c>
      <c r="X1210">
        <v>16.149999999999999</v>
      </c>
      <c r="Y1210">
        <v>113</v>
      </c>
      <c r="Z1210">
        <v>1921.313394530237</v>
      </c>
      <c r="AA1210">
        <v>198</v>
      </c>
      <c r="AB1210">
        <v>332</v>
      </c>
      <c r="AC1210">
        <v>536</v>
      </c>
      <c r="AD1210">
        <v>29.96</v>
      </c>
      <c r="AE1210">
        <v>542</v>
      </c>
      <c r="AF1210">
        <v>29</v>
      </c>
      <c r="AG1210">
        <v>174</v>
      </c>
      <c r="AH1210">
        <v>129</v>
      </c>
      <c r="AI1210">
        <v>5.35</v>
      </c>
      <c r="AJ1210">
        <v>32.1</v>
      </c>
      <c r="AK1210">
        <v>23.8</v>
      </c>
      <c r="AL1210">
        <v>-20.17717879999995</v>
      </c>
      <c r="AM1210">
        <v>-44.930977454083752</v>
      </c>
      <c r="AN1210">
        <v>-20.17717879999995</v>
      </c>
      <c r="AO1210">
        <v>-44.930977454083752</v>
      </c>
      <c r="AP1210">
        <v>-20.176835000000001</v>
      </c>
      <c r="AQ1210">
        <v>-44.930950000000003</v>
      </c>
      <c r="AR1210">
        <v>38.379173360223952</v>
      </c>
      <c r="AS1210" t="s">
        <v>65</v>
      </c>
      <c r="AT1210">
        <v>1</v>
      </c>
      <c r="AU1210" t="s">
        <v>2078</v>
      </c>
      <c r="AV1210" t="s">
        <v>1553</v>
      </c>
      <c r="AW1210" t="s">
        <v>60</v>
      </c>
      <c r="AX1210" t="s">
        <v>68</v>
      </c>
      <c r="AY1210" t="s">
        <v>69</v>
      </c>
      <c r="AZ1210" t="b">
        <v>1</v>
      </c>
    </row>
    <row r="1211" spans="1:52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2128</v>
      </c>
      <c r="F1211" t="s">
        <v>190</v>
      </c>
      <c r="G1211" t="s">
        <v>1235</v>
      </c>
      <c r="H1211" t="s">
        <v>1847</v>
      </c>
      <c r="I1211" t="s">
        <v>1847</v>
      </c>
      <c r="J1211" t="s">
        <v>60</v>
      </c>
      <c r="K1211" t="s">
        <v>1243</v>
      </c>
      <c r="L1211" t="s">
        <v>62</v>
      </c>
      <c r="M1211" t="s">
        <v>1243</v>
      </c>
      <c r="N1211" t="s">
        <v>1238</v>
      </c>
      <c r="O1211" t="s">
        <v>1351</v>
      </c>
      <c r="P1211">
        <v>-20.194087</v>
      </c>
      <c r="Q1211">
        <v>-44.936889999999998</v>
      </c>
      <c r="R1211" s="2" t="str">
        <f>HYPERLINK("https://www.google.com/maps?q=-20.1940870,-44.9368900","Abrir no Google Maps")</f>
        <v>Abrir no Google Maps</v>
      </c>
      <c r="S1211">
        <v>3</v>
      </c>
      <c r="T1211">
        <v>257.18642318734362</v>
      </c>
      <c r="U1211">
        <v>3</v>
      </c>
      <c r="V1211">
        <v>18</v>
      </c>
      <c r="W1211">
        <v>1</v>
      </c>
      <c r="X1211">
        <v>18</v>
      </c>
      <c r="Y1211">
        <v>113</v>
      </c>
      <c r="Z1211">
        <v>339.77652558311001</v>
      </c>
      <c r="AA1211">
        <v>198</v>
      </c>
      <c r="AB1211">
        <v>332</v>
      </c>
      <c r="AC1211">
        <v>536</v>
      </c>
      <c r="AD1211">
        <v>29.96</v>
      </c>
      <c r="AE1211">
        <v>542</v>
      </c>
      <c r="AF1211">
        <v>29</v>
      </c>
      <c r="AG1211">
        <v>174</v>
      </c>
      <c r="AH1211">
        <v>129</v>
      </c>
      <c r="AI1211">
        <v>5.35</v>
      </c>
      <c r="AJ1211">
        <v>32.1</v>
      </c>
      <c r="AK1211">
        <v>23.8</v>
      </c>
      <c r="AL1211">
        <v>-20.19405954999996</v>
      </c>
      <c r="AM1211">
        <v>-44.936949074015281</v>
      </c>
      <c r="AN1211">
        <v>-20.19405954999996</v>
      </c>
      <c r="AO1211">
        <v>-44.936949074015281</v>
      </c>
      <c r="AP1211">
        <v>-20.194087</v>
      </c>
      <c r="AQ1211">
        <v>-44.936889999999998</v>
      </c>
      <c r="AR1211">
        <v>6.8869138825619167</v>
      </c>
      <c r="AS1211" t="s">
        <v>65</v>
      </c>
      <c r="AT1211">
        <v>1</v>
      </c>
      <c r="AU1211" t="s">
        <v>1848</v>
      </c>
      <c r="AV1211" t="s">
        <v>1849</v>
      </c>
      <c r="AW1211" t="s">
        <v>60</v>
      </c>
      <c r="AX1211" t="s">
        <v>68</v>
      </c>
      <c r="AY1211" t="s">
        <v>69</v>
      </c>
      <c r="AZ1211" t="b">
        <v>1</v>
      </c>
    </row>
    <row r="1212" spans="1:52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2128</v>
      </c>
      <c r="F1212" t="s">
        <v>190</v>
      </c>
      <c r="G1212" t="s">
        <v>1850</v>
      </c>
      <c r="H1212" t="s">
        <v>1851</v>
      </c>
      <c r="I1212" t="s">
        <v>1851</v>
      </c>
      <c r="J1212" t="s">
        <v>60</v>
      </c>
      <c r="K1212" t="s">
        <v>1681</v>
      </c>
      <c r="L1212" t="s">
        <v>62</v>
      </c>
      <c r="M1212" t="s">
        <v>1681</v>
      </c>
      <c r="N1212" t="s">
        <v>1852</v>
      </c>
      <c r="O1212" t="s">
        <v>1853</v>
      </c>
      <c r="P1212">
        <v>-20.139354000000001</v>
      </c>
      <c r="Q1212">
        <v>-44.855398999999998</v>
      </c>
      <c r="R1212" s="2" t="str">
        <f>HYPERLINK("https://www.google.com/maps?q=-20.1393540,-44.8553990","Abrir no Google Maps")</f>
        <v>Abrir no Google Maps</v>
      </c>
      <c r="S1212">
        <v>3</v>
      </c>
      <c r="T1212">
        <v>694.41696355871329</v>
      </c>
      <c r="U1212">
        <v>3</v>
      </c>
      <c r="V1212">
        <v>17</v>
      </c>
      <c r="W1212">
        <v>1</v>
      </c>
      <c r="X1212">
        <v>17</v>
      </c>
      <c r="Y1212">
        <v>95</v>
      </c>
      <c r="Z1212">
        <v>790.58507878435637</v>
      </c>
      <c r="AA1212">
        <v>198</v>
      </c>
      <c r="AB1212">
        <v>332</v>
      </c>
      <c r="AC1212">
        <v>536</v>
      </c>
      <c r="AD1212">
        <v>29.96</v>
      </c>
      <c r="AE1212">
        <v>542</v>
      </c>
      <c r="AF1212">
        <v>29</v>
      </c>
      <c r="AG1212">
        <v>174</v>
      </c>
      <c r="AH1212">
        <v>129</v>
      </c>
      <c r="AI1212">
        <v>5.35</v>
      </c>
      <c r="AJ1212">
        <v>32.1</v>
      </c>
      <c r="AK1212">
        <v>23.8</v>
      </c>
      <c r="AL1212">
        <v>-20.139412599999961</v>
      </c>
      <c r="AM1212">
        <v>-44.855150404999961</v>
      </c>
      <c r="AN1212">
        <v>-20.139412599999961</v>
      </c>
      <c r="AO1212">
        <v>-44.855150404999961</v>
      </c>
      <c r="AP1212">
        <v>-20.139354000000001</v>
      </c>
      <c r="AQ1212">
        <v>-44.855398999999998</v>
      </c>
      <c r="AR1212">
        <v>26.787980665123101</v>
      </c>
      <c r="AS1212" t="s">
        <v>65</v>
      </c>
      <c r="AT1212">
        <v>1</v>
      </c>
      <c r="AU1212" t="s">
        <v>1854</v>
      </c>
      <c r="AV1212" t="s">
        <v>1855</v>
      </c>
      <c r="AW1212" t="s">
        <v>60</v>
      </c>
      <c r="AX1212" t="s">
        <v>68</v>
      </c>
      <c r="AY1212" t="s">
        <v>69</v>
      </c>
      <c r="AZ1212" t="b">
        <v>1</v>
      </c>
    </row>
    <row r="1213" spans="1:52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2128</v>
      </c>
      <c r="F1213" t="s">
        <v>1247</v>
      </c>
      <c r="G1213" t="s">
        <v>58</v>
      </c>
      <c r="H1213" t="s">
        <v>59</v>
      </c>
      <c r="I1213" t="s">
        <v>59</v>
      </c>
      <c r="J1213" t="s">
        <v>60</v>
      </c>
      <c r="K1213" t="s">
        <v>61</v>
      </c>
      <c r="L1213" t="s">
        <v>62</v>
      </c>
      <c r="M1213" t="s">
        <v>61</v>
      </c>
      <c r="N1213" t="s">
        <v>63</v>
      </c>
      <c r="O1213" t="s">
        <v>64</v>
      </c>
      <c r="P1213">
        <v>-20.147940999999999</v>
      </c>
      <c r="Q1213">
        <v>-44.906514000000001</v>
      </c>
      <c r="R1213" s="2" t="str">
        <f>HYPERLINK("https://www.google.com/maps?q=-20.1479410,-44.9065140","Abrir no Google Maps")</f>
        <v>Abrir no Google Maps</v>
      </c>
      <c r="S1213">
        <v>4</v>
      </c>
      <c r="T1213">
        <v>308.67004994113421</v>
      </c>
      <c r="U1213">
        <v>3</v>
      </c>
      <c r="V1213">
        <v>20</v>
      </c>
      <c r="W1213">
        <v>1</v>
      </c>
      <c r="X1213">
        <v>20</v>
      </c>
      <c r="Y1213">
        <v>747</v>
      </c>
      <c r="Z1213">
        <v>274.71440454502522</v>
      </c>
      <c r="AA1213">
        <v>198</v>
      </c>
      <c r="AB1213">
        <v>332</v>
      </c>
      <c r="AC1213">
        <v>536</v>
      </c>
      <c r="AD1213">
        <v>29.96</v>
      </c>
      <c r="AE1213">
        <v>542</v>
      </c>
      <c r="AF1213">
        <v>29</v>
      </c>
      <c r="AG1213">
        <v>174</v>
      </c>
      <c r="AH1213">
        <v>129</v>
      </c>
      <c r="AI1213">
        <v>5.35</v>
      </c>
      <c r="AJ1213">
        <v>32.1</v>
      </c>
      <c r="AK1213">
        <v>23.8</v>
      </c>
      <c r="AL1213">
        <v>-20.147947799999969</v>
      </c>
      <c r="AM1213">
        <v>-44.906591596129203</v>
      </c>
      <c r="AN1213">
        <v>-20.147947799999969</v>
      </c>
      <c r="AO1213">
        <v>-44.906591596129203</v>
      </c>
      <c r="AP1213">
        <v>-20.147940999999999</v>
      </c>
      <c r="AQ1213">
        <v>-44.906514000000001</v>
      </c>
      <c r="AR1213">
        <v>8.1446636170570326</v>
      </c>
      <c r="AS1213" t="s">
        <v>65</v>
      </c>
      <c r="AT1213">
        <v>1</v>
      </c>
      <c r="AU1213" t="s">
        <v>66</v>
      </c>
      <c r="AV1213" t="s">
        <v>67</v>
      </c>
      <c r="AW1213" t="s">
        <v>60</v>
      </c>
      <c r="AX1213" t="s">
        <v>68</v>
      </c>
      <c r="AY1213" t="s">
        <v>69</v>
      </c>
      <c r="AZ1213" t="b">
        <v>1</v>
      </c>
    </row>
    <row r="1214" spans="1:52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2128</v>
      </c>
      <c r="F1214" t="s">
        <v>1247</v>
      </c>
      <c r="G1214" t="s">
        <v>191</v>
      </c>
      <c r="H1214" t="s">
        <v>192</v>
      </c>
      <c r="I1214" t="s">
        <v>192</v>
      </c>
      <c r="J1214" t="s">
        <v>60</v>
      </c>
      <c r="K1214" t="s">
        <v>193</v>
      </c>
      <c r="L1214" t="s">
        <v>62</v>
      </c>
      <c r="M1214" t="s">
        <v>193</v>
      </c>
      <c r="N1214" t="s">
        <v>194</v>
      </c>
      <c r="O1214" t="s">
        <v>195</v>
      </c>
      <c r="P1214">
        <v>-20.143266000000001</v>
      </c>
      <c r="Q1214">
        <v>-44.912075000000002</v>
      </c>
      <c r="R1214" s="2" t="str">
        <f>HYPERLINK("https://www.google.com/maps?q=-20.1432660,-44.9120750","Abrir no Google Maps")</f>
        <v>Abrir no Google Maps</v>
      </c>
      <c r="S1214">
        <v>4</v>
      </c>
      <c r="T1214">
        <v>467.04339396175408</v>
      </c>
      <c r="U1214">
        <v>3</v>
      </c>
      <c r="V1214">
        <v>15</v>
      </c>
      <c r="W1214">
        <v>1</v>
      </c>
      <c r="X1214">
        <v>15</v>
      </c>
      <c r="Y1214">
        <v>747</v>
      </c>
      <c r="Z1214">
        <v>585.1742452866996</v>
      </c>
      <c r="AA1214">
        <v>198</v>
      </c>
      <c r="AB1214">
        <v>332</v>
      </c>
      <c r="AC1214">
        <v>536</v>
      </c>
      <c r="AD1214">
        <v>29.96</v>
      </c>
      <c r="AE1214">
        <v>542</v>
      </c>
      <c r="AF1214">
        <v>29</v>
      </c>
      <c r="AG1214">
        <v>174</v>
      </c>
      <c r="AH1214">
        <v>129</v>
      </c>
      <c r="AI1214">
        <v>5.35</v>
      </c>
      <c r="AJ1214">
        <v>32.1</v>
      </c>
      <c r="AK1214">
        <v>23.8</v>
      </c>
      <c r="AL1214">
        <v>-20.143307949999951</v>
      </c>
      <c r="AM1214">
        <v>-44.912066629431067</v>
      </c>
      <c r="AN1214">
        <v>-20.143307949999951</v>
      </c>
      <c r="AO1214">
        <v>-44.912066629431067</v>
      </c>
      <c r="AP1214">
        <v>-20.143266000000001</v>
      </c>
      <c r="AQ1214">
        <v>-44.912075000000002</v>
      </c>
      <c r="AR1214">
        <v>4.751108024498329</v>
      </c>
      <c r="AS1214" t="s">
        <v>65</v>
      </c>
      <c r="AT1214">
        <v>1</v>
      </c>
      <c r="AU1214" t="s">
        <v>196</v>
      </c>
      <c r="AV1214" t="s">
        <v>197</v>
      </c>
      <c r="AW1214" t="s">
        <v>60</v>
      </c>
      <c r="AX1214" t="s">
        <v>68</v>
      </c>
      <c r="AY1214" t="s">
        <v>69</v>
      </c>
      <c r="AZ1214" t="b">
        <v>1</v>
      </c>
    </row>
    <row r="1215" spans="1:52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2128</v>
      </c>
      <c r="F1215" t="s">
        <v>1247</v>
      </c>
      <c r="G1215" t="s">
        <v>70</v>
      </c>
      <c r="H1215" t="s">
        <v>71</v>
      </c>
      <c r="I1215" t="s">
        <v>71</v>
      </c>
      <c r="J1215" t="s">
        <v>60</v>
      </c>
      <c r="K1215" t="s">
        <v>72</v>
      </c>
      <c r="L1215" t="s">
        <v>62</v>
      </c>
      <c r="M1215" t="s">
        <v>72</v>
      </c>
      <c r="N1215" t="s">
        <v>73</v>
      </c>
      <c r="O1215" t="s">
        <v>74</v>
      </c>
      <c r="P1215">
        <v>-20.149349000000001</v>
      </c>
      <c r="Q1215">
        <v>-44.910784</v>
      </c>
      <c r="R1215" s="2" t="str">
        <f>HYPERLINK("https://www.google.com/maps?q=-20.1493490,-44.9107840","Abrir no Google Maps")</f>
        <v>Abrir no Google Maps</v>
      </c>
      <c r="S1215">
        <v>4</v>
      </c>
      <c r="T1215">
        <v>472.43876549769578</v>
      </c>
      <c r="U1215">
        <v>3</v>
      </c>
      <c r="V1215">
        <v>16</v>
      </c>
      <c r="W1215">
        <v>1</v>
      </c>
      <c r="X1215">
        <v>16</v>
      </c>
      <c r="Y1215">
        <v>747</v>
      </c>
      <c r="Z1215">
        <v>441.03921887407779</v>
      </c>
      <c r="AA1215">
        <v>198</v>
      </c>
      <c r="AB1215">
        <v>332</v>
      </c>
      <c r="AC1215">
        <v>536</v>
      </c>
      <c r="AD1215">
        <v>29.96</v>
      </c>
      <c r="AE1215">
        <v>542</v>
      </c>
      <c r="AF1215">
        <v>29</v>
      </c>
      <c r="AG1215">
        <v>174</v>
      </c>
      <c r="AH1215">
        <v>129</v>
      </c>
      <c r="AI1215">
        <v>5.35</v>
      </c>
      <c r="AJ1215">
        <v>32.1</v>
      </c>
      <c r="AK1215">
        <v>23.8</v>
      </c>
      <c r="AL1215">
        <v>-20.149403999999951</v>
      </c>
      <c r="AM1215">
        <v>-44.91080895147438</v>
      </c>
      <c r="AN1215">
        <v>-20.149403999999951</v>
      </c>
      <c r="AO1215">
        <v>-44.91080895147438</v>
      </c>
      <c r="AP1215">
        <v>-20.149349000000001</v>
      </c>
      <c r="AQ1215">
        <v>-44.910784</v>
      </c>
      <c r="AR1215">
        <v>6.6547592699416382</v>
      </c>
      <c r="AS1215" t="s">
        <v>65</v>
      </c>
      <c r="AT1215">
        <v>1</v>
      </c>
      <c r="AU1215" t="s">
        <v>75</v>
      </c>
      <c r="AV1215" t="s">
        <v>76</v>
      </c>
      <c r="AW1215" t="s">
        <v>60</v>
      </c>
      <c r="AX1215" t="s">
        <v>68</v>
      </c>
      <c r="AY1215" t="s">
        <v>69</v>
      </c>
      <c r="AZ1215" t="b">
        <v>1</v>
      </c>
    </row>
    <row r="1216" spans="1:52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2128</v>
      </c>
      <c r="F1216" t="s">
        <v>1247</v>
      </c>
      <c r="G1216" t="s">
        <v>77</v>
      </c>
      <c r="H1216" t="s">
        <v>78</v>
      </c>
      <c r="I1216" t="s">
        <v>78</v>
      </c>
      <c r="J1216" t="s">
        <v>60</v>
      </c>
      <c r="K1216" t="s">
        <v>72</v>
      </c>
      <c r="L1216" t="s">
        <v>62</v>
      </c>
      <c r="M1216" t="s">
        <v>72</v>
      </c>
      <c r="N1216" t="s">
        <v>79</v>
      </c>
      <c r="O1216" t="s">
        <v>80</v>
      </c>
      <c r="P1216">
        <v>-20.147821</v>
      </c>
      <c r="Q1216">
        <v>-44.908887</v>
      </c>
      <c r="R1216" s="2" t="str">
        <f>HYPERLINK("https://www.google.com/maps?q=-20.1478210,-44.9088870","Abrir no Google Maps")</f>
        <v>Abrir no Google Maps</v>
      </c>
      <c r="S1216">
        <v>4</v>
      </c>
      <c r="T1216">
        <v>232.2893841532152</v>
      </c>
      <c r="U1216">
        <v>3</v>
      </c>
      <c r="V1216">
        <v>20</v>
      </c>
      <c r="W1216">
        <v>1</v>
      </c>
      <c r="X1216">
        <v>20</v>
      </c>
      <c r="Y1216">
        <v>747</v>
      </c>
      <c r="Z1216">
        <v>195.3668648953757</v>
      </c>
      <c r="AA1216">
        <v>198</v>
      </c>
      <c r="AB1216">
        <v>332</v>
      </c>
      <c r="AC1216">
        <v>536</v>
      </c>
      <c r="AD1216">
        <v>29.96</v>
      </c>
      <c r="AE1216">
        <v>542</v>
      </c>
      <c r="AF1216">
        <v>29</v>
      </c>
      <c r="AG1216">
        <v>174</v>
      </c>
      <c r="AH1216">
        <v>129</v>
      </c>
      <c r="AI1216">
        <v>5.35</v>
      </c>
      <c r="AJ1216">
        <v>32.1</v>
      </c>
      <c r="AK1216">
        <v>23.8</v>
      </c>
      <c r="AL1216">
        <v>-20.147802849999952</v>
      </c>
      <c r="AM1216">
        <v>-44.908989919229477</v>
      </c>
      <c r="AN1216">
        <v>-20.147802849999952</v>
      </c>
      <c r="AO1216">
        <v>-44.908989919229491</v>
      </c>
      <c r="AP1216">
        <v>-20.147821</v>
      </c>
      <c r="AQ1216">
        <v>-44.908887</v>
      </c>
      <c r="AR1216">
        <v>10.944007761262529</v>
      </c>
      <c r="AS1216" t="s">
        <v>65</v>
      </c>
      <c r="AT1216">
        <v>1</v>
      </c>
      <c r="AU1216" t="s">
        <v>81</v>
      </c>
      <c r="AV1216" t="s">
        <v>82</v>
      </c>
      <c r="AW1216" t="s">
        <v>60</v>
      </c>
      <c r="AX1216" t="s">
        <v>68</v>
      </c>
      <c r="AY1216" t="s">
        <v>69</v>
      </c>
      <c r="AZ1216" t="b">
        <v>1</v>
      </c>
    </row>
    <row r="1217" spans="1:52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2128</v>
      </c>
      <c r="F1217" t="s">
        <v>1247</v>
      </c>
      <c r="G1217" t="s">
        <v>83</v>
      </c>
      <c r="H1217" t="s">
        <v>84</v>
      </c>
      <c r="I1217" t="s">
        <v>84</v>
      </c>
      <c r="J1217" t="s">
        <v>60</v>
      </c>
      <c r="K1217" t="s">
        <v>61</v>
      </c>
      <c r="L1217" t="s">
        <v>62</v>
      </c>
      <c r="M1217" t="s">
        <v>61</v>
      </c>
      <c r="N1217" t="s">
        <v>85</v>
      </c>
      <c r="O1217" t="s">
        <v>86</v>
      </c>
      <c r="P1217">
        <v>-20.149799000000002</v>
      </c>
      <c r="Q1217">
        <v>-44.906517000000001</v>
      </c>
      <c r="R1217" s="2" t="str">
        <f>HYPERLINK("https://www.google.com/maps?q=-20.1497990,-44.9065170","Abrir no Google Maps")</f>
        <v>Abrir no Google Maps</v>
      </c>
      <c r="S1217">
        <v>4</v>
      </c>
      <c r="T1217">
        <v>487.90051105537998</v>
      </c>
      <c r="U1217">
        <v>3</v>
      </c>
      <c r="V1217">
        <v>15</v>
      </c>
      <c r="W1217">
        <v>1</v>
      </c>
      <c r="X1217">
        <v>15</v>
      </c>
      <c r="Y1217">
        <v>747</v>
      </c>
      <c r="Z1217">
        <v>365.93785960107078</v>
      </c>
      <c r="AA1217">
        <v>198</v>
      </c>
      <c r="AB1217">
        <v>332</v>
      </c>
      <c r="AC1217">
        <v>536</v>
      </c>
      <c r="AD1217">
        <v>29.96</v>
      </c>
      <c r="AE1217">
        <v>542</v>
      </c>
      <c r="AF1217">
        <v>29</v>
      </c>
      <c r="AG1217">
        <v>174</v>
      </c>
      <c r="AH1217">
        <v>129</v>
      </c>
      <c r="AI1217">
        <v>5.35</v>
      </c>
      <c r="AJ1217">
        <v>32.1</v>
      </c>
      <c r="AK1217">
        <v>23.8</v>
      </c>
      <c r="AL1217">
        <v>-20.149879599999959</v>
      </c>
      <c r="AM1217">
        <v>-44.906746466068469</v>
      </c>
      <c r="AN1217">
        <v>-20.149879599999959</v>
      </c>
      <c r="AO1217">
        <v>-44.906746466068469</v>
      </c>
      <c r="AP1217">
        <v>-20.149799000000002</v>
      </c>
      <c r="AQ1217">
        <v>-44.906517000000001</v>
      </c>
      <c r="AR1217">
        <v>25.604276856970429</v>
      </c>
      <c r="AS1217" t="s">
        <v>65</v>
      </c>
      <c r="AT1217">
        <v>1</v>
      </c>
      <c r="AU1217" t="s">
        <v>87</v>
      </c>
      <c r="AV1217" t="s">
        <v>88</v>
      </c>
      <c r="AW1217" t="s">
        <v>60</v>
      </c>
      <c r="AX1217" t="s">
        <v>68</v>
      </c>
      <c r="AY1217" t="s">
        <v>69</v>
      </c>
      <c r="AZ1217" t="b">
        <v>1</v>
      </c>
    </row>
    <row r="1218" spans="1:52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2128</v>
      </c>
      <c r="F1218" t="s">
        <v>1247</v>
      </c>
      <c r="G1218" t="s">
        <v>95</v>
      </c>
      <c r="H1218" t="s">
        <v>96</v>
      </c>
      <c r="I1218" t="s">
        <v>96</v>
      </c>
      <c r="J1218" t="s">
        <v>60</v>
      </c>
      <c r="K1218" t="s">
        <v>72</v>
      </c>
      <c r="L1218" t="s">
        <v>62</v>
      </c>
      <c r="M1218" t="s">
        <v>72</v>
      </c>
      <c r="N1218" t="s">
        <v>97</v>
      </c>
      <c r="O1218" t="s">
        <v>98</v>
      </c>
      <c r="P1218">
        <v>-20.144062999999999</v>
      </c>
      <c r="Q1218">
        <v>-44.909627999999998</v>
      </c>
      <c r="R1218" s="2" t="str">
        <f>HYPERLINK("https://www.google.com/maps?q=-20.1440630,-44.9096280","Abrir no Google Maps")</f>
        <v>Abrir no Google Maps</v>
      </c>
      <c r="S1218">
        <v>4</v>
      </c>
      <c r="T1218">
        <v>205.27083326529291</v>
      </c>
      <c r="U1218">
        <v>3</v>
      </c>
      <c r="V1218">
        <v>19</v>
      </c>
      <c r="W1218">
        <v>1</v>
      </c>
      <c r="X1218">
        <v>19</v>
      </c>
      <c r="Y1218">
        <v>747</v>
      </c>
      <c r="Z1218">
        <v>336.75785483480968</v>
      </c>
      <c r="AA1218">
        <v>198</v>
      </c>
      <c r="AB1218">
        <v>332</v>
      </c>
      <c r="AC1218">
        <v>536</v>
      </c>
      <c r="AD1218">
        <v>29.96</v>
      </c>
      <c r="AE1218">
        <v>542</v>
      </c>
      <c r="AF1218">
        <v>29</v>
      </c>
      <c r="AG1218">
        <v>174</v>
      </c>
      <c r="AH1218">
        <v>129</v>
      </c>
      <c r="AI1218">
        <v>5.35</v>
      </c>
      <c r="AJ1218">
        <v>32.1</v>
      </c>
      <c r="AK1218">
        <v>23.8</v>
      </c>
      <c r="AL1218">
        <v>-20.144164099999951</v>
      </c>
      <c r="AM1218">
        <v>-44.909420167767642</v>
      </c>
      <c r="AN1218">
        <v>-20.144164099999951</v>
      </c>
      <c r="AO1218">
        <v>-44.909420167767642</v>
      </c>
      <c r="AP1218">
        <v>-20.144062999999999</v>
      </c>
      <c r="AQ1218">
        <v>-44.909627999999998</v>
      </c>
      <c r="AR1218">
        <v>24.46321571724976</v>
      </c>
      <c r="AS1218" t="s">
        <v>65</v>
      </c>
      <c r="AT1218">
        <v>1</v>
      </c>
      <c r="AU1218" t="s">
        <v>99</v>
      </c>
      <c r="AV1218" t="s">
        <v>94</v>
      </c>
      <c r="AW1218" t="s">
        <v>60</v>
      </c>
      <c r="AX1218" t="s">
        <v>68</v>
      </c>
      <c r="AY1218" t="s">
        <v>69</v>
      </c>
      <c r="AZ1218" t="b">
        <v>1</v>
      </c>
    </row>
    <row r="1219" spans="1:52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2128</v>
      </c>
      <c r="F1219" t="s">
        <v>1247</v>
      </c>
      <c r="G1219" t="s">
        <v>100</v>
      </c>
      <c r="H1219" t="s">
        <v>101</v>
      </c>
      <c r="I1219" t="s">
        <v>101</v>
      </c>
      <c r="J1219" t="s">
        <v>60</v>
      </c>
      <c r="K1219" t="s">
        <v>61</v>
      </c>
      <c r="L1219" t="s">
        <v>62</v>
      </c>
      <c r="M1219" t="s">
        <v>61</v>
      </c>
      <c r="N1219" t="s">
        <v>102</v>
      </c>
      <c r="O1219" t="s">
        <v>103</v>
      </c>
      <c r="P1219">
        <v>-20.151098999999999</v>
      </c>
      <c r="Q1219">
        <v>-44.909699000000003</v>
      </c>
      <c r="R1219" s="2" t="str">
        <f>HYPERLINK("https://www.google.com/maps?q=-20.1510990,-44.9096990","Abrir no Google Maps")</f>
        <v>Abrir no Google Maps</v>
      </c>
      <c r="S1219">
        <v>4</v>
      </c>
      <c r="T1219">
        <v>628.5023128813533</v>
      </c>
      <c r="U1219">
        <v>3</v>
      </c>
      <c r="V1219">
        <v>20</v>
      </c>
      <c r="W1219">
        <v>1</v>
      </c>
      <c r="X1219">
        <v>20</v>
      </c>
      <c r="Y1219">
        <v>747</v>
      </c>
      <c r="Z1219">
        <v>563.16456625265948</v>
      </c>
      <c r="AA1219">
        <v>198</v>
      </c>
      <c r="AB1219">
        <v>332</v>
      </c>
      <c r="AC1219">
        <v>536</v>
      </c>
      <c r="AD1219">
        <v>29.96</v>
      </c>
      <c r="AE1219">
        <v>542</v>
      </c>
      <c r="AF1219">
        <v>29</v>
      </c>
      <c r="AG1219">
        <v>174</v>
      </c>
      <c r="AH1219">
        <v>129</v>
      </c>
      <c r="AI1219">
        <v>5.35</v>
      </c>
      <c r="AJ1219">
        <v>32.1</v>
      </c>
      <c r="AK1219">
        <v>23.8</v>
      </c>
      <c r="AL1219">
        <v>-20.151307349999971</v>
      </c>
      <c r="AM1219">
        <v>-44.909772836123523</v>
      </c>
      <c r="AN1219">
        <v>-20.151307349999971</v>
      </c>
      <c r="AO1219">
        <v>-44.909772836123523</v>
      </c>
      <c r="AP1219">
        <v>-20.151098999999999</v>
      </c>
      <c r="AQ1219">
        <v>-44.909699000000003</v>
      </c>
      <c r="AR1219">
        <v>24.443417349564811</v>
      </c>
      <c r="AS1219" t="s">
        <v>65</v>
      </c>
      <c r="AT1219">
        <v>1</v>
      </c>
      <c r="AU1219" t="s">
        <v>104</v>
      </c>
      <c r="AV1219" t="s">
        <v>105</v>
      </c>
      <c r="AW1219" t="s">
        <v>60</v>
      </c>
      <c r="AX1219" t="s">
        <v>68</v>
      </c>
      <c r="AY1219" t="s">
        <v>69</v>
      </c>
      <c r="AZ1219" t="b">
        <v>1</v>
      </c>
    </row>
    <row r="1220" spans="1:52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2128</v>
      </c>
      <c r="F1220" t="s">
        <v>1247</v>
      </c>
      <c r="G1220" t="s">
        <v>115</v>
      </c>
      <c r="H1220" t="s">
        <v>116</v>
      </c>
      <c r="I1220" t="s">
        <v>116</v>
      </c>
      <c r="J1220" t="s">
        <v>60</v>
      </c>
      <c r="K1220" t="s">
        <v>117</v>
      </c>
      <c r="L1220" t="s">
        <v>62</v>
      </c>
      <c r="M1220" t="s">
        <v>117</v>
      </c>
      <c r="N1220" t="s">
        <v>118</v>
      </c>
      <c r="O1220" t="s">
        <v>119</v>
      </c>
      <c r="P1220">
        <v>-20.116992</v>
      </c>
      <c r="Q1220">
        <v>-44.899355</v>
      </c>
      <c r="R1220" s="2" t="str">
        <f>HYPERLINK("https://www.google.com/maps?q=-20.1169920,-44.8993550","Abrir no Google Maps")</f>
        <v>Abrir no Google Maps</v>
      </c>
      <c r="S1220">
        <v>4</v>
      </c>
      <c r="T1220">
        <v>0</v>
      </c>
      <c r="U1220">
        <v>3</v>
      </c>
      <c r="V1220">
        <v>19</v>
      </c>
      <c r="W1220">
        <v>1</v>
      </c>
      <c r="X1220">
        <v>19</v>
      </c>
      <c r="Y1220">
        <v>567</v>
      </c>
      <c r="Z1220">
        <v>54.913678078353321</v>
      </c>
      <c r="AA1220">
        <v>198</v>
      </c>
      <c r="AB1220">
        <v>332</v>
      </c>
      <c r="AC1220">
        <v>536</v>
      </c>
      <c r="AD1220">
        <v>29.96</v>
      </c>
      <c r="AE1220">
        <v>542</v>
      </c>
      <c r="AF1220">
        <v>29</v>
      </c>
      <c r="AG1220">
        <v>174</v>
      </c>
      <c r="AH1220">
        <v>129</v>
      </c>
      <c r="AI1220">
        <v>5.35</v>
      </c>
      <c r="AJ1220">
        <v>32.1</v>
      </c>
      <c r="AK1220">
        <v>23.8</v>
      </c>
      <c r="AL1220">
        <v>-20.117107749999949</v>
      </c>
      <c r="AM1220">
        <v>-44.899271226243108</v>
      </c>
      <c r="AN1220">
        <v>-20.117107749999949</v>
      </c>
      <c r="AO1220">
        <v>-44.899271226243108</v>
      </c>
      <c r="AP1220">
        <v>-20.116992</v>
      </c>
      <c r="AQ1220">
        <v>-44.899355</v>
      </c>
      <c r="AR1220">
        <v>15.579196044083419</v>
      </c>
      <c r="AS1220" t="s">
        <v>65</v>
      </c>
      <c r="AT1220">
        <v>1</v>
      </c>
      <c r="AU1220" t="s">
        <v>120</v>
      </c>
      <c r="AV1220" t="s">
        <v>121</v>
      </c>
      <c r="AW1220" t="s">
        <v>60</v>
      </c>
      <c r="AX1220" t="s">
        <v>68</v>
      </c>
      <c r="AY1220" t="s">
        <v>69</v>
      </c>
      <c r="AZ1220" t="b">
        <v>1</v>
      </c>
    </row>
    <row r="1221" spans="1:52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2128</v>
      </c>
      <c r="F1221" t="s">
        <v>1247</v>
      </c>
      <c r="G1221" t="s">
        <v>1248</v>
      </c>
      <c r="H1221" t="s">
        <v>1249</v>
      </c>
      <c r="I1221" t="s">
        <v>1249</v>
      </c>
      <c r="J1221" t="s">
        <v>60</v>
      </c>
      <c r="K1221" t="s">
        <v>61</v>
      </c>
      <c r="L1221" t="s">
        <v>62</v>
      </c>
      <c r="M1221" t="s">
        <v>61</v>
      </c>
      <c r="N1221" t="s">
        <v>1250</v>
      </c>
      <c r="O1221" t="s">
        <v>202</v>
      </c>
      <c r="P1221">
        <v>-20.145337999999999</v>
      </c>
      <c r="Q1221">
        <v>-44.906260000000003</v>
      </c>
      <c r="R1221" s="2" t="str">
        <f>HYPERLINK("https://www.google.com/maps?q=-20.1453380,-44.9062600","Abrir no Google Maps")</f>
        <v>Abrir no Google Maps</v>
      </c>
      <c r="S1221">
        <v>4</v>
      </c>
      <c r="T1221">
        <v>231.8105263092443</v>
      </c>
      <c r="U1221">
        <v>2</v>
      </c>
      <c r="V1221">
        <v>16</v>
      </c>
      <c r="W1221">
        <v>0.85</v>
      </c>
      <c r="X1221">
        <v>13.6</v>
      </c>
      <c r="Y1221">
        <v>747</v>
      </c>
      <c r="Z1221">
        <v>210.09098260239841</v>
      </c>
      <c r="AA1221">
        <v>198</v>
      </c>
      <c r="AB1221">
        <v>332</v>
      </c>
      <c r="AC1221">
        <v>536</v>
      </c>
      <c r="AD1221">
        <v>29.96</v>
      </c>
      <c r="AE1221">
        <v>542</v>
      </c>
      <c r="AF1221">
        <v>29</v>
      </c>
      <c r="AG1221">
        <v>174</v>
      </c>
      <c r="AH1221">
        <v>129</v>
      </c>
      <c r="AI1221">
        <v>5.35</v>
      </c>
      <c r="AJ1221">
        <v>32.1</v>
      </c>
      <c r="AK1221">
        <v>23.8</v>
      </c>
      <c r="AL1221">
        <v>-20.14545934999995</v>
      </c>
      <c r="AM1221">
        <v>-44.906243174283489</v>
      </c>
      <c r="AN1221">
        <v>-20.14545934999995</v>
      </c>
      <c r="AO1221">
        <v>-44.906243174283489</v>
      </c>
      <c r="AP1221">
        <v>-20.145337999999999</v>
      </c>
      <c r="AQ1221">
        <v>-44.906260000000003</v>
      </c>
      <c r="AR1221">
        <v>13.622651392262521</v>
      </c>
      <c r="AS1221" t="s">
        <v>65</v>
      </c>
      <c r="AT1221">
        <v>1</v>
      </c>
      <c r="AU1221" t="s">
        <v>1251</v>
      </c>
      <c r="AV1221" t="s">
        <v>1252</v>
      </c>
      <c r="AW1221" t="s">
        <v>60</v>
      </c>
      <c r="AX1221" t="s">
        <v>68</v>
      </c>
      <c r="AY1221" t="s">
        <v>69</v>
      </c>
      <c r="AZ1221" t="b">
        <v>1</v>
      </c>
    </row>
    <row r="1222" spans="1:52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2128</v>
      </c>
      <c r="F1222" t="s">
        <v>1247</v>
      </c>
      <c r="G1222" t="s">
        <v>83</v>
      </c>
      <c r="H1222" t="s">
        <v>1253</v>
      </c>
      <c r="I1222" t="s">
        <v>1253</v>
      </c>
      <c r="J1222" t="s">
        <v>60</v>
      </c>
      <c r="K1222" t="s">
        <v>72</v>
      </c>
      <c r="L1222" t="s">
        <v>62</v>
      </c>
      <c r="M1222" t="s">
        <v>72</v>
      </c>
      <c r="N1222" t="s">
        <v>1254</v>
      </c>
      <c r="O1222" t="s">
        <v>1255</v>
      </c>
      <c r="P1222">
        <v>-20.147164</v>
      </c>
      <c r="Q1222">
        <v>-44.905259000000001</v>
      </c>
      <c r="R1222" s="2" t="str">
        <f>HYPERLINK("https://www.google.com/maps?q=-20.1471640,-44.9052590","Abrir no Google Maps")</f>
        <v>Abrir no Google Maps</v>
      </c>
      <c r="S1222">
        <v>4</v>
      </c>
      <c r="T1222">
        <v>364.08569180502712</v>
      </c>
      <c r="U1222">
        <v>2</v>
      </c>
      <c r="V1222">
        <v>11</v>
      </c>
      <c r="W1222">
        <v>0.85</v>
      </c>
      <c r="X1222">
        <v>9.35</v>
      </c>
      <c r="Y1222">
        <v>747</v>
      </c>
      <c r="Z1222">
        <v>309.89238988435022</v>
      </c>
      <c r="AA1222">
        <v>198</v>
      </c>
      <c r="AB1222">
        <v>332</v>
      </c>
      <c r="AC1222">
        <v>536</v>
      </c>
      <c r="AD1222">
        <v>29.96</v>
      </c>
      <c r="AE1222">
        <v>542</v>
      </c>
      <c r="AF1222">
        <v>29</v>
      </c>
      <c r="AG1222">
        <v>174</v>
      </c>
      <c r="AH1222">
        <v>129</v>
      </c>
      <c r="AI1222">
        <v>5.35</v>
      </c>
      <c r="AJ1222">
        <v>32.1</v>
      </c>
      <c r="AK1222">
        <v>23.8</v>
      </c>
      <c r="AL1222">
        <v>-20.14718674999995</v>
      </c>
      <c r="AM1222">
        <v>-44.905292621565764</v>
      </c>
      <c r="AN1222">
        <v>-20.147186749999939</v>
      </c>
      <c r="AO1222">
        <v>-44.905292621565764</v>
      </c>
      <c r="AP1222">
        <v>-20.147164</v>
      </c>
      <c r="AQ1222">
        <v>-44.905259000000001</v>
      </c>
      <c r="AR1222">
        <v>4.3312880650984971</v>
      </c>
      <c r="AS1222" t="s">
        <v>65</v>
      </c>
      <c r="AT1222">
        <v>1</v>
      </c>
      <c r="AU1222" t="s">
        <v>1256</v>
      </c>
      <c r="AV1222" t="s">
        <v>1257</v>
      </c>
      <c r="AW1222" t="s">
        <v>60</v>
      </c>
      <c r="AX1222" t="s">
        <v>68</v>
      </c>
      <c r="AY1222" t="s">
        <v>69</v>
      </c>
      <c r="AZ1222" t="b">
        <v>1</v>
      </c>
    </row>
    <row r="1223" spans="1:52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2128</v>
      </c>
      <c r="F1223" t="s">
        <v>1247</v>
      </c>
      <c r="G1223" t="s">
        <v>89</v>
      </c>
      <c r="H1223" t="s">
        <v>90</v>
      </c>
      <c r="I1223" t="s">
        <v>90</v>
      </c>
      <c r="J1223" t="s">
        <v>60</v>
      </c>
      <c r="K1223" t="s">
        <v>72</v>
      </c>
      <c r="L1223" t="s">
        <v>62</v>
      </c>
      <c r="M1223" t="s">
        <v>72</v>
      </c>
      <c r="N1223" t="s">
        <v>91</v>
      </c>
      <c r="O1223" t="s">
        <v>92</v>
      </c>
      <c r="P1223">
        <v>-20.145848999999998</v>
      </c>
      <c r="Q1223">
        <v>-44.908419000000002</v>
      </c>
      <c r="R1223" s="2" t="str">
        <f>HYPERLINK("https://www.google.com/maps?q=-20.1458490,-44.9084190","Abrir no Google Maps")</f>
        <v>Abrir no Google Maps</v>
      </c>
      <c r="S1223">
        <v>4</v>
      </c>
      <c r="T1223">
        <v>0</v>
      </c>
      <c r="U1223">
        <v>2</v>
      </c>
      <c r="V1223">
        <v>8</v>
      </c>
      <c r="W1223">
        <v>1</v>
      </c>
      <c r="X1223">
        <v>8</v>
      </c>
      <c r="Y1223">
        <v>747</v>
      </c>
      <c r="Z1223">
        <v>136.08168502765241</v>
      </c>
      <c r="AA1223">
        <v>198</v>
      </c>
      <c r="AB1223">
        <v>332</v>
      </c>
      <c r="AC1223">
        <v>536</v>
      </c>
      <c r="AD1223">
        <v>29.96</v>
      </c>
      <c r="AE1223">
        <v>542</v>
      </c>
      <c r="AF1223">
        <v>29</v>
      </c>
      <c r="AG1223">
        <v>174</v>
      </c>
      <c r="AH1223">
        <v>129</v>
      </c>
      <c r="AI1223">
        <v>5.35</v>
      </c>
      <c r="AJ1223">
        <v>32.1</v>
      </c>
      <c r="AK1223">
        <v>23.8</v>
      </c>
      <c r="AL1223">
        <v>-20.14576979999995</v>
      </c>
      <c r="AM1223">
        <v>-44.908436775053183</v>
      </c>
      <c r="AN1223">
        <v>-20.14576979999995</v>
      </c>
      <c r="AO1223">
        <v>-44.908436775053183</v>
      </c>
      <c r="AP1223">
        <v>-20.145848999999998</v>
      </c>
      <c r="AQ1223">
        <v>-44.908419000000002</v>
      </c>
      <c r="AR1223">
        <v>9.0101247482327356</v>
      </c>
      <c r="AS1223" t="s">
        <v>65</v>
      </c>
      <c r="AT1223">
        <v>1</v>
      </c>
      <c r="AU1223" t="s">
        <v>93</v>
      </c>
      <c r="AV1223" t="s">
        <v>94</v>
      </c>
      <c r="AW1223" t="s">
        <v>60</v>
      </c>
      <c r="AX1223" t="s">
        <v>68</v>
      </c>
      <c r="AY1223" t="s">
        <v>69</v>
      </c>
      <c r="AZ1223" t="b">
        <v>1</v>
      </c>
    </row>
    <row r="1224" spans="1:52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2128</v>
      </c>
      <c r="F1224" t="s">
        <v>1247</v>
      </c>
      <c r="G1224" t="s">
        <v>100</v>
      </c>
      <c r="H1224" t="s">
        <v>106</v>
      </c>
      <c r="I1224" t="s">
        <v>106</v>
      </c>
      <c r="J1224" t="s">
        <v>60</v>
      </c>
      <c r="K1224" t="s">
        <v>61</v>
      </c>
      <c r="L1224" t="s">
        <v>62</v>
      </c>
      <c r="M1224" t="s">
        <v>61</v>
      </c>
      <c r="N1224" t="s">
        <v>102</v>
      </c>
      <c r="O1224" t="s">
        <v>103</v>
      </c>
      <c r="P1224">
        <v>-20.151107</v>
      </c>
      <c r="Q1224">
        <v>-44.908918</v>
      </c>
      <c r="R1224" s="2" t="str">
        <f>HYPERLINK("https://www.google.com/maps?q=-20.1511070,-44.9089180","Abrir no Google Maps")</f>
        <v>Abrir no Google Maps</v>
      </c>
      <c r="S1224">
        <v>4</v>
      </c>
      <c r="T1224">
        <v>615.86400245321579</v>
      </c>
      <c r="U1224">
        <v>2</v>
      </c>
      <c r="V1224">
        <v>12</v>
      </c>
      <c r="W1224">
        <v>0.85</v>
      </c>
      <c r="X1224">
        <v>10.199999999999999</v>
      </c>
      <c r="Y1224">
        <v>747</v>
      </c>
      <c r="Z1224">
        <v>535.34543763764702</v>
      </c>
      <c r="AA1224">
        <v>198</v>
      </c>
      <c r="AB1224">
        <v>332</v>
      </c>
      <c r="AC1224">
        <v>536</v>
      </c>
      <c r="AD1224">
        <v>29.96</v>
      </c>
      <c r="AE1224">
        <v>542</v>
      </c>
      <c r="AF1224">
        <v>29</v>
      </c>
      <c r="AG1224">
        <v>174</v>
      </c>
      <c r="AH1224">
        <v>129</v>
      </c>
      <c r="AI1224">
        <v>5.35</v>
      </c>
      <c r="AJ1224">
        <v>32.1</v>
      </c>
      <c r="AK1224">
        <v>23.8</v>
      </c>
      <c r="AL1224">
        <v>-20.151307349999971</v>
      </c>
      <c r="AM1224">
        <v>-44.909024234051429</v>
      </c>
      <c r="AN1224">
        <v>-20.151307349999971</v>
      </c>
      <c r="AO1224">
        <v>-44.909024234051429</v>
      </c>
      <c r="AP1224">
        <v>-20.151107</v>
      </c>
      <c r="AQ1224">
        <v>-44.908918</v>
      </c>
      <c r="AR1224">
        <v>24.91340747371116</v>
      </c>
      <c r="AS1224" t="s">
        <v>65</v>
      </c>
      <c r="AT1224">
        <v>1</v>
      </c>
      <c r="AU1224" t="s">
        <v>107</v>
      </c>
      <c r="AV1224" t="s">
        <v>105</v>
      </c>
      <c r="AW1224" t="s">
        <v>60</v>
      </c>
      <c r="AX1224" t="s">
        <v>68</v>
      </c>
      <c r="AY1224" t="s">
        <v>69</v>
      </c>
      <c r="AZ1224" t="b">
        <v>1</v>
      </c>
    </row>
    <row r="1225" spans="1:52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2128</v>
      </c>
      <c r="F1225" t="s">
        <v>1247</v>
      </c>
      <c r="G1225" t="s">
        <v>108</v>
      </c>
      <c r="H1225" t="s">
        <v>109</v>
      </c>
      <c r="I1225" t="s">
        <v>109</v>
      </c>
      <c r="J1225" t="s">
        <v>60</v>
      </c>
      <c r="K1225" t="s">
        <v>110</v>
      </c>
      <c r="L1225" t="s">
        <v>62</v>
      </c>
      <c r="M1225" t="s">
        <v>110</v>
      </c>
      <c r="N1225" t="s">
        <v>111</v>
      </c>
      <c r="O1225" t="s">
        <v>112</v>
      </c>
      <c r="P1225">
        <v>-20.122233999999999</v>
      </c>
      <c r="Q1225">
        <v>-44.909194999999997</v>
      </c>
      <c r="R1225" s="2" t="str">
        <f>HYPERLINK("https://www.google.com/maps?q=-20.1222340,-44.9091950","Abrir no Google Maps")</f>
        <v>Abrir no Google Maps</v>
      </c>
      <c r="S1225">
        <v>4</v>
      </c>
      <c r="T1225">
        <v>1171.396020763932</v>
      </c>
      <c r="U1225">
        <v>2</v>
      </c>
      <c r="V1225">
        <v>12</v>
      </c>
      <c r="W1225">
        <v>0.85</v>
      </c>
      <c r="X1225">
        <v>10.199999999999999</v>
      </c>
      <c r="Y1225">
        <v>567</v>
      </c>
      <c r="Z1225">
        <v>1238.711234283244</v>
      </c>
      <c r="AA1225">
        <v>198</v>
      </c>
      <c r="AB1225">
        <v>332</v>
      </c>
      <c r="AC1225">
        <v>536</v>
      </c>
      <c r="AD1225">
        <v>29.96</v>
      </c>
      <c r="AE1225">
        <v>542</v>
      </c>
      <c r="AF1225">
        <v>29</v>
      </c>
      <c r="AG1225">
        <v>174</v>
      </c>
      <c r="AH1225">
        <v>129</v>
      </c>
      <c r="AI1225">
        <v>5.35</v>
      </c>
      <c r="AJ1225">
        <v>32.1</v>
      </c>
      <c r="AK1225">
        <v>23.8</v>
      </c>
      <c r="AL1225">
        <v>-20.121881249999941</v>
      </c>
      <c r="AM1225">
        <v>-44.909273766094323</v>
      </c>
      <c r="AN1225">
        <v>-20.121881249999941</v>
      </c>
      <c r="AO1225">
        <v>-44.909273766094323</v>
      </c>
      <c r="AP1225">
        <v>-20.122233999999999</v>
      </c>
      <c r="AQ1225">
        <v>-44.909194999999997</v>
      </c>
      <c r="AR1225">
        <v>40.12192930593006</v>
      </c>
      <c r="AS1225" t="s">
        <v>65</v>
      </c>
      <c r="AT1225">
        <v>1</v>
      </c>
      <c r="AU1225" t="s">
        <v>113</v>
      </c>
      <c r="AV1225" t="s">
        <v>114</v>
      </c>
      <c r="AW1225" t="s">
        <v>60</v>
      </c>
      <c r="AX1225" t="s">
        <v>68</v>
      </c>
      <c r="AY1225" t="s">
        <v>69</v>
      </c>
      <c r="AZ1225" t="b">
        <v>1</v>
      </c>
    </row>
    <row r="1226" spans="1:52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2128</v>
      </c>
      <c r="F1226" t="s">
        <v>1247</v>
      </c>
      <c r="G1226" t="s">
        <v>1258</v>
      </c>
      <c r="H1226" t="s">
        <v>1259</v>
      </c>
      <c r="I1226" t="s">
        <v>1259</v>
      </c>
      <c r="J1226" t="s">
        <v>60</v>
      </c>
      <c r="K1226" t="s">
        <v>905</v>
      </c>
      <c r="L1226" t="s">
        <v>62</v>
      </c>
      <c r="M1226" t="s">
        <v>905</v>
      </c>
      <c r="N1226" t="s">
        <v>1260</v>
      </c>
      <c r="O1226" t="s">
        <v>628</v>
      </c>
      <c r="P1226">
        <v>-20.113569999999999</v>
      </c>
      <c r="Q1226">
        <v>-44.897216</v>
      </c>
      <c r="R1226" s="2" t="str">
        <f>HYPERLINK("https://www.google.com/maps?q=-20.1135700,-44.8972160","Abrir no Google Maps")</f>
        <v>Abrir no Google Maps</v>
      </c>
      <c r="S1226">
        <v>4</v>
      </c>
      <c r="T1226">
        <v>418.54368277643368</v>
      </c>
      <c r="U1226">
        <v>2</v>
      </c>
      <c r="V1226">
        <v>14</v>
      </c>
      <c r="W1226">
        <v>0.85</v>
      </c>
      <c r="X1226">
        <v>11.9</v>
      </c>
      <c r="Y1226">
        <v>567</v>
      </c>
      <c r="Z1226">
        <v>315.02989622191018</v>
      </c>
      <c r="AA1226">
        <v>198</v>
      </c>
      <c r="AB1226">
        <v>332</v>
      </c>
      <c r="AC1226">
        <v>536</v>
      </c>
      <c r="AD1226">
        <v>29.96</v>
      </c>
      <c r="AE1226">
        <v>542</v>
      </c>
      <c r="AF1226">
        <v>29</v>
      </c>
      <c r="AG1226">
        <v>174</v>
      </c>
      <c r="AH1226">
        <v>129</v>
      </c>
      <c r="AI1226">
        <v>5.35</v>
      </c>
      <c r="AJ1226">
        <v>32.1</v>
      </c>
      <c r="AK1226">
        <v>23.8</v>
      </c>
      <c r="AL1226">
        <v>-20.113750149999959</v>
      </c>
      <c r="AM1226">
        <v>-44.897427949999937</v>
      </c>
      <c r="AN1226">
        <v>-20.113750149999959</v>
      </c>
      <c r="AO1226">
        <v>-44.897427949999937</v>
      </c>
      <c r="AP1226">
        <v>-20.113569999999999</v>
      </c>
      <c r="AQ1226">
        <v>-44.897216</v>
      </c>
      <c r="AR1226">
        <v>29.883644534822711</v>
      </c>
      <c r="AS1226" t="s">
        <v>65</v>
      </c>
      <c r="AT1226">
        <v>1</v>
      </c>
      <c r="AU1226" t="s">
        <v>1261</v>
      </c>
      <c r="AV1226" t="s">
        <v>1262</v>
      </c>
      <c r="AW1226" t="s">
        <v>60</v>
      </c>
      <c r="AX1226" t="s">
        <v>68</v>
      </c>
      <c r="AY1226" t="s">
        <v>69</v>
      </c>
      <c r="AZ1226" t="b">
        <v>1</v>
      </c>
    </row>
    <row r="1227" spans="1:52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2128</v>
      </c>
      <c r="F1227" t="s">
        <v>1247</v>
      </c>
      <c r="G1227" t="s">
        <v>198</v>
      </c>
      <c r="H1227" t="s">
        <v>199</v>
      </c>
      <c r="I1227" t="s">
        <v>199</v>
      </c>
      <c r="J1227" t="s">
        <v>60</v>
      </c>
      <c r="K1227" t="s">
        <v>200</v>
      </c>
      <c r="L1227" t="s">
        <v>62</v>
      </c>
      <c r="M1227" t="s">
        <v>200</v>
      </c>
      <c r="N1227" t="s">
        <v>201</v>
      </c>
      <c r="O1227" t="s">
        <v>202</v>
      </c>
      <c r="P1227">
        <v>-20.122433000000001</v>
      </c>
      <c r="Q1227">
        <v>-44.897013999999999</v>
      </c>
      <c r="R1227" s="2" t="str">
        <f>HYPERLINK("https://www.google.com/maps?q=-20.1224330,-44.8970140","Abrir no Google Maps")</f>
        <v>Abrir no Google Maps</v>
      </c>
      <c r="S1227">
        <v>4</v>
      </c>
      <c r="T1227">
        <v>616.04759279207849</v>
      </c>
      <c r="U1227">
        <v>2</v>
      </c>
      <c r="V1227">
        <v>16</v>
      </c>
      <c r="W1227">
        <v>0.85</v>
      </c>
      <c r="X1227">
        <v>13.6</v>
      </c>
      <c r="Y1227">
        <v>567</v>
      </c>
      <c r="Z1227">
        <v>655.51024138861465</v>
      </c>
      <c r="AA1227">
        <v>198</v>
      </c>
      <c r="AB1227">
        <v>332</v>
      </c>
      <c r="AC1227">
        <v>536</v>
      </c>
      <c r="AD1227">
        <v>29.96</v>
      </c>
      <c r="AE1227">
        <v>542</v>
      </c>
      <c r="AF1227">
        <v>29</v>
      </c>
      <c r="AG1227">
        <v>174</v>
      </c>
      <c r="AH1227">
        <v>129</v>
      </c>
      <c r="AI1227">
        <v>5.35</v>
      </c>
      <c r="AJ1227">
        <v>32.1</v>
      </c>
      <c r="AK1227">
        <v>23.8</v>
      </c>
      <c r="AL1227">
        <v>-20.122144949999949</v>
      </c>
      <c r="AM1227">
        <v>-44.896761973125983</v>
      </c>
      <c r="AN1227">
        <v>-20.122144949999949</v>
      </c>
      <c r="AO1227">
        <v>-44.896761973125983</v>
      </c>
      <c r="AP1227">
        <v>-20.122433000000001</v>
      </c>
      <c r="AQ1227">
        <v>-44.897013999999999</v>
      </c>
      <c r="AR1227">
        <v>41.499066772735389</v>
      </c>
      <c r="AS1227" t="s">
        <v>65</v>
      </c>
      <c r="AT1227">
        <v>1</v>
      </c>
      <c r="AU1227" t="s">
        <v>203</v>
      </c>
      <c r="AV1227" t="s">
        <v>204</v>
      </c>
      <c r="AW1227" t="s">
        <v>60</v>
      </c>
      <c r="AX1227" t="s">
        <v>68</v>
      </c>
      <c r="AY1227" t="s">
        <v>69</v>
      </c>
      <c r="AZ1227" t="b">
        <v>1</v>
      </c>
    </row>
    <row r="1228" spans="1:52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2128</v>
      </c>
      <c r="F1228" t="s">
        <v>1247</v>
      </c>
      <c r="G1228" t="s">
        <v>122</v>
      </c>
      <c r="H1228" t="s">
        <v>123</v>
      </c>
      <c r="I1228" t="s">
        <v>123</v>
      </c>
      <c r="J1228" t="s">
        <v>60</v>
      </c>
      <c r="K1228" t="s">
        <v>117</v>
      </c>
      <c r="L1228" t="s">
        <v>62</v>
      </c>
      <c r="M1228" t="s">
        <v>117</v>
      </c>
      <c r="N1228" t="s">
        <v>124</v>
      </c>
      <c r="O1228" t="s">
        <v>125</v>
      </c>
      <c r="P1228">
        <v>-20.11853</v>
      </c>
      <c r="Q1228">
        <v>-44.896925000000003</v>
      </c>
      <c r="R1228" s="2" t="str">
        <f>HYPERLINK("https://www.google.com/maps?q=-20.1185300,-44.8969250","Abrir no Google Maps")</f>
        <v>Abrir no Google Maps</v>
      </c>
      <c r="S1228">
        <v>4</v>
      </c>
      <c r="T1228">
        <v>325.32255721093247</v>
      </c>
      <c r="U1228">
        <v>2</v>
      </c>
      <c r="V1228">
        <v>8</v>
      </c>
      <c r="W1228">
        <v>1</v>
      </c>
      <c r="X1228">
        <v>8</v>
      </c>
      <c r="Y1228">
        <v>567</v>
      </c>
      <c r="Z1228">
        <v>306.04423478678871</v>
      </c>
      <c r="AA1228">
        <v>198</v>
      </c>
      <c r="AB1228">
        <v>332</v>
      </c>
      <c r="AC1228">
        <v>536</v>
      </c>
      <c r="AD1228">
        <v>29.96</v>
      </c>
      <c r="AE1228">
        <v>542</v>
      </c>
      <c r="AF1228">
        <v>29</v>
      </c>
      <c r="AG1228">
        <v>174</v>
      </c>
      <c r="AH1228">
        <v>129</v>
      </c>
      <c r="AI1228">
        <v>5.35</v>
      </c>
      <c r="AJ1228">
        <v>32.1</v>
      </c>
      <c r="AK1228">
        <v>23.8</v>
      </c>
      <c r="AL1228">
        <v>-20.118682499999949</v>
      </c>
      <c r="AM1228">
        <v>-44.896643089287927</v>
      </c>
      <c r="AN1228">
        <v>-20.118682499999949</v>
      </c>
      <c r="AO1228">
        <v>-44.896643089287927</v>
      </c>
      <c r="AP1228">
        <v>-20.11853</v>
      </c>
      <c r="AQ1228">
        <v>-44.896925000000003</v>
      </c>
      <c r="AR1228">
        <v>34.007698996886518</v>
      </c>
      <c r="AS1228" t="s">
        <v>65</v>
      </c>
      <c r="AT1228">
        <v>1</v>
      </c>
      <c r="AU1228" t="s">
        <v>126</v>
      </c>
      <c r="AV1228" t="s">
        <v>121</v>
      </c>
      <c r="AW1228" t="s">
        <v>60</v>
      </c>
      <c r="AX1228" t="s">
        <v>68</v>
      </c>
      <c r="AY1228" t="s">
        <v>69</v>
      </c>
      <c r="AZ1228" t="b">
        <v>1</v>
      </c>
    </row>
    <row r="1229" spans="1:52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2128</v>
      </c>
      <c r="F1229" t="s">
        <v>1247</v>
      </c>
      <c r="G1229" t="s">
        <v>1263</v>
      </c>
      <c r="H1229" t="s">
        <v>1264</v>
      </c>
      <c r="I1229" t="s">
        <v>1264</v>
      </c>
      <c r="J1229" t="s">
        <v>60</v>
      </c>
      <c r="K1229" t="s">
        <v>1265</v>
      </c>
      <c r="L1229" t="s">
        <v>62</v>
      </c>
      <c r="M1229" t="s">
        <v>1265</v>
      </c>
      <c r="N1229" t="s">
        <v>1266</v>
      </c>
      <c r="O1229" t="s">
        <v>1267</v>
      </c>
      <c r="P1229">
        <v>-20.116924000000001</v>
      </c>
      <c r="Q1229">
        <v>-44.906587000000002</v>
      </c>
      <c r="R1229" s="2" t="str">
        <f>HYPERLINK("https://www.google.com/maps?q=-20.1169240,-44.9065870","Abrir no Google Maps")</f>
        <v>Abrir no Google Maps</v>
      </c>
      <c r="S1229">
        <v>4</v>
      </c>
      <c r="T1229">
        <v>745.10453961787857</v>
      </c>
      <c r="U1229">
        <v>1</v>
      </c>
      <c r="V1229">
        <v>4</v>
      </c>
      <c r="W1229">
        <v>0.85</v>
      </c>
      <c r="X1229">
        <v>3.4</v>
      </c>
      <c r="Y1229">
        <v>567</v>
      </c>
      <c r="Z1229">
        <v>816.44456345071217</v>
      </c>
      <c r="AA1229">
        <v>198</v>
      </c>
      <c r="AB1229">
        <v>332</v>
      </c>
      <c r="AC1229">
        <v>536</v>
      </c>
      <c r="AD1229">
        <v>29.96</v>
      </c>
      <c r="AE1229">
        <v>542</v>
      </c>
      <c r="AF1229">
        <v>29</v>
      </c>
      <c r="AG1229">
        <v>174</v>
      </c>
      <c r="AH1229">
        <v>129</v>
      </c>
      <c r="AI1229">
        <v>5.35</v>
      </c>
      <c r="AJ1229">
        <v>32.1</v>
      </c>
      <c r="AK1229">
        <v>23.8</v>
      </c>
      <c r="AL1229">
        <v>-20.117279149999941</v>
      </c>
      <c r="AM1229">
        <v>-44.906397211815133</v>
      </c>
      <c r="AN1229">
        <v>-20.117279149999941</v>
      </c>
      <c r="AO1229">
        <v>-44.906397211815133</v>
      </c>
      <c r="AP1229">
        <v>-20.116924000000001</v>
      </c>
      <c r="AQ1229">
        <v>-44.906587000000002</v>
      </c>
      <c r="AR1229">
        <v>44.233430660980403</v>
      </c>
      <c r="AS1229" t="s">
        <v>65</v>
      </c>
      <c r="AT1229">
        <v>1</v>
      </c>
      <c r="AU1229" t="s">
        <v>1268</v>
      </c>
      <c r="AV1229" t="s">
        <v>1269</v>
      </c>
      <c r="AW1229" t="s">
        <v>60</v>
      </c>
      <c r="AX1229" t="s">
        <v>68</v>
      </c>
      <c r="AY1229" t="s">
        <v>69</v>
      </c>
      <c r="AZ1229" t="b">
        <v>1</v>
      </c>
    </row>
    <row r="1230" spans="1:52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2128</v>
      </c>
      <c r="F1230" t="s">
        <v>1247</v>
      </c>
      <c r="G1230" t="s">
        <v>205</v>
      </c>
      <c r="H1230" t="s">
        <v>206</v>
      </c>
      <c r="I1230" t="s">
        <v>206</v>
      </c>
      <c r="J1230" t="s">
        <v>60</v>
      </c>
      <c r="K1230" t="s">
        <v>207</v>
      </c>
      <c r="L1230" t="s">
        <v>62</v>
      </c>
      <c r="M1230" t="s">
        <v>207</v>
      </c>
      <c r="N1230" t="s">
        <v>208</v>
      </c>
      <c r="O1230" t="s">
        <v>209</v>
      </c>
      <c r="P1230">
        <v>-20.117533999999999</v>
      </c>
      <c r="Q1230">
        <v>-44.892943000000002</v>
      </c>
      <c r="R1230" s="2" t="str">
        <f>HYPERLINK("https://www.google.com/maps?q=-20.1175340,-44.8929430","Abrir no Google Maps")</f>
        <v>Abrir no Google Maps</v>
      </c>
      <c r="S1230">
        <v>4</v>
      </c>
      <c r="T1230">
        <v>601.98486688021592</v>
      </c>
      <c r="U1230">
        <v>1</v>
      </c>
      <c r="V1230">
        <v>0</v>
      </c>
      <c r="W1230">
        <v>0.85</v>
      </c>
      <c r="X1230">
        <v>0</v>
      </c>
      <c r="Y1230">
        <v>567</v>
      </c>
      <c r="Z1230">
        <v>574.59225706016446</v>
      </c>
      <c r="AA1230">
        <v>198</v>
      </c>
      <c r="AB1230">
        <v>332</v>
      </c>
      <c r="AC1230">
        <v>536</v>
      </c>
      <c r="AD1230">
        <v>29.96</v>
      </c>
      <c r="AE1230">
        <v>542</v>
      </c>
      <c r="AF1230">
        <v>29</v>
      </c>
      <c r="AG1230">
        <v>174</v>
      </c>
      <c r="AH1230">
        <v>129</v>
      </c>
      <c r="AI1230">
        <v>5.35</v>
      </c>
      <c r="AJ1230">
        <v>32.1</v>
      </c>
      <c r="AK1230">
        <v>23.8</v>
      </c>
      <c r="AL1230">
        <v>-20.11671494999996</v>
      </c>
      <c r="AM1230">
        <v>-44.89352717833448</v>
      </c>
      <c r="AN1230">
        <v>-20.11671494999996</v>
      </c>
      <c r="AO1230">
        <v>-44.89352717833448</v>
      </c>
      <c r="AP1230">
        <v>-20.117533999999999</v>
      </c>
      <c r="AQ1230">
        <v>-44.892943000000002</v>
      </c>
      <c r="AR1230">
        <v>109.7357164799156</v>
      </c>
      <c r="AS1230" t="s">
        <v>65</v>
      </c>
      <c r="AT1230">
        <v>1</v>
      </c>
      <c r="AU1230" t="s">
        <v>210</v>
      </c>
      <c r="AV1230" t="s">
        <v>211</v>
      </c>
      <c r="AW1230" t="s">
        <v>60</v>
      </c>
      <c r="AX1230" t="s">
        <v>68</v>
      </c>
      <c r="AY1230" t="s">
        <v>69</v>
      </c>
      <c r="AZ1230" t="b">
        <v>1</v>
      </c>
    </row>
    <row r="1231" spans="1:52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2128</v>
      </c>
      <c r="F1231" t="s">
        <v>1247</v>
      </c>
      <c r="G1231" t="s">
        <v>1127</v>
      </c>
      <c r="H1231" t="s">
        <v>1270</v>
      </c>
      <c r="I1231" t="s">
        <v>1270</v>
      </c>
      <c r="J1231" t="s">
        <v>60</v>
      </c>
      <c r="K1231" t="s">
        <v>200</v>
      </c>
      <c r="L1231" t="s">
        <v>62</v>
      </c>
      <c r="M1231" t="s">
        <v>200</v>
      </c>
      <c r="N1231" t="s">
        <v>1271</v>
      </c>
      <c r="O1231" t="s">
        <v>315</v>
      </c>
      <c r="P1231">
        <v>-20.123483</v>
      </c>
      <c r="Q1231">
        <v>-44.904159</v>
      </c>
      <c r="R1231" s="2" t="str">
        <f>HYPERLINK("https://www.google.com/maps?q=-20.1234830,-44.9041590","Abrir no Google Maps")</f>
        <v>Abrir no Google Maps</v>
      </c>
      <c r="S1231">
        <v>4</v>
      </c>
      <c r="T1231">
        <v>1046.2792913459141</v>
      </c>
      <c r="U1231">
        <v>1</v>
      </c>
      <c r="V1231">
        <v>0</v>
      </c>
      <c r="W1231">
        <v>0.85</v>
      </c>
      <c r="X1231">
        <v>0</v>
      </c>
      <c r="Y1231">
        <v>567</v>
      </c>
      <c r="Z1231">
        <v>1072.1273144328541</v>
      </c>
      <c r="AA1231">
        <v>198</v>
      </c>
      <c r="AB1231">
        <v>332</v>
      </c>
      <c r="AC1231">
        <v>536</v>
      </c>
      <c r="AD1231">
        <v>29.96</v>
      </c>
      <c r="AE1231">
        <v>542</v>
      </c>
      <c r="AF1231">
        <v>29</v>
      </c>
      <c r="AG1231">
        <v>174</v>
      </c>
      <c r="AH1231">
        <v>129</v>
      </c>
      <c r="AI1231">
        <v>5.35</v>
      </c>
      <c r="AJ1231">
        <v>32.1</v>
      </c>
      <c r="AK1231">
        <v>23.8</v>
      </c>
      <c r="AL1231">
        <v>-20.12548399999994</v>
      </c>
      <c r="AM1231">
        <v>-44.903913990586467</v>
      </c>
      <c r="AN1231">
        <v>-20.12548399999994</v>
      </c>
      <c r="AO1231">
        <v>-44.903913990586467</v>
      </c>
      <c r="AP1231">
        <v>-20.123483</v>
      </c>
      <c r="AQ1231">
        <v>-44.904159</v>
      </c>
      <c r="AR1231">
        <v>224.218591682908</v>
      </c>
      <c r="AS1231" t="s">
        <v>65</v>
      </c>
      <c r="AT1231">
        <v>1</v>
      </c>
      <c r="AU1231" t="s">
        <v>1272</v>
      </c>
      <c r="AV1231" t="s">
        <v>1273</v>
      </c>
      <c r="AW1231" t="s">
        <v>60</v>
      </c>
      <c r="AX1231" t="s">
        <v>68</v>
      </c>
      <c r="AY1231" t="s">
        <v>69</v>
      </c>
      <c r="AZ1231" t="b">
        <v>1</v>
      </c>
    </row>
    <row r="1232" spans="1:52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2128</v>
      </c>
      <c r="F1232" t="s">
        <v>1247</v>
      </c>
      <c r="G1232" t="s">
        <v>380</v>
      </c>
      <c r="H1232" t="s">
        <v>381</v>
      </c>
      <c r="I1232" t="s">
        <v>381</v>
      </c>
      <c r="J1232" t="s">
        <v>60</v>
      </c>
      <c r="K1232" t="s">
        <v>72</v>
      </c>
      <c r="L1232" t="s">
        <v>62</v>
      </c>
      <c r="M1232" t="s">
        <v>72</v>
      </c>
      <c r="N1232" t="s">
        <v>382</v>
      </c>
      <c r="O1232" t="s">
        <v>383</v>
      </c>
      <c r="P1232">
        <v>-20.147182000000001</v>
      </c>
      <c r="Q1232">
        <v>-44.912728999999999</v>
      </c>
      <c r="R1232" s="2" t="str">
        <f>HYPERLINK("https://www.google.com/maps?q=-20.1471820,-44.9127290","Abrir no Google Maps")</f>
        <v>Abrir no Google Maps</v>
      </c>
      <c r="S1232">
        <v>3</v>
      </c>
      <c r="T1232">
        <v>478.0141981540923</v>
      </c>
      <c r="U1232">
        <v>4</v>
      </c>
      <c r="V1232">
        <v>25</v>
      </c>
      <c r="W1232">
        <v>1</v>
      </c>
      <c r="X1232">
        <v>25</v>
      </c>
      <c r="Y1232">
        <v>747</v>
      </c>
      <c r="Z1232">
        <v>494.0254290673729</v>
      </c>
      <c r="AA1232">
        <v>198</v>
      </c>
      <c r="AB1232">
        <v>332</v>
      </c>
      <c r="AC1232">
        <v>536</v>
      </c>
      <c r="AD1232">
        <v>29.96</v>
      </c>
      <c r="AE1232">
        <v>542</v>
      </c>
      <c r="AF1232">
        <v>29</v>
      </c>
      <c r="AG1232">
        <v>174</v>
      </c>
      <c r="AH1232">
        <v>129</v>
      </c>
      <c r="AI1232">
        <v>5.35</v>
      </c>
      <c r="AJ1232">
        <v>32.1</v>
      </c>
      <c r="AK1232">
        <v>23.8</v>
      </c>
      <c r="AL1232">
        <v>-20.147375599999979</v>
      </c>
      <c r="AM1232">
        <v>-44.912907472879468</v>
      </c>
      <c r="AN1232">
        <v>-20.147375599999979</v>
      </c>
      <c r="AO1232">
        <v>-44.912907472879468</v>
      </c>
      <c r="AP1232">
        <v>-20.147182000000001</v>
      </c>
      <c r="AQ1232">
        <v>-44.912728999999999</v>
      </c>
      <c r="AR1232">
        <v>28.50197694184326</v>
      </c>
      <c r="AS1232" t="s">
        <v>65</v>
      </c>
      <c r="AT1232">
        <v>1</v>
      </c>
      <c r="AU1232" t="s">
        <v>384</v>
      </c>
      <c r="AV1232" t="s">
        <v>385</v>
      </c>
      <c r="AW1232" t="s">
        <v>60</v>
      </c>
      <c r="AX1232" t="s">
        <v>68</v>
      </c>
      <c r="AY1232" t="s">
        <v>69</v>
      </c>
      <c r="AZ1232" t="b">
        <v>1</v>
      </c>
    </row>
    <row r="1233" spans="1:52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2128</v>
      </c>
      <c r="F1233" t="s">
        <v>1247</v>
      </c>
      <c r="G1233" t="s">
        <v>392</v>
      </c>
      <c r="H1233" t="s">
        <v>393</v>
      </c>
      <c r="I1233" t="s">
        <v>393</v>
      </c>
      <c r="J1233" t="s">
        <v>60</v>
      </c>
      <c r="K1233" t="s">
        <v>388</v>
      </c>
      <c r="L1233" t="s">
        <v>62</v>
      </c>
      <c r="M1233" t="s">
        <v>388</v>
      </c>
      <c r="N1233" t="s">
        <v>394</v>
      </c>
      <c r="O1233" t="s">
        <v>395</v>
      </c>
      <c r="P1233">
        <v>-20.158066999999999</v>
      </c>
      <c r="Q1233">
        <v>-44.908164999999997</v>
      </c>
      <c r="R1233" s="2" t="str">
        <f>HYPERLINK("https://www.google.com/maps?q=-20.1580670,-44.9081650","Abrir no Google Maps")</f>
        <v>Abrir no Google Maps</v>
      </c>
      <c r="S1233">
        <v>3</v>
      </c>
      <c r="T1233">
        <v>666.74434317993041</v>
      </c>
      <c r="U1233">
        <v>4</v>
      </c>
      <c r="V1233">
        <v>23</v>
      </c>
      <c r="W1233">
        <v>1</v>
      </c>
      <c r="X1233">
        <v>23</v>
      </c>
      <c r="Y1233">
        <v>729</v>
      </c>
      <c r="Z1233">
        <v>612.4323328215396</v>
      </c>
      <c r="AA1233">
        <v>198</v>
      </c>
      <c r="AB1233">
        <v>332</v>
      </c>
      <c r="AC1233">
        <v>536</v>
      </c>
      <c r="AD1233">
        <v>29.96</v>
      </c>
      <c r="AE1233">
        <v>542</v>
      </c>
      <c r="AF1233">
        <v>29</v>
      </c>
      <c r="AG1233">
        <v>174</v>
      </c>
      <c r="AH1233">
        <v>129</v>
      </c>
      <c r="AI1233">
        <v>5.35</v>
      </c>
      <c r="AJ1233">
        <v>32.1</v>
      </c>
      <c r="AK1233">
        <v>23.8</v>
      </c>
      <c r="AL1233">
        <v>-20.158151449999959</v>
      </c>
      <c r="AM1233">
        <v>-44.908107718360938</v>
      </c>
      <c r="AN1233">
        <v>-20.158151449999959</v>
      </c>
      <c r="AO1233">
        <v>-44.908107718360938</v>
      </c>
      <c r="AP1233">
        <v>-20.158066999999999</v>
      </c>
      <c r="AQ1233">
        <v>-44.908164999999997</v>
      </c>
      <c r="AR1233">
        <v>11.14497345894574</v>
      </c>
      <c r="AS1233" t="s">
        <v>65</v>
      </c>
      <c r="AT1233">
        <v>1</v>
      </c>
      <c r="AU1233" t="s">
        <v>396</v>
      </c>
      <c r="AV1233" t="s">
        <v>397</v>
      </c>
      <c r="AW1233" t="s">
        <v>60</v>
      </c>
      <c r="AX1233" t="s">
        <v>68</v>
      </c>
      <c r="AY1233" t="s">
        <v>69</v>
      </c>
      <c r="AZ1233" t="b">
        <v>1</v>
      </c>
    </row>
    <row r="1234" spans="1:52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2128</v>
      </c>
      <c r="F1234" t="s">
        <v>1247</v>
      </c>
      <c r="G1234" t="s">
        <v>398</v>
      </c>
      <c r="H1234" t="s">
        <v>399</v>
      </c>
      <c r="I1234" t="s">
        <v>399</v>
      </c>
      <c r="J1234" t="s">
        <v>60</v>
      </c>
      <c r="K1234" t="s">
        <v>388</v>
      </c>
      <c r="L1234" t="s">
        <v>62</v>
      </c>
      <c r="M1234" t="s">
        <v>388</v>
      </c>
      <c r="N1234" t="s">
        <v>400</v>
      </c>
      <c r="O1234" t="s">
        <v>401</v>
      </c>
      <c r="P1234">
        <v>-20.160157000000002</v>
      </c>
      <c r="Q1234">
        <v>-44.904347999999999</v>
      </c>
      <c r="R1234" s="2" t="str">
        <f>HYPERLINK("https://www.google.com/maps?q=-20.1601570,-44.9043480","Abrir no Google Maps")</f>
        <v>Abrir no Google Maps</v>
      </c>
      <c r="S1234">
        <v>3</v>
      </c>
      <c r="T1234">
        <v>469.26088527154809</v>
      </c>
      <c r="U1234">
        <v>4</v>
      </c>
      <c r="V1234">
        <v>35</v>
      </c>
      <c r="W1234">
        <v>1</v>
      </c>
      <c r="X1234">
        <v>35</v>
      </c>
      <c r="Y1234">
        <v>729</v>
      </c>
      <c r="Z1234">
        <v>253.57832452309071</v>
      </c>
      <c r="AA1234">
        <v>198</v>
      </c>
      <c r="AB1234">
        <v>332</v>
      </c>
      <c r="AC1234">
        <v>536</v>
      </c>
      <c r="AD1234">
        <v>29.96</v>
      </c>
      <c r="AE1234">
        <v>542</v>
      </c>
      <c r="AF1234">
        <v>29</v>
      </c>
      <c r="AG1234">
        <v>174</v>
      </c>
      <c r="AH1234">
        <v>129</v>
      </c>
      <c r="AI1234">
        <v>5.35</v>
      </c>
      <c r="AJ1234">
        <v>32.1</v>
      </c>
      <c r="AK1234">
        <v>23.8</v>
      </c>
      <c r="AL1234">
        <v>-20.160007949999969</v>
      </c>
      <c r="AM1234">
        <v>-44.904396608560482</v>
      </c>
      <c r="AN1234">
        <v>-20.160007949999969</v>
      </c>
      <c r="AO1234">
        <v>-44.904396608560482</v>
      </c>
      <c r="AP1234">
        <v>-20.160157000000002</v>
      </c>
      <c r="AQ1234">
        <v>-44.904347999999999</v>
      </c>
      <c r="AR1234">
        <v>17.35237255387942</v>
      </c>
      <c r="AS1234" t="s">
        <v>65</v>
      </c>
      <c r="AT1234">
        <v>1</v>
      </c>
      <c r="AU1234" t="s">
        <v>402</v>
      </c>
      <c r="AV1234" t="s">
        <v>403</v>
      </c>
      <c r="AW1234" t="s">
        <v>60</v>
      </c>
      <c r="AX1234" t="s">
        <v>68</v>
      </c>
      <c r="AY1234" t="s">
        <v>69</v>
      </c>
      <c r="AZ1234" t="b">
        <v>1</v>
      </c>
    </row>
    <row r="1235" spans="1:52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2128</v>
      </c>
      <c r="F1235" t="s">
        <v>1247</v>
      </c>
      <c r="G1235" t="s">
        <v>410</v>
      </c>
      <c r="H1235" t="s">
        <v>411</v>
      </c>
      <c r="I1235" t="s">
        <v>411</v>
      </c>
      <c r="J1235" t="s">
        <v>60</v>
      </c>
      <c r="K1235" t="s">
        <v>388</v>
      </c>
      <c r="L1235" t="s">
        <v>62</v>
      </c>
      <c r="M1235" t="s">
        <v>388</v>
      </c>
      <c r="N1235" t="s">
        <v>412</v>
      </c>
      <c r="O1235" t="s">
        <v>413</v>
      </c>
      <c r="P1235">
        <v>-20.161394000000001</v>
      </c>
      <c r="Q1235">
        <v>-44.906725999999999</v>
      </c>
      <c r="R1235" s="2" t="str">
        <f>HYPERLINK("https://www.google.com/maps?q=-20.1613940,-44.9067260","Abrir no Google Maps")</f>
        <v>Abrir no Google Maps</v>
      </c>
      <c r="S1235">
        <v>3</v>
      </c>
      <c r="T1235">
        <v>763.68157548493457</v>
      </c>
      <c r="U1235">
        <v>4</v>
      </c>
      <c r="V1235">
        <v>34</v>
      </c>
      <c r="W1235">
        <v>1</v>
      </c>
      <c r="X1235">
        <v>34</v>
      </c>
      <c r="Y1235">
        <v>729</v>
      </c>
      <c r="Z1235">
        <v>551.70379325948545</v>
      </c>
      <c r="AA1235">
        <v>198</v>
      </c>
      <c r="AB1235">
        <v>332</v>
      </c>
      <c r="AC1235">
        <v>536</v>
      </c>
      <c r="AD1235">
        <v>29.96</v>
      </c>
      <c r="AE1235">
        <v>542</v>
      </c>
      <c r="AF1235">
        <v>29</v>
      </c>
      <c r="AG1235">
        <v>174</v>
      </c>
      <c r="AH1235">
        <v>129</v>
      </c>
      <c r="AI1235">
        <v>5.35</v>
      </c>
      <c r="AJ1235">
        <v>32.1</v>
      </c>
      <c r="AK1235">
        <v>23.8</v>
      </c>
      <c r="AL1235">
        <v>-20.161371049999929</v>
      </c>
      <c r="AM1235">
        <v>-44.906816797310228</v>
      </c>
      <c r="AN1235">
        <v>-20.161371049999929</v>
      </c>
      <c r="AO1235">
        <v>-44.906816797310228</v>
      </c>
      <c r="AP1235">
        <v>-20.161394000000001</v>
      </c>
      <c r="AQ1235">
        <v>-44.906725999999999</v>
      </c>
      <c r="AR1235">
        <v>9.8261555662022495</v>
      </c>
      <c r="AS1235" t="s">
        <v>65</v>
      </c>
      <c r="AT1235">
        <v>1</v>
      </c>
      <c r="AU1235" t="s">
        <v>414</v>
      </c>
      <c r="AV1235" t="s">
        <v>415</v>
      </c>
      <c r="AW1235" t="s">
        <v>60</v>
      </c>
      <c r="AX1235" t="s">
        <v>68</v>
      </c>
      <c r="AY1235" t="s">
        <v>69</v>
      </c>
      <c r="AZ1235" t="b">
        <v>1</v>
      </c>
    </row>
    <row r="1236" spans="1:52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2128</v>
      </c>
      <c r="F1236" t="s">
        <v>1247</v>
      </c>
      <c r="G1236" t="s">
        <v>416</v>
      </c>
      <c r="H1236" t="s">
        <v>417</v>
      </c>
      <c r="I1236" t="s">
        <v>417</v>
      </c>
      <c r="J1236" t="s">
        <v>60</v>
      </c>
      <c r="K1236" t="s">
        <v>418</v>
      </c>
      <c r="L1236" t="s">
        <v>62</v>
      </c>
      <c r="M1236" t="s">
        <v>418</v>
      </c>
      <c r="N1236" t="s">
        <v>419</v>
      </c>
      <c r="O1236" t="s">
        <v>202</v>
      </c>
      <c r="P1236">
        <v>-20.169886000000002</v>
      </c>
      <c r="Q1236">
        <v>-44.913288000000001</v>
      </c>
      <c r="R1236" s="2" t="str">
        <f>HYPERLINK("https://www.google.com/maps?q=-20.1698860,-44.9132880","Abrir no Google Maps")</f>
        <v>Abrir no Google Maps</v>
      </c>
      <c r="S1236">
        <v>3</v>
      </c>
      <c r="T1236">
        <v>422.88733632898152</v>
      </c>
      <c r="U1236">
        <v>4</v>
      </c>
      <c r="V1236">
        <v>33</v>
      </c>
      <c r="W1236">
        <v>1</v>
      </c>
      <c r="X1236">
        <v>33</v>
      </c>
      <c r="Y1236">
        <v>723</v>
      </c>
      <c r="Z1236">
        <v>128.65003864232261</v>
      </c>
      <c r="AA1236">
        <v>198</v>
      </c>
      <c r="AB1236">
        <v>332</v>
      </c>
      <c r="AC1236">
        <v>536</v>
      </c>
      <c r="AD1236">
        <v>29.96</v>
      </c>
      <c r="AE1236">
        <v>542</v>
      </c>
      <c r="AF1236">
        <v>29</v>
      </c>
      <c r="AG1236">
        <v>174</v>
      </c>
      <c r="AH1236">
        <v>129</v>
      </c>
      <c r="AI1236">
        <v>5.35</v>
      </c>
      <c r="AJ1236">
        <v>32.1</v>
      </c>
      <c r="AK1236">
        <v>23.8</v>
      </c>
      <c r="AL1236">
        <v>-20.16970024999998</v>
      </c>
      <c r="AM1236">
        <v>-44.913502201257437</v>
      </c>
      <c r="AN1236">
        <v>-20.16970024999998</v>
      </c>
      <c r="AO1236">
        <v>-44.913502201257437</v>
      </c>
      <c r="AP1236">
        <v>-20.169886000000002</v>
      </c>
      <c r="AQ1236">
        <v>-44.913288000000001</v>
      </c>
      <c r="AR1236">
        <v>30.47208587597606</v>
      </c>
      <c r="AS1236" t="s">
        <v>65</v>
      </c>
      <c r="AT1236">
        <v>1</v>
      </c>
      <c r="AU1236" t="s">
        <v>420</v>
      </c>
      <c r="AV1236" t="s">
        <v>421</v>
      </c>
      <c r="AW1236" t="s">
        <v>60</v>
      </c>
      <c r="AX1236" t="s">
        <v>68</v>
      </c>
      <c r="AY1236" t="s">
        <v>69</v>
      </c>
      <c r="AZ1236" t="b">
        <v>1</v>
      </c>
    </row>
    <row r="1237" spans="1:52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2128</v>
      </c>
      <c r="F1237" t="s">
        <v>1247</v>
      </c>
      <c r="G1237" t="s">
        <v>422</v>
      </c>
      <c r="H1237" t="s">
        <v>423</v>
      </c>
      <c r="I1237" t="s">
        <v>423</v>
      </c>
      <c r="J1237" t="s">
        <v>60</v>
      </c>
      <c r="K1237" t="s">
        <v>424</v>
      </c>
      <c r="L1237" t="s">
        <v>62</v>
      </c>
      <c r="M1237" t="s">
        <v>424</v>
      </c>
      <c r="N1237" t="s">
        <v>425</v>
      </c>
      <c r="O1237" t="s">
        <v>426</v>
      </c>
      <c r="P1237">
        <v>-20.177748000000001</v>
      </c>
      <c r="Q1237">
        <v>-44.912475000000001</v>
      </c>
      <c r="R1237" s="2" t="str">
        <f>HYPERLINK("https://www.google.com/maps?q=-20.1777480,-44.9124750","Abrir no Google Maps")</f>
        <v>Abrir no Google Maps</v>
      </c>
      <c r="S1237">
        <v>3</v>
      </c>
      <c r="T1237">
        <v>657.07560140436533</v>
      </c>
      <c r="U1237">
        <v>4</v>
      </c>
      <c r="V1237">
        <v>23</v>
      </c>
      <c r="W1237">
        <v>1</v>
      </c>
      <c r="X1237">
        <v>23</v>
      </c>
      <c r="Y1237">
        <v>723</v>
      </c>
      <c r="Z1237">
        <v>796.94198000561175</v>
      </c>
      <c r="AA1237">
        <v>198</v>
      </c>
      <c r="AB1237">
        <v>332</v>
      </c>
      <c r="AC1237">
        <v>536</v>
      </c>
      <c r="AD1237">
        <v>29.96</v>
      </c>
      <c r="AE1237">
        <v>542</v>
      </c>
      <c r="AF1237">
        <v>29</v>
      </c>
      <c r="AG1237">
        <v>174</v>
      </c>
      <c r="AH1237">
        <v>129</v>
      </c>
      <c r="AI1237">
        <v>5.35</v>
      </c>
      <c r="AJ1237">
        <v>32.1</v>
      </c>
      <c r="AK1237">
        <v>23.8</v>
      </c>
      <c r="AL1237">
        <v>-20.177761749999949</v>
      </c>
      <c r="AM1237">
        <v>-44.91263311624418</v>
      </c>
      <c r="AN1237">
        <v>-20.177761749999949</v>
      </c>
      <c r="AO1237">
        <v>-44.91263311624418</v>
      </c>
      <c r="AP1237">
        <v>-20.177748000000001</v>
      </c>
      <c r="AQ1237">
        <v>-44.912475000000001</v>
      </c>
      <c r="AR1237">
        <v>16.591996803075372</v>
      </c>
      <c r="AS1237" t="s">
        <v>65</v>
      </c>
      <c r="AT1237">
        <v>1</v>
      </c>
      <c r="AU1237" t="s">
        <v>427</v>
      </c>
      <c r="AV1237" t="s">
        <v>428</v>
      </c>
      <c r="AW1237" t="s">
        <v>60</v>
      </c>
      <c r="AX1237" t="s">
        <v>68</v>
      </c>
      <c r="AY1237" t="s">
        <v>69</v>
      </c>
      <c r="AZ1237" t="b">
        <v>1</v>
      </c>
    </row>
    <row r="1238" spans="1:52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2128</v>
      </c>
      <c r="F1238" t="s">
        <v>1247</v>
      </c>
      <c r="G1238" t="s">
        <v>448</v>
      </c>
      <c r="H1238" t="s">
        <v>449</v>
      </c>
      <c r="I1238" t="s">
        <v>449</v>
      </c>
      <c r="J1238" t="s">
        <v>60</v>
      </c>
      <c r="K1238" t="s">
        <v>388</v>
      </c>
      <c r="L1238" t="s">
        <v>62</v>
      </c>
      <c r="M1238" t="s">
        <v>388</v>
      </c>
      <c r="N1238" t="s">
        <v>450</v>
      </c>
      <c r="O1238" t="s">
        <v>451</v>
      </c>
      <c r="P1238">
        <v>-20.163981</v>
      </c>
      <c r="Q1238">
        <v>-44.907128999999998</v>
      </c>
      <c r="R1238" s="2" t="str">
        <f>HYPERLINK("https://www.google.com/maps?q=-20.1639810,-44.9071290","Abrir no Google Maps")</f>
        <v>Abrir no Google Maps</v>
      </c>
      <c r="S1238">
        <v>3</v>
      </c>
      <c r="T1238">
        <v>782.50730806588319</v>
      </c>
      <c r="U1238">
        <v>4</v>
      </c>
      <c r="V1238">
        <v>23</v>
      </c>
      <c r="W1238">
        <v>1</v>
      </c>
      <c r="X1238">
        <v>23</v>
      </c>
      <c r="Y1238">
        <v>639</v>
      </c>
      <c r="Z1238">
        <v>710.90621453796166</v>
      </c>
      <c r="AA1238">
        <v>198</v>
      </c>
      <c r="AB1238">
        <v>332</v>
      </c>
      <c r="AC1238">
        <v>536</v>
      </c>
      <c r="AD1238">
        <v>29.96</v>
      </c>
      <c r="AE1238">
        <v>542</v>
      </c>
      <c r="AF1238">
        <v>29</v>
      </c>
      <c r="AG1238">
        <v>174</v>
      </c>
      <c r="AH1238">
        <v>129</v>
      </c>
      <c r="AI1238">
        <v>5.35</v>
      </c>
      <c r="AJ1238">
        <v>32.1</v>
      </c>
      <c r="AK1238">
        <v>23.8</v>
      </c>
      <c r="AL1238">
        <v>-20.163958349999969</v>
      </c>
      <c r="AM1238">
        <v>-44.907180923930973</v>
      </c>
      <c r="AN1238">
        <v>-20.163958349999969</v>
      </c>
      <c r="AO1238">
        <v>-44.907180923930973</v>
      </c>
      <c r="AP1238">
        <v>-20.163981</v>
      </c>
      <c r="AQ1238">
        <v>-44.907128999999998</v>
      </c>
      <c r="AR1238">
        <v>5.9831345092457884</v>
      </c>
      <c r="AS1238" t="s">
        <v>65</v>
      </c>
      <c r="AT1238">
        <v>1</v>
      </c>
      <c r="AU1238" t="s">
        <v>452</v>
      </c>
      <c r="AV1238" t="s">
        <v>453</v>
      </c>
      <c r="AW1238" t="s">
        <v>60</v>
      </c>
      <c r="AX1238" t="s">
        <v>68</v>
      </c>
      <c r="AY1238" t="s">
        <v>69</v>
      </c>
      <c r="AZ1238" t="b">
        <v>1</v>
      </c>
    </row>
    <row r="1239" spans="1:52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2128</v>
      </c>
      <c r="F1239" t="s">
        <v>1247</v>
      </c>
      <c r="G1239" t="s">
        <v>467</v>
      </c>
      <c r="H1239" t="s">
        <v>468</v>
      </c>
      <c r="I1239" t="s">
        <v>468</v>
      </c>
      <c r="J1239" t="s">
        <v>60</v>
      </c>
      <c r="K1239" t="s">
        <v>462</v>
      </c>
      <c r="L1239" t="s">
        <v>62</v>
      </c>
      <c r="M1239" t="s">
        <v>462</v>
      </c>
      <c r="N1239" t="s">
        <v>469</v>
      </c>
      <c r="O1239" t="s">
        <v>470</v>
      </c>
      <c r="P1239">
        <v>-20.138233</v>
      </c>
      <c r="Q1239">
        <v>-44.908200000000001</v>
      </c>
      <c r="R1239" s="2" t="str">
        <f>HYPERLINK("https://www.google.com/maps?q=-20.1382330,-44.9082000","Abrir no Google Maps")</f>
        <v>Abrir no Google Maps</v>
      </c>
      <c r="S1239">
        <v>3</v>
      </c>
      <c r="T1239">
        <v>0</v>
      </c>
      <c r="U1239">
        <v>4</v>
      </c>
      <c r="V1239">
        <v>30</v>
      </c>
      <c r="W1239">
        <v>1</v>
      </c>
      <c r="X1239">
        <v>30</v>
      </c>
      <c r="Y1239">
        <v>581</v>
      </c>
      <c r="Z1239">
        <v>153.18688302958171</v>
      </c>
      <c r="AA1239">
        <v>198</v>
      </c>
      <c r="AB1239">
        <v>332</v>
      </c>
      <c r="AC1239">
        <v>536</v>
      </c>
      <c r="AD1239">
        <v>29.96</v>
      </c>
      <c r="AE1239">
        <v>542</v>
      </c>
      <c r="AF1239">
        <v>29</v>
      </c>
      <c r="AG1239">
        <v>174</v>
      </c>
      <c r="AH1239">
        <v>129</v>
      </c>
      <c r="AI1239">
        <v>5.35</v>
      </c>
      <c r="AJ1239">
        <v>32.1</v>
      </c>
      <c r="AK1239">
        <v>23.8</v>
      </c>
      <c r="AL1239">
        <v>-20.138364899999971</v>
      </c>
      <c r="AM1239">
        <v>-44.907942114873997</v>
      </c>
      <c r="AN1239">
        <v>-20.138364899999971</v>
      </c>
      <c r="AO1239">
        <v>-44.907942114873997</v>
      </c>
      <c r="AP1239">
        <v>-20.138233</v>
      </c>
      <c r="AQ1239">
        <v>-44.908200000000001</v>
      </c>
      <c r="AR1239">
        <v>30.692690617986941</v>
      </c>
      <c r="AS1239" t="s">
        <v>65</v>
      </c>
      <c r="AT1239">
        <v>1</v>
      </c>
      <c r="AU1239" t="s">
        <v>471</v>
      </c>
      <c r="AV1239" t="s">
        <v>472</v>
      </c>
      <c r="AW1239" t="s">
        <v>60</v>
      </c>
      <c r="AX1239" t="s">
        <v>68</v>
      </c>
      <c r="AY1239" t="s">
        <v>69</v>
      </c>
      <c r="AZ1239" t="b">
        <v>1</v>
      </c>
    </row>
    <row r="1240" spans="1:52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2128</v>
      </c>
      <c r="F1240" t="s">
        <v>1247</v>
      </c>
      <c r="G1240" t="s">
        <v>864</v>
      </c>
      <c r="H1240" t="s">
        <v>865</v>
      </c>
      <c r="I1240" t="s">
        <v>865</v>
      </c>
      <c r="J1240" t="s">
        <v>60</v>
      </c>
      <c r="K1240" t="s">
        <v>486</v>
      </c>
      <c r="L1240" t="s">
        <v>62</v>
      </c>
      <c r="M1240" t="s">
        <v>486</v>
      </c>
      <c r="N1240" t="s">
        <v>866</v>
      </c>
      <c r="O1240" t="s">
        <v>867</v>
      </c>
      <c r="P1240">
        <v>-20.170919000000001</v>
      </c>
      <c r="Q1240">
        <v>-44.905451999999997</v>
      </c>
      <c r="R1240" s="2" t="str">
        <f>HYPERLINK("https://www.google.com/maps?q=-20.1709190,-44.9054520","Abrir no Google Maps")</f>
        <v>Abrir no Google Maps</v>
      </c>
      <c r="S1240">
        <v>3</v>
      </c>
      <c r="T1240">
        <v>0</v>
      </c>
      <c r="U1240">
        <v>4</v>
      </c>
      <c r="V1240">
        <v>26</v>
      </c>
      <c r="W1240">
        <v>1</v>
      </c>
      <c r="X1240">
        <v>26</v>
      </c>
      <c r="Y1240">
        <v>578</v>
      </c>
      <c r="Z1240">
        <v>205.34598855748419</v>
      </c>
      <c r="AA1240">
        <v>198</v>
      </c>
      <c r="AB1240">
        <v>332</v>
      </c>
      <c r="AC1240">
        <v>536</v>
      </c>
      <c r="AD1240">
        <v>29.96</v>
      </c>
      <c r="AE1240">
        <v>542</v>
      </c>
      <c r="AF1240">
        <v>29</v>
      </c>
      <c r="AG1240">
        <v>174</v>
      </c>
      <c r="AH1240">
        <v>129</v>
      </c>
      <c r="AI1240">
        <v>5.35</v>
      </c>
      <c r="AJ1240">
        <v>32.1</v>
      </c>
      <c r="AK1240">
        <v>23.8</v>
      </c>
      <c r="AL1240">
        <v>-20.170854399999939</v>
      </c>
      <c r="AM1240">
        <v>-44.905524839633358</v>
      </c>
      <c r="AN1240">
        <v>-20.170854399999939</v>
      </c>
      <c r="AO1240">
        <v>-44.905524839633358</v>
      </c>
      <c r="AP1240">
        <v>-20.170919000000001</v>
      </c>
      <c r="AQ1240">
        <v>-44.905451999999997</v>
      </c>
      <c r="AR1240">
        <v>10.471140355179269</v>
      </c>
      <c r="AS1240" t="s">
        <v>65</v>
      </c>
      <c r="AT1240">
        <v>1</v>
      </c>
      <c r="AU1240" t="s">
        <v>868</v>
      </c>
      <c r="AV1240" t="s">
        <v>869</v>
      </c>
      <c r="AW1240" t="s">
        <v>60</v>
      </c>
      <c r="AX1240" t="s">
        <v>68</v>
      </c>
      <c r="AY1240" t="s">
        <v>69</v>
      </c>
      <c r="AZ1240" t="b">
        <v>1</v>
      </c>
    </row>
    <row r="1241" spans="1:52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2128</v>
      </c>
      <c r="F1241" t="s">
        <v>1247</v>
      </c>
      <c r="G1241" t="s">
        <v>870</v>
      </c>
      <c r="H1241" t="s">
        <v>871</v>
      </c>
      <c r="I1241" t="s">
        <v>871</v>
      </c>
      <c r="J1241" t="s">
        <v>60</v>
      </c>
      <c r="K1241" t="s">
        <v>475</v>
      </c>
      <c r="L1241" t="s">
        <v>62</v>
      </c>
      <c r="M1241" t="s">
        <v>475</v>
      </c>
      <c r="N1241" t="s">
        <v>872</v>
      </c>
      <c r="O1241" t="s">
        <v>507</v>
      </c>
      <c r="P1241">
        <v>-20.176269999999999</v>
      </c>
      <c r="Q1241">
        <v>-44.909323999999998</v>
      </c>
      <c r="R1241" s="2" t="str">
        <f>HYPERLINK("https://www.google.com/maps?q=-20.1762700,-44.9093240","Abrir no Google Maps")</f>
        <v>Abrir no Google Maps</v>
      </c>
      <c r="S1241">
        <v>3</v>
      </c>
      <c r="T1241">
        <v>472.42731136821368</v>
      </c>
      <c r="U1241">
        <v>4</v>
      </c>
      <c r="V1241">
        <v>24</v>
      </c>
      <c r="W1241">
        <v>1</v>
      </c>
      <c r="X1241">
        <v>24</v>
      </c>
      <c r="Y1241">
        <v>578</v>
      </c>
      <c r="Z1241">
        <v>495.19726726344601</v>
      </c>
      <c r="AA1241">
        <v>198</v>
      </c>
      <c r="AB1241">
        <v>332</v>
      </c>
      <c r="AC1241">
        <v>536</v>
      </c>
      <c r="AD1241">
        <v>29.96</v>
      </c>
      <c r="AE1241">
        <v>542</v>
      </c>
      <c r="AF1241">
        <v>29</v>
      </c>
      <c r="AG1241">
        <v>174</v>
      </c>
      <c r="AH1241">
        <v>129</v>
      </c>
      <c r="AI1241">
        <v>5.35</v>
      </c>
      <c r="AJ1241">
        <v>32.1</v>
      </c>
      <c r="AK1241">
        <v>23.8</v>
      </c>
      <c r="AL1241">
        <v>-20.17630284999996</v>
      </c>
      <c r="AM1241">
        <v>-44.909199064318948</v>
      </c>
      <c r="AN1241">
        <v>-20.17630284999996</v>
      </c>
      <c r="AO1241">
        <v>-44.909199064318948</v>
      </c>
      <c r="AP1241">
        <v>-20.176269999999999</v>
      </c>
      <c r="AQ1241">
        <v>-44.909323999999998</v>
      </c>
      <c r="AR1241">
        <v>13.55691308737447</v>
      </c>
      <c r="AS1241" t="s">
        <v>65</v>
      </c>
      <c r="AT1241">
        <v>1</v>
      </c>
      <c r="AU1241" t="s">
        <v>873</v>
      </c>
      <c r="AV1241" t="s">
        <v>874</v>
      </c>
      <c r="AW1241" t="s">
        <v>60</v>
      </c>
      <c r="AX1241" t="s">
        <v>68</v>
      </c>
      <c r="AY1241" t="s">
        <v>69</v>
      </c>
      <c r="AZ1241" t="b">
        <v>1</v>
      </c>
    </row>
    <row r="1242" spans="1:52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2128</v>
      </c>
      <c r="F1242" t="s">
        <v>1247</v>
      </c>
      <c r="G1242" t="s">
        <v>473</v>
      </c>
      <c r="H1242" t="s">
        <v>474</v>
      </c>
      <c r="I1242" t="s">
        <v>474</v>
      </c>
      <c r="J1242" t="s">
        <v>60</v>
      </c>
      <c r="K1242" t="s">
        <v>475</v>
      </c>
      <c r="L1242" t="s">
        <v>62</v>
      </c>
      <c r="M1242" t="s">
        <v>475</v>
      </c>
      <c r="N1242" t="s">
        <v>406</v>
      </c>
      <c r="O1242" t="s">
        <v>476</v>
      </c>
      <c r="P1242">
        <v>-20.177902</v>
      </c>
      <c r="Q1242">
        <v>-44.908504000000001</v>
      </c>
      <c r="R1242" s="2" t="str">
        <f>HYPERLINK("https://www.google.com/maps?q=-20.1779020,-44.9085040","Abrir no Google Maps")</f>
        <v>Abrir no Google Maps</v>
      </c>
      <c r="S1242">
        <v>3</v>
      </c>
      <c r="T1242">
        <v>656.92307673247149</v>
      </c>
      <c r="U1242">
        <v>4</v>
      </c>
      <c r="V1242">
        <v>28</v>
      </c>
      <c r="W1242">
        <v>1</v>
      </c>
      <c r="X1242">
        <v>28</v>
      </c>
      <c r="Y1242">
        <v>578</v>
      </c>
      <c r="Z1242">
        <v>635.01982153722327</v>
      </c>
      <c r="AA1242">
        <v>198</v>
      </c>
      <c r="AB1242">
        <v>332</v>
      </c>
      <c r="AC1242">
        <v>536</v>
      </c>
      <c r="AD1242">
        <v>29.96</v>
      </c>
      <c r="AE1242">
        <v>542</v>
      </c>
      <c r="AF1242">
        <v>29</v>
      </c>
      <c r="AG1242">
        <v>174</v>
      </c>
      <c r="AH1242">
        <v>129</v>
      </c>
      <c r="AI1242">
        <v>5.35</v>
      </c>
      <c r="AJ1242">
        <v>32.1</v>
      </c>
      <c r="AK1242">
        <v>23.8</v>
      </c>
      <c r="AL1242">
        <v>-20.177800399999938</v>
      </c>
      <c r="AM1242">
        <v>-44.908361879701268</v>
      </c>
      <c r="AN1242">
        <v>-20.177800399999938</v>
      </c>
      <c r="AO1242">
        <v>-44.908361879701268</v>
      </c>
      <c r="AP1242">
        <v>-20.177902</v>
      </c>
      <c r="AQ1242">
        <v>-44.908504000000001</v>
      </c>
      <c r="AR1242">
        <v>18.666463141775541</v>
      </c>
      <c r="AS1242" t="s">
        <v>65</v>
      </c>
      <c r="AT1242">
        <v>1</v>
      </c>
      <c r="AU1242" t="s">
        <v>477</v>
      </c>
      <c r="AV1242" t="s">
        <v>478</v>
      </c>
      <c r="AW1242" t="s">
        <v>60</v>
      </c>
      <c r="AX1242" t="s">
        <v>68</v>
      </c>
      <c r="AY1242" t="s">
        <v>69</v>
      </c>
      <c r="AZ1242" t="b">
        <v>1</v>
      </c>
    </row>
    <row r="1243" spans="1:52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2128</v>
      </c>
      <c r="F1243" t="s">
        <v>1247</v>
      </c>
      <c r="G1243" t="s">
        <v>491</v>
      </c>
      <c r="H1243" t="s">
        <v>492</v>
      </c>
      <c r="I1243" t="s">
        <v>492</v>
      </c>
      <c r="J1243" t="s">
        <v>60</v>
      </c>
      <c r="K1243" t="s">
        <v>475</v>
      </c>
      <c r="L1243" t="s">
        <v>62</v>
      </c>
      <c r="M1243" t="s">
        <v>475</v>
      </c>
      <c r="N1243" t="s">
        <v>493</v>
      </c>
      <c r="O1243" t="s">
        <v>494</v>
      </c>
      <c r="P1243">
        <v>-20.175250999999999</v>
      </c>
      <c r="Q1243">
        <v>-44.897357</v>
      </c>
      <c r="R1243" s="2" t="str">
        <f>HYPERLINK("https://www.google.com/maps?q=-20.1752510,-44.8973570","Abrir no Google Maps")</f>
        <v>Abrir no Google Maps</v>
      </c>
      <c r="S1243">
        <v>3</v>
      </c>
      <c r="T1243">
        <v>992.29631678149951</v>
      </c>
      <c r="U1243">
        <v>4</v>
      </c>
      <c r="V1243">
        <v>23</v>
      </c>
      <c r="W1243">
        <v>1</v>
      </c>
      <c r="X1243">
        <v>23</v>
      </c>
      <c r="Y1243">
        <v>578</v>
      </c>
      <c r="Z1243">
        <v>1008.5871064168319</v>
      </c>
      <c r="AA1243">
        <v>198</v>
      </c>
      <c r="AB1243">
        <v>332</v>
      </c>
      <c r="AC1243">
        <v>536</v>
      </c>
      <c r="AD1243">
        <v>29.96</v>
      </c>
      <c r="AE1243">
        <v>542</v>
      </c>
      <c r="AF1243">
        <v>29</v>
      </c>
      <c r="AG1243">
        <v>174</v>
      </c>
      <c r="AH1243">
        <v>129</v>
      </c>
      <c r="AI1243">
        <v>5.35</v>
      </c>
      <c r="AJ1243">
        <v>32.1</v>
      </c>
      <c r="AK1243">
        <v>23.8</v>
      </c>
      <c r="AL1243">
        <v>-20.175290599999951</v>
      </c>
      <c r="AM1243">
        <v>-44.897271931010721</v>
      </c>
      <c r="AN1243">
        <v>-20.175290599999951</v>
      </c>
      <c r="AO1243">
        <v>-44.897271931010721</v>
      </c>
      <c r="AP1243">
        <v>-20.175250999999999</v>
      </c>
      <c r="AQ1243">
        <v>-44.897357</v>
      </c>
      <c r="AR1243">
        <v>9.921899108467926</v>
      </c>
      <c r="AS1243" t="s">
        <v>65</v>
      </c>
      <c r="AT1243">
        <v>1</v>
      </c>
      <c r="AU1243" t="s">
        <v>495</v>
      </c>
      <c r="AV1243" t="s">
        <v>496</v>
      </c>
      <c r="AW1243" t="s">
        <v>60</v>
      </c>
      <c r="AX1243" t="s">
        <v>68</v>
      </c>
      <c r="AY1243" t="s">
        <v>69</v>
      </c>
      <c r="AZ1243" t="b">
        <v>1</v>
      </c>
    </row>
    <row r="1244" spans="1:52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2128</v>
      </c>
      <c r="F1244" t="s">
        <v>1247</v>
      </c>
      <c r="G1244" t="s">
        <v>497</v>
      </c>
      <c r="H1244" t="s">
        <v>498</v>
      </c>
      <c r="I1244" t="s">
        <v>498</v>
      </c>
      <c r="J1244" t="s">
        <v>60</v>
      </c>
      <c r="K1244" t="s">
        <v>475</v>
      </c>
      <c r="L1244" t="s">
        <v>62</v>
      </c>
      <c r="M1244" t="s">
        <v>475</v>
      </c>
      <c r="N1244" t="s">
        <v>499</v>
      </c>
      <c r="O1244" t="s">
        <v>500</v>
      </c>
      <c r="P1244">
        <v>-20.175492999999999</v>
      </c>
      <c r="Q1244">
        <v>-44.900759000000001</v>
      </c>
      <c r="R1244" s="2" t="str">
        <f>HYPERLINK("https://www.google.com/maps?q=-20.1754930,-44.9007590","Abrir no Google Maps")</f>
        <v>Abrir no Google Maps</v>
      </c>
      <c r="S1244">
        <v>3</v>
      </c>
      <c r="T1244">
        <v>753.30732354720431</v>
      </c>
      <c r="U1244">
        <v>4</v>
      </c>
      <c r="V1244">
        <v>23</v>
      </c>
      <c r="W1244">
        <v>1</v>
      </c>
      <c r="X1244">
        <v>23</v>
      </c>
      <c r="Y1244">
        <v>578</v>
      </c>
      <c r="Z1244">
        <v>695.28903655431702</v>
      </c>
      <c r="AA1244">
        <v>198</v>
      </c>
      <c r="AB1244">
        <v>332</v>
      </c>
      <c r="AC1244">
        <v>536</v>
      </c>
      <c r="AD1244">
        <v>29.96</v>
      </c>
      <c r="AE1244">
        <v>542</v>
      </c>
      <c r="AF1244">
        <v>29</v>
      </c>
      <c r="AG1244">
        <v>174</v>
      </c>
      <c r="AH1244">
        <v>129</v>
      </c>
      <c r="AI1244">
        <v>5.35</v>
      </c>
      <c r="AJ1244">
        <v>32.1</v>
      </c>
      <c r="AK1244">
        <v>23.8</v>
      </c>
      <c r="AL1244">
        <v>-20.175825999999969</v>
      </c>
      <c r="AM1244">
        <v>-44.900600234646973</v>
      </c>
      <c r="AN1244">
        <v>-20.175825999999969</v>
      </c>
      <c r="AO1244">
        <v>-44.900600234646973</v>
      </c>
      <c r="AP1244">
        <v>-20.175492999999999</v>
      </c>
      <c r="AQ1244">
        <v>-44.900759000000001</v>
      </c>
      <c r="AR1244">
        <v>40.612267304645073</v>
      </c>
      <c r="AS1244" t="s">
        <v>65</v>
      </c>
      <c r="AT1244">
        <v>1</v>
      </c>
      <c r="AU1244" t="s">
        <v>501</v>
      </c>
      <c r="AV1244" t="s">
        <v>502</v>
      </c>
      <c r="AW1244" t="s">
        <v>60</v>
      </c>
      <c r="AX1244" t="s">
        <v>68</v>
      </c>
      <c r="AY1244" t="s">
        <v>69</v>
      </c>
      <c r="AZ1244" t="b">
        <v>1</v>
      </c>
    </row>
    <row r="1245" spans="1:52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2128</v>
      </c>
      <c r="F1245" t="s">
        <v>1247</v>
      </c>
      <c r="G1245" t="s">
        <v>890</v>
      </c>
      <c r="H1245" t="s">
        <v>891</v>
      </c>
      <c r="I1245" t="s">
        <v>891</v>
      </c>
      <c r="J1245" t="s">
        <v>60</v>
      </c>
      <c r="K1245" t="s">
        <v>892</v>
      </c>
      <c r="L1245" t="s">
        <v>62</v>
      </c>
      <c r="M1245" t="s">
        <v>892</v>
      </c>
      <c r="N1245" t="s">
        <v>893</v>
      </c>
      <c r="O1245" t="s">
        <v>894</v>
      </c>
      <c r="P1245">
        <v>-20.152519000000002</v>
      </c>
      <c r="Q1245">
        <v>-44.899177000000002</v>
      </c>
      <c r="R1245" s="2" t="str">
        <f>HYPERLINK("https://www.google.com/maps?q=-20.1525190,-44.8991770","Abrir no Google Maps")</f>
        <v>Abrir no Google Maps</v>
      </c>
      <c r="S1245">
        <v>3</v>
      </c>
      <c r="T1245">
        <v>211.80188552994721</v>
      </c>
      <c r="U1245">
        <v>4</v>
      </c>
      <c r="V1245">
        <v>33</v>
      </c>
      <c r="W1245">
        <v>1</v>
      </c>
      <c r="X1245">
        <v>33</v>
      </c>
      <c r="Y1245">
        <v>556</v>
      </c>
      <c r="Z1245">
        <v>290.34804137107091</v>
      </c>
      <c r="AA1245">
        <v>198</v>
      </c>
      <c r="AB1245">
        <v>332</v>
      </c>
      <c r="AC1245">
        <v>536</v>
      </c>
      <c r="AD1245">
        <v>29.96</v>
      </c>
      <c r="AE1245">
        <v>542</v>
      </c>
      <c r="AF1245">
        <v>29</v>
      </c>
      <c r="AG1245">
        <v>174</v>
      </c>
      <c r="AH1245">
        <v>129</v>
      </c>
      <c r="AI1245">
        <v>5.35</v>
      </c>
      <c r="AJ1245">
        <v>32.1</v>
      </c>
      <c r="AK1245">
        <v>23.8</v>
      </c>
      <c r="AL1245">
        <v>-20.152516249999959</v>
      </c>
      <c r="AM1245">
        <v>-44.899310431333959</v>
      </c>
      <c r="AN1245">
        <v>-20.152516249999959</v>
      </c>
      <c r="AO1245">
        <v>-44.899310431333959</v>
      </c>
      <c r="AP1245">
        <v>-20.152519000000002</v>
      </c>
      <c r="AQ1245">
        <v>-44.899177000000002</v>
      </c>
      <c r="AR1245">
        <v>13.947583284957719</v>
      </c>
      <c r="AS1245" t="s">
        <v>65</v>
      </c>
      <c r="AT1245">
        <v>1</v>
      </c>
      <c r="AU1245" t="s">
        <v>895</v>
      </c>
      <c r="AV1245" t="s">
        <v>896</v>
      </c>
      <c r="AW1245" t="s">
        <v>60</v>
      </c>
      <c r="AX1245" t="s">
        <v>68</v>
      </c>
      <c r="AY1245" t="s">
        <v>69</v>
      </c>
      <c r="AZ1245" t="b">
        <v>1</v>
      </c>
    </row>
    <row r="1246" spans="1:52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2128</v>
      </c>
      <c r="F1246" t="s">
        <v>1247</v>
      </c>
      <c r="G1246" t="s">
        <v>897</v>
      </c>
      <c r="H1246" t="s">
        <v>898</v>
      </c>
      <c r="I1246" t="s">
        <v>898</v>
      </c>
      <c r="J1246" t="s">
        <v>60</v>
      </c>
      <c r="K1246" t="s">
        <v>892</v>
      </c>
      <c r="L1246" t="s">
        <v>62</v>
      </c>
      <c r="M1246" t="s">
        <v>892</v>
      </c>
      <c r="N1246" t="s">
        <v>899</v>
      </c>
      <c r="O1246" t="s">
        <v>900</v>
      </c>
      <c r="P1246">
        <v>-20.154885</v>
      </c>
      <c r="Q1246">
        <v>-44.899890999999997</v>
      </c>
      <c r="R1246" s="2" t="str">
        <f>HYPERLINK("https://www.google.com/maps?q=-20.1548850,-44.8998910","Abrir no Google Maps")</f>
        <v>Abrir no Google Maps</v>
      </c>
      <c r="S1246">
        <v>3</v>
      </c>
      <c r="T1246">
        <v>314.66339661014308</v>
      </c>
      <c r="U1246">
        <v>4</v>
      </c>
      <c r="V1246">
        <v>26</v>
      </c>
      <c r="W1246">
        <v>1</v>
      </c>
      <c r="X1246">
        <v>26</v>
      </c>
      <c r="Y1246">
        <v>548</v>
      </c>
      <c r="Z1246">
        <v>319.02252584834253</v>
      </c>
      <c r="AA1246">
        <v>198</v>
      </c>
      <c r="AB1246">
        <v>332</v>
      </c>
      <c r="AC1246">
        <v>536</v>
      </c>
      <c r="AD1246">
        <v>29.96</v>
      </c>
      <c r="AE1246">
        <v>542</v>
      </c>
      <c r="AF1246">
        <v>29</v>
      </c>
      <c r="AG1246">
        <v>174</v>
      </c>
      <c r="AH1246">
        <v>129</v>
      </c>
      <c r="AI1246">
        <v>5.35</v>
      </c>
      <c r="AJ1246">
        <v>32.1</v>
      </c>
      <c r="AK1246">
        <v>23.8</v>
      </c>
      <c r="AL1246">
        <v>-20.154906649999951</v>
      </c>
      <c r="AM1246">
        <v>-44.899894072543653</v>
      </c>
      <c r="AN1246">
        <v>-20.154906649999951</v>
      </c>
      <c r="AO1246">
        <v>-44.899894072543653</v>
      </c>
      <c r="AP1246">
        <v>-20.154885</v>
      </c>
      <c r="AQ1246">
        <v>-44.899890999999997</v>
      </c>
      <c r="AR1246">
        <v>2.431373123904943</v>
      </c>
      <c r="AS1246" t="s">
        <v>65</v>
      </c>
      <c r="AT1246">
        <v>1</v>
      </c>
      <c r="AU1246" t="s">
        <v>901</v>
      </c>
      <c r="AV1246" t="s">
        <v>902</v>
      </c>
      <c r="AW1246" t="s">
        <v>60</v>
      </c>
      <c r="AX1246" t="s">
        <v>68</v>
      </c>
      <c r="AY1246" t="s">
        <v>69</v>
      </c>
      <c r="AZ1246" t="b">
        <v>1</v>
      </c>
    </row>
    <row r="1247" spans="1:52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2128</v>
      </c>
      <c r="F1247" t="s">
        <v>1247</v>
      </c>
      <c r="G1247" t="s">
        <v>551</v>
      </c>
      <c r="H1247" t="s">
        <v>552</v>
      </c>
      <c r="I1247" t="s">
        <v>552</v>
      </c>
      <c r="J1247" t="s">
        <v>60</v>
      </c>
      <c r="K1247" t="s">
        <v>388</v>
      </c>
      <c r="L1247" t="s">
        <v>62</v>
      </c>
      <c r="M1247" t="s">
        <v>388</v>
      </c>
      <c r="N1247" t="s">
        <v>553</v>
      </c>
      <c r="O1247" t="s">
        <v>315</v>
      </c>
      <c r="P1247">
        <v>-20.153086999999999</v>
      </c>
      <c r="Q1247">
        <v>-44.905451999999997</v>
      </c>
      <c r="R1247" s="2" t="str">
        <f>HYPERLINK("https://www.google.com/maps?q=-20.1530870,-44.9054520","Abrir no Google Maps")</f>
        <v>Abrir no Google Maps</v>
      </c>
      <c r="S1247">
        <v>3</v>
      </c>
      <c r="T1247">
        <v>313.69387682409018</v>
      </c>
      <c r="U1247">
        <v>4</v>
      </c>
      <c r="V1247">
        <v>22</v>
      </c>
      <c r="W1247">
        <v>1</v>
      </c>
      <c r="X1247">
        <v>22</v>
      </c>
      <c r="Y1247">
        <v>548</v>
      </c>
      <c r="Z1247">
        <v>319.51605309906859</v>
      </c>
      <c r="AA1247">
        <v>198</v>
      </c>
      <c r="AB1247">
        <v>332</v>
      </c>
      <c r="AC1247">
        <v>536</v>
      </c>
      <c r="AD1247">
        <v>29.96</v>
      </c>
      <c r="AE1247">
        <v>542</v>
      </c>
      <c r="AF1247">
        <v>29</v>
      </c>
      <c r="AG1247">
        <v>174</v>
      </c>
      <c r="AH1247">
        <v>129</v>
      </c>
      <c r="AI1247">
        <v>5.35</v>
      </c>
      <c r="AJ1247">
        <v>32.1</v>
      </c>
      <c r="AK1247">
        <v>23.8</v>
      </c>
      <c r="AL1247">
        <v>-20.153043049999951</v>
      </c>
      <c r="AM1247">
        <v>-44.905348275899513</v>
      </c>
      <c r="AN1247">
        <v>-20.153043049999951</v>
      </c>
      <c r="AO1247">
        <v>-44.905348275899513</v>
      </c>
      <c r="AP1247">
        <v>-20.153086999999999</v>
      </c>
      <c r="AQ1247">
        <v>-44.905451999999997</v>
      </c>
      <c r="AR1247">
        <v>11.892619975648341</v>
      </c>
      <c r="AS1247" t="s">
        <v>65</v>
      </c>
      <c r="AT1247">
        <v>1</v>
      </c>
      <c r="AU1247" t="s">
        <v>554</v>
      </c>
      <c r="AV1247" t="s">
        <v>555</v>
      </c>
      <c r="AW1247" t="s">
        <v>60</v>
      </c>
      <c r="AX1247" t="s">
        <v>68</v>
      </c>
      <c r="AY1247" t="s">
        <v>69</v>
      </c>
      <c r="AZ1247" t="b">
        <v>1</v>
      </c>
    </row>
    <row r="1248" spans="1:52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2128</v>
      </c>
      <c r="F1248" t="s">
        <v>1247</v>
      </c>
      <c r="G1248" t="s">
        <v>556</v>
      </c>
      <c r="H1248" t="s">
        <v>557</v>
      </c>
      <c r="I1248" t="s">
        <v>557</v>
      </c>
      <c r="J1248" t="s">
        <v>60</v>
      </c>
      <c r="K1248" t="s">
        <v>388</v>
      </c>
      <c r="L1248" t="s">
        <v>62</v>
      </c>
      <c r="M1248" t="s">
        <v>388</v>
      </c>
      <c r="N1248" t="s">
        <v>558</v>
      </c>
      <c r="O1248" t="s">
        <v>559</v>
      </c>
      <c r="P1248">
        <v>-20.152670000000001</v>
      </c>
      <c r="Q1248">
        <v>-44.902557999999999</v>
      </c>
      <c r="R1248" s="2" t="str">
        <f>HYPERLINK("https://www.google.com/maps?q=-20.1526700,-44.9025580","Abrir no Google Maps")</f>
        <v>Abrir no Google Maps</v>
      </c>
      <c r="S1248">
        <v>3</v>
      </c>
      <c r="T1248">
        <v>228.56195217678911</v>
      </c>
      <c r="U1248">
        <v>4</v>
      </c>
      <c r="V1248">
        <v>25</v>
      </c>
      <c r="W1248">
        <v>1</v>
      </c>
      <c r="X1248">
        <v>25</v>
      </c>
      <c r="Y1248">
        <v>548</v>
      </c>
      <c r="Z1248">
        <v>250.63133895224919</v>
      </c>
      <c r="AA1248">
        <v>198</v>
      </c>
      <c r="AB1248">
        <v>332</v>
      </c>
      <c r="AC1248">
        <v>536</v>
      </c>
      <c r="AD1248">
        <v>29.96</v>
      </c>
      <c r="AE1248">
        <v>542</v>
      </c>
      <c r="AF1248">
        <v>29</v>
      </c>
      <c r="AG1248">
        <v>174</v>
      </c>
      <c r="AH1248">
        <v>129</v>
      </c>
      <c r="AI1248">
        <v>5.35</v>
      </c>
      <c r="AJ1248">
        <v>32.1</v>
      </c>
      <c r="AK1248">
        <v>23.8</v>
      </c>
      <c r="AL1248">
        <v>-20.152629799999939</v>
      </c>
      <c r="AM1248">
        <v>-44.902604744705201</v>
      </c>
      <c r="AN1248">
        <v>-20.152629799999939</v>
      </c>
      <c r="AO1248">
        <v>-44.902604744705201</v>
      </c>
      <c r="AP1248">
        <v>-20.152670000000001</v>
      </c>
      <c r="AQ1248">
        <v>-44.902557999999999</v>
      </c>
      <c r="AR1248">
        <v>6.6249428037111509</v>
      </c>
      <c r="AS1248" t="s">
        <v>65</v>
      </c>
      <c r="AT1248">
        <v>1</v>
      </c>
      <c r="AU1248" t="s">
        <v>560</v>
      </c>
      <c r="AV1248" t="s">
        <v>561</v>
      </c>
      <c r="AW1248" t="s">
        <v>60</v>
      </c>
      <c r="AX1248" t="s">
        <v>68</v>
      </c>
      <c r="AY1248" t="s">
        <v>69</v>
      </c>
      <c r="AZ1248" t="b">
        <v>1</v>
      </c>
    </row>
    <row r="1249" spans="1:52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2128</v>
      </c>
      <c r="F1249" t="s">
        <v>1247</v>
      </c>
      <c r="G1249" t="s">
        <v>562</v>
      </c>
      <c r="H1249" t="s">
        <v>563</v>
      </c>
      <c r="I1249" t="s">
        <v>563</v>
      </c>
      <c r="J1249" t="s">
        <v>60</v>
      </c>
      <c r="K1249" t="s">
        <v>388</v>
      </c>
      <c r="L1249" t="s">
        <v>62</v>
      </c>
      <c r="M1249" t="s">
        <v>388</v>
      </c>
      <c r="N1249" t="s">
        <v>564</v>
      </c>
      <c r="O1249" t="s">
        <v>565</v>
      </c>
      <c r="P1249">
        <v>-20.154432</v>
      </c>
      <c r="Q1249">
        <v>-44.902977999999997</v>
      </c>
      <c r="R1249" s="2" t="str">
        <f>HYPERLINK("https://www.google.com/maps?q=-20.1544320,-44.9029780","Abrir no Google Maps")</f>
        <v>Abrir no Google Maps</v>
      </c>
      <c r="S1249">
        <v>3</v>
      </c>
      <c r="T1249">
        <v>0</v>
      </c>
      <c r="U1249">
        <v>4</v>
      </c>
      <c r="V1249">
        <v>30</v>
      </c>
      <c r="W1249">
        <v>1</v>
      </c>
      <c r="X1249">
        <v>30</v>
      </c>
      <c r="Y1249">
        <v>548</v>
      </c>
      <c r="Z1249">
        <v>29.424211042533759</v>
      </c>
      <c r="AA1249">
        <v>198</v>
      </c>
      <c r="AB1249">
        <v>332</v>
      </c>
      <c r="AC1249">
        <v>536</v>
      </c>
      <c r="AD1249">
        <v>29.96</v>
      </c>
      <c r="AE1249">
        <v>542</v>
      </c>
      <c r="AF1249">
        <v>29</v>
      </c>
      <c r="AG1249">
        <v>174</v>
      </c>
      <c r="AH1249">
        <v>129</v>
      </c>
      <c r="AI1249">
        <v>5.35</v>
      </c>
      <c r="AJ1249">
        <v>32.1</v>
      </c>
      <c r="AK1249">
        <v>23.8</v>
      </c>
      <c r="AL1249">
        <v>-20.15467689999997</v>
      </c>
      <c r="AM1249">
        <v>-44.902895281771222</v>
      </c>
      <c r="AN1249">
        <v>-20.15467689999997</v>
      </c>
      <c r="AO1249">
        <v>-44.902895281771222</v>
      </c>
      <c r="AP1249">
        <v>-20.154432</v>
      </c>
      <c r="AQ1249">
        <v>-44.902977999999997</v>
      </c>
      <c r="AR1249">
        <v>28.5999270636025</v>
      </c>
      <c r="AS1249" t="s">
        <v>65</v>
      </c>
      <c r="AT1249">
        <v>1</v>
      </c>
      <c r="AU1249" t="s">
        <v>566</v>
      </c>
      <c r="AV1249" t="s">
        <v>567</v>
      </c>
      <c r="AW1249" t="s">
        <v>60</v>
      </c>
      <c r="AX1249" t="s">
        <v>68</v>
      </c>
      <c r="AY1249" t="s">
        <v>69</v>
      </c>
      <c r="AZ1249" t="b">
        <v>1</v>
      </c>
    </row>
    <row r="1250" spans="1:52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2128</v>
      </c>
      <c r="F1250" t="s">
        <v>1247</v>
      </c>
      <c r="G1250" t="s">
        <v>833</v>
      </c>
      <c r="H1250" t="s">
        <v>834</v>
      </c>
      <c r="I1250" t="s">
        <v>834</v>
      </c>
      <c r="J1250" t="s">
        <v>60</v>
      </c>
      <c r="K1250" t="s">
        <v>388</v>
      </c>
      <c r="L1250" t="s">
        <v>62</v>
      </c>
      <c r="M1250" t="s">
        <v>388</v>
      </c>
      <c r="N1250" t="s">
        <v>835</v>
      </c>
      <c r="O1250" t="s">
        <v>836</v>
      </c>
      <c r="P1250">
        <v>-20.157906000000001</v>
      </c>
      <c r="Q1250">
        <v>-44.900458999999998</v>
      </c>
      <c r="R1250" s="2" t="str">
        <f>HYPERLINK("https://www.google.com/maps?q=-20.1579060,-44.9004590","Abrir no Google Maps")</f>
        <v>Abrir no Google Maps</v>
      </c>
      <c r="S1250">
        <v>3</v>
      </c>
      <c r="T1250">
        <v>0</v>
      </c>
      <c r="U1250">
        <v>3</v>
      </c>
      <c r="V1250">
        <v>16</v>
      </c>
      <c r="W1250">
        <v>1</v>
      </c>
      <c r="X1250">
        <v>16</v>
      </c>
      <c r="Y1250">
        <v>729</v>
      </c>
      <c r="Z1250">
        <v>203.63168486652771</v>
      </c>
      <c r="AA1250">
        <v>198</v>
      </c>
      <c r="AB1250">
        <v>332</v>
      </c>
      <c r="AC1250">
        <v>536</v>
      </c>
      <c r="AD1250">
        <v>29.96</v>
      </c>
      <c r="AE1250">
        <v>542</v>
      </c>
      <c r="AF1250">
        <v>29</v>
      </c>
      <c r="AG1250">
        <v>174</v>
      </c>
      <c r="AH1250">
        <v>129</v>
      </c>
      <c r="AI1250">
        <v>5.35</v>
      </c>
      <c r="AJ1250">
        <v>32.1</v>
      </c>
      <c r="AK1250">
        <v>23.8</v>
      </c>
      <c r="AL1250">
        <v>-20.157925749999951</v>
      </c>
      <c r="AM1250">
        <v>-44.900484707799812</v>
      </c>
      <c r="AN1250">
        <v>-20.157925749999951</v>
      </c>
      <c r="AO1250">
        <v>-44.900484707799812</v>
      </c>
      <c r="AP1250">
        <v>-20.157906000000001</v>
      </c>
      <c r="AQ1250">
        <v>-44.900458999999998</v>
      </c>
      <c r="AR1250">
        <v>3.4714515960382508</v>
      </c>
      <c r="AS1250" t="s">
        <v>65</v>
      </c>
      <c r="AT1250">
        <v>1</v>
      </c>
      <c r="AU1250" t="s">
        <v>837</v>
      </c>
      <c r="AV1250" t="s">
        <v>838</v>
      </c>
      <c r="AW1250" t="s">
        <v>60</v>
      </c>
      <c r="AX1250" t="s">
        <v>68</v>
      </c>
      <c r="AY1250" t="s">
        <v>69</v>
      </c>
      <c r="AZ1250" t="b">
        <v>1</v>
      </c>
    </row>
    <row r="1251" spans="1:52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2128</v>
      </c>
      <c r="F1251" t="s">
        <v>1247</v>
      </c>
      <c r="G1251" t="s">
        <v>386</v>
      </c>
      <c r="H1251" t="s">
        <v>387</v>
      </c>
      <c r="I1251" t="s">
        <v>387</v>
      </c>
      <c r="J1251" t="s">
        <v>60</v>
      </c>
      <c r="K1251" t="s">
        <v>388</v>
      </c>
      <c r="L1251" t="s">
        <v>62</v>
      </c>
      <c r="M1251" t="s">
        <v>388</v>
      </c>
      <c r="N1251" t="s">
        <v>389</v>
      </c>
      <c r="O1251" t="s">
        <v>357</v>
      </c>
      <c r="P1251">
        <v>-20.161041999999998</v>
      </c>
      <c r="Q1251">
        <v>-44.901242000000003</v>
      </c>
      <c r="R1251" s="2" t="str">
        <f>HYPERLINK("https://www.google.com/maps?q=-20.1610420,-44.9012420","Abrir no Google Maps")</f>
        <v>Abrir no Google Maps</v>
      </c>
      <c r="S1251">
        <v>3</v>
      </c>
      <c r="T1251">
        <v>440.22183232279212</v>
      </c>
      <c r="U1251">
        <v>3</v>
      </c>
      <c r="V1251">
        <v>18</v>
      </c>
      <c r="W1251">
        <v>1</v>
      </c>
      <c r="X1251">
        <v>18</v>
      </c>
      <c r="Y1251">
        <v>729</v>
      </c>
      <c r="Z1251">
        <v>398.48306829302379</v>
      </c>
      <c r="AA1251">
        <v>198</v>
      </c>
      <c r="AB1251">
        <v>332</v>
      </c>
      <c r="AC1251">
        <v>536</v>
      </c>
      <c r="AD1251">
        <v>29.96</v>
      </c>
      <c r="AE1251">
        <v>542</v>
      </c>
      <c r="AF1251">
        <v>29</v>
      </c>
      <c r="AG1251">
        <v>174</v>
      </c>
      <c r="AH1251">
        <v>129</v>
      </c>
      <c r="AI1251">
        <v>5.35</v>
      </c>
      <c r="AJ1251">
        <v>32.1</v>
      </c>
      <c r="AK1251">
        <v>23.8</v>
      </c>
      <c r="AL1251">
        <v>-20.16176629999995</v>
      </c>
      <c r="AM1251">
        <v>-44.901582787827898</v>
      </c>
      <c r="AN1251">
        <v>-20.16176629999995</v>
      </c>
      <c r="AO1251">
        <v>-44.901582787827898</v>
      </c>
      <c r="AP1251">
        <v>-20.161041999999998</v>
      </c>
      <c r="AQ1251">
        <v>-44.901242000000003</v>
      </c>
      <c r="AR1251">
        <v>88.143369157892835</v>
      </c>
      <c r="AS1251" t="s">
        <v>65</v>
      </c>
      <c r="AT1251">
        <v>1</v>
      </c>
      <c r="AU1251" t="s">
        <v>390</v>
      </c>
      <c r="AV1251" t="s">
        <v>391</v>
      </c>
      <c r="AW1251" t="s">
        <v>60</v>
      </c>
      <c r="AX1251" t="s">
        <v>68</v>
      </c>
      <c r="AY1251" t="s">
        <v>69</v>
      </c>
      <c r="AZ1251" t="b">
        <v>1</v>
      </c>
    </row>
    <row r="1252" spans="1:52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2128</v>
      </c>
      <c r="F1252" t="s">
        <v>1247</v>
      </c>
      <c r="G1252" t="s">
        <v>404</v>
      </c>
      <c r="H1252" t="s">
        <v>405</v>
      </c>
      <c r="I1252" t="s">
        <v>405</v>
      </c>
      <c r="J1252" t="s">
        <v>60</v>
      </c>
      <c r="K1252" t="s">
        <v>388</v>
      </c>
      <c r="L1252" t="s">
        <v>62</v>
      </c>
      <c r="M1252" t="s">
        <v>388</v>
      </c>
      <c r="N1252" t="s">
        <v>406</v>
      </c>
      <c r="O1252" t="s">
        <v>407</v>
      </c>
      <c r="P1252">
        <v>-20.162780999999999</v>
      </c>
      <c r="Q1252">
        <v>-44.904437999999999</v>
      </c>
      <c r="R1252" s="2" t="str">
        <f>HYPERLINK("https://www.google.com/maps?q=-20.1627810,-44.9044380","Abrir no Google Maps")</f>
        <v>Abrir no Google Maps</v>
      </c>
      <c r="S1252">
        <v>3</v>
      </c>
      <c r="T1252">
        <v>681.0891377731482</v>
      </c>
      <c r="U1252">
        <v>3</v>
      </c>
      <c r="V1252">
        <v>19</v>
      </c>
      <c r="W1252">
        <v>1</v>
      </c>
      <c r="X1252">
        <v>19</v>
      </c>
      <c r="Y1252">
        <v>729</v>
      </c>
      <c r="Z1252">
        <v>564.17713687218622</v>
      </c>
      <c r="AA1252">
        <v>198</v>
      </c>
      <c r="AB1252">
        <v>332</v>
      </c>
      <c r="AC1252">
        <v>536</v>
      </c>
      <c r="AD1252">
        <v>29.96</v>
      </c>
      <c r="AE1252">
        <v>542</v>
      </c>
      <c r="AF1252">
        <v>29</v>
      </c>
      <c r="AG1252">
        <v>174</v>
      </c>
      <c r="AH1252">
        <v>129</v>
      </c>
      <c r="AI1252">
        <v>5.35</v>
      </c>
      <c r="AJ1252">
        <v>32.1</v>
      </c>
      <c r="AK1252">
        <v>23.8</v>
      </c>
      <c r="AL1252">
        <v>-20.16295434999995</v>
      </c>
      <c r="AM1252">
        <v>-44.904242686956152</v>
      </c>
      <c r="AN1252">
        <v>-20.16295434999995</v>
      </c>
      <c r="AO1252">
        <v>-44.904242686956152</v>
      </c>
      <c r="AP1252">
        <v>-20.162780999999999</v>
      </c>
      <c r="AQ1252">
        <v>-44.904437999999999</v>
      </c>
      <c r="AR1252">
        <v>28.088191280523411</v>
      </c>
      <c r="AS1252" t="s">
        <v>65</v>
      </c>
      <c r="AT1252">
        <v>1</v>
      </c>
      <c r="AU1252" t="s">
        <v>408</v>
      </c>
      <c r="AV1252" t="s">
        <v>409</v>
      </c>
      <c r="AW1252" t="s">
        <v>60</v>
      </c>
      <c r="AX1252" t="s">
        <v>68</v>
      </c>
      <c r="AY1252" t="s">
        <v>69</v>
      </c>
      <c r="AZ1252" t="b">
        <v>1</v>
      </c>
    </row>
    <row r="1253" spans="1:52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2128</v>
      </c>
      <c r="F1253" t="s">
        <v>1247</v>
      </c>
      <c r="G1253" t="s">
        <v>429</v>
      </c>
      <c r="H1253" t="s">
        <v>430</v>
      </c>
      <c r="I1253" t="s">
        <v>430</v>
      </c>
      <c r="J1253" t="s">
        <v>60</v>
      </c>
      <c r="K1253" t="s">
        <v>431</v>
      </c>
      <c r="L1253" t="s">
        <v>62</v>
      </c>
      <c r="M1253" t="s">
        <v>431</v>
      </c>
      <c r="N1253" t="s">
        <v>432</v>
      </c>
      <c r="O1253" t="s">
        <v>315</v>
      </c>
      <c r="P1253">
        <v>-20.172698</v>
      </c>
      <c r="Q1253">
        <v>-44.923842</v>
      </c>
      <c r="R1253" s="2" t="str">
        <f>HYPERLINK("https://www.google.com/maps?q=-20.1726980,-44.9238420","Abrir no Google Maps")</f>
        <v>Abrir no Google Maps</v>
      </c>
      <c r="S1253">
        <v>3</v>
      </c>
      <c r="T1253">
        <v>1376.1843173402931</v>
      </c>
      <c r="U1253">
        <v>3</v>
      </c>
      <c r="V1253">
        <v>23</v>
      </c>
      <c r="W1253">
        <v>0.85</v>
      </c>
      <c r="X1253">
        <v>19.55</v>
      </c>
      <c r="Y1253">
        <v>723</v>
      </c>
      <c r="Z1253">
        <v>1101.340635002096</v>
      </c>
      <c r="AA1253">
        <v>198</v>
      </c>
      <c r="AB1253">
        <v>332</v>
      </c>
      <c r="AC1253">
        <v>536</v>
      </c>
      <c r="AD1253">
        <v>29.96</v>
      </c>
      <c r="AE1253">
        <v>542</v>
      </c>
      <c r="AF1253">
        <v>29</v>
      </c>
      <c r="AG1253">
        <v>174</v>
      </c>
      <c r="AH1253">
        <v>129</v>
      </c>
      <c r="AI1253">
        <v>5.35</v>
      </c>
      <c r="AJ1253">
        <v>32.1</v>
      </c>
      <c r="AK1253">
        <v>23.8</v>
      </c>
      <c r="AL1253">
        <v>-20.172942799999959</v>
      </c>
      <c r="AM1253">
        <v>-44.923585372665762</v>
      </c>
      <c r="AN1253">
        <v>-20.172942799999959</v>
      </c>
      <c r="AO1253">
        <v>-44.923585372665762</v>
      </c>
      <c r="AP1253">
        <v>-20.172698</v>
      </c>
      <c r="AQ1253">
        <v>-44.923842</v>
      </c>
      <c r="AR1253">
        <v>38.231981408478958</v>
      </c>
      <c r="AS1253" t="s">
        <v>65</v>
      </c>
      <c r="AT1253">
        <v>1</v>
      </c>
      <c r="AU1253" t="s">
        <v>433</v>
      </c>
      <c r="AV1253" t="s">
        <v>434</v>
      </c>
      <c r="AW1253" t="s">
        <v>60</v>
      </c>
      <c r="AX1253" t="s">
        <v>68</v>
      </c>
      <c r="AY1253" t="s">
        <v>69</v>
      </c>
      <c r="AZ1253" t="b">
        <v>1</v>
      </c>
    </row>
    <row r="1254" spans="1:52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2128</v>
      </c>
      <c r="F1254" t="s">
        <v>1247</v>
      </c>
      <c r="G1254" t="s">
        <v>1312</v>
      </c>
      <c r="H1254" t="s">
        <v>1313</v>
      </c>
      <c r="I1254" t="s">
        <v>1313</v>
      </c>
      <c r="J1254" t="s">
        <v>60</v>
      </c>
      <c r="K1254" t="s">
        <v>1314</v>
      </c>
      <c r="L1254" t="s">
        <v>62</v>
      </c>
      <c r="M1254" t="s">
        <v>1314</v>
      </c>
      <c r="N1254" t="s">
        <v>1315</v>
      </c>
      <c r="O1254" t="s">
        <v>315</v>
      </c>
      <c r="P1254">
        <v>-20.179649999999999</v>
      </c>
      <c r="Q1254">
        <v>-44.927177</v>
      </c>
      <c r="R1254" s="2" t="str">
        <f>HYPERLINK("https://www.google.com/maps?q=-20.1796500,-44.9271770","Abrir no Google Maps")</f>
        <v>Abrir no Google Maps</v>
      </c>
      <c r="S1254">
        <v>3</v>
      </c>
      <c r="T1254">
        <v>1742.181438658615</v>
      </c>
      <c r="U1254">
        <v>3</v>
      </c>
      <c r="V1254">
        <v>22</v>
      </c>
      <c r="W1254">
        <v>0.85</v>
      </c>
      <c r="X1254">
        <v>18.7</v>
      </c>
      <c r="Y1254">
        <v>723</v>
      </c>
      <c r="Z1254">
        <v>1801.262037027635</v>
      </c>
      <c r="AA1254">
        <v>198</v>
      </c>
      <c r="AB1254">
        <v>332</v>
      </c>
      <c r="AC1254">
        <v>536</v>
      </c>
      <c r="AD1254">
        <v>29.96</v>
      </c>
      <c r="AE1254">
        <v>542</v>
      </c>
      <c r="AF1254">
        <v>29</v>
      </c>
      <c r="AG1254">
        <v>174</v>
      </c>
      <c r="AH1254">
        <v>129</v>
      </c>
      <c r="AI1254">
        <v>5.35</v>
      </c>
      <c r="AJ1254">
        <v>32.1</v>
      </c>
      <c r="AK1254">
        <v>23.8</v>
      </c>
      <c r="AL1254">
        <v>-20.18058599999998</v>
      </c>
      <c r="AM1254">
        <v>-44.926708474999977</v>
      </c>
      <c r="AN1254">
        <v>-20.18058599999998</v>
      </c>
      <c r="AO1254">
        <v>-44.926708474999977</v>
      </c>
      <c r="AP1254">
        <v>-20.179649999999999</v>
      </c>
      <c r="AQ1254">
        <v>-44.927177</v>
      </c>
      <c r="AR1254">
        <v>115.1226868075416</v>
      </c>
      <c r="AS1254" t="s">
        <v>65</v>
      </c>
      <c r="AT1254">
        <v>1</v>
      </c>
      <c r="AU1254" t="s">
        <v>1316</v>
      </c>
      <c r="AV1254" t="s">
        <v>1317</v>
      </c>
      <c r="AW1254" t="s">
        <v>60</v>
      </c>
      <c r="AX1254" t="s">
        <v>68</v>
      </c>
      <c r="AY1254" t="s">
        <v>69</v>
      </c>
      <c r="AZ1254" t="b">
        <v>1</v>
      </c>
    </row>
    <row r="1255" spans="1:52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2128</v>
      </c>
      <c r="F1255" t="s">
        <v>1247</v>
      </c>
      <c r="G1255" t="s">
        <v>435</v>
      </c>
      <c r="H1255" t="s">
        <v>436</v>
      </c>
      <c r="I1255" t="s">
        <v>436</v>
      </c>
      <c r="J1255" t="s">
        <v>60</v>
      </c>
      <c r="K1255" t="s">
        <v>437</v>
      </c>
      <c r="L1255" t="s">
        <v>62</v>
      </c>
      <c r="M1255" t="s">
        <v>437</v>
      </c>
      <c r="N1255" t="s">
        <v>438</v>
      </c>
      <c r="O1255" t="s">
        <v>439</v>
      </c>
      <c r="P1255">
        <v>-20.145613000000001</v>
      </c>
      <c r="Q1255">
        <v>-44.882375000000003</v>
      </c>
      <c r="R1255" s="2" t="str">
        <f>HYPERLINK("https://www.google.com/maps?q=-20.1456130,-44.8823750","Abrir no Google Maps")</f>
        <v>Abrir no Google Maps</v>
      </c>
      <c r="S1255">
        <v>3</v>
      </c>
      <c r="T1255">
        <v>305.65092112314198</v>
      </c>
      <c r="U1255">
        <v>3</v>
      </c>
      <c r="V1255">
        <v>18</v>
      </c>
      <c r="W1255">
        <v>1</v>
      </c>
      <c r="X1255">
        <v>18</v>
      </c>
      <c r="Y1255">
        <v>653</v>
      </c>
      <c r="Z1255">
        <v>349.55297035282501</v>
      </c>
      <c r="AA1255">
        <v>198</v>
      </c>
      <c r="AB1255">
        <v>332</v>
      </c>
      <c r="AC1255">
        <v>536</v>
      </c>
      <c r="AD1255">
        <v>29.96</v>
      </c>
      <c r="AE1255">
        <v>542</v>
      </c>
      <c r="AF1255">
        <v>29</v>
      </c>
      <c r="AG1255">
        <v>174</v>
      </c>
      <c r="AH1255">
        <v>129</v>
      </c>
      <c r="AI1255">
        <v>5.35</v>
      </c>
      <c r="AJ1255">
        <v>32.1</v>
      </c>
      <c r="AK1255">
        <v>23.8</v>
      </c>
      <c r="AL1255">
        <v>-20.14550464999996</v>
      </c>
      <c r="AM1255">
        <v>-44.882157007077737</v>
      </c>
      <c r="AN1255">
        <v>-20.14550464999996</v>
      </c>
      <c r="AO1255">
        <v>-44.882157007077737</v>
      </c>
      <c r="AP1255">
        <v>-20.145613000000001</v>
      </c>
      <c r="AQ1255">
        <v>-44.882375000000003</v>
      </c>
      <c r="AR1255">
        <v>25.77819791856259</v>
      </c>
      <c r="AS1255" t="s">
        <v>65</v>
      </c>
      <c r="AT1255">
        <v>1</v>
      </c>
      <c r="AU1255" t="s">
        <v>440</v>
      </c>
      <c r="AV1255" t="s">
        <v>441</v>
      </c>
      <c r="AW1255" t="s">
        <v>60</v>
      </c>
      <c r="AX1255" t="s">
        <v>68</v>
      </c>
      <c r="AY1255" t="s">
        <v>69</v>
      </c>
      <c r="AZ1255" t="b">
        <v>1</v>
      </c>
    </row>
    <row r="1256" spans="1:52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2128</v>
      </c>
      <c r="F1256" t="s">
        <v>1247</v>
      </c>
      <c r="G1256" t="s">
        <v>1333</v>
      </c>
      <c r="H1256" t="s">
        <v>1334</v>
      </c>
      <c r="I1256" t="s">
        <v>1334</v>
      </c>
      <c r="J1256" t="s">
        <v>60</v>
      </c>
      <c r="K1256" t="s">
        <v>437</v>
      </c>
      <c r="L1256" t="s">
        <v>62</v>
      </c>
      <c r="M1256" t="s">
        <v>437</v>
      </c>
      <c r="N1256" t="s">
        <v>1335</v>
      </c>
      <c r="O1256" t="s">
        <v>807</v>
      </c>
      <c r="P1256">
        <v>-20.148</v>
      </c>
      <c r="Q1256">
        <v>-44.880944999999997</v>
      </c>
      <c r="R1256" s="2" t="str">
        <f>HYPERLINK("https://www.google.com/maps?q=-20.1480000,-44.8809450","Abrir no Google Maps")</f>
        <v>Abrir no Google Maps</v>
      </c>
      <c r="S1256">
        <v>3</v>
      </c>
      <c r="T1256">
        <v>0</v>
      </c>
      <c r="U1256">
        <v>3</v>
      </c>
      <c r="V1256">
        <v>17</v>
      </c>
      <c r="W1256">
        <v>0.85</v>
      </c>
      <c r="X1256">
        <v>14.45</v>
      </c>
      <c r="Y1256">
        <v>653</v>
      </c>
      <c r="Z1256">
        <v>108.2792411420544</v>
      </c>
      <c r="AA1256">
        <v>198</v>
      </c>
      <c r="AB1256">
        <v>332</v>
      </c>
      <c r="AC1256">
        <v>536</v>
      </c>
      <c r="AD1256">
        <v>29.96</v>
      </c>
      <c r="AE1256">
        <v>542</v>
      </c>
      <c r="AF1256">
        <v>29</v>
      </c>
      <c r="AG1256">
        <v>174</v>
      </c>
      <c r="AH1256">
        <v>129</v>
      </c>
      <c r="AI1256">
        <v>5.35</v>
      </c>
      <c r="AJ1256">
        <v>32.1</v>
      </c>
      <c r="AK1256">
        <v>23.8</v>
      </c>
      <c r="AL1256">
        <v>-20.14802099999994</v>
      </c>
      <c r="AM1256">
        <v>-44.880951206225959</v>
      </c>
      <c r="AN1256">
        <v>-20.14802099999994</v>
      </c>
      <c r="AO1256">
        <v>-44.880951206225959</v>
      </c>
      <c r="AP1256">
        <v>-20.148</v>
      </c>
      <c r="AQ1256">
        <v>-44.880944999999997</v>
      </c>
      <c r="AR1256">
        <v>2.4260288619737169</v>
      </c>
      <c r="AS1256" t="s">
        <v>65</v>
      </c>
      <c r="AT1256">
        <v>1</v>
      </c>
      <c r="AU1256" t="s">
        <v>1336</v>
      </c>
      <c r="AV1256" t="s">
        <v>1337</v>
      </c>
      <c r="AW1256" t="s">
        <v>60</v>
      </c>
      <c r="AX1256" t="s">
        <v>68</v>
      </c>
      <c r="AY1256" t="s">
        <v>69</v>
      </c>
      <c r="AZ1256" t="b">
        <v>1</v>
      </c>
    </row>
    <row r="1257" spans="1:52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2128</v>
      </c>
      <c r="F1257" t="s">
        <v>1247</v>
      </c>
      <c r="G1257" t="s">
        <v>442</v>
      </c>
      <c r="H1257" t="s">
        <v>443</v>
      </c>
      <c r="I1257" t="s">
        <v>443</v>
      </c>
      <c r="J1257" t="s">
        <v>60</v>
      </c>
      <c r="K1257" t="s">
        <v>437</v>
      </c>
      <c r="L1257" t="s">
        <v>62</v>
      </c>
      <c r="M1257" t="s">
        <v>437</v>
      </c>
      <c r="N1257" t="s">
        <v>444</v>
      </c>
      <c r="O1257" t="s">
        <v>445</v>
      </c>
      <c r="P1257">
        <v>-20.149744999999999</v>
      </c>
      <c r="Q1257">
        <v>-44.881385000000002</v>
      </c>
      <c r="R1257" s="2" t="str">
        <f>HYPERLINK("https://www.google.com/maps?q=-20.1497450,-44.8813850","Abrir no Google Maps")</f>
        <v>Abrir no Google Maps</v>
      </c>
      <c r="S1257">
        <v>3</v>
      </c>
      <c r="T1257">
        <v>188.80690546111239</v>
      </c>
      <c r="U1257">
        <v>3</v>
      </c>
      <c r="V1257">
        <v>17</v>
      </c>
      <c r="W1257">
        <v>1</v>
      </c>
      <c r="X1257">
        <v>17</v>
      </c>
      <c r="Y1257">
        <v>653</v>
      </c>
      <c r="Z1257">
        <v>86.575080390731017</v>
      </c>
      <c r="AA1257">
        <v>198</v>
      </c>
      <c r="AB1257">
        <v>332</v>
      </c>
      <c r="AC1257">
        <v>536</v>
      </c>
      <c r="AD1257">
        <v>29.96</v>
      </c>
      <c r="AE1257">
        <v>542</v>
      </c>
      <c r="AF1257">
        <v>29</v>
      </c>
      <c r="AG1257">
        <v>174</v>
      </c>
      <c r="AH1257">
        <v>129</v>
      </c>
      <c r="AI1257">
        <v>5.35</v>
      </c>
      <c r="AJ1257">
        <v>32.1</v>
      </c>
      <c r="AK1257">
        <v>23.8</v>
      </c>
      <c r="AL1257">
        <v>-20.149645149999941</v>
      </c>
      <c r="AM1257">
        <v>-44.881504585149607</v>
      </c>
      <c r="AN1257">
        <v>-20.149645149999941</v>
      </c>
      <c r="AO1257">
        <v>-44.881504585149607</v>
      </c>
      <c r="AP1257">
        <v>-20.149744999999999</v>
      </c>
      <c r="AQ1257">
        <v>-44.881385000000002</v>
      </c>
      <c r="AR1257">
        <v>16.725323110840389</v>
      </c>
      <c r="AS1257" t="s">
        <v>65</v>
      </c>
      <c r="AT1257">
        <v>1</v>
      </c>
      <c r="AU1257" t="s">
        <v>446</v>
      </c>
      <c r="AV1257" t="s">
        <v>447</v>
      </c>
      <c r="AW1257" t="s">
        <v>60</v>
      </c>
      <c r="AX1257" t="s">
        <v>68</v>
      </c>
      <c r="AY1257" t="s">
        <v>69</v>
      </c>
      <c r="AZ1257" t="b">
        <v>1</v>
      </c>
    </row>
    <row r="1258" spans="1:52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2128</v>
      </c>
      <c r="F1258" t="s">
        <v>1247</v>
      </c>
      <c r="G1258" t="s">
        <v>454</v>
      </c>
      <c r="H1258" t="s">
        <v>455</v>
      </c>
      <c r="I1258" t="s">
        <v>455</v>
      </c>
      <c r="J1258" t="s">
        <v>60</v>
      </c>
      <c r="K1258" t="s">
        <v>456</v>
      </c>
      <c r="L1258" t="s">
        <v>62</v>
      </c>
      <c r="M1258" t="s">
        <v>456</v>
      </c>
      <c r="N1258" t="s">
        <v>102</v>
      </c>
      <c r="O1258" t="s">
        <v>457</v>
      </c>
      <c r="P1258">
        <v>-20.138373999999999</v>
      </c>
      <c r="Q1258">
        <v>-44.903756999999999</v>
      </c>
      <c r="R1258" s="2" t="str">
        <f>HYPERLINK("https://www.google.com/maps?q=-20.1383740,-44.9037570","Abrir no Google Maps")</f>
        <v>Abrir no Google Maps</v>
      </c>
      <c r="S1258">
        <v>3</v>
      </c>
      <c r="T1258">
        <v>357.59466273594461</v>
      </c>
      <c r="U1258">
        <v>3</v>
      </c>
      <c r="V1258">
        <v>17</v>
      </c>
      <c r="W1258">
        <v>1</v>
      </c>
      <c r="X1258">
        <v>17</v>
      </c>
      <c r="Y1258">
        <v>581</v>
      </c>
      <c r="Z1258">
        <v>406.92482694505992</v>
      </c>
      <c r="AA1258">
        <v>198</v>
      </c>
      <c r="AB1258">
        <v>332</v>
      </c>
      <c r="AC1258">
        <v>536</v>
      </c>
      <c r="AD1258">
        <v>29.96</v>
      </c>
      <c r="AE1258">
        <v>542</v>
      </c>
      <c r="AF1258">
        <v>29</v>
      </c>
      <c r="AG1258">
        <v>174</v>
      </c>
      <c r="AH1258">
        <v>129</v>
      </c>
      <c r="AI1258">
        <v>5.35</v>
      </c>
      <c r="AJ1258">
        <v>32.1</v>
      </c>
      <c r="AK1258">
        <v>23.8</v>
      </c>
      <c r="AL1258">
        <v>-20.138338199999961</v>
      </c>
      <c r="AM1258">
        <v>-44.903768618976301</v>
      </c>
      <c r="AN1258">
        <v>-20.138338199999961</v>
      </c>
      <c r="AO1258">
        <v>-44.903768618976301</v>
      </c>
      <c r="AP1258">
        <v>-20.138373999999999</v>
      </c>
      <c r="AQ1258">
        <v>-44.903756999999999</v>
      </c>
      <c r="AR1258">
        <v>4.1661625938922704</v>
      </c>
      <c r="AS1258" t="s">
        <v>65</v>
      </c>
      <c r="AT1258">
        <v>1</v>
      </c>
      <c r="AU1258" t="s">
        <v>458</v>
      </c>
      <c r="AV1258" t="s">
        <v>459</v>
      </c>
      <c r="AW1258" t="s">
        <v>60</v>
      </c>
      <c r="AX1258" t="s">
        <v>68</v>
      </c>
      <c r="AY1258" t="s">
        <v>69</v>
      </c>
      <c r="AZ1258" t="b">
        <v>1</v>
      </c>
    </row>
    <row r="1259" spans="1:52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2128</v>
      </c>
      <c r="F1259" t="s">
        <v>1247</v>
      </c>
      <c r="G1259" t="s">
        <v>460</v>
      </c>
      <c r="H1259" t="s">
        <v>461</v>
      </c>
      <c r="I1259" t="s">
        <v>461</v>
      </c>
      <c r="J1259" t="s">
        <v>60</v>
      </c>
      <c r="K1259" t="s">
        <v>462</v>
      </c>
      <c r="L1259" t="s">
        <v>62</v>
      </c>
      <c r="M1259" t="s">
        <v>462</v>
      </c>
      <c r="N1259" t="s">
        <v>463</v>
      </c>
      <c r="O1259" t="s">
        <v>464</v>
      </c>
      <c r="P1259">
        <v>-20.137919</v>
      </c>
      <c r="Q1259">
        <v>-44.905591000000001</v>
      </c>
      <c r="R1259" s="2" t="str">
        <f>HYPERLINK("https://www.google.com/maps?q=-20.1379190,-44.9055910","Abrir no Google Maps")</f>
        <v>Abrir no Google Maps</v>
      </c>
      <c r="S1259">
        <v>3</v>
      </c>
      <c r="T1259">
        <v>262.01115919461103</v>
      </c>
      <c r="U1259">
        <v>3</v>
      </c>
      <c r="V1259">
        <v>16</v>
      </c>
      <c r="W1259">
        <v>1</v>
      </c>
      <c r="X1259">
        <v>16</v>
      </c>
      <c r="Y1259">
        <v>581</v>
      </c>
      <c r="Z1259">
        <v>318.63337303219271</v>
      </c>
      <c r="AA1259">
        <v>198</v>
      </c>
      <c r="AB1259">
        <v>332</v>
      </c>
      <c r="AC1259">
        <v>536</v>
      </c>
      <c r="AD1259">
        <v>29.96</v>
      </c>
      <c r="AE1259">
        <v>542</v>
      </c>
      <c r="AF1259">
        <v>29</v>
      </c>
      <c r="AG1259">
        <v>174</v>
      </c>
      <c r="AH1259">
        <v>129</v>
      </c>
      <c r="AI1259">
        <v>5.35</v>
      </c>
      <c r="AJ1259">
        <v>32.1</v>
      </c>
      <c r="AK1259">
        <v>23.8</v>
      </c>
      <c r="AL1259">
        <v>-20.13789079999998</v>
      </c>
      <c r="AM1259">
        <v>-44.90548593520333</v>
      </c>
      <c r="AN1259">
        <v>-20.13789079999998</v>
      </c>
      <c r="AO1259">
        <v>-44.90548593520333</v>
      </c>
      <c r="AP1259">
        <v>-20.137919</v>
      </c>
      <c r="AQ1259">
        <v>-44.905591000000001</v>
      </c>
      <c r="AR1259">
        <v>11.42072348298178</v>
      </c>
      <c r="AS1259" t="s">
        <v>65</v>
      </c>
      <c r="AT1259">
        <v>1</v>
      </c>
      <c r="AU1259" t="s">
        <v>465</v>
      </c>
      <c r="AV1259" t="s">
        <v>466</v>
      </c>
      <c r="AW1259" t="s">
        <v>60</v>
      </c>
      <c r="AX1259" t="s">
        <v>68</v>
      </c>
      <c r="AY1259" t="s">
        <v>69</v>
      </c>
      <c r="AZ1259" t="b">
        <v>1</v>
      </c>
    </row>
    <row r="1260" spans="1:52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2128</v>
      </c>
      <c r="F1260" t="s">
        <v>1247</v>
      </c>
      <c r="G1260" t="s">
        <v>851</v>
      </c>
      <c r="H1260" t="s">
        <v>852</v>
      </c>
      <c r="I1260" t="s">
        <v>852</v>
      </c>
      <c r="J1260" t="s">
        <v>60</v>
      </c>
      <c r="K1260" t="s">
        <v>853</v>
      </c>
      <c r="L1260" t="s">
        <v>62</v>
      </c>
      <c r="M1260" t="s">
        <v>853</v>
      </c>
      <c r="N1260" t="s">
        <v>854</v>
      </c>
      <c r="O1260" t="s">
        <v>855</v>
      </c>
      <c r="P1260">
        <v>-20.127835000000001</v>
      </c>
      <c r="Q1260">
        <v>-44.909329</v>
      </c>
      <c r="R1260" s="2" t="str">
        <f>HYPERLINK("https://www.google.com/maps?q=-20.1278350,-44.9093290","Abrir no Google Maps")</f>
        <v>Abrir no Google Maps</v>
      </c>
      <c r="S1260">
        <v>3</v>
      </c>
      <c r="T1260">
        <v>1173.033690896357</v>
      </c>
      <c r="U1260">
        <v>3</v>
      </c>
      <c r="V1260">
        <v>18</v>
      </c>
      <c r="W1260">
        <v>1</v>
      </c>
      <c r="X1260">
        <v>18</v>
      </c>
      <c r="Y1260">
        <v>581</v>
      </c>
      <c r="Z1260">
        <v>1296.5011565926129</v>
      </c>
      <c r="AA1260">
        <v>198</v>
      </c>
      <c r="AB1260">
        <v>332</v>
      </c>
      <c r="AC1260">
        <v>536</v>
      </c>
      <c r="AD1260">
        <v>29.96</v>
      </c>
      <c r="AE1260">
        <v>542</v>
      </c>
      <c r="AF1260">
        <v>29</v>
      </c>
      <c r="AG1260">
        <v>174</v>
      </c>
      <c r="AH1260">
        <v>129</v>
      </c>
      <c r="AI1260">
        <v>5.35</v>
      </c>
      <c r="AJ1260">
        <v>32.1</v>
      </c>
      <c r="AK1260">
        <v>23.8</v>
      </c>
      <c r="AL1260">
        <v>-20.127852899999969</v>
      </c>
      <c r="AM1260">
        <v>-44.909386667699948</v>
      </c>
      <c r="AN1260">
        <v>-20.127852899999969</v>
      </c>
      <c r="AO1260">
        <v>-44.909386667699948</v>
      </c>
      <c r="AP1260">
        <v>-20.127835000000001</v>
      </c>
      <c r="AQ1260">
        <v>-44.909329</v>
      </c>
      <c r="AR1260">
        <v>6.3483385067119924</v>
      </c>
      <c r="AS1260" t="s">
        <v>65</v>
      </c>
      <c r="AT1260">
        <v>1</v>
      </c>
      <c r="AU1260" t="s">
        <v>856</v>
      </c>
      <c r="AV1260" t="s">
        <v>857</v>
      </c>
      <c r="AW1260" t="s">
        <v>60</v>
      </c>
      <c r="AX1260" t="s">
        <v>68</v>
      </c>
      <c r="AY1260" t="s">
        <v>69</v>
      </c>
      <c r="AZ1260" t="b">
        <v>1</v>
      </c>
    </row>
    <row r="1261" spans="1:52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2128</v>
      </c>
      <c r="F1261" t="s">
        <v>1247</v>
      </c>
      <c r="G1261" t="s">
        <v>858</v>
      </c>
      <c r="H1261" t="s">
        <v>1360</v>
      </c>
      <c r="I1261" t="s">
        <v>1360</v>
      </c>
      <c r="J1261" t="s">
        <v>60</v>
      </c>
      <c r="K1261" t="s">
        <v>1356</v>
      </c>
      <c r="L1261" t="s">
        <v>62</v>
      </c>
      <c r="M1261" t="s">
        <v>1356</v>
      </c>
      <c r="N1261" t="s">
        <v>860</v>
      </c>
      <c r="O1261" t="s">
        <v>1361</v>
      </c>
      <c r="P1261">
        <v>-20.134969000000002</v>
      </c>
      <c r="Q1261">
        <v>-44.909384000000003</v>
      </c>
      <c r="R1261" s="2" t="str">
        <f>HYPERLINK("https://www.google.com/maps?q=-20.1349690,-44.9093840","Abrir no Google Maps")</f>
        <v>Abrir no Google Maps</v>
      </c>
      <c r="S1261">
        <v>3</v>
      </c>
      <c r="T1261">
        <v>413.6655911675532</v>
      </c>
      <c r="U1261">
        <v>3</v>
      </c>
      <c r="V1261">
        <v>17</v>
      </c>
      <c r="W1261">
        <v>0.85</v>
      </c>
      <c r="X1261">
        <v>14.45</v>
      </c>
      <c r="Y1261">
        <v>581</v>
      </c>
      <c r="Z1261">
        <v>555.30228470489919</v>
      </c>
      <c r="AA1261">
        <v>198</v>
      </c>
      <c r="AB1261">
        <v>332</v>
      </c>
      <c r="AC1261">
        <v>536</v>
      </c>
      <c r="AD1261">
        <v>29.96</v>
      </c>
      <c r="AE1261">
        <v>542</v>
      </c>
      <c r="AF1261">
        <v>29</v>
      </c>
      <c r="AG1261">
        <v>174</v>
      </c>
      <c r="AH1261">
        <v>129</v>
      </c>
      <c r="AI1261">
        <v>5.35</v>
      </c>
      <c r="AJ1261">
        <v>32.1</v>
      </c>
      <c r="AK1261">
        <v>23.8</v>
      </c>
      <c r="AL1261">
        <v>-20.134922099999951</v>
      </c>
      <c r="AM1261">
        <v>-44.909483975879112</v>
      </c>
      <c r="AN1261">
        <v>-20.134922099999951</v>
      </c>
      <c r="AO1261">
        <v>-44.909483975879112</v>
      </c>
      <c r="AP1261">
        <v>-20.134969000000002</v>
      </c>
      <c r="AQ1261">
        <v>-44.909384000000003</v>
      </c>
      <c r="AR1261">
        <v>11.68085867639515</v>
      </c>
      <c r="AS1261" t="s">
        <v>65</v>
      </c>
      <c r="AT1261">
        <v>1</v>
      </c>
      <c r="AU1261" t="s">
        <v>1362</v>
      </c>
      <c r="AV1261" t="s">
        <v>1363</v>
      </c>
      <c r="AW1261" t="s">
        <v>60</v>
      </c>
      <c r="AX1261" t="s">
        <v>68</v>
      </c>
      <c r="AY1261" t="s">
        <v>69</v>
      </c>
      <c r="AZ1261" t="b">
        <v>1</v>
      </c>
    </row>
    <row r="1262" spans="1:52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2128</v>
      </c>
      <c r="F1262" t="s">
        <v>1247</v>
      </c>
      <c r="G1262" t="s">
        <v>479</v>
      </c>
      <c r="H1262" t="s">
        <v>480</v>
      </c>
      <c r="I1262" t="s">
        <v>480</v>
      </c>
      <c r="J1262" t="s">
        <v>60</v>
      </c>
      <c r="K1262" t="s">
        <v>388</v>
      </c>
      <c r="L1262" t="s">
        <v>62</v>
      </c>
      <c r="M1262" t="s">
        <v>388</v>
      </c>
      <c r="N1262" t="s">
        <v>481</v>
      </c>
      <c r="O1262" t="s">
        <v>315</v>
      </c>
      <c r="P1262">
        <v>-20.166903999999999</v>
      </c>
      <c r="Q1262">
        <v>-44.903492</v>
      </c>
      <c r="R1262" s="2" t="str">
        <f>HYPERLINK("https://www.google.com/maps?q=-20.1669040,-44.9034920","Abrir no Google Maps")</f>
        <v>Abrir no Google Maps</v>
      </c>
      <c r="S1262">
        <v>3</v>
      </c>
      <c r="T1262">
        <v>517.12253532511602</v>
      </c>
      <c r="U1262">
        <v>3</v>
      </c>
      <c r="V1262">
        <v>17</v>
      </c>
      <c r="W1262">
        <v>1</v>
      </c>
      <c r="X1262">
        <v>17</v>
      </c>
      <c r="Y1262">
        <v>578</v>
      </c>
      <c r="Z1262">
        <v>721.79551240050432</v>
      </c>
      <c r="AA1262">
        <v>198</v>
      </c>
      <c r="AB1262">
        <v>332</v>
      </c>
      <c r="AC1262">
        <v>536</v>
      </c>
      <c r="AD1262">
        <v>29.96</v>
      </c>
      <c r="AE1262">
        <v>542</v>
      </c>
      <c r="AF1262">
        <v>29</v>
      </c>
      <c r="AG1262">
        <v>174</v>
      </c>
      <c r="AH1262">
        <v>129</v>
      </c>
      <c r="AI1262">
        <v>5.35</v>
      </c>
      <c r="AJ1262">
        <v>32.1</v>
      </c>
      <c r="AK1262">
        <v>23.8</v>
      </c>
      <c r="AL1262">
        <v>-20.166610649999971</v>
      </c>
      <c r="AM1262">
        <v>-44.903452988928308</v>
      </c>
      <c r="AN1262">
        <v>-20.166610649999971</v>
      </c>
      <c r="AO1262">
        <v>-44.903452988928308</v>
      </c>
      <c r="AP1262">
        <v>-20.166903999999999</v>
      </c>
      <c r="AQ1262">
        <v>-44.903492</v>
      </c>
      <c r="AR1262">
        <v>32.909175876856217</v>
      </c>
      <c r="AS1262" t="s">
        <v>65</v>
      </c>
      <c r="AT1262">
        <v>1</v>
      </c>
      <c r="AU1262" t="s">
        <v>482</v>
      </c>
      <c r="AV1262" t="s">
        <v>483</v>
      </c>
      <c r="AW1262" t="s">
        <v>60</v>
      </c>
      <c r="AX1262" t="s">
        <v>68</v>
      </c>
      <c r="AY1262" t="s">
        <v>69</v>
      </c>
      <c r="AZ1262" t="b">
        <v>1</v>
      </c>
    </row>
    <row r="1263" spans="1:52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2128</v>
      </c>
      <c r="F1263" t="s">
        <v>1247</v>
      </c>
      <c r="G1263" t="s">
        <v>484</v>
      </c>
      <c r="H1263" t="s">
        <v>485</v>
      </c>
      <c r="I1263" t="s">
        <v>485</v>
      </c>
      <c r="J1263" t="s">
        <v>60</v>
      </c>
      <c r="K1263" t="s">
        <v>486</v>
      </c>
      <c r="L1263" t="s">
        <v>62</v>
      </c>
      <c r="M1263" t="s">
        <v>486</v>
      </c>
      <c r="N1263" t="s">
        <v>487</v>
      </c>
      <c r="O1263" t="s">
        <v>488</v>
      </c>
      <c r="P1263">
        <v>-20.173000999999999</v>
      </c>
      <c r="Q1263">
        <v>-44.901876999999999</v>
      </c>
      <c r="R1263" s="2" t="str">
        <f>HYPERLINK("https://www.google.com/maps?q=-20.1730010,-44.9018770","Abrir no Google Maps")</f>
        <v>Abrir no Google Maps</v>
      </c>
      <c r="S1263">
        <v>3</v>
      </c>
      <c r="T1263">
        <v>437.59695450783011</v>
      </c>
      <c r="U1263">
        <v>3</v>
      </c>
      <c r="V1263">
        <v>19</v>
      </c>
      <c r="W1263">
        <v>1</v>
      </c>
      <c r="X1263">
        <v>19</v>
      </c>
      <c r="Y1263">
        <v>578</v>
      </c>
      <c r="Z1263">
        <v>440.53629183653243</v>
      </c>
      <c r="AA1263">
        <v>198</v>
      </c>
      <c r="AB1263">
        <v>332</v>
      </c>
      <c r="AC1263">
        <v>536</v>
      </c>
      <c r="AD1263">
        <v>29.96</v>
      </c>
      <c r="AE1263">
        <v>542</v>
      </c>
      <c r="AF1263">
        <v>29</v>
      </c>
      <c r="AG1263">
        <v>174</v>
      </c>
      <c r="AH1263">
        <v>129</v>
      </c>
      <c r="AI1263">
        <v>5.35</v>
      </c>
      <c r="AJ1263">
        <v>32.1</v>
      </c>
      <c r="AK1263">
        <v>23.8</v>
      </c>
      <c r="AL1263">
        <v>-20.173065299999969</v>
      </c>
      <c r="AM1263">
        <v>-44.902052686008687</v>
      </c>
      <c r="AN1263">
        <v>-20.173065299999969</v>
      </c>
      <c r="AO1263">
        <v>-44.902052686008687</v>
      </c>
      <c r="AP1263">
        <v>-20.173000999999999</v>
      </c>
      <c r="AQ1263">
        <v>-44.901876999999999</v>
      </c>
      <c r="AR1263">
        <v>19.703745070768829</v>
      </c>
      <c r="AS1263" t="s">
        <v>65</v>
      </c>
      <c r="AT1263">
        <v>1</v>
      </c>
      <c r="AU1263" t="s">
        <v>489</v>
      </c>
      <c r="AV1263" t="s">
        <v>490</v>
      </c>
      <c r="AW1263" t="s">
        <v>60</v>
      </c>
      <c r="AX1263" t="s">
        <v>68</v>
      </c>
      <c r="AY1263" t="s">
        <v>69</v>
      </c>
      <c r="AZ1263" t="b">
        <v>1</v>
      </c>
    </row>
    <row r="1264" spans="1:52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2128</v>
      </c>
      <c r="F1264" t="s">
        <v>1247</v>
      </c>
      <c r="G1264" t="s">
        <v>497</v>
      </c>
      <c r="H1264" t="s">
        <v>875</v>
      </c>
      <c r="I1264" t="s">
        <v>875</v>
      </c>
      <c r="J1264" t="s">
        <v>60</v>
      </c>
      <c r="K1264" t="s">
        <v>475</v>
      </c>
      <c r="L1264" t="s">
        <v>62</v>
      </c>
      <c r="M1264" t="s">
        <v>475</v>
      </c>
      <c r="N1264" t="s">
        <v>499</v>
      </c>
      <c r="O1264" t="s">
        <v>876</v>
      </c>
      <c r="P1264">
        <v>-20.177212999999998</v>
      </c>
      <c r="Q1264">
        <v>-44.904026999999999</v>
      </c>
      <c r="R1264" s="2" t="str">
        <f>HYPERLINK("https://www.google.com/maps?q=-20.1772130,-44.9040270","Abrir no Google Maps")</f>
        <v>Abrir no Google Maps</v>
      </c>
      <c r="S1264">
        <v>3</v>
      </c>
      <c r="T1264">
        <v>706.4159561113795</v>
      </c>
      <c r="U1264">
        <v>3</v>
      </c>
      <c r="V1264">
        <v>16</v>
      </c>
      <c r="W1264">
        <v>1</v>
      </c>
      <c r="X1264">
        <v>16</v>
      </c>
      <c r="Y1264">
        <v>578</v>
      </c>
      <c r="Z1264">
        <v>588.7160518608398</v>
      </c>
      <c r="AA1264">
        <v>198</v>
      </c>
      <c r="AB1264">
        <v>332</v>
      </c>
      <c r="AC1264">
        <v>536</v>
      </c>
      <c r="AD1264">
        <v>29.96</v>
      </c>
      <c r="AE1264">
        <v>542</v>
      </c>
      <c r="AF1264">
        <v>29</v>
      </c>
      <c r="AG1264">
        <v>174</v>
      </c>
      <c r="AH1264">
        <v>129</v>
      </c>
      <c r="AI1264">
        <v>5.35</v>
      </c>
      <c r="AJ1264">
        <v>32.1</v>
      </c>
      <c r="AK1264">
        <v>23.8</v>
      </c>
      <c r="AL1264">
        <v>-20.177090199999949</v>
      </c>
      <c r="AM1264">
        <v>-44.904078820930181</v>
      </c>
      <c r="AN1264">
        <v>-20.177090199999949</v>
      </c>
      <c r="AO1264">
        <v>-44.904078820930181</v>
      </c>
      <c r="AP1264">
        <v>-20.177212999999998</v>
      </c>
      <c r="AQ1264">
        <v>-44.904026999999999</v>
      </c>
      <c r="AR1264">
        <v>14.7034129632295</v>
      </c>
      <c r="AS1264" t="s">
        <v>65</v>
      </c>
      <c r="AT1264">
        <v>1</v>
      </c>
      <c r="AU1264" t="s">
        <v>877</v>
      </c>
      <c r="AV1264" t="s">
        <v>878</v>
      </c>
      <c r="AW1264" t="s">
        <v>60</v>
      </c>
      <c r="AX1264" t="s">
        <v>68</v>
      </c>
      <c r="AY1264" t="s">
        <v>69</v>
      </c>
      <c r="AZ1264" t="b">
        <v>1</v>
      </c>
    </row>
    <row r="1265" spans="1:52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2128</v>
      </c>
      <c r="F1265" t="s">
        <v>1247</v>
      </c>
      <c r="G1265" t="s">
        <v>503</v>
      </c>
      <c r="H1265" t="s">
        <v>504</v>
      </c>
      <c r="I1265" t="s">
        <v>504</v>
      </c>
      <c r="J1265" t="s">
        <v>60</v>
      </c>
      <c r="K1265" t="s">
        <v>505</v>
      </c>
      <c r="L1265" t="s">
        <v>62</v>
      </c>
      <c r="M1265" t="s">
        <v>505</v>
      </c>
      <c r="N1265" t="s">
        <v>506</v>
      </c>
      <c r="O1265" t="s">
        <v>507</v>
      </c>
      <c r="P1265">
        <v>-20.131428</v>
      </c>
      <c r="Q1265">
        <v>-44.888921000000003</v>
      </c>
      <c r="R1265" s="2" t="str">
        <f>HYPERLINK("https://www.google.com/maps?q=-20.1314280,-44.8889210","Abrir no Google Maps")</f>
        <v>Abrir no Google Maps</v>
      </c>
      <c r="S1265">
        <v>3</v>
      </c>
      <c r="T1265">
        <v>250.64150698244501</v>
      </c>
      <c r="U1265">
        <v>3</v>
      </c>
      <c r="V1265">
        <v>18</v>
      </c>
      <c r="W1265">
        <v>1</v>
      </c>
      <c r="X1265">
        <v>18</v>
      </c>
      <c r="Y1265">
        <v>564</v>
      </c>
      <c r="Z1265">
        <v>189.93933888952441</v>
      </c>
      <c r="AA1265">
        <v>198</v>
      </c>
      <c r="AB1265">
        <v>332</v>
      </c>
      <c r="AC1265">
        <v>536</v>
      </c>
      <c r="AD1265">
        <v>29.96</v>
      </c>
      <c r="AE1265">
        <v>542</v>
      </c>
      <c r="AF1265">
        <v>29</v>
      </c>
      <c r="AG1265">
        <v>174</v>
      </c>
      <c r="AH1265">
        <v>129</v>
      </c>
      <c r="AI1265">
        <v>5.35</v>
      </c>
      <c r="AJ1265">
        <v>32.1</v>
      </c>
      <c r="AK1265">
        <v>23.8</v>
      </c>
      <c r="AL1265">
        <v>-20.13123589999995</v>
      </c>
      <c r="AM1265">
        <v>-44.888742396501762</v>
      </c>
      <c r="AN1265">
        <v>-20.13123589999995</v>
      </c>
      <c r="AO1265">
        <v>-44.888742396501762</v>
      </c>
      <c r="AP1265">
        <v>-20.131428</v>
      </c>
      <c r="AQ1265">
        <v>-44.888921000000003</v>
      </c>
      <c r="AR1265">
        <v>28.386169462917032</v>
      </c>
      <c r="AS1265" t="s">
        <v>65</v>
      </c>
      <c r="AT1265">
        <v>1</v>
      </c>
      <c r="AU1265" t="s">
        <v>508</v>
      </c>
      <c r="AV1265" t="s">
        <v>509</v>
      </c>
      <c r="AW1265" t="s">
        <v>60</v>
      </c>
      <c r="AX1265" t="s">
        <v>68</v>
      </c>
      <c r="AY1265" t="s">
        <v>69</v>
      </c>
      <c r="AZ1265" t="b">
        <v>1</v>
      </c>
    </row>
    <row r="1266" spans="1:52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2128</v>
      </c>
      <c r="F1266" t="s">
        <v>1247</v>
      </c>
      <c r="G1266" t="s">
        <v>510</v>
      </c>
      <c r="H1266" t="s">
        <v>511</v>
      </c>
      <c r="I1266" t="s">
        <v>511</v>
      </c>
      <c r="J1266" t="s">
        <v>60</v>
      </c>
      <c r="K1266" t="s">
        <v>512</v>
      </c>
      <c r="L1266" t="s">
        <v>62</v>
      </c>
      <c r="M1266" t="s">
        <v>512</v>
      </c>
      <c r="N1266" t="s">
        <v>406</v>
      </c>
      <c r="O1266" t="s">
        <v>513</v>
      </c>
      <c r="P1266">
        <v>-20.127853000000002</v>
      </c>
      <c r="Q1266">
        <v>-44.891415000000002</v>
      </c>
      <c r="R1266" s="2" t="str">
        <f>HYPERLINK("https://www.google.com/maps?q=-20.1278530,-44.8914150","Abrir no Google Maps")</f>
        <v>Abrir no Google Maps</v>
      </c>
      <c r="S1266">
        <v>3</v>
      </c>
      <c r="T1266">
        <v>340.86994528233612</v>
      </c>
      <c r="U1266">
        <v>3</v>
      </c>
      <c r="V1266">
        <v>20</v>
      </c>
      <c r="W1266">
        <v>1</v>
      </c>
      <c r="X1266">
        <v>20</v>
      </c>
      <c r="Y1266">
        <v>564</v>
      </c>
      <c r="Z1266">
        <v>294.18108015916812</v>
      </c>
      <c r="AA1266">
        <v>198</v>
      </c>
      <c r="AB1266">
        <v>332</v>
      </c>
      <c r="AC1266">
        <v>536</v>
      </c>
      <c r="AD1266">
        <v>29.96</v>
      </c>
      <c r="AE1266">
        <v>542</v>
      </c>
      <c r="AF1266">
        <v>29</v>
      </c>
      <c r="AG1266">
        <v>174</v>
      </c>
      <c r="AH1266">
        <v>129</v>
      </c>
      <c r="AI1266">
        <v>5.35</v>
      </c>
      <c r="AJ1266">
        <v>32.1</v>
      </c>
      <c r="AK1266">
        <v>23.8</v>
      </c>
      <c r="AL1266">
        <v>-20.12777399999996</v>
      </c>
      <c r="AM1266">
        <v>-44.891400975758501</v>
      </c>
      <c r="AN1266">
        <v>-20.12777399999996</v>
      </c>
      <c r="AO1266">
        <v>-44.891400975758501</v>
      </c>
      <c r="AP1266">
        <v>-20.127853000000002</v>
      </c>
      <c r="AQ1266">
        <v>-44.891415000000002</v>
      </c>
      <c r="AR1266">
        <v>8.9156059162975616</v>
      </c>
      <c r="AS1266" t="s">
        <v>65</v>
      </c>
      <c r="AT1266">
        <v>1</v>
      </c>
      <c r="AU1266" t="s">
        <v>514</v>
      </c>
      <c r="AV1266" t="s">
        <v>515</v>
      </c>
      <c r="AW1266" t="s">
        <v>60</v>
      </c>
      <c r="AX1266" t="s">
        <v>68</v>
      </c>
      <c r="AY1266" t="s">
        <v>69</v>
      </c>
      <c r="AZ1266" t="b">
        <v>1</v>
      </c>
    </row>
    <row r="1267" spans="1:52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2128</v>
      </c>
      <c r="F1267" t="s">
        <v>1247</v>
      </c>
      <c r="G1267" t="s">
        <v>516</v>
      </c>
      <c r="H1267" t="s">
        <v>517</v>
      </c>
      <c r="I1267" t="s">
        <v>517</v>
      </c>
      <c r="J1267" t="s">
        <v>60</v>
      </c>
      <c r="K1267" t="s">
        <v>518</v>
      </c>
      <c r="L1267" t="s">
        <v>62</v>
      </c>
      <c r="M1267" t="s">
        <v>518</v>
      </c>
      <c r="N1267" t="s">
        <v>519</v>
      </c>
      <c r="O1267" t="s">
        <v>520</v>
      </c>
      <c r="P1267">
        <v>-20.124502</v>
      </c>
      <c r="Q1267">
        <v>-44.888424000000001</v>
      </c>
      <c r="R1267" s="2" t="str">
        <f>HYPERLINK("https://www.google.com/maps?q=-20.1245020,-44.8884240","Abrir no Google Maps")</f>
        <v>Abrir no Google Maps</v>
      </c>
      <c r="S1267">
        <v>3</v>
      </c>
      <c r="T1267">
        <v>483.42298121929559</v>
      </c>
      <c r="U1267">
        <v>3</v>
      </c>
      <c r="V1267">
        <v>19</v>
      </c>
      <c r="W1267">
        <v>1</v>
      </c>
      <c r="X1267">
        <v>19</v>
      </c>
      <c r="Y1267">
        <v>564</v>
      </c>
      <c r="Z1267">
        <v>565.43074237076587</v>
      </c>
      <c r="AA1267">
        <v>198</v>
      </c>
      <c r="AB1267">
        <v>332</v>
      </c>
      <c r="AC1267">
        <v>536</v>
      </c>
      <c r="AD1267">
        <v>29.96</v>
      </c>
      <c r="AE1267">
        <v>542</v>
      </c>
      <c r="AF1267">
        <v>29</v>
      </c>
      <c r="AG1267">
        <v>174</v>
      </c>
      <c r="AH1267">
        <v>129</v>
      </c>
      <c r="AI1267">
        <v>5.35</v>
      </c>
      <c r="AJ1267">
        <v>32.1</v>
      </c>
      <c r="AK1267">
        <v>23.8</v>
      </c>
      <c r="AL1267">
        <v>-20.124624949999941</v>
      </c>
      <c r="AM1267">
        <v>-44.888432821777258</v>
      </c>
      <c r="AN1267">
        <v>-20.124624949999941</v>
      </c>
      <c r="AO1267">
        <v>-44.888432821777258</v>
      </c>
      <c r="AP1267">
        <v>-20.124502</v>
      </c>
      <c r="AQ1267">
        <v>-44.888424000000001</v>
      </c>
      <c r="AR1267">
        <v>13.717819333897451</v>
      </c>
      <c r="AS1267" t="s">
        <v>65</v>
      </c>
      <c r="AT1267">
        <v>1</v>
      </c>
      <c r="AU1267" t="s">
        <v>521</v>
      </c>
      <c r="AV1267" t="s">
        <v>522</v>
      </c>
      <c r="AW1267" t="s">
        <v>60</v>
      </c>
      <c r="AX1267" t="s">
        <v>68</v>
      </c>
      <c r="AY1267" t="s">
        <v>69</v>
      </c>
      <c r="AZ1267" t="b">
        <v>1</v>
      </c>
    </row>
    <row r="1268" spans="1:52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2128</v>
      </c>
      <c r="F1268" t="s">
        <v>1247</v>
      </c>
      <c r="G1268" t="s">
        <v>879</v>
      </c>
      <c r="H1268" t="s">
        <v>880</v>
      </c>
      <c r="I1268" t="s">
        <v>880</v>
      </c>
      <c r="J1268" t="s">
        <v>60</v>
      </c>
      <c r="K1268" t="s">
        <v>505</v>
      </c>
      <c r="L1268" t="s">
        <v>62</v>
      </c>
      <c r="M1268" t="s">
        <v>505</v>
      </c>
      <c r="N1268" t="s">
        <v>881</v>
      </c>
      <c r="O1268" t="s">
        <v>882</v>
      </c>
      <c r="P1268">
        <v>-20.133452999999999</v>
      </c>
      <c r="Q1268">
        <v>-44.890571999999999</v>
      </c>
      <c r="R1268" s="2" t="str">
        <f>HYPERLINK("https://www.google.com/maps?q=-20.1334530,-44.8905720","Abrir no Google Maps")</f>
        <v>Abrir no Google Maps</v>
      </c>
      <c r="S1268">
        <v>3</v>
      </c>
      <c r="T1268">
        <v>373.51332104809921</v>
      </c>
      <c r="U1268">
        <v>3</v>
      </c>
      <c r="V1268">
        <v>15</v>
      </c>
      <c r="W1268">
        <v>1</v>
      </c>
      <c r="X1268">
        <v>15</v>
      </c>
      <c r="Y1268">
        <v>564</v>
      </c>
      <c r="Z1268">
        <v>422.34693311930448</v>
      </c>
      <c r="AA1268">
        <v>198</v>
      </c>
      <c r="AB1268">
        <v>332</v>
      </c>
      <c r="AC1268">
        <v>536</v>
      </c>
      <c r="AD1268">
        <v>29.96</v>
      </c>
      <c r="AE1268">
        <v>542</v>
      </c>
      <c r="AF1268">
        <v>29</v>
      </c>
      <c r="AG1268">
        <v>174</v>
      </c>
      <c r="AH1268">
        <v>129</v>
      </c>
      <c r="AI1268">
        <v>5.35</v>
      </c>
      <c r="AJ1268">
        <v>32.1</v>
      </c>
      <c r="AK1268">
        <v>23.8</v>
      </c>
      <c r="AL1268">
        <v>-20.133421549999952</v>
      </c>
      <c r="AM1268">
        <v>-44.890623456009052</v>
      </c>
      <c r="AN1268">
        <v>-20.133421549999952</v>
      </c>
      <c r="AO1268">
        <v>-44.890623456009052</v>
      </c>
      <c r="AP1268">
        <v>-20.133452999999999</v>
      </c>
      <c r="AQ1268">
        <v>-44.890571999999999</v>
      </c>
      <c r="AR1268">
        <v>6.4172139275452773</v>
      </c>
      <c r="AS1268" t="s">
        <v>65</v>
      </c>
      <c r="AT1268">
        <v>1</v>
      </c>
      <c r="AU1268" t="s">
        <v>883</v>
      </c>
      <c r="AV1268" t="s">
        <v>884</v>
      </c>
      <c r="AW1268" t="s">
        <v>60</v>
      </c>
      <c r="AX1268" t="s">
        <v>68</v>
      </c>
      <c r="AY1268" t="s">
        <v>69</v>
      </c>
      <c r="AZ1268" t="b">
        <v>1</v>
      </c>
    </row>
    <row r="1269" spans="1:52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2128</v>
      </c>
      <c r="F1269" t="s">
        <v>1247</v>
      </c>
      <c r="G1269" t="s">
        <v>528</v>
      </c>
      <c r="H1269" t="s">
        <v>529</v>
      </c>
      <c r="I1269" t="s">
        <v>529</v>
      </c>
      <c r="J1269" t="s">
        <v>60</v>
      </c>
      <c r="K1269" t="s">
        <v>530</v>
      </c>
      <c r="L1269" t="s">
        <v>62</v>
      </c>
      <c r="M1269" t="s">
        <v>530</v>
      </c>
      <c r="N1269" t="s">
        <v>531</v>
      </c>
      <c r="O1269" t="s">
        <v>532</v>
      </c>
      <c r="P1269">
        <v>-20.142457</v>
      </c>
      <c r="Q1269">
        <v>-44.891688000000002</v>
      </c>
      <c r="R1269" s="2" t="str">
        <f>HYPERLINK("https://www.google.com/maps?q=-20.1424570,-44.8916880","Abrir no Google Maps")</f>
        <v>Abrir no Google Maps</v>
      </c>
      <c r="S1269">
        <v>3</v>
      </c>
      <c r="T1269">
        <v>0</v>
      </c>
      <c r="U1269">
        <v>3</v>
      </c>
      <c r="V1269">
        <v>20</v>
      </c>
      <c r="W1269">
        <v>1</v>
      </c>
      <c r="X1269">
        <v>20</v>
      </c>
      <c r="Y1269">
        <v>557</v>
      </c>
      <c r="Z1269">
        <v>42.611952255679803</v>
      </c>
      <c r="AA1269">
        <v>198</v>
      </c>
      <c r="AB1269">
        <v>332</v>
      </c>
      <c r="AC1269">
        <v>536</v>
      </c>
      <c r="AD1269">
        <v>29.96</v>
      </c>
      <c r="AE1269">
        <v>542</v>
      </c>
      <c r="AF1269">
        <v>29</v>
      </c>
      <c r="AG1269">
        <v>174</v>
      </c>
      <c r="AH1269">
        <v>129</v>
      </c>
      <c r="AI1269">
        <v>5.35</v>
      </c>
      <c r="AJ1269">
        <v>32.1</v>
      </c>
      <c r="AK1269">
        <v>23.8</v>
      </c>
      <c r="AL1269">
        <v>-20.142523099999948</v>
      </c>
      <c r="AM1269">
        <v>-44.891523817588819</v>
      </c>
      <c r="AN1269">
        <v>-20.142523099999948</v>
      </c>
      <c r="AO1269">
        <v>-44.891523817588819</v>
      </c>
      <c r="AP1269">
        <v>-20.142457</v>
      </c>
      <c r="AQ1269">
        <v>-44.891688000000002</v>
      </c>
      <c r="AR1269">
        <v>18.670129248632971</v>
      </c>
      <c r="AS1269" t="s">
        <v>65</v>
      </c>
      <c r="AT1269">
        <v>1</v>
      </c>
      <c r="AU1269" t="s">
        <v>533</v>
      </c>
      <c r="AV1269" t="s">
        <v>534</v>
      </c>
      <c r="AW1269" t="s">
        <v>60</v>
      </c>
      <c r="AX1269" t="s">
        <v>68</v>
      </c>
      <c r="AY1269" t="s">
        <v>69</v>
      </c>
      <c r="AZ1269" t="b">
        <v>1</v>
      </c>
    </row>
    <row r="1270" spans="1:52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2128</v>
      </c>
      <c r="F1270" t="s">
        <v>1247</v>
      </c>
      <c r="G1270" t="s">
        <v>535</v>
      </c>
      <c r="H1270" t="s">
        <v>536</v>
      </c>
      <c r="I1270" t="s">
        <v>536</v>
      </c>
      <c r="J1270" t="s">
        <v>60</v>
      </c>
      <c r="K1270" t="s">
        <v>388</v>
      </c>
      <c r="L1270" t="s">
        <v>62</v>
      </c>
      <c r="M1270" t="s">
        <v>388</v>
      </c>
      <c r="N1270" t="s">
        <v>537</v>
      </c>
      <c r="O1270" t="s">
        <v>538</v>
      </c>
      <c r="P1270">
        <v>-20.150061999999998</v>
      </c>
      <c r="Q1270">
        <v>-44.903379000000001</v>
      </c>
      <c r="R1270" s="2" t="str">
        <f>HYPERLINK("https://www.google.com/maps?q=-20.1500620,-44.9033790","Abrir no Google Maps")</f>
        <v>Abrir no Google Maps</v>
      </c>
      <c r="S1270">
        <v>3</v>
      </c>
      <c r="T1270">
        <v>286.20313674219977</v>
      </c>
      <c r="U1270">
        <v>3</v>
      </c>
      <c r="V1270">
        <v>15</v>
      </c>
      <c r="W1270">
        <v>1</v>
      </c>
      <c r="X1270">
        <v>15</v>
      </c>
      <c r="Y1270">
        <v>556</v>
      </c>
      <c r="Z1270">
        <v>315.81851898667401</v>
      </c>
      <c r="AA1270">
        <v>198</v>
      </c>
      <c r="AB1270">
        <v>332</v>
      </c>
      <c r="AC1270">
        <v>536</v>
      </c>
      <c r="AD1270">
        <v>29.96</v>
      </c>
      <c r="AE1270">
        <v>542</v>
      </c>
      <c r="AF1270">
        <v>29</v>
      </c>
      <c r="AG1270">
        <v>174</v>
      </c>
      <c r="AH1270">
        <v>129</v>
      </c>
      <c r="AI1270">
        <v>5.35</v>
      </c>
      <c r="AJ1270">
        <v>32.1</v>
      </c>
      <c r="AK1270">
        <v>23.8</v>
      </c>
      <c r="AL1270">
        <v>-20.150084299999971</v>
      </c>
      <c r="AM1270">
        <v>-44.903278407568479</v>
      </c>
      <c r="AN1270">
        <v>-20.150084299999971</v>
      </c>
      <c r="AO1270">
        <v>-44.903278407568479</v>
      </c>
      <c r="AP1270">
        <v>-20.150061999999998</v>
      </c>
      <c r="AQ1270">
        <v>-44.903379000000001</v>
      </c>
      <c r="AR1270">
        <v>10.801687336134639</v>
      </c>
      <c r="AS1270" t="s">
        <v>65</v>
      </c>
      <c r="AT1270">
        <v>1</v>
      </c>
      <c r="AU1270" t="s">
        <v>539</v>
      </c>
      <c r="AV1270" t="s">
        <v>540</v>
      </c>
      <c r="AW1270" t="s">
        <v>60</v>
      </c>
      <c r="AX1270" t="s">
        <v>68</v>
      </c>
      <c r="AY1270" t="s">
        <v>69</v>
      </c>
      <c r="AZ1270" t="b">
        <v>1</v>
      </c>
    </row>
    <row r="1271" spans="1:52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2128</v>
      </c>
      <c r="F1271" t="s">
        <v>1247</v>
      </c>
      <c r="G1271" t="s">
        <v>545</v>
      </c>
      <c r="H1271" t="s">
        <v>546</v>
      </c>
      <c r="I1271" t="s">
        <v>546</v>
      </c>
      <c r="J1271" t="s">
        <v>60</v>
      </c>
      <c r="K1271" t="s">
        <v>388</v>
      </c>
      <c r="L1271" t="s">
        <v>62</v>
      </c>
      <c r="M1271" t="s">
        <v>388</v>
      </c>
      <c r="N1271" t="s">
        <v>547</v>
      </c>
      <c r="O1271" t="s">
        <v>548</v>
      </c>
      <c r="P1271">
        <v>-20.155839</v>
      </c>
      <c r="Q1271">
        <v>-44.905655000000003</v>
      </c>
      <c r="R1271" s="2" t="str">
        <f>HYPERLINK("https://www.google.com/maps?q=-20.1558390,-44.9056550","Abrir no Google Maps")</f>
        <v>Abrir no Google Maps</v>
      </c>
      <c r="S1271">
        <v>3</v>
      </c>
      <c r="T1271">
        <v>309.7643089121122</v>
      </c>
      <c r="U1271">
        <v>3</v>
      </c>
      <c r="V1271">
        <v>20</v>
      </c>
      <c r="W1271">
        <v>1</v>
      </c>
      <c r="X1271">
        <v>20</v>
      </c>
      <c r="Y1271">
        <v>548</v>
      </c>
      <c r="Z1271">
        <v>284.24281731793161</v>
      </c>
      <c r="AA1271">
        <v>198</v>
      </c>
      <c r="AB1271">
        <v>332</v>
      </c>
      <c r="AC1271">
        <v>536</v>
      </c>
      <c r="AD1271">
        <v>29.96</v>
      </c>
      <c r="AE1271">
        <v>542</v>
      </c>
      <c r="AF1271">
        <v>29</v>
      </c>
      <c r="AG1271">
        <v>174</v>
      </c>
      <c r="AH1271">
        <v>129</v>
      </c>
      <c r="AI1271">
        <v>5.35</v>
      </c>
      <c r="AJ1271">
        <v>32.1</v>
      </c>
      <c r="AK1271">
        <v>23.8</v>
      </c>
      <c r="AL1271">
        <v>-20.155913549999951</v>
      </c>
      <c r="AM1271">
        <v>-44.905554508392683</v>
      </c>
      <c r="AN1271">
        <v>-20.155913549999951</v>
      </c>
      <c r="AO1271">
        <v>-44.905554508392669</v>
      </c>
      <c r="AP1271">
        <v>-20.155839</v>
      </c>
      <c r="AQ1271">
        <v>-44.905655000000003</v>
      </c>
      <c r="AR1271">
        <v>13.384922093797449</v>
      </c>
      <c r="AS1271" t="s">
        <v>65</v>
      </c>
      <c r="AT1271">
        <v>1</v>
      </c>
      <c r="AU1271" t="s">
        <v>549</v>
      </c>
      <c r="AV1271" t="s">
        <v>550</v>
      </c>
      <c r="AW1271" t="s">
        <v>60</v>
      </c>
      <c r="AX1271" t="s">
        <v>68</v>
      </c>
      <c r="AY1271" t="s">
        <v>69</v>
      </c>
      <c r="AZ1271" t="b">
        <v>1</v>
      </c>
    </row>
    <row r="1272" spans="1:52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2128</v>
      </c>
      <c r="F1272" t="s">
        <v>1247</v>
      </c>
      <c r="G1272" t="s">
        <v>568</v>
      </c>
      <c r="H1272" t="s">
        <v>569</v>
      </c>
      <c r="I1272" t="s">
        <v>569</v>
      </c>
      <c r="J1272" t="s">
        <v>60</v>
      </c>
      <c r="K1272" t="s">
        <v>61</v>
      </c>
      <c r="L1272" t="s">
        <v>62</v>
      </c>
      <c r="M1272" t="s">
        <v>61</v>
      </c>
      <c r="N1272" t="s">
        <v>570</v>
      </c>
      <c r="O1272" t="s">
        <v>548</v>
      </c>
      <c r="P1272">
        <v>-20.151508</v>
      </c>
      <c r="Q1272">
        <v>-44.907826</v>
      </c>
      <c r="R1272" s="2" t="str">
        <f>HYPERLINK("https://www.google.com/maps?q=-20.1515080,-44.9078260","Abrir no Google Maps")</f>
        <v>Abrir no Google Maps</v>
      </c>
      <c r="S1272">
        <v>3</v>
      </c>
      <c r="T1272">
        <v>567.15905416240514</v>
      </c>
      <c r="U1272">
        <v>3</v>
      </c>
      <c r="V1272">
        <v>20</v>
      </c>
      <c r="W1272">
        <v>0.85</v>
      </c>
      <c r="X1272">
        <v>17</v>
      </c>
      <c r="Y1272">
        <v>548</v>
      </c>
      <c r="Z1272">
        <v>560.49158010771464</v>
      </c>
      <c r="AA1272">
        <v>198</v>
      </c>
      <c r="AB1272">
        <v>332</v>
      </c>
      <c r="AC1272">
        <v>536</v>
      </c>
      <c r="AD1272">
        <v>29.96</v>
      </c>
      <c r="AE1272">
        <v>542</v>
      </c>
      <c r="AF1272">
        <v>29</v>
      </c>
      <c r="AG1272">
        <v>174</v>
      </c>
      <c r="AH1272">
        <v>129</v>
      </c>
      <c r="AI1272">
        <v>5.35</v>
      </c>
      <c r="AJ1272">
        <v>32.1</v>
      </c>
      <c r="AK1272">
        <v>23.8</v>
      </c>
      <c r="AL1272">
        <v>-20.15211779999996</v>
      </c>
      <c r="AM1272">
        <v>-44.907597469593128</v>
      </c>
      <c r="AN1272">
        <v>-20.15211779999996</v>
      </c>
      <c r="AO1272">
        <v>-44.907597469593128</v>
      </c>
      <c r="AP1272">
        <v>-20.151508</v>
      </c>
      <c r="AQ1272">
        <v>-44.907826</v>
      </c>
      <c r="AR1272">
        <v>71.961597929314735</v>
      </c>
      <c r="AS1272" t="s">
        <v>65</v>
      </c>
      <c r="AT1272">
        <v>1</v>
      </c>
      <c r="AU1272" t="s">
        <v>571</v>
      </c>
      <c r="AV1272" t="s">
        <v>572</v>
      </c>
      <c r="AW1272" t="s">
        <v>60</v>
      </c>
      <c r="AX1272" t="s">
        <v>68</v>
      </c>
      <c r="AY1272" t="s">
        <v>69</v>
      </c>
      <c r="AZ1272" t="b">
        <v>1</v>
      </c>
    </row>
    <row r="1273" spans="1:52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2128</v>
      </c>
      <c r="F1273" t="s">
        <v>1247</v>
      </c>
      <c r="G1273" t="s">
        <v>839</v>
      </c>
      <c r="H1273" t="s">
        <v>840</v>
      </c>
      <c r="I1273" t="s">
        <v>840</v>
      </c>
      <c r="J1273" t="s">
        <v>60</v>
      </c>
      <c r="K1273" t="s">
        <v>388</v>
      </c>
      <c r="L1273" t="s">
        <v>62</v>
      </c>
      <c r="M1273" t="s">
        <v>388</v>
      </c>
      <c r="N1273" t="s">
        <v>841</v>
      </c>
      <c r="O1273" t="s">
        <v>842</v>
      </c>
      <c r="P1273">
        <v>-20.159977999999999</v>
      </c>
      <c r="Q1273">
        <v>-44.900207000000002</v>
      </c>
      <c r="R1273" s="2" t="str">
        <f>HYPERLINK("https://www.google.com/maps?q=-20.1599780,-44.9002070","Abrir no Google Maps")</f>
        <v>Abrir no Google Maps</v>
      </c>
      <c r="S1273">
        <v>3</v>
      </c>
      <c r="T1273">
        <v>213.24333517300789</v>
      </c>
      <c r="U1273">
        <v>2</v>
      </c>
      <c r="V1273">
        <v>12</v>
      </c>
      <c r="W1273">
        <v>1</v>
      </c>
      <c r="X1273">
        <v>12</v>
      </c>
      <c r="Y1273">
        <v>729</v>
      </c>
      <c r="Z1273">
        <v>315.47173727880028</v>
      </c>
      <c r="AA1273">
        <v>198</v>
      </c>
      <c r="AB1273">
        <v>332</v>
      </c>
      <c r="AC1273">
        <v>536</v>
      </c>
      <c r="AD1273">
        <v>29.96</v>
      </c>
      <c r="AE1273">
        <v>542</v>
      </c>
      <c r="AF1273">
        <v>29</v>
      </c>
      <c r="AG1273">
        <v>174</v>
      </c>
      <c r="AH1273">
        <v>129</v>
      </c>
      <c r="AI1273">
        <v>5.35</v>
      </c>
      <c r="AJ1273">
        <v>32.1</v>
      </c>
      <c r="AK1273">
        <v>23.8</v>
      </c>
      <c r="AL1273">
        <v>-20.159825649999959</v>
      </c>
      <c r="AM1273">
        <v>-44.900143828909613</v>
      </c>
      <c r="AN1273">
        <v>-20.159825649999959</v>
      </c>
      <c r="AO1273">
        <v>-44.900143828909613</v>
      </c>
      <c r="AP1273">
        <v>-20.159977999999999</v>
      </c>
      <c r="AQ1273">
        <v>-44.900207000000002</v>
      </c>
      <c r="AR1273">
        <v>18.199073573580371</v>
      </c>
      <c r="AS1273" t="s">
        <v>65</v>
      </c>
      <c r="AT1273">
        <v>1</v>
      </c>
      <c r="AU1273" t="s">
        <v>843</v>
      </c>
      <c r="AV1273" t="s">
        <v>844</v>
      </c>
      <c r="AW1273" t="s">
        <v>60</v>
      </c>
      <c r="AX1273" t="s">
        <v>68</v>
      </c>
      <c r="AY1273" t="s">
        <v>69</v>
      </c>
      <c r="AZ1273" t="b">
        <v>1</v>
      </c>
    </row>
    <row r="1274" spans="1:52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2128</v>
      </c>
      <c r="F1274" t="s">
        <v>1247</v>
      </c>
      <c r="G1274" t="s">
        <v>839</v>
      </c>
      <c r="H1274" t="s">
        <v>1274</v>
      </c>
      <c r="I1274" t="s">
        <v>1274</v>
      </c>
      <c r="J1274" t="s">
        <v>60</v>
      </c>
      <c r="K1274" t="s">
        <v>388</v>
      </c>
      <c r="L1274" t="s">
        <v>62</v>
      </c>
      <c r="M1274" t="s">
        <v>388</v>
      </c>
      <c r="N1274" t="s">
        <v>841</v>
      </c>
      <c r="O1274" t="s">
        <v>1275</v>
      </c>
      <c r="P1274">
        <v>-20.157979999999998</v>
      </c>
      <c r="Q1274">
        <v>-44.906365999999998</v>
      </c>
      <c r="R1274" s="2" t="str">
        <f>HYPERLINK("https://www.google.com/maps?q=-20.1579800,-44.9063660","Abrir no Google Maps")</f>
        <v>Abrir no Google Maps</v>
      </c>
      <c r="S1274">
        <v>3</v>
      </c>
      <c r="T1274">
        <v>519.48953004348823</v>
      </c>
      <c r="U1274">
        <v>2</v>
      </c>
      <c r="V1274">
        <v>14</v>
      </c>
      <c r="W1274">
        <v>0.85</v>
      </c>
      <c r="X1274">
        <v>11.9</v>
      </c>
      <c r="Y1274">
        <v>729</v>
      </c>
      <c r="Z1274">
        <v>393.22938248316768</v>
      </c>
      <c r="AA1274">
        <v>198</v>
      </c>
      <c r="AB1274">
        <v>332</v>
      </c>
      <c r="AC1274">
        <v>536</v>
      </c>
      <c r="AD1274">
        <v>29.96</v>
      </c>
      <c r="AE1274">
        <v>542</v>
      </c>
      <c r="AF1274">
        <v>29</v>
      </c>
      <c r="AG1274">
        <v>174</v>
      </c>
      <c r="AH1274">
        <v>129</v>
      </c>
      <c r="AI1274">
        <v>5.35</v>
      </c>
      <c r="AJ1274">
        <v>32.1</v>
      </c>
      <c r="AK1274">
        <v>23.8</v>
      </c>
      <c r="AL1274">
        <v>-20.157977799999941</v>
      </c>
      <c r="AM1274">
        <v>-44.906429896327573</v>
      </c>
      <c r="AN1274">
        <v>-20.157977799999941</v>
      </c>
      <c r="AO1274">
        <v>-44.906429896327573</v>
      </c>
      <c r="AP1274">
        <v>-20.157979999999998</v>
      </c>
      <c r="AQ1274">
        <v>-44.906365999999998</v>
      </c>
      <c r="AR1274">
        <v>6.6817330699236734</v>
      </c>
      <c r="AS1274" t="s">
        <v>65</v>
      </c>
      <c r="AT1274">
        <v>1</v>
      </c>
      <c r="AU1274" t="s">
        <v>1276</v>
      </c>
      <c r="AV1274" t="s">
        <v>1277</v>
      </c>
      <c r="AW1274" t="s">
        <v>60</v>
      </c>
      <c r="AX1274" t="s">
        <v>68</v>
      </c>
      <c r="AY1274" t="s">
        <v>69</v>
      </c>
      <c r="AZ1274" t="b">
        <v>1</v>
      </c>
    </row>
    <row r="1275" spans="1:52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2128</v>
      </c>
      <c r="F1275" t="s">
        <v>1247</v>
      </c>
      <c r="G1275" t="s">
        <v>1278</v>
      </c>
      <c r="H1275" t="s">
        <v>1279</v>
      </c>
      <c r="I1275" t="s">
        <v>1279</v>
      </c>
      <c r="J1275" t="s">
        <v>60</v>
      </c>
      <c r="K1275" t="s">
        <v>388</v>
      </c>
      <c r="L1275" t="s">
        <v>62</v>
      </c>
      <c r="M1275" t="s">
        <v>388</v>
      </c>
      <c r="N1275" t="s">
        <v>1280</v>
      </c>
      <c r="O1275" t="s">
        <v>216</v>
      </c>
      <c r="P1275">
        <v>-20.15681</v>
      </c>
      <c r="Q1275">
        <v>-44.899290999999998</v>
      </c>
      <c r="R1275" s="2" t="str">
        <f>HYPERLINK("https://www.google.com/maps?q=-20.1568100,-44.8992910","Abrir no Google Maps")</f>
        <v>Abrir no Google Maps</v>
      </c>
      <c r="S1275">
        <v>3</v>
      </c>
      <c r="T1275">
        <v>180.10162979749811</v>
      </c>
      <c r="U1275">
        <v>2</v>
      </c>
      <c r="V1275">
        <v>12</v>
      </c>
      <c r="W1275">
        <v>0.85</v>
      </c>
      <c r="X1275">
        <v>10.199999999999999</v>
      </c>
      <c r="Y1275">
        <v>729</v>
      </c>
      <c r="Z1275">
        <v>368.06065118133841</v>
      </c>
      <c r="AA1275">
        <v>198</v>
      </c>
      <c r="AB1275">
        <v>332</v>
      </c>
      <c r="AC1275">
        <v>536</v>
      </c>
      <c r="AD1275">
        <v>29.96</v>
      </c>
      <c r="AE1275">
        <v>542</v>
      </c>
      <c r="AF1275">
        <v>29</v>
      </c>
      <c r="AG1275">
        <v>174</v>
      </c>
      <c r="AH1275">
        <v>129</v>
      </c>
      <c r="AI1275">
        <v>5.35</v>
      </c>
      <c r="AJ1275">
        <v>32.1</v>
      </c>
      <c r="AK1275">
        <v>23.8</v>
      </c>
      <c r="AL1275">
        <v>-20.156785649999961</v>
      </c>
      <c r="AM1275">
        <v>-44.899254812291332</v>
      </c>
      <c r="AN1275">
        <v>-20.156785649999961</v>
      </c>
      <c r="AO1275">
        <v>-44.899254812291332</v>
      </c>
      <c r="AP1275">
        <v>-20.15681</v>
      </c>
      <c r="AQ1275">
        <v>-44.899290999999998</v>
      </c>
      <c r="AR1275">
        <v>4.6528211992813118</v>
      </c>
      <c r="AS1275" t="s">
        <v>65</v>
      </c>
      <c r="AT1275">
        <v>1</v>
      </c>
      <c r="AU1275" t="s">
        <v>1281</v>
      </c>
      <c r="AV1275" t="s">
        <v>1282</v>
      </c>
      <c r="AW1275" t="s">
        <v>60</v>
      </c>
      <c r="AX1275" t="s">
        <v>68</v>
      </c>
      <c r="AY1275" t="s">
        <v>69</v>
      </c>
      <c r="AZ1275" t="b">
        <v>1</v>
      </c>
    </row>
    <row r="1276" spans="1:52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2128</v>
      </c>
      <c r="F1276" t="s">
        <v>1247</v>
      </c>
      <c r="G1276" t="s">
        <v>1283</v>
      </c>
      <c r="H1276" t="s">
        <v>1284</v>
      </c>
      <c r="I1276" t="s">
        <v>1284</v>
      </c>
      <c r="J1276" t="s">
        <v>60</v>
      </c>
      <c r="K1276" t="s">
        <v>388</v>
      </c>
      <c r="L1276" t="s">
        <v>62</v>
      </c>
      <c r="M1276" t="s">
        <v>388</v>
      </c>
      <c r="N1276" t="s">
        <v>400</v>
      </c>
      <c r="O1276" t="s">
        <v>1285</v>
      </c>
      <c r="P1276">
        <v>-20.156977999999999</v>
      </c>
      <c r="Q1276">
        <v>-44.90325</v>
      </c>
      <c r="R1276" s="2" t="str">
        <f>HYPERLINK("https://www.google.com/maps?q=-20.1569780,-44.9032500","Abrir no Google Maps")</f>
        <v>Abrir no Google Maps</v>
      </c>
      <c r="S1276">
        <v>3</v>
      </c>
      <c r="T1276">
        <v>256.05633739092571</v>
      </c>
      <c r="U1276">
        <v>2</v>
      </c>
      <c r="V1276">
        <v>14</v>
      </c>
      <c r="W1276">
        <v>0.85</v>
      </c>
      <c r="X1276">
        <v>11.9</v>
      </c>
      <c r="Y1276">
        <v>729</v>
      </c>
      <c r="Z1276">
        <v>162.99447055889971</v>
      </c>
      <c r="AA1276">
        <v>198</v>
      </c>
      <c r="AB1276">
        <v>332</v>
      </c>
      <c r="AC1276">
        <v>536</v>
      </c>
      <c r="AD1276">
        <v>29.96</v>
      </c>
      <c r="AE1276">
        <v>542</v>
      </c>
      <c r="AF1276">
        <v>29</v>
      </c>
      <c r="AG1276">
        <v>174</v>
      </c>
      <c r="AH1276">
        <v>129</v>
      </c>
      <c r="AI1276">
        <v>5.35</v>
      </c>
      <c r="AJ1276">
        <v>32.1</v>
      </c>
      <c r="AK1276">
        <v>23.8</v>
      </c>
      <c r="AL1276">
        <v>-20.15696524999996</v>
      </c>
      <c r="AM1276">
        <v>-44.903258102626708</v>
      </c>
      <c r="AN1276">
        <v>-20.15696524999996</v>
      </c>
      <c r="AO1276">
        <v>-44.903258102626708</v>
      </c>
      <c r="AP1276">
        <v>-20.156977999999999</v>
      </c>
      <c r="AQ1276">
        <v>-44.90325</v>
      </c>
      <c r="AR1276">
        <v>1.6527147033629741</v>
      </c>
      <c r="AS1276" t="s">
        <v>65</v>
      </c>
      <c r="AT1276">
        <v>1</v>
      </c>
      <c r="AU1276" t="s">
        <v>1286</v>
      </c>
      <c r="AV1276" t="s">
        <v>1287</v>
      </c>
      <c r="AW1276" t="s">
        <v>60</v>
      </c>
      <c r="AX1276" t="s">
        <v>68</v>
      </c>
      <c r="AY1276" t="s">
        <v>69</v>
      </c>
      <c r="AZ1276" t="b">
        <v>1</v>
      </c>
    </row>
    <row r="1277" spans="1:52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2128</v>
      </c>
      <c r="F1277" t="s">
        <v>1247</v>
      </c>
      <c r="G1277" t="s">
        <v>1288</v>
      </c>
      <c r="H1277" t="s">
        <v>1289</v>
      </c>
      <c r="I1277" t="s">
        <v>1289</v>
      </c>
      <c r="J1277" t="s">
        <v>60</v>
      </c>
      <c r="K1277" t="s">
        <v>1290</v>
      </c>
      <c r="L1277" t="s">
        <v>62</v>
      </c>
      <c r="M1277" t="s">
        <v>1290</v>
      </c>
      <c r="N1277" t="s">
        <v>1291</v>
      </c>
      <c r="O1277" t="s">
        <v>315</v>
      </c>
      <c r="P1277">
        <v>-20.171008</v>
      </c>
      <c r="Q1277">
        <v>-44.918908999999999</v>
      </c>
      <c r="R1277" s="2" t="str">
        <f>HYPERLINK("https://www.google.com/maps?q=-20.1710080,-44.9189090","Abrir no Google Maps")</f>
        <v>Abrir no Google Maps</v>
      </c>
      <c r="S1277">
        <v>3</v>
      </c>
      <c r="T1277">
        <v>972.86786700299888</v>
      </c>
      <c r="U1277">
        <v>2</v>
      </c>
      <c r="V1277">
        <v>10</v>
      </c>
      <c r="W1277">
        <v>0.85</v>
      </c>
      <c r="X1277">
        <v>8.5</v>
      </c>
      <c r="Y1277">
        <v>723</v>
      </c>
      <c r="Z1277">
        <v>690.55600110253613</v>
      </c>
      <c r="AA1277">
        <v>198</v>
      </c>
      <c r="AB1277">
        <v>332</v>
      </c>
      <c r="AC1277">
        <v>536</v>
      </c>
      <c r="AD1277">
        <v>29.96</v>
      </c>
      <c r="AE1277">
        <v>542</v>
      </c>
      <c r="AF1277">
        <v>29</v>
      </c>
      <c r="AG1277">
        <v>174</v>
      </c>
      <c r="AH1277">
        <v>129</v>
      </c>
      <c r="AI1277">
        <v>5.35</v>
      </c>
      <c r="AJ1277">
        <v>32.1</v>
      </c>
      <c r="AK1277">
        <v>23.8</v>
      </c>
      <c r="AL1277">
        <v>-20.171738249999979</v>
      </c>
      <c r="AM1277">
        <v>-44.919736490382917</v>
      </c>
      <c r="AN1277">
        <v>-20.171738249999979</v>
      </c>
      <c r="AO1277">
        <v>-44.919736490382931</v>
      </c>
      <c r="AP1277">
        <v>-20.171008</v>
      </c>
      <c r="AQ1277">
        <v>-44.918908999999999</v>
      </c>
      <c r="AR1277">
        <v>118.678920061485</v>
      </c>
      <c r="AS1277" t="s">
        <v>65</v>
      </c>
      <c r="AT1277">
        <v>1</v>
      </c>
      <c r="AU1277" t="s">
        <v>1292</v>
      </c>
      <c r="AV1277" t="s">
        <v>1293</v>
      </c>
      <c r="AW1277" t="s">
        <v>60</v>
      </c>
      <c r="AX1277" t="s">
        <v>68</v>
      </c>
      <c r="AY1277" t="s">
        <v>69</v>
      </c>
      <c r="AZ1277" t="b">
        <v>1</v>
      </c>
    </row>
    <row r="1278" spans="1:52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2128</v>
      </c>
      <c r="F1278" t="s">
        <v>1247</v>
      </c>
      <c r="G1278" t="s">
        <v>1294</v>
      </c>
      <c r="H1278" t="s">
        <v>1295</v>
      </c>
      <c r="I1278" t="s">
        <v>1295</v>
      </c>
      <c r="J1278" t="s">
        <v>60</v>
      </c>
      <c r="K1278" t="s">
        <v>418</v>
      </c>
      <c r="L1278" t="s">
        <v>62</v>
      </c>
      <c r="M1278" t="s">
        <v>418</v>
      </c>
      <c r="N1278" t="s">
        <v>1296</v>
      </c>
      <c r="O1278" t="s">
        <v>1297</v>
      </c>
      <c r="P1278">
        <v>-20.169899999999998</v>
      </c>
      <c r="Q1278">
        <v>-44.916176999999998</v>
      </c>
      <c r="R1278" s="2" t="str">
        <f>HYPERLINK("https://www.google.com/maps?q=-20.1699000,-44.9161770","Abrir no Google Maps")</f>
        <v>Abrir no Google Maps</v>
      </c>
      <c r="S1278">
        <v>3</v>
      </c>
      <c r="T1278">
        <v>658.15251036568407</v>
      </c>
      <c r="U1278">
        <v>2</v>
      </c>
      <c r="V1278">
        <v>16</v>
      </c>
      <c r="W1278">
        <v>0.85</v>
      </c>
      <c r="X1278">
        <v>13.6</v>
      </c>
      <c r="Y1278">
        <v>723</v>
      </c>
      <c r="Z1278">
        <v>400.39092274559039</v>
      </c>
      <c r="AA1278">
        <v>198</v>
      </c>
      <c r="AB1278">
        <v>332</v>
      </c>
      <c r="AC1278">
        <v>536</v>
      </c>
      <c r="AD1278">
        <v>29.96</v>
      </c>
      <c r="AE1278">
        <v>542</v>
      </c>
      <c r="AF1278">
        <v>29</v>
      </c>
      <c r="AG1278">
        <v>174</v>
      </c>
      <c r="AH1278">
        <v>129</v>
      </c>
      <c r="AI1278">
        <v>5.35</v>
      </c>
      <c r="AJ1278">
        <v>32.1</v>
      </c>
      <c r="AK1278">
        <v>23.8</v>
      </c>
      <c r="AL1278">
        <v>-20.169898399999941</v>
      </c>
      <c r="AM1278">
        <v>-44.916247682868359</v>
      </c>
      <c r="AN1278">
        <v>-20.169898399999941</v>
      </c>
      <c r="AO1278">
        <v>-44.916247682868359</v>
      </c>
      <c r="AP1278">
        <v>-20.169899999999998</v>
      </c>
      <c r="AQ1278">
        <v>-44.916176999999998</v>
      </c>
      <c r="AR1278">
        <v>7.388028048308902</v>
      </c>
      <c r="AS1278" t="s">
        <v>65</v>
      </c>
      <c r="AT1278">
        <v>1</v>
      </c>
      <c r="AU1278" t="s">
        <v>1298</v>
      </c>
      <c r="AV1278" t="s">
        <v>1299</v>
      </c>
      <c r="AW1278" t="s">
        <v>60</v>
      </c>
      <c r="AX1278" t="s">
        <v>68</v>
      </c>
      <c r="AY1278" t="s">
        <v>69</v>
      </c>
      <c r="AZ1278" t="b">
        <v>1</v>
      </c>
    </row>
    <row r="1279" spans="1:52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2128</v>
      </c>
      <c r="F1279" t="s">
        <v>1247</v>
      </c>
      <c r="G1279" t="s">
        <v>1300</v>
      </c>
      <c r="H1279" t="s">
        <v>1301</v>
      </c>
      <c r="I1279" t="s">
        <v>1301</v>
      </c>
      <c r="J1279" t="s">
        <v>60</v>
      </c>
      <c r="K1279" t="s">
        <v>1302</v>
      </c>
      <c r="L1279" t="s">
        <v>62</v>
      </c>
      <c r="M1279" t="s">
        <v>1302</v>
      </c>
      <c r="N1279" t="s">
        <v>1303</v>
      </c>
      <c r="O1279" t="s">
        <v>1304</v>
      </c>
      <c r="P1279">
        <v>-20.166618</v>
      </c>
      <c r="Q1279">
        <v>-44.912920999999997</v>
      </c>
      <c r="R1279" s="2" t="str">
        <f>HYPERLINK("https://www.google.com/maps?q=-20.1666180,-44.9129210","Abrir no Google Maps")</f>
        <v>Abrir no Google Maps</v>
      </c>
      <c r="S1279">
        <v>3</v>
      </c>
      <c r="T1279">
        <v>636.32880156364706</v>
      </c>
      <c r="U1279">
        <v>2</v>
      </c>
      <c r="V1279">
        <v>16</v>
      </c>
      <c r="W1279">
        <v>0.85</v>
      </c>
      <c r="X1279">
        <v>13.6</v>
      </c>
      <c r="Y1279">
        <v>723</v>
      </c>
      <c r="Z1279">
        <v>407.62145176971592</v>
      </c>
      <c r="AA1279">
        <v>198</v>
      </c>
      <c r="AB1279">
        <v>332</v>
      </c>
      <c r="AC1279">
        <v>536</v>
      </c>
      <c r="AD1279">
        <v>29.96</v>
      </c>
      <c r="AE1279">
        <v>542</v>
      </c>
      <c r="AF1279">
        <v>29</v>
      </c>
      <c r="AG1279">
        <v>174</v>
      </c>
      <c r="AH1279">
        <v>129</v>
      </c>
      <c r="AI1279">
        <v>5.35</v>
      </c>
      <c r="AJ1279">
        <v>32.1</v>
      </c>
      <c r="AK1279">
        <v>23.8</v>
      </c>
      <c r="AL1279">
        <v>-20.166924799999951</v>
      </c>
      <c r="AM1279">
        <v>-44.912868681724092</v>
      </c>
      <c r="AN1279">
        <v>-20.166924799999951</v>
      </c>
      <c r="AO1279">
        <v>-44.912868681724092</v>
      </c>
      <c r="AP1279">
        <v>-20.166618</v>
      </c>
      <c r="AQ1279">
        <v>-44.912920999999997</v>
      </c>
      <c r="AR1279">
        <v>34.587771860198139</v>
      </c>
      <c r="AS1279" t="s">
        <v>65</v>
      </c>
      <c r="AT1279">
        <v>1</v>
      </c>
      <c r="AU1279" t="s">
        <v>1305</v>
      </c>
      <c r="AV1279" t="s">
        <v>1306</v>
      </c>
      <c r="AW1279" t="s">
        <v>60</v>
      </c>
      <c r="AX1279" t="s">
        <v>68</v>
      </c>
      <c r="AY1279" t="s">
        <v>69</v>
      </c>
      <c r="AZ1279" t="b">
        <v>1</v>
      </c>
    </row>
    <row r="1280" spans="1:52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2128</v>
      </c>
      <c r="F1280" t="s">
        <v>1247</v>
      </c>
      <c r="G1280" t="s">
        <v>1307</v>
      </c>
      <c r="H1280" t="s">
        <v>1308</v>
      </c>
      <c r="I1280" t="s">
        <v>1308</v>
      </c>
      <c r="J1280" t="s">
        <v>60</v>
      </c>
      <c r="K1280" t="s">
        <v>1302</v>
      </c>
      <c r="L1280" t="s">
        <v>62</v>
      </c>
      <c r="M1280" t="s">
        <v>1302</v>
      </c>
      <c r="N1280" t="s">
        <v>558</v>
      </c>
      <c r="O1280" t="s">
        <v>1309</v>
      </c>
      <c r="P1280">
        <v>-20.169051</v>
      </c>
      <c r="Q1280">
        <v>-44.910093000000003</v>
      </c>
      <c r="R1280" s="2" t="str">
        <f>HYPERLINK("https://www.google.com/maps?q=-20.1690510,-44.9100930","Abrir no Google Maps")</f>
        <v>Abrir no Google Maps</v>
      </c>
      <c r="S1280">
        <v>3</v>
      </c>
      <c r="T1280">
        <v>375.90504489887479</v>
      </c>
      <c r="U1280">
        <v>2</v>
      </c>
      <c r="V1280">
        <v>13</v>
      </c>
      <c r="W1280">
        <v>0.85</v>
      </c>
      <c r="X1280">
        <v>11.05</v>
      </c>
      <c r="Y1280">
        <v>723</v>
      </c>
      <c r="Z1280">
        <v>456.19893675176831</v>
      </c>
      <c r="AA1280">
        <v>198</v>
      </c>
      <c r="AB1280">
        <v>332</v>
      </c>
      <c r="AC1280">
        <v>536</v>
      </c>
      <c r="AD1280">
        <v>29.96</v>
      </c>
      <c r="AE1280">
        <v>542</v>
      </c>
      <c r="AF1280">
        <v>29</v>
      </c>
      <c r="AG1280">
        <v>174</v>
      </c>
      <c r="AH1280">
        <v>129</v>
      </c>
      <c r="AI1280">
        <v>5.35</v>
      </c>
      <c r="AJ1280">
        <v>32.1</v>
      </c>
      <c r="AK1280">
        <v>23.8</v>
      </c>
      <c r="AL1280">
        <v>-20.168810949999941</v>
      </c>
      <c r="AM1280">
        <v>-44.910156475447927</v>
      </c>
      <c r="AN1280">
        <v>-20.168810949999941</v>
      </c>
      <c r="AO1280">
        <v>-44.910156475447927</v>
      </c>
      <c r="AP1280">
        <v>-20.169051</v>
      </c>
      <c r="AQ1280">
        <v>-44.910093000000003</v>
      </c>
      <c r="AR1280">
        <v>27.533232396417059</v>
      </c>
      <c r="AS1280" t="s">
        <v>65</v>
      </c>
      <c r="AT1280">
        <v>1</v>
      </c>
      <c r="AU1280" t="s">
        <v>1310</v>
      </c>
      <c r="AV1280" t="s">
        <v>1311</v>
      </c>
      <c r="AW1280" t="s">
        <v>60</v>
      </c>
      <c r="AX1280" t="s">
        <v>68</v>
      </c>
      <c r="AY1280" t="s">
        <v>69</v>
      </c>
      <c r="AZ1280" t="b">
        <v>1</v>
      </c>
    </row>
    <row r="1281" spans="1:52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2128</v>
      </c>
      <c r="F1281" t="s">
        <v>1247</v>
      </c>
      <c r="G1281" t="s">
        <v>845</v>
      </c>
      <c r="H1281" t="s">
        <v>846</v>
      </c>
      <c r="I1281" t="s">
        <v>846</v>
      </c>
      <c r="J1281" t="s">
        <v>60</v>
      </c>
      <c r="K1281" t="s">
        <v>424</v>
      </c>
      <c r="L1281" t="s">
        <v>62</v>
      </c>
      <c r="M1281" t="s">
        <v>424</v>
      </c>
      <c r="N1281" t="s">
        <v>847</v>
      </c>
      <c r="O1281" t="s">
        <v>848</v>
      </c>
      <c r="P1281">
        <v>-20.175523999999999</v>
      </c>
      <c r="Q1281">
        <v>-44.918016999999999</v>
      </c>
      <c r="R1281" s="2" t="str">
        <f>HYPERLINK("https://www.google.com/maps?q=-20.1755240,-44.9180170","Abrir no Google Maps")</f>
        <v>Abrir no Google Maps</v>
      </c>
      <c r="S1281">
        <v>3</v>
      </c>
      <c r="T1281">
        <v>833.59191671824021</v>
      </c>
      <c r="U1281">
        <v>2</v>
      </c>
      <c r="V1281">
        <v>11</v>
      </c>
      <c r="W1281">
        <v>0.85</v>
      </c>
      <c r="X1281">
        <v>9.35</v>
      </c>
      <c r="Y1281">
        <v>723</v>
      </c>
      <c r="Z1281">
        <v>701.05790658871581</v>
      </c>
      <c r="AA1281">
        <v>198</v>
      </c>
      <c r="AB1281">
        <v>332</v>
      </c>
      <c r="AC1281">
        <v>536</v>
      </c>
      <c r="AD1281">
        <v>29.96</v>
      </c>
      <c r="AE1281">
        <v>542</v>
      </c>
      <c r="AF1281">
        <v>29</v>
      </c>
      <c r="AG1281">
        <v>174</v>
      </c>
      <c r="AH1281">
        <v>129</v>
      </c>
      <c r="AI1281">
        <v>5.35</v>
      </c>
      <c r="AJ1281">
        <v>32.1</v>
      </c>
      <c r="AK1281">
        <v>23.8</v>
      </c>
      <c r="AL1281">
        <v>-20.17533859999995</v>
      </c>
      <c r="AM1281">
        <v>-44.917689627873088</v>
      </c>
      <c r="AN1281">
        <v>-20.17533859999995</v>
      </c>
      <c r="AO1281">
        <v>-44.917689627873088</v>
      </c>
      <c r="AP1281">
        <v>-20.175523999999999</v>
      </c>
      <c r="AQ1281">
        <v>-44.918016999999999</v>
      </c>
      <c r="AR1281">
        <v>39.950898228213873</v>
      </c>
      <c r="AS1281" t="s">
        <v>65</v>
      </c>
      <c r="AT1281">
        <v>1</v>
      </c>
      <c r="AU1281" t="s">
        <v>849</v>
      </c>
      <c r="AV1281" t="s">
        <v>850</v>
      </c>
      <c r="AW1281" t="s">
        <v>60</v>
      </c>
      <c r="AX1281" t="s">
        <v>68</v>
      </c>
      <c r="AY1281" t="s">
        <v>69</v>
      </c>
      <c r="AZ1281" t="b">
        <v>1</v>
      </c>
    </row>
    <row r="1282" spans="1:52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2128</v>
      </c>
      <c r="F1282" t="s">
        <v>1247</v>
      </c>
      <c r="G1282" t="s">
        <v>1318</v>
      </c>
      <c r="H1282" t="s">
        <v>1319</v>
      </c>
      <c r="I1282" t="s">
        <v>1319</v>
      </c>
      <c r="J1282" t="s">
        <v>60</v>
      </c>
      <c r="K1282" t="s">
        <v>1314</v>
      </c>
      <c r="L1282" t="s">
        <v>62</v>
      </c>
      <c r="M1282" t="s">
        <v>1314</v>
      </c>
      <c r="N1282" t="s">
        <v>1320</v>
      </c>
      <c r="O1282" t="s">
        <v>1321</v>
      </c>
      <c r="P1282">
        <v>-20.178615000000001</v>
      </c>
      <c r="Q1282">
        <v>-44.924697999999999</v>
      </c>
      <c r="R1282" s="2" t="str">
        <f>HYPERLINK("https://www.google.com/maps?q=-20.1786150,-44.9246980","Abrir no Google Maps")</f>
        <v>Abrir no Google Maps</v>
      </c>
      <c r="S1282">
        <v>3</v>
      </c>
      <c r="T1282">
        <v>1583.462557226148</v>
      </c>
      <c r="U1282">
        <v>2</v>
      </c>
      <c r="V1282">
        <v>10</v>
      </c>
      <c r="W1282">
        <v>0.85</v>
      </c>
      <c r="X1282">
        <v>8.5</v>
      </c>
      <c r="Y1282">
        <v>723</v>
      </c>
      <c r="Z1282">
        <v>1414.1542726995031</v>
      </c>
      <c r="AA1282">
        <v>198</v>
      </c>
      <c r="AB1282">
        <v>332</v>
      </c>
      <c r="AC1282">
        <v>536</v>
      </c>
      <c r="AD1282">
        <v>29.96</v>
      </c>
      <c r="AE1282">
        <v>542</v>
      </c>
      <c r="AF1282">
        <v>29</v>
      </c>
      <c r="AG1282">
        <v>174</v>
      </c>
      <c r="AH1282">
        <v>129</v>
      </c>
      <c r="AI1282">
        <v>5.35</v>
      </c>
      <c r="AJ1282">
        <v>32.1</v>
      </c>
      <c r="AK1282">
        <v>23.8</v>
      </c>
      <c r="AL1282">
        <v>-20.17821329999995</v>
      </c>
      <c r="AM1282">
        <v>-44.924188563452951</v>
      </c>
      <c r="AN1282">
        <v>-20.17821329999995</v>
      </c>
      <c r="AO1282">
        <v>-44.924188563452951</v>
      </c>
      <c r="AP1282">
        <v>-20.178615000000001</v>
      </c>
      <c r="AQ1282">
        <v>-44.924697999999999</v>
      </c>
      <c r="AR1282">
        <v>69.520116290580319</v>
      </c>
      <c r="AS1282" t="s">
        <v>65</v>
      </c>
      <c r="AT1282">
        <v>1</v>
      </c>
      <c r="AU1282" t="s">
        <v>1322</v>
      </c>
      <c r="AV1282" t="s">
        <v>1317</v>
      </c>
      <c r="AW1282" t="s">
        <v>60</v>
      </c>
      <c r="AX1282" t="s">
        <v>68</v>
      </c>
      <c r="AY1282" t="s">
        <v>69</v>
      </c>
      <c r="AZ1282" t="b">
        <v>1</v>
      </c>
    </row>
    <row r="1283" spans="1:52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2128</v>
      </c>
      <c r="F1283" t="s">
        <v>1247</v>
      </c>
      <c r="G1283" t="s">
        <v>1328</v>
      </c>
      <c r="H1283" t="s">
        <v>1329</v>
      </c>
      <c r="I1283" t="s">
        <v>1329</v>
      </c>
      <c r="J1283" t="s">
        <v>60</v>
      </c>
      <c r="K1283" t="s">
        <v>1324</v>
      </c>
      <c r="L1283" t="s">
        <v>62</v>
      </c>
      <c r="M1283" t="s">
        <v>1324</v>
      </c>
      <c r="N1283" t="s">
        <v>1330</v>
      </c>
      <c r="O1283" t="s">
        <v>1331</v>
      </c>
      <c r="P1283">
        <v>-20.172984</v>
      </c>
      <c r="Q1283">
        <v>-44.915225999999997</v>
      </c>
      <c r="R1283" s="2" t="str">
        <f>HYPERLINK("https://www.google.com/maps?q=-20.1729840,-44.9152260","Abrir no Google Maps")</f>
        <v>Abrir no Google Maps</v>
      </c>
      <c r="S1283">
        <v>3</v>
      </c>
      <c r="T1283">
        <v>498.21203543103741</v>
      </c>
      <c r="U1283">
        <v>2</v>
      </c>
      <c r="V1283">
        <v>16</v>
      </c>
      <c r="W1283">
        <v>0.85</v>
      </c>
      <c r="X1283">
        <v>13.6</v>
      </c>
      <c r="Y1283">
        <v>723</v>
      </c>
      <c r="Z1283">
        <v>297.36167326949931</v>
      </c>
      <c r="AA1283">
        <v>198</v>
      </c>
      <c r="AB1283">
        <v>332</v>
      </c>
      <c r="AC1283">
        <v>536</v>
      </c>
      <c r="AD1283">
        <v>29.96</v>
      </c>
      <c r="AE1283">
        <v>542</v>
      </c>
      <c r="AF1283">
        <v>29</v>
      </c>
      <c r="AG1283">
        <v>174</v>
      </c>
      <c r="AH1283">
        <v>129</v>
      </c>
      <c r="AI1283">
        <v>5.35</v>
      </c>
      <c r="AJ1283">
        <v>32.1</v>
      </c>
      <c r="AK1283">
        <v>23.8</v>
      </c>
      <c r="AL1283">
        <v>-20.172838899999959</v>
      </c>
      <c r="AM1283">
        <v>-44.915158011603552</v>
      </c>
      <c r="AN1283">
        <v>-20.172838899999959</v>
      </c>
      <c r="AO1283">
        <v>-44.915158011603552</v>
      </c>
      <c r="AP1283">
        <v>-20.172984</v>
      </c>
      <c r="AQ1283">
        <v>-44.915225999999997</v>
      </c>
      <c r="AR1283">
        <v>17.645788305942119</v>
      </c>
      <c r="AS1283" t="s">
        <v>65</v>
      </c>
      <c r="AT1283">
        <v>1</v>
      </c>
      <c r="AU1283" t="s">
        <v>1332</v>
      </c>
      <c r="AV1283" t="s">
        <v>1327</v>
      </c>
      <c r="AW1283" t="s">
        <v>60</v>
      </c>
      <c r="AX1283" t="s">
        <v>68</v>
      </c>
      <c r="AY1283" t="s">
        <v>69</v>
      </c>
      <c r="AZ1283" t="b">
        <v>1</v>
      </c>
    </row>
    <row r="1284" spans="1:52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2128</v>
      </c>
      <c r="F1284" t="s">
        <v>1247</v>
      </c>
      <c r="G1284" t="s">
        <v>479</v>
      </c>
      <c r="H1284" t="s">
        <v>1338</v>
      </c>
      <c r="I1284" t="s">
        <v>1338</v>
      </c>
      <c r="J1284" t="s">
        <v>60</v>
      </c>
      <c r="K1284" t="s">
        <v>1302</v>
      </c>
      <c r="L1284" t="s">
        <v>62</v>
      </c>
      <c r="M1284" t="s">
        <v>1302</v>
      </c>
      <c r="N1284" t="s">
        <v>481</v>
      </c>
      <c r="O1284" t="s">
        <v>1339</v>
      </c>
      <c r="P1284">
        <v>-20.165590000000002</v>
      </c>
      <c r="Q1284">
        <v>-44.907876000000002</v>
      </c>
      <c r="R1284" s="2" t="str">
        <f>HYPERLINK("https://www.google.com/maps?q=-20.1655900,-44.9078760","Abrir no Google Maps")</f>
        <v>Abrir no Google Maps</v>
      </c>
      <c r="S1284">
        <v>3</v>
      </c>
      <c r="T1284">
        <v>626.07643944893005</v>
      </c>
      <c r="U1284">
        <v>2</v>
      </c>
      <c r="V1284">
        <v>11</v>
      </c>
      <c r="W1284">
        <v>0.85</v>
      </c>
      <c r="X1284">
        <v>9.35</v>
      </c>
      <c r="Y1284">
        <v>639</v>
      </c>
      <c r="Z1284">
        <v>723.2656461789519</v>
      </c>
      <c r="AA1284">
        <v>198</v>
      </c>
      <c r="AB1284">
        <v>332</v>
      </c>
      <c r="AC1284">
        <v>536</v>
      </c>
      <c r="AD1284">
        <v>29.96</v>
      </c>
      <c r="AE1284">
        <v>542</v>
      </c>
      <c r="AF1284">
        <v>29</v>
      </c>
      <c r="AG1284">
        <v>174</v>
      </c>
      <c r="AH1284">
        <v>129</v>
      </c>
      <c r="AI1284">
        <v>5.35</v>
      </c>
      <c r="AJ1284">
        <v>32.1</v>
      </c>
      <c r="AK1284">
        <v>23.8</v>
      </c>
      <c r="AL1284">
        <v>-20.16561419999994</v>
      </c>
      <c r="AM1284">
        <v>-44.907783360572083</v>
      </c>
      <c r="AN1284">
        <v>-20.16561419999994</v>
      </c>
      <c r="AO1284">
        <v>-44.907783360572083</v>
      </c>
      <c r="AP1284">
        <v>-20.165590000000002</v>
      </c>
      <c r="AQ1284">
        <v>-44.907876000000002</v>
      </c>
      <c r="AR1284">
        <v>10.04831364257741</v>
      </c>
      <c r="AS1284" t="s">
        <v>65</v>
      </c>
      <c r="AT1284">
        <v>1</v>
      </c>
      <c r="AU1284" t="s">
        <v>1340</v>
      </c>
      <c r="AV1284" t="s">
        <v>1341</v>
      </c>
      <c r="AW1284" t="s">
        <v>60</v>
      </c>
      <c r="AX1284" t="s">
        <v>68</v>
      </c>
      <c r="AY1284" t="s">
        <v>69</v>
      </c>
      <c r="AZ1284" t="b">
        <v>1</v>
      </c>
    </row>
    <row r="1285" spans="1:52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2128</v>
      </c>
      <c r="F1285" t="s">
        <v>1247</v>
      </c>
      <c r="G1285" t="s">
        <v>1354</v>
      </c>
      <c r="H1285" t="s">
        <v>1355</v>
      </c>
      <c r="I1285" t="s">
        <v>1355</v>
      </c>
      <c r="J1285" t="s">
        <v>60</v>
      </c>
      <c r="K1285" t="s">
        <v>1356</v>
      </c>
      <c r="L1285" t="s">
        <v>62</v>
      </c>
      <c r="M1285" t="s">
        <v>1356</v>
      </c>
      <c r="N1285" t="s">
        <v>1357</v>
      </c>
      <c r="O1285" t="s">
        <v>315</v>
      </c>
      <c r="P1285">
        <v>-20.132080999999999</v>
      </c>
      <c r="Q1285">
        <v>-44.908614</v>
      </c>
      <c r="R1285" s="2" t="str">
        <f>HYPERLINK("https://www.google.com/maps?q=-20.1320810,-44.9086140","Abrir no Google Maps")</f>
        <v>Abrir no Google Maps</v>
      </c>
      <c r="S1285">
        <v>3</v>
      </c>
      <c r="T1285">
        <v>701.02570959373259</v>
      </c>
      <c r="U1285">
        <v>2</v>
      </c>
      <c r="V1285">
        <v>10</v>
      </c>
      <c r="W1285">
        <v>0.85</v>
      </c>
      <c r="X1285">
        <v>8.5</v>
      </c>
      <c r="Y1285">
        <v>581</v>
      </c>
      <c r="Z1285">
        <v>811.38061352229215</v>
      </c>
      <c r="AA1285">
        <v>198</v>
      </c>
      <c r="AB1285">
        <v>332</v>
      </c>
      <c r="AC1285">
        <v>536</v>
      </c>
      <c r="AD1285">
        <v>29.96</v>
      </c>
      <c r="AE1285">
        <v>542</v>
      </c>
      <c r="AF1285">
        <v>29</v>
      </c>
      <c r="AG1285">
        <v>174</v>
      </c>
      <c r="AH1285">
        <v>129</v>
      </c>
      <c r="AI1285">
        <v>5.35</v>
      </c>
      <c r="AJ1285">
        <v>32.1</v>
      </c>
      <c r="AK1285">
        <v>23.8</v>
      </c>
      <c r="AL1285">
        <v>-20.132063499999951</v>
      </c>
      <c r="AM1285">
        <v>-44.908630454878519</v>
      </c>
      <c r="AN1285">
        <v>-20.132063499999951</v>
      </c>
      <c r="AO1285">
        <v>-44.908630454878519</v>
      </c>
      <c r="AP1285">
        <v>-20.132080999999999</v>
      </c>
      <c r="AQ1285">
        <v>-44.908614</v>
      </c>
      <c r="AR1285">
        <v>2.5986425761911551</v>
      </c>
      <c r="AS1285" t="s">
        <v>65</v>
      </c>
      <c r="AT1285">
        <v>1</v>
      </c>
      <c r="AU1285" t="s">
        <v>1358</v>
      </c>
      <c r="AV1285" t="s">
        <v>1359</v>
      </c>
      <c r="AW1285" t="s">
        <v>60</v>
      </c>
      <c r="AX1285" t="s">
        <v>68</v>
      </c>
      <c r="AY1285" t="s">
        <v>69</v>
      </c>
      <c r="AZ1285" t="b">
        <v>1</v>
      </c>
    </row>
    <row r="1286" spans="1:52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2128</v>
      </c>
      <c r="F1286" t="s">
        <v>1247</v>
      </c>
      <c r="G1286" t="s">
        <v>1364</v>
      </c>
      <c r="H1286" t="s">
        <v>1365</v>
      </c>
      <c r="I1286" t="s">
        <v>1365</v>
      </c>
      <c r="J1286" t="s">
        <v>60</v>
      </c>
      <c r="K1286" t="s">
        <v>1356</v>
      </c>
      <c r="L1286" t="s">
        <v>62</v>
      </c>
      <c r="M1286" t="s">
        <v>1356</v>
      </c>
      <c r="N1286" t="s">
        <v>1366</v>
      </c>
      <c r="O1286" t="s">
        <v>548</v>
      </c>
      <c r="P1286">
        <v>-20.131240999999999</v>
      </c>
      <c r="Q1286">
        <v>-44.910567999999998</v>
      </c>
      <c r="R1286" s="2" t="str">
        <f>HYPERLINK("https://www.google.com/maps?q=-20.1312410,-44.9105680","Abrir no Google Maps")</f>
        <v>Abrir no Google Maps</v>
      </c>
      <c r="S1286">
        <v>3</v>
      </c>
      <c r="T1286">
        <v>822.61354861726704</v>
      </c>
      <c r="U1286">
        <v>2</v>
      </c>
      <c r="V1286">
        <v>15</v>
      </c>
      <c r="W1286">
        <v>0.85</v>
      </c>
      <c r="X1286">
        <v>12.75</v>
      </c>
      <c r="Y1286">
        <v>581</v>
      </c>
      <c r="Z1286">
        <v>982.3990834787046</v>
      </c>
      <c r="AA1286">
        <v>198</v>
      </c>
      <c r="AB1286">
        <v>332</v>
      </c>
      <c r="AC1286">
        <v>536</v>
      </c>
      <c r="AD1286">
        <v>29.96</v>
      </c>
      <c r="AE1286">
        <v>542</v>
      </c>
      <c r="AF1286">
        <v>29</v>
      </c>
      <c r="AG1286">
        <v>174</v>
      </c>
      <c r="AH1286">
        <v>129</v>
      </c>
      <c r="AI1286">
        <v>5.35</v>
      </c>
      <c r="AJ1286">
        <v>32.1</v>
      </c>
      <c r="AK1286">
        <v>23.8</v>
      </c>
      <c r="AL1286">
        <v>-20.131367099999981</v>
      </c>
      <c r="AM1286">
        <v>-44.910597350758543</v>
      </c>
      <c r="AN1286">
        <v>-20.131367099999981</v>
      </c>
      <c r="AO1286">
        <v>-44.910597350758543</v>
      </c>
      <c r="AP1286">
        <v>-20.131240999999999</v>
      </c>
      <c r="AQ1286">
        <v>-44.910567999999998</v>
      </c>
      <c r="AR1286">
        <v>14.36874794070623</v>
      </c>
      <c r="AS1286" t="s">
        <v>65</v>
      </c>
      <c r="AT1286">
        <v>1</v>
      </c>
      <c r="AU1286" t="s">
        <v>1367</v>
      </c>
      <c r="AV1286" t="s">
        <v>1368</v>
      </c>
      <c r="AW1286" t="s">
        <v>60</v>
      </c>
      <c r="AX1286" t="s">
        <v>68</v>
      </c>
      <c r="AY1286" t="s">
        <v>69</v>
      </c>
      <c r="AZ1286" t="b">
        <v>1</v>
      </c>
    </row>
    <row r="1287" spans="1:52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2128</v>
      </c>
      <c r="F1287" t="s">
        <v>1247</v>
      </c>
      <c r="G1287" t="s">
        <v>1364</v>
      </c>
      <c r="H1287" t="s">
        <v>1369</v>
      </c>
      <c r="I1287" t="s">
        <v>1369</v>
      </c>
      <c r="J1287" t="s">
        <v>60</v>
      </c>
      <c r="K1287" t="s">
        <v>1370</v>
      </c>
      <c r="L1287" t="s">
        <v>62</v>
      </c>
      <c r="M1287" t="s">
        <v>1370</v>
      </c>
      <c r="N1287" t="s">
        <v>1366</v>
      </c>
      <c r="O1287" t="s">
        <v>989</v>
      </c>
      <c r="P1287">
        <v>-20.141185</v>
      </c>
      <c r="Q1287">
        <v>-44.914200999999998</v>
      </c>
      <c r="R1287" s="2" t="str">
        <f>HYPERLINK("https://www.google.com/maps?q=-20.1411850,-44.9142010","Abrir no Google Maps")</f>
        <v>Abrir no Google Maps</v>
      </c>
      <c r="S1287">
        <v>3</v>
      </c>
      <c r="T1287">
        <v>512.52588459346453</v>
      </c>
      <c r="U1287">
        <v>2</v>
      </c>
      <c r="V1287">
        <v>16</v>
      </c>
      <c r="W1287">
        <v>0.85</v>
      </c>
      <c r="X1287">
        <v>13.6</v>
      </c>
      <c r="Y1287">
        <v>581</v>
      </c>
      <c r="Z1287">
        <v>473.10673043319349</v>
      </c>
      <c r="AA1287">
        <v>198</v>
      </c>
      <c r="AB1287">
        <v>332</v>
      </c>
      <c r="AC1287">
        <v>536</v>
      </c>
      <c r="AD1287">
        <v>29.96</v>
      </c>
      <c r="AE1287">
        <v>542</v>
      </c>
      <c r="AF1287">
        <v>29</v>
      </c>
      <c r="AG1287">
        <v>174</v>
      </c>
      <c r="AH1287">
        <v>129</v>
      </c>
      <c r="AI1287">
        <v>5.35</v>
      </c>
      <c r="AJ1287">
        <v>32.1</v>
      </c>
      <c r="AK1287">
        <v>23.8</v>
      </c>
      <c r="AL1287">
        <v>-20.14133909999995</v>
      </c>
      <c r="AM1287">
        <v>-44.913910219286038</v>
      </c>
      <c r="AN1287">
        <v>-20.14133909999995</v>
      </c>
      <c r="AO1287">
        <v>-44.913910219286038</v>
      </c>
      <c r="AP1287">
        <v>-20.141185</v>
      </c>
      <c r="AQ1287">
        <v>-44.914200999999998</v>
      </c>
      <c r="AR1287">
        <v>34.897514361429593</v>
      </c>
      <c r="AS1287" t="s">
        <v>65</v>
      </c>
      <c r="AT1287">
        <v>1</v>
      </c>
      <c r="AU1287" t="s">
        <v>1371</v>
      </c>
      <c r="AV1287" t="s">
        <v>863</v>
      </c>
      <c r="AW1287" t="s">
        <v>60</v>
      </c>
      <c r="AX1287" t="s">
        <v>68</v>
      </c>
      <c r="AY1287" t="s">
        <v>69</v>
      </c>
      <c r="AZ1287" t="b">
        <v>1</v>
      </c>
    </row>
    <row r="1288" spans="1:52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2128</v>
      </c>
      <c r="F1288" t="s">
        <v>1247</v>
      </c>
      <c r="G1288" t="s">
        <v>858</v>
      </c>
      <c r="H1288" t="s">
        <v>859</v>
      </c>
      <c r="I1288" t="s">
        <v>859</v>
      </c>
      <c r="J1288" t="s">
        <v>60</v>
      </c>
      <c r="K1288" t="s">
        <v>462</v>
      </c>
      <c r="L1288" t="s">
        <v>62</v>
      </c>
      <c r="M1288" t="s">
        <v>462</v>
      </c>
      <c r="N1288" t="s">
        <v>860</v>
      </c>
      <c r="O1288" t="s">
        <v>861</v>
      </c>
      <c r="P1288">
        <v>-20.139693999999999</v>
      </c>
      <c r="Q1288">
        <v>-44.911256000000002</v>
      </c>
      <c r="R1288" s="2" t="str">
        <f>HYPERLINK("https://www.google.com/maps?q=-20.1396940,-44.9112560","Abrir no Google Maps")</f>
        <v>Abrir no Google Maps</v>
      </c>
      <c r="S1288">
        <v>3</v>
      </c>
      <c r="T1288">
        <v>380.48036838042862</v>
      </c>
      <c r="U1288">
        <v>2</v>
      </c>
      <c r="V1288">
        <v>11</v>
      </c>
      <c r="W1288">
        <v>0.85</v>
      </c>
      <c r="X1288">
        <v>9.35</v>
      </c>
      <c r="Y1288">
        <v>581</v>
      </c>
      <c r="Z1288">
        <v>374.61146000000178</v>
      </c>
      <c r="AA1288">
        <v>198</v>
      </c>
      <c r="AB1288">
        <v>332</v>
      </c>
      <c r="AC1288">
        <v>536</v>
      </c>
      <c r="AD1288">
        <v>29.96</v>
      </c>
      <c r="AE1288">
        <v>542</v>
      </c>
      <c r="AF1288">
        <v>29</v>
      </c>
      <c r="AG1288">
        <v>174</v>
      </c>
      <c r="AH1288">
        <v>129</v>
      </c>
      <c r="AI1288">
        <v>5.35</v>
      </c>
      <c r="AJ1288">
        <v>32.1</v>
      </c>
      <c r="AK1288">
        <v>23.8</v>
      </c>
      <c r="AL1288">
        <v>-20.139768699999959</v>
      </c>
      <c r="AM1288">
        <v>-44.911265351587588</v>
      </c>
      <c r="AN1288">
        <v>-20.139768699999959</v>
      </c>
      <c r="AO1288">
        <v>-44.911265351587588</v>
      </c>
      <c r="AP1288">
        <v>-20.139693999999999</v>
      </c>
      <c r="AQ1288">
        <v>-44.911256000000002</v>
      </c>
      <c r="AR1288">
        <v>8.3728438666521061</v>
      </c>
      <c r="AS1288" t="s">
        <v>65</v>
      </c>
      <c r="AT1288">
        <v>1</v>
      </c>
      <c r="AU1288" t="s">
        <v>862</v>
      </c>
      <c r="AV1288" t="s">
        <v>863</v>
      </c>
      <c r="AW1288" t="s">
        <v>60</v>
      </c>
      <c r="AX1288" t="s">
        <v>68</v>
      </c>
      <c r="AY1288" t="s">
        <v>69</v>
      </c>
      <c r="AZ1288" t="b">
        <v>1</v>
      </c>
    </row>
    <row r="1289" spans="1:52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2128</v>
      </c>
      <c r="F1289" t="s">
        <v>1247</v>
      </c>
      <c r="G1289" t="s">
        <v>1300</v>
      </c>
      <c r="H1289" t="s">
        <v>1372</v>
      </c>
      <c r="I1289" t="s">
        <v>1372</v>
      </c>
      <c r="J1289" t="s">
        <v>60</v>
      </c>
      <c r="K1289" t="s">
        <v>486</v>
      </c>
      <c r="L1289" t="s">
        <v>62</v>
      </c>
      <c r="M1289" t="s">
        <v>486</v>
      </c>
      <c r="N1289" t="s">
        <v>1303</v>
      </c>
      <c r="O1289" t="s">
        <v>1373</v>
      </c>
      <c r="P1289">
        <v>-20.170458</v>
      </c>
      <c r="Q1289">
        <v>-44.900936000000002</v>
      </c>
      <c r="R1289" s="2" t="str">
        <f>HYPERLINK("https://www.google.com/maps?q=-20.1704580,-44.9009360","Abrir no Google Maps")</f>
        <v>Abrir no Google Maps</v>
      </c>
      <c r="S1289">
        <v>3</v>
      </c>
      <c r="T1289">
        <v>470.55793133653339</v>
      </c>
      <c r="U1289">
        <v>2</v>
      </c>
      <c r="V1289">
        <v>11</v>
      </c>
      <c r="W1289">
        <v>0.85</v>
      </c>
      <c r="X1289">
        <v>9.35</v>
      </c>
      <c r="Y1289">
        <v>578</v>
      </c>
      <c r="Z1289">
        <v>645.48909402437766</v>
      </c>
      <c r="AA1289">
        <v>198</v>
      </c>
      <c r="AB1289">
        <v>332</v>
      </c>
      <c r="AC1289">
        <v>536</v>
      </c>
      <c r="AD1289">
        <v>29.96</v>
      </c>
      <c r="AE1289">
        <v>542</v>
      </c>
      <c r="AF1289">
        <v>29</v>
      </c>
      <c r="AG1289">
        <v>174</v>
      </c>
      <c r="AH1289">
        <v>129</v>
      </c>
      <c r="AI1289">
        <v>5.35</v>
      </c>
      <c r="AJ1289">
        <v>32.1</v>
      </c>
      <c r="AK1289">
        <v>23.8</v>
      </c>
      <c r="AL1289">
        <v>-20.17025029999996</v>
      </c>
      <c r="AM1289">
        <v>-44.901067235372473</v>
      </c>
      <c r="AN1289">
        <v>-20.17025029999996</v>
      </c>
      <c r="AO1289">
        <v>-44.901067235372473</v>
      </c>
      <c r="AP1289">
        <v>-20.170458</v>
      </c>
      <c r="AQ1289">
        <v>-44.900936000000002</v>
      </c>
      <c r="AR1289">
        <v>26.88195352459519</v>
      </c>
      <c r="AS1289" t="s">
        <v>65</v>
      </c>
      <c r="AT1289">
        <v>1</v>
      </c>
      <c r="AU1289" t="s">
        <v>1374</v>
      </c>
      <c r="AV1289" t="s">
        <v>1375</v>
      </c>
      <c r="AW1289" t="s">
        <v>60</v>
      </c>
      <c r="AX1289" t="s">
        <v>68</v>
      </c>
      <c r="AY1289" t="s">
        <v>69</v>
      </c>
      <c r="AZ1289" t="b">
        <v>1</v>
      </c>
    </row>
    <row r="1290" spans="1:52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2128</v>
      </c>
      <c r="F1290" t="s">
        <v>1247</v>
      </c>
      <c r="G1290" t="s">
        <v>1376</v>
      </c>
      <c r="H1290" t="s">
        <v>1377</v>
      </c>
      <c r="I1290" t="s">
        <v>1377</v>
      </c>
      <c r="J1290" t="s">
        <v>60</v>
      </c>
      <c r="K1290" t="s">
        <v>475</v>
      </c>
      <c r="L1290" t="s">
        <v>62</v>
      </c>
      <c r="M1290" t="s">
        <v>475</v>
      </c>
      <c r="N1290" t="s">
        <v>1378</v>
      </c>
      <c r="O1290" t="s">
        <v>1379</v>
      </c>
      <c r="P1290">
        <v>-20.175298000000002</v>
      </c>
      <c r="Q1290">
        <v>-44.904794000000003</v>
      </c>
      <c r="R1290" s="2" t="str">
        <f>HYPERLINK("https://www.google.com/maps?q=-20.1752980,-44.9047940","Abrir no Google Maps")</f>
        <v>Abrir no Google Maps</v>
      </c>
      <c r="S1290">
        <v>3</v>
      </c>
      <c r="T1290">
        <v>497.7557906927301</v>
      </c>
      <c r="U1290">
        <v>2</v>
      </c>
      <c r="V1290">
        <v>13</v>
      </c>
      <c r="W1290">
        <v>0.85</v>
      </c>
      <c r="X1290">
        <v>11.05</v>
      </c>
      <c r="Y1290">
        <v>578</v>
      </c>
      <c r="Z1290">
        <v>363.80816567363502</v>
      </c>
      <c r="AA1290">
        <v>198</v>
      </c>
      <c r="AB1290">
        <v>332</v>
      </c>
      <c r="AC1290">
        <v>536</v>
      </c>
      <c r="AD1290">
        <v>29.96</v>
      </c>
      <c r="AE1290">
        <v>542</v>
      </c>
      <c r="AF1290">
        <v>29</v>
      </c>
      <c r="AG1290">
        <v>174</v>
      </c>
      <c r="AH1290">
        <v>129</v>
      </c>
      <c r="AI1290">
        <v>5.35</v>
      </c>
      <c r="AJ1290">
        <v>32.1</v>
      </c>
      <c r="AK1290">
        <v>23.8</v>
      </c>
      <c r="AL1290">
        <v>-20.17530484999995</v>
      </c>
      <c r="AM1290">
        <v>-44.904834224351781</v>
      </c>
      <c r="AN1290">
        <v>-20.17530484999995</v>
      </c>
      <c r="AO1290">
        <v>-44.904834224351781</v>
      </c>
      <c r="AP1290">
        <v>-20.175298000000002</v>
      </c>
      <c r="AQ1290">
        <v>-44.904794000000003</v>
      </c>
      <c r="AR1290">
        <v>4.2716392411563806</v>
      </c>
      <c r="AS1290" t="s">
        <v>65</v>
      </c>
      <c r="AT1290">
        <v>1</v>
      </c>
      <c r="AU1290" t="s">
        <v>1380</v>
      </c>
      <c r="AV1290" t="s">
        <v>1381</v>
      </c>
      <c r="AW1290" t="s">
        <v>60</v>
      </c>
      <c r="AX1290" t="s">
        <v>68</v>
      </c>
      <c r="AY1290" t="s">
        <v>69</v>
      </c>
      <c r="AZ1290" t="b">
        <v>1</v>
      </c>
    </row>
    <row r="1291" spans="1:52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2128</v>
      </c>
      <c r="F1291" t="s">
        <v>1247</v>
      </c>
      <c r="G1291" t="s">
        <v>1382</v>
      </c>
      <c r="H1291" t="s">
        <v>1383</v>
      </c>
      <c r="I1291" t="s">
        <v>1383</v>
      </c>
      <c r="J1291" t="s">
        <v>60</v>
      </c>
      <c r="K1291" t="s">
        <v>1384</v>
      </c>
      <c r="L1291" t="s">
        <v>62</v>
      </c>
      <c r="M1291" t="s">
        <v>1384</v>
      </c>
      <c r="N1291" t="s">
        <v>1385</v>
      </c>
      <c r="O1291" t="s">
        <v>1379</v>
      </c>
      <c r="P1291">
        <v>-20.168914999999998</v>
      </c>
      <c r="Q1291">
        <v>-44.897015000000003</v>
      </c>
      <c r="R1291" s="2" t="str">
        <f>HYPERLINK("https://www.google.com/maps?q=-20.1689150,-44.8970150","Abrir no Google Maps")</f>
        <v>Abrir no Google Maps</v>
      </c>
      <c r="S1291">
        <v>3</v>
      </c>
      <c r="T1291">
        <v>1082.4313448281291</v>
      </c>
      <c r="U1291">
        <v>2</v>
      </c>
      <c r="V1291">
        <v>14</v>
      </c>
      <c r="W1291">
        <v>0.85</v>
      </c>
      <c r="X1291">
        <v>11.9</v>
      </c>
      <c r="Y1291">
        <v>578</v>
      </c>
      <c r="Z1291">
        <v>1085.6751638476369</v>
      </c>
      <c r="AA1291">
        <v>198</v>
      </c>
      <c r="AB1291">
        <v>332</v>
      </c>
      <c r="AC1291">
        <v>536</v>
      </c>
      <c r="AD1291">
        <v>29.96</v>
      </c>
      <c r="AE1291">
        <v>542</v>
      </c>
      <c r="AF1291">
        <v>29</v>
      </c>
      <c r="AG1291">
        <v>174</v>
      </c>
      <c r="AH1291">
        <v>129</v>
      </c>
      <c r="AI1291">
        <v>5.35</v>
      </c>
      <c r="AJ1291">
        <v>32.1</v>
      </c>
      <c r="AK1291">
        <v>23.8</v>
      </c>
      <c r="AL1291">
        <v>-20.168195549999979</v>
      </c>
      <c r="AM1291">
        <v>-44.895555997240763</v>
      </c>
      <c r="AN1291">
        <v>-20.168195549999979</v>
      </c>
      <c r="AO1291">
        <v>-44.895555997240763</v>
      </c>
      <c r="AP1291">
        <v>-20.168914999999998</v>
      </c>
      <c r="AQ1291">
        <v>-44.897015000000003</v>
      </c>
      <c r="AR1291">
        <v>172.21377736735809</v>
      </c>
      <c r="AS1291" t="s">
        <v>65</v>
      </c>
      <c r="AT1291">
        <v>1</v>
      </c>
      <c r="AU1291" t="s">
        <v>1386</v>
      </c>
      <c r="AV1291" t="s">
        <v>1387</v>
      </c>
      <c r="AW1291" t="s">
        <v>60</v>
      </c>
      <c r="AX1291" t="s">
        <v>68</v>
      </c>
      <c r="AY1291" t="s">
        <v>69</v>
      </c>
      <c r="AZ1291" t="b">
        <v>1</v>
      </c>
    </row>
    <row r="1292" spans="1:52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2128</v>
      </c>
      <c r="F1292" t="s">
        <v>1247</v>
      </c>
      <c r="G1292" t="s">
        <v>1388</v>
      </c>
      <c r="H1292" t="s">
        <v>1389</v>
      </c>
      <c r="I1292" t="s">
        <v>1389</v>
      </c>
      <c r="J1292" t="s">
        <v>60</v>
      </c>
      <c r="K1292" t="s">
        <v>475</v>
      </c>
      <c r="L1292" t="s">
        <v>62</v>
      </c>
      <c r="M1292" t="s">
        <v>475</v>
      </c>
      <c r="N1292" t="s">
        <v>1390</v>
      </c>
      <c r="O1292" t="s">
        <v>855</v>
      </c>
      <c r="P1292">
        <v>-20.173748</v>
      </c>
      <c r="Q1292">
        <v>-44.894596999999997</v>
      </c>
      <c r="R1292" s="2" t="str">
        <f>HYPERLINK("https://www.google.com/maps?q=-20.1737480,-44.8945970","Abrir no Google Maps")</f>
        <v>Abrir no Google Maps</v>
      </c>
      <c r="S1292">
        <v>3</v>
      </c>
      <c r="T1292">
        <v>1217.388518792701</v>
      </c>
      <c r="U1292">
        <v>2</v>
      </c>
      <c r="V1292">
        <v>14</v>
      </c>
      <c r="W1292">
        <v>0.85</v>
      </c>
      <c r="X1292">
        <v>11.9</v>
      </c>
      <c r="Y1292">
        <v>578</v>
      </c>
      <c r="Z1292">
        <v>1268.0048337091989</v>
      </c>
      <c r="AA1292">
        <v>198</v>
      </c>
      <c r="AB1292">
        <v>332</v>
      </c>
      <c r="AC1292">
        <v>536</v>
      </c>
      <c r="AD1292">
        <v>29.96</v>
      </c>
      <c r="AE1292">
        <v>542</v>
      </c>
      <c r="AF1292">
        <v>29</v>
      </c>
      <c r="AG1292">
        <v>174</v>
      </c>
      <c r="AH1292">
        <v>129</v>
      </c>
      <c r="AI1292">
        <v>5.35</v>
      </c>
      <c r="AJ1292">
        <v>32.1</v>
      </c>
      <c r="AK1292">
        <v>23.8</v>
      </c>
      <c r="AL1292">
        <v>-20.173821999999941</v>
      </c>
      <c r="AM1292">
        <v>-44.894306105833543</v>
      </c>
      <c r="AN1292">
        <v>-20.173821999999941</v>
      </c>
      <c r="AO1292">
        <v>-44.894306105833543</v>
      </c>
      <c r="AP1292">
        <v>-20.173748</v>
      </c>
      <c r="AQ1292">
        <v>-44.894596999999997</v>
      </c>
      <c r="AR1292">
        <v>31.492193006406161</v>
      </c>
      <c r="AS1292" t="s">
        <v>65</v>
      </c>
      <c r="AT1292">
        <v>1</v>
      </c>
      <c r="AU1292" t="s">
        <v>1391</v>
      </c>
      <c r="AV1292" t="s">
        <v>1392</v>
      </c>
      <c r="AW1292" t="s">
        <v>60</v>
      </c>
      <c r="AX1292" t="s">
        <v>68</v>
      </c>
      <c r="AY1292" t="s">
        <v>69</v>
      </c>
      <c r="AZ1292" t="b">
        <v>1</v>
      </c>
    </row>
    <row r="1293" spans="1:52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2128</v>
      </c>
      <c r="F1293" t="s">
        <v>1247</v>
      </c>
      <c r="G1293" t="s">
        <v>1393</v>
      </c>
      <c r="H1293" t="s">
        <v>1394</v>
      </c>
      <c r="I1293" t="s">
        <v>1394</v>
      </c>
      <c r="J1293" t="s">
        <v>60</v>
      </c>
      <c r="K1293" t="s">
        <v>388</v>
      </c>
      <c r="L1293" t="s">
        <v>62</v>
      </c>
      <c r="M1293" t="s">
        <v>388</v>
      </c>
      <c r="N1293" t="s">
        <v>1395</v>
      </c>
      <c r="O1293" t="s">
        <v>1396</v>
      </c>
      <c r="P1293">
        <v>-20.167425000000001</v>
      </c>
      <c r="Q1293">
        <v>-44.907733999999998</v>
      </c>
      <c r="R1293" s="2" t="str">
        <f>HYPERLINK("https://www.google.com/maps?q=-20.1674250,-44.9077340","Abrir no Google Maps")</f>
        <v>Abrir no Google Maps</v>
      </c>
      <c r="S1293">
        <v>3</v>
      </c>
      <c r="T1293">
        <v>424.62372109792739</v>
      </c>
      <c r="U1293">
        <v>2</v>
      </c>
      <c r="V1293">
        <v>10</v>
      </c>
      <c r="W1293">
        <v>0.85</v>
      </c>
      <c r="X1293">
        <v>8.5</v>
      </c>
      <c r="Y1293">
        <v>578</v>
      </c>
      <c r="Z1293">
        <v>559.08337206965382</v>
      </c>
      <c r="AA1293">
        <v>198</v>
      </c>
      <c r="AB1293">
        <v>332</v>
      </c>
      <c r="AC1293">
        <v>536</v>
      </c>
      <c r="AD1293">
        <v>29.96</v>
      </c>
      <c r="AE1293">
        <v>542</v>
      </c>
      <c r="AF1293">
        <v>29</v>
      </c>
      <c r="AG1293">
        <v>174</v>
      </c>
      <c r="AH1293">
        <v>129</v>
      </c>
      <c r="AI1293">
        <v>5.35</v>
      </c>
      <c r="AJ1293">
        <v>32.1</v>
      </c>
      <c r="AK1293">
        <v>23.8</v>
      </c>
      <c r="AL1293">
        <v>-20.167592099999951</v>
      </c>
      <c r="AM1293">
        <v>-44.907664214502859</v>
      </c>
      <c r="AN1293">
        <v>-20.167592099999951</v>
      </c>
      <c r="AO1293">
        <v>-44.907664214502859</v>
      </c>
      <c r="AP1293">
        <v>-20.167425000000001</v>
      </c>
      <c r="AQ1293">
        <v>-44.907733999999998</v>
      </c>
      <c r="AR1293">
        <v>19.979863459652229</v>
      </c>
      <c r="AS1293" t="s">
        <v>65</v>
      </c>
      <c r="AT1293">
        <v>1</v>
      </c>
      <c r="AU1293" t="s">
        <v>1397</v>
      </c>
      <c r="AV1293" t="s">
        <v>1398</v>
      </c>
      <c r="AW1293" t="s">
        <v>60</v>
      </c>
      <c r="AX1293" t="s">
        <v>68</v>
      </c>
      <c r="AY1293" t="s">
        <v>69</v>
      </c>
      <c r="AZ1293" t="b">
        <v>1</v>
      </c>
    </row>
    <row r="1294" spans="1:52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2128</v>
      </c>
      <c r="F1294" t="s">
        <v>1247</v>
      </c>
      <c r="G1294" t="s">
        <v>1399</v>
      </c>
      <c r="H1294" t="s">
        <v>1400</v>
      </c>
      <c r="I1294" t="s">
        <v>1400</v>
      </c>
      <c r="J1294" t="s">
        <v>60</v>
      </c>
      <c r="K1294" t="s">
        <v>475</v>
      </c>
      <c r="L1294" t="s">
        <v>62</v>
      </c>
      <c r="M1294" t="s">
        <v>475</v>
      </c>
      <c r="N1294" t="s">
        <v>1401</v>
      </c>
      <c r="O1294" t="s">
        <v>1080</v>
      </c>
      <c r="P1294">
        <v>-20.178809000000001</v>
      </c>
      <c r="Q1294">
        <v>-44.900204000000002</v>
      </c>
      <c r="R1294" s="2" t="str">
        <f>HYPERLINK("https://www.google.com/maps?q=-20.1788090,-44.9002040","Abrir no Google Maps")</f>
        <v>Abrir no Google Maps</v>
      </c>
      <c r="S1294">
        <v>3</v>
      </c>
      <c r="T1294">
        <v>1015.86498565614</v>
      </c>
      <c r="U1294">
        <v>2</v>
      </c>
      <c r="V1294">
        <v>15</v>
      </c>
      <c r="W1294">
        <v>0.85</v>
      </c>
      <c r="X1294">
        <v>12.75</v>
      </c>
      <c r="Y1294">
        <v>578</v>
      </c>
      <c r="Z1294">
        <v>954.77111474428102</v>
      </c>
      <c r="AA1294">
        <v>198</v>
      </c>
      <c r="AB1294">
        <v>332</v>
      </c>
      <c r="AC1294">
        <v>536</v>
      </c>
      <c r="AD1294">
        <v>29.96</v>
      </c>
      <c r="AE1294">
        <v>542</v>
      </c>
      <c r="AF1294">
        <v>29</v>
      </c>
      <c r="AG1294">
        <v>174</v>
      </c>
      <c r="AH1294">
        <v>129</v>
      </c>
      <c r="AI1294">
        <v>5.35</v>
      </c>
      <c r="AJ1294">
        <v>32.1</v>
      </c>
      <c r="AK1294">
        <v>23.8</v>
      </c>
      <c r="AL1294">
        <v>-20.178590099999951</v>
      </c>
      <c r="AM1294">
        <v>-44.90029029928732</v>
      </c>
      <c r="AN1294">
        <v>-20.178590099999951</v>
      </c>
      <c r="AO1294">
        <v>-44.90029029928732</v>
      </c>
      <c r="AP1294">
        <v>-20.178809000000001</v>
      </c>
      <c r="AQ1294">
        <v>-44.900204000000002</v>
      </c>
      <c r="AR1294">
        <v>25.982812999798391</v>
      </c>
      <c r="AS1294" t="s">
        <v>65</v>
      </c>
      <c r="AT1294">
        <v>1</v>
      </c>
      <c r="AU1294" t="s">
        <v>1402</v>
      </c>
      <c r="AV1294" t="s">
        <v>1403</v>
      </c>
      <c r="AW1294" t="s">
        <v>60</v>
      </c>
      <c r="AX1294" t="s">
        <v>68</v>
      </c>
      <c r="AY1294" t="s">
        <v>69</v>
      </c>
      <c r="AZ1294" t="b">
        <v>1</v>
      </c>
    </row>
    <row r="1295" spans="1:52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2128</v>
      </c>
      <c r="F1295" t="s">
        <v>1247</v>
      </c>
      <c r="G1295" t="s">
        <v>523</v>
      </c>
      <c r="H1295" t="s">
        <v>524</v>
      </c>
      <c r="I1295" t="s">
        <v>524</v>
      </c>
      <c r="J1295" t="s">
        <v>60</v>
      </c>
      <c r="K1295" t="s">
        <v>518</v>
      </c>
      <c r="L1295" t="s">
        <v>62</v>
      </c>
      <c r="M1295" t="s">
        <v>518</v>
      </c>
      <c r="N1295" t="s">
        <v>525</v>
      </c>
      <c r="O1295" t="s">
        <v>331</v>
      </c>
      <c r="P1295">
        <v>-20.126553000000001</v>
      </c>
      <c r="Q1295">
        <v>-44.888599999999997</v>
      </c>
      <c r="R1295" s="2" t="str">
        <f>HYPERLINK("https://www.google.com/maps?q=-20.1265530,-44.8886000","Abrir no Google Maps")</f>
        <v>Abrir no Google Maps</v>
      </c>
      <c r="S1295">
        <v>3</v>
      </c>
      <c r="T1295">
        <v>256.34043440603853</v>
      </c>
      <c r="U1295">
        <v>2</v>
      </c>
      <c r="V1295">
        <v>14</v>
      </c>
      <c r="W1295">
        <v>1</v>
      </c>
      <c r="X1295">
        <v>14</v>
      </c>
      <c r="Y1295">
        <v>564</v>
      </c>
      <c r="Z1295">
        <v>325.4404273055876</v>
      </c>
      <c r="AA1295">
        <v>198</v>
      </c>
      <c r="AB1295">
        <v>332</v>
      </c>
      <c r="AC1295">
        <v>536</v>
      </c>
      <c r="AD1295">
        <v>29.96</v>
      </c>
      <c r="AE1295">
        <v>542</v>
      </c>
      <c r="AF1295">
        <v>29</v>
      </c>
      <c r="AG1295">
        <v>174</v>
      </c>
      <c r="AH1295">
        <v>129</v>
      </c>
      <c r="AI1295">
        <v>5.35</v>
      </c>
      <c r="AJ1295">
        <v>32.1</v>
      </c>
      <c r="AK1295">
        <v>23.8</v>
      </c>
      <c r="AL1295">
        <v>-20.12669049999997</v>
      </c>
      <c r="AM1295">
        <v>-44.888671289876577</v>
      </c>
      <c r="AN1295">
        <v>-20.12669049999997</v>
      </c>
      <c r="AO1295">
        <v>-44.888671289876577</v>
      </c>
      <c r="AP1295">
        <v>-20.126553000000001</v>
      </c>
      <c r="AQ1295">
        <v>-44.888599999999997</v>
      </c>
      <c r="AR1295">
        <v>17.023861591720589</v>
      </c>
      <c r="AS1295" t="s">
        <v>65</v>
      </c>
      <c r="AT1295">
        <v>1</v>
      </c>
      <c r="AU1295" t="s">
        <v>526</v>
      </c>
      <c r="AV1295" t="s">
        <v>527</v>
      </c>
      <c r="AW1295" t="s">
        <v>60</v>
      </c>
      <c r="AX1295" t="s">
        <v>68</v>
      </c>
      <c r="AY1295" t="s">
        <v>69</v>
      </c>
      <c r="AZ1295" t="b">
        <v>1</v>
      </c>
    </row>
    <row r="1296" spans="1:52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2128</v>
      </c>
      <c r="F1296" t="s">
        <v>1247</v>
      </c>
      <c r="G1296" t="s">
        <v>503</v>
      </c>
      <c r="H1296" t="s">
        <v>1441</v>
      </c>
      <c r="I1296" t="s">
        <v>1441</v>
      </c>
      <c r="J1296" t="s">
        <v>60</v>
      </c>
      <c r="K1296" t="s">
        <v>512</v>
      </c>
      <c r="L1296" t="s">
        <v>62</v>
      </c>
      <c r="M1296" t="s">
        <v>512</v>
      </c>
      <c r="N1296" t="s">
        <v>506</v>
      </c>
      <c r="O1296" t="s">
        <v>1442</v>
      </c>
      <c r="P1296">
        <v>-20.13036</v>
      </c>
      <c r="Q1296">
        <v>-44.891019</v>
      </c>
      <c r="R1296" s="2" t="str">
        <f>HYPERLINK("https://www.google.com/maps?q=-20.1303600,-44.8910190","Abrir no Google Maps")</f>
        <v>Abrir no Google Maps</v>
      </c>
      <c r="S1296">
        <v>3</v>
      </c>
      <c r="T1296">
        <v>313.17410616307359</v>
      </c>
      <c r="U1296">
        <v>2</v>
      </c>
      <c r="V1296">
        <v>13</v>
      </c>
      <c r="W1296">
        <v>0.85</v>
      </c>
      <c r="X1296">
        <v>11.05</v>
      </c>
      <c r="Y1296">
        <v>564</v>
      </c>
      <c r="Z1296">
        <v>208.43159293494489</v>
      </c>
      <c r="AA1296">
        <v>198</v>
      </c>
      <c r="AB1296">
        <v>332</v>
      </c>
      <c r="AC1296">
        <v>536</v>
      </c>
      <c r="AD1296">
        <v>29.96</v>
      </c>
      <c r="AE1296">
        <v>542</v>
      </c>
      <c r="AF1296">
        <v>29</v>
      </c>
      <c r="AG1296">
        <v>174</v>
      </c>
      <c r="AH1296">
        <v>129</v>
      </c>
      <c r="AI1296">
        <v>5.35</v>
      </c>
      <c r="AJ1296">
        <v>32.1</v>
      </c>
      <c r="AK1296">
        <v>23.8</v>
      </c>
      <c r="AL1296">
        <v>-20.130100449999961</v>
      </c>
      <c r="AM1296">
        <v>-44.891163633475301</v>
      </c>
      <c r="AN1296">
        <v>-20.130100449999961</v>
      </c>
      <c r="AO1296">
        <v>-44.891163633475301</v>
      </c>
      <c r="AP1296">
        <v>-20.13036</v>
      </c>
      <c r="AQ1296">
        <v>-44.891019</v>
      </c>
      <c r="AR1296">
        <v>32.608854575381159</v>
      </c>
      <c r="AS1296" t="s">
        <v>65</v>
      </c>
      <c r="AT1296">
        <v>1</v>
      </c>
      <c r="AU1296" t="s">
        <v>1443</v>
      </c>
      <c r="AV1296" t="s">
        <v>1444</v>
      </c>
      <c r="AW1296" t="s">
        <v>60</v>
      </c>
      <c r="AX1296" t="s">
        <v>68</v>
      </c>
      <c r="AY1296" t="s">
        <v>69</v>
      </c>
      <c r="AZ1296" t="b">
        <v>1</v>
      </c>
    </row>
    <row r="1297" spans="1:52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2128</v>
      </c>
      <c r="F1297" t="s">
        <v>1247</v>
      </c>
      <c r="G1297" t="s">
        <v>473</v>
      </c>
      <c r="H1297" t="s">
        <v>1445</v>
      </c>
      <c r="I1297" t="s">
        <v>1445</v>
      </c>
      <c r="J1297" t="s">
        <v>60</v>
      </c>
      <c r="K1297" t="s">
        <v>892</v>
      </c>
      <c r="L1297" t="s">
        <v>62</v>
      </c>
      <c r="M1297" t="s">
        <v>892</v>
      </c>
      <c r="N1297" t="s">
        <v>406</v>
      </c>
      <c r="O1297" t="s">
        <v>1446</v>
      </c>
      <c r="P1297">
        <v>-20.14941</v>
      </c>
      <c r="Q1297">
        <v>-44.899535</v>
      </c>
      <c r="R1297" s="2" t="str">
        <f>HYPERLINK("https://www.google.com/maps?q=-20.1494100,-44.8995350","Abrir no Google Maps")</f>
        <v>Abrir no Google Maps</v>
      </c>
      <c r="S1297">
        <v>3</v>
      </c>
      <c r="T1297">
        <v>249.83945591849931</v>
      </c>
      <c r="U1297">
        <v>2</v>
      </c>
      <c r="V1297">
        <v>15</v>
      </c>
      <c r="W1297">
        <v>0.85</v>
      </c>
      <c r="X1297">
        <v>12.75</v>
      </c>
      <c r="Y1297">
        <v>556</v>
      </c>
      <c r="Z1297">
        <v>156.62360082488701</v>
      </c>
      <c r="AA1297">
        <v>198</v>
      </c>
      <c r="AB1297">
        <v>332</v>
      </c>
      <c r="AC1297">
        <v>536</v>
      </c>
      <c r="AD1297">
        <v>29.96</v>
      </c>
      <c r="AE1297">
        <v>542</v>
      </c>
      <c r="AF1297">
        <v>29</v>
      </c>
      <c r="AG1297">
        <v>174</v>
      </c>
      <c r="AH1297">
        <v>129</v>
      </c>
      <c r="AI1297">
        <v>5.35</v>
      </c>
      <c r="AJ1297">
        <v>32.1</v>
      </c>
      <c r="AK1297">
        <v>23.8</v>
      </c>
      <c r="AL1297">
        <v>-20.149341899999939</v>
      </c>
      <c r="AM1297">
        <v>-44.899575902083967</v>
      </c>
      <c r="AN1297">
        <v>-20.149341899999939</v>
      </c>
      <c r="AO1297">
        <v>-44.899575902083967</v>
      </c>
      <c r="AP1297">
        <v>-20.14941</v>
      </c>
      <c r="AQ1297">
        <v>-44.899535</v>
      </c>
      <c r="AR1297">
        <v>8.7029725999778709</v>
      </c>
      <c r="AS1297" t="s">
        <v>65</v>
      </c>
      <c r="AT1297">
        <v>1</v>
      </c>
      <c r="AU1297" t="s">
        <v>1447</v>
      </c>
      <c r="AV1297" t="s">
        <v>1448</v>
      </c>
      <c r="AW1297" t="s">
        <v>60</v>
      </c>
      <c r="AX1297" t="s">
        <v>68</v>
      </c>
      <c r="AY1297" t="s">
        <v>69</v>
      </c>
      <c r="AZ1297" t="b">
        <v>1</v>
      </c>
    </row>
    <row r="1298" spans="1:52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2128</v>
      </c>
      <c r="F1298" t="s">
        <v>1247</v>
      </c>
      <c r="G1298" t="s">
        <v>398</v>
      </c>
      <c r="H1298" t="s">
        <v>541</v>
      </c>
      <c r="I1298" t="s">
        <v>541</v>
      </c>
      <c r="J1298" t="s">
        <v>60</v>
      </c>
      <c r="K1298" t="s">
        <v>388</v>
      </c>
      <c r="L1298" t="s">
        <v>62</v>
      </c>
      <c r="M1298" t="s">
        <v>388</v>
      </c>
      <c r="N1298" t="s">
        <v>400</v>
      </c>
      <c r="O1298" t="s">
        <v>542</v>
      </c>
      <c r="P1298">
        <v>-20.151335</v>
      </c>
      <c r="Q1298">
        <v>-44.901041999999997</v>
      </c>
      <c r="R1298" s="2" t="str">
        <f>HYPERLINK("https://www.google.com/maps?q=-20.1513350,-44.9010420","Abrir no Google Maps")</f>
        <v>Abrir no Google Maps</v>
      </c>
      <c r="S1298">
        <v>3</v>
      </c>
      <c r="T1298">
        <v>0</v>
      </c>
      <c r="U1298">
        <v>2</v>
      </c>
      <c r="V1298">
        <v>11</v>
      </c>
      <c r="W1298">
        <v>1</v>
      </c>
      <c r="X1298">
        <v>11</v>
      </c>
      <c r="Y1298">
        <v>556</v>
      </c>
      <c r="Z1298">
        <v>137.71609036908939</v>
      </c>
      <c r="AA1298">
        <v>198</v>
      </c>
      <c r="AB1298">
        <v>332</v>
      </c>
      <c r="AC1298">
        <v>536</v>
      </c>
      <c r="AD1298">
        <v>29.96</v>
      </c>
      <c r="AE1298">
        <v>542</v>
      </c>
      <c r="AF1298">
        <v>29</v>
      </c>
      <c r="AG1298">
        <v>174</v>
      </c>
      <c r="AH1298">
        <v>129</v>
      </c>
      <c r="AI1298">
        <v>5.35</v>
      </c>
      <c r="AJ1298">
        <v>32.1</v>
      </c>
      <c r="AK1298">
        <v>23.8</v>
      </c>
      <c r="AL1298">
        <v>-20.15125899999995</v>
      </c>
      <c r="AM1298">
        <v>-44.900838557594433</v>
      </c>
      <c r="AN1298">
        <v>-20.15125899999995</v>
      </c>
      <c r="AO1298">
        <v>-44.900838557594433</v>
      </c>
      <c r="AP1298">
        <v>-20.151335</v>
      </c>
      <c r="AQ1298">
        <v>-44.901041999999997</v>
      </c>
      <c r="AR1298">
        <v>22.882363139483491</v>
      </c>
      <c r="AS1298" t="s">
        <v>65</v>
      </c>
      <c r="AT1298">
        <v>1</v>
      </c>
      <c r="AU1298" t="s">
        <v>543</v>
      </c>
      <c r="AV1298" t="s">
        <v>544</v>
      </c>
      <c r="AW1298" t="s">
        <v>60</v>
      </c>
      <c r="AX1298" t="s">
        <v>68</v>
      </c>
      <c r="AY1298" t="s">
        <v>69</v>
      </c>
      <c r="AZ1298" t="b">
        <v>1</v>
      </c>
    </row>
    <row r="1299" spans="1:52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2128</v>
      </c>
      <c r="F1299" t="s">
        <v>1247</v>
      </c>
      <c r="G1299" t="s">
        <v>1127</v>
      </c>
      <c r="H1299" t="s">
        <v>1449</v>
      </c>
      <c r="I1299" t="s">
        <v>1449</v>
      </c>
      <c r="J1299" t="s">
        <v>60</v>
      </c>
      <c r="K1299" t="s">
        <v>1450</v>
      </c>
      <c r="L1299" t="s">
        <v>62</v>
      </c>
      <c r="M1299" t="s">
        <v>1450</v>
      </c>
      <c r="N1299" t="s">
        <v>1451</v>
      </c>
      <c r="O1299" t="s">
        <v>1452</v>
      </c>
      <c r="P1299">
        <v>-20.152612000000001</v>
      </c>
      <c r="Q1299">
        <v>-44.897098</v>
      </c>
      <c r="R1299" s="2" t="str">
        <f>HYPERLINK("https://www.google.com/maps?q=-20.1526120,-44.8970980","Abrir no Google Maps")</f>
        <v>Abrir no Google Maps</v>
      </c>
      <c r="S1299">
        <v>3</v>
      </c>
      <c r="T1299">
        <v>418.6283592063233</v>
      </c>
      <c r="U1299">
        <v>2</v>
      </c>
      <c r="V1299">
        <v>11</v>
      </c>
      <c r="W1299">
        <v>0.85</v>
      </c>
      <c r="X1299">
        <v>9.35</v>
      </c>
      <c r="Y1299">
        <v>556</v>
      </c>
      <c r="Z1299">
        <v>387.16462225830952</v>
      </c>
      <c r="AA1299">
        <v>198</v>
      </c>
      <c r="AB1299">
        <v>332</v>
      </c>
      <c r="AC1299">
        <v>536</v>
      </c>
      <c r="AD1299">
        <v>29.96</v>
      </c>
      <c r="AE1299">
        <v>542</v>
      </c>
      <c r="AF1299">
        <v>29</v>
      </c>
      <c r="AG1299">
        <v>174</v>
      </c>
      <c r="AH1299">
        <v>129</v>
      </c>
      <c r="AI1299">
        <v>5.35</v>
      </c>
      <c r="AJ1299">
        <v>32.1</v>
      </c>
      <c r="AK1299">
        <v>23.8</v>
      </c>
      <c r="AL1299">
        <v>-20.15253669999996</v>
      </c>
      <c r="AM1299">
        <v>-44.897068126936119</v>
      </c>
      <c r="AN1299">
        <v>-20.15253669999996</v>
      </c>
      <c r="AO1299">
        <v>-44.897068126936119</v>
      </c>
      <c r="AP1299">
        <v>-20.152612000000001</v>
      </c>
      <c r="AQ1299">
        <v>-44.897098</v>
      </c>
      <c r="AR1299">
        <v>8.9448699164987104</v>
      </c>
      <c r="AS1299" t="s">
        <v>65</v>
      </c>
      <c r="AT1299">
        <v>1</v>
      </c>
      <c r="AU1299" t="s">
        <v>1453</v>
      </c>
      <c r="AV1299" t="s">
        <v>1454</v>
      </c>
      <c r="AW1299" t="s">
        <v>60</v>
      </c>
      <c r="AX1299" t="s">
        <v>68</v>
      </c>
      <c r="AY1299" t="s">
        <v>69</v>
      </c>
      <c r="AZ1299" t="b">
        <v>1</v>
      </c>
    </row>
    <row r="1300" spans="1:52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2128</v>
      </c>
      <c r="F1300" t="s">
        <v>1247</v>
      </c>
      <c r="G1300" t="s">
        <v>1417</v>
      </c>
      <c r="H1300" t="s">
        <v>1418</v>
      </c>
      <c r="I1300" t="s">
        <v>1418</v>
      </c>
      <c r="J1300" t="s">
        <v>60</v>
      </c>
      <c r="K1300" t="s">
        <v>1419</v>
      </c>
      <c r="L1300" t="s">
        <v>62</v>
      </c>
      <c r="M1300" t="s">
        <v>1419</v>
      </c>
      <c r="N1300" t="s">
        <v>1420</v>
      </c>
      <c r="O1300" t="s">
        <v>1421</v>
      </c>
      <c r="P1300">
        <v>-20.159427000000001</v>
      </c>
      <c r="Q1300">
        <v>-44.897143</v>
      </c>
      <c r="R1300" s="2" t="str">
        <f>HYPERLINK("https://www.google.com/maps?q=-20.1594270,-44.8971430","Abrir no Google Maps")</f>
        <v>Abrir no Google Maps</v>
      </c>
      <c r="S1300">
        <v>3</v>
      </c>
      <c r="T1300">
        <v>392.64349875646298</v>
      </c>
      <c r="U1300">
        <v>1</v>
      </c>
      <c r="V1300">
        <v>6</v>
      </c>
      <c r="W1300">
        <v>0.85</v>
      </c>
      <c r="X1300">
        <v>5.0999999999999996</v>
      </c>
      <c r="Y1300">
        <v>729</v>
      </c>
      <c r="Z1300">
        <v>550.20062797366995</v>
      </c>
      <c r="AA1300">
        <v>198</v>
      </c>
      <c r="AB1300">
        <v>332</v>
      </c>
      <c r="AC1300">
        <v>536</v>
      </c>
      <c r="AD1300">
        <v>29.96</v>
      </c>
      <c r="AE1300">
        <v>542</v>
      </c>
      <c r="AF1300">
        <v>29</v>
      </c>
      <c r="AG1300">
        <v>174</v>
      </c>
      <c r="AH1300">
        <v>129</v>
      </c>
      <c r="AI1300">
        <v>5.35</v>
      </c>
      <c r="AJ1300">
        <v>32.1</v>
      </c>
      <c r="AK1300">
        <v>23.8</v>
      </c>
      <c r="AL1300">
        <v>-20.15946549999995</v>
      </c>
      <c r="AM1300">
        <v>-44.89709959354267</v>
      </c>
      <c r="AN1300">
        <v>-20.15946549999995</v>
      </c>
      <c r="AO1300">
        <v>-44.89709959354267</v>
      </c>
      <c r="AP1300">
        <v>-20.159427000000001</v>
      </c>
      <c r="AQ1300">
        <v>-44.897143</v>
      </c>
      <c r="AR1300">
        <v>6.2404649979039286</v>
      </c>
      <c r="AS1300" t="s">
        <v>65</v>
      </c>
      <c r="AT1300">
        <v>1</v>
      </c>
      <c r="AU1300" t="s">
        <v>1422</v>
      </c>
      <c r="AV1300" t="s">
        <v>1423</v>
      </c>
      <c r="AW1300" t="s">
        <v>60</v>
      </c>
      <c r="AX1300" t="s">
        <v>68</v>
      </c>
      <c r="AY1300" t="s">
        <v>69</v>
      </c>
      <c r="AZ1300" t="b">
        <v>1</v>
      </c>
    </row>
    <row r="1301" spans="1:52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2128</v>
      </c>
      <c r="F1301" t="s">
        <v>1247</v>
      </c>
      <c r="G1301" t="s">
        <v>422</v>
      </c>
      <c r="H1301" t="s">
        <v>1323</v>
      </c>
      <c r="I1301" t="s">
        <v>1323</v>
      </c>
      <c r="J1301" t="s">
        <v>60</v>
      </c>
      <c r="K1301" t="s">
        <v>1324</v>
      </c>
      <c r="L1301" t="s">
        <v>62</v>
      </c>
      <c r="M1301" t="s">
        <v>1324</v>
      </c>
      <c r="N1301" t="s">
        <v>425</v>
      </c>
      <c r="O1301" t="s">
        <v>1325</v>
      </c>
      <c r="P1301">
        <v>-20.175142000000001</v>
      </c>
      <c r="Q1301">
        <v>-44.913783000000002</v>
      </c>
      <c r="R1301" s="2" t="str">
        <f>HYPERLINK("https://www.google.com/maps?q=-20.1751420,-44.9137830","Abrir no Google Maps")</f>
        <v>Abrir no Google Maps</v>
      </c>
      <c r="S1301">
        <v>3</v>
      </c>
      <c r="T1301">
        <v>495.73888273066677</v>
      </c>
      <c r="U1301">
        <v>1</v>
      </c>
      <c r="V1301">
        <v>7</v>
      </c>
      <c r="W1301">
        <v>0.85</v>
      </c>
      <c r="X1301">
        <v>5.95</v>
      </c>
      <c r="Y1301">
        <v>723</v>
      </c>
      <c r="Z1301">
        <v>488.51574748236328</v>
      </c>
      <c r="AA1301">
        <v>198</v>
      </c>
      <c r="AB1301">
        <v>332</v>
      </c>
      <c r="AC1301">
        <v>536</v>
      </c>
      <c r="AD1301">
        <v>29.96</v>
      </c>
      <c r="AE1301">
        <v>542</v>
      </c>
      <c r="AF1301">
        <v>29</v>
      </c>
      <c r="AG1301">
        <v>174</v>
      </c>
      <c r="AH1301">
        <v>129</v>
      </c>
      <c r="AI1301">
        <v>5.35</v>
      </c>
      <c r="AJ1301">
        <v>32.1</v>
      </c>
      <c r="AK1301">
        <v>23.8</v>
      </c>
      <c r="AL1301">
        <v>-20.175195199999958</v>
      </c>
      <c r="AM1301">
        <v>-44.913964122548052</v>
      </c>
      <c r="AN1301">
        <v>-20.175195199999958</v>
      </c>
      <c r="AO1301">
        <v>-44.913964122548052</v>
      </c>
      <c r="AP1301">
        <v>-20.175142000000001</v>
      </c>
      <c r="AQ1301">
        <v>-44.913783000000002</v>
      </c>
      <c r="AR1301">
        <v>19.830402633152101</v>
      </c>
      <c r="AS1301" t="s">
        <v>65</v>
      </c>
      <c r="AT1301">
        <v>1</v>
      </c>
      <c r="AU1301" t="s">
        <v>1326</v>
      </c>
      <c r="AV1301" t="s">
        <v>1327</v>
      </c>
      <c r="AW1301" t="s">
        <v>60</v>
      </c>
      <c r="AX1301" t="s">
        <v>68</v>
      </c>
      <c r="AY1301" t="s">
        <v>69</v>
      </c>
      <c r="AZ1301" t="b">
        <v>1</v>
      </c>
    </row>
    <row r="1302" spans="1:52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2128</v>
      </c>
      <c r="F1302" t="s">
        <v>1247</v>
      </c>
      <c r="G1302" t="s">
        <v>1342</v>
      </c>
      <c r="H1302" t="s">
        <v>1343</v>
      </c>
      <c r="I1302" t="s">
        <v>1343</v>
      </c>
      <c r="J1302" t="s">
        <v>60</v>
      </c>
      <c r="K1302" t="s">
        <v>462</v>
      </c>
      <c r="L1302" t="s">
        <v>62</v>
      </c>
      <c r="M1302" t="s">
        <v>462</v>
      </c>
      <c r="N1302" t="s">
        <v>921</v>
      </c>
      <c r="O1302" t="s">
        <v>1344</v>
      </c>
      <c r="P1302">
        <v>-20.137526000000001</v>
      </c>
      <c r="Q1302">
        <v>-44.912452999999999</v>
      </c>
      <c r="R1302" s="2" t="str">
        <f>HYPERLINK("https://www.google.com/maps?q=-20.1375260,-44.9124530","Abrir no Google Maps")</f>
        <v>Abrir no Google Maps</v>
      </c>
      <c r="S1302">
        <v>3</v>
      </c>
      <c r="T1302">
        <v>446.95091416730708</v>
      </c>
      <c r="U1302">
        <v>1</v>
      </c>
      <c r="V1302">
        <v>5</v>
      </c>
      <c r="W1302">
        <v>0.85</v>
      </c>
      <c r="X1302">
        <v>4.25</v>
      </c>
      <c r="Y1302">
        <v>581</v>
      </c>
      <c r="Z1302">
        <v>507.4747778269288</v>
      </c>
      <c r="AA1302">
        <v>198</v>
      </c>
      <c r="AB1302">
        <v>332</v>
      </c>
      <c r="AC1302">
        <v>536</v>
      </c>
      <c r="AD1302">
        <v>29.96</v>
      </c>
      <c r="AE1302">
        <v>542</v>
      </c>
      <c r="AF1302">
        <v>29</v>
      </c>
      <c r="AG1302">
        <v>174</v>
      </c>
      <c r="AH1302">
        <v>129</v>
      </c>
      <c r="AI1302">
        <v>5.35</v>
      </c>
      <c r="AJ1302">
        <v>32.1</v>
      </c>
      <c r="AK1302">
        <v>23.8</v>
      </c>
      <c r="AL1302">
        <v>-20.136672649999959</v>
      </c>
      <c r="AM1302">
        <v>-44.911825104396357</v>
      </c>
      <c r="AN1302">
        <v>-20.136672649999959</v>
      </c>
      <c r="AO1302">
        <v>-44.911825104396357</v>
      </c>
      <c r="AP1302">
        <v>-20.137526000000001</v>
      </c>
      <c r="AQ1302">
        <v>-44.912452999999999</v>
      </c>
      <c r="AR1302">
        <v>115.45843265992529</v>
      </c>
      <c r="AS1302" t="s">
        <v>65</v>
      </c>
      <c r="AT1302">
        <v>1</v>
      </c>
      <c r="AU1302" t="s">
        <v>1345</v>
      </c>
      <c r="AV1302" t="s">
        <v>1346</v>
      </c>
      <c r="AW1302" t="s">
        <v>60</v>
      </c>
      <c r="AX1302" t="s">
        <v>68</v>
      </c>
      <c r="AY1302" t="s">
        <v>69</v>
      </c>
      <c r="AZ1302" t="b">
        <v>1</v>
      </c>
    </row>
    <row r="1303" spans="1:52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2128</v>
      </c>
      <c r="F1303" t="s">
        <v>1247</v>
      </c>
      <c r="G1303" t="s">
        <v>1347</v>
      </c>
      <c r="H1303" t="s">
        <v>1348</v>
      </c>
      <c r="I1303" t="s">
        <v>1348</v>
      </c>
      <c r="J1303" t="s">
        <v>60</v>
      </c>
      <c r="K1303" t="s">
        <v>1349</v>
      </c>
      <c r="L1303" t="s">
        <v>62</v>
      </c>
      <c r="M1303" t="s">
        <v>1349</v>
      </c>
      <c r="N1303" t="s">
        <v>1350</v>
      </c>
      <c r="O1303" t="s">
        <v>1351</v>
      </c>
      <c r="P1303">
        <v>-20.140426999999999</v>
      </c>
      <c r="Q1303">
        <v>-44.905327999999997</v>
      </c>
      <c r="R1303" s="2" t="str">
        <f>HYPERLINK("https://www.google.com/maps?q=-20.1404270,-44.9053280","Abrir no Google Maps")</f>
        <v>Abrir no Google Maps</v>
      </c>
      <c r="S1303">
        <v>3</v>
      </c>
      <c r="T1303">
        <v>359.5810968231857</v>
      </c>
      <c r="U1303">
        <v>1</v>
      </c>
      <c r="V1303">
        <v>9</v>
      </c>
      <c r="W1303">
        <v>0.85</v>
      </c>
      <c r="X1303">
        <v>7.6499999999999986</v>
      </c>
      <c r="Y1303">
        <v>581</v>
      </c>
      <c r="Z1303">
        <v>292.370097058873</v>
      </c>
      <c r="AA1303">
        <v>198</v>
      </c>
      <c r="AB1303">
        <v>332</v>
      </c>
      <c r="AC1303">
        <v>536</v>
      </c>
      <c r="AD1303">
        <v>29.96</v>
      </c>
      <c r="AE1303">
        <v>542</v>
      </c>
      <c r="AF1303">
        <v>29</v>
      </c>
      <c r="AG1303">
        <v>174</v>
      </c>
      <c r="AH1303">
        <v>129</v>
      </c>
      <c r="AI1303">
        <v>5.35</v>
      </c>
      <c r="AJ1303">
        <v>32.1</v>
      </c>
      <c r="AK1303">
        <v>23.8</v>
      </c>
      <c r="AL1303">
        <v>-20.140465449999969</v>
      </c>
      <c r="AM1303">
        <v>-44.905317129037229</v>
      </c>
      <c r="AN1303">
        <v>-20.140465449999969</v>
      </c>
      <c r="AO1303">
        <v>-44.905317129037229</v>
      </c>
      <c r="AP1303">
        <v>-20.140426999999999</v>
      </c>
      <c r="AQ1303">
        <v>-44.905327999999997</v>
      </c>
      <c r="AR1303">
        <v>4.4284788644958706</v>
      </c>
      <c r="AS1303" t="s">
        <v>65</v>
      </c>
      <c r="AT1303">
        <v>1</v>
      </c>
      <c r="AU1303" t="s">
        <v>1352</v>
      </c>
      <c r="AV1303" t="s">
        <v>1353</v>
      </c>
      <c r="AW1303" t="s">
        <v>60</v>
      </c>
      <c r="AX1303" t="s">
        <v>68</v>
      </c>
      <c r="AY1303" t="s">
        <v>69</v>
      </c>
      <c r="AZ1303" t="b">
        <v>1</v>
      </c>
    </row>
    <row r="1304" spans="1:52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2128</v>
      </c>
      <c r="F1304" t="s">
        <v>1247</v>
      </c>
      <c r="G1304" t="s">
        <v>1424</v>
      </c>
      <c r="H1304" t="s">
        <v>1425</v>
      </c>
      <c r="I1304" t="s">
        <v>1425</v>
      </c>
      <c r="J1304" t="s">
        <v>60</v>
      </c>
      <c r="K1304" t="s">
        <v>1324</v>
      </c>
      <c r="L1304" t="s">
        <v>62</v>
      </c>
      <c r="M1304" t="s">
        <v>1324</v>
      </c>
      <c r="N1304" t="s">
        <v>1426</v>
      </c>
      <c r="O1304" t="s">
        <v>938</v>
      </c>
      <c r="P1304">
        <v>-20.172844999999999</v>
      </c>
      <c r="Q1304">
        <v>-44.909215000000003</v>
      </c>
      <c r="R1304" s="2" t="str">
        <f>HYPERLINK("https://www.google.com/maps?q=-20.1728450,-44.9092150","Abrir no Google Maps")</f>
        <v>Abrir no Google Maps</v>
      </c>
      <c r="S1304">
        <v>3</v>
      </c>
      <c r="T1304">
        <v>0</v>
      </c>
      <c r="U1304">
        <v>1</v>
      </c>
      <c r="V1304">
        <v>0</v>
      </c>
      <c r="W1304">
        <v>0.85</v>
      </c>
      <c r="X1304">
        <v>0</v>
      </c>
      <c r="Y1304">
        <v>578</v>
      </c>
      <c r="Z1304">
        <v>365.56549317689053</v>
      </c>
      <c r="AA1304">
        <v>198</v>
      </c>
      <c r="AB1304">
        <v>332</v>
      </c>
      <c r="AC1304">
        <v>536</v>
      </c>
      <c r="AD1304">
        <v>29.96</v>
      </c>
      <c r="AE1304">
        <v>542</v>
      </c>
      <c r="AF1304">
        <v>29</v>
      </c>
      <c r="AG1304">
        <v>174</v>
      </c>
      <c r="AH1304">
        <v>129</v>
      </c>
      <c r="AI1304">
        <v>5.35</v>
      </c>
      <c r="AJ1304">
        <v>32.1</v>
      </c>
      <c r="AK1304">
        <v>23.8</v>
      </c>
      <c r="AL1304">
        <v>-20.172197349999941</v>
      </c>
      <c r="AM1304">
        <v>-44.910438675762883</v>
      </c>
      <c r="AN1304">
        <v>-20.172197349999941</v>
      </c>
      <c r="AO1304">
        <v>-44.910438675762883</v>
      </c>
      <c r="AP1304">
        <v>-20.172844999999999</v>
      </c>
      <c r="AQ1304">
        <v>-44.909215000000003</v>
      </c>
      <c r="AR1304">
        <v>146.78922919749749</v>
      </c>
      <c r="AS1304" t="s">
        <v>65</v>
      </c>
      <c r="AT1304">
        <v>1</v>
      </c>
      <c r="AU1304" t="s">
        <v>1427</v>
      </c>
      <c r="AV1304" t="s">
        <v>1428</v>
      </c>
      <c r="AW1304" t="s">
        <v>60</v>
      </c>
      <c r="AX1304" t="s">
        <v>68</v>
      </c>
      <c r="AY1304" t="s">
        <v>69</v>
      </c>
      <c r="AZ1304" t="b">
        <v>1</v>
      </c>
    </row>
    <row r="1305" spans="1:52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2128</v>
      </c>
      <c r="F1305" t="s">
        <v>1247</v>
      </c>
      <c r="G1305" t="s">
        <v>815</v>
      </c>
      <c r="H1305" t="s">
        <v>1404</v>
      </c>
      <c r="I1305" t="s">
        <v>1404</v>
      </c>
      <c r="J1305" t="s">
        <v>60</v>
      </c>
      <c r="K1305" t="s">
        <v>512</v>
      </c>
      <c r="L1305" t="s">
        <v>62</v>
      </c>
      <c r="M1305" t="s">
        <v>512</v>
      </c>
      <c r="N1305" t="s">
        <v>817</v>
      </c>
      <c r="O1305" t="s">
        <v>1405</v>
      </c>
      <c r="P1305">
        <v>-20.129069999999999</v>
      </c>
      <c r="Q1305">
        <v>-44.888452000000001</v>
      </c>
      <c r="R1305" s="2" t="str">
        <f>HYPERLINK("https://www.google.com/maps?q=-20.1290700,-44.8884520","Abrir no Google Maps")</f>
        <v>Abrir no Google Maps</v>
      </c>
      <c r="S1305">
        <v>3</v>
      </c>
      <c r="T1305">
        <v>0</v>
      </c>
      <c r="U1305">
        <v>1</v>
      </c>
      <c r="V1305">
        <v>7</v>
      </c>
      <c r="W1305">
        <v>0.85</v>
      </c>
      <c r="X1305">
        <v>5.95</v>
      </c>
      <c r="Y1305">
        <v>564</v>
      </c>
      <c r="Z1305">
        <v>95.870354837220688</v>
      </c>
      <c r="AA1305">
        <v>198</v>
      </c>
      <c r="AB1305">
        <v>332</v>
      </c>
      <c r="AC1305">
        <v>536</v>
      </c>
      <c r="AD1305">
        <v>29.96</v>
      </c>
      <c r="AE1305">
        <v>542</v>
      </c>
      <c r="AF1305">
        <v>29</v>
      </c>
      <c r="AG1305">
        <v>174</v>
      </c>
      <c r="AH1305">
        <v>129</v>
      </c>
      <c r="AI1305">
        <v>5.35</v>
      </c>
      <c r="AJ1305">
        <v>32.1</v>
      </c>
      <c r="AK1305">
        <v>23.8</v>
      </c>
      <c r="AL1305">
        <v>-20.12899334999997</v>
      </c>
      <c r="AM1305">
        <v>-44.888406102471222</v>
      </c>
      <c r="AN1305">
        <v>-20.12899334999997</v>
      </c>
      <c r="AO1305">
        <v>-44.888406102471222</v>
      </c>
      <c r="AP1305">
        <v>-20.129069999999999</v>
      </c>
      <c r="AQ1305">
        <v>-44.888452000000001</v>
      </c>
      <c r="AR1305">
        <v>9.7887731150376265</v>
      </c>
      <c r="AS1305" t="s">
        <v>65</v>
      </c>
      <c r="AT1305">
        <v>1</v>
      </c>
      <c r="AU1305" t="s">
        <v>1406</v>
      </c>
      <c r="AV1305" t="s">
        <v>1407</v>
      </c>
      <c r="AW1305" t="s">
        <v>60</v>
      </c>
      <c r="AX1305" t="s">
        <v>68</v>
      </c>
      <c r="AY1305" t="s">
        <v>69</v>
      </c>
      <c r="AZ1305" t="b">
        <v>1</v>
      </c>
    </row>
    <row r="1306" spans="1:52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2128</v>
      </c>
      <c r="F1306" t="s">
        <v>1247</v>
      </c>
      <c r="G1306" t="s">
        <v>1429</v>
      </c>
      <c r="H1306" t="s">
        <v>1430</v>
      </c>
      <c r="I1306" t="s">
        <v>1430</v>
      </c>
      <c r="J1306" t="s">
        <v>60</v>
      </c>
      <c r="K1306" t="s">
        <v>505</v>
      </c>
      <c r="L1306" t="s">
        <v>62</v>
      </c>
      <c r="M1306" t="s">
        <v>505</v>
      </c>
      <c r="N1306" t="s">
        <v>1431</v>
      </c>
      <c r="O1306" t="s">
        <v>1432</v>
      </c>
      <c r="P1306">
        <v>-20.132069000000001</v>
      </c>
      <c r="Q1306">
        <v>-44.891694000000001</v>
      </c>
      <c r="R1306" s="2" t="str">
        <f>HYPERLINK("https://www.google.com/maps?q=-20.1320690,-44.8916940","Abrir no Google Maps")</f>
        <v>Abrir no Google Maps</v>
      </c>
      <c r="S1306">
        <v>3</v>
      </c>
      <c r="T1306">
        <v>463.84477613866852</v>
      </c>
      <c r="U1306">
        <v>1</v>
      </c>
      <c r="V1306">
        <v>8</v>
      </c>
      <c r="W1306">
        <v>0.85</v>
      </c>
      <c r="X1306">
        <v>6.8</v>
      </c>
      <c r="Y1306">
        <v>564</v>
      </c>
      <c r="Z1306">
        <v>349.6044774510159</v>
      </c>
      <c r="AA1306">
        <v>198</v>
      </c>
      <c r="AB1306">
        <v>332</v>
      </c>
      <c r="AC1306">
        <v>536</v>
      </c>
      <c r="AD1306">
        <v>29.96</v>
      </c>
      <c r="AE1306">
        <v>542</v>
      </c>
      <c r="AF1306">
        <v>29</v>
      </c>
      <c r="AG1306">
        <v>174</v>
      </c>
      <c r="AH1306">
        <v>129</v>
      </c>
      <c r="AI1306">
        <v>5.35</v>
      </c>
      <c r="AJ1306">
        <v>32.1</v>
      </c>
      <c r="AK1306">
        <v>23.8</v>
      </c>
      <c r="AL1306">
        <v>-20.131860799999941</v>
      </c>
      <c r="AM1306">
        <v>-44.891643045551348</v>
      </c>
      <c r="AN1306">
        <v>-20.131860799999941</v>
      </c>
      <c r="AO1306">
        <v>-44.891643045551348</v>
      </c>
      <c r="AP1306">
        <v>-20.132069000000001</v>
      </c>
      <c r="AQ1306">
        <v>-44.891694000000001</v>
      </c>
      <c r="AR1306">
        <v>23.780836080569209</v>
      </c>
      <c r="AS1306" t="s">
        <v>65</v>
      </c>
      <c r="AT1306">
        <v>1</v>
      </c>
      <c r="AU1306" t="s">
        <v>1433</v>
      </c>
      <c r="AV1306" t="s">
        <v>1434</v>
      </c>
      <c r="AW1306" t="s">
        <v>60</v>
      </c>
      <c r="AX1306" t="s">
        <v>68</v>
      </c>
      <c r="AY1306" t="s">
        <v>69</v>
      </c>
      <c r="AZ1306" t="b">
        <v>1</v>
      </c>
    </row>
    <row r="1307" spans="1:52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2128</v>
      </c>
      <c r="F1307" t="s">
        <v>1247</v>
      </c>
      <c r="G1307" t="s">
        <v>649</v>
      </c>
      <c r="H1307" t="s">
        <v>885</v>
      </c>
      <c r="I1307" t="s">
        <v>885</v>
      </c>
      <c r="J1307" t="s">
        <v>60</v>
      </c>
      <c r="K1307" t="s">
        <v>886</v>
      </c>
      <c r="L1307" t="s">
        <v>62</v>
      </c>
      <c r="M1307" t="s">
        <v>886</v>
      </c>
      <c r="N1307" t="s">
        <v>652</v>
      </c>
      <c r="O1307" t="s">
        <v>887</v>
      </c>
      <c r="P1307">
        <v>-20.132252000000001</v>
      </c>
      <c r="Q1307">
        <v>-44.894159000000002</v>
      </c>
      <c r="R1307" s="2" t="str">
        <f>HYPERLINK("https://www.google.com/maps?q=-20.1322520,-44.8941590","Abrir no Google Maps")</f>
        <v>Abrir no Google Maps</v>
      </c>
      <c r="S1307">
        <v>3</v>
      </c>
      <c r="T1307">
        <v>699.5004749448899</v>
      </c>
      <c r="U1307">
        <v>1</v>
      </c>
      <c r="V1307">
        <v>7</v>
      </c>
      <c r="W1307">
        <v>0.85</v>
      </c>
      <c r="X1307">
        <v>5.95</v>
      </c>
      <c r="Y1307">
        <v>564</v>
      </c>
      <c r="Z1307">
        <v>522.21103586457991</v>
      </c>
      <c r="AA1307">
        <v>198</v>
      </c>
      <c r="AB1307">
        <v>332</v>
      </c>
      <c r="AC1307">
        <v>536</v>
      </c>
      <c r="AD1307">
        <v>29.96</v>
      </c>
      <c r="AE1307">
        <v>542</v>
      </c>
      <c r="AF1307">
        <v>29</v>
      </c>
      <c r="AG1307">
        <v>174</v>
      </c>
      <c r="AH1307">
        <v>129</v>
      </c>
      <c r="AI1307">
        <v>5.35</v>
      </c>
      <c r="AJ1307">
        <v>32.1</v>
      </c>
      <c r="AK1307">
        <v>23.8</v>
      </c>
      <c r="AL1307">
        <v>-20.132285999999969</v>
      </c>
      <c r="AM1307">
        <v>-44.894119001288672</v>
      </c>
      <c r="AN1307">
        <v>-20.132285999999969</v>
      </c>
      <c r="AO1307">
        <v>-44.894119001288672</v>
      </c>
      <c r="AP1307">
        <v>-20.132252000000001</v>
      </c>
      <c r="AQ1307">
        <v>-44.894159000000002</v>
      </c>
      <c r="AR1307">
        <v>5.6393921063261629</v>
      </c>
      <c r="AS1307" t="s">
        <v>65</v>
      </c>
      <c r="AT1307">
        <v>1</v>
      </c>
      <c r="AU1307" t="s">
        <v>888</v>
      </c>
      <c r="AV1307" t="s">
        <v>889</v>
      </c>
      <c r="AW1307" t="s">
        <v>60</v>
      </c>
      <c r="AX1307" t="s">
        <v>68</v>
      </c>
      <c r="AY1307" t="s">
        <v>69</v>
      </c>
      <c r="AZ1307" t="b">
        <v>1</v>
      </c>
    </row>
    <row r="1308" spans="1:52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2128</v>
      </c>
      <c r="F1308" t="s">
        <v>1247</v>
      </c>
      <c r="G1308" t="s">
        <v>1435</v>
      </c>
      <c r="H1308" t="s">
        <v>1436</v>
      </c>
      <c r="I1308" t="s">
        <v>1436</v>
      </c>
      <c r="J1308" t="s">
        <v>60</v>
      </c>
      <c r="K1308" t="s">
        <v>886</v>
      </c>
      <c r="L1308" t="s">
        <v>62</v>
      </c>
      <c r="M1308" t="s">
        <v>886</v>
      </c>
      <c r="N1308" t="s">
        <v>1437</v>
      </c>
      <c r="O1308" t="s">
        <v>1438</v>
      </c>
      <c r="P1308">
        <v>-20.131108000000001</v>
      </c>
      <c r="Q1308">
        <v>-44.893228000000001</v>
      </c>
      <c r="R1308" s="2" t="str">
        <f>HYPERLINK("https://www.google.com/maps?q=-20.1311080,-44.8932280","Abrir no Google Maps")</f>
        <v>Abrir no Google Maps</v>
      </c>
      <c r="S1308">
        <v>3</v>
      </c>
      <c r="T1308">
        <v>548.07497919430136</v>
      </c>
      <c r="U1308">
        <v>1</v>
      </c>
      <c r="V1308">
        <v>5</v>
      </c>
      <c r="W1308">
        <v>0.85</v>
      </c>
      <c r="X1308">
        <v>4.25</v>
      </c>
      <c r="Y1308">
        <v>564</v>
      </c>
      <c r="Z1308">
        <v>369.17139216388432</v>
      </c>
      <c r="AA1308">
        <v>198</v>
      </c>
      <c r="AB1308">
        <v>332</v>
      </c>
      <c r="AC1308">
        <v>536</v>
      </c>
      <c r="AD1308">
        <v>29.96</v>
      </c>
      <c r="AE1308">
        <v>542</v>
      </c>
      <c r="AF1308">
        <v>29</v>
      </c>
      <c r="AG1308">
        <v>174</v>
      </c>
      <c r="AH1308">
        <v>129</v>
      </c>
      <c r="AI1308">
        <v>5.35</v>
      </c>
      <c r="AJ1308">
        <v>32.1</v>
      </c>
      <c r="AK1308">
        <v>23.8</v>
      </c>
      <c r="AL1308">
        <v>-20.13103294999997</v>
      </c>
      <c r="AM1308">
        <v>-44.89318457893738</v>
      </c>
      <c r="AN1308">
        <v>-20.13103294999997</v>
      </c>
      <c r="AO1308">
        <v>-44.89318457893738</v>
      </c>
      <c r="AP1308">
        <v>-20.131108000000001</v>
      </c>
      <c r="AQ1308">
        <v>-44.893228000000001</v>
      </c>
      <c r="AR1308">
        <v>9.5076426885244203</v>
      </c>
      <c r="AS1308" t="s">
        <v>65</v>
      </c>
      <c r="AT1308">
        <v>1</v>
      </c>
      <c r="AU1308" t="s">
        <v>1439</v>
      </c>
      <c r="AV1308" t="s">
        <v>1440</v>
      </c>
      <c r="AW1308" t="s">
        <v>60</v>
      </c>
      <c r="AX1308" t="s">
        <v>68</v>
      </c>
      <c r="AY1308" t="s">
        <v>69</v>
      </c>
      <c r="AZ1308" t="b">
        <v>1</v>
      </c>
    </row>
    <row r="1309" spans="1:52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2128</v>
      </c>
      <c r="F1309" t="s">
        <v>1247</v>
      </c>
      <c r="G1309" t="s">
        <v>1408</v>
      </c>
      <c r="H1309" t="s">
        <v>1409</v>
      </c>
      <c r="I1309" t="s">
        <v>1409</v>
      </c>
      <c r="J1309" t="s">
        <v>60</v>
      </c>
      <c r="K1309" t="s">
        <v>200</v>
      </c>
      <c r="L1309" t="s">
        <v>62</v>
      </c>
      <c r="M1309" t="s">
        <v>200</v>
      </c>
      <c r="N1309" t="s">
        <v>1410</v>
      </c>
      <c r="O1309" t="s">
        <v>1001</v>
      </c>
      <c r="P1309">
        <v>-20.126062999999998</v>
      </c>
      <c r="Q1309">
        <v>-44.894936999999999</v>
      </c>
      <c r="R1309" s="2" t="str">
        <f>HYPERLINK("https://www.google.com/maps?q=-20.1260630,-44.8949370","Abrir no Google Maps")</f>
        <v>Abrir no Google Maps</v>
      </c>
      <c r="S1309">
        <v>3</v>
      </c>
      <c r="T1309">
        <v>747.3122077966558</v>
      </c>
      <c r="U1309">
        <v>1</v>
      </c>
      <c r="V1309">
        <v>5</v>
      </c>
      <c r="W1309">
        <v>0.85</v>
      </c>
      <c r="X1309">
        <v>4.25</v>
      </c>
      <c r="Y1309">
        <v>564</v>
      </c>
      <c r="Z1309">
        <v>693.80888866206885</v>
      </c>
      <c r="AA1309">
        <v>198</v>
      </c>
      <c r="AB1309">
        <v>332</v>
      </c>
      <c r="AC1309">
        <v>536</v>
      </c>
      <c r="AD1309">
        <v>29.96</v>
      </c>
      <c r="AE1309">
        <v>542</v>
      </c>
      <c r="AF1309">
        <v>29</v>
      </c>
      <c r="AG1309">
        <v>174</v>
      </c>
      <c r="AH1309">
        <v>129</v>
      </c>
      <c r="AI1309">
        <v>5.35</v>
      </c>
      <c r="AJ1309">
        <v>32.1</v>
      </c>
      <c r="AK1309">
        <v>23.8</v>
      </c>
      <c r="AL1309">
        <v>-20.126099149999959</v>
      </c>
      <c r="AM1309">
        <v>-44.894866076436763</v>
      </c>
      <c r="AN1309">
        <v>-20.126099149999959</v>
      </c>
      <c r="AO1309">
        <v>-44.894866076436749</v>
      </c>
      <c r="AP1309">
        <v>-20.126062999999998</v>
      </c>
      <c r="AQ1309">
        <v>-44.894936999999999</v>
      </c>
      <c r="AR1309">
        <v>8.4349593682699737</v>
      </c>
      <c r="AS1309" t="s">
        <v>65</v>
      </c>
      <c r="AT1309">
        <v>1</v>
      </c>
      <c r="AU1309" t="s">
        <v>1411</v>
      </c>
      <c r="AV1309" t="s">
        <v>1003</v>
      </c>
      <c r="AW1309" t="s">
        <v>60</v>
      </c>
      <c r="AX1309" t="s">
        <v>68</v>
      </c>
      <c r="AY1309" t="s">
        <v>69</v>
      </c>
      <c r="AZ1309" t="b">
        <v>1</v>
      </c>
    </row>
    <row r="1310" spans="1:52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2128</v>
      </c>
      <c r="F1310" t="s">
        <v>1247</v>
      </c>
      <c r="G1310" t="s">
        <v>1412</v>
      </c>
      <c r="H1310" t="s">
        <v>1413</v>
      </c>
      <c r="I1310" t="s">
        <v>1413</v>
      </c>
      <c r="J1310" t="s">
        <v>60</v>
      </c>
      <c r="K1310" t="s">
        <v>892</v>
      </c>
      <c r="L1310" t="s">
        <v>62</v>
      </c>
      <c r="M1310" t="s">
        <v>892</v>
      </c>
      <c r="N1310" t="s">
        <v>1414</v>
      </c>
      <c r="O1310" t="s">
        <v>293</v>
      </c>
      <c r="P1310">
        <v>-20.150780999999998</v>
      </c>
      <c r="Q1310">
        <v>-44.897972000000003</v>
      </c>
      <c r="R1310" s="2" t="str">
        <f>HYPERLINK("https://www.google.com/maps?q=-20.1507810,-44.8979720","Abrir no Google Maps")</f>
        <v>Abrir no Google Maps</v>
      </c>
      <c r="S1310">
        <v>3</v>
      </c>
      <c r="T1310">
        <v>306.36394634674508</v>
      </c>
      <c r="U1310">
        <v>1</v>
      </c>
      <c r="V1310">
        <v>7</v>
      </c>
      <c r="W1310">
        <v>0.85</v>
      </c>
      <c r="X1310">
        <v>5.95</v>
      </c>
      <c r="Y1310">
        <v>556</v>
      </c>
      <c r="Z1310">
        <v>233.85692443628571</v>
      </c>
      <c r="AA1310">
        <v>198</v>
      </c>
      <c r="AB1310">
        <v>332</v>
      </c>
      <c r="AC1310">
        <v>536</v>
      </c>
      <c r="AD1310">
        <v>29.96</v>
      </c>
      <c r="AE1310">
        <v>542</v>
      </c>
      <c r="AF1310">
        <v>29</v>
      </c>
      <c r="AG1310">
        <v>174</v>
      </c>
      <c r="AH1310">
        <v>129</v>
      </c>
      <c r="AI1310">
        <v>5.35</v>
      </c>
      <c r="AJ1310">
        <v>32.1</v>
      </c>
      <c r="AK1310">
        <v>23.8</v>
      </c>
      <c r="AL1310">
        <v>-20.15074609999996</v>
      </c>
      <c r="AM1310">
        <v>-44.89795774234689</v>
      </c>
      <c r="AN1310">
        <v>-20.15074609999996</v>
      </c>
      <c r="AO1310">
        <v>-44.89795774234689</v>
      </c>
      <c r="AP1310">
        <v>-20.150780999999998</v>
      </c>
      <c r="AQ1310">
        <v>-44.897972000000003</v>
      </c>
      <c r="AR1310">
        <v>4.160995809097348</v>
      </c>
      <c r="AS1310" t="s">
        <v>65</v>
      </c>
      <c r="AT1310">
        <v>1</v>
      </c>
      <c r="AU1310" t="s">
        <v>1415</v>
      </c>
      <c r="AV1310" t="s">
        <v>1416</v>
      </c>
      <c r="AW1310" t="s">
        <v>60</v>
      </c>
      <c r="AX1310" t="s">
        <v>68</v>
      </c>
      <c r="AY1310" t="s">
        <v>69</v>
      </c>
      <c r="AZ1310" t="b">
        <v>1</v>
      </c>
    </row>
    <row r="1311" spans="1:52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2128</v>
      </c>
      <c r="F1311" t="s">
        <v>1247</v>
      </c>
      <c r="G1311" t="s">
        <v>1464</v>
      </c>
      <c r="H1311" t="s">
        <v>1465</v>
      </c>
      <c r="I1311" t="s">
        <v>1465</v>
      </c>
      <c r="J1311" t="s">
        <v>60</v>
      </c>
      <c r="K1311" t="s">
        <v>1466</v>
      </c>
      <c r="L1311" t="s">
        <v>62</v>
      </c>
      <c r="M1311" t="s">
        <v>1466</v>
      </c>
      <c r="N1311" t="s">
        <v>1467</v>
      </c>
      <c r="O1311" t="s">
        <v>145</v>
      </c>
      <c r="P1311">
        <v>-20.160509999999999</v>
      </c>
      <c r="Q1311">
        <v>-44.884123000000002</v>
      </c>
      <c r="R1311" s="2" t="str">
        <f>HYPERLINK("https://www.google.com/maps?q=-20.1605100,-44.8841230","Abrir no Google Maps")</f>
        <v>Abrir no Google Maps</v>
      </c>
      <c r="S1311">
        <v>2</v>
      </c>
      <c r="T1311">
        <v>650.04961276595373</v>
      </c>
      <c r="U1311">
        <v>4</v>
      </c>
      <c r="V1311">
        <v>27</v>
      </c>
      <c r="W1311">
        <v>1</v>
      </c>
      <c r="X1311">
        <v>27</v>
      </c>
      <c r="Y1311">
        <v>671</v>
      </c>
      <c r="Z1311">
        <v>591.49066685698506</v>
      </c>
      <c r="AA1311">
        <v>198</v>
      </c>
      <c r="AB1311">
        <v>332</v>
      </c>
      <c r="AC1311">
        <v>536</v>
      </c>
      <c r="AD1311">
        <v>29.96</v>
      </c>
      <c r="AE1311">
        <v>542</v>
      </c>
      <c r="AF1311">
        <v>29</v>
      </c>
      <c r="AG1311">
        <v>174</v>
      </c>
      <c r="AH1311">
        <v>129</v>
      </c>
      <c r="AI1311">
        <v>5.35</v>
      </c>
      <c r="AJ1311">
        <v>32.1</v>
      </c>
      <c r="AK1311">
        <v>23.8</v>
      </c>
      <c r="AL1311">
        <v>-20.16056479999995</v>
      </c>
      <c r="AM1311">
        <v>-44.88424978393428</v>
      </c>
      <c r="AN1311">
        <v>-20.160564799999939</v>
      </c>
      <c r="AO1311">
        <v>-44.88424978393428</v>
      </c>
      <c r="AP1311">
        <v>-20.160509999999999</v>
      </c>
      <c r="AQ1311">
        <v>-44.884123000000002</v>
      </c>
      <c r="AR1311">
        <v>14.585823463739541</v>
      </c>
      <c r="AS1311" t="s">
        <v>65</v>
      </c>
      <c r="AT1311">
        <v>1</v>
      </c>
      <c r="AU1311" t="s">
        <v>1468</v>
      </c>
      <c r="AV1311" t="s">
        <v>1469</v>
      </c>
      <c r="AW1311" t="s">
        <v>60</v>
      </c>
      <c r="AX1311" t="s">
        <v>68</v>
      </c>
      <c r="AY1311" t="s">
        <v>69</v>
      </c>
      <c r="AZ1311" t="b">
        <v>1</v>
      </c>
    </row>
    <row r="1312" spans="1:52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2128</v>
      </c>
      <c r="F1312" t="s">
        <v>1247</v>
      </c>
      <c r="G1312" t="s">
        <v>1490</v>
      </c>
      <c r="H1312" t="s">
        <v>1491</v>
      </c>
      <c r="I1312" t="s">
        <v>1491</v>
      </c>
      <c r="J1312" t="s">
        <v>60</v>
      </c>
      <c r="K1312" t="s">
        <v>336</v>
      </c>
      <c r="L1312" t="s">
        <v>62</v>
      </c>
      <c r="M1312" t="s">
        <v>336</v>
      </c>
      <c r="N1312" t="s">
        <v>1492</v>
      </c>
      <c r="O1312" t="s">
        <v>842</v>
      </c>
      <c r="P1312">
        <v>-20.164228999999999</v>
      </c>
      <c r="Q1312">
        <v>-44.876455999999997</v>
      </c>
      <c r="R1312" s="2" t="str">
        <f>HYPERLINK("https://www.google.com/maps?q=-20.1642290,-44.8764560","Abrir no Google Maps")</f>
        <v>Abrir no Google Maps</v>
      </c>
      <c r="S1312">
        <v>2</v>
      </c>
      <c r="T1312">
        <v>420.00990411628987</v>
      </c>
      <c r="U1312">
        <v>4</v>
      </c>
      <c r="V1312">
        <v>33</v>
      </c>
      <c r="W1312">
        <v>1</v>
      </c>
      <c r="X1312">
        <v>33</v>
      </c>
      <c r="Y1312">
        <v>671</v>
      </c>
      <c r="Z1312">
        <v>375.90194920648611</v>
      </c>
      <c r="AA1312">
        <v>198</v>
      </c>
      <c r="AB1312">
        <v>332</v>
      </c>
      <c r="AC1312">
        <v>536</v>
      </c>
      <c r="AD1312">
        <v>29.96</v>
      </c>
      <c r="AE1312">
        <v>542</v>
      </c>
      <c r="AF1312">
        <v>29</v>
      </c>
      <c r="AG1312">
        <v>174</v>
      </c>
      <c r="AH1312">
        <v>129</v>
      </c>
      <c r="AI1312">
        <v>5.35</v>
      </c>
      <c r="AJ1312">
        <v>32.1</v>
      </c>
      <c r="AK1312">
        <v>23.8</v>
      </c>
      <c r="AL1312">
        <v>-20.164255749999938</v>
      </c>
      <c r="AM1312">
        <v>-44.876471676086922</v>
      </c>
      <c r="AN1312">
        <v>-20.164255749999938</v>
      </c>
      <c r="AO1312">
        <v>-44.876471676086922</v>
      </c>
      <c r="AP1312">
        <v>-20.164228999999999</v>
      </c>
      <c r="AQ1312">
        <v>-44.876455999999997</v>
      </c>
      <c r="AR1312">
        <v>3.3986375813953771</v>
      </c>
      <c r="AS1312" t="s">
        <v>65</v>
      </c>
      <c r="AT1312">
        <v>1</v>
      </c>
      <c r="AU1312" t="s">
        <v>1493</v>
      </c>
      <c r="AV1312" t="s">
        <v>1494</v>
      </c>
      <c r="AW1312" t="s">
        <v>60</v>
      </c>
      <c r="AX1312" t="s">
        <v>68</v>
      </c>
      <c r="AY1312" t="s">
        <v>69</v>
      </c>
      <c r="AZ1312" t="b">
        <v>1</v>
      </c>
    </row>
    <row r="1313" spans="1:52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2128</v>
      </c>
      <c r="F1313" t="s">
        <v>1247</v>
      </c>
      <c r="G1313" t="s">
        <v>1495</v>
      </c>
      <c r="H1313" t="s">
        <v>1496</v>
      </c>
      <c r="I1313" t="s">
        <v>1496</v>
      </c>
      <c r="J1313" t="s">
        <v>60</v>
      </c>
      <c r="K1313" t="s">
        <v>1466</v>
      </c>
      <c r="L1313" t="s">
        <v>62</v>
      </c>
      <c r="M1313" t="s">
        <v>1466</v>
      </c>
      <c r="N1313" t="s">
        <v>1497</v>
      </c>
      <c r="O1313" t="s">
        <v>1498</v>
      </c>
      <c r="P1313">
        <v>-20.163160999999999</v>
      </c>
      <c r="Q1313">
        <v>-44.880460999999997</v>
      </c>
      <c r="R1313" s="2" t="str">
        <f>HYPERLINK("https://www.google.com/maps?q=-20.1631610,-44.8804610","Abrir no Google Maps")</f>
        <v>Abrir no Google Maps</v>
      </c>
      <c r="S1313">
        <v>2</v>
      </c>
      <c r="T1313">
        <v>372.63783804650222</v>
      </c>
      <c r="U1313">
        <v>4</v>
      </c>
      <c r="V1313">
        <v>24</v>
      </c>
      <c r="W1313">
        <v>1</v>
      </c>
      <c r="X1313">
        <v>24</v>
      </c>
      <c r="Y1313">
        <v>671</v>
      </c>
      <c r="Z1313">
        <v>250.43144487082299</v>
      </c>
      <c r="AA1313">
        <v>198</v>
      </c>
      <c r="AB1313">
        <v>332</v>
      </c>
      <c r="AC1313">
        <v>536</v>
      </c>
      <c r="AD1313">
        <v>29.96</v>
      </c>
      <c r="AE1313">
        <v>542</v>
      </c>
      <c r="AF1313">
        <v>29</v>
      </c>
      <c r="AG1313">
        <v>174</v>
      </c>
      <c r="AH1313">
        <v>129</v>
      </c>
      <c r="AI1313">
        <v>5.35</v>
      </c>
      <c r="AJ1313">
        <v>32.1</v>
      </c>
      <c r="AK1313">
        <v>23.8</v>
      </c>
      <c r="AL1313">
        <v>-20.163296749999969</v>
      </c>
      <c r="AM1313">
        <v>-44.88037544059182</v>
      </c>
      <c r="AN1313">
        <v>-20.163296749999969</v>
      </c>
      <c r="AO1313">
        <v>-44.88037544059182</v>
      </c>
      <c r="AP1313">
        <v>-20.163160999999999</v>
      </c>
      <c r="AQ1313">
        <v>-44.880460999999997</v>
      </c>
      <c r="AR1313">
        <v>17.558482416121191</v>
      </c>
      <c r="AS1313" t="s">
        <v>65</v>
      </c>
      <c r="AT1313">
        <v>1</v>
      </c>
      <c r="AU1313" t="s">
        <v>1499</v>
      </c>
      <c r="AV1313" t="s">
        <v>1500</v>
      </c>
      <c r="AW1313" t="s">
        <v>60</v>
      </c>
      <c r="AX1313" t="s">
        <v>68</v>
      </c>
      <c r="AY1313" t="s">
        <v>69</v>
      </c>
      <c r="AZ1313" t="b">
        <v>1</v>
      </c>
    </row>
    <row r="1314" spans="1:52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2128</v>
      </c>
      <c r="F1314" t="s">
        <v>1247</v>
      </c>
      <c r="G1314" t="s">
        <v>1501</v>
      </c>
      <c r="H1314" t="s">
        <v>1502</v>
      </c>
      <c r="I1314" t="s">
        <v>1502</v>
      </c>
      <c r="J1314" t="s">
        <v>60</v>
      </c>
      <c r="K1314" t="s">
        <v>1466</v>
      </c>
      <c r="L1314" t="s">
        <v>62</v>
      </c>
      <c r="M1314" t="s">
        <v>1466</v>
      </c>
      <c r="N1314" t="s">
        <v>1503</v>
      </c>
      <c r="O1314" t="s">
        <v>1504</v>
      </c>
      <c r="P1314">
        <v>-20.159618999999999</v>
      </c>
      <c r="Q1314">
        <v>-44.880065000000002</v>
      </c>
      <c r="R1314" s="2" t="str">
        <f>HYPERLINK("https://www.google.com/maps?q=-20.1596190,-44.8800650","Abrir no Google Maps")</f>
        <v>Abrir no Google Maps</v>
      </c>
      <c r="S1314">
        <v>2</v>
      </c>
      <c r="T1314">
        <v>243.9950282285559</v>
      </c>
      <c r="U1314">
        <v>4</v>
      </c>
      <c r="V1314">
        <v>23</v>
      </c>
      <c r="W1314">
        <v>1</v>
      </c>
      <c r="X1314">
        <v>23</v>
      </c>
      <c r="Y1314">
        <v>671</v>
      </c>
      <c r="Z1314">
        <v>265.31354384517681</v>
      </c>
      <c r="AA1314">
        <v>198</v>
      </c>
      <c r="AB1314">
        <v>332</v>
      </c>
      <c r="AC1314">
        <v>536</v>
      </c>
      <c r="AD1314">
        <v>29.96</v>
      </c>
      <c r="AE1314">
        <v>542</v>
      </c>
      <c r="AF1314">
        <v>29</v>
      </c>
      <c r="AG1314">
        <v>174</v>
      </c>
      <c r="AH1314">
        <v>129</v>
      </c>
      <c r="AI1314">
        <v>5.35</v>
      </c>
      <c r="AJ1314">
        <v>32.1</v>
      </c>
      <c r="AK1314">
        <v>23.8</v>
      </c>
      <c r="AL1314">
        <v>-20.159689949999969</v>
      </c>
      <c r="AM1314">
        <v>-44.880075072344489</v>
      </c>
      <c r="AN1314">
        <v>-20.159689949999969</v>
      </c>
      <c r="AO1314">
        <v>-44.880075072344489</v>
      </c>
      <c r="AP1314">
        <v>-20.159618999999999</v>
      </c>
      <c r="AQ1314">
        <v>-44.880065000000002</v>
      </c>
      <c r="AR1314">
        <v>7.9679809486040876</v>
      </c>
      <c r="AS1314" t="s">
        <v>65</v>
      </c>
      <c r="AT1314">
        <v>1</v>
      </c>
      <c r="AU1314" t="s">
        <v>1505</v>
      </c>
      <c r="AV1314" t="s">
        <v>1506</v>
      </c>
      <c r="AW1314" t="s">
        <v>60</v>
      </c>
      <c r="AX1314" t="s">
        <v>68</v>
      </c>
      <c r="AY1314" t="s">
        <v>69</v>
      </c>
      <c r="AZ1314" t="b">
        <v>1</v>
      </c>
    </row>
    <row r="1315" spans="1:52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2128</v>
      </c>
      <c r="F1315" t="s">
        <v>1247</v>
      </c>
      <c r="G1315" t="s">
        <v>1507</v>
      </c>
      <c r="H1315" t="s">
        <v>1508</v>
      </c>
      <c r="I1315" t="s">
        <v>1508</v>
      </c>
      <c r="J1315" t="s">
        <v>60</v>
      </c>
      <c r="K1315" t="s">
        <v>1466</v>
      </c>
      <c r="L1315" t="s">
        <v>62</v>
      </c>
      <c r="M1315" t="s">
        <v>1466</v>
      </c>
      <c r="N1315" t="s">
        <v>1509</v>
      </c>
      <c r="O1315" t="s">
        <v>270</v>
      </c>
      <c r="P1315">
        <v>-20.164501999999999</v>
      </c>
      <c r="Q1315">
        <v>-44.883226999999998</v>
      </c>
      <c r="R1315" s="2" t="str">
        <f>HYPERLINK("https://www.google.com/maps?q=-20.1645020,-44.8832270","Abrir no Google Maps")</f>
        <v>Abrir no Google Maps</v>
      </c>
      <c r="S1315">
        <v>2</v>
      </c>
      <c r="T1315">
        <v>691.62667420887726</v>
      </c>
      <c r="U1315">
        <v>4</v>
      </c>
      <c r="V1315">
        <v>22</v>
      </c>
      <c r="W1315">
        <v>1</v>
      </c>
      <c r="X1315">
        <v>22</v>
      </c>
      <c r="Y1315">
        <v>671</v>
      </c>
      <c r="Z1315">
        <v>591.13935302436732</v>
      </c>
      <c r="AA1315">
        <v>198</v>
      </c>
      <c r="AB1315">
        <v>332</v>
      </c>
      <c r="AC1315">
        <v>536</v>
      </c>
      <c r="AD1315">
        <v>29.96</v>
      </c>
      <c r="AE1315">
        <v>542</v>
      </c>
      <c r="AF1315">
        <v>29</v>
      </c>
      <c r="AG1315">
        <v>174</v>
      </c>
      <c r="AH1315">
        <v>129</v>
      </c>
      <c r="AI1315">
        <v>5.35</v>
      </c>
      <c r="AJ1315">
        <v>32.1</v>
      </c>
      <c r="AK1315">
        <v>23.8</v>
      </c>
      <c r="AL1315">
        <v>-20.164470149999939</v>
      </c>
      <c r="AM1315">
        <v>-44.883357321672527</v>
      </c>
      <c r="AN1315">
        <v>-20.164470149999939</v>
      </c>
      <c r="AO1315">
        <v>-44.883357321672527</v>
      </c>
      <c r="AP1315">
        <v>-20.164501999999999</v>
      </c>
      <c r="AQ1315">
        <v>-44.883226999999998</v>
      </c>
      <c r="AR1315">
        <v>14.072184947340521</v>
      </c>
      <c r="AS1315" t="s">
        <v>65</v>
      </c>
      <c r="AT1315">
        <v>1</v>
      </c>
      <c r="AU1315" t="s">
        <v>1510</v>
      </c>
      <c r="AV1315" t="s">
        <v>1511</v>
      </c>
      <c r="AW1315" t="s">
        <v>60</v>
      </c>
      <c r="AX1315" t="s">
        <v>68</v>
      </c>
      <c r="AY1315" t="s">
        <v>69</v>
      </c>
      <c r="AZ1315" t="b">
        <v>1</v>
      </c>
    </row>
    <row r="1316" spans="1:52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2128</v>
      </c>
      <c r="F1316" t="s">
        <v>1247</v>
      </c>
      <c r="G1316" t="s">
        <v>1473</v>
      </c>
      <c r="H1316" t="s">
        <v>1474</v>
      </c>
      <c r="I1316" t="s">
        <v>1474</v>
      </c>
      <c r="J1316" t="s">
        <v>60</v>
      </c>
      <c r="K1316" t="s">
        <v>1302</v>
      </c>
      <c r="L1316" t="s">
        <v>62</v>
      </c>
      <c r="M1316" t="s">
        <v>1302</v>
      </c>
      <c r="N1316" t="s">
        <v>1475</v>
      </c>
      <c r="O1316" t="s">
        <v>1476</v>
      </c>
      <c r="P1316">
        <v>-20.161372</v>
      </c>
      <c r="Q1316">
        <v>-44.914636999999999</v>
      </c>
      <c r="R1316" s="2" t="str">
        <f>HYPERLINK("https://www.google.com/maps?q=-20.1613720,-44.9146370","Abrir no Google Maps")</f>
        <v>Abrir no Google Maps</v>
      </c>
      <c r="S1316">
        <v>2</v>
      </c>
      <c r="T1316">
        <v>0</v>
      </c>
      <c r="U1316">
        <v>4</v>
      </c>
      <c r="V1316">
        <v>21</v>
      </c>
      <c r="W1316">
        <v>1</v>
      </c>
      <c r="X1316">
        <v>21</v>
      </c>
      <c r="Y1316">
        <v>639</v>
      </c>
      <c r="Z1316">
        <v>81.742669907651447</v>
      </c>
      <c r="AA1316">
        <v>198</v>
      </c>
      <c r="AB1316">
        <v>332</v>
      </c>
      <c r="AC1316">
        <v>536</v>
      </c>
      <c r="AD1316">
        <v>29.96</v>
      </c>
      <c r="AE1316">
        <v>542</v>
      </c>
      <c r="AF1316">
        <v>29</v>
      </c>
      <c r="AG1316">
        <v>174</v>
      </c>
      <c r="AH1316">
        <v>129</v>
      </c>
      <c r="AI1316">
        <v>5.35</v>
      </c>
      <c r="AJ1316">
        <v>32.1</v>
      </c>
      <c r="AK1316">
        <v>23.8</v>
      </c>
      <c r="AL1316">
        <v>-20.161294499999961</v>
      </c>
      <c r="AM1316">
        <v>-44.914614684493202</v>
      </c>
      <c r="AN1316">
        <v>-20.161294499999961</v>
      </c>
      <c r="AO1316">
        <v>-44.914614684493202</v>
      </c>
      <c r="AP1316">
        <v>-20.161372</v>
      </c>
      <c r="AQ1316">
        <v>-44.914636999999999</v>
      </c>
      <c r="AR1316">
        <v>8.9369058443944862</v>
      </c>
      <c r="AS1316" t="s">
        <v>65</v>
      </c>
      <c r="AT1316">
        <v>1</v>
      </c>
      <c r="AU1316" t="s">
        <v>1477</v>
      </c>
      <c r="AV1316" t="s">
        <v>1478</v>
      </c>
      <c r="AW1316" t="s">
        <v>60</v>
      </c>
      <c r="AX1316" t="s">
        <v>68</v>
      </c>
      <c r="AY1316" t="s">
        <v>69</v>
      </c>
      <c r="AZ1316" t="b">
        <v>1</v>
      </c>
    </row>
    <row r="1317" spans="1:52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2128</v>
      </c>
      <c r="F1317" t="s">
        <v>1247</v>
      </c>
      <c r="G1317" t="s">
        <v>1479</v>
      </c>
      <c r="H1317" t="s">
        <v>1480</v>
      </c>
      <c r="I1317" t="s">
        <v>1480</v>
      </c>
      <c r="J1317" t="s">
        <v>60</v>
      </c>
      <c r="K1317" t="s">
        <v>1302</v>
      </c>
      <c r="L1317" t="s">
        <v>62</v>
      </c>
      <c r="M1317" t="s">
        <v>1302</v>
      </c>
      <c r="N1317" t="s">
        <v>1481</v>
      </c>
      <c r="O1317" t="s">
        <v>1482</v>
      </c>
      <c r="P1317">
        <v>-20.164655</v>
      </c>
      <c r="Q1317">
        <v>-44.912697000000001</v>
      </c>
      <c r="R1317" s="2" t="str">
        <f>HYPERLINK("https://www.google.com/maps?q=-20.1646550,-44.9126970","Abrir no Google Maps")</f>
        <v>Abrir no Google Maps</v>
      </c>
      <c r="S1317">
        <v>2</v>
      </c>
      <c r="T1317">
        <v>441.50274004930441</v>
      </c>
      <c r="U1317">
        <v>4</v>
      </c>
      <c r="V1317">
        <v>43</v>
      </c>
      <c r="W1317">
        <v>1</v>
      </c>
      <c r="X1317">
        <v>43</v>
      </c>
      <c r="Y1317">
        <v>639</v>
      </c>
      <c r="Z1317">
        <v>311.03317029936522</v>
      </c>
      <c r="AA1317">
        <v>198</v>
      </c>
      <c r="AB1317">
        <v>332</v>
      </c>
      <c r="AC1317">
        <v>536</v>
      </c>
      <c r="AD1317">
        <v>29.96</v>
      </c>
      <c r="AE1317">
        <v>542</v>
      </c>
      <c r="AF1317">
        <v>29</v>
      </c>
      <c r="AG1317">
        <v>174</v>
      </c>
      <c r="AH1317">
        <v>129</v>
      </c>
      <c r="AI1317">
        <v>5.35</v>
      </c>
      <c r="AJ1317">
        <v>32.1</v>
      </c>
      <c r="AK1317">
        <v>23.8</v>
      </c>
      <c r="AL1317">
        <v>-20.164702999999971</v>
      </c>
      <c r="AM1317">
        <v>-44.912418857911163</v>
      </c>
      <c r="AN1317">
        <v>-20.164702999999971</v>
      </c>
      <c r="AO1317">
        <v>-44.912418857911163</v>
      </c>
      <c r="AP1317">
        <v>-20.164655</v>
      </c>
      <c r="AQ1317">
        <v>-44.912697000000001</v>
      </c>
      <c r="AR1317">
        <v>29.552017409892429</v>
      </c>
      <c r="AS1317" t="s">
        <v>65</v>
      </c>
      <c r="AT1317">
        <v>1</v>
      </c>
      <c r="AU1317" t="s">
        <v>1483</v>
      </c>
      <c r="AV1317" t="s">
        <v>1484</v>
      </c>
      <c r="AW1317" t="s">
        <v>60</v>
      </c>
      <c r="AX1317" t="s">
        <v>68</v>
      </c>
      <c r="AY1317" t="s">
        <v>69</v>
      </c>
      <c r="AZ1317" t="b">
        <v>1</v>
      </c>
    </row>
    <row r="1318" spans="1:52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2128</v>
      </c>
      <c r="F1318" t="s">
        <v>1247</v>
      </c>
      <c r="G1318" t="s">
        <v>1464</v>
      </c>
      <c r="H1318" t="s">
        <v>1485</v>
      </c>
      <c r="I1318" t="s">
        <v>1485</v>
      </c>
      <c r="J1318" t="s">
        <v>60</v>
      </c>
      <c r="K1318" t="s">
        <v>1486</v>
      </c>
      <c r="L1318" t="s">
        <v>62</v>
      </c>
      <c r="M1318" t="s">
        <v>1486</v>
      </c>
      <c r="N1318" t="s">
        <v>1467</v>
      </c>
      <c r="O1318" t="s">
        <v>1487</v>
      </c>
      <c r="P1318">
        <v>-20.162842000000001</v>
      </c>
      <c r="Q1318">
        <v>-44.883769999999998</v>
      </c>
      <c r="R1318" s="2" t="str">
        <f>HYPERLINK("https://www.google.com/maps?q=-20.1628420,-44.8837700","Abrir no Google Maps")</f>
        <v>Abrir no Google Maps</v>
      </c>
      <c r="S1318">
        <v>2</v>
      </c>
      <c r="T1318">
        <v>659.67909450906006</v>
      </c>
      <c r="U1318">
        <v>3</v>
      </c>
      <c r="V1318">
        <v>20</v>
      </c>
      <c r="W1318">
        <v>1</v>
      </c>
      <c r="X1318">
        <v>20</v>
      </c>
      <c r="Y1318">
        <v>671</v>
      </c>
      <c r="Z1318">
        <v>566.23107864368092</v>
      </c>
      <c r="AA1318">
        <v>198</v>
      </c>
      <c r="AB1318">
        <v>332</v>
      </c>
      <c r="AC1318">
        <v>536</v>
      </c>
      <c r="AD1318">
        <v>29.96</v>
      </c>
      <c r="AE1318">
        <v>542</v>
      </c>
      <c r="AF1318">
        <v>29</v>
      </c>
      <c r="AG1318">
        <v>174</v>
      </c>
      <c r="AH1318">
        <v>129</v>
      </c>
      <c r="AI1318">
        <v>5.35</v>
      </c>
      <c r="AJ1318">
        <v>32.1</v>
      </c>
      <c r="AK1318">
        <v>23.8</v>
      </c>
      <c r="AL1318">
        <v>-20.162791299999949</v>
      </c>
      <c r="AM1318">
        <v>-44.883966852092939</v>
      </c>
      <c r="AN1318">
        <v>-20.162791299999949</v>
      </c>
      <c r="AO1318">
        <v>-44.883966852092939</v>
      </c>
      <c r="AP1318">
        <v>-20.162842000000001</v>
      </c>
      <c r="AQ1318">
        <v>-44.883769999999998</v>
      </c>
      <c r="AR1318">
        <v>21.33085532825611</v>
      </c>
      <c r="AS1318" t="s">
        <v>65</v>
      </c>
      <c r="AT1318">
        <v>1</v>
      </c>
      <c r="AU1318" t="s">
        <v>1488</v>
      </c>
      <c r="AV1318" t="s">
        <v>1489</v>
      </c>
      <c r="AW1318" t="s">
        <v>60</v>
      </c>
      <c r="AX1318" t="s">
        <v>68</v>
      </c>
      <c r="AY1318" t="s">
        <v>69</v>
      </c>
      <c r="AZ1318" t="b">
        <v>1</v>
      </c>
    </row>
    <row r="1319" spans="1:52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2128</v>
      </c>
      <c r="F1319" t="s">
        <v>1247</v>
      </c>
      <c r="G1319" t="s">
        <v>1333</v>
      </c>
      <c r="H1319" t="s">
        <v>1470</v>
      </c>
      <c r="I1319" t="s">
        <v>1470</v>
      </c>
      <c r="J1319" t="s">
        <v>60</v>
      </c>
      <c r="K1319" t="s">
        <v>437</v>
      </c>
      <c r="L1319" t="s">
        <v>62</v>
      </c>
      <c r="M1319" t="s">
        <v>437</v>
      </c>
      <c r="N1319" t="s">
        <v>1335</v>
      </c>
      <c r="O1319" t="s">
        <v>900</v>
      </c>
      <c r="P1319">
        <v>-20.147047000000001</v>
      </c>
      <c r="Q1319">
        <v>-44.883921999999998</v>
      </c>
      <c r="R1319" s="2" t="str">
        <f>HYPERLINK("https://www.google.com/maps?q=-20.1470470,-44.8839220","Abrir no Google Maps")</f>
        <v>Abrir no Google Maps</v>
      </c>
      <c r="S1319">
        <v>2</v>
      </c>
      <c r="T1319">
        <v>296.4098018832658</v>
      </c>
      <c r="U1319">
        <v>3</v>
      </c>
      <c r="V1319">
        <v>20</v>
      </c>
      <c r="W1319">
        <v>1</v>
      </c>
      <c r="X1319">
        <v>20</v>
      </c>
      <c r="Y1319">
        <v>653</v>
      </c>
      <c r="Z1319">
        <v>299.72271006042178</v>
      </c>
      <c r="AA1319">
        <v>198</v>
      </c>
      <c r="AB1319">
        <v>332</v>
      </c>
      <c r="AC1319">
        <v>536</v>
      </c>
      <c r="AD1319">
        <v>29.96</v>
      </c>
      <c r="AE1319">
        <v>542</v>
      </c>
      <c r="AF1319">
        <v>29</v>
      </c>
      <c r="AG1319">
        <v>174</v>
      </c>
      <c r="AH1319">
        <v>129</v>
      </c>
      <c r="AI1319">
        <v>5.35</v>
      </c>
      <c r="AJ1319">
        <v>32.1</v>
      </c>
      <c r="AK1319">
        <v>23.8</v>
      </c>
      <c r="AL1319">
        <v>-20.147074949999929</v>
      </c>
      <c r="AM1319">
        <v>-44.883796511502347</v>
      </c>
      <c r="AN1319">
        <v>-20.147074949999929</v>
      </c>
      <c r="AO1319">
        <v>-44.883796511502347</v>
      </c>
      <c r="AP1319">
        <v>-20.147047000000001</v>
      </c>
      <c r="AQ1319">
        <v>-44.883921999999998</v>
      </c>
      <c r="AR1319">
        <v>13.47864632994</v>
      </c>
      <c r="AS1319" t="s">
        <v>65</v>
      </c>
      <c r="AT1319">
        <v>1</v>
      </c>
      <c r="AU1319" t="s">
        <v>1471</v>
      </c>
      <c r="AV1319" t="s">
        <v>1472</v>
      </c>
      <c r="AW1319" t="s">
        <v>60</v>
      </c>
      <c r="AX1319" t="s">
        <v>68</v>
      </c>
      <c r="AY1319" t="s">
        <v>69</v>
      </c>
      <c r="AZ1319" t="b">
        <v>1</v>
      </c>
    </row>
    <row r="1320" spans="1:52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2128</v>
      </c>
      <c r="F1320" t="s">
        <v>1247</v>
      </c>
      <c r="G1320" t="s">
        <v>1518</v>
      </c>
      <c r="H1320" t="s">
        <v>1519</v>
      </c>
      <c r="I1320" t="s">
        <v>1519</v>
      </c>
      <c r="J1320" t="s">
        <v>60</v>
      </c>
      <c r="K1320" t="s">
        <v>1302</v>
      </c>
      <c r="L1320" t="s">
        <v>62</v>
      </c>
      <c r="M1320" t="s">
        <v>1302</v>
      </c>
      <c r="N1320" t="s">
        <v>1520</v>
      </c>
      <c r="O1320" t="s">
        <v>1521</v>
      </c>
      <c r="P1320">
        <v>-20.16263</v>
      </c>
      <c r="Q1320">
        <v>-44.910342999999997</v>
      </c>
      <c r="R1320" s="2" t="str">
        <f>HYPERLINK("https://www.google.com/maps?q=-20.1626300,-44.9103430","Abrir no Google Maps")</f>
        <v>Abrir no Google Maps</v>
      </c>
      <c r="S1320">
        <v>2</v>
      </c>
      <c r="T1320">
        <v>492.63980270666781</v>
      </c>
      <c r="U1320">
        <v>3</v>
      </c>
      <c r="V1320">
        <v>17</v>
      </c>
      <c r="W1320">
        <v>1</v>
      </c>
      <c r="X1320">
        <v>17</v>
      </c>
      <c r="Y1320">
        <v>639</v>
      </c>
      <c r="Z1320">
        <v>412.49960371731271</v>
      </c>
      <c r="AA1320">
        <v>198</v>
      </c>
      <c r="AB1320">
        <v>332</v>
      </c>
      <c r="AC1320">
        <v>536</v>
      </c>
      <c r="AD1320">
        <v>29.96</v>
      </c>
      <c r="AE1320">
        <v>542</v>
      </c>
      <c r="AF1320">
        <v>29</v>
      </c>
      <c r="AG1320">
        <v>174</v>
      </c>
      <c r="AH1320">
        <v>129</v>
      </c>
      <c r="AI1320">
        <v>5.35</v>
      </c>
      <c r="AJ1320">
        <v>32.1</v>
      </c>
      <c r="AK1320">
        <v>23.8</v>
      </c>
      <c r="AL1320">
        <v>-20.162579949999952</v>
      </c>
      <c r="AM1320">
        <v>-44.910101148008863</v>
      </c>
      <c r="AN1320">
        <v>-20.162579949999952</v>
      </c>
      <c r="AO1320">
        <v>-44.910101148008863</v>
      </c>
      <c r="AP1320">
        <v>-20.16263</v>
      </c>
      <c r="AQ1320">
        <v>-44.910342999999997</v>
      </c>
      <c r="AR1320">
        <v>25.879932474893501</v>
      </c>
      <c r="AS1320" t="s">
        <v>65</v>
      </c>
      <c r="AT1320">
        <v>1</v>
      </c>
      <c r="AU1320" t="s">
        <v>1522</v>
      </c>
      <c r="AV1320" t="s">
        <v>1523</v>
      </c>
      <c r="AW1320" t="s">
        <v>60</v>
      </c>
      <c r="AX1320" t="s">
        <v>68</v>
      </c>
      <c r="AY1320" t="s">
        <v>69</v>
      </c>
      <c r="AZ1320" t="b">
        <v>1</v>
      </c>
    </row>
    <row r="1321" spans="1:52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2128</v>
      </c>
      <c r="F1321" t="s">
        <v>1247</v>
      </c>
      <c r="G1321" t="s">
        <v>1547</v>
      </c>
      <c r="H1321" t="s">
        <v>1548</v>
      </c>
      <c r="I1321" t="s">
        <v>1548</v>
      </c>
      <c r="J1321" t="s">
        <v>60</v>
      </c>
      <c r="K1321" t="s">
        <v>1549</v>
      </c>
      <c r="L1321" t="s">
        <v>62</v>
      </c>
      <c r="M1321" t="s">
        <v>1549</v>
      </c>
      <c r="N1321" t="s">
        <v>1550</v>
      </c>
      <c r="O1321" t="s">
        <v>1551</v>
      </c>
      <c r="P1321">
        <v>-20.173258000000001</v>
      </c>
      <c r="Q1321">
        <v>-44.930354000000001</v>
      </c>
      <c r="R1321" s="2" t="str">
        <f>HYPERLINK("https://www.google.com/maps?q=-20.1732580,-44.9303540","Abrir no Google Maps")</f>
        <v>Abrir no Google Maps</v>
      </c>
      <c r="S1321">
        <v>2</v>
      </c>
      <c r="T1321">
        <v>2023.802197028052</v>
      </c>
      <c r="U1321">
        <v>2</v>
      </c>
      <c r="V1321">
        <v>13</v>
      </c>
      <c r="W1321">
        <v>0.85</v>
      </c>
      <c r="X1321">
        <v>11.05</v>
      </c>
      <c r="Y1321">
        <v>723</v>
      </c>
      <c r="Z1321">
        <v>1727.7445576555911</v>
      </c>
      <c r="AA1321">
        <v>198</v>
      </c>
      <c r="AB1321">
        <v>332</v>
      </c>
      <c r="AC1321">
        <v>536</v>
      </c>
      <c r="AD1321">
        <v>29.96</v>
      </c>
      <c r="AE1321">
        <v>542</v>
      </c>
      <c r="AF1321">
        <v>29</v>
      </c>
      <c r="AG1321">
        <v>174</v>
      </c>
      <c r="AH1321">
        <v>129</v>
      </c>
      <c r="AI1321">
        <v>5.35</v>
      </c>
      <c r="AJ1321">
        <v>32.1</v>
      </c>
      <c r="AK1321">
        <v>23.8</v>
      </c>
      <c r="AL1321">
        <v>-20.172996449999939</v>
      </c>
      <c r="AM1321">
        <v>-44.930058436825973</v>
      </c>
      <c r="AN1321">
        <v>-20.172996449999939</v>
      </c>
      <c r="AO1321">
        <v>-44.930058436825973</v>
      </c>
      <c r="AP1321">
        <v>-20.173258000000001</v>
      </c>
      <c r="AQ1321">
        <v>-44.930354000000001</v>
      </c>
      <c r="AR1321">
        <v>42.444455141884362</v>
      </c>
      <c r="AS1321" t="s">
        <v>65</v>
      </c>
      <c r="AT1321">
        <v>1</v>
      </c>
      <c r="AU1321" t="s">
        <v>1552</v>
      </c>
      <c r="AV1321" t="s">
        <v>1553</v>
      </c>
      <c r="AW1321" t="s">
        <v>60</v>
      </c>
      <c r="AX1321" t="s">
        <v>68</v>
      </c>
      <c r="AY1321" t="s">
        <v>69</v>
      </c>
      <c r="AZ1321" t="b">
        <v>1</v>
      </c>
    </row>
    <row r="1322" spans="1:52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2128</v>
      </c>
      <c r="F1322" t="s">
        <v>1247</v>
      </c>
      <c r="G1322" t="s">
        <v>1554</v>
      </c>
      <c r="H1322" t="s">
        <v>1555</v>
      </c>
      <c r="I1322" t="s">
        <v>1555</v>
      </c>
      <c r="J1322" t="s">
        <v>60</v>
      </c>
      <c r="K1322" t="s">
        <v>1466</v>
      </c>
      <c r="L1322" t="s">
        <v>62</v>
      </c>
      <c r="M1322" t="s">
        <v>1466</v>
      </c>
      <c r="N1322" t="s">
        <v>1556</v>
      </c>
      <c r="O1322" t="s">
        <v>989</v>
      </c>
      <c r="P1322">
        <v>-20.160997999999999</v>
      </c>
      <c r="Q1322">
        <v>-44.878385999999999</v>
      </c>
      <c r="R1322" s="2" t="str">
        <f>HYPERLINK("https://www.google.com/maps?q=-20.1609980,-44.8783860","Abrir no Google Maps")</f>
        <v>Abrir no Google Maps</v>
      </c>
      <c r="S1322">
        <v>2</v>
      </c>
      <c r="T1322">
        <v>0</v>
      </c>
      <c r="U1322">
        <v>2</v>
      </c>
      <c r="V1322">
        <v>12</v>
      </c>
      <c r="W1322">
        <v>0.85</v>
      </c>
      <c r="X1322">
        <v>10.199999999999999</v>
      </c>
      <c r="Y1322">
        <v>671</v>
      </c>
      <c r="Z1322">
        <v>74.014802531188664</v>
      </c>
      <c r="AA1322">
        <v>198</v>
      </c>
      <c r="AB1322">
        <v>332</v>
      </c>
      <c r="AC1322">
        <v>536</v>
      </c>
      <c r="AD1322">
        <v>29.96</v>
      </c>
      <c r="AE1322">
        <v>542</v>
      </c>
      <c r="AF1322">
        <v>29</v>
      </c>
      <c r="AG1322">
        <v>174</v>
      </c>
      <c r="AH1322">
        <v>129</v>
      </c>
      <c r="AI1322">
        <v>5.35</v>
      </c>
      <c r="AJ1322">
        <v>32.1</v>
      </c>
      <c r="AK1322">
        <v>23.8</v>
      </c>
      <c r="AL1322">
        <v>-20.160758199999979</v>
      </c>
      <c r="AM1322">
        <v>-44.878032519747983</v>
      </c>
      <c r="AN1322">
        <v>-20.160758199999979</v>
      </c>
      <c r="AO1322">
        <v>-44.878032519747983</v>
      </c>
      <c r="AP1322">
        <v>-20.160997999999999</v>
      </c>
      <c r="AQ1322">
        <v>-44.878385999999999</v>
      </c>
      <c r="AR1322">
        <v>45.574638830261883</v>
      </c>
      <c r="AS1322" t="s">
        <v>65</v>
      </c>
      <c r="AT1322">
        <v>1</v>
      </c>
      <c r="AU1322" t="s">
        <v>1557</v>
      </c>
      <c r="AV1322" t="s">
        <v>1558</v>
      </c>
      <c r="AW1322" t="s">
        <v>60</v>
      </c>
      <c r="AX1322" t="s">
        <v>68</v>
      </c>
      <c r="AY1322" t="s">
        <v>69</v>
      </c>
      <c r="AZ1322" t="b">
        <v>1</v>
      </c>
    </row>
    <row r="1323" spans="1:52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2128</v>
      </c>
      <c r="F1323" t="s">
        <v>1247</v>
      </c>
      <c r="G1323" t="s">
        <v>1529</v>
      </c>
      <c r="H1323" t="s">
        <v>1530</v>
      </c>
      <c r="I1323" t="s">
        <v>1530</v>
      </c>
      <c r="J1323" t="s">
        <v>60</v>
      </c>
      <c r="K1323" t="s">
        <v>1466</v>
      </c>
      <c r="L1323" t="s">
        <v>62</v>
      </c>
      <c r="M1323" t="s">
        <v>1466</v>
      </c>
      <c r="N1323" t="s">
        <v>1531</v>
      </c>
      <c r="O1323" t="s">
        <v>145</v>
      </c>
      <c r="P1323">
        <v>-20.162952000000001</v>
      </c>
      <c r="Q1323">
        <v>-44.877612999999997</v>
      </c>
      <c r="R1323" s="2" t="str">
        <f>HYPERLINK("https://www.google.com/maps?q=-20.1629520,-44.8776130","Abrir no Google Maps")</f>
        <v>Abrir no Google Maps</v>
      </c>
      <c r="S1323">
        <v>2</v>
      </c>
      <c r="T1323">
        <v>229.91388913695721</v>
      </c>
      <c r="U1323">
        <v>2</v>
      </c>
      <c r="V1323">
        <v>16</v>
      </c>
      <c r="W1323">
        <v>0.85</v>
      </c>
      <c r="X1323">
        <v>13.6</v>
      </c>
      <c r="Y1323">
        <v>671</v>
      </c>
      <c r="Z1323">
        <v>157.6775523644973</v>
      </c>
      <c r="AA1323">
        <v>198</v>
      </c>
      <c r="AB1323">
        <v>332</v>
      </c>
      <c r="AC1323">
        <v>536</v>
      </c>
      <c r="AD1323">
        <v>29.96</v>
      </c>
      <c r="AE1323">
        <v>542</v>
      </c>
      <c r="AF1323">
        <v>29</v>
      </c>
      <c r="AG1323">
        <v>174</v>
      </c>
      <c r="AH1323">
        <v>129</v>
      </c>
      <c r="AI1323">
        <v>5.35</v>
      </c>
      <c r="AJ1323">
        <v>32.1</v>
      </c>
      <c r="AK1323">
        <v>23.8</v>
      </c>
      <c r="AL1323">
        <v>-20.16278829999996</v>
      </c>
      <c r="AM1323">
        <v>-44.877564655204168</v>
      </c>
      <c r="AN1323">
        <v>-20.16278829999996</v>
      </c>
      <c r="AO1323">
        <v>-44.877564655204168</v>
      </c>
      <c r="AP1323">
        <v>-20.162952000000001</v>
      </c>
      <c r="AQ1323">
        <v>-44.877612999999997</v>
      </c>
      <c r="AR1323">
        <v>18.91038935762678</v>
      </c>
      <c r="AS1323" t="s">
        <v>65</v>
      </c>
      <c r="AT1323">
        <v>1</v>
      </c>
      <c r="AU1323" t="s">
        <v>1532</v>
      </c>
      <c r="AV1323" t="s">
        <v>1533</v>
      </c>
      <c r="AW1323" t="s">
        <v>60</v>
      </c>
      <c r="AX1323" t="s">
        <v>68</v>
      </c>
      <c r="AY1323" t="s">
        <v>69</v>
      </c>
      <c r="AZ1323" t="b">
        <v>1</v>
      </c>
    </row>
    <row r="1324" spans="1:52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2128</v>
      </c>
      <c r="F1324" t="s">
        <v>1247</v>
      </c>
      <c r="G1324" t="s">
        <v>1512</v>
      </c>
      <c r="H1324" t="s">
        <v>1513</v>
      </c>
      <c r="I1324" t="s">
        <v>1513</v>
      </c>
      <c r="J1324" t="s">
        <v>60</v>
      </c>
      <c r="K1324" t="s">
        <v>1302</v>
      </c>
      <c r="L1324" t="s">
        <v>62</v>
      </c>
      <c r="M1324" t="s">
        <v>1302</v>
      </c>
      <c r="N1324" t="s">
        <v>1514</v>
      </c>
      <c r="O1324" t="s">
        <v>1515</v>
      </c>
      <c r="P1324">
        <v>-20.163709000000001</v>
      </c>
      <c r="Q1324">
        <v>-44.916074999999999</v>
      </c>
      <c r="R1324" s="2" t="str">
        <f>HYPERLINK("https://www.google.com/maps?q=-20.1637090,-44.9160750","Abrir no Google Maps")</f>
        <v>Abrir no Google Maps</v>
      </c>
      <c r="S1324">
        <v>2</v>
      </c>
      <c r="T1324">
        <v>305.09593452131332</v>
      </c>
      <c r="U1324">
        <v>2</v>
      </c>
      <c r="V1324">
        <v>14</v>
      </c>
      <c r="W1324">
        <v>1</v>
      </c>
      <c r="X1324">
        <v>14</v>
      </c>
      <c r="Y1324">
        <v>639</v>
      </c>
      <c r="Z1324">
        <v>289.37841230131949</v>
      </c>
      <c r="AA1324">
        <v>198</v>
      </c>
      <c r="AB1324">
        <v>332</v>
      </c>
      <c r="AC1324">
        <v>536</v>
      </c>
      <c r="AD1324">
        <v>29.96</v>
      </c>
      <c r="AE1324">
        <v>542</v>
      </c>
      <c r="AF1324">
        <v>29</v>
      </c>
      <c r="AG1324">
        <v>174</v>
      </c>
      <c r="AH1324">
        <v>129</v>
      </c>
      <c r="AI1324">
        <v>5.35</v>
      </c>
      <c r="AJ1324">
        <v>32.1</v>
      </c>
      <c r="AK1324">
        <v>23.8</v>
      </c>
      <c r="AL1324">
        <v>-20.163666449999969</v>
      </c>
      <c r="AM1324">
        <v>-44.916102906827042</v>
      </c>
      <c r="AN1324">
        <v>-20.163666449999969</v>
      </c>
      <c r="AO1324">
        <v>-44.916102906827042</v>
      </c>
      <c r="AP1324">
        <v>-20.163709000000001</v>
      </c>
      <c r="AQ1324">
        <v>-44.916074999999999</v>
      </c>
      <c r="AR1324">
        <v>5.5623892025550603</v>
      </c>
      <c r="AS1324" t="s">
        <v>65</v>
      </c>
      <c r="AT1324">
        <v>1</v>
      </c>
      <c r="AU1324" t="s">
        <v>1516</v>
      </c>
      <c r="AV1324" t="s">
        <v>1517</v>
      </c>
      <c r="AW1324" t="s">
        <v>60</v>
      </c>
      <c r="AX1324" t="s">
        <v>68</v>
      </c>
      <c r="AY1324" t="s">
        <v>69</v>
      </c>
      <c r="AZ1324" t="b">
        <v>1</v>
      </c>
    </row>
    <row r="1325" spans="1:52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2128</v>
      </c>
      <c r="F1325" t="s">
        <v>1247</v>
      </c>
      <c r="G1325" t="s">
        <v>1524</v>
      </c>
      <c r="H1325" t="s">
        <v>1525</v>
      </c>
      <c r="I1325" t="s">
        <v>1525</v>
      </c>
      <c r="J1325" t="s">
        <v>60</v>
      </c>
      <c r="K1325" t="s">
        <v>1302</v>
      </c>
      <c r="L1325" t="s">
        <v>62</v>
      </c>
      <c r="M1325" t="s">
        <v>1302</v>
      </c>
      <c r="N1325" t="s">
        <v>1526</v>
      </c>
      <c r="O1325" t="s">
        <v>303</v>
      </c>
      <c r="P1325">
        <v>-20.159873000000001</v>
      </c>
      <c r="Q1325">
        <v>-44.911431999999998</v>
      </c>
      <c r="R1325" s="2" t="str">
        <f>HYPERLINK("https://www.google.com/maps?q=-20.1598730,-44.9114320","Abrir no Google Maps")</f>
        <v>Abrir no Google Maps</v>
      </c>
      <c r="S1325">
        <v>2</v>
      </c>
      <c r="T1325">
        <v>359.34785817593553</v>
      </c>
      <c r="U1325">
        <v>2</v>
      </c>
      <c r="V1325">
        <v>12</v>
      </c>
      <c r="W1325">
        <v>1</v>
      </c>
      <c r="X1325">
        <v>12</v>
      </c>
      <c r="Y1325">
        <v>639</v>
      </c>
      <c r="Z1325">
        <v>388.13505700247691</v>
      </c>
      <c r="AA1325">
        <v>198</v>
      </c>
      <c r="AB1325">
        <v>332</v>
      </c>
      <c r="AC1325">
        <v>536</v>
      </c>
      <c r="AD1325">
        <v>29.96</v>
      </c>
      <c r="AE1325">
        <v>542</v>
      </c>
      <c r="AF1325">
        <v>29</v>
      </c>
      <c r="AG1325">
        <v>174</v>
      </c>
      <c r="AH1325">
        <v>129</v>
      </c>
      <c r="AI1325">
        <v>5.35</v>
      </c>
      <c r="AJ1325">
        <v>32.1</v>
      </c>
      <c r="AK1325">
        <v>23.8</v>
      </c>
      <c r="AL1325">
        <v>-20.159583599999969</v>
      </c>
      <c r="AM1325">
        <v>-44.911691929105316</v>
      </c>
      <c r="AN1325">
        <v>-20.159583599999969</v>
      </c>
      <c r="AO1325">
        <v>-44.911691929105316</v>
      </c>
      <c r="AP1325">
        <v>-20.159873000000001</v>
      </c>
      <c r="AQ1325">
        <v>-44.911431999999998</v>
      </c>
      <c r="AR1325">
        <v>42.138811218570019</v>
      </c>
      <c r="AS1325" t="s">
        <v>65</v>
      </c>
      <c r="AT1325">
        <v>1</v>
      </c>
      <c r="AU1325" t="s">
        <v>1527</v>
      </c>
      <c r="AV1325" t="s">
        <v>1528</v>
      </c>
      <c r="AW1325" t="s">
        <v>60</v>
      </c>
      <c r="AX1325" t="s">
        <v>68</v>
      </c>
      <c r="AY1325" t="s">
        <v>69</v>
      </c>
      <c r="AZ1325" t="b">
        <v>1</v>
      </c>
    </row>
    <row r="1326" spans="1:52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2128</v>
      </c>
      <c r="F1326" t="s">
        <v>1247</v>
      </c>
      <c r="G1326" t="s">
        <v>1541</v>
      </c>
      <c r="H1326" t="s">
        <v>1542</v>
      </c>
      <c r="I1326" t="s">
        <v>1542</v>
      </c>
      <c r="J1326" t="s">
        <v>60</v>
      </c>
      <c r="K1326" t="s">
        <v>1302</v>
      </c>
      <c r="L1326" t="s">
        <v>62</v>
      </c>
      <c r="M1326" t="s">
        <v>1302</v>
      </c>
      <c r="N1326" t="s">
        <v>1543</v>
      </c>
      <c r="O1326" t="s">
        <v>1544</v>
      </c>
      <c r="P1326">
        <v>-20.166267999999999</v>
      </c>
      <c r="Q1326">
        <v>-44.916902</v>
      </c>
      <c r="R1326" s="2" t="str">
        <f>HYPERLINK("https://www.google.com/maps?q=-20.1662680,-44.9169020","Abrir no Google Maps")</f>
        <v>Abrir no Google Maps</v>
      </c>
      <c r="S1326">
        <v>2</v>
      </c>
      <c r="T1326">
        <v>580.14556008922216</v>
      </c>
      <c r="U1326">
        <v>2</v>
      </c>
      <c r="V1326">
        <v>11</v>
      </c>
      <c r="W1326">
        <v>0.85</v>
      </c>
      <c r="X1326">
        <v>9.35</v>
      </c>
      <c r="Y1326">
        <v>639</v>
      </c>
      <c r="Z1326">
        <v>590.87477783185614</v>
      </c>
      <c r="AA1326">
        <v>198</v>
      </c>
      <c r="AB1326">
        <v>332</v>
      </c>
      <c r="AC1326">
        <v>536</v>
      </c>
      <c r="AD1326">
        <v>29.96</v>
      </c>
      <c r="AE1326">
        <v>542</v>
      </c>
      <c r="AF1326">
        <v>29</v>
      </c>
      <c r="AG1326">
        <v>174</v>
      </c>
      <c r="AH1326">
        <v>129</v>
      </c>
      <c r="AI1326">
        <v>5.35</v>
      </c>
      <c r="AJ1326">
        <v>32.1</v>
      </c>
      <c r="AK1326">
        <v>23.8</v>
      </c>
      <c r="AL1326">
        <v>-20.165891749999961</v>
      </c>
      <c r="AM1326">
        <v>-44.917283075074913</v>
      </c>
      <c r="AN1326">
        <v>-20.165891749999961</v>
      </c>
      <c r="AO1326">
        <v>-44.917283075074913</v>
      </c>
      <c r="AP1326">
        <v>-20.166267999999999</v>
      </c>
      <c r="AQ1326">
        <v>-44.916902</v>
      </c>
      <c r="AR1326">
        <v>57.792534087281872</v>
      </c>
      <c r="AS1326" t="s">
        <v>65</v>
      </c>
      <c r="AT1326">
        <v>1</v>
      </c>
      <c r="AU1326" t="s">
        <v>1545</v>
      </c>
      <c r="AV1326" t="s">
        <v>1546</v>
      </c>
      <c r="AW1326" t="s">
        <v>60</v>
      </c>
      <c r="AX1326" t="s">
        <v>68</v>
      </c>
      <c r="AY1326" t="s">
        <v>69</v>
      </c>
      <c r="AZ1326" t="b">
        <v>1</v>
      </c>
    </row>
    <row r="1327" spans="1:52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2128</v>
      </c>
      <c r="F1327" t="s">
        <v>1247</v>
      </c>
      <c r="G1327" t="s">
        <v>1127</v>
      </c>
      <c r="H1327" t="s">
        <v>1455</v>
      </c>
      <c r="I1327" t="s">
        <v>1455</v>
      </c>
      <c r="J1327" t="s">
        <v>60</v>
      </c>
      <c r="K1327" t="s">
        <v>431</v>
      </c>
      <c r="L1327" t="s">
        <v>62</v>
      </c>
      <c r="M1327" t="s">
        <v>431</v>
      </c>
      <c r="N1327" t="s">
        <v>1456</v>
      </c>
      <c r="O1327" t="s">
        <v>1001</v>
      </c>
      <c r="P1327">
        <v>-20.168237999999999</v>
      </c>
      <c r="Q1327">
        <v>-44.924250999999998</v>
      </c>
      <c r="R1327" s="2" t="str">
        <f>HYPERLINK("https://www.google.com/maps?q=-20.1682380,-44.9242510","Abrir no Google Maps")</f>
        <v>Abrir no Google Maps</v>
      </c>
      <c r="S1327">
        <v>2</v>
      </c>
      <c r="T1327">
        <v>1220.188820430971</v>
      </c>
      <c r="U1327">
        <v>1</v>
      </c>
      <c r="V1327">
        <v>9</v>
      </c>
      <c r="W1327">
        <v>0.85</v>
      </c>
      <c r="X1327">
        <v>7.6499999999999986</v>
      </c>
      <c r="Y1327">
        <v>723</v>
      </c>
      <c r="Z1327">
        <v>1092.4377883150901</v>
      </c>
      <c r="AA1327">
        <v>198</v>
      </c>
      <c r="AB1327">
        <v>332</v>
      </c>
      <c r="AC1327">
        <v>536</v>
      </c>
      <c r="AD1327">
        <v>29.96</v>
      </c>
      <c r="AE1327">
        <v>542</v>
      </c>
      <c r="AF1327">
        <v>29</v>
      </c>
      <c r="AG1327">
        <v>174</v>
      </c>
      <c r="AH1327">
        <v>129</v>
      </c>
      <c r="AI1327">
        <v>5.35</v>
      </c>
      <c r="AJ1327">
        <v>32.1</v>
      </c>
      <c r="AK1327">
        <v>23.8</v>
      </c>
      <c r="AL1327">
        <v>-20.168394999999951</v>
      </c>
      <c r="AM1327">
        <v>-44.923548168580673</v>
      </c>
      <c r="AN1327">
        <v>-20.168394999999951</v>
      </c>
      <c r="AO1327">
        <v>-44.923548168580673</v>
      </c>
      <c r="AP1327">
        <v>-20.168237999999999</v>
      </c>
      <c r="AQ1327">
        <v>-44.924250999999998</v>
      </c>
      <c r="AR1327">
        <v>75.492755104934275</v>
      </c>
      <c r="AS1327" t="s">
        <v>65</v>
      </c>
      <c r="AT1327">
        <v>1</v>
      </c>
      <c r="AU1327" t="s">
        <v>1457</v>
      </c>
      <c r="AV1327" t="s">
        <v>1458</v>
      </c>
      <c r="AW1327" t="s">
        <v>60</v>
      </c>
      <c r="AX1327" t="s">
        <v>68</v>
      </c>
      <c r="AY1327" t="s">
        <v>69</v>
      </c>
      <c r="AZ1327" t="b">
        <v>1</v>
      </c>
    </row>
    <row r="1328" spans="1:52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2128</v>
      </c>
      <c r="F1328" t="s">
        <v>1247</v>
      </c>
      <c r="G1328" t="s">
        <v>1459</v>
      </c>
      <c r="H1328" t="s">
        <v>1460</v>
      </c>
      <c r="I1328" t="s">
        <v>1460</v>
      </c>
      <c r="J1328" t="s">
        <v>60</v>
      </c>
      <c r="K1328" t="s">
        <v>431</v>
      </c>
      <c r="L1328" t="s">
        <v>62</v>
      </c>
      <c r="M1328" t="s">
        <v>431</v>
      </c>
      <c r="N1328" t="s">
        <v>1461</v>
      </c>
      <c r="O1328" t="s">
        <v>1462</v>
      </c>
      <c r="P1328">
        <v>-20.170182</v>
      </c>
      <c r="Q1328">
        <v>-44.922556999999998</v>
      </c>
      <c r="R1328" s="2" t="str">
        <f>HYPERLINK("https://www.google.com/maps?q=-20.1701820,-44.9225570","Abrir no Google Maps")</f>
        <v>Abrir no Google Maps</v>
      </c>
      <c r="S1328">
        <v>2</v>
      </c>
      <c r="T1328">
        <v>1189.3885679843149</v>
      </c>
      <c r="U1328">
        <v>1</v>
      </c>
      <c r="V1328">
        <v>6</v>
      </c>
      <c r="W1328">
        <v>0.85</v>
      </c>
      <c r="X1328">
        <v>5.0999999999999996</v>
      </c>
      <c r="Y1328">
        <v>723</v>
      </c>
      <c r="Z1328">
        <v>961.89164604479117</v>
      </c>
      <c r="AA1328">
        <v>198</v>
      </c>
      <c r="AB1328">
        <v>332</v>
      </c>
      <c r="AC1328">
        <v>536</v>
      </c>
      <c r="AD1328">
        <v>29.96</v>
      </c>
      <c r="AE1328">
        <v>542</v>
      </c>
      <c r="AF1328">
        <v>29</v>
      </c>
      <c r="AG1328">
        <v>174</v>
      </c>
      <c r="AH1328">
        <v>129</v>
      </c>
      <c r="AI1328">
        <v>5.35</v>
      </c>
      <c r="AJ1328">
        <v>32.1</v>
      </c>
      <c r="AK1328">
        <v>23.8</v>
      </c>
      <c r="AL1328">
        <v>-20.169385449999961</v>
      </c>
      <c r="AM1328">
        <v>-44.922107101898007</v>
      </c>
      <c r="AN1328">
        <v>-20.169385449999961</v>
      </c>
      <c r="AO1328">
        <v>-44.922107101898007</v>
      </c>
      <c r="AP1328">
        <v>-20.170182</v>
      </c>
      <c r="AQ1328">
        <v>-44.922556999999998</v>
      </c>
      <c r="AR1328">
        <v>100.36329580049031</v>
      </c>
      <c r="AS1328" t="s">
        <v>65</v>
      </c>
      <c r="AT1328">
        <v>1</v>
      </c>
      <c r="AU1328" t="s">
        <v>1463</v>
      </c>
      <c r="AV1328" t="s">
        <v>1458</v>
      </c>
      <c r="AW1328" t="s">
        <v>60</v>
      </c>
      <c r="AX1328" t="s">
        <v>68</v>
      </c>
      <c r="AY1328" t="s">
        <v>69</v>
      </c>
      <c r="AZ1328" t="b">
        <v>1</v>
      </c>
    </row>
    <row r="1329" spans="1:52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2128</v>
      </c>
      <c r="F1329" t="s">
        <v>1247</v>
      </c>
      <c r="G1329" t="s">
        <v>1534</v>
      </c>
      <c r="H1329" t="s">
        <v>1535</v>
      </c>
      <c r="I1329" t="s">
        <v>1535</v>
      </c>
      <c r="J1329" t="s">
        <v>60</v>
      </c>
      <c r="K1329" t="s">
        <v>1536</v>
      </c>
      <c r="L1329" t="s">
        <v>62</v>
      </c>
      <c r="M1329" t="s">
        <v>1536</v>
      </c>
      <c r="N1329" t="s">
        <v>1537</v>
      </c>
      <c r="O1329" t="s">
        <v>1538</v>
      </c>
      <c r="P1329">
        <v>-20.164618999999998</v>
      </c>
      <c r="Q1329">
        <v>-44.921776999999999</v>
      </c>
      <c r="R1329" s="2" t="str">
        <f>HYPERLINK("https://www.google.com/maps?q=-20.1646190,-44.9217770","Abrir no Google Maps")</f>
        <v>Abrir no Google Maps</v>
      </c>
      <c r="S1329">
        <v>2</v>
      </c>
      <c r="T1329">
        <v>835.70698013544222</v>
      </c>
      <c r="U1329">
        <v>1</v>
      </c>
      <c r="V1329">
        <v>9</v>
      </c>
      <c r="W1329">
        <v>0.85</v>
      </c>
      <c r="X1329">
        <v>7.6499999999999986</v>
      </c>
      <c r="Y1329">
        <v>639</v>
      </c>
      <c r="Z1329">
        <v>821.59880323911125</v>
      </c>
      <c r="AA1329">
        <v>198</v>
      </c>
      <c r="AB1329">
        <v>332</v>
      </c>
      <c r="AC1329">
        <v>536</v>
      </c>
      <c r="AD1329">
        <v>29.96</v>
      </c>
      <c r="AE1329">
        <v>542</v>
      </c>
      <c r="AF1329">
        <v>29</v>
      </c>
      <c r="AG1329">
        <v>174</v>
      </c>
      <c r="AH1329">
        <v>129</v>
      </c>
      <c r="AI1329">
        <v>5.35</v>
      </c>
      <c r="AJ1329">
        <v>32.1</v>
      </c>
      <c r="AK1329">
        <v>23.8</v>
      </c>
      <c r="AL1329">
        <v>-20.164312499999969</v>
      </c>
      <c r="AM1329">
        <v>-44.921945691824099</v>
      </c>
      <c r="AN1329">
        <v>-20.164312499999969</v>
      </c>
      <c r="AO1329">
        <v>-44.921945691824099</v>
      </c>
      <c r="AP1329">
        <v>-20.164618999999998</v>
      </c>
      <c r="AQ1329">
        <v>-44.921776999999999</v>
      </c>
      <c r="AR1329">
        <v>38.404224975746608</v>
      </c>
      <c r="AS1329" t="s">
        <v>65</v>
      </c>
      <c r="AT1329">
        <v>1</v>
      </c>
      <c r="AU1329" t="s">
        <v>1539</v>
      </c>
      <c r="AV1329" t="s">
        <v>1540</v>
      </c>
      <c r="AW1329" t="s">
        <v>60</v>
      </c>
      <c r="AX1329" t="s">
        <v>68</v>
      </c>
      <c r="AY1329" t="s">
        <v>69</v>
      </c>
      <c r="AZ1329" t="b">
        <v>1</v>
      </c>
    </row>
    <row r="1330" spans="1:52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2128</v>
      </c>
      <c r="F1330" t="s">
        <v>1247</v>
      </c>
      <c r="G1330" t="s">
        <v>1559</v>
      </c>
      <c r="H1330" t="s">
        <v>1560</v>
      </c>
      <c r="I1330" t="s">
        <v>1560</v>
      </c>
      <c r="J1330" t="s">
        <v>60</v>
      </c>
      <c r="K1330" t="s">
        <v>61</v>
      </c>
      <c r="L1330" t="s">
        <v>62</v>
      </c>
      <c r="M1330" t="s">
        <v>61</v>
      </c>
      <c r="N1330" t="s">
        <v>1561</v>
      </c>
      <c r="O1330" t="s">
        <v>1562</v>
      </c>
      <c r="P1330">
        <v>-20.154959000000002</v>
      </c>
      <c r="Q1330">
        <v>-44.91525</v>
      </c>
      <c r="R1330" s="2" t="str">
        <f>HYPERLINK("https://www.google.com/maps?q=-20.1549590,-44.9152500","Abrir no Google Maps")</f>
        <v>Abrir no Google Maps</v>
      </c>
      <c r="S1330">
        <v>2</v>
      </c>
      <c r="T1330">
        <v>738.36411213380245</v>
      </c>
      <c r="U1330">
        <v>1</v>
      </c>
      <c r="V1330">
        <v>0</v>
      </c>
      <c r="W1330">
        <v>0.85</v>
      </c>
      <c r="X1330">
        <v>0</v>
      </c>
      <c r="Y1330">
        <v>639</v>
      </c>
      <c r="Z1330">
        <v>860.82840850294542</v>
      </c>
      <c r="AA1330">
        <v>198</v>
      </c>
      <c r="AB1330">
        <v>332</v>
      </c>
      <c r="AC1330">
        <v>536</v>
      </c>
      <c r="AD1330">
        <v>29.96</v>
      </c>
      <c r="AE1330">
        <v>542</v>
      </c>
      <c r="AF1330">
        <v>29</v>
      </c>
      <c r="AG1330">
        <v>174</v>
      </c>
      <c r="AH1330">
        <v>129</v>
      </c>
      <c r="AI1330">
        <v>5.35</v>
      </c>
      <c r="AJ1330">
        <v>32.1</v>
      </c>
      <c r="AK1330">
        <v>23.8</v>
      </c>
      <c r="AL1330">
        <v>-20.154629849999939</v>
      </c>
      <c r="AM1330">
        <v>-44.914951620624052</v>
      </c>
      <c r="AN1330">
        <v>-20.154629849999939</v>
      </c>
      <c r="AO1330">
        <v>-44.914951620624052</v>
      </c>
      <c r="AP1330">
        <v>-20.154959000000002</v>
      </c>
      <c r="AQ1330">
        <v>-44.91525</v>
      </c>
      <c r="AR1330">
        <v>48.11297170616912</v>
      </c>
      <c r="AS1330" t="s">
        <v>65</v>
      </c>
      <c r="AT1330">
        <v>1</v>
      </c>
      <c r="AU1330" t="s">
        <v>1563</v>
      </c>
      <c r="AV1330" t="s">
        <v>1564</v>
      </c>
      <c r="AW1330" t="s">
        <v>60</v>
      </c>
      <c r="AX1330" t="s">
        <v>68</v>
      </c>
      <c r="AY1330" t="s">
        <v>69</v>
      </c>
      <c r="AZ1330" t="b">
        <v>1</v>
      </c>
    </row>
    <row r="1331" spans="1:52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2128</v>
      </c>
      <c r="F1331" t="s">
        <v>1247</v>
      </c>
      <c r="G1331" t="s">
        <v>1607</v>
      </c>
      <c r="H1331" t="s">
        <v>1608</v>
      </c>
      <c r="I1331" t="s">
        <v>1608</v>
      </c>
      <c r="J1331" t="s">
        <v>60</v>
      </c>
      <c r="K1331" t="s">
        <v>1486</v>
      </c>
      <c r="L1331" t="s">
        <v>62</v>
      </c>
      <c r="M1331" t="s">
        <v>1486</v>
      </c>
      <c r="N1331" t="s">
        <v>1609</v>
      </c>
      <c r="O1331" t="s">
        <v>1255</v>
      </c>
      <c r="P1331">
        <v>-20.157689000000001</v>
      </c>
      <c r="Q1331">
        <v>-44.883887000000001</v>
      </c>
      <c r="R1331" s="2" t="str">
        <f>HYPERLINK("https://www.google.com/maps?q=-20.1576890,-44.8838870","Abrir no Google Maps")</f>
        <v>Abrir no Google Maps</v>
      </c>
      <c r="S1331">
        <v>1</v>
      </c>
      <c r="T1331">
        <v>603.38424821205774</v>
      </c>
      <c r="U1331">
        <v>4</v>
      </c>
      <c r="V1331">
        <v>24</v>
      </c>
      <c r="W1331">
        <v>1</v>
      </c>
      <c r="X1331">
        <v>24</v>
      </c>
      <c r="Y1331">
        <v>671</v>
      </c>
      <c r="Z1331">
        <v>682.48636898467089</v>
      </c>
      <c r="AA1331">
        <v>198</v>
      </c>
      <c r="AB1331">
        <v>332</v>
      </c>
      <c r="AC1331">
        <v>536</v>
      </c>
      <c r="AD1331">
        <v>29.96</v>
      </c>
      <c r="AE1331">
        <v>542</v>
      </c>
      <c r="AF1331">
        <v>29</v>
      </c>
      <c r="AG1331">
        <v>174</v>
      </c>
      <c r="AH1331">
        <v>129</v>
      </c>
      <c r="AI1331">
        <v>5.35</v>
      </c>
      <c r="AJ1331">
        <v>32.1</v>
      </c>
      <c r="AK1331">
        <v>23.8</v>
      </c>
      <c r="AL1331">
        <v>-20.157732249999949</v>
      </c>
      <c r="AM1331">
        <v>-44.883829923283272</v>
      </c>
      <c r="AN1331">
        <v>-20.157732249999949</v>
      </c>
      <c r="AO1331">
        <v>-44.883829923283272</v>
      </c>
      <c r="AP1331">
        <v>-20.157689000000001</v>
      </c>
      <c r="AQ1331">
        <v>-44.883887000000001</v>
      </c>
      <c r="AR1331">
        <v>7.6652901074925257</v>
      </c>
      <c r="AS1331" t="s">
        <v>65</v>
      </c>
      <c r="AT1331">
        <v>1</v>
      </c>
      <c r="AU1331" t="s">
        <v>1610</v>
      </c>
      <c r="AV1331" t="s">
        <v>1611</v>
      </c>
      <c r="AW1331" t="s">
        <v>60</v>
      </c>
      <c r="AX1331" t="s">
        <v>68</v>
      </c>
      <c r="AY1331" t="s">
        <v>69</v>
      </c>
      <c r="AZ1331" t="b">
        <v>1</v>
      </c>
    </row>
    <row r="1332" spans="1:52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2128</v>
      </c>
      <c r="F1332" t="s">
        <v>1247</v>
      </c>
      <c r="G1332" t="s">
        <v>1569</v>
      </c>
      <c r="H1332" t="s">
        <v>1570</v>
      </c>
      <c r="I1332" t="s">
        <v>1570</v>
      </c>
      <c r="J1332" t="s">
        <v>60</v>
      </c>
      <c r="K1332" t="s">
        <v>530</v>
      </c>
      <c r="L1332" t="s">
        <v>62</v>
      </c>
      <c r="M1332" t="s">
        <v>530</v>
      </c>
      <c r="N1332" t="s">
        <v>1571</v>
      </c>
      <c r="O1332" t="s">
        <v>598</v>
      </c>
      <c r="P1332">
        <v>-20.146418000000001</v>
      </c>
      <c r="Q1332">
        <v>-44.893861999999999</v>
      </c>
      <c r="R1332" s="2" t="str">
        <f>HYPERLINK("https://www.google.com/maps?q=-20.1464180,-44.8938620","Abrir no Google Maps")</f>
        <v>Abrir no Google Maps</v>
      </c>
      <c r="S1332">
        <v>1</v>
      </c>
      <c r="T1332">
        <v>0</v>
      </c>
      <c r="U1332">
        <v>4</v>
      </c>
      <c r="V1332">
        <v>24</v>
      </c>
      <c r="W1332">
        <v>0.85</v>
      </c>
      <c r="X1332">
        <v>20.399999999999999</v>
      </c>
      <c r="Y1332">
        <v>602</v>
      </c>
      <c r="Z1332">
        <v>124.5475134899211</v>
      </c>
      <c r="AA1332">
        <v>198</v>
      </c>
      <c r="AB1332">
        <v>332</v>
      </c>
      <c r="AC1332">
        <v>536</v>
      </c>
      <c r="AD1332">
        <v>29.96</v>
      </c>
      <c r="AE1332">
        <v>542</v>
      </c>
      <c r="AF1332">
        <v>29</v>
      </c>
      <c r="AG1332">
        <v>174</v>
      </c>
      <c r="AH1332">
        <v>129</v>
      </c>
      <c r="AI1332">
        <v>5.35</v>
      </c>
      <c r="AJ1332">
        <v>32.1</v>
      </c>
      <c r="AK1332">
        <v>23.8</v>
      </c>
      <c r="AL1332">
        <v>-20.146753399999941</v>
      </c>
      <c r="AM1332">
        <v>-44.893993355901941</v>
      </c>
      <c r="AN1332">
        <v>-20.146753399999941</v>
      </c>
      <c r="AO1332">
        <v>-44.893993355901941</v>
      </c>
      <c r="AP1332">
        <v>-20.146418000000001</v>
      </c>
      <c r="AQ1332">
        <v>-44.893861999999999</v>
      </c>
      <c r="AR1332">
        <v>39.780457157851913</v>
      </c>
      <c r="AS1332" t="s">
        <v>65</v>
      </c>
      <c r="AT1332">
        <v>1</v>
      </c>
      <c r="AU1332" t="s">
        <v>1572</v>
      </c>
      <c r="AV1332" t="s">
        <v>1573</v>
      </c>
      <c r="AW1332" t="s">
        <v>60</v>
      </c>
      <c r="AX1332" t="s">
        <v>68</v>
      </c>
      <c r="AY1332" t="s">
        <v>69</v>
      </c>
      <c r="AZ1332" t="b">
        <v>1</v>
      </c>
    </row>
    <row r="1333" spans="1:52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2128</v>
      </c>
      <c r="F1333" t="s">
        <v>1247</v>
      </c>
      <c r="G1333" t="s">
        <v>1569</v>
      </c>
      <c r="H1333" t="s">
        <v>1574</v>
      </c>
      <c r="I1333" t="s">
        <v>1574</v>
      </c>
      <c r="J1333" t="s">
        <v>60</v>
      </c>
      <c r="K1333" t="s">
        <v>530</v>
      </c>
      <c r="L1333" t="s">
        <v>62</v>
      </c>
      <c r="M1333" t="s">
        <v>530</v>
      </c>
      <c r="N1333" t="s">
        <v>1571</v>
      </c>
      <c r="O1333" t="s">
        <v>1575</v>
      </c>
      <c r="P1333">
        <v>-20.14554</v>
      </c>
      <c r="Q1333">
        <v>-44.895606000000001</v>
      </c>
      <c r="R1333" s="2" t="str">
        <f>HYPERLINK("https://www.google.com/maps?q=-20.1455400,-44.8956060","Abrir no Google Maps")</f>
        <v>Abrir no Google Maps</v>
      </c>
      <c r="S1333">
        <v>1</v>
      </c>
      <c r="T1333">
        <v>218.66647838959381</v>
      </c>
      <c r="U1333">
        <v>4</v>
      </c>
      <c r="V1333">
        <v>25</v>
      </c>
      <c r="W1333">
        <v>1</v>
      </c>
      <c r="X1333">
        <v>25</v>
      </c>
      <c r="Y1333">
        <v>602</v>
      </c>
      <c r="Z1333">
        <v>263.6501043391637</v>
      </c>
      <c r="AA1333">
        <v>198</v>
      </c>
      <c r="AB1333">
        <v>332</v>
      </c>
      <c r="AC1333">
        <v>536</v>
      </c>
      <c r="AD1333">
        <v>29.96</v>
      </c>
      <c r="AE1333">
        <v>542</v>
      </c>
      <c r="AF1333">
        <v>29</v>
      </c>
      <c r="AG1333">
        <v>174</v>
      </c>
      <c r="AH1333">
        <v>129</v>
      </c>
      <c r="AI1333">
        <v>5.35</v>
      </c>
      <c r="AJ1333">
        <v>32.1</v>
      </c>
      <c r="AK1333">
        <v>23.8</v>
      </c>
      <c r="AL1333">
        <v>-20.145504749999962</v>
      </c>
      <c r="AM1333">
        <v>-44.89561499588882</v>
      </c>
      <c r="AN1333">
        <v>-20.145504749999962</v>
      </c>
      <c r="AO1333">
        <v>-44.89561499588882</v>
      </c>
      <c r="AP1333">
        <v>-20.14554</v>
      </c>
      <c r="AQ1333">
        <v>-44.895606000000001</v>
      </c>
      <c r="AR1333">
        <v>4.0350843151508604</v>
      </c>
      <c r="AS1333" t="s">
        <v>65</v>
      </c>
      <c r="AT1333">
        <v>1</v>
      </c>
      <c r="AU1333" t="s">
        <v>1576</v>
      </c>
      <c r="AV1333" t="s">
        <v>1577</v>
      </c>
      <c r="AW1333" t="s">
        <v>60</v>
      </c>
      <c r="AX1333" t="s">
        <v>68</v>
      </c>
      <c r="AY1333" t="s">
        <v>69</v>
      </c>
      <c r="AZ1333" t="b">
        <v>1</v>
      </c>
    </row>
    <row r="1334" spans="1:52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2128</v>
      </c>
      <c r="F1334" t="s">
        <v>1247</v>
      </c>
      <c r="G1334" t="s">
        <v>1578</v>
      </c>
      <c r="H1334" t="s">
        <v>1579</v>
      </c>
      <c r="I1334" t="s">
        <v>1579</v>
      </c>
      <c r="J1334" t="s">
        <v>60</v>
      </c>
      <c r="K1334" t="s">
        <v>530</v>
      </c>
      <c r="L1334" t="s">
        <v>62</v>
      </c>
      <c r="M1334" t="s">
        <v>530</v>
      </c>
      <c r="N1334" t="s">
        <v>1580</v>
      </c>
      <c r="O1334" t="s">
        <v>1581</v>
      </c>
      <c r="P1334">
        <v>-20.143713999999999</v>
      </c>
      <c r="Q1334">
        <v>-44.897387999999999</v>
      </c>
      <c r="R1334" s="2" t="str">
        <f>HYPERLINK("https://www.google.com/maps?q=-20.1437140,-44.8973880","Abrir no Google Maps")</f>
        <v>Abrir no Google Maps</v>
      </c>
      <c r="S1334">
        <v>1</v>
      </c>
      <c r="T1334">
        <v>354.74438118735611</v>
      </c>
      <c r="U1334">
        <v>4</v>
      </c>
      <c r="V1334">
        <v>45</v>
      </c>
      <c r="W1334">
        <v>1</v>
      </c>
      <c r="X1334">
        <v>45</v>
      </c>
      <c r="Y1334">
        <v>588</v>
      </c>
      <c r="Z1334">
        <v>336.29881064197872</v>
      </c>
      <c r="AA1334">
        <v>198</v>
      </c>
      <c r="AB1334">
        <v>332</v>
      </c>
      <c r="AC1334">
        <v>536</v>
      </c>
      <c r="AD1334">
        <v>29.96</v>
      </c>
      <c r="AE1334">
        <v>542</v>
      </c>
      <c r="AF1334">
        <v>29</v>
      </c>
      <c r="AG1334">
        <v>174</v>
      </c>
      <c r="AH1334">
        <v>129</v>
      </c>
      <c r="AI1334">
        <v>5.35</v>
      </c>
      <c r="AJ1334">
        <v>32.1</v>
      </c>
      <c r="AK1334">
        <v>23.8</v>
      </c>
      <c r="AL1334">
        <v>-20.14371329999997</v>
      </c>
      <c r="AM1334">
        <v>-44.897384604125257</v>
      </c>
      <c r="AN1334">
        <v>-20.14371329999997</v>
      </c>
      <c r="AO1334">
        <v>-44.897384604125257</v>
      </c>
      <c r="AP1334">
        <v>-20.143713999999999</v>
      </c>
      <c r="AQ1334">
        <v>-44.897387999999999</v>
      </c>
      <c r="AR1334">
        <v>0.36335934693921551</v>
      </c>
      <c r="AS1334" t="s">
        <v>65</v>
      </c>
      <c r="AT1334">
        <v>1</v>
      </c>
      <c r="AU1334" t="s">
        <v>1582</v>
      </c>
      <c r="AV1334" t="s">
        <v>1583</v>
      </c>
      <c r="AW1334" t="s">
        <v>60</v>
      </c>
      <c r="AX1334" t="s">
        <v>68</v>
      </c>
      <c r="AY1334" t="s">
        <v>69</v>
      </c>
      <c r="AZ1334" t="b">
        <v>1</v>
      </c>
    </row>
    <row r="1335" spans="1:52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2128</v>
      </c>
      <c r="F1335" t="s">
        <v>1247</v>
      </c>
      <c r="G1335" t="s">
        <v>1584</v>
      </c>
      <c r="H1335" t="s">
        <v>1585</v>
      </c>
      <c r="I1335" t="s">
        <v>1585</v>
      </c>
      <c r="J1335" t="s">
        <v>60</v>
      </c>
      <c r="K1335" t="s">
        <v>530</v>
      </c>
      <c r="L1335" t="s">
        <v>62</v>
      </c>
      <c r="M1335" t="s">
        <v>530</v>
      </c>
      <c r="N1335" t="s">
        <v>406</v>
      </c>
      <c r="O1335" t="s">
        <v>1586</v>
      </c>
      <c r="P1335">
        <v>-20.141316</v>
      </c>
      <c r="Q1335">
        <v>-44.896424000000003</v>
      </c>
      <c r="R1335" s="2" t="str">
        <f>HYPERLINK("https://www.google.com/maps?q=-20.1413160,-44.8964240","Abrir no Google Maps")</f>
        <v>Abrir no Google Maps</v>
      </c>
      <c r="S1335">
        <v>1</v>
      </c>
      <c r="T1335">
        <v>236.6687095166524</v>
      </c>
      <c r="U1335">
        <v>4</v>
      </c>
      <c r="V1335">
        <v>24</v>
      </c>
      <c r="W1335">
        <v>1</v>
      </c>
      <c r="X1335">
        <v>24</v>
      </c>
      <c r="Y1335">
        <v>588</v>
      </c>
      <c r="Z1335">
        <v>255.50729797374251</v>
      </c>
      <c r="AA1335">
        <v>198</v>
      </c>
      <c r="AB1335">
        <v>332</v>
      </c>
      <c r="AC1335">
        <v>536</v>
      </c>
      <c r="AD1335">
        <v>29.96</v>
      </c>
      <c r="AE1335">
        <v>542</v>
      </c>
      <c r="AF1335">
        <v>29</v>
      </c>
      <c r="AG1335">
        <v>174</v>
      </c>
      <c r="AH1335">
        <v>129</v>
      </c>
      <c r="AI1335">
        <v>5.35</v>
      </c>
      <c r="AJ1335">
        <v>32.1</v>
      </c>
      <c r="AK1335">
        <v>23.8</v>
      </c>
      <c r="AL1335">
        <v>-20.141468299999961</v>
      </c>
      <c r="AM1335">
        <v>-44.896566678331098</v>
      </c>
      <c r="AN1335">
        <v>-20.141468299999961</v>
      </c>
      <c r="AO1335">
        <v>-44.896566678331098</v>
      </c>
      <c r="AP1335">
        <v>-20.141316</v>
      </c>
      <c r="AQ1335">
        <v>-44.896424000000003</v>
      </c>
      <c r="AR1335">
        <v>22.578666373759301</v>
      </c>
      <c r="AS1335" t="s">
        <v>65</v>
      </c>
      <c r="AT1335">
        <v>1</v>
      </c>
      <c r="AU1335" t="s">
        <v>1587</v>
      </c>
      <c r="AV1335" t="s">
        <v>1588</v>
      </c>
      <c r="AW1335" t="s">
        <v>60</v>
      </c>
      <c r="AX1335" t="s">
        <v>68</v>
      </c>
      <c r="AY1335" t="s">
        <v>69</v>
      </c>
      <c r="AZ1335" t="b">
        <v>1</v>
      </c>
    </row>
    <row r="1336" spans="1:52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2128</v>
      </c>
      <c r="F1336" t="s">
        <v>1247</v>
      </c>
      <c r="G1336" t="s">
        <v>631</v>
      </c>
      <c r="H1336" t="s">
        <v>1565</v>
      </c>
      <c r="I1336" t="s">
        <v>1565</v>
      </c>
      <c r="J1336" t="s">
        <v>60</v>
      </c>
      <c r="K1336" t="s">
        <v>530</v>
      </c>
      <c r="L1336" t="s">
        <v>62</v>
      </c>
      <c r="M1336" t="s">
        <v>530</v>
      </c>
      <c r="N1336" t="s">
        <v>633</v>
      </c>
      <c r="O1336" t="s">
        <v>1566</v>
      </c>
      <c r="P1336">
        <v>-20.143915</v>
      </c>
      <c r="Q1336">
        <v>-44.8947</v>
      </c>
      <c r="R1336" s="2" t="str">
        <f>HYPERLINK("https://www.google.com/maps?q=-20.1439150,-44.8947000","Abrir no Google Maps")</f>
        <v>Abrir no Google Maps</v>
      </c>
      <c r="S1336">
        <v>1</v>
      </c>
      <c r="T1336">
        <v>327.74435325417051</v>
      </c>
      <c r="U1336">
        <v>3</v>
      </c>
      <c r="V1336">
        <v>19</v>
      </c>
      <c r="W1336">
        <v>1</v>
      </c>
      <c r="X1336">
        <v>19</v>
      </c>
      <c r="Y1336">
        <v>602</v>
      </c>
      <c r="Z1336">
        <v>236.41345279429891</v>
      </c>
      <c r="AA1336">
        <v>198</v>
      </c>
      <c r="AB1336">
        <v>332</v>
      </c>
      <c r="AC1336">
        <v>536</v>
      </c>
      <c r="AD1336">
        <v>29.96</v>
      </c>
      <c r="AE1336">
        <v>542</v>
      </c>
      <c r="AF1336">
        <v>29</v>
      </c>
      <c r="AG1336">
        <v>174</v>
      </c>
      <c r="AH1336">
        <v>129</v>
      </c>
      <c r="AI1336">
        <v>5.35</v>
      </c>
      <c r="AJ1336">
        <v>32.1</v>
      </c>
      <c r="AK1336">
        <v>23.8</v>
      </c>
      <c r="AL1336">
        <v>-20.143900549999959</v>
      </c>
      <c r="AM1336">
        <v>-44.894835636584318</v>
      </c>
      <c r="AN1336">
        <v>-20.143900549999959</v>
      </c>
      <c r="AO1336">
        <v>-44.894835636584318</v>
      </c>
      <c r="AP1336">
        <v>-20.143915</v>
      </c>
      <c r="AQ1336">
        <v>-44.8947</v>
      </c>
      <c r="AR1336">
        <v>14.266440053785869</v>
      </c>
      <c r="AS1336" t="s">
        <v>65</v>
      </c>
      <c r="AT1336">
        <v>1</v>
      </c>
      <c r="AU1336" t="s">
        <v>1567</v>
      </c>
      <c r="AV1336" t="s">
        <v>1568</v>
      </c>
      <c r="AW1336" t="s">
        <v>60</v>
      </c>
      <c r="AX1336" t="s">
        <v>68</v>
      </c>
      <c r="AY1336" t="s">
        <v>69</v>
      </c>
      <c r="AZ1336" t="b">
        <v>1</v>
      </c>
    </row>
    <row r="1337" spans="1:52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2128</v>
      </c>
      <c r="F1337" t="s">
        <v>1247</v>
      </c>
      <c r="G1337" t="s">
        <v>1589</v>
      </c>
      <c r="H1337" t="s">
        <v>1590</v>
      </c>
      <c r="I1337" t="s">
        <v>1590</v>
      </c>
      <c r="J1337" t="s">
        <v>60</v>
      </c>
      <c r="K1337" t="s">
        <v>1591</v>
      </c>
      <c r="L1337" t="s">
        <v>62</v>
      </c>
      <c r="M1337" t="s">
        <v>1591</v>
      </c>
      <c r="N1337" t="s">
        <v>1592</v>
      </c>
      <c r="O1337" t="s">
        <v>659</v>
      </c>
      <c r="P1337">
        <v>-20.140789000000002</v>
      </c>
      <c r="Q1337">
        <v>-44.898631000000002</v>
      </c>
      <c r="R1337" s="2" t="str">
        <f>HYPERLINK("https://www.google.com/maps?q=-20.1407890,-44.8986310","Abrir no Google Maps")</f>
        <v>Abrir no Google Maps</v>
      </c>
      <c r="S1337">
        <v>1</v>
      </c>
      <c r="T1337">
        <v>0</v>
      </c>
      <c r="U1337">
        <v>3</v>
      </c>
      <c r="V1337">
        <v>19</v>
      </c>
      <c r="W1337">
        <v>1</v>
      </c>
      <c r="X1337">
        <v>19</v>
      </c>
      <c r="Y1337">
        <v>588</v>
      </c>
      <c r="Z1337">
        <v>51.152636251897107</v>
      </c>
      <c r="AA1337">
        <v>198</v>
      </c>
      <c r="AB1337">
        <v>332</v>
      </c>
      <c r="AC1337">
        <v>536</v>
      </c>
      <c r="AD1337">
        <v>29.96</v>
      </c>
      <c r="AE1337">
        <v>542</v>
      </c>
      <c r="AF1337">
        <v>29</v>
      </c>
      <c r="AG1337">
        <v>174</v>
      </c>
      <c r="AH1337">
        <v>129</v>
      </c>
      <c r="AI1337">
        <v>5.35</v>
      </c>
      <c r="AJ1337">
        <v>32.1</v>
      </c>
      <c r="AK1337">
        <v>23.8</v>
      </c>
      <c r="AL1337">
        <v>-20.140759399999951</v>
      </c>
      <c r="AM1337">
        <v>-44.898703172474903</v>
      </c>
      <c r="AN1337">
        <v>-20.140759399999951</v>
      </c>
      <c r="AO1337">
        <v>-44.898703172474903</v>
      </c>
      <c r="AP1337">
        <v>-20.140789000000002</v>
      </c>
      <c r="AQ1337">
        <v>-44.898631000000002</v>
      </c>
      <c r="AR1337">
        <v>8.2312502179962053</v>
      </c>
      <c r="AS1337" t="s">
        <v>65</v>
      </c>
      <c r="AT1337">
        <v>1</v>
      </c>
      <c r="AU1337" t="s">
        <v>1593</v>
      </c>
      <c r="AV1337" t="s">
        <v>1594</v>
      </c>
      <c r="AW1337" t="s">
        <v>60</v>
      </c>
      <c r="AX1337" t="s">
        <v>68</v>
      </c>
      <c r="AY1337" t="s">
        <v>69</v>
      </c>
      <c r="AZ1337" t="b">
        <v>1</v>
      </c>
    </row>
    <row r="1338" spans="1:52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2128</v>
      </c>
      <c r="F1338" t="s">
        <v>1247</v>
      </c>
      <c r="G1338" t="s">
        <v>1595</v>
      </c>
      <c r="H1338" t="s">
        <v>1596</v>
      </c>
      <c r="I1338" t="s">
        <v>1596</v>
      </c>
      <c r="J1338" t="s">
        <v>60</v>
      </c>
      <c r="K1338" t="s">
        <v>530</v>
      </c>
      <c r="L1338" t="s">
        <v>62</v>
      </c>
      <c r="M1338" t="s">
        <v>530</v>
      </c>
      <c r="N1338" t="s">
        <v>1006</v>
      </c>
      <c r="O1338" t="s">
        <v>1597</v>
      </c>
      <c r="P1338">
        <v>-20.139135</v>
      </c>
      <c r="Q1338">
        <v>-44.895907000000001</v>
      </c>
      <c r="R1338" s="2" t="str">
        <f>HYPERLINK("https://www.google.com/maps?q=-20.1391350,-44.8959070","Abrir no Google Maps")</f>
        <v>Abrir no Google Maps</v>
      </c>
      <c r="S1338">
        <v>1</v>
      </c>
      <c r="T1338">
        <v>324.98342996447241</v>
      </c>
      <c r="U1338">
        <v>3</v>
      </c>
      <c r="V1338">
        <v>20</v>
      </c>
      <c r="W1338">
        <v>1</v>
      </c>
      <c r="X1338">
        <v>20</v>
      </c>
      <c r="Y1338">
        <v>588</v>
      </c>
      <c r="Z1338">
        <v>411.69998599301618</v>
      </c>
      <c r="AA1338">
        <v>198</v>
      </c>
      <c r="AB1338">
        <v>332</v>
      </c>
      <c r="AC1338">
        <v>536</v>
      </c>
      <c r="AD1338">
        <v>29.96</v>
      </c>
      <c r="AE1338">
        <v>542</v>
      </c>
      <c r="AF1338">
        <v>29</v>
      </c>
      <c r="AG1338">
        <v>174</v>
      </c>
      <c r="AH1338">
        <v>129</v>
      </c>
      <c r="AI1338">
        <v>5.35</v>
      </c>
      <c r="AJ1338">
        <v>32.1</v>
      </c>
      <c r="AK1338">
        <v>23.8</v>
      </c>
      <c r="AL1338">
        <v>-20.139299649999941</v>
      </c>
      <c r="AM1338">
        <v>-44.896005009217312</v>
      </c>
      <c r="AN1338">
        <v>-20.139299649999941</v>
      </c>
      <c r="AO1338">
        <v>-44.896005009217312</v>
      </c>
      <c r="AP1338">
        <v>-20.139135</v>
      </c>
      <c r="AQ1338">
        <v>-44.895907000000001</v>
      </c>
      <c r="AR1338">
        <v>20.996943428875841</v>
      </c>
      <c r="AS1338" t="s">
        <v>65</v>
      </c>
      <c r="AT1338">
        <v>1</v>
      </c>
      <c r="AU1338" t="s">
        <v>1598</v>
      </c>
      <c r="AV1338" t="s">
        <v>1599</v>
      </c>
      <c r="AW1338" t="s">
        <v>60</v>
      </c>
      <c r="AX1338" t="s">
        <v>68</v>
      </c>
      <c r="AY1338" t="s">
        <v>69</v>
      </c>
      <c r="AZ1338" t="b">
        <v>1</v>
      </c>
    </row>
    <row r="1339" spans="1:52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2128</v>
      </c>
      <c r="F1339" t="s">
        <v>1247</v>
      </c>
      <c r="G1339" t="s">
        <v>1584</v>
      </c>
      <c r="H1339" t="s">
        <v>1604</v>
      </c>
      <c r="I1339" t="s">
        <v>1604</v>
      </c>
      <c r="J1339" t="s">
        <v>60</v>
      </c>
      <c r="K1339" t="s">
        <v>530</v>
      </c>
      <c r="L1339" t="s">
        <v>62</v>
      </c>
      <c r="M1339" t="s">
        <v>530</v>
      </c>
      <c r="N1339" t="s">
        <v>406</v>
      </c>
      <c r="O1339" t="s">
        <v>1267</v>
      </c>
      <c r="P1339">
        <v>-20.147068000000001</v>
      </c>
      <c r="Q1339">
        <v>-44.898629999999997</v>
      </c>
      <c r="R1339" s="2" t="str">
        <f>HYPERLINK("https://www.google.com/maps?q=-20.1470680,-44.8986300","Abrir no Google Maps")</f>
        <v>Abrir no Google Maps</v>
      </c>
      <c r="S1339">
        <v>1</v>
      </c>
      <c r="T1339">
        <v>468.5580266389448</v>
      </c>
      <c r="U1339">
        <v>3</v>
      </c>
      <c r="V1339">
        <v>20</v>
      </c>
      <c r="W1339">
        <v>1</v>
      </c>
      <c r="X1339">
        <v>20</v>
      </c>
      <c r="Y1339">
        <v>556</v>
      </c>
      <c r="Z1339">
        <v>447.77738134922419</v>
      </c>
      <c r="AA1339">
        <v>198</v>
      </c>
      <c r="AB1339">
        <v>332</v>
      </c>
      <c r="AC1339">
        <v>536</v>
      </c>
      <c r="AD1339">
        <v>29.96</v>
      </c>
      <c r="AE1339">
        <v>542</v>
      </c>
      <c r="AF1339">
        <v>29</v>
      </c>
      <c r="AG1339">
        <v>174</v>
      </c>
      <c r="AH1339">
        <v>129</v>
      </c>
      <c r="AI1339">
        <v>5.35</v>
      </c>
      <c r="AJ1339">
        <v>32.1</v>
      </c>
      <c r="AK1339">
        <v>23.8</v>
      </c>
      <c r="AL1339">
        <v>-20.14701759999997</v>
      </c>
      <c r="AM1339">
        <v>-44.898633710342303</v>
      </c>
      <c r="AN1339">
        <v>-20.14701759999997</v>
      </c>
      <c r="AO1339">
        <v>-44.898633710342303</v>
      </c>
      <c r="AP1339">
        <v>-20.147068000000001</v>
      </c>
      <c r="AQ1339">
        <v>-44.898629999999997</v>
      </c>
      <c r="AR1339">
        <v>5.6239118246064832</v>
      </c>
      <c r="AS1339" t="s">
        <v>65</v>
      </c>
      <c r="AT1339">
        <v>1</v>
      </c>
      <c r="AU1339" t="s">
        <v>1605</v>
      </c>
      <c r="AV1339" t="s">
        <v>1606</v>
      </c>
      <c r="AW1339" t="s">
        <v>60</v>
      </c>
      <c r="AX1339" t="s">
        <v>68</v>
      </c>
      <c r="AY1339" t="s">
        <v>69</v>
      </c>
      <c r="AZ1339" t="b">
        <v>1</v>
      </c>
    </row>
    <row r="1340" spans="1:52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2128</v>
      </c>
      <c r="F1340" t="s">
        <v>1247</v>
      </c>
      <c r="G1340" t="s">
        <v>1342</v>
      </c>
      <c r="H1340" t="s">
        <v>1600</v>
      </c>
      <c r="I1340" t="s">
        <v>1600</v>
      </c>
      <c r="J1340" t="s">
        <v>60</v>
      </c>
      <c r="K1340" t="s">
        <v>462</v>
      </c>
      <c r="L1340" t="s">
        <v>62</v>
      </c>
      <c r="M1340" t="s">
        <v>462</v>
      </c>
      <c r="N1340" t="s">
        <v>921</v>
      </c>
      <c r="O1340" t="s">
        <v>1601</v>
      </c>
      <c r="P1340">
        <v>-20.140741999999999</v>
      </c>
      <c r="Q1340">
        <v>-44.902729000000001</v>
      </c>
      <c r="R1340" s="2" t="str">
        <f>HYPERLINK("https://www.google.com/maps?q=-20.1407420,-44.9027290","Abrir no Google Maps")</f>
        <v>Abrir no Google Maps</v>
      </c>
      <c r="S1340">
        <v>1</v>
      </c>
      <c r="T1340">
        <v>373.97936588503438</v>
      </c>
      <c r="U1340">
        <v>2</v>
      </c>
      <c r="V1340">
        <v>14</v>
      </c>
      <c r="W1340">
        <v>1</v>
      </c>
      <c r="X1340">
        <v>14</v>
      </c>
      <c r="Y1340">
        <v>588</v>
      </c>
      <c r="Z1340">
        <v>427.55758539734131</v>
      </c>
      <c r="AA1340">
        <v>198</v>
      </c>
      <c r="AB1340">
        <v>332</v>
      </c>
      <c r="AC1340">
        <v>536</v>
      </c>
      <c r="AD1340">
        <v>29.96</v>
      </c>
      <c r="AE1340">
        <v>542</v>
      </c>
      <c r="AF1340">
        <v>29</v>
      </c>
      <c r="AG1340">
        <v>174</v>
      </c>
      <c r="AH1340">
        <v>129</v>
      </c>
      <c r="AI1340">
        <v>5.35</v>
      </c>
      <c r="AJ1340">
        <v>32.1</v>
      </c>
      <c r="AK1340">
        <v>23.8</v>
      </c>
      <c r="AL1340">
        <v>-20.140729549999971</v>
      </c>
      <c r="AM1340">
        <v>-44.902779454814521</v>
      </c>
      <c r="AN1340">
        <v>-20.140729549999971</v>
      </c>
      <c r="AO1340">
        <v>-44.902779454814521</v>
      </c>
      <c r="AP1340">
        <v>-20.140741999999999</v>
      </c>
      <c r="AQ1340">
        <v>-44.902729000000001</v>
      </c>
      <c r="AR1340">
        <v>5.4522610212697993</v>
      </c>
      <c r="AS1340" t="s">
        <v>65</v>
      </c>
      <c r="AT1340">
        <v>1</v>
      </c>
      <c r="AU1340" t="s">
        <v>1602</v>
      </c>
      <c r="AV1340" t="s">
        <v>1603</v>
      </c>
      <c r="AW1340" t="s">
        <v>60</v>
      </c>
      <c r="AX1340" t="s">
        <v>68</v>
      </c>
      <c r="AY1340" t="s">
        <v>69</v>
      </c>
      <c r="AZ1340" t="b">
        <v>1</v>
      </c>
    </row>
    <row r="1341" spans="1:52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2128</v>
      </c>
      <c r="F1341" t="s">
        <v>1247</v>
      </c>
      <c r="G1341" t="s">
        <v>1612</v>
      </c>
      <c r="H1341" t="s">
        <v>1613</v>
      </c>
      <c r="I1341" t="s">
        <v>1613</v>
      </c>
      <c r="J1341" t="s">
        <v>60</v>
      </c>
      <c r="K1341" t="s">
        <v>1349</v>
      </c>
      <c r="L1341" t="s">
        <v>62</v>
      </c>
      <c r="M1341" t="s">
        <v>1349</v>
      </c>
      <c r="N1341" t="s">
        <v>1614</v>
      </c>
      <c r="O1341" t="s">
        <v>710</v>
      </c>
      <c r="P1341">
        <v>-20.141335999999999</v>
      </c>
      <c r="Q1341">
        <v>-44.901133000000002</v>
      </c>
      <c r="R1341" s="2" t="str">
        <f>HYPERLINK("https://www.google.com/maps?q=-20.1413360,-44.9011330","Abrir no Google Maps")</f>
        <v>Abrir no Google Maps</v>
      </c>
      <c r="S1341">
        <v>1</v>
      </c>
      <c r="T1341">
        <v>257.92927430829218</v>
      </c>
      <c r="U1341">
        <v>1</v>
      </c>
      <c r="V1341">
        <v>9</v>
      </c>
      <c r="W1341">
        <v>0.85</v>
      </c>
      <c r="X1341">
        <v>7.6499999999999986</v>
      </c>
      <c r="Y1341">
        <v>588</v>
      </c>
      <c r="Z1341">
        <v>252.62617475231269</v>
      </c>
      <c r="AA1341">
        <v>198</v>
      </c>
      <c r="AB1341">
        <v>332</v>
      </c>
      <c r="AC1341">
        <v>536</v>
      </c>
      <c r="AD1341">
        <v>29.96</v>
      </c>
      <c r="AE1341">
        <v>542</v>
      </c>
      <c r="AF1341">
        <v>29</v>
      </c>
      <c r="AG1341">
        <v>174</v>
      </c>
      <c r="AH1341">
        <v>129</v>
      </c>
      <c r="AI1341">
        <v>5.35</v>
      </c>
      <c r="AJ1341">
        <v>32.1</v>
      </c>
      <c r="AK1341">
        <v>23.8</v>
      </c>
      <c r="AL1341">
        <v>-20.141297649999959</v>
      </c>
      <c r="AM1341">
        <v>-44.901104406351408</v>
      </c>
      <c r="AN1341">
        <v>-20.141297649999959</v>
      </c>
      <c r="AO1341">
        <v>-44.901104406351408</v>
      </c>
      <c r="AP1341">
        <v>-20.141335999999999</v>
      </c>
      <c r="AQ1341">
        <v>-44.901133000000002</v>
      </c>
      <c r="AR1341">
        <v>5.211130154459668</v>
      </c>
      <c r="AS1341" t="s">
        <v>65</v>
      </c>
      <c r="AT1341">
        <v>1</v>
      </c>
      <c r="AU1341" t="s">
        <v>1615</v>
      </c>
      <c r="AV1341" t="s">
        <v>1616</v>
      </c>
      <c r="AW1341" t="s">
        <v>60</v>
      </c>
      <c r="AX1341" t="s">
        <v>68</v>
      </c>
      <c r="AY1341" t="s">
        <v>69</v>
      </c>
      <c r="AZ1341" t="b">
        <v>1</v>
      </c>
    </row>
    <row r="1342" spans="1:52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2142</v>
      </c>
      <c r="F1342" t="s">
        <v>57</v>
      </c>
      <c r="G1342" t="s">
        <v>191</v>
      </c>
      <c r="H1342" t="s">
        <v>192</v>
      </c>
      <c r="I1342" t="s">
        <v>192</v>
      </c>
      <c r="J1342" t="s">
        <v>60</v>
      </c>
      <c r="K1342" t="s">
        <v>193</v>
      </c>
      <c r="L1342" t="s">
        <v>62</v>
      </c>
      <c r="M1342" t="s">
        <v>193</v>
      </c>
      <c r="N1342" t="s">
        <v>194</v>
      </c>
      <c r="O1342" t="s">
        <v>195</v>
      </c>
      <c r="P1342">
        <v>-20.143266000000001</v>
      </c>
      <c r="Q1342">
        <v>-44.912075000000002</v>
      </c>
      <c r="R1342" s="2" t="str">
        <f>HYPERLINK("https://www.google.com/maps?q=-20.1432660,-44.9120750","Abrir no Google Maps")</f>
        <v>Abrir no Google Maps</v>
      </c>
      <c r="S1342">
        <v>4</v>
      </c>
      <c r="T1342">
        <v>467.04339396175408</v>
      </c>
      <c r="U1342">
        <v>4</v>
      </c>
      <c r="V1342">
        <v>25</v>
      </c>
      <c r="W1342">
        <v>1</v>
      </c>
      <c r="X1342">
        <v>25</v>
      </c>
      <c r="Y1342">
        <v>747</v>
      </c>
      <c r="Z1342">
        <v>585.1742452866996</v>
      </c>
      <c r="AA1342">
        <v>198</v>
      </c>
      <c r="AB1342">
        <v>332</v>
      </c>
      <c r="AC1342">
        <v>536</v>
      </c>
      <c r="AD1342">
        <v>28.93</v>
      </c>
      <c r="AE1342">
        <v>542</v>
      </c>
      <c r="AF1342">
        <v>28</v>
      </c>
      <c r="AG1342">
        <v>168</v>
      </c>
      <c r="AH1342">
        <v>129</v>
      </c>
      <c r="AI1342">
        <v>5.17</v>
      </c>
      <c r="AJ1342">
        <v>31</v>
      </c>
      <c r="AK1342">
        <v>23.8</v>
      </c>
      <c r="AL1342">
        <v>-20.143307949999951</v>
      </c>
      <c r="AM1342">
        <v>-44.912066629431067</v>
      </c>
      <c r="AN1342">
        <v>-20.143307949999951</v>
      </c>
      <c r="AO1342">
        <v>-44.912066629431067</v>
      </c>
      <c r="AP1342">
        <v>-20.143266000000001</v>
      </c>
      <c r="AQ1342">
        <v>-44.912075000000002</v>
      </c>
      <c r="AR1342">
        <v>4.751108024498329</v>
      </c>
      <c r="AS1342" t="s">
        <v>65</v>
      </c>
      <c r="AT1342">
        <v>1</v>
      </c>
      <c r="AU1342" t="s">
        <v>196</v>
      </c>
      <c r="AV1342" t="s">
        <v>197</v>
      </c>
      <c r="AW1342" t="s">
        <v>60</v>
      </c>
      <c r="AX1342" t="s">
        <v>68</v>
      </c>
      <c r="AY1342" t="s">
        <v>69</v>
      </c>
      <c r="AZ1342" t="b">
        <v>1</v>
      </c>
    </row>
    <row r="1343" spans="1:52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2142</v>
      </c>
      <c r="F1343" t="s">
        <v>57</v>
      </c>
      <c r="G1343" t="s">
        <v>89</v>
      </c>
      <c r="H1343" t="s">
        <v>90</v>
      </c>
      <c r="I1343" t="s">
        <v>90</v>
      </c>
      <c r="J1343" t="s">
        <v>60</v>
      </c>
      <c r="K1343" t="s">
        <v>72</v>
      </c>
      <c r="L1343" t="s">
        <v>62</v>
      </c>
      <c r="M1343" t="s">
        <v>72</v>
      </c>
      <c r="N1343" t="s">
        <v>91</v>
      </c>
      <c r="O1343" t="s">
        <v>92</v>
      </c>
      <c r="P1343">
        <v>-20.145848999999998</v>
      </c>
      <c r="Q1343">
        <v>-44.908419000000002</v>
      </c>
      <c r="R1343" s="2" t="str">
        <f>HYPERLINK("https://www.google.com/maps?q=-20.1458490,-44.9084190","Abrir no Google Maps")</f>
        <v>Abrir no Google Maps</v>
      </c>
      <c r="S1343">
        <v>4</v>
      </c>
      <c r="T1343">
        <v>0</v>
      </c>
      <c r="U1343">
        <v>4</v>
      </c>
      <c r="V1343">
        <v>26</v>
      </c>
      <c r="W1343">
        <v>1</v>
      </c>
      <c r="X1343">
        <v>26</v>
      </c>
      <c r="Y1343">
        <v>747</v>
      </c>
      <c r="Z1343">
        <v>136.08168502765241</v>
      </c>
      <c r="AA1343">
        <v>198</v>
      </c>
      <c r="AB1343">
        <v>332</v>
      </c>
      <c r="AC1343">
        <v>536</v>
      </c>
      <c r="AD1343">
        <v>28.93</v>
      </c>
      <c r="AE1343">
        <v>542</v>
      </c>
      <c r="AF1343">
        <v>28</v>
      </c>
      <c r="AG1343">
        <v>168</v>
      </c>
      <c r="AH1343">
        <v>129</v>
      </c>
      <c r="AI1343">
        <v>5.17</v>
      </c>
      <c r="AJ1343">
        <v>31</v>
      </c>
      <c r="AK1343">
        <v>23.8</v>
      </c>
      <c r="AL1343">
        <v>-20.14576979999995</v>
      </c>
      <c r="AM1343">
        <v>-44.908436775053183</v>
      </c>
      <c r="AN1343">
        <v>-20.14576979999995</v>
      </c>
      <c r="AO1343">
        <v>-44.908436775053183</v>
      </c>
      <c r="AP1343">
        <v>-20.145848999999998</v>
      </c>
      <c r="AQ1343">
        <v>-44.908419000000002</v>
      </c>
      <c r="AR1343">
        <v>9.0101247482327356</v>
      </c>
      <c r="AS1343" t="s">
        <v>65</v>
      </c>
      <c r="AT1343">
        <v>1</v>
      </c>
      <c r="AU1343" t="s">
        <v>93</v>
      </c>
      <c r="AV1343" t="s">
        <v>94</v>
      </c>
      <c r="AW1343" t="s">
        <v>60</v>
      </c>
      <c r="AX1343" t="s">
        <v>68</v>
      </c>
      <c r="AY1343" t="s">
        <v>69</v>
      </c>
      <c r="AZ1343" t="b">
        <v>1</v>
      </c>
    </row>
    <row r="1344" spans="1:52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2142</v>
      </c>
      <c r="F1344" t="s">
        <v>57</v>
      </c>
      <c r="G1344" t="s">
        <v>100</v>
      </c>
      <c r="H1344" t="s">
        <v>101</v>
      </c>
      <c r="I1344" t="s">
        <v>101</v>
      </c>
      <c r="J1344" t="s">
        <v>60</v>
      </c>
      <c r="K1344" t="s">
        <v>61</v>
      </c>
      <c r="L1344" t="s">
        <v>62</v>
      </c>
      <c r="M1344" t="s">
        <v>61</v>
      </c>
      <c r="N1344" t="s">
        <v>102</v>
      </c>
      <c r="O1344" t="s">
        <v>103</v>
      </c>
      <c r="P1344">
        <v>-20.151098999999999</v>
      </c>
      <c r="Q1344">
        <v>-44.909699000000003</v>
      </c>
      <c r="R1344" s="2" t="str">
        <f>HYPERLINK("https://www.google.com/maps?q=-20.1510990,-44.9096990","Abrir no Google Maps")</f>
        <v>Abrir no Google Maps</v>
      </c>
      <c r="S1344">
        <v>4</v>
      </c>
      <c r="T1344">
        <v>628.5023128813533</v>
      </c>
      <c r="U1344">
        <v>4</v>
      </c>
      <c r="V1344">
        <v>57</v>
      </c>
      <c r="W1344">
        <v>1</v>
      </c>
      <c r="X1344">
        <v>57</v>
      </c>
      <c r="Y1344">
        <v>747</v>
      </c>
      <c r="Z1344">
        <v>563.16456625265948</v>
      </c>
      <c r="AA1344">
        <v>198</v>
      </c>
      <c r="AB1344">
        <v>332</v>
      </c>
      <c r="AC1344">
        <v>536</v>
      </c>
      <c r="AD1344">
        <v>28.93</v>
      </c>
      <c r="AE1344">
        <v>542</v>
      </c>
      <c r="AF1344">
        <v>28</v>
      </c>
      <c r="AG1344">
        <v>168</v>
      </c>
      <c r="AH1344">
        <v>129</v>
      </c>
      <c r="AI1344">
        <v>5.17</v>
      </c>
      <c r="AJ1344">
        <v>31</v>
      </c>
      <c r="AK1344">
        <v>23.8</v>
      </c>
      <c r="AL1344">
        <v>-20.151307349999971</v>
      </c>
      <c r="AM1344">
        <v>-44.909772836123523</v>
      </c>
      <c r="AN1344">
        <v>-20.151307349999971</v>
      </c>
      <c r="AO1344">
        <v>-44.909772836123523</v>
      </c>
      <c r="AP1344">
        <v>-20.151098999999999</v>
      </c>
      <c r="AQ1344">
        <v>-44.909699000000003</v>
      </c>
      <c r="AR1344">
        <v>24.443417349564811</v>
      </c>
      <c r="AS1344" t="s">
        <v>65</v>
      </c>
      <c r="AT1344">
        <v>1</v>
      </c>
      <c r="AU1344" t="s">
        <v>104</v>
      </c>
      <c r="AV1344" t="s">
        <v>105</v>
      </c>
      <c r="AW1344" t="s">
        <v>60</v>
      </c>
      <c r="AX1344" t="s">
        <v>68</v>
      </c>
      <c r="AY1344" t="s">
        <v>69</v>
      </c>
      <c r="AZ1344" t="b">
        <v>1</v>
      </c>
    </row>
    <row r="1345" spans="1:52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2142</v>
      </c>
      <c r="F1345" t="s">
        <v>57</v>
      </c>
      <c r="G1345" t="s">
        <v>212</v>
      </c>
      <c r="H1345" t="s">
        <v>213</v>
      </c>
      <c r="I1345" t="s">
        <v>213</v>
      </c>
      <c r="J1345" t="s">
        <v>60</v>
      </c>
      <c r="K1345" t="s">
        <v>214</v>
      </c>
      <c r="L1345" t="s">
        <v>62</v>
      </c>
      <c r="M1345" t="s">
        <v>214</v>
      </c>
      <c r="N1345" t="s">
        <v>215</v>
      </c>
      <c r="O1345" t="s">
        <v>216</v>
      </c>
      <c r="P1345">
        <v>-20.158149000000002</v>
      </c>
      <c r="Q1345">
        <v>-44.872593000000002</v>
      </c>
      <c r="R1345" s="2" t="str">
        <f>HYPERLINK("https://www.google.com/maps?q=-20.1581490,-44.8725930","Abrir no Google Maps")</f>
        <v>Abrir no Google Maps</v>
      </c>
      <c r="S1345">
        <v>4</v>
      </c>
      <c r="T1345">
        <v>0</v>
      </c>
      <c r="U1345">
        <v>4</v>
      </c>
      <c r="V1345">
        <v>23</v>
      </c>
      <c r="W1345">
        <v>1</v>
      </c>
      <c r="X1345">
        <v>23</v>
      </c>
      <c r="Y1345">
        <v>531</v>
      </c>
      <c r="Z1345">
        <v>127.8805352974544</v>
      </c>
      <c r="AA1345">
        <v>198</v>
      </c>
      <c r="AB1345">
        <v>332</v>
      </c>
      <c r="AC1345">
        <v>536</v>
      </c>
      <c r="AD1345">
        <v>28.93</v>
      </c>
      <c r="AE1345">
        <v>542</v>
      </c>
      <c r="AF1345">
        <v>28</v>
      </c>
      <c r="AG1345">
        <v>168</v>
      </c>
      <c r="AH1345">
        <v>129</v>
      </c>
      <c r="AI1345">
        <v>5.17</v>
      </c>
      <c r="AJ1345">
        <v>31</v>
      </c>
      <c r="AK1345">
        <v>23.8</v>
      </c>
      <c r="AL1345">
        <v>-20.158114249999951</v>
      </c>
      <c r="AM1345">
        <v>-44.872583123264782</v>
      </c>
      <c r="AN1345">
        <v>-20.158114249999951</v>
      </c>
      <c r="AO1345">
        <v>-44.872583123264782</v>
      </c>
      <c r="AP1345">
        <v>-20.158149000000002</v>
      </c>
      <c r="AQ1345">
        <v>-44.872593000000002</v>
      </c>
      <c r="AR1345">
        <v>4.0036956087599238</v>
      </c>
      <c r="AS1345" t="s">
        <v>65</v>
      </c>
      <c r="AT1345">
        <v>1</v>
      </c>
      <c r="AU1345" t="s">
        <v>217</v>
      </c>
      <c r="AV1345" t="s">
        <v>218</v>
      </c>
      <c r="AW1345" t="s">
        <v>60</v>
      </c>
      <c r="AX1345" t="s">
        <v>68</v>
      </c>
      <c r="AY1345" t="s">
        <v>69</v>
      </c>
      <c r="AZ1345" t="b">
        <v>1</v>
      </c>
    </row>
    <row r="1346" spans="1:52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2142</v>
      </c>
      <c r="F1346" t="s">
        <v>57</v>
      </c>
      <c r="G1346" t="s">
        <v>219</v>
      </c>
      <c r="H1346" t="s">
        <v>220</v>
      </c>
      <c r="I1346" t="s">
        <v>220</v>
      </c>
      <c r="J1346" t="s">
        <v>60</v>
      </c>
      <c r="K1346" t="s">
        <v>214</v>
      </c>
      <c r="L1346" t="s">
        <v>62</v>
      </c>
      <c r="M1346" t="s">
        <v>214</v>
      </c>
      <c r="N1346" t="s">
        <v>221</v>
      </c>
      <c r="O1346" t="s">
        <v>222</v>
      </c>
      <c r="P1346">
        <v>-20.158049999999999</v>
      </c>
      <c r="Q1346">
        <v>-44.868823999999996</v>
      </c>
      <c r="R1346" s="2" t="str">
        <f>HYPERLINK("https://www.google.com/maps?q=-20.1580500,-44.8688240","Abrir no Google Maps")</f>
        <v>Abrir no Google Maps</v>
      </c>
      <c r="S1346">
        <v>4</v>
      </c>
      <c r="T1346">
        <v>400.85705002223079</v>
      </c>
      <c r="U1346">
        <v>4</v>
      </c>
      <c r="V1346">
        <v>37</v>
      </c>
      <c r="W1346">
        <v>1</v>
      </c>
      <c r="X1346">
        <v>37</v>
      </c>
      <c r="Y1346">
        <v>531</v>
      </c>
      <c r="Z1346">
        <v>493.98501624607121</v>
      </c>
      <c r="AA1346">
        <v>198</v>
      </c>
      <c r="AB1346">
        <v>332</v>
      </c>
      <c r="AC1346">
        <v>536</v>
      </c>
      <c r="AD1346">
        <v>28.93</v>
      </c>
      <c r="AE1346">
        <v>542</v>
      </c>
      <c r="AF1346">
        <v>28</v>
      </c>
      <c r="AG1346">
        <v>168</v>
      </c>
      <c r="AH1346">
        <v>129</v>
      </c>
      <c r="AI1346">
        <v>5.17</v>
      </c>
      <c r="AJ1346">
        <v>31</v>
      </c>
      <c r="AK1346">
        <v>23.8</v>
      </c>
      <c r="AL1346">
        <v>-20.158020649999969</v>
      </c>
      <c r="AM1346">
        <v>-44.868748475381317</v>
      </c>
      <c r="AN1346">
        <v>-20.158020649999969</v>
      </c>
      <c r="AO1346">
        <v>-44.868748475381331</v>
      </c>
      <c r="AP1346">
        <v>-20.158049999999999</v>
      </c>
      <c r="AQ1346">
        <v>-44.868823999999996</v>
      </c>
      <c r="AR1346">
        <v>8.5419571471718818</v>
      </c>
      <c r="AS1346" t="s">
        <v>65</v>
      </c>
      <c r="AT1346">
        <v>1</v>
      </c>
      <c r="AU1346" t="s">
        <v>223</v>
      </c>
      <c r="AV1346" t="s">
        <v>224</v>
      </c>
      <c r="AW1346" t="s">
        <v>60</v>
      </c>
      <c r="AX1346" t="s">
        <v>68</v>
      </c>
      <c r="AY1346" t="s">
        <v>69</v>
      </c>
      <c r="AZ1346" t="b">
        <v>1</v>
      </c>
    </row>
    <row r="1347" spans="1:52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2142</v>
      </c>
      <c r="F1347" t="s">
        <v>57</v>
      </c>
      <c r="G1347" t="s">
        <v>238</v>
      </c>
      <c r="H1347" t="s">
        <v>239</v>
      </c>
      <c r="I1347" t="s">
        <v>239</v>
      </c>
      <c r="J1347" t="s">
        <v>60</v>
      </c>
      <c r="K1347" t="s">
        <v>227</v>
      </c>
      <c r="L1347" t="s">
        <v>62</v>
      </c>
      <c r="M1347" t="s">
        <v>227</v>
      </c>
      <c r="N1347" t="s">
        <v>240</v>
      </c>
      <c r="O1347" t="s">
        <v>202</v>
      </c>
      <c r="P1347">
        <v>-20.155833999999999</v>
      </c>
      <c r="Q1347">
        <v>-44.859437999999997</v>
      </c>
      <c r="R1347" s="2" t="str">
        <f>HYPERLINK("https://www.google.com/maps?q=-20.1558340,-44.8594380","Abrir no Google Maps")</f>
        <v>Abrir no Google Maps</v>
      </c>
      <c r="S1347">
        <v>4</v>
      </c>
      <c r="T1347">
        <v>381.00646482339403</v>
      </c>
      <c r="U1347">
        <v>4</v>
      </c>
      <c r="V1347">
        <v>28</v>
      </c>
      <c r="W1347">
        <v>1</v>
      </c>
      <c r="X1347">
        <v>28</v>
      </c>
      <c r="Y1347">
        <v>518</v>
      </c>
      <c r="Z1347">
        <v>484.9275363207239</v>
      </c>
      <c r="AA1347">
        <v>198</v>
      </c>
      <c r="AB1347">
        <v>332</v>
      </c>
      <c r="AC1347">
        <v>536</v>
      </c>
      <c r="AD1347">
        <v>28.93</v>
      </c>
      <c r="AE1347">
        <v>542</v>
      </c>
      <c r="AF1347">
        <v>28</v>
      </c>
      <c r="AG1347">
        <v>168</v>
      </c>
      <c r="AH1347">
        <v>129</v>
      </c>
      <c r="AI1347">
        <v>5.17</v>
      </c>
      <c r="AJ1347">
        <v>31</v>
      </c>
      <c r="AK1347">
        <v>23.8</v>
      </c>
      <c r="AL1347">
        <v>-20.155935399999979</v>
      </c>
      <c r="AM1347">
        <v>-44.859367525422847</v>
      </c>
      <c r="AN1347">
        <v>-20.155935399999979</v>
      </c>
      <c r="AO1347">
        <v>-44.859367525422847</v>
      </c>
      <c r="AP1347">
        <v>-20.155833999999999</v>
      </c>
      <c r="AQ1347">
        <v>-44.859437999999997</v>
      </c>
      <c r="AR1347">
        <v>13.477960508152201</v>
      </c>
      <c r="AS1347" t="s">
        <v>65</v>
      </c>
      <c r="AT1347">
        <v>1</v>
      </c>
      <c r="AU1347" t="s">
        <v>241</v>
      </c>
      <c r="AV1347" t="s">
        <v>242</v>
      </c>
      <c r="AW1347" t="s">
        <v>60</v>
      </c>
      <c r="AX1347" t="s">
        <v>68</v>
      </c>
      <c r="AY1347" t="s">
        <v>69</v>
      </c>
      <c r="AZ1347" t="b">
        <v>1</v>
      </c>
    </row>
    <row r="1348" spans="1:52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2142</v>
      </c>
      <c r="F1348" t="s">
        <v>57</v>
      </c>
      <c r="G1348" t="s">
        <v>127</v>
      </c>
      <c r="H1348" t="s">
        <v>128</v>
      </c>
      <c r="I1348" t="s">
        <v>128</v>
      </c>
      <c r="J1348" t="s">
        <v>60</v>
      </c>
      <c r="K1348" t="s">
        <v>129</v>
      </c>
      <c r="L1348" t="s">
        <v>62</v>
      </c>
      <c r="M1348" t="s">
        <v>129</v>
      </c>
      <c r="N1348" t="s">
        <v>130</v>
      </c>
      <c r="O1348" t="s">
        <v>131</v>
      </c>
      <c r="P1348">
        <v>-20.130752000000001</v>
      </c>
      <c r="Q1348">
        <v>-44.865676999999998</v>
      </c>
      <c r="R1348" s="2" t="str">
        <f>HYPERLINK("https://www.google.com/maps?q=-20.1307520,-44.8656770","Abrir no Google Maps")</f>
        <v>Abrir no Google Maps</v>
      </c>
      <c r="S1348">
        <v>4</v>
      </c>
      <c r="T1348">
        <v>666.25741128624747</v>
      </c>
      <c r="U1348">
        <v>4</v>
      </c>
      <c r="V1348">
        <v>34</v>
      </c>
      <c r="W1348">
        <v>1</v>
      </c>
      <c r="X1348">
        <v>34</v>
      </c>
      <c r="Y1348">
        <v>387</v>
      </c>
      <c r="Z1348">
        <v>838.7193965949632</v>
      </c>
      <c r="AA1348">
        <v>198</v>
      </c>
      <c r="AB1348">
        <v>332</v>
      </c>
      <c r="AC1348">
        <v>536</v>
      </c>
      <c r="AD1348">
        <v>28.93</v>
      </c>
      <c r="AE1348">
        <v>542</v>
      </c>
      <c r="AF1348">
        <v>28</v>
      </c>
      <c r="AG1348">
        <v>168</v>
      </c>
      <c r="AH1348">
        <v>129</v>
      </c>
      <c r="AI1348">
        <v>5.17</v>
      </c>
      <c r="AJ1348">
        <v>31</v>
      </c>
      <c r="AK1348">
        <v>23.8</v>
      </c>
      <c r="AL1348">
        <v>-20.130734049999969</v>
      </c>
      <c r="AM1348">
        <v>-44.86564904282416</v>
      </c>
      <c r="AN1348">
        <v>-20.130734049999969</v>
      </c>
      <c r="AO1348">
        <v>-44.86564904282416</v>
      </c>
      <c r="AP1348">
        <v>-20.130752000000001</v>
      </c>
      <c r="AQ1348">
        <v>-44.865676999999998</v>
      </c>
      <c r="AR1348">
        <v>3.539952280780454</v>
      </c>
      <c r="AS1348" t="s">
        <v>65</v>
      </c>
      <c r="AT1348">
        <v>1</v>
      </c>
      <c r="AU1348" t="s">
        <v>132</v>
      </c>
      <c r="AV1348" t="s">
        <v>133</v>
      </c>
      <c r="AW1348" t="s">
        <v>60</v>
      </c>
      <c r="AX1348" t="s">
        <v>68</v>
      </c>
      <c r="AY1348" t="s">
        <v>69</v>
      </c>
      <c r="AZ1348" t="b">
        <v>1</v>
      </c>
    </row>
    <row r="1349" spans="1:52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2142</v>
      </c>
      <c r="F1349" t="s">
        <v>57</v>
      </c>
      <c r="G1349" t="s">
        <v>1628</v>
      </c>
      <c r="H1349" t="s">
        <v>1629</v>
      </c>
      <c r="I1349" t="s">
        <v>1629</v>
      </c>
      <c r="J1349" t="s">
        <v>60</v>
      </c>
      <c r="K1349" t="s">
        <v>136</v>
      </c>
      <c r="L1349" t="s">
        <v>62</v>
      </c>
      <c r="M1349" t="s">
        <v>136</v>
      </c>
      <c r="N1349" t="s">
        <v>1630</v>
      </c>
      <c r="O1349" t="s">
        <v>103</v>
      </c>
      <c r="P1349">
        <v>-20.169488999999999</v>
      </c>
      <c r="Q1349">
        <v>-44.848812000000002</v>
      </c>
      <c r="R1349" s="2" t="str">
        <f>HYPERLINK("https://www.google.com/maps?q=-20.1694890,-44.8488120","Abrir no Google Maps")</f>
        <v>Abrir no Google Maps</v>
      </c>
      <c r="S1349">
        <v>4</v>
      </c>
      <c r="T1349">
        <v>426.92881761579793</v>
      </c>
      <c r="U1349">
        <v>4</v>
      </c>
      <c r="V1349">
        <v>43</v>
      </c>
      <c r="W1349">
        <v>1</v>
      </c>
      <c r="X1349">
        <v>43</v>
      </c>
      <c r="Y1349">
        <v>292</v>
      </c>
      <c r="Z1349">
        <v>345.01829288722871</v>
      </c>
      <c r="AA1349">
        <v>198</v>
      </c>
      <c r="AB1349">
        <v>332</v>
      </c>
      <c r="AC1349">
        <v>536</v>
      </c>
      <c r="AD1349">
        <v>28.93</v>
      </c>
      <c r="AE1349">
        <v>542</v>
      </c>
      <c r="AF1349">
        <v>28</v>
      </c>
      <c r="AG1349">
        <v>168</v>
      </c>
      <c r="AH1349">
        <v>129</v>
      </c>
      <c r="AI1349">
        <v>5.17</v>
      </c>
      <c r="AJ1349">
        <v>31</v>
      </c>
      <c r="AK1349">
        <v>23.8</v>
      </c>
      <c r="AL1349">
        <v>-20.169293749999959</v>
      </c>
      <c r="AM1349">
        <v>-44.848899945665508</v>
      </c>
      <c r="AN1349">
        <v>-20.169293749999959</v>
      </c>
      <c r="AO1349">
        <v>-44.848899945665508</v>
      </c>
      <c r="AP1349">
        <v>-20.169488999999999</v>
      </c>
      <c r="AQ1349">
        <v>-44.848812000000002</v>
      </c>
      <c r="AR1349">
        <v>23.598134321543789</v>
      </c>
      <c r="AS1349" t="s">
        <v>65</v>
      </c>
      <c r="AT1349">
        <v>1</v>
      </c>
      <c r="AU1349" t="s">
        <v>1631</v>
      </c>
      <c r="AV1349" t="s">
        <v>1632</v>
      </c>
      <c r="AW1349" t="s">
        <v>60</v>
      </c>
      <c r="AX1349" t="s">
        <v>68</v>
      </c>
      <c r="AY1349" t="s">
        <v>69</v>
      </c>
      <c r="AZ1349" t="b">
        <v>1</v>
      </c>
    </row>
    <row r="1350" spans="1:52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2142</v>
      </c>
      <c r="F1350" t="s">
        <v>57</v>
      </c>
      <c r="G1350" t="s">
        <v>267</v>
      </c>
      <c r="H1350" t="s">
        <v>268</v>
      </c>
      <c r="I1350" t="s">
        <v>268</v>
      </c>
      <c r="J1350" t="s">
        <v>60</v>
      </c>
      <c r="K1350" t="s">
        <v>150</v>
      </c>
      <c r="L1350" t="s">
        <v>62</v>
      </c>
      <c r="M1350" t="s">
        <v>150</v>
      </c>
      <c r="N1350" t="s">
        <v>269</v>
      </c>
      <c r="O1350" t="s">
        <v>270</v>
      </c>
      <c r="P1350">
        <v>-20.172367999999999</v>
      </c>
      <c r="Q1350">
        <v>-44.848661</v>
      </c>
      <c r="R1350" s="2" t="str">
        <f>HYPERLINK("https://www.google.com/maps?q=-20.1723680,-44.8486610","Abrir no Google Maps")</f>
        <v>Abrir no Google Maps</v>
      </c>
      <c r="S1350">
        <v>4</v>
      </c>
      <c r="T1350">
        <v>759.75892180950234</v>
      </c>
      <c r="U1350">
        <v>4</v>
      </c>
      <c r="V1350">
        <v>39</v>
      </c>
      <c r="W1350">
        <v>1</v>
      </c>
      <c r="X1350">
        <v>39</v>
      </c>
      <c r="Y1350">
        <v>292</v>
      </c>
      <c r="Z1350">
        <v>735.80511761487242</v>
      </c>
      <c r="AA1350">
        <v>198</v>
      </c>
      <c r="AB1350">
        <v>332</v>
      </c>
      <c r="AC1350">
        <v>536</v>
      </c>
      <c r="AD1350">
        <v>28.93</v>
      </c>
      <c r="AE1350">
        <v>542</v>
      </c>
      <c r="AF1350">
        <v>28</v>
      </c>
      <c r="AG1350">
        <v>168</v>
      </c>
      <c r="AH1350">
        <v>129</v>
      </c>
      <c r="AI1350">
        <v>5.17</v>
      </c>
      <c r="AJ1350">
        <v>31</v>
      </c>
      <c r="AK1350">
        <v>23.8</v>
      </c>
      <c r="AL1350">
        <v>-20.172435999999951</v>
      </c>
      <c r="AM1350">
        <v>-44.84866233556005</v>
      </c>
      <c r="AN1350">
        <v>-20.172435999999951</v>
      </c>
      <c r="AO1350">
        <v>-44.84866233556005</v>
      </c>
      <c r="AP1350">
        <v>-20.172367999999999</v>
      </c>
      <c r="AQ1350">
        <v>-44.848661</v>
      </c>
      <c r="AR1350">
        <v>7.5710462874877198</v>
      </c>
      <c r="AS1350" t="s">
        <v>65</v>
      </c>
      <c r="AT1350">
        <v>1</v>
      </c>
      <c r="AU1350" t="s">
        <v>271</v>
      </c>
      <c r="AV1350" t="s">
        <v>272</v>
      </c>
      <c r="AW1350" t="s">
        <v>60</v>
      </c>
      <c r="AX1350" t="s">
        <v>68</v>
      </c>
      <c r="AY1350" t="s">
        <v>69</v>
      </c>
      <c r="AZ1350" t="b">
        <v>1</v>
      </c>
    </row>
    <row r="1351" spans="1:52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2142</v>
      </c>
      <c r="F1351" t="s">
        <v>57</v>
      </c>
      <c r="G1351" t="s">
        <v>273</v>
      </c>
      <c r="H1351" t="s">
        <v>274</v>
      </c>
      <c r="I1351" t="s">
        <v>274</v>
      </c>
      <c r="J1351" t="s">
        <v>60</v>
      </c>
      <c r="K1351" t="s">
        <v>143</v>
      </c>
      <c r="L1351" t="s">
        <v>62</v>
      </c>
      <c r="M1351" t="s">
        <v>143</v>
      </c>
      <c r="N1351" t="s">
        <v>275</v>
      </c>
      <c r="O1351" t="s">
        <v>276</v>
      </c>
      <c r="P1351">
        <v>-20.171367</v>
      </c>
      <c r="Q1351">
        <v>-44.844709999999999</v>
      </c>
      <c r="R1351" s="2" t="str">
        <f>HYPERLINK("https://www.google.com/maps?q=-20.1713670,-44.8447100","Abrir no Google Maps")</f>
        <v>Abrir no Google Maps</v>
      </c>
      <c r="S1351">
        <v>4</v>
      </c>
      <c r="T1351">
        <v>700.36715126879801</v>
      </c>
      <c r="U1351">
        <v>4</v>
      </c>
      <c r="V1351">
        <v>31</v>
      </c>
      <c r="W1351">
        <v>1</v>
      </c>
      <c r="X1351">
        <v>31</v>
      </c>
      <c r="Y1351">
        <v>292</v>
      </c>
      <c r="Z1351">
        <v>767.70201658334747</v>
      </c>
      <c r="AA1351">
        <v>198</v>
      </c>
      <c r="AB1351">
        <v>332</v>
      </c>
      <c r="AC1351">
        <v>536</v>
      </c>
      <c r="AD1351">
        <v>28.93</v>
      </c>
      <c r="AE1351">
        <v>542</v>
      </c>
      <c r="AF1351">
        <v>28</v>
      </c>
      <c r="AG1351">
        <v>168</v>
      </c>
      <c r="AH1351">
        <v>129</v>
      </c>
      <c r="AI1351">
        <v>5.17</v>
      </c>
      <c r="AJ1351">
        <v>31</v>
      </c>
      <c r="AK1351">
        <v>23.8</v>
      </c>
      <c r="AL1351">
        <v>-20.17140124999997</v>
      </c>
      <c r="AM1351">
        <v>-44.844758486699448</v>
      </c>
      <c r="AN1351">
        <v>-20.171401249999981</v>
      </c>
      <c r="AO1351">
        <v>-44.844758486699448</v>
      </c>
      <c r="AP1351">
        <v>-20.171367</v>
      </c>
      <c r="AQ1351">
        <v>-44.844709999999999</v>
      </c>
      <c r="AR1351">
        <v>6.3408204899540994</v>
      </c>
      <c r="AS1351" t="s">
        <v>65</v>
      </c>
      <c r="AT1351">
        <v>1</v>
      </c>
      <c r="AU1351" t="s">
        <v>277</v>
      </c>
      <c r="AV1351" t="s">
        <v>278</v>
      </c>
      <c r="AW1351" t="s">
        <v>60</v>
      </c>
      <c r="AX1351" t="s">
        <v>68</v>
      </c>
      <c r="AY1351" t="s">
        <v>69</v>
      </c>
      <c r="AZ1351" t="b">
        <v>1</v>
      </c>
    </row>
    <row r="1352" spans="1:52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2142</v>
      </c>
      <c r="F1352" t="s">
        <v>57</v>
      </c>
      <c r="G1352" t="s">
        <v>134</v>
      </c>
      <c r="H1352" t="s">
        <v>135</v>
      </c>
      <c r="I1352" t="s">
        <v>135</v>
      </c>
      <c r="J1352" t="s">
        <v>60</v>
      </c>
      <c r="K1352" t="s">
        <v>136</v>
      </c>
      <c r="L1352" t="s">
        <v>62</v>
      </c>
      <c r="M1352" t="s">
        <v>136</v>
      </c>
      <c r="N1352" t="s">
        <v>137</v>
      </c>
      <c r="O1352" t="s">
        <v>138</v>
      </c>
      <c r="P1352">
        <v>-20.165773000000002</v>
      </c>
      <c r="Q1352">
        <v>-44.847566999999998</v>
      </c>
      <c r="R1352" s="2" t="str">
        <f>HYPERLINK("https://www.google.com/maps?q=-20.1657730,-44.8475670","Abrir no Google Maps")</f>
        <v>Abrir no Google Maps</v>
      </c>
      <c r="S1352">
        <v>4</v>
      </c>
      <c r="T1352">
        <v>0</v>
      </c>
      <c r="U1352">
        <v>4</v>
      </c>
      <c r="V1352">
        <v>42</v>
      </c>
      <c r="W1352">
        <v>1</v>
      </c>
      <c r="X1352">
        <v>42</v>
      </c>
      <c r="Y1352">
        <v>292</v>
      </c>
      <c r="Z1352">
        <v>98.987346341524855</v>
      </c>
      <c r="AA1352">
        <v>198</v>
      </c>
      <c r="AB1352">
        <v>332</v>
      </c>
      <c r="AC1352">
        <v>536</v>
      </c>
      <c r="AD1352">
        <v>28.93</v>
      </c>
      <c r="AE1352">
        <v>542</v>
      </c>
      <c r="AF1352">
        <v>28</v>
      </c>
      <c r="AG1352">
        <v>168</v>
      </c>
      <c r="AH1352">
        <v>129</v>
      </c>
      <c r="AI1352">
        <v>5.17</v>
      </c>
      <c r="AJ1352">
        <v>31</v>
      </c>
      <c r="AK1352">
        <v>23.8</v>
      </c>
      <c r="AL1352">
        <v>-20.16565029999995</v>
      </c>
      <c r="AM1352">
        <v>-44.847556627666897</v>
      </c>
      <c r="AN1352">
        <v>-20.16565029999995</v>
      </c>
      <c r="AO1352">
        <v>-44.847556627666897</v>
      </c>
      <c r="AP1352">
        <v>-20.165773000000002</v>
      </c>
      <c r="AQ1352">
        <v>-44.847566999999998</v>
      </c>
      <c r="AR1352">
        <v>13.701900146251189</v>
      </c>
      <c r="AS1352" t="s">
        <v>65</v>
      </c>
      <c r="AT1352">
        <v>1</v>
      </c>
      <c r="AU1352" t="s">
        <v>139</v>
      </c>
      <c r="AV1352" t="s">
        <v>140</v>
      </c>
      <c r="AW1352" t="s">
        <v>60</v>
      </c>
      <c r="AX1352" t="s">
        <v>68</v>
      </c>
      <c r="AY1352" t="s">
        <v>69</v>
      </c>
      <c r="AZ1352" t="b">
        <v>1</v>
      </c>
    </row>
    <row r="1353" spans="1:52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2142</v>
      </c>
      <c r="F1353" t="s">
        <v>57</v>
      </c>
      <c r="G1353" t="s">
        <v>253</v>
      </c>
      <c r="H1353" t="s">
        <v>286</v>
      </c>
      <c r="I1353" t="s">
        <v>286</v>
      </c>
      <c r="J1353" t="s">
        <v>60</v>
      </c>
      <c r="K1353" t="s">
        <v>136</v>
      </c>
      <c r="L1353" t="s">
        <v>62</v>
      </c>
      <c r="M1353" t="s">
        <v>136</v>
      </c>
      <c r="N1353" t="s">
        <v>256</v>
      </c>
      <c r="O1353" t="s">
        <v>287</v>
      </c>
      <c r="P1353">
        <v>-20.165067000000001</v>
      </c>
      <c r="Q1353">
        <v>-44.851146999999997</v>
      </c>
      <c r="R1353" s="2" t="str">
        <f>HYPERLINK("https://www.google.com/maps?q=-20.1650670,-44.8511470","Abrir no Google Maps")</f>
        <v>Abrir no Google Maps</v>
      </c>
      <c r="S1353">
        <v>4</v>
      </c>
      <c r="T1353">
        <v>374.14945573570043</v>
      </c>
      <c r="U1353">
        <v>4</v>
      </c>
      <c r="V1353">
        <v>24</v>
      </c>
      <c r="W1353">
        <v>1</v>
      </c>
      <c r="X1353">
        <v>24</v>
      </c>
      <c r="Y1353">
        <v>292</v>
      </c>
      <c r="Z1353">
        <v>295.9878686859272</v>
      </c>
      <c r="AA1353">
        <v>198</v>
      </c>
      <c r="AB1353">
        <v>332</v>
      </c>
      <c r="AC1353">
        <v>536</v>
      </c>
      <c r="AD1353">
        <v>28.93</v>
      </c>
      <c r="AE1353">
        <v>542</v>
      </c>
      <c r="AF1353">
        <v>28</v>
      </c>
      <c r="AG1353">
        <v>168</v>
      </c>
      <c r="AH1353">
        <v>129</v>
      </c>
      <c r="AI1353">
        <v>5.17</v>
      </c>
      <c r="AJ1353">
        <v>31</v>
      </c>
      <c r="AK1353">
        <v>23.8</v>
      </c>
      <c r="AL1353">
        <v>-20.164961799999961</v>
      </c>
      <c r="AM1353">
        <v>-44.851062119796737</v>
      </c>
      <c r="AN1353">
        <v>-20.164961799999961</v>
      </c>
      <c r="AO1353">
        <v>-44.851062119796737</v>
      </c>
      <c r="AP1353">
        <v>-20.165067000000001</v>
      </c>
      <c r="AQ1353">
        <v>-44.851146999999997</v>
      </c>
      <c r="AR1353">
        <v>14.690666366415</v>
      </c>
      <c r="AS1353" t="s">
        <v>65</v>
      </c>
      <c r="AT1353">
        <v>1</v>
      </c>
      <c r="AU1353" t="s">
        <v>288</v>
      </c>
      <c r="AV1353" t="s">
        <v>289</v>
      </c>
      <c r="AW1353" t="s">
        <v>60</v>
      </c>
      <c r="AX1353" t="s">
        <v>68</v>
      </c>
      <c r="AY1353" t="s">
        <v>69</v>
      </c>
      <c r="AZ1353" t="b">
        <v>1</v>
      </c>
    </row>
    <row r="1354" spans="1:52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2142</v>
      </c>
      <c r="F1354" t="s">
        <v>57</v>
      </c>
      <c r="G1354" t="s">
        <v>141</v>
      </c>
      <c r="H1354" t="s">
        <v>142</v>
      </c>
      <c r="I1354" t="s">
        <v>142</v>
      </c>
      <c r="J1354" t="s">
        <v>60</v>
      </c>
      <c r="K1354" t="s">
        <v>143</v>
      </c>
      <c r="L1354" t="s">
        <v>62</v>
      </c>
      <c r="M1354" t="s">
        <v>143</v>
      </c>
      <c r="N1354" t="s">
        <v>144</v>
      </c>
      <c r="O1354" t="s">
        <v>145</v>
      </c>
      <c r="P1354">
        <v>-20.163377000000001</v>
      </c>
      <c r="Q1354">
        <v>-44.843598</v>
      </c>
      <c r="R1354" s="2" t="str">
        <f>HYPERLINK("https://www.google.com/maps?q=-20.1633770,-44.8435980","Abrir no Google Maps")</f>
        <v>Abrir no Google Maps</v>
      </c>
      <c r="S1354">
        <v>4</v>
      </c>
      <c r="T1354">
        <v>481.58374128635978</v>
      </c>
      <c r="U1354">
        <v>4</v>
      </c>
      <c r="V1354">
        <v>24</v>
      </c>
      <c r="W1354">
        <v>1</v>
      </c>
      <c r="X1354">
        <v>24</v>
      </c>
      <c r="Y1354">
        <v>292</v>
      </c>
      <c r="Z1354">
        <v>575.44522663909652</v>
      </c>
      <c r="AA1354">
        <v>198</v>
      </c>
      <c r="AB1354">
        <v>332</v>
      </c>
      <c r="AC1354">
        <v>536</v>
      </c>
      <c r="AD1354">
        <v>28.93</v>
      </c>
      <c r="AE1354">
        <v>542</v>
      </c>
      <c r="AF1354">
        <v>28</v>
      </c>
      <c r="AG1354">
        <v>168</v>
      </c>
      <c r="AH1354">
        <v>129</v>
      </c>
      <c r="AI1354">
        <v>5.17</v>
      </c>
      <c r="AJ1354">
        <v>31</v>
      </c>
      <c r="AK1354">
        <v>23.8</v>
      </c>
      <c r="AL1354">
        <v>-20.16343344999996</v>
      </c>
      <c r="AM1354">
        <v>-44.843590796247732</v>
      </c>
      <c r="AN1354">
        <v>-20.16343344999996</v>
      </c>
      <c r="AO1354">
        <v>-44.843590796247732</v>
      </c>
      <c r="AP1354">
        <v>-20.163377000000001</v>
      </c>
      <c r="AQ1354">
        <v>-44.843598</v>
      </c>
      <c r="AR1354">
        <v>6.3289415646640057</v>
      </c>
      <c r="AS1354" t="s">
        <v>65</v>
      </c>
      <c r="AT1354">
        <v>1</v>
      </c>
      <c r="AU1354" t="s">
        <v>146</v>
      </c>
      <c r="AV1354" t="s">
        <v>147</v>
      </c>
      <c r="AW1354" t="s">
        <v>60</v>
      </c>
      <c r="AX1354" t="s">
        <v>68</v>
      </c>
      <c r="AY1354" t="s">
        <v>69</v>
      </c>
      <c r="AZ1354" t="b">
        <v>1</v>
      </c>
    </row>
    <row r="1355" spans="1:52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2142</v>
      </c>
      <c r="F1355" t="s">
        <v>57</v>
      </c>
      <c r="G1355" t="s">
        <v>253</v>
      </c>
      <c r="H1355" t="s">
        <v>1633</v>
      </c>
      <c r="I1355" t="s">
        <v>1633</v>
      </c>
      <c r="J1355" t="s">
        <v>60</v>
      </c>
      <c r="K1355" t="s">
        <v>982</v>
      </c>
      <c r="L1355" t="s">
        <v>62</v>
      </c>
      <c r="M1355" t="s">
        <v>982</v>
      </c>
      <c r="N1355" t="s">
        <v>256</v>
      </c>
      <c r="O1355" t="s">
        <v>1634</v>
      </c>
      <c r="P1355">
        <v>-20.170407000000001</v>
      </c>
      <c r="Q1355">
        <v>-44.853330999999997</v>
      </c>
      <c r="R1355" s="2" t="str">
        <f>HYPERLINK("https://www.google.com/maps?q=-20.1704070,-44.8533310","Abrir no Google Maps")</f>
        <v>Abrir no Google Maps</v>
      </c>
      <c r="S1355">
        <v>4</v>
      </c>
      <c r="T1355">
        <v>801.41180076523165</v>
      </c>
      <c r="U1355">
        <v>4</v>
      </c>
      <c r="V1355">
        <v>24</v>
      </c>
      <c r="W1355">
        <v>1</v>
      </c>
      <c r="X1355">
        <v>24</v>
      </c>
      <c r="Y1355">
        <v>292</v>
      </c>
      <c r="Z1355">
        <v>726.46828777213966</v>
      </c>
      <c r="AA1355">
        <v>198</v>
      </c>
      <c r="AB1355">
        <v>332</v>
      </c>
      <c r="AC1355">
        <v>536</v>
      </c>
      <c r="AD1355">
        <v>28.93</v>
      </c>
      <c r="AE1355">
        <v>542</v>
      </c>
      <c r="AF1355">
        <v>28</v>
      </c>
      <c r="AG1355">
        <v>168</v>
      </c>
      <c r="AH1355">
        <v>129</v>
      </c>
      <c r="AI1355">
        <v>5.17</v>
      </c>
      <c r="AJ1355">
        <v>31</v>
      </c>
      <c r="AK1355">
        <v>23.8</v>
      </c>
      <c r="AL1355">
        <v>-20.170412849999959</v>
      </c>
      <c r="AM1355">
        <v>-44.853334311192633</v>
      </c>
      <c r="AN1355">
        <v>-20.170412849999959</v>
      </c>
      <c r="AO1355">
        <v>-44.853334311192633</v>
      </c>
      <c r="AP1355">
        <v>-20.170407000000001</v>
      </c>
      <c r="AQ1355">
        <v>-44.853330999999997</v>
      </c>
      <c r="AR1355">
        <v>0.73743023728700929</v>
      </c>
      <c r="AS1355" t="s">
        <v>65</v>
      </c>
      <c r="AT1355">
        <v>1</v>
      </c>
      <c r="AU1355" t="s">
        <v>1635</v>
      </c>
      <c r="AV1355" t="s">
        <v>1636</v>
      </c>
      <c r="AW1355" t="s">
        <v>60</v>
      </c>
      <c r="AX1355" t="s">
        <v>68</v>
      </c>
      <c r="AY1355" t="s">
        <v>69</v>
      </c>
      <c r="AZ1355" t="b">
        <v>1</v>
      </c>
    </row>
    <row r="1356" spans="1:52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2142</v>
      </c>
      <c r="F1356" t="s">
        <v>57</v>
      </c>
      <c r="G1356" t="s">
        <v>148</v>
      </c>
      <c r="H1356" t="s">
        <v>149</v>
      </c>
      <c r="I1356" t="s">
        <v>149</v>
      </c>
      <c r="J1356" t="s">
        <v>60</v>
      </c>
      <c r="K1356" t="s">
        <v>150</v>
      </c>
      <c r="L1356" t="s">
        <v>62</v>
      </c>
      <c r="M1356" t="s">
        <v>150</v>
      </c>
      <c r="N1356" t="s">
        <v>151</v>
      </c>
      <c r="O1356" t="s">
        <v>152</v>
      </c>
      <c r="P1356">
        <v>-20.174192999999999</v>
      </c>
      <c r="Q1356">
        <v>-44.850782000000002</v>
      </c>
      <c r="R1356" s="2" t="str">
        <f>HYPERLINK("https://www.google.com/maps?q=-20.1741930,-44.8507820","Abrir no Google Maps")</f>
        <v>Abrir no Google Maps</v>
      </c>
      <c r="S1356">
        <v>4</v>
      </c>
      <c r="T1356">
        <v>994.93657848632188</v>
      </c>
      <c r="U1356">
        <v>4</v>
      </c>
      <c r="V1356">
        <v>36</v>
      </c>
      <c r="W1356">
        <v>1</v>
      </c>
      <c r="X1356">
        <v>36</v>
      </c>
      <c r="Y1356">
        <v>292</v>
      </c>
      <c r="Z1356">
        <v>948.95851793804729</v>
      </c>
      <c r="AA1356">
        <v>198</v>
      </c>
      <c r="AB1356">
        <v>332</v>
      </c>
      <c r="AC1356">
        <v>536</v>
      </c>
      <c r="AD1356">
        <v>28.93</v>
      </c>
      <c r="AE1356">
        <v>542</v>
      </c>
      <c r="AF1356">
        <v>28</v>
      </c>
      <c r="AG1356">
        <v>168</v>
      </c>
      <c r="AH1356">
        <v>129</v>
      </c>
      <c r="AI1356">
        <v>5.17</v>
      </c>
      <c r="AJ1356">
        <v>31</v>
      </c>
      <c r="AK1356">
        <v>23.8</v>
      </c>
      <c r="AL1356">
        <v>-20.174122099999941</v>
      </c>
      <c r="AM1356">
        <v>-44.850744657037339</v>
      </c>
      <c r="AN1356">
        <v>-20.174122099999941</v>
      </c>
      <c r="AO1356">
        <v>-44.850744657037339</v>
      </c>
      <c r="AP1356">
        <v>-20.174192999999999</v>
      </c>
      <c r="AQ1356">
        <v>-44.850782000000002</v>
      </c>
      <c r="AR1356">
        <v>8.8044534253701947</v>
      </c>
      <c r="AS1356" t="s">
        <v>65</v>
      </c>
      <c r="AT1356">
        <v>1</v>
      </c>
      <c r="AU1356" t="s">
        <v>153</v>
      </c>
      <c r="AV1356" t="s">
        <v>154</v>
      </c>
      <c r="AW1356" t="s">
        <v>60</v>
      </c>
      <c r="AX1356" t="s">
        <v>68</v>
      </c>
      <c r="AY1356" t="s">
        <v>69</v>
      </c>
      <c r="AZ1356" t="b">
        <v>1</v>
      </c>
    </row>
    <row r="1357" spans="1:52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2142</v>
      </c>
      <c r="F1357" t="s">
        <v>57</v>
      </c>
      <c r="G1357" t="s">
        <v>300</v>
      </c>
      <c r="H1357" t="s">
        <v>301</v>
      </c>
      <c r="I1357" t="s">
        <v>301</v>
      </c>
      <c r="J1357" t="s">
        <v>60</v>
      </c>
      <c r="K1357" t="s">
        <v>150</v>
      </c>
      <c r="L1357" t="s">
        <v>62</v>
      </c>
      <c r="M1357" t="s">
        <v>150</v>
      </c>
      <c r="N1357" t="s">
        <v>302</v>
      </c>
      <c r="O1357" t="s">
        <v>303</v>
      </c>
      <c r="P1357">
        <v>-20.172993000000002</v>
      </c>
      <c r="Q1357">
        <v>-44.853588999999999</v>
      </c>
      <c r="R1357" s="2" t="str">
        <f>HYPERLINK("https://www.google.com/maps?q=-20.1729930,-44.8535890","Abrir no Google Maps")</f>
        <v>Abrir no Google Maps</v>
      </c>
      <c r="S1357">
        <v>4</v>
      </c>
      <c r="T1357">
        <v>1041.446216907221</v>
      </c>
      <c r="U1357">
        <v>4</v>
      </c>
      <c r="V1357">
        <v>27</v>
      </c>
      <c r="W1357">
        <v>1</v>
      </c>
      <c r="X1357">
        <v>27</v>
      </c>
      <c r="Y1357">
        <v>292</v>
      </c>
      <c r="Z1357">
        <v>978.86270909763937</v>
      </c>
      <c r="AA1357">
        <v>198</v>
      </c>
      <c r="AB1357">
        <v>332</v>
      </c>
      <c r="AC1357">
        <v>536</v>
      </c>
      <c r="AD1357">
        <v>28.93</v>
      </c>
      <c r="AE1357">
        <v>542</v>
      </c>
      <c r="AF1357">
        <v>28</v>
      </c>
      <c r="AG1357">
        <v>168</v>
      </c>
      <c r="AH1357">
        <v>129</v>
      </c>
      <c r="AI1357">
        <v>5.17</v>
      </c>
      <c r="AJ1357">
        <v>31</v>
      </c>
      <c r="AK1357">
        <v>23.8</v>
      </c>
      <c r="AL1357">
        <v>-20.173142449999968</v>
      </c>
      <c r="AM1357">
        <v>-44.853588035903172</v>
      </c>
      <c r="AN1357">
        <v>-20.173142449999968</v>
      </c>
      <c r="AO1357">
        <v>-44.853588035903172</v>
      </c>
      <c r="AP1357">
        <v>-20.172993000000002</v>
      </c>
      <c r="AQ1357">
        <v>-44.853588999999999</v>
      </c>
      <c r="AR1357">
        <v>16.637078994259841</v>
      </c>
      <c r="AS1357" t="s">
        <v>65</v>
      </c>
      <c r="AT1357">
        <v>1</v>
      </c>
      <c r="AU1357" t="s">
        <v>304</v>
      </c>
      <c r="AV1357" t="s">
        <v>305</v>
      </c>
      <c r="AW1357" t="s">
        <v>60</v>
      </c>
      <c r="AX1357" t="s">
        <v>68</v>
      </c>
      <c r="AY1357" t="s">
        <v>69</v>
      </c>
      <c r="AZ1357" t="b">
        <v>1</v>
      </c>
    </row>
    <row r="1358" spans="1:52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2142</v>
      </c>
      <c r="F1358" t="s">
        <v>57</v>
      </c>
      <c r="G1358" t="s">
        <v>306</v>
      </c>
      <c r="H1358" t="s">
        <v>307</v>
      </c>
      <c r="I1358" t="s">
        <v>307</v>
      </c>
      <c r="J1358" t="s">
        <v>60</v>
      </c>
      <c r="K1358" t="s">
        <v>143</v>
      </c>
      <c r="L1358" t="s">
        <v>62</v>
      </c>
      <c r="M1358" t="s">
        <v>143</v>
      </c>
      <c r="N1358" t="s">
        <v>308</v>
      </c>
      <c r="O1358" t="s">
        <v>309</v>
      </c>
      <c r="P1358">
        <v>-20.167071</v>
      </c>
      <c r="Q1358">
        <v>-44.842730000000003</v>
      </c>
      <c r="R1358" s="2" t="str">
        <f>HYPERLINK("https://www.google.com/maps?q=-20.1670710,-44.8427300","Abrir no Google Maps")</f>
        <v>Abrir no Google Maps</v>
      </c>
      <c r="S1358">
        <v>4</v>
      </c>
      <c r="T1358">
        <v>535.14780070571521</v>
      </c>
      <c r="U1358">
        <v>4</v>
      </c>
      <c r="V1358">
        <v>24</v>
      </c>
      <c r="W1358">
        <v>1</v>
      </c>
      <c r="X1358">
        <v>24</v>
      </c>
      <c r="Y1358">
        <v>292</v>
      </c>
      <c r="Z1358">
        <v>582.78942050501109</v>
      </c>
      <c r="AA1358">
        <v>198</v>
      </c>
      <c r="AB1358">
        <v>332</v>
      </c>
      <c r="AC1358">
        <v>536</v>
      </c>
      <c r="AD1358">
        <v>28.93</v>
      </c>
      <c r="AE1358">
        <v>542</v>
      </c>
      <c r="AF1358">
        <v>28</v>
      </c>
      <c r="AG1358">
        <v>168</v>
      </c>
      <c r="AH1358">
        <v>129</v>
      </c>
      <c r="AI1358">
        <v>5.17</v>
      </c>
      <c r="AJ1358">
        <v>31</v>
      </c>
      <c r="AK1358">
        <v>23.8</v>
      </c>
      <c r="AL1358">
        <v>-20.167006799999971</v>
      </c>
      <c r="AM1358">
        <v>-44.842640974693197</v>
      </c>
      <c r="AN1358">
        <v>-20.167006799999971</v>
      </c>
      <c r="AO1358">
        <v>-44.842640974693197</v>
      </c>
      <c r="AP1358">
        <v>-20.167071</v>
      </c>
      <c r="AQ1358">
        <v>-44.842730000000003</v>
      </c>
      <c r="AR1358">
        <v>11.73100304278117</v>
      </c>
      <c r="AS1358" t="s">
        <v>65</v>
      </c>
      <c r="AT1358">
        <v>1</v>
      </c>
      <c r="AU1358" t="s">
        <v>310</v>
      </c>
      <c r="AV1358" t="s">
        <v>311</v>
      </c>
      <c r="AW1358" t="s">
        <v>60</v>
      </c>
      <c r="AX1358" t="s">
        <v>68</v>
      </c>
      <c r="AY1358" t="s">
        <v>69</v>
      </c>
      <c r="AZ1358" t="b">
        <v>1</v>
      </c>
    </row>
    <row r="1359" spans="1:52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2142</v>
      </c>
      <c r="F1359" t="s">
        <v>57</v>
      </c>
      <c r="G1359" t="s">
        <v>321</v>
      </c>
      <c r="H1359" t="s">
        <v>322</v>
      </c>
      <c r="I1359" t="s">
        <v>322</v>
      </c>
      <c r="J1359" t="s">
        <v>60</v>
      </c>
      <c r="K1359" t="s">
        <v>323</v>
      </c>
      <c r="L1359" t="s">
        <v>62</v>
      </c>
      <c r="M1359" t="s">
        <v>323</v>
      </c>
      <c r="N1359" t="s">
        <v>324</v>
      </c>
      <c r="O1359" t="s">
        <v>325</v>
      </c>
      <c r="P1359">
        <v>-20.151437999999999</v>
      </c>
      <c r="Q1359">
        <v>-44.855761000000001</v>
      </c>
      <c r="R1359" s="2" t="str">
        <f>HYPERLINK("https://www.google.com/maps?q=-20.1514380,-44.8557610","Abrir no Google Maps")</f>
        <v>Abrir no Google Maps</v>
      </c>
      <c r="S1359">
        <v>4</v>
      </c>
      <c r="T1359">
        <v>970.69989262042009</v>
      </c>
      <c r="U1359">
        <v>4</v>
      </c>
      <c r="V1359">
        <v>37</v>
      </c>
      <c r="W1359">
        <v>1</v>
      </c>
      <c r="X1359">
        <v>37</v>
      </c>
      <c r="Y1359">
        <v>264</v>
      </c>
      <c r="Z1359">
        <v>1041.0105988261671</v>
      </c>
      <c r="AA1359">
        <v>198</v>
      </c>
      <c r="AB1359">
        <v>332</v>
      </c>
      <c r="AC1359">
        <v>536</v>
      </c>
      <c r="AD1359">
        <v>28.93</v>
      </c>
      <c r="AE1359">
        <v>542</v>
      </c>
      <c r="AF1359">
        <v>28</v>
      </c>
      <c r="AG1359">
        <v>168</v>
      </c>
      <c r="AH1359">
        <v>129</v>
      </c>
      <c r="AI1359">
        <v>5.17</v>
      </c>
      <c r="AJ1359">
        <v>31</v>
      </c>
      <c r="AK1359">
        <v>23.8</v>
      </c>
      <c r="AL1359">
        <v>-20.15142824999996</v>
      </c>
      <c r="AM1359">
        <v>-44.854100160898767</v>
      </c>
      <c r="AN1359">
        <v>-20.15142824999996</v>
      </c>
      <c r="AO1359">
        <v>-44.854100160898767</v>
      </c>
      <c r="AP1359">
        <v>-20.151437999999999</v>
      </c>
      <c r="AQ1359">
        <v>-44.855761000000001</v>
      </c>
      <c r="AR1359">
        <v>173.57036632351381</v>
      </c>
      <c r="AS1359" t="s">
        <v>65</v>
      </c>
      <c r="AT1359">
        <v>1</v>
      </c>
      <c r="AU1359" t="s">
        <v>326</v>
      </c>
      <c r="AV1359" t="s">
        <v>327</v>
      </c>
      <c r="AW1359" t="s">
        <v>60</v>
      </c>
      <c r="AX1359" t="s">
        <v>68</v>
      </c>
      <c r="AY1359" t="s">
        <v>69</v>
      </c>
      <c r="AZ1359" t="b">
        <v>1</v>
      </c>
    </row>
    <row r="1360" spans="1:52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2142</v>
      </c>
      <c r="F1360" t="s">
        <v>57</v>
      </c>
      <c r="G1360" t="s">
        <v>328</v>
      </c>
      <c r="H1360" t="s">
        <v>329</v>
      </c>
      <c r="I1360" t="s">
        <v>329</v>
      </c>
      <c r="J1360" t="s">
        <v>60</v>
      </c>
      <c r="K1360" t="s">
        <v>157</v>
      </c>
      <c r="L1360" t="s">
        <v>62</v>
      </c>
      <c r="M1360" t="s">
        <v>157</v>
      </c>
      <c r="N1360" t="s">
        <v>330</v>
      </c>
      <c r="O1360" t="s">
        <v>331</v>
      </c>
      <c r="P1360">
        <v>-20.167981999999999</v>
      </c>
      <c r="Q1360">
        <v>-44.885706999999996</v>
      </c>
      <c r="R1360" s="2" t="str">
        <f>HYPERLINK("https://www.google.com/maps?q=-20.1679820,-44.8857070","Abrir no Google Maps")</f>
        <v>Abrir no Google Maps</v>
      </c>
      <c r="S1360">
        <v>4</v>
      </c>
      <c r="T1360">
        <v>594.70112534633722</v>
      </c>
      <c r="U1360">
        <v>4</v>
      </c>
      <c r="V1360">
        <v>36</v>
      </c>
      <c r="W1360">
        <v>1</v>
      </c>
      <c r="X1360">
        <v>36</v>
      </c>
      <c r="Y1360">
        <v>232</v>
      </c>
      <c r="Z1360">
        <v>560.38516624860983</v>
      </c>
      <c r="AA1360">
        <v>198</v>
      </c>
      <c r="AB1360">
        <v>332</v>
      </c>
      <c r="AC1360">
        <v>536</v>
      </c>
      <c r="AD1360">
        <v>28.93</v>
      </c>
      <c r="AE1360">
        <v>542</v>
      </c>
      <c r="AF1360">
        <v>28</v>
      </c>
      <c r="AG1360">
        <v>168</v>
      </c>
      <c r="AH1360">
        <v>129</v>
      </c>
      <c r="AI1360">
        <v>5.17</v>
      </c>
      <c r="AJ1360">
        <v>31</v>
      </c>
      <c r="AK1360">
        <v>23.8</v>
      </c>
      <c r="AL1360">
        <v>-20.167931149999959</v>
      </c>
      <c r="AM1360">
        <v>-44.885606821741909</v>
      </c>
      <c r="AN1360">
        <v>-20.167931149999959</v>
      </c>
      <c r="AO1360">
        <v>-44.885606821741909</v>
      </c>
      <c r="AP1360">
        <v>-20.167981999999999</v>
      </c>
      <c r="AQ1360">
        <v>-44.885706999999996</v>
      </c>
      <c r="AR1360">
        <v>11.90056149590643</v>
      </c>
      <c r="AS1360" t="s">
        <v>65</v>
      </c>
      <c r="AT1360">
        <v>1</v>
      </c>
      <c r="AU1360" t="s">
        <v>332</v>
      </c>
      <c r="AV1360" t="s">
        <v>333</v>
      </c>
      <c r="AW1360" t="s">
        <v>60</v>
      </c>
      <c r="AX1360" t="s">
        <v>68</v>
      </c>
      <c r="AY1360" t="s">
        <v>69</v>
      </c>
      <c r="AZ1360" t="b">
        <v>1</v>
      </c>
    </row>
    <row r="1361" spans="1:52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2142</v>
      </c>
      <c r="F1361" t="s">
        <v>57</v>
      </c>
      <c r="G1361" t="s">
        <v>334</v>
      </c>
      <c r="H1361" t="s">
        <v>335</v>
      </c>
      <c r="I1361" t="s">
        <v>335</v>
      </c>
      <c r="J1361" t="s">
        <v>60</v>
      </c>
      <c r="K1361" t="s">
        <v>336</v>
      </c>
      <c r="L1361" t="s">
        <v>62</v>
      </c>
      <c r="M1361" t="s">
        <v>336</v>
      </c>
      <c r="N1361" t="s">
        <v>337</v>
      </c>
      <c r="O1361" t="s">
        <v>338</v>
      </c>
      <c r="P1361">
        <v>-20.168142</v>
      </c>
      <c r="Q1361">
        <v>-44.875697000000002</v>
      </c>
      <c r="R1361" s="2" t="str">
        <f>HYPERLINK("https://www.google.com/maps?q=-20.1681420,-44.8756970","Abrir no Google Maps")</f>
        <v>Abrir no Google Maps</v>
      </c>
      <c r="S1361">
        <v>4</v>
      </c>
      <c r="T1361">
        <v>678.04878367834192</v>
      </c>
      <c r="U1361">
        <v>4</v>
      </c>
      <c r="V1361">
        <v>30</v>
      </c>
      <c r="W1361">
        <v>1</v>
      </c>
      <c r="X1361">
        <v>30</v>
      </c>
      <c r="Y1361">
        <v>232</v>
      </c>
      <c r="Z1361">
        <v>595.98467532792097</v>
      </c>
      <c r="AA1361">
        <v>198</v>
      </c>
      <c r="AB1361">
        <v>332</v>
      </c>
      <c r="AC1361">
        <v>536</v>
      </c>
      <c r="AD1361">
        <v>28.93</v>
      </c>
      <c r="AE1361">
        <v>542</v>
      </c>
      <c r="AF1361">
        <v>28</v>
      </c>
      <c r="AG1361">
        <v>168</v>
      </c>
      <c r="AH1361">
        <v>129</v>
      </c>
      <c r="AI1361">
        <v>5.17</v>
      </c>
      <c r="AJ1361">
        <v>31</v>
      </c>
      <c r="AK1361">
        <v>23.8</v>
      </c>
      <c r="AL1361">
        <v>-20.16787839999995</v>
      </c>
      <c r="AM1361">
        <v>-44.875681825945229</v>
      </c>
      <c r="AN1361">
        <v>-20.16787839999995</v>
      </c>
      <c r="AO1361">
        <v>-44.875681825945229</v>
      </c>
      <c r="AP1361">
        <v>-20.168142</v>
      </c>
      <c r="AQ1361">
        <v>-44.875697000000002</v>
      </c>
      <c r="AR1361">
        <v>29.386760063894371</v>
      </c>
      <c r="AS1361" t="s">
        <v>65</v>
      </c>
      <c r="AT1361">
        <v>1</v>
      </c>
      <c r="AU1361" t="s">
        <v>339</v>
      </c>
      <c r="AV1361" t="s">
        <v>340</v>
      </c>
      <c r="AW1361" t="s">
        <v>60</v>
      </c>
      <c r="AX1361" t="s">
        <v>68</v>
      </c>
      <c r="AY1361" t="s">
        <v>69</v>
      </c>
      <c r="AZ1361" t="b">
        <v>1</v>
      </c>
    </row>
    <row r="1362" spans="1:52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2142</v>
      </c>
      <c r="F1362" t="s">
        <v>57</v>
      </c>
      <c r="G1362" t="s">
        <v>155</v>
      </c>
      <c r="H1362" t="s">
        <v>156</v>
      </c>
      <c r="I1362" t="s">
        <v>156</v>
      </c>
      <c r="J1362" t="s">
        <v>60</v>
      </c>
      <c r="K1362" t="s">
        <v>157</v>
      </c>
      <c r="L1362" t="s">
        <v>62</v>
      </c>
      <c r="M1362" t="s">
        <v>157</v>
      </c>
      <c r="N1362" t="s">
        <v>158</v>
      </c>
      <c r="O1362" t="s">
        <v>159</v>
      </c>
      <c r="P1362">
        <v>-20.166302999999999</v>
      </c>
      <c r="Q1362">
        <v>-44.880659999999999</v>
      </c>
      <c r="R1362" s="2" t="str">
        <f>HYPERLINK("https://www.google.com/maps?q=-20.1663030,-44.8806600","Abrir no Google Maps")</f>
        <v>Abrir no Google Maps</v>
      </c>
      <c r="S1362">
        <v>4</v>
      </c>
      <c r="T1362">
        <v>504.41812426451338</v>
      </c>
      <c r="U1362">
        <v>4</v>
      </c>
      <c r="V1362">
        <v>32</v>
      </c>
      <c r="W1362">
        <v>1</v>
      </c>
      <c r="X1362">
        <v>32</v>
      </c>
      <c r="Y1362">
        <v>232</v>
      </c>
      <c r="Z1362">
        <v>279.57571553948952</v>
      </c>
      <c r="AA1362">
        <v>198</v>
      </c>
      <c r="AB1362">
        <v>332</v>
      </c>
      <c r="AC1362">
        <v>536</v>
      </c>
      <c r="AD1362">
        <v>28.93</v>
      </c>
      <c r="AE1362">
        <v>542</v>
      </c>
      <c r="AF1362">
        <v>28</v>
      </c>
      <c r="AG1362">
        <v>168</v>
      </c>
      <c r="AH1362">
        <v>129</v>
      </c>
      <c r="AI1362">
        <v>5.17</v>
      </c>
      <c r="AJ1362">
        <v>31</v>
      </c>
      <c r="AK1362">
        <v>23.8</v>
      </c>
      <c r="AL1362">
        <v>-20.166700449999951</v>
      </c>
      <c r="AM1362">
        <v>-44.880573341714289</v>
      </c>
      <c r="AN1362">
        <v>-20.166700449999951</v>
      </c>
      <c r="AO1362">
        <v>-44.880573341714289</v>
      </c>
      <c r="AP1362">
        <v>-20.166302999999999</v>
      </c>
      <c r="AQ1362">
        <v>-44.880659999999999</v>
      </c>
      <c r="AR1362">
        <v>45.161304979350312</v>
      </c>
      <c r="AS1362" t="s">
        <v>65</v>
      </c>
      <c r="AT1362">
        <v>1</v>
      </c>
      <c r="AU1362" t="s">
        <v>160</v>
      </c>
      <c r="AV1362" t="s">
        <v>161</v>
      </c>
      <c r="AW1362" t="s">
        <v>60</v>
      </c>
      <c r="AX1362" t="s">
        <v>68</v>
      </c>
      <c r="AY1362" t="s">
        <v>69</v>
      </c>
      <c r="AZ1362" t="b">
        <v>1</v>
      </c>
    </row>
    <row r="1363" spans="1:52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2142</v>
      </c>
      <c r="F1363" t="s">
        <v>57</v>
      </c>
      <c r="G1363" t="s">
        <v>341</v>
      </c>
      <c r="H1363" t="s">
        <v>342</v>
      </c>
      <c r="I1363" t="s">
        <v>342</v>
      </c>
      <c r="J1363" t="s">
        <v>60</v>
      </c>
      <c r="K1363" t="s">
        <v>164</v>
      </c>
      <c r="L1363" t="s">
        <v>62</v>
      </c>
      <c r="M1363" t="s">
        <v>164</v>
      </c>
      <c r="N1363" t="s">
        <v>343</v>
      </c>
      <c r="O1363" t="s">
        <v>344</v>
      </c>
      <c r="P1363">
        <v>-20.17606</v>
      </c>
      <c r="Q1363">
        <v>-44.880409999999998</v>
      </c>
      <c r="R1363" s="2" t="str">
        <f>HYPERLINK("https://www.google.com/maps?q=-20.1760600,-44.8804100","Abrir no Google Maps")</f>
        <v>Abrir no Google Maps</v>
      </c>
      <c r="S1363">
        <v>4</v>
      </c>
      <c r="T1363">
        <v>556.35468246023754</v>
      </c>
      <c r="U1363">
        <v>4</v>
      </c>
      <c r="V1363">
        <v>25</v>
      </c>
      <c r="W1363">
        <v>1</v>
      </c>
      <c r="X1363">
        <v>25</v>
      </c>
      <c r="Y1363">
        <v>232</v>
      </c>
      <c r="Z1363">
        <v>674.22003156100322</v>
      </c>
      <c r="AA1363">
        <v>198</v>
      </c>
      <c r="AB1363">
        <v>332</v>
      </c>
      <c r="AC1363">
        <v>536</v>
      </c>
      <c r="AD1363">
        <v>28.93</v>
      </c>
      <c r="AE1363">
        <v>542</v>
      </c>
      <c r="AF1363">
        <v>28</v>
      </c>
      <c r="AG1363">
        <v>168</v>
      </c>
      <c r="AH1363">
        <v>129</v>
      </c>
      <c r="AI1363">
        <v>5.17</v>
      </c>
      <c r="AJ1363">
        <v>31</v>
      </c>
      <c r="AK1363">
        <v>23.8</v>
      </c>
      <c r="AL1363">
        <v>-20.176226899999961</v>
      </c>
      <c r="AM1363">
        <v>-44.880527903427911</v>
      </c>
      <c r="AN1363">
        <v>-20.176226899999961</v>
      </c>
      <c r="AO1363">
        <v>-44.880527903427911</v>
      </c>
      <c r="AP1363">
        <v>-20.17606</v>
      </c>
      <c r="AQ1363">
        <v>-44.880409999999998</v>
      </c>
      <c r="AR1363">
        <v>22.292677247804349</v>
      </c>
      <c r="AS1363" t="s">
        <v>65</v>
      </c>
      <c r="AT1363">
        <v>1</v>
      </c>
      <c r="AU1363" t="s">
        <v>345</v>
      </c>
      <c r="AV1363" t="s">
        <v>346</v>
      </c>
      <c r="AW1363" t="s">
        <v>60</v>
      </c>
      <c r="AX1363" t="s">
        <v>68</v>
      </c>
      <c r="AY1363" t="s">
        <v>69</v>
      </c>
      <c r="AZ1363" t="b">
        <v>1</v>
      </c>
    </row>
    <row r="1364" spans="1:52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2142</v>
      </c>
      <c r="F1364" t="s">
        <v>57</v>
      </c>
      <c r="G1364" t="s">
        <v>162</v>
      </c>
      <c r="H1364" t="s">
        <v>163</v>
      </c>
      <c r="I1364" t="s">
        <v>163</v>
      </c>
      <c r="J1364" t="s">
        <v>60</v>
      </c>
      <c r="K1364" t="s">
        <v>164</v>
      </c>
      <c r="L1364" t="s">
        <v>62</v>
      </c>
      <c r="M1364" t="s">
        <v>164</v>
      </c>
      <c r="N1364" t="s">
        <v>165</v>
      </c>
      <c r="O1364" t="s">
        <v>166</v>
      </c>
      <c r="P1364">
        <v>-20.175967</v>
      </c>
      <c r="Q1364">
        <v>-44.876730000000002</v>
      </c>
      <c r="R1364" s="2" t="str">
        <f>HYPERLINK("https://www.google.com/maps?q=-20.1759670,-44.8767300","Abrir no Google Maps")</f>
        <v>Abrir no Google Maps</v>
      </c>
      <c r="S1364">
        <v>4</v>
      </c>
      <c r="T1364">
        <v>692.5753730151132</v>
      </c>
      <c r="U1364">
        <v>4</v>
      </c>
      <c r="V1364">
        <v>31</v>
      </c>
      <c r="W1364">
        <v>1</v>
      </c>
      <c r="X1364">
        <v>31</v>
      </c>
      <c r="Y1364">
        <v>232</v>
      </c>
      <c r="Z1364">
        <v>686.15054949166824</v>
      </c>
      <c r="AA1364">
        <v>198</v>
      </c>
      <c r="AB1364">
        <v>332</v>
      </c>
      <c r="AC1364">
        <v>536</v>
      </c>
      <c r="AD1364">
        <v>28.93</v>
      </c>
      <c r="AE1364">
        <v>542</v>
      </c>
      <c r="AF1364">
        <v>28</v>
      </c>
      <c r="AG1364">
        <v>168</v>
      </c>
      <c r="AH1364">
        <v>129</v>
      </c>
      <c r="AI1364">
        <v>5.17</v>
      </c>
      <c r="AJ1364">
        <v>31</v>
      </c>
      <c r="AK1364">
        <v>23.8</v>
      </c>
      <c r="AL1364">
        <v>-20.17598664999997</v>
      </c>
      <c r="AM1364">
        <v>-44.876806510253203</v>
      </c>
      <c r="AN1364">
        <v>-20.17598664999997</v>
      </c>
      <c r="AO1364">
        <v>-44.876806510253203</v>
      </c>
      <c r="AP1364">
        <v>-20.175967</v>
      </c>
      <c r="AQ1364">
        <v>-44.876730000000002</v>
      </c>
      <c r="AR1364">
        <v>8.2883514287440097</v>
      </c>
      <c r="AS1364" t="s">
        <v>65</v>
      </c>
      <c r="AT1364">
        <v>1</v>
      </c>
      <c r="AU1364" t="s">
        <v>167</v>
      </c>
      <c r="AV1364" t="s">
        <v>168</v>
      </c>
      <c r="AW1364" t="s">
        <v>60</v>
      </c>
      <c r="AX1364" t="s">
        <v>68</v>
      </c>
      <c r="AY1364" t="s">
        <v>69</v>
      </c>
      <c r="AZ1364" t="b">
        <v>1</v>
      </c>
    </row>
    <row r="1365" spans="1:52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2142</v>
      </c>
      <c r="F1365" t="s">
        <v>57</v>
      </c>
      <c r="G1365" t="s">
        <v>347</v>
      </c>
      <c r="H1365" t="s">
        <v>348</v>
      </c>
      <c r="I1365" t="s">
        <v>348</v>
      </c>
      <c r="J1365" t="s">
        <v>60</v>
      </c>
      <c r="K1365" t="s">
        <v>157</v>
      </c>
      <c r="L1365" t="s">
        <v>62</v>
      </c>
      <c r="M1365" t="s">
        <v>157</v>
      </c>
      <c r="N1365" t="s">
        <v>349</v>
      </c>
      <c r="O1365" t="s">
        <v>350</v>
      </c>
      <c r="P1365">
        <v>-20.171206999999999</v>
      </c>
      <c r="Q1365">
        <v>-44.881143999999999</v>
      </c>
      <c r="R1365" s="2" t="str">
        <f>HYPERLINK("https://www.google.com/maps?q=-20.1712070,-44.8811440","Abrir no Google Maps")</f>
        <v>Abrir no Google Maps</v>
      </c>
      <c r="S1365">
        <v>4</v>
      </c>
      <c r="T1365">
        <v>0</v>
      </c>
      <c r="U1365">
        <v>4</v>
      </c>
      <c r="V1365">
        <v>31</v>
      </c>
      <c r="W1365">
        <v>1</v>
      </c>
      <c r="X1365">
        <v>31</v>
      </c>
      <c r="Y1365">
        <v>232</v>
      </c>
      <c r="Z1365">
        <v>184.81719774496389</v>
      </c>
      <c r="AA1365">
        <v>198</v>
      </c>
      <c r="AB1365">
        <v>332</v>
      </c>
      <c r="AC1365">
        <v>536</v>
      </c>
      <c r="AD1365">
        <v>28.93</v>
      </c>
      <c r="AE1365">
        <v>542</v>
      </c>
      <c r="AF1365">
        <v>28</v>
      </c>
      <c r="AG1365">
        <v>168</v>
      </c>
      <c r="AH1365">
        <v>129</v>
      </c>
      <c r="AI1365">
        <v>5.17</v>
      </c>
      <c r="AJ1365">
        <v>31</v>
      </c>
      <c r="AK1365">
        <v>23.8</v>
      </c>
      <c r="AL1365">
        <v>-20.171229949999969</v>
      </c>
      <c r="AM1365">
        <v>-44.881113944480241</v>
      </c>
      <c r="AN1365">
        <v>-20.171229949999969</v>
      </c>
      <c r="AO1365">
        <v>-44.881113944480241</v>
      </c>
      <c r="AP1365">
        <v>-20.171206999999999</v>
      </c>
      <c r="AQ1365">
        <v>-44.881143999999999</v>
      </c>
      <c r="AR1365">
        <v>4.0484763362859333</v>
      </c>
      <c r="AS1365" t="s">
        <v>65</v>
      </c>
      <c r="AT1365">
        <v>1</v>
      </c>
      <c r="AU1365" t="s">
        <v>351</v>
      </c>
      <c r="AV1365" t="s">
        <v>352</v>
      </c>
      <c r="AW1365" t="s">
        <v>60</v>
      </c>
      <c r="AX1365" t="s">
        <v>68</v>
      </c>
      <c r="AY1365" t="s">
        <v>69</v>
      </c>
      <c r="AZ1365" t="b">
        <v>1</v>
      </c>
    </row>
    <row r="1366" spans="1:52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2142</v>
      </c>
      <c r="F1366" t="s">
        <v>57</v>
      </c>
      <c r="G1366" t="s">
        <v>360</v>
      </c>
      <c r="H1366" t="s">
        <v>361</v>
      </c>
      <c r="I1366" t="s">
        <v>361</v>
      </c>
      <c r="J1366" t="s">
        <v>60</v>
      </c>
      <c r="K1366" t="s">
        <v>362</v>
      </c>
      <c r="L1366" t="s">
        <v>62</v>
      </c>
      <c r="M1366" t="s">
        <v>362</v>
      </c>
      <c r="N1366" t="s">
        <v>363</v>
      </c>
      <c r="O1366" t="s">
        <v>235</v>
      </c>
      <c r="P1366">
        <v>-20.143716999999999</v>
      </c>
      <c r="Q1366">
        <v>-44.875278000000002</v>
      </c>
      <c r="R1366" s="2" t="str">
        <f>HYPERLINK("https://www.google.com/maps?q=-20.1437170,-44.8752780","Abrir no Google Maps")</f>
        <v>Abrir no Google Maps</v>
      </c>
      <c r="S1366">
        <v>4</v>
      </c>
      <c r="T1366">
        <v>0</v>
      </c>
      <c r="U1366">
        <v>4</v>
      </c>
      <c r="V1366">
        <v>23</v>
      </c>
      <c r="W1366">
        <v>1</v>
      </c>
      <c r="X1366">
        <v>23</v>
      </c>
      <c r="Y1366">
        <v>209</v>
      </c>
      <c r="Z1366">
        <v>121.8438559354383</v>
      </c>
      <c r="AA1366">
        <v>198</v>
      </c>
      <c r="AB1366">
        <v>332</v>
      </c>
      <c r="AC1366">
        <v>536</v>
      </c>
      <c r="AD1366">
        <v>28.93</v>
      </c>
      <c r="AE1366">
        <v>542</v>
      </c>
      <c r="AF1366">
        <v>28</v>
      </c>
      <c r="AG1366">
        <v>168</v>
      </c>
      <c r="AH1366">
        <v>129</v>
      </c>
      <c r="AI1366">
        <v>5.17</v>
      </c>
      <c r="AJ1366">
        <v>31</v>
      </c>
      <c r="AK1366">
        <v>23.8</v>
      </c>
      <c r="AL1366">
        <v>-20.143665999999961</v>
      </c>
      <c r="AM1366">
        <v>-44.875561853046079</v>
      </c>
      <c r="AN1366">
        <v>-20.143665999999961</v>
      </c>
      <c r="AO1366">
        <v>-44.875561853046079</v>
      </c>
      <c r="AP1366">
        <v>-20.143716999999999</v>
      </c>
      <c r="AQ1366">
        <v>-44.875278000000002</v>
      </c>
      <c r="AR1366">
        <v>30.20407282671313</v>
      </c>
      <c r="AS1366" t="s">
        <v>65</v>
      </c>
      <c r="AT1366">
        <v>1</v>
      </c>
      <c r="AU1366" t="s">
        <v>364</v>
      </c>
      <c r="AV1366" t="s">
        <v>365</v>
      </c>
      <c r="AW1366" t="s">
        <v>60</v>
      </c>
      <c r="AX1366" t="s">
        <v>68</v>
      </c>
      <c r="AY1366" t="s">
        <v>69</v>
      </c>
      <c r="AZ1366" t="b">
        <v>1</v>
      </c>
    </row>
    <row r="1367" spans="1:52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2142</v>
      </c>
      <c r="F1367" t="s">
        <v>57</v>
      </c>
      <c r="G1367" t="s">
        <v>366</v>
      </c>
      <c r="H1367" t="s">
        <v>367</v>
      </c>
      <c r="I1367" t="s">
        <v>367</v>
      </c>
      <c r="J1367" t="s">
        <v>60</v>
      </c>
      <c r="K1367" t="s">
        <v>368</v>
      </c>
      <c r="L1367" t="s">
        <v>62</v>
      </c>
      <c r="M1367" t="s">
        <v>368</v>
      </c>
      <c r="N1367" t="s">
        <v>369</v>
      </c>
      <c r="O1367" t="s">
        <v>370</v>
      </c>
      <c r="P1367">
        <v>-20.144553999999999</v>
      </c>
      <c r="Q1367">
        <v>-44.868183000000002</v>
      </c>
      <c r="R1367" s="2" t="str">
        <f>HYPERLINK("https://www.google.com/maps?q=-20.1445540,-44.8681830","Abrir no Google Maps")</f>
        <v>Abrir no Google Maps</v>
      </c>
      <c r="S1367">
        <v>4</v>
      </c>
      <c r="T1367">
        <v>783.87848835431373</v>
      </c>
      <c r="U1367">
        <v>4</v>
      </c>
      <c r="V1367">
        <v>33</v>
      </c>
      <c r="W1367">
        <v>1</v>
      </c>
      <c r="X1367">
        <v>33</v>
      </c>
      <c r="Y1367">
        <v>198</v>
      </c>
      <c r="Z1367">
        <v>360.68413994394842</v>
      </c>
      <c r="AA1367">
        <v>198</v>
      </c>
      <c r="AB1367">
        <v>332</v>
      </c>
      <c r="AC1367">
        <v>536</v>
      </c>
      <c r="AD1367">
        <v>28.93</v>
      </c>
      <c r="AE1367">
        <v>542</v>
      </c>
      <c r="AF1367">
        <v>28</v>
      </c>
      <c r="AG1367">
        <v>168</v>
      </c>
      <c r="AH1367">
        <v>129</v>
      </c>
      <c r="AI1367">
        <v>5.17</v>
      </c>
      <c r="AJ1367">
        <v>31</v>
      </c>
      <c r="AK1367">
        <v>23.8</v>
      </c>
      <c r="AL1367">
        <v>-20.144487399999949</v>
      </c>
      <c r="AM1367">
        <v>-44.868111936674481</v>
      </c>
      <c r="AN1367">
        <v>-20.144487399999939</v>
      </c>
      <c r="AO1367">
        <v>-44.868111936674481</v>
      </c>
      <c r="AP1367">
        <v>-20.144553999999999</v>
      </c>
      <c r="AQ1367">
        <v>-44.868183000000002</v>
      </c>
      <c r="AR1367">
        <v>10.49400387332288</v>
      </c>
      <c r="AS1367" t="s">
        <v>65</v>
      </c>
      <c r="AT1367">
        <v>1</v>
      </c>
      <c r="AU1367" t="s">
        <v>371</v>
      </c>
      <c r="AV1367" t="s">
        <v>372</v>
      </c>
      <c r="AW1367" t="s">
        <v>60</v>
      </c>
      <c r="AX1367" t="s">
        <v>68</v>
      </c>
      <c r="AY1367" t="s">
        <v>69</v>
      </c>
      <c r="AZ1367" t="b">
        <v>1</v>
      </c>
    </row>
    <row r="1368" spans="1:52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2142</v>
      </c>
      <c r="F1368" t="s">
        <v>57</v>
      </c>
      <c r="G1368" t="s">
        <v>176</v>
      </c>
      <c r="H1368" t="s">
        <v>177</v>
      </c>
      <c r="I1368" t="s">
        <v>177</v>
      </c>
      <c r="J1368" t="s">
        <v>60</v>
      </c>
      <c r="K1368" t="s">
        <v>178</v>
      </c>
      <c r="L1368" t="s">
        <v>62</v>
      </c>
      <c r="M1368" t="s">
        <v>178</v>
      </c>
      <c r="N1368" t="s">
        <v>179</v>
      </c>
      <c r="O1368" t="s">
        <v>180</v>
      </c>
      <c r="P1368">
        <v>-20.129152999999999</v>
      </c>
      <c r="Q1368">
        <v>-44.859299</v>
      </c>
      <c r="R1368" s="2" t="str">
        <f>HYPERLINK("https://www.google.com/maps?q=-20.1291530,-44.8592990","Abrir no Google Maps")</f>
        <v>Abrir no Google Maps</v>
      </c>
      <c r="S1368">
        <v>4</v>
      </c>
      <c r="T1368">
        <v>0</v>
      </c>
      <c r="U1368">
        <v>4</v>
      </c>
      <c r="V1368">
        <v>44</v>
      </c>
      <c r="W1368">
        <v>1</v>
      </c>
      <c r="X1368">
        <v>44</v>
      </c>
      <c r="Y1368">
        <v>95</v>
      </c>
      <c r="Z1368">
        <v>323.58963420291411</v>
      </c>
      <c r="AA1368">
        <v>198</v>
      </c>
      <c r="AB1368">
        <v>332</v>
      </c>
      <c r="AC1368">
        <v>536</v>
      </c>
      <c r="AD1368">
        <v>28.93</v>
      </c>
      <c r="AE1368">
        <v>542</v>
      </c>
      <c r="AF1368">
        <v>28</v>
      </c>
      <c r="AG1368">
        <v>168</v>
      </c>
      <c r="AH1368">
        <v>129</v>
      </c>
      <c r="AI1368">
        <v>5.17</v>
      </c>
      <c r="AJ1368">
        <v>31</v>
      </c>
      <c r="AK1368">
        <v>23.8</v>
      </c>
      <c r="AL1368">
        <v>-20.129260799999969</v>
      </c>
      <c r="AM1368">
        <v>-44.859468344955843</v>
      </c>
      <c r="AN1368">
        <v>-20.129260799999969</v>
      </c>
      <c r="AO1368">
        <v>-44.859468344955843</v>
      </c>
      <c r="AP1368">
        <v>-20.129152999999999</v>
      </c>
      <c r="AQ1368">
        <v>-44.859299</v>
      </c>
      <c r="AR1368">
        <v>21.38451122307773</v>
      </c>
      <c r="AS1368" t="s">
        <v>65</v>
      </c>
      <c r="AT1368">
        <v>1</v>
      </c>
      <c r="AU1368" t="s">
        <v>181</v>
      </c>
      <c r="AV1368" t="s">
        <v>182</v>
      </c>
      <c r="AW1368" t="s">
        <v>60</v>
      </c>
      <c r="AX1368" t="s">
        <v>68</v>
      </c>
      <c r="AY1368" t="s">
        <v>69</v>
      </c>
      <c r="AZ1368" t="b">
        <v>1</v>
      </c>
    </row>
    <row r="1369" spans="1:52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2142</v>
      </c>
      <c r="F1369" t="s">
        <v>57</v>
      </c>
      <c r="G1369" t="s">
        <v>1679</v>
      </c>
      <c r="H1369" t="s">
        <v>1680</v>
      </c>
      <c r="I1369" t="s">
        <v>1680</v>
      </c>
      <c r="J1369" t="s">
        <v>60</v>
      </c>
      <c r="K1369" t="s">
        <v>1681</v>
      </c>
      <c r="L1369" t="s">
        <v>62</v>
      </c>
      <c r="M1369" t="s">
        <v>1681</v>
      </c>
      <c r="N1369" t="s">
        <v>1682</v>
      </c>
      <c r="O1369" t="s">
        <v>315</v>
      </c>
      <c r="P1369">
        <v>-20.136075999999999</v>
      </c>
      <c r="Q1369">
        <v>-44.854410999999999</v>
      </c>
      <c r="R1369" s="2" t="str">
        <f>HYPERLINK("https://www.google.com/maps?q=-20.1360760,-44.8544110","Abrir no Google Maps")</f>
        <v>Abrir no Google Maps</v>
      </c>
      <c r="S1369">
        <v>4</v>
      </c>
      <c r="T1369">
        <v>923.14535705095284</v>
      </c>
      <c r="U1369">
        <v>4</v>
      </c>
      <c r="V1369">
        <v>29</v>
      </c>
      <c r="W1369">
        <v>1</v>
      </c>
      <c r="X1369">
        <v>29</v>
      </c>
      <c r="Y1369">
        <v>95</v>
      </c>
      <c r="Z1369">
        <v>512.25410822465881</v>
      </c>
      <c r="AA1369">
        <v>198</v>
      </c>
      <c r="AB1369">
        <v>332</v>
      </c>
      <c r="AC1369">
        <v>536</v>
      </c>
      <c r="AD1369">
        <v>28.93</v>
      </c>
      <c r="AE1369">
        <v>542</v>
      </c>
      <c r="AF1369">
        <v>28</v>
      </c>
      <c r="AG1369">
        <v>168</v>
      </c>
      <c r="AH1369">
        <v>129</v>
      </c>
      <c r="AI1369">
        <v>5.17</v>
      </c>
      <c r="AJ1369">
        <v>31</v>
      </c>
      <c r="AK1369">
        <v>23.8</v>
      </c>
      <c r="AL1369">
        <v>-20.13612434999996</v>
      </c>
      <c r="AM1369">
        <v>-44.854448179058288</v>
      </c>
      <c r="AN1369">
        <v>-20.13612434999996</v>
      </c>
      <c r="AO1369">
        <v>-44.854448179058288</v>
      </c>
      <c r="AP1369">
        <v>-20.136075999999999</v>
      </c>
      <c r="AQ1369">
        <v>-44.854410999999999</v>
      </c>
      <c r="AR1369">
        <v>6.6384360450222868</v>
      </c>
      <c r="AS1369" t="s">
        <v>65</v>
      </c>
      <c r="AT1369">
        <v>1</v>
      </c>
      <c r="AU1369" t="s">
        <v>1683</v>
      </c>
      <c r="AV1369" t="s">
        <v>1684</v>
      </c>
      <c r="AW1369" t="s">
        <v>60</v>
      </c>
      <c r="AX1369" t="s">
        <v>68</v>
      </c>
      <c r="AY1369" t="s">
        <v>69</v>
      </c>
      <c r="AZ1369" t="b">
        <v>1</v>
      </c>
    </row>
    <row r="1370" spans="1:52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2142</v>
      </c>
      <c r="F1370" t="s">
        <v>190</v>
      </c>
      <c r="G1370" t="s">
        <v>58</v>
      </c>
      <c r="H1370" t="s">
        <v>59</v>
      </c>
      <c r="I1370" t="s">
        <v>59</v>
      </c>
      <c r="J1370" t="s">
        <v>60</v>
      </c>
      <c r="K1370" t="s">
        <v>61</v>
      </c>
      <c r="L1370" t="s">
        <v>62</v>
      </c>
      <c r="M1370" t="s">
        <v>61</v>
      </c>
      <c r="N1370" t="s">
        <v>63</v>
      </c>
      <c r="O1370" t="s">
        <v>64</v>
      </c>
      <c r="P1370">
        <v>-20.147940999999999</v>
      </c>
      <c r="Q1370">
        <v>-44.906514000000001</v>
      </c>
      <c r="R1370" s="2" t="str">
        <f>HYPERLINK("https://www.google.com/maps?q=-20.1479410,-44.9065140","Abrir no Google Maps")</f>
        <v>Abrir no Google Maps</v>
      </c>
      <c r="S1370">
        <v>4</v>
      </c>
      <c r="T1370">
        <v>308.67004994113421</v>
      </c>
      <c r="U1370">
        <v>3</v>
      </c>
      <c r="V1370">
        <v>21</v>
      </c>
      <c r="W1370">
        <v>1</v>
      </c>
      <c r="X1370">
        <v>21</v>
      </c>
      <c r="Y1370">
        <v>747</v>
      </c>
      <c r="Z1370">
        <v>274.71440454502522</v>
      </c>
      <c r="AA1370">
        <v>198</v>
      </c>
      <c r="AB1370">
        <v>332</v>
      </c>
      <c r="AC1370">
        <v>536</v>
      </c>
      <c r="AD1370">
        <v>28.93</v>
      </c>
      <c r="AE1370">
        <v>542</v>
      </c>
      <c r="AF1370">
        <v>28</v>
      </c>
      <c r="AG1370">
        <v>168</v>
      </c>
      <c r="AH1370">
        <v>129</v>
      </c>
      <c r="AI1370">
        <v>5.17</v>
      </c>
      <c r="AJ1370">
        <v>31</v>
      </c>
      <c r="AK1370">
        <v>23.8</v>
      </c>
      <c r="AL1370">
        <v>-20.147947799999969</v>
      </c>
      <c r="AM1370">
        <v>-44.906591596129203</v>
      </c>
      <c r="AN1370">
        <v>-20.147947799999969</v>
      </c>
      <c r="AO1370">
        <v>-44.906591596129203</v>
      </c>
      <c r="AP1370">
        <v>-20.147940999999999</v>
      </c>
      <c r="AQ1370">
        <v>-44.906514000000001</v>
      </c>
      <c r="AR1370">
        <v>8.1446636170570326</v>
      </c>
      <c r="AS1370" t="s">
        <v>65</v>
      </c>
      <c r="AT1370">
        <v>1</v>
      </c>
      <c r="AU1370" t="s">
        <v>66</v>
      </c>
      <c r="AV1370" t="s">
        <v>67</v>
      </c>
      <c r="AW1370" t="s">
        <v>60</v>
      </c>
      <c r="AX1370" t="s">
        <v>68</v>
      </c>
      <c r="AY1370" t="s">
        <v>69</v>
      </c>
      <c r="AZ1370" t="b">
        <v>1</v>
      </c>
    </row>
    <row r="1371" spans="1:52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2142</v>
      </c>
      <c r="F1371" t="s">
        <v>190</v>
      </c>
      <c r="G1371" t="s">
        <v>70</v>
      </c>
      <c r="H1371" t="s">
        <v>71</v>
      </c>
      <c r="I1371" t="s">
        <v>71</v>
      </c>
      <c r="J1371" t="s">
        <v>60</v>
      </c>
      <c r="K1371" t="s">
        <v>72</v>
      </c>
      <c r="L1371" t="s">
        <v>62</v>
      </c>
      <c r="M1371" t="s">
        <v>72</v>
      </c>
      <c r="N1371" t="s">
        <v>73</v>
      </c>
      <c r="O1371" t="s">
        <v>74</v>
      </c>
      <c r="P1371">
        <v>-20.149349000000001</v>
      </c>
      <c r="Q1371">
        <v>-44.910784</v>
      </c>
      <c r="R1371" s="2" t="str">
        <f>HYPERLINK("https://www.google.com/maps?q=-20.1493490,-44.9107840","Abrir no Google Maps")</f>
        <v>Abrir no Google Maps</v>
      </c>
      <c r="S1371">
        <v>4</v>
      </c>
      <c r="T1371">
        <v>472.43876549769578</v>
      </c>
      <c r="U1371">
        <v>3</v>
      </c>
      <c r="V1371">
        <v>20</v>
      </c>
      <c r="W1371">
        <v>1</v>
      </c>
      <c r="X1371">
        <v>20</v>
      </c>
      <c r="Y1371">
        <v>747</v>
      </c>
      <c r="Z1371">
        <v>441.03921887407779</v>
      </c>
      <c r="AA1371">
        <v>198</v>
      </c>
      <c r="AB1371">
        <v>332</v>
      </c>
      <c r="AC1371">
        <v>536</v>
      </c>
      <c r="AD1371">
        <v>28.93</v>
      </c>
      <c r="AE1371">
        <v>542</v>
      </c>
      <c r="AF1371">
        <v>28</v>
      </c>
      <c r="AG1371">
        <v>168</v>
      </c>
      <c r="AH1371">
        <v>129</v>
      </c>
      <c r="AI1371">
        <v>5.17</v>
      </c>
      <c r="AJ1371">
        <v>31</v>
      </c>
      <c r="AK1371">
        <v>23.8</v>
      </c>
      <c r="AL1371">
        <v>-20.149403999999951</v>
      </c>
      <c r="AM1371">
        <v>-44.91080895147438</v>
      </c>
      <c r="AN1371">
        <v>-20.149403999999951</v>
      </c>
      <c r="AO1371">
        <v>-44.91080895147438</v>
      </c>
      <c r="AP1371">
        <v>-20.149349000000001</v>
      </c>
      <c r="AQ1371">
        <v>-44.910784</v>
      </c>
      <c r="AR1371">
        <v>6.6547592699416382</v>
      </c>
      <c r="AS1371" t="s">
        <v>65</v>
      </c>
      <c r="AT1371">
        <v>1</v>
      </c>
      <c r="AU1371" t="s">
        <v>75</v>
      </c>
      <c r="AV1371" t="s">
        <v>76</v>
      </c>
      <c r="AW1371" t="s">
        <v>60</v>
      </c>
      <c r="AX1371" t="s">
        <v>68</v>
      </c>
      <c r="AY1371" t="s">
        <v>69</v>
      </c>
      <c r="AZ1371" t="b">
        <v>1</v>
      </c>
    </row>
    <row r="1372" spans="1:52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2142</v>
      </c>
      <c r="F1372" t="s">
        <v>190</v>
      </c>
      <c r="G1372" t="s">
        <v>77</v>
      </c>
      <c r="H1372" t="s">
        <v>78</v>
      </c>
      <c r="I1372" t="s">
        <v>78</v>
      </c>
      <c r="J1372" t="s">
        <v>60</v>
      </c>
      <c r="K1372" t="s">
        <v>72</v>
      </c>
      <c r="L1372" t="s">
        <v>62</v>
      </c>
      <c r="M1372" t="s">
        <v>72</v>
      </c>
      <c r="N1372" t="s">
        <v>79</v>
      </c>
      <c r="O1372" t="s">
        <v>80</v>
      </c>
      <c r="P1372">
        <v>-20.147821</v>
      </c>
      <c r="Q1372">
        <v>-44.908887</v>
      </c>
      <c r="R1372" s="2" t="str">
        <f>HYPERLINK("https://www.google.com/maps?q=-20.1478210,-44.9088870","Abrir no Google Maps")</f>
        <v>Abrir no Google Maps</v>
      </c>
      <c r="S1372">
        <v>4</v>
      </c>
      <c r="T1372">
        <v>232.2893841532152</v>
      </c>
      <c r="U1372">
        <v>3</v>
      </c>
      <c r="V1372">
        <v>20</v>
      </c>
      <c r="W1372">
        <v>1</v>
      </c>
      <c r="X1372">
        <v>20</v>
      </c>
      <c r="Y1372">
        <v>747</v>
      </c>
      <c r="Z1372">
        <v>195.3668648953757</v>
      </c>
      <c r="AA1372">
        <v>198</v>
      </c>
      <c r="AB1372">
        <v>332</v>
      </c>
      <c r="AC1372">
        <v>536</v>
      </c>
      <c r="AD1372">
        <v>28.93</v>
      </c>
      <c r="AE1372">
        <v>542</v>
      </c>
      <c r="AF1372">
        <v>28</v>
      </c>
      <c r="AG1372">
        <v>168</v>
      </c>
      <c r="AH1372">
        <v>129</v>
      </c>
      <c r="AI1372">
        <v>5.17</v>
      </c>
      <c r="AJ1372">
        <v>31</v>
      </c>
      <c r="AK1372">
        <v>23.8</v>
      </c>
      <c r="AL1372">
        <v>-20.147802849999952</v>
      </c>
      <c r="AM1372">
        <v>-44.908989919229477</v>
      </c>
      <c r="AN1372">
        <v>-20.147802849999952</v>
      </c>
      <c r="AO1372">
        <v>-44.908989919229491</v>
      </c>
      <c r="AP1372">
        <v>-20.147821</v>
      </c>
      <c r="AQ1372">
        <v>-44.908887</v>
      </c>
      <c r="AR1372">
        <v>10.944007761262529</v>
      </c>
      <c r="AS1372" t="s">
        <v>65</v>
      </c>
      <c r="AT1372">
        <v>1</v>
      </c>
      <c r="AU1372" t="s">
        <v>81</v>
      </c>
      <c r="AV1372" t="s">
        <v>82</v>
      </c>
      <c r="AW1372" t="s">
        <v>60</v>
      </c>
      <c r="AX1372" t="s">
        <v>68</v>
      </c>
      <c r="AY1372" t="s">
        <v>69</v>
      </c>
      <c r="AZ1372" t="b">
        <v>1</v>
      </c>
    </row>
    <row r="1373" spans="1:52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2142</v>
      </c>
      <c r="F1373" t="s">
        <v>190</v>
      </c>
      <c r="G1373" t="s">
        <v>83</v>
      </c>
      <c r="H1373" t="s">
        <v>84</v>
      </c>
      <c r="I1373" t="s">
        <v>84</v>
      </c>
      <c r="J1373" t="s">
        <v>60</v>
      </c>
      <c r="K1373" t="s">
        <v>61</v>
      </c>
      <c r="L1373" t="s">
        <v>62</v>
      </c>
      <c r="M1373" t="s">
        <v>61</v>
      </c>
      <c r="N1373" t="s">
        <v>85</v>
      </c>
      <c r="O1373" t="s">
        <v>86</v>
      </c>
      <c r="P1373">
        <v>-20.149799000000002</v>
      </c>
      <c r="Q1373">
        <v>-44.906517000000001</v>
      </c>
      <c r="R1373" s="2" t="str">
        <f>HYPERLINK("https://www.google.com/maps?q=-20.1497990,-44.9065170","Abrir no Google Maps")</f>
        <v>Abrir no Google Maps</v>
      </c>
      <c r="S1373">
        <v>4</v>
      </c>
      <c r="T1373">
        <v>487.90051105537998</v>
      </c>
      <c r="U1373">
        <v>3</v>
      </c>
      <c r="V1373">
        <v>17</v>
      </c>
      <c r="W1373">
        <v>1</v>
      </c>
      <c r="X1373">
        <v>17</v>
      </c>
      <c r="Y1373">
        <v>747</v>
      </c>
      <c r="Z1373">
        <v>365.93785960107078</v>
      </c>
      <c r="AA1373">
        <v>198</v>
      </c>
      <c r="AB1373">
        <v>332</v>
      </c>
      <c r="AC1373">
        <v>536</v>
      </c>
      <c r="AD1373">
        <v>28.93</v>
      </c>
      <c r="AE1373">
        <v>542</v>
      </c>
      <c r="AF1373">
        <v>28</v>
      </c>
      <c r="AG1373">
        <v>168</v>
      </c>
      <c r="AH1373">
        <v>129</v>
      </c>
      <c r="AI1373">
        <v>5.17</v>
      </c>
      <c r="AJ1373">
        <v>31</v>
      </c>
      <c r="AK1373">
        <v>23.8</v>
      </c>
      <c r="AL1373">
        <v>-20.149879599999959</v>
      </c>
      <c r="AM1373">
        <v>-44.906746466068469</v>
      </c>
      <c r="AN1373">
        <v>-20.149879599999959</v>
      </c>
      <c r="AO1373">
        <v>-44.906746466068469</v>
      </c>
      <c r="AP1373">
        <v>-20.149799000000002</v>
      </c>
      <c r="AQ1373">
        <v>-44.906517000000001</v>
      </c>
      <c r="AR1373">
        <v>25.604276856970429</v>
      </c>
      <c r="AS1373" t="s">
        <v>65</v>
      </c>
      <c r="AT1373">
        <v>1</v>
      </c>
      <c r="AU1373" t="s">
        <v>87</v>
      </c>
      <c r="AV1373" t="s">
        <v>88</v>
      </c>
      <c r="AW1373" t="s">
        <v>60</v>
      </c>
      <c r="AX1373" t="s">
        <v>68</v>
      </c>
      <c r="AY1373" t="s">
        <v>69</v>
      </c>
      <c r="AZ1373" t="b">
        <v>1</v>
      </c>
    </row>
    <row r="1374" spans="1:52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2142</v>
      </c>
      <c r="F1374" t="s">
        <v>190</v>
      </c>
      <c r="G1374" t="s">
        <v>95</v>
      </c>
      <c r="H1374" t="s">
        <v>96</v>
      </c>
      <c r="I1374" t="s">
        <v>96</v>
      </c>
      <c r="J1374" t="s">
        <v>60</v>
      </c>
      <c r="K1374" t="s">
        <v>72</v>
      </c>
      <c r="L1374" t="s">
        <v>62</v>
      </c>
      <c r="M1374" t="s">
        <v>72</v>
      </c>
      <c r="N1374" t="s">
        <v>97</v>
      </c>
      <c r="O1374" t="s">
        <v>98</v>
      </c>
      <c r="P1374">
        <v>-20.144062999999999</v>
      </c>
      <c r="Q1374">
        <v>-44.909627999999998</v>
      </c>
      <c r="R1374" s="2" t="str">
        <f>HYPERLINK("https://www.google.com/maps?q=-20.1440630,-44.9096280","Abrir no Google Maps")</f>
        <v>Abrir no Google Maps</v>
      </c>
      <c r="S1374">
        <v>4</v>
      </c>
      <c r="T1374">
        <v>205.27083326529291</v>
      </c>
      <c r="U1374">
        <v>3</v>
      </c>
      <c r="V1374">
        <v>20</v>
      </c>
      <c r="W1374">
        <v>1</v>
      </c>
      <c r="X1374">
        <v>20</v>
      </c>
      <c r="Y1374">
        <v>747</v>
      </c>
      <c r="Z1374">
        <v>336.75785483480968</v>
      </c>
      <c r="AA1374">
        <v>198</v>
      </c>
      <c r="AB1374">
        <v>332</v>
      </c>
      <c r="AC1374">
        <v>536</v>
      </c>
      <c r="AD1374">
        <v>28.93</v>
      </c>
      <c r="AE1374">
        <v>542</v>
      </c>
      <c r="AF1374">
        <v>28</v>
      </c>
      <c r="AG1374">
        <v>168</v>
      </c>
      <c r="AH1374">
        <v>129</v>
      </c>
      <c r="AI1374">
        <v>5.17</v>
      </c>
      <c r="AJ1374">
        <v>31</v>
      </c>
      <c r="AK1374">
        <v>23.8</v>
      </c>
      <c r="AL1374">
        <v>-20.144164099999951</v>
      </c>
      <c r="AM1374">
        <v>-44.909420167767642</v>
      </c>
      <c r="AN1374">
        <v>-20.144164099999951</v>
      </c>
      <c r="AO1374">
        <v>-44.909420167767642</v>
      </c>
      <c r="AP1374">
        <v>-20.144062999999999</v>
      </c>
      <c r="AQ1374">
        <v>-44.909627999999998</v>
      </c>
      <c r="AR1374">
        <v>24.46321571724976</v>
      </c>
      <c r="AS1374" t="s">
        <v>65</v>
      </c>
      <c r="AT1374">
        <v>1</v>
      </c>
      <c r="AU1374" t="s">
        <v>99</v>
      </c>
      <c r="AV1374" t="s">
        <v>94</v>
      </c>
      <c r="AW1374" t="s">
        <v>60</v>
      </c>
      <c r="AX1374" t="s">
        <v>68</v>
      </c>
      <c r="AY1374" t="s">
        <v>69</v>
      </c>
      <c r="AZ1374" t="b">
        <v>1</v>
      </c>
    </row>
    <row r="1375" spans="1:52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2142</v>
      </c>
      <c r="F1375" t="s">
        <v>190</v>
      </c>
      <c r="G1375" t="s">
        <v>100</v>
      </c>
      <c r="H1375" t="s">
        <v>106</v>
      </c>
      <c r="I1375" t="s">
        <v>106</v>
      </c>
      <c r="J1375" t="s">
        <v>60</v>
      </c>
      <c r="K1375" t="s">
        <v>61</v>
      </c>
      <c r="L1375" t="s">
        <v>62</v>
      </c>
      <c r="M1375" t="s">
        <v>61</v>
      </c>
      <c r="N1375" t="s">
        <v>102</v>
      </c>
      <c r="O1375" t="s">
        <v>103</v>
      </c>
      <c r="P1375">
        <v>-20.151107</v>
      </c>
      <c r="Q1375">
        <v>-44.908918</v>
      </c>
      <c r="R1375" s="2" t="str">
        <f>HYPERLINK("https://www.google.com/maps?q=-20.1511070,-44.9089180","Abrir no Google Maps")</f>
        <v>Abrir no Google Maps</v>
      </c>
      <c r="S1375">
        <v>4</v>
      </c>
      <c r="T1375">
        <v>615.86400245321579</v>
      </c>
      <c r="U1375">
        <v>3</v>
      </c>
      <c r="V1375">
        <v>25</v>
      </c>
      <c r="W1375">
        <v>0.85</v>
      </c>
      <c r="X1375">
        <v>21.25</v>
      </c>
      <c r="Y1375">
        <v>747</v>
      </c>
      <c r="Z1375">
        <v>535.34543763764702</v>
      </c>
      <c r="AA1375">
        <v>198</v>
      </c>
      <c r="AB1375">
        <v>332</v>
      </c>
      <c r="AC1375">
        <v>536</v>
      </c>
      <c r="AD1375">
        <v>28.93</v>
      </c>
      <c r="AE1375">
        <v>542</v>
      </c>
      <c r="AF1375">
        <v>28</v>
      </c>
      <c r="AG1375">
        <v>168</v>
      </c>
      <c r="AH1375">
        <v>129</v>
      </c>
      <c r="AI1375">
        <v>5.17</v>
      </c>
      <c r="AJ1375">
        <v>31</v>
      </c>
      <c r="AK1375">
        <v>23.8</v>
      </c>
      <c r="AL1375">
        <v>-20.151307349999971</v>
      </c>
      <c r="AM1375">
        <v>-44.909024234051429</v>
      </c>
      <c r="AN1375">
        <v>-20.151307349999971</v>
      </c>
      <c r="AO1375">
        <v>-44.909024234051429</v>
      </c>
      <c r="AP1375">
        <v>-20.151107</v>
      </c>
      <c r="AQ1375">
        <v>-44.908918</v>
      </c>
      <c r="AR1375">
        <v>24.91340747371116</v>
      </c>
      <c r="AS1375" t="s">
        <v>65</v>
      </c>
      <c r="AT1375">
        <v>1</v>
      </c>
      <c r="AU1375" t="s">
        <v>107</v>
      </c>
      <c r="AV1375" t="s">
        <v>105</v>
      </c>
      <c r="AW1375" t="s">
        <v>60</v>
      </c>
      <c r="AX1375" t="s">
        <v>68</v>
      </c>
      <c r="AY1375" t="s">
        <v>69</v>
      </c>
      <c r="AZ1375" t="b">
        <v>1</v>
      </c>
    </row>
    <row r="1376" spans="1:52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2142</v>
      </c>
      <c r="F1376" t="s">
        <v>190</v>
      </c>
      <c r="G1376" t="s">
        <v>108</v>
      </c>
      <c r="H1376" t="s">
        <v>109</v>
      </c>
      <c r="I1376" t="s">
        <v>109</v>
      </c>
      <c r="J1376" t="s">
        <v>60</v>
      </c>
      <c r="K1376" t="s">
        <v>110</v>
      </c>
      <c r="L1376" t="s">
        <v>62</v>
      </c>
      <c r="M1376" t="s">
        <v>110</v>
      </c>
      <c r="N1376" t="s">
        <v>111</v>
      </c>
      <c r="O1376" t="s">
        <v>112</v>
      </c>
      <c r="P1376">
        <v>-20.122233999999999</v>
      </c>
      <c r="Q1376">
        <v>-44.909194999999997</v>
      </c>
      <c r="R1376" s="2" t="str">
        <f>HYPERLINK("https://www.google.com/maps?q=-20.1222340,-44.9091950","Abrir no Google Maps")</f>
        <v>Abrir no Google Maps</v>
      </c>
      <c r="S1376">
        <v>4</v>
      </c>
      <c r="T1376">
        <v>1171.396020763932</v>
      </c>
      <c r="U1376">
        <v>3</v>
      </c>
      <c r="V1376">
        <v>20</v>
      </c>
      <c r="W1376">
        <v>0.85</v>
      </c>
      <c r="X1376">
        <v>17</v>
      </c>
      <c r="Y1376">
        <v>567</v>
      </c>
      <c r="Z1376">
        <v>1238.711234283244</v>
      </c>
      <c r="AA1376">
        <v>198</v>
      </c>
      <c r="AB1376">
        <v>332</v>
      </c>
      <c r="AC1376">
        <v>536</v>
      </c>
      <c r="AD1376">
        <v>28.93</v>
      </c>
      <c r="AE1376">
        <v>542</v>
      </c>
      <c r="AF1376">
        <v>28</v>
      </c>
      <c r="AG1376">
        <v>168</v>
      </c>
      <c r="AH1376">
        <v>129</v>
      </c>
      <c r="AI1376">
        <v>5.17</v>
      </c>
      <c r="AJ1376">
        <v>31</v>
      </c>
      <c r="AK1376">
        <v>23.8</v>
      </c>
      <c r="AL1376">
        <v>-20.121881249999941</v>
      </c>
      <c r="AM1376">
        <v>-44.909273766094323</v>
      </c>
      <c r="AN1376">
        <v>-20.121881249999941</v>
      </c>
      <c r="AO1376">
        <v>-44.909273766094323</v>
      </c>
      <c r="AP1376">
        <v>-20.122233999999999</v>
      </c>
      <c r="AQ1376">
        <v>-44.909194999999997</v>
      </c>
      <c r="AR1376">
        <v>40.12192930593006</v>
      </c>
      <c r="AS1376" t="s">
        <v>65</v>
      </c>
      <c r="AT1376">
        <v>1</v>
      </c>
      <c r="AU1376" t="s">
        <v>113</v>
      </c>
      <c r="AV1376" t="s">
        <v>114</v>
      </c>
      <c r="AW1376" t="s">
        <v>60</v>
      </c>
      <c r="AX1376" t="s">
        <v>68</v>
      </c>
      <c r="AY1376" t="s">
        <v>69</v>
      </c>
      <c r="AZ1376" t="b">
        <v>1</v>
      </c>
    </row>
    <row r="1377" spans="1:52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2142</v>
      </c>
      <c r="F1377" t="s">
        <v>190</v>
      </c>
      <c r="G1377" t="s">
        <v>115</v>
      </c>
      <c r="H1377" t="s">
        <v>116</v>
      </c>
      <c r="I1377" t="s">
        <v>116</v>
      </c>
      <c r="J1377" t="s">
        <v>60</v>
      </c>
      <c r="K1377" t="s">
        <v>117</v>
      </c>
      <c r="L1377" t="s">
        <v>62</v>
      </c>
      <c r="M1377" t="s">
        <v>117</v>
      </c>
      <c r="N1377" t="s">
        <v>118</v>
      </c>
      <c r="O1377" t="s">
        <v>119</v>
      </c>
      <c r="P1377">
        <v>-20.116992</v>
      </c>
      <c r="Q1377">
        <v>-44.899355</v>
      </c>
      <c r="R1377" s="2" t="str">
        <f>HYPERLINK("https://www.google.com/maps?q=-20.1169920,-44.8993550","Abrir no Google Maps")</f>
        <v>Abrir no Google Maps</v>
      </c>
      <c r="S1377">
        <v>4</v>
      </c>
      <c r="T1377">
        <v>0</v>
      </c>
      <c r="U1377">
        <v>3</v>
      </c>
      <c r="V1377">
        <v>19</v>
      </c>
      <c r="W1377">
        <v>1</v>
      </c>
      <c r="X1377">
        <v>19</v>
      </c>
      <c r="Y1377">
        <v>567</v>
      </c>
      <c r="Z1377">
        <v>54.913678078353321</v>
      </c>
      <c r="AA1377">
        <v>198</v>
      </c>
      <c r="AB1377">
        <v>332</v>
      </c>
      <c r="AC1377">
        <v>536</v>
      </c>
      <c r="AD1377">
        <v>28.93</v>
      </c>
      <c r="AE1377">
        <v>542</v>
      </c>
      <c r="AF1377">
        <v>28</v>
      </c>
      <c r="AG1377">
        <v>168</v>
      </c>
      <c r="AH1377">
        <v>129</v>
      </c>
      <c r="AI1377">
        <v>5.17</v>
      </c>
      <c r="AJ1377">
        <v>31</v>
      </c>
      <c r="AK1377">
        <v>23.8</v>
      </c>
      <c r="AL1377">
        <v>-20.117107749999949</v>
      </c>
      <c r="AM1377">
        <v>-44.899271226243108</v>
      </c>
      <c r="AN1377">
        <v>-20.117107749999949</v>
      </c>
      <c r="AO1377">
        <v>-44.899271226243108</v>
      </c>
      <c r="AP1377">
        <v>-20.116992</v>
      </c>
      <c r="AQ1377">
        <v>-44.899355</v>
      </c>
      <c r="AR1377">
        <v>15.579196044083419</v>
      </c>
      <c r="AS1377" t="s">
        <v>65</v>
      </c>
      <c r="AT1377">
        <v>1</v>
      </c>
      <c r="AU1377" t="s">
        <v>120</v>
      </c>
      <c r="AV1377" t="s">
        <v>121</v>
      </c>
      <c r="AW1377" t="s">
        <v>60</v>
      </c>
      <c r="AX1377" t="s">
        <v>68</v>
      </c>
      <c r="AY1377" t="s">
        <v>69</v>
      </c>
      <c r="AZ1377" t="b">
        <v>1</v>
      </c>
    </row>
    <row r="1378" spans="1:52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2142</v>
      </c>
      <c r="F1378" t="s">
        <v>190</v>
      </c>
      <c r="G1378" t="s">
        <v>225</v>
      </c>
      <c r="H1378" t="s">
        <v>226</v>
      </c>
      <c r="I1378" t="s">
        <v>226</v>
      </c>
      <c r="J1378" t="s">
        <v>60</v>
      </c>
      <c r="K1378" t="s">
        <v>227</v>
      </c>
      <c r="L1378" t="s">
        <v>62</v>
      </c>
      <c r="M1378" t="s">
        <v>227</v>
      </c>
      <c r="N1378" t="s">
        <v>228</v>
      </c>
      <c r="O1378" t="s">
        <v>229</v>
      </c>
      <c r="P1378">
        <v>-20.156986</v>
      </c>
      <c r="Q1378">
        <v>-44.857474000000003</v>
      </c>
      <c r="R1378" s="2" t="str">
        <f>HYPERLINK("https://www.google.com/maps?q=-20.1569860,-44.8574740","Abrir no Google Maps")</f>
        <v>Abrir no Google Maps</v>
      </c>
      <c r="S1378">
        <v>4</v>
      </c>
      <c r="T1378">
        <v>270.52797591847911</v>
      </c>
      <c r="U1378">
        <v>3</v>
      </c>
      <c r="V1378">
        <v>19</v>
      </c>
      <c r="W1378">
        <v>1</v>
      </c>
      <c r="X1378">
        <v>19</v>
      </c>
      <c r="Y1378">
        <v>518</v>
      </c>
      <c r="Z1378">
        <v>441.86584449256071</v>
      </c>
      <c r="AA1378">
        <v>198</v>
      </c>
      <c r="AB1378">
        <v>332</v>
      </c>
      <c r="AC1378">
        <v>536</v>
      </c>
      <c r="AD1378">
        <v>28.93</v>
      </c>
      <c r="AE1378">
        <v>542</v>
      </c>
      <c r="AF1378">
        <v>28</v>
      </c>
      <c r="AG1378">
        <v>168</v>
      </c>
      <c r="AH1378">
        <v>129</v>
      </c>
      <c r="AI1378">
        <v>5.17</v>
      </c>
      <c r="AJ1378">
        <v>31</v>
      </c>
      <c r="AK1378">
        <v>23.8</v>
      </c>
      <c r="AL1378">
        <v>-20.156957249999952</v>
      </c>
      <c r="AM1378">
        <v>-44.857396682659299</v>
      </c>
      <c r="AN1378">
        <v>-20.156957249999952</v>
      </c>
      <c r="AO1378">
        <v>-44.857396682659299</v>
      </c>
      <c r="AP1378">
        <v>-20.156986</v>
      </c>
      <c r="AQ1378">
        <v>-44.857474000000003</v>
      </c>
      <c r="AR1378">
        <v>8.6905800579264607</v>
      </c>
      <c r="AS1378" t="s">
        <v>65</v>
      </c>
      <c r="AT1378">
        <v>1</v>
      </c>
      <c r="AU1378" t="s">
        <v>230</v>
      </c>
      <c r="AV1378" t="s">
        <v>231</v>
      </c>
      <c r="AW1378" t="s">
        <v>60</v>
      </c>
      <c r="AX1378" t="s">
        <v>68</v>
      </c>
      <c r="AY1378" t="s">
        <v>69</v>
      </c>
      <c r="AZ1378" t="b">
        <v>1</v>
      </c>
    </row>
    <row r="1379" spans="1:52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2142</v>
      </c>
      <c r="F1379" t="s">
        <v>190</v>
      </c>
      <c r="G1379" t="s">
        <v>232</v>
      </c>
      <c r="H1379" t="s">
        <v>233</v>
      </c>
      <c r="I1379" t="s">
        <v>233</v>
      </c>
      <c r="J1379" t="s">
        <v>60</v>
      </c>
      <c r="K1379" t="s">
        <v>227</v>
      </c>
      <c r="L1379" t="s">
        <v>62</v>
      </c>
      <c r="M1379" t="s">
        <v>227</v>
      </c>
      <c r="N1379" t="s">
        <v>234</v>
      </c>
      <c r="O1379" t="s">
        <v>235</v>
      </c>
      <c r="P1379">
        <v>-20.158666</v>
      </c>
      <c r="Q1379">
        <v>-44.861398999999999</v>
      </c>
      <c r="R1379" s="2" t="str">
        <f>HYPERLINK("https://www.google.com/maps?q=-20.1586660,-44.8613990","Abrir no Google Maps")</f>
        <v>Abrir no Google Maps</v>
      </c>
      <c r="S1379">
        <v>4</v>
      </c>
      <c r="T1379">
        <v>330.01505397941582</v>
      </c>
      <c r="U1379">
        <v>3</v>
      </c>
      <c r="V1379">
        <v>17</v>
      </c>
      <c r="W1379">
        <v>1</v>
      </c>
      <c r="X1379">
        <v>17</v>
      </c>
      <c r="Y1379">
        <v>518</v>
      </c>
      <c r="Z1379">
        <v>251.8092920281106</v>
      </c>
      <c r="AA1379">
        <v>198</v>
      </c>
      <c r="AB1379">
        <v>332</v>
      </c>
      <c r="AC1379">
        <v>536</v>
      </c>
      <c r="AD1379">
        <v>28.93</v>
      </c>
      <c r="AE1379">
        <v>542</v>
      </c>
      <c r="AF1379">
        <v>28</v>
      </c>
      <c r="AG1379">
        <v>168</v>
      </c>
      <c r="AH1379">
        <v>129</v>
      </c>
      <c r="AI1379">
        <v>5.17</v>
      </c>
      <c r="AJ1379">
        <v>31</v>
      </c>
      <c r="AK1379">
        <v>23.8</v>
      </c>
      <c r="AL1379">
        <v>-20.158631449999969</v>
      </c>
      <c r="AM1379">
        <v>-44.861424574758061</v>
      </c>
      <c r="AN1379">
        <v>-20.158631449999969</v>
      </c>
      <c r="AO1379">
        <v>-44.861424574758061</v>
      </c>
      <c r="AP1379">
        <v>-20.158666</v>
      </c>
      <c r="AQ1379">
        <v>-44.861398999999999</v>
      </c>
      <c r="AR1379">
        <v>4.6835056709567411</v>
      </c>
      <c r="AS1379" t="s">
        <v>65</v>
      </c>
      <c r="AT1379">
        <v>1</v>
      </c>
      <c r="AU1379" t="s">
        <v>236</v>
      </c>
      <c r="AV1379" t="s">
        <v>237</v>
      </c>
      <c r="AW1379" t="s">
        <v>60</v>
      </c>
      <c r="AX1379" t="s">
        <v>68</v>
      </c>
      <c r="AY1379" t="s">
        <v>69</v>
      </c>
      <c r="AZ1379" t="b">
        <v>1</v>
      </c>
    </row>
    <row r="1380" spans="1:52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2142</v>
      </c>
      <c r="F1380" t="s">
        <v>190</v>
      </c>
      <c r="G1380" t="s">
        <v>219</v>
      </c>
      <c r="H1380" t="s">
        <v>2129</v>
      </c>
      <c r="I1380" t="s">
        <v>2129</v>
      </c>
      <c r="J1380" t="s">
        <v>60</v>
      </c>
      <c r="K1380" t="s">
        <v>1165</v>
      </c>
      <c r="L1380" t="s">
        <v>62</v>
      </c>
      <c r="M1380" t="s">
        <v>1165</v>
      </c>
      <c r="N1380" t="s">
        <v>221</v>
      </c>
      <c r="O1380" t="s">
        <v>2130</v>
      </c>
      <c r="P1380">
        <v>-20.156721000000001</v>
      </c>
      <c r="Q1380">
        <v>-44.862000000000002</v>
      </c>
      <c r="R1380" s="2" t="str">
        <f>HYPERLINK("https://www.google.com/maps?q=-20.1567210,-44.8620000","Abrir no Google Maps")</f>
        <v>Abrir no Google Maps</v>
      </c>
      <c r="S1380">
        <v>4</v>
      </c>
      <c r="T1380">
        <v>471.61852854830028</v>
      </c>
      <c r="U1380">
        <v>3</v>
      </c>
      <c r="V1380">
        <v>23</v>
      </c>
      <c r="W1380">
        <v>0.85</v>
      </c>
      <c r="X1380">
        <v>19.55</v>
      </c>
      <c r="Y1380">
        <v>518</v>
      </c>
      <c r="Z1380">
        <v>453.51649447198128</v>
      </c>
      <c r="AA1380">
        <v>198</v>
      </c>
      <c r="AB1380">
        <v>332</v>
      </c>
      <c r="AC1380">
        <v>536</v>
      </c>
      <c r="AD1380">
        <v>28.93</v>
      </c>
      <c r="AE1380">
        <v>542</v>
      </c>
      <c r="AF1380">
        <v>28</v>
      </c>
      <c r="AG1380">
        <v>168</v>
      </c>
      <c r="AH1380">
        <v>129</v>
      </c>
      <c r="AI1380">
        <v>5.17</v>
      </c>
      <c r="AJ1380">
        <v>31</v>
      </c>
      <c r="AK1380">
        <v>23.8</v>
      </c>
      <c r="AL1380">
        <v>-20.156574899999949</v>
      </c>
      <c r="AM1380">
        <v>-44.861856840496699</v>
      </c>
      <c r="AN1380">
        <v>-20.156574899999949</v>
      </c>
      <c r="AO1380">
        <v>-44.861856840496699</v>
      </c>
      <c r="AP1380">
        <v>-20.156721000000001</v>
      </c>
      <c r="AQ1380">
        <v>-44.862000000000002</v>
      </c>
      <c r="AR1380">
        <v>22.09816067181935</v>
      </c>
      <c r="AS1380" t="s">
        <v>65</v>
      </c>
      <c r="AT1380">
        <v>1</v>
      </c>
      <c r="AU1380" t="s">
        <v>2131</v>
      </c>
      <c r="AV1380" t="s">
        <v>2132</v>
      </c>
      <c r="AW1380" t="s">
        <v>60</v>
      </c>
      <c r="AX1380" t="s">
        <v>68</v>
      </c>
      <c r="AY1380" t="s">
        <v>69</v>
      </c>
      <c r="AZ1380" t="b">
        <v>1</v>
      </c>
    </row>
    <row r="1381" spans="1:52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2142</v>
      </c>
      <c r="F1381" t="s">
        <v>190</v>
      </c>
      <c r="G1381" t="s">
        <v>1618</v>
      </c>
      <c r="H1381" t="s">
        <v>1619</v>
      </c>
      <c r="I1381" t="s">
        <v>1619</v>
      </c>
      <c r="J1381" t="s">
        <v>60</v>
      </c>
      <c r="K1381" t="s">
        <v>227</v>
      </c>
      <c r="L1381" t="s">
        <v>62</v>
      </c>
      <c r="M1381" t="s">
        <v>227</v>
      </c>
      <c r="N1381" t="s">
        <v>228</v>
      </c>
      <c r="O1381" t="s">
        <v>1620</v>
      </c>
      <c r="P1381">
        <v>-20.159497999999999</v>
      </c>
      <c r="Q1381">
        <v>-44.852925999999997</v>
      </c>
      <c r="R1381" s="2" t="str">
        <f>HYPERLINK("https://www.google.com/maps?q=-20.1594980,-44.8529260","Abrir no Google Maps")</f>
        <v>Abrir no Google Maps</v>
      </c>
      <c r="S1381">
        <v>4</v>
      </c>
      <c r="T1381">
        <v>560.11627509727657</v>
      </c>
      <c r="U1381">
        <v>3</v>
      </c>
      <c r="V1381">
        <v>18</v>
      </c>
      <c r="W1381">
        <v>1</v>
      </c>
      <c r="X1381">
        <v>18</v>
      </c>
      <c r="Y1381">
        <v>491</v>
      </c>
      <c r="Z1381">
        <v>609.25494989442086</v>
      </c>
      <c r="AA1381">
        <v>198</v>
      </c>
      <c r="AB1381">
        <v>332</v>
      </c>
      <c r="AC1381">
        <v>536</v>
      </c>
      <c r="AD1381">
        <v>28.93</v>
      </c>
      <c r="AE1381">
        <v>542</v>
      </c>
      <c r="AF1381">
        <v>28</v>
      </c>
      <c r="AG1381">
        <v>168</v>
      </c>
      <c r="AH1381">
        <v>129</v>
      </c>
      <c r="AI1381">
        <v>5.17</v>
      </c>
      <c r="AJ1381">
        <v>31</v>
      </c>
      <c r="AK1381">
        <v>23.8</v>
      </c>
      <c r="AL1381">
        <v>-20.159495399999969</v>
      </c>
      <c r="AM1381">
        <v>-44.85297928977559</v>
      </c>
      <c r="AN1381">
        <v>-20.159495399999969</v>
      </c>
      <c r="AO1381">
        <v>-44.85297928977559</v>
      </c>
      <c r="AP1381">
        <v>-20.159497999999999</v>
      </c>
      <c r="AQ1381">
        <v>-44.852925999999997</v>
      </c>
      <c r="AR1381">
        <v>5.5763081103260701</v>
      </c>
      <c r="AS1381" t="s">
        <v>65</v>
      </c>
      <c r="AT1381">
        <v>1</v>
      </c>
      <c r="AU1381" t="s">
        <v>1621</v>
      </c>
      <c r="AV1381" t="s">
        <v>1622</v>
      </c>
      <c r="AW1381" t="s">
        <v>60</v>
      </c>
      <c r="AX1381" t="s">
        <v>68</v>
      </c>
      <c r="AY1381" t="s">
        <v>69</v>
      </c>
      <c r="AZ1381" t="b">
        <v>1</v>
      </c>
    </row>
    <row r="1382" spans="1:52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2142</v>
      </c>
      <c r="F1382" t="s">
        <v>190</v>
      </c>
      <c r="G1382" t="s">
        <v>243</v>
      </c>
      <c r="H1382" t="s">
        <v>244</v>
      </c>
      <c r="I1382" t="s">
        <v>244</v>
      </c>
      <c r="J1382" t="s">
        <v>60</v>
      </c>
      <c r="K1382" t="s">
        <v>214</v>
      </c>
      <c r="L1382" t="s">
        <v>62</v>
      </c>
      <c r="M1382" t="s">
        <v>214</v>
      </c>
      <c r="N1382" t="s">
        <v>245</v>
      </c>
      <c r="O1382" t="s">
        <v>246</v>
      </c>
      <c r="P1382">
        <v>-20.156296999999999</v>
      </c>
      <c r="Q1382">
        <v>-44.873035999999999</v>
      </c>
      <c r="R1382" s="2" t="str">
        <f>HYPERLINK("https://www.google.com/maps?q=-20.1562970,-44.8730360","Abrir no Google Maps")</f>
        <v>Abrir no Google Maps</v>
      </c>
      <c r="S1382">
        <v>4</v>
      </c>
      <c r="T1382">
        <v>198.04479306725889</v>
      </c>
      <c r="U1382">
        <v>3</v>
      </c>
      <c r="V1382">
        <v>16</v>
      </c>
      <c r="W1382">
        <v>1</v>
      </c>
      <c r="X1382">
        <v>16</v>
      </c>
      <c r="Y1382">
        <v>305</v>
      </c>
      <c r="Z1382">
        <v>267.7765515134916</v>
      </c>
      <c r="AA1382">
        <v>198</v>
      </c>
      <c r="AB1382">
        <v>332</v>
      </c>
      <c r="AC1382">
        <v>536</v>
      </c>
      <c r="AD1382">
        <v>28.93</v>
      </c>
      <c r="AE1382">
        <v>542</v>
      </c>
      <c r="AF1382">
        <v>28</v>
      </c>
      <c r="AG1382">
        <v>168</v>
      </c>
      <c r="AH1382">
        <v>129</v>
      </c>
      <c r="AI1382">
        <v>5.17</v>
      </c>
      <c r="AJ1382">
        <v>31</v>
      </c>
      <c r="AK1382">
        <v>23.8</v>
      </c>
      <c r="AL1382">
        <v>-20.156361349999941</v>
      </c>
      <c r="AM1382">
        <v>-44.87296512500793</v>
      </c>
      <c r="AN1382">
        <v>-20.156361349999941</v>
      </c>
      <c r="AO1382">
        <v>-44.87296512500793</v>
      </c>
      <c r="AP1382">
        <v>-20.156296999999999</v>
      </c>
      <c r="AQ1382">
        <v>-44.873035999999999</v>
      </c>
      <c r="AR1382">
        <v>10.304009356726979</v>
      </c>
      <c r="AS1382" t="s">
        <v>65</v>
      </c>
      <c r="AT1382">
        <v>1</v>
      </c>
      <c r="AU1382" t="s">
        <v>247</v>
      </c>
      <c r="AV1382" t="s">
        <v>248</v>
      </c>
      <c r="AW1382" t="s">
        <v>60</v>
      </c>
      <c r="AX1382" t="s">
        <v>68</v>
      </c>
      <c r="AY1382" t="s">
        <v>69</v>
      </c>
      <c r="AZ1382" t="b">
        <v>1</v>
      </c>
    </row>
    <row r="1383" spans="1:52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2142</v>
      </c>
      <c r="F1383" t="s">
        <v>190</v>
      </c>
      <c r="G1383" t="s">
        <v>253</v>
      </c>
      <c r="H1383" t="s">
        <v>254</v>
      </c>
      <c r="I1383" t="s">
        <v>254</v>
      </c>
      <c r="J1383" t="s">
        <v>60</v>
      </c>
      <c r="K1383" t="s">
        <v>255</v>
      </c>
      <c r="L1383" t="s">
        <v>62</v>
      </c>
      <c r="M1383" t="s">
        <v>255</v>
      </c>
      <c r="N1383" t="s">
        <v>256</v>
      </c>
      <c r="O1383" t="s">
        <v>257</v>
      </c>
      <c r="P1383">
        <v>-20.159638000000001</v>
      </c>
      <c r="Q1383">
        <v>-44.849030999999997</v>
      </c>
      <c r="R1383" s="2" t="str">
        <f>HYPERLINK("https://www.google.com/maps?q=-20.1596380,-44.8490310","Abrir no Google Maps")</f>
        <v>Abrir no Google Maps</v>
      </c>
      <c r="S1383">
        <v>4</v>
      </c>
      <c r="T1383">
        <v>691.81173220845892</v>
      </c>
      <c r="U1383">
        <v>3</v>
      </c>
      <c r="V1383">
        <v>19</v>
      </c>
      <c r="W1383">
        <v>1</v>
      </c>
      <c r="X1383">
        <v>19</v>
      </c>
      <c r="Y1383">
        <v>292</v>
      </c>
      <c r="Z1383">
        <v>678.56824923431736</v>
      </c>
      <c r="AA1383">
        <v>198</v>
      </c>
      <c r="AB1383">
        <v>332</v>
      </c>
      <c r="AC1383">
        <v>536</v>
      </c>
      <c r="AD1383">
        <v>28.93</v>
      </c>
      <c r="AE1383">
        <v>542</v>
      </c>
      <c r="AF1383">
        <v>28</v>
      </c>
      <c r="AG1383">
        <v>168</v>
      </c>
      <c r="AH1383">
        <v>129</v>
      </c>
      <c r="AI1383">
        <v>5.17</v>
      </c>
      <c r="AJ1383">
        <v>31</v>
      </c>
      <c r="AK1383">
        <v>23.8</v>
      </c>
      <c r="AL1383">
        <v>-20.159590049999959</v>
      </c>
      <c r="AM1383">
        <v>-44.849181856774607</v>
      </c>
      <c r="AN1383">
        <v>-20.159590049999959</v>
      </c>
      <c r="AO1383">
        <v>-44.849181856774607</v>
      </c>
      <c r="AP1383">
        <v>-20.159638000000001</v>
      </c>
      <c r="AQ1383">
        <v>-44.849030999999997</v>
      </c>
      <c r="AR1383">
        <v>16.643712040087191</v>
      </c>
      <c r="AS1383" t="s">
        <v>65</v>
      </c>
      <c r="AT1383">
        <v>1</v>
      </c>
      <c r="AU1383" t="s">
        <v>258</v>
      </c>
      <c r="AV1383" t="s">
        <v>259</v>
      </c>
      <c r="AW1383" t="s">
        <v>60</v>
      </c>
      <c r="AX1383" t="s">
        <v>68</v>
      </c>
      <c r="AY1383" t="s">
        <v>69</v>
      </c>
      <c r="AZ1383" t="b">
        <v>1</v>
      </c>
    </row>
    <row r="1384" spans="1:52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2142</v>
      </c>
      <c r="F1384" t="s">
        <v>190</v>
      </c>
      <c r="G1384" t="s">
        <v>279</v>
      </c>
      <c r="H1384" t="s">
        <v>280</v>
      </c>
      <c r="I1384" t="s">
        <v>280</v>
      </c>
      <c r="J1384" t="s">
        <v>60</v>
      </c>
      <c r="K1384" t="s">
        <v>281</v>
      </c>
      <c r="L1384" t="s">
        <v>62</v>
      </c>
      <c r="M1384" t="s">
        <v>281</v>
      </c>
      <c r="N1384" t="s">
        <v>282</v>
      </c>
      <c r="O1384" t="s">
        <v>283</v>
      </c>
      <c r="P1384">
        <v>-20.175312999999999</v>
      </c>
      <c r="Q1384">
        <v>-44.848562999999999</v>
      </c>
      <c r="R1384" s="2" t="str">
        <f>HYPERLINK("https://www.google.com/maps?q=-20.1753130,-44.8485630","Abrir no Google Maps")</f>
        <v>Abrir no Google Maps</v>
      </c>
      <c r="S1384">
        <v>4</v>
      </c>
      <c r="T1384">
        <v>1076.9164078034139</v>
      </c>
      <c r="U1384">
        <v>3</v>
      </c>
      <c r="V1384">
        <v>18</v>
      </c>
      <c r="W1384">
        <v>1</v>
      </c>
      <c r="X1384">
        <v>18</v>
      </c>
      <c r="Y1384">
        <v>292</v>
      </c>
      <c r="Z1384">
        <v>1035.650579259463</v>
      </c>
      <c r="AA1384">
        <v>198</v>
      </c>
      <c r="AB1384">
        <v>332</v>
      </c>
      <c r="AC1384">
        <v>536</v>
      </c>
      <c r="AD1384">
        <v>28.93</v>
      </c>
      <c r="AE1384">
        <v>542</v>
      </c>
      <c r="AF1384">
        <v>28</v>
      </c>
      <c r="AG1384">
        <v>168</v>
      </c>
      <c r="AH1384">
        <v>129</v>
      </c>
      <c r="AI1384">
        <v>5.17</v>
      </c>
      <c r="AJ1384">
        <v>31</v>
      </c>
      <c r="AK1384">
        <v>23.8</v>
      </c>
      <c r="AL1384">
        <v>-20.175338949999961</v>
      </c>
      <c r="AM1384">
        <v>-44.848523168324952</v>
      </c>
      <c r="AN1384">
        <v>-20.175338949999961</v>
      </c>
      <c r="AO1384">
        <v>-44.848523168324952</v>
      </c>
      <c r="AP1384">
        <v>-20.175312999999999</v>
      </c>
      <c r="AQ1384">
        <v>-44.848562999999999</v>
      </c>
      <c r="AR1384">
        <v>5.0662709576519056</v>
      </c>
      <c r="AS1384" t="s">
        <v>65</v>
      </c>
      <c r="AT1384">
        <v>1</v>
      </c>
      <c r="AU1384" t="s">
        <v>284</v>
      </c>
      <c r="AV1384" t="s">
        <v>285</v>
      </c>
      <c r="AW1384" t="s">
        <v>60</v>
      </c>
      <c r="AX1384" t="s">
        <v>68</v>
      </c>
      <c r="AY1384" t="s">
        <v>69</v>
      </c>
      <c r="AZ1384" t="b">
        <v>1</v>
      </c>
    </row>
    <row r="1385" spans="1:52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2142</v>
      </c>
      <c r="F1385" t="s">
        <v>190</v>
      </c>
      <c r="G1385" t="s">
        <v>290</v>
      </c>
      <c r="H1385" t="s">
        <v>291</v>
      </c>
      <c r="I1385" t="s">
        <v>291</v>
      </c>
      <c r="J1385" t="s">
        <v>60</v>
      </c>
      <c r="K1385" t="s">
        <v>143</v>
      </c>
      <c r="L1385" t="s">
        <v>62</v>
      </c>
      <c r="M1385" t="s">
        <v>143</v>
      </c>
      <c r="N1385" t="s">
        <v>292</v>
      </c>
      <c r="O1385" t="s">
        <v>293</v>
      </c>
      <c r="P1385">
        <v>-20.164380999999999</v>
      </c>
      <c r="Q1385">
        <v>-44.841638000000003</v>
      </c>
      <c r="R1385" s="2" t="str">
        <f>HYPERLINK("https://www.google.com/maps?q=-20.1643810,-44.8416380","Abrir no Google Maps")</f>
        <v>Abrir no Google Maps</v>
      </c>
      <c r="S1385">
        <v>4</v>
      </c>
      <c r="T1385">
        <v>653.87342410001406</v>
      </c>
      <c r="U1385">
        <v>3</v>
      </c>
      <c r="V1385">
        <v>20</v>
      </c>
      <c r="W1385">
        <v>1</v>
      </c>
      <c r="X1385">
        <v>20</v>
      </c>
      <c r="Y1385">
        <v>292</v>
      </c>
      <c r="Z1385">
        <v>761.66023684754805</v>
      </c>
      <c r="AA1385">
        <v>198</v>
      </c>
      <c r="AB1385">
        <v>332</v>
      </c>
      <c r="AC1385">
        <v>536</v>
      </c>
      <c r="AD1385">
        <v>28.93</v>
      </c>
      <c r="AE1385">
        <v>542</v>
      </c>
      <c r="AF1385">
        <v>28</v>
      </c>
      <c r="AG1385">
        <v>168</v>
      </c>
      <c r="AH1385">
        <v>129</v>
      </c>
      <c r="AI1385">
        <v>5.17</v>
      </c>
      <c r="AJ1385">
        <v>31</v>
      </c>
      <c r="AK1385">
        <v>23.8</v>
      </c>
      <c r="AL1385">
        <v>-20.16420624999995</v>
      </c>
      <c r="AM1385">
        <v>-44.841488984995642</v>
      </c>
      <c r="AN1385">
        <v>-20.16420624999995</v>
      </c>
      <c r="AO1385">
        <v>-44.841488984995642</v>
      </c>
      <c r="AP1385">
        <v>-20.164380999999999</v>
      </c>
      <c r="AQ1385">
        <v>-44.841638000000003</v>
      </c>
      <c r="AR1385">
        <v>24.91789254993785</v>
      </c>
      <c r="AS1385" t="s">
        <v>65</v>
      </c>
      <c r="AT1385">
        <v>1</v>
      </c>
      <c r="AU1385" t="s">
        <v>294</v>
      </c>
      <c r="AV1385" t="s">
        <v>295</v>
      </c>
      <c r="AW1385" t="s">
        <v>60</v>
      </c>
      <c r="AX1385" t="s">
        <v>68</v>
      </c>
      <c r="AY1385" t="s">
        <v>69</v>
      </c>
      <c r="AZ1385" t="b">
        <v>1</v>
      </c>
    </row>
    <row r="1386" spans="1:52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2142</v>
      </c>
      <c r="F1386" t="s">
        <v>190</v>
      </c>
      <c r="G1386" t="s">
        <v>253</v>
      </c>
      <c r="H1386" t="s">
        <v>296</v>
      </c>
      <c r="I1386" t="s">
        <v>296</v>
      </c>
      <c r="J1386" t="s">
        <v>60</v>
      </c>
      <c r="K1386" t="s">
        <v>136</v>
      </c>
      <c r="L1386" t="s">
        <v>62</v>
      </c>
      <c r="M1386" t="s">
        <v>136</v>
      </c>
      <c r="N1386" t="s">
        <v>256</v>
      </c>
      <c r="O1386" t="s">
        <v>297</v>
      </c>
      <c r="P1386">
        <v>-20.168476999999999</v>
      </c>
      <c r="Q1386">
        <v>-44.852528</v>
      </c>
      <c r="R1386" s="2" t="str">
        <f>HYPERLINK("https://www.google.com/maps?q=-20.1684770,-44.8525280","Abrir no Google Maps")</f>
        <v>Abrir no Google Maps</v>
      </c>
      <c r="S1386">
        <v>4</v>
      </c>
      <c r="T1386">
        <v>587.16898087421623</v>
      </c>
      <c r="U1386">
        <v>3</v>
      </c>
      <c r="V1386">
        <v>19</v>
      </c>
      <c r="W1386">
        <v>1</v>
      </c>
      <c r="X1386">
        <v>19</v>
      </c>
      <c r="Y1386">
        <v>292</v>
      </c>
      <c r="Z1386">
        <v>471.75619463337938</v>
      </c>
      <c r="AA1386">
        <v>198</v>
      </c>
      <c r="AB1386">
        <v>332</v>
      </c>
      <c r="AC1386">
        <v>536</v>
      </c>
      <c r="AD1386">
        <v>28.93</v>
      </c>
      <c r="AE1386">
        <v>542</v>
      </c>
      <c r="AF1386">
        <v>28</v>
      </c>
      <c r="AG1386">
        <v>168</v>
      </c>
      <c r="AH1386">
        <v>129</v>
      </c>
      <c r="AI1386">
        <v>5.17</v>
      </c>
      <c r="AJ1386">
        <v>31</v>
      </c>
      <c r="AK1386">
        <v>23.8</v>
      </c>
      <c r="AL1386">
        <v>-20.16846514999995</v>
      </c>
      <c r="AM1386">
        <v>-44.852319844682007</v>
      </c>
      <c r="AN1386">
        <v>-20.168465149999939</v>
      </c>
      <c r="AO1386">
        <v>-44.852319844682007</v>
      </c>
      <c r="AP1386">
        <v>-20.168476999999999</v>
      </c>
      <c r="AQ1386">
        <v>-44.852528</v>
      </c>
      <c r="AR1386">
        <v>21.790984536052999</v>
      </c>
      <c r="AS1386" t="s">
        <v>65</v>
      </c>
      <c r="AT1386">
        <v>1</v>
      </c>
      <c r="AU1386" t="s">
        <v>298</v>
      </c>
      <c r="AV1386" t="s">
        <v>299</v>
      </c>
      <c r="AW1386" t="s">
        <v>60</v>
      </c>
      <c r="AX1386" t="s">
        <v>68</v>
      </c>
      <c r="AY1386" t="s">
        <v>69</v>
      </c>
      <c r="AZ1386" t="b">
        <v>1</v>
      </c>
    </row>
    <row r="1387" spans="1:52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2142</v>
      </c>
      <c r="F1387" t="s">
        <v>190</v>
      </c>
      <c r="G1387" t="s">
        <v>312</v>
      </c>
      <c r="H1387" t="s">
        <v>313</v>
      </c>
      <c r="I1387" t="s">
        <v>313</v>
      </c>
      <c r="J1387" t="s">
        <v>60</v>
      </c>
      <c r="K1387" t="s">
        <v>143</v>
      </c>
      <c r="L1387" t="s">
        <v>62</v>
      </c>
      <c r="M1387" t="s">
        <v>143</v>
      </c>
      <c r="N1387" t="s">
        <v>314</v>
      </c>
      <c r="O1387" t="s">
        <v>315</v>
      </c>
      <c r="P1387">
        <v>-20.168939000000002</v>
      </c>
      <c r="Q1387">
        <v>-44.843286999999997</v>
      </c>
      <c r="R1387" s="2" t="str">
        <f>HYPERLINK("https://www.google.com/maps?q=-20.1689390,-44.8432870","Abrir no Google Maps")</f>
        <v>Abrir no Google Maps</v>
      </c>
      <c r="S1387">
        <v>4</v>
      </c>
      <c r="T1387">
        <v>582.22902758915586</v>
      </c>
      <c r="U1387">
        <v>3</v>
      </c>
      <c r="V1387">
        <v>21</v>
      </c>
      <c r="W1387">
        <v>1</v>
      </c>
      <c r="X1387">
        <v>21</v>
      </c>
      <c r="Y1387">
        <v>292</v>
      </c>
      <c r="Z1387">
        <v>628.29035609472794</v>
      </c>
      <c r="AA1387">
        <v>198</v>
      </c>
      <c r="AB1387">
        <v>332</v>
      </c>
      <c r="AC1387">
        <v>536</v>
      </c>
      <c r="AD1387">
        <v>28.93</v>
      </c>
      <c r="AE1387">
        <v>542</v>
      </c>
      <c r="AF1387">
        <v>28</v>
      </c>
      <c r="AG1387">
        <v>168</v>
      </c>
      <c r="AH1387">
        <v>129</v>
      </c>
      <c r="AI1387">
        <v>5.17</v>
      </c>
      <c r="AJ1387">
        <v>31</v>
      </c>
      <c r="AK1387">
        <v>23.8</v>
      </c>
      <c r="AL1387">
        <v>-20.16917709999996</v>
      </c>
      <c r="AM1387">
        <v>-44.84342194427667</v>
      </c>
      <c r="AN1387">
        <v>-20.16917709999996</v>
      </c>
      <c r="AO1387">
        <v>-44.84342194427667</v>
      </c>
      <c r="AP1387">
        <v>-20.168939000000002</v>
      </c>
      <c r="AQ1387">
        <v>-44.843286999999997</v>
      </c>
      <c r="AR1387">
        <v>30.02272213565665</v>
      </c>
      <c r="AS1387" t="s">
        <v>65</v>
      </c>
      <c r="AT1387">
        <v>1</v>
      </c>
      <c r="AU1387" t="s">
        <v>316</v>
      </c>
      <c r="AV1387" t="s">
        <v>311</v>
      </c>
      <c r="AW1387" t="s">
        <v>60</v>
      </c>
      <c r="AX1387" t="s">
        <v>68</v>
      </c>
      <c r="AY1387" t="s">
        <v>69</v>
      </c>
      <c r="AZ1387" t="b">
        <v>1</v>
      </c>
    </row>
    <row r="1388" spans="1:52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2142</v>
      </c>
      <c r="F1388" t="s">
        <v>190</v>
      </c>
      <c r="G1388" t="s">
        <v>260</v>
      </c>
      <c r="H1388" t="s">
        <v>317</v>
      </c>
      <c r="I1388" t="s">
        <v>317</v>
      </c>
      <c r="J1388" t="s">
        <v>60</v>
      </c>
      <c r="K1388" t="s">
        <v>255</v>
      </c>
      <c r="L1388" t="s">
        <v>62</v>
      </c>
      <c r="M1388" t="s">
        <v>255</v>
      </c>
      <c r="N1388" t="s">
        <v>263</v>
      </c>
      <c r="O1388" t="s">
        <v>318</v>
      </c>
      <c r="P1388">
        <v>-20.163532</v>
      </c>
      <c r="Q1388">
        <v>-44.846910999999999</v>
      </c>
      <c r="R1388" s="2" t="str">
        <f>HYPERLINK("https://www.google.com/maps?q=-20.1635320,-44.8469110","Abrir no Google Maps")</f>
        <v>Abrir no Google Maps</v>
      </c>
      <c r="S1388">
        <v>4</v>
      </c>
      <c r="T1388">
        <v>259.92389401636012</v>
      </c>
      <c r="U1388">
        <v>3</v>
      </c>
      <c r="V1388">
        <v>19</v>
      </c>
      <c r="W1388">
        <v>1</v>
      </c>
      <c r="X1388">
        <v>19</v>
      </c>
      <c r="Y1388">
        <v>292</v>
      </c>
      <c r="Z1388">
        <v>316.26738966059708</v>
      </c>
      <c r="AA1388">
        <v>198</v>
      </c>
      <c r="AB1388">
        <v>332</v>
      </c>
      <c r="AC1388">
        <v>536</v>
      </c>
      <c r="AD1388">
        <v>28.93</v>
      </c>
      <c r="AE1388">
        <v>542</v>
      </c>
      <c r="AF1388">
        <v>28</v>
      </c>
      <c r="AG1388">
        <v>168</v>
      </c>
      <c r="AH1388">
        <v>129</v>
      </c>
      <c r="AI1388">
        <v>5.17</v>
      </c>
      <c r="AJ1388">
        <v>31</v>
      </c>
      <c r="AK1388">
        <v>23.8</v>
      </c>
      <c r="AL1388">
        <v>-20.16343344999996</v>
      </c>
      <c r="AM1388">
        <v>-44.846734659744428</v>
      </c>
      <c r="AN1388">
        <v>-20.16343344999996</v>
      </c>
      <c r="AO1388">
        <v>-44.846734659744428</v>
      </c>
      <c r="AP1388">
        <v>-20.163532</v>
      </c>
      <c r="AQ1388">
        <v>-44.846910999999999</v>
      </c>
      <c r="AR1388">
        <v>21.445575432006599</v>
      </c>
      <c r="AS1388" t="s">
        <v>65</v>
      </c>
      <c r="AT1388">
        <v>1</v>
      </c>
      <c r="AU1388" t="s">
        <v>319</v>
      </c>
      <c r="AV1388" t="s">
        <v>320</v>
      </c>
      <c r="AW1388" t="s">
        <v>60</v>
      </c>
      <c r="AX1388" t="s">
        <v>68</v>
      </c>
      <c r="AY1388" t="s">
        <v>69</v>
      </c>
      <c r="AZ1388" t="b">
        <v>1</v>
      </c>
    </row>
    <row r="1389" spans="1:52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2142</v>
      </c>
      <c r="F1389" t="s">
        <v>190</v>
      </c>
      <c r="G1389" t="s">
        <v>353</v>
      </c>
      <c r="H1389" t="s">
        <v>354</v>
      </c>
      <c r="I1389" t="s">
        <v>354</v>
      </c>
      <c r="J1389" t="s">
        <v>60</v>
      </c>
      <c r="K1389" t="s">
        <v>355</v>
      </c>
      <c r="L1389" t="s">
        <v>62</v>
      </c>
      <c r="M1389" t="s">
        <v>355</v>
      </c>
      <c r="N1389" t="s">
        <v>356</v>
      </c>
      <c r="O1389" t="s">
        <v>357</v>
      </c>
      <c r="P1389">
        <v>-20.147373999999999</v>
      </c>
      <c r="Q1389">
        <v>-44.875141999999997</v>
      </c>
      <c r="R1389" s="2" t="str">
        <f>HYPERLINK("https://www.google.com/maps?q=-20.1473740,-44.8751420","Abrir no Google Maps")</f>
        <v>Abrir no Google Maps</v>
      </c>
      <c r="S1389">
        <v>4</v>
      </c>
      <c r="T1389">
        <v>394.29708169591709</v>
      </c>
      <c r="U1389">
        <v>3</v>
      </c>
      <c r="V1389">
        <v>16</v>
      </c>
      <c r="W1389">
        <v>1</v>
      </c>
      <c r="X1389">
        <v>16</v>
      </c>
      <c r="Y1389">
        <v>209</v>
      </c>
      <c r="Z1389">
        <v>326.95034461828868</v>
      </c>
      <c r="AA1389">
        <v>198</v>
      </c>
      <c r="AB1389">
        <v>332</v>
      </c>
      <c r="AC1389">
        <v>536</v>
      </c>
      <c r="AD1389">
        <v>28.93</v>
      </c>
      <c r="AE1389">
        <v>542</v>
      </c>
      <c r="AF1389">
        <v>28</v>
      </c>
      <c r="AG1389">
        <v>168</v>
      </c>
      <c r="AH1389">
        <v>129</v>
      </c>
      <c r="AI1389">
        <v>5.17</v>
      </c>
      <c r="AJ1389">
        <v>31</v>
      </c>
      <c r="AK1389">
        <v>23.8</v>
      </c>
      <c r="AL1389">
        <v>-20.147207999999949</v>
      </c>
      <c r="AM1389">
        <v>-44.875152120336942</v>
      </c>
      <c r="AN1389">
        <v>-20.147207999999949</v>
      </c>
      <c r="AO1389">
        <v>-44.875152120336942</v>
      </c>
      <c r="AP1389">
        <v>-20.147373999999999</v>
      </c>
      <c r="AQ1389">
        <v>-44.875141999999997</v>
      </c>
      <c r="AR1389">
        <v>18.509363081081169</v>
      </c>
      <c r="AS1389" t="s">
        <v>65</v>
      </c>
      <c r="AT1389">
        <v>1</v>
      </c>
      <c r="AU1389" t="s">
        <v>358</v>
      </c>
      <c r="AV1389" t="s">
        <v>359</v>
      </c>
      <c r="AW1389" t="s">
        <v>60</v>
      </c>
      <c r="AX1389" t="s">
        <v>68</v>
      </c>
      <c r="AY1389" t="s">
        <v>69</v>
      </c>
      <c r="AZ1389" t="b">
        <v>1</v>
      </c>
    </row>
    <row r="1390" spans="1:52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2142</v>
      </c>
      <c r="F1390" t="s">
        <v>190</v>
      </c>
      <c r="G1390" t="s">
        <v>1649</v>
      </c>
      <c r="H1390" t="s">
        <v>1650</v>
      </c>
      <c r="I1390" t="s">
        <v>1650</v>
      </c>
      <c r="J1390" t="s">
        <v>60</v>
      </c>
      <c r="K1390" t="s">
        <v>355</v>
      </c>
      <c r="L1390" t="s">
        <v>62</v>
      </c>
      <c r="M1390" t="s">
        <v>355</v>
      </c>
      <c r="N1390" t="s">
        <v>1651</v>
      </c>
      <c r="O1390" t="s">
        <v>293</v>
      </c>
      <c r="P1390">
        <v>-20.141983</v>
      </c>
      <c r="Q1390">
        <v>-44.871161000000001</v>
      </c>
      <c r="R1390" s="2" t="str">
        <f>HYPERLINK("https://www.google.com/maps?q=-20.1419830,-44.8711610","Abrir no Google Maps")</f>
        <v>Abrir no Google Maps</v>
      </c>
      <c r="S1390">
        <v>4</v>
      </c>
      <c r="T1390">
        <v>492.40092389187612</v>
      </c>
      <c r="U1390">
        <v>3</v>
      </c>
      <c r="V1390">
        <v>17</v>
      </c>
      <c r="W1390">
        <v>1</v>
      </c>
      <c r="X1390">
        <v>17</v>
      </c>
      <c r="Y1390">
        <v>209</v>
      </c>
      <c r="Z1390">
        <v>425.51195583014947</v>
      </c>
      <c r="AA1390">
        <v>198</v>
      </c>
      <c r="AB1390">
        <v>332</v>
      </c>
      <c r="AC1390">
        <v>536</v>
      </c>
      <c r="AD1390">
        <v>28.93</v>
      </c>
      <c r="AE1390">
        <v>542</v>
      </c>
      <c r="AF1390">
        <v>28</v>
      </c>
      <c r="AG1390">
        <v>168</v>
      </c>
      <c r="AH1390">
        <v>129</v>
      </c>
      <c r="AI1390">
        <v>5.17</v>
      </c>
      <c r="AJ1390">
        <v>31</v>
      </c>
      <c r="AK1390">
        <v>23.8</v>
      </c>
      <c r="AL1390">
        <v>-20.142006349999971</v>
      </c>
      <c r="AM1390">
        <v>-44.871190369486733</v>
      </c>
      <c r="AN1390">
        <v>-20.142006349999981</v>
      </c>
      <c r="AO1390">
        <v>-44.871190369486733</v>
      </c>
      <c r="AP1390">
        <v>-20.141983</v>
      </c>
      <c r="AQ1390">
        <v>-44.871161000000001</v>
      </c>
      <c r="AR1390">
        <v>4.0221964388318616</v>
      </c>
      <c r="AS1390" t="s">
        <v>65</v>
      </c>
      <c r="AT1390">
        <v>1</v>
      </c>
      <c r="AU1390" t="s">
        <v>1652</v>
      </c>
      <c r="AV1390" t="s">
        <v>1653</v>
      </c>
      <c r="AW1390" t="s">
        <v>60</v>
      </c>
      <c r="AX1390" t="s">
        <v>68</v>
      </c>
      <c r="AY1390" t="s">
        <v>69</v>
      </c>
      <c r="AZ1390" t="b">
        <v>1</v>
      </c>
    </row>
    <row r="1391" spans="1:52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2142</v>
      </c>
      <c r="F1391" t="s">
        <v>190</v>
      </c>
      <c r="G1391" t="s">
        <v>1654</v>
      </c>
      <c r="H1391" t="s">
        <v>1655</v>
      </c>
      <c r="I1391" t="s">
        <v>1655</v>
      </c>
      <c r="J1391" t="s">
        <v>60</v>
      </c>
      <c r="K1391" t="s">
        <v>368</v>
      </c>
      <c r="L1391" t="s">
        <v>62</v>
      </c>
      <c r="M1391" t="s">
        <v>368</v>
      </c>
      <c r="N1391" t="s">
        <v>1656</v>
      </c>
      <c r="O1391" t="s">
        <v>1657</v>
      </c>
      <c r="P1391">
        <v>-20.143647999999999</v>
      </c>
      <c r="Q1391">
        <v>-44.870466</v>
      </c>
      <c r="R1391" s="2" t="str">
        <f>HYPERLINK("https://www.google.com/maps?q=-20.1436480,-44.8704660","Abrir no Google Maps")</f>
        <v>Abrir no Google Maps</v>
      </c>
      <c r="S1391">
        <v>4</v>
      </c>
      <c r="T1391">
        <v>545.81556277505979</v>
      </c>
      <c r="U1391">
        <v>3</v>
      </c>
      <c r="V1391">
        <v>17</v>
      </c>
      <c r="W1391">
        <v>1</v>
      </c>
      <c r="X1391">
        <v>17</v>
      </c>
      <c r="Y1391">
        <v>198</v>
      </c>
      <c r="Z1391">
        <v>258.83396188518708</v>
      </c>
      <c r="AA1391">
        <v>198</v>
      </c>
      <c r="AB1391">
        <v>332</v>
      </c>
      <c r="AC1391">
        <v>536</v>
      </c>
      <c r="AD1391">
        <v>28.93</v>
      </c>
      <c r="AE1391">
        <v>542</v>
      </c>
      <c r="AF1391">
        <v>28</v>
      </c>
      <c r="AG1391">
        <v>168</v>
      </c>
      <c r="AH1391">
        <v>129</v>
      </c>
      <c r="AI1391">
        <v>5.17</v>
      </c>
      <c r="AJ1391">
        <v>31</v>
      </c>
      <c r="AK1391">
        <v>23.8</v>
      </c>
      <c r="AL1391">
        <v>-20.143704099999951</v>
      </c>
      <c r="AM1391">
        <v>-44.870339403868741</v>
      </c>
      <c r="AN1391">
        <v>-20.143704099999951</v>
      </c>
      <c r="AO1391">
        <v>-44.870339403868741</v>
      </c>
      <c r="AP1391">
        <v>-20.143647999999999</v>
      </c>
      <c r="AQ1391">
        <v>-44.870466</v>
      </c>
      <c r="AR1391">
        <v>14.63048136060379</v>
      </c>
      <c r="AS1391" t="s">
        <v>65</v>
      </c>
      <c r="AT1391">
        <v>1</v>
      </c>
      <c r="AU1391" t="s">
        <v>1658</v>
      </c>
      <c r="AV1391" t="s">
        <v>1659</v>
      </c>
      <c r="AW1391" t="s">
        <v>60</v>
      </c>
      <c r="AX1391" t="s">
        <v>68</v>
      </c>
      <c r="AY1391" t="s">
        <v>69</v>
      </c>
      <c r="AZ1391" t="b">
        <v>1</v>
      </c>
    </row>
    <row r="1392" spans="1:52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2142</v>
      </c>
      <c r="F1392" t="s">
        <v>190</v>
      </c>
      <c r="G1392" t="s">
        <v>1660</v>
      </c>
      <c r="H1392" t="s">
        <v>1661</v>
      </c>
      <c r="I1392" t="s">
        <v>1661</v>
      </c>
      <c r="J1392" t="s">
        <v>60</v>
      </c>
      <c r="K1392" t="s">
        <v>164</v>
      </c>
      <c r="L1392" t="s">
        <v>62</v>
      </c>
      <c r="M1392" t="s">
        <v>164</v>
      </c>
      <c r="N1392" t="s">
        <v>1662</v>
      </c>
      <c r="O1392" t="s">
        <v>1663</v>
      </c>
      <c r="P1392">
        <v>-20.181692000000002</v>
      </c>
      <c r="Q1392">
        <v>-44.877276000000002</v>
      </c>
      <c r="R1392" s="2" t="str">
        <f>HYPERLINK("https://www.google.com/maps?q=-20.1816920,-44.8772760","Abrir no Google Maps")</f>
        <v>Abrir no Google Maps</v>
      </c>
      <c r="S1392">
        <v>4</v>
      </c>
      <c r="T1392">
        <v>630.49689192580956</v>
      </c>
      <c r="U1392">
        <v>3</v>
      </c>
      <c r="V1392">
        <v>22</v>
      </c>
      <c r="W1392">
        <v>1</v>
      </c>
      <c r="X1392">
        <v>22</v>
      </c>
      <c r="Y1392">
        <v>101</v>
      </c>
      <c r="Z1392">
        <v>732.81472992851411</v>
      </c>
      <c r="AA1392">
        <v>198</v>
      </c>
      <c r="AB1392">
        <v>332</v>
      </c>
      <c r="AC1392">
        <v>536</v>
      </c>
      <c r="AD1392">
        <v>28.93</v>
      </c>
      <c r="AE1392">
        <v>542</v>
      </c>
      <c r="AF1392">
        <v>28</v>
      </c>
      <c r="AG1392">
        <v>168</v>
      </c>
      <c r="AH1392">
        <v>129</v>
      </c>
      <c r="AI1392">
        <v>5.17</v>
      </c>
      <c r="AJ1392">
        <v>31</v>
      </c>
      <c r="AK1392">
        <v>23.8</v>
      </c>
      <c r="AL1392">
        <v>-20.181644349999971</v>
      </c>
      <c r="AM1392">
        <v>-44.876890970787557</v>
      </c>
      <c r="AN1392">
        <v>-20.181644349999971</v>
      </c>
      <c r="AO1392">
        <v>-44.876890970787557</v>
      </c>
      <c r="AP1392">
        <v>-20.181692000000002</v>
      </c>
      <c r="AQ1392">
        <v>-44.877276000000002</v>
      </c>
      <c r="AR1392">
        <v>40.578104107908509</v>
      </c>
      <c r="AS1392" t="s">
        <v>65</v>
      </c>
      <c r="AT1392">
        <v>1</v>
      </c>
      <c r="AU1392" t="s">
        <v>1664</v>
      </c>
      <c r="AV1392" t="s">
        <v>1665</v>
      </c>
      <c r="AW1392" t="s">
        <v>60</v>
      </c>
      <c r="AX1392" t="s">
        <v>68</v>
      </c>
      <c r="AY1392" t="s">
        <v>69</v>
      </c>
      <c r="AZ1392" t="b">
        <v>1</v>
      </c>
    </row>
    <row r="1393" spans="1:52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2142</v>
      </c>
      <c r="F1393" t="s">
        <v>190</v>
      </c>
      <c r="G1393" t="s">
        <v>373</v>
      </c>
      <c r="H1393" t="s">
        <v>374</v>
      </c>
      <c r="I1393" t="s">
        <v>374</v>
      </c>
      <c r="J1393" t="s">
        <v>60</v>
      </c>
      <c r="K1393" t="s">
        <v>375</v>
      </c>
      <c r="L1393" t="s">
        <v>62</v>
      </c>
      <c r="M1393" t="s">
        <v>375</v>
      </c>
      <c r="N1393" t="s">
        <v>376</v>
      </c>
      <c r="O1393" t="s">
        <v>377</v>
      </c>
      <c r="P1393">
        <v>-20.178172</v>
      </c>
      <c r="Q1393">
        <v>-44.882871999999999</v>
      </c>
      <c r="R1393" s="2" t="str">
        <f>HYPERLINK("https://www.google.com/maps?q=-20.1781720,-44.8828720","Abrir no Google Maps")</f>
        <v>Abrir no Google Maps</v>
      </c>
      <c r="S1393">
        <v>4</v>
      </c>
      <c r="T1393">
        <v>817.23317190190858</v>
      </c>
      <c r="U1393">
        <v>3</v>
      </c>
      <c r="V1393">
        <v>17</v>
      </c>
      <c r="W1393">
        <v>1</v>
      </c>
      <c r="X1393">
        <v>17</v>
      </c>
      <c r="Y1393">
        <v>101</v>
      </c>
      <c r="Z1393">
        <v>845.03006728789421</v>
      </c>
      <c r="AA1393">
        <v>198</v>
      </c>
      <c r="AB1393">
        <v>332</v>
      </c>
      <c r="AC1393">
        <v>536</v>
      </c>
      <c r="AD1393">
        <v>28.93</v>
      </c>
      <c r="AE1393">
        <v>542</v>
      </c>
      <c r="AF1393">
        <v>28</v>
      </c>
      <c r="AG1393">
        <v>168</v>
      </c>
      <c r="AH1393">
        <v>129</v>
      </c>
      <c r="AI1393">
        <v>5.17</v>
      </c>
      <c r="AJ1393">
        <v>31</v>
      </c>
      <c r="AK1393">
        <v>23.8</v>
      </c>
      <c r="AL1393">
        <v>-20.178380049999959</v>
      </c>
      <c r="AM1393">
        <v>-44.883070555357122</v>
      </c>
      <c r="AN1393">
        <v>-20.178380049999959</v>
      </c>
      <c r="AO1393">
        <v>-44.883070555357122</v>
      </c>
      <c r="AP1393">
        <v>-20.178172</v>
      </c>
      <c r="AQ1393">
        <v>-44.882871999999999</v>
      </c>
      <c r="AR1393">
        <v>31.093588149250511</v>
      </c>
      <c r="AS1393" t="s">
        <v>65</v>
      </c>
      <c r="AT1393">
        <v>1</v>
      </c>
      <c r="AU1393" t="s">
        <v>378</v>
      </c>
      <c r="AV1393" t="s">
        <v>379</v>
      </c>
      <c r="AW1393" t="s">
        <v>60</v>
      </c>
      <c r="AX1393" t="s">
        <v>68</v>
      </c>
      <c r="AY1393" t="s">
        <v>69</v>
      </c>
      <c r="AZ1393" t="b">
        <v>1</v>
      </c>
    </row>
    <row r="1394" spans="1:52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2142</v>
      </c>
      <c r="F1394" t="s">
        <v>190</v>
      </c>
      <c r="G1394" t="s">
        <v>1671</v>
      </c>
      <c r="H1394" t="s">
        <v>1672</v>
      </c>
      <c r="I1394" t="s">
        <v>1672</v>
      </c>
      <c r="J1394" t="s">
        <v>60</v>
      </c>
      <c r="K1394" t="s">
        <v>375</v>
      </c>
      <c r="L1394" t="s">
        <v>62</v>
      </c>
      <c r="M1394" t="s">
        <v>375</v>
      </c>
      <c r="N1394" t="s">
        <v>1673</v>
      </c>
      <c r="O1394" t="s">
        <v>370</v>
      </c>
      <c r="P1394">
        <v>-20.180724000000001</v>
      </c>
      <c r="Q1394">
        <v>-44.886913999999997</v>
      </c>
      <c r="R1394" s="2" t="str">
        <f>HYPERLINK("https://www.google.com/maps?q=-20.1807240,-44.8869140","Abrir no Google Maps")</f>
        <v>Abrir no Google Maps</v>
      </c>
      <c r="S1394">
        <v>4</v>
      </c>
      <c r="T1394">
        <v>814.7424073839951</v>
      </c>
      <c r="U1394">
        <v>3</v>
      </c>
      <c r="V1394">
        <v>16</v>
      </c>
      <c r="W1394">
        <v>1</v>
      </c>
      <c r="X1394">
        <v>16</v>
      </c>
      <c r="Y1394">
        <v>101</v>
      </c>
      <c r="Z1394">
        <v>808.23656795472721</v>
      </c>
      <c r="AA1394">
        <v>198</v>
      </c>
      <c r="AB1394">
        <v>332</v>
      </c>
      <c r="AC1394">
        <v>536</v>
      </c>
      <c r="AD1394">
        <v>28.93</v>
      </c>
      <c r="AE1394">
        <v>542</v>
      </c>
      <c r="AF1394">
        <v>28</v>
      </c>
      <c r="AG1394">
        <v>168</v>
      </c>
      <c r="AH1394">
        <v>129</v>
      </c>
      <c r="AI1394">
        <v>5.17</v>
      </c>
      <c r="AJ1394">
        <v>31</v>
      </c>
      <c r="AK1394">
        <v>23.8</v>
      </c>
      <c r="AL1394">
        <v>-20.18071869999994</v>
      </c>
      <c r="AM1394">
        <v>-44.886927989725393</v>
      </c>
      <c r="AN1394">
        <v>-20.18071869999994</v>
      </c>
      <c r="AO1394">
        <v>-44.886927989725393</v>
      </c>
      <c r="AP1394">
        <v>-20.180724000000001</v>
      </c>
      <c r="AQ1394">
        <v>-44.886913999999997</v>
      </c>
      <c r="AR1394">
        <v>1.5763090046691759</v>
      </c>
      <c r="AS1394" t="s">
        <v>65</v>
      </c>
      <c r="AT1394">
        <v>1</v>
      </c>
      <c r="AU1394" t="s">
        <v>1674</v>
      </c>
      <c r="AV1394" t="s">
        <v>1642</v>
      </c>
      <c r="AW1394" t="s">
        <v>60</v>
      </c>
      <c r="AX1394" t="s">
        <v>68</v>
      </c>
      <c r="AY1394" t="s">
        <v>69</v>
      </c>
      <c r="AZ1394" t="b">
        <v>1</v>
      </c>
    </row>
    <row r="1395" spans="1:52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2142</v>
      </c>
      <c r="F1395" t="s">
        <v>190</v>
      </c>
      <c r="G1395" t="s">
        <v>2143</v>
      </c>
      <c r="H1395" t="s">
        <v>2144</v>
      </c>
      <c r="I1395" t="s">
        <v>2144</v>
      </c>
      <c r="J1395" t="s">
        <v>60</v>
      </c>
      <c r="K1395" t="s">
        <v>775</v>
      </c>
      <c r="L1395" t="s">
        <v>62</v>
      </c>
      <c r="M1395" t="s">
        <v>775</v>
      </c>
      <c r="N1395" t="s">
        <v>2145</v>
      </c>
      <c r="O1395" t="s">
        <v>338</v>
      </c>
      <c r="P1395">
        <v>-20.134360999999998</v>
      </c>
      <c r="Q1395">
        <v>-44.864097000000001</v>
      </c>
      <c r="R1395" s="2" t="str">
        <f>HYPERLINK("https://www.google.com/maps?q=-20.1343610,-44.8640970","Abrir no Google Maps")</f>
        <v>Abrir no Google Maps</v>
      </c>
      <c r="S1395">
        <v>4</v>
      </c>
      <c r="T1395">
        <v>816.98059007873292</v>
      </c>
      <c r="U1395">
        <v>3</v>
      </c>
      <c r="V1395">
        <v>23</v>
      </c>
      <c r="W1395">
        <v>0.85</v>
      </c>
      <c r="X1395">
        <v>19.55</v>
      </c>
      <c r="Y1395">
        <v>95</v>
      </c>
      <c r="Z1395">
        <v>640.83519745619276</v>
      </c>
      <c r="AA1395">
        <v>198</v>
      </c>
      <c r="AB1395">
        <v>332</v>
      </c>
      <c r="AC1395">
        <v>536</v>
      </c>
      <c r="AD1395">
        <v>28.93</v>
      </c>
      <c r="AE1395">
        <v>542</v>
      </c>
      <c r="AF1395">
        <v>28</v>
      </c>
      <c r="AG1395">
        <v>168</v>
      </c>
      <c r="AH1395">
        <v>129</v>
      </c>
      <c r="AI1395">
        <v>5.17</v>
      </c>
      <c r="AJ1395">
        <v>31</v>
      </c>
      <c r="AK1395">
        <v>23.8</v>
      </c>
      <c r="AL1395">
        <v>-20.13513999999995</v>
      </c>
      <c r="AM1395">
        <v>-44.864196126214942</v>
      </c>
      <c r="AN1395">
        <v>-20.13513999999995</v>
      </c>
      <c r="AO1395">
        <v>-44.864196126214942</v>
      </c>
      <c r="AP1395">
        <v>-20.134360999999998</v>
      </c>
      <c r="AQ1395">
        <v>-44.864097000000001</v>
      </c>
      <c r="AR1395">
        <v>87.334966645184039</v>
      </c>
      <c r="AS1395" t="s">
        <v>65</v>
      </c>
      <c r="AT1395">
        <v>1</v>
      </c>
      <c r="AU1395" t="s">
        <v>2146</v>
      </c>
      <c r="AV1395" t="s">
        <v>2147</v>
      </c>
      <c r="AW1395" t="s">
        <v>60</v>
      </c>
      <c r="AX1395" t="s">
        <v>68</v>
      </c>
      <c r="AY1395" t="s">
        <v>69</v>
      </c>
      <c r="AZ1395" t="b">
        <v>1</v>
      </c>
    </row>
    <row r="1396" spans="1:52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2142</v>
      </c>
      <c r="F1396" t="s">
        <v>190</v>
      </c>
      <c r="G1396" t="s">
        <v>183</v>
      </c>
      <c r="H1396" t="s">
        <v>184</v>
      </c>
      <c r="I1396" t="s">
        <v>184</v>
      </c>
      <c r="J1396" t="s">
        <v>60</v>
      </c>
      <c r="K1396" t="s">
        <v>185</v>
      </c>
      <c r="L1396" t="s">
        <v>62</v>
      </c>
      <c r="M1396" t="s">
        <v>185</v>
      </c>
      <c r="N1396" t="s">
        <v>186</v>
      </c>
      <c r="O1396" t="s">
        <v>187</v>
      </c>
      <c r="P1396">
        <v>-20.134855000000002</v>
      </c>
      <c r="Q1396">
        <v>-44.860174000000001</v>
      </c>
      <c r="R1396" s="2" t="str">
        <f>HYPERLINK("https://www.google.com/maps?q=-20.1348550,-44.8601740","Abrir no Google Maps")</f>
        <v>Abrir no Google Maps</v>
      </c>
      <c r="S1396">
        <v>4</v>
      </c>
      <c r="T1396">
        <v>625.96998974571841</v>
      </c>
      <c r="U1396">
        <v>3</v>
      </c>
      <c r="V1396">
        <v>22</v>
      </c>
      <c r="W1396">
        <v>1</v>
      </c>
      <c r="X1396">
        <v>22</v>
      </c>
      <c r="Y1396">
        <v>95</v>
      </c>
      <c r="Z1396">
        <v>257.67818504656498</v>
      </c>
      <c r="AA1396">
        <v>198</v>
      </c>
      <c r="AB1396">
        <v>332</v>
      </c>
      <c r="AC1396">
        <v>536</v>
      </c>
      <c r="AD1396">
        <v>28.93</v>
      </c>
      <c r="AE1396">
        <v>542</v>
      </c>
      <c r="AF1396">
        <v>28</v>
      </c>
      <c r="AG1396">
        <v>168</v>
      </c>
      <c r="AH1396">
        <v>129</v>
      </c>
      <c r="AI1396">
        <v>5.17</v>
      </c>
      <c r="AJ1396">
        <v>31</v>
      </c>
      <c r="AK1396">
        <v>23.8</v>
      </c>
      <c r="AL1396">
        <v>-20.134903999999981</v>
      </c>
      <c r="AM1396">
        <v>-44.859880285335962</v>
      </c>
      <c r="AN1396">
        <v>-20.134903999999981</v>
      </c>
      <c r="AO1396">
        <v>-44.859880285335962</v>
      </c>
      <c r="AP1396">
        <v>-20.134855000000002</v>
      </c>
      <c r="AQ1396">
        <v>-44.860174000000001</v>
      </c>
      <c r="AR1396">
        <v>31.178921696823132</v>
      </c>
      <c r="AS1396" t="s">
        <v>65</v>
      </c>
      <c r="AT1396">
        <v>1</v>
      </c>
      <c r="AU1396" t="s">
        <v>188</v>
      </c>
      <c r="AV1396" t="s">
        <v>189</v>
      </c>
      <c r="AW1396" t="s">
        <v>60</v>
      </c>
      <c r="AX1396" t="s">
        <v>68</v>
      </c>
      <c r="AY1396" t="s">
        <v>69</v>
      </c>
      <c r="AZ1396" t="b">
        <v>1</v>
      </c>
    </row>
    <row r="1397" spans="1:52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2142</v>
      </c>
      <c r="F1397" t="s">
        <v>190</v>
      </c>
      <c r="G1397" t="s">
        <v>380</v>
      </c>
      <c r="H1397" t="s">
        <v>381</v>
      </c>
      <c r="I1397" t="s">
        <v>381</v>
      </c>
      <c r="J1397" t="s">
        <v>60</v>
      </c>
      <c r="K1397" t="s">
        <v>72</v>
      </c>
      <c r="L1397" t="s">
        <v>62</v>
      </c>
      <c r="M1397" t="s">
        <v>72</v>
      </c>
      <c r="N1397" t="s">
        <v>382</v>
      </c>
      <c r="O1397" t="s">
        <v>383</v>
      </c>
      <c r="P1397">
        <v>-20.147182000000001</v>
      </c>
      <c r="Q1397">
        <v>-44.912728999999999</v>
      </c>
      <c r="R1397" s="2" t="str">
        <f>HYPERLINK("https://www.google.com/maps?q=-20.1471820,-44.9127290","Abrir no Google Maps")</f>
        <v>Abrir no Google Maps</v>
      </c>
      <c r="S1397">
        <v>3</v>
      </c>
      <c r="T1397">
        <v>478.0141981540923</v>
      </c>
      <c r="U1397">
        <v>4</v>
      </c>
      <c r="V1397">
        <v>24</v>
      </c>
      <c r="W1397">
        <v>1</v>
      </c>
      <c r="X1397">
        <v>24</v>
      </c>
      <c r="Y1397">
        <v>747</v>
      </c>
      <c r="Z1397">
        <v>494.0254290673729</v>
      </c>
      <c r="AA1397">
        <v>198</v>
      </c>
      <c r="AB1397">
        <v>332</v>
      </c>
      <c r="AC1397">
        <v>536</v>
      </c>
      <c r="AD1397">
        <v>28.93</v>
      </c>
      <c r="AE1397">
        <v>542</v>
      </c>
      <c r="AF1397">
        <v>28</v>
      </c>
      <c r="AG1397">
        <v>168</v>
      </c>
      <c r="AH1397">
        <v>129</v>
      </c>
      <c r="AI1397">
        <v>5.17</v>
      </c>
      <c r="AJ1397">
        <v>31</v>
      </c>
      <c r="AK1397">
        <v>23.8</v>
      </c>
      <c r="AL1397">
        <v>-20.147375599999979</v>
      </c>
      <c r="AM1397">
        <v>-44.912907472879468</v>
      </c>
      <c r="AN1397">
        <v>-20.147375599999979</v>
      </c>
      <c r="AO1397">
        <v>-44.912907472879468</v>
      </c>
      <c r="AP1397">
        <v>-20.147182000000001</v>
      </c>
      <c r="AQ1397">
        <v>-44.912728999999999</v>
      </c>
      <c r="AR1397">
        <v>28.50197694184326</v>
      </c>
      <c r="AS1397" t="s">
        <v>65</v>
      </c>
      <c r="AT1397">
        <v>1</v>
      </c>
      <c r="AU1397" t="s">
        <v>384</v>
      </c>
      <c r="AV1397" t="s">
        <v>385</v>
      </c>
      <c r="AW1397" t="s">
        <v>60</v>
      </c>
      <c r="AX1397" t="s">
        <v>68</v>
      </c>
      <c r="AY1397" t="s">
        <v>69</v>
      </c>
      <c r="AZ1397" t="b">
        <v>1</v>
      </c>
    </row>
    <row r="1398" spans="1:52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2142</v>
      </c>
      <c r="F1398" t="s">
        <v>190</v>
      </c>
      <c r="G1398" t="s">
        <v>392</v>
      </c>
      <c r="H1398" t="s">
        <v>393</v>
      </c>
      <c r="I1398" t="s">
        <v>393</v>
      </c>
      <c r="J1398" t="s">
        <v>60</v>
      </c>
      <c r="K1398" t="s">
        <v>388</v>
      </c>
      <c r="L1398" t="s">
        <v>62</v>
      </c>
      <c r="M1398" t="s">
        <v>388</v>
      </c>
      <c r="N1398" t="s">
        <v>394</v>
      </c>
      <c r="O1398" t="s">
        <v>395</v>
      </c>
      <c r="P1398">
        <v>-20.158066999999999</v>
      </c>
      <c r="Q1398">
        <v>-44.908164999999997</v>
      </c>
      <c r="R1398" s="2" t="str">
        <f>HYPERLINK("https://www.google.com/maps?q=-20.1580670,-44.9081650","Abrir no Google Maps")</f>
        <v>Abrir no Google Maps</v>
      </c>
      <c r="S1398">
        <v>3</v>
      </c>
      <c r="T1398">
        <v>666.74434317993041</v>
      </c>
      <c r="U1398">
        <v>4</v>
      </c>
      <c r="V1398">
        <v>24</v>
      </c>
      <c r="W1398">
        <v>1</v>
      </c>
      <c r="X1398">
        <v>24</v>
      </c>
      <c r="Y1398">
        <v>729</v>
      </c>
      <c r="Z1398">
        <v>612.4323328215396</v>
      </c>
      <c r="AA1398">
        <v>198</v>
      </c>
      <c r="AB1398">
        <v>332</v>
      </c>
      <c r="AC1398">
        <v>536</v>
      </c>
      <c r="AD1398">
        <v>28.93</v>
      </c>
      <c r="AE1398">
        <v>542</v>
      </c>
      <c r="AF1398">
        <v>28</v>
      </c>
      <c r="AG1398">
        <v>168</v>
      </c>
      <c r="AH1398">
        <v>129</v>
      </c>
      <c r="AI1398">
        <v>5.17</v>
      </c>
      <c r="AJ1398">
        <v>31</v>
      </c>
      <c r="AK1398">
        <v>23.8</v>
      </c>
      <c r="AL1398">
        <v>-20.158151449999959</v>
      </c>
      <c r="AM1398">
        <v>-44.908107718360938</v>
      </c>
      <c r="AN1398">
        <v>-20.158151449999959</v>
      </c>
      <c r="AO1398">
        <v>-44.908107718360938</v>
      </c>
      <c r="AP1398">
        <v>-20.158066999999999</v>
      </c>
      <c r="AQ1398">
        <v>-44.908164999999997</v>
      </c>
      <c r="AR1398">
        <v>11.14497345894574</v>
      </c>
      <c r="AS1398" t="s">
        <v>65</v>
      </c>
      <c r="AT1398">
        <v>1</v>
      </c>
      <c r="AU1398" t="s">
        <v>396</v>
      </c>
      <c r="AV1398" t="s">
        <v>397</v>
      </c>
      <c r="AW1398" t="s">
        <v>60</v>
      </c>
      <c r="AX1398" t="s">
        <v>68</v>
      </c>
      <c r="AY1398" t="s">
        <v>69</v>
      </c>
      <c r="AZ1398" t="b">
        <v>1</v>
      </c>
    </row>
    <row r="1399" spans="1:52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2142</v>
      </c>
      <c r="F1399" t="s">
        <v>190</v>
      </c>
      <c r="G1399" t="s">
        <v>422</v>
      </c>
      <c r="H1399" t="s">
        <v>423</v>
      </c>
      <c r="I1399" t="s">
        <v>423</v>
      </c>
      <c r="J1399" t="s">
        <v>60</v>
      </c>
      <c r="K1399" t="s">
        <v>424</v>
      </c>
      <c r="L1399" t="s">
        <v>62</v>
      </c>
      <c r="M1399" t="s">
        <v>424</v>
      </c>
      <c r="N1399" t="s">
        <v>425</v>
      </c>
      <c r="O1399" t="s">
        <v>426</v>
      </c>
      <c r="P1399">
        <v>-20.177748000000001</v>
      </c>
      <c r="Q1399">
        <v>-44.912475000000001</v>
      </c>
      <c r="R1399" s="2" t="str">
        <f>HYPERLINK("https://www.google.com/maps?q=-20.1777480,-44.9124750","Abrir no Google Maps")</f>
        <v>Abrir no Google Maps</v>
      </c>
      <c r="S1399">
        <v>3</v>
      </c>
      <c r="T1399">
        <v>657.07560140436533</v>
      </c>
      <c r="U1399">
        <v>4</v>
      </c>
      <c r="V1399">
        <v>28</v>
      </c>
      <c r="W1399">
        <v>1</v>
      </c>
      <c r="X1399">
        <v>28</v>
      </c>
      <c r="Y1399">
        <v>723</v>
      </c>
      <c r="Z1399">
        <v>796.94198000561175</v>
      </c>
      <c r="AA1399">
        <v>198</v>
      </c>
      <c r="AB1399">
        <v>332</v>
      </c>
      <c r="AC1399">
        <v>536</v>
      </c>
      <c r="AD1399">
        <v>28.93</v>
      </c>
      <c r="AE1399">
        <v>542</v>
      </c>
      <c r="AF1399">
        <v>28</v>
      </c>
      <c r="AG1399">
        <v>168</v>
      </c>
      <c r="AH1399">
        <v>129</v>
      </c>
      <c r="AI1399">
        <v>5.17</v>
      </c>
      <c r="AJ1399">
        <v>31</v>
      </c>
      <c r="AK1399">
        <v>23.8</v>
      </c>
      <c r="AL1399">
        <v>-20.177761749999949</v>
      </c>
      <c r="AM1399">
        <v>-44.91263311624418</v>
      </c>
      <c r="AN1399">
        <v>-20.177761749999949</v>
      </c>
      <c r="AO1399">
        <v>-44.91263311624418</v>
      </c>
      <c r="AP1399">
        <v>-20.177748000000001</v>
      </c>
      <c r="AQ1399">
        <v>-44.912475000000001</v>
      </c>
      <c r="AR1399">
        <v>16.591996803075372</v>
      </c>
      <c r="AS1399" t="s">
        <v>65</v>
      </c>
      <c r="AT1399">
        <v>1</v>
      </c>
      <c r="AU1399" t="s">
        <v>427</v>
      </c>
      <c r="AV1399" t="s">
        <v>428</v>
      </c>
      <c r="AW1399" t="s">
        <v>60</v>
      </c>
      <c r="AX1399" t="s">
        <v>68</v>
      </c>
      <c r="AY1399" t="s">
        <v>69</v>
      </c>
      <c r="AZ1399" t="b">
        <v>1</v>
      </c>
    </row>
    <row r="1400" spans="1:52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2142</v>
      </c>
      <c r="F1400" t="s">
        <v>190</v>
      </c>
      <c r="G1400" t="s">
        <v>429</v>
      </c>
      <c r="H1400" t="s">
        <v>430</v>
      </c>
      <c r="I1400" t="s">
        <v>430</v>
      </c>
      <c r="J1400" t="s">
        <v>60</v>
      </c>
      <c r="K1400" t="s">
        <v>431</v>
      </c>
      <c r="L1400" t="s">
        <v>62</v>
      </c>
      <c r="M1400" t="s">
        <v>431</v>
      </c>
      <c r="N1400" t="s">
        <v>432</v>
      </c>
      <c r="O1400" t="s">
        <v>315</v>
      </c>
      <c r="P1400">
        <v>-20.172698</v>
      </c>
      <c r="Q1400">
        <v>-44.923842</v>
      </c>
      <c r="R1400" s="2" t="str">
        <f>HYPERLINK("https://www.google.com/maps?q=-20.1726980,-44.9238420","Abrir no Google Maps")</f>
        <v>Abrir no Google Maps</v>
      </c>
      <c r="S1400">
        <v>3</v>
      </c>
      <c r="T1400">
        <v>1376.1843173402931</v>
      </c>
      <c r="U1400">
        <v>4</v>
      </c>
      <c r="V1400">
        <v>35</v>
      </c>
      <c r="W1400">
        <v>0.85</v>
      </c>
      <c r="X1400">
        <v>29.75</v>
      </c>
      <c r="Y1400">
        <v>723</v>
      </c>
      <c r="Z1400">
        <v>1101.340635002096</v>
      </c>
      <c r="AA1400">
        <v>198</v>
      </c>
      <c r="AB1400">
        <v>332</v>
      </c>
      <c r="AC1400">
        <v>536</v>
      </c>
      <c r="AD1400">
        <v>28.93</v>
      </c>
      <c r="AE1400">
        <v>542</v>
      </c>
      <c r="AF1400">
        <v>28</v>
      </c>
      <c r="AG1400">
        <v>168</v>
      </c>
      <c r="AH1400">
        <v>129</v>
      </c>
      <c r="AI1400">
        <v>5.17</v>
      </c>
      <c r="AJ1400">
        <v>31</v>
      </c>
      <c r="AK1400">
        <v>23.8</v>
      </c>
      <c r="AL1400">
        <v>-20.172942799999959</v>
      </c>
      <c r="AM1400">
        <v>-44.923585372665762</v>
      </c>
      <c r="AN1400">
        <v>-20.172942799999959</v>
      </c>
      <c r="AO1400">
        <v>-44.923585372665762</v>
      </c>
      <c r="AP1400">
        <v>-20.172698</v>
      </c>
      <c r="AQ1400">
        <v>-44.923842</v>
      </c>
      <c r="AR1400">
        <v>38.231981408478958</v>
      </c>
      <c r="AS1400" t="s">
        <v>65</v>
      </c>
      <c r="AT1400">
        <v>1</v>
      </c>
      <c r="AU1400" t="s">
        <v>433</v>
      </c>
      <c r="AV1400" t="s">
        <v>434</v>
      </c>
      <c r="AW1400" t="s">
        <v>60</v>
      </c>
      <c r="AX1400" t="s">
        <v>68</v>
      </c>
      <c r="AY1400" t="s">
        <v>69</v>
      </c>
      <c r="AZ1400" t="b">
        <v>1</v>
      </c>
    </row>
    <row r="1401" spans="1:52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2142</v>
      </c>
      <c r="F1401" t="s">
        <v>190</v>
      </c>
      <c r="G1401" t="s">
        <v>442</v>
      </c>
      <c r="H1401" t="s">
        <v>443</v>
      </c>
      <c r="I1401" t="s">
        <v>443</v>
      </c>
      <c r="J1401" t="s">
        <v>60</v>
      </c>
      <c r="K1401" t="s">
        <v>437</v>
      </c>
      <c r="L1401" t="s">
        <v>62</v>
      </c>
      <c r="M1401" t="s">
        <v>437</v>
      </c>
      <c r="N1401" t="s">
        <v>444</v>
      </c>
      <c r="O1401" t="s">
        <v>445</v>
      </c>
      <c r="P1401">
        <v>-20.149744999999999</v>
      </c>
      <c r="Q1401">
        <v>-44.881385000000002</v>
      </c>
      <c r="R1401" s="2" t="str">
        <f>HYPERLINK("https://www.google.com/maps?q=-20.1497450,-44.8813850","Abrir no Google Maps")</f>
        <v>Abrir no Google Maps</v>
      </c>
      <c r="S1401">
        <v>3</v>
      </c>
      <c r="T1401">
        <v>188.80690546111239</v>
      </c>
      <c r="U1401">
        <v>4</v>
      </c>
      <c r="V1401">
        <v>29</v>
      </c>
      <c r="W1401">
        <v>1</v>
      </c>
      <c r="X1401">
        <v>29</v>
      </c>
      <c r="Y1401">
        <v>653</v>
      </c>
      <c r="Z1401">
        <v>86.575080390731017</v>
      </c>
      <c r="AA1401">
        <v>198</v>
      </c>
      <c r="AB1401">
        <v>332</v>
      </c>
      <c r="AC1401">
        <v>536</v>
      </c>
      <c r="AD1401">
        <v>28.93</v>
      </c>
      <c r="AE1401">
        <v>542</v>
      </c>
      <c r="AF1401">
        <v>28</v>
      </c>
      <c r="AG1401">
        <v>168</v>
      </c>
      <c r="AH1401">
        <v>129</v>
      </c>
      <c r="AI1401">
        <v>5.17</v>
      </c>
      <c r="AJ1401">
        <v>31</v>
      </c>
      <c r="AK1401">
        <v>23.8</v>
      </c>
      <c r="AL1401">
        <v>-20.149645149999941</v>
      </c>
      <c r="AM1401">
        <v>-44.881504585149607</v>
      </c>
      <c r="AN1401">
        <v>-20.149645149999941</v>
      </c>
      <c r="AO1401">
        <v>-44.881504585149607</v>
      </c>
      <c r="AP1401">
        <v>-20.149744999999999</v>
      </c>
      <c r="AQ1401">
        <v>-44.881385000000002</v>
      </c>
      <c r="AR1401">
        <v>16.725323110840389</v>
      </c>
      <c r="AS1401" t="s">
        <v>65</v>
      </c>
      <c r="AT1401">
        <v>1</v>
      </c>
      <c r="AU1401" t="s">
        <v>446</v>
      </c>
      <c r="AV1401" t="s">
        <v>447</v>
      </c>
      <c r="AW1401" t="s">
        <v>60</v>
      </c>
      <c r="AX1401" t="s">
        <v>68</v>
      </c>
      <c r="AY1401" t="s">
        <v>69</v>
      </c>
      <c r="AZ1401" t="b">
        <v>1</v>
      </c>
    </row>
    <row r="1402" spans="1:52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2142</v>
      </c>
      <c r="F1402" t="s">
        <v>190</v>
      </c>
      <c r="G1402" t="s">
        <v>448</v>
      </c>
      <c r="H1402" t="s">
        <v>449</v>
      </c>
      <c r="I1402" t="s">
        <v>449</v>
      </c>
      <c r="J1402" t="s">
        <v>60</v>
      </c>
      <c r="K1402" t="s">
        <v>388</v>
      </c>
      <c r="L1402" t="s">
        <v>62</v>
      </c>
      <c r="M1402" t="s">
        <v>388</v>
      </c>
      <c r="N1402" t="s">
        <v>450</v>
      </c>
      <c r="O1402" t="s">
        <v>451</v>
      </c>
      <c r="P1402">
        <v>-20.163981</v>
      </c>
      <c r="Q1402">
        <v>-44.907128999999998</v>
      </c>
      <c r="R1402" s="2" t="str">
        <f>HYPERLINK("https://www.google.com/maps?q=-20.1639810,-44.9071290","Abrir no Google Maps")</f>
        <v>Abrir no Google Maps</v>
      </c>
      <c r="S1402">
        <v>3</v>
      </c>
      <c r="T1402">
        <v>782.50730806588319</v>
      </c>
      <c r="U1402">
        <v>4</v>
      </c>
      <c r="V1402">
        <v>24</v>
      </c>
      <c r="W1402">
        <v>1</v>
      </c>
      <c r="X1402">
        <v>24</v>
      </c>
      <c r="Y1402">
        <v>639</v>
      </c>
      <c r="Z1402">
        <v>710.90621453796166</v>
      </c>
      <c r="AA1402">
        <v>198</v>
      </c>
      <c r="AB1402">
        <v>332</v>
      </c>
      <c r="AC1402">
        <v>536</v>
      </c>
      <c r="AD1402">
        <v>28.93</v>
      </c>
      <c r="AE1402">
        <v>542</v>
      </c>
      <c r="AF1402">
        <v>28</v>
      </c>
      <c r="AG1402">
        <v>168</v>
      </c>
      <c r="AH1402">
        <v>129</v>
      </c>
      <c r="AI1402">
        <v>5.17</v>
      </c>
      <c r="AJ1402">
        <v>31</v>
      </c>
      <c r="AK1402">
        <v>23.8</v>
      </c>
      <c r="AL1402">
        <v>-20.163958349999969</v>
      </c>
      <c r="AM1402">
        <v>-44.907180923930973</v>
      </c>
      <c r="AN1402">
        <v>-20.163958349999969</v>
      </c>
      <c r="AO1402">
        <v>-44.907180923930973</v>
      </c>
      <c r="AP1402">
        <v>-20.163981</v>
      </c>
      <c r="AQ1402">
        <v>-44.907128999999998</v>
      </c>
      <c r="AR1402">
        <v>5.9831345092457884</v>
      </c>
      <c r="AS1402" t="s">
        <v>65</v>
      </c>
      <c r="AT1402">
        <v>1</v>
      </c>
      <c r="AU1402" t="s">
        <v>452</v>
      </c>
      <c r="AV1402" t="s">
        <v>453</v>
      </c>
      <c r="AW1402" t="s">
        <v>60</v>
      </c>
      <c r="AX1402" t="s">
        <v>68</v>
      </c>
      <c r="AY1402" t="s">
        <v>69</v>
      </c>
      <c r="AZ1402" t="b">
        <v>1</v>
      </c>
    </row>
    <row r="1403" spans="1:52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2142</v>
      </c>
      <c r="F1403" t="s">
        <v>190</v>
      </c>
      <c r="G1403" t="s">
        <v>460</v>
      </c>
      <c r="H1403" t="s">
        <v>461</v>
      </c>
      <c r="I1403" t="s">
        <v>461</v>
      </c>
      <c r="J1403" t="s">
        <v>60</v>
      </c>
      <c r="K1403" t="s">
        <v>462</v>
      </c>
      <c r="L1403" t="s">
        <v>62</v>
      </c>
      <c r="M1403" t="s">
        <v>462</v>
      </c>
      <c r="N1403" t="s">
        <v>463</v>
      </c>
      <c r="O1403" t="s">
        <v>464</v>
      </c>
      <c r="P1403">
        <v>-20.137919</v>
      </c>
      <c r="Q1403">
        <v>-44.905591000000001</v>
      </c>
      <c r="R1403" s="2" t="str">
        <f>HYPERLINK("https://www.google.com/maps?q=-20.1379190,-44.9055910","Abrir no Google Maps")</f>
        <v>Abrir no Google Maps</v>
      </c>
      <c r="S1403">
        <v>3</v>
      </c>
      <c r="T1403">
        <v>262.01115919461103</v>
      </c>
      <c r="U1403">
        <v>4</v>
      </c>
      <c r="V1403">
        <v>24</v>
      </c>
      <c r="W1403">
        <v>1</v>
      </c>
      <c r="X1403">
        <v>24</v>
      </c>
      <c r="Y1403">
        <v>581</v>
      </c>
      <c r="Z1403">
        <v>318.63337303219271</v>
      </c>
      <c r="AA1403">
        <v>198</v>
      </c>
      <c r="AB1403">
        <v>332</v>
      </c>
      <c r="AC1403">
        <v>536</v>
      </c>
      <c r="AD1403">
        <v>28.93</v>
      </c>
      <c r="AE1403">
        <v>542</v>
      </c>
      <c r="AF1403">
        <v>28</v>
      </c>
      <c r="AG1403">
        <v>168</v>
      </c>
      <c r="AH1403">
        <v>129</v>
      </c>
      <c r="AI1403">
        <v>5.17</v>
      </c>
      <c r="AJ1403">
        <v>31</v>
      </c>
      <c r="AK1403">
        <v>23.8</v>
      </c>
      <c r="AL1403">
        <v>-20.13789079999998</v>
      </c>
      <c r="AM1403">
        <v>-44.90548593520333</v>
      </c>
      <c r="AN1403">
        <v>-20.13789079999998</v>
      </c>
      <c r="AO1403">
        <v>-44.90548593520333</v>
      </c>
      <c r="AP1403">
        <v>-20.137919</v>
      </c>
      <c r="AQ1403">
        <v>-44.905591000000001</v>
      </c>
      <c r="AR1403">
        <v>11.42072348298178</v>
      </c>
      <c r="AS1403" t="s">
        <v>65</v>
      </c>
      <c r="AT1403">
        <v>1</v>
      </c>
      <c r="AU1403" t="s">
        <v>465</v>
      </c>
      <c r="AV1403" t="s">
        <v>466</v>
      </c>
      <c r="AW1403" t="s">
        <v>60</v>
      </c>
      <c r="AX1403" t="s">
        <v>68</v>
      </c>
      <c r="AY1403" t="s">
        <v>69</v>
      </c>
      <c r="AZ1403" t="b">
        <v>1</v>
      </c>
    </row>
    <row r="1404" spans="1:52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2142</v>
      </c>
      <c r="F1404" t="s">
        <v>190</v>
      </c>
      <c r="G1404" t="s">
        <v>467</v>
      </c>
      <c r="H1404" t="s">
        <v>468</v>
      </c>
      <c r="I1404" t="s">
        <v>468</v>
      </c>
      <c r="J1404" t="s">
        <v>60</v>
      </c>
      <c r="K1404" t="s">
        <v>462</v>
      </c>
      <c r="L1404" t="s">
        <v>62</v>
      </c>
      <c r="M1404" t="s">
        <v>462</v>
      </c>
      <c r="N1404" t="s">
        <v>469</v>
      </c>
      <c r="O1404" t="s">
        <v>470</v>
      </c>
      <c r="P1404">
        <v>-20.138233</v>
      </c>
      <c r="Q1404">
        <v>-44.908200000000001</v>
      </c>
      <c r="R1404" s="2" t="str">
        <f>HYPERLINK("https://www.google.com/maps?q=-20.1382330,-44.9082000","Abrir no Google Maps")</f>
        <v>Abrir no Google Maps</v>
      </c>
      <c r="S1404">
        <v>3</v>
      </c>
      <c r="T1404">
        <v>0</v>
      </c>
      <c r="U1404">
        <v>4</v>
      </c>
      <c r="V1404">
        <v>25</v>
      </c>
      <c r="W1404">
        <v>1</v>
      </c>
      <c r="X1404">
        <v>25</v>
      </c>
      <c r="Y1404">
        <v>581</v>
      </c>
      <c r="Z1404">
        <v>153.18688302958171</v>
      </c>
      <c r="AA1404">
        <v>198</v>
      </c>
      <c r="AB1404">
        <v>332</v>
      </c>
      <c r="AC1404">
        <v>536</v>
      </c>
      <c r="AD1404">
        <v>28.93</v>
      </c>
      <c r="AE1404">
        <v>542</v>
      </c>
      <c r="AF1404">
        <v>28</v>
      </c>
      <c r="AG1404">
        <v>168</v>
      </c>
      <c r="AH1404">
        <v>129</v>
      </c>
      <c r="AI1404">
        <v>5.17</v>
      </c>
      <c r="AJ1404">
        <v>31</v>
      </c>
      <c r="AK1404">
        <v>23.8</v>
      </c>
      <c r="AL1404">
        <v>-20.138364899999971</v>
      </c>
      <c r="AM1404">
        <v>-44.907942114873997</v>
      </c>
      <c r="AN1404">
        <v>-20.138364899999971</v>
      </c>
      <c r="AO1404">
        <v>-44.907942114873997</v>
      </c>
      <c r="AP1404">
        <v>-20.138233</v>
      </c>
      <c r="AQ1404">
        <v>-44.908200000000001</v>
      </c>
      <c r="AR1404">
        <v>30.692690617986941</v>
      </c>
      <c r="AS1404" t="s">
        <v>65</v>
      </c>
      <c r="AT1404">
        <v>1</v>
      </c>
      <c r="AU1404" t="s">
        <v>471</v>
      </c>
      <c r="AV1404" t="s">
        <v>472</v>
      </c>
      <c r="AW1404" t="s">
        <v>60</v>
      </c>
      <c r="AX1404" t="s">
        <v>68</v>
      </c>
      <c r="AY1404" t="s">
        <v>69</v>
      </c>
      <c r="AZ1404" t="b">
        <v>1</v>
      </c>
    </row>
    <row r="1405" spans="1:52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2142</v>
      </c>
      <c r="F1405" t="s">
        <v>190</v>
      </c>
      <c r="G1405" t="s">
        <v>864</v>
      </c>
      <c r="H1405" t="s">
        <v>865</v>
      </c>
      <c r="I1405" t="s">
        <v>865</v>
      </c>
      <c r="J1405" t="s">
        <v>60</v>
      </c>
      <c r="K1405" t="s">
        <v>486</v>
      </c>
      <c r="L1405" t="s">
        <v>62</v>
      </c>
      <c r="M1405" t="s">
        <v>486</v>
      </c>
      <c r="N1405" t="s">
        <v>866</v>
      </c>
      <c r="O1405" t="s">
        <v>867</v>
      </c>
      <c r="P1405">
        <v>-20.170919000000001</v>
      </c>
      <c r="Q1405">
        <v>-44.905451999999997</v>
      </c>
      <c r="R1405" s="2" t="str">
        <f>HYPERLINK("https://www.google.com/maps?q=-20.1709190,-44.9054520","Abrir no Google Maps")</f>
        <v>Abrir no Google Maps</v>
      </c>
      <c r="S1405">
        <v>3</v>
      </c>
      <c r="T1405">
        <v>0</v>
      </c>
      <c r="U1405">
        <v>4</v>
      </c>
      <c r="V1405">
        <v>25</v>
      </c>
      <c r="W1405">
        <v>1</v>
      </c>
      <c r="X1405">
        <v>25</v>
      </c>
      <c r="Y1405">
        <v>578</v>
      </c>
      <c r="Z1405">
        <v>205.34598855748419</v>
      </c>
      <c r="AA1405">
        <v>198</v>
      </c>
      <c r="AB1405">
        <v>332</v>
      </c>
      <c r="AC1405">
        <v>536</v>
      </c>
      <c r="AD1405">
        <v>28.93</v>
      </c>
      <c r="AE1405">
        <v>542</v>
      </c>
      <c r="AF1405">
        <v>28</v>
      </c>
      <c r="AG1405">
        <v>168</v>
      </c>
      <c r="AH1405">
        <v>129</v>
      </c>
      <c r="AI1405">
        <v>5.17</v>
      </c>
      <c r="AJ1405">
        <v>31</v>
      </c>
      <c r="AK1405">
        <v>23.8</v>
      </c>
      <c r="AL1405">
        <v>-20.170854399999939</v>
      </c>
      <c r="AM1405">
        <v>-44.905524839633358</v>
      </c>
      <c r="AN1405">
        <v>-20.170854399999939</v>
      </c>
      <c r="AO1405">
        <v>-44.905524839633358</v>
      </c>
      <c r="AP1405">
        <v>-20.170919000000001</v>
      </c>
      <c r="AQ1405">
        <v>-44.905451999999997</v>
      </c>
      <c r="AR1405">
        <v>10.471140355179269</v>
      </c>
      <c r="AS1405" t="s">
        <v>65</v>
      </c>
      <c r="AT1405">
        <v>1</v>
      </c>
      <c r="AU1405" t="s">
        <v>868</v>
      </c>
      <c r="AV1405" t="s">
        <v>869</v>
      </c>
      <c r="AW1405" t="s">
        <v>60</v>
      </c>
      <c r="AX1405" t="s">
        <v>68</v>
      </c>
      <c r="AY1405" t="s">
        <v>69</v>
      </c>
      <c r="AZ1405" t="b">
        <v>1</v>
      </c>
    </row>
    <row r="1406" spans="1:52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2142</v>
      </c>
      <c r="F1406" t="s">
        <v>190</v>
      </c>
      <c r="G1406" t="s">
        <v>484</v>
      </c>
      <c r="H1406" t="s">
        <v>485</v>
      </c>
      <c r="I1406" t="s">
        <v>485</v>
      </c>
      <c r="J1406" t="s">
        <v>60</v>
      </c>
      <c r="K1406" t="s">
        <v>486</v>
      </c>
      <c r="L1406" t="s">
        <v>62</v>
      </c>
      <c r="M1406" t="s">
        <v>486</v>
      </c>
      <c r="N1406" t="s">
        <v>487</v>
      </c>
      <c r="O1406" t="s">
        <v>488</v>
      </c>
      <c r="P1406">
        <v>-20.173000999999999</v>
      </c>
      <c r="Q1406">
        <v>-44.901876999999999</v>
      </c>
      <c r="R1406" s="2" t="str">
        <f>HYPERLINK("https://www.google.com/maps?q=-20.1730010,-44.9018770","Abrir no Google Maps")</f>
        <v>Abrir no Google Maps</v>
      </c>
      <c r="S1406">
        <v>3</v>
      </c>
      <c r="T1406">
        <v>437.59695450783011</v>
      </c>
      <c r="U1406">
        <v>4</v>
      </c>
      <c r="V1406">
        <v>27</v>
      </c>
      <c r="W1406">
        <v>1</v>
      </c>
      <c r="X1406">
        <v>27</v>
      </c>
      <c r="Y1406">
        <v>578</v>
      </c>
      <c r="Z1406">
        <v>440.53629183653243</v>
      </c>
      <c r="AA1406">
        <v>198</v>
      </c>
      <c r="AB1406">
        <v>332</v>
      </c>
      <c r="AC1406">
        <v>536</v>
      </c>
      <c r="AD1406">
        <v>28.93</v>
      </c>
      <c r="AE1406">
        <v>542</v>
      </c>
      <c r="AF1406">
        <v>28</v>
      </c>
      <c r="AG1406">
        <v>168</v>
      </c>
      <c r="AH1406">
        <v>129</v>
      </c>
      <c r="AI1406">
        <v>5.17</v>
      </c>
      <c r="AJ1406">
        <v>31</v>
      </c>
      <c r="AK1406">
        <v>23.8</v>
      </c>
      <c r="AL1406">
        <v>-20.173065299999969</v>
      </c>
      <c r="AM1406">
        <v>-44.902052686008687</v>
      </c>
      <c r="AN1406">
        <v>-20.173065299999969</v>
      </c>
      <c r="AO1406">
        <v>-44.902052686008687</v>
      </c>
      <c r="AP1406">
        <v>-20.173000999999999</v>
      </c>
      <c r="AQ1406">
        <v>-44.901876999999999</v>
      </c>
      <c r="AR1406">
        <v>19.703745070768829</v>
      </c>
      <c r="AS1406" t="s">
        <v>65</v>
      </c>
      <c r="AT1406">
        <v>1</v>
      </c>
      <c r="AU1406" t="s">
        <v>489</v>
      </c>
      <c r="AV1406" t="s">
        <v>490</v>
      </c>
      <c r="AW1406" t="s">
        <v>60</v>
      </c>
      <c r="AX1406" t="s">
        <v>68</v>
      </c>
      <c r="AY1406" t="s">
        <v>69</v>
      </c>
      <c r="AZ1406" t="b">
        <v>1</v>
      </c>
    </row>
    <row r="1407" spans="1:52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2142</v>
      </c>
      <c r="F1407" t="s">
        <v>190</v>
      </c>
      <c r="G1407" t="s">
        <v>503</v>
      </c>
      <c r="H1407" t="s">
        <v>504</v>
      </c>
      <c r="I1407" t="s">
        <v>504</v>
      </c>
      <c r="J1407" t="s">
        <v>60</v>
      </c>
      <c r="K1407" t="s">
        <v>505</v>
      </c>
      <c r="L1407" t="s">
        <v>62</v>
      </c>
      <c r="M1407" t="s">
        <v>505</v>
      </c>
      <c r="N1407" t="s">
        <v>506</v>
      </c>
      <c r="O1407" t="s">
        <v>507</v>
      </c>
      <c r="P1407">
        <v>-20.131428</v>
      </c>
      <c r="Q1407">
        <v>-44.888921000000003</v>
      </c>
      <c r="R1407" s="2" t="str">
        <f>HYPERLINK("https://www.google.com/maps?q=-20.1314280,-44.8889210","Abrir no Google Maps")</f>
        <v>Abrir no Google Maps</v>
      </c>
      <c r="S1407">
        <v>3</v>
      </c>
      <c r="T1407">
        <v>250.64150698244501</v>
      </c>
      <c r="U1407">
        <v>4</v>
      </c>
      <c r="V1407">
        <v>25</v>
      </c>
      <c r="W1407">
        <v>1</v>
      </c>
      <c r="X1407">
        <v>25</v>
      </c>
      <c r="Y1407">
        <v>564</v>
      </c>
      <c r="Z1407">
        <v>189.93933888952441</v>
      </c>
      <c r="AA1407">
        <v>198</v>
      </c>
      <c r="AB1407">
        <v>332</v>
      </c>
      <c r="AC1407">
        <v>536</v>
      </c>
      <c r="AD1407">
        <v>28.93</v>
      </c>
      <c r="AE1407">
        <v>542</v>
      </c>
      <c r="AF1407">
        <v>28</v>
      </c>
      <c r="AG1407">
        <v>168</v>
      </c>
      <c r="AH1407">
        <v>129</v>
      </c>
      <c r="AI1407">
        <v>5.17</v>
      </c>
      <c r="AJ1407">
        <v>31</v>
      </c>
      <c r="AK1407">
        <v>23.8</v>
      </c>
      <c r="AL1407">
        <v>-20.13123589999995</v>
      </c>
      <c r="AM1407">
        <v>-44.888742396501762</v>
      </c>
      <c r="AN1407">
        <v>-20.13123589999995</v>
      </c>
      <c r="AO1407">
        <v>-44.888742396501762</v>
      </c>
      <c r="AP1407">
        <v>-20.131428</v>
      </c>
      <c r="AQ1407">
        <v>-44.888921000000003</v>
      </c>
      <c r="AR1407">
        <v>28.386169462917032</v>
      </c>
      <c r="AS1407" t="s">
        <v>65</v>
      </c>
      <c r="AT1407">
        <v>1</v>
      </c>
      <c r="AU1407" t="s">
        <v>508</v>
      </c>
      <c r="AV1407" t="s">
        <v>509</v>
      </c>
      <c r="AW1407" t="s">
        <v>60</v>
      </c>
      <c r="AX1407" t="s">
        <v>68</v>
      </c>
      <c r="AY1407" t="s">
        <v>69</v>
      </c>
      <c r="AZ1407" t="b">
        <v>1</v>
      </c>
    </row>
    <row r="1408" spans="1:52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2142</v>
      </c>
      <c r="F1408" t="s">
        <v>190</v>
      </c>
      <c r="G1408" t="s">
        <v>510</v>
      </c>
      <c r="H1408" t="s">
        <v>511</v>
      </c>
      <c r="I1408" t="s">
        <v>511</v>
      </c>
      <c r="J1408" t="s">
        <v>60</v>
      </c>
      <c r="K1408" t="s">
        <v>512</v>
      </c>
      <c r="L1408" t="s">
        <v>62</v>
      </c>
      <c r="M1408" t="s">
        <v>512</v>
      </c>
      <c r="N1408" t="s">
        <v>406</v>
      </c>
      <c r="O1408" t="s">
        <v>513</v>
      </c>
      <c r="P1408">
        <v>-20.127853000000002</v>
      </c>
      <c r="Q1408">
        <v>-44.891415000000002</v>
      </c>
      <c r="R1408" s="2" t="str">
        <f>HYPERLINK("https://www.google.com/maps?q=-20.1278530,-44.8914150","Abrir no Google Maps")</f>
        <v>Abrir no Google Maps</v>
      </c>
      <c r="S1408">
        <v>3</v>
      </c>
      <c r="T1408">
        <v>340.86994528233612</v>
      </c>
      <c r="U1408">
        <v>4</v>
      </c>
      <c r="V1408">
        <v>30</v>
      </c>
      <c r="W1408">
        <v>1</v>
      </c>
      <c r="X1408">
        <v>30</v>
      </c>
      <c r="Y1408">
        <v>564</v>
      </c>
      <c r="Z1408">
        <v>294.18108015916812</v>
      </c>
      <c r="AA1408">
        <v>198</v>
      </c>
      <c r="AB1408">
        <v>332</v>
      </c>
      <c r="AC1408">
        <v>536</v>
      </c>
      <c r="AD1408">
        <v>28.93</v>
      </c>
      <c r="AE1408">
        <v>542</v>
      </c>
      <c r="AF1408">
        <v>28</v>
      </c>
      <c r="AG1408">
        <v>168</v>
      </c>
      <c r="AH1408">
        <v>129</v>
      </c>
      <c r="AI1408">
        <v>5.17</v>
      </c>
      <c r="AJ1408">
        <v>31</v>
      </c>
      <c r="AK1408">
        <v>23.8</v>
      </c>
      <c r="AL1408">
        <v>-20.12777399999996</v>
      </c>
      <c r="AM1408">
        <v>-44.891400975758501</v>
      </c>
      <c r="AN1408">
        <v>-20.12777399999996</v>
      </c>
      <c r="AO1408">
        <v>-44.891400975758501</v>
      </c>
      <c r="AP1408">
        <v>-20.127853000000002</v>
      </c>
      <c r="AQ1408">
        <v>-44.891415000000002</v>
      </c>
      <c r="AR1408">
        <v>8.9156059162975616</v>
      </c>
      <c r="AS1408" t="s">
        <v>65</v>
      </c>
      <c r="AT1408">
        <v>1</v>
      </c>
      <c r="AU1408" t="s">
        <v>514</v>
      </c>
      <c r="AV1408" t="s">
        <v>515</v>
      </c>
      <c r="AW1408" t="s">
        <v>60</v>
      </c>
      <c r="AX1408" t="s">
        <v>68</v>
      </c>
      <c r="AY1408" t="s">
        <v>69</v>
      </c>
      <c r="AZ1408" t="b">
        <v>1</v>
      </c>
    </row>
    <row r="1409" spans="1:52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2142</v>
      </c>
      <c r="F1409" t="s">
        <v>190</v>
      </c>
      <c r="G1409" t="s">
        <v>890</v>
      </c>
      <c r="H1409" t="s">
        <v>891</v>
      </c>
      <c r="I1409" t="s">
        <v>891</v>
      </c>
      <c r="J1409" t="s">
        <v>60</v>
      </c>
      <c r="K1409" t="s">
        <v>892</v>
      </c>
      <c r="L1409" t="s">
        <v>62</v>
      </c>
      <c r="M1409" t="s">
        <v>892</v>
      </c>
      <c r="N1409" t="s">
        <v>893</v>
      </c>
      <c r="O1409" t="s">
        <v>894</v>
      </c>
      <c r="P1409">
        <v>-20.152519000000002</v>
      </c>
      <c r="Q1409">
        <v>-44.899177000000002</v>
      </c>
      <c r="R1409" s="2" t="str">
        <f>HYPERLINK("https://www.google.com/maps?q=-20.1525190,-44.8991770","Abrir no Google Maps")</f>
        <v>Abrir no Google Maps</v>
      </c>
      <c r="S1409">
        <v>3</v>
      </c>
      <c r="T1409">
        <v>211.80188552994721</v>
      </c>
      <c r="U1409">
        <v>4</v>
      </c>
      <c r="V1409">
        <v>23</v>
      </c>
      <c r="W1409">
        <v>1</v>
      </c>
      <c r="X1409">
        <v>23</v>
      </c>
      <c r="Y1409">
        <v>556</v>
      </c>
      <c r="Z1409">
        <v>290.34804137107091</v>
      </c>
      <c r="AA1409">
        <v>198</v>
      </c>
      <c r="AB1409">
        <v>332</v>
      </c>
      <c r="AC1409">
        <v>536</v>
      </c>
      <c r="AD1409">
        <v>28.93</v>
      </c>
      <c r="AE1409">
        <v>542</v>
      </c>
      <c r="AF1409">
        <v>28</v>
      </c>
      <c r="AG1409">
        <v>168</v>
      </c>
      <c r="AH1409">
        <v>129</v>
      </c>
      <c r="AI1409">
        <v>5.17</v>
      </c>
      <c r="AJ1409">
        <v>31</v>
      </c>
      <c r="AK1409">
        <v>23.8</v>
      </c>
      <c r="AL1409">
        <v>-20.152516249999959</v>
      </c>
      <c r="AM1409">
        <v>-44.899310431333959</v>
      </c>
      <c r="AN1409">
        <v>-20.152516249999959</v>
      </c>
      <c r="AO1409">
        <v>-44.899310431333959</v>
      </c>
      <c r="AP1409">
        <v>-20.152519000000002</v>
      </c>
      <c r="AQ1409">
        <v>-44.899177000000002</v>
      </c>
      <c r="AR1409">
        <v>13.947583284957719</v>
      </c>
      <c r="AS1409" t="s">
        <v>65</v>
      </c>
      <c r="AT1409">
        <v>1</v>
      </c>
      <c r="AU1409" t="s">
        <v>895</v>
      </c>
      <c r="AV1409" t="s">
        <v>896</v>
      </c>
      <c r="AW1409" t="s">
        <v>60</v>
      </c>
      <c r="AX1409" t="s">
        <v>68</v>
      </c>
      <c r="AY1409" t="s">
        <v>69</v>
      </c>
      <c r="AZ1409" t="b">
        <v>1</v>
      </c>
    </row>
    <row r="1410" spans="1:52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2142</v>
      </c>
      <c r="F1410" t="s">
        <v>190</v>
      </c>
      <c r="G1410" t="s">
        <v>568</v>
      </c>
      <c r="H1410" t="s">
        <v>569</v>
      </c>
      <c r="I1410" t="s">
        <v>569</v>
      </c>
      <c r="J1410" t="s">
        <v>60</v>
      </c>
      <c r="K1410" t="s">
        <v>61</v>
      </c>
      <c r="L1410" t="s">
        <v>62</v>
      </c>
      <c r="M1410" t="s">
        <v>61</v>
      </c>
      <c r="N1410" t="s">
        <v>570</v>
      </c>
      <c r="O1410" t="s">
        <v>548</v>
      </c>
      <c r="P1410">
        <v>-20.151508</v>
      </c>
      <c r="Q1410">
        <v>-44.907826</v>
      </c>
      <c r="R1410" s="2" t="str">
        <f>HYPERLINK("https://www.google.com/maps?q=-20.1515080,-44.9078260","Abrir no Google Maps")</f>
        <v>Abrir no Google Maps</v>
      </c>
      <c r="S1410">
        <v>3</v>
      </c>
      <c r="T1410">
        <v>567.15905416240514</v>
      </c>
      <c r="U1410">
        <v>4</v>
      </c>
      <c r="V1410">
        <v>28</v>
      </c>
      <c r="W1410">
        <v>0.85</v>
      </c>
      <c r="X1410">
        <v>23.8</v>
      </c>
      <c r="Y1410">
        <v>548</v>
      </c>
      <c r="Z1410">
        <v>560.49158010771464</v>
      </c>
      <c r="AA1410">
        <v>198</v>
      </c>
      <c r="AB1410">
        <v>332</v>
      </c>
      <c r="AC1410">
        <v>536</v>
      </c>
      <c r="AD1410">
        <v>28.93</v>
      </c>
      <c r="AE1410">
        <v>542</v>
      </c>
      <c r="AF1410">
        <v>28</v>
      </c>
      <c r="AG1410">
        <v>168</v>
      </c>
      <c r="AH1410">
        <v>129</v>
      </c>
      <c r="AI1410">
        <v>5.17</v>
      </c>
      <c r="AJ1410">
        <v>31</v>
      </c>
      <c r="AK1410">
        <v>23.8</v>
      </c>
      <c r="AL1410">
        <v>-20.15211779999996</v>
      </c>
      <c r="AM1410">
        <v>-44.907597469593128</v>
      </c>
      <c r="AN1410">
        <v>-20.15211779999996</v>
      </c>
      <c r="AO1410">
        <v>-44.907597469593128</v>
      </c>
      <c r="AP1410">
        <v>-20.151508</v>
      </c>
      <c r="AQ1410">
        <v>-44.907826</v>
      </c>
      <c r="AR1410">
        <v>71.961597929314735</v>
      </c>
      <c r="AS1410" t="s">
        <v>65</v>
      </c>
      <c r="AT1410">
        <v>1</v>
      </c>
      <c r="AU1410" t="s">
        <v>571</v>
      </c>
      <c r="AV1410" t="s">
        <v>572</v>
      </c>
      <c r="AW1410" t="s">
        <v>60</v>
      </c>
      <c r="AX1410" t="s">
        <v>68</v>
      </c>
      <c r="AY1410" t="s">
        <v>69</v>
      </c>
      <c r="AZ1410" t="b">
        <v>1</v>
      </c>
    </row>
    <row r="1411" spans="1:52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2142</v>
      </c>
      <c r="F1411" t="s">
        <v>190</v>
      </c>
      <c r="G1411" t="s">
        <v>573</v>
      </c>
      <c r="H1411" t="s">
        <v>574</v>
      </c>
      <c r="I1411" t="s">
        <v>574</v>
      </c>
      <c r="J1411" t="s">
        <v>60</v>
      </c>
      <c r="K1411" t="s">
        <v>207</v>
      </c>
      <c r="L1411" t="s">
        <v>62</v>
      </c>
      <c r="M1411" t="s">
        <v>207</v>
      </c>
      <c r="N1411" t="s">
        <v>575</v>
      </c>
      <c r="O1411" t="s">
        <v>576</v>
      </c>
      <c r="P1411">
        <v>-20.121252999999999</v>
      </c>
      <c r="Q1411">
        <v>-44.887988999999997</v>
      </c>
      <c r="R1411" s="2" t="str">
        <f>HYPERLINK("https://www.google.com/maps?q=-20.1212530,-44.8879890","Abrir no Google Maps")</f>
        <v>Abrir no Google Maps</v>
      </c>
      <c r="S1411">
        <v>3</v>
      </c>
      <c r="T1411">
        <v>310.5511884274041</v>
      </c>
      <c r="U1411">
        <v>4</v>
      </c>
      <c r="V1411">
        <v>23</v>
      </c>
      <c r="W1411">
        <v>1</v>
      </c>
      <c r="X1411">
        <v>23</v>
      </c>
      <c r="Y1411">
        <v>536</v>
      </c>
      <c r="Z1411">
        <v>292.13362593122162</v>
      </c>
      <c r="AA1411">
        <v>198</v>
      </c>
      <c r="AB1411">
        <v>332</v>
      </c>
      <c r="AC1411">
        <v>536</v>
      </c>
      <c r="AD1411">
        <v>28.93</v>
      </c>
      <c r="AE1411">
        <v>542</v>
      </c>
      <c r="AF1411">
        <v>28</v>
      </c>
      <c r="AG1411">
        <v>168</v>
      </c>
      <c r="AH1411">
        <v>129</v>
      </c>
      <c r="AI1411">
        <v>5.17</v>
      </c>
      <c r="AJ1411">
        <v>31</v>
      </c>
      <c r="AK1411">
        <v>23.8</v>
      </c>
      <c r="AL1411">
        <v>-20.121103699999939</v>
      </c>
      <c r="AM1411">
        <v>-44.888116617806723</v>
      </c>
      <c r="AN1411">
        <v>-20.121103699999939</v>
      </c>
      <c r="AO1411">
        <v>-44.888116617806723</v>
      </c>
      <c r="AP1411">
        <v>-20.121252999999999</v>
      </c>
      <c r="AQ1411">
        <v>-44.887988999999997</v>
      </c>
      <c r="AR1411">
        <v>21.311159673382519</v>
      </c>
      <c r="AS1411" t="s">
        <v>65</v>
      </c>
      <c r="AT1411">
        <v>1</v>
      </c>
      <c r="AU1411" t="s">
        <v>577</v>
      </c>
      <c r="AV1411" t="s">
        <v>578</v>
      </c>
      <c r="AW1411" t="s">
        <v>60</v>
      </c>
      <c r="AX1411" t="s">
        <v>68</v>
      </c>
      <c r="AY1411" t="s">
        <v>69</v>
      </c>
      <c r="AZ1411" t="b">
        <v>1</v>
      </c>
    </row>
    <row r="1412" spans="1:52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2142</v>
      </c>
      <c r="F1412" t="s">
        <v>190</v>
      </c>
      <c r="G1412" t="s">
        <v>584</v>
      </c>
      <c r="H1412" t="s">
        <v>585</v>
      </c>
      <c r="I1412" t="s">
        <v>585</v>
      </c>
      <c r="J1412" t="s">
        <v>60</v>
      </c>
      <c r="K1412" t="s">
        <v>207</v>
      </c>
      <c r="L1412" t="s">
        <v>62</v>
      </c>
      <c r="M1412" t="s">
        <v>207</v>
      </c>
      <c r="N1412" t="s">
        <v>586</v>
      </c>
      <c r="O1412" t="s">
        <v>587</v>
      </c>
      <c r="P1412">
        <v>-20.122596999999999</v>
      </c>
      <c r="Q1412">
        <v>-44.889994999999999</v>
      </c>
      <c r="R1412" s="2" t="str">
        <f>HYPERLINK("https://www.google.com/maps?q=-20.1225970,-44.8899950","Abrir no Google Maps")</f>
        <v>Abrir no Google Maps</v>
      </c>
      <c r="S1412">
        <v>3</v>
      </c>
      <c r="T1412">
        <v>548.23336486960989</v>
      </c>
      <c r="U1412">
        <v>4</v>
      </c>
      <c r="V1412">
        <v>26</v>
      </c>
      <c r="W1412">
        <v>1</v>
      </c>
      <c r="X1412">
        <v>26</v>
      </c>
      <c r="Y1412">
        <v>536</v>
      </c>
      <c r="Z1412">
        <v>547.28307523929982</v>
      </c>
      <c r="AA1412">
        <v>198</v>
      </c>
      <c r="AB1412">
        <v>332</v>
      </c>
      <c r="AC1412">
        <v>536</v>
      </c>
      <c r="AD1412">
        <v>28.93</v>
      </c>
      <c r="AE1412">
        <v>542</v>
      </c>
      <c r="AF1412">
        <v>28</v>
      </c>
      <c r="AG1412">
        <v>168</v>
      </c>
      <c r="AH1412">
        <v>129</v>
      </c>
      <c r="AI1412">
        <v>5.17</v>
      </c>
      <c r="AJ1412">
        <v>31</v>
      </c>
      <c r="AK1412">
        <v>23.8</v>
      </c>
      <c r="AL1412">
        <v>-20.122693899999941</v>
      </c>
      <c r="AM1412">
        <v>-44.890039706276887</v>
      </c>
      <c r="AN1412">
        <v>-20.122693899999941</v>
      </c>
      <c r="AO1412">
        <v>-44.890039706276887</v>
      </c>
      <c r="AP1412">
        <v>-20.122596999999999</v>
      </c>
      <c r="AQ1412">
        <v>-44.889994999999999</v>
      </c>
      <c r="AR1412">
        <v>11.75557400261394</v>
      </c>
      <c r="AS1412" t="s">
        <v>65</v>
      </c>
      <c r="AT1412">
        <v>1</v>
      </c>
      <c r="AU1412" t="s">
        <v>588</v>
      </c>
      <c r="AV1412" t="s">
        <v>589</v>
      </c>
      <c r="AW1412" t="s">
        <v>60</v>
      </c>
      <c r="AX1412" t="s">
        <v>68</v>
      </c>
      <c r="AY1412" t="s">
        <v>69</v>
      </c>
      <c r="AZ1412" t="b">
        <v>1</v>
      </c>
    </row>
    <row r="1413" spans="1:52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2142</v>
      </c>
      <c r="F1413" t="s">
        <v>190</v>
      </c>
      <c r="G1413" t="s">
        <v>620</v>
      </c>
      <c r="H1413" t="s">
        <v>621</v>
      </c>
      <c r="I1413" t="s">
        <v>621</v>
      </c>
      <c r="J1413" t="s">
        <v>60</v>
      </c>
      <c r="K1413" t="s">
        <v>207</v>
      </c>
      <c r="L1413" t="s">
        <v>62</v>
      </c>
      <c r="M1413" t="s">
        <v>207</v>
      </c>
      <c r="N1413" t="s">
        <v>622</v>
      </c>
      <c r="O1413" t="s">
        <v>623</v>
      </c>
      <c r="P1413">
        <v>-20.120775999999999</v>
      </c>
      <c r="Q1413">
        <v>-44.885562999999998</v>
      </c>
      <c r="R1413" s="2" t="str">
        <f>HYPERLINK("https://www.google.com/maps?q=-20.1207760,-44.8855630","Abrir no Google Maps")</f>
        <v>Abrir no Google Maps</v>
      </c>
      <c r="S1413">
        <v>3</v>
      </c>
      <c r="T1413">
        <v>332.24231777761912</v>
      </c>
      <c r="U1413">
        <v>4</v>
      </c>
      <c r="V1413">
        <v>25</v>
      </c>
      <c r="W1413">
        <v>1</v>
      </c>
      <c r="X1413">
        <v>25</v>
      </c>
      <c r="Y1413">
        <v>536</v>
      </c>
      <c r="Z1413">
        <v>255.48165096313261</v>
      </c>
      <c r="AA1413">
        <v>198</v>
      </c>
      <c r="AB1413">
        <v>332</v>
      </c>
      <c r="AC1413">
        <v>536</v>
      </c>
      <c r="AD1413">
        <v>28.93</v>
      </c>
      <c r="AE1413">
        <v>542</v>
      </c>
      <c r="AF1413">
        <v>28</v>
      </c>
      <c r="AG1413">
        <v>168</v>
      </c>
      <c r="AH1413">
        <v>129</v>
      </c>
      <c r="AI1413">
        <v>5.17</v>
      </c>
      <c r="AJ1413">
        <v>31</v>
      </c>
      <c r="AK1413">
        <v>23.8</v>
      </c>
      <c r="AL1413">
        <v>-20.120783799999941</v>
      </c>
      <c r="AM1413">
        <v>-44.885629603396453</v>
      </c>
      <c r="AN1413">
        <v>-20.120783799999941</v>
      </c>
      <c r="AO1413">
        <v>-44.885629603396453</v>
      </c>
      <c r="AP1413">
        <v>-20.120775999999999</v>
      </c>
      <c r="AQ1413">
        <v>-44.885562999999998</v>
      </c>
      <c r="AR1413">
        <v>7.0157317818911196</v>
      </c>
      <c r="AS1413" t="s">
        <v>65</v>
      </c>
      <c r="AT1413">
        <v>1</v>
      </c>
      <c r="AU1413" t="s">
        <v>624</v>
      </c>
      <c r="AV1413" t="s">
        <v>619</v>
      </c>
      <c r="AW1413" t="s">
        <v>60</v>
      </c>
      <c r="AX1413" t="s">
        <v>68</v>
      </c>
      <c r="AY1413" t="s">
        <v>69</v>
      </c>
      <c r="AZ1413" t="b">
        <v>1</v>
      </c>
    </row>
    <row r="1414" spans="1:52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2142</v>
      </c>
      <c r="F1414" t="s">
        <v>190</v>
      </c>
      <c r="G1414" t="s">
        <v>232</v>
      </c>
      <c r="H1414" t="s">
        <v>925</v>
      </c>
      <c r="I1414" t="s">
        <v>925</v>
      </c>
      <c r="J1414" t="s">
        <v>60</v>
      </c>
      <c r="K1414" t="s">
        <v>702</v>
      </c>
      <c r="L1414" t="s">
        <v>62</v>
      </c>
      <c r="M1414" t="s">
        <v>702</v>
      </c>
      <c r="N1414" t="s">
        <v>234</v>
      </c>
      <c r="O1414" t="s">
        <v>926</v>
      </c>
      <c r="P1414">
        <v>-20.165887999999999</v>
      </c>
      <c r="Q1414">
        <v>-44.865220000000001</v>
      </c>
      <c r="R1414" s="2" t="str">
        <f>HYPERLINK("https://www.google.com/maps?q=-20.1658880,-44.8652200","Abrir no Google Maps")</f>
        <v>Abrir no Google Maps</v>
      </c>
      <c r="S1414">
        <v>3</v>
      </c>
      <c r="T1414">
        <v>711.71706763776342</v>
      </c>
      <c r="U1414">
        <v>4</v>
      </c>
      <c r="V1414">
        <v>29</v>
      </c>
      <c r="W1414">
        <v>1</v>
      </c>
      <c r="X1414">
        <v>29</v>
      </c>
      <c r="Y1414">
        <v>518</v>
      </c>
      <c r="Z1414">
        <v>801.45781285603209</v>
      </c>
      <c r="AA1414">
        <v>198</v>
      </c>
      <c r="AB1414">
        <v>332</v>
      </c>
      <c r="AC1414">
        <v>536</v>
      </c>
      <c r="AD1414">
        <v>28.93</v>
      </c>
      <c r="AE1414">
        <v>542</v>
      </c>
      <c r="AF1414">
        <v>28</v>
      </c>
      <c r="AG1414">
        <v>168</v>
      </c>
      <c r="AH1414">
        <v>129</v>
      </c>
      <c r="AI1414">
        <v>5.17</v>
      </c>
      <c r="AJ1414">
        <v>31</v>
      </c>
      <c r="AK1414">
        <v>23.8</v>
      </c>
      <c r="AL1414">
        <v>-20.165865449999959</v>
      </c>
      <c r="AM1414">
        <v>-44.865240434761468</v>
      </c>
      <c r="AN1414">
        <v>-20.165865449999959</v>
      </c>
      <c r="AO1414">
        <v>-44.865240434761468</v>
      </c>
      <c r="AP1414">
        <v>-20.165887999999999</v>
      </c>
      <c r="AQ1414">
        <v>-44.865220000000001</v>
      </c>
      <c r="AR1414">
        <v>3.2956262004279409</v>
      </c>
      <c r="AS1414" t="s">
        <v>65</v>
      </c>
      <c r="AT1414">
        <v>1</v>
      </c>
      <c r="AU1414" t="s">
        <v>927</v>
      </c>
      <c r="AV1414" t="s">
        <v>928</v>
      </c>
      <c r="AW1414" t="s">
        <v>60</v>
      </c>
      <c r="AX1414" t="s">
        <v>68</v>
      </c>
      <c r="AY1414" t="s">
        <v>69</v>
      </c>
      <c r="AZ1414" t="b">
        <v>1</v>
      </c>
    </row>
    <row r="1415" spans="1:52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2142</v>
      </c>
      <c r="F1415" t="s">
        <v>190</v>
      </c>
      <c r="G1415" t="s">
        <v>946</v>
      </c>
      <c r="H1415" t="s">
        <v>947</v>
      </c>
      <c r="I1415" t="s">
        <v>947</v>
      </c>
      <c r="J1415" t="s">
        <v>60</v>
      </c>
      <c r="K1415" t="s">
        <v>193</v>
      </c>
      <c r="L1415" t="s">
        <v>62</v>
      </c>
      <c r="M1415" t="s">
        <v>193</v>
      </c>
      <c r="N1415" t="s">
        <v>948</v>
      </c>
      <c r="O1415" t="s">
        <v>949</v>
      </c>
      <c r="P1415">
        <v>-20.141646000000001</v>
      </c>
      <c r="Q1415">
        <v>-44.920682999999997</v>
      </c>
      <c r="R1415" s="2" t="str">
        <f>HYPERLINK("https://www.google.com/maps?q=-20.1416460,-44.9206830","Abrir no Google Maps")</f>
        <v>Abrir no Google Maps</v>
      </c>
      <c r="S1415">
        <v>3</v>
      </c>
      <c r="T1415">
        <v>538.41742581974165</v>
      </c>
      <c r="U1415">
        <v>4</v>
      </c>
      <c r="V1415">
        <v>28</v>
      </c>
      <c r="W1415">
        <v>1</v>
      </c>
      <c r="X1415">
        <v>28</v>
      </c>
      <c r="Y1415">
        <v>508</v>
      </c>
      <c r="Z1415">
        <v>459.99626097363068</v>
      </c>
      <c r="AA1415">
        <v>198</v>
      </c>
      <c r="AB1415">
        <v>332</v>
      </c>
      <c r="AC1415">
        <v>536</v>
      </c>
      <c r="AD1415">
        <v>28.93</v>
      </c>
      <c r="AE1415">
        <v>542</v>
      </c>
      <c r="AF1415">
        <v>28</v>
      </c>
      <c r="AG1415">
        <v>168</v>
      </c>
      <c r="AH1415">
        <v>129</v>
      </c>
      <c r="AI1415">
        <v>5.17</v>
      </c>
      <c r="AJ1415">
        <v>31</v>
      </c>
      <c r="AK1415">
        <v>23.8</v>
      </c>
      <c r="AL1415">
        <v>-20.141877549999979</v>
      </c>
      <c r="AM1415">
        <v>-44.920658074778594</v>
      </c>
      <c r="AN1415">
        <v>-20.141877549999979</v>
      </c>
      <c r="AO1415">
        <v>-44.920658074778594</v>
      </c>
      <c r="AP1415">
        <v>-20.141646000000001</v>
      </c>
      <c r="AQ1415">
        <v>-44.920682999999997</v>
      </c>
      <c r="AR1415">
        <v>25.907443828287509</v>
      </c>
      <c r="AS1415" t="s">
        <v>65</v>
      </c>
      <c r="AT1415">
        <v>1</v>
      </c>
      <c r="AU1415" t="s">
        <v>950</v>
      </c>
      <c r="AV1415" t="s">
        <v>951</v>
      </c>
      <c r="AW1415" t="s">
        <v>60</v>
      </c>
      <c r="AX1415" t="s">
        <v>68</v>
      </c>
      <c r="AY1415" t="s">
        <v>69</v>
      </c>
      <c r="AZ1415" t="b">
        <v>1</v>
      </c>
    </row>
    <row r="1416" spans="1:52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2142</v>
      </c>
      <c r="F1416" t="s">
        <v>190</v>
      </c>
      <c r="G1416" t="s">
        <v>957</v>
      </c>
      <c r="H1416" t="s">
        <v>958</v>
      </c>
      <c r="I1416" t="s">
        <v>958</v>
      </c>
      <c r="J1416" t="s">
        <v>60</v>
      </c>
      <c r="K1416" t="s">
        <v>262</v>
      </c>
      <c r="L1416" t="s">
        <v>62</v>
      </c>
      <c r="M1416" t="s">
        <v>262</v>
      </c>
      <c r="N1416" t="s">
        <v>959</v>
      </c>
      <c r="O1416" t="s">
        <v>960</v>
      </c>
      <c r="P1416">
        <v>-20.165469999999999</v>
      </c>
      <c r="Q1416">
        <v>-44.854308000000003</v>
      </c>
      <c r="R1416" s="2" t="str">
        <f>HYPERLINK("https://www.google.com/maps?q=-20.1654700,-44.8543080","Abrir no Google Maps")</f>
        <v>Abrir no Google Maps</v>
      </c>
      <c r="S1416">
        <v>3</v>
      </c>
      <c r="T1416">
        <v>555.06043712641599</v>
      </c>
      <c r="U1416">
        <v>4</v>
      </c>
      <c r="V1416">
        <v>26</v>
      </c>
      <c r="W1416">
        <v>1</v>
      </c>
      <c r="X1416">
        <v>26</v>
      </c>
      <c r="Y1416">
        <v>491</v>
      </c>
      <c r="Z1416">
        <v>423.16855805320131</v>
      </c>
      <c r="AA1416">
        <v>198</v>
      </c>
      <c r="AB1416">
        <v>332</v>
      </c>
      <c r="AC1416">
        <v>536</v>
      </c>
      <c r="AD1416">
        <v>28.93</v>
      </c>
      <c r="AE1416">
        <v>542</v>
      </c>
      <c r="AF1416">
        <v>28</v>
      </c>
      <c r="AG1416">
        <v>168</v>
      </c>
      <c r="AH1416">
        <v>129</v>
      </c>
      <c r="AI1416">
        <v>5.17</v>
      </c>
      <c r="AJ1416">
        <v>31</v>
      </c>
      <c r="AK1416">
        <v>23.8</v>
      </c>
      <c r="AL1416">
        <v>-20.165538449999961</v>
      </c>
      <c r="AM1416">
        <v>-44.854274624633042</v>
      </c>
      <c r="AN1416">
        <v>-20.165538449999961</v>
      </c>
      <c r="AO1416">
        <v>-44.854274624633042</v>
      </c>
      <c r="AP1416">
        <v>-20.165469999999999</v>
      </c>
      <c r="AQ1416">
        <v>-44.854308000000003</v>
      </c>
      <c r="AR1416">
        <v>8.3800661572970956</v>
      </c>
      <c r="AS1416" t="s">
        <v>65</v>
      </c>
      <c r="AT1416">
        <v>1</v>
      </c>
      <c r="AU1416" t="s">
        <v>961</v>
      </c>
      <c r="AV1416" t="s">
        <v>962</v>
      </c>
      <c r="AW1416" t="s">
        <v>60</v>
      </c>
      <c r="AX1416" t="s">
        <v>68</v>
      </c>
      <c r="AY1416" t="s">
        <v>69</v>
      </c>
      <c r="AZ1416" t="b">
        <v>1</v>
      </c>
    </row>
    <row r="1417" spans="1:52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2142</v>
      </c>
      <c r="F1417" t="s">
        <v>190</v>
      </c>
      <c r="G1417" t="s">
        <v>968</v>
      </c>
      <c r="H1417" t="s">
        <v>969</v>
      </c>
      <c r="I1417" t="s">
        <v>969</v>
      </c>
      <c r="J1417" t="s">
        <v>60</v>
      </c>
      <c r="K1417" t="s">
        <v>262</v>
      </c>
      <c r="L1417" t="s">
        <v>62</v>
      </c>
      <c r="M1417" t="s">
        <v>262</v>
      </c>
      <c r="N1417" t="s">
        <v>970</v>
      </c>
      <c r="O1417" t="s">
        <v>971</v>
      </c>
      <c r="P1417">
        <v>-20.163060999999999</v>
      </c>
      <c r="Q1417">
        <v>-44.854047000000001</v>
      </c>
      <c r="R1417" s="2" t="str">
        <f>HYPERLINK("https://www.google.com/maps?q=-20.1630610,-44.8540470","Abrir no Google Maps")</f>
        <v>Abrir no Google Maps</v>
      </c>
      <c r="S1417">
        <v>3</v>
      </c>
      <c r="T1417">
        <v>418.63868463200271</v>
      </c>
      <c r="U1417">
        <v>4</v>
      </c>
      <c r="V1417">
        <v>23</v>
      </c>
      <c r="W1417">
        <v>1</v>
      </c>
      <c r="X1417">
        <v>23</v>
      </c>
      <c r="Y1417">
        <v>491</v>
      </c>
      <c r="Z1417">
        <v>339.19068595447408</v>
      </c>
      <c r="AA1417">
        <v>198</v>
      </c>
      <c r="AB1417">
        <v>332</v>
      </c>
      <c r="AC1417">
        <v>536</v>
      </c>
      <c r="AD1417">
        <v>28.93</v>
      </c>
      <c r="AE1417">
        <v>542</v>
      </c>
      <c r="AF1417">
        <v>28</v>
      </c>
      <c r="AG1417">
        <v>168</v>
      </c>
      <c r="AH1417">
        <v>129</v>
      </c>
      <c r="AI1417">
        <v>5.17</v>
      </c>
      <c r="AJ1417">
        <v>31</v>
      </c>
      <c r="AK1417">
        <v>23.8</v>
      </c>
      <c r="AL1417">
        <v>-20.163118949999959</v>
      </c>
      <c r="AM1417">
        <v>-44.854106723889032</v>
      </c>
      <c r="AN1417">
        <v>-20.163118949999959</v>
      </c>
      <c r="AO1417">
        <v>-44.854106723889032</v>
      </c>
      <c r="AP1417">
        <v>-20.163060999999999</v>
      </c>
      <c r="AQ1417">
        <v>-44.854047000000001</v>
      </c>
      <c r="AR1417">
        <v>8.9758322935491428</v>
      </c>
      <c r="AS1417" t="s">
        <v>65</v>
      </c>
      <c r="AT1417">
        <v>1</v>
      </c>
      <c r="AU1417" t="s">
        <v>972</v>
      </c>
      <c r="AV1417" t="s">
        <v>973</v>
      </c>
      <c r="AW1417" t="s">
        <v>60</v>
      </c>
      <c r="AX1417" t="s">
        <v>68</v>
      </c>
      <c r="AY1417" t="s">
        <v>69</v>
      </c>
      <c r="AZ1417" t="b">
        <v>1</v>
      </c>
    </row>
    <row r="1418" spans="1:52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2142</v>
      </c>
      <c r="F1418" t="s">
        <v>190</v>
      </c>
      <c r="G1418" t="s">
        <v>974</v>
      </c>
      <c r="H1418" t="s">
        <v>975</v>
      </c>
      <c r="I1418" t="s">
        <v>975</v>
      </c>
      <c r="J1418" t="s">
        <v>60</v>
      </c>
      <c r="K1418" t="s">
        <v>702</v>
      </c>
      <c r="L1418" t="s">
        <v>62</v>
      </c>
      <c r="M1418" t="s">
        <v>702</v>
      </c>
      <c r="N1418" t="s">
        <v>976</v>
      </c>
      <c r="O1418" t="s">
        <v>977</v>
      </c>
      <c r="P1418">
        <v>-20.167021999999999</v>
      </c>
      <c r="Q1418">
        <v>-44.863095000000001</v>
      </c>
      <c r="R1418" s="2" t="str">
        <f>HYPERLINK("https://www.google.com/maps?q=-20.1670220,-44.8630950","Abrir no Google Maps")</f>
        <v>Abrir no Google Maps</v>
      </c>
      <c r="S1418">
        <v>3</v>
      </c>
      <c r="T1418">
        <v>629.02897442495839</v>
      </c>
      <c r="U1418">
        <v>4</v>
      </c>
      <c r="V1418">
        <v>30</v>
      </c>
      <c r="W1418">
        <v>1</v>
      </c>
      <c r="X1418">
        <v>30</v>
      </c>
      <c r="Y1418">
        <v>491</v>
      </c>
      <c r="Z1418">
        <v>693.48000708961661</v>
      </c>
      <c r="AA1418">
        <v>198</v>
      </c>
      <c r="AB1418">
        <v>332</v>
      </c>
      <c r="AC1418">
        <v>536</v>
      </c>
      <c r="AD1418">
        <v>28.93</v>
      </c>
      <c r="AE1418">
        <v>542</v>
      </c>
      <c r="AF1418">
        <v>28</v>
      </c>
      <c r="AG1418">
        <v>168</v>
      </c>
      <c r="AH1418">
        <v>129</v>
      </c>
      <c r="AI1418">
        <v>5.17</v>
      </c>
      <c r="AJ1418">
        <v>31</v>
      </c>
      <c r="AK1418">
        <v>23.8</v>
      </c>
      <c r="AL1418">
        <v>-20.167032199999941</v>
      </c>
      <c r="AM1418">
        <v>-44.863123980291967</v>
      </c>
      <c r="AN1418">
        <v>-20.167032199999941</v>
      </c>
      <c r="AO1418">
        <v>-44.863123980291967</v>
      </c>
      <c r="AP1418">
        <v>-20.167021999999999</v>
      </c>
      <c r="AQ1418">
        <v>-44.863095000000001</v>
      </c>
      <c r="AR1418">
        <v>3.2341734571542871</v>
      </c>
      <c r="AS1418" t="s">
        <v>65</v>
      </c>
      <c r="AT1418">
        <v>1</v>
      </c>
      <c r="AU1418" t="s">
        <v>978</v>
      </c>
      <c r="AV1418" t="s">
        <v>979</v>
      </c>
      <c r="AW1418" t="s">
        <v>60</v>
      </c>
      <c r="AX1418" t="s">
        <v>68</v>
      </c>
      <c r="AY1418" t="s">
        <v>69</v>
      </c>
      <c r="AZ1418" t="b">
        <v>1</v>
      </c>
    </row>
    <row r="1419" spans="1:52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2142</v>
      </c>
      <c r="F1419" t="s">
        <v>190</v>
      </c>
      <c r="G1419" t="s">
        <v>986</v>
      </c>
      <c r="H1419" t="s">
        <v>987</v>
      </c>
      <c r="I1419" t="s">
        <v>987</v>
      </c>
      <c r="J1419" t="s">
        <v>60</v>
      </c>
      <c r="K1419" t="s">
        <v>702</v>
      </c>
      <c r="L1419" t="s">
        <v>62</v>
      </c>
      <c r="M1419" t="s">
        <v>702</v>
      </c>
      <c r="N1419" t="s">
        <v>988</v>
      </c>
      <c r="O1419" t="s">
        <v>989</v>
      </c>
      <c r="P1419">
        <v>-20.1691</v>
      </c>
      <c r="Q1419">
        <v>-44.860813999999998</v>
      </c>
      <c r="R1419" s="2" t="str">
        <f>HYPERLINK("https://www.google.com/maps?q=-20.1691000,-44.8608140","Abrir no Google Maps")</f>
        <v>Abrir no Google Maps</v>
      </c>
      <c r="S1419">
        <v>3</v>
      </c>
      <c r="T1419">
        <v>596.11124105675003</v>
      </c>
      <c r="U1419">
        <v>4</v>
      </c>
      <c r="V1419">
        <v>35</v>
      </c>
      <c r="W1419">
        <v>1</v>
      </c>
      <c r="X1419">
        <v>35</v>
      </c>
      <c r="Y1419">
        <v>491</v>
      </c>
      <c r="Z1419">
        <v>741.65354053819078</v>
      </c>
      <c r="AA1419">
        <v>198</v>
      </c>
      <c r="AB1419">
        <v>332</v>
      </c>
      <c r="AC1419">
        <v>536</v>
      </c>
      <c r="AD1419">
        <v>28.93</v>
      </c>
      <c r="AE1419">
        <v>542</v>
      </c>
      <c r="AF1419">
        <v>28</v>
      </c>
      <c r="AG1419">
        <v>168</v>
      </c>
      <c r="AH1419">
        <v>129</v>
      </c>
      <c r="AI1419">
        <v>5.17</v>
      </c>
      <c r="AJ1419">
        <v>31</v>
      </c>
      <c r="AK1419">
        <v>23.8</v>
      </c>
      <c r="AL1419">
        <v>-20.168995449999951</v>
      </c>
      <c r="AM1419">
        <v>-44.86088900357106</v>
      </c>
      <c r="AN1419">
        <v>-20.168995449999951</v>
      </c>
      <c r="AO1419">
        <v>-44.86088900357106</v>
      </c>
      <c r="AP1419">
        <v>-20.1691</v>
      </c>
      <c r="AQ1419">
        <v>-44.860813999999998</v>
      </c>
      <c r="AR1419">
        <v>14.03138702725616</v>
      </c>
      <c r="AS1419" t="s">
        <v>65</v>
      </c>
      <c r="AT1419">
        <v>1</v>
      </c>
      <c r="AU1419" t="s">
        <v>990</v>
      </c>
      <c r="AV1419" t="s">
        <v>991</v>
      </c>
      <c r="AW1419" t="s">
        <v>60</v>
      </c>
      <c r="AX1419" t="s">
        <v>68</v>
      </c>
      <c r="AY1419" t="s">
        <v>69</v>
      </c>
      <c r="AZ1419" t="b">
        <v>1</v>
      </c>
    </row>
    <row r="1420" spans="1:52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2142</v>
      </c>
      <c r="F1420" t="s">
        <v>190</v>
      </c>
      <c r="G1420" t="s">
        <v>643</v>
      </c>
      <c r="H1420" t="s">
        <v>644</v>
      </c>
      <c r="I1420" t="s">
        <v>644</v>
      </c>
      <c r="J1420" t="s">
        <v>60</v>
      </c>
      <c r="K1420" t="s">
        <v>462</v>
      </c>
      <c r="L1420" t="s">
        <v>62</v>
      </c>
      <c r="M1420" t="s">
        <v>462</v>
      </c>
      <c r="N1420" t="s">
        <v>645</v>
      </c>
      <c r="O1420" t="s">
        <v>646</v>
      </c>
      <c r="P1420">
        <v>-20.138680000000001</v>
      </c>
      <c r="Q1420">
        <v>-44.901313000000002</v>
      </c>
      <c r="R1420" s="2" t="str">
        <f>HYPERLINK("https://www.google.com/maps?q=-20.1386800,-44.9013130","Abrir no Google Maps")</f>
        <v>Abrir no Google Maps</v>
      </c>
      <c r="S1420">
        <v>3</v>
      </c>
      <c r="T1420">
        <v>322.91859681380862</v>
      </c>
      <c r="U1420">
        <v>4</v>
      </c>
      <c r="V1420">
        <v>29</v>
      </c>
      <c r="W1420">
        <v>1</v>
      </c>
      <c r="X1420">
        <v>29</v>
      </c>
      <c r="Y1420">
        <v>435</v>
      </c>
      <c r="Z1420">
        <v>299.891766434874</v>
      </c>
      <c r="AA1420">
        <v>198</v>
      </c>
      <c r="AB1420">
        <v>332</v>
      </c>
      <c r="AC1420">
        <v>536</v>
      </c>
      <c r="AD1420">
        <v>28.93</v>
      </c>
      <c r="AE1420">
        <v>542</v>
      </c>
      <c r="AF1420">
        <v>28</v>
      </c>
      <c r="AG1420">
        <v>168</v>
      </c>
      <c r="AH1420">
        <v>129</v>
      </c>
      <c r="AI1420">
        <v>5.17</v>
      </c>
      <c r="AJ1420">
        <v>31</v>
      </c>
      <c r="AK1420">
        <v>23.8</v>
      </c>
      <c r="AL1420">
        <v>-20.13865734999996</v>
      </c>
      <c r="AM1420">
        <v>-44.901255803238627</v>
      </c>
      <c r="AN1420">
        <v>-20.13865734999996</v>
      </c>
      <c r="AO1420">
        <v>-44.901255803238627</v>
      </c>
      <c r="AP1420">
        <v>-20.138680000000001</v>
      </c>
      <c r="AQ1420">
        <v>-44.901313000000002</v>
      </c>
      <c r="AR1420">
        <v>6.4878640135702481</v>
      </c>
      <c r="AS1420" t="s">
        <v>65</v>
      </c>
      <c r="AT1420">
        <v>1</v>
      </c>
      <c r="AU1420" t="s">
        <v>647</v>
      </c>
      <c r="AV1420" t="s">
        <v>648</v>
      </c>
      <c r="AW1420" t="s">
        <v>60</v>
      </c>
      <c r="AX1420" t="s">
        <v>68</v>
      </c>
      <c r="AY1420" t="s">
        <v>69</v>
      </c>
      <c r="AZ1420" t="b">
        <v>1</v>
      </c>
    </row>
    <row r="1421" spans="1:52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2142</v>
      </c>
      <c r="F1421" t="s">
        <v>190</v>
      </c>
      <c r="G1421" t="s">
        <v>649</v>
      </c>
      <c r="H1421" t="s">
        <v>650</v>
      </c>
      <c r="I1421" t="s">
        <v>650</v>
      </c>
      <c r="J1421" t="s">
        <v>60</v>
      </c>
      <c r="K1421" t="s">
        <v>651</v>
      </c>
      <c r="L1421" t="s">
        <v>62</v>
      </c>
      <c r="M1421" t="s">
        <v>651</v>
      </c>
      <c r="N1421" t="s">
        <v>652</v>
      </c>
      <c r="O1421" t="s">
        <v>653</v>
      </c>
      <c r="P1421">
        <v>-20.134566</v>
      </c>
      <c r="Q1421">
        <v>-44.894970999999998</v>
      </c>
      <c r="R1421" s="2" t="str">
        <f>HYPERLINK("https://www.google.com/maps?q=-20.1345660,-44.8949710","Abrir no Google Maps")</f>
        <v>Abrir no Google Maps</v>
      </c>
      <c r="S1421">
        <v>3</v>
      </c>
      <c r="T1421">
        <v>722.088947634291</v>
      </c>
      <c r="U1421">
        <v>4</v>
      </c>
      <c r="V1421">
        <v>29</v>
      </c>
      <c r="W1421">
        <v>1</v>
      </c>
      <c r="X1421">
        <v>29</v>
      </c>
      <c r="Y1421">
        <v>435</v>
      </c>
      <c r="Z1421">
        <v>510.93480096112631</v>
      </c>
      <c r="AA1421">
        <v>198</v>
      </c>
      <c r="AB1421">
        <v>332</v>
      </c>
      <c r="AC1421">
        <v>536</v>
      </c>
      <c r="AD1421">
        <v>28.93</v>
      </c>
      <c r="AE1421">
        <v>542</v>
      </c>
      <c r="AF1421">
        <v>28</v>
      </c>
      <c r="AG1421">
        <v>168</v>
      </c>
      <c r="AH1421">
        <v>129</v>
      </c>
      <c r="AI1421">
        <v>5.17</v>
      </c>
      <c r="AJ1421">
        <v>31</v>
      </c>
      <c r="AK1421">
        <v>23.8</v>
      </c>
      <c r="AL1421">
        <v>-20.134477649999951</v>
      </c>
      <c r="AM1421">
        <v>-44.894921468906077</v>
      </c>
      <c r="AN1421">
        <v>-20.134477649999951</v>
      </c>
      <c r="AO1421">
        <v>-44.894921468906077</v>
      </c>
      <c r="AP1421">
        <v>-20.134566</v>
      </c>
      <c r="AQ1421">
        <v>-44.894970999999998</v>
      </c>
      <c r="AR1421">
        <v>11.114372522967921</v>
      </c>
      <c r="AS1421" t="s">
        <v>65</v>
      </c>
      <c r="AT1421">
        <v>1</v>
      </c>
      <c r="AU1421" t="s">
        <v>654</v>
      </c>
      <c r="AV1421" t="s">
        <v>655</v>
      </c>
      <c r="AW1421" t="s">
        <v>60</v>
      </c>
      <c r="AX1421" t="s">
        <v>68</v>
      </c>
      <c r="AY1421" t="s">
        <v>69</v>
      </c>
      <c r="AZ1421" t="b">
        <v>1</v>
      </c>
    </row>
    <row r="1422" spans="1:52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2142</v>
      </c>
      <c r="F1422" t="s">
        <v>190</v>
      </c>
      <c r="G1422" t="s">
        <v>656</v>
      </c>
      <c r="H1422" t="s">
        <v>657</v>
      </c>
      <c r="I1422" t="s">
        <v>657</v>
      </c>
      <c r="J1422" t="s">
        <v>60</v>
      </c>
      <c r="K1422" t="s">
        <v>651</v>
      </c>
      <c r="L1422" t="s">
        <v>62</v>
      </c>
      <c r="M1422" t="s">
        <v>651</v>
      </c>
      <c r="N1422" t="s">
        <v>658</v>
      </c>
      <c r="O1422" t="s">
        <v>659</v>
      </c>
      <c r="P1422">
        <v>-20.134922</v>
      </c>
      <c r="Q1422">
        <v>-44.893098000000002</v>
      </c>
      <c r="R1422" s="2" t="str">
        <f>HYPERLINK("https://www.google.com/maps?q=-20.1349220,-44.8930980","Abrir no Google Maps")</f>
        <v>Abrir no Google Maps</v>
      </c>
      <c r="S1422">
        <v>3</v>
      </c>
      <c r="T1422">
        <v>589.83980259734562</v>
      </c>
      <c r="U1422">
        <v>4</v>
      </c>
      <c r="V1422">
        <v>28</v>
      </c>
      <c r="W1422">
        <v>1</v>
      </c>
      <c r="X1422">
        <v>28</v>
      </c>
      <c r="Y1422">
        <v>435</v>
      </c>
      <c r="Z1422">
        <v>663.80986080131709</v>
      </c>
      <c r="AA1422">
        <v>198</v>
      </c>
      <c r="AB1422">
        <v>332</v>
      </c>
      <c r="AC1422">
        <v>536</v>
      </c>
      <c r="AD1422">
        <v>28.93</v>
      </c>
      <c r="AE1422">
        <v>542</v>
      </c>
      <c r="AF1422">
        <v>28</v>
      </c>
      <c r="AG1422">
        <v>168</v>
      </c>
      <c r="AH1422">
        <v>129</v>
      </c>
      <c r="AI1422">
        <v>5.17</v>
      </c>
      <c r="AJ1422">
        <v>31</v>
      </c>
      <c r="AK1422">
        <v>23.8</v>
      </c>
      <c r="AL1422">
        <v>-20.135021049999949</v>
      </c>
      <c r="AM1422">
        <v>-44.893227478208203</v>
      </c>
      <c r="AN1422">
        <v>-20.135021049999949</v>
      </c>
      <c r="AO1422">
        <v>-44.893227478208203</v>
      </c>
      <c r="AP1422">
        <v>-20.134922</v>
      </c>
      <c r="AQ1422">
        <v>-44.893098000000002</v>
      </c>
      <c r="AR1422">
        <v>17.455940349902249</v>
      </c>
      <c r="AS1422" t="s">
        <v>65</v>
      </c>
      <c r="AT1422">
        <v>1</v>
      </c>
      <c r="AU1422" t="s">
        <v>660</v>
      </c>
      <c r="AV1422" t="s">
        <v>661</v>
      </c>
      <c r="AW1422" t="s">
        <v>60</v>
      </c>
      <c r="AX1422" t="s">
        <v>68</v>
      </c>
      <c r="AY1422" t="s">
        <v>69</v>
      </c>
      <c r="AZ1422" t="b">
        <v>1</v>
      </c>
    </row>
    <row r="1423" spans="1:52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2142</v>
      </c>
      <c r="F1423" t="s">
        <v>190</v>
      </c>
      <c r="G1423" t="s">
        <v>669</v>
      </c>
      <c r="H1423" t="s">
        <v>670</v>
      </c>
      <c r="I1423" t="s">
        <v>670</v>
      </c>
      <c r="J1423" t="s">
        <v>60</v>
      </c>
      <c r="K1423" t="s">
        <v>530</v>
      </c>
      <c r="L1423" t="s">
        <v>62</v>
      </c>
      <c r="M1423" t="s">
        <v>530</v>
      </c>
      <c r="N1423" t="s">
        <v>671</v>
      </c>
      <c r="O1423" t="s">
        <v>672</v>
      </c>
      <c r="P1423">
        <v>-20.139036999999998</v>
      </c>
      <c r="Q1423">
        <v>-44.889187</v>
      </c>
      <c r="R1423" s="2" t="str">
        <f>HYPERLINK("https://www.google.com/maps?q=-20.1390370,-44.8891870","Abrir no Google Maps")</f>
        <v>Abrir no Google Maps</v>
      </c>
      <c r="S1423">
        <v>3</v>
      </c>
      <c r="T1423">
        <v>162.03713995333371</v>
      </c>
      <c r="U1423">
        <v>4</v>
      </c>
      <c r="V1423">
        <v>27</v>
      </c>
      <c r="W1423">
        <v>1</v>
      </c>
      <c r="X1423">
        <v>27</v>
      </c>
      <c r="Y1423">
        <v>428</v>
      </c>
      <c r="Z1423">
        <v>126.21352118044651</v>
      </c>
      <c r="AA1423">
        <v>198</v>
      </c>
      <c r="AB1423">
        <v>332</v>
      </c>
      <c r="AC1423">
        <v>536</v>
      </c>
      <c r="AD1423">
        <v>28.93</v>
      </c>
      <c r="AE1423">
        <v>542</v>
      </c>
      <c r="AF1423">
        <v>28</v>
      </c>
      <c r="AG1423">
        <v>168</v>
      </c>
      <c r="AH1423">
        <v>129</v>
      </c>
      <c r="AI1423">
        <v>5.17</v>
      </c>
      <c r="AJ1423">
        <v>31</v>
      </c>
      <c r="AK1423">
        <v>23.8</v>
      </c>
      <c r="AL1423">
        <v>-20.13900394999996</v>
      </c>
      <c r="AM1423">
        <v>-44.889298503583859</v>
      </c>
      <c r="AN1423">
        <v>-20.13900394999996</v>
      </c>
      <c r="AO1423">
        <v>-44.889298503583859</v>
      </c>
      <c r="AP1423">
        <v>-20.139036999999998</v>
      </c>
      <c r="AQ1423">
        <v>-44.889187</v>
      </c>
      <c r="AR1423">
        <v>12.220642731957311</v>
      </c>
      <c r="AS1423" t="s">
        <v>65</v>
      </c>
      <c r="AT1423">
        <v>1</v>
      </c>
      <c r="AU1423" t="s">
        <v>673</v>
      </c>
      <c r="AV1423" t="s">
        <v>674</v>
      </c>
      <c r="AW1423" t="s">
        <v>60</v>
      </c>
      <c r="AX1423" t="s">
        <v>68</v>
      </c>
      <c r="AY1423" t="s">
        <v>69</v>
      </c>
      <c r="AZ1423" t="b">
        <v>1</v>
      </c>
    </row>
    <row r="1424" spans="1:52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2142</v>
      </c>
      <c r="F1424" t="s">
        <v>190</v>
      </c>
      <c r="G1424" t="s">
        <v>675</v>
      </c>
      <c r="H1424" t="s">
        <v>676</v>
      </c>
      <c r="I1424" t="s">
        <v>676</v>
      </c>
      <c r="J1424" t="s">
        <v>60</v>
      </c>
      <c r="K1424" t="s">
        <v>530</v>
      </c>
      <c r="L1424" t="s">
        <v>62</v>
      </c>
      <c r="M1424" t="s">
        <v>530</v>
      </c>
      <c r="N1424" t="s">
        <v>677</v>
      </c>
      <c r="O1424" t="s">
        <v>678</v>
      </c>
      <c r="P1424">
        <v>-20.140103</v>
      </c>
      <c r="Q1424">
        <v>-44.887059999999998</v>
      </c>
      <c r="R1424" s="2" t="str">
        <f>HYPERLINK("https://www.google.com/maps?q=-20.1401030,-44.8870600","Abrir no Google Maps")</f>
        <v>Abrir no Google Maps</v>
      </c>
      <c r="S1424">
        <v>3</v>
      </c>
      <c r="T1424">
        <v>202.19329492684349</v>
      </c>
      <c r="U1424">
        <v>4</v>
      </c>
      <c r="V1424">
        <v>33</v>
      </c>
      <c r="W1424">
        <v>1</v>
      </c>
      <c r="X1424">
        <v>33</v>
      </c>
      <c r="Y1424">
        <v>428</v>
      </c>
      <c r="Z1424">
        <v>144.95603883960419</v>
      </c>
      <c r="AA1424">
        <v>198</v>
      </c>
      <c r="AB1424">
        <v>332</v>
      </c>
      <c r="AC1424">
        <v>536</v>
      </c>
      <c r="AD1424">
        <v>28.93</v>
      </c>
      <c r="AE1424">
        <v>542</v>
      </c>
      <c r="AF1424">
        <v>28</v>
      </c>
      <c r="AG1424">
        <v>168</v>
      </c>
      <c r="AH1424">
        <v>129</v>
      </c>
      <c r="AI1424">
        <v>5.17</v>
      </c>
      <c r="AJ1424">
        <v>31</v>
      </c>
      <c r="AK1424">
        <v>23.8</v>
      </c>
      <c r="AL1424">
        <v>-20.13997164999995</v>
      </c>
      <c r="AM1424">
        <v>-44.887075246455773</v>
      </c>
      <c r="AN1424">
        <v>-20.13997164999995</v>
      </c>
      <c r="AO1424">
        <v>-44.887075246455773</v>
      </c>
      <c r="AP1424">
        <v>-20.140103</v>
      </c>
      <c r="AQ1424">
        <v>-44.887059999999998</v>
      </c>
      <c r="AR1424">
        <v>14.7084512385181</v>
      </c>
      <c r="AS1424" t="s">
        <v>65</v>
      </c>
      <c r="AT1424">
        <v>1</v>
      </c>
      <c r="AU1424" t="s">
        <v>679</v>
      </c>
      <c r="AV1424" t="s">
        <v>680</v>
      </c>
      <c r="AW1424" t="s">
        <v>60</v>
      </c>
      <c r="AX1424" t="s">
        <v>68</v>
      </c>
      <c r="AY1424" t="s">
        <v>69</v>
      </c>
      <c r="AZ1424" t="b">
        <v>1</v>
      </c>
    </row>
    <row r="1425" spans="1:52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2142</v>
      </c>
      <c r="F1425" t="s">
        <v>190</v>
      </c>
      <c r="G1425" t="s">
        <v>681</v>
      </c>
      <c r="H1425" t="s">
        <v>682</v>
      </c>
      <c r="I1425" t="s">
        <v>682</v>
      </c>
      <c r="J1425" t="s">
        <v>60</v>
      </c>
      <c r="K1425" t="s">
        <v>530</v>
      </c>
      <c r="L1425" t="s">
        <v>62</v>
      </c>
      <c r="M1425" t="s">
        <v>530</v>
      </c>
      <c r="N1425" t="s">
        <v>683</v>
      </c>
      <c r="O1425" t="s">
        <v>173</v>
      </c>
      <c r="P1425">
        <v>-20.138342999999999</v>
      </c>
      <c r="Q1425">
        <v>-44.887732</v>
      </c>
      <c r="R1425" s="2" t="str">
        <f>HYPERLINK("https://www.google.com/maps?q=-20.1383430,-44.8877320","Abrir no Google Maps")</f>
        <v>Abrir no Google Maps</v>
      </c>
      <c r="S1425">
        <v>3</v>
      </c>
      <c r="T1425">
        <v>0</v>
      </c>
      <c r="U1425">
        <v>4</v>
      </c>
      <c r="V1425">
        <v>25</v>
      </c>
      <c r="W1425">
        <v>1</v>
      </c>
      <c r="X1425">
        <v>25</v>
      </c>
      <c r="Y1425">
        <v>428</v>
      </c>
      <c r="Z1425">
        <v>82.685534812530861</v>
      </c>
      <c r="AA1425">
        <v>198</v>
      </c>
      <c r="AB1425">
        <v>332</v>
      </c>
      <c r="AC1425">
        <v>536</v>
      </c>
      <c r="AD1425">
        <v>28.93</v>
      </c>
      <c r="AE1425">
        <v>542</v>
      </c>
      <c r="AF1425">
        <v>28</v>
      </c>
      <c r="AG1425">
        <v>168</v>
      </c>
      <c r="AH1425">
        <v>129</v>
      </c>
      <c r="AI1425">
        <v>5.17</v>
      </c>
      <c r="AJ1425">
        <v>31</v>
      </c>
      <c r="AK1425">
        <v>23.8</v>
      </c>
      <c r="AL1425">
        <v>-20.138329099999961</v>
      </c>
      <c r="AM1425">
        <v>-44.887922589375549</v>
      </c>
      <c r="AN1425">
        <v>-20.138329099999961</v>
      </c>
      <c r="AO1425">
        <v>-44.887922589375549</v>
      </c>
      <c r="AP1425">
        <v>-20.138342999999999</v>
      </c>
      <c r="AQ1425">
        <v>-44.887732</v>
      </c>
      <c r="AR1425">
        <v>19.979335127307191</v>
      </c>
      <c r="AS1425" t="s">
        <v>65</v>
      </c>
      <c r="AT1425">
        <v>1</v>
      </c>
      <c r="AU1425" t="s">
        <v>684</v>
      </c>
      <c r="AV1425" t="s">
        <v>685</v>
      </c>
      <c r="AW1425" t="s">
        <v>60</v>
      </c>
      <c r="AX1425" t="s">
        <v>68</v>
      </c>
      <c r="AY1425" t="s">
        <v>69</v>
      </c>
      <c r="AZ1425" t="b">
        <v>1</v>
      </c>
    </row>
    <row r="1426" spans="1:52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2142</v>
      </c>
      <c r="F1426" t="s">
        <v>190</v>
      </c>
      <c r="G1426" t="s">
        <v>686</v>
      </c>
      <c r="H1426" t="s">
        <v>687</v>
      </c>
      <c r="I1426" t="s">
        <v>687</v>
      </c>
      <c r="J1426" t="s">
        <v>60</v>
      </c>
      <c r="K1426" t="s">
        <v>688</v>
      </c>
      <c r="L1426" t="s">
        <v>62</v>
      </c>
      <c r="M1426" t="s">
        <v>688</v>
      </c>
      <c r="N1426" t="s">
        <v>689</v>
      </c>
      <c r="O1426" t="s">
        <v>690</v>
      </c>
      <c r="P1426">
        <v>-20.136451999999998</v>
      </c>
      <c r="Q1426">
        <v>-44.891254000000004</v>
      </c>
      <c r="R1426" s="2" t="str">
        <f>HYPERLINK("https://www.google.com/maps?q=-20.1364520,-44.8912540","Abrir no Google Maps")</f>
        <v>Abrir no Google Maps</v>
      </c>
      <c r="S1426">
        <v>3</v>
      </c>
      <c r="T1426">
        <v>397.58661308638909</v>
      </c>
      <c r="U1426">
        <v>4</v>
      </c>
      <c r="V1426">
        <v>23</v>
      </c>
      <c r="W1426">
        <v>1</v>
      </c>
      <c r="X1426">
        <v>23</v>
      </c>
      <c r="Y1426">
        <v>428</v>
      </c>
      <c r="Z1426">
        <v>449.62002896840892</v>
      </c>
      <c r="AA1426">
        <v>198</v>
      </c>
      <c r="AB1426">
        <v>332</v>
      </c>
      <c r="AC1426">
        <v>536</v>
      </c>
      <c r="AD1426">
        <v>28.93</v>
      </c>
      <c r="AE1426">
        <v>542</v>
      </c>
      <c r="AF1426">
        <v>28</v>
      </c>
      <c r="AG1426">
        <v>168</v>
      </c>
      <c r="AH1426">
        <v>129</v>
      </c>
      <c r="AI1426">
        <v>5.17</v>
      </c>
      <c r="AJ1426">
        <v>31</v>
      </c>
      <c r="AK1426">
        <v>23.8</v>
      </c>
      <c r="AL1426">
        <v>-20.136400499999951</v>
      </c>
      <c r="AM1426">
        <v>-44.891173264034883</v>
      </c>
      <c r="AN1426">
        <v>-20.136400499999951</v>
      </c>
      <c r="AO1426">
        <v>-44.891173264034883</v>
      </c>
      <c r="AP1426">
        <v>-20.136451999999998</v>
      </c>
      <c r="AQ1426">
        <v>-44.891254000000004</v>
      </c>
      <c r="AR1426">
        <v>10.20146066113916</v>
      </c>
      <c r="AS1426" t="s">
        <v>65</v>
      </c>
      <c r="AT1426">
        <v>1</v>
      </c>
      <c r="AU1426" t="s">
        <v>691</v>
      </c>
      <c r="AV1426" t="s">
        <v>692</v>
      </c>
      <c r="AW1426" t="s">
        <v>60</v>
      </c>
      <c r="AX1426" t="s">
        <v>68</v>
      </c>
      <c r="AY1426" t="s">
        <v>69</v>
      </c>
      <c r="AZ1426" t="b">
        <v>1</v>
      </c>
    </row>
    <row r="1427" spans="1:52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2142</v>
      </c>
      <c r="F1427" t="s">
        <v>190</v>
      </c>
      <c r="G1427" t="s">
        <v>1014</v>
      </c>
      <c r="H1427" t="s">
        <v>1015</v>
      </c>
      <c r="I1427" t="s">
        <v>1015</v>
      </c>
      <c r="J1427" t="s">
        <v>60</v>
      </c>
      <c r="K1427" t="s">
        <v>1016</v>
      </c>
      <c r="L1427" t="s">
        <v>62</v>
      </c>
      <c r="M1427" t="s">
        <v>1016</v>
      </c>
      <c r="N1427" t="s">
        <v>1017</v>
      </c>
      <c r="O1427" t="s">
        <v>1018</v>
      </c>
      <c r="P1427">
        <v>-20.174461000000001</v>
      </c>
      <c r="Q1427">
        <v>-44.868710999999998</v>
      </c>
      <c r="R1427" s="2" t="str">
        <f>HYPERLINK("https://www.google.com/maps?q=-20.1744610,-44.8687110","Abrir no Google Maps")</f>
        <v>Abrir no Google Maps</v>
      </c>
      <c r="S1427">
        <v>3</v>
      </c>
      <c r="T1427">
        <v>435.39504742850158</v>
      </c>
      <c r="U1427">
        <v>4</v>
      </c>
      <c r="V1427">
        <v>28</v>
      </c>
      <c r="W1427">
        <v>1</v>
      </c>
      <c r="X1427">
        <v>28</v>
      </c>
      <c r="Y1427">
        <v>422</v>
      </c>
      <c r="Z1427">
        <v>264.99958639233438</v>
      </c>
      <c r="AA1427">
        <v>198</v>
      </c>
      <c r="AB1427">
        <v>332</v>
      </c>
      <c r="AC1427">
        <v>536</v>
      </c>
      <c r="AD1427">
        <v>28.93</v>
      </c>
      <c r="AE1427">
        <v>542</v>
      </c>
      <c r="AF1427">
        <v>28</v>
      </c>
      <c r="AG1427">
        <v>168</v>
      </c>
      <c r="AH1427">
        <v>129</v>
      </c>
      <c r="AI1427">
        <v>5.17</v>
      </c>
      <c r="AJ1427">
        <v>31</v>
      </c>
      <c r="AK1427">
        <v>23.8</v>
      </c>
      <c r="AL1427">
        <v>-20.174459749999951</v>
      </c>
      <c r="AM1427">
        <v>-44.868877789186897</v>
      </c>
      <c r="AN1427">
        <v>-20.174459749999951</v>
      </c>
      <c r="AO1427">
        <v>-44.868877789186897</v>
      </c>
      <c r="AP1427">
        <v>-20.174461000000001</v>
      </c>
      <c r="AQ1427">
        <v>-44.868710999999998</v>
      </c>
      <c r="AR1427">
        <v>17.42838555603738</v>
      </c>
      <c r="AS1427" t="s">
        <v>65</v>
      </c>
      <c r="AT1427">
        <v>1</v>
      </c>
      <c r="AU1427" t="s">
        <v>1019</v>
      </c>
      <c r="AV1427" t="s">
        <v>1020</v>
      </c>
      <c r="AW1427" t="s">
        <v>60</v>
      </c>
      <c r="AX1427" t="s">
        <v>68</v>
      </c>
      <c r="AY1427" t="s">
        <v>69</v>
      </c>
      <c r="AZ1427" t="b">
        <v>1</v>
      </c>
    </row>
    <row r="1428" spans="1:52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2142</v>
      </c>
      <c r="F1428" t="s">
        <v>190</v>
      </c>
      <c r="G1428" t="s">
        <v>1021</v>
      </c>
      <c r="H1428" t="s">
        <v>1022</v>
      </c>
      <c r="I1428" t="s">
        <v>1022</v>
      </c>
      <c r="J1428" t="s">
        <v>60</v>
      </c>
      <c r="K1428" t="s">
        <v>1023</v>
      </c>
      <c r="L1428" t="s">
        <v>62</v>
      </c>
      <c r="M1428" t="s">
        <v>1023</v>
      </c>
      <c r="N1428" t="s">
        <v>1024</v>
      </c>
      <c r="O1428" t="s">
        <v>1025</v>
      </c>
      <c r="P1428">
        <v>-20.169588999999998</v>
      </c>
      <c r="Q1428">
        <v>-44.866636</v>
      </c>
      <c r="R1428" s="2" t="str">
        <f>HYPERLINK("https://www.google.com/maps?q=-20.1695890,-44.8666360","Abrir no Google Maps")</f>
        <v>Abrir no Google Maps</v>
      </c>
      <c r="S1428">
        <v>3</v>
      </c>
      <c r="T1428">
        <v>326.02709617860302</v>
      </c>
      <c r="U1428">
        <v>4</v>
      </c>
      <c r="V1428">
        <v>35</v>
      </c>
      <c r="W1428">
        <v>1</v>
      </c>
      <c r="X1428">
        <v>35</v>
      </c>
      <c r="Y1428">
        <v>422</v>
      </c>
      <c r="Z1428">
        <v>333.05362278862168</v>
      </c>
      <c r="AA1428">
        <v>198</v>
      </c>
      <c r="AB1428">
        <v>332</v>
      </c>
      <c r="AC1428">
        <v>536</v>
      </c>
      <c r="AD1428">
        <v>28.93</v>
      </c>
      <c r="AE1428">
        <v>542</v>
      </c>
      <c r="AF1428">
        <v>28</v>
      </c>
      <c r="AG1428">
        <v>168</v>
      </c>
      <c r="AH1428">
        <v>129</v>
      </c>
      <c r="AI1428">
        <v>5.17</v>
      </c>
      <c r="AJ1428">
        <v>31</v>
      </c>
      <c r="AK1428">
        <v>23.8</v>
      </c>
      <c r="AL1428">
        <v>-20.16956104999997</v>
      </c>
      <c r="AM1428">
        <v>-44.866560528183591</v>
      </c>
      <c r="AN1428">
        <v>-20.16956104999997</v>
      </c>
      <c r="AO1428">
        <v>-44.866560528183591</v>
      </c>
      <c r="AP1428">
        <v>-20.169588999999998</v>
      </c>
      <c r="AQ1428">
        <v>-44.866636</v>
      </c>
      <c r="AR1428">
        <v>8.4778927137831293</v>
      </c>
      <c r="AS1428" t="s">
        <v>65</v>
      </c>
      <c r="AT1428">
        <v>1</v>
      </c>
      <c r="AU1428" t="s">
        <v>1026</v>
      </c>
      <c r="AV1428" t="s">
        <v>1027</v>
      </c>
      <c r="AW1428" t="s">
        <v>60</v>
      </c>
      <c r="AX1428" t="s">
        <v>68</v>
      </c>
      <c r="AY1428" t="s">
        <v>69</v>
      </c>
      <c r="AZ1428" t="b">
        <v>1</v>
      </c>
    </row>
    <row r="1429" spans="1:52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2142</v>
      </c>
      <c r="F1429" t="s">
        <v>190</v>
      </c>
      <c r="G1429" t="s">
        <v>1028</v>
      </c>
      <c r="H1429" t="s">
        <v>1029</v>
      </c>
      <c r="I1429" t="s">
        <v>1029</v>
      </c>
      <c r="J1429" t="s">
        <v>60</v>
      </c>
      <c r="K1429" t="s">
        <v>1016</v>
      </c>
      <c r="L1429" t="s">
        <v>62</v>
      </c>
      <c r="M1429" t="s">
        <v>1016</v>
      </c>
      <c r="N1429" t="s">
        <v>1030</v>
      </c>
      <c r="O1429" t="s">
        <v>855</v>
      </c>
      <c r="P1429">
        <v>-20.169778000000001</v>
      </c>
      <c r="Q1429">
        <v>-44.871940000000002</v>
      </c>
      <c r="R1429" s="2" t="str">
        <f>HYPERLINK("https://www.google.com/maps?q=-20.1697780,-44.8719400","Abrir no Google Maps")</f>
        <v>Abrir no Google Maps</v>
      </c>
      <c r="S1429">
        <v>3</v>
      </c>
      <c r="T1429">
        <v>730.45462447863167</v>
      </c>
      <c r="U1429">
        <v>4</v>
      </c>
      <c r="V1429">
        <v>36</v>
      </c>
      <c r="W1429">
        <v>1</v>
      </c>
      <c r="X1429">
        <v>36</v>
      </c>
      <c r="Y1429">
        <v>422</v>
      </c>
      <c r="Z1429">
        <v>600.74952959765801</v>
      </c>
      <c r="AA1429">
        <v>198</v>
      </c>
      <c r="AB1429">
        <v>332</v>
      </c>
      <c r="AC1429">
        <v>536</v>
      </c>
      <c r="AD1429">
        <v>28.93</v>
      </c>
      <c r="AE1429">
        <v>542</v>
      </c>
      <c r="AF1429">
        <v>28</v>
      </c>
      <c r="AG1429">
        <v>168</v>
      </c>
      <c r="AH1429">
        <v>129</v>
      </c>
      <c r="AI1429">
        <v>5.17</v>
      </c>
      <c r="AJ1429">
        <v>31</v>
      </c>
      <c r="AK1429">
        <v>23.8</v>
      </c>
      <c r="AL1429">
        <v>-20.169770599999961</v>
      </c>
      <c r="AM1429">
        <v>-44.871857291666629</v>
      </c>
      <c r="AN1429">
        <v>-20.169770599999961</v>
      </c>
      <c r="AO1429">
        <v>-44.871857291666629</v>
      </c>
      <c r="AP1429">
        <v>-20.169778000000001</v>
      </c>
      <c r="AQ1429">
        <v>-44.871940000000002</v>
      </c>
      <c r="AR1429">
        <v>8.6816379320830315</v>
      </c>
      <c r="AS1429" t="s">
        <v>65</v>
      </c>
      <c r="AT1429">
        <v>1</v>
      </c>
      <c r="AU1429" t="s">
        <v>1031</v>
      </c>
      <c r="AV1429" t="s">
        <v>1032</v>
      </c>
      <c r="AW1429" t="s">
        <v>60</v>
      </c>
      <c r="AX1429" t="s">
        <v>68</v>
      </c>
      <c r="AY1429" t="s">
        <v>69</v>
      </c>
      <c r="AZ1429" t="b">
        <v>1</v>
      </c>
    </row>
    <row r="1430" spans="1:52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2142</v>
      </c>
      <c r="F1430" t="s">
        <v>190</v>
      </c>
      <c r="G1430" t="s">
        <v>1033</v>
      </c>
      <c r="H1430" t="s">
        <v>1034</v>
      </c>
      <c r="I1430" t="s">
        <v>1034</v>
      </c>
      <c r="J1430" t="s">
        <v>60</v>
      </c>
      <c r="K1430" t="s">
        <v>1016</v>
      </c>
      <c r="L1430" t="s">
        <v>62</v>
      </c>
      <c r="M1430" t="s">
        <v>1016</v>
      </c>
      <c r="N1430" t="s">
        <v>1035</v>
      </c>
      <c r="O1430" t="s">
        <v>1036</v>
      </c>
      <c r="P1430">
        <v>-20.176404999999999</v>
      </c>
      <c r="Q1430">
        <v>-44.871102</v>
      </c>
      <c r="R1430" s="2" t="str">
        <f>HYPERLINK("https://www.google.com/maps?q=-20.1764050,-44.8711020","Abrir no Google Maps")</f>
        <v>Abrir no Google Maps</v>
      </c>
      <c r="S1430">
        <v>3</v>
      </c>
      <c r="T1430">
        <v>746.17794449655105</v>
      </c>
      <c r="U1430">
        <v>4</v>
      </c>
      <c r="V1430">
        <v>25</v>
      </c>
      <c r="W1430">
        <v>1</v>
      </c>
      <c r="X1430">
        <v>25</v>
      </c>
      <c r="Y1430">
        <v>422</v>
      </c>
      <c r="Z1430">
        <v>532.61564453099913</v>
      </c>
      <c r="AA1430">
        <v>198</v>
      </c>
      <c r="AB1430">
        <v>332</v>
      </c>
      <c r="AC1430">
        <v>536</v>
      </c>
      <c r="AD1430">
        <v>28.93</v>
      </c>
      <c r="AE1430">
        <v>542</v>
      </c>
      <c r="AF1430">
        <v>28</v>
      </c>
      <c r="AG1430">
        <v>168</v>
      </c>
      <c r="AH1430">
        <v>129</v>
      </c>
      <c r="AI1430">
        <v>5.17</v>
      </c>
      <c r="AJ1430">
        <v>31</v>
      </c>
      <c r="AK1430">
        <v>23.8</v>
      </c>
      <c r="AL1430">
        <v>-20.176464949999971</v>
      </c>
      <c r="AM1430">
        <v>-44.871010194676387</v>
      </c>
      <c r="AN1430">
        <v>-20.176464949999971</v>
      </c>
      <c r="AO1430">
        <v>-44.871010194676387</v>
      </c>
      <c r="AP1430">
        <v>-20.176404999999999</v>
      </c>
      <c r="AQ1430">
        <v>-44.871102</v>
      </c>
      <c r="AR1430">
        <v>11.68571547850415</v>
      </c>
      <c r="AS1430" t="s">
        <v>65</v>
      </c>
      <c r="AT1430">
        <v>1</v>
      </c>
      <c r="AU1430" t="s">
        <v>1037</v>
      </c>
      <c r="AV1430" t="s">
        <v>1038</v>
      </c>
      <c r="AW1430" t="s">
        <v>60</v>
      </c>
      <c r="AX1430" t="s">
        <v>68</v>
      </c>
      <c r="AY1430" t="s">
        <v>69</v>
      </c>
      <c r="AZ1430" t="b">
        <v>1</v>
      </c>
    </row>
    <row r="1431" spans="1:52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2142</v>
      </c>
      <c r="F1431" t="s">
        <v>190</v>
      </c>
      <c r="G1431" t="s">
        <v>693</v>
      </c>
      <c r="H1431" t="s">
        <v>694</v>
      </c>
      <c r="I1431" t="s">
        <v>694</v>
      </c>
      <c r="J1431" t="s">
        <v>60</v>
      </c>
      <c r="K1431" t="s">
        <v>695</v>
      </c>
      <c r="L1431" t="s">
        <v>62</v>
      </c>
      <c r="M1431" t="s">
        <v>695</v>
      </c>
      <c r="N1431" t="s">
        <v>696</v>
      </c>
      <c r="O1431" t="s">
        <v>697</v>
      </c>
      <c r="P1431">
        <v>-20.174917000000001</v>
      </c>
      <c r="Q1431">
        <v>-44.857677000000002</v>
      </c>
      <c r="R1431" s="2" t="str">
        <f>HYPERLINK("https://www.google.com/maps?q=-20.1749170,-44.8576770","Abrir no Google Maps")</f>
        <v>Abrir no Google Maps</v>
      </c>
      <c r="S1431">
        <v>3</v>
      </c>
      <c r="T1431">
        <v>850.52349144267646</v>
      </c>
      <c r="U1431">
        <v>4</v>
      </c>
      <c r="V1431">
        <v>38</v>
      </c>
      <c r="W1431">
        <v>1</v>
      </c>
      <c r="X1431">
        <v>38</v>
      </c>
      <c r="Y1431">
        <v>422</v>
      </c>
      <c r="Z1431">
        <v>1042.4685698911451</v>
      </c>
      <c r="AA1431">
        <v>198</v>
      </c>
      <c r="AB1431">
        <v>332</v>
      </c>
      <c r="AC1431">
        <v>536</v>
      </c>
      <c r="AD1431">
        <v>28.93</v>
      </c>
      <c r="AE1431">
        <v>542</v>
      </c>
      <c r="AF1431">
        <v>28</v>
      </c>
      <c r="AG1431">
        <v>168</v>
      </c>
      <c r="AH1431">
        <v>129</v>
      </c>
      <c r="AI1431">
        <v>5.17</v>
      </c>
      <c r="AJ1431">
        <v>31</v>
      </c>
      <c r="AK1431">
        <v>23.8</v>
      </c>
      <c r="AL1431">
        <v>-20.17483459999994</v>
      </c>
      <c r="AM1431">
        <v>-44.857715667542379</v>
      </c>
      <c r="AN1431">
        <v>-20.17483459999994</v>
      </c>
      <c r="AO1431">
        <v>-44.857715667542379</v>
      </c>
      <c r="AP1431">
        <v>-20.174917000000001</v>
      </c>
      <c r="AQ1431">
        <v>-44.857677000000002</v>
      </c>
      <c r="AR1431">
        <v>10.02318555136439</v>
      </c>
      <c r="AS1431" t="s">
        <v>65</v>
      </c>
      <c r="AT1431">
        <v>1</v>
      </c>
      <c r="AU1431" t="s">
        <v>698</v>
      </c>
      <c r="AV1431" t="s">
        <v>699</v>
      </c>
      <c r="AW1431" t="s">
        <v>60</v>
      </c>
      <c r="AX1431" t="s">
        <v>68</v>
      </c>
      <c r="AY1431" t="s">
        <v>69</v>
      </c>
      <c r="AZ1431" t="b">
        <v>1</v>
      </c>
    </row>
    <row r="1432" spans="1:52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2142</v>
      </c>
      <c r="F1432" t="s">
        <v>190</v>
      </c>
      <c r="G1432" t="s">
        <v>1039</v>
      </c>
      <c r="H1432" t="s">
        <v>1040</v>
      </c>
      <c r="I1432" t="s">
        <v>1040</v>
      </c>
      <c r="J1432" t="s">
        <v>60</v>
      </c>
      <c r="K1432" t="s">
        <v>1023</v>
      </c>
      <c r="L1432" t="s">
        <v>62</v>
      </c>
      <c r="M1432" t="s">
        <v>1023</v>
      </c>
      <c r="N1432" t="s">
        <v>1041</v>
      </c>
      <c r="O1432" t="s">
        <v>738</v>
      </c>
      <c r="P1432">
        <v>-20.172284000000001</v>
      </c>
      <c r="Q1432">
        <v>-44.865392999999997</v>
      </c>
      <c r="R1432" s="2" t="str">
        <f>HYPERLINK("https://www.google.com/maps?q=-20.1722840,-44.8653930","Abrir no Google Maps")</f>
        <v>Abrir no Google Maps</v>
      </c>
      <c r="S1432">
        <v>3</v>
      </c>
      <c r="T1432">
        <v>0</v>
      </c>
      <c r="U1432">
        <v>4</v>
      </c>
      <c r="V1432">
        <v>30</v>
      </c>
      <c r="W1432">
        <v>1</v>
      </c>
      <c r="X1432">
        <v>30</v>
      </c>
      <c r="Y1432">
        <v>422</v>
      </c>
      <c r="Z1432">
        <v>202.96804500763591</v>
      </c>
      <c r="AA1432">
        <v>198</v>
      </c>
      <c r="AB1432">
        <v>332</v>
      </c>
      <c r="AC1432">
        <v>536</v>
      </c>
      <c r="AD1432">
        <v>28.93</v>
      </c>
      <c r="AE1432">
        <v>542</v>
      </c>
      <c r="AF1432">
        <v>28</v>
      </c>
      <c r="AG1432">
        <v>168</v>
      </c>
      <c r="AH1432">
        <v>129</v>
      </c>
      <c r="AI1432">
        <v>5.17</v>
      </c>
      <c r="AJ1432">
        <v>31</v>
      </c>
      <c r="AK1432">
        <v>23.8</v>
      </c>
      <c r="AL1432">
        <v>-20.17229514999994</v>
      </c>
      <c r="AM1432">
        <v>-44.865398249858011</v>
      </c>
      <c r="AN1432">
        <v>-20.17229514999994</v>
      </c>
      <c r="AO1432">
        <v>-44.865398249858011</v>
      </c>
      <c r="AP1432">
        <v>-20.172284000000001</v>
      </c>
      <c r="AQ1432">
        <v>-44.865392999999997</v>
      </c>
      <c r="AR1432">
        <v>1.357036084497409</v>
      </c>
      <c r="AS1432" t="s">
        <v>65</v>
      </c>
      <c r="AT1432">
        <v>1</v>
      </c>
      <c r="AU1432" t="s">
        <v>1042</v>
      </c>
      <c r="AV1432" t="s">
        <v>1043</v>
      </c>
      <c r="AW1432" t="s">
        <v>60</v>
      </c>
      <c r="AX1432" t="s">
        <v>68</v>
      </c>
      <c r="AY1432" t="s">
        <v>69</v>
      </c>
      <c r="AZ1432" t="b">
        <v>1</v>
      </c>
    </row>
    <row r="1433" spans="1:52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2142</v>
      </c>
      <c r="F1433" t="s">
        <v>190</v>
      </c>
      <c r="G1433" t="s">
        <v>700</v>
      </c>
      <c r="H1433" t="s">
        <v>701</v>
      </c>
      <c r="I1433" t="s">
        <v>701</v>
      </c>
      <c r="J1433" t="s">
        <v>60</v>
      </c>
      <c r="K1433" t="s">
        <v>702</v>
      </c>
      <c r="L1433" t="s">
        <v>62</v>
      </c>
      <c r="M1433" t="s">
        <v>702</v>
      </c>
      <c r="N1433" t="s">
        <v>703</v>
      </c>
      <c r="O1433" t="s">
        <v>315</v>
      </c>
      <c r="P1433">
        <v>-20.172599000000002</v>
      </c>
      <c r="Q1433">
        <v>-44.85915</v>
      </c>
      <c r="R1433" s="2" t="str">
        <f>HYPERLINK("https://www.google.com/maps?q=-20.1725990,-44.8591500","Abrir no Google Maps")</f>
        <v>Abrir no Google Maps</v>
      </c>
      <c r="S1433">
        <v>3</v>
      </c>
      <c r="T1433">
        <v>665.1003223445598</v>
      </c>
      <c r="U1433">
        <v>4</v>
      </c>
      <c r="V1433">
        <v>32</v>
      </c>
      <c r="W1433">
        <v>1</v>
      </c>
      <c r="X1433">
        <v>32</v>
      </c>
      <c r="Y1433">
        <v>422</v>
      </c>
      <c r="Z1433">
        <v>843.09189615634341</v>
      </c>
      <c r="AA1433">
        <v>198</v>
      </c>
      <c r="AB1433">
        <v>332</v>
      </c>
      <c r="AC1433">
        <v>536</v>
      </c>
      <c r="AD1433">
        <v>28.93</v>
      </c>
      <c r="AE1433">
        <v>542</v>
      </c>
      <c r="AF1433">
        <v>28</v>
      </c>
      <c r="AG1433">
        <v>168</v>
      </c>
      <c r="AH1433">
        <v>129</v>
      </c>
      <c r="AI1433">
        <v>5.17</v>
      </c>
      <c r="AJ1433">
        <v>31</v>
      </c>
      <c r="AK1433">
        <v>23.8</v>
      </c>
      <c r="AL1433">
        <v>-20.172576899999971</v>
      </c>
      <c r="AM1433">
        <v>-44.859040110359317</v>
      </c>
      <c r="AN1433">
        <v>-20.172576899999971</v>
      </c>
      <c r="AO1433">
        <v>-44.859040110359317</v>
      </c>
      <c r="AP1433">
        <v>-20.172599000000002</v>
      </c>
      <c r="AQ1433">
        <v>-44.85915</v>
      </c>
      <c r="AR1433">
        <v>11.743118835828479</v>
      </c>
      <c r="AS1433" t="s">
        <v>65</v>
      </c>
      <c r="AT1433">
        <v>1</v>
      </c>
      <c r="AU1433" t="s">
        <v>704</v>
      </c>
      <c r="AV1433" t="s">
        <v>705</v>
      </c>
      <c r="AW1433" t="s">
        <v>60</v>
      </c>
      <c r="AX1433" t="s">
        <v>68</v>
      </c>
      <c r="AY1433" t="s">
        <v>69</v>
      </c>
      <c r="AZ1433" t="b">
        <v>1</v>
      </c>
    </row>
    <row r="1434" spans="1:52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2142</v>
      </c>
      <c r="F1434" t="s">
        <v>190</v>
      </c>
      <c r="G1434" t="s">
        <v>706</v>
      </c>
      <c r="H1434" t="s">
        <v>707</v>
      </c>
      <c r="I1434" t="s">
        <v>707</v>
      </c>
      <c r="J1434" t="s">
        <v>60</v>
      </c>
      <c r="K1434" t="s">
        <v>708</v>
      </c>
      <c r="L1434" t="s">
        <v>62</v>
      </c>
      <c r="M1434" t="s">
        <v>708</v>
      </c>
      <c r="N1434" t="s">
        <v>709</v>
      </c>
      <c r="O1434" t="s">
        <v>710</v>
      </c>
      <c r="P1434">
        <v>-20.127054999999999</v>
      </c>
      <c r="Q1434">
        <v>-44.872073</v>
      </c>
      <c r="R1434" s="2" t="str">
        <f>HYPERLINK("https://www.google.com/maps?q=-20.1270550,-44.8720730","Abrir no Google Maps")</f>
        <v>Abrir no Google Maps</v>
      </c>
      <c r="S1434">
        <v>3</v>
      </c>
      <c r="T1434">
        <v>395.91108553086929</v>
      </c>
      <c r="U1434">
        <v>4</v>
      </c>
      <c r="V1434">
        <v>25</v>
      </c>
      <c r="W1434">
        <v>1</v>
      </c>
      <c r="X1434">
        <v>25</v>
      </c>
      <c r="Y1434">
        <v>387</v>
      </c>
      <c r="Z1434">
        <v>518.31496622382247</v>
      </c>
      <c r="AA1434">
        <v>198</v>
      </c>
      <c r="AB1434">
        <v>332</v>
      </c>
      <c r="AC1434">
        <v>536</v>
      </c>
      <c r="AD1434">
        <v>28.93</v>
      </c>
      <c r="AE1434">
        <v>542</v>
      </c>
      <c r="AF1434">
        <v>28</v>
      </c>
      <c r="AG1434">
        <v>168</v>
      </c>
      <c r="AH1434">
        <v>129</v>
      </c>
      <c r="AI1434">
        <v>5.17</v>
      </c>
      <c r="AJ1434">
        <v>31</v>
      </c>
      <c r="AK1434">
        <v>23.8</v>
      </c>
      <c r="AL1434">
        <v>-20.126854749999978</v>
      </c>
      <c r="AM1434">
        <v>-44.871712455027861</v>
      </c>
      <c r="AN1434">
        <v>-20.126854749999978</v>
      </c>
      <c r="AO1434">
        <v>-44.871712455027861</v>
      </c>
      <c r="AP1434">
        <v>-20.127054999999999</v>
      </c>
      <c r="AQ1434">
        <v>-44.872073</v>
      </c>
      <c r="AR1434">
        <v>43.784435535392717</v>
      </c>
      <c r="AS1434" t="s">
        <v>65</v>
      </c>
      <c r="AT1434">
        <v>1</v>
      </c>
      <c r="AU1434" t="s">
        <v>711</v>
      </c>
      <c r="AV1434" t="s">
        <v>712</v>
      </c>
      <c r="AW1434" t="s">
        <v>60</v>
      </c>
      <c r="AX1434" t="s">
        <v>68</v>
      </c>
      <c r="AY1434" t="s">
        <v>69</v>
      </c>
      <c r="AZ1434" t="b">
        <v>1</v>
      </c>
    </row>
    <row r="1435" spans="1:52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2142</v>
      </c>
      <c r="F1435" t="s">
        <v>190</v>
      </c>
      <c r="G1435" t="s">
        <v>713</v>
      </c>
      <c r="H1435" t="s">
        <v>714</v>
      </c>
      <c r="I1435" t="s">
        <v>714</v>
      </c>
      <c r="J1435" t="s">
        <v>60</v>
      </c>
      <c r="K1435" t="s">
        <v>708</v>
      </c>
      <c r="L1435" t="s">
        <v>62</v>
      </c>
      <c r="M1435" t="s">
        <v>708</v>
      </c>
      <c r="N1435" t="s">
        <v>715</v>
      </c>
      <c r="O1435" t="s">
        <v>604</v>
      </c>
      <c r="P1435">
        <v>-20.133372000000001</v>
      </c>
      <c r="Q1435">
        <v>-44.878864</v>
      </c>
      <c r="R1435" s="2" t="str">
        <f>HYPERLINK("https://www.google.com/maps?q=-20.1333720,-44.8788640","Abrir no Google Maps")</f>
        <v>Abrir no Google Maps</v>
      </c>
      <c r="S1435">
        <v>3</v>
      </c>
      <c r="T1435">
        <v>719.22842848296966</v>
      </c>
      <c r="U1435">
        <v>4</v>
      </c>
      <c r="V1435">
        <v>26</v>
      </c>
      <c r="W1435">
        <v>1</v>
      </c>
      <c r="X1435">
        <v>26</v>
      </c>
      <c r="Y1435">
        <v>387</v>
      </c>
      <c r="Z1435">
        <v>630.8628365125652</v>
      </c>
      <c r="AA1435">
        <v>198</v>
      </c>
      <c r="AB1435">
        <v>332</v>
      </c>
      <c r="AC1435">
        <v>536</v>
      </c>
      <c r="AD1435">
        <v>28.93</v>
      </c>
      <c r="AE1435">
        <v>542</v>
      </c>
      <c r="AF1435">
        <v>28</v>
      </c>
      <c r="AG1435">
        <v>168</v>
      </c>
      <c r="AH1435">
        <v>129</v>
      </c>
      <c r="AI1435">
        <v>5.17</v>
      </c>
      <c r="AJ1435">
        <v>31</v>
      </c>
      <c r="AK1435">
        <v>23.8</v>
      </c>
      <c r="AL1435">
        <v>-20.133312349999951</v>
      </c>
      <c r="AM1435">
        <v>-44.879452111094892</v>
      </c>
      <c r="AN1435">
        <v>-20.133312349999951</v>
      </c>
      <c r="AO1435">
        <v>-44.879452111094892</v>
      </c>
      <c r="AP1435">
        <v>-20.133372000000001</v>
      </c>
      <c r="AQ1435">
        <v>-44.878864</v>
      </c>
      <c r="AR1435">
        <v>61.825649864116713</v>
      </c>
      <c r="AS1435" t="s">
        <v>65</v>
      </c>
      <c r="AT1435">
        <v>1</v>
      </c>
      <c r="AU1435" t="s">
        <v>716</v>
      </c>
      <c r="AV1435" t="s">
        <v>717</v>
      </c>
      <c r="AW1435" t="s">
        <v>60</v>
      </c>
      <c r="AX1435" t="s">
        <v>68</v>
      </c>
      <c r="AY1435" t="s">
        <v>69</v>
      </c>
      <c r="AZ1435" t="b">
        <v>1</v>
      </c>
    </row>
    <row r="1436" spans="1:52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2142</v>
      </c>
      <c r="F1436" t="s">
        <v>190</v>
      </c>
      <c r="G1436" t="s">
        <v>724</v>
      </c>
      <c r="H1436" t="s">
        <v>725</v>
      </c>
      <c r="I1436" t="s">
        <v>725</v>
      </c>
      <c r="J1436" t="s">
        <v>60</v>
      </c>
      <c r="K1436" t="s">
        <v>708</v>
      </c>
      <c r="L1436" t="s">
        <v>62</v>
      </c>
      <c r="M1436" t="s">
        <v>708</v>
      </c>
      <c r="N1436" t="s">
        <v>726</v>
      </c>
      <c r="O1436" t="s">
        <v>727</v>
      </c>
      <c r="P1436">
        <v>-20.131702000000001</v>
      </c>
      <c r="Q1436">
        <v>-44.873930999999999</v>
      </c>
      <c r="R1436" s="2" t="str">
        <f>HYPERLINK("https://www.google.com/maps?q=-20.1317020,-44.8739310","Abrir no Google Maps")</f>
        <v>Abrir no Google Maps</v>
      </c>
      <c r="S1436">
        <v>3</v>
      </c>
      <c r="T1436">
        <v>207.9085436463628</v>
      </c>
      <c r="U1436">
        <v>4</v>
      </c>
      <c r="V1436">
        <v>25</v>
      </c>
      <c r="W1436">
        <v>1</v>
      </c>
      <c r="X1436">
        <v>25</v>
      </c>
      <c r="Y1436">
        <v>387</v>
      </c>
      <c r="Z1436">
        <v>213.98086855276571</v>
      </c>
      <c r="AA1436">
        <v>198</v>
      </c>
      <c r="AB1436">
        <v>332</v>
      </c>
      <c r="AC1436">
        <v>536</v>
      </c>
      <c r="AD1436">
        <v>28.93</v>
      </c>
      <c r="AE1436">
        <v>542</v>
      </c>
      <c r="AF1436">
        <v>28</v>
      </c>
      <c r="AG1436">
        <v>168</v>
      </c>
      <c r="AH1436">
        <v>129</v>
      </c>
      <c r="AI1436">
        <v>5.17</v>
      </c>
      <c r="AJ1436">
        <v>31</v>
      </c>
      <c r="AK1436">
        <v>23.8</v>
      </c>
      <c r="AL1436">
        <v>-20.131807549999959</v>
      </c>
      <c r="AM1436">
        <v>-44.874039553784442</v>
      </c>
      <c r="AN1436">
        <v>-20.131807549999959</v>
      </c>
      <c r="AO1436">
        <v>-44.874039553784442</v>
      </c>
      <c r="AP1436">
        <v>-20.131702000000001</v>
      </c>
      <c r="AQ1436">
        <v>-44.873930999999999</v>
      </c>
      <c r="AR1436">
        <v>16.333643574998401</v>
      </c>
      <c r="AS1436" t="s">
        <v>65</v>
      </c>
      <c r="AT1436">
        <v>1</v>
      </c>
      <c r="AU1436" t="s">
        <v>728</v>
      </c>
      <c r="AV1436" t="s">
        <v>729</v>
      </c>
      <c r="AW1436" t="s">
        <v>60</v>
      </c>
      <c r="AX1436" t="s">
        <v>68</v>
      </c>
      <c r="AY1436" t="s">
        <v>69</v>
      </c>
      <c r="AZ1436" t="b">
        <v>1</v>
      </c>
    </row>
    <row r="1437" spans="1:52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2142</v>
      </c>
      <c r="F1437" t="s">
        <v>190</v>
      </c>
      <c r="G1437" t="s">
        <v>706</v>
      </c>
      <c r="H1437" t="s">
        <v>730</v>
      </c>
      <c r="I1437" t="s">
        <v>730</v>
      </c>
      <c r="J1437" t="s">
        <v>60</v>
      </c>
      <c r="K1437" t="s">
        <v>708</v>
      </c>
      <c r="L1437" t="s">
        <v>62</v>
      </c>
      <c r="M1437" t="s">
        <v>708</v>
      </c>
      <c r="N1437" t="s">
        <v>709</v>
      </c>
      <c r="O1437" t="s">
        <v>731</v>
      </c>
      <c r="P1437">
        <v>-20.130037999999999</v>
      </c>
      <c r="Q1437">
        <v>-44.873514</v>
      </c>
      <c r="R1437" s="2" t="str">
        <f>HYPERLINK("https://www.google.com/maps?q=-20.1300380,-44.8735140","Abrir no Google Maps")</f>
        <v>Abrir no Google Maps</v>
      </c>
      <c r="S1437">
        <v>3</v>
      </c>
      <c r="T1437">
        <v>0</v>
      </c>
      <c r="U1437">
        <v>4</v>
      </c>
      <c r="V1437">
        <v>30</v>
      </c>
      <c r="W1437">
        <v>1</v>
      </c>
      <c r="X1437">
        <v>30</v>
      </c>
      <c r="Y1437">
        <v>387</v>
      </c>
      <c r="Z1437">
        <v>108.0014931591698</v>
      </c>
      <c r="AA1437">
        <v>198</v>
      </c>
      <c r="AB1437">
        <v>332</v>
      </c>
      <c r="AC1437">
        <v>536</v>
      </c>
      <c r="AD1437">
        <v>28.93</v>
      </c>
      <c r="AE1437">
        <v>542</v>
      </c>
      <c r="AF1437">
        <v>28</v>
      </c>
      <c r="AG1437">
        <v>168</v>
      </c>
      <c r="AH1437">
        <v>129</v>
      </c>
      <c r="AI1437">
        <v>5.17</v>
      </c>
      <c r="AJ1437">
        <v>31</v>
      </c>
      <c r="AK1437">
        <v>23.8</v>
      </c>
      <c r="AL1437">
        <v>-20.12998944999995</v>
      </c>
      <c r="AM1437">
        <v>-44.873538114227337</v>
      </c>
      <c r="AN1437">
        <v>-20.12998944999995</v>
      </c>
      <c r="AO1437">
        <v>-44.873538114227337</v>
      </c>
      <c r="AP1437">
        <v>-20.130037999999999</v>
      </c>
      <c r="AQ1437">
        <v>-44.873514</v>
      </c>
      <c r="AR1437">
        <v>5.9633928268280867</v>
      </c>
      <c r="AS1437" t="s">
        <v>65</v>
      </c>
      <c r="AT1437">
        <v>1</v>
      </c>
      <c r="AU1437" t="s">
        <v>732</v>
      </c>
      <c r="AV1437" t="s">
        <v>733</v>
      </c>
      <c r="AW1437" t="s">
        <v>60</v>
      </c>
      <c r="AX1437" t="s">
        <v>68</v>
      </c>
      <c r="AY1437" t="s">
        <v>69</v>
      </c>
      <c r="AZ1437" t="b">
        <v>1</v>
      </c>
    </row>
    <row r="1438" spans="1:52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2142</v>
      </c>
      <c r="F1438" t="s">
        <v>190</v>
      </c>
      <c r="G1438" t="s">
        <v>734</v>
      </c>
      <c r="H1438" t="s">
        <v>735</v>
      </c>
      <c r="I1438" t="s">
        <v>735</v>
      </c>
      <c r="J1438" t="s">
        <v>60</v>
      </c>
      <c r="K1438" t="s">
        <v>736</v>
      </c>
      <c r="L1438" t="s">
        <v>62</v>
      </c>
      <c r="M1438" t="s">
        <v>736</v>
      </c>
      <c r="N1438" t="s">
        <v>737</v>
      </c>
      <c r="O1438" t="s">
        <v>738</v>
      </c>
      <c r="P1438">
        <v>-20.113050000000001</v>
      </c>
      <c r="Q1438">
        <v>-44.977640999999998</v>
      </c>
      <c r="R1438" s="2" t="str">
        <f>HYPERLINK("https://www.google.com/maps?q=-20.1130500,-44.9776410","Abrir no Google Maps")</f>
        <v>Abrir no Google Maps</v>
      </c>
      <c r="S1438">
        <v>3</v>
      </c>
      <c r="T1438">
        <v>1057.751631532733</v>
      </c>
      <c r="U1438">
        <v>4</v>
      </c>
      <c r="V1438">
        <v>23</v>
      </c>
      <c r="W1438">
        <v>1</v>
      </c>
      <c r="X1438">
        <v>23</v>
      </c>
      <c r="Y1438">
        <v>385</v>
      </c>
      <c r="Z1438">
        <v>1001.029655866156</v>
      </c>
      <c r="AA1438">
        <v>198</v>
      </c>
      <c r="AB1438">
        <v>332</v>
      </c>
      <c r="AC1438">
        <v>536</v>
      </c>
      <c r="AD1438">
        <v>28.93</v>
      </c>
      <c r="AE1438">
        <v>542</v>
      </c>
      <c r="AF1438">
        <v>28</v>
      </c>
      <c r="AG1438">
        <v>168</v>
      </c>
      <c r="AH1438">
        <v>129</v>
      </c>
      <c r="AI1438">
        <v>5.17</v>
      </c>
      <c r="AJ1438">
        <v>31</v>
      </c>
      <c r="AK1438">
        <v>23.8</v>
      </c>
      <c r="AL1438">
        <v>-20.112977499999939</v>
      </c>
      <c r="AM1438">
        <v>-44.977939579895221</v>
      </c>
      <c r="AN1438">
        <v>-20.112977499999939</v>
      </c>
      <c r="AO1438">
        <v>-44.977939579895221</v>
      </c>
      <c r="AP1438">
        <v>-20.113050000000001</v>
      </c>
      <c r="AQ1438">
        <v>-44.977640999999998</v>
      </c>
      <c r="AR1438">
        <v>32.23754556505741</v>
      </c>
      <c r="AS1438" t="s">
        <v>65</v>
      </c>
      <c r="AT1438">
        <v>1</v>
      </c>
      <c r="AU1438" t="s">
        <v>739</v>
      </c>
      <c r="AV1438" t="s">
        <v>740</v>
      </c>
      <c r="AW1438" t="s">
        <v>60</v>
      </c>
      <c r="AX1438" t="s">
        <v>68</v>
      </c>
      <c r="AY1438" t="s">
        <v>69</v>
      </c>
      <c r="AZ1438" t="b">
        <v>1</v>
      </c>
    </row>
    <row r="1439" spans="1:52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2142</v>
      </c>
      <c r="F1439" t="s">
        <v>190</v>
      </c>
      <c r="G1439" t="s">
        <v>741</v>
      </c>
      <c r="H1439" t="s">
        <v>742</v>
      </c>
      <c r="I1439" t="s">
        <v>742</v>
      </c>
      <c r="J1439" t="s">
        <v>60</v>
      </c>
      <c r="K1439" t="s">
        <v>688</v>
      </c>
      <c r="L1439" t="s">
        <v>62</v>
      </c>
      <c r="M1439" t="s">
        <v>688</v>
      </c>
      <c r="N1439" t="s">
        <v>743</v>
      </c>
      <c r="O1439" t="s">
        <v>744</v>
      </c>
      <c r="P1439">
        <v>-20.136733</v>
      </c>
      <c r="Q1439">
        <v>-44.888140999999997</v>
      </c>
      <c r="R1439" s="2" t="str">
        <f>HYPERLINK("https://www.google.com/maps?q=-20.1367330,-44.8881410","Abrir no Google Maps")</f>
        <v>Abrir no Google Maps</v>
      </c>
      <c r="S1439">
        <v>3</v>
      </c>
      <c r="T1439">
        <v>175.84339996559589</v>
      </c>
      <c r="U1439">
        <v>4</v>
      </c>
      <c r="V1439">
        <v>27</v>
      </c>
      <c r="W1439">
        <v>1</v>
      </c>
      <c r="X1439">
        <v>27</v>
      </c>
      <c r="Y1439">
        <v>350</v>
      </c>
      <c r="Z1439">
        <v>171.90575296051961</v>
      </c>
      <c r="AA1439">
        <v>198</v>
      </c>
      <c r="AB1439">
        <v>332</v>
      </c>
      <c r="AC1439">
        <v>536</v>
      </c>
      <c r="AD1439">
        <v>28.93</v>
      </c>
      <c r="AE1439">
        <v>542</v>
      </c>
      <c r="AF1439">
        <v>28</v>
      </c>
      <c r="AG1439">
        <v>168</v>
      </c>
      <c r="AH1439">
        <v>129</v>
      </c>
      <c r="AI1439">
        <v>5.17</v>
      </c>
      <c r="AJ1439">
        <v>31</v>
      </c>
      <c r="AK1439">
        <v>23.8</v>
      </c>
      <c r="AL1439">
        <v>-20.136726099999979</v>
      </c>
      <c r="AM1439">
        <v>-44.888062077766982</v>
      </c>
      <c r="AN1439">
        <v>-20.136726099999979</v>
      </c>
      <c r="AO1439">
        <v>-44.888062077766982</v>
      </c>
      <c r="AP1439">
        <v>-20.136733</v>
      </c>
      <c r="AQ1439">
        <v>-44.888140999999997</v>
      </c>
      <c r="AR1439">
        <v>8.2842769013797852</v>
      </c>
      <c r="AS1439" t="s">
        <v>65</v>
      </c>
      <c r="AT1439">
        <v>1</v>
      </c>
      <c r="AU1439" t="s">
        <v>745</v>
      </c>
      <c r="AV1439" t="s">
        <v>746</v>
      </c>
      <c r="AW1439" t="s">
        <v>60</v>
      </c>
      <c r="AX1439" t="s">
        <v>68</v>
      </c>
      <c r="AY1439" t="s">
        <v>69</v>
      </c>
      <c r="AZ1439" t="b">
        <v>1</v>
      </c>
    </row>
    <row r="1440" spans="1:52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2142</v>
      </c>
      <c r="F1440" t="s">
        <v>190</v>
      </c>
      <c r="G1440" t="s">
        <v>1077</v>
      </c>
      <c r="H1440" t="s">
        <v>1078</v>
      </c>
      <c r="I1440" t="s">
        <v>1078</v>
      </c>
      <c r="J1440" t="s">
        <v>60</v>
      </c>
      <c r="K1440" t="s">
        <v>761</v>
      </c>
      <c r="L1440" t="s">
        <v>62</v>
      </c>
      <c r="M1440" t="s">
        <v>761</v>
      </c>
      <c r="N1440" t="s">
        <v>1079</v>
      </c>
      <c r="O1440" t="s">
        <v>1080</v>
      </c>
      <c r="P1440">
        <v>-20.119579999999999</v>
      </c>
      <c r="Q1440">
        <v>-44.855030999999997</v>
      </c>
      <c r="R1440" s="2" t="str">
        <f>HYPERLINK("https://www.google.com/maps?q=-20.1195800,-44.8550310","Abrir no Google Maps")</f>
        <v>Abrir no Google Maps</v>
      </c>
      <c r="S1440">
        <v>3</v>
      </c>
      <c r="T1440">
        <v>800.32085104254202</v>
      </c>
      <c r="U1440">
        <v>4</v>
      </c>
      <c r="V1440">
        <v>23</v>
      </c>
      <c r="W1440">
        <v>1</v>
      </c>
      <c r="X1440">
        <v>23</v>
      </c>
      <c r="Y1440">
        <v>350</v>
      </c>
      <c r="Z1440">
        <v>431.56201899267722</v>
      </c>
      <c r="AA1440">
        <v>198</v>
      </c>
      <c r="AB1440">
        <v>332</v>
      </c>
      <c r="AC1440">
        <v>536</v>
      </c>
      <c r="AD1440">
        <v>28.93</v>
      </c>
      <c r="AE1440">
        <v>542</v>
      </c>
      <c r="AF1440">
        <v>28</v>
      </c>
      <c r="AG1440">
        <v>168</v>
      </c>
      <c r="AH1440">
        <v>129</v>
      </c>
      <c r="AI1440">
        <v>5.17</v>
      </c>
      <c r="AJ1440">
        <v>31</v>
      </c>
      <c r="AK1440">
        <v>23.8</v>
      </c>
      <c r="AL1440">
        <v>-20.119806999999948</v>
      </c>
      <c r="AM1440">
        <v>-44.855901548391778</v>
      </c>
      <c r="AN1440">
        <v>-20.119806999999948</v>
      </c>
      <c r="AO1440">
        <v>-44.855901548391778</v>
      </c>
      <c r="AP1440">
        <v>-20.119579999999999</v>
      </c>
      <c r="AQ1440">
        <v>-44.855030999999997</v>
      </c>
      <c r="AR1440">
        <v>94.439141250965164</v>
      </c>
      <c r="AS1440" t="s">
        <v>65</v>
      </c>
      <c r="AT1440">
        <v>1</v>
      </c>
      <c r="AU1440" t="s">
        <v>1081</v>
      </c>
      <c r="AV1440" t="s">
        <v>1082</v>
      </c>
      <c r="AW1440" t="s">
        <v>60</v>
      </c>
      <c r="AX1440" t="s">
        <v>68</v>
      </c>
      <c r="AY1440" t="s">
        <v>69</v>
      </c>
      <c r="AZ1440" t="b">
        <v>1</v>
      </c>
    </row>
    <row r="1441" spans="1:52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2142</v>
      </c>
      <c r="F1441" t="s">
        <v>190</v>
      </c>
      <c r="G1441" t="s">
        <v>747</v>
      </c>
      <c r="H1441" t="s">
        <v>748</v>
      </c>
      <c r="I1441" t="s">
        <v>748</v>
      </c>
      <c r="J1441" t="s">
        <v>60</v>
      </c>
      <c r="K1441" t="s">
        <v>505</v>
      </c>
      <c r="L1441" t="s">
        <v>62</v>
      </c>
      <c r="M1441" t="s">
        <v>505</v>
      </c>
      <c r="N1441" t="s">
        <v>749</v>
      </c>
      <c r="O1441" t="s">
        <v>750</v>
      </c>
      <c r="P1441">
        <v>-20.135107000000001</v>
      </c>
      <c r="Q1441">
        <v>-44.887521</v>
      </c>
      <c r="R1441" s="2" t="str">
        <f>HYPERLINK("https://www.google.com/maps?q=-20.1351070,-44.8875210","Abrir no Google Maps")</f>
        <v>Abrir no Google Maps</v>
      </c>
      <c r="S1441">
        <v>3</v>
      </c>
      <c r="T1441">
        <v>0</v>
      </c>
      <c r="U1441">
        <v>4</v>
      </c>
      <c r="V1441">
        <v>27</v>
      </c>
      <c r="W1441">
        <v>1</v>
      </c>
      <c r="X1441">
        <v>27</v>
      </c>
      <c r="Y1441">
        <v>350</v>
      </c>
      <c r="Z1441">
        <v>162.3716242776689</v>
      </c>
      <c r="AA1441">
        <v>198</v>
      </c>
      <c r="AB1441">
        <v>332</v>
      </c>
      <c r="AC1441">
        <v>536</v>
      </c>
      <c r="AD1441">
        <v>28.93</v>
      </c>
      <c r="AE1441">
        <v>542</v>
      </c>
      <c r="AF1441">
        <v>28</v>
      </c>
      <c r="AG1441">
        <v>168</v>
      </c>
      <c r="AH1441">
        <v>129</v>
      </c>
      <c r="AI1441">
        <v>5.17</v>
      </c>
      <c r="AJ1441">
        <v>31</v>
      </c>
      <c r="AK1441">
        <v>23.8</v>
      </c>
      <c r="AL1441">
        <v>-20.13520169999995</v>
      </c>
      <c r="AM1441">
        <v>-44.887587176802917</v>
      </c>
      <c r="AN1441">
        <v>-20.13520169999995</v>
      </c>
      <c r="AO1441">
        <v>-44.887587176802931</v>
      </c>
      <c r="AP1441">
        <v>-20.135107000000001</v>
      </c>
      <c r="AQ1441">
        <v>-44.887521</v>
      </c>
      <c r="AR1441">
        <v>12.608438103029821</v>
      </c>
      <c r="AS1441" t="s">
        <v>65</v>
      </c>
      <c r="AT1441">
        <v>1</v>
      </c>
      <c r="AU1441" t="s">
        <v>751</v>
      </c>
      <c r="AV1441" t="s">
        <v>752</v>
      </c>
      <c r="AW1441" t="s">
        <v>60</v>
      </c>
      <c r="AX1441" t="s">
        <v>68</v>
      </c>
      <c r="AY1441" t="s">
        <v>69</v>
      </c>
      <c r="AZ1441" t="b">
        <v>1</v>
      </c>
    </row>
    <row r="1442" spans="1:52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2142</v>
      </c>
      <c r="F1442" t="s">
        <v>190</v>
      </c>
      <c r="G1442" t="s">
        <v>1083</v>
      </c>
      <c r="H1442" t="s">
        <v>1084</v>
      </c>
      <c r="I1442" t="s">
        <v>1084</v>
      </c>
      <c r="J1442" t="s">
        <v>60</v>
      </c>
      <c r="K1442" t="s">
        <v>761</v>
      </c>
      <c r="L1442" t="s">
        <v>62</v>
      </c>
      <c r="M1442" t="s">
        <v>761</v>
      </c>
      <c r="N1442" t="s">
        <v>1085</v>
      </c>
      <c r="O1442" t="s">
        <v>1086</v>
      </c>
      <c r="P1442">
        <v>-20.124312</v>
      </c>
      <c r="Q1442">
        <v>-44.850425000000001</v>
      </c>
      <c r="R1442" s="2" t="str">
        <f>HYPERLINK("https://www.google.com/maps?q=-20.1243120,-44.8504250","Abrir no Google Maps")</f>
        <v>Abrir no Google Maps</v>
      </c>
      <c r="S1442">
        <v>3</v>
      </c>
      <c r="T1442">
        <v>0</v>
      </c>
      <c r="U1442">
        <v>4</v>
      </c>
      <c r="V1442">
        <v>46</v>
      </c>
      <c r="W1442">
        <v>1</v>
      </c>
      <c r="X1442">
        <v>46</v>
      </c>
      <c r="Y1442">
        <v>350</v>
      </c>
      <c r="Z1442">
        <v>380.24040721202471</v>
      </c>
      <c r="AA1442">
        <v>198</v>
      </c>
      <c r="AB1442">
        <v>332</v>
      </c>
      <c r="AC1442">
        <v>536</v>
      </c>
      <c r="AD1442">
        <v>28.93</v>
      </c>
      <c r="AE1442">
        <v>542</v>
      </c>
      <c r="AF1442">
        <v>28</v>
      </c>
      <c r="AG1442">
        <v>168</v>
      </c>
      <c r="AH1442">
        <v>129</v>
      </c>
      <c r="AI1442">
        <v>5.17</v>
      </c>
      <c r="AJ1442">
        <v>31</v>
      </c>
      <c r="AK1442">
        <v>23.8</v>
      </c>
      <c r="AL1442">
        <v>-20.126267499999951</v>
      </c>
      <c r="AM1442">
        <v>-44.852460192840908</v>
      </c>
      <c r="AN1442">
        <v>-20.126267499999951</v>
      </c>
      <c r="AO1442">
        <v>-44.852460192840908</v>
      </c>
      <c r="AP1442">
        <v>-20.124312</v>
      </c>
      <c r="AQ1442">
        <v>-44.850425000000001</v>
      </c>
      <c r="AR1442">
        <v>304.36574074135672</v>
      </c>
      <c r="AS1442" t="s">
        <v>65</v>
      </c>
      <c r="AT1442">
        <v>1</v>
      </c>
      <c r="AU1442" t="s">
        <v>1087</v>
      </c>
      <c r="AV1442" t="s">
        <v>1088</v>
      </c>
      <c r="AW1442" t="s">
        <v>60</v>
      </c>
      <c r="AX1442" t="s">
        <v>68</v>
      </c>
      <c r="AY1442" t="s">
        <v>69</v>
      </c>
      <c r="AZ1442" t="b">
        <v>1</v>
      </c>
    </row>
    <row r="1443" spans="1:52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2142</v>
      </c>
      <c r="F1443" t="s">
        <v>190</v>
      </c>
      <c r="G1443" t="s">
        <v>753</v>
      </c>
      <c r="H1443" t="s">
        <v>754</v>
      </c>
      <c r="I1443" t="s">
        <v>754</v>
      </c>
      <c r="J1443" t="s">
        <v>60</v>
      </c>
      <c r="K1443" t="s">
        <v>688</v>
      </c>
      <c r="L1443" t="s">
        <v>62</v>
      </c>
      <c r="M1443" t="s">
        <v>688</v>
      </c>
      <c r="N1443" t="s">
        <v>755</v>
      </c>
      <c r="O1443" t="s">
        <v>756</v>
      </c>
      <c r="P1443">
        <v>-20.135238000000001</v>
      </c>
      <c r="Q1443">
        <v>-44.890405999999999</v>
      </c>
      <c r="R1443" s="2" t="str">
        <f>HYPERLINK("https://www.google.com/maps?q=-20.1352380,-44.8904060","Abrir no Google Maps")</f>
        <v>Abrir no Google Maps</v>
      </c>
      <c r="S1443">
        <v>3</v>
      </c>
      <c r="T1443">
        <v>314.49904475975598</v>
      </c>
      <c r="U1443">
        <v>4</v>
      </c>
      <c r="V1443">
        <v>24</v>
      </c>
      <c r="W1443">
        <v>1</v>
      </c>
      <c r="X1443">
        <v>24</v>
      </c>
      <c r="Y1443">
        <v>350</v>
      </c>
      <c r="Z1443">
        <v>443.96798796176353</v>
      </c>
      <c r="AA1443">
        <v>198</v>
      </c>
      <c r="AB1443">
        <v>332</v>
      </c>
      <c r="AC1443">
        <v>536</v>
      </c>
      <c r="AD1443">
        <v>28.93</v>
      </c>
      <c r="AE1443">
        <v>542</v>
      </c>
      <c r="AF1443">
        <v>28</v>
      </c>
      <c r="AG1443">
        <v>168</v>
      </c>
      <c r="AH1443">
        <v>129</v>
      </c>
      <c r="AI1443">
        <v>5.17</v>
      </c>
      <c r="AJ1443">
        <v>31</v>
      </c>
      <c r="AK1443">
        <v>23.8</v>
      </c>
      <c r="AL1443">
        <v>-20.134851099999931</v>
      </c>
      <c r="AM1443">
        <v>-44.890573293408117</v>
      </c>
      <c r="AN1443">
        <v>-20.134851099999931</v>
      </c>
      <c r="AO1443">
        <v>-44.890573293408131</v>
      </c>
      <c r="AP1443">
        <v>-20.135238000000001</v>
      </c>
      <c r="AQ1443">
        <v>-44.890405999999999</v>
      </c>
      <c r="AR1443">
        <v>46.483580940434933</v>
      </c>
      <c r="AS1443" t="s">
        <v>65</v>
      </c>
      <c r="AT1443">
        <v>1</v>
      </c>
      <c r="AU1443" t="s">
        <v>757</v>
      </c>
      <c r="AV1443" t="s">
        <v>758</v>
      </c>
      <c r="AW1443" t="s">
        <v>60</v>
      </c>
      <c r="AX1443" t="s">
        <v>68</v>
      </c>
      <c r="AY1443" t="s">
        <v>69</v>
      </c>
      <c r="AZ1443" t="b">
        <v>1</v>
      </c>
    </row>
    <row r="1444" spans="1:52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2142</v>
      </c>
      <c r="F1444" t="s">
        <v>190</v>
      </c>
      <c r="G1444" t="s">
        <v>1094</v>
      </c>
      <c r="H1444" t="s">
        <v>1095</v>
      </c>
      <c r="I1444" t="s">
        <v>1095</v>
      </c>
      <c r="J1444" t="s">
        <v>60</v>
      </c>
      <c r="K1444" t="s">
        <v>761</v>
      </c>
      <c r="L1444" t="s">
        <v>62</v>
      </c>
      <c r="M1444" t="s">
        <v>761</v>
      </c>
      <c r="N1444" t="s">
        <v>1096</v>
      </c>
      <c r="O1444" t="s">
        <v>1070</v>
      </c>
      <c r="P1444">
        <v>-20.122955999999999</v>
      </c>
      <c r="Q1444">
        <v>-44.847842</v>
      </c>
      <c r="R1444" s="2" t="str">
        <f>HYPERLINK("https://www.google.com/maps?q=-20.1229560,-44.8478420","Abrir no Google Maps")</f>
        <v>Abrir no Google Maps</v>
      </c>
      <c r="S1444">
        <v>3</v>
      </c>
      <c r="T1444">
        <v>611.23533866709147</v>
      </c>
      <c r="U1444">
        <v>4</v>
      </c>
      <c r="V1444">
        <v>26</v>
      </c>
      <c r="W1444">
        <v>1</v>
      </c>
      <c r="X1444">
        <v>26</v>
      </c>
      <c r="Y1444">
        <v>350</v>
      </c>
      <c r="Z1444">
        <v>567.3129443637539</v>
      </c>
      <c r="AA1444">
        <v>198</v>
      </c>
      <c r="AB1444">
        <v>332</v>
      </c>
      <c r="AC1444">
        <v>536</v>
      </c>
      <c r="AD1444">
        <v>28.93</v>
      </c>
      <c r="AE1444">
        <v>542</v>
      </c>
      <c r="AF1444">
        <v>28</v>
      </c>
      <c r="AG1444">
        <v>168</v>
      </c>
      <c r="AH1444">
        <v>129</v>
      </c>
      <c r="AI1444">
        <v>5.17</v>
      </c>
      <c r="AJ1444">
        <v>31</v>
      </c>
      <c r="AK1444">
        <v>23.8</v>
      </c>
      <c r="AL1444">
        <v>-20.122854299999972</v>
      </c>
      <c r="AM1444">
        <v>-44.847862495675152</v>
      </c>
      <c r="AN1444">
        <v>-20.122854299999972</v>
      </c>
      <c r="AO1444">
        <v>-44.847862495675152</v>
      </c>
      <c r="AP1444">
        <v>-20.122955999999999</v>
      </c>
      <c r="AQ1444">
        <v>-44.847842</v>
      </c>
      <c r="AR1444">
        <v>11.522154044835331</v>
      </c>
      <c r="AS1444" t="s">
        <v>65</v>
      </c>
      <c r="AT1444">
        <v>1</v>
      </c>
      <c r="AU1444" t="s">
        <v>1097</v>
      </c>
      <c r="AV1444" t="s">
        <v>1098</v>
      </c>
      <c r="AW1444" t="s">
        <v>60</v>
      </c>
      <c r="AX1444" t="s">
        <v>68</v>
      </c>
      <c r="AY1444" t="s">
        <v>69</v>
      </c>
      <c r="AZ1444" t="b">
        <v>1</v>
      </c>
    </row>
    <row r="1445" spans="1:52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2142</v>
      </c>
      <c r="F1445" t="s">
        <v>190</v>
      </c>
      <c r="G1445" t="s">
        <v>759</v>
      </c>
      <c r="H1445" t="s">
        <v>760</v>
      </c>
      <c r="I1445" t="s">
        <v>760</v>
      </c>
      <c r="J1445" t="s">
        <v>60</v>
      </c>
      <c r="K1445" t="s">
        <v>761</v>
      </c>
      <c r="L1445" t="s">
        <v>62</v>
      </c>
      <c r="M1445" t="s">
        <v>761</v>
      </c>
      <c r="N1445" t="s">
        <v>762</v>
      </c>
      <c r="O1445" t="s">
        <v>763</v>
      </c>
      <c r="P1445">
        <v>-20.118755</v>
      </c>
      <c r="Q1445">
        <v>-44.850627000000003</v>
      </c>
      <c r="R1445" s="2" t="str">
        <f>HYPERLINK("https://www.google.com/maps?q=-20.1187550,-44.8506270","Abrir no Google Maps")</f>
        <v>Abrir no Google Maps</v>
      </c>
      <c r="S1445">
        <v>3</v>
      </c>
      <c r="T1445">
        <v>848.81670834514034</v>
      </c>
      <c r="U1445">
        <v>4</v>
      </c>
      <c r="V1445">
        <v>25</v>
      </c>
      <c r="W1445">
        <v>1</v>
      </c>
      <c r="X1445">
        <v>25</v>
      </c>
      <c r="Y1445">
        <v>350</v>
      </c>
      <c r="Z1445">
        <v>443.51354125420028</v>
      </c>
      <c r="AA1445">
        <v>198</v>
      </c>
      <c r="AB1445">
        <v>332</v>
      </c>
      <c r="AC1445">
        <v>536</v>
      </c>
      <c r="AD1445">
        <v>28.93</v>
      </c>
      <c r="AE1445">
        <v>542</v>
      </c>
      <c r="AF1445">
        <v>28</v>
      </c>
      <c r="AG1445">
        <v>168</v>
      </c>
      <c r="AH1445">
        <v>129</v>
      </c>
      <c r="AI1445">
        <v>5.17</v>
      </c>
      <c r="AJ1445">
        <v>31</v>
      </c>
      <c r="AK1445">
        <v>23.8</v>
      </c>
      <c r="AL1445">
        <v>-20.11882464999994</v>
      </c>
      <c r="AM1445">
        <v>-44.850497004056017</v>
      </c>
      <c r="AN1445">
        <v>-20.11882464999994</v>
      </c>
      <c r="AO1445">
        <v>-44.850497004056017</v>
      </c>
      <c r="AP1445">
        <v>-20.118755</v>
      </c>
      <c r="AQ1445">
        <v>-44.850627000000003</v>
      </c>
      <c r="AR1445">
        <v>15.6445928866994</v>
      </c>
      <c r="AS1445" t="s">
        <v>65</v>
      </c>
      <c r="AT1445">
        <v>1</v>
      </c>
      <c r="AU1445" t="s">
        <v>764</v>
      </c>
      <c r="AV1445" t="s">
        <v>765</v>
      </c>
      <c r="AW1445" t="s">
        <v>60</v>
      </c>
      <c r="AX1445" t="s">
        <v>68</v>
      </c>
      <c r="AY1445" t="s">
        <v>69</v>
      </c>
      <c r="AZ1445" t="b">
        <v>1</v>
      </c>
    </row>
    <row r="1446" spans="1:52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2142</v>
      </c>
      <c r="F1446" t="s">
        <v>190</v>
      </c>
      <c r="G1446" t="s">
        <v>766</v>
      </c>
      <c r="H1446" t="s">
        <v>767</v>
      </c>
      <c r="I1446" t="s">
        <v>767</v>
      </c>
      <c r="J1446" t="s">
        <v>60</v>
      </c>
      <c r="K1446" t="s">
        <v>768</v>
      </c>
      <c r="L1446" t="s">
        <v>62</v>
      </c>
      <c r="M1446" t="s">
        <v>768</v>
      </c>
      <c r="N1446" t="s">
        <v>769</v>
      </c>
      <c r="O1446" t="s">
        <v>770</v>
      </c>
      <c r="P1446">
        <v>-20.135211000000002</v>
      </c>
      <c r="Q1446">
        <v>-44.875359000000003</v>
      </c>
      <c r="R1446" s="2" t="str">
        <f>HYPERLINK("https://www.google.com/maps?q=-20.1352110,-44.8753590","Abrir no Google Maps")</f>
        <v>Abrir no Google Maps</v>
      </c>
      <c r="S1446">
        <v>3</v>
      </c>
      <c r="T1446">
        <v>383.44405482521267</v>
      </c>
      <c r="U1446">
        <v>4</v>
      </c>
      <c r="V1446">
        <v>23</v>
      </c>
      <c r="W1446">
        <v>1</v>
      </c>
      <c r="X1446">
        <v>23</v>
      </c>
      <c r="Y1446">
        <v>332</v>
      </c>
      <c r="Z1446">
        <v>219.0766044611764</v>
      </c>
      <c r="AA1446">
        <v>198</v>
      </c>
      <c r="AB1446">
        <v>332</v>
      </c>
      <c r="AC1446">
        <v>536</v>
      </c>
      <c r="AD1446">
        <v>28.93</v>
      </c>
      <c r="AE1446">
        <v>542</v>
      </c>
      <c r="AF1446">
        <v>28</v>
      </c>
      <c r="AG1446">
        <v>168</v>
      </c>
      <c r="AH1446">
        <v>129</v>
      </c>
      <c r="AI1446">
        <v>5.17</v>
      </c>
      <c r="AJ1446">
        <v>31</v>
      </c>
      <c r="AK1446">
        <v>23.8</v>
      </c>
      <c r="AL1446">
        <v>-20.135125549999941</v>
      </c>
      <c r="AM1446">
        <v>-44.875534947489427</v>
      </c>
      <c r="AN1446">
        <v>-20.135125549999941</v>
      </c>
      <c r="AO1446">
        <v>-44.875534947489427</v>
      </c>
      <c r="AP1446">
        <v>-20.135211000000002</v>
      </c>
      <c r="AQ1446">
        <v>-44.875359000000003</v>
      </c>
      <c r="AR1446">
        <v>20.703969313709418</v>
      </c>
      <c r="AS1446" t="s">
        <v>65</v>
      </c>
      <c r="AT1446">
        <v>1</v>
      </c>
      <c r="AU1446" t="s">
        <v>771</v>
      </c>
      <c r="AV1446" t="s">
        <v>772</v>
      </c>
      <c r="AW1446" t="s">
        <v>60</v>
      </c>
      <c r="AX1446" t="s">
        <v>68</v>
      </c>
      <c r="AY1446" t="s">
        <v>69</v>
      </c>
      <c r="AZ1446" t="b">
        <v>1</v>
      </c>
    </row>
    <row r="1447" spans="1:52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2142</v>
      </c>
      <c r="F1447" t="s">
        <v>190</v>
      </c>
      <c r="G1447" t="s">
        <v>773</v>
      </c>
      <c r="H1447" t="s">
        <v>774</v>
      </c>
      <c r="I1447" t="s">
        <v>774</v>
      </c>
      <c r="J1447" t="s">
        <v>60</v>
      </c>
      <c r="K1447" t="s">
        <v>775</v>
      </c>
      <c r="L1447" t="s">
        <v>62</v>
      </c>
      <c r="M1447" t="s">
        <v>775</v>
      </c>
      <c r="N1447" t="s">
        <v>776</v>
      </c>
      <c r="O1447" t="s">
        <v>250</v>
      </c>
      <c r="P1447">
        <v>-20.135413</v>
      </c>
      <c r="Q1447">
        <v>-44.868969999999997</v>
      </c>
      <c r="R1447" s="2" t="str">
        <f>HYPERLINK("https://www.google.com/maps?q=-20.1354130,-44.8689700","Abrir no Google Maps")</f>
        <v>Abrir no Google Maps</v>
      </c>
      <c r="S1447">
        <v>3</v>
      </c>
      <c r="T1447">
        <v>403.5118397372845</v>
      </c>
      <c r="U1447">
        <v>4</v>
      </c>
      <c r="V1447">
        <v>28</v>
      </c>
      <c r="W1447">
        <v>1</v>
      </c>
      <c r="X1447">
        <v>28</v>
      </c>
      <c r="Y1447">
        <v>332</v>
      </c>
      <c r="Z1447">
        <v>455.74614750795899</v>
      </c>
      <c r="AA1447">
        <v>198</v>
      </c>
      <c r="AB1447">
        <v>332</v>
      </c>
      <c r="AC1447">
        <v>536</v>
      </c>
      <c r="AD1447">
        <v>28.93</v>
      </c>
      <c r="AE1447">
        <v>542</v>
      </c>
      <c r="AF1447">
        <v>28</v>
      </c>
      <c r="AG1447">
        <v>168</v>
      </c>
      <c r="AH1447">
        <v>129</v>
      </c>
      <c r="AI1447">
        <v>5.17</v>
      </c>
      <c r="AJ1447">
        <v>31</v>
      </c>
      <c r="AK1447">
        <v>23.8</v>
      </c>
      <c r="AL1447">
        <v>-20.13561149999995</v>
      </c>
      <c r="AM1447">
        <v>-44.868817260088647</v>
      </c>
      <c r="AN1447">
        <v>-20.13561149999995</v>
      </c>
      <c r="AO1447">
        <v>-44.868817260088647</v>
      </c>
      <c r="AP1447">
        <v>-20.135413</v>
      </c>
      <c r="AQ1447">
        <v>-44.868969999999997</v>
      </c>
      <c r="AR1447">
        <v>27.26024434808955</v>
      </c>
      <c r="AS1447" t="s">
        <v>65</v>
      </c>
      <c r="AT1447">
        <v>1</v>
      </c>
      <c r="AU1447" t="s">
        <v>777</v>
      </c>
      <c r="AV1447" t="s">
        <v>778</v>
      </c>
      <c r="AW1447" t="s">
        <v>60</v>
      </c>
      <c r="AX1447" t="s">
        <v>68</v>
      </c>
      <c r="AY1447" t="s">
        <v>69</v>
      </c>
      <c r="AZ1447" t="b">
        <v>1</v>
      </c>
    </row>
    <row r="1448" spans="1:52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2142</v>
      </c>
      <c r="F1448" t="s">
        <v>190</v>
      </c>
      <c r="G1448" t="s">
        <v>1104</v>
      </c>
      <c r="H1448" t="s">
        <v>1105</v>
      </c>
      <c r="I1448" t="s">
        <v>1105</v>
      </c>
      <c r="J1448" t="s">
        <v>60</v>
      </c>
      <c r="K1448" t="s">
        <v>781</v>
      </c>
      <c r="L1448" t="s">
        <v>62</v>
      </c>
      <c r="M1448" t="s">
        <v>781</v>
      </c>
      <c r="N1448" t="s">
        <v>1106</v>
      </c>
      <c r="O1448" t="s">
        <v>1080</v>
      </c>
      <c r="P1448">
        <v>-20.138683</v>
      </c>
      <c r="Q1448">
        <v>-44.868507999999999</v>
      </c>
      <c r="R1448" s="2" t="str">
        <f>HYPERLINK("https://www.google.com/maps?q=-20.1386830,-44.8685080","Abrir no Google Maps")</f>
        <v>Abrir no Google Maps</v>
      </c>
      <c r="S1448">
        <v>3</v>
      </c>
      <c r="T1448">
        <v>450.88210098833099</v>
      </c>
      <c r="U1448">
        <v>4</v>
      </c>
      <c r="V1448">
        <v>34</v>
      </c>
      <c r="W1448">
        <v>1</v>
      </c>
      <c r="X1448">
        <v>34</v>
      </c>
      <c r="Y1448">
        <v>332</v>
      </c>
      <c r="Z1448">
        <v>601.27669048153166</v>
      </c>
      <c r="AA1448">
        <v>198</v>
      </c>
      <c r="AB1448">
        <v>332</v>
      </c>
      <c r="AC1448">
        <v>536</v>
      </c>
      <c r="AD1448">
        <v>28.93</v>
      </c>
      <c r="AE1448">
        <v>542</v>
      </c>
      <c r="AF1448">
        <v>28</v>
      </c>
      <c r="AG1448">
        <v>168</v>
      </c>
      <c r="AH1448">
        <v>129</v>
      </c>
      <c r="AI1448">
        <v>5.17</v>
      </c>
      <c r="AJ1448">
        <v>31</v>
      </c>
      <c r="AK1448">
        <v>23.8</v>
      </c>
      <c r="AL1448">
        <v>-20.13870544999995</v>
      </c>
      <c r="AM1448">
        <v>-44.868521774012208</v>
      </c>
      <c r="AN1448">
        <v>-20.138705449999939</v>
      </c>
      <c r="AO1448">
        <v>-44.868521774012208</v>
      </c>
      <c r="AP1448">
        <v>-20.138683</v>
      </c>
      <c r="AQ1448">
        <v>-44.868507999999999</v>
      </c>
      <c r="AR1448">
        <v>2.8841042175322271</v>
      </c>
      <c r="AS1448" t="s">
        <v>65</v>
      </c>
      <c r="AT1448">
        <v>1</v>
      </c>
      <c r="AU1448" t="s">
        <v>1107</v>
      </c>
      <c r="AV1448" t="s">
        <v>1108</v>
      </c>
      <c r="AW1448" t="s">
        <v>60</v>
      </c>
      <c r="AX1448" t="s">
        <v>68</v>
      </c>
      <c r="AY1448" t="s">
        <v>69</v>
      </c>
      <c r="AZ1448" t="b">
        <v>1</v>
      </c>
    </row>
    <row r="1449" spans="1:52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2142</v>
      </c>
      <c r="F1449" t="s">
        <v>190</v>
      </c>
      <c r="G1449" t="s">
        <v>1121</v>
      </c>
      <c r="H1449" t="s">
        <v>1122</v>
      </c>
      <c r="I1449" t="s">
        <v>1122</v>
      </c>
      <c r="J1449" t="s">
        <v>60</v>
      </c>
      <c r="K1449" t="s">
        <v>1123</v>
      </c>
      <c r="L1449" t="s">
        <v>62</v>
      </c>
      <c r="M1449" t="s">
        <v>1123</v>
      </c>
      <c r="N1449" t="s">
        <v>1124</v>
      </c>
      <c r="O1449" t="s">
        <v>74</v>
      </c>
      <c r="P1449">
        <v>-20.105318</v>
      </c>
      <c r="Q1449">
        <v>-44.879216</v>
      </c>
      <c r="R1449" s="2" t="str">
        <f>HYPERLINK("https://www.google.com/maps?q=-20.1053180,-44.8792160","Abrir no Google Maps")</f>
        <v>Abrir no Google Maps</v>
      </c>
      <c r="S1449">
        <v>3</v>
      </c>
      <c r="T1449">
        <v>318.57668516180911</v>
      </c>
      <c r="U1449">
        <v>4</v>
      </c>
      <c r="V1449">
        <v>29</v>
      </c>
      <c r="W1449">
        <v>1</v>
      </c>
      <c r="X1449">
        <v>29</v>
      </c>
      <c r="Y1449">
        <v>314</v>
      </c>
      <c r="Z1449">
        <v>207.50829098881519</v>
      </c>
      <c r="AA1449">
        <v>198</v>
      </c>
      <c r="AB1449">
        <v>332</v>
      </c>
      <c r="AC1449">
        <v>536</v>
      </c>
      <c r="AD1449">
        <v>28.93</v>
      </c>
      <c r="AE1449">
        <v>542</v>
      </c>
      <c r="AF1449">
        <v>28</v>
      </c>
      <c r="AG1449">
        <v>168</v>
      </c>
      <c r="AH1449">
        <v>129</v>
      </c>
      <c r="AI1449">
        <v>5.17</v>
      </c>
      <c r="AJ1449">
        <v>31</v>
      </c>
      <c r="AK1449">
        <v>23.8</v>
      </c>
      <c r="AL1449">
        <v>-20.105361049999939</v>
      </c>
      <c r="AM1449">
        <v>-44.87924613740698</v>
      </c>
      <c r="AN1449">
        <v>-20.105361049999939</v>
      </c>
      <c r="AO1449">
        <v>-44.87924613740698</v>
      </c>
      <c r="AP1449">
        <v>-20.105318</v>
      </c>
      <c r="AQ1449">
        <v>-44.879216</v>
      </c>
      <c r="AR1449">
        <v>5.7351338374851242</v>
      </c>
      <c r="AS1449" t="s">
        <v>65</v>
      </c>
      <c r="AT1449">
        <v>1</v>
      </c>
      <c r="AU1449" t="s">
        <v>1125</v>
      </c>
      <c r="AV1449" t="s">
        <v>1126</v>
      </c>
      <c r="AW1449" t="s">
        <v>60</v>
      </c>
      <c r="AX1449" t="s">
        <v>68</v>
      </c>
      <c r="AY1449" t="s">
        <v>69</v>
      </c>
      <c r="AZ1449" t="b">
        <v>1</v>
      </c>
    </row>
    <row r="1450" spans="1:52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2142</v>
      </c>
      <c r="F1450" t="s">
        <v>190</v>
      </c>
      <c r="G1450" t="s">
        <v>1127</v>
      </c>
      <c r="H1450" t="s">
        <v>1128</v>
      </c>
      <c r="I1450" t="s">
        <v>1128</v>
      </c>
      <c r="J1450" t="s">
        <v>60</v>
      </c>
      <c r="K1450" t="s">
        <v>1129</v>
      </c>
      <c r="L1450" t="s">
        <v>62</v>
      </c>
      <c r="M1450" t="s">
        <v>1129</v>
      </c>
      <c r="N1450" t="s">
        <v>1130</v>
      </c>
      <c r="O1450" t="s">
        <v>357</v>
      </c>
      <c r="P1450">
        <v>-20.106638</v>
      </c>
      <c r="Q1450">
        <v>-44.883538000000001</v>
      </c>
      <c r="R1450" s="2" t="str">
        <f>HYPERLINK("https://www.google.com/maps?q=-20.1066380,-44.8835380","Abrir no Google Maps")</f>
        <v>Abrir no Google Maps</v>
      </c>
      <c r="S1450">
        <v>3</v>
      </c>
      <c r="T1450">
        <v>754.03514396665969</v>
      </c>
      <c r="U1450">
        <v>4</v>
      </c>
      <c r="V1450">
        <v>26</v>
      </c>
      <c r="W1450">
        <v>1</v>
      </c>
      <c r="X1450">
        <v>26</v>
      </c>
      <c r="Y1450">
        <v>314</v>
      </c>
      <c r="Z1450">
        <v>584.1161650721092</v>
      </c>
      <c r="AA1450">
        <v>198</v>
      </c>
      <c r="AB1450">
        <v>332</v>
      </c>
      <c r="AC1450">
        <v>536</v>
      </c>
      <c r="AD1450">
        <v>28.93</v>
      </c>
      <c r="AE1450">
        <v>542</v>
      </c>
      <c r="AF1450">
        <v>28</v>
      </c>
      <c r="AG1450">
        <v>168</v>
      </c>
      <c r="AH1450">
        <v>129</v>
      </c>
      <c r="AI1450">
        <v>5.17</v>
      </c>
      <c r="AJ1450">
        <v>31</v>
      </c>
      <c r="AK1450">
        <v>23.8</v>
      </c>
      <c r="AL1450">
        <v>-20.106599599999949</v>
      </c>
      <c r="AM1450">
        <v>-44.883527947279568</v>
      </c>
      <c r="AN1450">
        <v>-20.106599599999949</v>
      </c>
      <c r="AO1450">
        <v>-44.883527947279568</v>
      </c>
      <c r="AP1450">
        <v>-20.106638</v>
      </c>
      <c r="AQ1450">
        <v>-44.883538000000001</v>
      </c>
      <c r="AR1450">
        <v>4.4019630384815924</v>
      </c>
      <c r="AS1450" t="s">
        <v>65</v>
      </c>
      <c r="AT1450">
        <v>1</v>
      </c>
      <c r="AU1450" t="s">
        <v>1131</v>
      </c>
      <c r="AV1450" t="s">
        <v>1132</v>
      </c>
      <c r="AW1450" t="s">
        <v>60</v>
      </c>
      <c r="AX1450" t="s">
        <v>68</v>
      </c>
      <c r="AY1450" t="s">
        <v>69</v>
      </c>
      <c r="AZ1450" t="b">
        <v>1</v>
      </c>
    </row>
    <row r="1451" spans="1:52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2142</v>
      </c>
      <c r="F1451" t="s">
        <v>190</v>
      </c>
      <c r="G1451" t="s">
        <v>1133</v>
      </c>
      <c r="H1451" t="s">
        <v>1134</v>
      </c>
      <c r="I1451" t="s">
        <v>1134</v>
      </c>
      <c r="J1451" t="s">
        <v>60</v>
      </c>
      <c r="K1451" t="s">
        <v>1123</v>
      </c>
      <c r="L1451" t="s">
        <v>62</v>
      </c>
      <c r="M1451" t="s">
        <v>1123</v>
      </c>
      <c r="N1451" t="s">
        <v>1135</v>
      </c>
      <c r="O1451" t="s">
        <v>138</v>
      </c>
      <c r="P1451">
        <v>-20.106113000000001</v>
      </c>
      <c r="Q1451">
        <v>-44.876035999999999</v>
      </c>
      <c r="R1451" s="2" t="str">
        <f>HYPERLINK("https://www.google.com/maps?q=-20.1061130,-44.8760360","Abrir no Google Maps")</f>
        <v>Abrir no Google Maps</v>
      </c>
      <c r="S1451">
        <v>3</v>
      </c>
      <c r="T1451">
        <v>0</v>
      </c>
      <c r="U1451">
        <v>4</v>
      </c>
      <c r="V1451">
        <v>27</v>
      </c>
      <c r="W1451">
        <v>1</v>
      </c>
      <c r="X1451">
        <v>27</v>
      </c>
      <c r="Y1451">
        <v>314</v>
      </c>
      <c r="Z1451">
        <v>98.504848991092999</v>
      </c>
      <c r="AA1451">
        <v>198</v>
      </c>
      <c r="AB1451">
        <v>332</v>
      </c>
      <c r="AC1451">
        <v>536</v>
      </c>
      <c r="AD1451">
        <v>28.93</v>
      </c>
      <c r="AE1451">
        <v>542</v>
      </c>
      <c r="AF1451">
        <v>28</v>
      </c>
      <c r="AG1451">
        <v>168</v>
      </c>
      <c r="AH1451">
        <v>129</v>
      </c>
      <c r="AI1451">
        <v>5.17</v>
      </c>
      <c r="AJ1451">
        <v>31</v>
      </c>
      <c r="AK1451">
        <v>23.8</v>
      </c>
      <c r="AL1451">
        <v>-20.106190249999941</v>
      </c>
      <c r="AM1451">
        <v>-44.876327742253288</v>
      </c>
      <c r="AN1451">
        <v>-20.106190249999941</v>
      </c>
      <c r="AO1451">
        <v>-44.876327742253288</v>
      </c>
      <c r="AP1451">
        <v>-20.106113000000001</v>
      </c>
      <c r="AQ1451">
        <v>-44.876035999999999</v>
      </c>
      <c r="AR1451">
        <v>31.686742853465731</v>
      </c>
      <c r="AS1451" t="s">
        <v>65</v>
      </c>
      <c r="AT1451">
        <v>1</v>
      </c>
      <c r="AU1451" t="s">
        <v>1136</v>
      </c>
      <c r="AV1451" t="s">
        <v>1137</v>
      </c>
      <c r="AW1451" t="s">
        <v>60</v>
      </c>
      <c r="AX1451" t="s">
        <v>68</v>
      </c>
      <c r="AY1451" t="s">
        <v>69</v>
      </c>
      <c r="AZ1451" t="b">
        <v>1</v>
      </c>
    </row>
    <row r="1452" spans="1:52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2142</v>
      </c>
      <c r="F1452" t="s">
        <v>190</v>
      </c>
      <c r="G1452" t="s">
        <v>1152</v>
      </c>
      <c r="H1452" t="s">
        <v>1153</v>
      </c>
      <c r="I1452" t="s">
        <v>1153</v>
      </c>
      <c r="J1452" t="s">
        <v>60</v>
      </c>
      <c r="K1452" t="s">
        <v>798</v>
      </c>
      <c r="L1452" t="s">
        <v>62</v>
      </c>
      <c r="M1452" t="s">
        <v>798</v>
      </c>
      <c r="N1452" t="s">
        <v>1154</v>
      </c>
      <c r="O1452" t="s">
        <v>293</v>
      </c>
      <c r="P1452">
        <v>-20.112477999999999</v>
      </c>
      <c r="Q1452">
        <v>-44.903066000000003</v>
      </c>
      <c r="R1452" s="2" t="str">
        <f>HYPERLINK("https://www.google.com/maps?q=-20.1124780,-44.9030660","Abrir no Google Maps")</f>
        <v>Abrir no Google Maps</v>
      </c>
      <c r="S1452">
        <v>3</v>
      </c>
      <c r="T1452">
        <v>246.8131690803576</v>
      </c>
      <c r="U1452">
        <v>4</v>
      </c>
      <c r="V1452">
        <v>31</v>
      </c>
      <c r="W1452">
        <v>1</v>
      </c>
      <c r="X1452">
        <v>31</v>
      </c>
      <c r="Y1452">
        <v>300</v>
      </c>
      <c r="Z1452">
        <v>335.63974056009812</v>
      </c>
      <c r="AA1452">
        <v>198</v>
      </c>
      <c r="AB1452">
        <v>332</v>
      </c>
      <c r="AC1452">
        <v>536</v>
      </c>
      <c r="AD1452">
        <v>28.93</v>
      </c>
      <c r="AE1452">
        <v>542</v>
      </c>
      <c r="AF1452">
        <v>28</v>
      </c>
      <c r="AG1452">
        <v>168</v>
      </c>
      <c r="AH1452">
        <v>129</v>
      </c>
      <c r="AI1452">
        <v>5.17</v>
      </c>
      <c r="AJ1452">
        <v>31</v>
      </c>
      <c r="AK1452">
        <v>23.8</v>
      </c>
      <c r="AL1452">
        <v>-20.112499949999972</v>
      </c>
      <c r="AM1452">
        <v>-44.903143791889391</v>
      </c>
      <c r="AN1452">
        <v>-20.112499949999972</v>
      </c>
      <c r="AO1452">
        <v>-44.903143791889391</v>
      </c>
      <c r="AP1452">
        <v>-20.112477999999999</v>
      </c>
      <c r="AQ1452">
        <v>-44.903066000000003</v>
      </c>
      <c r="AR1452">
        <v>8.4908959019572912</v>
      </c>
      <c r="AS1452" t="s">
        <v>65</v>
      </c>
      <c r="AT1452">
        <v>1</v>
      </c>
      <c r="AU1452" t="s">
        <v>1155</v>
      </c>
      <c r="AV1452" t="s">
        <v>1156</v>
      </c>
      <c r="AW1452" t="s">
        <v>60</v>
      </c>
      <c r="AX1452" t="s">
        <v>68</v>
      </c>
      <c r="AY1452" t="s">
        <v>69</v>
      </c>
      <c r="AZ1452" t="b">
        <v>1</v>
      </c>
    </row>
    <row r="1453" spans="1:52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2142</v>
      </c>
      <c r="F1453" t="s">
        <v>190</v>
      </c>
      <c r="G1453" t="s">
        <v>796</v>
      </c>
      <c r="H1453" t="s">
        <v>797</v>
      </c>
      <c r="I1453" t="s">
        <v>797</v>
      </c>
      <c r="J1453" t="s">
        <v>60</v>
      </c>
      <c r="K1453" t="s">
        <v>798</v>
      </c>
      <c r="L1453" t="s">
        <v>62</v>
      </c>
      <c r="M1453" t="s">
        <v>798</v>
      </c>
      <c r="N1453" t="s">
        <v>799</v>
      </c>
      <c r="O1453" t="s">
        <v>800</v>
      </c>
      <c r="P1453">
        <v>-20.105681000000001</v>
      </c>
      <c r="Q1453">
        <v>-44.902771999999999</v>
      </c>
      <c r="R1453" s="2" t="str">
        <f>HYPERLINK("https://www.google.com/maps?q=-20.1056810,-44.9027720","Abrir no Google Maps")</f>
        <v>Abrir no Google Maps</v>
      </c>
      <c r="S1453">
        <v>3</v>
      </c>
      <c r="T1453">
        <v>654.76334876090721</v>
      </c>
      <c r="U1453">
        <v>4</v>
      </c>
      <c r="V1453">
        <v>26</v>
      </c>
      <c r="W1453">
        <v>1</v>
      </c>
      <c r="X1453">
        <v>26</v>
      </c>
      <c r="Y1453">
        <v>300</v>
      </c>
      <c r="Z1453">
        <v>473.90209409135377</v>
      </c>
      <c r="AA1453">
        <v>198</v>
      </c>
      <c r="AB1453">
        <v>332</v>
      </c>
      <c r="AC1453">
        <v>536</v>
      </c>
      <c r="AD1453">
        <v>28.93</v>
      </c>
      <c r="AE1453">
        <v>542</v>
      </c>
      <c r="AF1453">
        <v>28</v>
      </c>
      <c r="AG1453">
        <v>168</v>
      </c>
      <c r="AH1453">
        <v>129</v>
      </c>
      <c r="AI1453">
        <v>5.17</v>
      </c>
      <c r="AJ1453">
        <v>31</v>
      </c>
      <c r="AK1453">
        <v>23.8</v>
      </c>
      <c r="AL1453">
        <v>-20.105710249999959</v>
      </c>
      <c r="AM1453">
        <v>-44.902887601574513</v>
      </c>
      <c r="AN1453">
        <v>-20.105710249999959</v>
      </c>
      <c r="AO1453">
        <v>-44.902887601574513</v>
      </c>
      <c r="AP1453">
        <v>-20.105681000000001</v>
      </c>
      <c r="AQ1453">
        <v>-44.902771999999999</v>
      </c>
      <c r="AR1453">
        <v>12.5155291382583</v>
      </c>
      <c r="AS1453" t="s">
        <v>65</v>
      </c>
      <c r="AT1453">
        <v>1</v>
      </c>
      <c r="AU1453" t="s">
        <v>801</v>
      </c>
      <c r="AV1453" t="s">
        <v>802</v>
      </c>
      <c r="AW1453" t="s">
        <v>60</v>
      </c>
      <c r="AX1453" t="s">
        <v>68</v>
      </c>
      <c r="AY1453" t="s">
        <v>69</v>
      </c>
      <c r="AZ1453" t="b">
        <v>1</v>
      </c>
    </row>
    <row r="1454" spans="1:52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2142</v>
      </c>
      <c r="F1454" t="s">
        <v>190</v>
      </c>
      <c r="G1454" t="s">
        <v>1780</v>
      </c>
      <c r="H1454" t="s">
        <v>1781</v>
      </c>
      <c r="I1454" t="s">
        <v>1781</v>
      </c>
      <c r="J1454" t="s">
        <v>60</v>
      </c>
      <c r="K1454" t="s">
        <v>791</v>
      </c>
      <c r="L1454" t="s">
        <v>62</v>
      </c>
      <c r="M1454" t="s">
        <v>791</v>
      </c>
      <c r="N1454" t="s">
        <v>1782</v>
      </c>
      <c r="O1454" t="s">
        <v>283</v>
      </c>
      <c r="P1454">
        <v>-20.111986999999999</v>
      </c>
      <c r="Q1454">
        <v>-44.915275999999999</v>
      </c>
      <c r="R1454" s="2" t="str">
        <f>HYPERLINK("https://www.google.com/maps?q=-20.1119870,-44.9152760","Abrir no Google Maps")</f>
        <v>Abrir no Google Maps</v>
      </c>
      <c r="S1454">
        <v>3</v>
      </c>
      <c r="T1454">
        <v>1467.0043378534899</v>
      </c>
      <c r="U1454">
        <v>4</v>
      </c>
      <c r="V1454">
        <v>27</v>
      </c>
      <c r="W1454">
        <v>0.85</v>
      </c>
      <c r="X1454">
        <v>22.95</v>
      </c>
      <c r="Y1454">
        <v>300</v>
      </c>
      <c r="Z1454">
        <v>1478.329767690894</v>
      </c>
      <c r="AA1454">
        <v>198</v>
      </c>
      <c r="AB1454">
        <v>332</v>
      </c>
      <c r="AC1454">
        <v>536</v>
      </c>
      <c r="AD1454">
        <v>28.93</v>
      </c>
      <c r="AE1454">
        <v>542</v>
      </c>
      <c r="AF1454">
        <v>28</v>
      </c>
      <c r="AG1454">
        <v>168</v>
      </c>
      <c r="AH1454">
        <v>129</v>
      </c>
      <c r="AI1454">
        <v>5.17</v>
      </c>
      <c r="AJ1454">
        <v>31</v>
      </c>
      <c r="AK1454">
        <v>23.8</v>
      </c>
      <c r="AL1454">
        <v>-20.11213934999995</v>
      </c>
      <c r="AM1454">
        <v>-44.915112261589371</v>
      </c>
      <c r="AN1454">
        <v>-20.11213934999995</v>
      </c>
      <c r="AO1454">
        <v>-44.915112261589371</v>
      </c>
      <c r="AP1454">
        <v>-20.111986999999999</v>
      </c>
      <c r="AQ1454">
        <v>-44.915275999999999</v>
      </c>
      <c r="AR1454">
        <v>24.095258739308729</v>
      </c>
      <c r="AS1454" t="s">
        <v>65</v>
      </c>
      <c r="AT1454">
        <v>1</v>
      </c>
      <c r="AU1454" t="s">
        <v>1783</v>
      </c>
      <c r="AV1454" t="s">
        <v>1784</v>
      </c>
      <c r="AW1454" t="s">
        <v>60</v>
      </c>
      <c r="AX1454" t="s">
        <v>68</v>
      </c>
      <c r="AY1454" t="s">
        <v>69</v>
      </c>
      <c r="AZ1454" t="b">
        <v>1</v>
      </c>
    </row>
    <row r="1455" spans="1:52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2142</v>
      </c>
      <c r="F1455" t="s">
        <v>190</v>
      </c>
      <c r="G1455" t="s">
        <v>1940</v>
      </c>
      <c r="H1455" t="s">
        <v>1941</v>
      </c>
      <c r="I1455" t="s">
        <v>1941</v>
      </c>
      <c r="J1455" t="s">
        <v>60</v>
      </c>
      <c r="K1455" t="s">
        <v>791</v>
      </c>
      <c r="L1455" t="s">
        <v>62</v>
      </c>
      <c r="M1455" t="s">
        <v>791</v>
      </c>
      <c r="N1455" t="s">
        <v>1942</v>
      </c>
      <c r="O1455" t="s">
        <v>1943</v>
      </c>
      <c r="P1455">
        <v>-20.10868</v>
      </c>
      <c r="Q1455">
        <v>-44.914802999999999</v>
      </c>
      <c r="R1455" s="2" t="str">
        <f>HYPERLINK("https://www.google.com/maps?q=-20.1086800,-44.9148030","Abrir no Google Maps")</f>
        <v>Abrir no Google Maps</v>
      </c>
      <c r="S1455">
        <v>3</v>
      </c>
      <c r="T1455">
        <v>1497.818218016964</v>
      </c>
      <c r="U1455">
        <v>4</v>
      </c>
      <c r="V1455">
        <v>28</v>
      </c>
      <c r="W1455">
        <v>0.85</v>
      </c>
      <c r="X1455">
        <v>23.8</v>
      </c>
      <c r="Y1455">
        <v>300</v>
      </c>
      <c r="Z1455">
        <v>1347.8282808622</v>
      </c>
      <c r="AA1455">
        <v>198</v>
      </c>
      <c r="AB1455">
        <v>332</v>
      </c>
      <c r="AC1455">
        <v>536</v>
      </c>
      <c r="AD1455">
        <v>28.93</v>
      </c>
      <c r="AE1455">
        <v>542</v>
      </c>
      <c r="AF1455">
        <v>28</v>
      </c>
      <c r="AG1455">
        <v>168</v>
      </c>
      <c r="AH1455">
        <v>129</v>
      </c>
      <c r="AI1455">
        <v>5.17</v>
      </c>
      <c r="AJ1455">
        <v>31</v>
      </c>
      <c r="AK1455">
        <v>23.8</v>
      </c>
      <c r="AL1455">
        <v>-20.108341949999978</v>
      </c>
      <c r="AM1455">
        <v>-44.915063905998323</v>
      </c>
      <c r="AN1455">
        <v>-20.108341949999978</v>
      </c>
      <c r="AO1455">
        <v>-44.915063905998323</v>
      </c>
      <c r="AP1455">
        <v>-20.10868</v>
      </c>
      <c r="AQ1455">
        <v>-44.914802999999999</v>
      </c>
      <c r="AR1455">
        <v>46.47578843967414</v>
      </c>
      <c r="AS1455" t="s">
        <v>65</v>
      </c>
      <c r="AT1455">
        <v>1</v>
      </c>
      <c r="AU1455" t="s">
        <v>1944</v>
      </c>
      <c r="AV1455" t="s">
        <v>1945</v>
      </c>
      <c r="AW1455" t="s">
        <v>60</v>
      </c>
      <c r="AX1455" t="s">
        <v>68</v>
      </c>
      <c r="AY1455" t="s">
        <v>69</v>
      </c>
      <c r="AZ1455" t="b">
        <v>1</v>
      </c>
    </row>
    <row r="1456" spans="1:52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2142</v>
      </c>
      <c r="F1456" t="s">
        <v>190</v>
      </c>
      <c r="G1456" t="s">
        <v>1785</v>
      </c>
      <c r="H1456" t="s">
        <v>1786</v>
      </c>
      <c r="I1456" t="s">
        <v>1786</v>
      </c>
      <c r="J1456" t="s">
        <v>60</v>
      </c>
      <c r="K1456" t="s">
        <v>323</v>
      </c>
      <c r="L1456" t="s">
        <v>62</v>
      </c>
      <c r="M1456" t="s">
        <v>323</v>
      </c>
      <c r="N1456" t="s">
        <v>1787</v>
      </c>
      <c r="O1456" t="s">
        <v>166</v>
      </c>
      <c r="P1456">
        <v>-20.150456999999999</v>
      </c>
      <c r="Q1456">
        <v>-44.859959000000003</v>
      </c>
      <c r="R1456" s="2" t="str">
        <f>HYPERLINK("https://www.google.com/maps?q=-20.1504570,-44.8599590","Abrir no Google Maps")</f>
        <v>Abrir no Google Maps</v>
      </c>
      <c r="S1456">
        <v>3</v>
      </c>
      <c r="T1456">
        <v>658.64381182775185</v>
      </c>
      <c r="U1456">
        <v>4</v>
      </c>
      <c r="V1456">
        <v>27</v>
      </c>
      <c r="W1456">
        <v>1</v>
      </c>
      <c r="X1456">
        <v>27</v>
      </c>
      <c r="Y1456">
        <v>264</v>
      </c>
      <c r="Z1456">
        <v>516.83560872131818</v>
      </c>
      <c r="AA1456">
        <v>198</v>
      </c>
      <c r="AB1456">
        <v>332</v>
      </c>
      <c r="AC1456">
        <v>536</v>
      </c>
      <c r="AD1456">
        <v>28.93</v>
      </c>
      <c r="AE1456">
        <v>542</v>
      </c>
      <c r="AF1456">
        <v>28</v>
      </c>
      <c r="AG1456">
        <v>168</v>
      </c>
      <c r="AH1456">
        <v>129</v>
      </c>
      <c r="AI1456">
        <v>5.17</v>
      </c>
      <c r="AJ1456">
        <v>31</v>
      </c>
      <c r="AK1456">
        <v>23.8</v>
      </c>
      <c r="AL1456">
        <v>-20.150445899999969</v>
      </c>
      <c r="AM1456">
        <v>-44.860119388819953</v>
      </c>
      <c r="AN1456">
        <v>-20.150445899999969</v>
      </c>
      <c r="AO1456">
        <v>-44.860119388819953</v>
      </c>
      <c r="AP1456">
        <v>-20.150456999999999</v>
      </c>
      <c r="AQ1456">
        <v>-44.859959000000003</v>
      </c>
      <c r="AR1456">
        <v>16.807117810283469</v>
      </c>
      <c r="AS1456" t="s">
        <v>65</v>
      </c>
      <c r="AT1456">
        <v>1</v>
      </c>
      <c r="AU1456" t="s">
        <v>1788</v>
      </c>
      <c r="AV1456" t="s">
        <v>1789</v>
      </c>
      <c r="AW1456" t="s">
        <v>60</v>
      </c>
      <c r="AX1456" t="s">
        <v>68</v>
      </c>
      <c r="AY1456" t="s">
        <v>69</v>
      </c>
      <c r="AZ1456" t="b">
        <v>1</v>
      </c>
    </row>
    <row r="1457" spans="1:52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2142</v>
      </c>
      <c r="F1457" t="s">
        <v>190</v>
      </c>
      <c r="G1457" t="s">
        <v>1175</v>
      </c>
      <c r="H1457" t="s">
        <v>1176</v>
      </c>
      <c r="I1457" t="s">
        <v>1176</v>
      </c>
      <c r="J1457" t="s">
        <v>60</v>
      </c>
      <c r="K1457" t="s">
        <v>1177</v>
      </c>
      <c r="L1457" t="s">
        <v>62</v>
      </c>
      <c r="M1457" t="s">
        <v>1177</v>
      </c>
      <c r="N1457" t="s">
        <v>1178</v>
      </c>
      <c r="O1457" t="s">
        <v>1179</v>
      </c>
      <c r="P1457">
        <v>-20.153393000000001</v>
      </c>
      <c r="Q1457">
        <v>-44.865701999999999</v>
      </c>
      <c r="R1457" s="2" t="str">
        <f>HYPERLINK("https://www.google.com/maps?q=-20.1533930,-44.8657020","Abrir no Google Maps")</f>
        <v>Abrir no Google Maps</v>
      </c>
      <c r="S1457">
        <v>3</v>
      </c>
      <c r="T1457">
        <v>0</v>
      </c>
      <c r="U1457">
        <v>4</v>
      </c>
      <c r="V1457">
        <v>24</v>
      </c>
      <c r="W1457">
        <v>1</v>
      </c>
      <c r="X1457">
        <v>24</v>
      </c>
      <c r="Y1457">
        <v>264</v>
      </c>
      <c r="Z1457">
        <v>187.61117597536</v>
      </c>
      <c r="AA1457">
        <v>198</v>
      </c>
      <c r="AB1457">
        <v>332</v>
      </c>
      <c r="AC1457">
        <v>536</v>
      </c>
      <c r="AD1457">
        <v>28.93</v>
      </c>
      <c r="AE1457">
        <v>542</v>
      </c>
      <c r="AF1457">
        <v>28</v>
      </c>
      <c r="AG1457">
        <v>168</v>
      </c>
      <c r="AH1457">
        <v>129</v>
      </c>
      <c r="AI1457">
        <v>5.17</v>
      </c>
      <c r="AJ1457">
        <v>31</v>
      </c>
      <c r="AK1457">
        <v>23.8</v>
      </c>
      <c r="AL1457">
        <v>-20.153365199999971</v>
      </c>
      <c r="AM1457">
        <v>-44.865611713780503</v>
      </c>
      <c r="AN1457">
        <v>-20.153365199999971</v>
      </c>
      <c r="AO1457">
        <v>-44.865611713780503</v>
      </c>
      <c r="AP1457">
        <v>-20.153393000000001</v>
      </c>
      <c r="AQ1457">
        <v>-44.865701999999999</v>
      </c>
      <c r="AR1457">
        <v>9.9298532940923003</v>
      </c>
      <c r="AS1457" t="s">
        <v>65</v>
      </c>
      <c r="AT1457">
        <v>1</v>
      </c>
      <c r="AU1457" t="s">
        <v>1180</v>
      </c>
      <c r="AV1457" t="s">
        <v>1181</v>
      </c>
      <c r="AW1457" t="s">
        <v>60</v>
      </c>
      <c r="AX1457" t="s">
        <v>68</v>
      </c>
      <c r="AY1457" t="s">
        <v>69</v>
      </c>
      <c r="AZ1457" t="b">
        <v>1</v>
      </c>
    </row>
    <row r="1458" spans="1:52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2142</v>
      </c>
      <c r="F1458" t="s">
        <v>190</v>
      </c>
      <c r="G1458" t="s">
        <v>810</v>
      </c>
      <c r="H1458" t="s">
        <v>811</v>
      </c>
      <c r="I1458" t="s">
        <v>811</v>
      </c>
      <c r="J1458" t="s">
        <v>60</v>
      </c>
      <c r="K1458" t="s">
        <v>805</v>
      </c>
      <c r="L1458" t="s">
        <v>62</v>
      </c>
      <c r="M1458" t="s">
        <v>805</v>
      </c>
      <c r="N1458" t="s">
        <v>812</v>
      </c>
      <c r="O1458" t="s">
        <v>309</v>
      </c>
      <c r="P1458">
        <v>-20.129868999999999</v>
      </c>
      <c r="Q1458">
        <v>-44.884247999999999</v>
      </c>
      <c r="R1458" s="2" t="str">
        <f>HYPERLINK("https://www.google.com/maps?q=-20.1298690,-44.8842480","Abrir no Google Maps")</f>
        <v>Abrir no Google Maps</v>
      </c>
      <c r="S1458">
        <v>3</v>
      </c>
      <c r="T1458">
        <v>434.82198084080329</v>
      </c>
      <c r="U1458">
        <v>4</v>
      </c>
      <c r="V1458">
        <v>26</v>
      </c>
      <c r="W1458">
        <v>1</v>
      </c>
      <c r="X1458">
        <v>26</v>
      </c>
      <c r="Y1458">
        <v>259</v>
      </c>
      <c r="Z1458">
        <v>281.76247768049842</v>
      </c>
      <c r="AA1458">
        <v>198</v>
      </c>
      <c r="AB1458">
        <v>332</v>
      </c>
      <c r="AC1458">
        <v>536</v>
      </c>
      <c r="AD1458">
        <v>28.93</v>
      </c>
      <c r="AE1458">
        <v>542</v>
      </c>
      <c r="AF1458">
        <v>28</v>
      </c>
      <c r="AG1458">
        <v>168</v>
      </c>
      <c r="AH1458">
        <v>129</v>
      </c>
      <c r="AI1458">
        <v>5.17</v>
      </c>
      <c r="AJ1458">
        <v>31</v>
      </c>
      <c r="AK1458">
        <v>23.8</v>
      </c>
      <c r="AL1458">
        <v>-20.129927549999959</v>
      </c>
      <c r="AM1458">
        <v>-44.884228133573217</v>
      </c>
      <c r="AN1458">
        <v>-20.129927549999959</v>
      </c>
      <c r="AO1458">
        <v>-44.884228133573217</v>
      </c>
      <c r="AP1458">
        <v>-20.129868999999999</v>
      </c>
      <c r="AQ1458">
        <v>-44.884247999999999</v>
      </c>
      <c r="AR1458">
        <v>6.8405504803478081</v>
      </c>
      <c r="AS1458" t="s">
        <v>65</v>
      </c>
      <c r="AT1458">
        <v>1</v>
      </c>
      <c r="AU1458" t="s">
        <v>813</v>
      </c>
      <c r="AV1458" t="s">
        <v>814</v>
      </c>
      <c r="AW1458" t="s">
        <v>60</v>
      </c>
      <c r="AX1458" t="s">
        <v>68</v>
      </c>
      <c r="AY1458" t="s">
        <v>69</v>
      </c>
      <c r="AZ1458" t="b">
        <v>1</v>
      </c>
    </row>
    <row r="1459" spans="1:52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2142</v>
      </c>
      <c r="F1459" t="s">
        <v>190</v>
      </c>
      <c r="G1459" t="s">
        <v>815</v>
      </c>
      <c r="H1459" t="s">
        <v>816</v>
      </c>
      <c r="I1459" t="s">
        <v>816</v>
      </c>
      <c r="J1459" t="s">
        <v>60</v>
      </c>
      <c r="K1459" t="s">
        <v>805</v>
      </c>
      <c r="L1459" t="s">
        <v>62</v>
      </c>
      <c r="M1459" t="s">
        <v>805</v>
      </c>
      <c r="N1459" t="s">
        <v>817</v>
      </c>
      <c r="O1459" t="s">
        <v>818</v>
      </c>
      <c r="P1459">
        <v>-20.129894</v>
      </c>
      <c r="Q1459">
        <v>-44.886285000000001</v>
      </c>
      <c r="R1459" s="2" t="str">
        <f>HYPERLINK("https://www.google.com/maps?q=-20.1298940,-44.8862850","Abrir no Google Maps")</f>
        <v>Abrir no Google Maps</v>
      </c>
      <c r="S1459">
        <v>3</v>
      </c>
      <c r="T1459">
        <v>245.88570896460399</v>
      </c>
      <c r="U1459">
        <v>4</v>
      </c>
      <c r="V1459">
        <v>28</v>
      </c>
      <c r="W1459">
        <v>1</v>
      </c>
      <c r="X1459">
        <v>28</v>
      </c>
      <c r="Y1459">
        <v>259</v>
      </c>
      <c r="Z1459">
        <v>274.53833463725539</v>
      </c>
      <c r="AA1459">
        <v>198</v>
      </c>
      <c r="AB1459">
        <v>332</v>
      </c>
      <c r="AC1459">
        <v>536</v>
      </c>
      <c r="AD1459">
        <v>28.93</v>
      </c>
      <c r="AE1459">
        <v>542</v>
      </c>
      <c r="AF1459">
        <v>28</v>
      </c>
      <c r="AG1459">
        <v>168</v>
      </c>
      <c r="AH1459">
        <v>129</v>
      </c>
      <c r="AI1459">
        <v>5.17</v>
      </c>
      <c r="AJ1459">
        <v>31</v>
      </c>
      <c r="AK1459">
        <v>23.8</v>
      </c>
      <c r="AL1459">
        <v>-20.129900749999969</v>
      </c>
      <c r="AM1459">
        <v>-44.886258682425179</v>
      </c>
      <c r="AN1459">
        <v>-20.129900749999969</v>
      </c>
      <c r="AO1459">
        <v>-44.886258682425179</v>
      </c>
      <c r="AP1459">
        <v>-20.129894</v>
      </c>
      <c r="AQ1459">
        <v>-44.886285000000001</v>
      </c>
      <c r="AR1459">
        <v>2.851497427576585</v>
      </c>
      <c r="AS1459" t="s">
        <v>65</v>
      </c>
      <c r="AT1459">
        <v>1</v>
      </c>
      <c r="AU1459" t="s">
        <v>819</v>
      </c>
      <c r="AV1459" t="s">
        <v>814</v>
      </c>
      <c r="AW1459" t="s">
        <v>60</v>
      </c>
      <c r="AX1459" t="s">
        <v>68</v>
      </c>
      <c r="AY1459" t="s">
        <v>69</v>
      </c>
      <c r="AZ1459" t="b">
        <v>1</v>
      </c>
    </row>
    <row r="1460" spans="1:52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2142</v>
      </c>
      <c r="F1460" t="s">
        <v>190</v>
      </c>
      <c r="G1460" t="s">
        <v>1200</v>
      </c>
      <c r="H1460" t="s">
        <v>1201</v>
      </c>
      <c r="I1460" t="s">
        <v>1201</v>
      </c>
      <c r="J1460" t="s">
        <v>60</v>
      </c>
      <c r="K1460" t="s">
        <v>1202</v>
      </c>
      <c r="L1460" t="s">
        <v>62</v>
      </c>
      <c r="M1460" t="s">
        <v>1202</v>
      </c>
      <c r="N1460" t="s">
        <v>1203</v>
      </c>
      <c r="O1460" t="s">
        <v>710</v>
      </c>
      <c r="P1460">
        <v>-20.191745999999998</v>
      </c>
      <c r="Q1460">
        <v>-44.904957000000003</v>
      </c>
      <c r="R1460" s="2" t="str">
        <f>HYPERLINK("https://www.google.com/maps?q=-20.1917460,-44.9049570","Abrir no Google Maps")</f>
        <v>Abrir no Google Maps</v>
      </c>
      <c r="S1460">
        <v>3</v>
      </c>
      <c r="T1460">
        <v>882.9384716293963</v>
      </c>
      <c r="U1460">
        <v>4</v>
      </c>
      <c r="V1460">
        <v>26</v>
      </c>
      <c r="W1460">
        <v>1</v>
      </c>
      <c r="X1460">
        <v>26</v>
      </c>
      <c r="Y1460">
        <v>135</v>
      </c>
      <c r="Z1460">
        <v>802.45927673397398</v>
      </c>
      <c r="AA1460">
        <v>198</v>
      </c>
      <c r="AB1460">
        <v>332</v>
      </c>
      <c r="AC1460">
        <v>536</v>
      </c>
      <c r="AD1460">
        <v>28.93</v>
      </c>
      <c r="AE1460">
        <v>542</v>
      </c>
      <c r="AF1460">
        <v>28</v>
      </c>
      <c r="AG1460">
        <v>168</v>
      </c>
      <c r="AH1460">
        <v>129</v>
      </c>
      <c r="AI1460">
        <v>5.17</v>
      </c>
      <c r="AJ1460">
        <v>31</v>
      </c>
      <c r="AK1460">
        <v>23.8</v>
      </c>
      <c r="AL1460">
        <v>-20.19172654999997</v>
      </c>
      <c r="AM1460">
        <v>-44.904976932073851</v>
      </c>
      <c r="AN1460">
        <v>-20.19172654999997</v>
      </c>
      <c r="AO1460">
        <v>-44.904976932073851</v>
      </c>
      <c r="AP1460">
        <v>-20.191745999999998</v>
      </c>
      <c r="AQ1460">
        <v>-44.904957000000003</v>
      </c>
      <c r="AR1460">
        <v>3.004110632807953</v>
      </c>
      <c r="AS1460" t="s">
        <v>65</v>
      </c>
      <c r="AT1460">
        <v>1</v>
      </c>
      <c r="AU1460" t="s">
        <v>1204</v>
      </c>
      <c r="AV1460" t="s">
        <v>1205</v>
      </c>
      <c r="AW1460" t="s">
        <v>60</v>
      </c>
      <c r="AX1460" t="s">
        <v>68</v>
      </c>
      <c r="AY1460" t="s">
        <v>69</v>
      </c>
      <c r="AZ1460" t="b">
        <v>1</v>
      </c>
    </row>
    <row r="1461" spans="1:52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2142</v>
      </c>
      <c r="F1461" t="s">
        <v>190</v>
      </c>
      <c r="G1461" t="s">
        <v>820</v>
      </c>
      <c r="H1461" t="s">
        <v>821</v>
      </c>
      <c r="I1461" t="s">
        <v>821</v>
      </c>
      <c r="J1461" t="s">
        <v>60</v>
      </c>
      <c r="K1461" t="s">
        <v>822</v>
      </c>
      <c r="L1461" t="s">
        <v>62</v>
      </c>
      <c r="M1461" t="s">
        <v>822</v>
      </c>
      <c r="N1461" t="s">
        <v>823</v>
      </c>
      <c r="O1461" t="s">
        <v>187</v>
      </c>
      <c r="P1461">
        <v>-20.182960999999999</v>
      </c>
      <c r="Q1461">
        <v>-44.902512999999999</v>
      </c>
      <c r="R1461" s="2" t="str">
        <f>HYPERLINK("https://www.google.com/maps?q=-20.1829610,-44.9025130","Abrir no Google Maps")</f>
        <v>Abrir no Google Maps</v>
      </c>
      <c r="S1461">
        <v>3</v>
      </c>
      <c r="T1461">
        <v>908.09917748271926</v>
      </c>
      <c r="U1461">
        <v>4</v>
      </c>
      <c r="V1461">
        <v>47</v>
      </c>
      <c r="W1461">
        <v>1</v>
      </c>
      <c r="X1461">
        <v>47</v>
      </c>
      <c r="Y1461">
        <v>135</v>
      </c>
      <c r="Z1461">
        <v>562.42494356837676</v>
      </c>
      <c r="AA1461">
        <v>198</v>
      </c>
      <c r="AB1461">
        <v>332</v>
      </c>
      <c r="AC1461">
        <v>536</v>
      </c>
      <c r="AD1461">
        <v>28.93</v>
      </c>
      <c r="AE1461">
        <v>542</v>
      </c>
      <c r="AF1461">
        <v>28</v>
      </c>
      <c r="AG1461">
        <v>168</v>
      </c>
      <c r="AH1461">
        <v>129</v>
      </c>
      <c r="AI1461">
        <v>5.17</v>
      </c>
      <c r="AJ1461">
        <v>31</v>
      </c>
      <c r="AK1461">
        <v>23.8</v>
      </c>
      <c r="AL1461">
        <v>-20.18277184999997</v>
      </c>
      <c r="AM1461">
        <v>-44.902421436048833</v>
      </c>
      <c r="AN1461">
        <v>-20.18277184999997</v>
      </c>
      <c r="AO1461">
        <v>-44.902421436048833</v>
      </c>
      <c r="AP1461">
        <v>-20.182960999999999</v>
      </c>
      <c r="AQ1461">
        <v>-44.902512999999999</v>
      </c>
      <c r="AR1461">
        <v>23.127700959037089</v>
      </c>
      <c r="AS1461" t="s">
        <v>65</v>
      </c>
      <c r="AT1461">
        <v>1</v>
      </c>
      <c r="AU1461" t="s">
        <v>824</v>
      </c>
      <c r="AV1461" t="s">
        <v>825</v>
      </c>
      <c r="AW1461" t="s">
        <v>60</v>
      </c>
      <c r="AX1461" t="s">
        <v>68</v>
      </c>
      <c r="AY1461" t="s">
        <v>69</v>
      </c>
      <c r="AZ1461" t="b">
        <v>1</v>
      </c>
    </row>
    <row r="1462" spans="1:52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2142</v>
      </c>
      <c r="F1462" t="s">
        <v>190</v>
      </c>
      <c r="G1462" t="s">
        <v>1218</v>
      </c>
      <c r="H1462" t="s">
        <v>1219</v>
      </c>
      <c r="I1462" t="s">
        <v>1219</v>
      </c>
      <c r="J1462" t="s">
        <v>60</v>
      </c>
      <c r="K1462" t="s">
        <v>828</v>
      </c>
      <c r="L1462" t="s">
        <v>62</v>
      </c>
      <c r="M1462" t="s">
        <v>828</v>
      </c>
      <c r="N1462" t="s">
        <v>1220</v>
      </c>
      <c r="O1462" t="s">
        <v>1221</v>
      </c>
      <c r="P1462">
        <v>-20.132722000000001</v>
      </c>
      <c r="Q1462">
        <v>-44.843550999999998</v>
      </c>
      <c r="R1462" s="2" t="str">
        <f>HYPERLINK("https://www.google.com/maps?q=-20.1327220,-44.8435510","Abrir no Google Maps")</f>
        <v>Abrir no Google Maps</v>
      </c>
      <c r="S1462">
        <v>3</v>
      </c>
      <c r="T1462">
        <v>846.88659580558431</v>
      </c>
      <c r="U1462">
        <v>4</v>
      </c>
      <c r="V1462">
        <v>32</v>
      </c>
      <c r="W1462">
        <v>1</v>
      </c>
      <c r="X1462">
        <v>32</v>
      </c>
      <c r="Y1462">
        <v>118</v>
      </c>
      <c r="Z1462">
        <v>797.91643890712305</v>
      </c>
      <c r="AA1462">
        <v>198</v>
      </c>
      <c r="AB1462">
        <v>332</v>
      </c>
      <c r="AC1462">
        <v>536</v>
      </c>
      <c r="AD1462">
        <v>28.93</v>
      </c>
      <c r="AE1462">
        <v>542</v>
      </c>
      <c r="AF1462">
        <v>28</v>
      </c>
      <c r="AG1462">
        <v>168</v>
      </c>
      <c r="AH1462">
        <v>129</v>
      </c>
      <c r="AI1462">
        <v>5.17</v>
      </c>
      <c r="AJ1462">
        <v>31</v>
      </c>
      <c r="AK1462">
        <v>23.8</v>
      </c>
      <c r="AL1462">
        <v>-20.132714949999979</v>
      </c>
      <c r="AM1462">
        <v>-44.843475702545703</v>
      </c>
      <c r="AN1462">
        <v>-20.132714949999979</v>
      </c>
      <c r="AO1462">
        <v>-44.843475702545703</v>
      </c>
      <c r="AP1462">
        <v>-20.132722000000001</v>
      </c>
      <c r="AQ1462">
        <v>-44.843550999999998</v>
      </c>
      <c r="AR1462">
        <v>7.9089820822755481</v>
      </c>
      <c r="AS1462" t="s">
        <v>65</v>
      </c>
      <c r="AT1462">
        <v>1</v>
      </c>
      <c r="AU1462" t="s">
        <v>1222</v>
      </c>
      <c r="AV1462" t="s">
        <v>1223</v>
      </c>
      <c r="AW1462" t="s">
        <v>60</v>
      </c>
      <c r="AX1462" t="s">
        <v>68</v>
      </c>
      <c r="AY1462" t="s">
        <v>69</v>
      </c>
      <c r="AZ1462" t="b">
        <v>1</v>
      </c>
    </row>
    <row r="1463" spans="1:52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2142</v>
      </c>
      <c r="F1463" t="s">
        <v>190</v>
      </c>
      <c r="G1463" t="s">
        <v>1808</v>
      </c>
      <c r="H1463" t="s">
        <v>1809</v>
      </c>
      <c r="I1463" t="s">
        <v>1809</v>
      </c>
      <c r="J1463" t="s">
        <v>60</v>
      </c>
      <c r="K1463" t="s">
        <v>1710</v>
      </c>
      <c r="L1463" t="s">
        <v>62</v>
      </c>
      <c r="M1463" t="s">
        <v>1710</v>
      </c>
      <c r="N1463" t="s">
        <v>1810</v>
      </c>
      <c r="O1463" t="s">
        <v>297</v>
      </c>
      <c r="P1463">
        <v>-20.144154</v>
      </c>
      <c r="Q1463">
        <v>-44.840567</v>
      </c>
      <c r="R1463" s="2" t="str">
        <f>HYPERLINK("https://www.google.com/maps?q=-20.1441540,-44.8405670","Abrir no Google Maps")</f>
        <v>Abrir no Google Maps</v>
      </c>
      <c r="S1463">
        <v>3</v>
      </c>
      <c r="T1463">
        <v>1790.4609200116779</v>
      </c>
      <c r="U1463">
        <v>4</v>
      </c>
      <c r="V1463">
        <v>29</v>
      </c>
      <c r="W1463">
        <v>0.85</v>
      </c>
      <c r="X1463">
        <v>24.65</v>
      </c>
      <c r="Y1463">
        <v>118</v>
      </c>
      <c r="Z1463">
        <v>1718.5674352993251</v>
      </c>
      <c r="AA1463">
        <v>198</v>
      </c>
      <c r="AB1463">
        <v>332</v>
      </c>
      <c r="AC1463">
        <v>536</v>
      </c>
      <c r="AD1463">
        <v>28.93</v>
      </c>
      <c r="AE1463">
        <v>542</v>
      </c>
      <c r="AF1463">
        <v>28</v>
      </c>
      <c r="AG1463">
        <v>168</v>
      </c>
      <c r="AH1463">
        <v>129</v>
      </c>
      <c r="AI1463">
        <v>5.17</v>
      </c>
      <c r="AJ1463">
        <v>31</v>
      </c>
      <c r="AK1463">
        <v>23.8</v>
      </c>
      <c r="AL1463">
        <v>-20.144149799999951</v>
      </c>
      <c r="AM1463">
        <v>-44.840643310374091</v>
      </c>
      <c r="AN1463">
        <v>-20.144149799999951</v>
      </c>
      <c r="AO1463">
        <v>-44.840643310374091</v>
      </c>
      <c r="AP1463">
        <v>-20.144154</v>
      </c>
      <c r="AQ1463">
        <v>-44.840567</v>
      </c>
      <c r="AR1463">
        <v>7.9889254965004346</v>
      </c>
      <c r="AS1463" t="s">
        <v>65</v>
      </c>
      <c r="AT1463">
        <v>1</v>
      </c>
      <c r="AU1463" t="s">
        <v>1811</v>
      </c>
      <c r="AV1463" t="s">
        <v>1812</v>
      </c>
      <c r="AW1463" t="s">
        <v>60</v>
      </c>
      <c r="AX1463" t="s">
        <v>68</v>
      </c>
      <c r="AY1463" t="s">
        <v>69</v>
      </c>
      <c r="AZ1463" t="b">
        <v>1</v>
      </c>
    </row>
    <row r="1464" spans="1:52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2142</v>
      </c>
      <c r="F1464" t="s">
        <v>190</v>
      </c>
      <c r="G1464" t="s">
        <v>1193</v>
      </c>
      <c r="H1464" t="s">
        <v>2025</v>
      </c>
      <c r="I1464" t="s">
        <v>2025</v>
      </c>
      <c r="J1464" t="s">
        <v>60</v>
      </c>
      <c r="K1464" t="s">
        <v>1710</v>
      </c>
      <c r="L1464" t="s">
        <v>62</v>
      </c>
      <c r="M1464" t="s">
        <v>1710</v>
      </c>
      <c r="N1464" t="s">
        <v>2026</v>
      </c>
      <c r="O1464" t="s">
        <v>1438</v>
      </c>
      <c r="P1464">
        <v>-20.147459000000001</v>
      </c>
      <c r="Q1464">
        <v>-44.839049000000003</v>
      </c>
      <c r="R1464" s="2" t="str">
        <f>HYPERLINK("https://www.google.com/maps?q=-20.1474590,-44.8390490","Abrir no Google Maps")</f>
        <v>Abrir no Google Maps</v>
      </c>
      <c r="S1464">
        <v>3</v>
      </c>
      <c r="T1464">
        <v>2134.7842223159018</v>
      </c>
      <c r="U1464">
        <v>4</v>
      </c>
      <c r="V1464">
        <v>38</v>
      </c>
      <c r="W1464">
        <v>0.85</v>
      </c>
      <c r="X1464">
        <v>32.299999999999997</v>
      </c>
      <c r="Y1464">
        <v>118</v>
      </c>
      <c r="Z1464">
        <v>2105.8235104165119</v>
      </c>
      <c r="AA1464">
        <v>198</v>
      </c>
      <c r="AB1464">
        <v>332</v>
      </c>
      <c r="AC1464">
        <v>536</v>
      </c>
      <c r="AD1464">
        <v>28.93</v>
      </c>
      <c r="AE1464">
        <v>542</v>
      </c>
      <c r="AF1464">
        <v>28</v>
      </c>
      <c r="AG1464">
        <v>168</v>
      </c>
      <c r="AH1464">
        <v>129</v>
      </c>
      <c r="AI1464">
        <v>5.17</v>
      </c>
      <c r="AJ1464">
        <v>31</v>
      </c>
      <c r="AK1464">
        <v>23.8</v>
      </c>
      <c r="AL1464">
        <v>-20.147568249999949</v>
      </c>
      <c r="AM1464">
        <v>-44.838938056199567</v>
      </c>
      <c r="AN1464">
        <v>-20.147568249999949</v>
      </c>
      <c r="AO1464">
        <v>-44.838938056199567</v>
      </c>
      <c r="AP1464">
        <v>-20.147459000000001</v>
      </c>
      <c r="AQ1464">
        <v>-44.839049000000003</v>
      </c>
      <c r="AR1464">
        <v>16.80298816089098</v>
      </c>
      <c r="AS1464" t="s">
        <v>65</v>
      </c>
      <c r="AT1464">
        <v>1</v>
      </c>
      <c r="AU1464" t="s">
        <v>2027</v>
      </c>
      <c r="AV1464" t="s">
        <v>2028</v>
      </c>
      <c r="AW1464" t="s">
        <v>60</v>
      </c>
      <c r="AX1464" t="s">
        <v>68</v>
      </c>
      <c r="AY1464" t="s">
        <v>69</v>
      </c>
      <c r="AZ1464" t="b">
        <v>1</v>
      </c>
    </row>
    <row r="1465" spans="1:52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2142</v>
      </c>
      <c r="F1465" t="s">
        <v>190</v>
      </c>
      <c r="G1465" t="s">
        <v>1813</v>
      </c>
      <c r="H1465" t="s">
        <v>1814</v>
      </c>
      <c r="I1465" t="s">
        <v>1814</v>
      </c>
      <c r="J1465" t="s">
        <v>60</v>
      </c>
      <c r="K1465" t="s">
        <v>1815</v>
      </c>
      <c r="L1465" t="s">
        <v>62</v>
      </c>
      <c r="M1465" t="s">
        <v>1815</v>
      </c>
      <c r="N1465" t="s">
        <v>1816</v>
      </c>
      <c r="O1465" t="s">
        <v>793</v>
      </c>
      <c r="P1465">
        <v>-20.144487999999999</v>
      </c>
      <c r="Q1465">
        <v>-44.836683000000001</v>
      </c>
      <c r="R1465" s="2" t="str">
        <f>HYPERLINK("https://www.google.com/maps?q=-20.1444880,-44.8366830","Abrir no Google Maps")</f>
        <v>Abrir no Google Maps</v>
      </c>
      <c r="S1465">
        <v>3</v>
      </c>
      <c r="T1465">
        <v>1786.4671732320769</v>
      </c>
      <c r="U1465">
        <v>4</v>
      </c>
      <c r="V1465">
        <v>28</v>
      </c>
      <c r="W1465">
        <v>0.85</v>
      </c>
      <c r="X1465">
        <v>23.8</v>
      </c>
      <c r="Y1465">
        <v>118</v>
      </c>
      <c r="Z1465">
        <v>1788.4311204774231</v>
      </c>
      <c r="AA1465">
        <v>198</v>
      </c>
      <c r="AB1465">
        <v>332</v>
      </c>
      <c r="AC1465">
        <v>536</v>
      </c>
      <c r="AD1465">
        <v>28.93</v>
      </c>
      <c r="AE1465">
        <v>542</v>
      </c>
      <c r="AF1465">
        <v>28</v>
      </c>
      <c r="AG1465">
        <v>168</v>
      </c>
      <c r="AH1465">
        <v>129</v>
      </c>
      <c r="AI1465">
        <v>5.17</v>
      </c>
      <c r="AJ1465">
        <v>31</v>
      </c>
      <c r="AK1465">
        <v>23.8</v>
      </c>
      <c r="AL1465">
        <v>-20.14452704999994</v>
      </c>
      <c r="AM1465">
        <v>-44.836757520268662</v>
      </c>
      <c r="AN1465">
        <v>-20.14452704999994</v>
      </c>
      <c r="AO1465">
        <v>-44.836757520268662</v>
      </c>
      <c r="AP1465">
        <v>-20.144487999999999</v>
      </c>
      <c r="AQ1465">
        <v>-44.836683000000001</v>
      </c>
      <c r="AR1465">
        <v>8.9191793946858624</v>
      </c>
      <c r="AS1465" t="s">
        <v>65</v>
      </c>
      <c r="AT1465">
        <v>1</v>
      </c>
      <c r="AU1465" t="s">
        <v>1817</v>
      </c>
      <c r="AV1465" t="s">
        <v>1818</v>
      </c>
      <c r="AW1465" t="s">
        <v>60</v>
      </c>
      <c r="AX1465" t="s">
        <v>68</v>
      </c>
      <c r="AY1465" t="s">
        <v>69</v>
      </c>
      <c r="AZ1465" t="b">
        <v>1</v>
      </c>
    </row>
    <row r="1466" spans="1:52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2142</v>
      </c>
      <c r="F1466" t="s">
        <v>190</v>
      </c>
      <c r="G1466" t="s">
        <v>1830</v>
      </c>
      <c r="H1466" t="s">
        <v>1831</v>
      </c>
      <c r="I1466" t="s">
        <v>1831</v>
      </c>
      <c r="J1466" t="s">
        <v>60</v>
      </c>
      <c r="K1466" t="s">
        <v>1243</v>
      </c>
      <c r="L1466" t="s">
        <v>62</v>
      </c>
      <c r="M1466" t="s">
        <v>1243</v>
      </c>
      <c r="N1466" t="s">
        <v>1832</v>
      </c>
      <c r="O1466" t="s">
        <v>1833</v>
      </c>
      <c r="P1466">
        <v>-20.196815999999998</v>
      </c>
      <c r="Q1466">
        <v>-44.940482000000003</v>
      </c>
      <c r="R1466" s="2" t="str">
        <f>HYPERLINK("https://www.google.com/maps?q=-20.1968160,-44.9404820","Abrir no Google Maps")</f>
        <v>Abrir no Google Maps</v>
      </c>
      <c r="S1466">
        <v>3</v>
      </c>
      <c r="T1466">
        <v>536.34378309151361</v>
      </c>
      <c r="U1466">
        <v>4</v>
      </c>
      <c r="V1466">
        <v>26</v>
      </c>
      <c r="W1466">
        <v>1</v>
      </c>
      <c r="X1466">
        <v>26</v>
      </c>
      <c r="Y1466">
        <v>113</v>
      </c>
      <c r="Z1466">
        <v>376.90325621866373</v>
      </c>
      <c r="AA1466">
        <v>198</v>
      </c>
      <c r="AB1466">
        <v>332</v>
      </c>
      <c r="AC1466">
        <v>536</v>
      </c>
      <c r="AD1466">
        <v>28.93</v>
      </c>
      <c r="AE1466">
        <v>542</v>
      </c>
      <c r="AF1466">
        <v>28</v>
      </c>
      <c r="AG1466">
        <v>168</v>
      </c>
      <c r="AH1466">
        <v>129</v>
      </c>
      <c r="AI1466">
        <v>5.17</v>
      </c>
      <c r="AJ1466">
        <v>31</v>
      </c>
      <c r="AK1466">
        <v>23.8</v>
      </c>
      <c r="AL1466">
        <v>-20.196517149999949</v>
      </c>
      <c r="AM1466">
        <v>-44.94010487355537</v>
      </c>
      <c r="AN1466">
        <v>-20.196517149999949</v>
      </c>
      <c r="AO1466">
        <v>-44.94010487355537</v>
      </c>
      <c r="AP1466">
        <v>-20.196815999999998</v>
      </c>
      <c r="AQ1466">
        <v>-44.940482000000003</v>
      </c>
      <c r="AR1466">
        <v>51.566969969189948</v>
      </c>
      <c r="AS1466" t="s">
        <v>65</v>
      </c>
      <c r="AT1466">
        <v>1</v>
      </c>
      <c r="AU1466" t="s">
        <v>1834</v>
      </c>
      <c r="AV1466" t="s">
        <v>1835</v>
      </c>
      <c r="AW1466" t="s">
        <v>60</v>
      </c>
      <c r="AX1466" t="s">
        <v>68</v>
      </c>
      <c r="AY1466" t="s">
        <v>69</v>
      </c>
      <c r="AZ1466" t="b">
        <v>1</v>
      </c>
    </row>
    <row r="1467" spans="1:52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2142</v>
      </c>
      <c r="F1467" t="s">
        <v>190</v>
      </c>
      <c r="G1467" t="s">
        <v>1836</v>
      </c>
      <c r="H1467" t="s">
        <v>1837</v>
      </c>
      <c r="I1467" t="s">
        <v>1837</v>
      </c>
      <c r="J1467" t="s">
        <v>60</v>
      </c>
      <c r="K1467" t="s">
        <v>1243</v>
      </c>
      <c r="L1467" t="s">
        <v>62</v>
      </c>
      <c r="M1467" t="s">
        <v>1243</v>
      </c>
      <c r="N1467" t="s">
        <v>1838</v>
      </c>
      <c r="O1467" t="s">
        <v>1839</v>
      </c>
      <c r="P1467">
        <v>-20.194417999999999</v>
      </c>
      <c r="Q1467">
        <v>-44.943080999999999</v>
      </c>
      <c r="R1467" s="2" t="str">
        <f>HYPERLINK("https://www.google.com/maps?q=-20.1944180,-44.9430810","Abrir no Google Maps")</f>
        <v>Abrir no Google Maps</v>
      </c>
      <c r="S1467">
        <v>3</v>
      </c>
      <c r="T1467">
        <v>570.3426559957137</v>
      </c>
      <c r="U1467">
        <v>4</v>
      </c>
      <c r="V1467">
        <v>33</v>
      </c>
      <c r="W1467">
        <v>1</v>
      </c>
      <c r="X1467">
        <v>33</v>
      </c>
      <c r="Y1467">
        <v>113</v>
      </c>
      <c r="Z1467">
        <v>342.73864025959449</v>
      </c>
      <c r="AA1467">
        <v>198</v>
      </c>
      <c r="AB1467">
        <v>332</v>
      </c>
      <c r="AC1467">
        <v>536</v>
      </c>
      <c r="AD1467">
        <v>28.93</v>
      </c>
      <c r="AE1467">
        <v>542</v>
      </c>
      <c r="AF1467">
        <v>28</v>
      </c>
      <c r="AG1467">
        <v>168</v>
      </c>
      <c r="AH1467">
        <v>129</v>
      </c>
      <c r="AI1467">
        <v>5.17</v>
      </c>
      <c r="AJ1467">
        <v>31</v>
      </c>
      <c r="AK1467">
        <v>23.8</v>
      </c>
      <c r="AL1467">
        <v>-20.194494749999929</v>
      </c>
      <c r="AM1467">
        <v>-44.942951635393733</v>
      </c>
      <c r="AN1467">
        <v>-20.194494749999929</v>
      </c>
      <c r="AO1467">
        <v>-44.942951635393733</v>
      </c>
      <c r="AP1467">
        <v>-20.194417999999999</v>
      </c>
      <c r="AQ1467">
        <v>-44.943080999999999</v>
      </c>
      <c r="AR1467">
        <v>15.9896188813922</v>
      </c>
      <c r="AS1467" t="s">
        <v>65</v>
      </c>
      <c r="AT1467">
        <v>1</v>
      </c>
      <c r="AU1467" t="s">
        <v>1840</v>
      </c>
      <c r="AV1467" t="s">
        <v>1841</v>
      </c>
      <c r="AW1467" t="s">
        <v>60</v>
      </c>
      <c r="AX1467" t="s">
        <v>68</v>
      </c>
      <c r="AY1467" t="s">
        <v>69</v>
      </c>
      <c r="AZ1467" t="b">
        <v>1</v>
      </c>
    </row>
    <row r="1468" spans="1:52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2142</v>
      </c>
      <c r="F1468" t="s">
        <v>190</v>
      </c>
      <c r="G1468" t="s">
        <v>1235</v>
      </c>
      <c r="H1468" t="s">
        <v>1236</v>
      </c>
      <c r="I1468" t="s">
        <v>1236</v>
      </c>
      <c r="J1468" t="s">
        <v>60</v>
      </c>
      <c r="K1468" t="s">
        <v>1237</v>
      </c>
      <c r="L1468" t="s">
        <v>62</v>
      </c>
      <c r="M1468" t="s">
        <v>1237</v>
      </c>
      <c r="N1468" t="s">
        <v>1238</v>
      </c>
      <c r="O1468" t="s">
        <v>315</v>
      </c>
      <c r="P1468">
        <v>-20.199687000000001</v>
      </c>
      <c r="Q1468">
        <v>-44.941882999999997</v>
      </c>
      <c r="R1468" s="2" t="str">
        <f>HYPERLINK("https://www.google.com/maps?q=-20.1996870,-44.9418830","Abrir no Google Maps")</f>
        <v>Abrir no Google Maps</v>
      </c>
      <c r="S1468">
        <v>3</v>
      </c>
      <c r="T1468">
        <v>928.80393950893483</v>
      </c>
      <c r="U1468">
        <v>4</v>
      </c>
      <c r="V1468">
        <v>34</v>
      </c>
      <c r="W1468">
        <v>1</v>
      </c>
      <c r="X1468">
        <v>34</v>
      </c>
      <c r="Y1468">
        <v>113</v>
      </c>
      <c r="Z1468">
        <v>798.11967422937732</v>
      </c>
      <c r="AA1468">
        <v>198</v>
      </c>
      <c r="AB1468">
        <v>332</v>
      </c>
      <c r="AC1468">
        <v>536</v>
      </c>
      <c r="AD1468">
        <v>28.93</v>
      </c>
      <c r="AE1468">
        <v>542</v>
      </c>
      <c r="AF1468">
        <v>28</v>
      </c>
      <c r="AG1468">
        <v>168</v>
      </c>
      <c r="AH1468">
        <v>129</v>
      </c>
      <c r="AI1468">
        <v>5.17</v>
      </c>
      <c r="AJ1468">
        <v>31</v>
      </c>
      <c r="AK1468">
        <v>23.8</v>
      </c>
      <c r="AL1468">
        <v>-20.199663899999958</v>
      </c>
      <c r="AM1468">
        <v>-44.941858448694838</v>
      </c>
      <c r="AN1468">
        <v>-20.199663899999958</v>
      </c>
      <c r="AO1468">
        <v>-44.941858448694838</v>
      </c>
      <c r="AP1468">
        <v>-20.199687000000001</v>
      </c>
      <c r="AQ1468">
        <v>-44.941882999999997</v>
      </c>
      <c r="AR1468">
        <v>3.632019521873886</v>
      </c>
      <c r="AS1468" t="s">
        <v>65</v>
      </c>
      <c r="AT1468">
        <v>1</v>
      </c>
      <c r="AU1468" t="s">
        <v>1239</v>
      </c>
      <c r="AV1468" t="s">
        <v>1240</v>
      </c>
      <c r="AW1468" t="s">
        <v>60</v>
      </c>
      <c r="AX1468" t="s">
        <v>68</v>
      </c>
      <c r="AY1468" t="s">
        <v>69</v>
      </c>
      <c r="AZ1468" t="b">
        <v>1</v>
      </c>
    </row>
    <row r="1469" spans="1:52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2142</v>
      </c>
      <c r="F1469" t="s">
        <v>190</v>
      </c>
      <c r="G1469" t="s">
        <v>1842</v>
      </c>
      <c r="H1469" t="s">
        <v>1843</v>
      </c>
      <c r="I1469" t="s">
        <v>1843</v>
      </c>
      <c r="J1469" t="s">
        <v>60</v>
      </c>
      <c r="K1469" t="s">
        <v>1243</v>
      </c>
      <c r="L1469" t="s">
        <v>62</v>
      </c>
      <c r="M1469" t="s">
        <v>1243</v>
      </c>
      <c r="N1469" t="s">
        <v>1844</v>
      </c>
      <c r="O1469" t="s">
        <v>598</v>
      </c>
      <c r="P1469">
        <v>-20.191507999999999</v>
      </c>
      <c r="Q1469">
        <v>-44.942765000000001</v>
      </c>
      <c r="R1469" s="2" t="str">
        <f>HYPERLINK("https://www.google.com/maps?q=-20.1915080,-44.9427650","Abrir no Google Maps")</f>
        <v>Abrir no Google Maps</v>
      </c>
      <c r="S1469">
        <v>3</v>
      </c>
      <c r="T1469">
        <v>481.65843439031818</v>
      </c>
      <c r="U1469">
        <v>4</v>
      </c>
      <c r="V1469">
        <v>32</v>
      </c>
      <c r="W1469">
        <v>1</v>
      </c>
      <c r="X1469">
        <v>32</v>
      </c>
      <c r="Y1469">
        <v>113</v>
      </c>
      <c r="Z1469">
        <v>403.01657911729887</v>
      </c>
      <c r="AA1469">
        <v>198</v>
      </c>
      <c r="AB1469">
        <v>332</v>
      </c>
      <c r="AC1469">
        <v>536</v>
      </c>
      <c r="AD1469">
        <v>28.93</v>
      </c>
      <c r="AE1469">
        <v>542</v>
      </c>
      <c r="AF1469">
        <v>28</v>
      </c>
      <c r="AG1469">
        <v>168</v>
      </c>
      <c r="AH1469">
        <v>129</v>
      </c>
      <c r="AI1469">
        <v>5.17</v>
      </c>
      <c r="AJ1469">
        <v>31</v>
      </c>
      <c r="AK1469">
        <v>23.8</v>
      </c>
      <c r="AL1469">
        <v>-20.19144764999993</v>
      </c>
      <c r="AM1469">
        <v>-44.942723431709183</v>
      </c>
      <c r="AN1469">
        <v>-20.19144764999993</v>
      </c>
      <c r="AO1469">
        <v>-44.942723431709183</v>
      </c>
      <c r="AP1469">
        <v>-20.191507999999999</v>
      </c>
      <c r="AQ1469">
        <v>-44.942765000000001</v>
      </c>
      <c r="AR1469">
        <v>7.9997116897974587</v>
      </c>
      <c r="AS1469" t="s">
        <v>65</v>
      </c>
      <c r="AT1469">
        <v>1</v>
      </c>
      <c r="AU1469" t="s">
        <v>1845</v>
      </c>
      <c r="AV1469" t="s">
        <v>1846</v>
      </c>
      <c r="AW1469" t="s">
        <v>60</v>
      </c>
      <c r="AX1469" t="s">
        <v>68</v>
      </c>
      <c r="AY1469" t="s">
        <v>69</v>
      </c>
      <c r="AZ1469" t="b">
        <v>1</v>
      </c>
    </row>
    <row r="1470" spans="1:52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2142</v>
      </c>
      <c r="F1470" t="s">
        <v>190</v>
      </c>
      <c r="G1470" t="s">
        <v>1241</v>
      </c>
      <c r="H1470" t="s">
        <v>1242</v>
      </c>
      <c r="I1470" t="s">
        <v>1242</v>
      </c>
      <c r="J1470" t="s">
        <v>60</v>
      </c>
      <c r="K1470" t="s">
        <v>1243</v>
      </c>
      <c r="L1470" t="s">
        <v>62</v>
      </c>
      <c r="M1470" t="s">
        <v>1243</v>
      </c>
      <c r="N1470" t="s">
        <v>1244</v>
      </c>
      <c r="O1470" t="s">
        <v>315</v>
      </c>
      <c r="P1470">
        <v>-20.188538000000001</v>
      </c>
      <c r="Q1470">
        <v>-44.930104</v>
      </c>
      <c r="R1470" s="2" t="str">
        <f>HYPERLINK("https://www.google.com/maps?q=-20.1885380,-44.9301040","Abrir no Google Maps")</f>
        <v>Abrir no Google Maps</v>
      </c>
      <c r="S1470">
        <v>3</v>
      </c>
      <c r="T1470">
        <v>928.27105405717066</v>
      </c>
      <c r="U1470">
        <v>4</v>
      </c>
      <c r="V1470">
        <v>24</v>
      </c>
      <c r="W1470">
        <v>1</v>
      </c>
      <c r="X1470">
        <v>24</v>
      </c>
      <c r="Y1470">
        <v>113</v>
      </c>
      <c r="Z1470">
        <v>1111.4269393179579</v>
      </c>
      <c r="AA1470">
        <v>198</v>
      </c>
      <c r="AB1470">
        <v>332</v>
      </c>
      <c r="AC1470">
        <v>536</v>
      </c>
      <c r="AD1470">
        <v>28.93</v>
      </c>
      <c r="AE1470">
        <v>542</v>
      </c>
      <c r="AF1470">
        <v>28</v>
      </c>
      <c r="AG1470">
        <v>168</v>
      </c>
      <c r="AH1470">
        <v>129</v>
      </c>
      <c r="AI1470">
        <v>5.17</v>
      </c>
      <c r="AJ1470">
        <v>31</v>
      </c>
      <c r="AK1470">
        <v>23.8</v>
      </c>
      <c r="AL1470">
        <v>-20.18852899999996</v>
      </c>
      <c r="AM1470">
        <v>-44.930083089036543</v>
      </c>
      <c r="AN1470">
        <v>-20.18852899999996</v>
      </c>
      <c r="AO1470">
        <v>-44.930083089036543</v>
      </c>
      <c r="AP1470">
        <v>-20.188538000000001</v>
      </c>
      <c r="AQ1470">
        <v>-44.930104</v>
      </c>
      <c r="AR1470">
        <v>2.4035564137158438</v>
      </c>
      <c r="AS1470" t="s">
        <v>65</v>
      </c>
      <c r="AT1470">
        <v>1</v>
      </c>
      <c r="AU1470" t="s">
        <v>1245</v>
      </c>
      <c r="AV1470" t="s">
        <v>1246</v>
      </c>
      <c r="AW1470" t="s">
        <v>60</v>
      </c>
      <c r="AX1470" t="s">
        <v>68</v>
      </c>
      <c r="AY1470" t="s">
        <v>69</v>
      </c>
      <c r="AZ1470" t="b">
        <v>1</v>
      </c>
    </row>
    <row r="1471" spans="1:52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2142</v>
      </c>
      <c r="F1471" t="s">
        <v>190</v>
      </c>
      <c r="G1471" t="s">
        <v>2068</v>
      </c>
      <c r="H1471" t="s">
        <v>2069</v>
      </c>
      <c r="I1471" t="s">
        <v>2069</v>
      </c>
      <c r="J1471" t="s">
        <v>60</v>
      </c>
      <c r="K1471" t="s">
        <v>1243</v>
      </c>
      <c r="L1471" t="s">
        <v>62</v>
      </c>
      <c r="M1471" t="s">
        <v>1243</v>
      </c>
      <c r="N1471" t="s">
        <v>2070</v>
      </c>
      <c r="O1471" t="s">
        <v>2071</v>
      </c>
      <c r="P1471">
        <v>-20.191583999999999</v>
      </c>
      <c r="Q1471">
        <v>-44.935839999999999</v>
      </c>
      <c r="R1471" s="2" t="str">
        <f>HYPERLINK("https://www.google.com/maps?q=-20.1915840,-44.9358400","Abrir no Google Maps")</f>
        <v>Abrir no Google Maps</v>
      </c>
      <c r="S1471">
        <v>3</v>
      </c>
      <c r="T1471">
        <v>307.37698546101831</v>
      </c>
      <c r="U1471">
        <v>4</v>
      </c>
      <c r="V1471">
        <v>32</v>
      </c>
      <c r="W1471">
        <v>0.85</v>
      </c>
      <c r="X1471">
        <v>27.2</v>
      </c>
      <c r="Y1471">
        <v>113</v>
      </c>
      <c r="Z1471">
        <v>564.35501618411911</v>
      </c>
      <c r="AA1471">
        <v>198</v>
      </c>
      <c r="AB1471">
        <v>332</v>
      </c>
      <c r="AC1471">
        <v>536</v>
      </c>
      <c r="AD1471">
        <v>28.93</v>
      </c>
      <c r="AE1471">
        <v>542</v>
      </c>
      <c r="AF1471">
        <v>28</v>
      </c>
      <c r="AG1471">
        <v>168</v>
      </c>
      <c r="AH1471">
        <v>129</v>
      </c>
      <c r="AI1471">
        <v>5.17</v>
      </c>
      <c r="AJ1471">
        <v>31</v>
      </c>
      <c r="AK1471">
        <v>23.8</v>
      </c>
      <c r="AL1471">
        <v>-20.191156699999961</v>
      </c>
      <c r="AM1471">
        <v>-44.935363697152681</v>
      </c>
      <c r="AN1471">
        <v>-20.191156699999961</v>
      </c>
      <c r="AO1471">
        <v>-44.935363697152681</v>
      </c>
      <c r="AP1471">
        <v>-20.191583999999999</v>
      </c>
      <c r="AQ1471">
        <v>-44.935839999999999</v>
      </c>
      <c r="AR1471">
        <v>68.84070092388103</v>
      </c>
      <c r="AS1471" t="s">
        <v>65</v>
      </c>
      <c r="AT1471">
        <v>1</v>
      </c>
      <c r="AU1471" t="s">
        <v>2072</v>
      </c>
      <c r="AV1471" t="s">
        <v>2073</v>
      </c>
      <c r="AW1471" t="s">
        <v>60</v>
      </c>
      <c r="AX1471" t="s">
        <v>68</v>
      </c>
      <c r="AY1471" t="s">
        <v>69</v>
      </c>
      <c r="AZ1471" t="b">
        <v>1</v>
      </c>
    </row>
    <row r="1472" spans="1:52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2142</v>
      </c>
      <c r="F1472" t="s">
        <v>190</v>
      </c>
      <c r="G1472" t="s">
        <v>833</v>
      </c>
      <c r="H1472" t="s">
        <v>834</v>
      </c>
      <c r="I1472" t="s">
        <v>834</v>
      </c>
      <c r="J1472" t="s">
        <v>60</v>
      </c>
      <c r="K1472" t="s">
        <v>388</v>
      </c>
      <c r="L1472" t="s">
        <v>62</v>
      </c>
      <c r="M1472" t="s">
        <v>388</v>
      </c>
      <c r="N1472" t="s">
        <v>835</v>
      </c>
      <c r="O1472" t="s">
        <v>836</v>
      </c>
      <c r="P1472">
        <v>-20.157906000000001</v>
      </c>
      <c r="Q1472">
        <v>-44.900458999999998</v>
      </c>
      <c r="R1472" s="2" t="str">
        <f>HYPERLINK("https://www.google.com/maps?q=-20.1579060,-44.9004590","Abrir no Google Maps")</f>
        <v>Abrir no Google Maps</v>
      </c>
      <c r="S1472">
        <v>3</v>
      </c>
      <c r="T1472">
        <v>0</v>
      </c>
      <c r="U1472">
        <v>3</v>
      </c>
      <c r="V1472">
        <v>21</v>
      </c>
      <c r="W1472">
        <v>1</v>
      </c>
      <c r="X1472">
        <v>21</v>
      </c>
      <c r="Y1472">
        <v>729</v>
      </c>
      <c r="Z1472">
        <v>203.63168486652771</v>
      </c>
      <c r="AA1472">
        <v>198</v>
      </c>
      <c r="AB1472">
        <v>332</v>
      </c>
      <c r="AC1472">
        <v>536</v>
      </c>
      <c r="AD1472">
        <v>28.93</v>
      </c>
      <c r="AE1472">
        <v>542</v>
      </c>
      <c r="AF1472">
        <v>28</v>
      </c>
      <c r="AG1472">
        <v>168</v>
      </c>
      <c r="AH1472">
        <v>129</v>
      </c>
      <c r="AI1472">
        <v>5.17</v>
      </c>
      <c r="AJ1472">
        <v>31</v>
      </c>
      <c r="AK1472">
        <v>23.8</v>
      </c>
      <c r="AL1472">
        <v>-20.157925749999951</v>
      </c>
      <c r="AM1472">
        <v>-44.900484707799812</v>
      </c>
      <c r="AN1472">
        <v>-20.157925749999951</v>
      </c>
      <c r="AO1472">
        <v>-44.900484707799812</v>
      </c>
      <c r="AP1472">
        <v>-20.157906000000001</v>
      </c>
      <c r="AQ1472">
        <v>-44.900458999999998</v>
      </c>
      <c r="AR1472">
        <v>3.4714515960382508</v>
      </c>
      <c r="AS1472" t="s">
        <v>65</v>
      </c>
      <c r="AT1472">
        <v>1</v>
      </c>
      <c r="AU1472" t="s">
        <v>837</v>
      </c>
      <c r="AV1472" t="s">
        <v>838</v>
      </c>
      <c r="AW1472" t="s">
        <v>60</v>
      </c>
      <c r="AX1472" t="s">
        <v>68</v>
      </c>
      <c r="AY1472" t="s">
        <v>69</v>
      </c>
      <c r="AZ1472" t="b">
        <v>1</v>
      </c>
    </row>
    <row r="1473" spans="1:52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2142</v>
      </c>
      <c r="F1473" t="s">
        <v>190</v>
      </c>
      <c r="G1473" t="s">
        <v>839</v>
      </c>
      <c r="H1473" t="s">
        <v>840</v>
      </c>
      <c r="I1473" t="s">
        <v>840</v>
      </c>
      <c r="J1473" t="s">
        <v>60</v>
      </c>
      <c r="K1473" t="s">
        <v>388</v>
      </c>
      <c r="L1473" t="s">
        <v>62</v>
      </c>
      <c r="M1473" t="s">
        <v>388</v>
      </c>
      <c r="N1473" t="s">
        <v>841</v>
      </c>
      <c r="O1473" t="s">
        <v>842</v>
      </c>
      <c r="P1473">
        <v>-20.159977999999999</v>
      </c>
      <c r="Q1473">
        <v>-44.900207000000002</v>
      </c>
      <c r="R1473" s="2" t="str">
        <f>HYPERLINK("https://www.google.com/maps?q=-20.1599780,-44.9002070","Abrir no Google Maps")</f>
        <v>Abrir no Google Maps</v>
      </c>
      <c r="S1473">
        <v>3</v>
      </c>
      <c r="T1473">
        <v>213.24333517300789</v>
      </c>
      <c r="U1473">
        <v>3</v>
      </c>
      <c r="V1473">
        <v>18</v>
      </c>
      <c r="W1473">
        <v>1</v>
      </c>
      <c r="X1473">
        <v>18</v>
      </c>
      <c r="Y1473">
        <v>729</v>
      </c>
      <c r="Z1473">
        <v>315.47173727880028</v>
      </c>
      <c r="AA1473">
        <v>198</v>
      </c>
      <c r="AB1473">
        <v>332</v>
      </c>
      <c r="AC1473">
        <v>536</v>
      </c>
      <c r="AD1473">
        <v>28.93</v>
      </c>
      <c r="AE1473">
        <v>542</v>
      </c>
      <c r="AF1473">
        <v>28</v>
      </c>
      <c r="AG1473">
        <v>168</v>
      </c>
      <c r="AH1473">
        <v>129</v>
      </c>
      <c r="AI1473">
        <v>5.17</v>
      </c>
      <c r="AJ1473">
        <v>31</v>
      </c>
      <c r="AK1473">
        <v>23.8</v>
      </c>
      <c r="AL1473">
        <v>-20.159825649999959</v>
      </c>
      <c r="AM1473">
        <v>-44.900143828909613</v>
      </c>
      <c r="AN1473">
        <v>-20.159825649999959</v>
      </c>
      <c r="AO1473">
        <v>-44.900143828909613</v>
      </c>
      <c r="AP1473">
        <v>-20.159977999999999</v>
      </c>
      <c r="AQ1473">
        <v>-44.900207000000002</v>
      </c>
      <c r="AR1473">
        <v>18.199073573580371</v>
      </c>
      <c r="AS1473" t="s">
        <v>65</v>
      </c>
      <c r="AT1473">
        <v>1</v>
      </c>
      <c r="AU1473" t="s">
        <v>843</v>
      </c>
      <c r="AV1473" t="s">
        <v>844</v>
      </c>
      <c r="AW1473" t="s">
        <v>60</v>
      </c>
      <c r="AX1473" t="s">
        <v>68</v>
      </c>
      <c r="AY1473" t="s">
        <v>69</v>
      </c>
      <c r="AZ1473" t="b">
        <v>1</v>
      </c>
    </row>
    <row r="1474" spans="1:52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2142</v>
      </c>
      <c r="F1474" t="s">
        <v>190</v>
      </c>
      <c r="G1474" t="s">
        <v>398</v>
      </c>
      <c r="H1474" t="s">
        <v>399</v>
      </c>
      <c r="I1474" t="s">
        <v>399</v>
      </c>
      <c r="J1474" t="s">
        <v>60</v>
      </c>
      <c r="K1474" t="s">
        <v>388</v>
      </c>
      <c r="L1474" t="s">
        <v>62</v>
      </c>
      <c r="M1474" t="s">
        <v>388</v>
      </c>
      <c r="N1474" t="s">
        <v>400</v>
      </c>
      <c r="O1474" t="s">
        <v>401</v>
      </c>
      <c r="P1474">
        <v>-20.160157000000002</v>
      </c>
      <c r="Q1474">
        <v>-44.904347999999999</v>
      </c>
      <c r="R1474" s="2" t="str">
        <f>HYPERLINK("https://www.google.com/maps?q=-20.1601570,-44.9043480","Abrir no Google Maps")</f>
        <v>Abrir no Google Maps</v>
      </c>
      <c r="S1474">
        <v>3</v>
      </c>
      <c r="T1474">
        <v>469.26088527154809</v>
      </c>
      <c r="U1474">
        <v>3</v>
      </c>
      <c r="V1474">
        <v>22</v>
      </c>
      <c r="W1474">
        <v>1</v>
      </c>
      <c r="X1474">
        <v>22</v>
      </c>
      <c r="Y1474">
        <v>729</v>
      </c>
      <c r="Z1474">
        <v>253.57832452309071</v>
      </c>
      <c r="AA1474">
        <v>198</v>
      </c>
      <c r="AB1474">
        <v>332</v>
      </c>
      <c r="AC1474">
        <v>536</v>
      </c>
      <c r="AD1474">
        <v>28.93</v>
      </c>
      <c r="AE1474">
        <v>542</v>
      </c>
      <c r="AF1474">
        <v>28</v>
      </c>
      <c r="AG1474">
        <v>168</v>
      </c>
      <c r="AH1474">
        <v>129</v>
      </c>
      <c r="AI1474">
        <v>5.17</v>
      </c>
      <c r="AJ1474">
        <v>31</v>
      </c>
      <c r="AK1474">
        <v>23.8</v>
      </c>
      <c r="AL1474">
        <v>-20.160007949999969</v>
      </c>
      <c r="AM1474">
        <v>-44.904396608560482</v>
      </c>
      <c r="AN1474">
        <v>-20.160007949999969</v>
      </c>
      <c r="AO1474">
        <v>-44.904396608560482</v>
      </c>
      <c r="AP1474">
        <v>-20.160157000000002</v>
      </c>
      <c r="AQ1474">
        <v>-44.904347999999999</v>
      </c>
      <c r="AR1474">
        <v>17.35237255387942</v>
      </c>
      <c r="AS1474" t="s">
        <v>65</v>
      </c>
      <c r="AT1474">
        <v>1</v>
      </c>
      <c r="AU1474" t="s">
        <v>402</v>
      </c>
      <c r="AV1474" t="s">
        <v>403</v>
      </c>
      <c r="AW1474" t="s">
        <v>60</v>
      </c>
      <c r="AX1474" t="s">
        <v>68</v>
      </c>
      <c r="AY1474" t="s">
        <v>69</v>
      </c>
      <c r="AZ1474" t="b">
        <v>1</v>
      </c>
    </row>
    <row r="1475" spans="1:52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2142</v>
      </c>
      <c r="F1475" t="s">
        <v>190</v>
      </c>
      <c r="G1475" t="s">
        <v>404</v>
      </c>
      <c r="H1475" t="s">
        <v>405</v>
      </c>
      <c r="I1475" t="s">
        <v>405</v>
      </c>
      <c r="J1475" t="s">
        <v>60</v>
      </c>
      <c r="K1475" t="s">
        <v>388</v>
      </c>
      <c r="L1475" t="s">
        <v>62</v>
      </c>
      <c r="M1475" t="s">
        <v>388</v>
      </c>
      <c r="N1475" t="s">
        <v>406</v>
      </c>
      <c r="O1475" t="s">
        <v>407</v>
      </c>
      <c r="P1475">
        <v>-20.162780999999999</v>
      </c>
      <c r="Q1475">
        <v>-44.904437999999999</v>
      </c>
      <c r="R1475" s="2" t="str">
        <f>HYPERLINK("https://www.google.com/maps?q=-20.1627810,-44.9044380","Abrir no Google Maps")</f>
        <v>Abrir no Google Maps</v>
      </c>
      <c r="S1475">
        <v>3</v>
      </c>
      <c r="T1475">
        <v>681.0891377731482</v>
      </c>
      <c r="U1475">
        <v>3</v>
      </c>
      <c r="V1475">
        <v>19</v>
      </c>
      <c r="W1475">
        <v>1</v>
      </c>
      <c r="X1475">
        <v>19</v>
      </c>
      <c r="Y1475">
        <v>729</v>
      </c>
      <c r="Z1475">
        <v>564.17713687218622</v>
      </c>
      <c r="AA1475">
        <v>198</v>
      </c>
      <c r="AB1475">
        <v>332</v>
      </c>
      <c r="AC1475">
        <v>536</v>
      </c>
      <c r="AD1475">
        <v>28.93</v>
      </c>
      <c r="AE1475">
        <v>542</v>
      </c>
      <c r="AF1475">
        <v>28</v>
      </c>
      <c r="AG1475">
        <v>168</v>
      </c>
      <c r="AH1475">
        <v>129</v>
      </c>
      <c r="AI1475">
        <v>5.17</v>
      </c>
      <c r="AJ1475">
        <v>31</v>
      </c>
      <c r="AK1475">
        <v>23.8</v>
      </c>
      <c r="AL1475">
        <v>-20.16295434999995</v>
      </c>
      <c r="AM1475">
        <v>-44.904242686956152</v>
      </c>
      <c r="AN1475">
        <v>-20.16295434999995</v>
      </c>
      <c r="AO1475">
        <v>-44.904242686956152</v>
      </c>
      <c r="AP1475">
        <v>-20.162780999999999</v>
      </c>
      <c r="AQ1475">
        <v>-44.904437999999999</v>
      </c>
      <c r="AR1475">
        <v>28.088191280523411</v>
      </c>
      <c r="AS1475" t="s">
        <v>65</v>
      </c>
      <c r="AT1475">
        <v>1</v>
      </c>
      <c r="AU1475" t="s">
        <v>408</v>
      </c>
      <c r="AV1475" t="s">
        <v>409</v>
      </c>
      <c r="AW1475" t="s">
        <v>60</v>
      </c>
      <c r="AX1475" t="s">
        <v>68</v>
      </c>
      <c r="AY1475" t="s">
        <v>69</v>
      </c>
      <c r="AZ1475" t="b">
        <v>1</v>
      </c>
    </row>
    <row r="1476" spans="1:52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2142</v>
      </c>
      <c r="F1476" t="s">
        <v>190</v>
      </c>
      <c r="G1476" t="s">
        <v>410</v>
      </c>
      <c r="H1476" t="s">
        <v>411</v>
      </c>
      <c r="I1476" t="s">
        <v>411</v>
      </c>
      <c r="J1476" t="s">
        <v>60</v>
      </c>
      <c r="K1476" t="s">
        <v>388</v>
      </c>
      <c r="L1476" t="s">
        <v>62</v>
      </c>
      <c r="M1476" t="s">
        <v>388</v>
      </c>
      <c r="N1476" t="s">
        <v>412</v>
      </c>
      <c r="O1476" t="s">
        <v>413</v>
      </c>
      <c r="P1476">
        <v>-20.161394000000001</v>
      </c>
      <c r="Q1476">
        <v>-44.906725999999999</v>
      </c>
      <c r="R1476" s="2" t="str">
        <f>HYPERLINK("https://www.google.com/maps?q=-20.1613940,-44.9067260","Abrir no Google Maps")</f>
        <v>Abrir no Google Maps</v>
      </c>
      <c r="S1476">
        <v>3</v>
      </c>
      <c r="T1476">
        <v>763.68157548493457</v>
      </c>
      <c r="U1476">
        <v>3</v>
      </c>
      <c r="V1476">
        <v>21</v>
      </c>
      <c r="W1476">
        <v>1</v>
      </c>
      <c r="X1476">
        <v>21</v>
      </c>
      <c r="Y1476">
        <v>729</v>
      </c>
      <c r="Z1476">
        <v>551.70379325948545</v>
      </c>
      <c r="AA1476">
        <v>198</v>
      </c>
      <c r="AB1476">
        <v>332</v>
      </c>
      <c r="AC1476">
        <v>536</v>
      </c>
      <c r="AD1476">
        <v>28.93</v>
      </c>
      <c r="AE1476">
        <v>542</v>
      </c>
      <c r="AF1476">
        <v>28</v>
      </c>
      <c r="AG1476">
        <v>168</v>
      </c>
      <c r="AH1476">
        <v>129</v>
      </c>
      <c r="AI1476">
        <v>5.17</v>
      </c>
      <c r="AJ1476">
        <v>31</v>
      </c>
      <c r="AK1476">
        <v>23.8</v>
      </c>
      <c r="AL1476">
        <v>-20.161371049999929</v>
      </c>
      <c r="AM1476">
        <v>-44.906816797310228</v>
      </c>
      <c r="AN1476">
        <v>-20.161371049999929</v>
      </c>
      <c r="AO1476">
        <v>-44.906816797310228</v>
      </c>
      <c r="AP1476">
        <v>-20.161394000000001</v>
      </c>
      <c r="AQ1476">
        <v>-44.906725999999999</v>
      </c>
      <c r="AR1476">
        <v>9.8261555662022495</v>
      </c>
      <c r="AS1476" t="s">
        <v>65</v>
      </c>
      <c r="AT1476">
        <v>1</v>
      </c>
      <c r="AU1476" t="s">
        <v>414</v>
      </c>
      <c r="AV1476" t="s">
        <v>415</v>
      </c>
      <c r="AW1476" t="s">
        <v>60</v>
      </c>
      <c r="AX1476" t="s">
        <v>68</v>
      </c>
      <c r="AY1476" t="s">
        <v>69</v>
      </c>
      <c r="AZ1476" t="b">
        <v>1</v>
      </c>
    </row>
    <row r="1477" spans="1:52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2142</v>
      </c>
      <c r="F1477" t="s">
        <v>190</v>
      </c>
      <c r="G1477" t="s">
        <v>416</v>
      </c>
      <c r="H1477" t="s">
        <v>417</v>
      </c>
      <c r="I1477" t="s">
        <v>417</v>
      </c>
      <c r="J1477" t="s">
        <v>60</v>
      </c>
      <c r="K1477" t="s">
        <v>418</v>
      </c>
      <c r="L1477" t="s">
        <v>62</v>
      </c>
      <c r="M1477" t="s">
        <v>418</v>
      </c>
      <c r="N1477" t="s">
        <v>419</v>
      </c>
      <c r="O1477" t="s">
        <v>202</v>
      </c>
      <c r="P1477">
        <v>-20.169886000000002</v>
      </c>
      <c r="Q1477">
        <v>-44.913288000000001</v>
      </c>
      <c r="R1477" s="2" t="str">
        <f>HYPERLINK("https://www.google.com/maps?q=-20.1698860,-44.9132880","Abrir no Google Maps")</f>
        <v>Abrir no Google Maps</v>
      </c>
      <c r="S1477">
        <v>3</v>
      </c>
      <c r="T1477">
        <v>422.88733632898152</v>
      </c>
      <c r="U1477">
        <v>3</v>
      </c>
      <c r="V1477">
        <v>20</v>
      </c>
      <c r="W1477">
        <v>1</v>
      </c>
      <c r="X1477">
        <v>20</v>
      </c>
      <c r="Y1477">
        <v>723</v>
      </c>
      <c r="Z1477">
        <v>128.65003864232261</v>
      </c>
      <c r="AA1477">
        <v>198</v>
      </c>
      <c r="AB1477">
        <v>332</v>
      </c>
      <c r="AC1477">
        <v>536</v>
      </c>
      <c r="AD1477">
        <v>28.93</v>
      </c>
      <c r="AE1477">
        <v>542</v>
      </c>
      <c r="AF1477">
        <v>28</v>
      </c>
      <c r="AG1477">
        <v>168</v>
      </c>
      <c r="AH1477">
        <v>129</v>
      </c>
      <c r="AI1477">
        <v>5.17</v>
      </c>
      <c r="AJ1477">
        <v>31</v>
      </c>
      <c r="AK1477">
        <v>23.8</v>
      </c>
      <c r="AL1477">
        <v>-20.16970024999998</v>
      </c>
      <c r="AM1477">
        <v>-44.913502201257437</v>
      </c>
      <c r="AN1477">
        <v>-20.16970024999998</v>
      </c>
      <c r="AO1477">
        <v>-44.913502201257437</v>
      </c>
      <c r="AP1477">
        <v>-20.169886000000002</v>
      </c>
      <c r="AQ1477">
        <v>-44.913288000000001</v>
      </c>
      <c r="AR1477">
        <v>30.47208587597606</v>
      </c>
      <c r="AS1477" t="s">
        <v>65</v>
      </c>
      <c r="AT1477">
        <v>1</v>
      </c>
      <c r="AU1477" t="s">
        <v>420</v>
      </c>
      <c r="AV1477" t="s">
        <v>421</v>
      </c>
      <c r="AW1477" t="s">
        <v>60</v>
      </c>
      <c r="AX1477" t="s">
        <v>68</v>
      </c>
      <c r="AY1477" t="s">
        <v>69</v>
      </c>
      <c r="AZ1477" t="b">
        <v>1</v>
      </c>
    </row>
    <row r="1478" spans="1:52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2142</v>
      </c>
      <c r="F1478" t="s">
        <v>190</v>
      </c>
      <c r="G1478" t="s">
        <v>1300</v>
      </c>
      <c r="H1478" t="s">
        <v>1301</v>
      </c>
      <c r="I1478" t="s">
        <v>1301</v>
      </c>
      <c r="J1478" t="s">
        <v>60</v>
      </c>
      <c r="K1478" t="s">
        <v>1302</v>
      </c>
      <c r="L1478" t="s">
        <v>62</v>
      </c>
      <c r="M1478" t="s">
        <v>1302</v>
      </c>
      <c r="N1478" t="s">
        <v>1303</v>
      </c>
      <c r="O1478" t="s">
        <v>1304</v>
      </c>
      <c r="P1478">
        <v>-20.166618</v>
      </c>
      <c r="Q1478">
        <v>-44.912920999999997</v>
      </c>
      <c r="R1478" s="2" t="str">
        <f>HYPERLINK("https://www.google.com/maps?q=-20.1666180,-44.9129210","Abrir no Google Maps")</f>
        <v>Abrir no Google Maps</v>
      </c>
      <c r="S1478">
        <v>3</v>
      </c>
      <c r="T1478">
        <v>636.32880156364706</v>
      </c>
      <c r="U1478">
        <v>3</v>
      </c>
      <c r="V1478">
        <v>19</v>
      </c>
      <c r="W1478">
        <v>0.85</v>
      </c>
      <c r="X1478">
        <v>16.149999999999999</v>
      </c>
      <c r="Y1478">
        <v>723</v>
      </c>
      <c r="Z1478">
        <v>407.62145176971592</v>
      </c>
      <c r="AA1478">
        <v>198</v>
      </c>
      <c r="AB1478">
        <v>332</v>
      </c>
      <c r="AC1478">
        <v>536</v>
      </c>
      <c r="AD1478">
        <v>28.93</v>
      </c>
      <c r="AE1478">
        <v>542</v>
      </c>
      <c r="AF1478">
        <v>28</v>
      </c>
      <c r="AG1478">
        <v>168</v>
      </c>
      <c r="AH1478">
        <v>129</v>
      </c>
      <c r="AI1478">
        <v>5.17</v>
      </c>
      <c r="AJ1478">
        <v>31</v>
      </c>
      <c r="AK1478">
        <v>23.8</v>
      </c>
      <c r="AL1478">
        <v>-20.166924799999951</v>
      </c>
      <c r="AM1478">
        <v>-44.912868681724092</v>
      </c>
      <c r="AN1478">
        <v>-20.166924799999951</v>
      </c>
      <c r="AO1478">
        <v>-44.912868681724092</v>
      </c>
      <c r="AP1478">
        <v>-20.166618</v>
      </c>
      <c r="AQ1478">
        <v>-44.912920999999997</v>
      </c>
      <c r="AR1478">
        <v>34.587771860198139</v>
      </c>
      <c r="AS1478" t="s">
        <v>65</v>
      </c>
      <c r="AT1478">
        <v>1</v>
      </c>
      <c r="AU1478" t="s">
        <v>1305</v>
      </c>
      <c r="AV1478" t="s">
        <v>1306</v>
      </c>
      <c r="AW1478" t="s">
        <v>60</v>
      </c>
      <c r="AX1478" t="s">
        <v>68</v>
      </c>
      <c r="AY1478" t="s">
        <v>69</v>
      </c>
      <c r="AZ1478" t="b">
        <v>1</v>
      </c>
    </row>
    <row r="1479" spans="1:52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2142</v>
      </c>
      <c r="F1479" t="s">
        <v>190</v>
      </c>
      <c r="G1479" t="s">
        <v>870</v>
      </c>
      <c r="H1479" t="s">
        <v>871</v>
      </c>
      <c r="I1479" t="s">
        <v>871</v>
      </c>
      <c r="J1479" t="s">
        <v>60</v>
      </c>
      <c r="K1479" t="s">
        <v>475</v>
      </c>
      <c r="L1479" t="s">
        <v>62</v>
      </c>
      <c r="M1479" t="s">
        <v>475</v>
      </c>
      <c r="N1479" t="s">
        <v>872</v>
      </c>
      <c r="O1479" t="s">
        <v>507</v>
      </c>
      <c r="P1479">
        <v>-20.176269999999999</v>
      </c>
      <c r="Q1479">
        <v>-44.909323999999998</v>
      </c>
      <c r="R1479" s="2" t="str">
        <f>HYPERLINK("https://www.google.com/maps?q=-20.1762700,-44.9093240","Abrir no Google Maps")</f>
        <v>Abrir no Google Maps</v>
      </c>
      <c r="S1479">
        <v>3</v>
      </c>
      <c r="T1479">
        <v>472.42731136821368</v>
      </c>
      <c r="U1479">
        <v>3</v>
      </c>
      <c r="V1479">
        <v>18</v>
      </c>
      <c r="W1479">
        <v>1</v>
      </c>
      <c r="X1479">
        <v>18</v>
      </c>
      <c r="Y1479">
        <v>578</v>
      </c>
      <c r="Z1479">
        <v>495.19726726344601</v>
      </c>
      <c r="AA1479">
        <v>198</v>
      </c>
      <c r="AB1479">
        <v>332</v>
      </c>
      <c r="AC1479">
        <v>536</v>
      </c>
      <c r="AD1479">
        <v>28.93</v>
      </c>
      <c r="AE1479">
        <v>542</v>
      </c>
      <c r="AF1479">
        <v>28</v>
      </c>
      <c r="AG1479">
        <v>168</v>
      </c>
      <c r="AH1479">
        <v>129</v>
      </c>
      <c r="AI1479">
        <v>5.17</v>
      </c>
      <c r="AJ1479">
        <v>31</v>
      </c>
      <c r="AK1479">
        <v>23.8</v>
      </c>
      <c r="AL1479">
        <v>-20.17630284999996</v>
      </c>
      <c r="AM1479">
        <v>-44.909199064318948</v>
      </c>
      <c r="AN1479">
        <v>-20.17630284999996</v>
      </c>
      <c r="AO1479">
        <v>-44.909199064318948</v>
      </c>
      <c r="AP1479">
        <v>-20.176269999999999</v>
      </c>
      <c r="AQ1479">
        <v>-44.909323999999998</v>
      </c>
      <c r="AR1479">
        <v>13.55691308737447</v>
      </c>
      <c r="AS1479" t="s">
        <v>65</v>
      </c>
      <c r="AT1479">
        <v>1</v>
      </c>
      <c r="AU1479" t="s">
        <v>873</v>
      </c>
      <c r="AV1479" t="s">
        <v>874</v>
      </c>
      <c r="AW1479" t="s">
        <v>60</v>
      </c>
      <c r="AX1479" t="s">
        <v>68</v>
      </c>
      <c r="AY1479" t="s">
        <v>69</v>
      </c>
      <c r="AZ1479" t="b">
        <v>1</v>
      </c>
    </row>
    <row r="1480" spans="1:52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2142</v>
      </c>
      <c r="F1480" t="s">
        <v>190</v>
      </c>
      <c r="G1480" t="s">
        <v>479</v>
      </c>
      <c r="H1480" t="s">
        <v>480</v>
      </c>
      <c r="I1480" t="s">
        <v>480</v>
      </c>
      <c r="J1480" t="s">
        <v>60</v>
      </c>
      <c r="K1480" t="s">
        <v>388</v>
      </c>
      <c r="L1480" t="s">
        <v>62</v>
      </c>
      <c r="M1480" t="s">
        <v>388</v>
      </c>
      <c r="N1480" t="s">
        <v>481</v>
      </c>
      <c r="O1480" t="s">
        <v>315</v>
      </c>
      <c r="P1480">
        <v>-20.166903999999999</v>
      </c>
      <c r="Q1480">
        <v>-44.903492</v>
      </c>
      <c r="R1480" s="2" t="str">
        <f>HYPERLINK("https://www.google.com/maps?q=-20.1669040,-44.9034920","Abrir no Google Maps")</f>
        <v>Abrir no Google Maps</v>
      </c>
      <c r="S1480">
        <v>3</v>
      </c>
      <c r="T1480">
        <v>517.12253532511602</v>
      </c>
      <c r="U1480">
        <v>3</v>
      </c>
      <c r="V1480">
        <v>22</v>
      </c>
      <c r="W1480">
        <v>1</v>
      </c>
      <c r="X1480">
        <v>22</v>
      </c>
      <c r="Y1480">
        <v>578</v>
      </c>
      <c r="Z1480">
        <v>721.79551240050432</v>
      </c>
      <c r="AA1480">
        <v>198</v>
      </c>
      <c r="AB1480">
        <v>332</v>
      </c>
      <c r="AC1480">
        <v>536</v>
      </c>
      <c r="AD1480">
        <v>28.93</v>
      </c>
      <c r="AE1480">
        <v>542</v>
      </c>
      <c r="AF1480">
        <v>28</v>
      </c>
      <c r="AG1480">
        <v>168</v>
      </c>
      <c r="AH1480">
        <v>129</v>
      </c>
      <c r="AI1480">
        <v>5.17</v>
      </c>
      <c r="AJ1480">
        <v>31</v>
      </c>
      <c r="AK1480">
        <v>23.8</v>
      </c>
      <c r="AL1480">
        <v>-20.166610649999971</v>
      </c>
      <c r="AM1480">
        <v>-44.903452988928308</v>
      </c>
      <c r="AN1480">
        <v>-20.166610649999971</v>
      </c>
      <c r="AO1480">
        <v>-44.903452988928308</v>
      </c>
      <c r="AP1480">
        <v>-20.166903999999999</v>
      </c>
      <c r="AQ1480">
        <v>-44.903492</v>
      </c>
      <c r="AR1480">
        <v>32.909175876856217</v>
      </c>
      <c r="AS1480" t="s">
        <v>65</v>
      </c>
      <c r="AT1480">
        <v>1</v>
      </c>
      <c r="AU1480" t="s">
        <v>482</v>
      </c>
      <c r="AV1480" t="s">
        <v>483</v>
      </c>
      <c r="AW1480" t="s">
        <v>60</v>
      </c>
      <c r="AX1480" t="s">
        <v>68</v>
      </c>
      <c r="AY1480" t="s">
        <v>69</v>
      </c>
      <c r="AZ1480" t="b">
        <v>1</v>
      </c>
    </row>
    <row r="1481" spans="1:52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2142</v>
      </c>
      <c r="F1481" t="s">
        <v>190</v>
      </c>
      <c r="G1481" t="s">
        <v>491</v>
      </c>
      <c r="H1481" t="s">
        <v>492</v>
      </c>
      <c r="I1481" t="s">
        <v>492</v>
      </c>
      <c r="J1481" t="s">
        <v>60</v>
      </c>
      <c r="K1481" t="s">
        <v>475</v>
      </c>
      <c r="L1481" t="s">
        <v>62</v>
      </c>
      <c r="M1481" t="s">
        <v>475</v>
      </c>
      <c r="N1481" t="s">
        <v>493</v>
      </c>
      <c r="O1481" t="s">
        <v>494</v>
      </c>
      <c r="P1481">
        <v>-20.175250999999999</v>
      </c>
      <c r="Q1481">
        <v>-44.897357</v>
      </c>
      <c r="R1481" s="2" t="str">
        <f>HYPERLINK("https://www.google.com/maps?q=-20.1752510,-44.8973570","Abrir no Google Maps")</f>
        <v>Abrir no Google Maps</v>
      </c>
      <c r="S1481">
        <v>3</v>
      </c>
      <c r="T1481">
        <v>992.29631678149951</v>
      </c>
      <c r="U1481">
        <v>3</v>
      </c>
      <c r="V1481">
        <v>17</v>
      </c>
      <c r="W1481">
        <v>1</v>
      </c>
      <c r="X1481">
        <v>17</v>
      </c>
      <c r="Y1481">
        <v>578</v>
      </c>
      <c r="Z1481">
        <v>1008.5871064168319</v>
      </c>
      <c r="AA1481">
        <v>198</v>
      </c>
      <c r="AB1481">
        <v>332</v>
      </c>
      <c r="AC1481">
        <v>536</v>
      </c>
      <c r="AD1481">
        <v>28.93</v>
      </c>
      <c r="AE1481">
        <v>542</v>
      </c>
      <c r="AF1481">
        <v>28</v>
      </c>
      <c r="AG1481">
        <v>168</v>
      </c>
      <c r="AH1481">
        <v>129</v>
      </c>
      <c r="AI1481">
        <v>5.17</v>
      </c>
      <c r="AJ1481">
        <v>31</v>
      </c>
      <c r="AK1481">
        <v>23.8</v>
      </c>
      <c r="AL1481">
        <v>-20.175290599999951</v>
      </c>
      <c r="AM1481">
        <v>-44.897271931010721</v>
      </c>
      <c r="AN1481">
        <v>-20.175290599999951</v>
      </c>
      <c r="AO1481">
        <v>-44.897271931010721</v>
      </c>
      <c r="AP1481">
        <v>-20.175250999999999</v>
      </c>
      <c r="AQ1481">
        <v>-44.897357</v>
      </c>
      <c r="AR1481">
        <v>9.921899108467926</v>
      </c>
      <c r="AS1481" t="s">
        <v>65</v>
      </c>
      <c r="AT1481">
        <v>1</v>
      </c>
      <c r="AU1481" t="s">
        <v>495</v>
      </c>
      <c r="AV1481" t="s">
        <v>496</v>
      </c>
      <c r="AW1481" t="s">
        <v>60</v>
      </c>
      <c r="AX1481" t="s">
        <v>68</v>
      </c>
      <c r="AY1481" t="s">
        <v>69</v>
      </c>
      <c r="AZ1481" t="b">
        <v>1</v>
      </c>
    </row>
    <row r="1482" spans="1:52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2142</v>
      </c>
      <c r="F1482" t="s">
        <v>190</v>
      </c>
      <c r="G1482" t="s">
        <v>497</v>
      </c>
      <c r="H1482" t="s">
        <v>875</v>
      </c>
      <c r="I1482" t="s">
        <v>875</v>
      </c>
      <c r="J1482" t="s">
        <v>60</v>
      </c>
      <c r="K1482" t="s">
        <v>475</v>
      </c>
      <c r="L1482" t="s">
        <v>62</v>
      </c>
      <c r="M1482" t="s">
        <v>475</v>
      </c>
      <c r="N1482" t="s">
        <v>499</v>
      </c>
      <c r="O1482" t="s">
        <v>876</v>
      </c>
      <c r="P1482">
        <v>-20.177212999999998</v>
      </c>
      <c r="Q1482">
        <v>-44.904026999999999</v>
      </c>
      <c r="R1482" s="2" t="str">
        <f>HYPERLINK("https://www.google.com/maps?q=-20.1772130,-44.9040270","Abrir no Google Maps")</f>
        <v>Abrir no Google Maps</v>
      </c>
      <c r="S1482">
        <v>3</v>
      </c>
      <c r="T1482">
        <v>706.4159561113795</v>
      </c>
      <c r="U1482">
        <v>3</v>
      </c>
      <c r="V1482">
        <v>17</v>
      </c>
      <c r="W1482">
        <v>1</v>
      </c>
      <c r="X1482">
        <v>17</v>
      </c>
      <c r="Y1482">
        <v>578</v>
      </c>
      <c r="Z1482">
        <v>588.7160518608398</v>
      </c>
      <c r="AA1482">
        <v>198</v>
      </c>
      <c r="AB1482">
        <v>332</v>
      </c>
      <c r="AC1482">
        <v>536</v>
      </c>
      <c r="AD1482">
        <v>28.93</v>
      </c>
      <c r="AE1482">
        <v>542</v>
      </c>
      <c r="AF1482">
        <v>28</v>
      </c>
      <c r="AG1482">
        <v>168</v>
      </c>
      <c r="AH1482">
        <v>129</v>
      </c>
      <c r="AI1482">
        <v>5.17</v>
      </c>
      <c r="AJ1482">
        <v>31</v>
      </c>
      <c r="AK1482">
        <v>23.8</v>
      </c>
      <c r="AL1482">
        <v>-20.177090199999949</v>
      </c>
      <c r="AM1482">
        <v>-44.904078820930181</v>
      </c>
      <c r="AN1482">
        <v>-20.177090199999949</v>
      </c>
      <c r="AO1482">
        <v>-44.904078820930181</v>
      </c>
      <c r="AP1482">
        <v>-20.177212999999998</v>
      </c>
      <c r="AQ1482">
        <v>-44.904026999999999</v>
      </c>
      <c r="AR1482">
        <v>14.7034129632295</v>
      </c>
      <c r="AS1482" t="s">
        <v>65</v>
      </c>
      <c r="AT1482">
        <v>1</v>
      </c>
      <c r="AU1482" t="s">
        <v>877</v>
      </c>
      <c r="AV1482" t="s">
        <v>878</v>
      </c>
      <c r="AW1482" t="s">
        <v>60</v>
      </c>
      <c r="AX1482" t="s">
        <v>68</v>
      </c>
      <c r="AY1482" t="s">
        <v>69</v>
      </c>
      <c r="AZ1482" t="b">
        <v>1</v>
      </c>
    </row>
    <row r="1483" spans="1:52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2142</v>
      </c>
      <c r="F1483" t="s">
        <v>190</v>
      </c>
      <c r="G1483" t="s">
        <v>497</v>
      </c>
      <c r="H1483" t="s">
        <v>498</v>
      </c>
      <c r="I1483" t="s">
        <v>498</v>
      </c>
      <c r="J1483" t="s">
        <v>60</v>
      </c>
      <c r="K1483" t="s">
        <v>475</v>
      </c>
      <c r="L1483" t="s">
        <v>62</v>
      </c>
      <c r="M1483" t="s">
        <v>475</v>
      </c>
      <c r="N1483" t="s">
        <v>499</v>
      </c>
      <c r="O1483" t="s">
        <v>500</v>
      </c>
      <c r="P1483">
        <v>-20.175492999999999</v>
      </c>
      <c r="Q1483">
        <v>-44.900759000000001</v>
      </c>
      <c r="R1483" s="2" t="str">
        <f>HYPERLINK("https://www.google.com/maps?q=-20.1754930,-44.9007590","Abrir no Google Maps")</f>
        <v>Abrir no Google Maps</v>
      </c>
      <c r="S1483">
        <v>3</v>
      </c>
      <c r="T1483">
        <v>753.30732354720431</v>
      </c>
      <c r="U1483">
        <v>3</v>
      </c>
      <c r="V1483">
        <v>18</v>
      </c>
      <c r="W1483">
        <v>1</v>
      </c>
      <c r="X1483">
        <v>18</v>
      </c>
      <c r="Y1483">
        <v>578</v>
      </c>
      <c r="Z1483">
        <v>695.28903655431702</v>
      </c>
      <c r="AA1483">
        <v>198</v>
      </c>
      <c r="AB1483">
        <v>332</v>
      </c>
      <c r="AC1483">
        <v>536</v>
      </c>
      <c r="AD1483">
        <v>28.93</v>
      </c>
      <c r="AE1483">
        <v>542</v>
      </c>
      <c r="AF1483">
        <v>28</v>
      </c>
      <c r="AG1483">
        <v>168</v>
      </c>
      <c r="AH1483">
        <v>129</v>
      </c>
      <c r="AI1483">
        <v>5.17</v>
      </c>
      <c r="AJ1483">
        <v>31</v>
      </c>
      <c r="AK1483">
        <v>23.8</v>
      </c>
      <c r="AL1483">
        <v>-20.175825999999969</v>
      </c>
      <c r="AM1483">
        <v>-44.900600234646973</v>
      </c>
      <c r="AN1483">
        <v>-20.175825999999969</v>
      </c>
      <c r="AO1483">
        <v>-44.900600234646973</v>
      </c>
      <c r="AP1483">
        <v>-20.175492999999999</v>
      </c>
      <c r="AQ1483">
        <v>-44.900759000000001</v>
      </c>
      <c r="AR1483">
        <v>40.612267304645073</v>
      </c>
      <c r="AS1483" t="s">
        <v>65</v>
      </c>
      <c r="AT1483">
        <v>1</v>
      </c>
      <c r="AU1483" t="s">
        <v>501</v>
      </c>
      <c r="AV1483" t="s">
        <v>502</v>
      </c>
      <c r="AW1483" t="s">
        <v>60</v>
      </c>
      <c r="AX1483" t="s">
        <v>68</v>
      </c>
      <c r="AY1483" t="s">
        <v>69</v>
      </c>
      <c r="AZ1483" t="b">
        <v>1</v>
      </c>
    </row>
    <row r="1484" spans="1:52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2142</v>
      </c>
      <c r="F1484" t="s">
        <v>190</v>
      </c>
      <c r="G1484" t="s">
        <v>516</v>
      </c>
      <c r="H1484" t="s">
        <v>517</v>
      </c>
      <c r="I1484" t="s">
        <v>517</v>
      </c>
      <c r="J1484" t="s">
        <v>60</v>
      </c>
      <c r="K1484" t="s">
        <v>518</v>
      </c>
      <c r="L1484" t="s">
        <v>62</v>
      </c>
      <c r="M1484" t="s">
        <v>518</v>
      </c>
      <c r="N1484" t="s">
        <v>519</v>
      </c>
      <c r="O1484" t="s">
        <v>520</v>
      </c>
      <c r="P1484">
        <v>-20.124502</v>
      </c>
      <c r="Q1484">
        <v>-44.888424000000001</v>
      </c>
      <c r="R1484" s="2" t="str">
        <f>HYPERLINK("https://www.google.com/maps?q=-20.1245020,-44.8884240","Abrir no Google Maps")</f>
        <v>Abrir no Google Maps</v>
      </c>
      <c r="S1484">
        <v>3</v>
      </c>
      <c r="T1484">
        <v>483.42298121929559</v>
      </c>
      <c r="U1484">
        <v>3</v>
      </c>
      <c r="V1484">
        <v>20</v>
      </c>
      <c r="W1484">
        <v>1</v>
      </c>
      <c r="X1484">
        <v>20</v>
      </c>
      <c r="Y1484">
        <v>564</v>
      </c>
      <c r="Z1484">
        <v>565.43074237076587</v>
      </c>
      <c r="AA1484">
        <v>198</v>
      </c>
      <c r="AB1484">
        <v>332</v>
      </c>
      <c r="AC1484">
        <v>536</v>
      </c>
      <c r="AD1484">
        <v>28.93</v>
      </c>
      <c r="AE1484">
        <v>542</v>
      </c>
      <c r="AF1484">
        <v>28</v>
      </c>
      <c r="AG1484">
        <v>168</v>
      </c>
      <c r="AH1484">
        <v>129</v>
      </c>
      <c r="AI1484">
        <v>5.17</v>
      </c>
      <c r="AJ1484">
        <v>31</v>
      </c>
      <c r="AK1484">
        <v>23.8</v>
      </c>
      <c r="AL1484">
        <v>-20.124624949999941</v>
      </c>
      <c r="AM1484">
        <v>-44.888432821777258</v>
      </c>
      <c r="AN1484">
        <v>-20.124624949999941</v>
      </c>
      <c r="AO1484">
        <v>-44.888432821777258</v>
      </c>
      <c r="AP1484">
        <v>-20.124502</v>
      </c>
      <c r="AQ1484">
        <v>-44.888424000000001</v>
      </c>
      <c r="AR1484">
        <v>13.717819333897451</v>
      </c>
      <c r="AS1484" t="s">
        <v>65</v>
      </c>
      <c r="AT1484">
        <v>1</v>
      </c>
      <c r="AU1484" t="s">
        <v>521</v>
      </c>
      <c r="AV1484" t="s">
        <v>522</v>
      </c>
      <c r="AW1484" t="s">
        <v>60</v>
      </c>
      <c r="AX1484" t="s">
        <v>68</v>
      </c>
      <c r="AY1484" t="s">
        <v>69</v>
      </c>
      <c r="AZ1484" t="b">
        <v>1</v>
      </c>
    </row>
    <row r="1485" spans="1:52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2142</v>
      </c>
      <c r="F1485" t="s">
        <v>190</v>
      </c>
      <c r="G1485" t="s">
        <v>523</v>
      </c>
      <c r="H1485" t="s">
        <v>524</v>
      </c>
      <c r="I1485" t="s">
        <v>524</v>
      </c>
      <c r="J1485" t="s">
        <v>60</v>
      </c>
      <c r="K1485" t="s">
        <v>518</v>
      </c>
      <c r="L1485" t="s">
        <v>62</v>
      </c>
      <c r="M1485" t="s">
        <v>518</v>
      </c>
      <c r="N1485" t="s">
        <v>525</v>
      </c>
      <c r="O1485" t="s">
        <v>331</v>
      </c>
      <c r="P1485">
        <v>-20.126553000000001</v>
      </c>
      <c r="Q1485">
        <v>-44.888599999999997</v>
      </c>
      <c r="R1485" s="2" t="str">
        <f>HYPERLINK("https://www.google.com/maps?q=-20.1265530,-44.8886000","Abrir no Google Maps")</f>
        <v>Abrir no Google Maps</v>
      </c>
      <c r="S1485">
        <v>3</v>
      </c>
      <c r="T1485">
        <v>256.34043440603853</v>
      </c>
      <c r="U1485">
        <v>3</v>
      </c>
      <c r="V1485">
        <v>17</v>
      </c>
      <c r="W1485">
        <v>1</v>
      </c>
      <c r="X1485">
        <v>17</v>
      </c>
      <c r="Y1485">
        <v>564</v>
      </c>
      <c r="Z1485">
        <v>325.4404273055876</v>
      </c>
      <c r="AA1485">
        <v>198</v>
      </c>
      <c r="AB1485">
        <v>332</v>
      </c>
      <c r="AC1485">
        <v>536</v>
      </c>
      <c r="AD1485">
        <v>28.93</v>
      </c>
      <c r="AE1485">
        <v>542</v>
      </c>
      <c r="AF1485">
        <v>28</v>
      </c>
      <c r="AG1485">
        <v>168</v>
      </c>
      <c r="AH1485">
        <v>129</v>
      </c>
      <c r="AI1485">
        <v>5.17</v>
      </c>
      <c r="AJ1485">
        <v>31</v>
      </c>
      <c r="AK1485">
        <v>23.8</v>
      </c>
      <c r="AL1485">
        <v>-20.12669049999997</v>
      </c>
      <c r="AM1485">
        <v>-44.888671289876577</v>
      </c>
      <c r="AN1485">
        <v>-20.12669049999997</v>
      </c>
      <c r="AO1485">
        <v>-44.888671289876577</v>
      </c>
      <c r="AP1485">
        <v>-20.126553000000001</v>
      </c>
      <c r="AQ1485">
        <v>-44.888599999999997</v>
      </c>
      <c r="AR1485">
        <v>17.023861591720589</v>
      </c>
      <c r="AS1485" t="s">
        <v>65</v>
      </c>
      <c r="AT1485">
        <v>1</v>
      </c>
      <c r="AU1485" t="s">
        <v>526</v>
      </c>
      <c r="AV1485" t="s">
        <v>527</v>
      </c>
      <c r="AW1485" t="s">
        <v>60</v>
      </c>
      <c r="AX1485" t="s">
        <v>68</v>
      </c>
      <c r="AY1485" t="s">
        <v>69</v>
      </c>
      <c r="AZ1485" t="b">
        <v>1</v>
      </c>
    </row>
    <row r="1486" spans="1:52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2142</v>
      </c>
      <c r="F1486" t="s">
        <v>190</v>
      </c>
      <c r="G1486" t="s">
        <v>528</v>
      </c>
      <c r="H1486" t="s">
        <v>529</v>
      </c>
      <c r="I1486" t="s">
        <v>529</v>
      </c>
      <c r="J1486" t="s">
        <v>60</v>
      </c>
      <c r="K1486" t="s">
        <v>530</v>
      </c>
      <c r="L1486" t="s">
        <v>62</v>
      </c>
      <c r="M1486" t="s">
        <v>530</v>
      </c>
      <c r="N1486" t="s">
        <v>531</v>
      </c>
      <c r="O1486" t="s">
        <v>532</v>
      </c>
      <c r="P1486">
        <v>-20.142457</v>
      </c>
      <c r="Q1486">
        <v>-44.891688000000002</v>
      </c>
      <c r="R1486" s="2" t="str">
        <f>HYPERLINK("https://www.google.com/maps?q=-20.1424570,-44.8916880","Abrir no Google Maps")</f>
        <v>Abrir no Google Maps</v>
      </c>
      <c r="S1486">
        <v>3</v>
      </c>
      <c r="T1486">
        <v>0</v>
      </c>
      <c r="U1486">
        <v>3</v>
      </c>
      <c r="V1486">
        <v>19</v>
      </c>
      <c r="W1486">
        <v>1</v>
      </c>
      <c r="X1486">
        <v>19</v>
      </c>
      <c r="Y1486">
        <v>557</v>
      </c>
      <c r="Z1486">
        <v>42.611952255679803</v>
      </c>
      <c r="AA1486">
        <v>198</v>
      </c>
      <c r="AB1486">
        <v>332</v>
      </c>
      <c r="AC1486">
        <v>536</v>
      </c>
      <c r="AD1486">
        <v>28.93</v>
      </c>
      <c r="AE1486">
        <v>542</v>
      </c>
      <c r="AF1486">
        <v>28</v>
      </c>
      <c r="AG1486">
        <v>168</v>
      </c>
      <c r="AH1486">
        <v>129</v>
      </c>
      <c r="AI1486">
        <v>5.17</v>
      </c>
      <c r="AJ1486">
        <v>31</v>
      </c>
      <c r="AK1486">
        <v>23.8</v>
      </c>
      <c r="AL1486">
        <v>-20.142523099999948</v>
      </c>
      <c r="AM1486">
        <v>-44.891523817588819</v>
      </c>
      <c r="AN1486">
        <v>-20.142523099999948</v>
      </c>
      <c r="AO1486">
        <v>-44.891523817588819</v>
      </c>
      <c r="AP1486">
        <v>-20.142457</v>
      </c>
      <c r="AQ1486">
        <v>-44.891688000000002</v>
      </c>
      <c r="AR1486">
        <v>18.670129248632971</v>
      </c>
      <c r="AS1486" t="s">
        <v>65</v>
      </c>
      <c r="AT1486">
        <v>1</v>
      </c>
      <c r="AU1486" t="s">
        <v>533</v>
      </c>
      <c r="AV1486" t="s">
        <v>534</v>
      </c>
      <c r="AW1486" t="s">
        <v>60</v>
      </c>
      <c r="AX1486" t="s">
        <v>68</v>
      </c>
      <c r="AY1486" t="s">
        <v>69</v>
      </c>
      <c r="AZ1486" t="b">
        <v>1</v>
      </c>
    </row>
    <row r="1487" spans="1:52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2142</v>
      </c>
      <c r="F1487" t="s">
        <v>190</v>
      </c>
      <c r="G1487" t="s">
        <v>897</v>
      </c>
      <c r="H1487" t="s">
        <v>898</v>
      </c>
      <c r="I1487" t="s">
        <v>898</v>
      </c>
      <c r="J1487" t="s">
        <v>60</v>
      </c>
      <c r="K1487" t="s">
        <v>892</v>
      </c>
      <c r="L1487" t="s">
        <v>62</v>
      </c>
      <c r="M1487" t="s">
        <v>892</v>
      </c>
      <c r="N1487" t="s">
        <v>899</v>
      </c>
      <c r="O1487" t="s">
        <v>900</v>
      </c>
      <c r="P1487">
        <v>-20.154885</v>
      </c>
      <c r="Q1487">
        <v>-44.899890999999997</v>
      </c>
      <c r="R1487" s="2" t="str">
        <f>HYPERLINK("https://www.google.com/maps?q=-20.1548850,-44.8998910","Abrir no Google Maps")</f>
        <v>Abrir no Google Maps</v>
      </c>
      <c r="S1487">
        <v>3</v>
      </c>
      <c r="T1487">
        <v>314.66339661014308</v>
      </c>
      <c r="U1487">
        <v>3</v>
      </c>
      <c r="V1487">
        <v>21</v>
      </c>
      <c r="W1487">
        <v>1</v>
      </c>
      <c r="X1487">
        <v>21</v>
      </c>
      <c r="Y1487">
        <v>548</v>
      </c>
      <c r="Z1487">
        <v>319.02252584834253</v>
      </c>
      <c r="AA1487">
        <v>198</v>
      </c>
      <c r="AB1487">
        <v>332</v>
      </c>
      <c r="AC1487">
        <v>536</v>
      </c>
      <c r="AD1487">
        <v>28.93</v>
      </c>
      <c r="AE1487">
        <v>542</v>
      </c>
      <c r="AF1487">
        <v>28</v>
      </c>
      <c r="AG1487">
        <v>168</v>
      </c>
      <c r="AH1487">
        <v>129</v>
      </c>
      <c r="AI1487">
        <v>5.17</v>
      </c>
      <c r="AJ1487">
        <v>31</v>
      </c>
      <c r="AK1487">
        <v>23.8</v>
      </c>
      <c r="AL1487">
        <v>-20.154906649999951</v>
      </c>
      <c r="AM1487">
        <v>-44.899894072543653</v>
      </c>
      <c r="AN1487">
        <v>-20.154906649999951</v>
      </c>
      <c r="AO1487">
        <v>-44.899894072543653</v>
      </c>
      <c r="AP1487">
        <v>-20.154885</v>
      </c>
      <c r="AQ1487">
        <v>-44.899890999999997</v>
      </c>
      <c r="AR1487">
        <v>2.431373123904943</v>
      </c>
      <c r="AS1487" t="s">
        <v>65</v>
      </c>
      <c r="AT1487">
        <v>1</v>
      </c>
      <c r="AU1487" t="s">
        <v>901</v>
      </c>
      <c r="AV1487" t="s">
        <v>902</v>
      </c>
      <c r="AW1487" t="s">
        <v>60</v>
      </c>
      <c r="AX1487" t="s">
        <v>68</v>
      </c>
      <c r="AY1487" t="s">
        <v>69</v>
      </c>
      <c r="AZ1487" t="b">
        <v>1</v>
      </c>
    </row>
    <row r="1488" spans="1:52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2142</v>
      </c>
      <c r="F1488" t="s">
        <v>190</v>
      </c>
      <c r="G1488" t="s">
        <v>545</v>
      </c>
      <c r="H1488" t="s">
        <v>546</v>
      </c>
      <c r="I1488" t="s">
        <v>546</v>
      </c>
      <c r="J1488" t="s">
        <v>60</v>
      </c>
      <c r="K1488" t="s">
        <v>388</v>
      </c>
      <c r="L1488" t="s">
        <v>62</v>
      </c>
      <c r="M1488" t="s">
        <v>388</v>
      </c>
      <c r="N1488" t="s">
        <v>547</v>
      </c>
      <c r="O1488" t="s">
        <v>548</v>
      </c>
      <c r="P1488">
        <v>-20.155839</v>
      </c>
      <c r="Q1488">
        <v>-44.905655000000003</v>
      </c>
      <c r="R1488" s="2" t="str">
        <f>HYPERLINK("https://www.google.com/maps?q=-20.1558390,-44.9056550","Abrir no Google Maps")</f>
        <v>Abrir no Google Maps</v>
      </c>
      <c r="S1488">
        <v>3</v>
      </c>
      <c r="T1488">
        <v>309.7643089121122</v>
      </c>
      <c r="U1488">
        <v>3</v>
      </c>
      <c r="V1488">
        <v>16</v>
      </c>
      <c r="W1488">
        <v>1</v>
      </c>
      <c r="X1488">
        <v>16</v>
      </c>
      <c r="Y1488">
        <v>548</v>
      </c>
      <c r="Z1488">
        <v>284.24281731793161</v>
      </c>
      <c r="AA1488">
        <v>198</v>
      </c>
      <c r="AB1488">
        <v>332</v>
      </c>
      <c r="AC1488">
        <v>536</v>
      </c>
      <c r="AD1488">
        <v>28.93</v>
      </c>
      <c r="AE1488">
        <v>542</v>
      </c>
      <c r="AF1488">
        <v>28</v>
      </c>
      <c r="AG1488">
        <v>168</v>
      </c>
      <c r="AH1488">
        <v>129</v>
      </c>
      <c r="AI1488">
        <v>5.17</v>
      </c>
      <c r="AJ1488">
        <v>31</v>
      </c>
      <c r="AK1488">
        <v>23.8</v>
      </c>
      <c r="AL1488">
        <v>-20.155913549999951</v>
      </c>
      <c r="AM1488">
        <v>-44.905554508392683</v>
      </c>
      <c r="AN1488">
        <v>-20.155913549999951</v>
      </c>
      <c r="AO1488">
        <v>-44.905554508392669</v>
      </c>
      <c r="AP1488">
        <v>-20.155839</v>
      </c>
      <c r="AQ1488">
        <v>-44.905655000000003</v>
      </c>
      <c r="AR1488">
        <v>13.384922093797449</v>
      </c>
      <c r="AS1488" t="s">
        <v>65</v>
      </c>
      <c r="AT1488">
        <v>1</v>
      </c>
      <c r="AU1488" t="s">
        <v>549</v>
      </c>
      <c r="AV1488" t="s">
        <v>550</v>
      </c>
      <c r="AW1488" t="s">
        <v>60</v>
      </c>
      <c r="AX1488" t="s">
        <v>68</v>
      </c>
      <c r="AY1488" t="s">
        <v>69</v>
      </c>
      <c r="AZ1488" t="b">
        <v>1</v>
      </c>
    </row>
    <row r="1489" spans="1:52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2142</v>
      </c>
      <c r="F1489" t="s">
        <v>190</v>
      </c>
      <c r="G1489" t="s">
        <v>551</v>
      </c>
      <c r="H1489" t="s">
        <v>552</v>
      </c>
      <c r="I1489" t="s">
        <v>552</v>
      </c>
      <c r="J1489" t="s">
        <v>60</v>
      </c>
      <c r="K1489" t="s">
        <v>388</v>
      </c>
      <c r="L1489" t="s">
        <v>62</v>
      </c>
      <c r="M1489" t="s">
        <v>388</v>
      </c>
      <c r="N1489" t="s">
        <v>553</v>
      </c>
      <c r="O1489" t="s">
        <v>315</v>
      </c>
      <c r="P1489">
        <v>-20.153086999999999</v>
      </c>
      <c r="Q1489">
        <v>-44.905451999999997</v>
      </c>
      <c r="R1489" s="2" t="str">
        <f>HYPERLINK("https://www.google.com/maps?q=-20.1530870,-44.9054520","Abrir no Google Maps")</f>
        <v>Abrir no Google Maps</v>
      </c>
      <c r="S1489">
        <v>3</v>
      </c>
      <c r="T1489">
        <v>313.69387682409018</v>
      </c>
      <c r="U1489">
        <v>3</v>
      </c>
      <c r="V1489">
        <v>21</v>
      </c>
      <c r="W1489">
        <v>1</v>
      </c>
      <c r="X1489">
        <v>21</v>
      </c>
      <c r="Y1489">
        <v>548</v>
      </c>
      <c r="Z1489">
        <v>319.51605309906859</v>
      </c>
      <c r="AA1489">
        <v>198</v>
      </c>
      <c r="AB1489">
        <v>332</v>
      </c>
      <c r="AC1489">
        <v>536</v>
      </c>
      <c r="AD1489">
        <v>28.93</v>
      </c>
      <c r="AE1489">
        <v>542</v>
      </c>
      <c r="AF1489">
        <v>28</v>
      </c>
      <c r="AG1489">
        <v>168</v>
      </c>
      <c r="AH1489">
        <v>129</v>
      </c>
      <c r="AI1489">
        <v>5.17</v>
      </c>
      <c r="AJ1489">
        <v>31</v>
      </c>
      <c r="AK1489">
        <v>23.8</v>
      </c>
      <c r="AL1489">
        <v>-20.153043049999951</v>
      </c>
      <c r="AM1489">
        <v>-44.905348275899513</v>
      </c>
      <c r="AN1489">
        <v>-20.153043049999951</v>
      </c>
      <c r="AO1489">
        <v>-44.905348275899513</v>
      </c>
      <c r="AP1489">
        <v>-20.153086999999999</v>
      </c>
      <c r="AQ1489">
        <v>-44.905451999999997</v>
      </c>
      <c r="AR1489">
        <v>11.892619975648341</v>
      </c>
      <c r="AS1489" t="s">
        <v>65</v>
      </c>
      <c r="AT1489">
        <v>1</v>
      </c>
      <c r="AU1489" t="s">
        <v>554</v>
      </c>
      <c r="AV1489" t="s">
        <v>555</v>
      </c>
      <c r="AW1489" t="s">
        <v>60</v>
      </c>
      <c r="AX1489" t="s">
        <v>68</v>
      </c>
      <c r="AY1489" t="s">
        <v>69</v>
      </c>
      <c r="AZ1489" t="b">
        <v>1</v>
      </c>
    </row>
    <row r="1490" spans="1:52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2142</v>
      </c>
      <c r="F1490" t="s">
        <v>190</v>
      </c>
      <c r="G1490" t="s">
        <v>556</v>
      </c>
      <c r="H1490" t="s">
        <v>557</v>
      </c>
      <c r="I1490" t="s">
        <v>557</v>
      </c>
      <c r="J1490" t="s">
        <v>60</v>
      </c>
      <c r="K1490" t="s">
        <v>388</v>
      </c>
      <c r="L1490" t="s">
        <v>62</v>
      </c>
      <c r="M1490" t="s">
        <v>388</v>
      </c>
      <c r="N1490" t="s">
        <v>558</v>
      </c>
      <c r="O1490" t="s">
        <v>559</v>
      </c>
      <c r="P1490">
        <v>-20.152670000000001</v>
      </c>
      <c r="Q1490">
        <v>-44.902557999999999</v>
      </c>
      <c r="R1490" s="2" t="str">
        <f>HYPERLINK("https://www.google.com/maps?q=-20.1526700,-44.9025580","Abrir no Google Maps")</f>
        <v>Abrir no Google Maps</v>
      </c>
      <c r="S1490">
        <v>3</v>
      </c>
      <c r="T1490">
        <v>228.56195217678911</v>
      </c>
      <c r="U1490">
        <v>3</v>
      </c>
      <c r="V1490">
        <v>17</v>
      </c>
      <c r="W1490">
        <v>1</v>
      </c>
      <c r="X1490">
        <v>17</v>
      </c>
      <c r="Y1490">
        <v>548</v>
      </c>
      <c r="Z1490">
        <v>250.63133895224919</v>
      </c>
      <c r="AA1490">
        <v>198</v>
      </c>
      <c r="AB1490">
        <v>332</v>
      </c>
      <c r="AC1490">
        <v>536</v>
      </c>
      <c r="AD1490">
        <v>28.93</v>
      </c>
      <c r="AE1490">
        <v>542</v>
      </c>
      <c r="AF1490">
        <v>28</v>
      </c>
      <c r="AG1490">
        <v>168</v>
      </c>
      <c r="AH1490">
        <v>129</v>
      </c>
      <c r="AI1490">
        <v>5.17</v>
      </c>
      <c r="AJ1490">
        <v>31</v>
      </c>
      <c r="AK1490">
        <v>23.8</v>
      </c>
      <c r="AL1490">
        <v>-20.152629799999939</v>
      </c>
      <c r="AM1490">
        <v>-44.902604744705201</v>
      </c>
      <c r="AN1490">
        <v>-20.152629799999939</v>
      </c>
      <c r="AO1490">
        <v>-44.902604744705201</v>
      </c>
      <c r="AP1490">
        <v>-20.152670000000001</v>
      </c>
      <c r="AQ1490">
        <v>-44.902557999999999</v>
      </c>
      <c r="AR1490">
        <v>6.6249428037111509</v>
      </c>
      <c r="AS1490" t="s">
        <v>65</v>
      </c>
      <c r="AT1490">
        <v>1</v>
      </c>
      <c r="AU1490" t="s">
        <v>560</v>
      </c>
      <c r="AV1490" t="s">
        <v>561</v>
      </c>
      <c r="AW1490" t="s">
        <v>60</v>
      </c>
      <c r="AX1490" t="s">
        <v>68</v>
      </c>
      <c r="AY1490" t="s">
        <v>69</v>
      </c>
      <c r="AZ1490" t="b">
        <v>1</v>
      </c>
    </row>
    <row r="1491" spans="1:52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2142</v>
      </c>
      <c r="F1491" t="s">
        <v>190</v>
      </c>
      <c r="G1491" t="s">
        <v>562</v>
      </c>
      <c r="H1491" t="s">
        <v>563</v>
      </c>
      <c r="I1491" t="s">
        <v>563</v>
      </c>
      <c r="J1491" t="s">
        <v>60</v>
      </c>
      <c r="K1491" t="s">
        <v>388</v>
      </c>
      <c r="L1491" t="s">
        <v>62</v>
      </c>
      <c r="M1491" t="s">
        <v>388</v>
      </c>
      <c r="N1491" t="s">
        <v>564</v>
      </c>
      <c r="O1491" t="s">
        <v>565</v>
      </c>
      <c r="P1491">
        <v>-20.154432</v>
      </c>
      <c r="Q1491">
        <v>-44.902977999999997</v>
      </c>
      <c r="R1491" s="2" t="str">
        <f>HYPERLINK("https://www.google.com/maps?q=-20.1544320,-44.9029780","Abrir no Google Maps")</f>
        <v>Abrir no Google Maps</v>
      </c>
      <c r="S1491">
        <v>3</v>
      </c>
      <c r="T1491">
        <v>0</v>
      </c>
      <c r="U1491">
        <v>3</v>
      </c>
      <c r="V1491">
        <v>19</v>
      </c>
      <c r="W1491">
        <v>1</v>
      </c>
      <c r="X1491">
        <v>19</v>
      </c>
      <c r="Y1491">
        <v>548</v>
      </c>
      <c r="Z1491">
        <v>29.424211042533759</v>
      </c>
      <c r="AA1491">
        <v>198</v>
      </c>
      <c r="AB1491">
        <v>332</v>
      </c>
      <c r="AC1491">
        <v>536</v>
      </c>
      <c r="AD1491">
        <v>28.93</v>
      </c>
      <c r="AE1491">
        <v>542</v>
      </c>
      <c r="AF1491">
        <v>28</v>
      </c>
      <c r="AG1491">
        <v>168</v>
      </c>
      <c r="AH1491">
        <v>129</v>
      </c>
      <c r="AI1491">
        <v>5.17</v>
      </c>
      <c r="AJ1491">
        <v>31</v>
      </c>
      <c r="AK1491">
        <v>23.8</v>
      </c>
      <c r="AL1491">
        <v>-20.15467689999997</v>
      </c>
      <c r="AM1491">
        <v>-44.902895281771222</v>
      </c>
      <c r="AN1491">
        <v>-20.15467689999997</v>
      </c>
      <c r="AO1491">
        <v>-44.902895281771222</v>
      </c>
      <c r="AP1491">
        <v>-20.154432</v>
      </c>
      <c r="AQ1491">
        <v>-44.902977999999997</v>
      </c>
      <c r="AR1491">
        <v>28.5999270636025</v>
      </c>
      <c r="AS1491" t="s">
        <v>65</v>
      </c>
      <c r="AT1491">
        <v>1</v>
      </c>
      <c r="AU1491" t="s">
        <v>566</v>
      </c>
      <c r="AV1491" t="s">
        <v>567</v>
      </c>
      <c r="AW1491" t="s">
        <v>60</v>
      </c>
      <c r="AX1491" t="s">
        <v>68</v>
      </c>
      <c r="AY1491" t="s">
        <v>69</v>
      </c>
      <c r="AZ1491" t="b">
        <v>1</v>
      </c>
    </row>
    <row r="1492" spans="1:52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2142</v>
      </c>
      <c r="F1492" t="s">
        <v>190</v>
      </c>
      <c r="G1492" t="s">
        <v>903</v>
      </c>
      <c r="H1492" t="s">
        <v>904</v>
      </c>
      <c r="I1492" t="s">
        <v>904</v>
      </c>
      <c r="J1492" t="s">
        <v>60</v>
      </c>
      <c r="K1492" t="s">
        <v>905</v>
      </c>
      <c r="L1492" t="s">
        <v>62</v>
      </c>
      <c r="M1492" t="s">
        <v>905</v>
      </c>
      <c r="N1492" t="s">
        <v>906</v>
      </c>
      <c r="O1492" t="s">
        <v>907</v>
      </c>
      <c r="P1492">
        <v>-20.112969</v>
      </c>
      <c r="Q1492">
        <v>-44.891264</v>
      </c>
      <c r="R1492" s="2" t="str">
        <f>HYPERLINK("https://www.google.com/maps?q=-20.1129690,-44.8912640","Abrir no Google Maps")</f>
        <v>Abrir no Google Maps</v>
      </c>
      <c r="S1492">
        <v>3</v>
      </c>
      <c r="T1492">
        <v>760.33197426397032</v>
      </c>
      <c r="U1492">
        <v>3</v>
      </c>
      <c r="V1492">
        <v>18</v>
      </c>
      <c r="W1492">
        <v>1</v>
      </c>
      <c r="X1492">
        <v>18</v>
      </c>
      <c r="Y1492">
        <v>536</v>
      </c>
      <c r="Z1492">
        <v>755.3791742519096</v>
      </c>
      <c r="AA1492">
        <v>198</v>
      </c>
      <c r="AB1492">
        <v>332</v>
      </c>
      <c r="AC1492">
        <v>536</v>
      </c>
      <c r="AD1492">
        <v>28.93</v>
      </c>
      <c r="AE1492">
        <v>542</v>
      </c>
      <c r="AF1492">
        <v>28</v>
      </c>
      <c r="AG1492">
        <v>168</v>
      </c>
      <c r="AH1492">
        <v>129</v>
      </c>
      <c r="AI1492">
        <v>5.17</v>
      </c>
      <c r="AJ1492">
        <v>31</v>
      </c>
      <c r="AK1492">
        <v>23.8</v>
      </c>
      <c r="AL1492">
        <v>-20.11260604999995</v>
      </c>
      <c r="AM1492">
        <v>-44.891480970454502</v>
      </c>
      <c r="AN1492">
        <v>-20.11260604999995</v>
      </c>
      <c r="AO1492">
        <v>-44.891480970454502</v>
      </c>
      <c r="AP1492">
        <v>-20.112969</v>
      </c>
      <c r="AQ1492">
        <v>-44.891264</v>
      </c>
      <c r="AR1492">
        <v>46.334053708506183</v>
      </c>
      <c r="AS1492" t="s">
        <v>65</v>
      </c>
      <c r="AT1492">
        <v>1</v>
      </c>
      <c r="AU1492" t="s">
        <v>908</v>
      </c>
      <c r="AV1492" t="s">
        <v>909</v>
      </c>
      <c r="AW1492" t="s">
        <v>60</v>
      </c>
      <c r="AX1492" t="s">
        <v>68</v>
      </c>
      <c r="AY1492" t="s">
        <v>69</v>
      </c>
      <c r="AZ1492" t="b">
        <v>1</v>
      </c>
    </row>
    <row r="1493" spans="1:52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2142</v>
      </c>
      <c r="F1493" t="s">
        <v>190</v>
      </c>
      <c r="G1493" t="s">
        <v>579</v>
      </c>
      <c r="H1493" t="s">
        <v>580</v>
      </c>
      <c r="I1493" t="s">
        <v>580</v>
      </c>
      <c r="J1493" t="s">
        <v>60</v>
      </c>
      <c r="K1493" t="s">
        <v>117</v>
      </c>
      <c r="L1493" t="s">
        <v>62</v>
      </c>
      <c r="M1493" t="s">
        <v>117</v>
      </c>
      <c r="N1493" t="s">
        <v>581</v>
      </c>
      <c r="O1493" t="s">
        <v>338</v>
      </c>
      <c r="P1493">
        <v>-20.119333000000001</v>
      </c>
      <c r="Q1493">
        <v>-44.892454999999998</v>
      </c>
      <c r="R1493" s="2" t="str">
        <f>HYPERLINK("https://www.google.com/maps?q=-20.1193330,-44.8924550","Abrir no Google Maps")</f>
        <v>Abrir no Google Maps</v>
      </c>
      <c r="S1493">
        <v>3</v>
      </c>
      <c r="T1493">
        <v>545.06582215852734</v>
      </c>
      <c r="U1493">
        <v>3</v>
      </c>
      <c r="V1493">
        <v>16</v>
      </c>
      <c r="W1493">
        <v>1</v>
      </c>
      <c r="X1493">
        <v>16</v>
      </c>
      <c r="Y1493">
        <v>536</v>
      </c>
      <c r="Z1493">
        <v>583.72689769042404</v>
      </c>
      <c r="AA1493">
        <v>198</v>
      </c>
      <c r="AB1493">
        <v>332</v>
      </c>
      <c r="AC1493">
        <v>536</v>
      </c>
      <c r="AD1493">
        <v>28.93</v>
      </c>
      <c r="AE1493">
        <v>542</v>
      </c>
      <c r="AF1493">
        <v>28</v>
      </c>
      <c r="AG1493">
        <v>168</v>
      </c>
      <c r="AH1493">
        <v>129</v>
      </c>
      <c r="AI1493">
        <v>5.17</v>
      </c>
      <c r="AJ1493">
        <v>31</v>
      </c>
      <c r="AK1493">
        <v>23.8</v>
      </c>
      <c r="AL1493">
        <v>-20.11966729999995</v>
      </c>
      <c r="AM1493">
        <v>-44.892529474102908</v>
      </c>
      <c r="AN1493">
        <v>-20.119667299999939</v>
      </c>
      <c r="AO1493">
        <v>-44.892529474102908</v>
      </c>
      <c r="AP1493">
        <v>-20.119333000000001</v>
      </c>
      <c r="AQ1493">
        <v>-44.892454999999998</v>
      </c>
      <c r="AR1493">
        <v>38.019750592693072</v>
      </c>
      <c r="AS1493" t="s">
        <v>65</v>
      </c>
      <c r="AT1493">
        <v>1</v>
      </c>
      <c r="AU1493" t="s">
        <v>582</v>
      </c>
      <c r="AV1493" t="s">
        <v>583</v>
      </c>
      <c r="AW1493" t="s">
        <v>60</v>
      </c>
      <c r="AX1493" t="s">
        <v>68</v>
      </c>
      <c r="AY1493" t="s">
        <v>69</v>
      </c>
      <c r="AZ1493" t="b">
        <v>1</v>
      </c>
    </row>
    <row r="1494" spans="1:52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2142</v>
      </c>
      <c r="F1494" t="s">
        <v>190</v>
      </c>
      <c r="G1494" t="s">
        <v>910</v>
      </c>
      <c r="H1494" t="s">
        <v>911</v>
      </c>
      <c r="I1494" t="s">
        <v>911</v>
      </c>
      <c r="J1494" t="s">
        <v>60</v>
      </c>
      <c r="K1494" t="s">
        <v>207</v>
      </c>
      <c r="L1494" t="s">
        <v>62</v>
      </c>
      <c r="M1494" t="s">
        <v>207</v>
      </c>
      <c r="N1494" t="s">
        <v>912</v>
      </c>
      <c r="O1494" t="s">
        <v>548</v>
      </c>
      <c r="P1494">
        <v>-20.116987000000002</v>
      </c>
      <c r="Q1494">
        <v>-44.885240000000003</v>
      </c>
      <c r="R1494" s="2" t="str">
        <f>HYPERLINK("https://www.google.com/maps?q=-20.1169870,-44.8852400","Abrir no Google Maps")</f>
        <v>Abrir no Google Maps</v>
      </c>
      <c r="S1494">
        <v>3</v>
      </c>
      <c r="T1494">
        <v>283.94804862214067</v>
      </c>
      <c r="U1494">
        <v>3</v>
      </c>
      <c r="V1494">
        <v>18</v>
      </c>
      <c r="W1494">
        <v>1</v>
      </c>
      <c r="X1494">
        <v>18</v>
      </c>
      <c r="Y1494">
        <v>536</v>
      </c>
      <c r="Z1494">
        <v>297.39410031170689</v>
      </c>
      <c r="AA1494">
        <v>198</v>
      </c>
      <c r="AB1494">
        <v>332</v>
      </c>
      <c r="AC1494">
        <v>536</v>
      </c>
      <c r="AD1494">
        <v>28.93</v>
      </c>
      <c r="AE1494">
        <v>542</v>
      </c>
      <c r="AF1494">
        <v>28</v>
      </c>
      <c r="AG1494">
        <v>168</v>
      </c>
      <c r="AH1494">
        <v>129</v>
      </c>
      <c r="AI1494">
        <v>5.17</v>
      </c>
      <c r="AJ1494">
        <v>31</v>
      </c>
      <c r="AK1494">
        <v>23.8</v>
      </c>
      <c r="AL1494">
        <v>-20.116999599999961</v>
      </c>
      <c r="AM1494">
        <v>-44.885197873315192</v>
      </c>
      <c r="AN1494">
        <v>-20.116999599999961</v>
      </c>
      <c r="AO1494">
        <v>-44.885197873315192</v>
      </c>
      <c r="AP1494">
        <v>-20.116987000000002</v>
      </c>
      <c r="AQ1494">
        <v>-44.885240000000003</v>
      </c>
      <c r="AR1494">
        <v>4.6214387870334246</v>
      </c>
      <c r="AS1494" t="s">
        <v>65</v>
      </c>
      <c r="AT1494">
        <v>1</v>
      </c>
      <c r="AU1494" t="s">
        <v>913</v>
      </c>
      <c r="AV1494" t="s">
        <v>914</v>
      </c>
      <c r="AW1494" t="s">
        <v>60</v>
      </c>
      <c r="AX1494" t="s">
        <v>68</v>
      </c>
      <c r="AY1494" t="s">
        <v>69</v>
      </c>
      <c r="AZ1494" t="b">
        <v>1</v>
      </c>
    </row>
    <row r="1495" spans="1:52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2142</v>
      </c>
      <c r="F1495" t="s">
        <v>190</v>
      </c>
      <c r="G1495" t="s">
        <v>590</v>
      </c>
      <c r="H1495" t="s">
        <v>591</v>
      </c>
      <c r="I1495" t="s">
        <v>591</v>
      </c>
      <c r="J1495" t="s">
        <v>60</v>
      </c>
      <c r="K1495" t="s">
        <v>207</v>
      </c>
      <c r="L1495" t="s">
        <v>62</v>
      </c>
      <c r="M1495" t="s">
        <v>207</v>
      </c>
      <c r="N1495" t="s">
        <v>592</v>
      </c>
      <c r="O1495" t="s">
        <v>565</v>
      </c>
      <c r="P1495">
        <v>-20.118652000000001</v>
      </c>
      <c r="Q1495">
        <v>-44.890574999999998</v>
      </c>
      <c r="R1495" s="2" t="str">
        <f>HYPERLINK("https://www.google.com/maps?q=-20.1186520,-44.8905750","Abrir no Google Maps")</f>
        <v>Abrir no Google Maps</v>
      </c>
      <c r="S1495">
        <v>3</v>
      </c>
      <c r="T1495">
        <v>305.97870753615422</v>
      </c>
      <c r="U1495">
        <v>3</v>
      </c>
      <c r="V1495">
        <v>16</v>
      </c>
      <c r="W1495">
        <v>1</v>
      </c>
      <c r="X1495">
        <v>16</v>
      </c>
      <c r="Y1495">
        <v>536</v>
      </c>
      <c r="Z1495">
        <v>368.07356795447242</v>
      </c>
      <c r="AA1495">
        <v>198</v>
      </c>
      <c r="AB1495">
        <v>332</v>
      </c>
      <c r="AC1495">
        <v>536</v>
      </c>
      <c r="AD1495">
        <v>28.93</v>
      </c>
      <c r="AE1495">
        <v>542</v>
      </c>
      <c r="AF1495">
        <v>28</v>
      </c>
      <c r="AG1495">
        <v>168</v>
      </c>
      <c r="AH1495">
        <v>129</v>
      </c>
      <c r="AI1495">
        <v>5.17</v>
      </c>
      <c r="AJ1495">
        <v>31</v>
      </c>
      <c r="AK1495">
        <v>23.8</v>
      </c>
      <c r="AL1495">
        <v>-20.118589699999941</v>
      </c>
      <c r="AM1495">
        <v>-44.890419442196389</v>
      </c>
      <c r="AN1495">
        <v>-20.118589699999941</v>
      </c>
      <c r="AO1495">
        <v>-44.890419442196389</v>
      </c>
      <c r="AP1495">
        <v>-20.118652000000001</v>
      </c>
      <c r="AQ1495">
        <v>-44.890574999999998</v>
      </c>
      <c r="AR1495">
        <v>17.67731866347437</v>
      </c>
      <c r="AS1495" t="s">
        <v>65</v>
      </c>
      <c r="AT1495">
        <v>1</v>
      </c>
      <c r="AU1495" t="s">
        <v>593</v>
      </c>
      <c r="AV1495" t="s">
        <v>594</v>
      </c>
      <c r="AW1495" t="s">
        <v>60</v>
      </c>
      <c r="AX1495" t="s">
        <v>68</v>
      </c>
      <c r="AY1495" t="s">
        <v>69</v>
      </c>
      <c r="AZ1495" t="b">
        <v>1</v>
      </c>
    </row>
    <row r="1496" spans="1:52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2142</v>
      </c>
      <c r="F1496" t="s">
        <v>190</v>
      </c>
      <c r="G1496" t="s">
        <v>595</v>
      </c>
      <c r="H1496" t="s">
        <v>596</v>
      </c>
      <c r="I1496" t="s">
        <v>596</v>
      </c>
      <c r="J1496" t="s">
        <v>60</v>
      </c>
      <c r="K1496" t="s">
        <v>207</v>
      </c>
      <c r="L1496" t="s">
        <v>62</v>
      </c>
      <c r="M1496" t="s">
        <v>207</v>
      </c>
      <c r="N1496" t="s">
        <v>597</v>
      </c>
      <c r="O1496" t="s">
        <v>598</v>
      </c>
      <c r="P1496">
        <v>-20.118335999999999</v>
      </c>
      <c r="Q1496">
        <v>-44.887441000000003</v>
      </c>
      <c r="R1496" s="2" t="str">
        <f>HYPERLINK("https://www.google.com/maps?q=-20.1183360,-44.8874410","Abrir no Google Maps")</f>
        <v>Abrir no Google Maps</v>
      </c>
      <c r="S1496">
        <v>3</v>
      </c>
      <c r="T1496">
        <v>0</v>
      </c>
      <c r="U1496">
        <v>3</v>
      </c>
      <c r="V1496">
        <v>18</v>
      </c>
      <c r="W1496">
        <v>1</v>
      </c>
      <c r="X1496">
        <v>18</v>
      </c>
      <c r="Y1496">
        <v>536</v>
      </c>
      <c r="Z1496">
        <v>70.729031566967279</v>
      </c>
      <c r="AA1496">
        <v>198</v>
      </c>
      <c r="AB1496">
        <v>332</v>
      </c>
      <c r="AC1496">
        <v>536</v>
      </c>
      <c r="AD1496">
        <v>28.93</v>
      </c>
      <c r="AE1496">
        <v>542</v>
      </c>
      <c r="AF1496">
        <v>28</v>
      </c>
      <c r="AG1496">
        <v>168</v>
      </c>
      <c r="AH1496">
        <v>129</v>
      </c>
      <c r="AI1496">
        <v>5.17</v>
      </c>
      <c r="AJ1496">
        <v>31</v>
      </c>
      <c r="AK1496">
        <v>23.8</v>
      </c>
      <c r="AL1496">
        <v>-20.118357999999969</v>
      </c>
      <c r="AM1496">
        <v>-44.88750246616479</v>
      </c>
      <c r="AN1496">
        <v>-20.118357999999969</v>
      </c>
      <c r="AO1496">
        <v>-44.88750246616479</v>
      </c>
      <c r="AP1496">
        <v>-20.118335999999999</v>
      </c>
      <c r="AQ1496">
        <v>-44.887441000000003</v>
      </c>
      <c r="AR1496">
        <v>6.875853437004074</v>
      </c>
      <c r="AS1496" t="s">
        <v>65</v>
      </c>
      <c r="AT1496">
        <v>1</v>
      </c>
      <c r="AU1496" t="s">
        <v>599</v>
      </c>
      <c r="AV1496" t="s">
        <v>600</v>
      </c>
      <c r="AW1496" t="s">
        <v>60</v>
      </c>
      <c r="AX1496" t="s">
        <v>68</v>
      </c>
      <c r="AY1496" t="s">
        <v>69</v>
      </c>
      <c r="AZ1496" t="b">
        <v>1</v>
      </c>
    </row>
    <row r="1497" spans="1:52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2142</v>
      </c>
      <c r="F1497" t="s">
        <v>190</v>
      </c>
      <c r="G1497" t="s">
        <v>614</v>
      </c>
      <c r="H1497" t="s">
        <v>615</v>
      </c>
      <c r="I1497" t="s">
        <v>615</v>
      </c>
      <c r="J1497" t="s">
        <v>60</v>
      </c>
      <c r="K1497" t="s">
        <v>207</v>
      </c>
      <c r="L1497" t="s">
        <v>62</v>
      </c>
      <c r="M1497" t="s">
        <v>207</v>
      </c>
      <c r="N1497" t="s">
        <v>616</v>
      </c>
      <c r="O1497" t="s">
        <v>617</v>
      </c>
      <c r="P1497">
        <v>-20.123118999999999</v>
      </c>
      <c r="Q1497">
        <v>-44.886259000000003</v>
      </c>
      <c r="R1497" s="2" t="str">
        <f>HYPERLINK("https://www.google.com/maps?q=-20.1231190,-44.8862590","Abrir no Google Maps")</f>
        <v>Abrir no Google Maps</v>
      </c>
      <c r="S1497">
        <v>3</v>
      </c>
      <c r="T1497">
        <v>534.91642326845545</v>
      </c>
      <c r="U1497">
        <v>3</v>
      </c>
      <c r="V1497">
        <v>17</v>
      </c>
      <c r="W1497">
        <v>1</v>
      </c>
      <c r="X1497">
        <v>17</v>
      </c>
      <c r="Y1497">
        <v>536</v>
      </c>
      <c r="Z1497">
        <v>478.9192959851456</v>
      </c>
      <c r="AA1497">
        <v>198</v>
      </c>
      <c r="AB1497">
        <v>332</v>
      </c>
      <c r="AC1497">
        <v>536</v>
      </c>
      <c r="AD1497">
        <v>28.93</v>
      </c>
      <c r="AE1497">
        <v>542</v>
      </c>
      <c r="AF1497">
        <v>28</v>
      </c>
      <c r="AG1497">
        <v>168</v>
      </c>
      <c r="AH1497">
        <v>129</v>
      </c>
      <c r="AI1497">
        <v>5.17</v>
      </c>
      <c r="AJ1497">
        <v>31</v>
      </c>
      <c r="AK1497">
        <v>23.8</v>
      </c>
      <c r="AL1497">
        <v>-20.12305974999995</v>
      </c>
      <c r="AM1497">
        <v>-44.886314469108633</v>
      </c>
      <c r="AN1497">
        <v>-20.12305974999995</v>
      </c>
      <c r="AO1497">
        <v>-44.886314469108633</v>
      </c>
      <c r="AP1497">
        <v>-20.123118999999999</v>
      </c>
      <c r="AQ1497">
        <v>-44.886259000000003</v>
      </c>
      <c r="AR1497">
        <v>8.7817342078334093</v>
      </c>
      <c r="AS1497" t="s">
        <v>65</v>
      </c>
      <c r="AT1497">
        <v>1</v>
      </c>
      <c r="AU1497" t="s">
        <v>618</v>
      </c>
      <c r="AV1497" t="s">
        <v>619</v>
      </c>
      <c r="AW1497" t="s">
        <v>60</v>
      </c>
      <c r="AX1497" t="s">
        <v>68</v>
      </c>
      <c r="AY1497" t="s">
        <v>69</v>
      </c>
      <c r="AZ1497" t="b">
        <v>1</v>
      </c>
    </row>
    <row r="1498" spans="1:52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2142</v>
      </c>
      <c r="F1498" t="s">
        <v>190</v>
      </c>
      <c r="G1498" t="s">
        <v>637</v>
      </c>
      <c r="H1498" t="s">
        <v>915</v>
      </c>
      <c r="I1498" t="s">
        <v>915</v>
      </c>
      <c r="J1498" t="s">
        <v>60</v>
      </c>
      <c r="K1498" t="s">
        <v>530</v>
      </c>
      <c r="L1498" t="s">
        <v>62</v>
      </c>
      <c r="M1498" t="s">
        <v>530</v>
      </c>
      <c r="N1498" t="s">
        <v>639</v>
      </c>
      <c r="O1498" t="s">
        <v>916</v>
      </c>
      <c r="P1498">
        <v>-20.144821</v>
      </c>
      <c r="Q1498">
        <v>-44.88937</v>
      </c>
      <c r="R1498" s="2" t="str">
        <f>HYPERLINK("https://www.google.com/maps?q=-20.1448210,-44.8893700","Abrir no Google Maps")</f>
        <v>Abrir no Google Maps</v>
      </c>
      <c r="S1498">
        <v>3</v>
      </c>
      <c r="T1498">
        <v>256.58219197259177</v>
      </c>
      <c r="U1498">
        <v>3</v>
      </c>
      <c r="V1498">
        <v>19</v>
      </c>
      <c r="W1498">
        <v>0.85</v>
      </c>
      <c r="X1498">
        <v>16.149999999999999</v>
      </c>
      <c r="Y1498">
        <v>527</v>
      </c>
      <c r="Z1498">
        <v>177.1895281295705</v>
      </c>
      <c r="AA1498">
        <v>198</v>
      </c>
      <c r="AB1498">
        <v>332</v>
      </c>
      <c r="AC1498">
        <v>536</v>
      </c>
      <c r="AD1498">
        <v>28.93</v>
      </c>
      <c r="AE1498">
        <v>542</v>
      </c>
      <c r="AF1498">
        <v>28</v>
      </c>
      <c r="AG1498">
        <v>168</v>
      </c>
      <c r="AH1498">
        <v>129</v>
      </c>
      <c r="AI1498">
        <v>5.17</v>
      </c>
      <c r="AJ1498">
        <v>31</v>
      </c>
      <c r="AK1498">
        <v>23.8</v>
      </c>
      <c r="AL1498">
        <v>-20.144812799999951</v>
      </c>
      <c r="AM1498">
        <v>-44.8892780390361</v>
      </c>
      <c r="AN1498">
        <v>-20.144812799999951</v>
      </c>
      <c r="AO1498">
        <v>-44.8892780390361</v>
      </c>
      <c r="AP1498">
        <v>-20.144821</v>
      </c>
      <c r="AQ1498">
        <v>-44.88937</v>
      </c>
      <c r="AR1498">
        <v>9.6540941010892158</v>
      </c>
      <c r="AS1498" t="s">
        <v>65</v>
      </c>
      <c r="AT1498">
        <v>1</v>
      </c>
      <c r="AU1498" t="s">
        <v>917</v>
      </c>
      <c r="AV1498" t="s">
        <v>918</v>
      </c>
      <c r="AW1498" t="s">
        <v>60</v>
      </c>
      <c r="AX1498" t="s">
        <v>68</v>
      </c>
      <c r="AY1498" t="s">
        <v>69</v>
      </c>
      <c r="AZ1498" t="b">
        <v>1</v>
      </c>
    </row>
    <row r="1499" spans="1:52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2142</v>
      </c>
      <c r="F1499" t="s">
        <v>190</v>
      </c>
      <c r="G1499" t="s">
        <v>929</v>
      </c>
      <c r="H1499" t="s">
        <v>930</v>
      </c>
      <c r="I1499" t="s">
        <v>930</v>
      </c>
      <c r="J1499" t="s">
        <v>60</v>
      </c>
      <c r="K1499" t="s">
        <v>72</v>
      </c>
      <c r="L1499" t="s">
        <v>62</v>
      </c>
      <c r="M1499" t="s">
        <v>72</v>
      </c>
      <c r="N1499" t="s">
        <v>931</v>
      </c>
      <c r="O1499" t="s">
        <v>932</v>
      </c>
      <c r="P1499">
        <v>-20.144780999999998</v>
      </c>
      <c r="Q1499">
        <v>-44.914259000000001</v>
      </c>
      <c r="R1499" s="2" t="str">
        <f>HYPERLINK("https://www.google.com/maps?q=-20.1447810,-44.9142590","Abrir no Google Maps")</f>
        <v>Abrir no Google Maps</v>
      </c>
      <c r="S1499">
        <v>3</v>
      </c>
      <c r="T1499">
        <v>256.09363485874093</v>
      </c>
      <c r="U1499">
        <v>3</v>
      </c>
      <c r="V1499">
        <v>16</v>
      </c>
      <c r="W1499">
        <v>1</v>
      </c>
      <c r="X1499">
        <v>16</v>
      </c>
      <c r="Y1499">
        <v>508</v>
      </c>
      <c r="Z1499">
        <v>318.29766547935321</v>
      </c>
      <c r="AA1499">
        <v>198</v>
      </c>
      <c r="AB1499">
        <v>332</v>
      </c>
      <c r="AC1499">
        <v>536</v>
      </c>
      <c r="AD1499">
        <v>28.93</v>
      </c>
      <c r="AE1499">
        <v>542</v>
      </c>
      <c r="AF1499">
        <v>28</v>
      </c>
      <c r="AG1499">
        <v>168</v>
      </c>
      <c r="AH1499">
        <v>129</v>
      </c>
      <c r="AI1499">
        <v>5.17</v>
      </c>
      <c r="AJ1499">
        <v>31</v>
      </c>
      <c r="AK1499">
        <v>23.8</v>
      </c>
      <c r="AL1499">
        <v>-20.144721899999951</v>
      </c>
      <c r="AM1499">
        <v>-44.914368749511411</v>
      </c>
      <c r="AN1499">
        <v>-20.144721899999951</v>
      </c>
      <c r="AO1499">
        <v>-44.914368749511411</v>
      </c>
      <c r="AP1499">
        <v>-20.144780999999998</v>
      </c>
      <c r="AQ1499">
        <v>-44.914259000000001</v>
      </c>
      <c r="AR1499">
        <v>13.22280973360979</v>
      </c>
      <c r="AS1499" t="s">
        <v>65</v>
      </c>
      <c r="AT1499">
        <v>1</v>
      </c>
      <c r="AU1499" t="s">
        <v>933</v>
      </c>
      <c r="AV1499" t="s">
        <v>934</v>
      </c>
      <c r="AW1499" t="s">
        <v>60</v>
      </c>
      <c r="AX1499" t="s">
        <v>68</v>
      </c>
      <c r="AY1499" t="s">
        <v>69</v>
      </c>
      <c r="AZ1499" t="b">
        <v>1</v>
      </c>
    </row>
    <row r="1500" spans="1:52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2142</v>
      </c>
      <c r="F1500" t="s">
        <v>190</v>
      </c>
      <c r="G1500" t="s">
        <v>935</v>
      </c>
      <c r="H1500" t="s">
        <v>936</v>
      </c>
      <c r="I1500" t="s">
        <v>936</v>
      </c>
      <c r="J1500" t="s">
        <v>60</v>
      </c>
      <c r="K1500" t="s">
        <v>193</v>
      </c>
      <c r="L1500" t="s">
        <v>62</v>
      </c>
      <c r="M1500" t="s">
        <v>193</v>
      </c>
      <c r="N1500" t="s">
        <v>937</v>
      </c>
      <c r="O1500" t="s">
        <v>938</v>
      </c>
      <c r="P1500">
        <v>-20.144727</v>
      </c>
      <c r="Q1500">
        <v>-44.919978999999998</v>
      </c>
      <c r="R1500" s="2" t="str">
        <f>HYPERLINK("https://www.google.com/maps?q=-20.1447270,-44.9199790","Abrir no Google Maps")</f>
        <v>Abrir no Google Maps</v>
      </c>
      <c r="S1500">
        <v>3</v>
      </c>
      <c r="T1500">
        <v>341.13992759662477</v>
      </c>
      <c r="U1500">
        <v>3</v>
      </c>
      <c r="V1500">
        <v>22</v>
      </c>
      <c r="W1500">
        <v>1</v>
      </c>
      <c r="X1500">
        <v>22</v>
      </c>
      <c r="Y1500">
        <v>508</v>
      </c>
      <c r="Z1500">
        <v>274.58151985101409</v>
      </c>
      <c r="AA1500">
        <v>198</v>
      </c>
      <c r="AB1500">
        <v>332</v>
      </c>
      <c r="AC1500">
        <v>536</v>
      </c>
      <c r="AD1500">
        <v>28.93</v>
      </c>
      <c r="AE1500">
        <v>542</v>
      </c>
      <c r="AF1500">
        <v>28</v>
      </c>
      <c r="AG1500">
        <v>168</v>
      </c>
      <c r="AH1500">
        <v>129</v>
      </c>
      <c r="AI1500">
        <v>5.17</v>
      </c>
      <c r="AJ1500">
        <v>31</v>
      </c>
      <c r="AK1500">
        <v>23.8</v>
      </c>
      <c r="AL1500">
        <v>-20.144771099999961</v>
      </c>
      <c r="AM1500">
        <v>-44.92003491095209</v>
      </c>
      <c r="AN1500">
        <v>-20.144771099999961</v>
      </c>
      <c r="AO1500">
        <v>-44.92003491095209</v>
      </c>
      <c r="AP1500">
        <v>-20.144727</v>
      </c>
      <c r="AQ1500">
        <v>-44.919978999999998</v>
      </c>
      <c r="AR1500">
        <v>7.6317760459664177</v>
      </c>
      <c r="AS1500" t="s">
        <v>65</v>
      </c>
      <c r="AT1500">
        <v>1</v>
      </c>
      <c r="AU1500" t="s">
        <v>939</v>
      </c>
      <c r="AV1500" t="s">
        <v>940</v>
      </c>
      <c r="AW1500" t="s">
        <v>60</v>
      </c>
      <c r="AX1500" t="s">
        <v>68</v>
      </c>
      <c r="AY1500" t="s">
        <v>69</v>
      </c>
      <c r="AZ1500" t="b">
        <v>1</v>
      </c>
    </row>
    <row r="1501" spans="1:52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2142</v>
      </c>
      <c r="F1501" t="s">
        <v>190</v>
      </c>
      <c r="G1501" t="s">
        <v>941</v>
      </c>
      <c r="H1501" t="s">
        <v>942</v>
      </c>
      <c r="I1501" t="s">
        <v>942</v>
      </c>
      <c r="J1501" t="s">
        <v>60</v>
      </c>
      <c r="K1501" t="s">
        <v>193</v>
      </c>
      <c r="L1501" t="s">
        <v>62</v>
      </c>
      <c r="M1501" t="s">
        <v>193</v>
      </c>
      <c r="N1501" t="s">
        <v>943</v>
      </c>
      <c r="O1501" t="s">
        <v>257</v>
      </c>
      <c r="P1501">
        <v>-20.142042</v>
      </c>
      <c r="Q1501">
        <v>-44.917906000000002</v>
      </c>
      <c r="R1501" s="2" t="str">
        <f>HYPERLINK("https://www.google.com/maps?q=-20.1420420,-44.9179060","Abrir no Google Maps")</f>
        <v>Abrir no Google Maps</v>
      </c>
      <c r="S1501">
        <v>3</v>
      </c>
      <c r="T1501">
        <v>373.14048213045743</v>
      </c>
      <c r="U1501">
        <v>3</v>
      </c>
      <c r="V1501">
        <v>21</v>
      </c>
      <c r="W1501">
        <v>1</v>
      </c>
      <c r="X1501">
        <v>21</v>
      </c>
      <c r="Y1501">
        <v>508</v>
      </c>
      <c r="Z1501">
        <v>271.52693841106122</v>
      </c>
      <c r="AA1501">
        <v>198</v>
      </c>
      <c r="AB1501">
        <v>332</v>
      </c>
      <c r="AC1501">
        <v>536</v>
      </c>
      <c r="AD1501">
        <v>28.93</v>
      </c>
      <c r="AE1501">
        <v>542</v>
      </c>
      <c r="AF1501">
        <v>28</v>
      </c>
      <c r="AG1501">
        <v>168</v>
      </c>
      <c r="AH1501">
        <v>129</v>
      </c>
      <c r="AI1501">
        <v>5.17</v>
      </c>
      <c r="AJ1501">
        <v>31</v>
      </c>
      <c r="AK1501">
        <v>23.8</v>
      </c>
      <c r="AL1501">
        <v>-20.14198914999994</v>
      </c>
      <c r="AM1501">
        <v>-44.918192618397512</v>
      </c>
      <c r="AN1501">
        <v>-20.14198914999994</v>
      </c>
      <c r="AO1501">
        <v>-44.918192618397512</v>
      </c>
      <c r="AP1501">
        <v>-20.142042</v>
      </c>
      <c r="AQ1501">
        <v>-44.917906000000002</v>
      </c>
      <c r="AR1501">
        <v>30.527314493281139</v>
      </c>
      <c r="AS1501" t="s">
        <v>65</v>
      </c>
      <c r="AT1501">
        <v>1</v>
      </c>
      <c r="AU1501" t="s">
        <v>944</v>
      </c>
      <c r="AV1501" t="s">
        <v>945</v>
      </c>
      <c r="AW1501" t="s">
        <v>60</v>
      </c>
      <c r="AX1501" t="s">
        <v>68</v>
      </c>
      <c r="AY1501" t="s">
        <v>69</v>
      </c>
      <c r="AZ1501" t="b">
        <v>1</v>
      </c>
    </row>
    <row r="1502" spans="1:52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2142</v>
      </c>
      <c r="F1502" t="s">
        <v>190</v>
      </c>
      <c r="G1502" t="s">
        <v>625</v>
      </c>
      <c r="H1502" t="s">
        <v>626</v>
      </c>
      <c r="I1502" t="s">
        <v>626</v>
      </c>
      <c r="J1502" t="s">
        <v>60</v>
      </c>
      <c r="K1502" t="s">
        <v>193</v>
      </c>
      <c r="L1502" t="s">
        <v>62</v>
      </c>
      <c r="M1502" t="s">
        <v>193</v>
      </c>
      <c r="N1502" t="s">
        <v>627</v>
      </c>
      <c r="O1502" t="s">
        <v>628</v>
      </c>
      <c r="P1502">
        <v>-20.145171999999999</v>
      </c>
      <c r="Q1502">
        <v>-44.916764000000001</v>
      </c>
      <c r="R1502" s="2" t="str">
        <f>HYPERLINK("https://www.google.com/maps?q=-20.1451720,-44.9167640","Abrir no Google Maps")</f>
        <v>Abrir no Google Maps</v>
      </c>
      <c r="S1502">
        <v>3</v>
      </c>
      <c r="T1502">
        <v>0</v>
      </c>
      <c r="U1502">
        <v>3</v>
      </c>
      <c r="V1502">
        <v>18</v>
      </c>
      <c r="W1502">
        <v>1</v>
      </c>
      <c r="X1502">
        <v>18</v>
      </c>
      <c r="Y1502">
        <v>508</v>
      </c>
      <c r="Z1502">
        <v>79.403393114466795</v>
      </c>
      <c r="AA1502">
        <v>198</v>
      </c>
      <c r="AB1502">
        <v>332</v>
      </c>
      <c r="AC1502">
        <v>536</v>
      </c>
      <c r="AD1502">
        <v>28.93</v>
      </c>
      <c r="AE1502">
        <v>542</v>
      </c>
      <c r="AF1502">
        <v>28</v>
      </c>
      <c r="AG1502">
        <v>168</v>
      </c>
      <c r="AH1502">
        <v>129</v>
      </c>
      <c r="AI1502">
        <v>5.17</v>
      </c>
      <c r="AJ1502">
        <v>31</v>
      </c>
      <c r="AK1502">
        <v>23.8</v>
      </c>
      <c r="AL1502">
        <v>-20.145089199999969</v>
      </c>
      <c r="AM1502">
        <v>-44.916788127791321</v>
      </c>
      <c r="AN1502">
        <v>-20.145089199999969</v>
      </c>
      <c r="AO1502">
        <v>-44.916788127791321</v>
      </c>
      <c r="AP1502">
        <v>-20.145171999999999</v>
      </c>
      <c r="AQ1502">
        <v>-44.916764000000001</v>
      </c>
      <c r="AR1502">
        <v>9.555991267747272</v>
      </c>
      <c r="AS1502" t="s">
        <v>65</v>
      </c>
      <c r="AT1502">
        <v>1</v>
      </c>
      <c r="AU1502" t="s">
        <v>629</v>
      </c>
      <c r="AV1502" t="s">
        <v>630</v>
      </c>
      <c r="AW1502" t="s">
        <v>60</v>
      </c>
      <c r="AX1502" t="s">
        <v>68</v>
      </c>
      <c r="AY1502" t="s">
        <v>69</v>
      </c>
      <c r="AZ1502" t="b">
        <v>1</v>
      </c>
    </row>
    <row r="1503" spans="1:52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2142</v>
      </c>
      <c r="F1503" t="s">
        <v>190</v>
      </c>
      <c r="G1503" t="s">
        <v>935</v>
      </c>
      <c r="H1503" t="s">
        <v>952</v>
      </c>
      <c r="I1503" t="s">
        <v>952</v>
      </c>
      <c r="J1503" t="s">
        <v>60</v>
      </c>
      <c r="K1503" t="s">
        <v>953</v>
      </c>
      <c r="L1503" t="s">
        <v>62</v>
      </c>
      <c r="M1503" t="s">
        <v>953</v>
      </c>
      <c r="N1503" t="s">
        <v>937</v>
      </c>
      <c r="O1503" t="s">
        <v>954</v>
      </c>
      <c r="P1503">
        <v>-20.147273999999999</v>
      </c>
      <c r="Q1503">
        <v>-44.920006000000001</v>
      </c>
      <c r="R1503" s="2" t="str">
        <f>HYPERLINK("https://www.google.com/maps?q=-20.1472740,-44.9200060","Abrir no Google Maps")</f>
        <v>Abrir no Google Maps</v>
      </c>
      <c r="S1503">
        <v>3</v>
      </c>
      <c r="T1503">
        <v>459.0606352701667</v>
      </c>
      <c r="U1503">
        <v>3</v>
      </c>
      <c r="V1503">
        <v>21</v>
      </c>
      <c r="W1503">
        <v>0.85</v>
      </c>
      <c r="X1503">
        <v>17.850000000000001</v>
      </c>
      <c r="Y1503">
        <v>508</v>
      </c>
      <c r="Z1503">
        <v>450.79650119449559</v>
      </c>
      <c r="AA1503">
        <v>198</v>
      </c>
      <c r="AB1503">
        <v>332</v>
      </c>
      <c r="AC1503">
        <v>536</v>
      </c>
      <c r="AD1503">
        <v>28.93</v>
      </c>
      <c r="AE1503">
        <v>542</v>
      </c>
      <c r="AF1503">
        <v>28</v>
      </c>
      <c r="AG1503">
        <v>168</v>
      </c>
      <c r="AH1503">
        <v>129</v>
      </c>
      <c r="AI1503">
        <v>5.17</v>
      </c>
      <c r="AJ1503">
        <v>31</v>
      </c>
      <c r="AK1503">
        <v>23.8</v>
      </c>
      <c r="AL1503">
        <v>-20.14804539999994</v>
      </c>
      <c r="AM1503">
        <v>-44.919869714952483</v>
      </c>
      <c r="AN1503">
        <v>-20.14804539999994</v>
      </c>
      <c r="AO1503">
        <v>-44.919869714952483</v>
      </c>
      <c r="AP1503">
        <v>-20.147273999999999</v>
      </c>
      <c r="AQ1503">
        <v>-44.920006000000001</v>
      </c>
      <c r="AR1503">
        <v>87.045401840517783</v>
      </c>
      <c r="AS1503" t="s">
        <v>65</v>
      </c>
      <c r="AT1503">
        <v>1</v>
      </c>
      <c r="AU1503" t="s">
        <v>955</v>
      </c>
      <c r="AV1503" t="s">
        <v>956</v>
      </c>
      <c r="AW1503" t="s">
        <v>60</v>
      </c>
      <c r="AX1503" t="s">
        <v>68</v>
      </c>
      <c r="AY1503" t="s">
        <v>69</v>
      </c>
      <c r="AZ1503" t="b">
        <v>1</v>
      </c>
    </row>
    <row r="1504" spans="1:52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2142</v>
      </c>
      <c r="F1504" t="s">
        <v>190</v>
      </c>
      <c r="G1504" t="s">
        <v>631</v>
      </c>
      <c r="H1504" t="s">
        <v>632</v>
      </c>
      <c r="I1504" t="s">
        <v>632</v>
      </c>
      <c r="J1504" t="s">
        <v>60</v>
      </c>
      <c r="K1504" t="s">
        <v>530</v>
      </c>
      <c r="L1504" t="s">
        <v>62</v>
      </c>
      <c r="M1504" t="s">
        <v>530</v>
      </c>
      <c r="N1504" t="s">
        <v>633</v>
      </c>
      <c r="O1504" t="s">
        <v>634</v>
      </c>
      <c r="P1504">
        <v>-20.142136000000001</v>
      </c>
      <c r="Q1504">
        <v>-44.893895999999998</v>
      </c>
      <c r="R1504" s="2" t="str">
        <f>HYPERLINK("https://www.google.com/maps?q=-20.1421360,-44.8938960","Abrir no Google Maps")</f>
        <v>Abrir no Google Maps</v>
      </c>
      <c r="S1504">
        <v>3</v>
      </c>
      <c r="T1504">
        <v>252.77776243958951</v>
      </c>
      <c r="U1504">
        <v>3</v>
      </c>
      <c r="V1504">
        <v>21</v>
      </c>
      <c r="W1504">
        <v>1</v>
      </c>
      <c r="X1504">
        <v>21</v>
      </c>
      <c r="Y1504">
        <v>505</v>
      </c>
      <c r="Z1504">
        <v>331.79497003706751</v>
      </c>
      <c r="AA1504">
        <v>198</v>
      </c>
      <c r="AB1504">
        <v>332</v>
      </c>
      <c r="AC1504">
        <v>536</v>
      </c>
      <c r="AD1504">
        <v>28.93</v>
      </c>
      <c r="AE1504">
        <v>542</v>
      </c>
      <c r="AF1504">
        <v>28</v>
      </c>
      <c r="AG1504">
        <v>168</v>
      </c>
      <c r="AH1504">
        <v>129</v>
      </c>
      <c r="AI1504">
        <v>5.17</v>
      </c>
      <c r="AJ1504">
        <v>31</v>
      </c>
      <c r="AK1504">
        <v>23.8</v>
      </c>
      <c r="AL1504">
        <v>-20.142209999999949</v>
      </c>
      <c r="AM1504">
        <v>-44.893919659400702</v>
      </c>
      <c r="AN1504">
        <v>-20.142209999999949</v>
      </c>
      <c r="AO1504">
        <v>-44.893919659400702</v>
      </c>
      <c r="AP1504">
        <v>-20.142136000000001</v>
      </c>
      <c r="AQ1504">
        <v>-44.893895999999998</v>
      </c>
      <c r="AR1504">
        <v>8.6007875127343159</v>
      </c>
      <c r="AS1504" t="s">
        <v>65</v>
      </c>
      <c r="AT1504">
        <v>1</v>
      </c>
      <c r="AU1504" t="s">
        <v>635</v>
      </c>
      <c r="AV1504" t="s">
        <v>636</v>
      </c>
      <c r="AW1504" t="s">
        <v>60</v>
      </c>
      <c r="AX1504" t="s">
        <v>68</v>
      </c>
      <c r="AY1504" t="s">
        <v>69</v>
      </c>
      <c r="AZ1504" t="b">
        <v>1</v>
      </c>
    </row>
    <row r="1505" spans="1:52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2142</v>
      </c>
      <c r="F1505" t="s">
        <v>190</v>
      </c>
      <c r="G1505" t="s">
        <v>957</v>
      </c>
      <c r="H1505" t="s">
        <v>1750</v>
      </c>
      <c r="I1505" t="s">
        <v>1750</v>
      </c>
      <c r="J1505" t="s">
        <v>60</v>
      </c>
      <c r="K1505" t="s">
        <v>982</v>
      </c>
      <c r="L1505" t="s">
        <v>62</v>
      </c>
      <c r="M1505" t="s">
        <v>982</v>
      </c>
      <c r="N1505" t="s">
        <v>959</v>
      </c>
      <c r="O1505" t="s">
        <v>1751</v>
      </c>
      <c r="P1505">
        <v>-20.164285</v>
      </c>
      <c r="Q1505">
        <v>-44.857562000000001</v>
      </c>
      <c r="R1505" s="2" t="str">
        <f>HYPERLINK("https://www.google.com/maps?q=-20.1642850,-44.8575620","Abrir no Google Maps")</f>
        <v>Abrir no Google Maps</v>
      </c>
      <c r="S1505">
        <v>3</v>
      </c>
      <c r="T1505">
        <v>275.89108588842112</v>
      </c>
      <c r="U1505">
        <v>3</v>
      </c>
      <c r="V1505">
        <v>16</v>
      </c>
      <c r="W1505">
        <v>1</v>
      </c>
      <c r="X1505">
        <v>16</v>
      </c>
      <c r="Y1505">
        <v>491</v>
      </c>
      <c r="Z1505">
        <v>150.50906778215881</v>
      </c>
      <c r="AA1505">
        <v>198</v>
      </c>
      <c r="AB1505">
        <v>332</v>
      </c>
      <c r="AC1505">
        <v>536</v>
      </c>
      <c r="AD1505">
        <v>28.93</v>
      </c>
      <c r="AE1505">
        <v>542</v>
      </c>
      <c r="AF1505">
        <v>28</v>
      </c>
      <c r="AG1505">
        <v>168</v>
      </c>
      <c r="AH1505">
        <v>129</v>
      </c>
      <c r="AI1505">
        <v>5.17</v>
      </c>
      <c r="AJ1505">
        <v>31</v>
      </c>
      <c r="AK1505">
        <v>23.8</v>
      </c>
      <c r="AL1505">
        <v>-20.164333749999969</v>
      </c>
      <c r="AM1505">
        <v>-44.857568319333943</v>
      </c>
      <c r="AN1505">
        <v>-20.164333749999969</v>
      </c>
      <c r="AO1505">
        <v>-44.857568319333943</v>
      </c>
      <c r="AP1505">
        <v>-20.164285</v>
      </c>
      <c r="AQ1505">
        <v>-44.857562000000001</v>
      </c>
      <c r="AR1505">
        <v>5.4668788625524281</v>
      </c>
      <c r="AS1505" t="s">
        <v>65</v>
      </c>
      <c r="AT1505">
        <v>1</v>
      </c>
      <c r="AU1505" t="s">
        <v>1752</v>
      </c>
      <c r="AV1505" t="s">
        <v>1753</v>
      </c>
      <c r="AW1505" t="s">
        <v>60</v>
      </c>
      <c r="AX1505" t="s">
        <v>68</v>
      </c>
      <c r="AY1505" t="s">
        <v>69</v>
      </c>
      <c r="AZ1505" t="b">
        <v>1</v>
      </c>
    </row>
    <row r="1506" spans="1:52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2142</v>
      </c>
      <c r="F1506" t="s">
        <v>190</v>
      </c>
      <c r="G1506" t="s">
        <v>963</v>
      </c>
      <c r="H1506" t="s">
        <v>964</v>
      </c>
      <c r="I1506" t="s">
        <v>964</v>
      </c>
      <c r="J1506" t="s">
        <v>60</v>
      </c>
      <c r="K1506" t="s">
        <v>702</v>
      </c>
      <c r="L1506" t="s">
        <v>62</v>
      </c>
      <c r="M1506" t="s">
        <v>702</v>
      </c>
      <c r="N1506" t="s">
        <v>965</v>
      </c>
      <c r="O1506" t="s">
        <v>960</v>
      </c>
      <c r="P1506">
        <v>-20.164622000000001</v>
      </c>
      <c r="Q1506">
        <v>-44.860289999999999</v>
      </c>
      <c r="R1506" s="2" t="str">
        <f>HYPERLINK("https://www.google.com/maps?q=-20.1646220,-44.8602900","Abrir no Google Maps")</f>
        <v>Abrir no Google Maps</v>
      </c>
      <c r="S1506">
        <v>3</v>
      </c>
      <c r="T1506">
        <v>393.43725605569188</v>
      </c>
      <c r="U1506">
        <v>3</v>
      </c>
      <c r="V1506">
        <v>22</v>
      </c>
      <c r="W1506">
        <v>1</v>
      </c>
      <c r="X1506">
        <v>22</v>
      </c>
      <c r="Y1506">
        <v>491</v>
      </c>
      <c r="Z1506">
        <v>358.96336458076678</v>
      </c>
      <c r="AA1506">
        <v>198</v>
      </c>
      <c r="AB1506">
        <v>332</v>
      </c>
      <c r="AC1506">
        <v>536</v>
      </c>
      <c r="AD1506">
        <v>28.93</v>
      </c>
      <c r="AE1506">
        <v>542</v>
      </c>
      <c r="AF1506">
        <v>28</v>
      </c>
      <c r="AG1506">
        <v>168</v>
      </c>
      <c r="AH1506">
        <v>129</v>
      </c>
      <c r="AI1506">
        <v>5.17</v>
      </c>
      <c r="AJ1506">
        <v>31</v>
      </c>
      <c r="AK1506">
        <v>23.8</v>
      </c>
      <c r="AL1506">
        <v>-20.164560849999951</v>
      </c>
      <c r="AM1506">
        <v>-44.860330680844072</v>
      </c>
      <c r="AN1506">
        <v>-20.164560849999951</v>
      </c>
      <c r="AO1506">
        <v>-44.860330680844072</v>
      </c>
      <c r="AP1506">
        <v>-20.164622000000001</v>
      </c>
      <c r="AQ1506">
        <v>-44.860289999999999</v>
      </c>
      <c r="AR1506">
        <v>8.0255448908437454</v>
      </c>
      <c r="AS1506" t="s">
        <v>65</v>
      </c>
      <c r="AT1506">
        <v>1</v>
      </c>
      <c r="AU1506" t="s">
        <v>966</v>
      </c>
      <c r="AV1506" t="s">
        <v>967</v>
      </c>
      <c r="AW1506" t="s">
        <v>60</v>
      </c>
      <c r="AX1506" t="s">
        <v>68</v>
      </c>
      <c r="AY1506" t="s">
        <v>69</v>
      </c>
      <c r="AZ1506" t="b">
        <v>1</v>
      </c>
    </row>
    <row r="1507" spans="1:52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2142</v>
      </c>
      <c r="F1507" t="s">
        <v>190</v>
      </c>
      <c r="G1507" t="s">
        <v>968</v>
      </c>
      <c r="H1507" t="s">
        <v>1754</v>
      </c>
      <c r="I1507" t="s">
        <v>1754</v>
      </c>
      <c r="J1507" t="s">
        <v>60</v>
      </c>
      <c r="K1507" t="s">
        <v>262</v>
      </c>
      <c r="L1507" t="s">
        <v>62</v>
      </c>
      <c r="M1507" t="s">
        <v>262</v>
      </c>
      <c r="N1507" t="s">
        <v>970</v>
      </c>
      <c r="O1507" t="s">
        <v>1331</v>
      </c>
      <c r="P1507">
        <v>-20.161989999999999</v>
      </c>
      <c r="Q1507">
        <v>-44.857933000000003</v>
      </c>
      <c r="R1507" s="2" t="str">
        <f>HYPERLINK("https://www.google.com/maps?q=-20.1619900,-44.8579330","Abrir no Google Maps")</f>
        <v>Abrir no Google Maps</v>
      </c>
      <c r="S1507">
        <v>3</v>
      </c>
      <c r="T1507">
        <v>0</v>
      </c>
      <c r="U1507">
        <v>3</v>
      </c>
      <c r="V1507">
        <v>22</v>
      </c>
      <c r="W1507">
        <v>1</v>
      </c>
      <c r="X1507">
        <v>22</v>
      </c>
      <c r="Y1507">
        <v>491</v>
      </c>
      <c r="Z1507">
        <v>131.1697533741382</v>
      </c>
      <c r="AA1507">
        <v>198</v>
      </c>
      <c r="AB1507">
        <v>332</v>
      </c>
      <c r="AC1507">
        <v>536</v>
      </c>
      <c r="AD1507">
        <v>28.93</v>
      </c>
      <c r="AE1507">
        <v>542</v>
      </c>
      <c r="AF1507">
        <v>28</v>
      </c>
      <c r="AG1507">
        <v>168</v>
      </c>
      <c r="AH1507">
        <v>129</v>
      </c>
      <c r="AI1507">
        <v>5.17</v>
      </c>
      <c r="AJ1507">
        <v>31</v>
      </c>
      <c r="AK1507">
        <v>23.8</v>
      </c>
      <c r="AL1507">
        <v>-20.161858549999948</v>
      </c>
      <c r="AM1507">
        <v>-44.857884031071968</v>
      </c>
      <c r="AN1507">
        <v>-20.161858549999948</v>
      </c>
      <c r="AO1507">
        <v>-44.857884031071968</v>
      </c>
      <c r="AP1507">
        <v>-20.161989999999999</v>
      </c>
      <c r="AQ1507">
        <v>-44.857933000000003</v>
      </c>
      <c r="AR1507">
        <v>15.501957281614381</v>
      </c>
      <c r="AS1507" t="s">
        <v>65</v>
      </c>
      <c r="AT1507">
        <v>1</v>
      </c>
      <c r="AU1507" t="s">
        <v>1755</v>
      </c>
      <c r="AV1507" t="s">
        <v>1756</v>
      </c>
      <c r="AW1507" t="s">
        <v>60</v>
      </c>
      <c r="AX1507" t="s">
        <v>68</v>
      </c>
      <c r="AY1507" t="s">
        <v>69</v>
      </c>
      <c r="AZ1507" t="b">
        <v>1</v>
      </c>
    </row>
    <row r="1508" spans="1:52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2142</v>
      </c>
      <c r="F1508" t="s">
        <v>190</v>
      </c>
      <c r="G1508" t="s">
        <v>980</v>
      </c>
      <c r="H1508" t="s">
        <v>981</v>
      </c>
      <c r="I1508" t="s">
        <v>981</v>
      </c>
      <c r="J1508" t="s">
        <v>60</v>
      </c>
      <c r="K1508" t="s">
        <v>982</v>
      </c>
      <c r="L1508" t="s">
        <v>62</v>
      </c>
      <c r="M1508" t="s">
        <v>982</v>
      </c>
      <c r="N1508" t="s">
        <v>983</v>
      </c>
      <c r="O1508" t="s">
        <v>264</v>
      </c>
      <c r="P1508">
        <v>-20.166967</v>
      </c>
      <c r="Q1508">
        <v>-44.859355000000001</v>
      </c>
      <c r="R1508" s="2" t="str">
        <f>HYPERLINK("https://www.google.com/maps?q=-20.1669670,-44.8593550","Abrir no Google Maps")</f>
        <v>Abrir no Google Maps</v>
      </c>
      <c r="S1508">
        <v>3</v>
      </c>
      <c r="T1508">
        <v>577.54934865824521</v>
      </c>
      <c r="U1508">
        <v>3</v>
      </c>
      <c r="V1508">
        <v>17</v>
      </c>
      <c r="W1508">
        <v>1</v>
      </c>
      <c r="X1508">
        <v>17</v>
      </c>
      <c r="Y1508">
        <v>491</v>
      </c>
      <c r="Z1508">
        <v>433.59782149216659</v>
      </c>
      <c r="AA1508">
        <v>198</v>
      </c>
      <c r="AB1508">
        <v>332</v>
      </c>
      <c r="AC1508">
        <v>536</v>
      </c>
      <c r="AD1508">
        <v>28.93</v>
      </c>
      <c r="AE1508">
        <v>542</v>
      </c>
      <c r="AF1508">
        <v>28</v>
      </c>
      <c r="AG1508">
        <v>168</v>
      </c>
      <c r="AH1508">
        <v>129</v>
      </c>
      <c r="AI1508">
        <v>5.17</v>
      </c>
      <c r="AJ1508">
        <v>31</v>
      </c>
      <c r="AK1508">
        <v>23.8</v>
      </c>
      <c r="AL1508">
        <v>-20.16694954999997</v>
      </c>
      <c r="AM1508">
        <v>-44.859100695938046</v>
      </c>
      <c r="AN1508">
        <v>-20.16694954999997</v>
      </c>
      <c r="AO1508">
        <v>-44.859100695938046</v>
      </c>
      <c r="AP1508">
        <v>-20.166967</v>
      </c>
      <c r="AQ1508">
        <v>-44.859355000000001</v>
      </c>
      <c r="AR1508">
        <v>26.644458793923111</v>
      </c>
      <c r="AS1508" t="s">
        <v>65</v>
      </c>
      <c r="AT1508">
        <v>1</v>
      </c>
      <c r="AU1508" t="s">
        <v>984</v>
      </c>
      <c r="AV1508" t="s">
        <v>985</v>
      </c>
      <c r="AW1508" t="s">
        <v>60</v>
      </c>
      <c r="AX1508" t="s">
        <v>68</v>
      </c>
      <c r="AY1508" t="s">
        <v>69</v>
      </c>
      <c r="AZ1508" t="b">
        <v>1</v>
      </c>
    </row>
    <row r="1509" spans="1:52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2142</v>
      </c>
      <c r="F1509" t="s">
        <v>190</v>
      </c>
      <c r="G1509" t="s">
        <v>992</v>
      </c>
      <c r="H1509" t="s">
        <v>993</v>
      </c>
      <c r="I1509" t="s">
        <v>993</v>
      </c>
      <c r="J1509" t="s">
        <v>60</v>
      </c>
      <c r="K1509" t="s">
        <v>530</v>
      </c>
      <c r="L1509" t="s">
        <v>62</v>
      </c>
      <c r="M1509" t="s">
        <v>530</v>
      </c>
      <c r="N1509" t="s">
        <v>994</v>
      </c>
      <c r="O1509" t="s">
        <v>995</v>
      </c>
      <c r="P1509">
        <v>-20.144141000000001</v>
      </c>
      <c r="Q1509">
        <v>-44.884635000000003</v>
      </c>
      <c r="R1509" s="2" t="str">
        <f>HYPERLINK("https://www.google.com/maps?q=-20.1441410,-44.8846350","Abrir no Google Maps")</f>
        <v>Abrir no Google Maps</v>
      </c>
      <c r="S1509">
        <v>3</v>
      </c>
      <c r="T1509">
        <v>0</v>
      </c>
      <c r="U1509">
        <v>3</v>
      </c>
      <c r="V1509">
        <v>19</v>
      </c>
      <c r="W1509">
        <v>0.85</v>
      </c>
      <c r="X1509">
        <v>16.149999999999999</v>
      </c>
      <c r="Y1509">
        <v>478</v>
      </c>
      <c r="Z1509">
        <v>252.29400768218821</v>
      </c>
      <c r="AA1509">
        <v>198</v>
      </c>
      <c r="AB1509">
        <v>332</v>
      </c>
      <c r="AC1509">
        <v>536</v>
      </c>
      <c r="AD1509">
        <v>28.93</v>
      </c>
      <c r="AE1509">
        <v>542</v>
      </c>
      <c r="AF1509">
        <v>28</v>
      </c>
      <c r="AG1509">
        <v>168</v>
      </c>
      <c r="AH1509">
        <v>129</v>
      </c>
      <c r="AI1509">
        <v>5.17</v>
      </c>
      <c r="AJ1509">
        <v>31</v>
      </c>
      <c r="AK1509">
        <v>23.8</v>
      </c>
      <c r="AL1509">
        <v>-20.144119999999951</v>
      </c>
      <c r="AM1509">
        <v>-44.884814928637752</v>
      </c>
      <c r="AN1509">
        <v>-20.144119999999951</v>
      </c>
      <c r="AO1509">
        <v>-44.884814928637752</v>
      </c>
      <c r="AP1509">
        <v>-20.144141000000001</v>
      </c>
      <c r="AQ1509">
        <v>-44.884635000000003</v>
      </c>
      <c r="AR1509">
        <v>18.949181367223549</v>
      </c>
      <c r="AS1509" t="s">
        <v>65</v>
      </c>
      <c r="AT1509">
        <v>1</v>
      </c>
      <c r="AU1509" t="s">
        <v>996</v>
      </c>
      <c r="AV1509" t="s">
        <v>997</v>
      </c>
      <c r="AW1509" t="s">
        <v>60</v>
      </c>
      <c r="AX1509" t="s">
        <v>68</v>
      </c>
      <c r="AY1509" t="s">
        <v>69</v>
      </c>
      <c r="AZ1509" t="b">
        <v>1</v>
      </c>
    </row>
    <row r="1510" spans="1:52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2142</v>
      </c>
      <c r="F1510" t="s">
        <v>190</v>
      </c>
      <c r="G1510" t="s">
        <v>1877</v>
      </c>
      <c r="H1510" t="s">
        <v>1878</v>
      </c>
      <c r="I1510" t="s">
        <v>1878</v>
      </c>
      <c r="J1510" t="s">
        <v>60</v>
      </c>
      <c r="K1510" t="s">
        <v>1023</v>
      </c>
      <c r="L1510" t="s">
        <v>62</v>
      </c>
      <c r="M1510" t="s">
        <v>1023</v>
      </c>
      <c r="N1510" t="s">
        <v>1879</v>
      </c>
      <c r="O1510" t="s">
        <v>1880</v>
      </c>
      <c r="P1510">
        <v>-20.174357000000001</v>
      </c>
      <c r="Q1510">
        <v>-44.866101</v>
      </c>
      <c r="R1510" s="2" t="str">
        <f>HYPERLINK("https://www.google.com/maps?q=-20.1743570,-44.8661010","Abrir no Google Maps")</f>
        <v>Abrir no Google Maps</v>
      </c>
      <c r="S1510">
        <v>3</v>
      </c>
      <c r="T1510">
        <v>238.56176556684929</v>
      </c>
      <c r="U1510">
        <v>3</v>
      </c>
      <c r="V1510">
        <v>19</v>
      </c>
      <c r="W1510">
        <v>0.85</v>
      </c>
      <c r="X1510">
        <v>16.149999999999999</v>
      </c>
      <c r="Y1510">
        <v>422</v>
      </c>
      <c r="Z1510">
        <v>225.29948026941889</v>
      </c>
      <c r="AA1510">
        <v>198</v>
      </c>
      <c r="AB1510">
        <v>332</v>
      </c>
      <c r="AC1510">
        <v>536</v>
      </c>
      <c r="AD1510">
        <v>28.93</v>
      </c>
      <c r="AE1510">
        <v>542</v>
      </c>
      <c r="AF1510">
        <v>28</v>
      </c>
      <c r="AG1510">
        <v>168</v>
      </c>
      <c r="AH1510">
        <v>129</v>
      </c>
      <c r="AI1510">
        <v>5.17</v>
      </c>
      <c r="AJ1510">
        <v>31</v>
      </c>
      <c r="AK1510">
        <v>23.8</v>
      </c>
      <c r="AL1510">
        <v>-20.17434419999995</v>
      </c>
      <c r="AM1510">
        <v>-44.866107665675429</v>
      </c>
      <c r="AN1510">
        <v>-20.17434419999995</v>
      </c>
      <c r="AO1510">
        <v>-44.866107665675429</v>
      </c>
      <c r="AP1510">
        <v>-20.174357000000001</v>
      </c>
      <c r="AQ1510">
        <v>-44.866101</v>
      </c>
      <c r="AR1510">
        <v>1.586013294508726</v>
      </c>
      <c r="AS1510" t="s">
        <v>65</v>
      </c>
      <c r="AT1510">
        <v>1</v>
      </c>
      <c r="AU1510" t="s">
        <v>1881</v>
      </c>
      <c r="AV1510" t="s">
        <v>1043</v>
      </c>
      <c r="AW1510" t="s">
        <v>60</v>
      </c>
      <c r="AX1510" t="s">
        <v>68</v>
      </c>
      <c r="AY1510" t="s">
        <v>69</v>
      </c>
      <c r="AZ1510" t="b">
        <v>1</v>
      </c>
    </row>
    <row r="1511" spans="1:52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2142</v>
      </c>
      <c r="F1511" t="s">
        <v>190</v>
      </c>
      <c r="G1511" t="s">
        <v>1044</v>
      </c>
      <c r="H1511" t="s">
        <v>1045</v>
      </c>
      <c r="I1511" t="s">
        <v>1045</v>
      </c>
      <c r="J1511" t="s">
        <v>60</v>
      </c>
      <c r="K1511" t="s">
        <v>702</v>
      </c>
      <c r="L1511" t="s">
        <v>62</v>
      </c>
      <c r="M1511" t="s">
        <v>702</v>
      </c>
      <c r="N1511" t="s">
        <v>983</v>
      </c>
      <c r="O1511" t="s">
        <v>1046</v>
      </c>
      <c r="P1511">
        <v>-20.172056000000001</v>
      </c>
      <c r="Q1511">
        <v>-44.861556999999998</v>
      </c>
      <c r="R1511" s="2" t="str">
        <f>HYPERLINK("https://www.google.com/maps?q=-20.1720560,-44.8615570","Abrir no Google Maps")</f>
        <v>Abrir no Google Maps</v>
      </c>
      <c r="S1511">
        <v>3</v>
      </c>
      <c r="T1511">
        <v>387.50881633442719</v>
      </c>
      <c r="U1511">
        <v>3</v>
      </c>
      <c r="V1511">
        <v>22</v>
      </c>
      <c r="W1511">
        <v>1</v>
      </c>
      <c r="X1511">
        <v>22</v>
      </c>
      <c r="Y1511">
        <v>422</v>
      </c>
      <c r="Z1511">
        <v>592.01060063884404</v>
      </c>
      <c r="AA1511">
        <v>198</v>
      </c>
      <c r="AB1511">
        <v>332</v>
      </c>
      <c r="AC1511">
        <v>536</v>
      </c>
      <c r="AD1511">
        <v>28.93</v>
      </c>
      <c r="AE1511">
        <v>542</v>
      </c>
      <c r="AF1511">
        <v>28</v>
      </c>
      <c r="AG1511">
        <v>168</v>
      </c>
      <c r="AH1511">
        <v>129</v>
      </c>
      <c r="AI1511">
        <v>5.17</v>
      </c>
      <c r="AJ1511">
        <v>31</v>
      </c>
      <c r="AK1511">
        <v>23.8</v>
      </c>
      <c r="AL1511">
        <v>-20.171880149999961</v>
      </c>
      <c r="AM1511">
        <v>-44.861715860253369</v>
      </c>
      <c r="AN1511">
        <v>-20.171880149999961</v>
      </c>
      <c r="AO1511">
        <v>-44.861715860253369</v>
      </c>
      <c r="AP1511">
        <v>-20.172056000000001</v>
      </c>
      <c r="AQ1511">
        <v>-44.861556999999998</v>
      </c>
      <c r="AR1511">
        <v>25.66616443825145</v>
      </c>
      <c r="AS1511" t="s">
        <v>65</v>
      </c>
      <c r="AT1511">
        <v>1</v>
      </c>
      <c r="AU1511" t="s">
        <v>1047</v>
      </c>
      <c r="AV1511" t="s">
        <v>705</v>
      </c>
      <c r="AW1511" t="s">
        <v>60</v>
      </c>
      <c r="AX1511" t="s">
        <v>68</v>
      </c>
      <c r="AY1511" t="s">
        <v>69</v>
      </c>
      <c r="AZ1511" t="b">
        <v>1</v>
      </c>
    </row>
    <row r="1512" spans="1:52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2142</v>
      </c>
      <c r="F1512" t="s">
        <v>190</v>
      </c>
      <c r="G1512" t="s">
        <v>1048</v>
      </c>
      <c r="H1512" t="s">
        <v>1049</v>
      </c>
      <c r="I1512" t="s">
        <v>1049</v>
      </c>
      <c r="J1512" t="s">
        <v>60</v>
      </c>
      <c r="K1512" t="s">
        <v>708</v>
      </c>
      <c r="L1512" t="s">
        <v>62</v>
      </c>
      <c r="M1512" t="s">
        <v>708</v>
      </c>
      <c r="N1512" t="s">
        <v>1050</v>
      </c>
      <c r="O1512" t="s">
        <v>1051</v>
      </c>
      <c r="P1512">
        <v>-20.128316000000002</v>
      </c>
      <c r="Q1512">
        <v>-44.878137000000002</v>
      </c>
      <c r="R1512" s="2" t="str">
        <f>HYPERLINK("https://www.google.com/maps?q=-20.1283160,-44.8781370","Abrir no Google Maps")</f>
        <v>Abrir no Google Maps</v>
      </c>
      <c r="S1512">
        <v>3</v>
      </c>
      <c r="T1512">
        <v>513.28053815499243</v>
      </c>
      <c r="U1512">
        <v>3</v>
      </c>
      <c r="V1512">
        <v>18</v>
      </c>
      <c r="W1512">
        <v>1</v>
      </c>
      <c r="X1512">
        <v>18</v>
      </c>
      <c r="Y1512">
        <v>387</v>
      </c>
      <c r="Z1512">
        <v>385.74604528561741</v>
      </c>
      <c r="AA1512">
        <v>198</v>
      </c>
      <c r="AB1512">
        <v>332</v>
      </c>
      <c r="AC1512">
        <v>536</v>
      </c>
      <c r="AD1512">
        <v>28.93</v>
      </c>
      <c r="AE1512">
        <v>542</v>
      </c>
      <c r="AF1512">
        <v>28</v>
      </c>
      <c r="AG1512">
        <v>168</v>
      </c>
      <c r="AH1512">
        <v>129</v>
      </c>
      <c r="AI1512">
        <v>5.17</v>
      </c>
      <c r="AJ1512">
        <v>31</v>
      </c>
      <c r="AK1512">
        <v>23.8</v>
      </c>
      <c r="AL1512">
        <v>-20.128308349999969</v>
      </c>
      <c r="AM1512">
        <v>-44.878115052779357</v>
      </c>
      <c r="AN1512">
        <v>-20.128308349999969</v>
      </c>
      <c r="AO1512">
        <v>-44.878115052779357</v>
      </c>
      <c r="AP1512">
        <v>-20.128316000000002</v>
      </c>
      <c r="AQ1512">
        <v>-44.878137000000002</v>
      </c>
      <c r="AR1512">
        <v>2.4469186172207671</v>
      </c>
      <c r="AS1512" t="s">
        <v>65</v>
      </c>
      <c r="AT1512">
        <v>1</v>
      </c>
      <c r="AU1512" t="s">
        <v>1052</v>
      </c>
      <c r="AV1512" t="s">
        <v>1053</v>
      </c>
      <c r="AW1512" t="s">
        <v>60</v>
      </c>
      <c r="AX1512" t="s">
        <v>68</v>
      </c>
      <c r="AY1512" t="s">
        <v>69</v>
      </c>
      <c r="AZ1512" t="b">
        <v>1</v>
      </c>
    </row>
    <row r="1513" spans="1:52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2142</v>
      </c>
      <c r="F1513" t="s">
        <v>190</v>
      </c>
      <c r="G1513" t="s">
        <v>718</v>
      </c>
      <c r="H1513" t="s">
        <v>719</v>
      </c>
      <c r="I1513" t="s">
        <v>719</v>
      </c>
      <c r="J1513" t="s">
        <v>60</v>
      </c>
      <c r="K1513" t="s">
        <v>708</v>
      </c>
      <c r="L1513" t="s">
        <v>62</v>
      </c>
      <c r="M1513" t="s">
        <v>708</v>
      </c>
      <c r="N1513" t="s">
        <v>720</v>
      </c>
      <c r="O1513" t="s">
        <v>721</v>
      </c>
      <c r="P1513">
        <v>-20.130344000000001</v>
      </c>
      <c r="Q1513">
        <v>-44.878869000000002</v>
      </c>
      <c r="R1513" s="2" t="str">
        <f>HYPERLINK("https://www.google.com/maps?q=-20.1303440,-44.8788690","Abrir no Google Maps")</f>
        <v>Abrir no Google Maps</v>
      </c>
      <c r="S1513">
        <v>3</v>
      </c>
      <c r="T1513">
        <v>556.14753541089829</v>
      </c>
      <c r="U1513">
        <v>3</v>
      </c>
      <c r="V1513">
        <v>17</v>
      </c>
      <c r="W1513">
        <v>1</v>
      </c>
      <c r="X1513">
        <v>17</v>
      </c>
      <c r="Y1513">
        <v>387</v>
      </c>
      <c r="Z1513">
        <v>521.53850378132177</v>
      </c>
      <c r="AA1513">
        <v>198</v>
      </c>
      <c r="AB1513">
        <v>332</v>
      </c>
      <c r="AC1513">
        <v>536</v>
      </c>
      <c r="AD1513">
        <v>28.93</v>
      </c>
      <c r="AE1513">
        <v>542</v>
      </c>
      <c r="AF1513">
        <v>28</v>
      </c>
      <c r="AG1513">
        <v>168</v>
      </c>
      <c r="AH1513">
        <v>129</v>
      </c>
      <c r="AI1513">
        <v>5.17</v>
      </c>
      <c r="AJ1513">
        <v>31</v>
      </c>
      <c r="AK1513">
        <v>23.8</v>
      </c>
      <c r="AL1513">
        <v>-20.13050289999995</v>
      </c>
      <c r="AM1513">
        <v>-44.878831282856943</v>
      </c>
      <c r="AN1513">
        <v>-20.13050289999995</v>
      </c>
      <c r="AO1513">
        <v>-44.878831282856943</v>
      </c>
      <c r="AP1513">
        <v>-20.130344000000001</v>
      </c>
      <c r="AQ1513">
        <v>-44.878869000000002</v>
      </c>
      <c r="AR1513">
        <v>18.122709277240279</v>
      </c>
      <c r="AS1513" t="s">
        <v>65</v>
      </c>
      <c r="AT1513">
        <v>1</v>
      </c>
      <c r="AU1513" t="s">
        <v>722</v>
      </c>
      <c r="AV1513" t="s">
        <v>723</v>
      </c>
      <c r="AW1513" t="s">
        <v>60</v>
      </c>
      <c r="AX1513" t="s">
        <v>68</v>
      </c>
      <c r="AY1513" t="s">
        <v>69</v>
      </c>
      <c r="AZ1513" t="b">
        <v>1</v>
      </c>
    </row>
    <row r="1514" spans="1:52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2142</v>
      </c>
      <c r="F1514" t="s">
        <v>190</v>
      </c>
      <c r="G1514" t="s">
        <v>734</v>
      </c>
      <c r="H1514" t="s">
        <v>1068</v>
      </c>
      <c r="I1514" t="s">
        <v>1068</v>
      </c>
      <c r="J1514" t="s">
        <v>60</v>
      </c>
      <c r="K1514" t="s">
        <v>736</v>
      </c>
      <c r="L1514" t="s">
        <v>62</v>
      </c>
      <c r="M1514" t="s">
        <v>736</v>
      </c>
      <c r="N1514" t="s">
        <v>1069</v>
      </c>
      <c r="O1514" t="s">
        <v>1070</v>
      </c>
      <c r="P1514">
        <v>-20.110289999999999</v>
      </c>
      <c r="Q1514">
        <v>-44.981574000000002</v>
      </c>
      <c r="R1514" s="2" t="str">
        <f>HYPERLINK("https://www.google.com/maps?q=-20.1102900,-44.9815740","Abrir no Google Maps")</f>
        <v>Abrir no Google Maps</v>
      </c>
      <c r="S1514">
        <v>3</v>
      </c>
      <c r="T1514">
        <v>1081.8012210194311</v>
      </c>
      <c r="U1514">
        <v>3</v>
      </c>
      <c r="V1514">
        <v>22</v>
      </c>
      <c r="W1514">
        <v>1</v>
      </c>
      <c r="X1514">
        <v>22</v>
      </c>
      <c r="Y1514">
        <v>385</v>
      </c>
      <c r="Z1514">
        <v>1009.915869278438</v>
      </c>
      <c r="AA1514">
        <v>198</v>
      </c>
      <c r="AB1514">
        <v>332</v>
      </c>
      <c r="AC1514">
        <v>536</v>
      </c>
      <c r="AD1514">
        <v>28.93</v>
      </c>
      <c r="AE1514">
        <v>542</v>
      </c>
      <c r="AF1514">
        <v>28</v>
      </c>
      <c r="AG1514">
        <v>168</v>
      </c>
      <c r="AH1514">
        <v>129</v>
      </c>
      <c r="AI1514">
        <v>5.17</v>
      </c>
      <c r="AJ1514">
        <v>31</v>
      </c>
      <c r="AK1514">
        <v>23.8</v>
      </c>
      <c r="AL1514">
        <v>-20.110281699999941</v>
      </c>
      <c r="AM1514">
        <v>-44.98144213076452</v>
      </c>
      <c r="AN1514">
        <v>-20.110281699999941</v>
      </c>
      <c r="AO1514">
        <v>-44.98144213076452</v>
      </c>
      <c r="AP1514">
        <v>-20.110289999999999</v>
      </c>
      <c r="AQ1514">
        <v>-44.981574000000002</v>
      </c>
      <c r="AR1514">
        <v>13.815631287504781</v>
      </c>
      <c r="AS1514" t="s">
        <v>65</v>
      </c>
      <c r="AT1514">
        <v>1</v>
      </c>
      <c r="AU1514" t="s">
        <v>1071</v>
      </c>
      <c r="AV1514" t="s">
        <v>1072</v>
      </c>
      <c r="AW1514" t="s">
        <v>60</v>
      </c>
      <c r="AX1514" t="s">
        <v>68</v>
      </c>
      <c r="AY1514" t="s">
        <v>69</v>
      </c>
      <c r="AZ1514" t="b">
        <v>1</v>
      </c>
    </row>
    <row r="1515" spans="1:52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2142</v>
      </c>
      <c r="F1515" t="s">
        <v>190</v>
      </c>
      <c r="G1515" t="s">
        <v>1089</v>
      </c>
      <c r="H1515" t="s">
        <v>1090</v>
      </c>
      <c r="I1515" t="s">
        <v>1090</v>
      </c>
      <c r="J1515" t="s">
        <v>60</v>
      </c>
      <c r="K1515" t="s">
        <v>761</v>
      </c>
      <c r="L1515" t="s">
        <v>62</v>
      </c>
      <c r="M1515" t="s">
        <v>761</v>
      </c>
      <c r="N1515" t="s">
        <v>1091</v>
      </c>
      <c r="O1515" t="s">
        <v>86</v>
      </c>
      <c r="P1515">
        <v>-20.116182999999999</v>
      </c>
      <c r="Q1515">
        <v>-44.850524</v>
      </c>
      <c r="R1515" s="2" t="str">
        <f>HYPERLINK("https://www.google.com/maps?q=-20.1161830,-44.8505240","Abrir no Google Maps")</f>
        <v>Abrir no Google Maps</v>
      </c>
      <c r="S1515">
        <v>3</v>
      </c>
      <c r="T1515">
        <v>1142.6607426309961</v>
      </c>
      <c r="U1515">
        <v>3</v>
      </c>
      <c r="V1515">
        <v>20</v>
      </c>
      <c r="W1515">
        <v>1</v>
      </c>
      <c r="X1515">
        <v>20</v>
      </c>
      <c r="Y1515">
        <v>350</v>
      </c>
      <c r="Z1515">
        <v>723.44841640590141</v>
      </c>
      <c r="AA1515">
        <v>198</v>
      </c>
      <c r="AB1515">
        <v>332</v>
      </c>
      <c r="AC1515">
        <v>536</v>
      </c>
      <c r="AD1515">
        <v>28.93</v>
      </c>
      <c r="AE1515">
        <v>542</v>
      </c>
      <c r="AF1515">
        <v>28</v>
      </c>
      <c r="AG1515">
        <v>168</v>
      </c>
      <c r="AH1515">
        <v>129</v>
      </c>
      <c r="AI1515">
        <v>5.17</v>
      </c>
      <c r="AJ1515">
        <v>31</v>
      </c>
      <c r="AK1515">
        <v>23.8</v>
      </c>
      <c r="AL1515">
        <v>-20.11605684999995</v>
      </c>
      <c r="AM1515">
        <v>-44.850832861808193</v>
      </c>
      <c r="AN1515">
        <v>-20.11605684999995</v>
      </c>
      <c r="AO1515">
        <v>-44.850832861808193</v>
      </c>
      <c r="AP1515">
        <v>-20.116182999999999</v>
      </c>
      <c r="AQ1515">
        <v>-44.850524</v>
      </c>
      <c r="AR1515">
        <v>35.207009729928053</v>
      </c>
      <c r="AS1515" t="s">
        <v>65</v>
      </c>
      <c r="AT1515">
        <v>1</v>
      </c>
      <c r="AU1515" t="s">
        <v>1092</v>
      </c>
      <c r="AV1515" t="s">
        <v>1093</v>
      </c>
      <c r="AW1515" t="s">
        <v>60</v>
      </c>
      <c r="AX1515" t="s">
        <v>68</v>
      </c>
      <c r="AY1515" t="s">
        <v>69</v>
      </c>
      <c r="AZ1515" t="b">
        <v>1</v>
      </c>
    </row>
    <row r="1516" spans="1:52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2142</v>
      </c>
      <c r="F1516" t="s">
        <v>190</v>
      </c>
      <c r="G1516" t="s">
        <v>779</v>
      </c>
      <c r="H1516" t="s">
        <v>780</v>
      </c>
      <c r="I1516" t="s">
        <v>780</v>
      </c>
      <c r="J1516" t="s">
        <v>60</v>
      </c>
      <c r="K1516" t="s">
        <v>781</v>
      </c>
      <c r="L1516" t="s">
        <v>62</v>
      </c>
      <c r="M1516" t="s">
        <v>781</v>
      </c>
      <c r="N1516" t="s">
        <v>782</v>
      </c>
      <c r="O1516" t="s">
        <v>783</v>
      </c>
      <c r="P1516">
        <v>-20.137938999999999</v>
      </c>
      <c r="Q1516">
        <v>-44.865873000000001</v>
      </c>
      <c r="R1516" s="2" t="str">
        <f>HYPERLINK("https://www.google.com/maps?q=-20.1379390,-44.8658730","Abrir no Google Maps")</f>
        <v>Abrir no Google Maps</v>
      </c>
      <c r="S1516">
        <v>3</v>
      </c>
      <c r="T1516">
        <v>663.24596349877265</v>
      </c>
      <c r="U1516">
        <v>3</v>
      </c>
      <c r="V1516">
        <v>18</v>
      </c>
      <c r="W1516">
        <v>1</v>
      </c>
      <c r="X1516">
        <v>18</v>
      </c>
      <c r="Y1516">
        <v>332</v>
      </c>
      <c r="Z1516">
        <v>724.72470227972997</v>
      </c>
      <c r="AA1516">
        <v>198</v>
      </c>
      <c r="AB1516">
        <v>332</v>
      </c>
      <c r="AC1516">
        <v>536</v>
      </c>
      <c r="AD1516">
        <v>28.93</v>
      </c>
      <c r="AE1516">
        <v>542</v>
      </c>
      <c r="AF1516">
        <v>28</v>
      </c>
      <c r="AG1516">
        <v>168</v>
      </c>
      <c r="AH1516">
        <v>129</v>
      </c>
      <c r="AI1516">
        <v>5.17</v>
      </c>
      <c r="AJ1516">
        <v>31</v>
      </c>
      <c r="AK1516">
        <v>23.8</v>
      </c>
      <c r="AL1516">
        <v>-20.137865449999961</v>
      </c>
      <c r="AM1516">
        <v>-44.866141027847057</v>
      </c>
      <c r="AN1516">
        <v>-20.137865449999961</v>
      </c>
      <c r="AO1516">
        <v>-44.866141027847057</v>
      </c>
      <c r="AP1516">
        <v>-20.137938999999999</v>
      </c>
      <c r="AQ1516">
        <v>-44.865873000000001</v>
      </c>
      <c r="AR1516">
        <v>29.184856191831059</v>
      </c>
      <c r="AS1516" t="s">
        <v>65</v>
      </c>
      <c r="AT1516">
        <v>1</v>
      </c>
      <c r="AU1516" t="s">
        <v>784</v>
      </c>
      <c r="AV1516" t="s">
        <v>785</v>
      </c>
      <c r="AW1516" t="s">
        <v>60</v>
      </c>
      <c r="AX1516" t="s">
        <v>68</v>
      </c>
      <c r="AY1516" t="s">
        <v>69</v>
      </c>
      <c r="AZ1516" t="b">
        <v>1</v>
      </c>
    </row>
    <row r="1517" spans="1:52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2142</v>
      </c>
      <c r="F1517" t="s">
        <v>190</v>
      </c>
      <c r="G1517" t="s">
        <v>1109</v>
      </c>
      <c r="H1517" t="s">
        <v>1110</v>
      </c>
      <c r="I1517" t="s">
        <v>1110</v>
      </c>
      <c r="J1517" t="s">
        <v>60</v>
      </c>
      <c r="K1517" t="s">
        <v>768</v>
      </c>
      <c r="L1517" t="s">
        <v>62</v>
      </c>
      <c r="M1517" t="s">
        <v>768</v>
      </c>
      <c r="N1517" t="s">
        <v>1111</v>
      </c>
      <c r="O1517" t="s">
        <v>1112</v>
      </c>
      <c r="P1517">
        <v>-20.135508000000002</v>
      </c>
      <c r="Q1517">
        <v>-44.871786999999998</v>
      </c>
      <c r="R1517" s="2" t="str">
        <f>HYPERLINK("https://www.google.com/maps?q=-20.1355080,-44.8717870","Abrir no Google Maps")</f>
        <v>Abrir no Google Maps</v>
      </c>
      <c r="S1517">
        <v>3</v>
      </c>
      <c r="T1517">
        <v>167.5382405548801</v>
      </c>
      <c r="U1517">
        <v>3</v>
      </c>
      <c r="V1517">
        <v>19</v>
      </c>
      <c r="W1517">
        <v>1</v>
      </c>
      <c r="X1517">
        <v>19</v>
      </c>
      <c r="Y1517">
        <v>332</v>
      </c>
      <c r="Z1517">
        <v>179.76671916562941</v>
      </c>
      <c r="AA1517">
        <v>198</v>
      </c>
      <c r="AB1517">
        <v>332</v>
      </c>
      <c r="AC1517">
        <v>536</v>
      </c>
      <c r="AD1517">
        <v>28.93</v>
      </c>
      <c r="AE1517">
        <v>542</v>
      </c>
      <c r="AF1517">
        <v>28</v>
      </c>
      <c r="AG1517">
        <v>168</v>
      </c>
      <c r="AH1517">
        <v>129</v>
      </c>
      <c r="AI1517">
        <v>5.17</v>
      </c>
      <c r="AJ1517">
        <v>31</v>
      </c>
      <c r="AK1517">
        <v>23.8</v>
      </c>
      <c r="AL1517">
        <v>-20.135532899999959</v>
      </c>
      <c r="AM1517">
        <v>-44.871828172735903</v>
      </c>
      <c r="AN1517">
        <v>-20.135532899999959</v>
      </c>
      <c r="AO1517">
        <v>-44.871828172735903</v>
      </c>
      <c r="AP1517">
        <v>-20.135508000000002</v>
      </c>
      <c r="AQ1517">
        <v>-44.871786999999998</v>
      </c>
      <c r="AR1517">
        <v>5.1186859635787858</v>
      </c>
      <c r="AS1517" t="s">
        <v>65</v>
      </c>
      <c r="AT1517">
        <v>1</v>
      </c>
      <c r="AU1517" t="s">
        <v>1113</v>
      </c>
      <c r="AV1517" t="s">
        <v>1114</v>
      </c>
      <c r="AW1517" t="s">
        <v>60</v>
      </c>
      <c r="AX1517" t="s">
        <v>68</v>
      </c>
      <c r="AY1517" t="s">
        <v>69</v>
      </c>
      <c r="AZ1517" t="b">
        <v>1</v>
      </c>
    </row>
    <row r="1518" spans="1:52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2142</v>
      </c>
      <c r="F1518" t="s">
        <v>190</v>
      </c>
      <c r="G1518" t="s">
        <v>607</v>
      </c>
      <c r="H1518" t="s">
        <v>786</v>
      </c>
      <c r="I1518" t="s">
        <v>786</v>
      </c>
      <c r="J1518" t="s">
        <v>60</v>
      </c>
      <c r="K1518" t="s">
        <v>609</v>
      </c>
      <c r="L1518" t="s">
        <v>62</v>
      </c>
      <c r="M1518" t="s">
        <v>609</v>
      </c>
      <c r="N1518" t="s">
        <v>610</v>
      </c>
      <c r="O1518" t="s">
        <v>315</v>
      </c>
      <c r="P1518">
        <v>-20.108561999999999</v>
      </c>
      <c r="Q1518">
        <v>-44.883811000000001</v>
      </c>
      <c r="R1518" s="2" t="str">
        <f>HYPERLINK("https://www.google.com/maps?q=-20.1085620,-44.8838110","Abrir no Google Maps")</f>
        <v>Abrir no Google Maps</v>
      </c>
      <c r="S1518">
        <v>3</v>
      </c>
      <c r="T1518">
        <v>875.82813532572072</v>
      </c>
      <c r="U1518">
        <v>3</v>
      </c>
      <c r="V1518">
        <v>16</v>
      </c>
      <c r="W1518">
        <v>1</v>
      </c>
      <c r="X1518">
        <v>16</v>
      </c>
      <c r="Y1518">
        <v>314</v>
      </c>
      <c r="Z1518">
        <v>824.504668554717</v>
      </c>
      <c r="AA1518">
        <v>198</v>
      </c>
      <c r="AB1518">
        <v>332</v>
      </c>
      <c r="AC1518">
        <v>536</v>
      </c>
      <c r="AD1518">
        <v>28.93</v>
      </c>
      <c r="AE1518">
        <v>542</v>
      </c>
      <c r="AF1518">
        <v>28</v>
      </c>
      <c r="AG1518">
        <v>168</v>
      </c>
      <c r="AH1518">
        <v>129</v>
      </c>
      <c r="AI1518">
        <v>5.17</v>
      </c>
      <c r="AJ1518">
        <v>31</v>
      </c>
      <c r="AK1518">
        <v>23.8</v>
      </c>
      <c r="AL1518">
        <v>-20.108622949999951</v>
      </c>
      <c r="AM1518">
        <v>-44.884300516660261</v>
      </c>
      <c r="AN1518">
        <v>-20.108622949999951</v>
      </c>
      <c r="AO1518">
        <v>-44.884300516660261</v>
      </c>
      <c r="AP1518">
        <v>-20.108561999999999</v>
      </c>
      <c r="AQ1518">
        <v>-44.883811000000001</v>
      </c>
      <c r="AR1518">
        <v>51.619098272465493</v>
      </c>
      <c r="AS1518" t="s">
        <v>65</v>
      </c>
      <c r="AT1518">
        <v>1</v>
      </c>
      <c r="AU1518" t="s">
        <v>787</v>
      </c>
      <c r="AV1518" t="s">
        <v>788</v>
      </c>
      <c r="AW1518" t="s">
        <v>60</v>
      </c>
      <c r="AX1518" t="s">
        <v>68</v>
      </c>
      <c r="AY1518" t="s">
        <v>69</v>
      </c>
      <c r="AZ1518" t="b">
        <v>1</v>
      </c>
    </row>
    <row r="1519" spans="1:52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2142</v>
      </c>
      <c r="F1519" t="s">
        <v>190</v>
      </c>
      <c r="G1519" t="s">
        <v>1133</v>
      </c>
      <c r="H1519" t="s">
        <v>1144</v>
      </c>
      <c r="I1519" t="s">
        <v>1144</v>
      </c>
      <c r="J1519" t="s">
        <v>60</v>
      </c>
      <c r="K1519" t="s">
        <v>1123</v>
      </c>
      <c r="L1519" t="s">
        <v>62</v>
      </c>
      <c r="M1519" t="s">
        <v>1123</v>
      </c>
      <c r="N1519" t="s">
        <v>1135</v>
      </c>
      <c r="O1519" t="s">
        <v>907</v>
      </c>
      <c r="P1519">
        <v>-20.100351</v>
      </c>
      <c r="Q1519">
        <v>-44.878037999999997</v>
      </c>
      <c r="R1519" s="2" t="str">
        <f>HYPERLINK("https://www.google.com/maps?q=-20.1003510,-44.8780380","Abrir no Google Maps")</f>
        <v>Abrir no Google Maps</v>
      </c>
      <c r="S1519">
        <v>3</v>
      </c>
      <c r="T1519">
        <v>665.56785712469116</v>
      </c>
      <c r="U1519">
        <v>3</v>
      </c>
      <c r="V1519">
        <v>22</v>
      </c>
      <c r="W1519">
        <v>1</v>
      </c>
      <c r="X1519">
        <v>22</v>
      </c>
      <c r="Y1519">
        <v>314</v>
      </c>
      <c r="Z1519">
        <v>584.8532299266725</v>
      </c>
      <c r="AA1519">
        <v>198</v>
      </c>
      <c r="AB1519">
        <v>332</v>
      </c>
      <c r="AC1519">
        <v>536</v>
      </c>
      <c r="AD1519">
        <v>28.93</v>
      </c>
      <c r="AE1519">
        <v>542</v>
      </c>
      <c r="AF1519">
        <v>28</v>
      </c>
      <c r="AG1519">
        <v>168</v>
      </c>
      <c r="AH1519">
        <v>129</v>
      </c>
      <c r="AI1519">
        <v>5.17</v>
      </c>
      <c r="AJ1519">
        <v>31</v>
      </c>
      <c r="AK1519">
        <v>23.8</v>
      </c>
      <c r="AL1519">
        <v>-20.100420499999959</v>
      </c>
      <c r="AM1519">
        <v>-44.878125332575927</v>
      </c>
      <c r="AN1519">
        <v>-20.100420499999959</v>
      </c>
      <c r="AO1519">
        <v>-44.878125332575927</v>
      </c>
      <c r="AP1519">
        <v>-20.100351</v>
      </c>
      <c r="AQ1519">
        <v>-44.878037999999997</v>
      </c>
      <c r="AR1519">
        <v>11.966993892024719</v>
      </c>
      <c r="AS1519" t="s">
        <v>65</v>
      </c>
      <c r="AT1519">
        <v>1</v>
      </c>
      <c r="AU1519" t="s">
        <v>1145</v>
      </c>
      <c r="AV1519" t="s">
        <v>1146</v>
      </c>
      <c r="AW1519" t="s">
        <v>60</v>
      </c>
      <c r="AX1519" t="s">
        <v>68</v>
      </c>
      <c r="AY1519" t="s">
        <v>69</v>
      </c>
      <c r="AZ1519" t="b">
        <v>1</v>
      </c>
    </row>
    <row r="1520" spans="1:52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2142</v>
      </c>
      <c r="F1520" t="s">
        <v>190</v>
      </c>
      <c r="G1520" t="s">
        <v>789</v>
      </c>
      <c r="H1520" t="s">
        <v>790</v>
      </c>
      <c r="I1520" t="s">
        <v>790</v>
      </c>
      <c r="J1520" t="s">
        <v>60</v>
      </c>
      <c r="K1520" t="s">
        <v>791</v>
      </c>
      <c r="L1520" t="s">
        <v>62</v>
      </c>
      <c r="M1520" t="s">
        <v>791</v>
      </c>
      <c r="N1520" t="s">
        <v>792</v>
      </c>
      <c r="O1520" t="s">
        <v>793</v>
      </c>
      <c r="P1520">
        <v>-20.114263000000001</v>
      </c>
      <c r="Q1520">
        <v>-44.910150000000002</v>
      </c>
      <c r="R1520" s="2" t="str">
        <f>HYPERLINK("https://www.google.com/maps?q=-20.1142630,-44.9101500","Abrir no Google Maps")</f>
        <v>Abrir no Google Maps</v>
      </c>
      <c r="S1520">
        <v>3</v>
      </c>
      <c r="T1520">
        <v>1039.6249825628629</v>
      </c>
      <c r="U1520">
        <v>3</v>
      </c>
      <c r="V1520">
        <v>16</v>
      </c>
      <c r="W1520">
        <v>1</v>
      </c>
      <c r="X1520">
        <v>16</v>
      </c>
      <c r="Y1520">
        <v>300</v>
      </c>
      <c r="Z1520">
        <v>1156.8405524690361</v>
      </c>
      <c r="AA1520">
        <v>198</v>
      </c>
      <c r="AB1520">
        <v>332</v>
      </c>
      <c r="AC1520">
        <v>536</v>
      </c>
      <c r="AD1520">
        <v>28.93</v>
      </c>
      <c r="AE1520">
        <v>542</v>
      </c>
      <c r="AF1520">
        <v>28</v>
      </c>
      <c r="AG1520">
        <v>168</v>
      </c>
      <c r="AH1520">
        <v>129</v>
      </c>
      <c r="AI1520">
        <v>5.17</v>
      </c>
      <c r="AJ1520">
        <v>31</v>
      </c>
      <c r="AK1520">
        <v>23.8</v>
      </c>
      <c r="AL1520">
        <v>-20.113823899999939</v>
      </c>
      <c r="AM1520">
        <v>-44.910704705968108</v>
      </c>
      <c r="AN1520">
        <v>-20.113823899999939</v>
      </c>
      <c r="AO1520">
        <v>-44.910704705968108</v>
      </c>
      <c r="AP1520">
        <v>-20.114263000000001</v>
      </c>
      <c r="AQ1520">
        <v>-44.910150000000002</v>
      </c>
      <c r="AR1520">
        <v>75.838236800419978</v>
      </c>
      <c r="AS1520" t="s">
        <v>65</v>
      </c>
      <c r="AT1520">
        <v>1</v>
      </c>
      <c r="AU1520" t="s">
        <v>794</v>
      </c>
      <c r="AV1520" t="s">
        <v>795</v>
      </c>
      <c r="AW1520" t="s">
        <v>60</v>
      </c>
      <c r="AX1520" t="s">
        <v>68</v>
      </c>
      <c r="AY1520" t="s">
        <v>69</v>
      </c>
      <c r="AZ1520" t="b">
        <v>1</v>
      </c>
    </row>
    <row r="1521" spans="1:52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2142</v>
      </c>
      <c r="F1521" t="s">
        <v>190</v>
      </c>
      <c r="G1521" t="s">
        <v>1147</v>
      </c>
      <c r="H1521" t="s">
        <v>1148</v>
      </c>
      <c r="I1521" t="s">
        <v>1148</v>
      </c>
      <c r="J1521" t="s">
        <v>60</v>
      </c>
      <c r="K1521" t="s">
        <v>798</v>
      </c>
      <c r="L1521" t="s">
        <v>62</v>
      </c>
      <c r="M1521" t="s">
        <v>798</v>
      </c>
      <c r="N1521" t="s">
        <v>1149</v>
      </c>
      <c r="O1521" t="s">
        <v>836</v>
      </c>
      <c r="P1521">
        <v>-20.112448000000001</v>
      </c>
      <c r="Q1521">
        <v>-44.904887000000002</v>
      </c>
      <c r="R1521" s="2" t="str">
        <f>HYPERLINK("https://www.google.com/maps?q=-20.1124480,-44.9048870","Abrir no Google Maps")</f>
        <v>Abrir no Google Maps</v>
      </c>
      <c r="S1521">
        <v>3</v>
      </c>
      <c r="T1521">
        <v>404.16588765758058</v>
      </c>
      <c r="U1521">
        <v>3</v>
      </c>
      <c r="V1521">
        <v>21</v>
      </c>
      <c r="W1521">
        <v>1</v>
      </c>
      <c r="X1521">
        <v>21</v>
      </c>
      <c r="Y1521">
        <v>300</v>
      </c>
      <c r="Z1521">
        <v>435.21165957304731</v>
      </c>
      <c r="AA1521">
        <v>198</v>
      </c>
      <c r="AB1521">
        <v>332</v>
      </c>
      <c r="AC1521">
        <v>536</v>
      </c>
      <c r="AD1521">
        <v>28.93</v>
      </c>
      <c r="AE1521">
        <v>542</v>
      </c>
      <c r="AF1521">
        <v>28</v>
      </c>
      <c r="AG1521">
        <v>168</v>
      </c>
      <c r="AH1521">
        <v>129</v>
      </c>
      <c r="AI1521">
        <v>5.17</v>
      </c>
      <c r="AJ1521">
        <v>31</v>
      </c>
      <c r="AK1521">
        <v>23.8</v>
      </c>
      <c r="AL1521">
        <v>-20.11243479999996</v>
      </c>
      <c r="AM1521">
        <v>-44.904803228053026</v>
      </c>
      <c r="AN1521">
        <v>-20.11243479999996</v>
      </c>
      <c r="AO1521">
        <v>-44.904803228053026</v>
      </c>
      <c r="AP1521">
        <v>-20.112448000000001</v>
      </c>
      <c r="AQ1521">
        <v>-44.904887000000002</v>
      </c>
      <c r="AR1521">
        <v>8.8792525353759544</v>
      </c>
      <c r="AS1521" t="s">
        <v>65</v>
      </c>
      <c r="AT1521">
        <v>1</v>
      </c>
      <c r="AU1521" t="s">
        <v>1150</v>
      </c>
      <c r="AV1521" t="s">
        <v>1151</v>
      </c>
      <c r="AW1521" t="s">
        <v>60</v>
      </c>
      <c r="AX1521" t="s">
        <v>68</v>
      </c>
      <c r="AY1521" t="s">
        <v>69</v>
      </c>
      <c r="AZ1521" t="b">
        <v>1</v>
      </c>
    </row>
    <row r="1522" spans="1:52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2142</v>
      </c>
      <c r="F1522" t="s">
        <v>190</v>
      </c>
      <c r="G1522" t="s">
        <v>1769</v>
      </c>
      <c r="H1522" t="s">
        <v>1770</v>
      </c>
      <c r="I1522" t="s">
        <v>1770</v>
      </c>
      <c r="J1522" t="s">
        <v>60</v>
      </c>
      <c r="K1522" t="s">
        <v>791</v>
      </c>
      <c r="L1522" t="s">
        <v>62</v>
      </c>
      <c r="M1522" t="s">
        <v>791</v>
      </c>
      <c r="N1522" t="s">
        <v>1771</v>
      </c>
      <c r="O1522" t="s">
        <v>494</v>
      </c>
      <c r="P1522">
        <v>-20.108464999999999</v>
      </c>
      <c r="Q1522">
        <v>-44.902169000000001</v>
      </c>
      <c r="R1522" s="2" t="str">
        <f>HYPERLINK("https://www.google.com/maps?q=-20.1084650,-44.9021690","Abrir no Google Maps")</f>
        <v>Abrir no Google Maps</v>
      </c>
      <c r="S1522">
        <v>3</v>
      </c>
      <c r="T1522">
        <v>332.55452480320798</v>
      </c>
      <c r="U1522">
        <v>3</v>
      </c>
      <c r="V1522">
        <v>18</v>
      </c>
      <c r="W1522">
        <v>1</v>
      </c>
      <c r="X1522">
        <v>18</v>
      </c>
      <c r="Y1522">
        <v>300</v>
      </c>
      <c r="Z1522">
        <v>139.01495543278119</v>
      </c>
      <c r="AA1522">
        <v>198</v>
      </c>
      <c r="AB1522">
        <v>332</v>
      </c>
      <c r="AC1522">
        <v>536</v>
      </c>
      <c r="AD1522">
        <v>28.93</v>
      </c>
      <c r="AE1522">
        <v>542</v>
      </c>
      <c r="AF1522">
        <v>28</v>
      </c>
      <c r="AG1522">
        <v>168</v>
      </c>
      <c r="AH1522">
        <v>129</v>
      </c>
      <c r="AI1522">
        <v>5.17</v>
      </c>
      <c r="AJ1522">
        <v>31</v>
      </c>
      <c r="AK1522">
        <v>23.8</v>
      </c>
      <c r="AL1522">
        <v>-20.108420149999969</v>
      </c>
      <c r="AM1522">
        <v>-44.90164352007664</v>
      </c>
      <c r="AN1522">
        <v>-20.108420149999969</v>
      </c>
      <c r="AO1522">
        <v>-44.90164352007664</v>
      </c>
      <c r="AP1522">
        <v>-20.108464999999999</v>
      </c>
      <c r="AQ1522">
        <v>-44.902169000000001</v>
      </c>
      <c r="AR1522">
        <v>55.157130612493773</v>
      </c>
      <c r="AS1522" t="s">
        <v>65</v>
      </c>
      <c r="AT1522">
        <v>1</v>
      </c>
      <c r="AU1522" t="s">
        <v>1772</v>
      </c>
      <c r="AV1522" t="s">
        <v>1773</v>
      </c>
      <c r="AW1522" t="s">
        <v>60</v>
      </c>
      <c r="AX1522" t="s">
        <v>68</v>
      </c>
      <c r="AY1522" t="s">
        <v>69</v>
      </c>
      <c r="AZ1522" t="b">
        <v>1</v>
      </c>
    </row>
    <row r="1523" spans="1:52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2142</v>
      </c>
      <c r="F1523" t="s">
        <v>190</v>
      </c>
      <c r="G1523" t="s">
        <v>1157</v>
      </c>
      <c r="H1523" t="s">
        <v>1158</v>
      </c>
      <c r="I1523" t="s">
        <v>1158</v>
      </c>
      <c r="J1523" t="s">
        <v>60</v>
      </c>
      <c r="K1523" t="s">
        <v>791</v>
      </c>
      <c r="L1523" t="s">
        <v>62</v>
      </c>
      <c r="M1523" t="s">
        <v>791</v>
      </c>
      <c r="N1523" t="s">
        <v>1159</v>
      </c>
      <c r="O1523" t="s">
        <v>1160</v>
      </c>
      <c r="P1523">
        <v>-20.108114</v>
      </c>
      <c r="Q1523">
        <v>-44.905804000000003</v>
      </c>
      <c r="R1523" s="2" t="str">
        <f>HYPERLINK("https://www.google.com/maps?q=-20.1081140,-44.9058040","Abrir no Google Maps")</f>
        <v>Abrir no Google Maps</v>
      </c>
      <c r="S1523">
        <v>3</v>
      </c>
      <c r="T1523">
        <v>603.1428230097074</v>
      </c>
      <c r="U1523">
        <v>3</v>
      </c>
      <c r="V1523">
        <v>16</v>
      </c>
      <c r="W1523">
        <v>1</v>
      </c>
      <c r="X1523">
        <v>16</v>
      </c>
      <c r="Y1523">
        <v>300</v>
      </c>
      <c r="Z1523">
        <v>444.71482981499793</v>
      </c>
      <c r="AA1523">
        <v>198</v>
      </c>
      <c r="AB1523">
        <v>332</v>
      </c>
      <c r="AC1523">
        <v>536</v>
      </c>
      <c r="AD1523">
        <v>28.93</v>
      </c>
      <c r="AE1523">
        <v>542</v>
      </c>
      <c r="AF1523">
        <v>28</v>
      </c>
      <c r="AG1523">
        <v>168</v>
      </c>
      <c r="AH1523">
        <v>129</v>
      </c>
      <c r="AI1523">
        <v>5.17</v>
      </c>
      <c r="AJ1523">
        <v>31</v>
      </c>
      <c r="AK1523">
        <v>23.8</v>
      </c>
      <c r="AL1523">
        <v>-20.108146549999962</v>
      </c>
      <c r="AM1523">
        <v>-44.905744943453513</v>
      </c>
      <c r="AN1523">
        <v>-20.108146549999962</v>
      </c>
      <c r="AO1523">
        <v>-44.905744943453513</v>
      </c>
      <c r="AP1523">
        <v>-20.108114</v>
      </c>
      <c r="AQ1523">
        <v>-44.905804000000003</v>
      </c>
      <c r="AR1523">
        <v>7.1582799138071884</v>
      </c>
      <c r="AS1523" t="s">
        <v>65</v>
      </c>
      <c r="AT1523">
        <v>1</v>
      </c>
      <c r="AU1523" t="s">
        <v>1161</v>
      </c>
      <c r="AV1523" t="s">
        <v>1162</v>
      </c>
      <c r="AW1523" t="s">
        <v>60</v>
      </c>
      <c r="AX1523" t="s">
        <v>68</v>
      </c>
      <c r="AY1523" t="s">
        <v>69</v>
      </c>
      <c r="AZ1523" t="b">
        <v>1</v>
      </c>
    </row>
    <row r="1524" spans="1:52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2142</v>
      </c>
      <c r="F1524" t="s">
        <v>190</v>
      </c>
      <c r="G1524" t="s">
        <v>1774</v>
      </c>
      <c r="H1524" t="s">
        <v>1775</v>
      </c>
      <c r="I1524" t="s">
        <v>1775</v>
      </c>
      <c r="J1524" t="s">
        <v>60</v>
      </c>
      <c r="K1524" t="s">
        <v>791</v>
      </c>
      <c r="L1524" t="s">
        <v>62</v>
      </c>
      <c r="M1524" t="s">
        <v>791</v>
      </c>
      <c r="N1524" t="s">
        <v>1776</v>
      </c>
      <c r="O1524" t="s">
        <v>1777</v>
      </c>
      <c r="P1524">
        <v>-20.108148</v>
      </c>
      <c r="Q1524">
        <v>-44.909519000000003</v>
      </c>
      <c r="R1524" s="2" t="str">
        <f>HYPERLINK("https://www.google.com/maps?q=-20.1081480,-44.9095190","Abrir no Google Maps")</f>
        <v>Abrir no Google Maps</v>
      </c>
      <c r="S1524">
        <v>3</v>
      </c>
      <c r="T1524">
        <v>960.99382263787027</v>
      </c>
      <c r="U1524">
        <v>3</v>
      </c>
      <c r="V1524">
        <v>23</v>
      </c>
      <c r="W1524">
        <v>0.85</v>
      </c>
      <c r="X1524">
        <v>19.55</v>
      </c>
      <c r="Y1524">
        <v>300</v>
      </c>
      <c r="Z1524">
        <v>830.02784879078899</v>
      </c>
      <c r="AA1524">
        <v>198</v>
      </c>
      <c r="AB1524">
        <v>332</v>
      </c>
      <c r="AC1524">
        <v>536</v>
      </c>
      <c r="AD1524">
        <v>28.93</v>
      </c>
      <c r="AE1524">
        <v>542</v>
      </c>
      <c r="AF1524">
        <v>28</v>
      </c>
      <c r="AG1524">
        <v>168</v>
      </c>
      <c r="AH1524">
        <v>129</v>
      </c>
      <c r="AI1524">
        <v>5.17</v>
      </c>
      <c r="AJ1524">
        <v>31</v>
      </c>
      <c r="AK1524">
        <v>23.8</v>
      </c>
      <c r="AL1524">
        <v>-20.10824884999996</v>
      </c>
      <c r="AM1524">
        <v>-44.909675442736678</v>
      </c>
      <c r="AN1524">
        <v>-20.10824884999996</v>
      </c>
      <c r="AO1524">
        <v>-44.909675442736678</v>
      </c>
      <c r="AP1524">
        <v>-20.108148</v>
      </c>
      <c r="AQ1524">
        <v>-44.909519000000003</v>
      </c>
      <c r="AR1524">
        <v>19.8363090254621</v>
      </c>
      <c r="AS1524" t="s">
        <v>65</v>
      </c>
      <c r="AT1524">
        <v>1</v>
      </c>
      <c r="AU1524" t="s">
        <v>1778</v>
      </c>
      <c r="AV1524" t="s">
        <v>1779</v>
      </c>
      <c r="AW1524" t="s">
        <v>60</v>
      </c>
      <c r="AX1524" t="s">
        <v>68</v>
      </c>
      <c r="AY1524" t="s">
        <v>69</v>
      </c>
      <c r="AZ1524" t="b">
        <v>1</v>
      </c>
    </row>
    <row r="1525" spans="1:52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2142</v>
      </c>
      <c r="F1525" t="s">
        <v>190</v>
      </c>
      <c r="G1525" t="s">
        <v>1163</v>
      </c>
      <c r="H1525" t="s">
        <v>1164</v>
      </c>
      <c r="I1525" t="s">
        <v>1164</v>
      </c>
      <c r="J1525" t="s">
        <v>60</v>
      </c>
      <c r="K1525" t="s">
        <v>1165</v>
      </c>
      <c r="L1525" t="s">
        <v>62</v>
      </c>
      <c r="M1525" t="s">
        <v>1165</v>
      </c>
      <c r="N1525" t="s">
        <v>1166</v>
      </c>
      <c r="O1525" t="s">
        <v>1167</v>
      </c>
      <c r="P1525">
        <v>-20.155543000000002</v>
      </c>
      <c r="Q1525">
        <v>-44.863444000000001</v>
      </c>
      <c r="R1525" s="2" t="str">
        <f>HYPERLINK("https://www.google.com/maps?q=-20.1555430,-44.8634440","Abrir no Google Maps")</f>
        <v>Abrir no Google Maps</v>
      </c>
      <c r="S1525">
        <v>3</v>
      </c>
      <c r="T1525">
        <v>314.02353400254742</v>
      </c>
      <c r="U1525">
        <v>3</v>
      </c>
      <c r="V1525">
        <v>22</v>
      </c>
      <c r="W1525">
        <v>1</v>
      </c>
      <c r="X1525">
        <v>22</v>
      </c>
      <c r="Y1525">
        <v>264</v>
      </c>
      <c r="Z1525">
        <v>282.65065866463459</v>
      </c>
      <c r="AA1525">
        <v>198</v>
      </c>
      <c r="AB1525">
        <v>332</v>
      </c>
      <c r="AC1525">
        <v>536</v>
      </c>
      <c r="AD1525">
        <v>28.93</v>
      </c>
      <c r="AE1525">
        <v>542</v>
      </c>
      <c r="AF1525">
        <v>28</v>
      </c>
      <c r="AG1525">
        <v>168</v>
      </c>
      <c r="AH1525">
        <v>129</v>
      </c>
      <c r="AI1525">
        <v>5.17</v>
      </c>
      <c r="AJ1525">
        <v>31</v>
      </c>
      <c r="AK1525">
        <v>23.8</v>
      </c>
      <c r="AL1525">
        <v>-20.155436449999939</v>
      </c>
      <c r="AM1525">
        <v>-44.863557722691183</v>
      </c>
      <c r="AN1525">
        <v>-20.155436449999939</v>
      </c>
      <c r="AO1525">
        <v>-44.863557722691183</v>
      </c>
      <c r="AP1525">
        <v>-20.155543000000002</v>
      </c>
      <c r="AQ1525">
        <v>-44.863444000000001</v>
      </c>
      <c r="AR1525">
        <v>16.790610674079979</v>
      </c>
      <c r="AS1525" t="s">
        <v>65</v>
      </c>
      <c r="AT1525">
        <v>1</v>
      </c>
      <c r="AU1525" t="s">
        <v>1168</v>
      </c>
      <c r="AV1525" t="s">
        <v>1169</v>
      </c>
      <c r="AW1525" t="s">
        <v>60</v>
      </c>
      <c r="AX1525" t="s">
        <v>68</v>
      </c>
      <c r="AY1525" t="s">
        <v>69</v>
      </c>
      <c r="AZ1525" t="b">
        <v>1</v>
      </c>
    </row>
    <row r="1526" spans="1:52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2142</v>
      </c>
      <c r="F1526" t="s">
        <v>190</v>
      </c>
      <c r="G1526" t="s">
        <v>803</v>
      </c>
      <c r="H1526" t="s">
        <v>804</v>
      </c>
      <c r="I1526" t="s">
        <v>804</v>
      </c>
      <c r="J1526" t="s">
        <v>60</v>
      </c>
      <c r="K1526" t="s">
        <v>805</v>
      </c>
      <c r="L1526" t="s">
        <v>62</v>
      </c>
      <c r="M1526" t="s">
        <v>805</v>
      </c>
      <c r="N1526" t="s">
        <v>806</v>
      </c>
      <c r="O1526" t="s">
        <v>807</v>
      </c>
      <c r="P1526">
        <v>-20.133293999999999</v>
      </c>
      <c r="Q1526">
        <v>-44.886302000000001</v>
      </c>
      <c r="R1526" s="2" t="str">
        <f>HYPERLINK("https://www.google.com/maps?q=-20.1332940,-44.8863020","Abrir no Google Maps")</f>
        <v>Abrir no Google Maps</v>
      </c>
      <c r="S1526">
        <v>3</v>
      </c>
      <c r="T1526">
        <v>0</v>
      </c>
      <c r="U1526">
        <v>3</v>
      </c>
      <c r="V1526">
        <v>20</v>
      </c>
      <c r="W1526">
        <v>1</v>
      </c>
      <c r="X1526">
        <v>20</v>
      </c>
      <c r="Y1526">
        <v>259</v>
      </c>
      <c r="Z1526">
        <v>76.358812960729097</v>
      </c>
      <c r="AA1526">
        <v>198</v>
      </c>
      <c r="AB1526">
        <v>332</v>
      </c>
      <c r="AC1526">
        <v>536</v>
      </c>
      <c r="AD1526">
        <v>28.93</v>
      </c>
      <c r="AE1526">
        <v>542</v>
      </c>
      <c r="AF1526">
        <v>28</v>
      </c>
      <c r="AG1526">
        <v>168</v>
      </c>
      <c r="AH1526">
        <v>129</v>
      </c>
      <c r="AI1526">
        <v>5.17</v>
      </c>
      <c r="AJ1526">
        <v>31</v>
      </c>
      <c r="AK1526">
        <v>23.8</v>
      </c>
      <c r="AL1526">
        <v>-20.133281749999949</v>
      </c>
      <c r="AM1526">
        <v>-44.886395047959027</v>
      </c>
      <c r="AN1526">
        <v>-20.133281749999949</v>
      </c>
      <c r="AO1526">
        <v>-44.886395047959027</v>
      </c>
      <c r="AP1526">
        <v>-20.133293999999999</v>
      </c>
      <c r="AQ1526">
        <v>-44.886302000000001</v>
      </c>
      <c r="AR1526">
        <v>9.8203037443031231</v>
      </c>
      <c r="AS1526" t="s">
        <v>65</v>
      </c>
      <c r="AT1526">
        <v>1</v>
      </c>
      <c r="AU1526" t="s">
        <v>808</v>
      </c>
      <c r="AV1526" t="s">
        <v>809</v>
      </c>
      <c r="AW1526" t="s">
        <v>60</v>
      </c>
      <c r="AX1526" t="s">
        <v>68</v>
      </c>
      <c r="AY1526" t="s">
        <v>69</v>
      </c>
      <c r="AZ1526" t="b">
        <v>1</v>
      </c>
    </row>
    <row r="1527" spans="1:52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2142</v>
      </c>
      <c r="F1527" t="s">
        <v>190</v>
      </c>
      <c r="G1527" t="s">
        <v>1790</v>
      </c>
      <c r="H1527" t="s">
        <v>1791</v>
      </c>
      <c r="I1527" t="s">
        <v>1791</v>
      </c>
      <c r="J1527" t="s">
        <v>60</v>
      </c>
      <c r="K1527" t="s">
        <v>781</v>
      </c>
      <c r="L1527" t="s">
        <v>62</v>
      </c>
      <c r="M1527" t="s">
        <v>781</v>
      </c>
      <c r="N1527" t="s">
        <v>1792</v>
      </c>
      <c r="O1527" t="s">
        <v>1438</v>
      </c>
      <c r="P1527">
        <v>-20.140640999999999</v>
      </c>
      <c r="Q1527">
        <v>-44.865606999999997</v>
      </c>
      <c r="R1527" s="2" t="str">
        <f>HYPERLINK("https://www.google.com/maps?q=-20.1406410,-44.8656070","Abrir no Google Maps")</f>
        <v>Abrir no Google Maps</v>
      </c>
      <c r="S1527">
        <v>3</v>
      </c>
      <c r="T1527">
        <v>718.83674500124857</v>
      </c>
      <c r="U1527">
        <v>3</v>
      </c>
      <c r="V1527">
        <v>16</v>
      </c>
      <c r="W1527">
        <v>1</v>
      </c>
      <c r="X1527">
        <v>16</v>
      </c>
      <c r="Y1527">
        <v>198</v>
      </c>
      <c r="Z1527">
        <v>796.27455839490824</v>
      </c>
      <c r="AA1527">
        <v>198</v>
      </c>
      <c r="AB1527">
        <v>332</v>
      </c>
      <c r="AC1527">
        <v>536</v>
      </c>
      <c r="AD1527">
        <v>28.93</v>
      </c>
      <c r="AE1527">
        <v>542</v>
      </c>
      <c r="AF1527">
        <v>28</v>
      </c>
      <c r="AG1527">
        <v>168</v>
      </c>
      <c r="AH1527">
        <v>129</v>
      </c>
      <c r="AI1527">
        <v>5.17</v>
      </c>
      <c r="AJ1527">
        <v>31</v>
      </c>
      <c r="AK1527">
        <v>23.8</v>
      </c>
      <c r="AL1527">
        <v>-20.14068544999995</v>
      </c>
      <c r="AM1527">
        <v>-44.865682971258813</v>
      </c>
      <c r="AN1527">
        <v>-20.140685449999939</v>
      </c>
      <c r="AO1527">
        <v>-44.865682971258813</v>
      </c>
      <c r="AP1527">
        <v>-20.140640999999999</v>
      </c>
      <c r="AQ1527">
        <v>-44.865606999999997</v>
      </c>
      <c r="AR1527">
        <v>9.3556137916774258</v>
      </c>
      <c r="AS1527" t="s">
        <v>65</v>
      </c>
      <c r="AT1527">
        <v>1</v>
      </c>
      <c r="AU1527" t="s">
        <v>1793</v>
      </c>
      <c r="AV1527" t="s">
        <v>1794</v>
      </c>
      <c r="AW1527" t="s">
        <v>60</v>
      </c>
      <c r="AX1527" t="s">
        <v>68</v>
      </c>
      <c r="AY1527" t="s">
        <v>69</v>
      </c>
      <c r="AZ1527" t="b">
        <v>1</v>
      </c>
    </row>
    <row r="1528" spans="1:52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2142</v>
      </c>
      <c r="F1528" t="s">
        <v>190</v>
      </c>
      <c r="G1528" t="s">
        <v>1193</v>
      </c>
      <c r="H1528" t="s">
        <v>1194</v>
      </c>
      <c r="I1528" t="s">
        <v>1194</v>
      </c>
      <c r="J1528" t="s">
        <v>60</v>
      </c>
      <c r="K1528" t="s">
        <v>1195</v>
      </c>
      <c r="L1528" t="s">
        <v>62</v>
      </c>
      <c r="M1528" t="s">
        <v>1195</v>
      </c>
      <c r="N1528" t="s">
        <v>1196</v>
      </c>
      <c r="O1528" t="s">
        <v>1197</v>
      </c>
      <c r="P1528">
        <v>-20.105342</v>
      </c>
      <c r="Q1528">
        <v>-44.964716000000003</v>
      </c>
      <c r="R1528" s="2" t="str">
        <f>HYPERLINK("https://www.google.com/maps?q=-20.1053420,-44.9647160","Abrir no Google Maps")</f>
        <v>Abrir no Google Maps</v>
      </c>
      <c r="S1528">
        <v>3</v>
      </c>
      <c r="T1528">
        <v>893.28710125086457</v>
      </c>
      <c r="U1528">
        <v>3</v>
      </c>
      <c r="V1528">
        <v>22</v>
      </c>
      <c r="W1528">
        <v>1</v>
      </c>
      <c r="X1528">
        <v>22</v>
      </c>
      <c r="Y1528">
        <v>187</v>
      </c>
      <c r="Z1528">
        <v>592.18957175243293</v>
      </c>
      <c r="AA1528">
        <v>198</v>
      </c>
      <c r="AB1528">
        <v>332</v>
      </c>
      <c r="AC1528">
        <v>536</v>
      </c>
      <c r="AD1528">
        <v>28.93</v>
      </c>
      <c r="AE1528">
        <v>542</v>
      </c>
      <c r="AF1528">
        <v>28</v>
      </c>
      <c r="AG1528">
        <v>168</v>
      </c>
      <c r="AH1528">
        <v>129</v>
      </c>
      <c r="AI1528">
        <v>5.17</v>
      </c>
      <c r="AJ1528">
        <v>31</v>
      </c>
      <c r="AK1528">
        <v>23.8</v>
      </c>
      <c r="AL1528">
        <v>-20.105505699999949</v>
      </c>
      <c r="AM1528">
        <v>-44.964494228377532</v>
      </c>
      <c r="AN1528">
        <v>-20.105505699999949</v>
      </c>
      <c r="AO1528">
        <v>-44.964494228377532</v>
      </c>
      <c r="AP1528">
        <v>-20.105342</v>
      </c>
      <c r="AQ1528">
        <v>-44.964716000000003</v>
      </c>
      <c r="AR1528">
        <v>29.48797728637869</v>
      </c>
      <c r="AS1528" t="s">
        <v>65</v>
      </c>
      <c r="AT1528">
        <v>1</v>
      </c>
      <c r="AU1528" t="s">
        <v>1198</v>
      </c>
      <c r="AV1528" t="s">
        <v>1199</v>
      </c>
      <c r="AW1528" t="s">
        <v>60</v>
      </c>
      <c r="AX1528" t="s">
        <v>68</v>
      </c>
      <c r="AY1528" t="s">
        <v>69</v>
      </c>
      <c r="AZ1528" t="b">
        <v>1</v>
      </c>
    </row>
    <row r="1529" spans="1:52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2142</v>
      </c>
      <c r="F1529" t="s">
        <v>190</v>
      </c>
      <c r="G1529" t="s">
        <v>1206</v>
      </c>
      <c r="H1529" t="s">
        <v>1207</v>
      </c>
      <c r="I1529" t="s">
        <v>1207</v>
      </c>
      <c r="J1529" t="s">
        <v>60</v>
      </c>
      <c r="K1529" t="s">
        <v>475</v>
      </c>
      <c r="L1529" t="s">
        <v>62</v>
      </c>
      <c r="M1529" t="s">
        <v>475</v>
      </c>
      <c r="N1529" t="s">
        <v>1208</v>
      </c>
      <c r="O1529" t="s">
        <v>1209</v>
      </c>
      <c r="P1529">
        <v>-20.180554999999998</v>
      </c>
      <c r="Q1529">
        <v>-44.905642999999998</v>
      </c>
      <c r="R1529" s="2" t="str">
        <f>HYPERLINK("https://www.google.com/maps?q=-20.1805550,-44.9056430","Abrir no Google Maps")</f>
        <v>Abrir no Google Maps</v>
      </c>
      <c r="S1529">
        <v>3</v>
      </c>
      <c r="T1529">
        <v>768.13826761541702</v>
      </c>
      <c r="U1529">
        <v>3</v>
      </c>
      <c r="V1529">
        <v>19</v>
      </c>
      <c r="W1529">
        <v>1</v>
      </c>
      <c r="X1529">
        <v>19</v>
      </c>
      <c r="Y1529">
        <v>135</v>
      </c>
      <c r="Z1529">
        <v>442.64437152702573</v>
      </c>
      <c r="AA1529">
        <v>198</v>
      </c>
      <c r="AB1529">
        <v>332</v>
      </c>
      <c r="AC1529">
        <v>536</v>
      </c>
      <c r="AD1529">
        <v>28.93</v>
      </c>
      <c r="AE1529">
        <v>542</v>
      </c>
      <c r="AF1529">
        <v>28</v>
      </c>
      <c r="AG1529">
        <v>168</v>
      </c>
      <c r="AH1529">
        <v>129</v>
      </c>
      <c r="AI1529">
        <v>5.17</v>
      </c>
      <c r="AJ1529">
        <v>31</v>
      </c>
      <c r="AK1529">
        <v>23.8</v>
      </c>
      <c r="AL1529">
        <v>-20.180439499999949</v>
      </c>
      <c r="AM1529">
        <v>-44.905757266135502</v>
      </c>
      <c r="AN1529">
        <v>-20.180439499999949</v>
      </c>
      <c r="AO1529">
        <v>-44.905757266135502</v>
      </c>
      <c r="AP1529">
        <v>-20.180554999999998</v>
      </c>
      <c r="AQ1529">
        <v>-44.905642999999998</v>
      </c>
      <c r="AR1529">
        <v>17.545924993698129</v>
      </c>
      <c r="AS1529" t="s">
        <v>65</v>
      </c>
      <c r="AT1529">
        <v>1</v>
      </c>
      <c r="AU1529" t="s">
        <v>1210</v>
      </c>
      <c r="AV1529" t="s">
        <v>1211</v>
      </c>
      <c r="AW1529" t="s">
        <v>60</v>
      </c>
      <c r="AX1529" t="s">
        <v>68</v>
      </c>
      <c r="AY1529" t="s">
        <v>69</v>
      </c>
      <c r="AZ1529" t="b">
        <v>1</v>
      </c>
    </row>
    <row r="1530" spans="1:52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2142</v>
      </c>
      <c r="F1530" t="s">
        <v>190</v>
      </c>
      <c r="G1530" t="s">
        <v>1212</v>
      </c>
      <c r="H1530" t="s">
        <v>1213</v>
      </c>
      <c r="I1530" t="s">
        <v>1213</v>
      </c>
      <c r="J1530" t="s">
        <v>60</v>
      </c>
      <c r="K1530" t="s">
        <v>171</v>
      </c>
      <c r="L1530" t="s">
        <v>62</v>
      </c>
      <c r="M1530" t="s">
        <v>171</v>
      </c>
      <c r="N1530" t="s">
        <v>1214</v>
      </c>
      <c r="O1530" t="s">
        <v>1215</v>
      </c>
      <c r="P1530">
        <v>-20.152812999999998</v>
      </c>
      <c r="Q1530">
        <v>-44.889853000000002</v>
      </c>
      <c r="R1530" s="2" t="str">
        <f>HYPERLINK("https://www.google.com/maps?q=-20.1528130,-44.8898530","Abrir no Google Maps")</f>
        <v>Abrir no Google Maps</v>
      </c>
      <c r="S1530">
        <v>3</v>
      </c>
      <c r="T1530">
        <v>404.11054739579231</v>
      </c>
      <c r="U1530">
        <v>3</v>
      </c>
      <c r="V1530">
        <v>16</v>
      </c>
      <c r="W1530">
        <v>1</v>
      </c>
      <c r="X1530">
        <v>16</v>
      </c>
      <c r="Y1530">
        <v>129</v>
      </c>
      <c r="Z1530">
        <v>222.94297160630171</v>
      </c>
      <c r="AA1530">
        <v>198</v>
      </c>
      <c r="AB1530">
        <v>332</v>
      </c>
      <c r="AC1530">
        <v>536</v>
      </c>
      <c r="AD1530">
        <v>28.93</v>
      </c>
      <c r="AE1530">
        <v>542</v>
      </c>
      <c r="AF1530">
        <v>28</v>
      </c>
      <c r="AG1530">
        <v>168</v>
      </c>
      <c r="AH1530">
        <v>129</v>
      </c>
      <c r="AI1530">
        <v>5.17</v>
      </c>
      <c r="AJ1530">
        <v>31</v>
      </c>
      <c r="AK1530">
        <v>23.8</v>
      </c>
      <c r="AL1530">
        <v>-20.152851999999971</v>
      </c>
      <c r="AM1530">
        <v>-44.889864659228088</v>
      </c>
      <c r="AN1530">
        <v>-20.152851999999971</v>
      </c>
      <c r="AO1530">
        <v>-44.889864659228088</v>
      </c>
      <c r="AP1530">
        <v>-20.152812999999998</v>
      </c>
      <c r="AQ1530">
        <v>-44.889853000000002</v>
      </c>
      <c r="AR1530">
        <v>4.5092186597325066</v>
      </c>
      <c r="AS1530" t="s">
        <v>65</v>
      </c>
      <c r="AT1530">
        <v>1</v>
      </c>
      <c r="AU1530" t="s">
        <v>1216</v>
      </c>
      <c r="AV1530" t="s">
        <v>1217</v>
      </c>
      <c r="AW1530" t="s">
        <v>60</v>
      </c>
      <c r="AX1530" t="s">
        <v>68</v>
      </c>
      <c r="AY1530" t="s">
        <v>69</v>
      </c>
      <c r="AZ1530" t="b">
        <v>1</v>
      </c>
    </row>
    <row r="1531" spans="1:52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2142</v>
      </c>
      <c r="F1531" t="s">
        <v>190</v>
      </c>
      <c r="G1531" t="s">
        <v>1801</v>
      </c>
      <c r="H1531" t="s">
        <v>1802</v>
      </c>
      <c r="I1531" t="s">
        <v>1802</v>
      </c>
      <c r="J1531" t="s">
        <v>60</v>
      </c>
      <c r="K1531" t="s">
        <v>1803</v>
      </c>
      <c r="L1531" t="s">
        <v>62</v>
      </c>
      <c r="M1531" t="s">
        <v>1803</v>
      </c>
      <c r="N1531" t="s">
        <v>1804</v>
      </c>
      <c r="O1531" t="s">
        <v>1805</v>
      </c>
      <c r="P1531">
        <v>-20.131599000000001</v>
      </c>
      <c r="Q1531">
        <v>-44.839945</v>
      </c>
      <c r="R1531" s="2" t="str">
        <f>HYPERLINK("https://www.google.com/maps?q=-20.1315990,-44.8399450","Abrir no Google Maps")</f>
        <v>Abrir no Google Maps</v>
      </c>
      <c r="S1531">
        <v>3</v>
      </c>
      <c r="T1531">
        <v>480.67866935083049</v>
      </c>
      <c r="U1531">
        <v>3</v>
      </c>
      <c r="V1531">
        <v>18</v>
      </c>
      <c r="W1531">
        <v>1</v>
      </c>
      <c r="X1531">
        <v>18</v>
      </c>
      <c r="Y1531">
        <v>118</v>
      </c>
      <c r="Z1531">
        <v>505.26312452494989</v>
      </c>
      <c r="AA1531">
        <v>198</v>
      </c>
      <c r="AB1531">
        <v>332</v>
      </c>
      <c r="AC1531">
        <v>536</v>
      </c>
      <c r="AD1531">
        <v>28.93</v>
      </c>
      <c r="AE1531">
        <v>542</v>
      </c>
      <c r="AF1531">
        <v>28</v>
      </c>
      <c r="AG1531">
        <v>168</v>
      </c>
      <c r="AH1531">
        <v>129</v>
      </c>
      <c r="AI1531">
        <v>5.17</v>
      </c>
      <c r="AJ1531">
        <v>31</v>
      </c>
      <c r="AK1531">
        <v>23.8</v>
      </c>
      <c r="AL1531">
        <v>-20.131561999999949</v>
      </c>
      <c r="AM1531">
        <v>-44.839930272274998</v>
      </c>
      <c r="AN1531">
        <v>-20.131561999999949</v>
      </c>
      <c r="AO1531">
        <v>-44.839930272274998</v>
      </c>
      <c r="AP1531">
        <v>-20.131599000000001</v>
      </c>
      <c r="AQ1531">
        <v>-44.839945</v>
      </c>
      <c r="AR1531">
        <v>4.3970860299791923</v>
      </c>
      <c r="AS1531" t="s">
        <v>65</v>
      </c>
      <c r="AT1531">
        <v>1</v>
      </c>
      <c r="AU1531" t="s">
        <v>1806</v>
      </c>
      <c r="AV1531" t="s">
        <v>1807</v>
      </c>
      <c r="AW1531" t="s">
        <v>60</v>
      </c>
      <c r="AX1531" t="s">
        <v>68</v>
      </c>
      <c r="AY1531" t="s">
        <v>69</v>
      </c>
      <c r="AZ1531" t="b">
        <v>1</v>
      </c>
    </row>
    <row r="1532" spans="1:52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2142</v>
      </c>
      <c r="F1532" t="s">
        <v>190</v>
      </c>
      <c r="G1532" t="s">
        <v>1224</v>
      </c>
      <c r="H1532" t="s">
        <v>1230</v>
      </c>
      <c r="I1532" t="s">
        <v>1230</v>
      </c>
      <c r="J1532" t="s">
        <v>60</v>
      </c>
      <c r="K1532" t="s">
        <v>828</v>
      </c>
      <c r="L1532" t="s">
        <v>62</v>
      </c>
      <c r="M1532" t="s">
        <v>828</v>
      </c>
      <c r="N1532" t="s">
        <v>1231</v>
      </c>
      <c r="O1532" t="s">
        <v>1232</v>
      </c>
      <c r="P1532">
        <v>-20.136106000000002</v>
      </c>
      <c r="Q1532">
        <v>-44.838470999999998</v>
      </c>
      <c r="R1532" s="2" t="str">
        <f>HYPERLINK("https://www.google.com/maps?q=-20.1361060,-44.8384710","Abrir no Google Maps")</f>
        <v>Abrir no Google Maps</v>
      </c>
      <c r="S1532">
        <v>3</v>
      </c>
      <c r="T1532">
        <v>910.01690137237858</v>
      </c>
      <c r="U1532">
        <v>3</v>
      </c>
      <c r="V1532">
        <v>21</v>
      </c>
      <c r="W1532">
        <v>1</v>
      </c>
      <c r="X1532">
        <v>21</v>
      </c>
      <c r="Y1532">
        <v>118</v>
      </c>
      <c r="Z1532">
        <v>892.76979321439796</v>
      </c>
      <c r="AA1532">
        <v>198</v>
      </c>
      <c r="AB1532">
        <v>332</v>
      </c>
      <c r="AC1532">
        <v>536</v>
      </c>
      <c r="AD1532">
        <v>28.93</v>
      </c>
      <c r="AE1532">
        <v>542</v>
      </c>
      <c r="AF1532">
        <v>28</v>
      </c>
      <c r="AG1532">
        <v>168</v>
      </c>
      <c r="AH1532">
        <v>129</v>
      </c>
      <c r="AI1532">
        <v>5.17</v>
      </c>
      <c r="AJ1532">
        <v>31</v>
      </c>
      <c r="AK1532">
        <v>23.8</v>
      </c>
      <c r="AL1532">
        <v>-20.136356149999951</v>
      </c>
      <c r="AM1532">
        <v>-44.838929886373997</v>
      </c>
      <c r="AN1532">
        <v>-20.136356149999951</v>
      </c>
      <c r="AO1532">
        <v>-44.838929886373997</v>
      </c>
      <c r="AP1532">
        <v>-20.136106000000002</v>
      </c>
      <c r="AQ1532">
        <v>-44.838470999999998</v>
      </c>
      <c r="AR1532">
        <v>55.458802856549369</v>
      </c>
      <c r="AS1532" t="s">
        <v>65</v>
      </c>
      <c r="AT1532">
        <v>1</v>
      </c>
      <c r="AU1532" t="s">
        <v>1233</v>
      </c>
      <c r="AV1532" t="s">
        <v>1234</v>
      </c>
      <c r="AW1532" t="s">
        <v>60</v>
      </c>
      <c r="AX1532" t="s">
        <v>68</v>
      </c>
      <c r="AY1532" t="s">
        <v>69</v>
      </c>
      <c r="AZ1532" t="b">
        <v>1</v>
      </c>
    </row>
    <row r="1533" spans="1:52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2142</v>
      </c>
      <c r="F1533" t="s">
        <v>190</v>
      </c>
      <c r="G1533" t="s">
        <v>826</v>
      </c>
      <c r="H1533" t="s">
        <v>827</v>
      </c>
      <c r="I1533" t="s">
        <v>827</v>
      </c>
      <c r="J1533" t="s">
        <v>60</v>
      </c>
      <c r="K1533" t="s">
        <v>828</v>
      </c>
      <c r="L1533" t="s">
        <v>62</v>
      </c>
      <c r="M1533" t="s">
        <v>828</v>
      </c>
      <c r="N1533" t="s">
        <v>829</v>
      </c>
      <c r="O1533" t="s">
        <v>830</v>
      </c>
      <c r="P1533">
        <v>-20.128309999999999</v>
      </c>
      <c r="Q1533">
        <v>-44.8367</v>
      </c>
      <c r="R1533" s="2" t="str">
        <f>HYPERLINK("https://www.google.com/maps?q=-20.1283100,-44.8367000","Abrir no Google Maps")</f>
        <v>Abrir no Google Maps</v>
      </c>
      <c r="S1533">
        <v>3</v>
      </c>
      <c r="T1533">
        <v>0</v>
      </c>
      <c r="U1533">
        <v>3</v>
      </c>
      <c r="V1533">
        <v>22</v>
      </c>
      <c r="W1533">
        <v>1</v>
      </c>
      <c r="X1533">
        <v>22</v>
      </c>
      <c r="Y1533">
        <v>118</v>
      </c>
      <c r="Z1533">
        <v>65.93296364139367</v>
      </c>
      <c r="AA1533">
        <v>198</v>
      </c>
      <c r="AB1533">
        <v>332</v>
      </c>
      <c r="AC1533">
        <v>536</v>
      </c>
      <c r="AD1533">
        <v>28.93</v>
      </c>
      <c r="AE1533">
        <v>542</v>
      </c>
      <c r="AF1533">
        <v>28</v>
      </c>
      <c r="AG1533">
        <v>168</v>
      </c>
      <c r="AH1533">
        <v>129</v>
      </c>
      <c r="AI1533">
        <v>5.17</v>
      </c>
      <c r="AJ1533">
        <v>31</v>
      </c>
      <c r="AK1533">
        <v>23.8</v>
      </c>
      <c r="AL1533">
        <v>-20.128383649999961</v>
      </c>
      <c r="AM1533">
        <v>-44.836795615491283</v>
      </c>
      <c r="AN1533">
        <v>-20.128383649999961</v>
      </c>
      <c r="AO1533">
        <v>-44.836795615491283</v>
      </c>
      <c r="AP1533">
        <v>-20.128309999999999</v>
      </c>
      <c r="AQ1533">
        <v>-44.8367</v>
      </c>
      <c r="AR1533">
        <v>12.92654496723039</v>
      </c>
      <c r="AS1533" t="s">
        <v>65</v>
      </c>
      <c r="AT1533">
        <v>1</v>
      </c>
      <c r="AU1533" t="s">
        <v>831</v>
      </c>
      <c r="AV1533" t="s">
        <v>832</v>
      </c>
      <c r="AW1533" t="s">
        <v>60</v>
      </c>
      <c r="AX1533" t="s">
        <v>68</v>
      </c>
      <c r="AY1533" t="s">
        <v>69</v>
      </c>
      <c r="AZ1533" t="b">
        <v>1</v>
      </c>
    </row>
    <row r="1534" spans="1:52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2142</v>
      </c>
      <c r="F1534" t="s">
        <v>190</v>
      </c>
      <c r="G1534" t="s">
        <v>1825</v>
      </c>
      <c r="H1534" t="s">
        <v>1826</v>
      </c>
      <c r="I1534" t="s">
        <v>1826</v>
      </c>
      <c r="J1534" t="s">
        <v>60</v>
      </c>
      <c r="K1534" t="s">
        <v>1821</v>
      </c>
      <c r="L1534" t="s">
        <v>62</v>
      </c>
      <c r="M1534" t="s">
        <v>1821</v>
      </c>
      <c r="N1534" t="s">
        <v>1827</v>
      </c>
      <c r="O1534" t="s">
        <v>303</v>
      </c>
      <c r="P1534">
        <v>-20.209962000000001</v>
      </c>
      <c r="Q1534">
        <v>-44.922398000000001</v>
      </c>
      <c r="R1534" s="2" t="str">
        <f>HYPERLINK("https://www.google.com/maps?q=-20.2099620,-44.9223980","Abrir no Google Maps")</f>
        <v>Abrir no Google Maps</v>
      </c>
      <c r="S1534">
        <v>3</v>
      </c>
      <c r="T1534">
        <v>2648.9288862562971</v>
      </c>
      <c r="U1534">
        <v>3</v>
      </c>
      <c r="V1534">
        <v>19</v>
      </c>
      <c r="W1534">
        <v>1</v>
      </c>
      <c r="X1534">
        <v>19</v>
      </c>
      <c r="Y1534">
        <v>113</v>
      </c>
      <c r="Z1534">
        <v>2658.455493028307</v>
      </c>
      <c r="AA1534">
        <v>198</v>
      </c>
      <c r="AB1534">
        <v>332</v>
      </c>
      <c r="AC1534">
        <v>536</v>
      </c>
      <c r="AD1534">
        <v>28.93</v>
      </c>
      <c r="AE1534">
        <v>542</v>
      </c>
      <c r="AF1534">
        <v>28</v>
      </c>
      <c r="AG1534">
        <v>168</v>
      </c>
      <c r="AH1534">
        <v>129</v>
      </c>
      <c r="AI1534">
        <v>5.17</v>
      </c>
      <c r="AJ1534">
        <v>31</v>
      </c>
      <c r="AK1534">
        <v>23.8</v>
      </c>
      <c r="AL1534">
        <v>-20.210291849999951</v>
      </c>
      <c r="AM1534">
        <v>-44.921758447931353</v>
      </c>
      <c r="AN1534">
        <v>-20.210291849999951</v>
      </c>
      <c r="AO1534">
        <v>-44.921758447931353</v>
      </c>
      <c r="AP1534">
        <v>-20.209962000000001</v>
      </c>
      <c r="AQ1534">
        <v>-44.922398000000001</v>
      </c>
      <c r="AR1534">
        <v>76.23686013355892</v>
      </c>
      <c r="AS1534" t="s">
        <v>65</v>
      </c>
      <c r="AT1534">
        <v>1</v>
      </c>
      <c r="AU1534" t="s">
        <v>1828</v>
      </c>
      <c r="AV1534" t="s">
        <v>1829</v>
      </c>
      <c r="AW1534" t="s">
        <v>60</v>
      </c>
      <c r="AX1534" t="s">
        <v>68</v>
      </c>
      <c r="AY1534" t="s">
        <v>69</v>
      </c>
      <c r="AZ1534" t="b">
        <v>1</v>
      </c>
    </row>
    <row r="1535" spans="1:52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2142</v>
      </c>
      <c r="F1535" t="s">
        <v>190</v>
      </c>
      <c r="G1535" t="s">
        <v>2062</v>
      </c>
      <c r="H1535" t="s">
        <v>2063</v>
      </c>
      <c r="I1535" t="s">
        <v>2063</v>
      </c>
      <c r="J1535" t="s">
        <v>60</v>
      </c>
      <c r="K1535" t="s">
        <v>1237</v>
      </c>
      <c r="L1535" t="s">
        <v>62</v>
      </c>
      <c r="M1535" t="s">
        <v>1237</v>
      </c>
      <c r="N1535" t="s">
        <v>2064</v>
      </c>
      <c r="O1535" t="s">
        <v>2065</v>
      </c>
      <c r="P1535">
        <v>-20.199923999999999</v>
      </c>
      <c r="Q1535">
        <v>-44.945999999999998</v>
      </c>
      <c r="R1535" s="2" t="str">
        <f>HYPERLINK("https://www.google.com/maps?q=-20.1999240,-44.9460000","Abrir no Google Maps")</f>
        <v>Abrir no Google Maps</v>
      </c>
      <c r="S1535">
        <v>3</v>
      </c>
      <c r="T1535">
        <v>1216.1967888086051</v>
      </c>
      <c r="U1535">
        <v>3</v>
      </c>
      <c r="V1535">
        <v>19</v>
      </c>
      <c r="W1535">
        <v>0.85</v>
      </c>
      <c r="X1535">
        <v>16.149999999999999</v>
      </c>
      <c r="Y1535">
        <v>113</v>
      </c>
      <c r="Z1535">
        <v>968.58538409204391</v>
      </c>
      <c r="AA1535">
        <v>198</v>
      </c>
      <c r="AB1535">
        <v>332</v>
      </c>
      <c r="AC1535">
        <v>536</v>
      </c>
      <c r="AD1535">
        <v>28.93</v>
      </c>
      <c r="AE1535">
        <v>542</v>
      </c>
      <c r="AF1535">
        <v>28</v>
      </c>
      <c r="AG1535">
        <v>168</v>
      </c>
      <c r="AH1535">
        <v>129</v>
      </c>
      <c r="AI1535">
        <v>5.17</v>
      </c>
      <c r="AJ1535">
        <v>31</v>
      </c>
      <c r="AK1535">
        <v>23.8</v>
      </c>
      <c r="AL1535">
        <v>-20.199893249999949</v>
      </c>
      <c r="AM1535">
        <v>-44.946291931421001</v>
      </c>
      <c r="AN1535">
        <v>-20.199893249999949</v>
      </c>
      <c r="AO1535">
        <v>-44.946291931421001</v>
      </c>
      <c r="AP1535">
        <v>-20.199923999999999</v>
      </c>
      <c r="AQ1535">
        <v>-44.945999999999998</v>
      </c>
      <c r="AR1535">
        <v>30.690481010373571</v>
      </c>
      <c r="AS1535" t="s">
        <v>65</v>
      </c>
      <c r="AT1535">
        <v>1</v>
      </c>
      <c r="AU1535" t="s">
        <v>2066</v>
      </c>
      <c r="AV1535" t="s">
        <v>2067</v>
      </c>
      <c r="AW1535" t="s">
        <v>60</v>
      </c>
      <c r="AX1535" t="s">
        <v>68</v>
      </c>
      <c r="AY1535" t="s">
        <v>69</v>
      </c>
      <c r="AZ1535" t="b">
        <v>1</v>
      </c>
    </row>
    <row r="1536" spans="1:52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2142</v>
      </c>
      <c r="F1536" t="s">
        <v>190</v>
      </c>
      <c r="G1536" t="s">
        <v>1235</v>
      </c>
      <c r="H1536" t="s">
        <v>1847</v>
      </c>
      <c r="I1536" t="s">
        <v>1847</v>
      </c>
      <c r="J1536" t="s">
        <v>60</v>
      </c>
      <c r="K1536" t="s">
        <v>1243</v>
      </c>
      <c r="L1536" t="s">
        <v>62</v>
      </c>
      <c r="M1536" t="s">
        <v>1243</v>
      </c>
      <c r="N1536" t="s">
        <v>1238</v>
      </c>
      <c r="O1536" t="s">
        <v>1351</v>
      </c>
      <c r="P1536">
        <v>-20.194087</v>
      </c>
      <c r="Q1536">
        <v>-44.936889999999998</v>
      </c>
      <c r="R1536" s="2" t="str">
        <f>HYPERLINK("https://www.google.com/maps?q=-20.1940870,-44.9368900","Abrir no Google Maps")</f>
        <v>Abrir no Google Maps</v>
      </c>
      <c r="S1536">
        <v>3</v>
      </c>
      <c r="T1536">
        <v>257.18642318734362</v>
      </c>
      <c r="U1536">
        <v>3</v>
      </c>
      <c r="V1536">
        <v>16</v>
      </c>
      <c r="W1536">
        <v>1</v>
      </c>
      <c r="X1536">
        <v>16</v>
      </c>
      <c r="Y1536">
        <v>113</v>
      </c>
      <c r="Z1536">
        <v>339.77652558311001</v>
      </c>
      <c r="AA1536">
        <v>198</v>
      </c>
      <c r="AB1536">
        <v>332</v>
      </c>
      <c r="AC1536">
        <v>536</v>
      </c>
      <c r="AD1536">
        <v>28.93</v>
      </c>
      <c r="AE1536">
        <v>542</v>
      </c>
      <c r="AF1536">
        <v>28</v>
      </c>
      <c r="AG1536">
        <v>168</v>
      </c>
      <c r="AH1536">
        <v>129</v>
      </c>
      <c r="AI1536">
        <v>5.17</v>
      </c>
      <c r="AJ1536">
        <v>31</v>
      </c>
      <c r="AK1536">
        <v>23.8</v>
      </c>
      <c r="AL1536">
        <v>-20.19405954999996</v>
      </c>
      <c r="AM1536">
        <v>-44.936949074015281</v>
      </c>
      <c r="AN1536">
        <v>-20.19405954999996</v>
      </c>
      <c r="AO1536">
        <v>-44.936949074015281</v>
      </c>
      <c r="AP1536">
        <v>-20.194087</v>
      </c>
      <c r="AQ1536">
        <v>-44.936889999999998</v>
      </c>
      <c r="AR1536">
        <v>6.8869138825619167</v>
      </c>
      <c r="AS1536" t="s">
        <v>65</v>
      </c>
      <c r="AT1536">
        <v>1</v>
      </c>
      <c r="AU1536" t="s">
        <v>1848</v>
      </c>
      <c r="AV1536" t="s">
        <v>1849</v>
      </c>
      <c r="AW1536" t="s">
        <v>60</v>
      </c>
      <c r="AX1536" t="s">
        <v>68</v>
      </c>
      <c r="AY1536" t="s">
        <v>69</v>
      </c>
      <c r="AZ1536" t="b">
        <v>1</v>
      </c>
    </row>
    <row r="1537" spans="1:52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2142</v>
      </c>
      <c r="F1537" t="s">
        <v>190</v>
      </c>
      <c r="G1537" t="s">
        <v>1850</v>
      </c>
      <c r="H1537" t="s">
        <v>1851</v>
      </c>
      <c r="I1537" t="s">
        <v>1851</v>
      </c>
      <c r="J1537" t="s">
        <v>60</v>
      </c>
      <c r="K1537" t="s">
        <v>1681</v>
      </c>
      <c r="L1537" t="s">
        <v>62</v>
      </c>
      <c r="M1537" t="s">
        <v>1681</v>
      </c>
      <c r="N1537" t="s">
        <v>1852</v>
      </c>
      <c r="O1537" t="s">
        <v>1853</v>
      </c>
      <c r="P1537">
        <v>-20.139354000000001</v>
      </c>
      <c r="Q1537">
        <v>-44.855398999999998</v>
      </c>
      <c r="R1537" s="2" t="str">
        <f>HYPERLINK("https://www.google.com/maps?q=-20.1393540,-44.8553990","Abrir no Google Maps")</f>
        <v>Abrir no Google Maps</v>
      </c>
      <c r="S1537">
        <v>3</v>
      </c>
      <c r="T1537">
        <v>694.41696355871329</v>
      </c>
      <c r="U1537">
        <v>3</v>
      </c>
      <c r="V1537">
        <v>18</v>
      </c>
      <c r="W1537">
        <v>1</v>
      </c>
      <c r="X1537">
        <v>18</v>
      </c>
      <c r="Y1537">
        <v>95</v>
      </c>
      <c r="Z1537">
        <v>790.58507878435637</v>
      </c>
      <c r="AA1537">
        <v>198</v>
      </c>
      <c r="AB1537">
        <v>332</v>
      </c>
      <c r="AC1537">
        <v>536</v>
      </c>
      <c r="AD1537">
        <v>28.93</v>
      </c>
      <c r="AE1537">
        <v>542</v>
      </c>
      <c r="AF1537">
        <v>28</v>
      </c>
      <c r="AG1537">
        <v>168</v>
      </c>
      <c r="AH1537">
        <v>129</v>
      </c>
      <c r="AI1537">
        <v>5.17</v>
      </c>
      <c r="AJ1537">
        <v>31</v>
      </c>
      <c r="AK1537">
        <v>23.8</v>
      </c>
      <c r="AL1537">
        <v>-20.139412599999961</v>
      </c>
      <c r="AM1537">
        <v>-44.855150404999961</v>
      </c>
      <c r="AN1537">
        <v>-20.139412599999961</v>
      </c>
      <c r="AO1537">
        <v>-44.855150404999961</v>
      </c>
      <c r="AP1537">
        <v>-20.139354000000001</v>
      </c>
      <c r="AQ1537">
        <v>-44.855398999999998</v>
      </c>
      <c r="AR1537">
        <v>26.787980665123101</v>
      </c>
      <c r="AS1537" t="s">
        <v>65</v>
      </c>
      <c r="AT1537">
        <v>1</v>
      </c>
      <c r="AU1537" t="s">
        <v>1854</v>
      </c>
      <c r="AV1537" t="s">
        <v>1855</v>
      </c>
      <c r="AW1537" t="s">
        <v>60</v>
      </c>
      <c r="AX1537" t="s">
        <v>68</v>
      </c>
      <c r="AY1537" t="s">
        <v>69</v>
      </c>
      <c r="AZ1537" t="b">
        <v>1</v>
      </c>
    </row>
    <row r="1538" spans="1:52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2142</v>
      </c>
      <c r="F1538" t="s">
        <v>1247</v>
      </c>
      <c r="G1538" t="s">
        <v>191</v>
      </c>
      <c r="H1538" t="s">
        <v>192</v>
      </c>
      <c r="I1538" t="s">
        <v>192</v>
      </c>
      <c r="J1538" t="s">
        <v>60</v>
      </c>
      <c r="K1538" t="s">
        <v>193</v>
      </c>
      <c r="L1538" t="s">
        <v>62</v>
      </c>
      <c r="M1538" t="s">
        <v>193</v>
      </c>
      <c r="N1538" t="s">
        <v>194</v>
      </c>
      <c r="O1538" t="s">
        <v>195</v>
      </c>
      <c r="P1538">
        <v>-20.143266000000001</v>
      </c>
      <c r="Q1538">
        <v>-44.912075000000002</v>
      </c>
      <c r="R1538" s="2" t="str">
        <f>HYPERLINK("https://www.google.com/maps?q=-20.1432660,-44.9120750","Abrir no Google Maps")</f>
        <v>Abrir no Google Maps</v>
      </c>
      <c r="S1538">
        <v>4</v>
      </c>
      <c r="T1538">
        <v>467.04339396175408</v>
      </c>
      <c r="U1538">
        <v>4</v>
      </c>
      <c r="V1538">
        <v>25</v>
      </c>
      <c r="W1538">
        <v>1</v>
      </c>
      <c r="X1538">
        <v>25</v>
      </c>
      <c r="Y1538">
        <v>747</v>
      </c>
      <c r="Z1538">
        <v>585.1742452866996</v>
      </c>
      <c r="AA1538">
        <v>198</v>
      </c>
      <c r="AB1538">
        <v>332</v>
      </c>
      <c r="AC1538">
        <v>536</v>
      </c>
      <c r="AD1538">
        <v>28.93</v>
      </c>
      <c r="AE1538">
        <v>542</v>
      </c>
      <c r="AF1538">
        <v>28</v>
      </c>
      <c r="AG1538">
        <v>168</v>
      </c>
      <c r="AH1538">
        <v>129</v>
      </c>
      <c r="AI1538">
        <v>5.17</v>
      </c>
      <c r="AJ1538">
        <v>31</v>
      </c>
      <c r="AK1538">
        <v>23.8</v>
      </c>
      <c r="AL1538">
        <v>-20.143307949999951</v>
      </c>
      <c r="AM1538">
        <v>-44.912066629431067</v>
      </c>
      <c r="AN1538">
        <v>-20.143307949999951</v>
      </c>
      <c r="AO1538">
        <v>-44.912066629431067</v>
      </c>
      <c r="AP1538">
        <v>-20.143266000000001</v>
      </c>
      <c r="AQ1538">
        <v>-44.912075000000002</v>
      </c>
      <c r="AR1538">
        <v>4.751108024498329</v>
      </c>
      <c r="AS1538" t="s">
        <v>65</v>
      </c>
      <c r="AT1538">
        <v>1</v>
      </c>
      <c r="AU1538" t="s">
        <v>196</v>
      </c>
      <c r="AV1538" t="s">
        <v>197</v>
      </c>
      <c r="AW1538" t="s">
        <v>60</v>
      </c>
      <c r="AX1538" t="s">
        <v>68</v>
      </c>
      <c r="AY1538" t="s">
        <v>69</v>
      </c>
      <c r="AZ1538" t="b">
        <v>1</v>
      </c>
    </row>
    <row r="1539" spans="1:52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2142</v>
      </c>
      <c r="F1539" t="s">
        <v>1247</v>
      </c>
      <c r="G1539" t="s">
        <v>89</v>
      </c>
      <c r="H1539" t="s">
        <v>90</v>
      </c>
      <c r="I1539" t="s">
        <v>90</v>
      </c>
      <c r="J1539" t="s">
        <v>60</v>
      </c>
      <c r="K1539" t="s">
        <v>72</v>
      </c>
      <c r="L1539" t="s">
        <v>62</v>
      </c>
      <c r="M1539" t="s">
        <v>72</v>
      </c>
      <c r="N1539" t="s">
        <v>91</v>
      </c>
      <c r="O1539" t="s">
        <v>92</v>
      </c>
      <c r="P1539">
        <v>-20.145848999999998</v>
      </c>
      <c r="Q1539">
        <v>-44.908419000000002</v>
      </c>
      <c r="R1539" s="2" t="str">
        <f>HYPERLINK("https://www.google.com/maps?q=-20.1458490,-44.9084190","Abrir no Google Maps")</f>
        <v>Abrir no Google Maps</v>
      </c>
      <c r="S1539">
        <v>4</v>
      </c>
      <c r="T1539">
        <v>0</v>
      </c>
      <c r="U1539">
        <v>4</v>
      </c>
      <c r="V1539">
        <v>26</v>
      </c>
      <c r="W1539">
        <v>1</v>
      </c>
      <c r="X1539">
        <v>26</v>
      </c>
      <c r="Y1539">
        <v>747</v>
      </c>
      <c r="Z1539">
        <v>136.08168502765241</v>
      </c>
      <c r="AA1539">
        <v>198</v>
      </c>
      <c r="AB1539">
        <v>332</v>
      </c>
      <c r="AC1539">
        <v>536</v>
      </c>
      <c r="AD1539">
        <v>28.93</v>
      </c>
      <c r="AE1539">
        <v>542</v>
      </c>
      <c r="AF1539">
        <v>28</v>
      </c>
      <c r="AG1539">
        <v>168</v>
      </c>
      <c r="AH1539">
        <v>129</v>
      </c>
      <c r="AI1539">
        <v>5.17</v>
      </c>
      <c r="AJ1539">
        <v>31</v>
      </c>
      <c r="AK1539">
        <v>23.8</v>
      </c>
      <c r="AL1539">
        <v>-20.14576979999995</v>
      </c>
      <c r="AM1539">
        <v>-44.908436775053183</v>
      </c>
      <c r="AN1539">
        <v>-20.14576979999995</v>
      </c>
      <c r="AO1539">
        <v>-44.908436775053183</v>
      </c>
      <c r="AP1539">
        <v>-20.145848999999998</v>
      </c>
      <c r="AQ1539">
        <v>-44.908419000000002</v>
      </c>
      <c r="AR1539">
        <v>9.0101247482327356</v>
      </c>
      <c r="AS1539" t="s">
        <v>65</v>
      </c>
      <c r="AT1539">
        <v>1</v>
      </c>
      <c r="AU1539" t="s">
        <v>93</v>
      </c>
      <c r="AV1539" t="s">
        <v>94</v>
      </c>
      <c r="AW1539" t="s">
        <v>60</v>
      </c>
      <c r="AX1539" t="s">
        <v>68</v>
      </c>
      <c r="AY1539" t="s">
        <v>69</v>
      </c>
      <c r="AZ1539" t="b">
        <v>1</v>
      </c>
    </row>
    <row r="1540" spans="1:52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2142</v>
      </c>
      <c r="F1540" t="s">
        <v>1247</v>
      </c>
      <c r="G1540" t="s">
        <v>100</v>
      </c>
      <c r="H1540" t="s">
        <v>101</v>
      </c>
      <c r="I1540" t="s">
        <v>101</v>
      </c>
      <c r="J1540" t="s">
        <v>60</v>
      </c>
      <c r="K1540" t="s">
        <v>61</v>
      </c>
      <c r="L1540" t="s">
        <v>62</v>
      </c>
      <c r="M1540" t="s">
        <v>61</v>
      </c>
      <c r="N1540" t="s">
        <v>102</v>
      </c>
      <c r="O1540" t="s">
        <v>103</v>
      </c>
      <c r="P1540">
        <v>-20.151098999999999</v>
      </c>
      <c r="Q1540">
        <v>-44.909699000000003</v>
      </c>
      <c r="R1540" s="2" t="str">
        <f>HYPERLINK("https://www.google.com/maps?q=-20.1510990,-44.9096990","Abrir no Google Maps")</f>
        <v>Abrir no Google Maps</v>
      </c>
      <c r="S1540">
        <v>4</v>
      </c>
      <c r="T1540">
        <v>628.5023128813533</v>
      </c>
      <c r="U1540">
        <v>4</v>
      </c>
      <c r="V1540">
        <v>57</v>
      </c>
      <c r="W1540">
        <v>1</v>
      </c>
      <c r="X1540">
        <v>57</v>
      </c>
      <c r="Y1540">
        <v>747</v>
      </c>
      <c r="Z1540">
        <v>563.16456625265948</v>
      </c>
      <c r="AA1540">
        <v>198</v>
      </c>
      <c r="AB1540">
        <v>332</v>
      </c>
      <c r="AC1540">
        <v>536</v>
      </c>
      <c r="AD1540">
        <v>28.93</v>
      </c>
      <c r="AE1540">
        <v>542</v>
      </c>
      <c r="AF1540">
        <v>28</v>
      </c>
      <c r="AG1540">
        <v>168</v>
      </c>
      <c r="AH1540">
        <v>129</v>
      </c>
      <c r="AI1540">
        <v>5.17</v>
      </c>
      <c r="AJ1540">
        <v>31</v>
      </c>
      <c r="AK1540">
        <v>23.8</v>
      </c>
      <c r="AL1540">
        <v>-20.151307349999971</v>
      </c>
      <c r="AM1540">
        <v>-44.909772836123523</v>
      </c>
      <c r="AN1540">
        <v>-20.151307349999971</v>
      </c>
      <c r="AO1540">
        <v>-44.909772836123523</v>
      </c>
      <c r="AP1540">
        <v>-20.151098999999999</v>
      </c>
      <c r="AQ1540">
        <v>-44.909699000000003</v>
      </c>
      <c r="AR1540">
        <v>24.443417349564811</v>
      </c>
      <c r="AS1540" t="s">
        <v>65</v>
      </c>
      <c r="AT1540">
        <v>1</v>
      </c>
      <c r="AU1540" t="s">
        <v>104</v>
      </c>
      <c r="AV1540" t="s">
        <v>105</v>
      </c>
      <c r="AW1540" t="s">
        <v>60</v>
      </c>
      <c r="AX1540" t="s">
        <v>68</v>
      </c>
      <c r="AY1540" t="s">
        <v>69</v>
      </c>
      <c r="AZ1540" t="b">
        <v>1</v>
      </c>
    </row>
    <row r="1541" spans="1:52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2142</v>
      </c>
      <c r="F1541" t="s">
        <v>1247</v>
      </c>
      <c r="G1541" t="s">
        <v>58</v>
      </c>
      <c r="H1541" t="s">
        <v>59</v>
      </c>
      <c r="I1541" t="s">
        <v>59</v>
      </c>
      <c r="J1541" t="s">
        <v>60</v>
      </c>
      <c r="K1541" t="s">
        <v>61</v>
      </c>
      <c r="L1541" t="s">
        <v>62</v>
      </c>
      <c r="M1541" t="s">
        <v>61</v>
      </c>
      <c r="N1541" t="s">
        <v>63</v>
      </c>
      <c r="O1541" t="s">
        <v>64</v>
      </c>
      <c r="P1541">
        <v>-20.147940999999999</v>
      </c>
      <c r="Q1541">
        <v>-44.906514000000001</v>
      </c>
      <c r="R1541" s="2" t="str">
        <f>HYPERLINK("https://www.google.com/maps?q=-20.1479410,-44.9065140","Abrir no Google Maps")</f>
        <v>Abrir no Google Maps</v>
      </c>
      <c r="S1541">
        <v>4</v>
      </c>
      <c r="T1541">
        <v>308.67004994113421</v>
      </c>
      <c r="U1541">
        <v>3</v>
      </c>
      <c r="V1541">
        <v>21</v>
      </c>
      <c r="W1541">
        <v>1</v>
      </c>
      <c r="X1541">
        <v>21</v>
      </c>
      <c r="Y1541">
        <v>747</v>
      </c>
      <c r="Z1541">
        <v>274.71440454502522</v>
      </c>
      <c r="AA1541">
        <v>198</v>
      </c>
      <c r="AB1541">
        <v>332</v>
      </c>
      <c r="AC1541">
        <v>536</v>
      </c>
      <c r="AD1541">
        <v>28.93</v>
      </c>
      <c r="AE1541">
        <v>542</v>
      </c>
      <c r="AF1541">
        <v>28</v>
      </c>
      <c r="AG1541">
        <v>168</v>
      </c>
      <c r="AH1541">
        <v>129</v>
      </c>
      <c r="AI1541">
        <v>5.17</v>
      </c>
      <c r="AJ1541">
        <v>31</v>
      </c>
      <c r="AK1541">
        <v>23.8</v>
      </c>
      <c r="AL1541">
        <v>-20.147947799999969</v>
      </c>
      <c r="AM1541">
        <v>-44.906591596129203</v>
      </c>
      <c r="AN1541">
        <v>-20.147947799999969</v>
      </c>
      <c r="AO1541">
        <v>-44.906591596129203</v>
      </c>
      <c r="AP1541">
        <v>-20.147940999999999</v>
      </c>
      <c r="AQ1541">
        <v>-44.906514000000001</v>
      </c>
      <c r="AR1541">
        <v>8.1446636170570326</v>
      </c>
      <c r="AS1541" t="s">
        <v>65</v>
      </c>
      <c r="AT1541">
        <v>1</v>
      </c>
      <c r="AU1541" t="s">
        <v>66</v>
      </c>
      <c r="AV1541" t="s">
        <v>67</v>
      </c>
      <c r="AW1541" t="s">
        <v>60</v>
      </c>
      <c r="AX1541" t="s">
        <v>68</v>
      </c>
      <c r="AY1541" t="s">
        <v>69</v>
      </c>
      <c r="AZ1541" t="b">
        <v>1</v>
      </c>
    </row>
    <row r="1542" spans="1:52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2142</v>
      </c>
      <c r="F1542" t="s">
        <v>1247</v>
      </c>
      <c r="G1542" t="s">
        <v>70</v>
      </c>
      <c r="H1542" t="s">
        <v>71</v>
      </c>
      <c r="I1542" t="s">
        <v>71</v>
      </c>
      <c r="J1542" t="s">
        <v>60</v>
      </c>
      <c r="K1542" t="s">
        <v>72</v>
      </c>
      <c r="L1542" t="s">
        <v>62</v>
      </c>
      <c r="M1542" t="s">
        <v>72</v>
      </c>
      <c r="N1542" t="s">
        <v>73</v>
      </c>
      <c r="O1542" t="s">
        <v>74</v>
      </c>
      <c r="P1542">
        <v>-20.149349000000001</v>
      </c>
      <c r="Q1542">
        <v>-44.910784</v>
      </c>
      <c r="R1542" s="2" t="str">
        <f>HYPERLINK("https://www.google.com/maps?q=-20.1493490,-44.9107840","Abrir no Google Maps")</f>
        <v>Abrir no Google Maps</v>
      </c>
      <c r="S1542">
        <v>4</v>
      </c>
      <c r="T1542">
        <v>472.43876549769578</v>
      </c>
      <c r="U1542">
        <v>3</v>
      </c>
      <c r="V1542">
        <v>20</v>
      </c>
      <c r="W1542">
        <v>1</v>
      </c>
      <c r="X1542">
        <v>20</v>
      </c>
      <c r="Y1542">
        <v>747</v>
      </c>
      <c r="Z1542">
        <v>441.03921887407779</v>
      </c>
      <c r="AA1542">
        <v>198</v>
      </c>
      <c r="AB1542">
        <v>332</v>
      </c>
      <c r="AC1542">
        <v>536</v>
      </c>
      <c r="AD1542">
        <v>28.93</v>
      </c>
      <c r="AE1542">
        <v>542</v>
      </c>
      <c r="AF1542">
        <v>28</v>
      </c>
      <c r="AG1542">
        <v>168</v>
      </c>
      <c r="AH1542">
        <v>129</v>
      </c>
      <c r="AI1542">
        <v>5.17</v>
      </c>
      <c r="AJ1542">
        <v>31</v>
      </c>
      <c r="AK1542">
        <v>23.8</v>
      </c>
      <c r="AL1542">
        <v>-20.149403999999951</v>
      </c>
      <c r="AM1542">
        <v>-44.91080895147438</v>
      </c>
      <c r="AN1542">
        <v>-20.149403999999951</v>
      </c>
      <c r="AO1542">
        <v>-44.91080895147438</v>
      </c>
      <c r="AP1542">
        <v>-20.149349000000001</v>
      </c>
      <c r="AQ1542">
        <v>-44.910784</v>
      </c>
      <c r="AR1542">
        <v>6.6547592699416382</v>
      </c>
      <c r="AS1542" t="s">
        <v>65</v>
      </c>
      <c r="AT1542">
        <v>1</v>
      </c>
      <c r="AU1542" t="s">
        <v>75</v>
      </c>
      <c r="AV1542" t="s">
        <v>76</v>
      </c>
      <c r="AW1542" t="s">
        <v>60</v>
      </c>
      <c r="AX1542" t="s">
        <v>68</v>
      </c>
      <c r="AY1542" t="s">
        <v>69</v>
      </c>
      <c r="AZ1542" t="b">
        <v>1</v>
      </c>
    </row>
    <row r="1543" spans="1:52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2142</v>
      </c>
      <c r="F1543" t="s">
        <v>1247</v>
      </c>
      <c r="G1543" t="s">
        <v>77</v>
      </c>
      <c r="H1543" t="s">
        <v>78</v>
      </c>
      <c r="I1543" t="s">
        <v>78</v>
      </c>
      <c r="J1543" t="s">
        <v>60</v>
      </c>
      <c r="K1543" t="s">
        <v>72</v>
      </c>
      <c r="L1543" t="s">
        <v>62</v>
      </c>
      <c r="M1543" t="s">
        <v>72</v>
      </c>
      <c r="N1543" t="s">
        <v>79</v>
      </c>
      <c r="O1543" t="s">
        <v>80</v>
      </c>
      <c r="P1543">
        <v>-20.147821</v>
      </c>
      <c r="Q1543">
        <v>-44.908887</v>
      </c>
      <c r="R1543" s="2" t="str">
        <f>HYPERLINK("https://www.google.com/maps?q=-20.1478210,-44.9088870","Abrir no Google Maps")</f>
        <v>Abrir no Google Maps</v>
      </c>
      <c r="S1543">
        <v>4</v>
      </c>
      <c r="T1543">
        <v>232.2893841532152</v>
      </c>
      <c r="U1543">
        <v>3</v>
      </c>
      <c r="V1543">
        <v>20</v>
      </c>
      <c r="W1543">
        <v>1</v>
      </c>
      <c r="X1543">
        <v>20</v>
      </c>
      <c r="Y1543">
        <v>747</v>
      </c>
      <c r="Z1543">
        <v>195.3668648953757</v>
      </c>
      <c r="AA1543">
        <v>198</v>
      </c>
      <c r="AB1543">
        <v>332</v>
      </c>
      <c r="AC1543">
        <v>536</v>
      </c>
      <c r="AD1543">
        <v>28.93</v>
      </c>
      <c r="AE1543">
        <v>542</v>
      </c>
      <c r="AF1543">
        <v>28</v>
      </c>
      <c r="AG1543">
        <v>168</v>
      </c>
      <c r="AH1543">
        <v>129</v>
      </c>
      <c r="AI1543">
        <v>5.17</v>
      </c>
      <c r="AJ1543">
        <v>31</v>
      </c>
      <c r="AK1543">
        <v>23.8</v>
      </c>
      <c r="AL1543">
        <v>-20.147802849999952</v>
      </c>
      <c r="AM1543">
        <v>-44.908989919229477</v>
      </c>
      <c r="AN1543">
        <v>-20.147802849999952</v>
      </c>
      <c r="AO1543">
        <v>-44.908989919229491</v>
      </c>
      <c r="AP1543">
        <v>-20.147821</v>
      </c>
      <c r="AQ1543">
        <v>-44.908887</v>
      </c>
      <c r="AR1543">
        <v>10.944007761262529</v>
      </c>
      <c r="AS1543" t="s">
        <v>65</v>
      </c>
      <c r="AT1543">
        <v>1</v>
      </c>
      <c r="AU1543" t="s">
        <v>81</v>
      </c>
      <c r="AV1543" t="s">
        <v>82</v>
      </c>
      <c r="AW1543" t="s">
        <v>60</v>
      </c>
      <c r="AX1543" t="s">
        <v>68</v>
      </c>
      <c r="AY1543" t="s">
        <v>69</v>
      </c>
      <c r="AZ1543" t="b">
        <v>1</v>
      </c>
    </row>
    <row r="1544" spans="1:52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2142</v>
      </c>
      <c r="F1544" t="s">
        <v>1247</v>
      </c>
      <c r="G1544" t="s">
        <v>83</v>
      </c>
      <c r="H1544" t="s">
        <v>84</v>
      </c>
      <c r="I1544" t="s">
        <v>84</v>
      </c>
      <c r="J1544" t="s">
        <v>60</v>
      </c>
      <c r="K1544" t="s">
        <v>61</v>
      </c>
      <c r="L1544" t="s">
        <v>62</v>
      </c>
      <c r="M1544" t="s">
        <v>61</v>
      </c>
      <c r="N1544" t="s">
        <v>85</v>
      </c>
      <c r="O1544" t="s">
        <v>86</v>
      </c>
      <c r="P1544">
        <v>-20.149799000000002</v>
      </c>
      <c r="Q1544">
        <v>-44.906517000000001</v>
      </c>
      <c r="R1544" s="2" t="str">
        <f>HYPERLINK("https://www.google.com/maps?q=-20.1497990,-44.9065170","Abrir no Google Maps")</f>
        <v>Abrir no Google Maps</v>
      </c>
      <c r="S1544">
        <v>4</v>
      </c>
      <c r="T1544">
        <v>487.90051105537998</v>
      </c>
      <c r="U1544">
        <v>3</v>
      </c>
      <c r="V1544">
        <v>17</v>
      </c>
      <c r="W1544">
        <v>1</v>
      </c>
      <c r="X1544">
        <v>17</v>
      </c>
      <c r="Y1544">
        <v>747</v>
      </c>
      <c r="Z1544">
        <v>365.93785960107078</v>
      </c>
      <c r="AA1544">
        <v>198</v>
      </c>
      <c r="AB1544">
        <v>332</v>
      </c>
      <c r="AC1544">
        <v>536</v>
      </c>
      <c r="AD1544">
        <v>28.93</v>
      </c>
      <c r="AE1544">
        <v>542</v>
      </c>
      <c r="AF1544">
        <v>28</v>
      </c>
      <c r="AG1544">
        <v>168</v>
      </c>
      <c r="AH1544">
        <v>129</v>
      </c>
      <c r="AI1544">
        <v>5.17</v>
      </c>
      <c r="AJ1544">
        <v>31</v>
      </c>
      <c r="AK1544">
        <v>23.8</v>
      </c>
      <c r="AL1544">
        <v>-20.149879599999959</v>
      </c>
      <c r="AM1544">
        <v>-44.906746466068469</v>
      </c>
      <c r="AN1544">
        <v>-20.149879599999959</v>
      </c>
      <c r="AO1544">
        <v>-44.906746466068469</v>
      </c>
      <c r="AP1544">
        <v>-20.149799000000002</v>
      </c>
      <c r="AQ1544">
        <v>-44.906517000000001</v>
      </c>
      <c r="AR1544">
        <v>25.604276856970429</v>
      </c>
      <c r="AS1544" t="s">
        <v>65</v>
      </c>
      <c r="AT1544">
        <v>1</v>
      </c>
      <c r="AU1544" t="s">
        <v>87</v>
      </c>
      <c r="AV1544" t="s">
        <v>88</v>
      </c>
      <c r="AW1544" t="s">
        <v>60</v>
      </c>
      <c r="AX1544" t="s">
        <v>68</v>
      </c>
      <c r="AY1544" t="s">
        <v>69</v>
      </c>
      <c r="AZ1544" t="b">
        <v>1</v>
      </c>
    </row>
    <row r="1545" spans="1:52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2142</v>
      </c>
      <c r="F1545" t="s">
        <v>1247</v>
      </c>
      <c r="G1545" t="s">
        <v>95</v>
      </c>
      <c r="H1545" t="s">
        <v>96</v>
      </c>
      <c r="I1545" t="s">
        <v>96</v>
      </c>
      <c r="J1545" t="s">
        <v>60</v>
      </c>
      <c r="K1545" t="s">
        <v>72</v>
      </c>
      <c r="L1545" t="s">
        <v>62</v>
      </c>
      <c r="M1545" t="s">
        <v>72</v>
      </c>
      <c r="N1545" t="s">
        <v>97</v>
      </c>
      <c r="O1545" t="s">
        <v>98</v>
      </c>
      <c r="P1545">
        <v>-20.144062999999999</v>
      </c>
      <c r="Q1545">
        <v>-44.909627999999998</v>
      </c>
      <c r="R1545" s="2" t="str">
        <f>HYPERLINK("https://www.google.com/maps?q=-20.1440630,-44.9096280","Abrir no Google Maps")</f>
        <v>Abrir no Google Maps</v>
      </c>
      <c r="S1545">
        <v>4</v>
      </c>
      <c r="T1545">
        <v>205.27083326529291</v>
      </c>
      <c r="U1545">
        <v>3</v>
      </c>
      <c r="V1545">
        <v>20</v>
      </c>
      <c r="W1545">
        <v>1</v>
      </c>
      <c r="X1545">
        <v>20</v>
      </c>
      <c r="Y1545">
        <v>747</v>
      </c>
      <c r="Z1545">
        <v>336.75785483480968</v>
      </c>
      <c r="AA1545">
        <v>198</v>
      </c>
      <c r="AB1545">
        <v>332</v>
      </c>
      <c r="AC1545">
        <v>536</v>
      </c>
      <c r="AD1545">
        <v>28.93</v>
      </c>
      <c r="AE1545">
        <v>542</v>
      </c>
      <c r="AF1545">
        <v>28</v>
      </c>
      <c r="AG1545">
        <v>168</v>
      </c>
      <c r="AH1545">
        <v>129</v>
      </c>
      <c r="AI1545">
        <v>5.17</v>
      </c>
      <c r="AJ1545">
        <v>31</v>
      </c>
      <c r="AK1545">
        <v>23.8</v>
      </c>
      <c r="AL1545">
        <v>-20.144164099999951</v>
      </c>
      <c r="AM1545">
        <v>-44.909420167767642</v>
      </c>
      <c r="AN1545">
        <v>-20.144164099999951</v>
      </c>
      <c r="AO1545">
        <v>-44.909420167767642</v>
      </c>
      <c r="AP1545">
        <v>-20.144062999999999</v>
      </c>
      <c r="AQ1545">
        <v>-44.909627999999998</v>
      </c>
      <c r="AR1545">
        <v>24.46321571724976</v>
      </c>
      <c r="AS1545" t="s">
        <v>65</v>
      </c>
      <c r="AT1545">
        <v>1</v>
      </c>
      <c r="AU1545" t="s">
        <v>99</v>
      </c>
      <c r="AV1545" t="s">
        <v>94</v>
      </c>
      <c r="AW1545" t="s">
        <v>60</v>
      </c>
      <c r="AX1545" t="s">
        <v>68</v>
      </c>
      <c r="AY1545" t="s">
        <v>69</v>
      </c>
      <c r="AZ1545" t="b">
        <v>1</v>
      </c>
    </row>
    <row r="1546" spans="1:52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2142</v>
      </c>
      <c r="F1546" t="s">
        <v>1247</v>
      </c>
      <c r="G1546" t="s">
        <v>100</v>
      </c>
      <c r="H1546" t="s">
        <v>106</v>
      </c>
      <c r="I1546" t="s">
        <v>106</v>
      </c>
      <c r="J1546" t="s">
        <v>60</v>
      </c>
      <c r="K1546" t="s">
        <v>61</v>
      </c>
      <c r="L1546" t="s">
        <v>62</v>
      </c>
      <c r="M1546" t="s">
        <v>61</v>
      </c>
      <c r="N1546" t="s">
        <v>102</v>
      </c>
      <c r="O1546" t="s">
        <v>103</v>
      </c>
      <c r="P1546">
        <v>-20.151107</v>
      </c>
      <c r="Q1546">
        <v>-44.908918</v>
      </c>
      <c r="R1546" s="2" t="str">
        <f>HYPERLINK("https://www.google.com/maps?q=-20.1511070,-44.9089180","Abrir no Google Maps")</f>
        <v>Abrir no Google Maps</v>
      </c>
      <c r="S1546">
        <v>4</v>
      </c>
      <c r="T1546">
        <v>615.86400245321579</v>
      </c>
      <c r="U1546">
        <v>3</v>
      </c>
      <c r="V1546">
        <v>25</v>
      </c>
      <c r="W1546">
        <v>0.85</v>
      </c>
      <c r="X1546">
        <v>21.25</v>
      </c>
      <c r="Y1546">
        <v>747</v>
      </c>
      <c r="Z1546">
        <v>535.34543763764702</v>
      </c>
      <c r="AA1546">
        <v>198</v>
      </c>
      <c r="AB1546">
        <v>332</v>
      </c>
      <c r="AC1546">
        <v>536</v>
      </c>
      <c r="AD1546">
        <v>28.93</v>
      </c>
      <c r="AE1546">
        <v>542</v>
      </c>
      <c r="AF1546">
        <v>28</v>
      </c>
      <c r="AG1546">
        <v>168</v>
      </c>
      <c r="AH1546">
        <v>129</v>
      </c>
      <c r="AI1546">
        <v>5.17</v>
      </c>
      <c r="AJ1546">
        <v>31</v>
      </c>
      <c r="AK1546">
        <v>23.8</v>
      </c>
      <c r="AL1546">
        <v>-20.151307349999971</v>
      </c>
      <c r="AM1546">
        <v>-44.909024234051429</v>
      </c>
      <c r="AN1546">
        <v>-20.151307349999971</v>
      </c>
      <c r="AO1546">
        <v>-44.909024234051429</v>
      </c>
      <c r="AP1546">
        <v>-20.151107</v>
      </c>
      <c r="AQ1546">
        <v>-44.908918</v>
      </c>
      <c r="AR1546">
        <v>24.91340747371116</v>
      </c>
      <c r="AS1546" t="s">
        <v>65</v>
      </c>
      <c r="AT1546">
        <v>1</v>
      </c>
      <c r="AU1546" t="s">
        <v>107</v>
      </c>
      <c r="AV1546" t="s">
        <v>105</v>
      </c>
      <c r="AW1546" t="s">
        <v>60</v>
      </c>
      <c r="AX1546" t="s">
        <v>68</v>
      </c>
      <c r="AY1546" t="s">
        <v>69</v>
      </c>
      <c r="AZ1546" t="b">
        <v>1</v>
      </c>
    </row>
    <row r="1547" spans="1:52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2142</v>
      </c>
      <c r="F1547" t="s">
        <v>1247</v>
      </c>
      <c r="G1547" t="s">
        <v>108</v>
      </c>
      <c r="H1547" t="s">
        <v>109</v>
      </c>
      <c r="I1547" t="s">
        <v>109</v>
      </c>
      <c r="J1547" t="s">
        <v>60</v>
      </c>
      <c r="K1547" t="s">
        <v>110</v>
      </c>
      <c r="L1547" t="s">
        <v>62</v>
      </c>
      <c r="M1547" t="s">
        <v>110</v>
      </c>
      <c r="N1547" t="s">
        <v>111</v>
      </c>
      <c r="O1547" t="s">
        <v>112</v>
      </c>
      <c r="P1547">
        <v>-20.122233999999999</v>
      </c>
      <c r="Q1547">
        <v>-44.909194999999997</v>
      </c>
      <c r="R1547" s="2" t="str">
        <f>HYPERLINK("https://www.google.com/maps?q=-20.1222340,-44.9091950","Abrir no Google Maps")</f>
        <v>Abrir no Google Maps</v>
      </c>
      <c r="S1547">
        <v>4</v>
      </c>
      <c r="T1547">
        <v>1171.396020763932</v>
      </c>
      <c r="U1547">
        <v>3</v>
      </c>
      <c r="V1547">
        <v>20</v>
      </c>
      <c r="W1547">
        <v>0.85</v>
      </c>
      <c r="X1547">
        <v>17</v>
      </c>
      <c r="Y1547">
        <v>567</v>
      </c>
      <c r="Z1547">
        <v>1238.711234283244</v>
      </c>
      <c r="AA1547">
        <v>198</v>
      </c>
      <c r="AB1547">
        <v>332</v>
      </c>
      <c r="AC1547">
        <v>536</v>
      </c>
      <c r="AD1547">
        <v>28.93</v>
      </c>
      <c r="AE1547">
        <v>542</v>
      </c>
      <c r="AF1547">
        <v>28</v>
      </c>
      <c r="AG1547">
        <v>168</v>
      </c>
      <c r="AH1547">
        <v>129</v>
      </c>
      <c r="AI1547">
        <v>5.17</v>
      </c>
      <c r="AJ1547">
        <v>31</v>
      </c>
      <c r="AK1547">
        <v>23.8</v>
      </c>
      <c r="AL1547">
        <v>-20.121881249999941</v>
      </c>
      <c r="AM1547">
        <v>-44.909273766094323</v>
      </c>
      <c r="AN1547">
        <v>-20.121881249999941</v>
      </c>
      <c r="AO1547">
        <v>-44.909273766094323</v>
      </c>
      <c r="AP1547">
        <v>-20.122233999999999</v>
      </c>
      <c r="AQ1547">
        <v>-44.909194999999997</v>
      </c>
      <c r="AR1547">
        <v>40.12192930593006</v>
      </c>
      <c r="AS1547" t="s">
        <v>65</v>
      </c>
      <c r="AT1547">
        <v>1</v>
      </c>
      <c r="AU1547" t="s">
        <v>113</v>
      </c>
      <c r="AV1547" t="s">
        <v>114</v>
      </c>
      <c r="AW1547" t="s">
        <v>60</v>
      </c>
      <c r="AX1547" t="s">
        <v>68</v>
      </c>
      <c r="AY1547" t="s">
        <v>69</v>
      </c>
      <c r="AZ1547" t="b">
        <v>1</v>
      </c>
    </row>
    <row r="1548" spans="1:52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2142</v>
      </c>
      <c r="F1548" t="s">
        <v>1247</v>
      </c>
      <c r="G1548" t="s">
        <v>115</v>
      </c>
      <c r="H1548" t="s">
        <v>116</v>
      </c>
      <c r="I1548" t="s">
        <v>116</v>
      </c>
      <c r="J1548" t="s">
        <v>60</v>
      </c>
      <c r="K1548" t="s">
        <v>117</v>
      </c>
      <c r="L1548" t="s">
        <v>62</v>
      </c>
      <c r="M1548" t="s">
        <v>117</v>
      </c>
      <c r="N1548" t="s">
        <v>118</v>
      </c>
      <c r="O1548" t="s">
        <v>119</v>
      </c>
      <c r="P1548">
        <v>-20.116992</v>
      </c>
      <c r="Q1548">
        <v>-44.899355</v>
      </c>
      <c r="R1548" s="2" t="str">
        <f>HYPERLINK("https://www.google.com/maps?q=-20.1169920,-44.8993550","Abrir no Google Maps")</f>
        <v>Abrir no Google Maps</v>
      </c>
      <c r="S1548">
        <v>4</v>
      </c>
      <c r="T1548">
        <v>0</v>
      </c>
      <c r="U1548">
        <v>3</v>
      </c>
      <c r="V1548">
        <v>19</v>
      </c>
      <c r="W1548">
        <v>1</v>
      </c>
      <c r="X1548">
        <v>19</v>
      </c>
      <c r="Y1548">
        <v>567</v>
      </c>
      <c r="Z1548">
        <v>54.913678078353321</v>
      </c>
      <c r="AA1548">
        <v>198</v>
      </c>
      <c r="AB1548">
        <v>332</v>
      </c>
      <c r="AC1548">
        <v>536</v>
      </c>
      <c r="AD1548">
        <v>28.93</v>
      </c>
      <c r="AE1548">
        <v>542</v>
      </c>
      <c r="AF1548">
        <v>28</v>
      </c>
      <c r="AG1548">
        <v>168</v>
      </c>
      <c r="AH1548">
        <v>129</v>
      </c>
      <c r="AI1548">
        <v>5.17</v>
      </c>
      <c r="AJ1548">
        <v>31</v>
      </c>
      <c r="AK1548">
        <v>23.8</v>
      </c>
      <c r="AL1548">
        <v>-20.117107749999949</v>
      </c>
      <c r="AM1548">
        <v>-44.899271226243108</v>
      </c>
      <c r="AN1548">
        <v>-20.117107749999949</v>
      </c>
      <c r="AO1548">
        <v>-44.899271226243108</v>
      </c>
      <c r="AP1548">
        <v>-20.116992</v>
      </c>
      <c r="AQ1548">
        <v>-44.899355</v>
      </c>
      <c r="AR1548">
        <v>15.579196044083419</v>
      </c>
      <c r="AS1548" t="s">
        <v>65</v>
      </c>
      <c r="AT1548">
        <v>1</v>
      </c>
      <c r="AU1548" t="s">
        <v>120</v>
      </c>
      <c r="AV1548" t="s">
        <v>121</v>
      </c>
      <c r="AW1548" t="s">
        <v>60</v>
      </c>
      <c r="AX1548" t="s">
        <v>68</v>
      </c>
      <c r="AY1548" t="s">
        <v>69</v>
      </c>
      <c r="AZ1548" t="b">
        <v>1</v>
      </c>
    </row>
    <row r="1549" spans="1:52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2142</v>
      </c>
      <c r="F1549" t="s">
        <v>1247</v>
      </c>
      <c r="G1549" t="s">
        <v>1248</v>
      </c>
      <c r="H1549" t="s">
        <v>1249</v>
      </c>
      <c r="I1549" t="s">
        <v>1249</v>
      </c>
      <c r="J1549" t="s">
        <v>60</v>
      </c>
      <c r="K1549" t="s">
        <v>61</v>
      </c>
      <c r="L1549" t="s">
        <v>62</v>
      </c>
      <c r="M1549" t="s">
        <v>61</v>
      </c>
      <c r="N1549" t="s">
        <v>1250</v>
      </c>
      <c r="O1549" t="s">
        <v>202</v>
      </c>
      <c r="P1549">
        <v>-20.145337999999999</v>
      </c>
      <c r="Q1549">
        <v>-44.906260000000003</v>
      </c>
      <c r="R1549" s="2" t="str">
        <f>HYPERLINK("https://www.google.com/maps?q=-20.1453380,-44.9062600","Abrir no Google Maps")</f>
        <v>Abrir no Google Maps</v>
      </c>
      <c r="S1549">
        <v>4</v>
      </c>
      <c r="T1549">
        <v>231.8105263092443</v>
      </c>
      <c r="U1549">
        <v>2</v>
      </c>
      <c r="V1549">
        <v>13</v>
      </c>
      <c r="W1549">
        <v>0.85</v>
      </c>
      <c r="X1549">
        <v>11.05</v>
      </c>
      <c r="Y1549">
        <v>747</v>
      </c>
      <c r="Z1549">
        <v>210.09098260239841</v>
      </c>
      <c r="AA1549">
        <v>198</v>
      </c>
      <c r="AB1549">
        <v>332</v>
      </c>
      <c r="AC1549">
        <v>536</v>
      </c>
      <c r="AD1549">
        <v>28.93</v>
      </c>
      <c r="AE1549">
        <v>542</v>
      </c>
      <c r="AF1549">
        <v>28</v>
      </c>
      <c r="AG1549">
        <v>168</v>
      </c>
      <c r="AH1549">
        <v>129</v>
      </c>
      <c r="AI1549">
        <v>5.17</v>
      </c>
      <c r="AJ1549">
        <v>31</v>
      </c>
      <c r="AK1549">
        <v>23.8</v>
      </c>
      <c r="AL1549">
        <v>-20.14545934999995</v>
      </c>
      <c r="AM1549">
        <v>-44.906243174283489</v>
      </c>
      <c r="AN1549">
        <v>-20.14545934999995</v>
      </c>
      <c r="AO1549">
        <v>-44.906243174283489</v>
      </c>
      <c r="AP1549">
        <v>-20.145337999999999</v>
      </c>
      <c r="AQ1549">
        <v>-44.906260000000003</v>
      </c>
      <c r="AR1549">
        <v>13.622651392262521</v>
      </c>
      <c r="AS1549" t="s">
        <v>65</v>
      </c>
      <c r="AT1549">
        <v>1</v>
      </c>
      <c r="AU1549" t="s">
        <v>1251</v>
      </c>
      <c r="AV1549" t="s">
        <v>1252</v>
      </c>
      <c r="AW1549" t="s">
        <v>60</v>
      </c>
      <c r="AX1549" t="s">
        <v>68</v>
      </c>
      <c r="AY1549" t="s">
        <v>69</v>
      </c>
      <c r="AZ1549" t="b">
        <v>1</v>
      </c>
    </row>
    <row r="1550" spans="1:52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2142</v>
      </c>
      <c r="F1550" t="s">
        <v>1247</v>
      </c>
      <c r="G1550" t="s">
        <v>83</v>
      </c>
      <c r="H1550" t="s">
        <v>1253</v>
      </c>
      <c r="I1550" t="s">
        <v>1253</v>
      </c>
      <c r="J1550" t="s">
        <v>60</v>
      </c>
      <c r="K1550" t="s">
        <v>72</v>
      </c>
      <c r="L1550" t="s">
        <v>62</v>
      </c>
      <c r="M1550" t="s">
        <v>72</v>
      </c>
      <c r="N1550" t="s">
        <v>1254</v>
      </c>
      <c r="O1550" t="s">
        <v>1255</v>
      </c>
      <c r="P1550">
        <v>-20.147164</v>
      </c>
      <c r="Q1550">
        <v>-44.905259000000001</v>
      </c>
      <c r="R1550" s="2" t="str">
        <f>HYPERLINK("https://www.google.com/maps?q=-20.1471640,-44.9052590","Abrir no Google Maps")</f>
        <v>Abrir no Google Maps</v>
      </c>
      <c r="S1550">
        <v>4</v>
      </c>
      <c r="T1550">
        <v>364.08569180502712</v>
      </c>
      <c r="U1550">
        <v>2</v>
      </c>
      <c r="V1550">
        <v>11</v>
      </c>
      <c r="W1550">
        <v>0.85</v>
      </c>
      <c r="X1550">
        <v>9.35</v>
      </c>
      <c r="Y1550">
        <v>747</v>
      </c>
      <c r="Z1550">
        <v>309.89238988435022</v>
      </c>
      <c r="AA1550">
        <v>198</v>
      </c>
      <c r="AB1550">
        <v>332</v>
      </c>
      <c r="AC1550">
        <v>536</v>
      </c>
      <c r="AD1550">
        <v>28.93</v>
      </c>
      <c r="AE1550">
        <v>542</v>
      </c>
      <c r="AF1550">
        <v>28</v>
      </c>
      <c r="AG1550">
        <v>168</v>
      </c>
      <c r="AH1550">
        <v>129</v>
      </c>
      <c r="AI1550">
        <v>5.17</v>
      </c>
      <c r="AJ1550">
        <v>31</v>
      </c>
      <c r="AK1550">
        <v>23.8</v>
      </c>
      <c r="AL1550">
        <v>-20.14718674999995</v>
      </c>
      <c r="AM1550">
        <v>-44.905292621565764</v>
      </c>
      <c r="AN1550">
        <v>-20.147186749999939</v>
      </c>
      <c r="AO1550">
        <v>-44.905292621565764</v>
      </c>
      <c r="AP1550">
        <v>-20.147164</v>
      </c>
      <c r="AQ1550">
        <v>-44.905259000000001</v>
      </c>
      <c r="AR1550">
        <v>4.3312880650984971</v>
      </c>
      <c r="AS1550" t="s">
        <v>65</v>
      </c>
      <c r="AT1550">
        <v>1</v>
      </c>
      <c r="AU1550" t="s">
        <v>1256</v>
      </c>
      <c r="AV1550" t="s">
        <v>1257</v>
      </c>
      <c r="AW1550" t="s">
        <v>60</v>
      </c>
      <c r="AX1550" t="s">
        <v>68</v>
      </c>
      <c r="AY1550" t="s">
        <v>69</v>
      </c>
      <c r="AZ1550" t="b">
        <v>1</v>
      </c>
    </row>
    <row r="1551" spans="1:52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2142</v>
      </c>
      <c r="F1551" t="s">
        <v>1247</v>
      </c>
      <c r="G1551" t="s">
        <v>1258</v>
      </c>
      <c r="H1551" t="s">
        <v>1259</v>
      </c>
      <c r="I1551" t="s">
        <v>1259</v>
      </c>
      <c r="J1551" t="s">
        <v>60</v>
      </c>
      <c r="K1551" t="s">
        <v>905</v>
      </c>
      <c r="L1551" t="s">
        <v>62</v>
      </c>
      <c r="M1551" t="s">
        <v>905</v>
      </c>
      <c r="N1551" t="s">
        <v>1260</v>
      </c>
      <c r="O1551" t="s">
        <v>628</v>
      </c>
      <c r="P1551">
        <v>-20.113569999999999</v>
      </c>
      <c r="Q1551">
        <v>-44.897216</v>
      </c>
      <c r="R1551" s="2" t="str">
        <f>HYPERLINK("https://www.google.com/maps?q=-20.1135700,-44.8972160","Abrir no Google Maps")</f>
        <v>Abrir no Google Maps</v>
      </c>
      <c r="S1551">
        <v>4</v>
      </c>
      <c r="T1551">
        <v>418.54368277643368</v>
      </c>
      <c r="U1551">
        <v>2</v>
      </c>
      <c r="V1551">
        <v>14</v>
      </c>
      <c r="W1551">
        <v>0.85</v>
      </c>
      <c r="X1551">
        <v>11.9</v>
      </c>
      <c r="Y1551">
        <v>567</v>
      </c>
      <c r="Z1551">
        <v>315.02989622191018</v>
      </c>
      <c r="AA1551">
        <v>198</v>
      </c>
      <c r="AB1551">
        <v>332</v>
      </c>
      <c r="AC1551">
        <v>536</v>
      </c>
      <c r="AD1551">
        <v>28.93</v>
      </c>
      <c r="AE1551">
        <v>542</v>
      </c>
      <c r="AF1551">
        <v>28</v>
      </c>
      <c r="AG1551">
        <v>168</v>
      </c>
      <c r="AH1551">
        <v>129</v>
      </c>
      <c r="AI1551">
        <v>5.17</v>
      </c>
      <c r="AJ1551">
        <v>31</v>
      </c>
      <c r="AK1551">
        <v>23.8</v>
      </c>
      <c r="AL1551">
        <v>-20.113750149999959</v>
      </c>
      <c r="AM1551">
        <v>-44.897427949999937</v>
      </c>
      <c r="AN1551">
        <v>-20.113750149999959</v>
      </c>
      <c r="AO1551">
        <v>-44.897427949999937</v>
      </c>
      <c r="AP1551">
        <v>-20.113569999999999</v>
      </c>
      <c r="AQ1551">
        <v>-44.897216</v>
      </c>
      <c r="AR1551">
        <v>29.883644534822711</v>
      </c>
      <c r="AS1551" t="s">
        <v>65</v>
      </c>
      <c r="AT1551">
        <v>1</v>
      </c>
      <c r="AU1551" t="s">
        <v>1261</v>
      </c>
      <c r="AV1551" t="s">
        <v>1262</v>
      </c>
      <c r="AW1551" t="s">
        <v>60</v>
      </c>
      <c r="AX1551" t="s">
        <v>68</v>
      </c>
      <c r="AY1551" t="s">
        <v>69</v>
      </c>
      <c r="AZ1551" t="b">
        <v>1</v>
      </c>
    </row>
    <row r="1552" spans="1:52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2142</v>
      </c>
      <c r="F1552" t="s">
        <v>1247</v>
      </c>
      <c r="G1552" t="s">
        <v>198</v>
      </c>
      <c r="H1552" t="s">
        <v>199</v>
      </c>
      <c r="I1552" t="s">
        <v>199</v>
      </c>
      <c r="J1552" t="s">
        <v>60</v>
      </c>
      <c r="K1552" t="s">
        <v>200</v>
      </c>
      <c r="L1552" t="s">
        <v>62</v>
      </c>
      <c r="M1552" t="s">
        <v>200</v>
      </c>
      <c r="N1552" t="s">
        <v>201</v>
      </c>
      <c r="O1552" t="s">
        <v>202</v>
      </c>
      <c r="P1552">
        <v>-20.122433000000001</v>
      </c>
      <c r="Q1552">
        <v>-44.897013999999999</v>
      </c>
      <c r="R1552" s="2" t="str">
        <f>HYPERLINK("https://www.google.com/maps?q=-20.1224330,-44.8970140","Abrir no Google Maps")</f>
        <v>Abrir no Google Maps</v>
      </c>
      <c r="S1552">
        <v>4</v>
      </c>
      <c r="T1552">
        <v>616.04759279207849</v>
      </c>
      <c r="U1552">
        <v>2</v>
      </c>
      <c r="V1552">
        <v>11</v>
      </c>
      <c r="W1552">
        <v>0.85</v>
      </c>
      <c r="X1552">
        <v>9.35</v>
      </c>
      <c r="Y1552">
        <v>567</v>
      </c>
      <c r="Z1552">
        <v>655.51024138861465</v>
      </c>
      <c r="AA1552">
        <v>198</v>
      </c>
      <c r="AB1552">
        <v>332</v>
      </c>
      <c r="AC1552">
        <v>536</v>
      </c>
      <c r="AD1552">
        <v>28.93</v>
      </c>
      <c r="AE1552">
        <v>542</v>
      </c>
      <c r="AF1552">
        <v>28</v>
      </c>
      <c r="AG1552">
        <v>168</v>
      </c>
      <c r="AH1552">
        <v>129</v>
      </c>
      <c r="AI1552">
        <v>5.17</v>
      </c>
      <c r="AJ1552">
        <v>31</v>
      </c>
      <c r="AK1552">
        <v>23.8</v>
      </c>
      <c r="AL1552">
        <v>-20.122144949999949</v>
      </c>
      <c r="AM1552">
        <v>-44.896761973125983</v>
      </c>
      <c r="AN1552">
        <v>-20.122144949999949</v>
      </c>
      <c r="AO1552">
        <v>-44.896761973125983</v>
      </c>
      <c r="AP1552">
        <v>-20.122433000000001</v>
      </c>
      <c r="AQ1552">
        <v>-44.897013999999999</v>
      </c>
      <c r="AR1552">
        <v>41.499066772735389</v>
      </c>
      <c r="AS1552" t="s">
        <v>65</v>
      </c>
      <c r="AT1552">
        <v>1</v>
      </c>
      <c r="AU1552" t="s">
        <v>203</v>
      </c>
      <c r="AV1552" t="s">
        <v>204</v>
      </c>
      <c r="AW1552" t="s">
        <v>60</v>
      </c>
      <c r="AX1552" t="s">
        <v>68</v>
      </c>
      <c r="AY1552" t="s">
        <v>69</v>
      </c>
      <c r="AZ1552" t="b">
        <v>1</v>
      </c>
    </row>
    <row r="1553" spans="1:52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2142</v>
      </c>
      <c r="F1553" t="s">
        <v>1247</v>
      </c>
      <c r="G1553" t="s">
        <v>205</v>
      </c>
      <c r="H1553" t="s">
        <v>206</v>
      </c>
      <c r="I1553" t="s">
        <v>206</v>
      </c>
      <c r="J1553" t="s">
        <v>60</v>
      </c>
      <c r="K1553" t="s">
        <v>207</v>
      </c>
      <c r="L1553" t="s">
        <v>62</v>
      </c>
      <c r="M1553" t="s">
        <v>207</v>
      </c>
      <c r="N1553" t="s">
        <v>208</v>
      </c>
      <c r="O1553" t="s">
        <v>209</v>
      </c>
      <c r="P1553">
        <v>-20.117533999999999</v>
      </c>
      <c r="Q1553">
        <v>-44.892943000000002</v>
      </c>
      <c r="R1553" s="2" t="str">
        <f>HYPERLINK("https://www.google.com/maps?q=-20.1175340,-44.8929430","Abrir no Google Maps")</f>
        <v>Abrir no Google Maps</v>
      </c>
      <c r="S1553">
        <v>4</v>
      </c>
      <c r="T1553">
        <v>601.98486688021592</v>
      </c>
      <c r="U1553">
        <v>2</v>
      </c>
      <c r="V1553">
        <v>11</v>
      </c>
      <c r="W1553">
        <v>0.85</v>
      </c>
      <c r="X1553">
        <v>9.35</v>
      </c>
      <c r="Y1553">
        <v>567</v>
      </c>
      <c r="Z1553">
        <v>574.59225706016446</v>
      </c>
      <c r="AA1553">
        <v>198</v>
      </c>
      <c r="AB1553">
        <v>332</v>
      </c>
      <c r="AC1553">
        <v>536</v>
      </c>
      <c r="AD1553">
        <v>28.93</v>
      </c>
      <c r="AE1553">
        <v>542</v>
      </c>
      <c r="AF1553">
        <v>28</v>
      </c>
      <c r="AG1553">
        <v>168</v>
      </c>
      <c r="AH1553">
        <v>129</v>
      </c>
      <c r="AI1553">
        <v>5.17</v>
      </c>
      <c r="AJ1553">
        <v>31</v>
      </c>
      <c r="AK1553">
        <v>23.8</v>
      </c>
      <c r="AL1553">
        <v>-20.11671494999996</v>
      </c>
      <c r="AM1553">
        <v>-44.89352717833448</v>
      </c>
      <c r="AN1553">
        <v>-20.11671494999996</v>
      </c>
      <c r="AO1553">
        <v>-44.89352717833448</v>
      </c>
      <c r="AP1553">
        <v>-20.117533999999999</v>
      </c>
      <c r="AQ1553">
        <v>-44.892943000000002</v>
      </c>
      <c r="AR1553">
        <v>109.7357164799156</v>
      </c>
      <c r="AS1553" t="s">
        <v>65</v>
      </c>
      <c r="AT1553">
        <v>1</v>
      </c>
      <c r="AU1553" t="s">
        <v>210</v>
      </c>
      <c r="AV1553" t="s">
        <v>211</v>
      </c>
      <c r="AW1553" t="s">
        <v>60</v>
      </c>
      <c r="AX1553" t="s">
        <v>68</v>
      </c>
      <c r="AY1553" t="s">
        <v>69</v>
      </c>
      <c r="AZ1553" t="b">
        <v>1</v>
      </c>
    </row>
    <row r="1554" spans="1:52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2142</v>
      </c>
      <c r="F1554" t="s">
        <v>1247</v>
      </c>
      <c r="G1554" t="s">
        <v>122</v>
      </c>
      <c r="H1554" t="s">
        <v>123</v>
      </c>
      <c r="I1554" t="s">
        <v>123</v>
      </c>
      <c r="J1554" t="s">
        <v>60</v>
      </c>
      <c r="K1554" t="s">
        <v>117</v>
      </c>
      <c r="L1554" t="s">
        <v>62</v>
      </c>
      <c r="M1554" t="s">
        <v>117</v>
      </c>
      <c r="N1554" t="s">
        <v>124</v>
      </c>
      <c r="O1554" t="s">
        <v>125</v>
      </c>
      <c r="P1554">
        <v>-20.11853</v>
      </c>
      <c r="Q1554">
        <v>-44.896925000000003</v>
      </c>
      <c r="R1554" s="2" t="str">
        <f>HYPERLINK("https://www.google.com/maps?q=-20.1185300,-44.8969250","Abrir no Google Maps")</f>
        <v>Abrir no Google Maps</v>
      </c>
      <c r="S1554">
        <v>4</v>
      </c>
      <c r="T1554">
        <v>325.32255721093247</v>
      </c>
      <c r="U1554">
        <v>2</v>
      </c>
      <c r="V1554">
        <v>15</v>
      </c>
      <c r="W1554">
        <v>1</v>
      </c>
      <c r="X1554">
        <v>15</v>
      </c>
      <c r="Y1554">
        <v>567</v>
      </c>
      <c r="Z1554">
        <v>306.04423478678871</v>
      </c>
      <c r="AA1554">
        <v>198</v>
      </c>
      <c r="AB1554">
        <v>332</v>
      </c>
      <c r="AC1554">
        <v>536</v>
      </c>
      <c r="AD1554">
        <v>28.93</v>
      </c>
      <c r="AE1554">
        <v>542</v>
      </c>
      <c r="AF1554">
        <v>28</v>
      </c>
      <c r="AG1554">
        <v>168</v>
      </c>
      <c r="AH1554">
        <v>129</v>
      </c>
      <c r="AI1554">
        <v>5.17</v>
      </c>
      <c r="AJ1554">
        <v>31</v>
      </c>
      <c r="AK1554">
        <v>23.8</v>
      </c>
      <c r="AL1554">
        <v>-20.118682499999949</v>
      </c>
      <c r="AM1554">
        <v>-44.896643089287927</v>
      </c>
      <c r="AN1554">
        <v>-20.118682499999949</v>
      </c>
      <c r="AO1554">
        <v>-44.896643089287927</v>
      </c>
      <c r="AP1554">
        <v>-20.11853</v>
      </c>
      <c r="AQ1554">
        <v>-44.896925000000003</v>
      </c>
      <c r="AR1554">
        <v>34.007698996886518</v>
      </c>
      <c r="AS1554" t="s">
        <v>65</v>
      </c>
      <c r="AT1554">
        <v>1</v>
      </c>
      <c r="AU1554" t="s">
        <v>126</v>
      </c>
      <c r="AV1554" t="s">
        <v>121</v>
      </c>
      <c r="AW1554" t="s">
        <v>60</v>
      </c>
      <c r="AX1554" t="s">
        <v>68</v>
      </c>
      <c r="AY1554" t="s">
        <v>69</v>
      </c>
      <c r="AZ1554" t="b">
        <v>1</v>
      </c>
    </row>
    <row r="1555" spans="1:52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2142</v>
      </c>
      <c r="F1555" t="s">
        <v>1247</v>
      </c>
      <c r="G1555" t="s">
        <v>1263</v>
      </c>
      <c r="H1555" t="s">
        <v>1264</v>
      </c>
      <c r="I1555" t="s">
        <v>1264</v>
      </c>
      <c r="J1555" t="s">
        <v>60</v>
      </c>
      <c r="K1555" t="s">
        <v>1265</v>
      </c>
      <c r="L1555" t="s">
        <v>62</v>
      </c>
      <c r="M1555" t="s">
        <v>1265</v>
      </c>
      <c r="N1555" t="s">
        <v>1266</v>
      </c>
      <c r="O1555" t="s">
        <v>1267</v>
      </c>
      <c r="P1555">
        <v>-20.116924000000001</v>
      </c>
      <c r="Q1555">
        <v>-44.906587000000002</v>
      </c>
      <c r="R1555" s="2" t="str">
        <f>HYPERLINK("https://www.google.com/maps?q=-20.1169240,-44.9065870","Abrir no Google Maps")</f>
        <v>Abrir no Google Maps</v>
      </c>
      <c r="S1555">
        <v>4</v>
      </c>
      <c r="T1555">
        <v>745.10453961787857</v>
      </c>
      <c r="U1555">
        <v>1</v>
      </c>
      <c r="V1555">
        <v>0</v>
      </c>
      <c r="W1555">
        <v>0.85</v>
      </c>
      <c r="X1555">
        <v>0</v>
      </c>
      <c r="Y1555">
        <v>567</v>
      </c>
      <c r="Z1555">
        <v>816.44456345071217</v>
      </c>
      <c r="AA1555">
        <v>198</v>
      </c>
      <c r="AB1555">
        <v>332</v>
      </c>
      <c r="AC1555">
        <v>536</v>
      </c>
      <c r="AD1555">
        <v>28.93</v>
      </c>
      <c r="AE1555">
        <v>542</v>
      </c>
      <c r="AF1555">
        <v>28</v>
      </c>
      <c r="AG1555">
        <v>168</v>
      </c>
      <c r="AH1555">
        <v>129</v>
      </c>
      <c r="AI1555">
        <v>5.17</v>
      </c>
      <c r="AJ1555">
        <v>31</v>
      </c>
      <c r="AK1555">
        <v>23.8</v>
      </c>
      <c r="AL1555">
        <v>-20.117279149999941</v>
      </c>
      <c r="AM1555">
        <v>-44.906397211815133</v>
      </c>
      <c r="AN1555">
        <v>-20.117279149999941</v>
      </c>
      <c r="AO1555">
        <v>-44.906397211815133</v>
      </c>
      <c r="AP1555">
        <v>-20.116924000000001</v>
      </c>
      <c r="AQ1555">
        <v>-44.906587000000002</v>
      </c>
      <c r="AR1555">
        <v>44.233430660980403</v>
      </c>
      <c r="AS1555" t="s">
        <v>65</v>
      </c>
      <c r="AT1555">
        <v>1</v>
      </c>
      <c r="AU1555" t="s">
        <v>1268</v>
      </c>
      <c r="AV1555" t="s">
        <v>1269</v>
      </c>
      <c r="AW1555" t="s">
        <v>60</v>
      </c>
      <c r="AX1555" t="s">
        <v>68</v>
      </c>
      <c r="AY1555" t="s">
        <v>69</v>
      </c>
      <c r="AZ1555" t="b">
        <v>1</v>
      </c>
    </row>
    <row r="1556" spans="1:52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2142</v>
      </c>
      <c r="F1556" t="s">
        <v>1247</v>
      </c>
      <c r="G1556" t="s">
        <v>1127</v>
      </c>
      <c r="H1556" t="s">
        <v>1270</v>
      </c>
      <c r="I1556" t="s">
        <v>1270</v>
      </c>
      <c r="J1556" t="s">
        <v>60</v>
      </c>
      <c r="K1556" t="s">
        <v>200</v>
      </c>
      <c r="L1556" t="s">
        <v>62</v>
      </c>
      <c r="M1556" t="s">
        <v>200</v>
      </c>
      <c r="N1556" t="s">
        <v>1271</v>
      </c>
      <c r="O1556" t="s">
        <v>315</v>
      </c>
      <c r="P1556">
        <v>-20.123483</v>
      </c>
      <c r="Q1556">
        <v>-44.904159</v>
      </c>
      <c r="R1556" s="2" t="str">
        <f>HYPERLINK("https://www.google.com/maps?q=-20.1234830,-44.9041590","Abrir no Google Maps")</f>
        <v>Abrir no Google Maps</v>
      </c>
      <c r="S1556">
        <v>4</v>
      </c>
      <c r="T1556">
        <v>1046.2792913459141</v>
      </c>
      <c r="U1556">
        <v>1</v>
      </c>
      <c r="V1556">
        <v>0</v>
      </c>
      <c r="W1556">
        <v>0.85</v>
      </c>
      <c r="X1556">
        <v>0</v>
      </c>
      <c r="Y1556">
        <v>567</v>
      </c>
      <c r="Z1556">
        <v>1072.1273144328541</v>
      </c>
      <c r="AA1556">
        <v>198</v>
      </c>
      <c r="AB1556">
        <v>332</v>
      </c>
      <c r="AC1556">
        <v>536</v>
      </c>
      <c r="AD1556">
        <v>28.93</v>
      </c>
      <c r="AE1556">
        <v>542</v>
      </c>
      <c r="AF1556">
        <v>28</v>
      </c>
      <c r="AG1556">
        <v>168</v>
      </c>
      <c r="AH1556">
        <v>129</v>
      </c>
      <c r="AI1556">
        <v>5.17</v>
      </c>
      <c r="AJ1556">
        <v>31</v>
      </c>
      <c r="AK1556">
        <v>23.8</v>
      </c>
      <c r="AL1556">
        <v>-20.12548399999994</v>
      </c>
      <c r="AM1556">
        <v>-44.903913990586467</v>
      </c>
      <c r="AN1556">
        <v>-20.12548399999994</v>
      </c>
      <c r="AO1556">
        <v>-44.903913990586467</v>
      </c>
      <c r="AP1556">
        <v>-20.123483</v>
      </c>
      <c r="AQ1556">
        <v>-44.904159</v>
      </c>
      <c r="AR1556">
        <v>224.218591682908</v>
      </c>
      <c r="AS1556" t="s">
        <v>65</v>
      </c>
      <c r="AT1556">
        <v>1</v>
      </c>
      <c r="AU1556" t="s">
        <v>1272</v>
      </c>
      <c r="AV1556" t="s">
        <v>1273</v>
      </c>
      <c r="AW1556" t="s">
        <v>60</v>
      </c>
      <c r="AX1556" t="s">
        <v>68</v>
      </c>
      <c r="AY1556" t="s">
        <v>69</v>
      </c>
      <c r="AZ1556" t="b">
        <v>1</v>
      </c>
    </row>
    <row r="1557" spans="1:52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2142</v>
      </c>
      <c r="F1557" t="s">
        <v>1247</v>
      </c>
      <c r="G1557" t="s">
        <v>380</v>
      </c>
      <c r="H1557" t="s">
        <v>381</v>
      </c>
      <c r="I1557" t="s">
        <v>381</v>
      </c>
      <c r="J1557" t="s">
        <v>60</v>
      </c>
      <c r="K1557" t="s">
        <v>72</v>
      </c>
      <c r="L1557" t="s">
        <v>62</v>
      </c>
      <c r="M1557" t="s">
        <v>72</v>
      </c>
      <c r="N1557" t="s">
        <v>382</v>
      </c>
      <c r="O1557" t="s">
        <v>383</v>
      </c>
      <c r="P1557">
        <v>-20.147182000000001</v>
      </c>
      <c r="Q1557">
        <v>-44.912728999999999</v>
      </c>
      <c r="R1557" s="2" t="str">
        <f>HYPERLINK("https://www.google.com/maps?q=-20.1471820,-44.9127290","Abrir no Google Maps")</f>
        <v>Abrir no Google Maps</v>
      </c>
      <c r="S1557">
        <v>3</v>
      </c>
      <c r="T1557">
        <v>478.0141981540923</v>
      </c>
      <c r="U1557">
        <v>4</v>
      </c>
      <c r="V1557">
        <v>24</v>
      </c>
      <c r="W1557">
        <v>1</v>
      </c>
      <c r="X1557">
        <v>24</v>
      </c>
      <c r="Y1557">
        <v>747</v>
      </c>
      <c r="Z1557">
        <v>494.0254290673729</v>
      </c>
      <c r="AA1557">
        <v>198</v>
      </c>
      <c r="AB1557">
        <v>332</v>
      </c>
      <c r="AC1557">
        <v>536</v>
      </c>
      <c r="AD1557">
        <v>28.93</v>
      </c>
      <c r="AE1557">
        <v>542</v>
      </c>
      <c r="AF1557">
        <v>28</v>
      </c>
      <c r="AG1557">
        <v>168</v>
      </c>
      <c r="AH1557">
        <v>129</v>
      </c>
      <c r="AI1557">
        <v>5.17</v>
      </c>
      <c r="AJ1557">
        <v>31</v>
      </c>
      <c r="AK1557">
        <v>23.8</v>
      </c>
      <c r="AL1557">
        <v>-20.147375599999979</v>
      </c>
      <c r="AM1557">
        <v>-44.912907472879468</v>
      </c>
      <c r="AN1557">
        <v>-20.147375599999979</v>
      </c>
      <c r="AO1557">
        <v>-44.912907472879468</v>
      </c>
      <c r="AP1557">
        <v>-20.147182000000001</v>
      </c>
      <c r="AQ1557">
        <v>-44.912728999999999</v>
      </c>
      <c r="AR1557">
        <v>28.50197694184326</v>
      </c>
      <c r="AS1557" t="s">
        <v>65</v>
      </c>
      <c r="AT1557">
        <v>1</v>
      </c>
      <c r="AU1557" t="s">
        <v>384</v>
      </c>
      <c r="AV1557" t="s">
        <v>385</v>
      </c>
      <c r="AW1557" t="s">
        <v>60</v>
      </c>
      <c r="AX1557" t="s">
        <v>68</v>
      </c>
      <c r="AY1557" t="s">
        <v>69</v>
      </c>
      <c r="AZ1557" t="b">
        <v>1</v>
      </c>
    </row>
    <row r="1558" spans="1:52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2142</v>
      </c>
      <c r="F1558" t="s">
        <v>1247</v>
      </c>
      <c r="G1558" t="s">
        <v>392</v>
      </c>
      <c r="H1558" t="s">
        <v>393</v>
      </c>
      <c r="I1558" t="s">
        <v>393</v>
      </c>
      <c r="J1558" t="s">
        <v>60</v>
      </c>
      <c r="K1558" t="s">
        <v>388</v>
      </c>
      <c r="L1558" t="s">
        <v>62</v>
      </c>
      <c r="M1558" t="s">
        <v>388</v>
      </c>
      <c r="N1558" t="s">
        <v>394</v>
      </c>
      <c r="O1558" t="s">
        <v>395</v>
      </c>
      <c r="P1558">
        <v>-20.158066999999999</v>
      </c>
      <c r="Q1558">
        <v>-44.908164999999997</v>
      </c>
      <c r="R1558" s="2" t="str">
        <f>HYPERLINK("https://www.google.com/maps?q=-20.1580670,-44.9081650","Abrir no Google Maps")</f>
        <v>Abrir no Google Maps</v>
      </c>
      <c r="S1558">
        <v>3</v>
      </c>
      <c r="T1558">
        <v>666.74434317993041</v>
      </c>
      <c r="U1558">
        <v>4</v>
      </c>
      <c r="V1558">
        <v>24</v>
      </c>
      <c r="W1558">
        <v>1</v>
      </c>
      <c r="X1558">
        <v>24</v>
      </c>
      <c r="Y1558">
        <v>729</v>
      </c>
      <c r="Z1558">
        <v>612.4323328215396</v>
      </c>
      <c r="AA1558">
        <v>198</v>
      </c>
      <c r="AB1558">
        <v>332</v>
      </c>
      <c r="AC1558">
        <v>536</v>
      </c>
      <c r="AD1558">
        <v>28.93</v>
      </c>
      <c r="AE1558">
        <v>542</v>
      </c>
      <c r="AF1558">
        <v>28</v>
      </c>
      <c r="AG1558">
        <v>168</v>
      </c>
      <c r="AH1558">
        <v>129</v>
      </c>
      <c r="AI1558">
        <v>5.17</v>
      </c>
      <c r="AJ1558">
        <v>31</v>
      </c>
      <c r="AK1558">
        <v>23.8</v>
      </c>
      <c r="AL1558">
        <v>-20.158151449999959</v>
      </c>
      <c r="AM1558">
        <v>-44.908107718360938</v>
      </c>
      <c r="AN1558">
        <v>-20.158151449999959</v>
      </c>
      <c r="AO1558">
        <v>-44.908107718360938</v>
      </c>
      <c r="AP1558">
        <v>-20.158066999999999</v>
      </c>
      <c r="AQ1558">
        <v>-44.908164999999997</v>
      </c>
      <c r="AR1558">
        <v>11.14497345894574</v>
      </c>
      <c r="AS1558" t="s">
        <v>65</v>
      </c>
      <c r="AT1558">
        <v>1</v>
      </c>
      <c r="AU1558" t="s">
        <v>396</v>
      </c>
      <c r="AV1558" t="s">
        <v>397</v>
      </c>
      <c r="AW1558" t="s">
        <v>60</v>
      </c>
      <c r="AX1558" t="s">
        <v>68</v>
      </c>
      <c r="AY1558" t="s">
        <v>69</v>
      </c>
      <c r="AZ1558" t="b">
        <v>1</v>
      </c>
    </row>
    <row r="1559" spans="1:52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2142</v>
      </c>
      <c r="F1559" t="s">
        <v>1247</v>
      </c>
      <c r="G1559" t="s">
        <v>422</v>
      </c>
      <c r="H1559" t="s">
        <v>423</v>
      </c>
      <c r="I1559" t="s">
        <v>423</v>
      </c>
      <c r="J1559" t="s">
        <v>60</v>
      </c>
      <c r="K1559" t="s">
        <v>424</v>
      </c>
      <c r="L1559" t="s">
        <v>62</v>
      </c>
      <c r="M1559" t="s">
        <v>424</v>
      </c>
      <c r="N1559" t="s">
        <v>425</v>
      </c>
      <c r="O1559" t="s">
        <v>426</v>
      </c>
      <c r="P1559">
        <v>-20.177748000000001</v>
      </c>
      <c r="Q1559">
        <v>-44.912475000000001</v>
      </c>
      <c r="R1559" s="2" t="str">
        <f>HYPERLINK("https://www.google.com/maps?q=-20.1777480,-44.9124750","Abrir no Google Maps")</f>
        <v>Abrir no Google Maps</v>
      </c>
      <c r="S1559">
        <v>3</v>
      </c>
      <c r="T1559">
        <v>657.07560140436533</v>
      </c>
      <c r="U1559">
        <v>4</v>
      </c>
      <c r="V1559">
        <v>28</v>
      </c>
      <c r="W1559">
        <v>1</v>
      </c>
      <c r="X1559">
        <v>28</v>
      </c>
      <c r="Y1559">
        <v>723</v>
      </c>
      <c r="Z1559">
        <v>796.94198000561175</v>
      </c>
      <c r="AA1559">
        <v>198</v>
      </c>
      <c r="AB1559">
        <v>332</v>
      </c>
      <c r="AC1559">
        <v>536</v>
      </c>
      <c r="AD1559">
        <v>28.93</v>
      </c>
      <c r="AE1559">
        <v>542</v>
      </c>
      <c r="AF1559">
        <v>28</v>
      </c>
      <c r="AG1559">
        <v>168</v>
      </c>
      <c r="AH1559">
        <v>129</v>
      </c>
      <c r="AI1559">
        <v>5.17</v>
      </c>
      <c r="AJ1559">
        <v>31</v>
      </c>
      <c r="AK1559">
        <v>23.8</v>
      </c>
      <c r="AL1559">
        <v>-20.177761749999949</v>
      </c>
      <c r="AM1559">
        <v>-44.91263311624418</v>
      </c>
      <c r="AN1559">
        <v>-20.177761749999949</v>
      </c>
      <c r="AO1559">
        <v>-44.91263311624418</v>
      </c>
      <c r="AP1559">
        <v>-20.177748000000001</v>
      </c>
      <c r="AQ1559">
        <v>-44.912475000000001</v>
      </c>
      <c r="AR1559">
        <v>16.591996803075372</v>
      </c>
      <c r="AS1559" t="s">
        <v>65</v>
      </c>
      <c r="AT1559">
        <v>1</v>
      </c>
      <c r="AU1559" t="s">
        <v>427</v>
      </c>
      <c r="AV1559" t="s">
        <v>428</v>
      </c>
      <c r="AW1559" t="s">
        <v>60</v>
      </c>
      <c r="AX1559" t="s">
        <v>68</v>
      </c>
      <c r="AY1559" t="s">
        <v>69</v>
      </c>
      <c r="AZ1559" t="b">
        <v>1</v>
      </c>
    </row>
    <row r="1560" spans="1:52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2142</v>
      </c>
      <c r="F1560" t="s">
        <v>1247</v>
      </c>
      <c r="G1560" t="s">
        <v>429</v>
      </c>
      <c r="H1560" t="s">
        <v>430</v>
      </c>
      <c r="I1560" t="s">
        <v>430</v>
      </c>
      <c r="J1560" t="s">
        <v>60</v>
      </c>
      <c r="K1560" t="s">
        <v>431</v>
      </c>
      <c r="L1560" t="s">
        <v>62</v>
      </c>
      <c r="M1560" t="s">
        <v>431</v>
      </c>
      <c r="N1560" t="s">
        <v>432</v>
      </c>
      <c r="O1560" t="s">
        <v>315</v>
      </c>
      <c r="P1560">
        <v>-20.172698</v>
      </c>
      <c r="Q1560">
        <v>-44.923842</v>
      </c>
      <c r="R1560" s="2" t="str">
        <f>HYPERLINK("https://www.google.com/maps?q=-20.1726980,-44.9238420","Abrir no Google Maps")</f>
        <v>Abrir no Google Maps</v>
      </c>
      <c r="S1560">
        <v>3</v>
      </c>
      <c r="T1560">
        <v>1376.1843173402931</v>
      </c>
      <c r="U1560">
        <v>4</v>
      </c>
      <c r="V1560">
        <v>35</v>
      </c>
      <c r="W1560">
        <v>0.85</v>
      </c>
      <c r="X1560">
        <v>29.75</v>
      </c>
      <c r="Y1560">
        <v>723</v>
      </c>
      <c r="Z1560">
        <v>1101.340635002096</v>
      </c>
      <c r="AA1560">
        <v>198</v>
      </c>
      <c r="AB1560">
        <v>332</v>
      </c>
      <c r="AC1560">
        <v>536</v>
      </c>
      <c r="AD1560">
        <v>28.93</v>
      </c>
      <c r="AE1560">
        <v>542</v>
      </c>
      <c r="AF1560">
        <v>28</v>
      </c>
      <c r="AG1560">
        <v>168</v>
      </c>
      <c r="AH1560">
        <v>129</v>
      </c>
      <c r="AI1560">
        <v>5.17</v>
      </c>
      <c r="AJ1560">
        <v>31</v>
      </c>
      <c r="AK1560">
        <v>23.8</v>
      </c>
      <c r="AL1560">
        <v>-20.172942799999959</v>
      </c>
      <c r="AM1560">
        <v>-44.923585372665762</v>
      </c>
      <c r="AN1560">
        <v>-20.172942799999959</v>
      </c>
      <c r="AO1560">
        <v>-44.923585372665762</v>
      </c>
      <c r="AP1560">
        <v>-20.172698</v>
      </c>
      <c r="AQ1560">
        <v>-44.923842</v>
      </c>
      <c r="AR1560">
        <v>38.231981408478958</v>
      </c>
      <c r="AS1560" t="s">
        <v>65</v>
      </c>
      <c r="AT1560">
        <v>1</v>
      </c>
      <c r="AU1560" t="s">
        <v>433</v>
      </c>
      <c r="AV1560" t="s">
        <v>434</v>
      </c>
      <c r="AW1560" t="s">
        <v>60</v>
      </c>
      <c r="AX1560" t="s">
        <v>68</v>
      </c>
      <c r="AY1560" t="s">
        <v>69</v>
      </c>
      <c r="AZ1560" t="b">
        <v>1</v>
      </c>
    </row>
    <row r="1561" spans="1:52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2142</v>
      </c>
      <c r="F1561" t="s">
        <v>1247</v>
      </c>
      <c r="G1561" t="s">
        <v>442</v>
      </c>
      <c r="H1561" t="s">
        <v>443</v>
      </c>
      <c r="I1561" t="s">
        <v>443</v>
      </c>
      <c r="J1561" t="s">
        <v>60</v>
      </c>
      <c r="K1561" t="s">
        <v>437</v>
      </c>
      <c r="L1561" t="s">
        <v>62</v>
      </c>
      <c r="M1561" t="s">
        <v>437</v>
      </c>
      <c r="N1561" t="s">
        <v>444</v>
      </c>
      <c r="O1561" t="s">
        <v>445</v>
      </c>
      <c r="P1561">
        <v>-20.149744999999999</v>
      </c>
      <c r="Q1561">
        <v>-44.881385000000002</v>
      </c>
      <c r="R1561" s="2" t="str">
        <f>HYPERLINK("https://www.google.com/maps?q=-20.1497450,-44.8813850","Abrir no Google Maps")</f>
        <v>Abrir no Google Maps</v>
      </c>
      <c r="S1561">
        <v>3</v>
      </c>
      <c r="T1561">
        <v>188.80690546111239</v>
      </c>
      <c r="U1561">
        <v>4</v>
      </c>
      <c r="V1561">
        <v>29</v>
      </c>
      <c r="W1561">
        <v>1</v>
      </c>
      <c r="X1561">
        <v>29</v>
      </c>
      <c r="Y1561">
        <v>653</v>
      </c>
      <c r="Z1561">
        <v>86.575080390731017</v>
      </c>
      <c r="AA1561">
        <v>198</v>
      </c>
      <c r="AB1561">
        <v>332</v>
      </c>
      <c r="AC1561">
        <v>536</v>
      </c>
      <c r="AD1561">
        <v>28.93</v>
      </c>
      <c r="AE1561">
        <v>542</v>
      </c>
      <c r="AF1561">
        <v>28</v>
      </c>
      <c r="AG1561">
        <v>168</v>
      </c>
      <c r="AH1561">
        <v>129</v>
      </c>
      <c r="AI1561">
        <v>5.17</v>
      </c>
      <c r="AJ1561">
        <v>31</v>
      </c>
      <c r="AK1561">
        <v>23.8</v>
      </c>
      <c r="AL1561">
        <v>-20.149645149999941</v>
      </c>
      <c r="AM1561">
        <v>-44.881504585149607</v>
      </c>
      <c r="AN1561">
        <v>-20.149645149999941</v>
      </c>
      <c r="AO1561">
        <v>-44.881504585149607</v>
      </c>
      <c r="AP1561">
        <v>-20.149744999999999</v>
      </c>
      <c r="AQ1561">
        <v>-44.881385000000002</v>
      </c>
      <c r="AR1561">
        <v>16.725323110840389</v>
      </c>
      <c r="AS1561" t="s">
        <v>65</v>
      </c>
      <c r="AT1561">
        <v>1</v>
      </c>
      <c r="AU1561" t="s">
        <v>446</v>
      </c>
      <c r="AV1561" t="s">
        <v>447</v>
      </c>
      <c r="AW1561" t="s">
        <v>60</v>
      </c>
      <c r="AX1561" t="s">
        <v>68</v>
      </c>
      <c r="AY1561" t="s">
        <v>69</v>
      </c>
      <c r="AZ1561" t="b">
        <v>1</v>
      </c>
    </row>
    <row r="1562" spans="1:52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2142</v>
      </c>
      <c r="F1562" t="s">
        <v>1247</v>
      </c>
      <c r="G1562" t="s">
        <v>448</v>
      </c>
      <c r="H1562" t="s">
        <v>449</v>
      </c>
      <c r="I1562" t="s">
        <v>449</v>
      </c>
      <c r="J1562" t="s">
        <v>60</v>
      </c>
      <c r="K1562" t="s">
        <v>388</v>
      </c>
      <c r="L1562" t="s">
        <v>62</v>
      </c>
      <c r="M1562" t="s">
        <v>388</v>
      </c>
      <c r="N1562" t="s">
        <v>450</v>
      </c>
      <c r="O1562" t="s">
        <v>451</v>
      </c>
      <c r="P1562">
        <v>-20.163981</v>
      </c>
      <c r="Q1562">
        <v>-44.907128999999998</v>
      </c>
      <c r="R1562" s="2" t="str">
        <f>HYPERLINK("https://www.google.com/maps?q=-20.1639810,-44.9071290","Abrir no Google Maps")</f>
        <v>Abrir no Google Maps</v>
      </c>
      <c r="S1562">
        <v>3</v>
      </c>
      <c r="T1562">
        <v>782.50730806588319</v>
      </c>
      <c r="U1562">
        <v>4</v>
      </c>
      <c r="V1562">
        <v>24</v>
      </c>
      <c r="W1562">
        <v>1</v>
      </c>
      <c r="X1562">
        <v>24</v>
      </c>
      <c r="Y1562">
        <v>639</v>
      </c>
      <c r="Z1562">
        <v>710.90621453796166</v>
      </c>
      <c r="AA1562">
        <v>198</v>
      </c>
      <c r="AB1562">
        <v>332</v>
      </c>
      <c r="AC1562">
        <v>536</v>
      </c>
      <c r="AD1562">
        <v>28.93</v>
      </c>
      <c r="AE1562">
        <v>542</v>
      </c>
      <c r="AF1562">
        <v>28</v>
      </c>
      <c r="AG1562">
        <v>168</v>
      </c>
      <c r="AH1562">
        <v>129</v>
      </c>
      <c r="AI1562">
        <v>5.17</v>
      </c>
      <c r="AJ1562">
        <v>31</v>
      </c>
      <c r="AK1562">
        <v>23.8</v>
      </c>
      <c r="AL1562">
        <v>-20.163958349999969</v>
      </c>
      <c r="AM1562">
        <v>-44.907180923930973</v>
      </c>
      <c r="AN1562">
        <v>-20.163958349999969</v>
      </c>
      <c r="AO1562">
        <v>-44.907180923930973</v>
      </c>
      <c r="AP1562">
        <v>-20.163981</v>
      </c>
      <c r="AQ1562">
        <v>-44.907128999999998</v>
      </c>
      <c r="AR1562">
        <v>5.9831345092457884</v>
      </c>
      <c r="AS1562" t="s">
        <v>65</v>
      </c>
      <c r="AT1562">
        <v>1</v>
      </c>
      <c r="AU1562" t="s">
        <v>452</v>
      </c>
      <c r="AV1562" t="s">
        <v>453</v>
      </c>
      <c r="AW1562" t="s">
        <v>60</v>
      </c>
      <c r="AX1562" t="s">
        <v>68</v>
      </c>
      <c r="AY1562" t="s">
        <v>69</v>
      </c>
      <c r="AZ1562" t="b">
        <v>1</v>
      </c>
    </row>
    <row r="1563" spans="1:52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2142</v>
      </c>
      <c r="F1563" t="s">
        <v>1247</v>
      </c>
      <c r="G1563" t="s">
        <v>460</v>
      </c>
      <c r="H1563" t="s">
        <v>461</v>
      </c>
      <c r="I1563" t="s">
        <v>461</v>
      </c>
      <c r="J1563" t="s">
        <v>60</v>
      </c>
      <c r="K1563" t="s">
        <v>462</v>
      </c>
      <c r="L1563" t="s">
        <v>62</v>
      </c>
      <c r="M1563" t="s">
        <v>462</v>
      </c>
      <c r="N1563" t="s">
        <v>463</v>
      </c>
      <c r="O1563" t="s">
        <v>464</v>
      </c>
      <c r="P1563">
        <v>-20.137919</v>
      </c>
      <c r="Q1563">
        <v>-44.905591000000001</v>
      </c>
      <c r="R1563" s="2" t="str">
        <f>HYPERLINK("https://www.google.com/maps?q=-20.1379190,-44.9055910","Abrir no Google Maps")</f>
        <v>Abrir no Google Maps</v>
      </c>
      <c r="S1563">
        <v>3</v>
      </c>
      <c r="T1563">
        <v>262.01115919461103</v>
      </c>
      <c r="U1563">
        <v>4</v>
      </c>
      <c r="V1563">
        <v>24</v>
      </c>
      <c r="W1563">
        <v>1</v>
      </c>
      <c r="X1563">
        <v>24</v>
      </c>
      <c r="Y1563">
        <v>581</v>
      </c>
      <c r="Z1563">
        <v>318.63337303219271</v>
      </c>
      <c r="AA1563">
        <v>198</v>
      </c>
      <c r="AB1563">
        <v>332</v>
      </c>
      <c r="AC1563">
        <v>536</v>
      </c>
      <c r="AD1563">
        <v>28.93</v>
      </c>
      <c r="AE1563">
        <v>542</v>
      </c>
      <c r="AF1563">
        <v>28</v>
      </c>
      <c r="AG1563">
        <v>168</v>
      </c>
      <c r="AH1563">
        <v>129</v>
      </c>
      <c r="AI1563">
        <v>5.17</v>
      </c>
      <c r="AJ1563">
        <v>31</v>
      </c>
      <c r="AK1563">
        <v>23.8</v>
      </c>
      <c r="AL1563">
        <v>-20.13789079999998</v>
      </c>
      <c r="AM1563">
        <v>-44.90548593520333</v>
      </c>
      <c r="AN1563">
        <v>-20.13789079999998</v>
      </c>
      <c r="AO1563">
        <v>-44.90548593520333</v>
      </c>
      <c r="AP1563">
        <v>-20.137919</v>
      </c>
      <c r="AQ1563">
        <v>-44.905591000000001</v>
      </c>
      <c r="AR1563">
        <v>11.42072348298178</v>
      </c>
      <c r="AS1563" t="s">
        <v>65</v>
      </c>
      <c r="AT1563">
        <v>1</v>
      </c>
      <c r="AU1563" t="s">
        <v>465</v>
      </c>
      <c r="AV1563" t="s">
        <v>466</v>
      </c>
      <c r="AW1563" t="s">
        <v>60</v>
      </c>
      <c r="AX1563" t="s">
        <v>68</v>
      </c>
      <c r="AY1563" t="s">
        <v>69</v>
      </c>
      <c r="AZ1563" t="b">
        <v>1</v>
      </c>
    </row>
    <row r="1564" spans="1:52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2142</v>
      </c>
      <c r="F1564" t="s">
        <v>1247</v>
      </c>
      <c r="G1564" t="s">
        <v>467</v>
      </c>
      <c r="H1564" t="s">
        <v>468</v>
      </c>
      <c r="I1564" t="s">
        <v>468</v>
      </c>
      <c r="J1564" t="s">
        <v>60</v>
      </c>
      <c r="K1564" t="s">
        <v>462</v>
      </c>
      <c r="L1564" t="s">
        <v>62</v>
      </c>
      <c r="M1564" t="s">
        <v>462</v>
      </c>
      <c r="N1564" t="s">
        <v>469</v>
      </c>
      <c r="O1564" t="s">
        <v>470</v>
      </c>
      <c r="P1564">
        <v>-20.138233</v>
      </c>
      <c r="Q1564">
        <v>-44.908200000000001</v>
      </c>
      <c r="R1564" s="2" t="str">
        <f>HYPERLINK("https://www.google.com/maps?q=-20.1382330,-44.9082000","Abrir no Google Maps")</f>
        <v>Abrir no Google Maps</v>
      </c>
      <c r="S1564">
        <v>3</v>
      </c>
      <c r="T1564">
        <v>0</v>
      </c>
      <c r="U1564">
        <v>4</v>
      </c>
      <c r="V1564">
        <v>25</v>
      </c>
      <c r="W1564">
        <v>1</v>
      </c>
      <c r="X1564">
        <v>25</v>
      </c>
      <c r="Y1564">
        <v>581</v>
      </c>
      <c r="Z1564">
        <v>153.18688302958171</v>
      </c>
      <c r="AA1564">
        <v>198</v>
      </c>
      <c r="AB1564">
        <v>332</v>
      </c>
      <c r="AC1564">
        <v>536</v>
      </c>
      <c r="AD1564">
        <v>28.93</v>
      </c>
      <c r="AE1564">
        <v>542</v>
      </c>
      <c r="AF1564">
        <v>28</v>
      </c>
      <c r="AG1564">
        <v>168</v>
      </c>
      <c r="AH1564">
        <v>129</v>
      </c>
      <c r="AI1564">
        <v>5.17</v>
      </c>
      <c r="AJ1564">
        <v>31</v>
      </c>
      <c r="AK1564">
        <v>23.8</v>
      </c>
      <c r="AL1564">
        <v>-20.138364899999971</v>
      </c>
      <c r="AM1564">
        <v>-44.907942114873997</v>
      </c>
      <c r="AN1564">
        <v>-20.138364899999971</v>
      </c>
      <c r="AO1564">
        <v>-44.907942114873997</v>
      </c>
      <c r="AP1564">
        <v>-20.138233</v>
      </c>
      <c r="AQ1564">
        <v>-44.908200000000001</v>
      </c>
      <c r="AR1564">
        <v>30.692690617986941</v>
      </c>
      <c r="AS1564" t="s">
        <v>65</v>
      </c>
      <c r="AT1564">
        <v>1</v>
      </c>
      <c r="AU1564" t="s">
        <v>471</v>
      </c>
      <c r="AV1564" t="s">
        <v>472</v>
      </c>
      <c r="AW1564" t="s">
        <v>60</v>
      </c>
      <c r="AX1564" t="s">
        <v>68</v>
      </c>
      <c r="AY1564" t="s">
        <v>69</v>
      </c>
      <c r="AZ1564" t="b">
        <v>1</v>
      </c>
    </row>
    <row r="1565" spans="1:52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2142</v>
      </c>
      <c r="F1565" t="s">
        <v>1247</v>
      </c>
      <c r="G1565" t="s">
        <v>864</v>
      </c>
      <c r="H1565" t="s">
        <v>865</v>
      </c>
      <c r="I1565" t="s">
        <v>865</v>
      </c>
      <c r="J1565" t="s">
        <v>60</v>
      </c>
      <c r="K1565" t="s">
        <v>486</v>
      </c>
      <c r="L1565" t="s">
        <v>62</v>
      </c>
      <c r="M1565" t="s">
        <v>486</v>
      </c>
      <c r="N1565" t="s">
        <v>866</v>
      </c>
      <c r="O1565" t="s">
        <v>867</v>
      </c>
      <c r="P1565">
        <v>-20.170919000000001</v>
      </c>
      <c r="Q1565">
        <v>-44.905451999999997</v>
      </c>
      <c r="R1565" s="2" t="str">
        <f>HYPERLINK("https://www.google.com/maps?q=-20.1709190,-44.9054520","Abrir no Google Maps")</f>
        <v>Abrir no Google Maps</v>
      </c>
      <c r="S1565">
        <v>3</v>
      </c>
      <c r="T1565">
        <v>0</v>
      </c>
      <c r="U1565">
        <v>4</v>
      </c>
      <c r="V1565">
        <v>25</v>
      </c>
      <c r="W1565">
        <v>1</v>
      </c>
      <c r="X1565">
        <v>25</v>
      </c>
      <c r="Y1565">
        <v>578</v>
      </c>
      <c r="Z1565">
        <v>205.34598855748419</v>
      </c>
      <c r="AA1565">
        <v>198</v>
      </c>
      <c r="AB1565">
        <v>332</v>
      </c>
      <c r="AC1565">
        <v>536</v>
      </c>
      <c r="AD1565">
        <v>28.93</v>
      </c>
      <c r="AE1565">
        <v>542</v>
      </c>
      <c r="AF1565">
        <v>28</v>
      </c>
      <c r="AG1565">
        <v>168</v>
      </c>
      <c r="AH1565">
        <v>129</v>
      </c>
      <c r="AI1565">
        <v>5.17</v>
      </c>
      <c r="AJ1565">
        <v>31</v>
      </c>
      <c r="AK1565">
        <v>23.8</v>
      </c>
      <c r="AL1565">
        <v>-20.170854399999939</v>
      </c>
      <c r="AM1565">
        <v>-44.905524839633358</v>
      </c>
      <c r="AN1565">
        <v>-20.170854399999939</v>
      </c>
      <c r="AO1565">
        <v>-44.905524839633358</v>
      </c>
      <c r="AP1565">
        <v>-20.170919000000001</v>
      </c>
      <c r="AQ1565">
        <v>-44.905451999999997</v>
      </c>
      <c r="AR1565">
        <v>10.471140355179269</v>
      </c>
      <c r="AS1565" t="s">
        <v>65</v>
      </c>
      <c r="AT1565">
        <v>1</v>
      </c>
      <c r="AU1565" t="s">
        <v>868</v>
      </c>
      <c r="AV1565" t="s">
        <v>869</v>
      </c>
      <c r="AW1565" t="s">
        <v>60</v>
      </c>
      <c r="AX1565" t="s">
        <v>68</v>
      </c>
      <c r="AY1565" t="s">
        <v>69</v>
      </c>
      <c r="AZ1565" t="b">
        <v>1</v>
      </c>
    </row>
    <row r="1566" spans="1:52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2142</v>
      </c>
      <c r="F1566" t="s">
        <v>1247</v>
      </c>
      <c r="G1566" t="s">
        <v>484</v>
      </c>
      <c r="H1566" t="s">
        <v>485</v>
      </c>
      <c r="I1566" t="s">
        <v>485</v>
      </c>
      <c r="J1566" t="s">
        <v>60</v>
      </c>
      <c r="K1566" t="s">
        <v>486</v>
      </c>
      <c r="L1566" t="s">
        <v>62</v>
      </c>
      <c r="M1566" t="s">
        <v>486</v>
      </c>
      <c r="N1566" t="s">
        <v>487</v>
      </c>
      <c r="O1566" t="s">
        <v>488</v>
      </c>
      <c r="P1566">
        <v>-20.173000999999999</v>
      </c>
      <c r="Q1566">
        <v>-44.901876999999999</v>
      </c>
      <c r="R1566" s="2" t="str">
        <f>HYPERLINK("https://www.google.com/maps?q=-20.1730010,-44.9018770","Abrir no Google Maps")</f>
        <v>Abrir no Google Maps</v>
      </c>
      <c r="S1566">
        <v>3</v>
      </c>
      <c r="T1566">
        <v>437.59695450783011</v>
      </c>
      <c r="U1566">
        <v>4</v>
      </c>
      <c r="V1566">
        <v>27</v>
      </c>
      <c r="W1566">
        <v>1</v>
      </c>
      <c r="X1566">
        <v>27</v>
      </c>
      <c r="Y1566">
        <v>578</v>
      </c>
      <c r="Z1566">
        <v>440.53629183653243</v>
      </c>
      <c r="AA1566">
        <v>198</v>
      </c>
      <c r="AB1566">
        <v>332</v>
      </c>
      <c r="AC1566">
        <v>536</v>
      </c>
      <c r="AD1566">
        <v>28.93</v>
      </c>
      <c r="AE1566">
        <v>542</v>
      </c>
      <c r="AF1566">
        <v>28</v>
      </c>
      <c r="AG1566">
        <v>168</v>
      </c>
      <c r="AH1566">
        <v>129</v>
      </c>
      <c r="AI1566">
        <v>5.17</v>
      </c>
      <c r="AJ1566">
        <v>31</v>
      </c>
      <c r="AK1566">
        <v>23.8</v>
      </c>
      <c r="AL1566">
        <v>-20.173065299999969</v>
      </c>
      <c r="AM1566">
        <v>-44.902052686008687</v>
      </c>
      <c r="AN1566">
        <v>-20.173065299999969</v>
      </c>
      <c r="AO1566">
        <v>-44.902052686008687</v>
      </c>
      <c r="AP1566">
        <v>-20.173000999999999</v>
      </c>
      <c r="AQ1566">
        <v>-44.901876999999999</v>
      </c>
      <c r="AR1566">
        <v>19.703745070768829</v>
      </c>
      <c r="AS1566" t="s">
        <v>65</v>
      </c>
      <c r="AT1566">
        <v>1</v>
      </c>
      <c r="AU1566" t="s">
        <v>489</v>
      </c>
      <c r="AV1566" t="s">
        <v>490</v>
      </c>
      <c r="AW1566" t="s">
        <v>60</v>
      </c>
      <c r="AX1566" t="s">
        <v>68</v>
      </c>
      <c r="AY1566" t="s">
        <v>69</v>
      </c>
      <c r="AZ1566" t="b">
        <v>1</v>
      </c>
    </row>
    <row r="1567" spans="1:52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2142</v>
      </c>
      <c r="F1567" t="s">
        <v>1247</v>
      </c>
      <c r="G1567" t="s">
        <v>503</v>
      </c>
      <c r="H1567" t="s">
        <v>504</v>
      </c>
      <c r="I1567" t="s">
        <v>504</v>
      </c>
      <c r="J1567" t="s">
        <v>60</v>
      </c>
      <c r="K1567" t="s">
        <v>505</v>
      </c>
      <c r="L1567" t="s">
        <v>62</v>
      </c>
      <c r="M1567" t="s">
        <v>505</v>
      </c>
      <c r="N1567" t="s">
        <v>506</v>
      </c>
      <c r="O1567" t="s">
        <v>507</v>
      </c>
      <c r="P1567">
        <v>-20.131428</v>
      </c>
      <c r="Q1567">
        <v>-44.888921000000003</v>
      </c>
      <c r="R1567" s="2" t="str">
        <f>HYPERLINK("https://www.google.com/maps?q=-20.1314280,-44.8889210","Abrir no Google Maps")</f>
        <v>Abrir no Google Maps</v>
      </c>
      <c r="S1567">
        <v>3</v>
      </c>
      <c r="T1567">
        <v>250.64150698244501</v>
      </c>
      <c r="U1567">
        <v>4</v>
      </c>
      <c r="V1567">
        <v>25</v>
      </c>
      <c r="W1567">
        <v>1</v>
      </c>
      <c r="X1567">
        <v>25</v>
      </c>
      <c r="Y1567">
        <v>564</v>
      </c>
      <c r="Z1567">
        <v>189.93933888952441</v>
      </c>
      <c r="AA1567">
        <v>198</v>
      </c>
      <c r="AB1567">
        <v>332</v>
      </c>
      <c r="AC1567">
        <v>536</v>
      </c>
      <c r="AD1567">
        <v>28.93</v>
      </c>
      <c r="AE1567">
        <v>542</v>
      </c>
      <c r="AF1567">
        <v>28</v>
      </c>
      <c r="AG1567">
        <v>168</v>
      </c>
      <c r="AH1567">
        <v>129</v>
      </c>
      <c r="AI1567">
        <v>5.17</v>
      </c>
      <c r="AJ1567">
        <v>31</v>
      </c>
      <c r="AK1567">
        <v>23.8</v>
      </c>
      <c r="AL1567">
        <v>-20.13123589999995</v>
      </c>
      <c r="AM1567">
        <v>-44.888742396501762</v>
      </c>
      <c r="AN1567">
        <v>-20.13123589999995</v>
      </c>
      <c r="AO1567">
        <v>-44.888742396501762</v>
      </c>
      <c r="AP1567">
        <v>-20.131428</v>
      </c>
      <c r="AQ1567">
        <v>-44.888921000000003</v>
      </c>
      <c r="AR1567">
        <v>28.386169462917032</v>
      </c>
      <c r="AS1567" t="s">
        <v>65</v>
      </c>
      <c r="AT1567">
        <v>1</v>
      </c>
      <c r="AU1567" t="s">
        <v>508</v>
      </c>
      <c r="AV1567" t="s">
        <v>509</v>
      </c>
      <c r="AW1567" t="s">
        <v>60</v>
      </c>
      <c r="AX1567" t="s">
        <v>68</v>
      </c>
      <c r="AY1567" t="s">
        <v>69</v>
      </c>
      <c r="AZ1567" t="b">
        <v>1</v>
      </c>
    </row>
    <row r="1568" spans="1:52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2142</v>
      </c>
      <c r="F1568" t="s">
        <v>1247</v>
      </c>
      <c r="G1568" t="s">
        <v>510</v>
      </c>
      <c r="H1568" t="s">
        <v>511</v>
      </c>
      <c r="I1568" t="s">
        <v>511</v>
      </c>
      <c r="J1568" t="s">
        <v>60</v>
      </c>
      <c r="K1568" t="s">
        <v>512</v>
      </c>
      <c r="L1568" t="s">
        <v>62</v>
      </c>
      <c r="M1568" t="s">
        <v>512</v>
      </c>
      <c r="N1568" t="s">
        <v>406</v>
      </c>
      <c r="O1568" t="s">
        <v>513</v>
      </c>
      <c r="P1568">
        <v>-20.127853000000002</v>
      </c>
      <c r="Q1568">
        <v>-44.891415000000002</v>
      </c>
      <c r="R1568" s="2" t="str">
        <f>HYPERLINK("https://www.google.com/maps?q=-20.1278530,-44.8914150","Abrir no Google Maps")</f>
        <v>Abrir no Google Maps</v>
      </c>
      <c r="S1568">
        <v>3</v>
      </c>
      <c r="T1568">
        <v>340.86994528233612</v>
      </c>
      <c r="U1568">
        <v>4</v>
      </c>
      <c r="V1568">
        <v>30</v>
      </c>
      <c r="W1568">
        <v>1</v>
      </c>
      <c r="X1568">
        <v>30</v>
      </c>
      <c r="Y1568">
        <v>564</v>
      </c>
      <c r="Z1568">
        <v>294.18108015916812</v>
      </c>
      <c r="AA1568">
        <v>198</v>
      </c>
      <c r="AB1568">
        <v>332</v>
      </c>
      <c r="AC1568">
        <v>536</v>
      </c>
      <c r="AD1568">
        <v>28.93</v>
      </c>
      <c r="AE1568">
        <v>542</v>
      </c>
      <c r="AF1568">
        <v>28</v>
      </c>
      <c r="AG1568">
        <v>168</v>
      </c>
      <c r="AH1568">
        <v>129</v>
      </c>
      <c r="AI1568">
        <v>5.17</v>
      </c>
      <c r="AJ1568">
        <v>31</v>
      </c>
      <c r="AK1568">
        <v>23.8</v>
      </c>
      <c r="AL1568">
        <v>-20.12777399999996</v>
      </c>
      <c r="AM1568">
        <v>-44.891400975758501</v>
      </c>
      <c r="AN1568">
        <v>-20.12777399999996</v>
      </c>
      <c r="AO1568">
        <v>-44.891400975758501</v>
      </c>
      <c r="AP1568">
        <v>-20.127853000000002</v>
      </c>
      <c r="AQ1568">
        <v>-44.891415000000002</v>
      </c>
      <c r="AR1568">
        <v>8.9156059162975616</v>
      </c>
      <c r="AS1568" t="s">
        <v>65</v>
      </c>
      <c r="AT1568">
        <v>1</v>
      </c>
      <c r="AU1568" t="s">
        <v>514</v>
      </c>
      <c r="AV1568" t="s">
        <v>515</v>
      </c>
      <c r="AW1568" t="s">
        <v>60</v>
      </c>
      <c r="AX1568" t="s">
        <v>68</v>
      </c>
      <c r="AY1568" t="s">
        <v>69</v>
      </c>
      <c r="AZ1568" t="b">
        <v>1</v>
      </c>
    </row>
    <row r="1569" spans="1:52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2142</v>
      </c>
      <c r="F1569" t="s">
        <v>1247</v>
      </c>
      <c r="G1569" t="s">
        <v>890</v>
      </c>
      <c r="H1569" t="s">
        <v>891</v>
      </c>
      <c r="I1569" t="s">
        <v>891</v>
      </c>
      <c r="J1569" t="s">
        <v>60</v>
      </c>
      <c r="K1569" t="s">
        <v>892</v>
      </c>
      <c r="L1569" t="s">
        <v>62</v>
      </c>
      <c r="M1569" t="s">
        <v>892</v>
      </c>
      <c r="N1569" t="s">
        <v>893</v>
      </c>
      <c r="O1569" t="s">
        <v>894</v>
      </c>
      <c r="P1569">
        <v>-20.152519000000002</v>
      </c>
      <c r="Q1569">
        <v>-44.899177000000002</v>
      </c>
      <c r="R1569" s="2" t="str">
        <f>HYPERLINK("https://www.google.com/maps?q=-20.1525190,-44.8991770","Abrir no Google Maps")</f>
        <v>Abrir no Google Maps</v>
      </c>
      <c r="S1569">
        <v>3</v>
      </c>
      <c r="T1569">
        <v>211.80188552994721</v>
      </c>
      <c r="U1569">
        <v>4</v>
      </c>
      <c r="V1569">
        <v>23</v>
      </c>
      <c r="W1569">
        <v>1</v>
      </c>
      <c r="X1569">
        <v>23</v>
      </c>
      <c r="Y1569">
        <v>556</v>
      </c>
      <c r="Z1569">
        <v>290.34804137107091</v>
      </c>
      <c r="AA1569">
        <v>198</v>
      </c>
      <c r="AB1569">
        <v>332</v>
      </c>
      <c r="AC1569">
        <v>536</v>
      </c>
      <c r="AD1569">
        <v>28.93</v>
      </c>
      <c r="AE1569">
        <v>542</v>
      </c>
      <c r="AF1569">
        <v>28</v>
      </c>
      <c r="AG1569">
        <v>168</v>
      </c>
      <c r="AH1569">
        <v>129</v>
      </c>
      <c r="AI1569">
        <v>5.17</v>
      </c>
      <c r="AJ1569">
        <v>31</v>
      </c>
      <c r="AK1569">
        <v>23.8</v>
      </c>
      <c r="AL1569">
        <v>-20.152516249999959</v>
      </c>
      <c r="AM1569">
        <v>-44.899310431333959</v>
      </c>
      <c r="AN1569">
        <v>-20.152516249999959</v>
      </c>
      <c r="AO1569">
        <v>-44.899310431333959</v>
      </c>
      <c r="AP1569">
        <v>-20.152519000000002</v>
      </c>
      <c r="AQ1569">
        <v>-44.899177000000002</v>
      </c>
      <c r="AR1569">
        <v>13.947583284957719</v>
      </c>
      <c r="AS1569" t="s">
        <v>65</v>
      </c>
      <c r="AT1569">
        <v>1</v>
      </c>
      <c r="AU1569" t="s">
        <v>895</v>
      </c>
      <c r="AV1569" t="s">
        <v>896</v>
      </c>
      <c r="AW1569" t="s">
        <v>60</v>
      </c>
      <c r="AX1569" t="s">
        <v>68</v>
      </c>
      <c r="AY1569" t="s">
        <v>69</v>
      </c>
      <c r="AZ1569" t="b">
        <v>1</v>
      </c>
    </row>
    <row r="1570" spans="1:52" x14ac:dyDescent="0.3">
      <c r="A1570" t="s">
        <v>52</v>
      </c>
      <c r="B1570" t="s">
        <v>53</v>
      </c>
      <c r="C1570" t="s">
        <v>54</v>
      </c>
      <c r="D1570" t="s">
        <v>55</v>
      </c>
      <c r="E1570" t="s">
        <v>2142</v>
      </c>
      <c r="F1570" t="s">
        <v>1247</v>
      </c>
      <c r="G1570" t="s">
        <v>568</v>
      </c>
      <c r="H1570" t="s">
        <v>569</v>
      </c>
      <c r="I1570" t="s">
        <v>569</v>
      </c>
      <c r="J1570" t="s">
        <v>60</v>
      </c>
      <c r="K1570" t="s">
        <v>61</v>
      </c>
      <c r="L1570" t="s">
        <v>62</v>
      </c>
      <c r="M1570" t="s">
        <v>61</v>
      </c>
      <c r="N1570" t="s">
        <v>570</v>
      </c>
      <c r="O1570" t="s">
        <v>548</v>
      </c>
      <c r="P1570">
        <v>-20.151508</v>
      </c>
      <c r="Q1570">
        <v>-44.907826</v>
      </c>
      <c r="R1570" s="2" t="str">
        <f>HYPERLINK("https://www.google.com/maps?q=-20.1515080,-44.9078260","Abrir no Google Maps")</f>
        <v>Abrir no Google Maps</v>
      </c>
      <c r="S1570">
        <v>3</v>
      </c>
      <c r="T1570">
        <v>567.15905416240514</v>
      </c>
      <c r="U1570">
        <v>4</v>
      </c>
      <c r="V1570">
        <v>28</v>
      </c>
      <c r="W1570">
        <v>0.85</v>
      </c>
      <c r="X1570">
        <v>23.8</v>
      </c>
      <c r="Y1570">
        <v>548</v>
      </c>
      <c r="Z1570">
        <v>560.49158010771464</v>
      </c>
      <c r="AA1570">
        <v>198</v>
      </c>
      <c r="AB1570">
        <v>332</v>
      </c>
      <c r="AC1570">
        <v>536</v>
      </c>
      <c r="AD1570">
        <v>28.93</v>
      </c>
      <c r="AE1570">
        <v>542</v>
      </c>
      <c r="AF1570">
        <v>28</v>
      </c>
      <c r="AG1570">
        <v>168</v>
      </c>
      <c r="AH1570">
        <v>129</v>
      </c>
      <c r="AI1570">
        <v>5.17</v>
      </c>
      <c r="AJ1570">
        <v>31</v>
      </c>
      <c r="AK1570">
        <v>23.8</v>
      </c>
      <c r="AL1570">
        <v>-20.15211779999996</v>
      </c>
      <c r="AM1570">
        <v>-44.907597469593128</v>
      </c>
      <c r="AN1570">
        <v>-20.15211779999996</v>
      </c>
      <c r="AO1570">
        <v>-44.907597469593128</v>
      </c>
      <c r="AP1570">
        <v>-20.151508</v>
      </c>
      <c r="AQ1570">
        <v>-44.907826</v>
      </c>
      <c r="AR1570">
        <v>71.961597929314735</v>
      </c>
      <c r="AS1570" t="s">
        <v>65</v>
      </c>
      <c r="AT1570">
        <v>1</v>
      </c>
      <c r="AU1570" t="s">
        <v>571</v>
      </c>
      <c r="AV1570" t="s">
        <v>572</v>
      </c>
      <c r="AW1570" t="s">
        <v>60</v>
      </c>
      <c r="AX1570" t="s">
        <v>68</v>
      </c>
      <c r="AY1570" t="s">
        <v>69</v>
      </c>
      <c r="AZ1570" t="b">
        <v>1</v>
      </c>
    </row>
    <row r="1571" spans="1:52" x14ac:dyDescent="0.3">
      <c r="A1571" t="s">
        <v>52</v>
      </c>
      <c r="B1571" t="s">
        <v>53</v>
      </c>
      <c r="C1571" t="s">
        <v>54</v>
      </c>
      <c r="D1571" t="s">
        <v>55</v>
      </c>
      <c r="E1571" t="s">
        <v>2142</v>
      </c>
      <c r="F1571" t="s">
        <v>1247</v>
      </c>
      <c r="G1571" t="s">
        <v>833</v>
      </c>
      <c r="H1571" t="s">
        <v>834</v>
      </c>
      <c r="I1571" t="s">
        <v>834</v>
      </c>
      <c r="J1571" t="s">
        <v>60</v>
      </c>
      <c r="K1571" t="s">
        <v>388</v>
      </c>
      <c r="L1571" t="s">
        <v>62</v>
      </c>
      <c r="M1571" t="s">
        <v>388</v>
      </c>
      <c r="N1571" t="s">
        <v>835</v>
      </c>
      <c r="O1571" t="s">
        <v>836</v>
      </c>
      <c r="P1571">
        <v>-20.157906000000001</v>
      </c>
      <c r="Q1571">
        <v>-44.900458999999998</v>
      </c>
      <c r="R1571" s="2" t="str">
        <f>HYPERLINK("https://www.google.com/maps?q=-20.1579060,-44.9004590","Abrir no Google Maps")</f>
        <v>Abrir no Google Maps</v>
      </c>
      <c r="S1571">
        <v>3</v>
      </c>
      <c r="T1571">
        <v>0</v>
      </c>
      <c r="U1571">
        <v>3</v>
      </c>
      <c r="V1571">
        <v>21</v>
      </c>
      <c r="W1571">
        <v>1</v>
      </c>
      <c r="X1571">
        <v>21</v>
      </c>
      <c r="Y1571">
        <v>729</v>
      </c>
      <c r="Z1571">
        <v>203.63168486652771</v>
      </c>
      <c r="AA1571">
        <v>198</v>
      </c>
      <c r="AB1571">
        <v>332</v>
      </c>
      <c r="AC1571">
        <v>536</v>
      </c>
      <c r="AD1571">
        <v>28.93</v>
      </c>
      <c r="AE1571">
        <v>542</v>
      </c>
      <c r="AF1571">
        <v>28</v>
      </c>
      <c r="AG1571">
        <v>168</v>
      </c>
      <c r="AH1571">
        <v>129</v>
      </c>
      <c r="AI1571">
        <v>5.17</v>
      </c>
      <c r="AJ1571">
        <v>31</v>
      </c>
      <c r="AK1571">
        <v>23.8</v>
      </c>
      <c r="AL1571">
        <v>-20.157925749999951</v>
      </c>
      <c r="AM1571">
        <v>-44.900484707799812</v>
      </c>
      <c r="AN1571">
        <v>-20.157925749999951</v>
      </c>
      <c r="AO1571">
        <v>-44.900484707799812</v>
      </c>
      <c r="AP1571">
        <v>-20.157906000000001</v>
      </c>
      <c r="AQ1571">
        <v>-44.900458999999998</v>
      </c>
      <c r="AR1571">
        <v>3.4714515960382508</v>
      </c>
      <c r="AS1571" t="s">
        <v>65</v>
      </c>
      <c r="AT1571">
        <v>1</v>
      </c>
      <c r="AU1571" t="s">
        <v>837</v>
      </c>
      <c r="AV1571" t="s">
        <v>838</v>
      </c>
      <c r="AW1571" t="s">
        <v>60</v>
      </c>
      <c r="AX1571" t="s">
        <v>68</v>
      </c>
      <c r="AY1571" t="s">
        <v>69</v>
      </c>
      <c r="AZ1571" t="b">
        <v>1</v>
      </c>
    </row>
    <row r="1572" spans="1:52" x14ac:dyDescent="0.3">
      <c r="A1572" t="s">
        <v>52</v>
      </c>
      <c r="B1572" t="s">
        <v>53</v>
      </c>
      <c r="C1572" t="s">
        <v>54</v>
      </c>
      <c r="D1572" t="s">
        <v>55</v>
      </c>
      <c r="E1572" t="s">
        <v>2142</v>
      </c>
      <c r="F1572" t="s">
        <v>1247</v>
      </c>
      <c r="G1572" t="s">
        <v>839</v>
      </c>
      <c r="H1572" t="s">
        <v>840</v>
      </c>
      <c r="I1572" t="s">
        <v>840</v>
      </c>
      <c r="J1572" t="s">
        <v>60</v>
      </c>
      <c r="K1572" t="s">
        <v>388</v>
      </c>
      <c r="L1572" t="s">
        <v>62</v>
      </c>
      <c r="M1572" t="s">
        <v>388</v>
      </c>
      <c r="N1572" t="s">
        <v>841</v>
      </c>
      <c r="O1572" t="s">
        <v>842</v>
      </c>
      <c r="P1572">
        <v>-20.159977999999999</v>
      </c>
      <c r="Q1572">
        <v>-44.900207000000002</v>
      </c>
      <c r="R1572" s="2" t="str">
        <f>HYPERLINK("https://www.google.com/maps?q=-20.1599780,-44.9002070","Abrir no Google Maps")</f>
        <v>Abrir no Google Maps</v>
      </c>
      <c r="S1572">
        <v>3</v>
      </c>
      <c r="T1572">
        <v>213.24333517300789</v>
      </c>
      <c r="U1572">
        <v>3</v>
      </c>
      <c r="V1572">
        <v>18</v>
      </c>
      <c r="W1572">
        <v>1</v>
      </c>
      <c r="X1572">
        <v>18</v>
      </c>
      <c r="Y1572">
        <v>729</v>
      </c>
      <c r="Z1572">
        <v>315.47173727880028</v>
      </c>
      <c r="AA1572">
        <v>198</v>
      </c>
      <c r="AB1572">
        <v>332</v>
      </c>
      <c r="AC1572">
        <v>536</v>
      </c>
      <c r="AD1572">
        <v>28.93</v>
      </c>
      <c r="AE1572">
        <v>542</v>
      </c>
      <c r="AF1572">
        <v>28</v>
      </c>
      <c r="AG1572">
        <v>168</v>
      </c>
      <c r="AH1572">
        <v>129</v>
      </c>
      <c r="AI1572">
        <v>5.17</v>
      </c>
      <c r="AJ1572">
        <v>31</v>
      </c>
      <c r="AK1572">
        <v>23.8</v>
      </c>
      <c r="AL1572">
        <v>-20.159825649999959</v>
      </c>
      <c r="AM1572">
        <v>-44.900143828909613</v>
      </c>
      <c r="AN1572">
        <v>-20.159825649999959</v>
      </c>
      <c r="AO1572">
        <v>-44.900143828909613</v>
      </c>
      <c r="AP1572">
        <v>-20.159977999999999</v>
      </c>
      <c r="AQ1572">
        <v>-44.900207000000002</v>
      </c>
      <c r="AR1572">
        <v>18.199073573580371</v>
      </c>
      <c r="AS1572" t="s">
        <v>65</v>
      </c>
      <c r="AT1572">
        <v>1</v>
      </c>
      <c r="AU1572" t="s">
        <v>843</v>
      </c>
      <c r="AV1572" t="s">
        <v>844</v>
      </c>
      <c r="AW1572" t="s">
        <v>60</v>
      </c>
      <c r="AX1572" t="s">
        <v>68</v>
      </c>
      <c r="AY1572" t="s">
        <v>69</v>
      </c>
      <c r="AZ1572" t="b">
        <v>1</v>
      </c>
    </row>
    <row r="1573" spans="1:52" x14ac:dyDescent="0.3">
      <c r="A1573" t="s">
        <v>52</v>
      </c>
      <c r="B1573" t="s">
        <v>53</v>
      </c>
      <c r="C1573" t="s">
        <v>54</v>
      </c>
      <c r="D1573" t="s">
        <v>55</v>
      </c>
      <c r="E1573" t="s">
        <v>2142</v>
      </c>
      <c r="F1573" t="s">
        <v>1247</v>
      </c>
      <c r="G1573" t="s">
        <v>398</v>
      </c>
      <c r="H1573" t="s">
        <v>399</v>
      </c>
      <c r="I1573" t="s">
        <v>399</v>
      </c>
      <c r="J1573" t="s">
        <v>60</v>
      </c>
      <c r="K1573" t="s">
        <v>388</v>
      </c>
      <c r="L1573" t="s">
        <v>62</v>
      </c>
      <c r="M1573" t="s">
        <v>388</v>
      </c>
      <c r="N1573" t="s">
        <v>400</v>
      </c>
      <c r="O1573" t="s">
        <v>401</v>
      </c>
      <c r="P1573">
        <v>-20.160157000000002</v>
      </c>
      <c r="Q1573">
        <v>-44.904347999999999</v>
      </c>
      <c r="R1573" s="2" t="str">
        <f>HYPERLINK("https://www.google.com/maps?q=-20.1601570,-44.9043480","Abrir no Google Maps")</f>
        <v>Abrir no Google Maps</v>
      </c>
      <c r="S1573">
        <v>3</v>
      </c>
      <c r="T1573">
        <v>469.26088527154809</v>
      </c>
      <c r="U1573">
        <v>3</v>
      </c>
      <c r="V1573">
        <v>22</v>
      </c>
      <c r="W1573">
        <v>1</v>
      </c>
      <c r="X1573">
        <v>22</v>
      </c>
      <c r="Y1573">
        <v>729</v>
      </c>
      <c r="Z1573">
        <v>253.57832452309071</v>
      </c>
      <c r="AA1573">
        <v>198</v>
      </c>
      <c r="AB1573">
        <v>332</v>
      </c>
      <c r="AC1573">
        <v>536</v>
      </c>
      <c r="AD1573">
        <v>28.93</v>
      </c>
      <c r="AE1573">
        <v>542</v>
      </c>
      <c r="AF1573">
        <v>28</v>
      </c>
      <c r="AG1573">
        <v>168</v>
      </c>
      <c r="AH1573">
        <v>129</v>
      </c>
      <c r="AI1573">
        <v>5.17</v>
      </c>
      <c r="AJ1573">
        <v>31</v>
      </c>
      <c r="AK1573">
        <v>23.8</v>
      </c>
      <c r="AL1573">
        <v>-20.160007949999969</v>
      </c>
      <c r="AM1573">
        <v>-44.904396608560482</v>
      </c>
      <c r="AN1573">
        <v>-20.160007949999969</v>
      </c>
      <c r="AO1573">
        <v>-44.904396608560482</v>
      </c>
      <c r="AP1573">
        <v>-20.160157000000002</v>
      </c>
      <c r="AQ1573">
        <v>-44.904347999999999</v>
      </c>
      <c r="AR1573">
        <v>17.35237255387942</v>
      </c>
      <c r="AS1573" t="s">
        <v>65</v>
      </c>
      <c r="AT1573">
        <v>1</v>
      </c>
      <c r="AU1573" t="s">
        <v>402</v>
      </c>
      <c r="AV1573" t="s">
        <v>403</v>
      </c>
      <c r="AW1573" t="s">
        <v>60</v>
      </c>
      <c r="AX1573" t="s">
        <v>68</v>
      </c>
      <c r="AY1573" t="s">
        <v>69</v>
      </c>
      <c r="AZ1573" t="b">
        <v>1</v>
      </c>
    </row>
    <row r="1574" spans="1:52" x14ac:dyDescent="0.3">
      <c r="A1574" t="s">
        <v>52</v>
      </c>
      <c r="B1574" t="s">
        <v>53</v>
      </c>
      <c r="C1574" t="s">
        <v>54</v>
      </c>
      <c r="D1574" t="s">
        <v>55</v>
      </c>
      <c r="E1574" t="s">
        <v>2142</v>
      </c>
      <c r="F1574" t="s">
        <v>1247</v>
      </c>
      <c r="G1574" t="s">
        <v>404</v>
      </c>
      <c r="H1574" t="s">
        <v>405</v>
      </c>
      <c r="I1574" t="s">
        <v>405</v>
      </c>
      <c r="J1574" t="s">
        <v>60</v>
      </c>
      <c r="K1574" t="s">
        <v>388</v>
      </c>
      <c r="L1574" t="s">
        <v>62</v>
      </c>
      <c r="M1574" t="s">
        <v>388</v>
      </c>
      <c r="N1574" t="s">
        <v>406</v>
      </c>
      <c r="O1574" t="s">
        <v>407</v>
      </c>
      <c r="P1574">
        <v>-20.162780999999999</v>
      </c>
      <c r="Q1574">
        <v>-44.904437999999999</v>
      </c>
      <c r="R1574" s="2" t="str">
        <f>HYPERLINK("https://www.google.com/maps?q=-20.1627810,-44.9044380","Abrir no Google Maps")</f>
        <v>Abrir no Google Maps</v>
      </c>
      <c r="S1574">
        <v>3</v>
      </c>
      <c r="T1574">
        <v>681.0891377731482</v>
      </c>
      <c r="U1574">
        <v>3</v>
      </c>
      <c r="V1574">
        <v>19</v>
      </c>
      <c r="W1574">
        <v>1</v>
      </c>
      <c r="X1574">
        <v>19</v>
      </c>
      <c r="Y1574">
        <v>729</v>
      </c>
      <c r="Z1574">
        <v>564.17713687218622</v>
      </c>
      <c r="AA1574">
        <v>198</v>
      </c>
      <c r="AB1574">
        <v>332</v>
      </c>
      <c r="AC1574">
        <v>536</v>
      </c>
      <c r="AD1574">
        <v>28.93</v>
      </c>
      <c r="AE1574">
        <v>542</v>
      </c>
      <c r="AF1574">
        <v>28</v>
      </c>
      <c r="AG1574">
        <v>168</v>
      </c>
      <c r="AH1574">
        <v>129</v>
      </c>
      <c r="AI1574">
        <v>5.17</v>
      </c>
      <c r="AJ1574">
        <v>31</v>
      </c>
      <c r="AK1574">
        <v>23.8</v>
      </c>
      <c r="AL1574">
        <v>-20.16295434999995</v>
      </c>
      <c r="AM1574">
        <v>-44.904242686956152</v>
      </c>
      <c r="AN1574">
        <v>-20.16295434999995</v>
      </c>
      <c r="AO1574">
        <v>-44.904242686956152</v>
      </c>
      <c r="AP1574">
        <v>-20.162780999999999</v>
      </c>
      <c r="AQ1574">
        <v>-44.904437999999999</v>
      </c>
      <c r="AR1574">
        <v>28.088191280523411</v>
      </c>
      <c r="AS1574" t="s">
        <v>65</v>
      </c>
      <c r="AT1574">
        <v>1</v>
      </c>
      <c r="AU1574" t="s">
        <v>408</v>
      </c>
      <c r="AV1574" t="s">
        <v>409</v>
      </c>
      <c r="AW1574" t="s">
        <v>60</v>
      </c>
      <c r="AX1574" t="s">
        <v>68</v>
      </c>
      <c r="AY1574" t="s">
        <v>69</v>
      </c>
      <c r="AZ1574" t="b">
        <v>1</v>
      </c>
    </row>
    <row r="1575" spans="1:52" x14ac:dyDescent="0.3">
      <c r="A1575" t="s">
        <v>52</v>
      </c>
      <c r="B1575" t="s">
        <v>53</v>
      </c>
      <c r="C1575" t="s">
        <v>54</v>
      </c>
      <c r="D1575" t="s">
        <v>55</v>
      </c>
      <c r="E1575" t="s">
        <v>2142</v>
      </c>
      <c r="F1575" t="s">
        <v>1247</v>
      </c>
      <c r="G1575" t="s">
        <v>410</v>
      </c>
      <c r="H1575" t="s">
        <v>411</v>
      </c>
      <c r="I1575" t="s">
        <v>411</v>
      </c>
      <c r="J1575" t="s">
        <v>60</v>
      </c>
      <c r="K1575" t="s">
        <v>388</v>
      </c>
      <c r="L1575" t="s">
        <v>62</v>
      </c>
      <c r="M1575" t="s">
        <v>388</v>
      </c>
      <c r="N1575" t="s">
        <v>412</v>
      </c>
      <c r="O1575" t="s">
        <v>413</v>
      </c>
      <c r="P1575">
        <v>-20.161394000000001</v>
      </c>
      <c r="Q1575">
        <v>-44.906725999999999</v>
      </c>
      <c r="R1575" s="2" t="str">
        <f>HYPERLINK("https://www.google.com/maps?q=-20.1613940,-44.9067260","Abrir no Google Maps")</f>
        <v>Abrir no Google Maps</v>
      </c>
      <c r="S1575">
        <v>3</v>
      </c>
      <c r="T1575">
        <v>763.68157548493457</v>
      </c>
      <c r="U1575">
        <v>3</v>
      </c>
      <c r="V1575">
        <v>21</v>
      </c>
      <c r="W1575">
        <v>1</v>
      </c>
      <c r="X1575">
        <v>21</v>
      </c>
      <c r="Y1575">
        <v>729</v>
      </c>
      <c r="Z1575">
        <v>551.70379325948545</v>
      </c>
      <c r="AA1575">
        <v>198</v>
      </c>
      <c r="AB1575">
        <v>332</v>
      </c>
      <c r="AC1575">
        <v>536</v>
      </c>
      <c r="AD1575">
        <v>28.93</v>
      </c>
      <c r="AE1575">
        <v>542</v>
      </c>
      <c r="AF1575">
        <v>28</v>
      </c>
      <c r="AG1575">
        <v>168</v>
      </c>
      <c r="AH1575">
        <v>129</v>
      </c>
      <c r="AI1575">
        <v>5.17</v>
      </c>
      <c r="AJ1575">
        <v>31</v>
      </c>
      <c r="AK1575">
        <v>23.8</v>
      </c>
      <c r="AL1575">
        <v>-20.161371049999929</v>
      </c>
      <c r="AM1575">
        <v>-44.906816797310228</v>
      </c>
      <c r="AN1575">
        <v>-20.161371049999929</v>
      </c>
      <c r="AO1575">
        <v>-44.906816797310228</v>
      </c>
      <c r="AP1575">
        <v>-20.161394000000001</v>
      </c>
      <c r="AQ1575">
        <v>-44.906725999999999</v>
      </c>
      <c r="AR1575">
        <v>9.8261555662022495</v>
      </c>
      <c r="AS1575" t="s">
        <v>65</v>
      </c>
      <c r="AT1575">
        <v>1</v>
      </c>
      <c r="AU1575" t="s">
        <v>414</v>
      </c>
      <c r="AV1575" t="s">
        <v>415</v>
      </c>
      <c r="AW1575" t="s">
        <v>60</v>
      </c>
      <c r="AX1575" t="s">
        <v>68</v>
      </c>
      <c r="AY1575" t="s">
        <v>69</v>
      </c>
      <c r="AZ1575" t="b">
        <v>1</v>
      </c>
    </row>
    <row r="1576" spans="1:52" x14ac:dyDescent="0.3">
      <c r="A1576" t="s">
        <v>52</v>
      </c>
      <c r="B1576" t="s">
        <v>53</v>
      </c>
      <c r="C1576" t="s">
        <v>54</v>
      </c>
      <c r="D1576" t="s">
        <v>55</v>
      </c>
      <c r="E1576" t="s">
        <v>2142</v>
      </c>
      <c r="F1576" t="s">
        <v>1247</v>
      </c>
      <c r="G1576" t="s">
        <v>416</v>
      </c>
      <c r="H1576" t="s">
        <v>417</v>
      </c>
      <c r="I1576" t="s">
        <v>417</v>
      </c>
      <c r="J1576" t="s">
        <v>60</v>
      </c>
      <c r="K1576" t="s">
        <v>418</v>
      </c>
      <c r="L1576" t="s">
        <v>62</v>
      </c>
      <c r="M1576" t="s">
        <v>418</v>
      </c>
      <c r="N1576" t="s">
        <v>419</v>
      </c>
      <c r="O1576" t="s">
        <v>202</v>
      </c>
      <c r="P1576">
        <v>-20.169886000000002</v>
      </c>
      <c r="Q1576">
        <v>-44.913288000000001</v>
      </c>
      <c r="R1576" s="2" t="str">
        <f>HYPERLINK("https://www.google.com/maps?q=-20.1698860,-44.9132880","Abrir no Google Maps")</f>
        <v>Abrir no Google Maps</v>
      </c>
      <c r="S1576">
        <v>3</v>
      </c>
      <c r="T1576">
        <v>422.88733632898152</v>
      </c>
      <c r="U1576">
        <v>3</v>
      </c>
      <c r="V1576">
        <v>20</v>
      </c>
      <c r="W1576">
        <v>1</v>
      </c>
      <c r="X1576">
        <v>20</v>
      </c>
      <c r="Y1576">
        <v>723</v>
      </c>
      <c r="Z1576">
        <v>128.65003864232261</v>
      </c>
      <c r="AA1576">
        <v>198</v>
      </c>
      <c r="AB1576">
        <v>332</v>
      </c>
      <c r="AC1576">
        <v>536</v>
      </c>
      <c r="AD1576">
        <v>28.93</v>
      </c>
      <c r="AE1576">
        <v>542</v>
      </c>
      <c r="AF1576">
        <v>28</v>
      </c>
      <c r="AG1576">
        <v>168</v>
      </c>
      <c r="AH1576">
        <v>129</v>
      </c>
      <c r="AI1576">
        <v>5.17</v>
      </c>
      <c r="AJ1576">
        <v>31</v>
      </c>
      <c r="AK1576">
        <v>23.8</v>
      </c>
      <c r="AL1576">
        <v>-20.16970024999998</v>
      </c>
      <c r="AM1576">
        <v>-44.913502201257437</v>
      </c>
      <c r="AN1576">
        <v>-20.16970024999998</v>
      </c>
      <c r="AO1576">
        <v>-44.913502201257437</v>
      </c>
      <c r="AP1576">
        <v>-20.169886000000002</v>
      </c>
      <c r="AQ1576">
        <v>-44.913288000000001</v>
      </c>
      <c r="AR1576">
        <v>30.47208587597606</v>
      </c>
      <c r="AS1576" t="s">
        <v>65</v>
      </c>
      <c r="AT1576">
        <v>1</v>
      </c>
      <c r="AU1576" t="s">
        <v>420</v>
      </c>
      <c r="AV1576" t="s">
        <v>421</v>
      </c>
      <c r="AW1576" t="s">
        <v>60</v>
      </c>
      <c r="AX1576" t="s">
        <v>68</v>
      </c>
      <c r="AY1576" t="s">
        <v>69</v>
      </c>
      <c r="AZ1576" t="b">
        <v>1</v>
      </c>
    </row>
    <row r="1577" spans="1:52" x14ac:dyDescent="0.3">
      <c r="A1577" t="s">
        <v>52</v>
      </c>
      <c r="B1577" t="s">
        <v>53</v>
      </c>
      <c r="C1577" t="s">
        <v>54</v>
      </c>
      <c r="D1577" t="s">
        <v>55</v>
      </c>
      <c r="E1577" t="s">
        <v>2142</v>
      </c>
      <c r="F1577" t="s">
        <v>1247</v>
      </c>
      <c r="G1577" t="s">
        <v>1300</v>
      </c>
      <c r="H1577" t="s">
        <v>1301</v>
      </c>
      <c r="I1577" t="s">
        <v>1301</v>
      </c>
      <c r="J1577" t="s">
        <v>60</v>
      </c>
      <c r="K1577" t="s">
        <v>1302</v>
      </c>
      <c r="L1577" t="s">
        <v>62</v>
      </c>
      <c r="M1577" t="s">
        <v>1302</v>
      </c>
      <c r="N1577" t="s">
        <v>1303</v>
      </c>
      <c r="O1577" t="s">
        <v>1304</v>
      </c>
      <c r="P1577">
        <v>-20.166618</v>
      </c>
      <c r="Q1577">
        <v>-44.912920999999997</v>
      </c>
      <c r="R1577" s="2" t="str">
        <f>HYPERLINK("https://www.google.com/maps?q=-20.1666180,-44.9129210","Abrir no Google Maps")</f>
        <v>Abrir no Google Maps</v>
      </c>
      <c r="S1577">
        <v>3</v>
      </c>
      <c r="T1577">
        <v>636.32880156364706</v>
      </c>
      <c r="U1577">
        <v>3</v>
      </c>
      <c r="V1577">
        <v>19</v>
      </c>
      <c r="W1577">
        <v>0.85</v>
      </c>
      <c r="X1577">
        <v>16.149999999999999</v>
      </c>
      <c r="Y1577">
        <v>723</v>
      </c>
      <c r="Z1577">
        <v>407.62145176971592</v>
      </c>
      <c r="AA1577">
        <v>198</v>
      </c>
      <c r="AB1577">
        <v>332</v>
      </c>
      <c r="AC1577">
        <v>536</v>
      </c>
      <c r="AD1577">
        <v>28.93</v>
      </c>
      <c r="AE1577">
        <v>542</v>
      </c>
      <c r="AF1577">
        <v>28</v>
      </c>
      <c r="AG1577">
        <v>168</v>
      </c>
      <c r="AH1577">
        <v>129</v>
      </c>
      <c r="AI1577">
        <v>5.17</v>
      </c>
      <c r="AJ1577">
        <v>31</v>
      </c>
      <c r="AK1577">
        <v>23.8</v>
      </c>
      <c r="AL1577">
        <v>-20.166924799999951</v>
      </c>
      <c r="AM1577">
        <v>-44.912868681724092</v>
      </c>
      <c r="AN1577">
        <v>-20.166924799999951</v>
      </c>
      <c r="AO1577">
        <v>-44.912868681724092</v>
      </c>
      <c r="AP1577">
        <v>-20.166618</v>
      </c>
      <c r="AQ1577">
        <v>-44.912920999999997</v>
      </c>
      <c r="AR1577">
        <v>34.587771860198139</v>
      </c>
      <c r="AS1577" t="s">
        <v>65</v>
      </c>
      <c r="AT1577">
        <v>1</v>
      </c>
      <c r="AU1577" t="s">
        <v>1305</v>
      </c>
      <c r="AV1577" t="s">
        <v>1306</v>
      </c>
      <c r="AW1577" t="s">
        <v>60</v>
      </c>
      <c r="AX1577" t="s">
        <v>68</v>
      </c>
      <c r="AY1577" t="s">
        <v>69</v>
      </c>
      <c r="AZ1577" t="b">
        <v>1</v>
      </c>
    </row>
    <row r="1578" spans="1:52" x14ac:dyDescent="0.3">
      <c r="A1578" t="s">
        <v>52</v>
      </c>
      <c r="B1578" t="s">
        <v>53</v>
      </c>
      <c r="C1578" t="s">
        <v>54</v>
      </c>
      <c r="D1578" t="s">
        <v>55</v>
      </c>
      <c r="E1578" t="s">
        <v>2142</v>
      </c>
      <c r="F1578" t="s">
        <v>1247</v>
      </c>
      <c r="G1578" t="s">
        <v>870</v>
      </c>
      <c r="H1578" t="s">
        <v>871</v>
      </c>
      <c r="I1578" t="s">
        <v>871</v>
      </c>
      <c r="J1578" t="s">
        <v>60</v>
      </c>
      <c r="K1578" t="s">
        <v>475</v>
      </c>
      <c r="L1578" t="s">
        <v>62</v>
      </c>
      <c r="M1578" t="s">
        <v>475</v>
      </c>
      <c r="N1578" t="s">
        <v>872</v>
      </c>
      <c r="O1578" t="s">
        <v>507</v>
      </c>
      <c r="P1578">
        <v>-20.176269999999999</v>
      </c>
      <c r="Q1578">
        <v>-44.909323999999998</v>
      </c>
      <c r="R1578" s="2" t="str">
        <f>HYPERLINK("https://www.google.com/maps?q=-20.1762700,-44.9093240","Abrir no Google Maps")</f>
        <v>Abrir no Google Maps</v>
      </c>
      <c r="S1578">
        <v>3</v>
      </c>
      <c r="T1578">
        <v>472.42731136821368</v>
      </c>
      <c r="U1578">
        <v>3</v>
      </c>
      <c r="V1578">
        <v>18</v>
      </c>
      <c r="W1578">
        <v>1</v>
      </c>
      <c r="X1578">
        <v>18</v>
      </c>
      <c r="Y1578">
        <v>578</v>
      </c>
      <c r="Z1578">
        <v>495.19726726344601</v>
      </c>
      <c r="AA1578">
        <v>198</v>
      </c>
      <c r="AB1578">
        <v>332</v>
      </c>
      <c r="AC1578">
        <v>536</v>
      </c>
      <c r="AD1578">
        <v>28.93</v>
      </c>
      <c r="AE1578">
        <v>542</v>
      </c>
      <c r="AF1578">
        <v>28</v>
      </c>
      <c r="AG1578">
        <v>168</v>
      </c>
      <c r="AH1578">
        <v>129</v>
      </c>
      <c r="AI1578">
        <v>5.17</v>
      </c>
      <c r="AJ1578">
        <v>31</v>
      </c>
      <c r="AK1578">
        <v>23.8</v>
      </c>
      <c r="AL1578">
        <v>-20.17630284999996</v>
      </c>
      <c r="AM1578">
        <v>-44.909199064318948</v>
      </c>
      <c r="AN1578">
        <v>-20.17630284999996</v>
      </c>
      <c r="AO1578">
        <v>-44.909199064318948</v>
      </c>
      <c r="AP1578">
        <v>-20.176269999999999</v>
      </c>
      <c r="AQ1578">
        <v>-44.909323999999998</v>
      </c>
      <c r="AR1578">
        <v>13.55691308737447</v>
      </c>
      <c r="AS1578" t="s">
        <v>65</v>
      </c>
      <c r="AT1578">
        <v>1</v>
      </c>
      <c r="AU1578" t="s">
        <v>873</v>
      </c>
      <c r="AV1578" t="s">
        <v>874</v>
      </c>
      <c r="AW1578" t="s">
        <v>60</v>
      </c>
      <c r="AX1578" t="s">
        <v>68</v>
      </c>
      <c r="AY1578" t="s">
        <v>69</v>
      </c>
      <c r="AZ1578" t="b">
        <v>1</v>
      </c>
    </row>
    <row r="1579" spans="1:52" x14ac:dyDescent="0.3">
      <c r="A1579" t="s">
        <v>52</v>
      </c>
      <c r="B1579" t="s">
        <v>53</v>
      </c>
      <c r="C1579" t="s">
        <v>54</v>
      </c>
      <c r="D1579" t="s">
        <v>55</v>
      </c>
      <c r="E1579" t="s">
        <v>2142</v>
      </c>
      <c r="F1579" t="s">
        <v>1247</v>
      </c>
      <c r="G1579" t="s">
        <v>479</v>
      </c>
      <c r="H1579" t="s">
        <v>480</v>
      </c>
      <c r="I1579" t="s">
        <v>480</v>
      </c>
      <c r="J1579" t="s">
        <v>60</v>
      </c>
      <c r="K1579" t="s">
        <v>388</v>
      </c>
      <c r="L1579" t="s">
        <v>62</v>
      </c>
      <c r="M1579" t="s">
        <v>388</v>
      </c>
      <c r="N1579" t="s">
        <v>481</v>
      </c>
      <c r="O1579" t="s">
        <v>315</v>
      </c>
      <c r="P1579">
        <v>-20.166903999999999</v>
      </c>
      <c r="Q1579">
        <v>-44.903492</v>
      </c>
      <c r="R1579" s="2" t="str">
        <f>HYPERLINK("https://www.google.com/maps?q=-20.1669040,-44.9034920","Abrir no Google Maps")</f>
        <v>Abrir no Google Maps</v>
      </c>
      <c r="S1579">
        <v>3</v>
      </c>
      <c r="T1579">
        <v>517.12253532511602</v>
      </c>
      <c r="U1579">
        <v>3</v>
      </c>
      <c r="V1579">
        <v>22</v>
      </c>
      <c r="W1579">
        <v>1</v>
      </c>
      <c r="X1579">
        <v>22</v>
      </c>
      <c r="Y1579">
        <v>578</v>
      </c>
      <c r="Z1579">
        <v>721.79551240050432</v>
      </c>
      <c r="AA1579">
        <v>198</v>
      </c>
      <c r="AB1579">
        <v>332</v>
      </c>
      <c r="AC1579">
        <v>536</v>
      </c>
      <c r="AD1579">
        <v>28.93</v>
      </c>
      <c r="AE1579">
        <v>542</v>
      </c>
      <c r="AF1579">
        <v>28</v>
      </c>
      <c r="AG1579">
        <v>168</v>
      </c>
      <c r="AH1579">
        <v>129</v>
      </c>
      <c r="AI1579">
        <v>5.17</v>
      </c>
      <c r="AJ1579">
        <v>31</v>
      </c>
      <c r="AK1579">
        <v>23.8</v>
      </c>
      <c r="AL1579">
        <v>-20.166610649999971</v>
      </c>
      <c r="AM1579">
        <v>-44.903452988928308</v>
      </c>
      <c r="AN1579">
        <v>-20.166610649999971</v>
      </c>
      <c r="AO1579">
        <v>-44.903452988928308</v>
      </c>
      <c r="AP1579">
        <v>-20.166903999999999</v>
      </c>
      <c r="AQ1579">
        <v>-44.903492</v>
      </c>
      <c r="AR1579">
        <v>32.909175876856217</v>
      </c>
      <c r="AS1579" t="s">
        <v>65</v>
      </c>
      <c r="AT1579">
        <v>1</v>
      </c>
      <c r="AU1579" t="s">
        <v>482</v>
      </c>
      <c r="AV1579" t="s">
        <v>483</v>
      </c>
      <c r="AW1579" t="s">
        <v>60</v>
      </c>
      <c r="AX1579" t="s">
        <v>68</v>
      </c>
      <c r="AY1579" t="s">
        <v>69</v>
      </c>
      <c r="AZ1579" t="b">
        <v>1</v>
      </c>
    </row>
    <row r="1580" spans="1:52" x14ac:dyDescent="0.3">
      <c r="A1580" t="s">
        <v>52</v>
      </c>
      <c r="B1580" t="s">
        <v>53</v>
      </c>
      <c r="C1580" t="s">
        <v>54</v>
      </c>
      <c r="D1580" t="s">
        <v>55</v>
      </c>
      <c r="E1580" t="s">
        <v>2142</v>
      </c>
      <c r="F1580" t="s">
        <v>1247</v>
      </c>
      <c r="G1580" t="s">
        <v>491</v>
      </c>
      <c r="H1580" t="s">
        <v>492</v>
      </c>
      <c r="I1580" t="s">
        <v>492</v>
      </c>
      <c r="J1580" t="s">
        <v>60</v>
      </c>
      <c r="K1580" t="s">
        <v>475</v>
      </c>
      <c r="L1580" t="s">
        <v>62</v>
      </c>
      <c r="M1580" t="s">
        <v>475</v>
      </c>
      <c r="N1580" t="s">
        <v>493</v>
      </c>
      <c r="O1580" t="s">
        <v>494</v>
      </c>
      <c r="P1580">
        <v>-20.175250999999999</v>
      </c>
      <c r="Q1580">
        <v>-44.897357</v>
      </c>
      <c r="R1580" s="2" t="str">
        <f>HYPERLINK("https://www.google.com/maps?q=-20.1752510,-44.8973570","Abrir no Google Maps")</f>
        <v>Abrir no Google Maps</v>
      </c>
      <c r="S1580">
        <v>3</v>
      </c>
      <c r="T1580">
        <v>992.29631678149951</v>
      </c>
      <c r="U1580">
        <v>3</v>
      </c>
      <c r="V1580">
        <v>17</v>
      </c>
      <c r="W1580">
        <v>1</v>
      </c>
      <c r="X1580">
        <v>17</v>
      </c>
      <c r="Y1580">
        <v>578</v>
      </c>
      <c r="Z1580">
        <v>1008.5871064168319</v>
      </c>
      <c r="AA1580">
        <v>198</v>
      </c>
      <c r="AB1580">
        <v>332</v>
      </c>
      <c r="AC1580">
        <v>536</v>
      </c>
      <c r="AD1580">
        <v>28.93</v>
      </c>
      <c r="AE1580">
        <v>542</v>
      </c>
      <c r="AF1580">
        <v>28</v>
      </c>
      <c r="AG1580">
        <v>168</v>
      </c>
      <c r="AH1580">
        <v>129</v>
      </c>
      <c r="AI1580">
        <v>5.17</v>
      </c>
      <c r="AJ1580">
        <v>31</v>
      </c>
      <c r="AK1580">
        <v>23.8</v>
      </c>
      <c r="AL1580">
        <v>-20.175290599999951</v>
      </c>
      <c r="AM1580">
        <v>-44.897271931010721</v>
      </c>
      <c r="AN1580">
        <v>-20.175290599999951</v>
      </c>
      <c r="AO1580">
        <v>-44.897271931010721</v>
      </c>
      <c r="AP1580">
        <v>-20.175250999999999</v>
      </c>
      <c r="AQ1580">
        <v>-44.897357</v>
      </c>
      <c r="AR1580">
        <v>9.921899108467926</v>
      </c>
      <c r="AS1580" t="s">
        <v>65</v>
      </c>
      <c r="AT1580">
        <v>1</v>
      </c>
      <c r="AU1580" t="s">
        <v>495</v>
      </c>
      <c r="AV1580" t="s">
        <v>496</v>
      </c>
      <c r="AW1580" t="s">
        <v>60</v>
      </c>
      <c r="AX1580" t="s">
        <v>68</v>
      </c>
      <c r="AY1580" t="s">
        <v>69</v>
      </c>
      <c r="AZ1580" t="b">
        <v>1</v>
      </c>
    </row>
    <row r="1581" spans="1:52" x14ac:dyDescent="0.3">
      <c r="A1581" t="s">
        <v>52</v>
      </c>
      <c r="B1581" t="s">
        <v>53</v>
      </c>
      <c r="C1581" t="s">
        <v>54</v>
      </c>
      <c r="D1581" t="s">
        <v>55</v>
      </c>
      <c r="E1581" t="s">
        <v>2142</v>
      </c>
      <c r="F1581" t="s">
        <v>1247</v>
      </c>
      <c r="G1581" t="s">
        <v>497</v>
      </c>
      <c r="H1581" t="s">
        <v>875</v>
      </c>
      <c r="I1581" t="s">
        <v>875</v>
      </c>
      <c r="J1581" t="s">
        <v>60</v>
      </c>
      <c r="K1581" t="s">
        <v>475</v>
      </c>
      <c r="L1581" t="s">
        <v>62</v>
      </c>
      <c r="M1581" t="s">
        <v>475</v>
      </c>
      <c r="N1581" t="s">
        <v>499</v>
      </c>
      <c r="O1581" t="s">
        <v>876</v>
      </c>
      <c r="P1581">
        <v>-20.177212999999998</v>
      </c>
      <c r="Q1581">
        <v>-44.904026999999999</v>
      </c>
      <c r="R1581" s="2" t="str">
        <f>HYPERLINK("https://www.google.com/maps?q=-20.1772130,-44.9040270","Abrir no Google Maps")</f>
        <v>Abrir no Google Maps</v>
      </c>
      <c r="S1581">
        <v>3</v>
      </c>
      <c r="T1581">
        <v>706.4159561113795</v>
      </c>
      <c r="U1581">
        <v>3</v>
      </c>
      <c r="V1581">
        <v>17</v>
      </c>
      <c r="W1581">
        <v>1</v>
      </c>
      <c r="X1581">
        <v>17</v>
      </c>
      <c r="Y1581">
        <v>578</v>
      </c>
      <c r="Z1581">
        <v>588.7160518608398</v>
      </c>
      <c r="AA1581">
        <v>198</v>
      </c>
      <c r="AB1581">
        <v>332</v>
      </c>
      <c r="AC1581">
        <v>536</v>
      </c>
      <c r="AD1581">
        <v>28.93</v>
      </c>
      <c r="AE1581">
        <v>542</v>
      </c>
      <c r="AF1581">
        <v>28</v>
      </c>
      <c r="AG1581">
        <v>168</v>
      </c>
      <c r="AH1581">
        <v>129</v>
      </c>
      <c r="AI1581">
        <v>5.17</v>
      </c>
      <c r="AJ1581">
        <v>31</v>
      </c>
      <c r="AK1581">
        <v>23.8</v>
      </c>
      <c r="AL1581">
        <v>-20.177090199999949</v>
      </c>
      <c r="AM1581">
        <v>-44.904078820930181</v>
      </c>
      <c r="AN1581">
        <v>-20.177090199999949</v>
      </c>
      <c r="AO1581">
        <v>-44.904078820930181</v>
      </c>
      <c r="AP1581">
        <v>-20.177212999999998</v>
      </c>
      <c r="AQ1581">
        <v>-44.904026999999999</v>
      </c>
      <c r="AR1581">
        <v>14.7034129632295</v>
      </c>
      <c r="AS1581" t="s">
        <v>65</v>
      </c>
      <c r="AT1581">
        <v>1</v>
      </c>
      <c r="AU1581" t="s">
        <v>877</v>
      </c>
      <c r="AV1581" t="s">
        <v>878</v>
      </c>
      <c r="AW1581" t="s">
        <v>60</v>
      </c>
      <c r="AX1581" t="s">
        <v>68</v>
      </c>
      <c r="AY1581" t="s">
        <v>69</v>
      </c>
      <c r="AZ1581" t="b">
        <v>1</v>
      </c>
    </row>
    <row r="1582" spans="1:52" x14ac:dyDescent="0.3">
      <c r="A1582" t="s">
        <v>52</v>
      </c>
      <c r="B1582" t="s">
        <v>53</v>
      </c>
      <c r="C1582" t="s">
        <v>54</v>
      </c>
      <c r="D1582" t="s">
        <v>55</v>
      </c>
      <c r="E1582" t="s">
        <v>2142</v>
      </c>
      <c r="F1582" t="s">
        <v>1247</v>
      </c>
      <c r="G1582" t="s">
        <v>497</v>
      </c>
      <c r="H1582" t="s">
        <v>498</v>
      </c>
      <c r="I1582" t="s">
        <v>498</v>
      </c>
      <c r="J1582" t="s">
        <v>60</v>
      </c>
      <c r="K1582" t="s">
        <v>475</v>
      </c>
      <c r="L1582" t="s">
        <v>62</v>
      </c>
      <c r="M1582" t="s">
        <v>475</v>
      </c>
      <c r="N1582" t="s">
        <v>499</v>
      </c>
      <c r="O1582" t="s">
        <v>500</v>
      </c>
      <c r="P1582">
        <v>-20.175492999999999</v>
      </c>
      <c r="Q1582">
        <v>-44.900759000000001</v>
      </c>
      <c r="R1582" s="2" t="str">
        <f>HYPERLINK("https://www.google.com/maps?q=-20.1754930,-44.9007590","Abrir no Google Maps")</f>
        <v>Abrir no Google Maps</v>
      </c>
      <c r="S1582">
        <v>3</v>
      </c>
      <c r="T1582">
        <v>753.30732354720431</v>
      </c>
      <c r="U1582">
        <v>3</v>
      </c>
      <c r="V1582">
        <v>18</v>
      </c>
      <c r="W1582">
        <v>1</v>
      </c>
      <c r="X1582">
        <v>18</v>
      </c>
      <c r="Y1582">
        <v>578</v>
      </c>
      <c r="Z1582">
        <v>695.28903655431702</v>
      </c>
      <c r="AA1582">
        <v>198</v>
      </c>
      <c r="AB1582">
        <v>332</v>
      </c>
      <c r="AC1582">
        <v>536</v>
      </c>
      <c r="AD1582">
        <v>28.93</v>
      </c>
      <c r="AE1582">
        <v>542</v>
      </c>
      <c r="AF1582">
        <v>28</v>
      </c>
      <c r="AG1582">
        <v>168</v>
      </c>
      <c r="AH1582">
        <v>129</v>
      </c>
      <c r="AI1582">
        <v>5.17</v>
      </c>
      <c r="AJ1582">
        <v>31</v>
      </c>
      <c r="AK1582">
        <v>23.8</v>
      </c>
      <c r="AL1582">
        <v>-20.175825999999969</v>
      </c>
      <c r="AM1582">
        <v>-44.900600234646973</v>
      </c>
      <c r="AN1582">
        <v>-20.175825999999969</v>
      </c>
      <c r="AO1582">
        <v>-44.900600234646973</v>
      </c>
      <c r="AP1582">
        <v>-20.175492999999999</v>
      </c>
      <c r="AQ1582">
        <v>-44.900759000000001</v>
      </c>
      <c r="AR1582">
        <v>40.612267304645073</v>
      </c>
      <c r="AS1582" t="s">
        <v>65</v>
      </c>
      <c r="AT1582">
        <v>1</v>
      </c>
      <c r="AU1582" t="s">
        <v>501</v>
      </c>
      <c r="AV1582" t="s">
        <v>502</v>
      </c>
      <c r="AW1582" t="s">
        <v>60</v>
      </c>
      <c r="AX1582" t="s">
        <v>68</v>
      </c>
      <c r="AY1582" t="s">
        <v>69</v>
      </c>
      <c r="AZ1582" t="b">
        <v>1</v>
      </c>
    </row>
    <row r="1583" spans="1:52" x14ac:dyDescent="0.3">
      <c r="A1583" t="s">
        <v>52</v>
      </c>
      <c r="B1583" t="s">
        <v>53</v>
      </c>
      <c r="C1583" t="s">
        <v>54</v>
      </c>
      <c r="D1583" t="s">
        <v>55</v>
      </c>
      <c r="E1583" t="s">
        <v>2142</v>
      </c>
      <c r="F1583" t="s">
        <v>1247</v>
      </c>
      <c r="G1583" t="s">
        <v>516</v>
      </c>
      <c r="H1583" t="s">
        <v>517</v>
      </c>
      <c r="I1583" t="s">
        <v>517</v>
      </c>
      <c r="J1583" t="s">
        <v>60</v>
      </c>
      <c r="K1583" t="s">
        <v>518</v>
      </c>
      <c r="L1583" t="s">
        <v>62</v>
      </c>
      <c r="M1583" t="s">
        <v>518</v>
      </c>
      <c r="N1583" t="s">
        <v>519</v>
      </c>
      <c r="O1583" t="s">
        <v>520</v>
      </c>
      <c r="P1583">
        <v>-20.124502</v>
      </c>
      <c r="Q1583">
        <v>-44.888424000000001</v>
      </c>
      <c r="R1583" s="2" t="str">
        <f>HYPERLINK("https://www.google.com/maps?q=-20.1245020,-44.8884240","Abrir no Google Maps")</f>
        <v>Abrir no Google Maps</v>
      </c>
      <c r="S1583">
        <v>3</v>
      </c>
      <c r="T1583">
        <v>483.42298121929559</v>
      </c>
      <c r="U1583">
        <v>3</v>
      </c>
      <c r="V1583">
        <v>20</v>
      </c>
      <c r="W1583">
        <v>1</v>
      </c>
      <c r="X1583">
        <v>20</v>
      </c>
      <c r="Y1583">
        <v>564</v>
      </c>
      <c r="Z1583">
        <v>565.43074237076587</v>
      </c>
      <c r="AA1583">
        <v>198</v>
      </c>
      <c r="AB1583">
        <v>332</v>
      </c>
      <c r="AC1583">
        <v>536</v>
      </c>
      <c r="AD1583">
        <v>28.93</v>
      </c>
      <c r="AE1583">
        <v>542</v>
      </c>
      <c r="AF1583">
        <v>28</v>
      </c>
      <c r="AG1583">
        <v>168</v>
      </c>
      <c r="AH1583">
        <v>129</v>
      </c>
      <c r="AI1583">
        <v>5.17</v>
      </c>
      <c r="AJ1583">
        <v>31</v>
      </c>
      <c r="AK1583">
        <v>23.8</v>
      </c>
      <c r="AL1583">
        <v>-20.124624949999941</v>
      </c>
      <c r="AM1583">
        <v>-44.888432821777258</v>
      </c>
      <c r="AN1583">
        <v>-20.124624949999941</v>
      </c>
      <c r="AO1583">
        <v>-44.888432821777258</v>
      </c>
      <c r="AP1583">
        <v>-20.124502</v>
      </c>
      <c r="AQ1583">
        <v>-44.888424000000001</v>
      </c>
      <c r="AR1583">
        <v>13.717819333897451</v>
      </c>
      <c r="AS1583" t="s">
        <v>65</v>
      </c>
      <c r="AT1583">
        <v>1</v>
      </c>
      <c r="AU1583" t="s">
        <v>521</v>
      </c>
      <c r="AV1583" t="s">
        <v>522</v>
      </c>
      <c r="AW1583" t="s">
        <v>60</v>
      </c>
      <c r="AX1583" t="s">
        <v>68</v>
      </c>
      <c r="AY1583" t="s">
        <v>69</v>
      </c>
      <c r="AZ1583" t="b">
        <v>1</v>
      </c>
    </row>
    <row r="1584" spans="1:52" x14ac:dyDescent="0.3">
      <c r="A1584" t="s">
        <v>52</v>
      </c>
      <c r="B1584" t="s">
        <v>53</v>
      </c>
      <c r="C1584" t="s">
        <v>54</v>
      </c>
      <c r="D1584" t="s">
        <v>55</v>
      </c>
      <c r="E1584" t="s">
        <v>2142</v>
      </c>
      <c r="F1584" t="s">
        <v>1247</v>
      </c>
      <c r="G1584" t="s">
        <v>523</v>
      </c>
      <c r="H1584" t="s">
        <v>524</v>
      </c>
      <c r="I1584" t="s">
        <v>524</v>
      </c>
      <c r="J1584" t="s">
        <v>60</v>
      </c>
      <c r="K1584" t="s">
        <v>518</v>
      </c>
      <c r="L1584" t="s">
        <v>62</v>
      </c>
      <c r="M1584" t="s">
        <v>518</v>
      </c>
      <c r="N1584" t="s">
        <v>525</v>
      </c>
      <c r="O1584" t="s">
        <v>331</v>
      </c>
      <c r="P1584">
        <v>-20.126553000000001</v>
      </c>
      <c r="Q1584">
        <v>-44.888599999999997</v>
      </c>
      <c r="R1584" s="2" t="str">
        <f>HYPERLINK("https://www.google.com/maps?q=-20.1265530,-44.8886000","Abrir no Google Maps")</f>
        <v>Abrir no Google Maps</v>
      </c>
      <c r="S1584">
        <v>3</v>
      </c>
      <c r="T1584">
        <v>256.34043440603853</v>
      </c>
      <c r="U1584">
        <v>3</v>
      </c>
      <c r="V1584">
        <v>17</v>
      </c>
      <c r="W1584">
        <v>1</v>
      </c>
      <c r="X1584">
        <v>17</v>
      </c>
      <c r="Y1584">
        <v>564</v>
      </c>
      <c r="Z1584">
        <v>325.4404273055876</v>
      </c>
      <c r="AA1584">
        <v>198</v>
      </c>
      <c r="AB1584">
        <v>332</v>
      </c>
      <c r="AC1584">
        <v>536</v>
      </c>
      <c r="AD1584">
        <v>28.93</v>
      </c>
      <c r="AE1584">
        <v>542</v>
      </c>
      <c r="AF1584">
        <v>28</v>
      </c>
      <c r="AG1584">
        <v>168</v>
      </c>
      <c r="AH1584">
        <v>129</v>
      </c>
      <c r="AI1584">
        <v>5.17</v>
      </c>
      <c r="AJ1584">
        <v>31</v>
      </c>
      <c r="AK1584">
        <v>23.8</v>
      </c>
      <c r="AL1584">
        <v>-20.12669049999997</v>
      </c>
      <c r="AM1584">
        <v>-44.888671289876577</v>
      </c>
      <c r="AN1584">
        <v>-20.12669049999997</v>
      </c>
      <c r="AO1584">
        <v>-44.888671289876577</v>
      </c>
      <c r="AP1584">
        <v>-20.126553000000001</v>
      </c>
      <c r="AQ1584">
        <v>-44.888599999999997</v>
      </c>
      <c r="AR1584">
        <v>17.023861591720589</v>
      </c>
      <c r="AS1584" t="s">
        <v>65</v>
      </c>
      <c r="AT1584">
        <v>1</v>
      </c>
      <c r="AU1584" t="s">
        <v>526</v>
      </c>
      <c r="AV1584" t="s">
        <v>527</v>
      </c>
      <c r="AW1584" t="s">
        <v>60</v>
      </c>
      <c r="AX1584" t="s">
        <v>68</v>
      </c>
      <c r="AY1584" t="s">
        <v>69</v>
      </c>
      <c r="AZ1584" t="b">
        <v>1</v>
      </c>
    </row>
    <row r="1585" spans="1:52" x14ac:dyDescent="0.3">
      <c r="A1585" t="s">
        <v>52</v>
      </c>
      <c r="B1585" t="s">
        <v>53</v>
      </c>
      <c r="C1585" t="s">
        <v>54</v>
      </c>
      <c r="D1585" t="s">
        <v>55</v>
      </c>
      <c r="E1585" t="s">
        <v>2142</v>
      </c>
      <c r="F1585" t="s">
        <v>1247</v>
      </c>
      <c r="G1585" t="s">
        <v>528</v>
      </c>
      <c r="H1585" t="s">
        <v>529</v>
      </c>
      <c r="I1585" t="s">
        <v>529</v>
      </c>
      <c r="J1585" t="s">
        <v>60</v>
      </c>
      <c r="K1585" t="s">
        <v>530</v>
      </c>
      <c r="L1585" t="s">
        <v>62</v>
      </c>
      <c r="M1585" t="s">
        <v>530</v>
      </c>
      <c r="N1585" t="s">
        <v>531</v>
      </c>
      <c r="O1585" t="s">
        <v>532</v>
      </c>
      <c r="P1585">
        <v>-20.142457</v>
      </c>
      <c r="Q1585">
        <v>-44.891688000000002</v>
      </c>
      <c r="R1585" s="2" t="str">
        <f>HYPERLINK("https://www.google.com/maps?q=-20.1424570,-44.8916880","Abrir no Google Maps")</f>
        <v>Abrir no Google Maps</v>
      </c>
      <c r="S1585">
        <v>3</v>
      </c>
      <c r="T1585">
        <v>0</v>
      </c>
      <c r="U1585">
        <v>3</v>
      </c>
      <c r="V1585">
        <v>19</v>
      </c>
      <c r="W1585">
        <v>1</v>
      </c>
      <c r="X1585">
        <v>19</v>
      </c>
      <c r="Y1585">
        <v>557</v>
      </c>
      <c r="Z1585">
        <v>42.611952255679803</v>
      </c>
      <c r="AA1585">
        <v>198</v>
      </c>
      <c r="AB1585">
        <v>332</v>
      </c>
      <c r="AC1585">
        <v>536</v>
      </c>
      <c r="AD1585">
        <v>28.93</v>
      </c>
      <c r="AE1585">
        <v>542</v>
      </c>
      <c r="AF1585">
        <v>28</v>
      </c>
      <c r="AG1585">
        <v>168</v>
      </c>
      <c r="AH1585">
        <v>129</v>
      </c>
      <c r="AI1585">
        <v>5.17</v>
      </c>
      <c r="AJ1585">
        <v>31</v>
      </c>
      <c r="AK1585">
        <v>23.8</v>
      </c>
      <c r="AL1585">
        <v>-20.142523099999948</v>
      </c>
      <c r="AM1585">
        <v>-44.891523817588819</v>
      </c>
      <c r="AN1585">
        <v>-20.142523099999948</v>
      </c>
      <c r="AO1585">
        <v>-44.891523817588819</v>
      </c>
      <c r="AP1585">
        <v>-20.142457</v>
      </c>
      <c r="AQ1585">
        <v>-44.891688000000002</v>
      </c>
      <c r="AR1585">
        <v>18.670129248632971</v>
      </c>
      <c r="AS1585" t="s">
        <v>65</v>
      </c>
      <c r="AT1585">
        <v>1</v>
      </c>
      <c r="AU1585" t="s">
        <v>533</v>
      </c>
      <c r="AV1585" t="s">
        <v>534</v>
      </c>
      <c r="AW1585" t="s">
        <v>60</v>
      </c>
      <c r="AX1585" t="s">
        <v>68</v>
      </c>
      <c r="AY1585" t="s">
        <v>69</v>
      </c>
      <c r="AZ1585" t="b">
        <v>1</v>
      </c>
    </row>
    <row r="1586" spans="1:52" x14ac:dyDescent="0.3">
      <c r="A1586" t="s">
        <v>52</v>
      </c>
      <c r="B1586" t="s">
        <v>53</v>
      </c>
      <c r="C1586" t="s">
        <v>54</v>
      </c>
      <c r="D1586" t="s">
        <v>55</v>
      </c>
      <c r="E1586" t="s">
        <v>2142</v>
      </c>
      <c r="F1586" t="s">
        <v>1247</v>
      </c>
      <c r="G1586" t="s">
        <v>897</v>
      </c>
      <c r="H1586" t="s">
        <v>898</v>
      </c>
      <c r="I1586" t="s">
        <v>898</v>
      </c>
      <c r="J1586" t="s">
        <v>60</v>
      </c>
      <c r="K1586" t="s">
        <v>892</v>
      </c>
      <c r="L1586" t="s">
        <v>62</v>
      </c>
      <c r="M1586" t="s">
        <v>892</v>
      </c>
      <c r="N1586" t="s">
        <v>899</v>
      </c>
      <c r="O1586" t="s">
        <v>900</v>
      </c>
      <c r="P1586">
        <v>-20.154885</v>
      </c>
      <c r="Q1586">
        <v>-44.899890999999997</v>
      </c>
      <c r="R1586" s="2" t="str">
        <f>HYPERLINK("https://www.google.com/maps?q=-20.1548850,-44.8998910","Abrir no Google Maps")</f>
        <v>Abrir no Google Maps</v>
      </c>
      <c r="S1586">
        <v>3</v>
      </c>
      <c r="T1586">
        <v>314.66339661014308</v>
      </c>
      <c r="U1586">
        <v>3</v>
      </c>
      <c r="V1586">
        <v>21</v>
      </c>
      <c r="W1586">
        <v>1</v>
      </c>
      <c r="X1586">
        <v>21</v>
      </c>
      <c r="Y1586">
        <v>548</v>
      </c>
      <c r="Z1586">
        <v>319.02252584834253</v>
      </c>
      <c r="AA1586">
        <v>198</v>
      </c>
      <c r="AB1586">
        <v>332</v>
      </c>
      <c r="AC1586">
        <v>536</v>
      </c>
      <c r="AD1586">
        <v>28.93</v>
      </c>
      <c r="AE1586">
        <v>542</v>
      </c>
      <c r="AF1586">
        <v>28</v>
      </c>
      <c r="AG1586">
        <v>168</v>
      </c>
      <c r="AH1586">
        <v>129</v>
      </c>
      <c r="AI1586">
        <v>5.17</v>
      </c>
      <c r="AJ1586">
        <v>31</v>
      </c>
      <c r="AK1586">
        <v>23.8</v>
      </c>
      <c r="AL1586">
        <v>-20.154906649999951</v>
      </c>
      <c r="AM1586">
        <v>-44.899894072543653</v>
      </c>
      <c r="AN1586">
        <v>-20.154906649999951</v>
      </c>
      <c r="AO1586">
        <v>-44.899894072543653</v>
      </c>
      <c r="AP1586">
        <v>-20.154885</v>
      </c>
      <c r="AQ1586">
        <v>-44.899890999999997</v>
      </c>
      <c r="AR1586">
        <v>2.431373123904943</v>
      </c>
      <c r="AS1586" t="s">
        <v>65</v>
      </c>
      <c r="AT1586">
        <v>1</v>
      </c>
      <c r="AU1586" t="s">
        <v>901</v>
      </c>
      <c r="AV1586" t="s">
        <v>902</v>
      </c>
      <c r="AW1586" t="s">
        <v>60</v>
      </c>
      <c r="AX1586" t="s">
        <v>68</v>
      </c>
      <c r="AY1586" t="s">
        <v>69</v>
      </c>
      <c r="AZ1586" t="b">
        <v>1</v>
      </c>
    </row>
    <row r="1587" spans="1:52" x14ac:dyDescent="0.3">
      <c r="A1587" t="s">
        <v>52</v>
      </c>
      <c r="B1587" t="s">
        <v>53</v>
      </c>
      <c r="C1587" t="s">
        <v>54</v>
      </c>
      <c r="D1587" t="s">
        <v>55</v>
      </c>
      <c r="E1587" t="s">
        <v>2142</v>
      </c>
      <c r="F1587" t="s">
        <v>1247</v>
      </c>
      <c r="G1587" t="s">
        <v>545</v>
      </c>
      <c r="H1587" t="s">
        <v>546</v>
      </c>
      <c r="I1587" t="s">
        <v>546</v>
      </c>
      <c r="J1587" t="s">
        <v>60</v>
      </c>
      <c r="K1587" t="s">
        <v>388</v>
      </c>
      <c r="L1587" t="s">
        <v>62</v>
      </c>
      <c r="M1587" t="s">
        <v>388</v>
      </c>
      <c r="N1587" t="s">
        <v>547</v>
      </c>
      <c r="O1587" t="s">
        <v>548</v>
      </c>
      <c r="P1587">
        <v>-20.155839</v>
      </c>
      <c r="Q1587">
        <v>-44.905655000000003</v>
      </c>
      <c r="R1587" s="2" t="str">
        <f>HYPERLINK("https://www.google.com/maps?q=-20.1558390,-44.9056550","Abrir no Google Maps")</f>
        <v>Abrir no Google Maps</v>
      </c>
      <c r="S1587">
        <v>3</v>
      </c>
      <c r="T1587">
        <v>309.7643089121122</v>
      </c>
      <c r="U1587">
        <v>3</v>
      </c>
      <c r="V1587">
        <v>16</v>
      </c>
      <c r="W1587">
        <v>1</v>
      </c>
      <c r="X1587">
        <v>16</v>
      </c>
      <c r="Y1587">
        <v>548</v>
      </c>
      <c r="Z1587">
        <v>284.24281731793161</v>
      </c>
      <c r="AA1587">
        <v>198</v>
      </c>
      <c r="AB1587">
        <v>332</v>
      </c>
      <c r="AC1587">
        <v>536</v>
      </c>
      <c r="AD1587">
        <v>28.93</v>
      </c>
      <c r="AE1587">
        <v>542</v>
      </c>
      <c r="AF1587">
        <v>28</v>
      </c>
      <c r="AG1587">
        <v>168</v>
      </c>
      <c r="AH1587">
        <v>129</v>
      </c>
      <c r="AI1587">
        <v>5.17</v>
      </c>
      <c r="AJ1587">
        <v>31</v>
      </c>
      <c r="AK1587">
        <v>23.8</v>
      </c>
      <c r="AL1587">
        <v>-20.155913549999951</v>
      </c>
      <c r="AM1587">
        <v>-44.905554508392683</v>
      </c>
      <c r="AN1587">
        <v>-20.155913549999951</v>
      </c>
      <c r="AO1587">
        <v>-44.905554508392669</v>
      </c>
      <c r="AP1587">
        <v>-20.155839</v>
      </c>
      <c r="AQ1587">
        <v>-44.905655000000003</v>
      </c>
      <c r="AR1587">
        <v>13.384922093797449</v>
      </c>
      <c r="AS1587" t="s">
        <v>65</v>
      </c>
      <c r="AT1587">
        <v>1</v>
      </c>
      <c r="AU1587" t="s">
        <v>549</v>
      </c>
      <c r="AV1587" t="s">
        <v>550</v>
      </c>
      <c r="AW1587" t="s">
        <v>60</v>
      </c>
      <c r="AX1587" t="s">
        <v>68</v>
      </c>
      <c r="AY1587" t="s">
        <v>69</v>
      </c>
      <c r="AZ1587" t="b">
        <v>1</v>
      </c>
    </row>
    <row r="1588" spans="1:52" x14ac:dyDescent="0.3">
      <c r="A1588" t="s">
        <v>52</v>
      </c>
      <c r="B1588" t="s">
        <v>53</v>
      </c>
      <c r="C1588" t="s">
        <v>54</v>
      </c>
      <c r="D1588" t="s">
        <v>55</v>
      </c>
      <c r="E1588" t="s">
        <v>2142</v>
      </c>
      <c r="F1588" t="s">
        <v>1247</v>
      </c>
      <c r="G1588" t="s">
        <v>551</v>
      </c>
      <c r="H1588" t="s">
        <v>552</v>
      </c>
      <c r="I1588" t="s">
        <v>552</v>
      </c>
      <c r="J1588" t="s">
        <v>60</v>
      </c>
      <c r="K1588" t="s">
        <v>388</v>
      </c>
      <c r="L1588" t="s">
        <v>62</v>
      </c>
      <c r="M1588" t="s">
        <v>388</v>
      </c>
      <c r="N1588" t="s">
        <v>553</v>
      </c>
      <c r="O1588" t="s">
        <v>315</v>
      </c>
      <c r="P1588">
        <v>-20.153086999999999</v>
      </c>
      <c r="Q1588">
        <v>-44.905451999999997</v>
      </c>
      <c r="R1588" s="2" t="str">
        <f>HYPERLINK("https://www.google.com/maps?q=-20.1530870,-44.9054520","Abrir no Google Maps")</f>
        <v>Abrir no Google Maps</v>
      </c>
      <c r="S1588">
        <v>3</v>
      </c>
      <c r="T1588">
        <v>313.69387682409018</v>
      </c>
      <c r="U1588">
        <v>3</v>
      </c>
      <c r="V1588">
        <v>21</v>
      </c>
      <c r="W1588">
        <v>1</v>
      </c>
      <c r="X1588">
        <v>21</v>
      </c>
      <c r="Y1588">
        <v>548</v>
      </c>
      <c r="Z1588">
        <v>319.51605309906859</v>
      </c>
      <c r="AA1588">
        <v>198</v>
      </c>
      <c r="AB1588">
        <v>332</v>
      </c>
      <c r="AC1588">
        <v>536</v>
      </c>
      <c r="AD1588">
        <v>28.93</v>
      </c>
      <c r="AE1588">
        <v>542</v>
      </c>
      <c r="AF1588">
        <v>28</v>
      </c>
      <c r="AG1588">
        <v>168</v>
      </c>
      <c r="AH1588">
        <v>129</v>
      </c>
      <c r="AI1588">
        <v>5.17</v>
      </c>
      <c r="AJ1588">
        <v>31</v>
      </c>
      <c r="AK1588">
        <v>23.8</v>
      </c>
      <c r="AL1588">
        <v>-20.153043049999951</v>
      </c>
      <c r="AM1588">
        <v>-44.905348275899513</v>
      </c>
      <c r="AN1588">
        <v>-20.153043049999951</v>
      </c>
      <c r="AO1588">
        <v>-44.905348275899513</v>
      </c>
      <c r="AP1588">
        <v>-20.153086999999999</v>
      </c>
      <c r="AQ1588">
        <v>-44.905451999999997</v>
      </c>
      <c r="AR1588">
        <v>11.892619975648341</v>
      </c>
      <c r="AS1588" t="s">
        <v>65</v>
      </c>
      <c r="AT1588">
        <v>1</v>
      </c>
      <c r="AU1588" t="s">
        <v>554</v>
      </c>
      <c r="AV1588" t="s">
        <v>555</v>
      </c>
      <c r="AW1588" t="s">
        <v>60</v>
      </c>
      <c r="AX1588" t="s">
        <v>68</v>
      </c>
      <c r="AY1588" t="s">
        <v>69</v>
      </c>
      <c r="AZ1588" t="b">
        <v>1</v>
      </c>
    </row>
    <row r="1589" spans="1:52" x14ac:dyDescent="0.3">
      <c r="A1589" t="s">
        <v>52</v>
      </c>
      <c r="B1589" t="s">
        <v>53</v>
      </c>
      <c r="C1589" t="s">
        <v>54</v>
      </c>
      <c r="D1589" t="s">
        <v>55</v>
      </c>
      <c r="E1589" t="s">
        <v>2142</v>
      </c>
      <c r="F1589" t="s">
        <v>1247</v>
      </c>
      <c r="G1589" t="s">
        <v>556</v>
      </c>
      <c r="H1589" t="s">
        <v>557</v>
      </c>
      <c r="I1589" t="s">
        <v>557</v>
      </c>
      <c r="J1589" t="s">
        <v>60</v>
      </c>
      <c r="K1589" t="s">
        <v>388</v>
      </c>
      <c r="L1589" t="s">
        <v>62</v>
      </c>
      <c r="M1589" t="s">
        <v>388</v>
      </c>
      <c r="N1589" t="s">
        <v>558</v>
      </c>
      <c r="O1589" t="s">
        <v>559</v>
      </c>
      <c r="P1589">
        <v>-20.152670000000001</v>
      </c>
      <c r="Q1589">
        <v>-44.902557999999999</v>
      </c>
      <c r="R1589" s="2" t="str">
        <f>HYPERLINK("https://www.google.com/maps?q=-20.1526700,-44.9025580","Abrir no Google Maps")</f>
        <v>Abrir no Google Maps</v>
      </c>
      <c r="S1589">
        <v>3</v>
      </c>
      <c r="T1589">
        <v>228.56195217678911</v>
      </c>
      <c r="U1589">
        <v>3</v>
      </c>
      <c r="V1589">
        <v>17</v>
      </c>
      <c r="W1589">
        <v>1</v>
      </c>
      <c r="X1589">
        <v>17</v>
      </c>
      <c r="Y1589">
        <v>548</v>
      </c>
      <c r="Z1589">
        <v>250.63133895224919</v>
      </c>
      <c r="AA1589">
        <v>198</v>
      </c>
      <c r="AB1589">
        <v>332</v>
      </c>
      <c r="AC1589">
        <v>536</v>
      </c>
      <c r="AD1589">
        <v>28.93</v>
      </c>
      <c r="AE1589">
        <v>542</v>
      </c>
      <c r="AF1589">
        <v>28</v>
      </c>
      <c r="AG1589">
        <v>168</v>
      </c>
      <c r="AH1589">
        <v>129</v>
      </c>
      <c r="AI1589">
        <v>5.17</v>
      </c>
      <c r="AJ1589">
        <v>31</v>
      </c>
      <c r="AK1589">
        <v>23.8</v>
      </c>
      <c r="AL1589">
        <v>-20.152629799999939</v>
      </c>
      <c r="AM1589">
        <v>-44.902604744705201</v>
      </c>
      <c r="AN1589">
        <v>-20.152629799999939</v>
      </c>
      <c r="AO1589">
        <v>-44.902604744705201</v>
      </c>
      <c r="AP1589">
        <v>-20.152670000000001</v>
      </c>
      <c r="AQ1589">
        <v>-44.902557999999999</v>
      </c>
      <c r="AR1589">
        <v>6.6249428037111509</v>
      </c>
      <c r="AS1589" t="s">
        <v>65</v>
      </c>
      <c r="AT1589">
        <v>1</v>
      </c>
      <c r="AU1589" t="s">
        <v>560</v>
      </c>
      <c r="AV1589" t="s">
        <v>561</v>
      </c>
      <c r="AW1589" t="s">
        <v>60</v>
      </c>
      <c r="AX1589" t="s">
        <v>68</v>
      </c>
      <c r="AY1589" t="s">
        <v>69</v>
      </c>
      <c r="AZ1589" t="b">
        <v>1</v>
      </c>
    </row>
    <row r="1590" spans="1:52" x14ac:dyDescent="0.3">
      <c r="A1590" t="s">
        <v>52</v>
      </c>
      <c r="B1590" t="s">
        <v>53</v>
      </c>
      <c r="C1590" t="s">
        <v>54</v>
      </c>
      <c r="D1590" t="s">
        <v>55</v>
      </c>
      <c r="E1590" t="s">
        <v>2142</v>
      </c>
      <c r="F1590" t="s">
        <v>1247</v>
      </c>
      <c r="G1590" t="s">
        <v>562</v>
      </c>
      <c r="H1590" t="s">
        <v>563</v>
      </c>
      <c r="I1590" t="s">
        <v>563</v>
      </c>
      <c r="J1590" t="s">
        <v>60</v>
      </c>
      <c r="K1590" t="s">
        <v>388</v>
      </c>
      <c r="L1590" t="s">
        <v>62</v>
      </c>
      <c r="M1590" t="s">
        <v>388</v>
      </c>
      <c r="N1590" t="s">
        <v>564</v>
      </c>
      <c r="O1590" t="s">
        <v>565</v>
      </c>
      <c r="P1590">
        <v>-20.154432</v>
      </c>
      <c r="Q1590">
        <v>-44.902977999999997</v>
      </c>
      <c r="R1590" s="2" t="str">
        <f>HYPERLINK("https://www.google.com/maps?q=-20.1544320,-44.9029780","Abrir no Google Maps")</f>
        <v>Abrir no Google Maps</v>
      </c>
      <c r="S1590">
        <v>3</v>
      </c>
      <c r="T1590">
        <v>0</v>
      </c>
      <c r="U1590">
        <v>3</v>
      </c>
      <c r="V1590">
        <v>19</v>
      </c>
      <c r="W1590">
        <v>1</v>
      </c>
      <c r="X1590">
        <v>19</v>
      </c>
      <c r="Y1590">
        <v>548</v>
      </c>
      <c r="Z1590">
        <v>29.424211042533759</v>
      </c>
      <c r="AA1590">
        <v>198</v>
      </c>
      <c r="AB1590">
        <v>332</v>
      </c>
      <c r="AC1590">
        <v>536</v>
      </c>
      <c r="AD1590">
        <v>28.93</v>
      </c>
      <c r="AE1590">
        <v>542</v>
      </c>
      <c r="AF1590">
        <v>28</v>
      </c>
      <c r="AG1590">
        <v>168</v>
      </c>
      <c r="AH1590">
        <v>129</v>
      </c>
      <c r="AI1590">
        <v>5.17</v>
      </c>
      <c r="AJ1590">
        <v>31</v>
      </c>
      <c r="AK1590">
        <v>23.8</v>
      </c>
      <c r="AL1590">
        <v>-20.15467689999997</v>
      </c>
      <c r="AM1590">
        <v>-44.902895281771222</v>
      </c>
      <c r="AN1590">
        <v>-20.15467689999997</v>
      </c>
      <c r="AO1590">
        <v>-44.902895281771222</v>
      </c>
      <c r="AP1590">
        <v>-20.154432</v>
      </c>
      <c r="AQ1590">
        <v>-44.902977999999997</v>
      </c>
      <c r="AR1590">
        <v>28.5999270636025</v>
      </c>
      <c r="AS1590" t="s">
        <v>65</v>
      </c>
      <c r="AT1590">
        <v>1</v>
      </c>
      <c r="AU1590" t="s">
        <v>566</v>
      </c>
      <c r="AV1590" t="s">
        <v>567</v>
      </c>
      <c r="AW1590" t="s">
        <v>60</v>
      </c>
      <c r="AX1590" t="s">
        <v>68</v>
      </c>
      <c r="AY1590" t="s">
        <v>69</v>
      </c>
      <c r="AZ1590" t="b">
        <v>1</v>
      </c>
    </row>
    <row r="1591" spans="1:52" x14ac:dyDescent="0.3">
      <c r="A1591" t="s">
        <v>52</v>
      </c>
      <c r="B1591" t="s">
        <v>53</v>
      </c>
      <c r="C1591" t="s">
        <v>54</v>
      </c>
      <c r="D1591" t="s">
        <v>55</v>
      </c>
      <c r="E1591" t="s">
        <v>2142</v>
      </c>
      <c r="F1591" t="s">
        <v>1247</v>
      </c>
      <c r="G1591" t="s">
        <v>386</v>
      </c>
      <c r="H1591" t="s">
        <v>387</v>
      </c>
      <c r="I1591" t="s">
        <v>387</v>
      </c>
      <c r="J1591" t="s">
        <v>60</v>
      </c>
      <c r="K1591" t="s">
        <v>388</v>
      </c>
      <c r="L1591" t="s">
        <v>62</v>
      </c>
      <c r="M1591" t="s">
        <v>388</v>
      </c>
      <c r="N1591" t="s">
        <v>389</v>
      </c>
      <c r="O1591" t="s">
        <v>357</v>
      </c>
      <c r="P1591">
        <v>-20.161041999999998</v>
      </c>
      <c r="Q1591">
        <v>-44.901242000000003</v>
      </c>
      <c r="R1591" s="2" t="str">
        <f>HYPERLINK("https://www.google.com/maps?q=-20.1610420,-44.9012420","Abrir no Google Maps")</f>
        <v>Abrir no Google Maps</v>
      </c>
      <c r="S1591">
        <v>3</v>
      </c>
      <c r="T1591">
        <v>440.22183232279212</v>
      </c>
      <c r="U1591">
        <v>2</v>
      </c>
      <c r="V1591">
        <v>13</v>
      </c>
      <c r="W1591">
        <v>1</v>
      </c>
      <c r="X1591">
        <v>13</v>
      </c>
      <c r="Y1591">
        <v>729</v>
      </c>
      <c r="Z1591">
        <v>398.48306829302379</v>
      </c>
      <c r="AA1591">
        <v>198</v>
      </c>
      <c r="AB1591">
        <v>332</v>
      </c>
      <c r="AC1591">
        <v>536</v>
      </c>
      <c r="AD1591">
        <v>28.93</v>
      </c>
      <c r="AE1591">
        <v>542</v>
      </c>
      <c r="AF1591">
        <v>28</v>
      </c>
      <c r="AG1591">
        <v>168</v>
      </c>
      <c r="AH1591">
        <v>129</v>
      </c>
      <c r="AI1591">
        <v>5.17</v>
      </c>
      <c r="AJ1591">
        <v>31</v>
      </c>
      <c r="AK1591">
        <v>23.8</v>
      </c>
      <c r="AL1591">
        <v>-20.16176629999995</v>
      </c>
      <c r="AM1591">
        <v>-44.901582787827898</v>
      </c>
      <c r="AN1591">
        <v>-20.16176629999995</v>
      </c>
      <c r="AO1591">
        <v>-44.901582787827898</v>
      </c>
      <c r="AP1591">
        <v>-20.161041999999998</v>
      </c>
      <c r="AQ1591">
        <v>-44.901242000000003</v>
      </c>
      <c r="AR1591">
        <v>88.143369157892835</v>
      </c>
      <c r="AS1591" t="s">
        <v>65</v>
      </c>
      <c r="AT1591">
        <v>1</v>
      </c>
      <c r="AU1591" t="s">
        <v>390</v>
      </c>
      <c r="AV1591" t="s">
        <v>391</v>
      </c>
      <c r="AW1591" t="s">
        <v>60</v>
      </c>
      <c r="AX1591" t="s">
        <v>68</v>
      </c>
      <c r="AY1591" t="s">
        <v>69</v>
      </c>
      <c r="AZ1591" t="b">
        <v>1</v>
      </c>
    </row>
    <row r="1592" spans="1:52" x14ac:dyDescent="0.3">
      <c r="A1592" t="s">
        <v>52</v>
      </c>
      <c r="B1592" t="s">
        <v>53</v>
      </c>
      <c r="C1592" t="s">
        <v>54</v>
      </c>
      <c r="D1592" t="s">
        <v>55</v>
      </c>
      <c r="E1592" t="s">
        <v>2142</v>
      </c>
      <c r="F1592" t="s">
        <v>1247</v>
      </c>
      <c r="G1592" t="s">
        <v>839</v>
      </c>
      <c r="H1592" t="s">
        <v>1274</v>
      </c>
      <c r="I1592" t="s">
        <v>1274</v>
      </c>
      <c r="J1592" t="s">
        <v>60</v>
      </c>
      <c r="K1592" t="s">
        <v>388</v>
      </c>
      <c r="L1592" t="s">
        <v>62</v>
      </c>
      <c r="M1592" t="s">
        <v>388</v>
      </c>
      <c r="N1592" t="s">
        <v>841</v>
      </c>
      <c r="O1592" t="s">
        <v>1275</v>
      </c>
      <c r="P1592">
        <v>-20.157979999999998</v>
      </c>
      <c r="Q1592">
        <v>-44.906365999999998</v>
      </c>
      <c r="R1592" s="2" t="str">
        <f>HYPERLINK("https://www.google.com/maps?q=-20.1579800,-44.9063660","Abrir no Google Maps")</f>
        <v>Abrir no Google Maps</v>
      </c>
      <c r="S1592">
        <v>3</v>
      </c>
      <c r="T1592">
        <v>519.48953004348823</v>
      </c>
      <c r="U1592">
        <v>2</v>
      </c>
      <c r="V1592">
        <v>13</v>
      </c>
      <c r="W1592">
        <v>0.85</v>
      </c>
      <c r="X1592">
        <v>11.05</v>
      </c>
      <c r="Y1592">
        <v>729</v>
      </c>
      <c r="Z1592">
        <v>393.22938248316768</v>
      </c>
      <c r="AA1592">
        <v>198</v>
      </c>
      <c r="AB1592">
        <v>332</v>
      </c>
      <c r="AC1592">
        <v>536</v>
      </c>
      <c r="AD1592">
        <v>28.93</v>
      </c>
      <c r="AE1592">
        <v>542</v>
      </c>
      <c r="AF1592">
        <v>28</v>
      </c>
      <c r="AG1592">
        <v>168</v>
      </c>
      <c r="AH1592">
        <v>129</v>
      </c>
      <c r="AI1592">
        <v>5.17</v>
      </c>
      <c r="AJ1592">
        <v>31</v>
      </c>
      <c r="AK1592">
        <v>23.8</v>
      </c>
      <c r="AL1592">
        <v>-20.157977799999941</v>
      </c>
      <c r="AM1592">
        <v>-44.906429896327573</v>
      </c>
      <c r="AN1592">
        <v>-20.157977799999941</v>
      </c>
      <c r="AO1592">
        <v>-44.906429896327573</v>
      </c>
      <c r="AP1592">
        <v>-20.157979999999998</v>
      </c>
      <c r="AQ1592">
        <v>-44.906365999999998</v>
      </c>
      <c r="AR1592">
        <v>6.6817330699236734</v>
      </c>
      <c r="AS1592" t="s">
        <v>65</v>
      </c>
      <c r="AT1592">
        <v>1</v>
      </c>
      <c r="AU1592" t="s">
        <v>1276</v>
      </c>
      <c r="AV1592" t="s">
        <v>1277</v>
      </c>
      <c r="AW1592" t="s">
        <v>60</v>
      </c>
      <c r="AX1592" t="s">
        <v>68</v>
      </c>
      <c r="AY1592" t="s">
        <v>69</v>
      </c>
      <c r="AZ1592" t="b">
        <v>1</v>
      </c>
    </row>
    <row r="1593" spans="1:52" x14ac:dyDescent="0.3">
      <c r="A1593" t="s">
        <v>52</v>
      </c>
      <c r="B1593" t="s">
        <v>53</v>
      </c>
      <c r="C1593" t="s">
        <v>54</v>
      </c>
      <c r="D1593" t="s">
        <v>55</v>
      </c>
      <c r="E1593" t="s">
        <v>2142</v>
      </c>
      <c r="F1593" t="s">
        <v>1247</v>
      </c>
      <c r="G1593" t="s">
        <v>1278</v>
      </c>
      <c r="H1593" t="s">
        <v>1279</v>
      </c>
      <c r="I1593" t="s">
        <v>1279</v>
      </c>
      <c r="J1593" t="s">
        <v>60</v>
      </c>
      <c r="K1593" t="s">
        <v>388</v>
      </c>
      <c r="L1593" t="s">
        <v>62</v>
      </c>
      <c r="M1593" t="s">
        <v>388</v>
      </c>
      <c r="N1593" t="s">
        <v>1280</v>
      </c>
      <c r="O1593" t="s">
        <v>216</v>
      </c>
      <c r="P1593">
        <v>-20.15681</v>
      </c>
      <c r="Q1593">
        <v>-44.899290999999998</v>
      </c>
      <c r="R1593" s="2" t="str">
        <f>HYPERLINK("https://www.google.com/maps?q=-20.1568100,-44.8992910","Abrir no Google Maps")</f>
        <v>Abrir no Google Maps</v>
      </c>
      <c r="S1593">
        <v>3</v>
      </c>
      <c r="T1593">
        <v>180.10162979749811</v>
      </c>
      <c r="U1593">
        <v>2</v>
      </c>
      <c r="V1593">
        <v>16</v>
      </c>
      <c r="W1593">
        <v>0.85</v>
      </c>
      <c r="X1593">
        <v>13.6</v>
      </c>
      <c r="Y1593">
        <v>729</v>
      </c>
      <c r="Z1593">
        <v>368.06065118133841</v>
      </c>
      <c r="AA1593">
        <v>198</v>
      </c>
      <c r="AB1593">
        <v>332</v>
      </c>
      <c r="AC1593">
        <v>536</v>
      </c>
      <c r="AD1593">
        <v>28.93</v>
      </c>
      <c r="AE1593">
        <v>542</v>
      </c>
      <c r="AF1593">
        <v>28</v>
      </c>
      <c r="AG1593">
        <v>168</v>
      </c>
      <c r="AH1593">
        <v>129</v>
      </c>
      <c r="AI1593">
        <v>5.17</v>
      </c>
      <c r="AJ1593">
        <v>31</v>
      </c>
      <c r="AK1593">
        <v>23.8</v>
      </c>
      <c r="AL1593">
        <v>-20.156785649999961</v>
      </c>
      <c r="AM1593">
        <v>-44.899254812291332</v>
      </c>
      <c r="AN1593">
        <v>-20.156785649999961</v>
      </c>
      <c r="AO1593">
        <v>-44.899254812291332</v>
      </c>
      <c r="AP1593">
        <v>-20.15681</v>
      </c>
      <c r="AQ1593">
        <v>-44.899290999999998</v>
      </c>
      <c r="AR1593">
        <v>4.6528211992813118</v>
      </c>
      <c r="AS1593" t="s">
        <v>65</v>
      </c>
      <c r="AT1593">
        <v>1</v>
      </c>
      <c r="AU1593" t="s">
        <v>1281</v>
      </c>
      <c r="AV1593" t="s">
        <v>1282</v>
      </c>
      <c r="AW1593" t="s">
        <v>60</v>
      </c>
      <c r="AX1593" t="s">
        <v>68</v>
      </c>
      <c r="AY1593" t="s">
        <v>69</v>
      </c>
      <c r="AZ1593" t="b">
        <v>1</v>
      </c>
    </row>
    <row r="1594" spans="1:52" x14ac:dyDescent="0.3">
      <c r="A1594" t="s">
        <v>52</v>
      </c>
      <c r="B1594" t="s">
        <v>53</v>
      </c>
      <c r="C1594" t="s">
        <v>54</v>
      </c>
      <c r="D1594" t="s">
        <v>55</v>
      </c>
      <c r="E1594" t="s">
        <v>2142</v>
      </c>
      <c r="F1594" t="s">
        <v>1247</v>
      </c>
      <c r="G1594" t="s">
        <v>1283</v>
      </c>
      <c r="H1594" t="s">
        <v>1284</v>
      </c>
      <c r="I1594" t="s">
        <v>1284</v>
      </c>
      <c r="J1594" t="s">
        <v>60</v>
      </c>
      <c r="K1594" t="s">
        <v>388</v>
      </c>
      <c r="L1594" t="s">
        <v>62</v>
      </c>
      <c r="M1594" t="s">
        <v>388</v>
      </c>
      <c r="N1594" t="s">
        <v>400</v>
      </c>
      <c r="O1594" t="s">
        <v>1285</v>
      </c>
      <c r="P1594">
        <v>-20.156977999999999</v>
      </c>
      <c r="Q1594">
        <v>-44.90325</v>
      </c>
      <c r="R1594" s="2" t="str">
        <f>HYPERLINK("https://www.google.com/maps?q=-20.1569780,-44.9032500","Abrir no Google Maps")</f>
        <v>Abrir no Google Maps</v>
      </c>
      <c r="S1594">
        <v>3</v>
      </c>
      <c r="T1594">
        <v>256.05633739092571</v>
      </c>
      <c r="U1594">
        <v>2</v>
      </c>
      <c r="V1594">
        <v>13</v>
      </c>
      <c r="W1594">
        <v>0.85</v>
      </c>
      <c r="X1594">
        <v>11.05</v>
      </c>
      <c r="Y1594">
        <v>729</v>
      </c>
      <c r="Z1594">
        <v>162.99447055889971</v>
      </c>
      <c r="AA1594">
        <v>198</v>
      </c>
      <c r="AB1594">
        <v>332</v>
      </c>
      <c r="AC1594">
        <v>536</v>
      </c>
      <c r="AD1594">
        <v>28.93</v>
      </c>
      <c r="AE1594">
        <v>542</v>
      </c>
      <c r="AF1594">
        <v>28</v>
      </c>
      <c r="AG1594">
        <v>168</v>
      </c>
      <c r="AH1594">
        <v>129</v>
      </c>
      <c r="AI1594">
        <v>5.17</v>
      </c>
      <c r="AJ1594">
        <v>31</v>
      </c>
      <c r="AK1594">
        <v>23.8</v>
      </c>
      <c r="AL1594">
        <v>-20.15696524999996</v>
      </c>
      <c r="AM1594">
        <v>-44.903258102626708</v>
      </c>
      <c r="AN1594">
        <v>-20.15696524999996</v>
      </c>
      <c r="AO1594">
        <v>-44.903258102626708</v>
      </c>
      <c r="AP1594">
        <v>-20.156977999999999</v>
      </c>
      <c r="AQ1594">
        <v>-44.90325</v>
      </c>
      <c r="AR1594">
        <v>1.6527147033629741</v>
      </c>
      <c r="AS1594" t="s">
        <v>65</v>
      </c>
      <c r="AT1594">
        <v>1</v>
      </c>
      <c r="AU1594" t="s">
        <v>1286</v>
      </c>
      <c r="AV1594" t="s">
        <v>1287</v>
      </c>
      <c r="AW1594" t="s">
        <v>60</v>
      </c>
      <c r="AX1594" t="s">
        <v>68</v>
      </c>
      <c r="AY1594" t="s">
        <v>69</v>
      </c>
      <c r="AZ1594" t="b">
        <v>1</v>
      </c>
    </row>
    <row r="1595" spans="1:52" x14ac:dyDescent="0.3">
      <c r="A1595" t="s">
        <v>52</v>
      </c>
      <c r="B1595" t="s">
        <v>53</v>
      </c>
      <c r="C1595" t="s">
        <v>54</v>
      </c>
      <c r="D1595" t="s">
        <v>55</v>
      </c>
      <c r="E1595" t="s">
        <v>2142</v>
      </c>
      <c r="F1595" t="s">
        <v>1247</v>
      </c>
      <c r="G1595" t="s">
        <v>1288</v>
      </c>
      <c r="H1595" t="s">
        <v>1289</v>
      </c>
      <c r="I1595" t="s">
        <v>1289</v>
      </c>
      <c r="J1595" t="s">
        <v>60</v>
      </c>
      <c r="K1595" t="s">
        <v>1290</v>
      </c>
      <c r="L1595" t="s">
        <v>62</v>
      </c>
      <c r="M1595" t="s">
        <v>1290</v>
      </c>
      <c r="N1595" t="s">
        <v>1291</v>
      </c>
      <c r="O1595" t="s">
        <v>315</v>
      </c>
      <c r="P1595">
        <v>-20.171008</v>
      </c>
      <c r="Q1595">
        <v>-44.918908999999999</v>
      </c>
      <c r="R1595" s="2" t="str">
        <f>HYPERLINK("https://www.google.com/maps?q=-20.1710080,-44.9189090","Abrir no Google Maps")</f>
        <v>Abrir no Google Maps</v>
      </c>
      <c r="S1595">
        <v>3</v>
      </c>
      <c r="T1595">
        <v>972.86786700299888</v>
      </c>
      <c r="U1595">
        <v>2</v>
      </c>
      <c r="V1595">
        <v>12</v>
      </c>
      <c r="W1595">
        <v>0.85</v>
      </c>
      <c r="X1595">
        <v>10.199999999999999</v>
      </c>
      <c r="Y1595">
        <v>723</v>
      </c>
      <c r="Z1595">
        <v>690.55600110253613</v>
      </c>
      <c r="AA1595">
        <v>198</v>
      </c>
      <c r="AB1595">
        <v>332</v>
      </c>
      <c r="AC1595">
        <v>536</v>
      </c>
      <c r="AD1595">
        <v>28.93</v>
      </c>
      <c r="AE1595">
        <v>542</v>
      </c>
      <c r="AF1595">
        <v>28</v>
      </c>
      <c r="AG1595">
        <v>168</v>
      </c>
      <c r="AH1595">
        <v>129</v>
      </c>
      <c r="AI1595">
        <v>5.17</v>
      </c>
      <c r="AJ1595">
        <v>31</v>
      </c>
      <c r="AK1595">
        <v>23.8</v>
      </c>
      <c r="AL1595">
        <v>-20.171738249999979</v>
      </c>
      <c r="AM1595">
        <v>-44.919736490382917</v>
      </c>
      <c r="AN1595">
        <v>-20.171738249999979</v>
      </c>
      <c r="AO1595">
        <v>-44.919736490382931</v>
      </c>
      <c r="AP1595">
        <v>-20.171008</v>
      </c>
      <c r="AQ1595">
        <v>-44.918908999999999</v>
      </c>
      <c r="AR1595">
        <v>118.678920061485</v>
      </c>
      <c r="AS1595" t="s">
        <v>65</v>
      </c>
      <c r="AT1595">
        <v>1</v>
      </c>
      <c r="AU1595" t="s">
        <v>1292</v>
      </c>
      <c r="AV1595" t="s">
        <v>1293</v>
      </c>
      <c r="AW1595" t="s">
        <v>60</v>
      </c>
      <c r="AX1595" t="s">
        <v>68</v>
      </c>
      <c r="AY1595" t="s">
        <v>69</v>
      </c>
      <c r="AZ1595" t="b">
        <v>1</v>
      </c>
    </row>
    <row r="1596" spans="1:52" x14ac:dyDescent="0.3">
      <c r="A1596" t="s">
        <v>52</v>
      </c>
      <c r="B1596" t="s">
        <v>53</v>
      </c>
      <c r="C1596" t="s">
        <v>54</v>
      </c>
      <c r="D1596" t="s">
        <v>55</v>
      </c>
      <c r="E1596" t="s">
        <v>2142</v>
      </c>
      <c r="F1596" t="s">
        <v>1247</v>
      </c>
      <c r="G1596" t="s">
        <v>1294</v>
      </c>
      <c r="H1596" t="s">
        <v>1295</v>
      </c>
      <c r="I1596" t="s">
        <v>1295</v>
      </c>
      <c r="J1596" t="s">
        <v>60</v>
      </c>
      <c r="K1596" t="s">
        <v>418</v>
      </c>
      <c r="L1596" t="s">
        <v>62</v>
      </c>
      <c r="M1596" t="s">
        <v>418</v>
      </c>
      <c r="N1596" t="s">
        <v>1296</v>
      </c>
      <c r="O1596" t="s">
        <v>1297</v>
      </c>
      <c r="P1596">
        <v>-20.169899999999998</v>
      </c>
      <c r="Q1596">
        <v>-44.916176999999998</v>
      </c>
      <c r="R1596" s="2" t="str">
        <f>HYPERLINK("https://www.google.com/maps?q=-20.1699000,-44.9161770","Abrir no Google Maps")</f>
        <v>Abrir no Google Maps</v>
      </c>
      <c r="S1596">
        <v>3</v>
      </c>
      <c r="T1596">
        <v>658.15251036568407</v>
      </c>
      <c r="U1596">
        <v>2</v>
      </c>
      <c r="V1596">
        <v>13</v>
      </c>
      <c r="W1596">
        <v>0.85</v>
      </c>
      <c r="X1596">
        <v>11.05</v>
      </c>
      <c r="Y1596">
        <v>723</v>
      </c>
      <c r="Z1596">
        <v>400.39092274559039</v>
      </c>
      <c r="AA1596">
        <v>198</v>
      </c>
      <c r="AB1596">
        <v>332</v>
      </c>
      <c r="AC1596">
        <v>536</v>
      </c>
      <c r="AD1596">
        <v>28.93</v>
      </c>
      <c r="AE1596">
        <v>542</v>
      </c>
      <c r="AF1596">
        <v>28</v>
      </c>
      <c r="AG1596">
        <v>168</v>
      </c>
      <c r="AH1596">
        <v>129</v>
      </c>
      <c r="AI1596">
        <v>5.17</v>
      </c>
      <c r="AJ1596">
        <v>31</v>
      </c>
      <c r="AK1596">
        <v>23.8</v>
      </c>
      <c r="AL1596">
        <v>-20.169898399999941</v>
      </c>
      <c r="AM1596">
        <v>-44.916247682868359</v>
      </c>
      <c r="AN1596">
        <v>-20.169898399999941</v>
      </c>
      <c r="AO1596">
        <v>-44.916247682868359</v>
      </c>
      <c r="AP1596">
        <v>-20.169899999999998</v>
      </c>
      <c r="AQ1596">
        <v>-44.916176999999998</v>
      </c>
      <c r="AR1596">
        <v>7.388028048308902</v>
      </c>
      <c r="AS1596" t="s">
        <v>65</v>
      </c>
      <c r="AT1596">
        <v>1</v>
      </c>
      <c r="AU1596" t="s">
        <v>1298</v>
      </c>
      <c r="AV1596" t="s">
        <v>1299</v>
      </c>
      <c r="AW1596" t="s">
        <v>60</v>
      </c>
      <c r="AX1596" t="s">
        <v>68</v>
      </c>
      <c r="AY1596" t="s">
        <v>69</v>
      </c>
      <c r="AZ1596" t="b">
        <v>1</v>
      </c>
    </row>
    <row r="1597" spans="1:52" x14ac:dyDescent="0.3">
      <c r="A1597" t="s">
        <v>52</v>
      </c>
      <c r="B1597" t="s">
        <v>53</v>
      </c>
      <c r="C1597" t="s">
        <v>54</v>
      </c>
      <c r="D1597" t="s">
        <v>55</v>
      </c>
      <c r="E1597" t="s">
        <v>2142</v>
      </c>
      <c r="F1597" t="s">
        <v>1247</v>
      </c>
      <c r="G1597" t="s">
        <v>1312</v>
      </c>
      <c r="H1597" t="s">
        <v>1313</v>
      </c>
      <c r="I1597" t="s">
        <v>1313</v>
      </c>
      <c r="J1597" t="s">
        <v>60</v>
      </c>
      <c r="K1597" t="s">
        <v>1314</v>
      </c>
      <c r="L1597" t="s">
        <v>62</v>
      </c>
      <c r="M1597" t="s">
        <v>1314</v>
      </c>
      <c r="N1597" t="s">
        <v>1315</v>
      </c>
      <c r="O1597" t="s">
        <v>315</v>
      </c>
      <c r="P1597">
        <v>-20.179649999999999</v>
      </c>
      <c r="Q1597">
        <v>-44.927177</v>
      </c>
      <c r="R1597" s="2" t="str">
        <f>HYPERLINK("https://www.google.com/maps?q=-20.1796500,-44.9271770","Abrir no Google Maps")</f>
        <v>Abrir no Google Maps</v>
      </c>
      <c r="S1597">
        <v>3</v>
      </c>
      <c r="T1597">
        <v>1742.181438658615</v>
      </c>
      <c r="U1597">
        <v>2</v>
      </c>
      <c r="V1597">
        <v>14</v>
      </c>
      <c r="W1597">
        <v>0.85</v>
      </c>
      <c r="X1597">
        <v>11.9</v>
      </c>
      <c r="Y1597">
        <v>723</v>
      </c>
      <c r="Z1597">
        <v>1801.262037027635</v>
      </c>
      <c r="AA1597">
        <v>198</v>
      </c>
      <c r="AB1597">
        <v>332</v>
      </c>
      <c r="AC1597">
        <v>536</v>
      </c>
      <c r="AD1597">
        <v>28.93</v>
      </c>
      <c r="AE1597">
        <v>542</v>
      </c>
      <c r="AF1597">
        <v>28</v>
      </c>
      <c r="AG1597">
        <v>168</v>
      </c>
      <c r="AH1597">
        <v>129</v>
      </c>
      <c r="AI1597">
        <v>5.17</v>
      </c>
      <c r="AJ1597">
        <v>31</v>
      </c>
      <c r="AK1597">
        <v>23.8</v>
      </c>
      <c r="AL1597">
        <v>-20.18058599999998</v>
      </c>
      <c r="AM1597">
        <v>-44.926708474999977</v>
      </c>
      <c r="AN1597">
        <v>-20.18058599999998</v>
      </c>
      <c r="AO1597">
        <v>-44.926708474999977</v>
      </c>
      <c r="AP1597">
        <v>-20.179649999999999</v>
      </c>
      <c r="AQ1597">
        <v>-44.927177</v>
      </c>
      <c r="AR1597">
        <v>115.1226868075416</v>
      </c>
      <c r="AS1597" t="s">
        <v>65</v>
      </c>
      <c r="AT1597">
        <v>1</v>
      </c>
      <c r="AU1597" t="s">
        <v>1316</v>
      </c>
      <c r="AV1597" t="s">
        <v>1317</v>
      </c>
      <c r="AW1597" t="s">
        <v>60</v>
      </c>
      <c r="AX1597" t="s">
        <v>68</v>
      </c>
      <c r="AY1597" t="s">
        <v>69</v>
      </c>
      <c r="AZ1597" t="b">
        <v>1</v>
      </c>
    </row>
    <row r="1598" spans="1:52" x14ac:dyDescent="0.3">
      <c r="A1598" t="s">
        <v>52</v>
      </c>
      <c r="B1598" t="s">
        <v>53</v>
      </c>
      <c r="C1598" t="s">
        <v>54</v>
      </c>
      <c r="D1598" t="s">
        <v>55</v>
      </c>
      <c r="E1598" t="s">
        <v>2142</v>
      </c>
      <c r="F1598" t="s">
        <v>1247</v>
      </c>
      <c r="G1598" t="s">
        <v>1318</v>
      </c>
      <c r="H1598" t="s">
        <v>1319</v>
      </c>
      <c r="I1598" t="s">
        <v>1319</v>
      </c>
      <c r="J1598" t="s">
        <v>60</v>
      </c>
      <c r="K1598" t="s">
        <v>1314</v>
      </c>
      <c r="L1598" t="s">
        <v>62</v>
      </c>
      <c r="M1598" t="s">
        <v>1314</v>
      </c>
      <c r="N1598" t="s">
        <v>1320</v>
      </c>
      <c r="O1598" t="s">
        <v>1321</v>
      </c>
      <c r="P1598">
        <v>-20.178615000000001</v>
      </c>
      <c r="Q1598">
        <v>-44.924697999999999</v>
      </c>
      <c r="R1598" s="2" t="str">
        <f>HYPERLINK("https://www.google.com/maps?q=-20.1786150,-44.9246980","Abrir no Google Maps")</f>
        <v>Abrir no Google Maps</v>
      </c>
      <c r="S1598">
        <v>3</v>
      </c>
      <c r="T1598">
        <v>1583.462557226148</v>
      </c>
      <c r="U1598">
        <v>2</v>
      </c>
      <c r="V1598">
        <v>13</v>
      </c>
      <c r="W1598">
        <v>0.85</v>
      </c>
      <c r="X1598">
        <v>11.05</v>
      </c>
      <c r="Y1598">
        <v>723</v>
      </c>
      <c r="Z1598">
        <v>1414.1542726995031</v>
      </c>
      <c r="AA1598">
        <v>198</v>
      </c>
      <c r="AB1598">
        <v>332</v>
      </c>
      <c r="AC1598">
        <v>536</v>
      </c>
      <c r="AD1598">
        <v>28.93</v>
      </c>
      <c r="AE1598">
        <v>542</v>
      </c>
      <c r="AF1598">
        <v>28</v>
      </c>
      <c r="AG1598">
        <v>168</v>
      </c>
      <c r="AH1598">
        <v>129</v>
      </c>
      <c r="AI1598">
        <v>5.17</v>
      </c>
      <c r="AJ1598">
        <v>31</v>
      </c>
      <c r="AK1598">
        <v>23.8</v>
      </c>
      <c r="AL1598">
        <v>-20.17821329999995</v>
      </c>
      <c r="AM1598">
        <v>-44.924188563452951</v>
      </c>
      <c r="AN1598">
        <v>-20.17821329999995</v>
      </c>
      <c r="AO1598">
        <v>-44.924188563452951</v>
      </c>
      <c r="AP1598">
        <v>-20.178615000000001</v>
      </c>
      <c r="AQ1598">
        <v>-44.924697999999999</v>
      </c>
      <c r="AR1598">
        <v>69.520116290580319</v>
      </c>
      <c r="AS1598" t="s">
        <v>65</v>
      </c>
      <c r="AT1598">
        <v>1</v>
      </c>
      <c r="AU1598" t="s">
        <v>1322</v>
      </c>
      <c r="AV1598" t="s">
        <v>1317</v>
      </c>
      <c r="AW1598" t="s">
        <v>60</v>
      </c>
      <c r="AX1598" t="s">
        <v>68</v>
      </c>
      <c r="AY1598" t="s">
        <v>69</v>
      </c>
      <c r="AZ1598" t="b">
        <v>1</v>
      </c>
    </row>
    <row r="1599" spans="1:52" x14ac:dyDescent="0.3">
      <c r="A1599" t="s">
        <v>52</v>
      </c>
      <c r="B1599" t="s">
        <v>53</v>
      </c>
      <c r="C1599" t="s">
        <v>54</v>
      </c>
      <c r="D1599" t="s">
        <v>55</v>
      </c>
      <c r="E1599" t="s">
        <v>2142</v>
      </c>
      <c r="F1599" t="s">
        <v>1247</v>
      </c>
      <c r="G1599" t="s">
        <v>435</v>
      </c>
      <c r="H1599" t="s">
        <v>436</v>
      </c>
      <c r="I1599" t="s">
        <v>436</v>
      </c>
      <c r="J1599" t="s">
        <v>60</v>
      </c>
      <c r="K1599" t="s">
        <v>437</v>
      </c>
      <c r="L1599" t="s">
        <v>62</v>
      </c>
      <c r="M1599" t="s">
        <v>437</v>
      </c>
      <c r="N1599" t="s">
        <v>438</v>
      </c>
      <c r="O1599" t="s">
        <v>439</v>
      </c>
      <c r="P1599">
        <v>-20.145613000000001</v>
      </c>
      <c r="Q1599">
        <v>-44.882375000000003</v>
      </c>
      <c r="R1599" s="2" t="str">
        <f>HYPERLINK("https://www.google.com/maps?q=-20.1456130,-44.8823750","Abrir no Google Maps")</f>
        <v>Abrir no Google Maps</v>
      </c>
      <c r="S1599">
        <v>3</v>
      </c>
      <c r="T1599">
        <v>305.65092112314198</v>
      </c>
      <c r="U1599">
        <v>2</v>
      </c>
      <c r="V1599">
        <v>11</v>
      </c>
      <c r="W1599">
        <v>1</v>
      </c>
      <c r="X1599">
        <v>11</v>
      </c>
      <c r="Y1599">
        <v>653</v>
      </c>
      <c r="Z1599">
        <v>349.55297035282501</v>
      </c>
      <c r="AA1599">
        <v>198</v>
      </c>
      <c r="AB1599">
        <v>332</v>
      </c>
      <c r="AC1599">
        <v>536</v>
      </c>
      <c r="AD1599">
        <v>28.93</v>
      </c>
      <c r="AE1599">
        <v>542</v>
      </c>
      <c r="AF1599">
        <v>28</v>
      </c>
      <c r="AG1599">
        <v>168</v>
      </c>
      <c r="AH1599">
        <v>129</v>
      </c>
      <c r="AI1599">
        <v>5.17</v>
      </c>
      <c r="AJ1599">
        <v>31</v>
      </c>
      <c r="AK1599">
        <v>23.8</v>
      </c>
      <c r="AL1599">
        <v>-20.14550464999996</v>
      </c>
      <c r="AM1599">
        <v>-44.882157007077737</v>
      </c>
      <c r="AN1599">
        <v>-20.14550464999996</v>
      </c>
      <c r="AO1599">
        <v>-44.882157007077737</v>
      </c>
      <c r="AP1599">
        <v>-20.145613000000001</v>
      </c>
      <c r="AQ1599">
        <v>-44.882375000000003</v>
      </c>
      <c r="AR1599">
        <v>25.77819791856259</v>
      </c>
      <c r="AS1599" t="s">
        <v>65</v>
      </c>
      <c r="AT1599">
        <v>1</v>
      </c>
      <c r="AU1599" t="s">
        <v>440</v>
      </c>
      <c r="AV1599" t="s">
        <v>441</v>
      </c>
      <c r="AW1599" t="s">
        <v>60</v>
      </c>
      <c r="AX1599" t="s">
        <v>68</v>
      </c>
      <c r="AY1599" t="s">
        <v>69</v>
      </c>
      <c r="AZ1599" t="b">
        <v>1</v>
      </c>
    </row>
    <row r="1600" spans="1:52" x14ac:dyDescent="0.3">
      <c r="A1600" t="s">
        <v>52</v>
      </c>
      <c r="B1600" t="s">
        <v>53</v>
      </c>
      <c r="C1600" t="s">
        <v>54</v>
      </c>
      <c r="D1600" t="s">
        <v>55</v>
      </c>
      <c r="E1600" t="s">
        <v>2142</v>
      </c>
      <c r="F1600" t="s">
        <v>1247</v>
      </c>
      <c r="G1600" t="s">
        <v>1333</v>
      </c>
      <c r="H1600" t="s">
        <v>1334</v>
      </c>
      <c r="I1600" t="s">
        <v>1334</v>
      </c>
      <c r="J1600" t="s">
        <v>60</v>
      </c>
      <c r="K1600" t="s">
        <v>437</v>
      </c>
      <c r="L1600" t="s">
        <v>62</v>
      </c>
      <c r="M1600" t="s">
        <v>437</v>
      </c>
      <c r="N1600" t="s">
        <v>1335</v>
      </c>
      <c r="O1600" t="s">
        <v>807</v>
      </c>
      <c r="P1600">
        <v>-20.148</v>
      </c>
      <c r="Q1600">
        <v>-44.880944999999997</v>
      </c>
      <c r="R1600" s="2" t="str">
        <f>HYPERLINK("https://www.google.com/maps?q=-20.1480000,-44.8809450","Abrir no Google Maps")</f>
        <v>Abrir no Google Maps</v>
      </c>
      <c r="S1600">
        <v>3</v>
      </c>
      <c r="T1600">
        <v>0</v>
      </c>
      <c r="U1600">
        <v>2</v>
      </c>
      <c r="V1600">
        <v>15</v>
      </c>
      <c r="W1600">
        <v>0.85</v>
      </c>
      <c r="X1600">
        <v>12.75</v>
      </c>
      <c r="Y1600">
        <v>653</v>
      </c>
      <c r="Z1600">
        <v>108.2792411420544</v>
      </c>
      <c r="AA1600">
        <v>198</v>
      </c>
      <c r="AB1600">
        <v>332</v>
      </c>
      <c r="AC1600">
        <v>536</v>
      </c>
      <c r="AD1600">
        <v>28.93</v>
      </c>
      <c r="AE1600">
        <v>542</v>
      </c>
      <c r="AF1600">
        <v>28</v>
      </c>
      <c r="AG1600">
        <v>168</v>
      </c>
      <c r="AH1600">
        <v>129</v>
      </c>
      <c r="AI1600">
        <v>5.17</v>
      </c>
      <c r="AJ1600">
        <v>31</v>
      </c>
      <c r="AK1600">
        <v>23.8</v>
      </c>
      <c r="AL1600">
        <v>-20.14802099999994</v>
      </c>
      <c r="AM1600">
        <v>-44.880951206225959</v>
      </c>
      <c r="AN1600">
        <v>-20.14802099999994</v>
      </c>
      <c r="AO1600">
        <v>-44.880951206225959</v>
      </c>
      <c r="AP1600">
        <v>-20.148</v>
      </c>
      <c r="AQ1600">
        <v>-44.880944999999997</v>
      </c>
      <c r="AR1600">
        <v>2.4260288619737169</v>
      </c>
      <c r="AS1600" t="s">
        <v>65</v>
      </c>
      <c r="AT1600">
        <v>1</v>
      </c>
      <c r="AU1600" t="s">
        <v>1336</v>
      </c>
      <c r="AV1600" t="s">
        <v>1337</v>
      </c>
      <c r="AW1600" t="s">
        <v>60</v>
      </c>
      <c r="AX1600" t="s">
        <v>68</v>
      </c>
      <c r="AY1600" t="s">
        <v>69</v>
      </c>
      <c r="AZ1600" t="b">
        <v>1</v>
      </c>
    </row>
    <row r="1601" spans="1:52" x14ac:dyDescent="0.3">
      <c r="A1601" t="s">
        <v>52</v>
      </c>
      <c r="B1601" t="s">
        <v>53</v>
      </c>
      <c r="C1601" t="s">
        <v>54</v>
      </c>
      <c r="D1601" t="s">
        <v>55</v>
      </c>
      <c r="E1601" t="s">
        <v>2142</v>
      </c>
      <c r="F1601" t="s">
        <v>1247</v>
      </c>
      <c r="G1601" t="s">
        <v>479</v>
      </c>
      <c r="H1601" t="s">
        <v>1338</v>
      </c>
      <c r="I1601" t="s">
        <v>1338</v>
      </c>
      <c r="J1601" t="s">
        <v>60</v>
      </c>
      <c r="K1601" t="s">
        <v>1302</v>
      </c>
      <c r="L1601" t="s">
        <v>62</v>
      </c>
      <c r="M1601" t="s">
        <v>1302</v>
      </c>
      <c r="N1601" t="s">
        <v>481</v>
      </c>
      <c r="O1601" t="s">
        <v>1339</v>
      </c>
      <c r="P1601">
        <v>-20.165590000000002</v>
      </c>
      <c r="Q1601">
        <v>-44.907876000000002</v>
      </c>
      <c r="R1601" s="2" t="str">
        <f>HYPERLINK("https://www.google.com/maps?q=-20.1655900,-44.9078760","Abrir no Google Maps")</f>
        <v>Abrir no Google Maps</v>
      </c>
      <c r="S1601">
        <v>3</v>
      </c>
      <c r="T1601">
        <v>626.07643944893005</v>
      </c>
      <c r="U1601">
        <v>2</v>
      </c>
      <c r="V1601">
        <v>10</v>
      </c>
      <c r="W1601">
        <v>0.85</v>
      </c>
      <c r="X1601">
        <v>8.5</v>
      </c>
      <c r="Y1601">
        <v>639</v>
      </c>
      <c r="Z1601">
        <v>723.2656461789519</v>
      </c>
      <c r="AA1601">
        <v>198</v>
      </c>
      <c r="AB1601">
        <v>332</v>
      </c>
      <c r="AC1601">
        <v>536</v>
      </c>
      <c r="AD1601">
        <v>28.93</v>
      </c>
      <c r="AE1601">
        <v>542</v>
      </c>
      <c r="AF1601">
        <v>28</v>
      </c>
      <c r="AG1601">
        <v>168</v>
      </c>
      <c r="AH1601">
        <v>129</v>
      </c>
      <c r="AI1601">
        <v>5.17</v>
      </c>
      <c r="AJ1601">
        <v>31</v>
      </c>
      <c r="AK1601">
        <v>23.8</v>
      </c>
      <c r="AL1601">
        <v>-20.16561419999994</v>
      </c>
      <c r="AM1601">
        <v>-44.907783360572083</v>
      </c>
      <c r="AN1601">
        <v>-20.16561419999994</v>
      </c>
      <c r="AO1601">
        <v>-44.907783360572083</v>
      </c>
      <c r="AP1601">
        <v>-20.165590000000002</v>
      </c>
      <c r="AQ1601">
        <v>-44.907876000000002</v>
      </c>
      <c r="AR1601">
        <v>10.04831364257741</v>
      </c>
      <c r="AS1601" t="s">
        <v>65</v>
      </c>
      <c r="AT1601">
        <v>1</v>
      </c>
      <c r="AU1601" t="s">
        <v>1340</v>
      </c>
      <c r="AV1601" t="s">
        <v>1341</v>
      </c>
      <c r="AW1601" t="s">
        <v>60</v>
      </c>
      <c r="AX1601" t="s">
        <v>68</v>
      </c>
      <c r="AY1601" t="s">
        <v>69</v>
      </c>
      <c r="AZ1601" t="b">
        <v>1</v>
      </c>
    </row>
    <row r="1602" spans="1:52" x14ac:dyDescent="0.3">
      <c r="A1602" t="s">
        <v>52</v>
      </c>
      <c r="B1602" t="s">
        <v>53</v>
      </c>
      <c r="C1602" t="s">
        <v>54</v>
      </c>
      <c r="D1602" t="s">
        <v>55</v>
      </c>
      <c r="E1602" t="s">
        <v>2142</v>
      </c>
      <c r="F1602" t="s">
        <v>1247</v>
      </c>
      <c r="G1602" t="s">
        <v>454</v>
      </c>
      <c r="H1602" t="s">
        <v>455</v>
      </c>
      <c r="I1602" t="s">
        <v>455</v>
      </c>
      <c r="J1602" t="s">
        <v>60</v>
      </c>
      <c r="K1602" t="s">
        <v>456</v>
      </c>
      <c r="L1602" t="s">
        <v>62</v>
      </c>
      <c r="M1602" t="s">
        <v>456</v>
      </c>
      <c r="N1602" t="s">
        <v>102</v>
      </c>
      <c r="O1602" t="s">
        <v>457</v>
      </c>
      <c r="P1602">
        <v>-20.138373999999999</v>
      </c>
      <c r="Q1602">
        <v>-44.903756999999999</v>
      </c>
      <c r="R1602" s="2" t="str">
        <f>HYPERLINK("https://www.google.com/maps?q=-20.1383740,-44.9037570","Abrir no Google Maps")</f>
        <v>Abrir no Google Maps</v>
      </c>
      <c r="S1602">
        <v>3</v>
      </c>
      <c r="T1602">
        <v>357.59466273594461</v>
      </c>
      <c r="U1602">
        <v>2</v>
      </c>
      <c r="V1602">
        <v>14</v>
      </c>
      <c r="W1602">
        <v>1</v>
      </c>
      <c r="X1602">
        <v>14</v>
      </c>
      <c r="Y1602">
        <v>581</v>
      </c>
      <c r="Z1602">
        <v>406.92482694505992</v>
      </c>
      <c r="AA1602">
        <v>198</v>
      </c>
      <c r="AB1602">
        <v>332</v>
      </c>
      <c r="AC1602">
        <v>536</v>
      </c>
      <c r="AD1602">
        <v>28.93</v>
      </c>
      <c r="AE1602">
        <v>542</v>
      </c>
      <c r="AF1602">
        <v>28</v>
      </c>
      <c r="AG1602">
        <v>168</v>
      </c>
      <c r="AH1602">
        <v>129</v>
      </c>
      <c r="AI1602">
        <v>5.17</v>
      </c>
      <c r="AJ1602">
        <v>31</v>
      </c>
      <c r="AK1602">
        <v>23.8</v>
      </c>
      <c r="AL1602">
        <v>-20.138338199999961</v>
      </c>
      <c r="AM1602">
        <v>-44.903768618976301</v>
      </c>
      <c r="AN1602">
        <v>-20.138338199999961</v>
      </c>
      <c r="AO1602">
        <v>-44.903768618976301</v>
      </c>
      <c r="AP1602">
        <v>-20.138373999999999</v>
      </c>
      <c r="AQ1602">
        <v>-44.903756999999999</v>
      </c>
      <c r="AR1602">
        <v>4.1661625938922704</v>
      </c>
      <c r="AS1602" t="s">
        <v>65</v>
      </c>
      <c r="AT1602">
        <v>1</v>
      </c>
      <c r="AU1602" t="s">
        <v>458</v>
      </c>
      <c r="AV1602" t="s">
        <v>459</v>
      </c>
      <c r="AW1602" t="s">
        <v>60</v>
      </c>
      <c r="AX1602" t="s">
        <v>68</v>
      </c>
      <c r="AY1602" t="s">
        <v>69</v>
      </c>
      <c r="AZ1602" t="b">
        <v>1</v>
      </c>
    </row>
    <row r="1603" spans="1:52" x14ac:dyDescent="0.3">
      <c r="A1603" t="s">
        <v>52</v>
      </c>
      <c r="B1603" t="s">
        <v>53</v>
      </c>
      <c r="C1603" t="s">
        <v>54</v>
      </c>
      <c r="D1603" t="s">
        <v>55</v>
      </c>
      <c r="E1603" t="s">
        <v>2142</v>
      </c>
      <c r="F1603" t="s">
        <v>1247</v>
      </c>
      <c r="G1603" t="s">
        <v>1342</v>
      </c>
      <c r="H1603" t="s">
        <v>1343</v>
      </c>
      <c r="I1603" t="s">
        <v>1343</v>
      </c>
      <c r="J1603" t="s">
        <v>60</v>
      </c>
      <c r="K1603" t="s">
        <v>462</v>
      </c>
      <c r="L1603" t="s">
        <v>62</v>
      </c>
      <c r="M1603" t="s">
        <v>462</v>
      </c>
      <c r="N1603" t="s">
        <v>921</v>
      </c>
      <c r="O1603" t="s">
        <v>1344</v>
      </c>
      <c r="P1603">
        <v>-20.137526000000001</v>
      </c>
      <c r="Q1603">
        <v>-44.912452999999999</v>
      </c>
      <c r="R1603" s="2" t="str">
        <f>HYPERLINK("https://www.google.com/maps?q=-20.1375260,-44.9124530","Abrir no Google Maps")</f>
        <v>Abrir no Google Maps</v>
      </c>
      <c r="S1603">
        <v>3</v>
      </c>
      <c r="T1603">
        <v>446.95091416730708</v>
      </c>
      <c r="U1603">
        <v>2</v>
      </c>
      <c r="V1603">
        <v>12</v>
      </c>
      <c r="W1603">
        <v>0.85</v>
      </c>
      <c r="X1603">
        <v>10.199999999999999</v>
      </c>
      <c r="Y1603">
        <v>581</v>
      </c>
      <c r="Z1603">
        <v>507.4747778269288</v>
      </c>
      <c r="AA1603">
        <v>198</v>
      </c>
      <c r="AB1603">
        <v>332</v>
      </c>
      <c r="AC1603">
        <v>536</v>
      </c>
      <c r="AD1603">
        <v>28.93</v>
      </c>
      <c r="AE1603">
        <v>542</v>
      </c>
      <c r="AF1603">
        <v>28</v>
      </c>
      <c r="AG1603">
        <v>168</v>
      </c>
      <c r="AH1603">
        <v>129</v>
      </c>
      <c r="AI1603">
        <v>5.17</v>
      </c>
      <c r="AJ1603">
        <v>31</v>
      </c>
      <c r="AK1603">
        <v>23.8</v>
      </c>
      <c r="AL1603">
        <v>-20.136672649999959</v>
      </c>
      <c r="AM1603">
        <v>-44.911825104396357</v>
      </c>
      <c r="AN1603">
        <v>-20.136672649999959</v>
      </c>
      <c r="AO1603">
        <v>-44.911825104396357</v>
      </c>
      <c r="AP1603">
        <v>-20.137526000000001</v>
      </c>
      <c r="AQ1603">
        <v>-44.912452999999999</v>
      </c>
      <c r="AR1603">
        <v>115.45843265992529</v>
      </c>
      <c r="AS1603" t="s">
        <v>65</v>
      </c>
      <c r="AT1603">
        <v>1</v>
      </c>
      <c r="AU1603" t="s">
        <v>1345</v>
      </c>
      <c r="AV1603" t="s">
        <v>1346</v>
      </c>
      <c r="AW1603" t="s">
        <v>60</v>
      </c>
      <c r="AX1603" t="s">
        <v>68</v>
      </c>
      <c r="AY1603" t="s">
        <v>69</v>
      </c>
      <c r="AZ1603" t="b">
        <v>1</v>
      </c>
    </row>
    <row r="1604" spans="1:52" x14ac:dyDescent="0.3">
      <c r="A1604" t="s">
        <v>52</v>
      </c>
      <c r="B1604" t="s">
        <v>53</v>
      </c>
      <c r="C1604" t="s">
        <v>54</v>
      </c>
      <c r="D1604" t="s">
        <v>55</v>
      </c>
      <c r="E1604" t="s">
        <v>2142</v>
      </c>
      <c r="F1604" t="s">
        <v>1247</v>
      </c>
      <c r="G1604" t="s">
        <v>851</v>
      </c>
      <c r="H1604" t="s">
        <v>852</v>
      </c>
      <c r="I1604" t="s">
        <v>852</v>
      </c>
      <c r="J1604" t="s">
        <v>60</v>
      </c>
      <c r="K1604" t="s">
        <v>853</v>
      </c>
      <c r="L1604" t="s">
        <v>62</v>
      </c>
      <c r="M1604" t="s">
        <v>853</v>
      </c>
      <c r="N1604" t="s">
        <v>854</v>
      </c>
      <c r="O1604" t="s">
        <v>855</v>
      </c>
      <c r="P1604">
        <v>-20.127835000000001</v>
      </c>
      <c r="Q1604">
        <v>-44.909329</v>
      </c>
      <c r="R1604" s="2" t="str">
        <f>HYPERLINK("https://www.google.com/maps?q=-20.1278350,-44.9093290","Abrir no Google Maps")</f>
        <v>Abrir no Google Maps</v>
      </c>
      <c r="S1604">
        <v>3</v>
      </c>
      <c r="T1604">
        <v>1173.033690896357</v>
      </c>
      <c r="U1604">
        <v>2</v>
      </c>
      <c r="V1604">
        <v>12</v>
      </c>
      <c r="W1604">
        <v>1</v>
      </c>
      <c r="X1604">
        <v>12</v>
      </c>
      <c r="Y1604">
        <v>581</v>
      </c>
      <c r="Z1604">
        <v>1296.5011565926129</v>
      </c>
      <c r="AA1604">
        <v>198</v>
      </c>
      <c r="AB1604">
        <v>332</v>
      </c>
      <c r="AC1604">
        <v>536</v>
      </c>
      <c r="AD1604">
        <v>28.93</v>
      </c>
      <c r="AE1604">
        <v>542</v>
      </c>
      <c r="AF1604">
        <v>28</v>
      </c>
      <c r="AG1604">
        <v>168</v>
      </c>
      <c r="AH1604">
        <v>129</v>
      </c>
      <c r="AI1604">
        <v>5.17</v>
      </c>
      <c r="AJ1604">
        <v>31</v>
      </c>
      <c r="AK1604">
        <v>23.8</v>
      </c>
      <c r="AL1604">
        <v>-20.127852899999969</v>
      </c>
      <c r="AM1604">
        <v>-44.909386667699948</v>
      </c>
      <c r="AN1604">
        <v>-20.127852899999969</v>
      </c>
      <c r="AO1604">
        <v>-44.909386667699948</v>
      </c>
      <c r="AP1604">
        <v>-20.127835000000001</v>
      </c>
      <c r="AQ1604">
        <v>-44.909329</v>
      </c>
      <c r="AR1604">
        <v>6.3483385067119924</v>
      </c>
      <c r="AS1604" t="s">
        <v>65</v>
      </c>
      <c r="AT1604">
        <v>1</v>
      </c>
      <c r="AU1604" t="s">
        <v>856</v>
      </c>
      <c r="AV1604" t="s">
        <v>857</v>
      </c>
      <c r="AW1604" t="s">
        <v>60</v>
      </c>
      <c r="AX1604" t="s">
        <v>68</v>
      </c>
      <c r="AY1604" t="s">
        <v>69</v>
      </c>
      <c r="AZ1604" t="b">
        <v>1</v>
      </c>
    </row>
    <row r="1605" spans="1:52" x14ac:dyDescent="0.3">
      <c r="A1605" t="s">
        <v>52</v>
      </c>
      <c r="B1605" t="s">
        <v>53</v>
      </c>
      <c r="C1605" t="s">
        <v>54</v>
      </c>
      <c r="D1605" t="s">
        <v>55</v>
      </c>
      <c r="E1605" t="s">
        <v>2142</v>
      </c>
      <c r="F1605" t="s">
        <v>1247</v>
      </c>
      <c r="G1605" t="s">
        <v>1354</v>
      </c>
      <c r="H1605" t="s">
        <v>1355</v>
      </c>
      <c r="I1605" t="s">
        <v>1355</v>
      </c>
      <c r="J1605" t="s">
        <v>60</v>
      </c>
      <c r="K1605" t="s">
        <v>1356</v>
      </c>
      <c r="L1605" t="s">
        <v>62</v>
      </c>
      <c r="M1605" t="s">
        <v>1356</v>
      </c>
      <c r="N1605" t="s">
        <v>1357</v>
      </c>
      <c r="O1605" t="s">
        <v>315</v>
      </c>
      <c r="P1605">
        <v>-20.132080999999999</v>
      </c>
      <c r="Q1605">
        <v>-44.908614</v>
      </c>
      <c r="R1605" s="2" t="str">
        <f>HYPERLINK("https://www.google.com/maps?q=-20.1320810,-44.9086140","Abrir no Google Maps")</f>
        <v>Abrir no Google Maps</v>
      </c>
      <c r="S1605">
        <v>3</v>
      </c>
      <c r="T1605">
        <v>701.02570959373259</v>
      </c>
      <c r="U1605">
        <v>2</v>
      </c>
      <c r="V1605">
        <v>12</v>
      </c>
      <c r="W1605">
        <v>0.85</v>
      </c>
      <c r="X1605">
        <v>10.199999999999999</v>
      </c>
      <c r="Y1605">
        <v>581</v>
      </c>
      <c r="Z1605">
        <v>811.38061352229215</v>
      </c>
      <c r="AA1605">
        <v>198</v>
      </c>
      <c r="AB1605">
        <v>332</v>
      </c>
      <c r="AC1605">
        <v>536</v>
      </c>
      <c r="AD1605">
        <v>28.93</v>
      </c>
      <c r="AE1605">
        <v>542</v>
      </c>
      <c r="AF1605">
        <v>28</v>
      </c>
      <c r="AG1605">
        <v>168</v>
      </c>
      <c r="AH1605">
        <v>129</v>
      </c>
      <c r="AI1605">
        <v>5.17</v>
      </c>
      <c r="AJ1605">
        <v>31</v>
      </c>
      <c r="AK1605">
        <v>23.8</v>
      </c>
      <c r="AL1605">
        <v>-20.132063499999951</v>
      </c>
      <c r="AM1605">
        <v>-44.908630454878519</v>
      </c>
      <c r="AN1605">
        <v>-20.132063499999951</v>
      </c>
      <c r="AO1605">
        <v>-44.908630454878519</v>
      </c>
      <c r="AP1605">
        <v>-20.132080999999999</v>
      </c>
      <c r="AQ1605">
        <v>-44.908614</v>
      </c>
      <c r="AR1605">
        <v>2.5986425761911551</v>
      </c>
      <c r="AS1605" t="s">
        <v>65</v>
      </c>
      <c r="AT1605">
        <v>1</v>
      </c>
      <c r="AU1605" t="s">
        <v>1358</v>
      </c>
      <c r="AV1605" t="s">
        <v>1359</v>
      </c>
      <c r="AW1605" t="s">
        <v>60</v>
      </c>
      <c r="AX1605" t="s">
        <v>68</v>
      </c>
      <c r="AY1605" t="s">
        <v>69</v>
      </c>
      <c r="AZ1605" t="b">
        <v>1</v>
      </c>
    </row>
    <row r="1606" spans="1:52" x14ac:dyDescent="0.3">
      <c r="A1606" t="s">
        <v>52</v>
      </c>
      <c r="B1606" t="s">
        <v>53</v>
      </c>
      <c r="C1606" t="s">
        <v>54</v>
      </c>
      <c r="D1606" t="s">
        <v>55</v>
      </c>
      <c r="E1606" t="s">
        <v>2142</v>
      </c>
      <c r="F1606" t="s">
        <v>1247</v>
      </c>
      <c r="G1606" t="s">
        <v>858</v>
      </c>
      <c r="H1606" t="s">
        <v>1360</v>
      </c>
      <c r="I1606" t="s">
        <v>1360</v>
      </c>
      <c r="J1606" t="s">
        <v>60</v>
      </c>
      <c r="K1606" t="s">
        <v>1356</v>
      </c>
      <c r="L1606" t="s">
        <v>62</v>
      </c>
      <c r="M1606" t="s">
        <v>1356</v>
      </c>
      <c r="N1606" t="s">
        <v>860</v>
      </c>
      <c r="O1606" t="s">
        <v>1361</v>
      </c>
      <c r="P1606">
        <v>-20.134969000000002</v>
      </c>
      <c r="Q1606">
        <v>-44.909384000000003</v>
      </c>
      <c r="R1606" s="2" t="str">
        <f>HYPERLINK("https://www.google.com/maps?q=-20.1349690,-44.9093840","Abrir no Google Maps")</f>
        <v>Abrir no Google Maps</v>
      </c>
      <c r="S1606">
        <v>3</v>
      </c>
      <c r="T1606">
        <v>413.6655911675532</v>
      </c>
      <c r="U1606">
        <v>2</v>
      </c>
      <c r="V1606">
        <v>11</v>
      </c>
      <c r="W1606">
        <v>0.85</v>
      </c>
      <c r="X1606">
        <v>9.35</v>
      </c>
      <c r="Y1606">
        <v>581</v>
      </c>
      <c r="Z1606">
        <v>555.30228470489919</v>
      </c>
      <c r="AA1606">
        <v>198</v>
      </c>
      <c r="AB1606">
        <v>332</v>
      </c>
      <c r="AC1606">
        <v>536</v>
      </c>
      <c r="AD1606">
        <v>28.93</v>
      </c>
      <c r="AE1606">
        <v>542</v>
      </c>
      <c r="AF1606">
        <v>28</v>
      </c>
      <c r="AG1606">
        <v>168</v>
      </c>
      <c r="AH1606">
        <v>129</v>
      </c>
      <c r="AI1606">
        <v>5.17</v>
      </c>
      <c r="AJ1606">
        <v>31</v>
      </c>
      <c r="AK1606">
        <v>23.8</v>
      </c>
      <c r="AL1606">
        <v>-20.134922099999951</v>
      </c>
      <c r="AM1606">
        <v>-44.909483975879112</v>
      </c>
      <c r="AN1606">
        <v>-20.134922099999951</v>
      </c>
      <c r="AO1606">
        <v>-44.909483975879112</v>
      </c>
      <c r="AP1606">
        <v>-20.134969000000002</v>
      </c>
      <c r="AQ1606">
        <v>-44.909384000000003</v>
      </c>
      <c r="AR1606">
        <v>11.68085867639515</v>
      </c>
      <c r="AS1606" t="s">
        <v>65</v>
      </c>
      <c r="AT1606">
        <v>1</v>
      </c>
      <c r="AU1606" t="s">
        <v>1362</v>
      </c>
      <c r="AV1606" t="s">
        <v>1363</v>
      </c>
      <c r="AW1606" t="s">
        <v>60</v>
      </c>
      <c r="AX1606" t="s">
        <v>68</v>
      </c>
      <c r="AY1606" t="s">
        <v>69</v>
      </c>
      <c r="AZ1606" t="b">
        <v>1</v>
      </c>
    </row>
    <row r="1607" spans="1:52" x14ac:dyDescent="0.3">
      <c r="A1607" t="s">
        <v>52</v>
      </c>
      <c r="B1607" t="s">
        <v>53</v>
      </c>
      <c r="C1607" t="s">
        <v>54</v>
      </c>
      <c r="D1607" t="s">
        <v>55</v>
      </c>
      <c r="E1607" t="s">
        <v>2142</v>
      </c>
      <c r="F1607" t="s">
        <v>1247</v>
      </c>
      <c r="G1607" t="s">
        <v>1364</v>
      </c>
      <c r="H1607" t="s">
        <v>1365</v>
      </c>
      <c r="I1607" t="s">
        <v>1365</v>
      </c>
      <c r="J1607" t="s">
        <v>60</v>
      </c>
      <c r="K1607" t="s">
        <v>1356</v>
      </c>
      <c r="L1607" t="s">
        <v>62</v>
      </c>
      <c r="M1607" t="s">
        <v>1356</v>
      </c>
      <c r="N1607" t="s">
        <v>1366</v>
      </c>
      <c r="O1607" t="s">
        <v>548</v>
      </c>
      <c r="P1607">
        <v>-20.131240999999999</v>
      </c>
      <c r="Q1607">
        <v>-44.910567999999998</v>
      </c>
      <c r="R1607" s="2" t="str">
        <f>HYPERLINK("https://www.google.com/maps?q=-20.1312410,-44.9105680","Abrir no Google Maps")</f>
        <v>Abrir no Google Maps</v>
      </c>
      <c r="S1607">
        <v>3</v>
      </c>
      <c r="T1607">
        <v>822.61354861726704</v>
      </c>
      <c r="U1607">
        <v>2</v>
      </c>
      <c r="V1607">
        <v>10</v>
      </c>
      <c r="W1607">
        <v>0.85</v>
      </c>
      <c r="X1607">
        <v>8.5</v>
      </c>
      <c r="Y1607">
        <v>581</v>
      </c>
      <c r="Z1607">
        <v>982.3990834787046</v>
      </c>
      <c r="AA1607">
        <v>198</v>
      </c>
      <c r="AB1607">
        <v>332</v>
      </c>
      <c r="AC1607">
        <v>536</v>
      </c>
      <c r="AD1607">
        <v>28.93</v>
      </c>
      <c r="AE1607">
        <v>542</v>
      </c>
      <c r="AF1607">
        <v>28</v>
      </c>
      <c r="AG1607">
        <v>168</v>
      </c>
      <c r="AH1607">
        <v>129</v>
      </c>
      <c r="AI1607">
        <v>5.17</v>
      </c>
      <c r="AJ1607">
        <v>31</v>
      </c>
      <c r="AK1607">
        <v>23.8</v>
      </c>
      <c r="AL1607">
        <v>-20.131367099999981</v>
      </c>
      <c r="AM1607">
        <v>-44.910597350758543</v>
      </c>
      <c r="AN1607">
        <v>-20.131367099999981</v>
      </c>
      <c r="AO1607">
        <v>-44.910597350758543</v>
      </c>
      <c r="AP1607">
        <v>-20.131240999999999</v>
      </c>
      <c r="AQ1607">
        <v>-44.910567999999998</v>
      </c>
      <c r="AR1607">
        <v>14.36874794070623</v>
      </c>
      <c r="AS1607" t="s">
        <v>65</v>
      </c>
      <c r="AT1607">
        <v>1</v>
      </c>
      <c r="AU1607" t="s">
        <v>1367</v>
      </c>
      <c r="AV1607" t="s">
        <v>1368</v>
      </c>
      <c r="AW1607" t="s">
        <v>60</v>
      </c>
      <c r="AX1607" t="s">
        <v>68</v>
      </c>
      <c r="AY1607" t="s">
        <v>69</v>
      </c>
      <c r="AZ1607" t="b">
        <v>1</v>
      </c>
    </row>
    <row r="1608" spans="1:52" x14ac:dyDescent="0.3">
      <c r="A1608" t="s">
        <v>52</v>
      </c>
      <c r="B1608" t="s">
        <v>53</v>
      </c>
      <c r="C1608" t="s">
        <v>54</v>
      </c>
      <c r="D1608" t="s">
        <v>55</v>
      </c>
      <c r="E1608" t="s">
        <v>2142</v>
      </c>
      <c r="F1608" t="s">
        <v>1247</v>
      </c>
      <c r="G1608" t="s">
        <v>1364</v>
      </c>
      <c r="H1608" t="s">
        <v>1369</v>
      </c>
      <c r="I1608" t="s">
        <v>1369</v>
      </c>
      <c r="J1608" t="s">
        <v>60</v>
      </c>
      <c r="K1608" t="s">
        <v>1370</v>
      </c>
      <c r="L1608" t="s">
        <v>62</v>
      </c>
      <c r="M1608" t="s">
        <v>1370</v>
      </c>
      <c r="N1608" t="s">
        <v>1366</v>
      </c>
      <c r="O1608" t="s">
        <v>989</v>
      </c>
      <c r="P1608">
        <v>-20.141185</v>
      </c>
      <c r="Q1608">
        <v>-44.914200999999998</v>
      </c>
      <c r="R1608" s="2" t="str">
        <f>HYPERLINK("https://www.google.com/maps?q=-20.1411850,-44.9142010","Abrir no Google Maps")</f>
        <v>Abrir no Google Maps</v>
      </c>
      <c r="S1608">
        <v>3</v>
      </c>
      <c r="T1608">
        <v>512.52588459346453</v>
      </c>
      <c r="U1608">
        <v>2</v>
      </c>
      <c r="V1608">
        <v>10</v>
      </c>
      <c r="W1608">
        <v>0.85</v>
      </c>
      <c r="X1608">
        <v>8.5</v>
      </c>
      <c r="Y1608">
        <v>581</v>
      </c>
      <c r="Z1608">
        <v>473.10673043319349</v>
      </c>
      <c r="AA1608">
        <v>198</v>
      </c>
      <c r="AB1608">
        <v>332</v>
      </c>
      <c r="AC1608">
        <v>536</v>
      </c>
      <c r="AD1608">
        <v>28.93</v>
      </c>
      <c r="AE1608">
        <v>542</v>
      </c>
      <c r="AF1608">
        <v>28</v>
      </c>
      <c r="AG1608">
        <v>168</v>
      </c>
      <c r="AH1608">
        <v>129</v>
      </c>
      <c r="AI1608">
        <v>5.17</v>
      </c>
      <c r="AJ1608">
        <v>31</v>
      </c>
      <c r="AK1608">
        <v>23.8</v>
      </c>
      <c r="AL1608">
        <v>-20.14133909999995</v>
      </c>
      <c r="AM1608">
        <v>-44.913910219286038</v>
      </c>
      <c r="AN1608">
        <v>-20.14133909999995</v>
      </c>
      <c r="AO1608">
        <v>-44.913910219286038</v>
      </c>
      <c r="AP1608">
        <v>-20.141185</v>
      </c>
      <c r="AQ1608">
        <v>-44.914200999999998</v>
      </c>
      <c r="AR1608">
        <v>34.897514361429593</v>
      </c>
      <c r="AS1608" t="s">
        <v>65</v>
      </c>
      <c r="AT1608">
        <v>1</v>
      </c>
      <c r="AU1608" t="s">
        <v>1371</v>
      </c>
      <c r="AV1608" t="s">
        <v>863</v>
      </c>
      <c r="AW1608" t="s">
        <v>60</v>
      </c>
      <c r="AX1608" t="s">
        <v>68</v>
      </c>
      <c r="AY1608" t="s">
        <v>69</v>
      </c>
      <c r="AZ1608" t="b">
        <v>1</v>
      </c>
    </row>
    <row r="1609" spans="1:52" x14ac:dyDescent="0.3">
      <c r="A1609" t="s">
        <v>52</v>
      </c>
      <c r="B1609" t="s">
        <v>53</v>
      </c>
      <c r="C1609" t="s">
        <v>54</v>
      </c>
      <c r="D1609" t="s">
        <v>55</v>
      </c>
      <c r="E1609" t="s">
        <v>2142</v>
      </c>
      <c r="F1609" t="s">
        <v>1247</v>
      </c>
      <c r="G1609" t="s">
        <v>1300</v>
      </c>
      <c r="H1609" t="s">
        <v>1372</v>
      </c>
      <c r="I1609" t="s">
        <v>1372</v>
      </c>
      <c r="J1609" t="s">
        <v>60</v>
      </c>
      <c r="K1609" t="s">
        <v>486</v>
      </c>
      <c r="L1609" t="s">
        <v>62</v>
      </c>
      <c r="M1609" t="s">
        <v>486</v>
      </c>
      <c r="N1609" t="s">
        <v>1303</v>
      </c>
      <c r="O1609" t="s">
        <v>1373</v>
      </c>
      <c r="P1609">
        <v>-20.170458</v>
      </c>
      <c r="Q1609">
        <v>-44.900936000000002</v>
      </c>
      <c r="R1609" s="2" t="str">
        <f>HYPERLINK("https://www.google.com/maps?q=-20.1704580,-44.9009360","Abrir no Google Maps")</f>
        <v>Abrir no Google Maps</v>
      </c>
      <c r="S1609">
        <v>3</v>
      </c>
      <c r="T1609">
        <v>470.55793133653339</v>
      </c>
      <c r="U1609">
        <v>2</v>
      </c>
      <c r="V1609">
        <v>17</v>
      </c>
      <c r="W1609">
        <v>0.85</v>
      </c>
      <c r="X1609">
        <v>14.45</v>
      </c>
      <c r="Y1609">
        <v>578</v>
      </c>
      <c r="Z1609">
        <v>645.48909402437766</v>
      </c>
      <c r="AA1609">
        <v>198</v>
      </c>
      <c r="AB1609">
        <v>332</v>
      </c>
      <c r="AC1609">
        <v>536</v>
      </c>
      <c r="AD1609">
        <v>28.93</v>
      </c>
      <c r="AE1609">
        <v>542</v>
      </c>
      <c r="AF1609">
        <v>28</v>
      </c>
      <c r="AG1609">
        <v>168</v>
      </c>
      <c r="AH1609">
        <v>129</v>
      </c>
      <c r="AI1609">
        <v>5.17</v>
      </c>
      <c r="AJ1609">
        <v>31</v>
      </c>
      <c r="AK1609">
        <v>23.8</v>
      </c>
      <c r="AL1609">
        <v>-20.17025029999996</v>
      </c>
      <c r="AM1609">
        <v>-44.901067235372473</v>
      </c>
      <c r="AN1609">
        <v>-20.17025029999996</v>
      </c>
      <c r="AO1609">
        <v>-44.901067235372473</v>
      </c>
      <c r="AP1609">
        <v>-20.170458</v>
      </c>
      <c r="AQ1609">
        <v>-44.900936000000002</v>
      </c>
      <c r="AR1609">
        <v>26.88195352459519</v>
      </c>
      <c r="AS1609" t="s">
        <v>65</v>
      </c>
      <c r="AT1609">
        <v>1</v>
      </c>
      <c r="AU1609" t="s">
        <v>1374</v>
      </c>
      <c r="AV1609" t="s">
        <v>1375</v>
      </c>
      <c r="AW1609" t="s">
        <v>60</v>
      </c>
      <c r="AX1609" t="s">
        <v>68</v>
      </c>
      <c r="AY1609" t="s">
        <v>69</v>
      </c>
      <c r="AZ1609" t="b">
        <v>1</v>
      </c>
    </row>
    <row r="1610" spans="1:52" x14ac:dyDescent="0.3">
      <c r="A1610" t="s">
        <v>52</v>
      </c>
      <c r="B1610" t="s">
        <v>53</v>
      </c>
      <c r="C1610" t="s">
        <v>54</v>
      </c>
      <c r="D1610" t="s">
        <v>55</v>
      </c>
      <c r="E1610" t="s">
        <v>2142</v>
      </c>
      <c r="F1610" t="s">
        <v>1247</v>
      </c>
      <c r="G1610" t="s">
        <v>1376</v>
      </c>
      <c r="H1610" t="s">
        <v>1377</v>
      </c>
      <c r="I1610" t="s">
        <v>1377</v>
      </c>
      <c r="J1610" t="s">
        <v>60</v>
      </c>
      <c r="K1610" t="s">
        <v>475</v>
      </c>
      <c r="L1610" t="s">
        <v>62</v>
      </c>
      <c r="M1610" t="s">
        <v>475</v>
      </c>
      <c r="N1610" t="s">
        <v>1378</v>
      </c>
      <c r="O1610" t="s">
        <v>1379</v>
      </c>
      <c r="P1610">
        <v>-20.175298000000002</v>
      </c>
      <c r="Q1610">
        <v>-44.904794000000003</v>
      </c>
      <c r="R1610" s="2" t="str">
        <f>HYPERLINK("https://www.google.com/maps?q=-20.1752980,-44.9047940","Abrir no Google Maps")</f>
        <v>Abrir no Google Maps</v>
      </c>
      <c r="S1610">
        <v>3</v>
      </c>
      <c r="T1610">
        <v>497.7557906927301</v>
      </c>
      <c r="U1610">
        <v>2</v>
      </c>
      <c r="V1610">
        <v>14</v>
      </c>
      <c r="W1610">
        <v>0.85</v>
      </c>
      <c r="X1610">
        <v>11.9</v>
      </c>
      <c r="Y1610">
        <v>578</v>
      </c>
      <c r="Z1610">
        <v>363.80816567363502</v>
      </c>
      <c r="AA1610">
        <v>198</v>
      </c>
      <c r="AB1610">
        <v>332</v>
      </c>
      <c r="AC1610">
        <v>536</v>
      </c>
      <c r="AD1610">
        <v>28.93</v>
      </c>
      <c r="AE1610">
        <v>542</v>
      </c>
      <c r="AF1610">
        <v>28</v>
      </c>
      <c r="AG1610">
        <v>168</v>
      </c>
      <c r="AH1610">
        <v>129</v>
      </c>
      <c r="AI1610">
        <v>5.17</v>
      </c>
      <c r="AJ1610">
        <v>31</v>
      </c>
      <c r="AK1610">
        <v>23.8</v>
      </c>
      <c r="AL1610">
        <v>-20.17530484999995</v>
      </c>
      <c r="AM1610">
        <v>-44.904834224351781</v>
      </c>
      <c r="AN1610">
        <v>-20.17530484999995</v>
      </c>
      <c r="AO1610">
        <v>-44.904834224351781</v>
      </c>
      <c r="AP1610">
        <v>-20.175298000000002</v>
      </c>
      <c r="AQ1610">
        <v>-44.904794000000003</v>
      </c>
      <c r="AR1610">
        <v>4.2716392411563806</v>
      </c>
      <c r="AS1610" t="s">
        <v>65</v>
      </c>
      <c r="AT1610">
        <v>1</v>
      </c>
      <c r="AU1610" t="s">
        <v>1380</v>
      </c>
      <c r="AV1610" t="s">
        <v>1381</v>
      </c>
      <c r="AW1610" t="s">
        <v>60</v>
      </c>
      <c r="AX1610" t="s">
        <v>68</v>
      </c>
      <c r="AY1610" t="s">
        <v>69</v>
      </c>
      <c r="AZ1610" t="b">
        <v>1</v>
      </c>
    </row>
    <row r="1611" spans="1:52" x14ac:dyDescent="0.3">
      <c r="A1611" t="s">
        <v>52</v>
      </c>
      <c r="B1611" t="s">
        <v>53</v>
      </c>
      <c r="C1611" t="s">
        <v>54</v>
      </c>
      <c r="D1611" t="s">
        <v>55</v>
      </c>
      <c r="E1611" t="s">
        <v>2142</v>
      </c>
      <c r="F1611" t="s">
        <v>1247</v>
      </c>
      <c r="G1611" t="s">
        <v>1382</v>
      </c>
      <c r="H1611" t="s">
        <v>1383</v>
      </c>
      <c r="I1611" t="s">
        <v>1383</v>
      </c>
      <c r="J1611" t="s">
        <v>60</v>
      </c>
      <c r="K1611" t="s">
        <v>1384</v>
      </c>
      <c r="L1611" t="s">
        <v>62</v>
      </c>
      <c r="M1611" t="s">
        <v>1384</v>
      </c>
      <c r="N1611" t="s">
        <v>1385</v>
      </c>
      <c r="O1611" t="s">
        <v>1379</v>
      </c>
      <c r="P1611">
        <v>-20.168914999999998</v>
      </c>
      <c r="Q1611">
        <v>-44.897015000000003</v>
      </c>
      <c r="R1611" s="2" t="str">
        <f>HYPERLINK("https://www.google.com/maps?q=-20.1689150,-44.8970150","Abrir no Google Maps")</f>
        <v>Abrir no Google Maps</v>
      </c>
      <c r="S1611">
        <v>3</v>
      </c>
      <c r="T1611">
        <v>1082.4313448281291</v>
      </c>
      <c r="U1611">
        <v>2</v>
      </c>
      <c r="V1611">
        <v>11</v>
      </c>
      <c r="W1611">
        <v>0.85</v>
      </c>
      <c r="X1611">
        <v>9.35</v>
      </c>
      <c r="Y1611">
        <v>578</v>
      </c>
      <c r="Z1611">
        <v>1085.6751638476369</v>
      </c>
      <c r="AA1611">
        <v>198</v>
      </c>
      <c r="AB1611">
        <v>332</v>
      </c>
      <c r="AC1611">
        <v>536</v>
      </c>
      <c r="AD1611">
        <v>28.93</v>
      </c>
      <c r="AE1611">
        <v>542</v>
      </c>
      <c r="AF1611">
        <v>28</v>
      </c>
      <c r="AG1611">
        <v>168</v>
      </c>
      <c r="AH1611">
        <v>129</v>
      </c>
      <c r="AI1611">
        <v>5.17</v>
      </c>
      <c r="AJ1611">
        <v>31</v>
      </c>
      <c r="AK1611">
        <v>23.8</v>
      </c>
      <c r="AL1611">
        <v>-20.168195549999979</v>
      </c>
      <c r="AM1611">
        <v>-44.895555997240763</v>
      </c>
      <c r="AN1611">
        <v>-20.168195549999979</v>
      </c>
      <c r="AO1611">
        <v>-44.895555997240763</v>
      </c>
      <c r="AP1611">
        <v>-20.168914999999998</v>
      </c>
      <c r="AQ1611">
        <v>-44.897015000000003</v>
      </c>
      <c r="AR1611">
        <v>172.21377736735809</v>
      </c>
      <c r="AS1611" t="s">
        <v>65</v>
      </c>
      <c r="AT1611">
        <v>1</v>
      </c>
      <c r="AU1611" t="s">
        <v>1386</v>
      </c>
      <c r="AV1611" t="s">
        <v>1387</v>
      </c>
      <c r="AW1611" t="s">
        <v>60</v>
      </c>
      <c r="AX1611" t="s">
        <v>68</v>
      </c>
      <c r="AY1611" t="s">
        <v>69</v>
      </c>
      <c r="AZ1611" t="b">
        <v>1</v>
      </c>
    </row>
    <row r="1612" spans="1:52" x14ac:dyDescent="0.3">
      <c r="A1612" t="s">
        <v>52</v>
      </c>
      <c r="B1612" t="s">
        <v>53</v>
      </c>
      <c r="C1612" t="s">
        <v>54</v>
      </c>
      <c r="D1612" t="s">
        <v>55</v>
      </c>
      <c r="E1612" t="s">
        <v>2142</v>
      </c>
      <c r="F1612" t="s">
        <v>1247</v>
      </c>
      <c r="G1612" t="s">
        <v>473</v>
      </c>
      <c r="H1612" t="s">
        <v>474</v>
      </c>
      <c r="I1612" t="s">
        <v>474</v>
      </c>
      <c r="J1612" t="s">
        <v>60</v>
      </c>
      <c r="K1612" t="s">
        <v>475</v>
      </c>
      <c r="L1612" t="s">
        <v>62</v>
      </c>
      <c r="M1612" t="s">
        <v>475</v>
      </c>
      <c r="N1612" t="s">
        <v>406</v>
      </c>
      <c r="O1612" t="s">
        <v>476</v>
      </c>
      <c r="P1612">
        <v>-20.177902</v>
      </c>
      <c r="Q1612">
        <v>-44.908504000000001</v>
      </c>
      <c r="R1612" s="2" t="str">
        <f>HYPERLINK("https://www.google.com/maps?q=-20.1779020,-44.9085040","Abrir no Google Maps")</f>
        <v>Abrir no Google Maps</v>
      </c>
      <c r="S1612">
        <v>3</v>
      </c>
      <c r="T1612">
        <v>656.92307673247149</v>
      </c>
      <c r="U1612">
        <v>2</v>
      </c>
      <c r="V1612">
        <v>14</v>
      </c>
      <c r="W1612">
        <v>1</v>
      </c>
      <c r="X1612">
        <v>14</v>
      </c>
      <c r="Y1612">
        <v>578</v>
      </c>
      <c r="Z1612">
        <v>635.01982153722327</v>
      </c>
      <c r="AA1612">
        <v>198</v>
      </c>
      <c r="AB1612">
        <v>332</v>
      </c>
      <c r="AC1612">
        <v>536</v>
      </c>
      <c r="AD1612">
        <v>28.93</v>
      </c>
      <c r="AE1612">
        <v>542</v>
      </c>
      <c r="AF1612">
        <v>28</v>
      </c>
      <c r="AG1612">
        <v>168</v>
      </c>
      <c r="AH1612">
        <v>129</v>
      </c>
      <c r="AI1612">
        <v>5.17</v>
      </c>
      <c r="AJ1612">
        <v>31</v>
      </c>
      <c r="AK1612">
        <v>23.8</v>
      </c>
      <c r="AL1612">
        <v>-20.177800399999938</v>
      </c>
      <c r="AM1612">
        <v>-44.908361879701268</v>
      </c>
      <c r="AN1612">
        <v>-20.177800399999938</v>
      </c>
      <c r="AO1612">
        <v>-44.908361879701268</v>
      </c>
      <c r="AP1612">
        <v>-20.177902</v>
      </c>
      <c r="AQ1612">
        <v>-44.908504000000001</v>
      </c>
      <c r="AR1612">
        <v>18.666463141775541</v>
      </c>
      <c r="AS1612" t="s">
        <v>65</v>
      </c>
      <c r="AT1612">
        <v>1</v>
      </c>
      <c r="AU1612" t="s">
        <v>477</v>
      </c>
      <c r="AV1612" t="s">
        <v>478</v>
      </c>
      <c r="AW1612" t="s">
        <v>60</v>
      </c>
      <c r="AX1612" t="s">
        <v>68</v>
      </c>
      <c r="AY1612" t="s">
        <v>69</v>
      </c>
      <c r="AZ1612" t="b">
        <v>1</v>
      </c>
    </row>
    <row r="1613" spans="1:52" x14ac:dyDescent="0.3">
      <c r="A1613" t="s">
        <v>52</v>
      </c>
      <c r="B1613" t="s">
        <v>53</v>
      </c>
      <c r="C1613" t="s">
        <v>54</v>
      </c>
      <c r="D1613" t="s">
        <v>55</v>
      </c>
      <c r="E1613" t="s">
        <v>2142</v>
      </c>
      <c r="F1613" t="s">
        <v>1247</v>
      </c>
      <c r="G1613" t="s">
        <v>1393</v>
      </c>
      <c r="H1613" t="s">
        <v>1394</v>
      </c>
      <c r="I1613" t="s">
        <v>1394</v>
      </c>
      <c r="J1613" t="s">
        <v>60</v>
      </c>
      <c r="K1613" t="s">
        <v>388</v>
      </c>
      <c r="L1613" t="s">
        <v>62</v>
      </c>
      <c r="M1613" t="s">
        <v>388</v>
      </c>
      <c r="N1613" t="s">
        <v>1395</v>
      </c>
      <c r="O1613" t="s">
        <v>1396</v>
      </c>
      <c r="P1613">
        <v>-20.167425000000001</v>
      </c>
      <c r="Q1613">
        <v>-44.907733999999998</v>
      </c>
      <c r="R1613" s="2" t="str">
        <f>HYPERLINK("https://www.google.com/maps?q=-20.1674250,-44.9077340","Abrir no Google Maps")</f>
        <v>Abrir no Google Maps</v>
      </c>
      <c r="S1613">
        <v>3</v>
      </c>
      <c r="T1613">
        <v>424.62372109792739</v>
      </c>
      <c r="U1613">
        <v>2</v>
      </c>
      <c r="V1613">
        <v>18</v>
      </c>
      <c r="W1613">
        <v>0.85</v>
      </c>
      <c r="X1613">
        <v>15.3</v>
      </c>
      <c r="Y1613">
        <v>578</v>
      </c>
      <c r="Z1613">
        <v>559.08337206965382</v>
      </c>
      <c r="AA1613">
        <v>198</v>
      </c>
      <c r="AB1613">
        <v>332</v>
      </c>
      <c r="AC1613">
        <v>536</v>
      </c>
      <c r="AD1613">
        <v>28.93</v>
      </c>
      <c r="AE1613">
        <v>542</v>
      </c>
      <c r="AF1613">
        <v>28</v>
      </c>
      <c r="AG1613">
        <v>168</v>
      </c>
      <c r="AH1613">
        <v>129</v>
      </c>
      <c r="AI1613">
        <v>5.17</v>
      </c>
      <c r="AJ1613">
        <v>31</v>
      </c>
      <c r="AK1613">
        <v>23.8</v>
      </c>
      <c r="AL1613">
        <v>-20.167592099999951</v>
      </c>
      <c r="AM1613">
        <v>-44.907664214502859</v>
      </c>
      <c r="AN1613">
        <v>-20.167592099999951</v>
      </c>
      <c r="AO1613">
        <v>-44.907664214502859</v>
      </c>
      <c r="AP1613">
        <v>-20.167425000000001</v>
      </c>
      <c r="AQ1613">
        <v>-44.907733999999998</v>
      </c>
      <c r="AR1613">
        <v>19.979863459652229</v>
      </c>
      <c r="AS1613" t="s">
        <v>65</v>
      </c>
      <c r="AT1613">
        <v>1</v>
      </c>
      <c r="AU1613" t="s">
        <v>1397</v>
      </c>
      <c r="AV1613" t="s">
        <v>1398</v>
      </c>
      <c r="AW1613" t="s">
        <v>60</v>
      </c>
      <c r="AX1613" t="s">
        <v>68</v>
      </c>
      <c r="AY1613" t="s">
        <v>69</v>
      </c>
      <c r="AZ1613" t="b">
        <v>1</v>
      </c>
    </row>
    <row r="1614" spans="1:52" x14ac:dyDescent="0.3">
      <c r="A1614" t="s">
        <v>52</v>
      </c>
      <c r="B1614" t="s">
        <v>53</v>
      </c>
      <c r="C1614" t="s">
        <v>54</v>
      </c>
      <c r="D1614" t="s">
        <v>55</v>
      </c>
      <c r="E1614" t="s">
        <v>2142</v>
      </c>
      <c r="F1614" t="s">
        <v>1247</v>
      </c>
      <c r="G1614" t="s">
        <v>1399</v>
      </c>
      <c r="H1614" t="s">
        <v>1400</v>
      </c>
      <c r="I1614" t="s">
        <v>1400</v>
      </c>
      <c r="J1614" t="s">
        <v>60</v>
      </c>
      <c r="K1614" t="s">
        <v>475</v>
      </c>
      <c r="L1614" t="s">
        <v>62</v>
      </c>
      <c r="M1614" t="s">
        <v>475</v>
      </c>
      <c r="N1614" t="s">
        <v>1401</v>
      </c>
      <c r="O1614" t="s">
        <v>1080</v>
      </c>
      <c r="P1614">
        <v>-20.178809000000001</v>
      </c>
      <c r="Q1614">
        <v>-44.900204000000002</v>
      </c>
      <c r="R1614" s="2" t="str">
        <f>HYPERLINK("https://www.google.com/maps?q=-20.1788090,-44.9002040","Abrir no Google Maps")</f>
        <v>Abrir no Google Maps</v>
      </c>
      <c r="S1614">
        <v>3</v>
      </c>
      <c r="T1614">
        <v>1015.86498565614</v>
      </c>
      <c r="U1614">
        <v>2</v>
      </c>
      <c r="V1614">
        <v>10</v>
      </c>
      <c r="W1614">
        <v>0.85</v>
      </c>
      <c r="X1614">
        <v>8.5</v>
      </c>
      <c r="Y1614">
        <v>578</v>
      </c>
      <c r="Z1614">
        <v>954.77111474428102</v>
      </c>
      <c r="AA1614">
        <v>198</v>
      </c>
      <c r="AB1614">
        <v>332</v>
      </c>
      <c r="AC1614">
        <v>536</v>
      </c>
      <c r="AD1614">
        <v>28.93</v>
      </c>
      <c r="AE1614">
        <v>542</v>
      </c>
      <c r="AF1614">
        <v>28</v>
      </c>
      <c r="AG1614">
        <v>168</v>
      </c>
      <c r="AH1614">
        <v>129</v>
      </c>
      <c r="AI1614">
        <v>5.17</v>
      </c>
      <c r="AJ1614">
        <v>31</v>
      </c>
      <c r="AK1614">
        <v>23.8</v>
      </c>
      <c r="AL1614">
        <v>-20.178590099999951</v>
      </c>
      <c r="AM1614">
        <v>-44.90029029928732</v>
      </c>
      <c r="AN1614">
        <v>-20.178590099999951</v>
      </c>
      <c r="AO1614">
        <v>-44.90029029928732</v>
      </c>
      <c r="AP1614">
        <v>-20.178809000000001</v>
      </c>
      <c r="AQ1614">
        <v>-44.900204000000002</v>
      </c>
      <c r="AR1614">
        <v>25.982812999798391</v>
      </c>
      <c r="AS1614" t="s">
        <v>65</v>
      </c>
      <c r="AT1614">
        <v>1</v>
      </c>
      <c r="AU1614" t="s">
        <v>1402</v>
      </c>
      <c r="AV1614" t="s">
        <v>1403</v>
      </c>
      <c r="AW1614" t="s">
        <v>60</v>
      </c>
      <c r="AX1614" t="s">
        <v>68</v>
      </c>
      <c r="AY1614" t="s">
        <v>69</v>
      </c>
      <c r="AZ1614" t="b">
        <v>1</v>
      </c>
    </row>
    <row r="1615" spans="1:52" x14ac:dyDescent="0.3">
      <c r="A1615" t="s">
        <v>52</v>
      </c>
      <c r="B1615" t="s">
        <v>53</v>
      </c>
      <c r="C1615" t="s">
        <v>54</v>
      </c>
      <c r="D1615" t="s">
        <v>55</v>
      </c>
      <c r="E1615" t="s">
        <v>2142</v>
      </c>
      <c r="F1615" t="s">
        <v>1247</v>
      </c>
      <c r="G1615" t="s">
        <v>879</v>
      </c>
      <c r="H1615" t="s">
        <v>880</v>
      </c>
      <c r="I1615" t="s">
        <v>880</v>
      </c>
      <c r="J1615" t="s">
        <v>60</v>
      </c>
      <c r="K1615" t="s">
        <v>505</v>
      </c>
      <c r="L1615" t="s">
        <v>62</v>
      </c>
      <c r="M1615" t="s">
        <v>505</v>
      </c>
      <c r="N1615" t="s">
        <v>881</v>
      </c>
      <c r="O1615" t="s">
        <v>882</v>
      </c>
      <c r="P1615">
        <v>-20.133452999999999</v>
      </c>
      <c r="Q1615">
        <v>-44.890571999999999</v>
      </c>
      <c r="R1615" s="2" t="str">
        <f>HYPERLINK("https://www.google.com/maps?q=-20.1334530,-44.8905720","Abrir no Google Maps")</f>
        <v>Abrir no Google Maps</v>
      </c>
      <c r="S1615">
        <v>3</v>
      </c>
      <c r="T1615">
        <v>373.51332104809921</v>
      </c>
      <c r="U1615">
        <v>2</v>
      </c>
      <c r="V1615">
        <v>13</v>
      </c>
      <c r="W1615">
        <v>1</v>
      </c>
      <c r="X1615">
        <v>13</v>
      </c>
      <c r="Y1615">
        <v>564</v>
      </c>
      <c r="Z1615">
        <v>422.34693311930448</v>
      </c>
      <c r="AA1615">
        <v>198</v>
      </c>
      <c r="AB1615">
        <v>332</v>
      </c>
      <c r="AC1615">
        <v>536</v>
      </c>
      <c r="AD1615">
        <v>28.93</v>
      </c>
      <c r="AE1615">
        <v>542</v>
      </c>
      <c r="AF1615">
        <v>28</v>
      </c>
      <c r="AG1615">
        <v>168</v>
      </c>
      <c r="AH1615">
        <v>129</v>
      </c>
      <c r="AI1615">
        <v>5.17</v>
      </c>
      <c r="AJ1615">
        <v>31</v>
      </c>
      <c r="AK1615">
        <v>23.8</v>
      </c>
      <c r="AL1615">
        <v>-20.133421549999952</v>
      </c>
      <c r="AM1615">
        <v>-44.890623456009052</v>
      </c>
      <c r="AN1615">
        <v>-20.133421549999952</v>
      </c>
      <c r="AO1615">
        <v>-44.890623456009052</v>
      </c>
      <c r="AP1615">
        <v>-20.133452999999999</v>
      </c>
      <c r="AQ1615">
        <v>-44.890571999999999</v>
      </c>
      <c r="AR1615">
        <v>6.4172139275452773</v>
      </c>
      <c r="AS1615" t="s">
        <v>65</v>
      </c>
      <c r="AT1615">
        <v>1</v>
      </c>
      <c r="AU1615" t="s">
        <v>883</v>
      </c>
      <c r="AV1615" t="s">
        <v>884</v>
      </c>
      <c r="AW1615" t="s">
        <v>60</v>
      </c>
      <c r="AX1615" t="s">
        <v>68</v>
      </c>
      <c r="AY1615" t="s">
        <v>69</v>
      </c>
      <c r="AZ1615" t="b">
        <v>1</v>
      </c>
    </row>
    <row r="1616" spans="1:52" x14ac:dyDescent="0.3">
      <c r="A1616" t="s">
        <v>52</v>
      </c>
      <c r="B1616" t="s">
        <v>53</v>
      </c>
      <c r="C1616" t="s">
        <v>54</v>
      </c>
      <c r="D1616" t="s">
        <v>55</v>
      </c>
      <c r="E1616" t="s">
        <v>2142</v>
      </c>
      <c r="F1616" t="s">
        <v>1247</v>
      </c>
      <c r="G1616" t="s">
        <v>535</v>
      </c>
      <c r="H1616" t="s">
        <v>536</v>
      </c>
      <c r="I1616" t="s">
        <v>536</v>
      </c>
      <c r="J1616" t="s">
        <v>60</v>
      </c>
      <c r="K1616" t="s">
        <v>388</v>
      </c>
      <c r="L1616" t="s">
        <v>62</v>
      </c>
      <c r="M1616" t="s">
        <v>388</v>
      </c>
      <c r="N1616" t="s">
        <v>537</v>
      </c>
      <c r="O1616" t="s">
        <v>538</v>
      </c>
      <c r="P1616">
        <v>-20.150061999999998</v>
      </c>
      <c r="Q1616">
        <v>-44.903379000000001</v>
      </c>
      <c r="R1616" s="2" t="str">
        <f>HYPERLINK("https://www.google.com/maps?q=-20.1500620,-44.9033790","Abrir no Google Maps")</f>
        <v>Abrir no Google Maps</v>
      </c>
      <c r="S1616">
        <v>3</v>
      </c>
      <c r="T1616">
        <v>286.20313674219977</v>
      </c>
      <c r="U1616">
        <v>2</v>
      </c>
      <c r="V1616">
        <v>15</v>
      </c>
      <c r="W1616">
        <v>1</v>
      </c>
      <c r="X1616">
        <v>15</v>
      </c>
      <c r="Y1616">
        <v>556</v>
      </c>
      <c r="Z1616">
        <v>315.81851898667401</v>
      </c>
      <c r="AA1616">
        <v>198</v>
      </c>
      <c r="AB1616">
        <v>332</v>
      </c>
      <c r="AC1616">
        <v>536</v>
      </c>
      <c r="AD1616">
        <v>28.93</v>
      </c>
      <c r="AE1616">
        <v>542</v>
      </c>
      <c r="AF1616">
        <v>28</v>
      </c>
      <c r="AG1616">
        <v>168</v>
      </c>
      <c r="AH1616">
        <v>129</v>
      </c>
      <c r="AI1616">
        <v>5.17</v>
      </c>
      <c r="AJ1616">
        <v>31</v>
      </c>
      <c r="AK1616">
        <v>23.8</v>
      </c>
      <c r="AL1616">
        <v>-20.150084299999971</v>
      </c>
      <c r="AM1616">
        <v>-44.903278407568479</v>
      </c>
      <c r="AN1616">
        <v>-20.150084299999971</v>
      </c>
      <c r="AO1616">
        <v>-44.903278407568479</v>
      </c>
      <c r="AP1616">
        <v>-20.150061999999998</v>
      </c>
      <c r="AQ1616">
        <v>-44.903379000000001</v>
      </c>
      <c r="AR1616">
        <v>10.801687336134639</v>
      </c>
      <c r="AS1616" t="s">
        <v>65</v>
      </c>
      <c r="AT1616">
        <v>1</v>
      </c>
      <c r="AU1616" t="s">
        <v>539</v>
      </c>
      <c r="AV1616" t="s">
        <v>540</v>
      </c>
      <c r="AW1616" t="s">
        <v>60</v>
      </c>
      <c r="AX1616" t="s">
        <v>68</v>
      </c>
      <c r="AY1616" t="s">
        <v>69</v>
      </c>
      <c r="AZ1616" t="b">
        <v>1</v>
      </c>
    </row>
    <row r="1617" spans="1:52" x14ac:dyDescent="0.3">
      <c r="A1617" t="s">
        <v>52</v>
      </c>
      <c r="B1617" t="s">
        <v>53</v>
      </c>
      <c r="C1617" t="s">
        <v>54</v>
      </c>
      <c r="D1617" t="s">
        <v>55</v>
      </c>
      <c r="E1617" t="s">
        <v>2142</v>
      </c>
      <c r="F1617" t="s">
        <v>1247</v>
      </c>
      <c r="G1617" t="s">
        <v>398</v>
      </c>
      <c r="H1617" t="s">
        <v>541</v>
      </c>
      <c r="I1617" t="s">
        <v>541</v>
      </c>
      <c r="J1617" t="s">
        <v>60</v>
      </c>
      <c r="K1617" t="s">
        <v>388</v>
      </c>
      <c r="L1617" t="s">
        <v>62</v>
      </c>
      <c r="M1617" t="s">
        <v>388</v>
      </c>
      <c r="N1617" t="s">
        <v>400</v>
      </c>
      <c r="O1617" t="s">
        <v>542</v>
      </c>
      <c r="P1617">
        <v>-20.151335</v>
      </c>
      <c r="Q1617">
        <v>-44.901041999999997</v>
      </c>
      <c r="R1617" s="2" t="str">
        <f>HYPERLINK("https://www.google.com/maps?q=-20.1513350,-44.9010420","Abrir no Google Maps")</f>
        <v>Abrir no Google Maps</v>
      </c>
      <c r="S1617">
        <v>3</v>
      </c>
      <c r="T1617">
        <v>0</v>
      </c>
      <c r="U1617">
        <v>2</v>
      </c>
      <c r="V1617">
        <v>14</v>
      </c>
      <c r="W1617">
        <v>1</v>
      </c>
      <c r="X1617">
        <v>14</v>
      </c>
      <c r="Y1617">
        <v>556</v>
      </c>
      <c r="Z1617">
        <v>137.71609036908939</v>
      </c>
      <c r="AA1617">
        <v>198</v>
      </c>
      <c r="AB1617">
        <v>332</v>
      </c>
      <c r="AC1617">
        <v>536</v>
      </c>
      <c r="AD1617">
        <v>28.93</v>
      </c>
      <c r="AE1617">
        <v>542</v>
      </c>
      <c r="AF1617">
        <v>28</v>
      </c>
      <c r="AG1617">
        <v>168</v>
      </c>
      <c r="AH1617">
        <v>129</v>
      </c>
      <c r="AI1617">
        <v>5.17</v>
      </c>
      <c r="AJ1617">
        <v>31</v>
      </c>
      <c r="AK1617">
        <v>23.8</v>
      </c>
      <c r="AL1617">
        <v>-20.15125899999995</v>
      </c>
      <c r="AM1617">
        <v>-44.900838557594433</v>
      </c>
      <c r="AN1617">
        <v>-20.15125899999995</v>
      </c>
      <c r="AO1617">
        <v>-44.900838557594433</v>
      </c>
      <c r="AP1617">
        <v>-20.151335</v>
      </c>
      <c r="AQ1617">
        <v>-44.901041999999997</v>
      </c>
      <c r="AR1617">
        <v>22.882363139483491</v>
      </c>
      <c r="AS1617" t="s">
        <v>65</v>
      </c>
      <c r="AT1617">
        <v>1</v>
      </c>
      <c r="AU1617" t="s">
        <v>543</v>
      </c>
      <c r="AV1617" t="s">
        <v>544</v>
      </c>
      <c r="AW1617" t="s">
        <v>60</v>
      </c>
      <c r="AX1617" t="s">
        <v>68</v>
      </c>
      <c r="AY1617" t="s">
        <v>69</v>
      </c>
      <c r="AZ1617" t="b">
        <v>1</v>
      </c>
    </row>
    <row r="1618" spans="1:52" x14ac:dyDescent="0.3">
      <c r="A1618" t="s">
        <v>52</v>
      </c>
      <c r="B1618" t="s">
        <v>53</v>
      </c>
      <c r="C1618" t="s">
        <v>54</v>
      </c>
      <c r="D1618" t="s">
        <v>55</v>
      </c>
      <c r="E1618" t="s">
        <v>2142</v>
      </c>
      <c r="F1618" t="s">
        <v>1247</v>
      </c>
      <c r="G1618" t="s">
        <v>1127</v>
      </c>
      <c r="H1618" t="s">
        <v>1449</v>
      </c>
      <c r="I1618" t="s">
        <v>1449</v>
      </c>
      <c r="J1618" t="s">
        <v>60</v>
      </c>
      <c r="K1618" t="s">
        <v>1450</v>
      </c>
      <c r="L1618" t="s">
        <v>62</v>
      </c>
      <c r="M1618" t="s">
        <v>1450</v>
      </c>
      <c r="N1618" t="s">
        <v>1451</v>
      </c>
      <c r="O1618" t="s">
        <v>1452</v>
      </c>
      <c r="P1618">
        <v>-20.152612000000001</v>
      </c>
      <c r="Q1618">
        <v>-44.897098</v>
      </c>
      <c r="R1618" s="2" t="str">
        <f>HYPERLINK("https://www.google.com/maps?q=-20.1526120,-44.8970980","Abrir no Google Maps")</f>
        <v>Abrir no Google Maps</v>
      </c>
      <c r="S1618">
        <v>3</v>
      </c>
      <c r="T1618">
        <v>418.6283592063233</v>
      </c>
      <c r="U1618">
        <v>2</v>
      </c>
      <c r="V1618">
        <v>11</v>
      </c>
      <c r="W1618">
        <v>0.85</v>
      </c>
      <c r="X1618">
        <v>9.35</v>
      </c>
      <c r="Y1618">
        <v>556</v>
      </c>
      <c r="Z1618">
        <v>387.16462225830952</v>
      </c>
      <c r="AA1618">
        <v>198</v>
      </c>
      <c r="AB1618">
        <v>332</v>
      </c>
      <c r="AC1618">
        <v>536</v>
      </c>
      <c r="AD1618">
        <v>28.93</v>
      </c>
      <c r="AE1618">
        <v>542</v>
      </c>
      <c r="AF1618">
        <v>28</v>
      </c>
      <c r="AG1618">
        <v>168</v>
      </c>
      <c r="AH1618">
        <v>129</v>
      </c>
      <c r="AI1618">
        <v>5.17</v>
      </c>
      <c r="AJ1618">
        <v>31</v>
      </c>
      <c r="AK1618">
        <v>23.8</v>
      </c>
      <c r="AL1618">
        <v>-20.15253669999996</v>
      </c>
      <c r="AM1618">
        <v>-44.897068126936119</v>
      </c>
      <c r="AN1618">
        <v>-20.15253669999996</v>
      </c>
      <c r="AO1618">
        <v>-44.897068126936119</v>
      </c>
      <c r="AP1618">
        <v>-20.152612000000001</v>
      </c>
      <c r="AQ1618">
        <v>-44.897098</v>
      </c>
      <c r="AR1618">
        <v>8.9448699164987104</v>
      </c>
      <c r="AS1618" t="s">
        <v>65</v>
      </c>
      <c r="AT1618">
        <v>1</v>
      </c>
      <c r="AU1618" t="s">
        <v>1453</v>
      </c>
      <c r="AV1618" t="s">
        <v>1454</v>
      </c>
      <c r="AW1618" t="s">
        <v>60</v>
      </c>
      <c r="AX1618" t="s">
        <v>68</v>
      </c>
      <c r="AY1618" t="s">
        <v>69</v>
      </c>
      <c r="AZ1618" t="b">
        <v>1</v>
      </c>
    </row>
    <row r="1619" spans="1:52" x14ac:dyDescent="0.3">
      <c r="A1619" t="s">
        <v>52</v>
      </c>
      <c r="B1619" t="s">
        <v>53</v>
      </c>
      <c r="C1619" t="s">
        <v>54</v>
      </c>
      <c r="D1619" t="s">
        <v>55</v>
      </c>
      <c r="E1619" t="s">
        <v>2142</v>
      </c>
      <c r="F1619" t="s">
        <v>1247</v>
      </c>
      <c r="G1619" t="s">
        <v>1417</v>
      </c>
      <c r="H1619" t="s">
        <v>1418</v>
      </c>
      <c r="I1619" t="s">
        <v>1418</v>
      </c>
      <c r="J1619" t="s">
        <v>60</v>
      </c>
      <c r="K1619" t="s">
        <v>1419</v>
      </c>
      <c r="L1619" t="s">
        <v>62</v>
      </c>
      <c r="M1619" t="s">
        <v>1419</v>
      </c>
      <c r="N1619" t="s">
        <v>1420</v>
      </c>
      <c r="O1619" t="s">
        <v>1421</v>
      </c>
      <c r="P1619">
        <v>-20.159427000000001</v>
      </c>
      <c r="Q1619">
        <v>-44.897143</v>
      </c>
      <c r="R1619" s="2" t="str">
        <f>HYPERLINK("https://www.google.com/maps?q=-20.1594270,-44.8971430","Abrir no Google Maps")</f>
        <v>Abrir no Google Maps</v>
      </c>
      <c r="S1619">
        <v>3</v>
      </c>
      <c r="T1619">
        <v>392.64349875646298</v>
      </c>
      <c r="U1619">
        <v>1</v>
      </c>
      <c r="V1619">
        <v>9</v>
      </c>
      <c r="W1619">
        <v>0.85</v>
      </c>
      <c r="X1619">
        <v>7.6499999999999986</v>
      </c>
      <c r="Y1619">
        <v>729</v>
      </c>
      <c r="Z1619">
        <v>550.20062797366995</v>
      </c>
      <c r="AA1619">
        <v>198</v>
      </c>
      <c r="AB1619">
        <v>332</v>
      </c>
      <c r="AC1619">
        <v>536</v>
      </c>
      <c r="AD1619">
        <v>28.93</v>
      </c>
      <c r="AE1619">
        <v>542</v>
      </c>
      <c r="AF1619">
        <v>28</v>
      </c>
      <c r="AG1619">
        <v>168</v>
      </c>
      <c r="AH1619">
        <v>129</v>
      </c>
      <c r="AI1619">
        <v>5.17</v>
      </c>
      <c r="AJ1619">
        <v>31</v>
      </c>
      <c r="AK1619">
        <v>23.8</v>
      </c>
      <c r="AL1619">
        <v>-20.15946549999995</v>
      </c>
      <c r="AM1619">
        <v>-44.89709959354267</v>
      </c>
      <c r="AN1619">
        <v>-20.15946549999995</v>
      </c>
      <c r="AO1619">
        <v>-44.89709959354267</v>
      </c>
      <c r="AP1619">
        <v>-20.159427000000001</v>
      </c>
      <c r="AQ1619">
        <v>-44.897143</v>
      </c>
      <c r="AR1619">
        <v>6.2404649979039286</v>
      </c>
      <c r="AS1619" t="s">
        <v>65</v>
      </c>
      <c r="AT1619">
        <v>1</v>
      </c>
      <c r="AU1619" t="s">
        <v>1422</v>
      </c>
      <c r="AV1619" t="s">
        <v>1423</v>
      </c>
      <c r="AW1619" t="s">
        <v>60</v>
      </c>
      <c r="AX1619" t="s">
        <v>68</v>
      </c>
      <c r="AY1619" t="s">
        <v>69</v>
      </c>
      <c r="AZ1619" t="b">
        <v>1</v>
      </c>
    </row>
    <row r="1620" spans="1:52" x14ac:dyDescent="0.3">
      <c r="A1620" t="s">
        <v>52</v>
      </c>
      <c r="B1620" t="s">
        <v>53</v>
      </c>
      <c r="C1620" t="s">
        <v>54</v>
      </c>
      <c r="D1620" t="s">
        <v>55</v>
      </c>
      <c r="E1620" t="s">
        <v>2142</v>
      </c>
      <c r="F1620" t="s">
        <v>1247</v>
      </c>
      <c r="G1620" t="s">
        <v>1307</v>
      </c>
      <c r="H1620" t="s">
        <v>1308</v>
      </c>
      <c r="I1620" t="s">
        <v>1308</v>
      </c>
      <c r="J1620" t="s">
        <v>60</v>
      </c>
      <c r="K1620" t="s">
        <v>1302</v>
      </c>
      <c r="L1620" t="s">
        <v>62</v>
      </c>
      <c r="M1620" t="s">
        <v>1302</v>
      </c>
      <c r="N1620" t="s">
        <v>558</v>
      </c>
      <c r="O1620" t="s">
        <v>1309</v>
      </c>
      <c r="P1620">
        <v>-20.169051</v>
      </c>
      <c r="Q1620">
        <v>-44.910093000000003</v>
      </c>
      <c r="R1620" s="2" t="str">
        <f>HYPERLINK("https://www.google.com/maps?q=-20.1690510,-44.9100930","Abrir no Google Maps")</f>
        <v>Abrir no Google Maps</v>
      </c>
      <c r="S1620">
        <v>3</v>
      </c>
      <c r="T1620">
        <v>375.90504489887479</v>
      </c>
      <c r="U1620">
        <v>1</v>
      </c>
      <c r="V1620">
        <v>5</v>
      </c>
      <c r="W1620">
        <v>0.85</v>
      </c>
      <c r="X1620">
        <v>4.25</v>
      </c>
      <c r="Y1620">
        <v>723</v>
      </c>
      <c r="Z1620">
        <v>456.19893675176831</v>
      </c>
      <c r="AA1620">
        <v>198</v>
      </c>
      <c r="AB1620">
        <v>332</v>
      </c>
      <c r="AC1620">
        <v>536</v>
      </c>
      <c r="AD1620">
        <v>28.93</v>
      </c>
      <c r="AE1620">
        <v>542</v>
      </c>
      <c r="AF1620">
        <v>28</v>
      </c>
      <c r="AG1620">
        <v>168</v>
      </c>
      <c r="AH1620">
        <v>129</v>
      </c>
      <c r="AI1620">
        <v>5.17</v>
      </c>
      <c r="AJ1620">
        <v>31</v>
      </c>
      <c r="AK1620">
        <v>23.8</v>
      </c>
      <c r="AL1620">
        <v>-20.168810949999941</v>
      </c>
      <c r="AM1620">
        <v>-44.910156475447927</v>
      </c>
      <c r="AN1620">
        <v>-20.168810949999941</v>
      </c>
      <c r="AO1620">
        <v>-44.910156475447927</v>
      </c>
      <c r="AP1620">
        <v>-20.169051</v>
      </c>
      <c r="AQ1620">
        <v>-44.910093000000003</v>
      </c>
      <c r="AR1620">
        <v>27.533232396417059</v>
      </c>
      <c r="AS1620" t="s">
        <v>65</v>
      </c>
      <c r="AT1620">
        <v>1</v>
      </c>
      <c r="AU1620" t="s">
        <v>1310</v>
      </c>
      <c r="AV1620" t="s">
        <v>1311</v>
      </c>
      <c r="AW1620" t="s">
        <v>60</v>
      </c>
      <c r="AX1620" t="s">
        <v>68</v>
      </c>
      <c r="AY1620" t="s">
        <v>69</v>
      </c>
      <c r="AZ1620" t="b">
        <v>1</v>
      </c>
    </row>
    <row r="1621" spans="1:52" x14ac:dyDescent="0.3">
      <c r="A1621" t="s">
        <v>52</v>
      </c>
      <c r="B1621" t="s">
        <v>53</v>
      </c>
      <c r="C1621" t="s">
        <v>54</v>
      </c>
      <c r="D1621" t="s">
        <v>55</v>
      </c>
      <c r="E1621" t="s">
        <v>2142</v>
      </c>
      <c r="F1621" t="s">
        <v>1247</v>
      </c>
      <c r="G1621" t="s">
        <v>845</v>
      </c>
      <c r="H1621" t="s">
        <v>846</v>
      </c>
      <c r="I1621" t="s">
        <v>846</v>
      </c>
      <c r="J1621" t="s">
        <v>60</v>
      </c>
      <c r="K1621" t="s">
        <v>424</v>
      </c>
      <c r="L1621" t="s">
        <v>62</v>
      </c>
      <c r="M1621" t="s">
        <v>424</v>
      </c>
      <c r="N1621" t="s">
        <v>847</v>
      </c>
      <c r="O1621" t="s">
        <v>848</v>
      </c>
      <c r="P1621">
        <v>-20.175523999999999</v>
      </c>
      <c r="Q1621">
        <v>-44.918016999999999</v>
      </c>
      <c r="R1621" s="2" t="str">
        <f>HYPERLINK("https://www.google.com/maps?q=-20.1755240,-44.9180170","Abrir no Google Maps")</f>
        <v>Abrir no Google Maps</v>
      </c>
      <c r="S1621">
        <v>3</v>
      </c>
      <c r="T1621">
        <v>833.59191671824021</v>
      </c>
      <c r="U1621">
        <v>1</v>
      </c>
      <c r="V1621">
        <v>4</v>
      </c>
      <c r="W1621">
        <v>0.85</v>
      </c>
      <c r="X1621">
        <v>3.4</v>
      </c>
      <c r="Y1621">
        <v>723</v>
      </c>
      <c r="Z1621">
        <v>701.05790658871581</v>
      </c>
      <c r="AA1621">
        <v>198</v>
      </c>
      <c r="AB1621">
        <v>332</v>
      </c>
      <c r="AC1621">
        <v>536</v>
      </c>
      <c r="AD1621">
        <v>28.93</v>
      </c>
      <c r="AE1621">
        <v>542</v>
      </c>
      <c r="AF1621">
        <v>28</v>
      </c>
      <c r="AG1621">
        <v>168</v>
      </c>
      <c r="AH1621">
        <v>129</v>
      </c>
      <c r="AI1621">
        <v>5.17</v>
      </c>
      <c r="AJ1621">
        <v>31</v>
      </c>
      <c r="AK1621">
        <v>23.8</v>
      </c>
      <c r="AL1621">
        <v>-20.17533859999995</v>
      </c>
      <c r="AM1621">
        <v>-44.917689627873088</v>
      </c>
      <c r="AN1621">
        <v>-20.17533859999995</v>
      </c>
      <c r="AO1621">
        <v>-44.917689627873088</v>
      </c>
      <c r="AP1621">
        <v>-20.175523999999999</v>
      </c>
      <c r="AQ1621">
        <v>-44.918016999999999</v>
      </c>
      <c r="AR1621">
        <v>39.950898228213873</v>
      </c>
      <c r="AS1621" t="s">
        <v>65</v>
      </c>
      <c r="AT1621">
        <v>1</v>
      </c>
      <c r="AU1621" t="s">
        <v>849</v>
      </c>
      <c r="AV1621" t="s">
        <v>850</v>
      </c>
      <c r="AW1621" t="s">
        <v>60</v>
      </c>
      <c r="AX1621" t="s">
        <v>68</v>
      </c>
      <c r="AY1621" t="s">
        <v>69</v>
      </c>
      <c r="AZ1621" t="b">
        <v>1</v>
      </c>
    </row>
    <row r="1622" spans="1:52" x14ac:dyDescent="0.3">
      <c r="A1622" t="s">
        <v>52</v>
      </c>
      <c r="B1622" t="s">
        <v>53</v>
      </c>
      <c r="C1622" t="s">
        <v>54</v>
      </c>
      <c r="D1622" t="s">
        <v>55</v>
      </c>
      <c r="E1622" t="s">
        <v>2142</v>
      </c>
      <c r="F1622" t="s">
        <v>1247</v>
      </c>
      <c r="G1622" t="s">
        <v>422</v>
      </c>
      <c r="H1622" t="s">
        <v>1323</v>
      </c>
      <c r="I1622" t="s">
        <v>1323</v>
      </c>
      <c r="J1622" t="s">
        <v>60</v>
      </c>
      <c r="K1622" t="s">
        <v>1324</v>
      </c>
      <c r="L1622" t="s">
        <v>62</v>
      </c>
      <c r="M1622" t="s">
        <v>1324</v>
      </c>
      <c r="N1622" t="s">
        <v>425</v>
      </c>
      <c r="O1622" t="s">
        <v>1325</v>
      </c>
      <c r="P1622">
        <v>-20.175142000000001</v>
      </c>
      <c r="Q1622">
        <v>-44.913783000000002</v>
      </c>
      <c r="R1622" s="2" t="str">
        <f>HYPERLINK("https://www.google.com/maps?q=-20.1751420,-44.9137830","Abrir no Google Maps")</f>
        <v>Abrir no Google Maps</v>
      </c>
      <c r="S1622">
        <v>3</v>
      </c>
      <c r="T1622">
        <v>495.73888273066677</v>
      </c>
      <c r="U1622">
        <v>1</v>
      </c>
      <c r="V1622">
        <v>6</v>
      </c>
      <c r="W1622">
        <v>0.85</v>
      </c>
      <c r="X1622">
        <v>5.0999999999999996</v>
      </c>
      <c r="Y1622">
        <v>723</v>
      </c>
      <c r="Z1622">
        <v>488.51574748236328</v>
      </c>
      <c r="AA1622">
        <v>198</v>
      </c>
      <c r="AB1622">
        <v>332</v>
      </c>
      <c r="AC1622">
        <v>536</v>
      </c>
      <c r="AD1622">
        <v>28.93</v>
      </c>
      <c r="AE1622">
        <v>542</v>
      </c>
      <c r="AF1622">
        <v>28</v>
      </c>
      <c r="AG1622">
        <v>168</v>
      </c>
      <c r="AH1622">
        <v>129</v>
      </c>
      <c r="AI1622">
        <v>5.17</v>
      </c>
      <c r="AJ1622">
        <v>31</v>
      </c>
      <c r="AK1622">
        <v>23.8</v>
      </c>
      <c r="AL1622">
        <v>-20.175195199999958</v>
      </c>
      <c r="AM1622">
        <v>-44.913964122548052</v>
      </c>
      <c r="AN1622">
        <v>-20.175195199999958</v>
      </c>
      <c r="AO1622">
        <v>-44.913964122548052</v>
      </c>
      <c r="AP1622">
        <v>-20.175142000000001</v>
      </c>
      <c r="AQ1622">
        <v>-44.913783000000002</v>
      </c>
      <c r="AR1622">
        <v>19.830402633152101</v>
      </c>
      <c r="AS1622" t="s">
        <v>65</v>
      </c>
      <c r="AT1622">
        <v>1</v>
      </c>
      <c r="AU1622" t="s">
        <v>1326</v>
      </c>
      <c r="AV1622" t="s">
        <v>1327</v>
      </c>
      <c r="AW1622" t="s">
        <v>60</v>
      </c>
      <c r="AX1622" t="s">
        <v>68</v>
      </c>
      <c r="AY1622" t="s">
        <v>69</v>
      </c>
      <c r="AZ1622" t="b">
        <v>1</v>
      </c>
    </row>
    <row r="1623" spans="1:52" x14ac:dyDescent="0.3">
      <c r="A1623" t="s">
        <v>52</v>
      </c>
      <c r="B1623" t="s">
        <v>53</v>
      </c>
      <c r="C1623" t="s">
        <v>54</v>
      </c>
      <c r="D1623" t="s">
        <v>55</v>
      </c>
      <c r="E1623" t="s">
        <v>2142</v>
      </c>
      <c r="F1623" t="s">
        <v>1247</v>
      </c>
      <c r="G1623" t="s">
        <v>1328</v>
      </c>
      <c r="H1623" t="s">
        <v>1329</v>
      </c>
      <c r="I1623" t="s">
        <v>1329</v>
      </c>
      <c r="J1623" t="s">
        <v>60</v>
      </c>
      <c r="K1623" t="s">
        <v>1324</v>
      </c>
      <c r="L1623" t="s">
        <v>62</v>
      </c>
      <c r="M1623" t="s">
        <v>1324</v>
      </c>
      <c r="N1623" t="s">
        <v>1330</v>
      </c>
      <c r="O1623" t="s">
        <v>1331</v>
      </c>
      <c r="P1623">
        <v>-20.172984</v>
      </c>
      <c r="Q1623">
        <v>-44.915225999999997</v>
      </c>
      <c r="R1623" s="2" t="str">
        <f>HYPERLINK("https://www.google.com/maps?q=-20.1729840,-44.9152260","Abrir no Google Maps")</f>
        <v>Abrir no Google Maps</v>
      </c>
      <c r="S1623">
        <v>3</v>
      </c>
      <c r="T1623">
        <v>498.21203543103741</v>
      </c>
      <c r="U1623">
        <v>1</v>
      </c>
      <c r="V1623">
        <v>9</v>
      </c>
      <c r="W1623">
        <v>0.85</v>
      </c>
      <c r="X1623">
        <v>7.6499999999999986</v>
      </c>
      <c r="Y1623">
        <v>723</v>
      </c>
      <c r="Z1623">
        <v>297.36167326949931</v>
      </c>
      <c r="AA1623">
        <v>198</v>
      </c>
      <c r="AB1623">
        <v>332</v>
      </c>
      <c r="AC1623">
        <v>536</v>
      </c>
      <c r="AD1623">
        <v>28.93</v>
      </c>
      <c r="AE1623">
        <v>542</v>
      </c>
      <c r="AF1623">
        <v>28</v>
      </c>
      <c r="AG1623">
        <v>168</v>
      </c>
      <c r="AH1623">
        <v>129</v>
      </c>
      <c r="AI1623">
        <v>5.17</v>
      </c>
      <c r="AJ1623">
        <v>31</v>
      </c>
      <c r="AK1623">
        <v>23.8</v>
      </c>
      <c r="AL1623">
        <v>-20.172838899999959</v>
      </c>
      <c r="AM1623">
        <v>-44.915158011603552</v>
      </c>
      <c r="AN1623">
        <v>-20.172838899999959</v>
      </c>
      <c r="AO1623">
        <v>-44.915158011603552</v>
      </c>
      <c r="AP1623">
        <v>-20.172984</v>
      </c>
      <c r="AQ1623">
        <v>-44.915225999999997</v>
      </c>
      <c r="AR1623">
        <v>17.645788305942119</v>
      </c>
      <c r="AS1623" t="s">
        <v>65</v>
      </c>
      <c r="AT1623">
        <v>1</v>
      </c>
      <c r="AU1623" t="s">
        <v>1332</v>
      </c>
      <c r="AV1623" t="s">
        <v>1327</v>
      </c>
      <c r="AW1623" t="s">
        <v>60</v>
      </c>
      <c r="AX1623" t="s">
        <v>68</v>
      </c>
      <c r="AY1623" t="s">
        <v>69</v>
      </c>
      <c r="AZ1623" t="b">
        <v>1</v>
      </c>
    </row>
    <row r="1624" spans="1:52" x14ac:dyDescent="0.3">
      <c r="A1624" t="s">
        <v>52</v>
      </c>
      <c r="B1624" t="s">
        <v>53</v>
      </c>
      <c r="C1624" t="s">
        <v>54</v>
      </c>
      <c r="D1624" t="s">
        <v>55</v>
      </c>
      <c r="E1624" t="s">
        <v>2142</v>
      </c>
      <c r="F1624" t="s">
        <v>1247</v>
      </c>
      <c r="G1624" t="s">
        <v>1347</v>
      </c>
      <c r="H1624" t="s">
        <v>1348</v>
      </c>
      <c r="I1624" t="s">
        <v>1348</v>
      </c>
      <c r="J1624" t="s">
        <v>60</v>
      </c>
      <c r="K1624" t="s">
        <v>1349</v>
      </c>
      <c r="L1624" t="s">
        <v>62</v>
      </c>
      <c r="M1624" t="s">
        <v>1349</v>
      </c>
      <c r="N1624" t="s">
        <v>1350</v>
      </c>
      <c r="O1624" t="s">
        <v>1351</v>
      </c>
      <c r="P1624">
        <v>-20.140426999999999</v>
      </c>
      <c r="Q1624">
        <v>-44.905327999999997</v>
      </c>
      <c r="R1624" s="2" t="str">
        <f>HYPERLINK("https://www.google.com/maps?q=-20.1404270,-44.9053280","Abrir no Google Maps")</f>
        <v>Abrir no Google Maps</v>
      </c>
      <c r="S1624">
        <v>3</v>
      </c>
      <c r="T1624">
        <v>359.5810968231857</v>
      </c>
      <c r="U1624">
        <v>1</v>
      </c>
      <c r="V1624">
        <v>9</v>
      </c>
      <c r="W1624">
        <v>0.85</v>
      </c>
      <c r="X1624">
        <v>7.6499999999999986</v>
      </c>
      <c r="Y1624">
        <v>581</v>
      </c>
      <c r="Z1624">
        <v>292.370097058873</v>
      </c>
      <c r="AA1624">
        <v>198</v>
      </c>
      <c r="AB1624">
        <v>332</v>
      </c>
      <c r="AC1624">
        <v>536</v>
      </c>
      <c r="AD1624">
        <v>28.93</v>
      </c>
      <c r="AE1624">
        <v>542</v>
      </c>
      <c r="AF1624">
        <v>28</v>
      </c>
      <c r="AG1624">
        <v>168</v>
      </c>
      <c r="AH1624">
        <v>129</v>
      </c>
      <c r="AI1624">
        <v>5.17</v>
      </c>
      <c r="AJ1624">
        <v>31</v>
      </c>
      <c r="AK1624">
        <v>23.8</v>
      </c>
      <c r="AL1624">
        <v>-20.140465449999969</v>
      </c>
      <c r="AM1624">
        <v>-44.905317129037229</v>
      </c>
      <c r="AN1624">
        <v>-20.140465449999969</v>
      </c>
      <c r="AO1624">
        <v>-44.905317129037229</v>
      </c>
      <c r="AP1624">
        <v>-20.140426999999999</v>
      </c>
      <c r="AQ1624">
        <v>-44.905327999999997</v>
      </c>
      <c r="AR1624">
        <v>4.4284788644958706</v>
      </c>
      <c r="AS1624" t="s">
        <v>65</v>
      </c>
      <c r="AT1624">
        <v>1</v>
      </c>
      <c r="AU1624" t="s">
        <v>1352</v>
      </c>
      <c r="AV1624" t="s">
        <v>1353</v>
      </c>
      <c r="AW1624" t="s">
        <v>60</v>
      </c>
      <c r="AX1624" t="s">
        <v>68</v>
      </c>
      <c r="AY1624" t="s">
        <v>69</v>
      </c>
      <c r="AZ1624" t="b">
        <v>1</v>
      </c>
    </row>
    <row r="1625" spans="1:52" x14ac:dyDescent="0.3">
      <c r="A1625" t="s">
        <v>52</v>
      </c>
      <c r="B1625" t="s">
        <v>53</v>
      </c>
      <c r="C1625" t="s">
        <v>54</v>
      </c>
      <c r="D1625" t="s">
        <v>55</v>
      </c>
      <c r="E1625" t="s">
        <v>2142</v>
      </c>
      <c r="F1625" t="s">
        <v>1247</v>
      </c>
      <c r="G1625" t="s">
        <v>858</v>
      </c>
      <c r="H1625" t="s">
        <v>859</v>
      </c>
      <c r="I1625" t="s">
        <v>859</v>
      </c>
      <c r="J1625" t="s">
        <v>60</v>
      </c>
      <c r="K1625" t="s">
        <v>462</v>
      </c>
      <c r="L1625" t="s">
        <v>62</v>
      </c>
      <c r="M1625" t="s">
        <v>462</v>
      </c>
      <c r="N1625" t="s">
        <v>860</v>
      </c>
      <c r="O1625" t="s">
        <v>861</v>
      </c>
      <c r="P1625">
        <v>-20.139693999999999</v>
      </c>
      <c r="Q1625">
        <v>-44.911256000000002</v>
      </c>
      <c r="R1625" s="2" t="str">
        <f>HYPERLINK("https://www.google.com/maps?q=-20.1396940,-44.9112560","Abrir no Google Maps")</f>
        <v>Abrir no Google Maps</v>
      </c>
      <c r="S1625">
        <v>3</v>
      </c>
      <c r="T1625">
        <v>380.48036838042862</v>
      </c>
      <c r="U1625">
        <v>1</v>
      </c>
      <c r="V1625">
        <v>9</v>
      </c>
      <c r="W1625">
        <v>0.85</v>
      </c>
      <c r="X1625">
        <v>7.6499999999999986</v>
      </c>
      <c r="Y1625">
        <v>581</v>
      </c>
      <c r="Z1625">
        <v>374.61146000000178</v>
      </c>
      <c r="AA1625">
        <v>198</v>
      </c>
      <c r="AB1625">
        <v>332</v>
      </c>
      <c r="AC1625">
        <v>536</v>
      </c>
      <c r="AD1625">
        <v>28.93</v>
      </c>
      <c r="AE1625">
        <v>542</v>
      </c>
      <c r="AF1625">
        <v>28</v>
      </c>
      <c r="AG1625">
        <v>168</v>
      </c>
      <c r="AH1625">
        <v>129</v>
      </c>
      <c r="AI1625">
        <v>5.17</v>
      </c>
      <c r="AJ1625">
        <v>31</v>
      </c>
      <c r="AK1625">
        <v>23.8</v>
      </c>
      <c r="AL1625">
        <v>-20.139768699999959</v>
      </c>
      <c r="AM1625">
        <v>-44.911265351587588</v>
      </c>
      <c r="AN1625">
        <v>-20.139768699999959</v>
      </c>
      <c r="AO1625">
        <v>-44.911265351587588</v>
      </c>
      <c r="AP1625">
        <v>-20.139693999999999</v>
      </c>
      <c r="AQ1625">
        <v>-44.911256000000002</v>
      </c>
      <c r="AR1625">
        <v>8.3728438666521061</v>
      </c>
      <c r="AS1625" t="s">
        <v>65</v>
      </c>
      <c r="AT1625">
        <v>1</v>
      </c>
      <c r="AU1625" t="s">
        <v>862</v>
      </c>
      <c r="AV1625" t="s">
        <v>863</v>
      </c>
      <c r="AW1625" t="s">
        <v>60</v>
      </c>
      <c r="AX1625" t="s">
        <v>68</v>
      </c>
      <c r="AY1625" t="s">
        <v>69</v>
      </c>
      <c r="AZ1625" t="b">
        <v>1</v>
      </c>
    </row>
    <row r="1626" spans="1:52" x14ac:dyDescent="0.3">
      <c r="A1626" t="s">
        <v>52</v>
      </c>
      <c r="B1626" t="s">
        <v>53</v>
      </c>
      <c r="C1626" t="s">
        <v>54</v>
      </c>
      <c r="D1626" t="s">
        <v>55</v>
      </c>
      <c r="E1626" t="s">
        <v>2142</v>
      </c>
      <c r="F1626" t="s">
        <v>1247</v>
      </c>
      <c r="G1626" t="s">
        <v>1424</v>
      </c>
      <c r="H1626" t="s">
        <v>1425</v>
      </c>
      <c r="I1626" t="s">
        <v>1425</v>
      </c>
      <c r="J1626" t="s">
        <v>60</v>
      </c>
      <c r="K1626" t="s">
        <v>1324</v>
      </c>
      <c r="L1626" t="s">
        <v>62</v>
      </c>
      <c r="M1626" t="s">
        <v>1324</v>
      </c>
      <c r="N1626" t="s">
        <v>1426</v>
      </c>
      <c r="O1626" t="s">
        <v>938</v>
      </c>
      <c r="P1626">
        <v>-20.172844999999999</v>
      </c>
      <c r="Q1626">
        <v>-44.909215000000003</v>
      </c>
      <c r="R1626" s="2" t="str">
        <f>HYPERLINK("https://www.google.com/maps?q=-20.1728450,-44.9092150","Abrir no Google Maps")</f>
        <v>Abrir no Google Maps</v>
      </c>
      <c r="S1626">
        <v>3</v>
      </c>
      <c r="T1626">
        <v>0</v>
      </c>
      <c r="U1626">
        <v>1</v>
      </c>
      <c r="V1626">
        <v>0</v>
      </c>
      <c r="W1626">
        <v>0.85</v>
      </c>
      <c r="X1626">
        <v>0</v>
      </c>
      <c r="Y1626">
        <v>578</v>
      </c>
      <c r="Z1626">
        <v>365.56549317689053</v>
      </c>
      <c r="AA1626">
        <v>198</v>
      </c>
      <c r="AB1626">
        <v>332</v>
      </c>
      <c r="AC1626">
        <v>536</v>
      </c>
      <c r="AD1626">
        <v>28.93</v>
      </c>
      <c r="AE1626">
        <v>542</v>
      </c>
      <c r="AF1626">
        <v>28</v>
      </c>
      <c r="AG1626">
        <v>168</v>
      </c>
      <c r="AH1626">
        <v>129</v>
      </c>
      <c r="AI1626">
        <v>5.17</v>
      </c>
      <c r="AJ1626">
        <v>31</v>
      </c>
      <c r="AK1626">
        <v>23.8</v>
      </c>
      <c r="AL1626">
        <v>-20.172197349999941</v>
      </c>
      <c r="AM1626">
        <v>-44.910438675762883</v>
      </c>
      <c r="AN1626">
        <v>-20.172197349999941</v>
      </c>
      <c r="AO1626">
        <v>-44.910438675762883</v>
      </c>
      <c r="AP1626">
        <v>-20.172844999999999</v>
      </c>
      <c r="AQ1626">
        <v>-44.909215000000003</v>
      </c>
      <c r="AR1626">
        <v>146.78922919749749</v>
      </c>
      <c r="AS1626" t="s">
        <v>65</v>
      </c>
      <c r="AT1626">
        <v>1</v>
      </c>
      <c r="AU1626" t="s">
        <v>1427</v>
      </c>
      <c r="AV1626" t="s">
        <v>1428</v>
      </c>
      <c r="AW1626" t="s">
        <v>60</v>
      </c>
      <c r="AX1626" t="s">
        <v>68</v>
      </c>
      <c r="AY1626" t="s">
        <v>69</v>
      </c>
      <c r="AZ1626" t="b">
        <v>1</v>
      </c>
    </row>
    <row r="1627" spans="1:52" x14ac:dyDescent="0.3">
      <c r="A1627" t="s">
        <v>52</v>
      </c>
      <c r="B1627" t="s">
        <v>53</v>
      </c>
      <c r="C1627" t="s">
        <v>54</v>
      </c>
      <c r="D1627" t="s">
        <v>55</v>
      </c>
      <c r="E1627" t="s">
        <v>2142</v>
      </c>
      <c r="F1627" t="s">
        <v>1247</v>
      </c>
      <c r="G1627" t="s">
        <v>1388</v>
      </c>
      <c r="H1627" t="s">
        <v>1389</v>
      </c>
      <c r="I1627" t="s">
        <v>1389</v>
      </c>
      <c r="J1627" t="s">
        <v>60</v>
      </c>
      <c r="K1627" t="s">
        <v>475</v>
      </c>
      <c r="L1627" t="s">
        <v>62</v>
      </c>
      <c r="M1627" t="s">
        <v>475</v>
      </c>
      <c r="N1627" t="s">
        <v>1390</v>
      </c>
      <c r="O1627" t="s">
        <v>855</v>
      </c>
      <c r="P1627">
        <v>-20.173748</v>
      </c>
      <c r="Q1627">
        <v>-44.894596999999997</v>
      </c>
      <c r="R1627" s="2" t="str">
        <f>HYPERLINK("https://www.google.com/maps?q=-20.1737480,-44.8945970","Abrir no Google Maps")</f>
        <v>Abrir no Google Maps</v>
      </c>
      <c r="S1627">
        <v>3</v>
      </c>
      <c r="T1627">
        <v>1217.388518792701</v>
      </c>
      <c r="U1627">
        <v>1</v>
      </c>
      <c r="V1627">
        <v>9</v>
      </c>
      <c r="W1627">
        <v>0.85</v>
      </c>
      <c r="X1627">
        <v>7.6499999999999986</v>
      </c>
      <c r="Y1627">
        <v>578</v>
      </c>
      <c r="Z1627">
        <v>1268.0048337091989</v>
      </c>
      <c r="AA1627">
        <v>198</v>
      </c>
      <c r="AB1627">
        <v>332</v>
      </c>
      <c r="AC1627">
        <v>536</v>
      </c>
      <c r="AD1627">
        <v>28.93</v>
      </c>
      <c r="AE1627">
        <v>542</v>
      </c>
      <c r="AF1627">
        <v>28</v>
      </c>
      <c r="AG1627">
        <v>168</v>
      </c>
      <c r="AH1627">
        <v>129</v>
      </c>
      <c r="AI1627">
        <v>5.17</v>
      </c>
      <c r="AJ1627">
        <v>31</v>
      </c>
      <c r="AK1627">
        <v>23.8</v>
      </c>
      <c r="AL1627">
        <v>-20.173821999999941</v>
      </c>
      <c r="AM1627">
        <v>-44.894306105833543</v>
      </c>
      <c r="AN1627">
        <v>-20.173821999999941</v>
      </c>
      <c r="AO1627">
        <v>-44.894306105833543</v>
      </c>
      <c r="AP1627">
        <v>-20.173748</v>
      </c>
      <c r="AQ1627">
        <v>-44.894596999999997</v>
      </c>
      <c r="AR1627">
        <v>31.492193006406161</v>
      </c>
      <c r="AS1627" t="s">
        <v>65</v>
      </c>
      <c r="AT1627">
        <v>1</v>
      </c>
      <c r="AU1627" t="s">
        <v>1391</v>
      </c>
      <c r="AV1627" t="s">
        <v>1392</v>
      </c>
      <c r="AW1627" t="s">
        <v>60</v>
      </c>
      <c r="AX1627" t="s">
        <v>68</v>
      </c>
      <c r="AY1627" t="s">
        <v>69</v>
      </c>
      <c r="AZ1627" t="b">
        <v>1</v>
      </c>
    </row>
    <row r="1628" spans="1:52" x14ac:dyDescent="0.3">
      <c r="A1628" t="s">
        <v>52</v>
      </c>
      <c r="B1628" t="s">
        <v>53</v>
      </c>
      <c r="C1628" t="s">
        <v>54</v>
      </c>
      <c r="D1628" t="s">
        <v>55</v>
      </c>
      <c r="E1628" t="s">
        <v>2142</v>
      </c>
      <c r="F1628" t="s">
        <v>1247</v>
      </c>
      <c r="G1628" t="s">
        <v>815</v>
      </c>
      <c r="H1628" t="s">
        <v>1404</v>
      </c>
      <c r="I1628" t="s">
        <v>1404</v>
      </c>
      <c r="J1628" t="s">
        <v>60</v>
      </c>
      <c r="K1628" t="s">
        <v>512</v>
      </c>
      <c r="L1628" t="s">
        <v>62</v>
      </c>
      <c r="M1628" t="s">
        <v>512</v>
      </c>
      <c r="N1628" t="s">
        <v>817</v>
      </c>
      <c r="O1628" t="s">
        <v>1405</v>
      </c>
      <c r="P1628">
        <v>-20.129069999999999</v>
      </c>
      <c r="Q1628">
        <v>-44.888452000000001</v>
      </c>
      <c r="R1628" s="2" t="str">
        <f>HYPERLINK("https://www.google.com/maps?q=-20.1290700,-44.8884520","Abrir no Google Maps")</f>
        <v>Abrir no Google Maps</v>
      </c>
      <c r="S1628">
        <v>3</v>
      </c>
      <c r="T1628">
        <v>0</v>
      </c>
      <c r="U1628">
        <v>1</v>
      </c>
      <c r="V1628">
        <v>7</v>
      </c>
      <c r="W1628">
        <v>0.85</v>
      </c>
      <c r="X1628">
        <v>5.95</v>
      </c>
      <c r="Y1628">
        <v>564</v>
      </c>
      <c r="Z1628">
        <v>95.870354837220688</v>
      </c>
      <c r="AA1628">
        <v>198</v>
      </c>
      <c r="AB1628">
        <v>332</v>
      </c>
      <c r="AC1628">
        <v>536</v>
      </c>
      <c r="AD1628">
        <v>28.93</v>
      </c>
      <c r="AE1628">
        <v>542</v>
      </c>
      <c r="AF1628">
        <v>28</v>
      </c>
      <c r="AG1628">
        <v>168</v>
      </c>
      <c r="AH1628">
        <v>129</v>
      </c>
      <c r="AI1628">
        <v>5.17</v>
      </c>
      <c r="AJ1628">
        <v>31</v>
      </c>
      <c r="AK1628">
        <v>23.8</v>
      </c>
      <c r="AL1628">
        <v>-20.12899334999997</v>
      </c>
      <c r="AM1628">
        <v>-44.888406102471222</v>
      </c>
      <c r="AN1628">
        <v>-20.12899334999997</v>
      </c>
      <c r="AO1628">
        <v>-44.888406102471222</v>
      </c>
      <c r="AP1628">
        <v>-20.129069999999999</v>
      </c>
      <c r="AQ1628">
        <v>-44.888452000000001</v>
      </c>
      <c r="AR1628">
        <v>9.7887731150376265</v>
      </c>
      <c r="AS1628" t="s">
        <v>65</v>
      </c>
      <c r="AT1628">
        <v>1</v>
      </c>
      <c r="AU1628" t="s">
        <v>1406</v>
      </c>
      <c r="AV1628" t="s">
        <v>1407</v>
      </c>
      <c r="AW1628" t="s">
        <v>60</v>
      </c>
      <c r="AX1628" t="s">
        <v>68</v>
      </c>
      <c r="AY1628" t="s">
        <v>69</v>
      </c>
      <c r="AZ1628" t="b">
        <v>1</v>
      </c>
    </row>
    <row r="1629" spans="1:52" x14ac:dyDescent="0.3">
      <c r="A1629" t="s">
        <v>52</v>
      </c>
      <c r="B1629" t="s">
        <v>53</v>
      </c>
      <c r="C1629" t="s">
        <v>54</v>
      </c>
      <c r="D1629" t="s">
        <v>55</v>
      </c>
      <c r="E1629" t="s">
        <v>2142</v>
      </c>
      <c r="F1629" t="s">
        <v>1247</v>
      </c>
      <c r="G1629" t="s">
        <v>1429</v>
      </c>
      <c r="H1629" t="s">
        <v>1430</v>
      </c>
      <c r="I1629" t="s">
        <v>1430</v>
      </c>
      <c r="J1629" t="s">
        <v>60</v>
      </c>
      <c r="K1629" t="s">
        <v>505</v>
      </c>
      <c r="L1629" t="s">
        <v>62</v>
      </c>
      <c r="M1629" t="s">
        <v>505</v>
      </c>
      <c r="N1629" t="s">
        <v>1431</v>
      </c>
      <c r="O1629" t="s">
        <v>1432</v>
      </c>
      <c r="P1629">
        <v>-20.132069000000001</v>
      </c>
      <c r="Q1629">
        <v>-44.891694000000001</v>
      </c>
      <c r="R1629" s="2" t="str">
        <f>HYPERLINK("https://www.google.com/maps?q=-20.1320690,-44.8916940","Abrir no Google Maps")</f>
        <v>Abrir no Google Maps</v>
      </c>
      <c r="S1629">
        <v>3</v>
      </c>
      <c r="T1629">
        <v>463.84477613866852</v>
      </c>
      <c r="U1629">
        <v>1</v>
      </c>
      <c r="V1629">
        <v>3</v>
      </c>
      <c r="W1629">
        <v>0.85</v>
      </c>
      <c r="X1629">
        <v>2.5499999999999998</v>
      </c>
      <c r="Y1629">
        <v>564</v>
      </c>
      <c r="Z1629">
        <v>349.6044774510159</v>
      </c>
      <c r="AA1629">
        <v>198</v>
      </c>
      <c r="AB1629">
        <v>332</v>
      </c>
      <c r="AC1629">
        <v>536</v>
      </c>
      <c r="AD1629">
        <v>28.93</v>
      </c>
      <c r="AE1629">
        <v>542</v>
      </c>
      <c r="AF1629">
        <v>28</v>
      </c>
      <c r="AG1629">
        <v>168</v>
      </c>
      <c r="AH1629">
        <v>129</v>
      </c>
      <c r="AI1629">
        <v>5.17</v>
      </c>
      <c r="AJ1629">
        <v>31</v>
      </c>
      <c r="AK1629">
        <v>23.8</v>
      </c>
      <c r="AL1629">
        <v>-20.131860799999941</v>
      </c>
      <c r="AM1629">
        <v>-44.891643045551348</v>
      </c>
      <c r="AN1629">
        <v>-20.131860799999941</v>
      </c>
      <c r="AO1629">
        <v>-44.891643045551348</v>
      </c>
      <c r="AP1629">
        <v>-20.132069000000001</v>
      </c>
      <c r="AQ1629">
        <v>-44.891694000000001</v>
      </c>
      <c r="AR1629">
        <v>23.780836080569209</v>
      </c>
      <c r="AS1629" t="s">
        <v>65</v>
      </c>
      <c r="AT1629">
        <v>1</v>
      </c>
      <c r="AU1629" t="s">
        <v>1433</v>
      </c>
      <c r="AV1629" t="s">
        <v>1434</v>
      </c>
      <c r="AW1629" t="s">
        <v>60</v>
      </c>
      <c r="AX1629" t="s">
        <v>68</v>
      </c>
      <c r="AY1629" t="s">
        <v>69</v>
      </c>
      <c r="AZ1629" t="b">
        <v>1</v>
      </c>
    </row>
    <row r="1630" spans="1:52" x14ac:dyDescent="0.3">
      <c r="A1630" t="s">
        <v>52</v>
      </c>
      <c r="B1630" t="s">
        <v>53</v>
      </c>
      <c r="C1630" t="s">
        <v>54</v>
      </c>
      <c r="D1630" t="s">
        <v>55</v>
      </c>
      <c r="E1630" t="s">
        <v>2142</v>
      </c>
      <c r="F1630" t="s">
        <v>1247</v>
      </c>
      <c r="G1630" t="s">
        <v>649</v>
      </c>
      <c r="H1630" t="s">
        <v>885</v>
      </c>
      <c r="I1630" t="s">
        <v>885</v>
      </c>
      <c r="J1630" t="s">
        <v>60</v>
      </c>
      <c r="K1630" t="s">
        <v>886</v>
      </c>
      <c r="L1630" t="s">
        <v>62</v>
      </c>
      <c r="M1630" t="s">
        <v>886</v>
      </c>
      <c r="N1630" t="s">
        <v>652</v>
      </c>
      <c r="O1630" t="s">
        <v>887</v>
      </c>
      <c r="P1630">
        <v>-20.132252000000001</v>
      </c>
      <c r="Q1630">
        <v>-44.894159000000002</v>
      </c>
      <c r="R1630" s="2" t="str">
        <f>HYPERLINK("https://www.google.com/maps?q=-20.1322520,-44.8941590","Abrir no Google Maps")</f>
        <v>Abrir no Google Maps</v>
      </c>
      <c r="S1630">
        <v>3</v>
      </c>
      <c r="T1630">
        <v>699.5004749448899</v>
      </c>
      <c r="U1630">
        <v>1</v>
      </c>
      <c r="V1630">
        <v>7</v>
      </c>
      <c r="W1630">
        <v>0.85</v>
      </c>
      <c r="X1630">
        <v>5.95</v>
      </c>
      <c r="Y1630">
        <v>564</v>
      </c>
      <c r="Z1630">
        <v>522.21103586457991</v>
      </c>
      <c r="AA1630">
        <v>198</v>
      </c>
      <c r="AB1630">
        <v>332</v>
      </c>
      <c r="AC1630">
        <v>536</v>
      </c>
      <c r="AD1630">
        <v>28.93</v>
      </c>
      <c r="AE1630">
        <v>542</v>
      </c>
      <c r="AF1630">
        <v>28</v>
      </c>
      <c r="AG1630">
        <v>168</v>
      </c>
      <c r="AH1630">
        <v>129</v>
      </c>
      <c r="AI1630">
        <v>5.17</v>
      </c>
      <c r="AJ1630">
        <v>31</v>
      </c>
      <c r="AK1630">
        <v>23.8</v>
      </c>
      <c r="AL1630">
        <v>-20.132285999999969</v>
      </c>
      <c r="AM1630">
        <v>-44.894119001288672</v>
      </c>
      <c r="AN1630">
        <v>-20.132285999999969</v>
      </c>
      <c r="AO1630">
        <v>-44.894119001288672</v>
      </c>
      <c r="AP1630">
        <v>-20.132252000000001</v>
      </c>
      <c r="AQ1630">
        <v>-44.894159000000002</v>
      </c>
      <c r="AR1630">
        <v>5.6393921063261629</v>
      </c>
      <c r="AS1630" t="s">
        <v>65</v>
      </c>
      <c r="AT1630">
        <v>1</v>
      </c>
      <c r="AU1630" t="s">
        <v>888</v>
      </c>
      <c r="AV1630" t="s">
        <v>889</v>
      </c>
      <c r="AW1630" t="s">
        <v>60</v>
      </c>
      <c r="AX1630" t="s">
        <v>68</v>
      </c>
      <c r="AY1630" t="s">
        <v>69</v>
      </c>
      <c r="AZ1630" t="b">
        <v>1</v>
      </c>
    </row>
    <row r="1631" spans="1:52" x14ac:dyDescent="0.3">
      <c r="A1631" t="s">
        <v>52</v>
      </c>
      <c r="B1631" t="s">
        <v>53</v>
      </c>
      <c r="C1631" t="s">
        <v>54</v>
      </c>
      <c r="D1631" t="s">
        <v>55</v>
      </c>
      <c r="E1631" t="s">
        <v>2142</v>
      </c>
      <c r="F1631" t="s">
        <v>1247</v>
      </c>
      <c r="G1631" t="s">
        <v>1435</v>
      </c>
      <c r="H1631" t="s">
        <v>1436</v>
      </c>
      <c r="I1631" t="s">
        <v>1436</v>
      </c>
      <c r="J1631" t="s">
        <v>60</v>
      </c>
      <c r="K1631" t="s">
        <v>886</v>
      </c>
      <c r="L1631" t="s">
        <v>62</v>
      </c>
      <c r="M1631" t="s">
        <v>886</v>
      </c>
      <c r="N1631" t="s">
        <v>1437</v>
      </c>
      <c r="O1631" t="s">
        <v>1438</v>
      </c>
      <c r="P1631">
        <v>-20.131108000000001</v>
      </c>
      <c r="Q1631">
        <v>-44.893228000000001</v>
      </c>
      <c r="R1631" s="2" t="str">
        <f>HYPERLINK("https://www.google.com/maps?q=-20.1311080,-44.8932280","Abrir no Google Maps")</f>
        <v>Abrir no Google Maps</v>
      </c>
      <c r="S1631">
        <v>3</v>
      </c>
      <c r="T1631">
        <v>548.07497919430136</v>
      </c>
      <c r="U1631">
        <v>1</v>
      </c>
      <c r="V1631">
        <v>9</v>
      </c>
      <c r="W1631">
        <v>0.85</v>
      </c>
      <c r="X1631">
        <v>7.6499999999999986</v>
      </c>
      <c r="Y1631">
        <v>564</v>
      </c>
      <c r="Z1631">
        <v>369.17139216388432</v>
      </c>
      <c r="AA1631">
        <v>198</v>
      </c>
      <c r="AB1631">
        <v>332</v>
      </c>
      <c r="AC1631">
        <v>536</v>
      </c>
      <c r="AD1631">
        <v>28.93</v>
      </c>
      <c r="AE1631">
        <v>542</v>
      </c>
      <c r="AF1631">
        <v>28</v>
      </c>
      <c r="AG1631">
        <v>168</v>
      </c>
      <c r="AH1631">
        <v>129</v>
      </c>
      <c r="AI1631">
        <v>5.17</v>
      </c>
      <c r="AJ1631">
        <v>31</v>
      </c>
      <c r="AK1631">
        <v>23.8</v>
      </c>
      <c r="AL1631">
        <v>-20.13103294999997</v>
      </c>
      <c r="AM1631">
        <v>-44.89318457893738</v>
      </c>
      <c r="AN1631">
        <v>-20.13103294999997</v>
      </c>
      <c r="AO1631">
        <v>-44.89318457893738</v>
      </c>
      <c r="AP1631">
        <v>-20.131108000000001</v>
      </c>
      <c r="AQ1631">
        <v>-44.893228000000001</v>
      </c>
      <c r="AR1631">
        <v>9.5076426885244203</v>
      </c>
      <c r="AS1631" t="s">
        <v>65</v>
      </c>
      <c r="AT1631">
        <v>1</v>
      </c>
      <c r="AU1631" t="s">
        <v>1439</v>
      </c>
      <c r="AV1631" t="s">
        <v>1440</v>
      </c>
      <c r="AW1631" t="s">
        <v>60</v>
      </c>
      <c r="AX1631" t="s">
        <v>68</v>
      </c>
      <c r="AY1631" t="s">
        <v>69</v>
      </c>
      <c r="AZ1631" t="b">
        <v>1</v>
      </c>
    </row>
    <row r="1632" spans="1:52" x14ac:dyDescent="0.3">
      <c r="A1632" t="s">
        <v>52</v>
      </c>
      <c r="B1632" t="s">
        <v>53</v>
      </c>
      <c r="C1632" t="s">
        <v>54</v>
      </c>
      <c r="D1632" t="s">
        <v>55</v>
      </c>
      <c r="E1632" t="s">
        <v>2142</v>
      </c>
      <c r="F1632" t="s">
        <v>1247</v>
      </c>
      <c r="G1632" t="s">
        <v>503</v>
      </c>
      <c r="H1632" t="s">
        <v>1441</v>
      </c>
      <c r="I1632" t="s">
        <v>1441</v>
      </c>
      <c r="J1632" t="s">
        <v>60</v>
      </c>
      <c r="K1632" t="s">
        <v>512</v>
      </c>
      <c r="L1632" t="s">
        <v>62</v>
      </c>
      <c r="M1632" t="s">
        <v>512</v>
      </c>
      <c r="N1632" t="s">
        <v>506</v>
      </c>
      <c r="O1632" t="s">
        <v>1442</v>
      </c>
      <c r="P1632">
        <v>-20.13036</v>
      </c>
      <c r="Q1632">
        <v>-44.891019</v>
      </c>
      <c r="R1632" s="2" t="str">
        <f>HYPERLINK("https://www.google.com/maps?q=-20.1303600,-44.8910190","Abrir no Google Maps")</f>
        <v>Abrir no Google Maps</v>
      </c>
      <c r="S1632">
        <v>3</v>
      </c>
      <c r="T1632">
        <v>313.17410616307359</v>
      </c>
      <c r="U1632">
        <v>1</v>
      </c>
      <c r="V1632">
        <v>6</v>
      </c>
      <c r="W1632">
        <v>0.85</v>
      </c>
      <c r="X1632">
        <v>5.0999999999999996</v>
      </c>
      <c r="Y1632">
        <v>564</v>
      </c>
      <c r="Z1632">
        <v>208.43159293494489</v>
      </c>
      <c r="AA1632">
        <v>198</v>
      </c>
      <c r="AB1632">
        <v>332</v>
      </c>
      <c r="AC1632">
        <v>536</v>
      </c>
      <c r="AD1632">
        <v>28.93</v>
      </c>
      <c r="AE1632">
        <v>542</v>
      </c>
      <c r="AF1632">
        <v>28</v>
      </c>
      <c r="AG1632">
        <v>168</v>
      </c>
      <c r="AH1632">
        <v>129</v>
      </c>
      <c r="AI1632">
        <v>5.17</v>
      </c>
      <c r="AJ1632">
        <v>31</v>
      </c>
      <c r="AK1632">
        <v>23.8</v>
      </c>
      <c r="AL1632">
        <v>-20.130100449999961</v>
      </c>
      <c r="AM1632">
        <v>-44.891163633475301</v>
      </c>
      <c r="AN1632">
        <v>-20.130100449999961</v>
      </c>
      <c r="AO1632">
        <v>-44.891163633475301</v>
      </c>
      <c r="AP1632">
        <v>-20.13036</v>
      </c>
      <c r="AQ1632">
        <v>-44.891019</v>
      </c>
      <c r="AR1632">
        <v>32.608854575381159</v>
      </c>
      <c r="AS1632" t="s">
        <v>65</v>
      </c>
      <c r="AT1632">
        <v>1</v>
      </c>
      <c r="AU1632" t="s">
        <v>1443</v>
      </c>
      <c r="AV1632" t="s">
        <v>1444</v>
      </c>
      <c r="AW1632" t="s">
        <v>60</v>
      </c>
      <c r="AX1632" t="s">
        <v>68</v>
      </c>
      <c r="AY1632" t="s">
        <v>69</v>
      </c>
      <c r="AZ1632" t="b">
        <v>1</v>
      </c>
    </row>
    <row r="1633" spans="1:52" x14ac:dyDescent="0.3">
      <c r="A1633" t="s">
        <v>52</v>
      </c>
      <c r="B1633" t="s">
        <v>53</v>
      </c>
      <c r="C1633" t="s">
        <v>54</v>
      </c>
      <c r="D1633" t="s">
        <v>55</v>
      </c>
      <c r="E1633" t="s">
        <v>2142</v>
      </c>
      <c r="F1633" t="s">
        <v>1247</v>
      </c>
      <c r="G1633" t="s">
        <v>1408</v>
      </c>
      <c r="H1633" t="s">
        <v>1409</v>
      </c>
      <c r="I1633" t="s">
        <v>1409</v>
      </c>
      <c r="J1633" t="s">
        <v>60</v>
      </c>
      <c r="K1633" t="s">
        <v>200</v>
      </c>
      <c r="L1633" t="s">
        <v>62</v>
      </c>
      <c r="M1633" t="s">
        <v>200</v>
      </c>
      <c r="N1633" t="s">
        <v>1410</v>
      </c>
      <c r="O1633" t="s">
        <v>1001</v>
      </c>
      <c r="P1633">
        <v>-20.126062999999998</v>
      </c>
      <c r="Q1633">
        <v>-44.894936999999999</v>
      </c>
      <c r="R1633" s="2" t="str">
        <f>HYPERLINK("https://www.google.com/maps?q=-20.1260630,-44.8949370","Abrir no Google Maps")</f>
        <v>Abrir no Google Maps</v>
      </c>
      <c r="S1633">
        <v>3</v>
      </c>
      <c r="T1633">
        <v>747.3122077966558</v>
      </c>
      <c r="U1633">
        <v>1</v>
      </c>
      <c r="V1633">
        <v>5</v>
      </c>
      <c r="W1633">
        <v>0.85</v>
      </c>
      <c r="X1633">
        <v>4.25</v>
      </c>
      <c r="Y1633">
        <v>564</v>
      </c>
      <c r="Z1633">
        <v>693.80888866206885</v>
      </c>
      <c r="AA1633">
        <v>198</v>
      </c>
      <c r="AB1633">
        <v>332</v>
      </c>
      <c r="AC1633">
        <v>536</v>
      </c>
      <c r="AD1633">
        <v>28.93</v>
      </c>
      <c r="AE1633">
        <v>542</v>
      </c>
      <c r="AF1633">
        <v>28</v>
      </c>
      <c r="AG1633">
        <v>168</v>
      </c>
      <c r="AH1633">
        <v>129</v>
      </c>
      <c r="AI1633">
        <v>5.17</v>
      </c>
      <c r="AJ1633">
        <v>31</v>
      </c>
      <c r="AK1633">
        <v>23.8</v>
      </c>
      <c r="AL1633">
        <v>-20.126099149999959</v>
      </c>
      <c r="AM1633">
        <v>-44.894866076436763</v>
      </c>
      <c r="AN1633">
        <v>-20.126099149999959</v>
      </c>
      <c r="AO1633">
        <v>-44.894866076436749</v>
      </c>
      <c r="AP1633">
        <v>-20.126062999999998</v>
      </c>
      <c r="AQ1633">
        <v>-44.894936999999999</v>
      </c>
      <c r="AR1633">
        <v>8.4349593682699737</v>
      </c>
      <c r="AS1633" t="s">
        <v>65</v>
      </c>
      <c r="AT1633">
        <v>1</v>
      </c>
      <c r="AU1633" t="s">
        <v>1411</v>
      </c>
      <c r="AV1633" t="s">
        <v>1003</v>
      </c>
      <c r="AW1633" t="s">
        <v>60</v>
      </c>
      <c r="AX1633" t="s">
        <v>68</v>
      </c>
      <c r="AY1633" t="s">
        <v>69</v>
      </c>
      <c r="AZ1633" t="b">
        <v>1</v>
      </c>
    </row>
    <row r="1634" spans="1:52" x14ac:dyDescent="0.3">
      <c r="A1634" t="s">
        <v>52</v>
      </c>
      <c r="B1634" t="s">
        <v>53</v>
      </c>
      <c r="C1634" t="s">
        <v>54</v>
      </c>
      <c r="D1634" t="s">
        <v>55</v>
      </c>
      <c r="E1634" t="s">
        <v>2142</v>
      </c>
      <c r="F1634" t="s">
        <v>1247</v>
      </c>
      <c r="G1634" t="s">
        <v>473</v>
      </c>
      <c r="H1634" t="s">
        <v>1445</v>
      </c>
      <c r="I1634" t="s">
        <v>1445</v>
      </c>
      <c r="J1634" t="s">
        <v>60</v>
      </c>
      <c r="K1634" t="s">
        <v>892</v>
      </c>
      <c r="L1634" t="s">
        <v>62</v>
      </c>
      <c r="M1634" t="s">
        <v>892</v>
      </c>
      <c r="N1634" t="s">
        <v>406</v>
      </c>
      <c r="O1634" t="s">
        <v>1446</v>
      </c>
      <c r="P1634">
        <v>-20.14941</v>
      </c>
      <c r="Q1634">
        <v>-44.899535</v>
      </c>
      <c r="R1634" s="2" t="str">
        <f>HYPERLINK("https://www.google.com/maps?q=-20.1494100,-44.8995350","Abrir no Google Maps")</f>
        <v>Abrir no Google Maps</v>
      </c>
      <c r="S1634">
        <v>3</v>
      </c>
      <c r="T1634">
        <v>249.83945591849931</v>
      </c>
      <c r="U1634">
        <v>1</v>
      </c>
      <c r="V1634">
        <v>8</v>
      </c>
      <c r="W1634">
        <v>0.85</v>
      </c>
      <c r="X1634">
        <v>6.8</v>
      </c>
      <c r="Y1634">
        <v>556</v>
      </c>
      <c r="Z1634">
        <v>156.62360082488701</v>
      </c>
      <c r="AA1634">
        <v>198</v>
      </c>
      <c r="AB1634">
        <v>332</v>
      </c>
      <c r="AC1634">
        <v>536</v>
      </c>
      <c r="AD1634">
        <v>28.93</v>
      </c>
      <c r="AE1634">
        <v>542</v>
      </c>
      <c r="AF1634">
        <v>28</v>
      </c>
      <c r="AG1634">
        <v>168</v>
      </c>
      <c r="AH1634">
        <v>129</v>
      </c>
      <c r="AI1634">
        <v>5.17</v>
      </c>
      <c r="AJ1634">
        <v>31</v>
      </c>
      <c r="AK1634">
        <v>23.8</v>
      </c>
      <c r="AL1634">
        <v>-20.149341899999939</v>
      </c>
      <c r="AM1634">
        <v>-44.899575902083967</v>
      </c>
      <c r="AN1634">
        <v>-20.149341899999939</v>
      </c>
      <c r="AO1634">
        <v>-44.899575902083967</v>
      </c>
      <c r="AP1634">
        <v>-20.14941</v>
      </c>
      <c r="AQ1634">
        <v>-44.899535</v>
      </c>
      <c r="AR1634">
        <v>8.7029725999778709</v>
      </c>
      <c r="AS1634" t="s">
        <v>65</v>
      </c>
      <c r="AT1634">
        <v>1</v>
      </c>
      <c r="AU1634" t="s">
        <v>1447</v>
      </c>
      <c r="AV1634" t="s">
        <v>1448</v>
      </c>
      <c r="AW1634" t="s">
        <v>60</v>
      </c>
      <c r="AX1634" t="s">
        <v>68</v>
      </c>
      <c r="AY1634" t="s">
        <v>69</v>
      </c>
      <c r="AZ1634" t="b">
        <v>1</v>
      </c>
    </row>
    <row r="1635" spans="1:52" x14ac:dyDescent="0.3">
      <c r="A1635" t="s">
        <v>52</v>
      </c>
      <c r="B1635" t="s">
        <v>53</v>
      </c>
      <c r="C1635" t="s">
        <v>54</v>
      </c>
      <c r="D1635" t="s">
        <v>55</v>
      </c>
      <c r="E1635" t="s">
        <v>2142</v>
      </c>
      <c r="F1635" t="s">
        <v>1247</v>
      </c>
      <c r="G1635" t="s">
        <v>1412</v>
      </c>
      <c r="H1635" t="s">
        <v>1413</v>
      </c>
      <c r="I1635" t="s">
        <v>1413</v>
      </c>
      <c r="J1635" t="s">
        <v>60</v>
      </c>
      <c r="K1635" t="s">
        <v>892</v>
      </c>
      <c r="L1635" t="s">
        <v>62</v>
      </c>
      <c r="M1635" t="s">
        <v>892</v>
      </c>
      <c r="N1635" t="s">
        <v>1414</v>
      </c>
      <c r="O1635" t="s">
        <v>293</v>
      </c>
      <c r="P1635">
        <v>-20.150780999999998</v>
      </c>
      <c r="Q1635">
        <v>-44.897972000000003</v>
      </c>
      <c r="R1635" s="2" t="str">
        <f>HYPERLINK("https://www.google.com/maps?q=-20.1507810,-44.8979720","Abrir no Google Maps")</f>
        <v>Abrir no Google Maps</v>
      </c>
      <c r="S1635">
        <v>3</v>
      </c>
      <c r="T1635">
        <v>306.36394634674508</v>
      </c>
      <c r="U1635">
        <v>1</v>
      </c>
      <c r="V1635">
        <v>7</v>
      </c>
      <c r="W1635">
        <v>0.85</v>
      </c>
      <c r="X1635">
        <v>5.95</v>
      </c>
      <c r="Y1635">
        <v>556</v>
      </c>
      <c r="Z1635">
        <v>233.85692443628571</v>
      </c>
      <c r="AA1635">
        <v>198</v>
      </c>
      <c r="AB1635">
        <v>332</v>
      </c>
      <c r="AC1635">
        <v>536</v>
      </c>
      <c r="AD1635">
        <v>28.93</v>
      </c>
      <c r="AE1635">
        <v>542</v>
      </c>
      <c r="AF1635">
        <v>28</v>
      </c>
      <c r="AG1635">
        <v>168</v>
      </c>
      <c r="AH1635">
        <v>129</v>
      </c>
      <c r="AI1635">
        <v>5.17</v>
      </c>
      <c r="AJ1635">
        <v>31</v>
      </c>
      <c r="AK1635">
        <v>23.8</v>
      </c>
      <c r="AL1635">
        <v>-20.15074609999996</v>
      </c>
      <c r="AM1635">
        <v>-44.89795774234689</v>
      </c>
      <c r="AN1635">
        <v>-20.15074609999996</v>
      </c>
      <c r="AO1635">
        <v>-44.89795774234689</v>
      </c>
      <c r="AP1635">
        <v>-20.150780999999998</v>
      </c>
      <c r="AQ1635">
        <v>-44.897972000000003</v>
      </c>
      <c r="AR1635">
        <v>4.160995809097348</v>
      </c>
      <c r="AS1635" t="s">
        <v>65</v>
      </c>
      <c r="AT1635">
        <v>1</v>
      </c>
      <c r="AU1635" t="s">
        <v>1415</v>
      </c>
      <c r="AV1635" t="s">
        <v>1416</v>
      </c>
      <c r="AW1635" t="s">
        <v>60</v>
      </c>
      <c r="AX1635" t="s">
        <v>68</v>
      </c>
      <c r="AY1635" t="s">
        <v>69</v>
      </c>
      <c r="AZ1635" t="b">
        <v>1</v>
      </c>
    </row>
    <row r="1636" spans="1:52" x14ac:dyDescent="0.3">
      <c r="A1636" t="s">
        <v>52</v>
      </c>
      <c r="B1636" t="s">
        <v>53</v>
      </c>
      <c r="C1636" t="s">
        <v>54</v>
      </c>
      <c r="D1636" t="s">
        <v>55</v>
      </c>
      <c r="E1636" t="s">
        <v>2142</v>
      </c>
      <c r="F1636" t="s">
        <v>1247</v>
      </c>
      <c r="G1636" t="s">
        <v>1127</v>
      </c>
      <c r="H1636" t="s">
        <v>1455</v>
      </c>
      <c r="I1636" t="s">
        <v>1455</v>
      </c>
      <c r="J1636" t="s">
        <v>60</v>
      </c>
      <c r="K1636" t="s">
        <v>431</v>
      </c>
      <c r="L1636" t="s">
        <v>62</v>
      </c>
      <c r="M1636" t="s">
        <v>431</v>
      </c>
      <c r="N1636" t="s">
        <v>1456</v>
      </c>
      <c r="O1636" t="s">
        <v>1001</v>
      </c>
      <c r="P1636">
        <v>-20.168237999999999</v>
      </c>
      <c r="Q1636">
        <v>-44.924250999999998</v>
      </c>
      <c r="R1636" s="2" t="str">
        <f>HYPERLINK("https://www.google.com/maps?q=-20.1682380,-44.9242510","Abrir no Google Maps")</f>
        <v>Abrir no Google Maps</v>
      </c>
      <c r="S1636">
        <v>2</v>
      </c>
      <c r="T1636">
        <v>1220.188820430971</v>
      </c>
      <c r="U1636">
        <v>4</v>
      </c>
      <c r="V1636">
        <v>32</v>
      </c>
      <c r="W1636">
        <v>0.85</v>
      </c>
      <c r="X1636">
        <v>27.2</v>
      </c>
      <c r="Y1636">
        <v>723</v>
      </c>
      <c r="Z1636">
        <v>1092.4377883150901</v>
      </c>
      <c r="AA1636">
        <v>198</v>
      </c>
      <c r="AB1636">
        <v>332</v>
      </c>
      <c r="AC1636">
        <v>536</v>
      </c>
      <c r="AD1636">
        <v>28.93</v>
      </c>
      <c r="AE1636">
        <v>542</v>
      </c>
      <c r="AF1636">
        <v>28</v>
      </c>
      <c r="AG1636">
        <v>168</v>
      </c>
      <c r="AH1636">
        <v>129</v>
      </c>
      <c r="AI1636">
        <v>5.17</v>
      </c>
      <c r="AJ1636">
        <v>31</v>
      </c>
      <c r="AK1636">
        <v>23.8</v>
      </c>
      <c r="AL1636">
        <v>-20.168394999999951</v>
      </c>
      <c r="AM1636">
        <v>-44.923548168580673</v>
      </c>
      <c r="AN1636">
        <v>-20.168394999999951</v>
      </c>
      <c r="AO1636">
        <v>-44.923548168580673</v>
      </c>
      <c r="AP1636">
        <v>-20.168237999999999</v>
      </c>
      <c r="AQ1636">
        <v>-44.924250999999998</v>
      </c>
      <c r="AR1636">
        <v>75.492755104934275</v>
      </c>
      <c r="AS1636" t="s">
        <v>65</v>
      </c>
      <c r="AT1636">
        <v>1</v>
      </c>
      <c r="AU1636" t="s">
        <v>1457</v>
      </c>
      <c r="AV1636" t="s">
        <v>1458</v>
      </c>
      <c r="AW1636" t="s">
        <v>60</v>
      </c>
      <c r="AX1636" t="s">
        <v>68</v>
      </c>
      <c r="AY1636" t="s">
        <v>69</v>
      </c>
      <c r="AZ1636" t="b">
        <v>1</v>
      </c>
    </row>
    <row r="1637" spans="1:52" x14ac:dyDescent="0.3">
      <c r="A1637" t="s">
        <v>52</v>
      </c>
      <c r="B1637" t="s">
        <v>53</v>
      </c>
      <c r="C1637" t="s">
        <v>54</v>
      </c>
      <c r="D1637" t="s">
        <v>55</v>
      </c>
      <c r="E1637" t="s">
        <v>2142</v>
      </c>
      <c r="F1637" t="s">
        <v>1247</v>
      </c>
      <c r="G1637" t="s">
        <v>1459</v>
      </c>
      <c r="H1637" t="s">
        <v>1460</v>
      </c>
      <c r="I1637" t="s">
        <v>1460</v>
      </c>
      <c r="J1637" t="s">
        <v>60</v>
      </c>
      <c r="K1637" t="s">
        <v>431</v>
      </c>
      <c r="L1637" t="s">
        <v>62</v>
      </c>
      <c r="M1637" t="s">
        <v>431</v>
      </c>
      <c r="N1637" t="s">
        <v>1461</v>
      </c>
      <c r="O1637" t="s">
        <v>1462</v>
      </c>
      <c r="P1637">
        <v>-20.170182</v>
      </c>
      <c r="Q1637">
        <v>-44.922556999999998</v>
      </c>
      <c r="R1637" s="2" t="str">
        <f>HYPERLINK("https://www.google.com/maps?q=-20.1701820,-44.9225570","Abrir no Google Maps")</f>
        <v>Abrir no Google Maps</v>
      </c>
      <c r="S1637">
        <v>2</v>
      </c>
      <c r="T1637">
        <v>1189.3885679843149</v>
      </c>
      <c r="U1637">
        <v>4</v>
      </c>
      <c r="V1637">
        <v>28</v>
      </c>
      <c r="W1637">
        <v>0.85</v>
      </c>
      <c r="X1637">
        <v>23.8</v>
      </c>
      <c r="Y1637">
        <v>723</v>
      </c>
      <c r="Z1637">
        <v>961.89164604479117</v>
      </c>
      <c r="AA1637">
        <v>198</v>
      </c>
      <c r="AB1637">
        <v>332</v>
      </c>
      <c r="AC1637">
        <v>536</v>
      </c>
      <c r="AD1637">
        <v>28.93</v>
      </c>
      <c r="AE1637">
        <v>542</v>
      </c>
      <c r="AF1637">
        <v>28</v>
      </c>
      <c r="AG1637">
        <v>168</v>
      </c>
      <c r="AH1637">
        <v>129</v>
      </c>
      <c r="AI1637">
        <v>5.17</v>
      </c>
      <c r="AJ1637">
        <v>31</v>
      </c>
      <c r="AK1637">
        <v>23.8</v>
      </c>
      <c r="AL1637">
        <v>-20.169385449999961</v>
      </c>
      <c r="AM1637">
        <v>-44.922107101898007</v>
      </c>
      <c r="AN1637">
        <v>-20.169385449999961</v>
      </c>
      <c r="AO1637">
        <v>-44.922107101898007</v>
      </c>
      <c r="AP1637">
        <v>-20.170182</v>
      </c>
      <c r="AQ1637">
        <v>-44.922556999999998</v>
      </c>
      <c r="AR1637">
        <v>100.36329580049031</v>
      </c>
      <c r="AS1637" t="s">
        <v>65</v>
      </c>
      <c r="AT1637">
        <v>1</v>
      </c>
      <c r="AU1637" t="s">
        <v>1463</v>
      </c>
      <c r="AV1637" t="s">
        <v>1458</v>
      </c>
      <c r="AW1637" t="s">
        <v>60</v>
      </c>
      <c r="AX1637" t="s">
        <v>68</v>
      </c>
      <c r="AY1637" t="s">
        <v>69</v>
      </c>
      <c r="AZ1637" t="b">
        <v>1</v>
      </c>
    </row>
    <row r="1638" spans="1:52" x14ac:dyDescent="0.3">
      <c r="A1638" t="s">
        <v>52</v>
      </c>
      <c r="B1638" t="s">
        <v>53</v>
      </c>
      <c r="C1638" t="s">
        <v>54</v>
      </c>
      <c r="D1638" t="s">
        <v>55</v>
      </c>
      <c r="E1638" t="s">
        <v>2142</v>
      </c>
      <c r="F1638" t="s">
        <v>1247</v>
      </c>
      <c r="G1638" t="s">
        <v>1464</v>
      </c>
      <c r="H1638" t="s">
        <v>1465</v>
      </c>
      <c r="I1638" t="s">
        <v>1465</v>
      </c>
      <c r="J1638" t="s">
        <v>60</v>
      </c>
      <c r="K1638" t="s">
        <v>1466</v>
      </c>
      <c r="L1638" t="s">
        <v>62</v>
      </c>
      <c r="M1638" t="s">
        <v>1466</v>
      </c>
      <c r="N1638" t="s">
        <v>1467</v>
      </c>
      <c r="O1638" t="s">
        <v>145</v>
      </c>
      <c r="P1638">
        <v>-20.160509999999999</v>
      </c>
      <c r="Q1638">
        <v>-44.884123000000002</v>
      </c>
      <c r="R1638" s="2" t="str">
        <f>HYPERLINK("https://www.google.com/maps?q=-20.1605100,-44.8841230","Abrir no Google Maps")</f>
        <v>Abrir no Google Maps</v>
      </c>
      <c r="S1638">
        <v>2</v>
      </c>
      <c r="T1638">
        <v>650.04961276595373</v>
      </c>
      <c r="U1638">
        <v>4</v>
      </c>
      <c r="V1638">
        <v>28</v>
      </c>
      <c r="W1638">
        <v>1</v>
      </c>
      <c r="X1638">
        <v>28</v>
      </c>
      <c r="Y1638">
        <v>671</v>
      </c>
      <c r="Z1638">
        <v>591.49066685698506</v>
      </c>
      <c r="AA1638">
        <v>198</v>
      </c>
      <c r="AB1638">
        <v>332</v>
      </c>
      <c r="AC1638">
        <v>536</v>
      </c>
      <c r="AD1638">
        <v>28.93</v>
      </c>
      <c r="AE1638">
        <v>542</v>
      </c>
      <c r="AF1638">
        <v>28</v>
      </c>
      <c r="AG1638">
        <v>168</v>
      </c>
      <c r="AH1638">
        <v>129</v>
      </c>
      <c r="AI1638">
        <v>5.17</v>
      </c>
      <c r="AJ1638">
        <v>31</v>
      </c>
      <c r="AK1638">
        <v>23.8</v>
      </c>
      <c r="AL1638">
        <v>-20.16056479999995</v>
      </c>
      <c r="AM1638">
        <v>-44.88424978393428</v>
      </c>
      <c r="AN1638">
        <v>-20.160564799999939</v>
      </c>
      <c r="AO1638">
        <v>-44.88424978393428</v>
      </c>
      <c r="AP1638">
        <v>-20.160509999999999</v>
      </c>
      <c r="AQ1638">
        <v>-44.884123000000002</v>
      </c>
      <c r="AR1638">
        <v>14.585823463739541</v>
      </c>
      <c r="AS1638" t="s">
        <v>65</v>
      </c>
      <c r="AT1638">
        <v>1</v>
      </c>
      <c r="AU1638" t="s">
        <v>1468</v>
      </c>
      <c r="AV1638" t="s">
        <v>1469</v>
      </c>
      <c r="AW1638" t="s">
        <v>60</v>
      </c>
      <c r="AX1638" t="s">
        <v>68</v>
      </c>
      <c r="AY1638" t="s">
        <v>69</v>
      </c>
      <c r="AZ1638" t="b">
        <v>1</v>
      </c>
    </row>
    <row r="1639" spans="1:52" x14ac:dyDescent="0.3">
      <c r="A1639" t="s">
        <v>52</v>
      </c>
      <c r="B1639" t="s">
        <v>53</v>
      </c>
      <c r="C1639" t="s">
        <v>54</v>
      </c>
      <c r="D1639" t="s">
        <v>55</v>
      </c>
      <c r="E1639" t="s">
        <v>2142</v>
      </c>
      <c r="F1639" t="s">
        <v>1247</v>
      </c>
      <c r="G1639" t="s">
        <v>1490</v>
      </c>
      <c r="H1639" t="s">
        <v>1491</v>
      </c>
      <c r="I1639" t="s">
        <v>1491</v>
      </c>
      <c r="J1639" t="s">
        <v>60</v>
      </c>
      <c r="K1639" t="s">
        <v>336</v>
      </c>
      <c r="L1639" t="s">
        <v>62</v>
      </c>
      <c r="M1639" t="s">
        <v>336</v>
      </c>
      <c r="N1639" t="s">
        <v>1492</v>
      </c>
      <c r="O1639" t="s">
        <v>842</v>
      </c>
      <c r="P1639">
        <v>-20.164228999999999</v>
      </c>
      <c r="Q1639">
        <v>-44.876455999999997</v>
      </c>
      <c r="R1639" s="2" t="str">
        <f>HYPERLINK("https://www.google.com/maps?q=-20.1642290,-44.8764560","Abrir no Google Maps")</f>
        <v>Abrir no Google Maps</v>
      </c>
      <c r="S1639">
        <v>2</v>
      </c>
      <c r="T1639">
        <v>420.00990411628987</v>
      </c>
      <c r="U1639">
        <v>4</v>
      </c>
      <c r="V1639">
        <v>23</v>
      </c>
      <c r="W1639">
        <v>1</v>
      </c>
      <c r="X1639">
        <v>23</v>
      </c>
      <c r="Y1639">
        <v>671</v>
      </c>
      <c r="Z1639">
        <v>375.90194920648611</v>
      </c>
      <c r="AA1639">
        <v>198</v>
      </c>
      <c r="AB1639">
        <v>332</v>
      </c>
      <c r="AC1639">
        <v>536</v>
      </c>
      <c r="AD1639">
        <v>28.93</v>
      </c>
      <c r="AE1639">
        <v>542</v>
      </c>
      <c r="AF1639">
        <v>28</v>
      </c>
      <c r="AG1639">
        <v>168</v>
      </c>
      <c r="AH1639">
        <v>129</v>
      </c>
      <c r="AI1639">
        <v>5.17</v>
      </c>
      <c r="AJ1639">
        <v>31</v>
      </c>
      <c r="AK1639">
        <v>23.8</v>
      </c>
      <c r="AL1639">
        <v>-20.164255749999938</v>
      </c>
      <c r="AM1639">
        <v>-44.876471676086922</v>
      </c>
      <c r="AN1639">
        <v>-20.164255749999938</v>
      </c>
      <c r="AO1639">
        <v>-44.876471676086922</v>
      </c>
      <c r="AP1639">
        <v>-20.164228999999999</v>
      </c>
      <c r="AQ1639">
        <v>-44.876455999999997</v>
      </c>
      <c r="AR1639">
        <v>3.3986375813953771</v>
      </c>
      <c r="AS1639" t="s">
        <v>65</v>
      </c>
      <c r="AT1639">
        <v>1</v>
      </c>
      <c r="AU1639" t="s">
        <v>1493</v>
      </c>
      <c r="AV1639" t="s">
        <v>1494</v>
      </c>
      <c r="AW1639" t="s">
        <v>60</v>
      </c>
      <c r="AX1639" t="s">
        <v>68</v>
      </c>
      <c r="AY1639" t="s">
        <v>69</v>
      </c>
      <c r="AZ1639" t="b">
        <v>1</v>
      </c>
    </row>
    <row r="1640" spans="1:52" x14ac:dyDescent="0.3">
      <c r="A1640" t="s">
        <v>52</v>
      </c>
      <c r="B1640" t="s">
        <v>53</v>
      </c>
      <c r="C1640" t="s">
        <v>54</v>
      </c>
      <c r="D1640" t="s">
        <v>55</v>
      </c>
      <c r="E1640" t="s">
        <v>2142</v>
      </c>
      <c r="F1640" t="s">
        <v>1247</v>
      </c>
      <c r="G1640" t="s">
        <v>1507</v>
      </c>
      <c r="H1640" t="s">
        <v>1508</v>
      </c>
      <c r="I1640" t="s">
        <v>1508</v>
      </c>
      <c r="J1640" t="s">
        <v>60</v>
      </c>
      <c r="K1640" t="s">
        <v>1466</v>
      </c>
      <c r="L1640" t="s">
        <v>62</v>
      </c>
      <c r="M1640" t="s">
        <v>1466</v>
      </c>
      <c r="N1640" t="s">
        <v>1509</v>
      </c>
      <c r="O1640" t="s">
        <v>270</v>
      </c>
      <c r="P1640">
        <v>-20.164501999999999</v>
      </c>
      <c r="Q1640">
        <v>-44.883226999999998</v>
      </c>
      <c r="R1640" s="2" t="str">
        <f>HYPERLINK("https://www.google.com/maps?q=-20.1645020,-44.8832270","Abrir no Google Maps")</f>
        <v>Abrir no Google Maps</v>
      </c>
      <c r="S1640">
        <v>2</v>
      </c>
      <c r="T1640">
        <v>691.62667420887726</v>
      </c>
      <c r="U1640">
        <v>4</v>
      </c>
      <c r="V1640">
        <v>23</v>
      </c>
      <c r="W1640">
        <v>1</v>
      </c>
      <c r="X1640">
        <v>23</v>
      </c>
      <c r="Y1640">
        <v>671</v>
      </c>
      <c r="Z1640">
        <v>591.13935302436732</v>
      </c>
      <c r="AA1640">
        <v>198</v>
      </c>
      <c r="AB1640">
        <v>332</v>
      </c>
      <c r="AC1640">
        <v>536</v>
      </c>
      <c r="AD1640">
        <v>28.93</v>
      </c>
      <c r="AE1640">
        <v>542</v>
      </c>
      <c r="AF1640">
        <v>28</v>
      </c>
      <c r="AG1640">
        <v>168</v>
      </c>
      <c r="AH1640">
        <v>129</v>
      </c>
      <c r="AI1640">
        <v>5.17</v>
      </c>
      <c r="AJ1640">
        <v>31</v>
      </c>
      <c r="AK1640">
        <v>23.8</v>
      </c>
      <c r="AL1640">
        <v>-20.164470149999939</v>
      </c>
      <c r="AM1640">
        <v>-44.883357321672527</v>
      </c>
      <c r="AN1640">
        <v>-20.164470149999939</v>
      </c>
      <c r="AO1640">
        <v>-44.883357321672527</v>
      </c>
      <c r="AP1640">
        <v>-20.164501999999999</v>
      </c>
      <c r="AQ1640">
        <v>-44.883226999999998</v>
      </c>
      <c r="AR1640">
        <v>14.072184947340521</v>
      </c>
      <c r="AS1640" t="s">
        <v>65</v>
      </c>
      <c r="AT1640">
        <v>1</v>
      </c>
      <c r="AU1640" t="s">
        <v>1510</v>
      </c>
      <c r="AV1640" t="s">
        <v>1511</v>
      </c>
      <c r="AW1640" t="s">
        <v>60</v>
      </c>
      <c r="AX1640" t="s">
        <v>68</v>
      </c>
      <c r="AY1640" t="s">
        <v>69</v>
      </c>
      <c r="AZ1640" t="b">
        <v>1</v>
      </c>
    </row>
    <row r="1641" spans="1:52" x14ac:dyDescent="0.3">
      <c r="A1641" t="s">
        <v>52</v>
      </c>
      <c r="B1641" t="s">
        <v>53</v>
      </c>
      <c r="C1641" t="s">
        <v>54</v>
      </c>
      <c r="D1641" t="s">
        <v>55</v>
      </c>
      <c r="E1641" t="s">
        <v>2142</v>
      </c>
      <c r="F1641" t="s">
        <v>1247</v>
      </c>
      <c r="G1641" t="s">
        <v>1473</v>
      </c>
      <c r="H1641" t="s">
        <v>1474</v>
      </c>
      <c r="I1641" t="s">
        <v>1474</v>
      </c>
      <c r="J1641" t="s">
        <v>60</v>
      </c>
      <c r="K1641" t="s">
        <v>1302</v>
      </c>
      <c r="L1641" t="s">
        <v>62</v>
      </c>
      <c r="M1641" t="s">
        <v>1302</v>
      </c>
      <c r="N1641" t="s">
        <v>1475</v>
      </c>
      <c r="O1641" t="s">
        <v>1476</v>
      </c>
      <c r="P1641">
        <v>-20.161372</v>
      </c>
      <c r="Q1641">
        <v>-44.914636999999999</v>
      </c>
      <c r="R1641" s="2" t="str">
        <f>HYPERLINK("https://www.google.com/maps?q=-20.1613720,-44.9146370","Abrir no Google Maps")</f>
        <v>Abrir no Google Maps</v>
      </c>
      <c r="S1641">
        <v>2</v>
      </c>
      <c r="T1641">
        <v>0</v>
      </c>
      <c r="U1641">
        <v>4</v>
      </c>
      <c r="V1641">
        <v>28</v>
      </c>
      <c r="W1641">
        <v>1</v>
      </c>
      <c r="X1641">
        <v>28</v>
      </c>
      <c r="Y1641">
        <v>639</v>
      </c>
      <c r="Z1641">
        <v>81.742669907651447</v>
      </c>
      <c r="AA1641">
        <v>198</v>
      </c>
      <c r="AB1641">
        <v>332</v>
      </c>
      <c r="AC1641">
        <v>536</v>
      </c>
      <c r="AD1641">
        <v>28.93</v>
      </c>
      <c r="AE1641">
        <v>542</v>
      </c>
      <c r="AF1641">
        <v>28</v>
      </c>
      <c r="AG1641">
        <v>168</v>
      </c>
      <c r="AH1641">
        <v>129</v>
      </c>
      <c r="AI1641">
        <v>5.17</v>
      </c>
      <c r="AJ1641">
        <v>31</v>
      </c>
      <c r="AK1641">
        <v>23.8</v>
      </c>
      <c r="AL1641">
        <v>-20.161294499999961</v>
      </c>
      <c r="AM1641">
        <v>-44.914614684493202</v>
      </c>
      <c r="AN1641">
        <v>-20.161294499999961</v>
      </c>
      <c r="AO1641">
        <v>-44.914614684493202</v>
      </c>
      <c r="AP1641">
        <v>-20.161372</v>
      </c>
      <c r="AQ1641">
        <v>-44.914636999999999</v>
      </c>
      <c r="AR1641">
        <v>8.9369058443944862</v>
      </c>
      <c r="AS1641" t="s">
        <v>65</v>
      </c>
      <c r="AT1641">
        <v>1</v>
      </c>
      <c r="AU1641" t="s">
        <v>1477</v>
      </c>
      <c r="AV1641" t="s">
        <v>1478</v>
      </c>
      <c r="AW1641" t="s">
        <v>60</v>
      </c>
      <c r="AX1641" t="s">
        <v>68</v>
      </c>
      <c r="AY1641" t="s">
        <v>69</v>
      </c>
      <c r="AZ1641" t="b">
        <v>1</v>
      </c>
    </row>
    <row r="1642" spans="1:52" x14ac:dyDescent="0.3">
      <c r="A1642" t="s">
        <v>52</v>
      </c>
      <c r="B1642" t="s">
        <v>53</v>
      </c>
      <c r="C1642" t="s">
        <v>54</v>
      </c>
      <c r="D1642" t="s">
        <v>55</v>
      </c>
      <c r="E1642" t="s">
        <v>2142</v>
      </c>
      <c r="F1642" t="s">
        <v>1247</v>
      </c>
      <c r="G1642" t="s">
        <v>1479</v>
      </c>
      <c r="H1642" t="s">
        <v>1480</v>
      </c>
      <c r="I1642" t="s">
        <v>1480</v>
      </c>
      <c r="J1642" t="s">
        <v>60</v>
      </c>
      <c r="K1642" t="s">
        <v>1302</v>
      </c>
      <c r="L1642" t="s">
        <v>62</v>
      </c>
      <c r="M1642" t="s">
        <v>1302</v>
      </c>
      <c r="N1642" t="s">
        <v>1481</v>
      </c>
      <c r="O1642" t="s">
        <v>1482</v>
      </c>
      <c r="P1642">
        <v>-20.164655</v>
      </c>
      <c r="Q1642">
        <v>-44.912697000000001</v>
      </c>
      <c r="R1642" s="2" t="str">
        <f>HYPERLINK("https://www.google.com/maps?q=-20.1646550,-44.9126970","Abrir no Google Maps")</f>
        <v>Abrir no Google Maps</v>
      </c>
      <c r="S1642">
        <v>2</v>
      </c>
      <c r="T1642">
        <v>441.50274004930441</v>
      </c>
      <c r="U1642">
        <v>4</v>
      </c>
      <c r="V1642">
        <v>31</v>
      </c>
      <c r="W1642">
        <v>1</v>
      </c>
      <c r="X1642">
        <v>31</v>
      </c>
      <c r="Y1642">
        <v>639</v>
      </c>
      <c r="Z1642">
        <v>311.03317029936522</v>
      </c>
      <c r="AA1642">
        <v>198</v>
      </c>
      <c r="AB1642">
        <v>332</v>
      </c>
      <c r="AC1642">
        <v>536</v>
      </c>
      <c r="AD1642">
        <v>28.93</v>
      </c>
      <c r="AE1642">
        <v>542</v>
      </c>
      <c r="AF1642">
        <v>28</v>
      </c>
      <c r="AG1642">
        <v>168</v>
      </c>
      <c r="AH1642">
        <v>129</v>
      </c>
      <c r="AI1642">
        <v>5.17</v>
      </c>
      <c r="AJ1642">
        <v>31</v>
      </c>
      <c r="AK1642">
        <v>23.8</v>
      </c>
      <c r="AL1642">
        <v>-20.164702999999971</v>
      </c>
      <c r="AM1642">
        <v>-44.912418857911163</v>
      </c>
      <c r="AN1642">
        <v>-20.164702999999971</v>
      </c>
      <c r="AO1642">
        <v>-44.912418857911163</v>
      </c>
      <c r="AP1642">
        <v>-20.164655</v>
      </c>
      <c r="AQ1642">
        <v>-44.912697000000001</v>
      </c>
      <c r="AR1642">
        <v>29.552017409892429</v>
      </c>
      <c r="AS1642" t="s">
        <v>65</v>
      </c>
      <c r="AT1642">
        <v>1</v>
      </c>
      <c r="AU1642" t="s">
        <v>1483</v>
      </c>
      <c r="AV1642" t="s">
        <v>1484</v>
      </c>
      <c r="AW1642" t="s">
        <v>60</v>
      </c>
      <c r="AX1642" t="s">
        <v>68</v>
      </c>
      <c r="AY1642" t="s">
        <v>69</v>
      </c>
      <c r="AZ1642" t="b">
        <v>1</v>
      </c>
    </row>
    <row r="1643" spans="1:52" x14ac:dyDescent="0.3">
      <c r="A1643" t="s">
        <v>52</v>
      </c>
      <c r="B1643" t="s">
        <v>53</v>
      </c>
      <c r="C1643" t="s">
        <v>54</v>
      </c>
      <c r="D1643" t="s">
        <v>55</v>
      </c>
      <c r="E1643" t="s">
        <v>2142</v>
      </c>
      <c r="F1643" t="s">
        <v>1247</v>
      </c>
      <c r="G1643" t="s">
        <v>1495</v>
      </c>
      <c r="H1643" t="s">
        <v>1496</v>
      </c>
      <c r="I1643" t="s">
        <v>1496</v>
      </c>
      <c r="J1643" t="s">
        <v>60</v>
      </c>
      <c r="K1643" t="s">
        <v>1466</v>
      </c>
      <c r="L1643" t="s">
        <v>62</v>
      </c>
      <c r="M1643" t="s">
        <v>1466</v>
      </c>
      <c r="N1643" t="s">
        <v>1497</v>
      </c>
      <c r="O1643" t="s">
        <v>1498</v>
      </c>
      <c r="P1643">
        <v>-20.163160999999999</v>
      </c>
      <c r="Q1643">
        <v>-44.880460999999997</v>
      </c>
      <c r="R1643" s="2" t="str">
        <f>HYPERLINK("https://www.google.com/maps?q=-20.1631610,-44.8804610","Abrir no Google Maps")</f>
        <v>Abrir no Google Maps</v>
      </c>
      <c r="S1643">
        <v>2</v>
      </c>
      <c r="T1643">
        <v>372.63783804650222</v>
      </c>
      <c r="U1643">
        <v>3</v>
      </c>
      <c r="V1643">
        <v>18</v>
      </c>
      <c r="W1643">
        <v>1</v>
      </c>
      <c r="X1643">
        <v>18</v>
      </c>
      <c r="Y1643">
        <v>671</v>
      </c>
      <c r="Z1643">
        <v>250.43144487082299</v>
      </c>
      <c r="AA1643">
        <v>198</v>
      </c>
      <c r="AB1643">
        <v>332</v>
      </c>
      <c r="AC1643">
        <v>536</v>
      </c>
      <c r="AD1643">
        <v>28.93</v>
      </c>
      <c r="AE1643">
        <v>542</v>
      </c>
      <c r="AF1643">
        <v>28</v>
      </c>
      <c r="AG1643">
        <v>168</v>
      </c>
      <c r="AH1643">
        <v>129</v>
      </c>
      <c r="AI1643">
        <v>5.17</v>
      </c>
      <c r="AJ1643">
        <v>31</v>
      </c>
      <c r="AK1643">
        <v>23.8</v>
      </c>
      <c r="AL1643">
        <v>-20.163296749999969</v>
      </c>
      <c r="AM1643">
        <v>-44.88037544059182</v>
      </c>
      <c r="AN1643">
        <v>-20.163296749999969</v>
      </c>
      <c r="AO1643">
        <v>-44.88037544059182</v>
      </c>
      <c r="AP1643">
        <v>-20.163160999999999</v>
      </c>
      <c r="AQ1643">
        <v>-44.880460999999997</v>
      </c>
      <c r="AR1643">
        <v>17.558482416121191</v>
      </c>
      <c r="AS1643" t="s">
        <v>65</v>
      </c>
      <c r="AT1643">
        <v>1</v>
      </c>
      <c r="AU1643" t="s">
        <v>1499</v>
      </c>
      <c r="AV1643" t="s">
        <v>1500</v>
      </c>
      <c r="AW1643" t="s">
        <v>60</v>
      </c>
      <c r="AX1643" t="s">
        <v>68</v>
      </c>
      <c r="AY1643" t="s">
        <v>69</v>
      </c>
      <c r="AZ1643" t="b">
        <v>1</v>
      </c>
    </row>
    <row r="1644" spans="1:52" x14ac:dyDescent="0.3">
      <c r="A1644" t="s">
        <v>52</v>
      </c>
      <c r="B1644" t="s">
        <v>53</v>
      </c>
      <c r="C1644" t="s">
        <v>54</v>
      </c>
      <c r="D1644" t="s">
        <v>55</v>
      </c>
      <c r="E1644" t="s">
        <v>2142</v>
      </c>
      <c r="F1644" t="s">
        <v>1247</v>
      </c>
      <c r="G1644" t="s">
        <v>1333</v>
      </c>
      <c r="H1644" t="s">
        <v>1470</v>
      </c>
      <c r="I1644" t="s">
        <v>1470</v>
      </c>
      <c r="J1644" t="s">
        <v>60</v>
      </c>
      <c r="K1644" t="s">
        <v>437</v>
      </c>
      <c r="L1644" t="s">
        <v>62</v>
      </c>
      <c r="M1644" t="s">
        <v>437</v>
      </c>
      <c r="N1644" t="s">
        <v>1335</v>
      </c>
      <c r="O1644" t="s">
        <v>900</v>
      </c>
      <c r="P1644">
        <v>-20.147047000000001</v>
      </c>
      <c r="Q1644">
        <v>-44.883921999999998</v>
      </c>
      <c r="R1644" s="2" t="str">
        <f>HYPERLINK("https://www.google.com/maps?q=-20.1470470,-44.8839220","Abrir no Google Maps")</f>
        <v>Abrir no Google Maps</v>
      </c>
      <c r="S1644">
        <v>2</v>
      </c>
      <c r="T1644">
        <v>296.4098018832658</v>
      </c>
      <c r="U1644">
        <v>3</v>
      </c>
      <c r="V1644">
        <v>17</v>
      </c>
      <c r="W1644">
        <v>1</v>
      </c>
      <c r="X1644">
        <v>17</v>
      </c>
      <c r="Y1644">
        <v>653</v>
      </c>
      <c r="Z1644">
        <v>299.72271006042178</v>
      </c>
      <c r="AA1644">
        <v>198</v>
      </c>
      <c r="AB1644">
        <v>332</v>
      </c>
      <c r="AC1644">
        <v>536</v>
      </c>
      <c r="AD1644">
        <v>28.93</v>
      </c>
      <c r="AE1644">
        <v>542</v>
      </c>
      <c r="AF1644">
        <v>28</v>
      </c>
      <c r="AG1644">
        <v>168</v>
      </c>
      <c r="AH1644">
        <v>129</v>
      </c>
      <c r="AI1644">
        <v>5.17</v>
      </c>
      <c r="AJ1644">
        <v>31</v>
      </c>
      <c r="AK1644">
        <v>23.8</v>
      </c>
      <c r="AL1644">
        <v>-20.147074949999929</v>
      </c>
      <c r="AM1644">
        <v>-44.883796511502347</v>
      </c>
      <c r="AN1644">
        <v>-20.147074949999929</v>
      </c>
      <c r="AO1644">
        <v>-44.883796511502347</v>
      </c>
      <c r="AP1644">
        <v>-20.147047000000001</v>
      </c>
      <c r="AQ1644">
        <v>-44.883921999999998</v>
      </c>
      <c r="AR1644">
        <v>13.47864632994</v>
      </c>
      <c r="AS1644" t="s">
        <v>65</v>
      </c>
      <c r="AT1644">
        <v>1</v>
      </c>
      <c r="AU1644" t="s">
        <v>1471</v>
      </c>
      <c r="AV1644" t="s">
        <v>1472</v>
      </c>
      <c r="AW1644" t="s">
        <v>60</v>
      </c>
      <c r="AX1644" t="s">
        <v>68</v>
      </c>
      <c r="AY1644" t="s">
        <v>69</v>
      </c>
      <c r="AZ1644" t="b">
        <v>1</v>
      </c>
    </row>
    <row r="1645" spans="1:52" x14ac:dyDescent="0.3">
      <c r="A1645" t="s">
        <v>52</v>
      </c>
      <c r="B1645" t="s">
        <v>53</v>
      </c>
      <c r="C1645" t="s">
        <v>54</v>
      </c>
      <c r="D1645" t="s">
        <v>55</v>
      </c>
      <c r="E1645" t="s">
        <v>2142</v>
      </c>
      <c r="F1645" t="s">
        <v>1247</v>
      </c>
      <c r="G1645" t="s">
        <v>1512</v>
      </c>
      <c r="H1645" t="s">
        <v>1513</v>
      </c>
      <c r="I1645" t="s">
        <v>1513</v>
      </c>
      <c r="J1645" t="s">
        <v>60</v>
      </c>
      <c r="K1645" t="s">
        <v>1302</v>
      </c>
      <c r="L1645" t="s">
        <v>62</v>
      </c>
      <c r="M1645" t="s">
        <v>1302</v>
      </c>
      <c r="N1645" t="s">
        <v>1514</v>
      </c>
      <c r="O1645" t="s">
        <v>1515</v>
      </c>
      <c r="P1645">
        <v>-20.163709000000001</v>
      </c>
      <c r="Q1645">
        <v>-44.916074999999999</v>
      </c>
      <c r="R1645" s="2" t="str">
        <f>HYPERLINK("https://www.google.com/maps?q=-20.1637090,-44.9160750","Abrir no Google Maps")</f>
        <v>Abrir no Google Maps</v>
      </c>
      <c r="S1645">
        <v>2</v>
      </c>
      <c r="T1645">
        <v>305.09593452131332</v>
      </c>
      <c r="U1645">
        <v>3</v>
      </c>
      <c r="V1645">
        <v>18</v>
      </c>
      <c r="W1645">
        <v>1</v>
      </c>
      <c r="X1645">
        <v>18</v>
      </c>
      <c r="Y1645">
        <v>639</v>
      </c>
      <c r="Z1645">
        <v>289.37841230131949</v>
      </c>
      <c r="AA1645">
        <v>198</v>
      </c>
      <c r="AB1645">
        <v>332</v>
      </c>
      <c r="AC1645">
        <v>536</v>
      </c>
      <c r="AD1645">
        <v>28.93</v>
      </c>
      <c r="AE1645">
        <v>542</v>
      </c>
      <c r="AF1645">
        <v>28</v>
      </c>
      <c r="AG1645">
        <v>168</v>
      </c>
      <c r="AH1645">
        <v>129</v>
      </c>
      <c r="AI1645">
        <v>5.17</v>
      </c>
      <c r="AJ1645">
        <v>31</v>
      </c>
      <c r="AK1645">
        <v>23.8</v>
      </c>
      <c r="AL1645">
        <v>-20.163666449999969</v>
      </c>
      <c r="AM1645">
        <v>-44.916102906827042</v>
      </c>
      <c r="AN1645">
        <v>-20.163666449999969</v>
      </c>
      <c r="AO1645">
        <v>-44.916102906827042</v>
      </c>
      <c r="AP1645">
        <v>-20.163709000000001</v>
      </c>
      <c r="AQ1645">
        <v>-44.916074999999999</v>
      </c>
      <c r="AR1645">
        <v>5.5623892025550603</v>
      </c>
      <c r="AS1645" t="s">
        <v>65</v>
      </c>
      <c r="AT1645">
        <v>1</v>
      </c>
      <c r="AU1645" t="s">
        <v>1516</v>
      </c>
      <c r="AV1645" t="s">
        <v>1517</v>
      </c>
      <c r="AW1645" t="s">
        <v>60</v>
      </c>
      <c r="AX1645" t="s">
        <v>68</v>
      </c>
      <c r="AY1645" t="s">
        <v>69</v>
      </c>
      <c r="AZ1645" t="b">
        <v>1</v>
      </c>
    </row>
    <row r="1646" spans="1:52" x14ac:dyDescent="0.3">
      <c r="A1646" t="s">
        <v>52</v>
      </c>
      <c r="B1646" t="s">
        <v>53</v>
      </c>
      <c r="C1646" t="s">
        <v>54</v>
      </c>
      <c r="D1646" t="s">
        <v>55</v>
      </c>
      <c r="E1646" t="s">
        <v>2142</v>
      </c>
      <c r="F1646" t="s">
        <v>1247</v>
      </c>
      <c r="G1646" t="s">
        <v>1524</v>
      </c>
      <c r="H1646" t="s">
        <v>1525</v>
      </c>
      <c r="I1646" t="s">
        <v>1525</v>
      </c>
      <c r="J1646" t="s">
        <v>60</v>
      </c>
      <c r="K1646" t="s">
        <v>1302</v>
      </c>
      <c r="L1646" t="s">
        <v>62</v>
      </c>
      <c r="M1646" t="s">
        <v>1302</v>
      </c>
      <c r="N1646" t="s">
        <v>1526</v>
      </c>
      <c r="O1646" t="s">
        <v>303</v>
      </c>
      <c r="P1646">
        <v>-20.159873000000001</v>
      </c>
      <c r="Q1646">
        <v>-44.911431999999998</v>
      </c>
      <c r="R1646" s="2" t="str">
        <f>HYPERLINK("https://www.google.com/maps?q=-20.1598730,-44.9114320","Abrir no Google Maps")</f>
        <v>Abrir no Google Maps</v>
      </c>
      <c r="S1646">
        <v>2</v>
      </c>
      <c r="T1646">
        <v>359.34785817593553</v>
      </c>
      <c r="U1646">
        <v>3</v>
      </c>
      <c r="V1646">
        <v>19</v>
      </c>
      <c r="W1646">
        <v>1</v>
      </c>
      <c r="X1646">
        <v>19</v>
      </c>
      <c r="Y1646">
        <v>639</v>
      </c>
      <c r="Z1646">
        <v>388.13505700247691</v>
      </c>
      <c r="AA1646">
        <v>198</v>
      </c>
      <c r="AB1646">
        <v>332</v>
      </c>
      <c r="AC1646">
        <v>536</v>
      </c>
      <c r="AD1646">
        <v>28.93</v>
      </c>
      <c r="AE1646">
        <v>542</v>
      </c>
      <c r="AF1646">
        <v>28</v>
      </c>
      <c r="AG1646">
        <v>168</v>
      </c>
      <c r="AH1646">
        <v>129</v>
      </c>
      <c r="AI1646">
        <v>5.17</v>
      </c>
      <c r="AJ1646">
        <v>31</v>
      </c>
      <c r="AK1646">
        <v>23.8</v>
      </c>
      <c r="AL1646">
        <v>-20.159583599999969</v>
      </c>
      <c r="AM1646">
        <v>-44.911691929105316</v>
      </c>
      <c r="AN1646">
        <v>-20.159583599999969</v>
      </c>
      <c r="AO1646">
        <v>-44.911691929105316</v>
      </c>
      <c r="AP1646">
        <v>-20.159873000000001</v>
      </c>
      <c r="AQ1646">
        <v>-44.911431999999998</v>
      </c>
      <c r="AR1646">
        <v>42.138811218570019</v>
      </c>
      <c r="AS1646" t="s">
        <v>65</v>
      </c>
      <c r="AT1646">
        <v>1</v>
      </c>
      <c r="AU1646" t="s">
        <v>1527</v>
      </c>
      <c r="AV1646" t="s">
        <v>1528</v>
      </c>
      <c r="AW1646" t="s">
        <v>60</v>
      </c>
      <c r="AX1646" t="s">
        <v>68</v>
      </c>
      <c r="AY1646" t="s">
        <v>69</v>
      </c>
      <c r="AZ1646" t="b">
        <v>1</v>
      </c>
    </row>
    <row r="1647" spans="1:52" x14ac:dyDescent="0.3">
      <c r="A1647" t="s">
        <v>52</v>
      </c>
      <c r="B1647" t="s">
        <v>53</v>
      </c>
      <c r="C1647" t="s">
        <v>54</v>
      </c>
      <c r="D1647" t="s">
        <v>55</v>
      </c>
      <c r="E1647" t="s">
        <v>2142</v>
      </c>
      <c r="F1647" t="s">
        <v>1247</v>
      </c>
      <c r="G1647" t="s">
        <v>1547</v>
      </c>
      <c r="H1647" t="s">
        <v>1548</v>
      </c>
      <c r="I1647" t="s">
        <v>1548</v>
      </c>
      <c r="J1647" t="s">
        <v>60</v>
      </c>
      <c r="K1647" t="s">
        <v>1549</v>
      </c>
      <c r="L1647" t="s">
        <v>62</v>
      </c>
      <c r="M1647" t="s">
        <v>1549</v>
      </c>
      <c r="N1647" t="s">
        <v>1550</v>
      </c>
      <c r="O1647" t="s">
        <v>1551</v>
      </c>
      <c r="P1647">
        <v>-20.173258000000001</v>
      </c>
      <c r="Q1647">
        <v>-44.930354000000001</v>
      </c>
      <c r="R1647" s="2" t="str">
        <f>HYPERLINK("https://www.google.com/maps?q=-20.1732580,-44.9303540","Abrir no Google Maps")</f>
        <v>Abrir no Google Maps</v>
      </c>
      <c r="S1647">
        <v>2</v>
      </c>
      <c r="T1647">
        <v>2023.802197028052</v>
      </c>
      <c r="U1647">
        <v>2</v>
      </c>
      <c r="V1647">
        <v>16</v>
      </c>
      <c r="W1647">
        <v>0.85</v>
      </c>
      <c r="X1647">
        <v>13.6</v>
      </c>
      <c r="Y1647">
        <v>723</v>
      </c>
      <c r="Z1647">
        <v>1727.7445576555911</v>
      </c>
      <c r="AA1647">
        <v>198</v>
      </c>
      <c r="AB1647">
        <v>332</v>
      </c>
      <c r="AC1647">
        <v>536</v>
      </c>
      <c r="AD1647">
        <v>28.93</v>
      </c>
      <c r="AE1647">
        <v>542</v>
      </c>
      <c r="AF1647">
        <v>28</v>
      </c>
      <c r="AG1647">
        <v>168</v>
      </c>
      <c r="AH1647">
        <v>129</v>
      </c>
      <c r="AI1647">
        <v>5.17</v>
      </c>
      <c r="AJ1647">
        <v>31</v>
      </c>
      <c r="AK1647">
        <v>23.8</v>
      </c>
      <c r="AL1647">
        <v>-20.172996449999939</v>
      </c>
      <c r="AM1647">
        <v>-44.930058436825973</v>
      </c>
      <c r="AN1647">
        <v>-20.172996449999939</v>
      </c>
      <c r="AO1647">
        <v>-44.930058436825973</v>
      </c>
      <c r="AP1647">
        <v>-20.173258000000001</v>
      </c>
      <c r="AQ1647">
        <v>-44.930354000000001</v>
      </c>
      <c r="AR1647">
        <v>42.444455141884362</v>
      </c>
      <c r="AS1647" t="s">
        <v>65</v>
      </c>
      <c r="AT1647">
        <v>1</v>
      </c>
      <c r="AU1647" t="s">
        <v>1552</v>
      </c>
      <c r="AV1647" t="s">
        <v>1553</v>
      </c>
      <c r="AW1647" t="s">
        <v>60</v>
      </c>
      <c r="AX1647" t="s">
        <v>68</v>
      </c>
      <c r="AY1647" t="s">
        <v>69</v>
      </c>
      <c r="AZ1647" t="b">
        <v>1</v>
      </c>
    </row>
    <row r="1648" spans="1:52" x14ac:dyDescent="0.3">
      <c r="A1648" t="s">
        <v>52</v>
      </c>
      <c r="B1648" t="s">
        <v>53</v>
      </c>
      <c r="C1648" t="s">
        <v>54</v>
      </c>
      <c r="D1648" t="s">
        <v>55</v>
      </c>
      <c r="E1648" t="s">
        <v>2142</v>
      </c>
      <c r="F1648" t="s">
        <v>1247</v>
      </c>
      <c r="G1648" t="s">
        <v>1464</v>
      </c>
      <c r="H1648" t="s">
        <v>1485</v>
      </c>
      <c r="I1648" t="s">
        <v>1485</v>
      </c>
      <c r="J1648" t="s">
        <v>60</v>
      </c>
      <c r="K1648" t="s">
        <v>1486</v>
      </c>
      <c r="L1648" t="s">
        <v>62</v>
      </c>
      <c r="M1648" t="s">
        <v>1486</v>
      </c>
      <c r="N1648" t="s">
        <v>1467</v>
      </c>
      <c r="O1648" t="s">
        <v>1487</v>
      </c>
      <c r="P1648">
        <v>-20.162842000000001</v>
      </c>
      <c r="Q1648">
        <v>-44.883769999999998</v>
      </c>
      <c r="R1648" s="2" t="str">
        <f>HYPERLINK("https://www.google.com/maps?q=-20.1628420,-44.8837700","Abrir no Google Maps")</f>
        <v>Abrir no Google Maps</v>
      </c>
      <c r="S1648">
        <v>2</v>
      </c>
      <c r="T1648">
        <v>659.67909450906006</v>
      </c>
      <c r="U1648">
        <v>2</v>
      </c>
      <c r="V1648">
        <v>12</v>
      </c>
      <c r="W1648">
        <v>1</v>
      </c>
      <c r="X1648">
        <v>12</v>
      </c>
      <c r="Y1648">
        <v>671</v>
      </c>
      <c r="Z1648">
        <v>566.23107864368092</v>
      </c>
      <c r="AA1648">
        <v>198</v>
      </c>
      <c r="AB1648">
        <v>332</v>
      </c>
      <c r="AC1648">
        <v>536</v>
      </c>
      <c r="AD1648">
        <v>28.93</v>
      </c>
      <c r="AE1648">
        <v>542</v>
      </c>
      <c r="AF1648">
        <v>28</v>
      </c>
      <c r="AG1648">
        <v>168</v>
      </c>
      <c r="AH1648">
        <v>129</v>
      </c>
      <c r="AI1648">
        <v>5.17</v>
      </c>
      <c r="AJ1648">
        <v>31</v>
      </c>
      <c r="AK1648">
        <v>23.8</v>
      </c>
      <c r="AL1648">
        <v>-20.162791299999949</v>
      </c>
      <c r="AM1648">
        <v>-44.883966852092939</v>
      </c>
      <c r="AN1648">
        <v>-20.162791299999949</v>
      </c>
      <c r="AO1648">
        <v>-44.883966852092939</v>
      </c>
      <c r="AP1648">
        <v>-20.162842000000001</v>
      </c>
      <c r="AQ1648">
        <v>-44.883769999999998</v>
      </c>
      <c r="AR1648">
        <v>21.33085532825611</v>
      </c>
      <c r="AS1648" t="s">
        <v>65</v>
      </c>
      <c r="AT1648">
        <v>1</v>
      </c>
      <c r="AU1648" t="s">
        <v>1488</v>
      </c>
      <c r="AV1648" t="s">
        <v>1489</v>
      </c>
      <c r="AW1648" t="s">
        <v>60</v>
      </c>
      <c r="AX1648" t="s">
        <v>68</v>
      </c>
      <c r="AY1648" t="s">
        <v>69</v>
      </c>
      <c r="AZ1648" t="b">
        <v>1</v>
      </c>
    </row>
    <row r="1649" spans="1:52" x14ac:dyDescent="0.3">
      <c r="A1649" t="s">
        <v>52</v>
      </c>
      <c r="B1649" t="s">
        <v>53</v>
      </c>
      <c r="C1649" t="s">
        <v>54</v>
      </c>
      <c r="D1649" t="s">
        <v>55</v>
      </c>
      <c r="E1649" t="s">
        <v>2142</v>
      </c>
      <c r="F1649" t="s">
        <v>1247</v>
      </c>
      <c r="G1649" t="s">
        <v>1501</v>
      </c>
      <c r="H1649" t="s">
        <v>1502</v>
      </c>
      <c r="I1649" t="s">
        <v>1502</v>
      </c>
      <c r="J1649" t="s">
        <v>60</v>
      </c>
      <c r="K1649" t="s">
        <v>1466</v>
      </c>
      <c r="L1649" t="s">
        <v>62</v>
      </c>
      <c r="M1649" t="s">
        <v>1466</v>
      </c>
      <c r="N1649" t="s">
        <v>1503</v>
      </c>
      <c r="O1649" t="s">
        <v>1504</v>
      </c>
      <c r="P1649">
        <v>-20.159618999999999</v>
      </c>
      <c r="Q1649">
        <v>-44.880065000000002</v>
      </c>
      <c r="R1649" s="2" t="str">
        <f>HYPERLINK("https://www.google.com/maps?q=-20.1596190,-44.8800650","Abrir no Google Maps")</f>
        <v>Abrir no Google Maps</v>
      </c>
      <c r="S1649">
        <v>2</v>
      </c>
      <c r="T1649">
        <v>243.9950282285559</v>
      </c>
      <c r="U1649">
        <v>2</v>
      </c>
      <c r="V1649">
        <v>14</v>
      </c>
      <c r="W1649">
        <v>1</v>
      </c>
      <c r="X1649">
        <v>14</v>
      </c>
      <c r="Y1649">
        <v>671</v>
      </c>
      <c r="Z1649">
        <v>265.31354384517681</v>
      </c>
      <c r="AA1649">
        <v>198</v>
      </c>
      <c r="AB1649">
        <v>332</v>
      </c>
      <c r="AC1649">
        <v>536</v>
      </c>
      <c r="AD1649">
        <v>28.93</v>
      </c>
      <c r="AE1649">
        <v>542</v>
      </c>
      <c r="AF1649">
        <v>28</v>
      </c>
      <c r="AG1649">
        <v>168</v>
      </c>
      <c r="AH1649">
        <v>129</v>
      </c>
      <c r="AI1649">
        <v>5.17</v>
      </c>
      <c r="AJ1649">
        <v>31</v>
      </c>
      <c r="AK1649">
        <v>23.8</v>
      </c>
      <c r="AL1649">
        <v>-20.159689949999969</v>
      </c>
      <c r="AM1649">
        <v>-44.880075072344489</v>
      </c>
      <c r="AN1649">
        <v>-20.159689949999969</v>
      </c>
      <c r="AO1649">
        <v>-44.880075072344489</v>
      </c>
      <c r="AP1649">
        <v>-20.159618999999999</v>
      </c>
      <c r="AQ1649">
        <v>-44.880065000000002</v>
      </c>
      <c r="AR1649">
        <v>7.9679809486040876</v>
      </c>
      <c r="AS1649" t="s">
        <v>65</v>
      </c>
      <c r="AT1649">
        <v>1</v>
      </c>
      <c r="AU1649" t="s">
        <v>1505</v>
      </c>
      <c r="AV1649" t="s">
        <v>1506</v>
      </c>
      <c r="AW1649" t="s">
        <v>60</v>
      </c>
      <c r="AX1649" t="s">
        <v>68</v>
      </c>
      <c r="AY1649" t="s">
        <v>69</v>
      </c>
      <c r="AZ1649" t="b">
        <v>1</v>
      </c>
    </row>
    <row r="1650" spans="1:52" x14ac:dyDescent="0.3">
      <c r="A1650" t="s">
        <v>52</v>
      </c>
      <c r="B1650" t="s">
        <v>53</v>
      </c>
      <c r="C1650" t="s">
        <v>54</v>
      </c>
      <c r="D1650" t="s">
        <v>55</v>
      </c>
      <c r="E1650" t="s">
        <v>2142</v>
      </c>
      <c r="F1650" t="s">
        <v>1247</v>
      </c>
      <c r="G1650" t="s">
        <v>1534</v>
      </c>
      <c r="H1650" t="s">
        <v>1535</v>
      </c>
      <c r="I1650" t="s">
        <v>1535</v>
      </c>
      <c r="J1650" t="s">
        <v>60</v>
      </c>
      <c r="K1650" t="s">
        <v>1536</v>
      </c>
      <c r="L1650" t="s">
        <v>62</v>
      </c>
      <c r="M1650" t="s">
        <v>1536</v>
      </c>
      <c r="N1650" t="s">
        <v>1537</v>
      </c>
      <c r="O1650" t="s">
        <v>1538</v>
      </c>
      <c r="P1650">
        <v>-20.164618999999998</v>
      </c>
      <c r="Q1650">
        <v>-44.921776999999999</v>
      </c>
      <c r="R1650" s="2" t="str">
        <f>HYPERLINK("https://www.google.com/maps?q=-20.1646190,-44.9217770","Abrir no Google Maps")</f>
        <v>Abrir no Google Maps</v>
      </c>
      <c r="S1650">
        <v>2</v>
      </c>
      <c r="T1650">
        <v>835.70698013544222</v>
      </c>
      <c r="U1650">
        <v>2</v>
      </c>
      <c r="V1650">
        <v>14</v>
      </c>
      <c r="W1650">
        <v>0.85</v>
      </c>
      <c r="X1650">
        <v>11.9</v>
      </c>
      <c r="Y1650">
        <v>639</v>
      </c>
      <c r="Z1650">
        <v>821.59880323911125</v>
      </c>
      <c r="AA1650">
        <v>198</v>
      </c>
      <c r="AB1650">
        <v>332</v>
      </c>
      <c r="AC1650">
        <v>536</v>
      </c>
      <c r="AD1650">
        <v>28.93</v>
      </c>
      <c r="AE1650">
        <v>542</v>
      </c>
      <c r="AF1650">
        <v>28</v>
      </c>
      <c r="AG1650">
        <v>168</v>
      </c>
      <c r="AH1650">
        <v>129</v>
      </c>
      <c r="AI1650">
        <v>5.17</v>
      </c>
      <c r="AJ1650">
        <v>31</v>
      </c>
      <c r="AK1650">
        <v>23.8</v>
      </c>
      <c r="AL1650">
        <v>-20.164312499999969</v>
      </c>
      <c r="AM1650">
        <v>-44.921945691824099</v>
      </c>
      <c r="AN1650">
        <v>-20.164312499999969</v>
      </c>
      <c r="AO1650">
        <v>-44.921945691824099</v>
      </c>
      <c r="AP1650">
        <v>-20.164618999999998</v>
      </c>
      <c r="AQ1650">
        <v>-44.921776999999999</v>
      </c>
      <c r="AR1650">
        <v>38.404224975746608</v>
      </c>
      <c r="AS1650" t="s">
        <v>65</v>
      </c>
      <c r="AT1650">
        <v>1</v>
      </c>
      <c r="AU1650" t="s">
        <v>1539</v>
      </c>
      <c r="AV1650" t="s">
        <v>1540</v>
      </c>
      <c r="AW1650" t="s">
        <v>60</v>
      </c>
      <c r="AX1650" t="s">
        <v>68</v>
      </c>
      <c r="AY1650" t="s">
        <v>69</v>
      </c>
      <c r="AZ1650" t="b">
        <v>1</v>
      </c>
    </row>
    <row r="1651" spans="1:52" x14ac:dyDescent="0.3">
      <c r="A1651" t="s">
        <v>52</v>
      </c>
      <c r="B1651" t="s">
        <v>53</v>
      </c>
      <c r="C1651" t="s">
        <v>54</v>
      </c>
      <c r="D1651" t="s">
        <v>55</v>
      </c>
      <c r="E1651" t="s">
        <v>2142</v>
      </c>
      <c r="F1651" t="s">
        <v>1247</v>
      </c>
      <c r="G1651" t="s">
        <v>1541</v>
      </c>
      <c r="H1651" t="s">
        <v>1542</v>
      </c>
      <c r="I1651" t="s">
        <v>1542</v>
      </c>
      <c r="J1651" t="s">
        <v>60</v>
      </c>
      <c r="K1651" t="s">
        <v>1302</v>
      </c>
      <c r="L1651" t="s">
        <v>62</v>
      </c>
      <c r="M1651" t="s">
        <v>1302</v>
      </c>
      <c r="N1651" t="s">
        <v>1543</v>
      </c>
      <c r="O1651" t="s">
        <v>1544</v>
      </c>
      <c r="P1651">
        <v>-20.166267999999999</v>
      </c>
      <c r="Q1651">
        <v>-44.916902</v>
      </c>
      <c r="R1651" s="2" t="str">
        <f>HYPERLINK("https://www.google.com/maps?q=-20.1662680,-44.9169020","Abrir no Google Maps")</f>
        <v>Abrir no Google Maps</v>
      </c>
      <c r="S1651">
        <v>2</v>
      </c>
      <c r="T1651">
        <v>580.14556008922216</v>
      </c>
      <c r="U1651">
        <v>2</v>
      </c>
      <c r="V1651">
        <v>13</v>
      </c>
      <c r="W1651">
        <v>0.85</v>
      </c>
      <c r="X1651">
        <v>11.05</v>
      </c>
      <c r="Y1651">
        <v>639</v>
      </c>
      <c r="Z1651">
        <v>590.87477783185614</v>
      </c>
      <c r="AA1651">
        <v>198</v>
      </c>
      <c r="AB1651">
        <v>332</v>
      </c>
      <c r="AC1651">
        <v>536</v>
      </c>
      <c r="AD1651">
        <v>28.93</v>
      </c>
      <c r="AE1651">
        <v>542</v>
      </c>
      <c r="AF1651">
        <v>28</v>
      </c>
      <c r="AG1651">
        <v>168</v>
      </c>
      <c r="AH1651">
        <v>129</v>
      </c>
      <c r="AI1651">
        <v>5.17</v>
      </c>
      <c r="AJ1651">
        <v>31</v>
      </c>
      <c r="AK1651">
        <v>23.8</v>
      </c>
      <c r="AL1651">
        <v>-20.165891749999961</v>
      </c>
      <c r="AM1651">
        <v>-44.917283075074913</v>
      </c>
      <c r="AN1651">
        <v>-20.165891749999961</v>
      </c>
      <c r="AO1651">
        <v>-44.917283075074913</v>
      </c>
      <c r="AP1651">
        <v>-20.166267999999999</v>
      </c>
      <c r="AQ1651">
        <v>-44.916902</v>
      </c>
      <c r="AR1651">
        <v>57.792534087281872</v>
      </c>
      <c r="AS1651" t="s">
        <v>65</v>
      </c>
      <c r="AT1651">
        <v>1</v>
      </c>
      <c r="AU1651" t="s">
        <v>1545</v>
      </c>
      <c r="AV1651" t="s">
        <v>1546</v>
      </c>
      <c r="AW1651" t="s">
        <v>60</v>
      </c>
      <c r="AX1651" t="s">
        <v>68</v>
      </c>
      <c r="AY1651" t="s">
        <v>69</v>
      </c>
      <c r="AZ1651" t="b">
        <v>1</v>
      </c>
    </row>
    <row r="1652" spans="1:52" x14ac:dyDescent="0.3">
      <c r="A1652" t="s">
        <v>52</v>
      </c>
      <c r="B1652" t="s">
        <v>53</v>
      </c>
      <c r="C1652" t="s">
        <v>54</v>
      </c>
      <c r="D1652" t="s">
        <v>55</v>
      </c>
      <c r="E1652" t="s">
        <v>2142</v>
      </c>
      <c r="F1652" t="s">
        <v>1247</v>
      </c>
      <c r="G1652" t="s">
        <v>1554</v>
      </c>
      <c r="H1652" t="s">
        <v>1555</v>
      </c>
      <c r="I1652" t="s">
        <v>1555</v>
      </c>
      <c r="J1652" t="s">
        <v>60</v>
      </c>
      <c r="K1652" t="s">
        <v>1466</v>
      </c>
      <c r="L1652" t="s">
        <v>62</v>
      </c>
      <c r="M1652" t="s">
        <v>1466</v>
      </c>
      <c r="N1652" t="s">
        <v>1556</v>
      </c>
      <c r="O1652" t="s">
        <v>989</v>
      </c>
      <c r="P1652">
        <v>-20.160997999999999</v>
      </c>
      <c r="Q1652">
        <v>-44.878385999999999</v>
      </c>
      <c r="R1652" s="2" t="str">
        <f>HYPERLINK("https://www.google.com/maps?q=-20.1609980,-44.8783860","Abrir no Google Maps")</f>
        <v>Abrir no Google Maps</v>
      </c>
      <c r="S1652">
        <v>2</v>
      </c>
      <c r="T1652">
        <v>0</v>
      </c>
      <c r="U1652">
        <v>1</v>
      </c>
      <c r="V1652">
        <v>7</v>
      </c>
      <c r="W1652">
        <v>0.85</v>
      </c>
      <c r="X1652">
        <v>5.95</v>
      </c>
      <c r="Y1652">
        <v>671</v>
      </c>
      <c r="Z1652">
        <v>74.014802531188664</v>
      </c>
      <c r="AA1652">
        <v>198</v>
      </c>
      <c r="AB1652">
        <v>332</v>
      </c>
      <c r="AC1652">
        <v>536</v>
      </c>
      <c r="AD1652">
        <v>28.93</v>
      </c>
      <c r="AE1652">
        <v>542</v>
      </c>
      <c r="AF1652">
        <v>28</v>
      </c>
      <c r="AG1652">
        <v>168</v>
      </c>
      <c r="AH1652">
        <v>129</v>
      </c>
      <c r="AI1652">
        <v>5.17</v>
      </c>
      <c r="AJ1652">
        <v>31</v>
      </c>
      <c r="AK1652">
        <v>23.8</v>
      </c>
      <c r="AL1652">
        <v>-20.160758199999979</v>
      </c>
      <c r="AM1652">
        <v>-44.878032519747983</v>
      </c>
      <c r="AN1652">
        <v>-20.160758199999979</v>
      </c>
      <c r="AO1652">
        <v>-44.878032519747983</v>
      </c>
      <c r="AP1652">
        <v>-20.160997999999999</v>
      </c>
      <c r="AQ1652">
        <v>-44.878385999999999</v>
      </c>
      <c r="AR1652">
        <v>45.574638830261883</v>
      </c>
      <c r="AS1652" t="s">
        <v>65</v>
      </c>
      <c r="AT1652">
        <v>1</v>
      </c>
      <c r="AU1652" t="s">
        <v>1557</v>
      </c>
      <c r="AV1652" t="s">
        <v>1558</v>
      </c>
      <c r="AW1652" t="s">
        <v>60</v>
      </c>
      <c r="AX1652" t="s">
        <v>68</v>
      </c>
      <c r="AY1652" t="s">
        <v>69</v>
      </c>
      <c r="AZ1652" t="b">
        <v>1</v>
      </c>
    </row>
    <row r="1653" spans="1:52" x14ac:dyDescent="0.3">
      <c r="A1653" t="s">
        <v>52</v>
      </c>
      <c r="B1653" t="s">
        <v>53</v>
      </c>
      <c r="C1653" t="s">
        <v>54</v>
      </c>
      <c r="D1653" t="s">
        <v>55</v>
      </c>
      <c r="E1653" t="s">
        <v>2142</v>
      </c>
      <c r="F1653" t="s">
        <v>1247</v>
      </c>
      <c r="G1653" t="s">
        <v>1529</v>
      </c>
      <c r="H1653" t="s">
        <v>1530</v>
      </c>
      <c r="I1653" t="s">
        <v>1530</v>
      </c>
      <c r="J1653" t="s">
        <v>60</v>
      </c>
      <c r="K1653" t="s">
        <v>1466</v>
      </c>
      <c r="L1653" t="s">
        <v>62</v>
      </c>
      <c r="M1653" t="s">
        <v>1466</v>
      </c>
      <c r="N1653" t="s">
        <v>1531</v>
      </c>
      <c r="O1653" t="s">
        <v>145</v>
      </c>
      <c r="P1653">
        <v>-20.162952000000001</v>
      </c>
      <c r="Q1653">
        <v>-44.877612999999997</v>
      </c>
      <c r="R1653" s="2" t="str">
        <f>HYPERLINK("https://www.google.com/maps?q=-20.1629520,-44.8776130","Abrir no Google Maps")</f>
        <v>Abrir no Google Maps</v>
      </c>
      <c r="S1653">
        <v>2</v>
      </c>
      <c r="T1653">
        <v>229.91388913695721</v>
      </c>
      <c r="U1653">
        <v>1</v>
      </c>
      <c r="V1653">
        <v>7</v>
      </c>
      <c r="W1653">
        <v>0.85</v>
      </c>
      <c r="X1653">
        <v>5.95</v>
      </c>
      <c r="Y1653">
        <v>671</v>
      </c>
      <c r="Z1653">
        <v>157.6775523644973</v>
      </c>
      <c r="AA1653">
        <v>198</v>
      </c>
      <c r="AB1653">
        <v>332</v>
      </c>
      <c r="AC1653">
        <v>536</v>
      </c>
      <c r="AD1653">
        <v>28.93</v>
      </c>
      <c r="AE1653">
        <v>542</v>
      </c>
      <c r="AF1653">
        <v>28</v>
      </c>
      <c r="AG1653">
        <v>168</v>
      </c>
      <c r="AH1653">
        <v>129</v>
      </c>
      <c r="AI1653">
        <v>5.17</v>
      </c>
      <c r="AJ1653">
        <v>31</v>
      </c>
      <c r="AK1653">
        <v>23.8</v>
      </c>
      <c r="AL1653">
        <v>-20.16278829999996</v>
      </c>
      <c r="AM1653">
        <v>-44.877564655204168</v>
      </c>
      <c r="AN1653">
        <v>-20.16278829999996</v>
      </c>
      <c r="AO1653">
        <v>-44.877564655204168</v>
      </c>
      <c r="AP1653">
        <v>-20.162952000000001</v>
      </c>
      <c r="AQ1653">
        <v>-44.877612999999997</v>
      </c>
      <c r="AR1653">
        <v>18.91038935762678</v>
      </c>
      <c r="AS1653" t="s">
        <v>65</v>
      </c>
      <c r="AT1653">
        <v>1</v>
      </c>
      <c r="AU1653" t="s">
        <v>1532</v>
      </c>
      <c r="AV1653" t="s">
        <v>1533</v>
      </c>
      <c r="AW1653" t="s">
        <v>60</v>
      </c>
      <c r="AX1653" t="s">
        <v>68</v>
      </c>
      <c r="AY1653" t="s">
        <v>69</v>
      </c>
      <c r="AZ1653" t="b">
        <v>1</v>
      </c>
    </row>
    <row r="1654" spans="1:52" x14ac:dyDescent="0.3">
      <c r="A1654" t="s">
        <v>52</v>
      </c>
      <c r="B1654" t="s">
        <v>53</v>
      </c>
      <c r="C1654" t="s">
        <v>54</v>
      </c>
      <c r="D1654" t="s">
        <v>55</v>
      </c>
      <c r="E1654" t="s">
        <v>2142</v>
      </c>
      <c r="F1654" t="s">
        <v>1247</v>
      </c>
      <c r="G1654" t="s">
        <v>1518</v>
      </c>
      <c r="H1654" t="s">
        <v>1519</v>
      </c>
      <c r="I1654" t="s">
        <v>1519</v>
      </c>
      <c r="J1654" t="s">
        <v>60</v>
      </c>
      <c r="K1654" t="s">
        <v>1302</v>
      </c>
      <c r="L1654" t="s">
        <v>62</v>
      </c>
      <c r="M1654" t="s">
        <v>1302</v>
      </c>
      <c r="N1654" t="s">
        <v>1520</v>
      </c>
      <c r="O1654" t="s">
        <v>1521</v>
      </c>
      <c r="P1654">
        <v>-20.16263</v>
      </c>
      <c r="Q1654">
        <v>-44.910342999999997</v>
      </c>
      <c r="R1654" s="2" t="str">
        <f>HYPERLINK("https://www.google.com/maps?q=-20.1626300,-44.9103430","Abrir no Google Maps")</f>
        <v>Abrir no Google Maps</v>
      </c>
      <c r="S1654">
        <v>2</v>
      </c>
      <c r="T1654">
        <v>492.63980270666781</v>
      </c>
      <c r="U1654">
        <v>1</v>
      </c>
      <c r="V1654">
        <v>8</v>
      </c>
      <c r="W1654">
        <v>1</v>
      </c>
      <c r="X1654">
        <v>8</v>
      </c>
      <c r="Y1654">
        <v>639</v>
      </c>
      <c r="Z1654">
        <v>412.49960371731271</v>
      </c>
      <c r="AA1654">
        <v>198</v>
      </c>
      <c r="AB1654">
        <v>332</v>
      </c>
      <c r="AC1654">
        <v>536</v>
      </c>
      <c r="AD1654">
        <v>28.93</v>
      </c>
      <c r="AE1654">
        <v>542</v>
      </c>
      <c r="AF1654">
        <v>28</v>
      </c>
      <c r="AG1654">
        <v>168</v>
      </c>
      <c r="AH1654">
        <v>129</v>
      </c>
      <c r="AI1654">
        <v>5.17</v>
      </c>
      <c r="AJ1654">
        <v>31</v>
      </c>
      <c r="AK1654">
        <v>23.8</v>
      </c>
      <c r="AL1654">
        <v>-20.162579949999952</v>
      </c>
      <c r="AM1654">
        <v>-44.910101148008863</v>
      </c>
      <c r="AN1654">
        <v>-20.162579949999952</v>
      </c>
      <c r="AO1654">
        <v>-44.910101148008863</v>
      </c>
      <c r="AP1654">
        <v>-20.16263</v>
      </c>
      <c r="AQ1654">
        <v>-44.910342999999997</v>
      </c>
      <c r="AR1654">
        <v>25.879932474893501</v>
      </c>
      <c r="AS1654" t="s">
        <v>65</v>
      </c>
      <c r="AT1654">
        <v>1</v>
      </c>
      <c r="AU1654" t="s">
        <v>1522</v>
      </c>
      <c r="AV1654" t="s">
        <v>1523</v>
      </c>
      <c r="AW1654" t="s">
        <v>60</v>
      </c>
      <c r="AX1654" t="s">
        <v>68</v>
      </c>
      <c r="AY1654" t="s">
        <v>69</v>
      </c>
      <c r="AZ1654" t="b">
        <v>1</v>
      </c>
    </row>
    <row r="1655" spans="1:52" x14ac:dyDescent="0.3">
      <c r="A1655" t="s">
        <v>52</v>
      </c>
      <c r="B1655" t="s">
        <v>53</v>
      </c>
      <c r="C1655" t="s">
        <v>54</v>
      </c>
      <c r="D1655" t="s">
        <v>55</v>
      </c>
      <c r="E1655" t="s">
        <v>2142</v>
      </c>
      <c r="F1655" t="s">
        <v>1247</v>
      </c>
      <c r="G1655" t="s">
        <v>1559</v>
      </c>
      <c r="H1655" t="s">
        <v>1560</v>
      </c>
      <c r="I1655" t="s">
        <v>1560</v>
      </c>
      <c r="J1655" t="s">
        <v>60</v>
      </c>
      <c r="K1655" t="s">
        <v>61</v>
      </c>
      <c r="L1655" t="s">
        <v>62</v>
      </c>
      <c r="M1655" t="s">
        <v>61</v>
      </c>
      <c r="N1655" t="s">
        <v>1561</v>
      </c>
      <c r="O1655" t="s">
        <v>1562</v>
      </c>
      <c r="P1655">
        <v>-20.154959000000002</v>
      </c>
      <c r="Q1655">
        <v>-44.91525</v>
      </c>
      <c r="R1655" s="2" t="str">
        <f>HYPERLINK("https://www.google.com/maps?q=-20.1549590,-44.9152500","Abrir no Google Maps")</f>
        <v>Abrir no Google Maps</v>
      </c>
      <c r="S1655">
        <v>2</v>
      </c>
      <c r="T1655">
        <v>738.36411213380245</v>
      </c>
      <c r="U1655">
        <v>1</v>
      </c>
      <c r="V1655">
        <v>0</v>
      </c>
      <c r="W1655">
        <v>0.85</v>
      </c>
      <c r="X1655">
        <v>0</v>
      </c>
      <c r="Y1655">
        <v>639</v>
      </c>
      <c r="Z1655">
        <v>860.82840850294542</v>
      </c>
      <c r="AA1655">
        <v>198</v>
      </c>
      <c r="AB1655">
        <v>332</v>
      </c>
      <c r="AC1655">
        <v>536</v>
      </c>
      <c r="AD1655">
        <v>28.93</v>
      </c>
      <c r="AE1655">
        <v>542</v>
      </c>
      <c r="AF1655">
        <v>28</v>
      </c>
      <c r="AG1655">
        <v>168</v>
      </c>
      <c r="AH1655">
        <v>129</v>
      </c>
      <c r="AI1655">
        <v>5.17</v>
      </c>
      <c r="AJ1655">
        <v>31</v>
      </c>
      <c r="AK1655">
        <v>23.8</v>
      </c>
      <c r="AL1655">
        <v>-20.154629849999939</v>
      </c>
      <c r="AM1655">
        <v>-44.914951620624052</v>
      </c>
      <c r="AN1655">
        <v>-20.154629849999939</v>
      </c>
      <c r="AO1655">
        <v>-44.914951620624052</v>
      </c>
      <c r="AP1655">
        <v>-20.154959000000002</v>
      </c>
      <c r="AQ1655">
        <v>-44.91525</v>
      </c>
      <c r="AR1655">
        <v>48.11297170616912</v>
      </c>
      <c r="AS1655" t="s">
        <v>65</v>
      </c>
      <c r="AT1655">
        <v>1</v>
      </c>
      <c r="AU1655" t="s">
        <v>1563</v>
      </c>
      <c r="AV1655" t="s">
        <v>1564</v>
      </c>
      <c r="AW1655" t="s">
        <v>60</v>
      </c>
      <c r="AX1655" t="s">
        <v>68</v>
      </c>
      <c r="AY1655" t="s">
        <v>69</v>
      </c>
      <c r="AZ1655" t="b">
        <v>1</v>
      </c>
    </row>
    <row r="1656" spans="1:52" x14ac:dyDescent="0.3">
      <c r="A1656" t="s">
        <v>52</v>
      </c>
      <c r="B1656" t="s">
        <v>53</v>
      </c>
      <c r="C1656" t="s">
        <v>54</v>
      </c>
      <c r="D1656" t="s">
        <v>55</v>
      </c>
      <c r="E1656" t="s">
        <v>2142</v>
      </c>
      <c r="F1656" t="s">
        <v>1247</v>
      </c>
      <c r="G1656" t="s">
        <v>1607</v>
      </c>
      <c r="H1656" t="s">
        <v>1608</v>
      </c>
      <c r="I1656" t="s">
        <v>1608</v>
      </c>
      <c r="J1656" t="s">
        <v>60</v>
      </c>
      <c r="K1656" t="s">
        <v>1486</v>
      </c>
      <c r="L1656" t="s">
        <v>62</v>
      </c>
      <c r="M1656" t="s">
        <v>1486</v>
      </c>
      <c r="N1656" t="s">
        <v>1609</v>
      </c>
      <c r="O1656" t="s">
        <v>1255</v>
      </c>
      <c r="P1656">
        <v>-20.157689000000001</v>
      </c>
      <c r="Q1656">
        <v>-44.883887000000001</v>
      </c>
      <c r="R1656" s="2" t="str">
        <f>HYPERLINK("https://www.google.com/maps?q=-20.1576890,-44.8838870","Abrir no Google Maps")</f>
        <v>Abrir no Google Maps</v>
      </c>
      <c r="S1656">
        <v>1</v>
      </c>
      <c r="T1656">
        <v>603.38424821205774</v>
      </c>
      <c r="U1656">
        <v>4</v>
      </c>
      <c r="V1656">
        <v>30</v>
      </c>
      <c r="W1656">
        <v>1</v>
      </c>
      <c r="X1656">
        <v>30</v>
      </c>
      <c r="Y1656">
        <v>671</v>
      </c>
      <c r="Z1656">
        <v>682.48636898467089</v>
      </c>
      <c r="AA1656">
        <v>198</v>
      </c>
      <c r="AB1656">
        <v>332</v>
      </c>
      <c r="AC1656">
        <v>536</v>
      </c>
      <c r="AD1656">
        <v>28.93</v>
      </c>
      <c r="AE1656">
        <v>542</v>
      </c>
      <c r="AF1656">
        <v>28</v>
      </c>
      <c r="AG1656">
        <v>168</v>
      </c>
      <c r="AH1656">
        <v>129</v>
      </c>
      <c r="AI1656">
        <v>5.17</v>
      </c>
      <c r="AJ1656">
        <v>31</v>
      </c>
      <c r="AK1656">
        <v>23.8</v>
      </c>
      <c r="AL1656">
        <v>-20.157732249999949</v>
      </c>
      <c r="AM1656">
        <v>-44.883829923283272</v>
      </c>
      <c r="AN1656">
        <v>-20.157732249999949</v>
      </c>
      <c r="AO1656">
        <v>-44.883829923283272</v>
      </c>
      <c r="AP1656">
        <v>-20.157689000000001</v>
      </c>
      <c r="AQ1656">
        <v>-44.883887000000001</v>
      </c>
      <c r="AR1656">
        <v>7.6652901074925257</v>
      </c>
      <c r="AS1656" t="s">
        <v>65</v>
      </c>
      <c r="AT1656">
        <v>1</v>
      </c>
      <c r="AU1656" t="s">
        <v>1610</v>
      </c>
      <c r="AV1656" t="s">
        <v>1611</v>
      </c>
      <c r="AW1656" t="s">
        <v>60</v>
      </c>
      <c r="AX1656" t="s">
        <v>68</v>
      </c>
      <c r="AY1656" t="s">
        <v>69</v>
      </c>
      <c r="AZ1656" t="b">
        <v>1</v>
      </c>
    </row>
    <row r="1657" spans="1:52" x14ac:dyDescent="0.3">
      <c r="A1657" t="s">
        <v>52</v>
      </c>
      <c r="B1657" t="s">
        <v>53</v>
      </c>
      <c r="C1657" t="s">
        <v>54</v>
      </c>
      <c r="D1657" t="s">
        <v>55</v>
      </c>
      <c r="E1657" t="s">
        <v>2142</v>
      </c>
      <c r="F1657" t="s">
        <v>1247</v>
      </c>
      <c r="G1657" t="s">
        <v>1578</v>
      </c>
      <c r="H1657" t="s">
        <v>1579</v>
      </c>
      <c r="I1657" t="s">
        <v>1579</v>
      </c>
      <c r="J1657" t="s">
        <v>60</v>
      </c>
      <c r="K1657" t="s">
        <v>530</v>
      </c>
      <c r="L1657" t="s">
        <v>62</v>
      </c>
      <c r="M1657" t="s">
        <v>530</v>
      </c>
      <c r="N1657" t="s">
        <v>1580</v>
      </c>
      <c r="O1657" t="s">
        <v>1581</v>
      </c>
      <c r="P1657">
        <v>-20.143713999999999</v>
      </c>
      <c r="Q1657">
        <v>-44.897387999999999</v>
      </c>
      <c r="R1657" s="2" t="str">
        <f>HYPERLINK("https://www.google.com/maps?q=-20.1437140,-44.8973880","Abrir no Google Maps")</f>
        <v>Abrir no Google Maps</v>
      </c>
      <c r="S1657">
        <v>1</v>
      </c>
      <c r="T1657">
        <v>354.74438118735611</v>
      </c>
      <c r="U1657">
        <v>4</v>
      </c>
      <c r="V1657">
        <v>27</v>
      </c>
      <c r="W1657">
        <v>1</v>
      </c>
      <c r="X1657">
        <v>27</v>
      </c>
      <c r="Y1657">
        <v>588</v>
      </c>
      <c r="Z1657">
        <v>336.29881064197872</v>
      </c>
      <c r="AA1657">
        <v>198</v>
      </c>
      <c r="AB1657">
        <v>332</v>
      </c>
      <c r="AC1657">
        <v>536</v>
      </c>
      <c r="AD1657">
        <v>28.93</v>
      </c>
      <c r="AE1657">
        <v>542</v>
      </c>
      <c r="AF1657">
        <v>28</v>
      </c>
      <c r="AG1657">
        <v>168</v>
      </c>
      <c r="AH1657">
        <v>129</v>
      </c>
      <c r="AI1657">
        <v>5.17</v>
      </c>
      <c r="AJ1657">
        <v>31</v>
      </c>
      <c r="AK1657">
        <v>23.8</v>
      </c>
      <c r="AL1657">
        <v>-20.14371329999997</v>
      </c>
      <c r="AM1657">
        <v>-44.897384604125257</v>
      </c>
      <c r="AN1657">
        <v>-20.14371329999997</v>
      </c>
      <c r="AO1657">
        <v>-44.897384604125257</v>
      </c>
      <c r="AP1657">
        <v>-20.143713999999999</v>
      </c>
      <c r="AQ1657">
        <v>-44.897387999999999</v>
      </c>
      <c r="AR1657">
        <v>0.36335934693921551</v>
      </c>
      <c r="AS1657" t="s">
        <v>65</v>
      </c>
      <c r="AT1657">
        <v>1</v>
      </c>
      <c r="AU1657" t="s">
        <v>1582</v>
      </c>
      <c r="AV1657" t="s">
        <v>1583</v>
      </c>
      <c r="AW1657" t="s">
        <v>60</v>
      </c>
      <c r="AX1657" t="s">
        <v>68</v>
      </c>
      <c r="AY1657" t="s">
        <v>69</v>
      </c>
      <c r="AZ1657" t="b">
        <v>1</v>
      </c>
    </row>
    <row r="1658" spans="1:52" x14ac:dyDescent="0.3">
      <c r="A1658" t="s">
        <v>52</v>
      </c>
      <c r="B1658" t="s">
        <v>53</v>
      </c>
      <c r="C1658" t="s">
        <v>54</v>
      </c>
      <c r="D1658" t="s">
        <v>55</v>
      </c>
      <c r="E1658" t="s">
        <v>2142</v>
      </c>
      <c r="F1658" t="s">
        <v>1247</v>
      </c>
      <c r="G1658" t="s">
        <v>1584</v>
      </c>
      <c r="H1658" t="s">
        <v>1585</v>
      </c>
      <c r="I1658" t="s">
        <v>1585</v>
      </c>
      <c r="J1658" t="s">
        <v>60</v>
      </c>
      <c r="K1658" t="s">
        <v>530</v>
      </c>
      <c r="L1658" t="s">
        <v>62</v>
      </c>
      <c r="M1658" t="s">
        <v>530</v>
      </c>
      <c r="N1658" t="s">
        <v>406</v>
      </c>
      <c r="O1658" t="s">
        <v>1586</v>
      </c>
      <c r="P1658">
        <v>-20.141316</v>
      </c>
      <c r="Q1658">
        <v>-44.896424000000003</v>
      </c>
      <c r="R1658" s="2" t="str">
        <f>HYPERLINK("https://www.google.com/maps?q=-20.1413160,-44.8964240","Abrir no Google Maps")</f>
        <v>Abrir no Google Maps</v>
      </c>
      <c r="S1658">
        <v>1</v>
      </c>
      <c r="T1658">
        <v>236.6687095166524</v>
      </c>
      <c r="U1658">
        <v>4</v>
      </c>
      <c r="V1658">
        <v>28</v>
      </c>
      <c r="W1658">
        <v>1</v>
      </c>
      <c r="X1658">
        <v>28</v>
      </c>
      <c r="Y1658">
        <v>588</v>
      </c>
      <c r="Z1658">
        <v>255.50729797374251</v>
      </c>
      <c r="AA1658">
        <v>198</v>
      </c>
      <c r="AB1658">
        <v>332</v>
      </c>
      <c r="AC1658">
        <v>536</v>
      </c>
      <c r="AD1658">
        <v>28.93</v>
      </c>
      <c r="AE1658">
        <v>542</v>
      </c>
      <c r="AF1658">
        <v>28</v>
      </c>
      <c r="AG1658">
        <v>168</v>
      </c>
      <c r="AH1658">
        <v>129</v>
      </c>
      <c r="AI1658">
        <v>5.17</v>
      </c>
      <c r="AJ1658">
        <v>31</v>
      </c>
      <c r="AK1658">
        <v>23.8</v>
      </c>
      <c r="AL1658">
        <v>-20.141468299999961</v>
      </c>
      <c r="AM1658">
        <v>-44.896566678331098</v>
      </c>
      <c r="AN1658">
        <v>-20.141468299999961</v>
      </c>
      <c r="AO1658">
        <v>-44.896566678331098</v>
      </c>
      <c r="AP1658">
        <v>-20.141316</v>
      </c>
      <c r="AQ1658">
        <v>-44.896424000000003</v>
      </c>
      <c r="AR1658">
        <v>22.578666373759301</v>
      </c>
      <c r="AS1658" t="s">
        <v>65</v>
      </c>
      <c r="AT1658">
        <v>1</v>
      </c>
      <c r="AU1658" t="s">
        <v>1587</v>
      </c>
      <c r="AV1658" t="s">
        <v>1588</v>
      </c>
      <c r="AW1658" t="s">
        <v>60</v>
      </c>
      <c r="AX1658" t="s">
        <v>68</v>
      </c>
      <c r="AY1658" t="s">
        <v>69</v>
      </c>
      <c r="AZ1658" t="b">
        <v>1</v>
      </c>
    </row>
    <row r="1659" spans="1:52" x14ac:dyDescent="0.3">
      <c r="A1659" t="s">
        <v>52</v>
      </c>
      <c r="B1659" t="s">
        <v>53</v>
      </c>
      <c r="C1659" t="s">
        <v>54</v>
      </c>
      <c r="D1659" t="s">
        <v>55</v>
      </c>
      <c r="E1659" t="s">
        <v>2142</v>
      </c>
      <c r="F1659" t="s">
        <v>1247</v>
      </c>
      <c r="G1659" t="s">
        <v>1584</v>
      </c>
      <c r="H1659" t="s">
        <v>1604</v>
      </c>
      <c r="I1659" t="s">
        <v>1604</v>
      </c>
      <c r="J1659" t="s">
        <v>60</v>
      </c>
      <c r="K1659" t="s">
        <v>530</v>
      </c>
      <c r="L1659" t="s">
        <v>62</v>
      </c>
      <c r="M1659" t="s">
        <v>530</v>
      </c>
      <c r="N1659" t="s">
        <v>406</v>
      </c>
      <c r="O1659" t="s">
        <v>1267</v>
      </c>
      <c r="P1659">
        <v>-20.147068000000001</v>
      </c>
      <c r="Q1659">
        <v>-44.898629999999997</v>
      </c>
      <c r="R1659" s="2" t="str">
        <f>HYPERLINK("https://www.google.com/maps?q=-20.1470680,-44.8986300","Abrir no Google Maps")</f>
        <v>Abrir no Google Maps</v>
      </c>
      <c r="S1659">
        <v>1</v>
      </c>
      <c r="T1659">
        <v>468.5580266389448</v>
      </c>
      <c r="U1659">
        <v>4</v>
      </c>
      <c r="V1659">
        <v>26</v>
      </c>
      <c r="W1659">
        <v>1</v>
      </c>
      <c r="X1659">
        <v>26</v>
      </c>
      <c r="Y1659">
        <v>556</v>
      </c>
      <c r="Z1659">
        <v>447.77738134922419</v>
      </c>
      <c r="AA1659">
        <v>198</v>
      </c>
      <c r="AB1659">
        <v>332</v>
      </c>
      <c r="AC1659">
        <v>536</v>
      </c>
      <c r="AD1659">
        <v>28.93</v>
      </c>
      <c r="AE1659">
        <v>542</v>
      </c>
      <c r="AF1659">
        <v>28</v>
      </c>
      <c r="AG1659">
        <v>168</v>
      </c>
      <c r="AH1659">
        <v>129</v>
      </c>
      <c r="AI1659">
        <v>5.17</v>
      </c>
      <c r="AJ1659">
        <v>31</v>
      </c>
      <c r="AK1659">
        <v>23.8</v>
      </c>
      <c r="AL1659">
        <v>-20.14701759999997</v>
      </c>
      <c r="AM1659">
        <v>-44.898633710342303</v>
      </c>
      <c r="AN1659">
        <v>-20.14701759999997</v>
      </c>
      <c r="AO1659">
        <v>-44.898633710342303</v>
      </c>
      <c r="AP1659">
        <v>-20.147068000000001</v>
      </c>
      <c r="AQ1659">
        <v>-44.898629999999997</v>
      </c>
      <c r="AR1659">
        <v>5.6239118246064832</v>
      </c>
      <c r="AS1659" t="s">
        <v>65</v>
      </c>
      <c r="AT1659">
        <v>1</v>
      </c>
      <c r="AU1659" t="s">
        <v>1605</v>
      </c>
      <c r="AV1659" t="s">
        <v>1606</v>
      </c>
      <c r="AW1659" t="s">
        <v>60</v>
      </c>
      <c r="AX1659" t="s">
        <v>68</v>
      </c>
      <c r="AY1659" t="s">
        <v>69</v>
      </c>
      <c r="AZ1659" t="b">
        <v>1</v>
      </c>
    </row>
    <row r="1660" spans="1:52" x14ac:dyDescent="0.3">
      <c r="A1660" t="s">
        <v>52</v>
      </c>
      <c r="B1660" t="s">
        <v>53</v>
      </c>
      <c r="C1660" t="s">
        <v>54</v>
      </c>
      <c r="D1660" t="s">
        <v>55</v>
      </c>
      <c r="E1660" t="s">
        <v>2142</v>
      </c>
      <c r="F1660" t="s">
        <v>1247</v>
      </c>
      <c r="G1660" t="s">
        <v>631</v>
      </c>
      <c r="H1660" t="s">
        <v>1565</v>
      </c>
      <c r="I1660" t="s">
        <v>1565</v>
      </c>
      <c r="J1660" t="s">
        <v>60</v>
      </c>
      <c r="K1660" t="s">
        <v>530</v>
      </c>
      <c r="L1660" t="s">
        <v>62</v>
      </c>
      <c r="M1660" t="s">
        <v>530</v>
      </c>
      <c r="N1660" t="s">
        <v>633</v>
      </c>
      <c r="O1660" t="s">
        <v>1566</v>
      </c>
      <c r="P1660">
        <v>-20.143915</v>
      </c>
      <c r="Q1660">
        <v>-44.8947</v>
      </c>
      <c r="R1660" s="2" t="str">
        <f>HYPERLINK("https://www.google.com/maps?q=-20.1439150,-44.8947000","Abrir no Google Maps")</f>
        <v>Abrir no Google Maps</v>
      </c>
      <c r="S1660">
        <v>1</v>
      </c>
      <c r="T1660">
        <v>327.74435325417051</v>
      </c>
      <c r="U1660">
        <v>3</v>
      </c>
      <c r="V1660">
        <v>20</v>
      </c>
      <c r="W1660">
        <v>1</v>
      </c>
      <c r="X1660">
        <v>20</v>
      </c>
      <c r="Y1660">
        <v>602</v>
      </c>
      <c r="Z1660">
        <v>236.41345279429891</v>
      </c>
      <c r="AA1660">
        <v>198</v>
      </c>
      <c r="AB1660">
        <v>332</v>
      </c>
      <c r="AC1660">
        <v>536</v>
      </c>
      <c r="AD1660">
        <v>28.93</v>
      </c>
      <c r="AE1660">
        <v>542</v>
      </c>
      <c r="AF1660">
        <v>28</v>
      </c>
      <c r="AG1660">
        <v>168</v>
      </c>
      <c r="AH1660">
        <v>129</v>
      </c>
      <c r="AI1660">
        <v>5.17</v>
      </c>
      <c r="AJ1660">
        <v>31</v>
      </c>
      <c r="AK1660">
        <v>23.8</v>
      </c>
      <c r="AL1660">
        <v>-20.143900549999959</v>
      </c>
      <c r="AM1660">
        <v>-44.894835636584318</v>
      </c>
      <c r="AN1660">
        <v>-20.143900549999959</v>
      </c>
      <c r="AO1660">
        <v>-44.894835636584318</v>
      </c>
      <c r="AP1660">
        <v>-20.143915</v>
      </c>
      <c r="AQ1660">
        <v>-44.8947</v>
      </c>
      <c r="AR1660">
        <v>14.266440053785869</v>
      </c>
      <c r="AS1660" t="s">
        <v>65</v>
      </c>
      <c r="AT1660">
        <v>1</v>
      </c>
      <c r="AU1660" t="s">
        <v>1567</v>
      </c>
      <c r="AV1660" t="s">
        <v>1568</v>
      </c>
      <c r="AW1660" t="s">
        <v>60</v>
      </c>
      <c r="AX1660" t="s">
        <v>68</v>
      </c>
      <c r="AY1660" t="s">
        <v>69</v>
      </c>
      <c r="AZ1660" t="b">
        <v>1</v>
      </c>
    </row>
    <row r="1661" spans="1:52" x14ac:dyDescent="0.3">
      <c r="A1661" t="s">
        <v>52</v>
      </c>
      <c r="B1661" t="s">
        <v>53</v>
      </c>
      <c r="C1661" t="s">
        <v>54</v>
      </c>
      <c r="D1661" t="s">
        <v>55</v>
      </c>
      <c r="E1661" t="s">
        <v>2142</v>
      </c>
      <c r="F1661" t="s">
        <v>1247</v>
      </c>
      <c r="G1661" t="s">
        <v>1569</v>
      </c>
      <c r="H1661" t="s">
        <v>1570</v>
      </c>
      <c r="I1661" t="s">
        <v>1570</v>
      </c>
      <c r="J1661" t="s">
        <v>60</v>
      </c>
      <c r="K1661" t="s">
        <v>530</v>
      </c>
      <c r="L1661" t="s">
        <v>62</v>
      </c>
      <c r="M1661" t="s">
        <v>530</v>
      </c>
      <c r="N1661" t="s">
        <v>1571</v>
      </c>
      <c r="O1661" t="s">
        <v>598</v>
      </c>
      <c r="P1661">
        <v>-20.146418000000001</v>
      </c>
      <c r="Q1661">
        <v>-44.893861999999999</v>
      </c>
      <c r="R1661" s="2" t="str">
        <f>HYPERLINK("https://www.google.com/maps?q=-20.1464180,-44.8938620","Abrir no Google Maps")</f>
        <v>Abrir no Google Maps</v>
      </c>
      <c r="S1661">
        <v>1</v>
      </c>
      <c r="T1661">
        <v>0</v>
      </c>
      <c r="U1661">
        <v>3</v>
      </c>
      <c r="V1661">
        <v>19</v>
      </c>
      <c r="W1661">
        <v>0.85</v>
      </c>
      <c r="X1661">
        <v>16.149999999999999</v>
      </c>
      <c r="Y1661">
        <v>602</v>
      </c>
      <c r="Z1661">
        <v>124.5475134899211</v>
      </c>
      <c r="AA1661">
        <v>198</v>
      </c>
      <c r="AB1661">
        <v>332</v>
      </c>
      <c r="AC1661">
        <v>536</v>
      </c>
      <c r="AD1661">
        <v>28.93</v>
      </c>
      <c r="AE1661">
        <v>542</v>
      </c>
      <c r="AF1661">
        <v>28</v>
      </c>
      <c r="AG1661">
        <v>168</v>
      </c>
      <c r="AH1661">
        <v>129</v>
      </c>
      <c r="AI1661">
        <v>5.17</v>
      </c>
      <c r="AJ1661">
        <v>31</v>
      </c>
      <c r="AK1661">
        <v>23.8</v>
      </c>
      <c r="AL1661">
        <v>-20.146753399999941</v>
      </c>
      <c r="AM1661">
        <v>-44.893993355901941</v>
      </c>
      <c r="AN1661">
        <v>-20.146753399999941</v>
      </c>
      <c r="AO1661">
        <v>-44.893993355901941</v>
      </c>
      <c r="AP1661">
        <v>-20.146418000000001</v>
      </c>
      <c r="AQ1661">
        <v>-44.893861999999999</v>
      </c>
      <c r="AR1661">
        <v>39.780457157851913</v>
      </c>
      <c r="AS1661" t="s">
        <v>65</v>
      </c>
      <c r="AT1661">
        <v>1</v>
      </c>
      <c r="AU1661" t="s">
        <v>1572</v>
      </c>
      <c r="AV1661" t="s">
        <v>1573</v>
      </c>
      <c r="AW1661" t="s">
        <v>60</v>
      </c>
      <c r="AX1661" t="s">
        <v>68</v>
      </c>
      <c r="AY1661" t="s">
        <v>69</v>
      </c>
      <c r="AZ1661" t="b">
        <v>1</v>
      </c>
    </row>
    <row r="1662" spans="1:52" x14ac:dyDescent="0.3">
      <c r="A1662" t="s">
        <v>52</v>
      </c>
      <c r="B1662" t="s">
        <v>53</v>
      </c>
      <c r="C1662" t="s">
        <v>54</v>
      </c>
      <c r="D1662" t="s">
        <v>55</v>
      </c>
      <c r="E1662" t="s">
        <v>2142</v>
      </c>
      <c r="F1662" t="s">
        <v>1247</v>
      </c>
      <c r="G1662" t="s">
        <v>1569</v>
      </c>
      <c r="H1662" t="s">
        <v>1574</v>
      </c>
      <c r="I1662" t="s">
        <v>1574</v>
      </c>
      <c r="J1662" t="s">
        <v>60</v>
      </c>
      <c r="K1662" t="s">
        <v>530</v>
      </c>
      <c r="L1662" t="s">
        <v>62</v>
      </c>
      <c r="M1662" t="s">
        <v>530</v>
      </c>
      <c r="N1662" t="s">
        <v>1571</v>
      </c>
      <c r="O1662" t="s">
        <v>1575</v>
      </c>
      <c r="P1662">
        <v>-20.14554</v>
      </c>
      <c r="Q1662">
        <v>-44.895606000000001</v>
      </c>
      <c r="R1662" s="2" t="str">
        <f>HYPERLINK("https://www.google.com/maps?q=-20.1455400,-44.8956060","Abrir no Google Maps")</f>
        <v>Abrir no Google Maps</v>
      </c>
      <c r="S1662">
        <v>1</v>
      </c>
      <c r="T1662">
        <v>218.66647838959381</v>
      </c>
      <c r="U1662">
        <v>3</v>
      </c>
      <c r="V1662">
        <v>17</v>
      </c>
      <c r="W1662">
        <v>1</v>
      </c>
      <c r="X1662">
        <v>17</v>
      </c>
      <c r="Y1662">
        <v>602</v>
      </c>
      <c r="Z1662">
        <v>263.6501043391637</v>
      </c>
      <c r="AA1662">
        <v>198</v>
      </c>
      <c r="AB1662">
        <v>332</v>
      </c>
      <c r="AC1662">
        <v>536</v>
      </c>
      <c r="AD1662">
        <v>28.93</v>
      </c>
      <c r="AE1662">
        <v>542</v>
      </c>
      <c r="AF1662">
        <v>28</v>
      </c>
      <c r="AG1662">
        <v>168</v>
      </c>
      <c r="AH1662">
        <v>129</v>
      </c>
      <c r="AI1662">
        <v>5.17</v>
      </c>
      <c r="AJ1662">
        <v>31</v>
      </c>
      <c r="AK1662">
        <v>23.8</v>
      </c>
      <c r="AL1662">
        <v>-20.145504749999962</v>
      </c>
      <c r="AM1662">
        <v>-44.89561499588882</v>
      </c>
      <c r="AN1662">
        <v>-20.145504749999962</v>
      </c>
      <c r="AO1662">
        <v>-44.89561499588882</v>
      </c>
      <c r="AP1662">
        <v>-20.14554</v>
      </c>
      <c r="AQ1662">
        <v>-44.895606000000001</v>
      </c>
      <c r="AR1662">
        <v>4.0350843151508604</v>
      </c>
      <c r="AS1662" t="s">
        <v>65</v>
      </c>
      <c r="AT1662">
        <v>1</v>
      </c>
      <c r="AU1662" t="s">
        <v>1576</v>
      </c>
      <c r="AV1662" t="s">
        <v>1577</v>
      </c>
      <c r="AW1662" t="s">
        <v>60</v>
      </c>
      <c r="AX1662" t="s">
        <v>68</v>
      </c>
      <c r="AY1662" t="s">
        <v>69</v>
      </c>
      <c r="AZ1662" t="b">
        <v>1</v>
      </c>
    </row>
    <row r="1663" spans="1:52" x14ac:dyDescent="0.3">
      <c r="A1663" t="s">
        <v>52</v>
      </c>
      <c r="B1663" t="s">
        <v>53</v>
      </c>
      <c r="C1663" t="s">
        <v>54</v>
      </c>
      <c r="D1663" t="s">
        <v>55</v>
      </c>
      <c r="E1663" t="s">
        <v>2142</v>
      </c>
      <c r="F1663" t="s">
        <v>1247</v>
      </c>
      <c r="G1663" t="s">
        <v>1589</v>
      </c>
      <c r="H1663" t="s">
        <v>1590</v>
      </c>
      <c r="I1663" t="s">
        <v>1590</v>
      </c>
      <c r="J1663" t="s">
        <v>60</v>
      </c>
      <c r="K1663" t="s">
        <v>1591</v>
      </c>
      <c r="L1663" t="s">
        <v>62</v>
      </c>
      <c r="M1663" t="s">
        <v>1591</v>
      </c>
      <c r="N1663" t="s">
        <v>1592</v>
      </c>
      <c r="O1663" t="s">
        <v>659</v>
      </c>
      <c r="P1663">
        <v>-20.140789000000002</v>
      </c>
      <c r="Q1663">
        <v>-44.898631000000002</v>
      </c>
      <c r="R1663" s="2" t="str">
        <f>HYPERLINK("https://www.google.com/maps?q=-20.1407890,-44.8986310","Abrir no Google Maps")</f>
        <v>Abrir no Google Maps</v>
      </c>
      <c r="S1663">
        <v>1</v>
      </c>
      <c r="T1663">
        <v>0</v>
      </c>
      <c r="U1663">
        <v>3</v>
      </c>
      <c r="V1663">
        <v>20</v>
      </c>
      <c r="W1663">
        <v>1</v>
      </c>
      <c r="X1663">
        <v>20</v>
      </c>
      <c r="Y1663">
        <v>588</v>
      </c>
      <c r="Z1663">
        <v>51.152636251897107</v>
      </c>
      <c r="AA1663">
        <v>198</v>
      </c>
      <c r="AB1663">
        <v>332</v>
      </c>
      <c r="AC1663">
        <v>536</v>
      </c>
      <c r="AD1663">
        <v>28.93</v>
      </c>
      <c r="AE1663">
        <v>542</v>
      </c>
      <c r="AF1663">
        <v>28</v>
      </c>
      <c r="AG1663">
        <v>168</v>
      </c>
      <c r="AH1663">
        <v>129</v>
      </c>
      <c r="AI1663">
        <v>5.17</v>
      </c>
      <c r="AJ1663">
        <v>31</v>
      </c>
      <c r="AK1663">
        <v>23.8</v>
      </c>
      <c r="AL1663">
        <v>-20.140759399999951</v>
      </c>
      <c r="AM1663">
        <v>-44.898703172474903</v>
      </c>
      <c r="AN1663">
        <v>-20.140759399999951</v>
      </c>
      <c r="AO1663">
        <v>-44.898703172474903</v>
      </c>
      <c r="AP1663">
        <v>-20.140789000000002</v>
      </c>
      <c r="AQ1663">
        <v>-44.898631000000002</v>
      </c>
      <c r="AR1663">
        <v>8.2312502179962053</v>
      </c>
      <c r="AS1663" t="s">
        <v>65</v>
      </c>
      <c r="AT1663">
        <v>1</v>
      </c>
      <c r="AU1663" t="s">
        <v>1593</v>
      </c>
      <c r="AV1663" t="s">
        <v>1594</v>
      </c>
      <c r="AW1663" t="s">
        <v>60</v>
      </c>
      <c r="AX1663" t="s">
        <v>68</v>
      </c>
      <c r="AY1663" t="s">
        <v>69</v>
      </c>
      <c r="AZ1663" t="b">
        <v>1</v>
      </c>
    </row>
    <row r="1664" spans="1:52" x14ac:dyDescent="0.3">
      <c r="A1664" t="s">
        <v>52</v>
      </c>
      <c r="B1664" t="s">
        <v>53</v>
      </c>
      <c r="C1664" t="s">
        <v>54</v>
      </c>
      <c r="D1664" t="s">
        <v>55</v>
      </c>
      <c r="E1664" t="s">
        <v>2142</v>
      </c>
      <c r="F1664" t="s">
        <v>1247</v>
      </c>
      <c r="G1664" t="s">
        <v>1595</v>
      </c>
      <c r="H1664" t="s">
        <v>1596</v>
      </c>
      <c r="I1664" t="s">
        <v>1596</v>
      </c>
      <c r="J1664" t="s">
        <v>60</v>
      </c>
      <c r="K1664" t="s">
        <v>530</v>
      </c>
      <c r="L1664" t="s">
        <v>62</v>
      </c>
      <c r="M1664" t="s">
        <v>530</v>
      </c>
      <c r="N1664" t="s">
        <v>1006</v>
      </c>
      <c r="O1664" t="s">
        <v>1597</v>
      </c>
      <c r="P1664">
        <v>-20.139135</v>
      </c>
      <c r="Q1664">
        <v>-44.895907000000001</v>
      </c>
      <c r="R1664" s="2" t="str">
        <f>HYPERLINK("https://www.google.com/maps?q=-20.1391350,-44.8959070","Abrir no Google Maps")</f>
        <v>Abrir no Google Maps</v>
      </c>
      <c r="S1664">
        <v>1</v>
      </c>
      <c r="T1664">
        <v>324.98342996447241</v>
      </c>
      <c r="U1664">
        <v>3</v>
      </c>
      <c r="V1664">
        <v>17</v>
      </c>
      <c r="W1664">
        <v>1</v>
      </c>
      <c r="X1664">
        <v>17</v>
      </c>
      <c r="Y1664">
        <v>588</v>
      </c>
      <c r="Z1664">
        <v>411.69998599301618</v>
      </c>
      <c r="AA1664">
        <v>198</v>
      </c>
      <c r="AB1664">
        <v>332</v>
      </c>
      <c r="AC1664">
        <v>536</v>
      </c>
      <c r="AD1664">
        <v>28.93</v>
      </c>
      <c r="AE1664">
        <v>542</v>
      </c>
      <c r="AF1664">
        <v>28</v>
      </c>
      <c r="AG1664">
        <v>168</v>
      </c>
      <c r="AH1664">
        <v>129</v>
      </c>
      <c r="AI1664">
        <v>5.17</v>
      </c>
      <c r="AJ1664">
        <v>31</v>
      </c>
      <c r="AK1664">
        <v>23.8</v>
      </c>
      <c r="AL1664">
        <v>-20.139299649999941</v>
      </c>
      <c r="AM1664">
        <v>-44.896005009217312</v>
      </c>
      <c r="AN1664">
        <v>-20.139299649999941</v>
      </c>
      <c r="AO1664">
        <v>-44.896005009217312</v>
      </c>
      <c r="AP1664">
        <v>-20.139135</v>
      </c>
      <c r="AQ1664">
        <v>-44.895907000000001</v>
      </c>
      <c r="AR1664">
        <v>20.996943428875841</v>
      </c>
      <c r="AS1664" t="s">
        <v>65</v>
      </c>
      <c r="AT1664">
        <v>1</v>
      </c>
      <c r="AU1664" t="s">
        <v>1598</v>
      </c>
      <c r="AV1664" t="s">
        <v>1599</v>
      </c>
      <c r="AW1664" t="s">
        <v>60</v>
      </c>
      <c r="AX1664" t="s">
        <v>68</v>
      </c>
      <c r="AY1664" t="s">
        <v>69</v>
      </c>
      <c r="AZ1664" t="b">
        <v>1</v>
      </c>
    </row>
    <row r="1665" spans="1:52" x14ac:dyDescent="0.3">
      <c r="A1665" t="s">
        <v>52</v>
      </c>
      <c r="B1665" t="s">
        <v>53</v>
      </c>
      <c r="C1665" t="s">
        <v>54</v>
      </c>
      <c r="D1665" t="s">
        <v>55</v>
      </c>
      <c r="E1665" t="s">
        <v>2142</v>
      </c>
      <c r="F1665" t="s">
        <v>1247</v>
      </c>
      <c r="G1665" t="s">
        <v>1612</v>
      </c>
      <c r="H1665" t="s">
        <v>1613</v>
      </c>
      <c r="I1665" t="s">
        <v>1613</v>
      </c>
      <c r="J1665" t="s">
        <v>60</v>
      </c>
      <c r="K1665" t="s">
        <v>1349</v>
      </c>
      <c r="L1665" t="s">
        <v>62</v>
      </c>
      <c r="M1665" t="s">
        <v>1349</v>
      </c>
      <c r="N1665" t="s">
        <v>1614</v>
      </c>
      <c r="O1665" t="s">
        <v>710</v>
      </c>
      <c r="P1665">
        <v>-20.141335999999999</v>
      </c>
      <c r="Q1665">
        <v>-44.901133000000002</v>
      </c>
      <c r="R1665" s="2" t="str">
        <f>HYPERLINK("https://www.google.com/maps?q=-20.1413360,-44.9011330","Abrir no Google Maps")</f>
        <v>Abrir no Google Maps</v>
      </c>
      <c r="S1665">
        <v>1</v>
      </c>
      <c r="T1665">
        <v>257.92927430829218</v>
      </c>
      <c r="U1665">
        <v>3</v>
      </c>
      <c r="V1665">
        <v>20</v>
      </c>
      <c r="W1665">
        <v>0.85</v>
      </c>
      <c r="X1665">
        <v>17</v>
      </c>
      <c r="Y1665">
        <v>588</v>
      </c>
      <c r="Z1665">
        <v>252.62617475231269</v>
      </c>
      <c r="AA1665">
        <v>198</v>
      </c>
      <c r="AB1665">
        <v>332</v>
      </c>
      <c r="AC1665">
        <v>536</v>
      </c>
      <c r="AD1665">
        <v>28.93</v>
      </c>
      <c r="AE1665">
        <v>542</v>
      </c>
      <c r="AF1665">
        <v>28</v>
      </c>
      <c r="AG1665">
        <v>168</v>
      </c>
      <c r="AH1665">
        <v>129</v>
      </c>
      <c r="AI1665">
        <v>5.17</v>
      </c>
      <c r="AJ1665">
        <v>31</v>
      </c>
      <c r="AK1665">
        <v>23.8</v>
      </c>
      <c r="AL1665">
        <v>-20.141297649999959</v>
      </c>
      <c r="AM1665">
        <v>-44.901104406351408</v>
      </c>
      <c r="AN1665">
        <v>-20.141297649999959</v>
      </c>
      <c r="AO1665">
        <v>-44.901104406351408</v>
      </c>
      <c r="AP1665">
        <v>-20.141335999999999</v>
      </c>
      <c r="AQ1665">
        <v>-44.901133000000002</v>
      </c>
      <c r="AR1665">
        <v>5.211130154459668</v>
      </c>
      <c r="AS1665" t="s">
        <v>65</v>
      </c>
      <c r="AT1665">
        <v>1</v>
      </c>
      <c r="AU1665" t="s">
        <v>1615</v>
      </c>
      <c r="AV1665" t="s">
        <v>1616</v>
      </c>
      <c r="AW1665" t="s">
        <v>60</v>
      </c>
      <c r="AX1665" t="s">
        <v>68</v>
      </c>
      <c r="AY1665" t="s">
        <v>69</v>
      </c>
      <c r="AZ1665" t="b">
        <v>1</v>
      </c>
    </row>
    <row r="1666" spans="1:52" x14ac:dyDescent="0.3">
      <c r="A1666" t="s">
        <v>52</v>
      </c>
      <c r="B1666" t="s">
        <v>53</v>
      </c>
      <c r="C1666" t="s">
        <v>54</v>
      </c>
      <c r="D1666" t="s">
        <v>55</v>
      </c>
      <c r="E1666" t="s">
        <v>2142</v>
      </c>
      <c r="F1666" t="s">
        <v>1247</v>
      </c>
      <c r="G1666" t="s">
        <v>1342</v>
      </c>
      <c r="H1666" t="s">
        <v>1600</v>
      </c>
      <c r="I1666" t="s">
        <v>1600</v>
      </c>
      <c r="J1666" t="s">
        <v>60</v>
      </c>
      <c r="K1666" t="s">
        <v>462</v>
      </c>
      <c r="L1666" t="s">
        <v>62</v>
      </c>
      <c r="M1666" t="s">
        <v>462</v>
      </c>
      <c r="N1666" t="s">
        <v>921</v>
      </c>
      <c r="O1666" t="s">
        <v>1601</v>
      </c>
      <c r="P1666">
        <v>-20.140741999999999</v>
      </c>
      <c r="Q1666">
        <v>-44.902729000000001</v>
      </c>
      <c r="R1666" s="2" t="str">
        <f>HYPERLINK("https://www.google.com/maps?q=-20.1407420,-44.9027290","Abrir no Google Maps")</f>
        <v>Abrir no Google Maps</v>
      </c>
      <c r="S1666">
        <v>1</v>
      </c>
      <c r="T1666">
        <v>373.97936588503438</v>
      </c>
      <c r="U1666">
        <v>2</v>
      </c>
      <c r="V1666">
        <v>15</v>
      </c>
      <c r="W1666">
        <v>1</v>
      </c>
      <c r="X1666">
        <v>15</v>
      </c>
      <c r="Y1666">
        <v>588</v>
      </c>
      <c r="Z1666">
        <v>427.55758539734131</v>
      </c>
      <c r="AA1666">
        <v>198</v>
      </c>
      <c r="AB1666">
        <v>332</v>
      </c>
      <c r="AC1666">
        <v>536</v>
      </c>
      <c r="AD1666">
        <v>28.93</v>
      </c>
      <c r="AE1666">
        <v>542</v>
      </c>
      <c r="AF1666">
        <v>28</v>
      </c>
      <c r="AG1666">
        <v>168</v>
      </c>
      <c r="AH1666">
        <v>129</v>
      </c>
      <c r="AI1666">
        <v>5.17</v>
      </c>
      <c r="AJ1666">
        <v>31</v>
      </c>
      <c r="AK1666">
        <v>23.8</v>
      </c>
      <c r="AL1666">
        <v>-20.140729549999971</v>
      </c>
      <c r="AM1666">
        <v>-44.902779454814521</v>
      </c>
      <c r="AN1666">
        <v>-20.140729549999971</v>
      </c>
      <c r="AO1666">
        <v>-44.902779454814521</v>
      </c>
      <c r="AP1666">
        <v>-20.140741999999999</v>
      </c>
      <c r="AQ1666">
        <v>-44.902729000000001</v>
      </c>
      <c r="AR1666">
        <v>5.4522610212697993</v>
      </c>
      <c r="AS1666" t="s">
        <v>65</v>
      </c>
      <c r="AT1666">
        <v>1</v>
      </c>
      <c r="AU1666" t="s">
        <v>1602</v>
      </c>
      <c r="AV1666" t="s">
        <v>1603</v>
      </c>
      <c r="AW1666" t="s">
        <v>60</v>
      </c>
      <c r="AX1666" t="s">
        <v>68</v>
      </c>
      <c r="AY1666" t="s">
        <v>69</v>
      </c>
      <c r="AZ1666" t="b">
        <v>1</v>
      </c>
    </row>
    <row r="1667" spans="1:52" x14ac:dyDescent="0.3">
      <c r="A1667" t="s">
        <v>52</v>
      </c>
      <c r="B1667" t="s">
        <v>53</v>
      </c>
      <c r="C1667" t="s">
        <v>54</v>
      </c>
      <c r="D1667" t="s">
        <v>55</v>
      </c>
      <c r="E1667" t="s">
        <v>2148</v>
      </c>
      <c r="F1667" t="s">
        <v>57</v>
      </c>
      <c r="G1667" t="s">
        <v>58</v>
      </c>
      <c r="H1667" t="s">
        <v>59</v>
      </c>
      <c r="I1667" t="s">
        <v>59</v>
      </c>
      <c r="J1667" t="s">
        <v>60</v>
      </c>
      <c r="K1667" t="s">
        <v>61</v>
      </c>
      <c r="L1667" t="s">
        <v>62</v>
      </c>
      <c r="M1667" t="s">
        <v>61</v>
      </c>
      <c r="N1667" t="s">
        <v>63</v>
      </c>
      <c r="O1667" t="s">
        <v>64</v>
      </c>
      <c r="P1667">
        <v>-20.147940999999999</v>
      </c>
      <c r="Q1667">
        <v>-44.906514000000001</v>
      </c>
      <c r="R1667" s="2" t="str">
        <f>HYPERLINK("https://www.google.com/maps?q=-20.1479410,-44.9065140","Abrir no Google Maps")</f>
        <v>Abrir no Google Maps</v>
      </c>
      <c r="S1667">
        <v>4</v>
      </c>
      <c r="T1667">
        <v>308.67004994113421</v>
      </c>
      <c r="U1667">
        <v>4</v>
      </c>
      <c r="V1667">
        <v>30</v>
      </c>
      <c r="W1667">
        <v>1</v>
      </c>
      <c r="X1667">
        <v>30</v>
      </c>
      <c r="Y1667">
        <v>747</v>
      </c>
      <c r="Z1667">
        <v>274.71440454502522</v>
      </c>
      <c r="AA1667">
        <v>198</v>
      </c>
      <c r="AB1667">
        <v>332</v>
      </c>
      <c r="AC1667">
        <v>536</v>
      </c>
      <c r="AD1667">
        <v>30.74</v>
      </c>
      <c r="AE1667">
        <v>542</v>
      </c>
      <c r="AF1667">
        <v>30</v>
      </c>
      <c r="AG1667">
        <v>178</v>
      </c>
      <c r="AH1667">
        <v>129</v>
      </c>
      <c r="AI1667">
        <v>5.54</v>
      </c>
      <c r="AJ1667">
        <v>32.840000000000003</v>
      </c>
      <c r="AK1667">
        <v>23.8</v>
      </c>
      <c r="AL1667">
        <v>-20.147947799999969</v>
      </c>
      <c r="AM1667">
        <v>-44.906591596129203</v>
      </c>
      <c r="AN1667">
        <v>-20.147947799999969</v>
      </c>
      <c r="AO1667">
        <v>-44.906591596129203</v>
      </c>
      <c r="AP1667">
        <v>-20.147940999999999</v>
      </c>
      <c r="AQ1667">
        <v>-44.906514000000001</v>
      </c>
      <c r="AR1667">
        <v>8.1446636170570326</v>
      </c>
      <c r="AS1667" t="s">
        <v>65</v>
      </c>
      <c r="AT1667">
        <v>1</v>
      </c>
      <c r="AU1667" t="s">
        <v>66</v>
      </c>
      <c r="AV1667" t="s">
        <v>67</v>
      </c>
      <c r="AW1667" t="s">
        <v>60</v>
      </c>
      <c r="AX1667" t="s">
        <v>68</v>
      </c>
      <c r="AY1667" t="s">
        <v>69</v>
      </c>
      <c r="AZ1667" t="b">
        <v>1</v>
      </c>
    </row>
    <row r="1668" spans="1:52" x14ac:dyDescent="0.3">
      <c r="A1668" t="s">
        <v>52</v>
      </c>
      <c r="B1668" t="s">
        <v>53</v>
      </c>
      <c r="C1668" t="s">
        <v>54</v>
      </c>
      <c r="D1668" t="s">
        <v>55</v>
      </c>
      <c r="E1668" t="s">
        <v>2148</v>
      </c>
      <c r="F1668" t="s">
        <v>57</v>
      </c>
      <c r="G1668" t="s">
        <v>191</v>
      </c>
      <c r="H1668" t="s">
        <v>192</v>
      </c>
      <c r="I1668" t="s">
        <v>192</v>
      </c>
      <c r="J1668" t="s">
        <v>60</v>
      </c>
      <c r="K1668" t="s">
        <v>193</v>
      </c>
      <c r="L1668" t="s">
        <v>62</v>
      </c>
      <c r="M1668" t="s">
        <v>193</v>
      </c>
      <c r="N1668" t="s">
        <v>194</v>
      </c>
      <c r="O1668" t="s">
        <v>195</v>
      </c>
      <c r="P1668">
        <v>-20.143266000000001</v>
      </c>
      <c r="Q1668">
        <v>-44.912075000000002</v>
      </c>
      <c r="R1668" s="2" t="str">
        <f>HYPERLINK("https://www.google.com/maps?q=-20.1432660,-44.9120750","Abrir no Google Maps")</f>
        <v>Abrir no Google Maps</v>
      </c>
      <c r="S1668">
        <v>4</v>
      </c>
      <c r="T1668">
        <v>467.04339396175408</v>
      </c>
      <c r="U1668">
        <v>4</v>
      </c>
      <c r="V1668">
        <v>26</v>
      </c>
      <c r="W1668">
        <v>1</v>
      </c>
      <c r="X1668">
        <v>26</v>
      </c>
      <c r="Y1668">
        <v>747</v>
      </c>
      <c r="Z1668">
        <v>585.1742452866996</v>
      </c>
      <c r="AA1668">
        <v>198</v>
      </c>
      <c r="AB1668">
        <v>332</v>
      </c>
      <c r="AC1668">
        <v>536</v>
      </c>
      <c r="AD1668">
        <v>30.74</v>
      </c>
      <c r="AE1668">
        <v>542</v>
      </c>
      <c r="AF1668">
        <v>30</v>
      </c>
      <c r="AG1668">
        <v>178</v>
      </c>
      <c r="AH1668">
        <v>129</v>
      </c>
      <c r="AI1668">
        <v>5.54</v>
      </c>
      <c r="AJ1668">
        <v>32.840000000000003</v>
      </c>
      <c r="AK1668">
        <v>23.8</v>
      </c>
      <c r="AL1668">
        <v>-20.143307949999951</v>
      </c>
      <c r="AM1668">
        <v>-44.912066629431067</v>
      </c>
      <c r="AN1668">
        <v>-20.143307949999951</v>
      </c>
      <c r="AO1668">
        <v>-44.912066629431067</v>
      </c>
      <c r="AP1668">
        <v>-20.143266000000001</v>
      </c>
      <c r="AQ1668">
        <v>-44.912075000000002</v>
      </c>
      <c r="AR1668">
        <v>4.751108024498329</v>
      </c>
      <c r="AS1668" t="s">
        <v>65</v>
      </c>
      <c r="AT1668">
        <v>1</v>
      </c>
      <c r="AU1668" t="s">
        <v>196</v>
      </c>
      <c r="AV1668" t="s">
        <v>197</v>
      </c>
      <c r="AW1668" t="s">
        <v>60</v>
      </c>
      <c r="AX1668" t="s">
        <v>68</v>
      </c>
      <c r="AY1668" t="s">
        <v>69</v>
      </c>
      <c r="AZ1668" t="b">
        <v>1</v>
      </c>
    </row>
    <row r="1669" spans="1:52" x14ac:dyDescent="0.3">
      <c r="A1669" t="s">
        <v>52</v>
      </c>
      <c r="B1669" t="s">
        <v>53</v>
      </c>
      <c r="C1669" t="s">
        <v>54</v>
      </c>
      <c r="D1669" t="s">
        <v>55</v>
      </c>
      <c r="E1669" t="s">
        <v>2148</v>
      </c>
      <c r="F1669" t="s">
        <v>57</v>
      </c>
      <c r="G1669" t="s">
        <v>89</v>
      </c>
      <c r="H1669" t="s">
        <v>90</v>
      </c>
      <c r="I1669" t="s">
        <v>90</v>
      </c>
      <c r="J1669" t="s">
        <v>60</v>
      </c>
      <c r="K1669" t="s">
        <v>72</v>
      </c>
      <c r="L1669" t="s">
        <v>62</v>
      </c>
      <c r="M1669" t="s">
        <v>72</v>
      </c>
      <c r="N1669" t="s">
        <v>91</v>
      </c>
      <c r="O1669" t="s">
        <v>92</v>
      </c>
      <c r="P1669">
        <v>-20.145848999999998</v>
      </c>
      <c r="Q1669">
        <v>-44.908419000000002</v>
      </c>
      <c r="R1669" s="2" t="str">
        <f>HYPERLINK("https://www.google.com/maps?q=-20.1458490,-44.9084190","Abrir no Google Maps")</f>
        <v>Abrir no Google Maps</v>
      </c>
      <c r="S1669">
        <v>4</v>
      </c>
      <c r="T1669">
        <v>0</v>
      </c>
      <c r="U1669">
        <v>4</v>
      </c>
      <c r="V1669">
        <v>25</v>
      </c>
      <c r="W1669">
        <v>1</v>
      </c>
      <c r="X1669">
        <v>25</v>
      </c>
      <c r="Y1669">
        <v>747</v>
      </c>
      <c r="Z1669">
        <v>136.08168502765241</v>
      </c>
      <c r="AA1669">
        <v>198</v>
      </c>
      <c r="AB1669">
        <v>332</v>
      </c>
      <c r="AC1669">
        <v>536</v>
      </c>
      <c r="AD1669">
        <v>30.74</v>
      </c>
      <c r="AE1669">
        <v>542</v>
      </c>
      <c r="AF1669">
        <v>30</v>
      </c>
      <c r="AG1669">
        <v>178</v>
      </c>
      <c r="AH1669">
        <v>129</v>
      </c>
      <c r="AI1669">
        <v>5.54</v>
      </c>
      <c r="AJ1669">
        <v>32.840000000000003</v>
      </c>
      <c r="AK1669">
        <v>23.8</v>
      </c>
      <c r="AL1669">
        <v>-20.14576979999995</v>
      </c>
      <c r="AM1669">
        <v>-44.908436775053183</v>
      </c>
      <c r="AN1669">
        <v>-20.14576979999995</v>
      </c>
      <c r="AO1669">
        <v>-44.908436775053183</v>
      </c>
      <c r="AP1669">
        <v>-20.145848999999998</v>
      </c>
      <c r="AQ1669">
        <v>-44.908419000000002</v>
      </c>
      <c r="AR1669">
        <v>9.0101247482327356</v>
      </c>
      <c r="AS1669" t="s">
        <v>65</v>
      </c>
      <c r="AT1669">
        <v>1</v>
      </c>
      <c r="AU1669" t="s">
        <v>93</v>
      </c>
      <c r="AV1669" t="s">
        <v>94</v>
      </c>
      <c r="AW1669" t="s">
        <v>60</v>
      </c>
      <c r="AX1669" t="s">
        <v>68</v>
      </c>
      <c r="AY1669" t="s">
        <v>69</v>
      </c>
      <c r="AZ1669" t="b">
        <v>1</v>
      </c>
    </row>
    <row r="1670" spans="1:52" x14ac:dyDescent="0.3">
      <c r="A1670" t="s">
        <v>52</v>
      </c>
      <c r="B1670" t="s">
        <v>53</v>
      </c>
      <c r="C1670" t="s">
        <v>54</v>
      </c>
      <c r="D1670" t="s">
        <v>55</v>
      </c>
      <c r="E1670" t="s">
        <v>2148</v>
      </c>
      <c r="F1670" t="s">
        <v>57</v>
      </c>
      <c r="G1670" t="s">
        <v>100</v>
      </c>
      <c r="H1670" t="s">
        <v>101</v>
      </c>
      <c r="I1670" t="s">
        <v>101</v>
      </c>
      <c r="J1670" t="s">
        <v>60</v>
      </c>
      <c r="K1670" t="s">
        <v>61</v>
      </c>
      <c r="L1670" t="s">
        <v>62</v>
      </c>
      <c r="M1670" t="s">
        <v>61</v>
      </c>
      <c r="N1670" t="s">
        <v>102</v>
      </c>
      <c r="O1670" t="s">
        <v>103</v>
      </c>
      <c r="P1670">
        <v>-20.151098999999999</v>
      </c>
      <c r="Q1670">
        <v>-44.909699000000003</v>
      </c>
      <c r="R1670" s="2" t="str">
        <f>HYPERLINK("https://www.google.com/maps?q=-20.1510990,-44.9096990","Abrir no Google Maps")</f>
        <v>Abrir no Google Maps</v>
      </c>
      <c r="S1670">
        <v>4</v>
      </c>
      <c r="T1670">
        <v>628.5023128813533</v>
      </c>
      <c r="U1670">
        <v>4</v>
      </c>
      <c r="V1670">
        <v>38</v>
      </c>
      <c r="W1670">
        <v>1</v>
      </c>
      <c r="X1670">
        <v>38</v>
      </c>
      <c r="Y1670">
        <v>747</v>
      </c>
      <c r="Z1670">
        <v>563.16456625265948</v>
      </c>
      <c r="AA1670">
        <v>198</v>
      </c>
      <c r="AB1670">
        <v>332</v>
      </c>
      <c r="AC1670">
        <v>536</v>
      </c>
      <c r="AD1670">
        <v>30.74</v>
      </c>
      <c r="AE1670">
        <v>542</v>
      </c>
      <c r="AF1670">
        <v>30</v>
      </c>
      <c r="AG1670">
        <v>178</v>
      </c>
      <c r="AH1670">
        <v>129</v>
      </c>
      <c r="AI1670">
        <v>5.54</v>
      </c>
      <c r="AJ1670">
        <v>32.840000000000003</v>
      </c>
      <c r="AK1670">
        <v>23.8</v>
      </c>
      <c r="AL1670">
        <v>-20.151307349999971</v>
      </c>
      <c r="AM1670">
        <v>-44.909772836123523</v>
      </c>
      <c r="AN1670">
        <v>-20.151307349999971</v>
      </c>
      <c r="AO1670">
        <v>-44.909772836123523</v>
      </c>
      <c r="AP1670">
        <v>-20.151098999999999</v>
      </c>
      <c r="AQ1670">
        <v>-44.909699000000003</v>
      </c>
      <c r="AR1670">
        <v>24.443417349564811</v>
      </c>
      <c r="AS1670" t="s">
        <v>65</v>
      </c>
      <c r="AT1670">
        <v>1</v>
      </c>
      <c r="AU1670" t="s">
        <v>104</v>
      </c>
      <c r="AV1670" t="s">
        <v>105</v>
      </c>
      <c r="AW1670" t="s">
        <v>60</v>
      </c>
      <c r="AX1670" t="s">
        <v>68</v>
      </c>
      <c r="AY1670" t="s">
        <v>69</v>
      </c>
      <c r="AZ1670" t="b">
        <v>1</v>
      </c>
    </row>
    <row r="1671" spans="1:52" x14ac:dyDescent="0.3">
      <c r="A1671" t="s">
        <v>52</v>
      </c>
      <c r="B1671" t="s">
        <v>53</v>
      </c>
      <c r="C1671" t="s">
        <v>54</v>
      </c>
      <c r="D1671" t="s">
        <v>55</v>
      </c>
      <c r="E1671" t="s">
        <v>2148</v>
      </c>
      <c r="F1671" t="s">
        <v>57</v>
      </c>
      <c r="G1671" t="s">
        <v>100</v>
      </c>
      <c r="H1671" t="s">
        <v>106</v>
      </c>
      <c r="I1671" t="s">
        <v>106</v>
      </c>
      <c r="J1671" t="s">
        <v>60</v>
      </c>
      <c r="K1671" t="s">
        <v>61</v>
      </c>
      <c r="L1671" t="s">
        <v>62</v>
      </c>
      <c r="M1671" t="s">
        <v>61</v>
      </c>
      <c r="N1671" t="s">
        <v>102</v>
      </c>
      <c r="O1671" t="s">
        <v>103</v>
      </c>
      <c r="P1671">
        <v>-20.151107</v>
      </c>
      <c r="Q1671">
        <v>-44.908918</v>
      </c>
      <c r="R1671" s="2" t="str">
        <f>HYPERLINK("https://www.google.com/maps?q=-20.1511070,-44.9089180","Abrir no Google Maps")</f>
        <v>Abrir no Google Maps</v>
      </c>
      <c r="S1671">
        <v>4</v>
      </c>
      <c r="T1671">
        <v>615.86400245321579</v>
      </c>
      <c r="U1671">
        <v>4</v>
      </c>
      <c r="V1671">
        <v>32</v>
      </c>
      <c r="W1671">
        <v>0.85</v>
      </c>
      <c r="X1671">
        <v>27.2</v>
      </c>
      <c r="Y1671">
        <v>747</v>
      </c>
      <c r="Z1671">
        <v>535.34543763764702</v>
      </c>
      <c r="AA1671">
        <v>198</v>
      </c>
      <c r="AB1671">
        <v>332</v>
      </c>
      <c r="AC1671">
        <v>536</v>
      </c>
      <c r="AD1671">
        <v>30.74</v>
      </c>
      <c r="AE1671">
        <v>542</v>
      </c>
      <c r="AF1671">
        <v>30</v>
      </c>
      <c r="AG1671">
        <v>178</v>
      </c>
      <c r="AH1671">
        <v>129</v>
      </c>
      <c r="AI1671">
        <v>5.54</v>
      </c>
      <c r="AJ1671">
        <v>32.840000000000003</v>
      </c>
      <c r="AK1671">
        <v>23.8</v>
      </c>
      <c r="AL1671">
        <v>-20.151307349999971</v>
      </c>
      <c r="AM1671">
        <v>-44.909024234051429</v>
      </c>
      <c r="AN1671">
        <v>-20.151307349999971</v>
      </c>
      <c r="AO1671">
        <v>-44.909024234051429</v>
      </c>
      <c r="AP1671">
        <v>-20.151107</v>
      </c>
      <c r="AQ1671">
        <v>-44.908918</v>
      </c>
      <c r="AR1671">
        <v>24.91340747371116</v>
      </c>
      <c r="AS1671" t="s">
        <v>65</v>
      </c>
      <c r="AT1671">
        <v>1</v>
      </c>
      <c r="AU1671" t="s">
        <v>107</v>
      </c>
      <c r="AV1671" t="s">
        <v>105</v>
      </c>
      <c r="AW1671" t="s">
        <v>60</v>
      </c>
      <c r="AX1671" t="s">
        <v>68</v>
      </c>
      <c r="AY1671" t="s">
        <v>69</v>
      </c>
      <c r="AZ1671" t="b">
        <v>1</v>
      </c>
    </row>
    <row r="1672" spans="1:52" x14ac:dyDescent="0.3">
      <c r="A1672" t="s">
        <v>52</v>
      </c>
      <c r="B1672" t="s">
        <v>53</v>
      </c>
      <c r="C1672" t="s">
        <v>54</v>
      </c>
      <c r="D1672" t="s">
        <v>55</v>
      </c>
      <c r="E1672" t="s">
        <v>2148</v>
      </c>
      <c r="F1672" t="s">
        <v>57</v>
      </c>
      <c r="G1672" t="s">
        <v>219</v>
      </c>
      <c r="H1672" t="s">
        <v>220</v>
      </c>
      <c r="I1672" t="s">
        <v>220</v>
      </c>
      <c r="J1672" t="s">
        <v>60</v>
      </c>
      <c r="K1672" t="s">
        <v>214</v>
      </c>
      <c r="L1672" t="s">
        <v>62</v>
      </c>
      <c r="M1672" t="s">
        <v>214</v>
      </c>
      <c r="N1672" t="s">
        <v>221</v>
      </c>
      <c r="O1672" t="s">
        <v>222</v>
      </c>
      <c r="P1672">
        <v>-20.158049999999999</v>
      </c>
      <c r="Q1672">
        <v>-44.868823999999996</v>
      </c>
      <c r="R1672" s="2" t="str">
        <f>HYPERLINK("https://www.google.com/maps?q=-20.1580500,-44.8688240","Abrir no Google Maps")</f>
        <v>Abrir no Google Maps</v>
      </c>
      <c r="S1672">
        <v>4</v>
      </c>
      <c r="T1672">
        <v>400.85705002223079</v>
      </c>
      <c r="U1672">
        <v>4</v>
      </c>
      <c r="V1672">
        <v>28</v>
      </c>
      <c r="W1672">
        <v>1</v>
      </c>
      <c r="X1672">
        <v>28</v>
      </c>
      <c r="Y1672">
        <v>531</v>
      </c>
      <c r="Z1672">
        <v>493.98501624607121</v>
      </c>
      <c r="AA1672">
        <v>198</v>
      </c>
      <c r="AB1672">
        <v>332</v>
      </c>
      <c r="AC1672">
        <v>536</v>
      </c>
      <c r="AD1672">
        <v>30.74</v>
      </c>
      <c r="AE1672">
        <v>542</v>
      </c>
      <c r="AF1672">
        <v>30</v>
      </c>
      <c r="AG1672">
        <v>178</v>
      </c>
      <c r="AH1672">
        <v>129</v>
      </c>
      <c r="AI1672">
        <v>5.54</v>
      </c>
      <c r="AJ1672">
        <v>32.840000000000003</v>
      </c>
      <c r="AK1672">
        <v>23.8</v>
      </c>
      <c r="AL1672">
        <v>-20.158020649999969</v>
      </c>
      <c r="AM1672">
        <v>-44.868748475381317</v>
      </c>
      <c r="AN1672">
        <v>-20.158020649999969</v>
      </c>
      <c r="AO1672">
        <v>-44.868748475381331</v>
      </c>
      <c r="AP1672">
        <v>-20.158049999999999</v>
      </c>
      <c r="AQ1672">
        <v>-44.868823999999996</v>
      </c>
      <c r="AR1672">
        <v>8.5419571471718818</v>
      </c>
      <c r="AS1672" t="s">
        <v>65</v>
      </c>
      <c r="AT1672">
        <v>1</v>
      </c>
      <c r="AU1672" t="s">
        <v>223</v>
      </c>
      <c r="AV1672" t="s">
        <v>224</v>
      </c>
      <c r="AW1672" t="s">
        <v>60</v>
      </c>
      <c r="AX1672" t="s">
        <v>68</v>
      </c>
      <c r="AY1672" t="s">
        <v>69</v>
      </c>
      <c r="AZ1672" t="b">
        <v>1</v>
      </c>
    </row>
    <row r="1673" spans="1:52" x14ac:dyDescent="0.3">
      <c r="A1673" t="s">
        <v>52</v>
      </c>
      <c r="B1673" t="s">
        <v>53</v>
      </c>
      <c r="C1673" t="s">
        <v>54</v>
      </c>
      <c r="D1673" t="s">
        <v>55</v>
      </c>
      <c r="E1673" t="s">
        <v>2148</v>
      </c>
      <c r="F1673" t="s">
        <v>57</v>
      </c>
      <c r="G1673" t="s">
        <v>127</v>
      </c>
      <c r="H1673" t="s">
        <v>128</v>
      </c>
      <c r="I1673" t="s">
        <v>128</v>
      </c>
      <c r="J1673" t="s">
        <v>60</v>
      </c>
      <c r="K1673" t="s">
        <v>129</v>
      </c>
      <c r="L1673" t="s">
        <v>62</v>
      </c>
      <c r="M1673" t="s">
        <v>129</v>
      </c>
      <c r="N1673" t="s">
        <v>130</v>
      </c>
      <c r="O1673" t="s">
        <v>131</v>
      </c>
      <c r="P1673">
        <v>-20.130752000000001</v>
      </c>
      <c r="Q1673">
        <v>-44.865676999999998</v>
      </c>
      <c r="R1673" s="2" t="str">
        <f>HYPERLINK("https://www.google.com/maps?q=-20.1307520,-44.8656770","Abrir no Google Maps")</f>
        <v>Abrir no Google Maps</v>
      </c>
      <c r="S1673">
        <v>4</v>
      </c>
      <c r="T1673">
        <v>666.25741128624747</v>
      </c>
      <c r="U1673">
        <v>4</v>
      </c>
      <c r="V1673">
        <v>41</v>
      </c>
      <c r="W1673">
        <v>1</v>
      </c>
      <c r="X1673">
        <v>41</v>
      </c>
      <c r="Y1673">
        <v>387</v>
      </c>
      <c r="Z1673">
        <v>838.7193965949632</v>
      </c>
      <c r="AA1673">
        <v>198</v>
      </c>
      <c r="AB1673">
        <v>332</v>
      </c>
      <c r="AC1673">
        <v>536</v>
      </c>
      <c r="AD1673">
        <v>30.74</v>
      </c>
      <c r="AE1673">
        <v>542</v>
      </c>
      <c r="AF1673">
        <v>30</v>
      </c>
      <c r="AG1673">
        <v>178</v>
      </c>
      <c r="AH1673">
        <v>129</v>
      </c>
      <c r="AI1673">
        <v>5.54</v>
      </c>
      <c r="AJ1673">
        <v>32.840000000000003</v>
      </c>
      <c r="AK1673">
        <v>23.8</v>
      </c>
      <c r="AL1673">
        <v>-20.130734049999969</v>
      </c>
      <c r="AM1673">
        <v>-44.86564904282416</v>
      </c>
      <c r="AN1673">
        <v>-20.130734049999969</v>
      </c>
      <c r="AO1673">
        <v>-44.86564904282416</v>
      </c>
      <c r="AP1673">
        <v>-20.130752000000001</v>
      </c>
      <c r="AQ1673">
        <v>-44.865676999999998</v>
      </c>
      <c r="AR1673">
        <v>3.539952280780454</v>
      </c>
      <c r="AS1673" t="s">
        <v>65</v>
      </c>
      <c r="AT1673">
        <v>1</v>
      </c>
      <c r="AU1673" t="s">
        <v>132</v>
      </c>
      <c r="AV1673" t="s">
        <v>133</v>
      </c>
      <c r="AW1673" t="s">
        <v>60</v>
      </c>
      <c r="AX1673" t="s">
        <v>68</v>
      </c>
      <c r="AY1673" t="s">
        <v>69</v>
      </c>
      <c r="AZ1673" t="b">
        <v>1</v>
      </c>
    </row>
    <row r="1674" spans="1:52" x14ac:dyDescent="0.3">
      <c r="A1674" t="s">
        <v>52</v>
      </c>
      <c r="B1674" t="s">
        <v>53</v>
      </c>
      <c r="C1674" t="s">
        <v>54</v>
      </c>
      <c r="D1674" t="s">
        <v>55</v>
      </c>
      <c r="E1674" t="s">
        <v>2148</v>
      </c>
      <c r="F1674" t="s">
        <v>57</v>
      </c>
      <c r="G1674" t="s">
        <v>260</v>
      </c>
      <c r="H1674" t="s">
        <v>261</v>
      </c>
      <c r="I1674" t="s">
        <v>261</v>
      </c>
      <c r="J1674" t="s">
        <v>60</v>
      </c>
      <c r="K1674" t="s">
        <v>262</v>
      </c>
      <c r="L1674" t="s">
        <v>62</v>
      </c>
      <c r="M1674" t="s">
        <v>262</v>
      </c>
      <c r="N1674" t="s">
        <v>263</v>
      </c>
      <c r="O1674" t="s">
        <v>264</v>
      </c>
      <c r="P1674">
        <v>-20.162230000000001</v>
      </c>
      <c r="Q1674">
        <v>-44.850189</v>
      </c>
      <c r="R1674" s="2" t="str">
        <f>HYPERLINK("https://www.google.com/maps?q=-20.1622300,-44.8501890","Abrir no Google Maps")</f>
        <v>Abrir no Google Maps</v>
      </c>
      <c r="S1674">
        <v>4</v>
      </c>
      <c r="T1674">
        <v>485.03737650296068</v>
      </c>
      <c r="U1674">
        <v>4</v>
      </c>
      <c r="V1674">
        <v>27</v>
      </c>
      <c r="W1674">
        <v>1</v>
      </c>
      <c r="X1674">
        <v>27</v>
      </c>
      <c r="Y1674">
        <v>292</v>
      </c>
      <c r="Z1674">
        <v>461.03925198673232</v>
      </c>
      <c r="AA1674">
        <v>198</v>
      </c>
      <c r="AB1674">
        <v>332</v>
      </c>
      <c r="AC1674">
        <v>536</v>
      </c>
      <c r="AD1674">
        <v>30.74</v>
      </c>
      <c r="AE1674">
        <v>542</v>
      </c>
      <c r="AF1674">
        <v>30</v>
      </c>
      <c r="AG1674">
        <v>178</v>
      </c>
      <c r="AH1674">
        <v>129</v>
      </c>
      <c r="AI1674">
        <v>5.54</v>
      </c>
      <c r="AJ1674">
        <v>32.840000000000003</v>
      </c>
      <c r="AK1674">
        <v>23.8</v>
      </c>
      <c r="AL1674">
        <v>-20.162067849999971</v>
      </c>
      <c r="AM1674">
        <v>-44.850230909322903</v>
      </c>
      <c r="AN1674">
        <v>-20.162067849999971</v>
      </c>
      <c r="AO1674">
        <v>-44.850230909322903</v>
      </c>
      <c r="AP1674">
        <v>-20.162230000000001</v>
      </c>
      <c r="AQ1674">
        <v>-44.850189</v>
      </c>
      <c r="AR1674">
        <v>18.574218491036259</v>
      </c>
      <c r="AS1674" t="s">
        <v>65</v>
      </c>
      <c r="AT1674">
        <v>1</v>
      </c>
      <c r="AU1674" t="s">
        <v>265</v>
      </c>
      <c r="AV1674" t="s">
        <v>266</v>
      </c>
      <c r="AW1674" t="s">
        <v>60</v>
      </c>
      <c r="AX1674" t="s">
        <v>68</v>
      </c>
      <c r="AY1674" t="s">
        <v>69</v>
      </c>
      <c r="AZ1674" t="b">
        <v>1</v>
      </c>
    </row>
    <row r="1675" spans="1:52" x14ac:dyDescent="0.3">
      <c r="A1675" t="s">
        <v>52</v>
      </c>
      <c r="B1675" t="s">
        <v>53</v>
      </c>
      <c r="C1675" t="s">
        <v>54</v>
      </c>
      <c r="D1675" t="s">
        <v>55</v>
      </c>
      <c r="E1675" t="s">
        <v>2148</v>
      </c>
      <c r="F1675" t="s">
        <v>57</v>
      </c>
      <c r="G1675" t="s">
        <v>1628</v>
      </c>
      <c r="H1675" t="s">
        <v>1629</v>
      </c>
      <c r="I1675" t="s">
        <v>1629</v>
      </c>
      <c r="J1675" t="s">
        <v>60</v>
      </c>
      <c r="K1675" t="s">
        <v>136</v>
      </c>
      <c r="L1675" t="s">
        <v>62</v>
      </c>
      <c r="M1675" t="s">
        <v>136</v>
      </c>
      <c r="N1675" t="s">
        <v>1630</v>
      </c>
      <c r="O1675" t="s">
        <v>103</v>
      </c>
      <c r="P1675">
        <v>-20.169488999999999</v>
      </c>
      <c r="Q1675">
        <v>-44.848812000000002</v>
      </c>
      <c r="R1675" s="2" t="str">
        <f>HYPERLINK("https://www.google.com/maps?q=-20.1694890,-44.8488120","Abrir no Google Maps")</f>
        <v>Abrir no Google Maps</v>
      </c>
      <c r="S1675">
        <v>4</v>
      </c>
      <c r="T1675">
        <v>426.92881761579793</v>
      </c>
      <c r="U1675">
        <v>4</v>
      </c>
      <c r="V1675">
        <v>51</v>
      </c>
      <c r="W1675">
        <v>1</v>
      </c>
      <c r="X1675">
        <v>51</v>
      </c>
      <c r="Y1675">
        <v>292</v>
      </c>
      <c r="Z1675">
        <v>345.01829288722871</v>
      </c>
      <c r="AA1675">
        <v>198</v>
      </c>
      <c r="AB1675">
        <v>332</v>
      </c>
      <c r="AC1675">
        <v>536</v>
      </c>
      <c r="AD1675">
        <v>30.74</v>
      </c>
      <c r="AE1675">
        <v>542</v>
      </c>
      <c r="AF1675">
        <v>30</v>
      </c>
      <c r="AG1675">
        <v>178</v>
      </c>
      <c r="AH1675">
        <v>129</v>
      </c>
      <c r="AI1675">
        <v>5.54</v>
      </c>
      <c r="AJ1675">
        <v>32.840000000000003</v>
      </c>
      <c r="AK1675">
        <v>23.8</v>
      </c>
      <c r="AL1675">
        <v>-20.169293749999959</v>
      </c>
      <c r="AM1675">
        <v>-44.848899945665508</v>
      </c>
      <c r="AN1675">
        <v>-20.169293749999959</v>
      </c>
      <c r="AO1675">
        <v>-44.848899945665508</v>
      </c>
      <c r="AP1675">
        <v>-20.169488999999999</v>
      </c>
      <c r="AQ1675">
        <v>-44.848812000000002</v>
      </c>
      <c r="AR1675">
        <v>23.598134321543789</v>
      </c>
      <c r="AS1675" t="s">
        <v>65</v>
      </c>
      <c r="AT1675">
        <v>1</v>
      </c>
      <c r="AU1675" t="s">
        <v>1631</v>
      </c>
      <c r="AV1675" t="s">
        <v>1632</v>
      </c>
      <c r="AW1675" t="s">
        <v>60</v>
      </c>
      <c r="AX1675" t="s">
        <v>68</v>
      </c>
      <c r="AY1675" t="s">
        <v>69</v>
      </c>
      <c r="AZ1675" t="b">
        <v>1</v>
      </c>
    </row>
    <row r="1676" spans="1:52" x14ac:dyDescent="0.3">
      <c r="A1676" t="s">
        <v>52</v>
      </c>
      <c r="B1676" t="s">
        <v>53</v>
      </c>
      <c r="C1676" t="s">
        <v>54</v>
      </c>
      <c r="D1676" t="s">
        <v>55</v>
      </c>
      <c r="E1676" t="s">
        <v>2148</v>
      </c>
      <c r="F1676" t="s">
        <v>57</v>
      </c>
      <c r="G1676" t="s">
        <v>267</v>
      </c>
      <c r="H1676" t="s">
        <v>268</v>
      </c>
      <c r="I1676" t="s">
        <v>268</v>
      </c>
      <c r="J1676" t="s">
        <v>60</v>
      </c>
      <c r="K1676" t="s">
        <v>150</v>
      </c>
      <c r="L1676" t="s">
        <v>62</v>
      </c>
      <c r="M1676" t="s">
        <v>150</v>
      </c>
      <c r="N1676" t="s">
        <v>269</v>
      </c>
      <c r="O1676" t="s">
        <v>270</v>
      </c>
      <c r="P1676">
        <v>-20.172367999999999</v>
      </c>
      <c r="Q1676">
        <v>-44.848661</v>
      </c>
      <c r="R1676" s="2" t="str">
        <f>HYPERLINK("https://www.google.com/maps?q=-20.1723680,-44.8486610","Abrir no Google Maps")</f>
        <v>Abrir no Google Maps</v>
      </c>
      <c r="S1676">
        <v>4</v>
      </c>
      <c r="T1676">
        <v>759.75892180950234</v>
      </c>
      <c r="U1676">
        <v>4</v>
      </c>
      <c r="V1676">
        <v>41</v>
      </c>
      <c r="W1676">
        <v>1</v>
      </c>
      <c r="X1676">
        <v>41</v>
      </c>
      <c r="Y1676">
        <v>292</v>
      </c>
      <c r="Z1676">
        <v>735.80511761487242</v>
      </c>
      <c r="AA1676">
        <v>198</v>
      </c>
      <c r="AB1676">
        <v>332</v>
      </c>
      <c r="AC1676">
        <v>536</v>
      </c>
      <c r="AD1676">
        <v>30.74</v>
      </c>
      <c r="AE1676">
        <v>542</v>
      </c>
      <c r="AF1676">
        <v>30</v>
      </c>
      <c r="AG1676">
        <v>178</v>
      </c>
      <c r="AH1676">
        <v>129</v>
      </c>
      <c r="AI1676">
        <v>5.54</v>
      </c>
      <c r="AJ1676">
        <v>32.840000000000003</v>
      </c>
      <c r="AK1676">
        <v>23.8</v>
      </c>
      <c r="AL1676">
        <v>-20.172435999999951</v>
      </c>
      <c r="AM1676">
        <v>-44.84866233556005</v>
      </c>
      <c r="AN1676">
        <v>-20.172435999999951</v>
      </c>
      <c r="AO1676">
        <v>-44.84866233556005</v>
      </c>
      <c r="AP1676">
        <v>-20.172367999999999</v>
      </c>
      <c r="AQ1676">
        <v>-44.848661</v>
      </c>
      <c r="AR1676">
        <v>7.5710462874877198</v>
      </c>
      <c r="AS1676" t="s">
        <v>65</v>
      </c>
      <c r="AT1676">
        <v>1</v>
      </c>
      <c r="AU1676" t="s">
        <v>271</v>
      </c>
      <c r="AV1676" t="s">
        <v>272</v>
      </c>
      <c r="AW1676" t="s">
        <v>60</v>
      </c>
      <c r="AX1676" t="s">
        <v>68</v>
      </c>
      <c r="AY1676" t="s">
        <v>69</v>
      </c>
      <c r="AZ1676" t="b">
        <v>1</v>
      </c>
    </row>
    <row r="1677" spans="1:52" x14ac:dyDescent="0.3">
      <c r="A1677" t="s">
        <v>52</v>
      </c>
      <c r="B1677" t="s">
        <v>53</v>
      </c>
      <c r="C1677" t="s">
        <v>54</v>
      </c>
      <c r="D1677" t="s">
        <v>55</v>
      </c>
      <c r="E1677" t="s">
        <v>2148</v>
      </c>
      <c r="F1677" t="s">
        <v>57</v>
      </c>
      <c r="G1677" t="s">
        <v>273</v>
      </c>
      <c r="H1677" t="s">
        <v>274</v>
      </c>
      <c r="I1677" t="s">
        <v>274</v>
      </c>
      <c r="J1677" t="s">
        <v>60</v>
      </c>
      <c r="K1677" t="s">
        <v>143</v>
      </c>
      <c r="L1677" t="s">
        <v>62</v>
      </c>
      <c r="M1677" t="s">
        <v>143</v>
      </c>
      <c r="N1677" t="s">
        <v>275</v>
      </c>
      <c r="O1677" t="s">
        <v>276</v>
      </c>
      <c r="P1677">
        <v>-20.171367</v>
      </c>
      <c r="Q1677">
        <v>-44.844709999999999</v>
      </c>
      <c r="R1677" s="2" t="str">
        <f>HYPERLINK("https://www.google.com/maps?q=-20.1713670,-44.8447100","Abrir no Google Maps")</f>
        <v>Abrir no Google Maps</v>
      </c>
      <c r="S1677">
        <v>4</v>
      </c>
      <c r="T1677">
        <v>700.36715126879801</v>
      </c>
      <c r="U1677">
        <v>4</v>
      </c>
      <c r="V1677">
        <v>30</v>
      </c>
      <c r="W1677">
        <v>1</v>
      </c>
      <c r="X1677">
        <v>30</v>
      </c>
      <c r="Y1677">
        <v>292</v>
      </c>
      <c r="Z1677">
        <v>767.70201658334747</v>
      </c>
      <c r="AA1677">
        <v>198</v>
      </c>
      <c r="AB1677">
        <v>332</v>
      </c>
      <c r="AC1677">
        <v>536</v>
      </c>
      <c r="AD1677">
        <v>30.74</v>
      </c>
      <c r="AE1677">
        <v>542</v>
      </c>
      <c r="AF1677">
        <v>30</v>
      </c>
      <c r="AG1677">
        <v>178</v>
      </c>
      <c r="AH1677">
        <v>129</v>
      </c>
      <c r="AI1677">
        <v>5.54</v>
      </c>
      <c r="AJ1677">
        <v>32.840000000000003</v>
      </c>
      <c r="AK1677">
        <v>23.8</v>
      </c>
      <c r="AL1677">
        <v>-20.17140124999997</v>
      </c>
      <c r="AM1677">
        <v>-44.844758486699448</v>
      </c>
      <c r="AN1677">
        <v>-20.171401249999981</v>
      </c>
      <c r="AO1677">
        <v>-44.844758486699448</v>
      </c>
      <c r="AP1677">
        <v>-20.171367</v>
      </c>
      <c r="AQ1677">
        <v>-44.844709999999999</v>
      </c>
      <c r="AR1677">
        <v>6.3408204899540994</v>
      </c>
      <c r="AS1677" t="s">
        <v>65</v>
      </c>
      <c r="AT1677">
        <v>1</v>
      </c>
      <c r="AU1677" t="s">
        <v>277</v>
      </c>
      <c r="AV1677" t="s">
        <v>278</v>
      </c>
      <c r="AW1677" t="s">
        <v>60</v>
      </c>
      <c r="AX1677" t="s">
        <v>68</v>
      </c>
      <c r="AY1677" t="s">
        <v>69</v>
      </c>
      <c r="AZ1677" t="b">
        <v>1</v>
      </c>
    </row>
    <row r="1678" spans="1:52" x14ac:dyDescent="0.3">
      <c r="A1678" t="s">
        <v>52</v>
      </c>
      <c r="B1678" t="s">
        <v>53</v>
      </c>
      <c r="C1678" t="s">
        <v>54</v>
      </c>
      <c r="D1678" t="s">
        <v>55</v>
      </c>
      <c r="E1678" t="s">
        <v>2148</v>
      </c>
      <c r="F1678" t="s">
        <v>57</v>
      </c>
      <c r="G1678" t="s">
        <v>134</v>
      </c>
      <c r="H1678" t="s">
        <v>135</v>
      </c>
      <c r="I1678" t="s">
        <v>135</v>
      </c>
      <c r="J1678" t="s">
        <v>60</v>
      </c>
      <c r="K1678" t="s">
        <v>136</v>
      </c>
      <c r="L1678" t="s">
        <v>62</v>
      </c>
      <c r="M1678" t="s">
        <v>136</v>
      </c>
      <c r="N1678" t="s">
        <v>137</v>
      </c>
      <c r="O1678" t="s">
        <v>138</v>
      </c>
      <c r="P1678">
        <v>-20.165773000000002</v>
      </c>
      <c r="Q1678">
        <v>-44.847566999999998</v>
      </c>
      <c r="R1678" s="2" t="str">
        <f>HYPERLINK("https://www.google.com/maps?q=-20.1657730,-44.8475670","Abrir no Google Maps")</f>
        <v>Abrir no Google Maps</v>
      </c>
      <c r="S1678">
        <v>4</v>
      </c>
      <c r="T1678">
        <v>0</v>
      </c>
      <c r="U1678">
        <v>4</v>
      </c>
      <c r="V1678">
        <v>48</v>
      </c>
      <c r="W1678">
        <v>1</v>
      </c>
      <c r="X1678">
        <v>48</v>
      </c>
      <c r="Y1678">
        <v>292</v>
      </c>
      <c r="Z1678">
        <v>98.987346341524855</v>
      </c>
      <c r="AA1678">
        <v>198</v>
      </c>
      <c r="AB1678">
        <v>332</v>
      </c>
      <c r="AC1678">
        <v>536</v>
      </c>
      <c r="AD1678">
        <v>30.74</v>
      </c>
      <c r="AE1678">
        <v>542</v>
      </c>
      <c r="AF1678">
        <v>30</v>
      </c>
      <c r="AG1678">
        <v>178</v>
      </c>
      <c r="AH1678">
        <v>129</v>
      </c>
      <c r="AI1678">
        <v>5.54</v>
      </c>
      <c r="AJ1678">
        <v>32.840000000000003</v>
      </c>
      <c r="AK1678">
        <v>23.8</v>
      </c>
      <c r="AL1678">
        <v>-20.16565029999995</v>
      </c>
      <c r="AM1678">
        <v>-44.847556627666897</v>
      </c>
      <c r="AN1678">
        <v>-20.16565029999995</v>
      </c>
      <c r="AO1678">
        <v>-44.847556627666897</v>
      </c>
      <c r="AP1678">
        <v>-20.165773000000002</v>
      </c>
      <c r="AQ1678">
        <v>-44.847566999999998</v>
      </c>
      <c r="AR1678">
        <v>13.701900146251189</v>
      </c>
      <c r="AS1678" t="s">
        <v>65</v>
      </c>
      <c r="AT1678">
        <v>1</v>
      </c>
      <c r="AU1678" t="s">
        <v>139</v>
      </c>
      <c r="AV1678" t="s">
        <v>140</v>
      </c>
      <c r="AW1678" t="s">
        <v>60</v>
      </c>
      <c r="AX1678" t="s">
        <v>68</v>
      </c>
      <c r="AY1678" t="s">
        <v>69</v>
      </c>
      <c r="AZ1678" t="b">
        <v>1</v>
      </c>
    </row>
    <row r="1679" spans="1:52" x14ac:dyDescent="0.3">
      <c r="A1679" t="s">
        <v>52</v>
      </c>
      <c r="B1679" t="s">
        <v>53</v>
      </c>
      <c r="C1679" t="s">
        <v>54</v>
      </c>
      <c r="D1679" t="s">
        <v>55</v>
      </c>
      <c r="E1679" t="s">
        <v>2148</v>
      </c>
      <c r="F1679" t="s">
        <v>57</v>
      </c>
      <c r="G1679" t="s">
        <v>253</v>
      </c>
      <c r="H1679" t="s">
        <v>286</v>
      </c>
      <c r="I1679" t="s">
        <v>286</v>
      </c>
      <c r="J1679" t="s">
        <v>60</v>
      </c>
      <c r="K1679" t="s">
        <v>136</v>
      </c>
      <c r="L1679" t="s">
        <v>62</v>
      </c>
      <c r="M1679" t="s">
        <v>136</v>
      </c>
      <c r="N1679" t="s">
        <v>256</v>
      </c>
      <c r="O1679" t="s">
        <v>287</v>
      </c>
      <c r="P1679">
        <v>-20.165067000000001</v>
      </c>
      <c r="Q1679">
        <v>-44.851146999999997</v>
      </c>
      <c r="R1679" s="2" t="str">
        <f>HYPERLINK("https://www.google.com/maps?q=-20.1650670,-44.8511470","Abrir no Google Maps")</f>
        <v>Abrir no Google Maps</v>
      </c>
      <c r="S1679">
        <v>4</v>
      </c>
      <c r="T1679">
        <v>374.14945573570043</v>
      </c>
      <c r="U1679">
        <v>4</v>
      </c>
      <c r="V1679">
        <v>24</v>
      </c>
      <c r="W1679">
        <v>1</v>
      </c>
      <c r="X1679">
        <v>24</v>
      </c>
      <c r="Y1679">
        <v>292</v>
      </c>
      <c r="Z1679">
        <v>295.9878686859272</v>
      </c>
      <c r="AA1679">
        <v>198</v>
      </c>
      <c r="AB1679">
        <v>332</v>
      </c>
      <c r="AC1679">
        <v>536</v>
      </c>
      <c r="AD1679">
        <v>30.74</v>
      </c>
      <c r="AE1679">
        <v>542</v>
      </c>
      <c r="AF1679">
        <v>30</v>
      </c>
      <c r="AG1679">
        <v>178</v>
      </c>
      <c r="AH1679">
        <v>129</v>
      </c>
      <c r="AI1679">
        <v>5.54</v>
      </c>
      <c r="AJ1679">
        <v>32.840000000000003</v>
      </c>
      <c r="AK1679">
        <v>23.8</v>
      </c>
      <c r="AL1679">
        <v>-20.164961799999961</v>
      </c>
      <c r="AM1679">
        <v>-44.851062119796737</v>
      </c>
      <c r="AN1679">
        <v>-20.164961799999961</v>
      </c>
      <c r="AO1679">
        <v>-44.851062119796737</v>
      </c>
      <c r="AP1679">
        <v>-20.165067000000001</v>
      </c>
      <c r="AQ1679">
        <v>-44.851146999999997</v>
      </c>
      <c r="AR1679">
        <v>14.690666366415</v>
      </c>
      <c r="AS1679" t="s">
        <v>65</v>
      </c>
      <c r="AT1679">
        <v>1</v>
      </c>
      <c r="AU1679" t="s">
        <v>288</v>
      </c>
      <c r="AV1679" t="s">
        <v>289</v>
      </c>
      <c r="AW1679" t="s">
        <v>60</v>
      </c>
      <c r="AX1679" t="s">
        <v>68</v>
      </c>
      <c r="AY1679" t="s">
        <v>69</v>
      </c>
      <c r="AZ1679" t="b">
        <v>1</v>
      </c>
    </row>
    <row r="1680" spans="1:52" x14ac:dyDescent="0.3">
      <c r="A1680" t="s">
        <v>52</v>
      </c>
      <c r="B1680" t="s">
        <v>53</v>
      </c>
      <c r="C1680" t="s">
        <v>54</v>
      </c>
      <c r="D1680" t="s">
        <v>55</v>
      </c>
      <c r="E1680" t="s">
        <v>2148</v>
      </c>
      <c r="F1680" t="s">
        <v>57</v>
      </c>
      <c r="G1680" t="s">
        <v>141</v>
      </c>
      <c r="H1680" t="s">
        <v>142</v>
      </c>
      <c r="I1680" t="s">
        <v>142</v>
      </c>
      <c r="J1680" t="s">
        <v>60</v>
      </c>
      <c r="K1680" t="s">
        <v>143</v>
      </c>
      <c r="L1680" t="s">
        <v>62</v>
      </c>
      <c r="M1680" t="s">
        <v>143</v>
      </c>
      <c r="N1680" t="s">
        <v>144</v>
      </c>
      <c r="O1680" t="s">
        <v>145</v>
      </c>
      <c r="P1680">
        <v>-20.163377000000001</v>
      </c>
      <c r="Q1680">
        <v>-44.843598</v>
      </c>
      <c r="R1680" s="2" t="str">
        <f>HYPERLINK("https://www.google.com/maps?q=-20.1633770,-44.8435980","Abrir no Google Maps")</f>
        <v>Abrir no Google Maps</v>
      </c>
      <c r="S1680">
        <v>4</v>
      </c>
      <c r="T1680">
        <v>481.58374128635978</v>
      </c>
      <c r="U1680">
        <v>4</v>
      </c>
      <c r="V1680">
        <v>24</v>
      </c>
      <c r="W1680">
        <v>1</v>
      </c>
      <c r="X1680">
        <v>24</v>
      </c>
      <c r="Y1680">
        <v>292</v>
      </c>
      <c r="Z1680">
        <v>575.44522663909652</v>
      </c>
      <c r="AA1680">
        <v>198</v>
      </c>
      <c r="AB1680">
        <v>332</v>
      </c>
      <c r="AC1680">
        <v>536</v>
      </c>
      <c r="AD1680">
        <v>30.74</v>
      </c>
      <c r="AE1680">
        <v>542</v>
      </c>
      <c r="AF1680">
        <v>30</v>
      </c>
      <c r="AG1680">
        <v>178</v>
      </c>
      <c r="AH1680">
        <v>129</v>
      </c>
      <c r="AI1680">
        <v>5.54</v>
      </c>
      <c r="AJ1680">
        <v>32.840000000000003</v>
      </c>
      <c r="AK1680">
        <v>23.8</v>
      </c>
      <c r="AL1680">
        <v>-20.16343344999996</v>
      </c>
      <c r="AM1680">
        <v>-44.843590796247732</v>
      </c>
      <c r="AN1680">
        <v>-20.16343344999996</v>
      </c>
      <c r="AO1680">
        <v>-44.843590796247732</v>
      </c>
      <c r="AP1680">
        <v>-20.163377000000001</v>
      </c>
      <c r="AQ1680">
        <v>-44.843598</v>
      </c>
      <c r="AR1680">
        <v>6.3289415646640057</v>
      </c>
      <c r="AS1680" t="s">
        <v>65</v>
      </c>
      <c r="AT1680">
        <v>1</v>
      </c>
      <c r="AU1680" t="s">
        <v>146</v>
      </c>
      <c r="AV1680" t="s">
        <v>147</v>
      </c>
      <c r="AW1680" t="s">
        <v>60</v>
      </c>
      <c r="AX1680" t="s">
        <v>68</v>
      </c>
      <c r="AY1680" t="s">
        <v>69</v>
      </c>
      <c r="AZ1680" t="b">
        <v>1</v>
      </c>
    </row>
    <row r="1681" spans="1:52" x14ac:dyDescent="0.3">
      <c r="A1681" t="s">
        <v>52</v>
      </c>
      <c r="B1681" t="s">
        <v>53</v>
      </c>
      <c r="C1681" t="s">
        <v>54</v>
      </c>
      <c r="D1681" t="s">
        <v>55</v>
      </c>
      <c r="E1681" t="s">
        <v>2148</v>
      </c>
      <c r="F1681" t="s">
        <v>57</v>
      </c>
      <c r="G1681" t="s">
        <v>253</v>
      </c>
      <c r="H1681" t="s">
        <v>296</v>
      </c>
      <c r="I1681" t="s">
        <v>296</v>
      </c>
      <c r="J1681" t="s">
        <v>60</v>
      </c>
      <c r="K1681" t="s">
        <v>136</v>
      </c>
      <c r="L1681" t="s">
        <v>62</v>
      </c>
      <c r="M1681" t="s">
        <v>136</v>
      </c>
      <c r="N1681" t="s">
        <v>256</v>
      </c>
      <c r="O1681" t="s">
        <v>297</v>
      </c>
      <c r="P1681">
        <v>-20.168476999999999</v>
      </c>
      <c r="Q1681">
        <v>-44.852528</v>
      </c>
      <c r="R1681" s="2" t="str">
        <f>HYPERLINK("https://www.google.com/maps?q=-20.1684770,-44.8525280","Abrir no Google Maps")</f>
        <v>Abrir no Google Maps</v>
      </c>
      <c r="S1681">
        <v>4</v>
      </c>
      <c r="T1681">
        <v>587.16898087421623</v>
      </c>
      <c r="U1681">
        <v>4</v>
      </c>
      <c r="V1681">
        <v>26</v>
      </c>
      <c r="W1681">
        <v>1</v>
      </c>
      <c r="X1681">
        <v>26</v>
      </c>
      <c r="Y1681">
        <v>292</v>
      </c>
      <c r="Z1681">
        <v>471.75619463337938</v>
      </c>
      <c r="AA1681">
        <v>198</v>
      </c>
      <c r="AB1681">
        <v>332</v>
      </c>
      <c r="AC1681">
        <v>536</v>
      </c>
      <c r="AD1681">
        <v>30.74</v>
      </c>
      <c r="AE1681">
        <v>542</v>
      </c>
      <c r="AF1681">
        <v>30</v>
      </c>
      <c r="AG1681">
        <v>178</v>
      </c>
      <c r="AH1681">
        <v>129</v>
      </c>
      <c r="AI1681">
        <v>5.54</v>
      </c>
      <c r="AJ1681">
        <v>32.840000000000003</v>
      </c>
      <c r="AK1681">
        <v>23.8</v>
      </c>
      <c r="AL1681">
        <v>-20.16846514999995</v>
      </c>
      <c r="AM1681">
        <v>-44.852319844682007</v>
      </c>
      <c r="AN1681">
        <v>-20.168465149999939</v>
      </c>
      <c r="AO1681">
        <v>-44.852319844682007</v>
      </c>
      <c r="AP1681">
        <v>-20.168476999999999</v>
      </c>
      <c r="AQ1681">
        <v>-44.852528</v>
      </c>
      <c r="AR1681">
        <v>21.790984536052999</v>
      </c>
      <c r="AS1681" t="s">
        <v>65</v>
      </c>
      <c r="AT1681">
        <v>1</v>
      </c>
      <c r="AU1681" t="s">
        <v>298</v>
      </c>
      <c r="AV1681" t="s">
        <v>299</v>
      </c>
      <c r="AW1681" t="s">
        <v>60</v>
      </c>
      <c r="AX1681" t="s">
        <v>68</v>
      </c>
      <c r="AY1681" t="s">
        <v>69</v>
      </c>
      <c r="AZ1681" t="b">
        <v>1</v>
      </c>
    </row>
    <row r="1682" spans="1:52" x14ac:dyDescent="0.3">
      <c r="A1682" t="s">
        <v>52</v>
      </c>
      <c r="B1682" t="s">
        <v>53</v>
      </c>
      <c r="C1682" t="s">
        <v>54</v>
      </c>
      <c r="D1682" t="s">
        <v>55</v>
      </c>
      <c r="E1682" t="s">
        <v>2148</v>
      </c>
      <c r="F1682" t="s">
        <v>57</v>
      </c>
      <c r="G1682" t="s">
        <v>253</v>
      </c>
      <c r="H1682" t="s">
        <v>1633</v>
      </c>
      <c r="I1682" t="s">
        <v>1633</v>
      </c>
      <c r="J1682" t="s">
        <v>60</v>
      </c>
      <c r="K1682" t="s">
        <v>982</v>
      </c>
      <c r="L1682" t="s">
        <v>62</v>
      </c>
      <c r="M1682" t="s">
        <v>982</v>
      </c>
      <c r="N1682" t="s">
        <v>256</v>
      </c>
      <c r="O1682" t="s">
        <v>1634</v>
      </c>
      <c r="P1682">
        <v>-20.170407000000001</v>
      </c>
      <c r="Q1682">
        <v>-44.853330999999997</v>
      </c>
      <c r="R1682" s="2" t="str">
        <f>HYPERLINK("https://www.google.com/maps?q=-20.1704070,-44.8533310","Abrir no Google Maps")</f>
        <v>Abrir no Google Maps</v>
      </c>
      <c r="S1682">
        <v>4</v>
      </c>
      <c r="T1682">
        <v>801.41180076523165</v>
      </c>
      <c r="U1682">
        <v>4</v>
      </c>
      <c r="V1682">
        <v>33</v>
      </c>
      <c r="W1682">
        <v>1</v>
      </c>
      <c r="X1682">
        <v>33</v>
      </c>
      <c r="Y1682">
        <v>292</v>
      </c>
      <c r="Z1682">
        <v>726.46828777213966</v>
      </c>
      <c r="AA1682">
        <v>198</v>
      </c>
      <c r="AB1682">
        <v>332</v>
      </c>
      <c r="AC1682">
        <v>536</v>
      </c>
      <c r="AD1682">
        <v>30.74</v>
      </c>
      <c r="AE1682">
        <v>542</v>
      </c>
      <c r="AF1682">
        <v>30</v>
      </c>
      <c r="AG1682">
        <v>178</v>
      </c>
      <c r="AH1682">
        <v>129</v>
      </c>
      <c r="AI1682">
        <v>5.54</v>
      </c>
      <c r="AJ1682">
        <v>32.840000000000003</v>
      </c>
      <c r="AK1682">
        <v>23.8</v>
      </c>
      <c r="AL1682">
        <v>-20.170412849999959</v>
      </c>
      <c r="AM1682">
        <v>-44.853334311192633</v>
      </c>
      <c r="AN1682">
        <v>-20.170412849999959</v>
      </c>
      <c r="AO1682">
        <v>-44.853334311192633</v>
      </c>
      <c r="AP1682">
        <v>-20.170407000000001</v>
      </c>
      <c r="AQ1682">
        <v>-44.853330999999997</v>
      </c>
      <c r="AR1682">
        <v>0.73743023728700929</v>
      </c>
      <c r="AS1682" t="s">
        <v>65</v>
      </c>
      <c r="AT1682">
        <v>1</v>
      </c>
      <c r="AU1682" t="s">
        <v>1635</v>
      </c>
      <c r="AV1682" t="s">
        <v>1636</v>
      </c>
      <c r="AW1682" t="s">
        <v>60</v>
      </c>
      <c r="AX1682" t="s">
        <v>68</v>
      </c>
      <c r="AY1682" t="s">
        <v>69</v>
      </c>
      <c r="AZ1682" t="b">
        <v>1</v>
      </c>
    </row>
    <row r="1683" spans="1:52" x14ac:dyDescent="0.3">
      <c r="A1683" t="s">
        <v>52</v>
      </c>
      <c r="B1683" t="s">
        <v>53</v>
      </c>
      <c r="C1683" t="s">
        <v>54</v>
      </c>
      <c r="D1683" t="s">
        <v>55</v>
      </c>
      <c r="E1683" t="s">
        <v>2148</v>
      </c>
      <c r="F1683" t="s">
        <v>57</v>
      </c>
      <c r="G1683" t="s">
        <v>148</v>
      </c>
      <c r="H1683" t="s">
        <v>149</v>
      </c>
      <c r="I1683" t="s">
        <v>149</v>
      </c>
      <c r="J1683" t="s">
        <v>60</v>
      </c>
      <c r="K1683" t="s">
        <v>150</v>
      </c>
      <c r="L1683" t="s">
        <v>62</v>
      </c>
      <c r="M1683" t="s">
        <v>150</v>
      </c>
      <c r="N1683" t="s">
        <v>151</v>
      </c>
      <c r="O1683" t="s">
        <v>152</v>
      </c>
      <c r="P1683">
        <v>-20.174192999999999</v>
      </c>
      <c r="Q1683">
        <v>-44.850782000000002</v>
      </c>
      <c r="R1683" s="2" t="str">
        <f>HYPERLINK("https://www.google.com/maps?q=-20.1741930,-44.8507820","Abrir no Google Maps")</f>
        <v>Abrir no Google Maps</v>
      </c>
      <c r="S1683">
        <v>4</v>
      </c>
      <c r="T1683">
        <v>994.93657848632188</v>
      </c>
      <c r="U1683">
        <v>4</v>
      </c>
      <c r="V1683">
        <v>37</v>
      </c>
      <c r="W1683">
        <v>1</v>
      </c>
      <c r="X1683">
        <v>37</v>
      </c>
      <c r="Y1683">
        <v>292</v>
      </c>
      <c r="Z1683">
        <v>948.95851793804729</v>
      </c>
      <c r="AA1683">
        <v>198</v>
      </c>
      <c r="AB1683">
        <v>332</v>
      </c>
      <c r="AC1683">
        <v>536</v>
      </c>
      <c r="AD1683">
        <v>30.74</v>
      </c>
      <c r="AE1683">
        <v>542</v>
      </c>
      <c r="AF1683">
        <v>30</v>
      </c>
      <c r="AG1683">
        <v>178</v>
      </c>
      <c r="AH1683">
        <v>129</v>
      </c>
      <c r="AI1683">
        <v>5.54</v>
      </c>
      <c r="AJ1683">
        <v>32.840000000000003</v>
      </c>
      <c r="AK1683">
        <v>23.8</v>
      </c>
      <c r="AL1683">
        <v>-20.174122099999941</v>
      </c>
      <c r="AM1683">
        <v>-44.850744657037339</v>
      </c>
      <c r="AN1683">
        <v>-20.174122099999941</v>
      </c>
      <c r="AO1683">
        <v>-44.850744657037339</v>
      </c>
      <c r="AP1683">
        <v>-20.174192999999999</v>
      </c>
      <c r="AQ1683">
        <v>-44.850782000000002</v>
      </c>
      <c r="AR1683">
        <v>8.8044534253701947</v>
      </c>
      <c r="AS1683" t="s">
        <v>65</v>
      </c>
      <c r="AT1683">
        <v>1</v>
      </c>
      <c r="AU1683" t="s">
        <v>153</v>
      </c>
      <c r="AV1683" t="s">
        <v>154</v>
      </c>
      <c r="AW1683" t="s">
        <v>60</v>
      </c>
      <c r="AX1683" t="s">
        <v>68</v>
      </c>
      <c r="AY1683" t="s">
        <v>69</v>
      </c>
      <c r="AZ1683" t="b">
        <v>1</v>
      </c>
    </row>
    <row r="1684" spans="1:52" x14ac:dyDescent="0.3">
      <c r="A1684" t="s">
        <v>52</v>
      </c>
      <c r="B1684" t="s">
        <v>53</v>
      </c>
      <c r="C1684" t="s">
        <v>54</v>
      </c>
      <c r="D1684" t="s">
        <v>55</v>
      </c>
      <c r="E1684" t="s">
        <v>2148</v>
      </c>
      <c r="F1684" t="s">
        <v>57</v>
      </c>
      <c r="G1684" t="s">
        <v>300</v>
      </c>
      <c r="H1684" t="s">
        <v>301</v>
      </c>
      <c r="I1684" t="s">
        <v>301</v>
      </c>
      <c r="J1684" t="s">
        <v>60</v>
      </c>
      <c r="K1684" t="s">
        <v>150</v>
      </c>
      <c r="L1684" t="s">
        <v>62</v>
      </c>
      <c r="M1684" t="s">
        <v>150</v>
      </c>
      <c r="N1684" t="s">
        <v>302</v>
      </c>
      <c r="O1684" t="s">
        <v>303</v>
      </c>
      <c r="P1684">
        <v>-20.172993000000002</v>
      </c>
      <c r="Q1684">
        <v>-44.853588999999999</v>
      </c>
      <c r="R1684" s="2" t="str">
        <f>HYPERLINK("https://www.google.com/maps?q=-20.1729930,-44.8535890","Abrir no Google Maps")</f>
        <v>Abrir no Google Maps</v>
      </c>
      <c r="S1684">
        <v>4</v>
      </c>
      <c r="T1684">
        <v>1041.446216907221</v>
      </c>
      <c r="U1684">
        <v>4</v>
      </c>
      <c r="V1684">
        <v>34</v>
      </c>
      <c r="W1684">
        <v>1</v>
      </c>
      <c r="X1684">
        <v>34</v>
      </c>
      <c r="Y1684">
        <v>292</v>
      </c>
      <c r="Z1684">
        <v>978.86270909763937</v>
      </c>
      <c r="AA1684">
        <v>198</v>
      </c>
      <c r="AB1684">
        <v>332</v>
      </c>
      <c r="AC1684">
        <v>536</v>
      </c>
      <c r="AD1684">
        <v>30.74</v>
      </c>
      <c r="AE1684">
        <v>542</v>
      </c>
      <c r="AF1684">
        <v>30</v>
      </c>
      <c r="AG1684">
        <v>178</v>
      </c>
      <c r="AH1684">
        <v>129</v>
      </c>
      <c r="AI1684">
        <v>5.54</v>
      </c>
      <c r="AJ1684">
        <v>32.840000000000003</v>
      </c>
      <c r="AK1684">
        <v>23.8</v>
      </c>
      <c r="AL1684">
        <v>-20.173142449999968</v>
      </c>
      <c r="AM1684">
        <v>-44.853588035903172</v>
      </c>
      <c r="AN1684">
        <v>-20.173142449999968</v>
      </c>
      <c r="AO1684">
        <v>-44.853588035903172</v>
      </c>
      <c r="AP1684">
        <v>-20.172993000000002</v>
      </c>
      <c r="AQ1684">
        <v>-44.853588999999999</v>
      </c>
      <c r="AR1684">
        <v>16.637078994259841</v>
      </c>
      <c r="AS1684" t="s">
        <v>65</v>
      </c>
      <c r="AT1684">
        <v>1</v>
      </c>
      <c r="AU1684" t="s">
        <v>304</v>
      </c>
      <c r="AV1684" t="s">
        <v>305</v>
      </c>
      <c r="AW1684" t="s">
        <v>60</v>
      </c>
      <c r="AX1684" t="s">
        <v>68</v>
      </c>
      <c r="AY1684" t="s">
        <v>69</v>
      </c>
      <c r="AZ1684" t="b">
        <v>1</v>
      </c>
    </row>
    <row r="1685" spans="1:52" x14ac:dyDescent="0.3">
      <c r="A1685" t="s">
        <v>52</v>
      </c>
      <c r="B1685" t="s">
        <v>53</v>
      </c>
      <c r="C1685" t="s">
        <v>54</v>
      </c>
      <c r="D1685" t="s">
        <v>55</v>
      </c>
      <c r="E1685" t="s">
        <v>2148</v>
      </c>
      <c r="F1685" t="s">
        <v>57</v>
      </c>
      <c r="G1685" t="s">
        <v>306</v>
      </c>
      <c r="H1685" t="s">
        <v>307</v>
      </c>
      <c r="I1685" t="s">
        <v>307</v>
      </c>
      <c r="J1685" t="s">
        <v>60</v>
      </c>
      <c r="K1685" t="s">
        <v>143</v>
      </c>
      <c r="L1685" t="s">
        <v>62</v>
      </c>
      <c r="M1685" t="s">
        <v>143</v>
      </c>
      <c r="N1685" t="s">
        <v>308</v>
      </c>
      <c r="O1685" t="s">
        <v>309</v>
      </c>
      <c r="P1685">
        <v>-20.167071</v>
      </c>
      <c r="Q1685">
        <v>-44.842730000000003</v>
      </c>
      <c r="R1685" s="2" t="str">
        <f>HYPERLINK("https://www.google.com/maps?q=-20.1670710,-44.8427300","Abrir no Google Maps")</f>
        <v>Abrir no Google Maps</v>
      </c>
      <c r="S1685">
        <v>4</v>
      </c>
      <c r="T1685">
        <v>535.14780070571521</v>
      </c>
      <c r="U1685">
        <v>4</v>
      </c>
      <c r="V1685">
        <v>25</v>
      </c>
      <c r="W1685">
        <v>1</v>
      </c>
      <c r="X1685">
        <v>25</v>
      </c>
      <c r="Y1685">
        <v>292</v>
      </c>
      <c r="Z1685">
        <v>582.78942050501109</v>
      </c>
      <c r="AA1685">
        <v>198</v>
      </c>
      <c r="AB1685">
        <v>332</v>
      </c>
      <c r="AC1685">
        <v>536</v>
      </c>
      <c r="AD1685">
        <v>30.74</v>
      </c>
      <c r="AE1685">
        <v>542</v>
      </c>
      <c r="AF1685">
        <v>30</v>
      </c>
      <c r="AG1685">
        <v>178</v>
      </c>
      <c r="AH1685">
        <v>129</v>
      </c>
      <c r="AI1685">
        <v>5.54</v>
      </c>
      <c r="AJ1685">
        <v>32.840000000000003</v>
      </c>
      <c r="AK1685">
        <v>23.8</v>
      </c>
      <c r="AL1685">
        <v>-20.167006799999971</v>
      </c>
      <c r="AM1685">
        <v>-44.842640974693197</v>
      </c>
      <c r="AN1685">
        <v>-20.167006799999971</v>
      </c>
      <c r="AO1685">
        <v>-44.842640974693197</v>
      </c>
      <c r="AP1685">
        <v>-20.167071</v>
      </c>
      <c r="AQ1685">
        <v>-44.842730000000003</v>
      </c>
      <c r="AR1685">
        <v>11.73100304278117</v>
      </c>
      <c r="AS1685" t="s">
        <v>65</v>
      </c>
      <c r="AT1685">
        <v>1</v>
      </c>
      <c r="AU1685" t="s">
        <v>310</v>
      </c>
      <c r="AV1685" t="s">
        <v>311</v>
      </c>
      <c r="AW1685" t="s">
        <v>60</v>
      </c>
      <c r="AX1685" t="s">
        <v>68</v>
      </c>
      <c r="AY1685" t="s">
        <v>69</v>
      </c>
      <c r="AZ1685" t="b">
        <v>1</v>
      </c>
    </row>
    <row r="1686" spans="1:52" x14ac:dyDescent="0.3">
      <c r="A1686" t="s">
        <v>52</v>
      </c>
      <c r="B1686" t="s">
        <v>53</v>
      </c>
      <c r="C1686" t="s">
        <v>54</v>
      </c>
      <c r="D1686" t="s">
        <v>55</v>
      </c>
      <c r="E1686" t="s">
        <v>2148</v>
      </c>
      <c r="F1686" t="s">
        <v>57</v>
      </c>
      <c r="G1686" t="s">
        <v>312</v>
      </c>
      <c r="H1686" t="s">
        <v>313</v>
      </c>
      <c r="I1686" t="s">
        <v>313</v>
      </c>
      <c r="J1686" t="s">
        <v>60</v>
      </c>
      <c r="K1686" t="s">
        <v>143</v>
      </c>
      <c r="L1686" t="s">
        <v>62</v>
      </c>
      <c r="M1686" t="s">
        <v>143</v>
      </c>
      <c r="N1686" t="s">
        <v>314</v>
      </c>
      <c r="O1686" t="s">
        <v>315</v>
      </c>
      <c r="P1686">
        <v>-20.168939000000002</v>
      </c>
      <c r="Q1686">
        <v>-44.843286999999997</v>
      </c>
      <c r="R1686" s="2" t="str">
        <f>HYPERLINK("https://www.google.com/maps?q=-20.1689390,-44.8432870","Abrir no Google Maps")</f>
        <v>Abrir no Google Maps</v>
      </c>
      <c r="S1686">
        <v>4</v>
      </c>
      <c r="T1686">
        <v>582.22902758915586</v>
      </c>
      <c r="U1686">
        <v>4</v>
      </c>
      <c r="V1686">
        <v>26</v>
      </c>
      <c r="W1686">
        <v>1</v>
      </c>
      <c r="X1686">
        <v>26</v>
      </c>
      <c r="Y1686">
        <v>292</v>
      </c>
      <c r="Z1686">
        <v>628.29035609472794</v>
      </c>
      <c r="AA1686">
        <v>198</v>
      </c>
      <c r="AB1686">
        <v>332</v>
      </c>
      <c r="AC1686">
        <v>536</v>
      </c>
      <c r="AD1686">
        <v>30.74</v>
      </c>
      <c r="AE1686">
        <v>542</v>
      </c>
      <c r="AF1686">
        <v>30</v>
      </c>
      <c r="AG1686">
        <v>178</v>
      </c>
      <c r="AH1686">
        <v>129</v>
      </c>
      <c r="AI1686">
        <v>5.54</v>
      </c>
      <c r="AJ1686">
        <v>32.840000000000003</v>
      </c>
      <c r="AK1686">
        <v>23.8</v>
      </c>
      <c r="AL1686">
        <v>-20.16917709999996</v>
      </c>
      <c r="AM1686">
        <v>-44.84342194427667</v>
      </c>
      <c r="AN1686">
        <v>-20.16917709999996</v>
      </c>
      <c r="AO1686">
        <v>-44.84342194427667</v>
      </c>
      <c r="AP1686">
        <v>-20.168939000000002</v>
      </c>
      <c r="AQ1686">
        <v>-44.843286999999997</v>
      </c>
      <c r="AR1686">
        <v>30.02272213565665</v>
      </c>
      <c r="AS1686" t="s">
        <v>65</v>
      </c>
      <c r="AT1686">
        <v>1</v>
      </c>
      <c r="AU1686" t="s">
        <v>316</v>
      </c>
      <c r="AV1686" t="s">
        <v>311</v>
      </c>
      <c r="AW1686" t="s">
        <v>60</v>
      </c>
      <c r="AX1686" t="s">
        <v>68</v>
      </c>
      <c r="AY1686" t="s">
        <v>69</v>
      </c>
      <c r="AZ1686" t="b">
        <v>1</v>
      </c>
    </row>
    <row r="1687" spans="1:52" x14ac:dyDescent="0.3">
      <c r="A1687" t="s">
        <v>52</v>
      </c>
      <c r="B1687" t="s">
        <v>53</v>
      </c>
      <c r="C1687" t="s">
        <v>54</v>
      </c>
      <c r="D1687" t="s">
        <v>55</v>
      </c>
      <c r="E1687" t="s">
        <v>2148</v>
      </c>
      <c r="F1687" t="s">
        <v>57</v>
      </c>
      <c r="G1687" t="s">
        <v>260</v>
      </c>
      <c r="H1687" t="s">
        <v>317</v>
      </c>
      <c r="I1687" t="s">
        <v>317</v>
      </c>
      <c r="J1687" t="s">
        <v>60</v>
      </c>
      <c r="K1687" t="s">
        <v>255</v>
      </c>
      <c r="L1687" t="s">
        <v>62</v>
      </c>
      <c r="M1687" t="s">
        <v>255</v>
      </c>
      <c r="N1687" t="s">
        <v>263</v>
      </c>
      <c r="O1687" t="s">
        <v>318</v>
      </c>
      <c r="P1687">
        <v>-20.163532</v>
      </c>
      <c r="Q1687">
        <v>-44.846910999999999</v>
      </c>
      <c r="R1687" s="2" t="str">
        <f>HYPERLINK("https://www.google.com/maps?q=-20.1635320,-44.8469110","Abrir no Google Maps")</f>
        <v>Abrir no Google Maps</v>
      </c>
      <c r="S1687">
        <v>4</v>
      </c>
      <c r="T1687">
        <v>259.92389401636012</v>
      </c>
      <c r="U1687">
        <v>4</v>
      </c>
      <c r="V1687">
        <v>24</v>
      </c>
      <c r="W1687">
        <v>1</v>
      </c>
      <c r="X1687">
        <v>24</v>
      </c>
      <c r="Y1687">
        <v>292</v>
      </c>
      <c r="Z1687">
        <v>316.26738966059708</v>
      </c>
      <c r="AA1687">
        <v>198</v>
      </c>
      <c r="AB1687">
        <v>332</v>
      </c>
      <c r="AC1687">
        <v>536</v>
      </c>
      <c r="AD1687">
        <v>30.74</v>
      </c>
      <c r="AE1687">
        <v>542</v>
      </c>
      <c r="AF1687">
        <v>30</v>
      </c>
      <c r="AG1687">
        <v>178</v>
      </c>
      <c r="AH1687">
        <v>129</v>
      </c>
      <c r="AI1687">
        <v>5.54</v>
      </c>
      <c r="AJ1687">
        <v>32.840000000000003</v>
      </c>
      <c r="AK1687">
        <v>23.8</v>
      </c>
      <c r="AL1687">
        <v>-20.16343344999996</v>
      </c>
      <c r="AM1687">
        <v>-44.846734659744428</v>
      </c>
      <c r="AN1687">
        <v>-20.16343344999996</v>
      </c>
      <c r="AO1687">
        <v>-44.846734659744428</v>
      </c>
      <c r="AP1687">
        <v>-20.163532</v>
      </c>
      <c r="AQ1687">
        <v>-44.846910999999999</v>
      </c>
      <c r="AR1687">
        <v>21.445575432006599</v>
      </c>
      <c r="AS1687" t="s">
        <v>65</v>
      </c>
      <c r="AT1687">
        <v>1</v>
      </c>
      <c r="AU1687" t="s">
        <v>319</v>
      </c>
      <c r="AV1687" t="s">
        <v>320</v>
      </c>
      <c r="AW1687" t="s">
        <v>60</v>
      </c>
      <c r="AX1687" t="s">
        <v>68</v>
      </c>
      <c r="AY1687" t="s">
        <v>69</v>
      </c>
      <c r="AZ1687" t="b">
        <v>1</v>
      </c>
    </row>
    <row r="1688" spans="1:52" x14ac:dyDescent="0.3">
      <c r="A1688" t="s">
        <v>52</v>
      </c>
      <c r="B1688" t="s">
        <v>53</v>
      </c>
      <c r="C1688" t="s">
        <v>54</v>
      </c>
      <c r="D1688" t="s">
        <v>55</v>
      </c>
      <c r="E1688" t="s">
        <v>2148</v>
      </c>
      <c r="F1688" t="s">
        <v>57</v>
      </c>
      <c r="G1688" t="s">
        <v>321</v>
      </c>
      <c r="H1688" t="s">
        <v>322</v>
      </c>
      <c r="I1688" t="s">
        <v>322</v>
      </c>
      <c r="J1688" t="s">
        <v>60</v>
      </c>
      <c r="K1688" t="s">
        <v>323</v>
      </c>
      <c r="L1688" t="s">
        <v>62</v>
      </c>
      <c r="M1688" t="s">
        <v>323</v>
      </c>
      <c r="N1688" t="s">
        <v>324</v>
      </c>
      <c r="O1688" t="s">
        <v>325</v>
      </c>
      <c r="P1688">
        <v>-20.151437999999999</v>
      </c>
      <c r="Q1688">
        <v>-44.855761000000001</v>
      </c>
      <c r="R1688" s="2" t="str">
        <f>HYPERLINK("https://www.google.com/maps?q=-20.1514380,-44.8557610","Abrir no Google Maps")</f>
        <v>Abrir no Google Maps</v>
      </c>
      <c r="S1688">
        <v>4</v>
      </c>
      <c r="T1688">
        <v>970.69989262042009</v>
      </c>
      <c r="U1688">
        <v>4</v>
      </c>
      <c r="V1688">
        <v>37</v>
      </c>
      <c r="W1688">
        <v>1</v>
      </c>
      <c r="X1688">
        <v>37</v>
      </c>
      <c r="Y1688">
        <v>264</v>
      </c>
      <c r="Z1688">
        <v>1041.0105988261671</v>
      </c>
      <c r="AA1688">
        <v>198</v>
      </c>
      <c r="AB1688">
        <v>332</v>
      </c>
      <c r="AC1688">
        <v>536</v>
      </c>
      <c r="AD1688">
        <v>30.74</v>
      </c>
      <c r="AE1688">
        <v>542</v>
      </c>
      <c r="AF1688">
        <v>30</v>
      </c>
      <c r="AG1688">
        <v>178</v>
      </c>
      <c r="AH1688">
        <v>129</v>
      </c>
      <c r="AI1688">
        <v>5.54</v>
      </c>
      <c r="AJ1688">
        <v>32.840000000000003</v>
      </c>
      <c r="AK1688">
        <v>23.8</v>
      </c>
      <c r="AL1688">
        <v>-20.15142824999996</v>
      </c>
      <c r="AM1688">
        <v>-44.854100160898767</v>
      </c>
      <c r="AN1688">
        <v>-20.15142824999996</v>
      </c>
      <c r="AO1688">
        <v>-44.854100160898767</v>
      </c>
      <c r="AP1688">
        <v>-20.151437999999999</v>
      </c>
      <c r="AQ1688">
        <v>-44.855761000000001</v>
      </c>
      <c r="AR1688">
        <v>173.57036632351381</v>
      </c>
      <c r="AS1688" t="s">
        <v>65</v>
      </c>
      <c r="AT1688">
        <v>1</v>
      </c>
      <c r="AU1688" t="s">
        <v>326</v>
      </c>
      <c r="AV1688" t="s">
        <v>327</v>
      </c>
      <c r="AW1688" t="s">
        <v>60</v>
      </c>
      <c r="AX1688" t="s">
        <v>68</v>
      </c>
      <c r="AY1688" t="s">
        <v>69</v>
      </c>
      <c r="AZ1688" t="b">
        <v>1</v>
      </c>
    </row>
    <row r="1689" spans="1:52" x14ac:dyDescent="0.3">
      <c r="A1689" t="s">
        <v>52</v>
      </c>
      <c r="B1689" t="s">
        <v>53</v>
      </c>
      <c r="C1689" t="s">
        <v>54</v>
      </c>
      <c r="D1689" t="s">
        <v>55</v>
      </c>
      <c r="E1689" t="s">
        <v>2148</v>
      </c>
      <c r="F1689" t="s">
        <v>57</v>
      </c>
      <c r="G1689" t="s">
        <v>328</v>
      </c>
      <c r="H1689" t="s">
        <v>329</v>
      </c>
      <c r="I1689" t="s">
        <v>329</v>
      </c>
      <c r="J1689" t="s">
        <v>60</v>
      </c>
      <c r="K1689" t="s">
        <v>157</v>
      </c>
      <c r="L1689" t="s">
        <v>62</v>
      </c>
      <c r="M1689" t="s">
        <v>157</v>
      </c>
      <c r="N1689" t="s">
        <v>330</v>
      </c>
      <c r="O1689" t="s">
        <v>331</v>
      </c>
      <c r="P1689">
        <v>-20.167981999999999</v>
      </c>
      <c r="Q1689">
        <v>-44.885706999999996</v>
      </c>
      <c r="R1689" s="2" t="str">
        <f>HYPERLINK("https://www.google.com/maps?q=-20.1679820,-44.8857070","Abrir no Google Maps")</f>
        <v>Abrir no Google Maps</v>
      </c>
      <c r="S1689">
        <v>4</v>
      </c>
      <c r="T1689">
        <v>594.70112534633722</v>
      </c>
      <c r="U1689">
        <v>4</v>
      </c>
      <c r="V1689">
        <v>46</v>
      </c>
      <c r="W1689">
        <v>1</v>
      </c>
      <c r="X1689">
        <v>46</v>
      </c>
      <c r="Y1689">
        <v>232</v>
      </c>
      <c r="Z1689">
        <v>560.38516624860983</v>
      </c>
      <c r="AA1689">
        <v>198</v>
      </c>
      <c r="AB1689">
        <v>332</v>
      </c>
      <c r="AC1689">
        <v>536</v>
      </c>
      <c r="AD1689">
        <v>30.74</v>
      </c>
      <c r="AE1689">
        <v>542</v>
      </c>
      <c r="AF1689">
        <v>30</v>
      </c>
      <c r="AG1689">
        <v>178</v>
      </c>
      <c r="AH1689">
        <v>129</v>
      </c>
      <c r="AI1689">
        <v>5.54</v>
      </c>
      <c r="AJ1689">
        <v>32.840000000000003</v>
      </c>
      <c r="AK1689">
        <v>23.8</v>
      </c>
      <c r="AL1689">
        <v>-20.167931149999959</v>
      </c>
      <c r="AM1689">
        <v>-44.885606821741909</v>
      </c>
      <c r="AN1689">
        <v>-20.167931149999959</v>
      </c>
      <c r="AO1689">
        <v>-44.885606821741909</v>
      </c>
      <c r="AP1689">
        <v>-20.167981999999999</v>
      </c>
      <c r="AQ1689">
        <v>-44.885706999999996</v>
      </c>
      <c r="AR1689">
        <v>11.90056149590643</v>
      </c>
      <c r="AS1689" t="s">
        <v>65</v>
      </c>
      <c r="AT1689">
        <v>1</v>
      </c>
      <c r="AU1689" t="s">
        <v>332</v>
      </c>
      <c r="AV1689" t="s">
        <v>333</v>
      </c>
      <c r="AW1689" t="s">
        <v>60</v>
      </c>
      <c r="AX1689" t="s">
        <v>68</v>
      </c>
      <c r="AY1689" t="s">
        <v>69</v>
      </c>
      <c r="AZ1689" t="b">
        <v>1</v>
      </c>
    </row>
    <row r="1690" spans="1:52" x14ac:dyDescent="0.3">
      <c r="A1690" t="s">
        <v>52</v>
      </c>
      <c r="B1690" t="s">
        <v>53</v>
      </c>
      <c r="C1690" t="s">
        <v>54</v>
      </c>
      <c r="D1690" t="s">
        <v>55</v>
      </c>
      <c r="E1690" t="s">
        <v>2148</v>
      </c>
      <c r="F1690" t="s">
        <v>57</v>
      </c>
      <c r="G1690" t="s">
        <v>155</v>
      </c>
      <c r="H1690" t="s">
        <v>156</v>
      </c>
      <c r="I1690" t="s">
        <v>156</v>
      </c>
      <c r="J1690" t="s">
        <v>60</v>
      </c>
      <c r="K1690" t="s">
        <v>157</v>
      </c>
      <c r="L1690" t="s">
        <v>62</v>
      </c>
      <c r="M1690" t="s">
        <v>157</v>
      </c>
      <c r="N1690" t="s">
        <v>158</v>
      </c>
      <c r="O1690" t="s">
        <v>159</v>
      </c>
      <c r="P1690">
        <v>-20.166302999999999</v>
      </c>
      <c r="Q1690">
        <v>-44.880659999999999</v>
      </c>
      <c r="R1690" s="2" t="str">
        <f>HYPERLINK("https://www.google.com/maps?q=-20.1663030,-44.8806600","Abrir no Google Maps")</f>
        <v>Abrir no Google Maps</v>
      </c>
      <c r="S1690">
        <v>4</v>
      </c>
      <c r="T1690">
        <v>504.41812426451338</v>
      </c>
      <c r="U1690">
        <v>4</v>
      </c>
      <c r="V1690">
        <v>32</v>
      </c>
      <c r="W1690">
        <v>1</v>
      </c>
      <c r="X1690">
        <v>32</v>
      </c>
      <c r="Y1690">
        <v>232</v>
      </c>
      <c r="Z1690">
        <v>279.57571553948952</v>
      </c>
      <c r="AA1690">
        <v>198</v>
      </c>
      <c r="AB1690">
        <v>332</v>
      </c>
      <c r="AC1690">
        <v>536</v>
      </c>
      <c r="AD1690">
        <v>30.74</v>
      </c>
      <c r="AE1690">
        <v>542</v>
      </c>
      <c r="AF1690">
        <v>30</v>
      </c>
      <c r="AG1690">
        <v>178</v>
      </c>
      <c r="AH1690">
        <v>129</v>
      </c>
      <c r="AI1690">
        <v>5.54</v>
      </c>
      <c r="AJ1690">
        <v>32.840000000000003</v>
      </c>
      <c r="AK1690">
        <v>23.8</v>
      </c>
      <c r="AL1690">
        <v>-20.166700449999951</v>
      </c>
      <c r="AM1690">
        <v>-44.880573341714289</v>
      </c>
      <c r="AN1690">
        <v>-20.166700449999951</v>
      </c>
      <c r="AO1690">
        <v>-44.880573341714289</v>
      </c>
      <c r="AP1690">
        <v>-20.166302999999999</v>
      </c>
      <c r="AQ1690">
        <v>-44.880659999999999</v>
      </c>
      <c r="AR1690">
        <v>45.161304979350312</v>
      </c>
      <c r="AS1690" t="s">
        <v>65</v>
      </c>
      <c r="AT1690">
        <v>1</v>
      </c>
      <c r="AU1690" t="s">
        <v>160</v>
      </c>
      <c r="AV1690" t="s">
        <v>161</v>
      </c>
      <c r="AW1690" t="s">
        <v>60</v>
      </c>
      <c r="AX1690" t="s">
        <v>68</v>
      </c>
      <c r="AY1690" t="s">
        <v>69</v>
      </c>
      <c r="AZ1690" t="b">
        <v>1</v>
      </c>
    </row>
    <row r="1691" spans="1:52" x14ac:dyDescent="0.3">
      <c r="A1691" t="s">
        <v>52</v>
      </c>
      <c r="B1691" t="s">
        <v>53</v>
      </c>
      <c r="C1691" t="s">
        <v>54</v>
      </c>
      <c r="D1691" t="s">
        <v>55</v>
      </c>
      <c r="E1691" t="s">
        <v>2148</v>
      </c>
      <c r="F1691" t="s">
        <v>57</v>
      </c>
      <c r="G1691" t="s">
        <v>162</v>
      </c>
      <c r="H1691" t="s">
        <v>163</v>
      </c>
      <c r="I1691" t="s">
        <v>163</v>
      </c>
      <c r="J1691" t="s">
        <v>60</v>
      </c>
      <c r="K1691" t="s">
        <v>164</v>
      </c>
      <c r="L1691" t="s">
        <v>62</v>
      </c>
      <c r="M1691" t="s">
        <v>164</v>
      </c>
      <c r="N1691" t="s">
        <v>165</v>
      </c>
      <c r="O1691" t="s">
        <v>166</v>
      </c>
      <c r="P1691">
        <v>-20.175967</v>
      </c>
      <c r="Q1691">
        <v>-44.876730000000002</v>
      </c>
      <c r="R1691" s="2" t="str">
        <f>HYPERLINK("https://www.google.com/maps?q=-20.1759670,-44.8767300","Abrir no Google Maps")</f>
        <v>Abrir no Google Maps</v>
      </c>
      <c r="S1691">
        <v>4</v>
      </c>
      <c r="T1691">
        <v>692.5753730151132</v>
      </c>
      <c r="U1691">
        <v>4</v>
      </c>
      <c r="V1691">
        <v>29</v>
      </c>
      <c r="W1691">
        <v>1</v>
      </c>
      <c r="X1691">
        <v>29</v>
      </c>
      <c r="Y1691">
        <v>232</v>
      </c>
      <c r="Z1691">
        <v>686.15054949166824</v>
      </c>
      <c r="AA1691">
        <v>198</v>
      </c>
      <c r="AB1691">
        <v>332</v>
      </c>
      <c r="AC1691">
        <v>536</v>
      </c>
      <c r="AD1691">
        <v>30.74</v>
      </c>
      <c r="AE1691">
        <v>542</v>
      </c>
      <c r="AF1691">
        <v>30</v>
      </c>
      <c r="AG1691">
        <v>178</v>
      </c>
      <c r="AH1691">
        <v>129</v>
      </c>
      <c r="AI1691">
        <v>5.54</v>
      </c>
      <c r="AJ1691">
        <v>32.840000000000003</v>
      </c>
      <c r="AK1691">
        <v>23.8</v>
      </c>
      <c r="AL1691">
        <v>-20.17598664999997</v>
      </c>
      <c r="AM1691">
        <v>-44.876806510253203</v>
      </c>
      <c r="AN1691">
        <v>-20.17598664999997</v>
      </c>
      <c r="AO1691">
        <v>-44.876806510253203</v>
      </c>
      <c r="AP1691">
        <v>-20.175967</v>
      </c>
      <c r="AQ1691">
        <v>-44.876730000000002</v>
      </c>
      <c r="AR1691">
        <v>8.2883514287440097</v>
      </c>
      <c r="AS1691" t="s">
        <v>65</v>
      </c>
      <c r="AT1691">
        <v>1</v>
      </c>
      <c r="AU1691" t="s">
        <v>167</v>
      </c>
      <c r="AV1691" t="s">
        <v>168</v>
      </c>
      <c r="AW1691" t="s">
        <v>60</v>
      </c>
      <c r="AX1691" t="s">
        <v>68</v>
      </c>
      <c r="AY1691" t="s">
        <v>69</v>
      </c>
      <c r="AZ1691" t="b">
        <v>1</v>
      </c>
    </row>
    <row r="1692" spans="1:52" x14ac:dyDescent="0.3">
      <c r="A1692" t="s">
        <v>52</v>
      </c>
      <c r="B1692" t="s">
        <v>53</v>
      </c>
      <c r="C1692" t="s">
        <v>54</v>
      </c>
      <c r="D1692" t="s">
        <v>55</v>
      </c>
      <c r="E1692" t="s">
        <v>2148</v>
      </c>
      <c r="F1692" t="s">
        <v>57</v>
      </c>
      <c r="G1692" t="s">
        <v>347</v>
      </c>
      <c r="H1692" t="s">
        <v>348</v>
      </c>
      <c r="I1692" t="s">
        <v>348</v>
      </c>
      <c r="J1692" t="s">
        <v>60</v>
      </c>
      <c r="K1692" t="s">
        <v>157</v>
      </c>
      <c r="L1692" t="s">
        <v>62</v>
      </c>
      <c r="M1692" t="s">
        <v>157</v>
      </c>
      <c r="N1692" t="s">
        <v>349</v>
      </c>
      <c r="O1692" t="s">
        <v>350</v>
      </c>
      <c r="P1692">
        <v>-20.171206999999999</v>
      </c>
      <c r="Q1692">
        <v>-44.881143999999999</v>
      </c>
      <c r="R1692" s="2" t="str">
        <f>HYPERLINK("https://www.google.com/maps?q=-20.1712070,-44.8811440","Abrir no Google Maps")</f>
        <v>Abrir no Google Maps</v>
      </c>
      <c r="S1692">
        <v>4</v>
      </c>
      <c r="T1692">
        <v>0</v>
      </c>
      <c r="U1692">
        <v>4</v>
      </c>
      <c r="V1692">
        <v>29</v>
      </c>
      <c r="W1692">
        <v>1</v>
      </c>
      <c r="X1692">
        <v>29</v>
      </c>
      <c r="Y1692">
        <v>232</v>
      </c>
      <c r="Z1692">
        <v>184.81719774496389</v>
      </c>
      <c r="AA1692">
        <v>198</v>
      </c>
      <c r="AB1692">
        <v>332</v>
      </c>
      <c r="AC1692">
        <v>536</v>
      </c>
      <c r="AD1692">
        <v>30.74</v>
      </c>
      <c r="AE1692">
        <v>542</v>
      </c>
      <c r="AF1692">
        <v>30</v>
      </c>
      <c r="AG1692">
        <v>178</v>
      </c>
      <c r="AH1692">
        <v>129</v>
      </c>
      <c r="AI1692">
        <v>5.54</v>
      </c>
      <c r="AJ1692">
        <v>32.840000000000003</v>
      </c>
      <c r="AK1692">
        <v>23.8</v>
      </c>
      <c r="AL1692">
        <v>-20.171229949999969</v>
      </c>
      <c r="AM1692">
        <v>-44.881113944480241</v>
      </c>
      <c r="AN1692">
        <v>-20.171229949999969</v>
      </c>
      <c r="AO1692">
        <v>-44.881113944480241</v>
      </c>
      <c r="AP1692">
        <v>-20.171206999999999</v>
      </c>
      <c r="AQ1692">
        <v>-44.881143999999999</v>
      </c>
      <c r="AR1692">
        <v>4.0484763362859333</v>
      </c>
      <c r="AS1692" t="s">
        <v>65</v>
      </c>
      <c r="AT1692">
        <v>1</v>
      </c>
      <c r="AU1692" t="s">
        <v>351</v>
      </c>
      <c r="AV1692" t="s">
        <v>352</v>
      </c>
      <c r="AW1692" t="s">
        <v>60</v>
      </c>
      <c r="AX1692" t="s">
        <v>68</v>
      </c>
      <c r="AY1692" t="s">
        <v>69</v>
      </c>
      <c r="AZ1692" t="b">
        <v>1</v>
      </c>
    </row>
    <row r="1693" spans="1:52" x14ac:dyDescent="0.3">
      <c r="A1693" t="s">
        <v>52</v>
      </c>
      <c r="B1693" t="s">
        <v>53</v>
      </c>
      <c r="C1693" t="s">
        <v>54</v>
      </c>
      <c r="D1693" t="s">
        <v>55</v>
      </c>
      <c r="E1693" t="s">
        <v>2148</v>
      </c>
      <c r="F1693" t="s">
        <v>57</v>
      </c>
      <c r="G1693" t="s">
        <v>360</v>
      </c>
      <c r="H1693" t="s">
        <v>361</v>
      </c>
      <c r="I1693" t="s">
        <v>361</v>
      </c>
      <c r="J1693" t="s">
        <v>60</v>
      </c>
      <c r="K1693" t="s">
        <v>362</v>
      </c>
      <c r="L1693" t="s">
        <v>62</v>
      </c>
      <c r="M1693" t="s">
        <v>362</v>
      </c>
      <c r="N1693" t="s">
        <v>363</v>
      </c>
      <c r="O1693" t="s">
        <v>235</v>
      </c>
      <c r="P1693">
        <v>-20.143716999999999</v>
      </c>
      <c r="Q1693">
        <v>-44.875278000000002</v>
      </c>
      <c r="R1693" s="2" t="str">
        <f>HYPERLINK("https://www.google.com/maps?q=-20.1437170,-44.8752780","Abrir no Google Maps")</f>
        <v>Abrir no Google Maps</v>
      </c>
      <c r="S1693">
        <v>4</v>
      </c>
      <c r="T1693">
        <v>0</v>
      </c>
      <c r="U1693">
        <v>4</v>
      </c>
      <c r="V1693">
        <v>24</v>
      </c>
      <c r="W1693">
        <v>1</v>
      </c>
      <c r="X1693">
        <v>24</v>
      </c>
      <c r="Y1693">
        <v>209</v>
      </c>
      <c r="Z1693">
        <v>121.8438559354383</v>
      </c>
      <c r="AA1693">
        <v>198</v>
      </c>
      <c r="AB1693">
        <v>332</v>
      </c>
      <c r="AC1693">
        <v>536</v>
      </c>
      <c r="AD1693">
        <v>30.74</v>
      </c>
      <c r="AE1693">
        <v>542</v>
      </c>
      <c r="AF1693">
        <v>30</v>
      </c>
      <c r="AG1693">
        <v>178</v>
      </c>
      <c r="AH1693">
        <v>129</v>
      </c>
      <c r="AI1693">
        <v>5.54</v>
      </c>
      <c r="AJ1693">
        <v>32.840000000000003</v>
      </c>
      <c r="AK1693">
        <v>23.8</v>
      </c>
      <c r="AL1693">
        <v>-20.143665999999961</v>
      </c>
      <c r="AM1693">
        <v>-44.875561853046079</v>
      </c>
      <c r="AN1693">
        <v>-20.143665999999961</v>
      </c>
      <c r="AO1693">
        <v>-44.875561853046079</v>
      </c>
      <c r="AP1693">
        <v>-20.143716999999999</v>
      </c>
      <c r="AQ1693">
        <v>-44.875278000000002</v>
      </c>
      <c r="AR1693">
        <v>30.20407282671313</v>
      </c>
      <c r="AS1693" t="s">
        <v>65</v>
      </c>
      <c r="AT1693">
        <v>1</v>
      </c>
      <c r="AU1693" t="s">
        <v>364</v>
      </c>
      <c r="AV1693" t="s">
        <v>365</v>
      </c>
      <c r="AW1693" t="s">
        <v>60</v>
      </c>
      <c r="AX1693" t="s">
        <v>68</v>
      </c>
      <c r="AY1693" t="s">
        <v>69</v>
      </c>
      <c r="AZ1693" t="b">
        <v>1</v>
      </c>
    </row>
    <row r="1694" spans="1:52" x14ac:dyDescent="0.3">
      <c r="A1694" t="s">
        <v>52</v>
      </c>
      <c r="B1694" t="s">
        <v>53</v>
      </c>
      <c r="C1694" t="s">
        <v>54</v>
      </c>
      <c r="D1694" t="s">
        <v>55</v>
      </c>
      <c r="E1694" t="s">
        <v>2148</v>
      </c>
      <c r="F1694" t="s">
        <v>57</v>
      </c>
      <c r="G1694" t="s">
        <v>176</v>
      </c>
      <c r="H1694" t="s">
        <v>177</v>
      </c>
      <c r="I1694" t="s">
        <v>177</v>
      </c>
      <c r="J1694" t="s">
        <v>60</v>
      </c>
      <c r="K1694" t="s">
        <v>178</v>
      </c>
      <c r="L1694" t="s">
        <v>62</v>
      </c>
      <c r="M1694" t="s">
        <v>178</v>
      </c>
      <c r="N1694" t="s">
        <v>179</v>
      </c>
      <c r="O1694" t="s">
        <v>180</v>
      </c>
      <c r="P1694">
        <v>-20.129152999999999</v>
      </c>
      <c r="Q1694">
        <v>-44.859299</v>
      </c>
      <c r="R1694" s="2" t="str">
        <f>HYPERLINK("https://www.google.com/maps?q=-20.1291530,-44.8592990","Abrir no Google Maps")</f>
        <v>Abrir no Google Maps</v>
      </c>
      <c r="S1694">
        <v>4</v>
      </c>
      <c r="T1694">
        <v>0</v>
      </c>
      <c r="U1694">
        <v>4</v>
      </c>
      <c r="V1694">
        <v>29</v>
      </c>
      <c r="W1694">
        <v>1</v>
      </c>
      <c r="X1694">
        <v>29</v>
      </c>
      <c r="Y1694">
        <v>95</v>
      </c>
      <c r="Z1694">
        <v>323.58963420291411</v>
      </c>
      <c r="AA1694">
        <v>198</v>
      </c>
      <c r="AB1694">
        <v>332</v>
      </c>
      <c r="AC1694">
        <v>536</v>
      </c>
      <c r="AD1694">
        <v>30.74</v>
      </c>
      <c r="AE1694">
        <v>542</v>
      </c>
      <c r="AF1694">
        <v>30</v>
      </c>
      <c r="AG1694">
        <v>178</v>
      </c>
      <c r="AH1694">
        <v>129</v>
      </c>
      <c r="AI1694">
        <v>5.54</v>
      </c>
      <c r="AJ1694">
        <v>32.840000000000003</v>
      </c>
      <c r="AK1694">
        <v>23.8</v>
      </c>
      <c r="AL1694">
        <v>-20.129260799999969</v>
      </c>
      <c r="AM1694">
        <v>-44.859468344955843</v>
      </c>
      <c r="AN1694">
        <v>-20.129260799999969</v>
      </c>
      <c r="AO1694">
        <v>-44.859468344955843</v>
      </c>
      <c r="AP1694">
        <v>-20.129152999999999</v>
      </c>
      <c r="AQ1694">
        <v>-44.859299</v>
      </c>
      <c r="AR1694">
        <v>21.38451122307773</v>
      </c>
      <c r="AS1694" t="s">
        <v>65</v>
      </c>
      <c r="AT1694">
        <v>1</v>
      </c>
      <c r="AU1694" t="s">
        <v>181</v>
      </c>
      <c r="AV1694" t="s">
        <v>182</v>
      </c>
      <c r="AW1694" t="s">
        <v>60</v>
      </c>
      <c r="AX1694" t="s">
        <v>68</v>
      </c>
      <c r="AY1694" t="s">
        <v>69</v>
      </c>
      <c r="AZ1694" t="b">
        <v>1</v>
      </c>
    </row>
    <row r="1695" spans="1:52" x14ac:dyDescent="0.3">
      <c r="A1695" t="s">
        <v>52</v>
      </c>
      <c r="B1695" t="s">
        <v>53</v>
      </c>
      <c r="C1695" t="s">
        <v>54</v>
      </c>
      <c r="D1695" t="s">
        <v>55</v>
      </c>
      <c r="E1695" t="s">
        <v>2148</v>
      </c>
      <c r="F1695" t="s">
        <v>57</v>
      </c>
      <c r="G1695" t="s">
        <v>1679</v>
      </c>
      <c r="H1695" t="s">
        <v>1680</v>
      </c>
      <c r="I1695" t="s">
        <v>1680</v>
      </c>
      <c r="J1695" t="s">
        <v>60</v>
      </c>
      <c r="K1695" t="s">
        <v>1681</v>
      </c>
      <c r="L1695" t="s">
        <v>62</v>
      </c>
      <c r="M1695" t="s">
        <v>1681</v>
      </c>
      <c r="N1695" t="s">
        <v>1682</v>
      </c>
      <c r="O1695" t="s">
        <v>315</v>
      </c>
      <c r="P1695">
        <v>-20.136075999999999</v>
      </c>
      <c r="Q1695">
        <v>-44.854410999999999</v>
      </c>
      <c r="R1695" s="2" t="str">
        <f>HYPERLINK("https://www.google.com/maps?q=-20.1360760,-44.8544110","Abrir no Google Maps")</f>
        <v>Abrir no Google Maps</v>
      </c>
      <c r="S1695">
        <v>4</v>
      </c>
      <c r="T1695">
        <v>923.14535705095284</v>
      </c>
      <c r="U1695">
        <v>4</v>
      </c>
      <c r="V1695">
        <v>33</v>
      </c>
      <c r="W1695">
        <v>1</v>
      </c>
      <c r="X1695">
        <v>33</v>
      </c>
      <c r="Y1695">
        <v>95</v>
      </c>
      <c r="Z1695">
        <v>512.25410822465881</v>
      </c>
      <c r="AA1695">
        <v>198</v>
      </c>
      <c r="AB1695">
        <v>332</v>
      </c>
      <c r="AC1695">
        <v>536</v>
      </c>
      <c r="AD1695">
        <v>30.74</v>
      </c>
      <c r="AE1695">
        <v>542</v>
      </c>
      <c r="AF1695">
        <v>30</v>
      </c>
      <c r="AG1695">
        <v>178</v>
      </c>
      <c r="AH1695">
        <v>129</v>
      </c>
      <c r="AI1695">
        <v>5.54</v>
      </c>
      <c r="AJ1695">
        <v>32.840000000000003</v>
      </c>
      <c r="AK1695">
        <v>23.8</v>
      </c>
      <c r="AL1695">
        <v>-20.13612434999996</v>
      </c>
      <c r="AM1695">
        <v>-44.854448179058288</v>
      </c>
      <c r="AN1695">
        <v>-20.13612434999996</v>
      </c>
      <c r="AO1695">
        <v>-44.854448179058288</v>
      </c>
      <c r="AP1695">
        <v>-20.136075999999999</v>
      </c>
      <c r="AQ1695">
        <v>-44.854410999999999</v>
      </c>
      <c r="AR1695">
        <v>6.6384360450222868</v>
      </c>
      <c r="AS1695" t="s">
        <v>65</v>
      </c>
      <c r="AT1695">
        <v>1</v>
      </c>
      <c r="AU1695" t="s">
        <v>1683</v>
      </c>
      <c r="AV1695" t="s">
        <v>1684</v>
      </c>
      <c r="AW1695" t="s">
        <v>60</v>
      </c>
      <c r="AX1695" t="s">
        <v>68</v>
      </c>
      <c r="AY1695" t="s">
        <v>69</v>
      </c>
      <c r="AZ1695" t="b">
        <v>1</v>
      </c>
    </row>
    <row r="1696" spans="1:52" x14ac:dyDescent="0.3">
      <c r="A1696" t="s">
        <v>52</v>
      </c>
      <c r="B1696" t="s">
        <v>53</v>
      </c>
      <c r="C1696" t="s">
        <v>54</v>
      </c>
      <c r="D1696" t="s">
        <v>55</v>
      </c>
      <c r="E1696" t="s">
        <v>2148</v>
      </c>
      <c r="F1696" t="s">
        <v>57</v>
      </c>
      <c r="G1696" t="s">
        <v>183</v>
      </c>
      <c r="H1696" t="s">
        <v>184</v>
      </c>
      <c r="I1696" t="s">
        <v>184</v>
      </c>
      <c r="J1696" t="s">
        <v>60</v>
      </c>
      <c r="K1696" t="s">
        <v>185</v>
      </c>
      <c r="L1696" t="s">
        <v>62</v>
      </c>
      <c r="M1696" t="s">
        <v>185</v>
      </c>
      <c r="N1696" t="s">
        <v>186</v>
      </c>
      <c r="O1696" t="s">
        <v>187</v>
      </c>
      <c r="P1696">
        <v>-20.134855000000002</v>
      </c>
      <c r="Q1696">
        <v>-44.860174000000001</v>
      </c>
      <c r="R1696" s="2" t="str">
        <f>HYPERLINK("https://www.google.com/maps?q=-20.1348550,-44.8601740","Abrir no Google Maps")</f>
        <v>Abrir no Google Maps</v>
      </c>
      <c r="S1696">
        <v>4</v>
      </c>
      <c r="T1696">
        <v>625.96998974571841</v>
      </c>
      <c r="U1696">
        <v>4</v>
      </c>
      <c r="V1696">
        <v>30</v>
      </c>
      <c r="W1696">
        <v>1</v>
      </c>
      <c r="X1696">
        <v>30</v>
      </c>
      <c r="Y1696">
        <v>95</v>
      </c>
      <c r="Z1696">
        <v>257.67818504656498</v>
      </c>
      <c r="AA1696">
        <v>198</v>
      </c>
      <c r="AB1696">
        <v>332</v>
      </c>
      <c r="AC1696">
        <v>536</v>
      </c>
      <c r="AD1696">
        <v>30.74</v>
      </c>
      <c r="AE1696">
        <v>542</v>
      </c>
      <c r="AF1696">
        <v>30</v>
      </c>
      <c r="AG1696">
        <v>178</v>
      </c>
      <c r="AH1696">
        <v>129</v>
      </c>
      <c r="AI1696">
        <v>5.54</v>
      </c>
      <c r="AJ1696">
        <v>32.840000000000003</v>
      </c>
      <c r="AK1696">
        <v>23.8</v>
      </c>
      <c r="AL1696">
        <v>-20.134903999999981</v>
      </c>
      <c r="AM1696">
        <v>-44.859880285335962</v>
      </c>
      <c r="AN1696">
        <v>-20.134903999999981</v>
      </c>
      <c r="AO1696">
        <v>-44.859880285335962</v>
      </c>
      <c r="AP1696">
        <v>-20.134855000000002</v>
      </c>
      <c r="AQ1696">
        <v>-44.860174000000001</v>
      </c>
      <c r="AR1696">
        <v>31.178921696823132</v>
      </c>
      <c r="AS1696" t="s">
        <v>65</v>
      </c>
      <c r="AT1696">
        <v>1</v>
      </c>
      <c r="AU1696" t="s">
        <v>188</v>
      </c>
      <c r="AV1696" t="s">
        <v>189</v>
      </c>
      <c r="AW1696" t="s">
        <v>60</v>
      </c>
      <c r="AX1696" t="s">
        <v>68</v>
      </c>
      <c r="AY1696" t="s">
        <v>69</v>
      </c>
      <c r="AZ1696" t="b">
        <v>1</v>
      </c>
    </row>
    <row r="1697" spans="1:52" x14ac:dyDescent="0.3">
      <c r="A1697" t="s">
        <v>52</v>
      </c>
      <c r="B1697" t="s">
        <v>53</v>
      </c>
      <c r="C1697" t="s">
        <v>54</v>
      </c>
      <c r="D1697" t="s">
        <v>55</v>
      </c>
      <c r="E1697" t="s">
        <v>2148</v>
      </c>
      <c r="F1697" t="s">
        <v>190</v>
      </c>
      <c r="G1697" t="s">
        <v>70</v>
      </c>
      <c r="H1697" t="s">
        <v>71</v>
      </c>
      <c r="I1697" t="s">
        <v>71</v>
      </c>
      <c r="J1697" t="s">
        <v>60</v>
      </c>
      <c r="K1697" t="s">
        <v>72</v>
      </c>
      <c r="L1697" t="s">
        <v>62</v>
      </c>
      <c r="M1697" t="s">
        <v>72</v>
      </c>
      <c r="N1697" t="s">
        <v>73</v>
      </c>
      <c r="O1697" t="s">
        <v>74</v>
      </c>
      <c r="P1697">
        <v>-20.149349000000001</v>
      </c>
      <c r="Q1697">
        <v>-44.910784</v>
      </c>
      <c r="R1697" s="2" t="str">
        <f>HYPERLINK("https://www.google.com/maps?q=-20.1493490,-44.9107840","Abrir no Google Maps")</f>
        <v>Abrir no Google Maps</v>
      </c>
      <c r="S1697">
        <v>4</v>
      </c>
      <c r="T1697">
        <v>472.43876549769578</v>
      </c>
      <c r="U1697">
        <v>3</v>
      </c>
      <c r="V1697">
        <v>19</v>
      </c>
      <c r="W1697">
        <v>1</v>
      </c>
      <c r="X1697">
        <v>19</v>
      </c>
      <c r="Y1697">
        <v>747</v>
      </c>
      <c r="Z1697">
        <v>441.03921887407779</v>
      </c>
      <c r="AA1697">
        <v>198</v>
      </c>
      <c r="AB1697">
        <v>332</v>
      </c>
      <c r="AC1697">
        <v>536</v>
      </c>
      <c r="AD1697">
        <v>30.74</v>
      </c>
      <c r="AE1697">
        <v>542</v>
      </c>
      <c r="AF1697">
        <v>30</v>
      </c>
      <c r="AG1697">
        <v>178</v>
      </c>
      <c r="AH1697">
        <v>129</v>
      </c>
      <c r="AI1697">
        <v>5.54</v>
      </c>
      <c r="AJ1697">
        <v>32.840000000000003</v>
      </c>
      <c r="AK1697">
        <v>23.8</v>
      </c>
      <c r="AL1697">
        <v>-20.149403999999951</v>
      </c>
      <c r="AM1697">
        <v>-44.91080895147438</v>
      </c>
      <c r="AN1697">
        <v>-20.149403999999951</v>
      </c>
      <c r="AO1697">
        <v>-44.91080895147438</v>
      </c>
      <c r="AP1697">
        <v>-20.149349000000001</v>
      </c>
      <c r="AQ1697">
        <v>-44.910784</v>
      </c>
      <c r="AR1697">
        <v>6.6547592699416382</v>
      </c>
      <c r="AS1697" t="s">
        <v>65</v>
      </c>
      <c r="AT1697">
        <v>1</v>
      </c>
      <c r="AU1697" t="s">
        <v>75</v>
      </c>
      <c r="AV1697" t="s">
        <v>76</v>
      </c>
      <c r="AW1697" t="s">
        <v>60</v>
      </c>
      <c r="AX1697" t="s">
        <v>68</v>
      </c>
      <c r="AY1697" t="s">
        <v>69</v>
      </c>
      <c r="AZ1697" t="b">
        <v>1</v>
      </c>
    </row>
    <row r="1698" spans="1:52" x14ac:dyDescent="0.3">
      <c r="A1698" t="s">
        <v>52</v>
      </c>
      <c r="B1698" t="s">
        <v>53</v>
      </c>
      <c r="C1698" t="s">
        <v>54</v>
      </c>
      <c r="D1698" t="s">
        <v>55</v>
      </c>
      <c r="E1698" t="s">
        <v>2148</v>
      </c>
      <c r="F1698" t="s">
        <v>190</v>
      </c>
      <c r="G1698" t="s">
        <v>77</v>
      </c>
      <c r="H1698" t="s">
        <v>78</v>
      </c>
      <c r="I1698" t="s">
        <v>78</v>
      </c>
      <c r="J1698" t="s">
        <v>60</v>
      </c>
      <c r="K1698" t="s">
        <v>72</v>
      </c>
      <c r="L1698" t="s">
        <v>62</v>
      </c>
      <c r="M1698" t="s">
        <v>72</v>
      </c>
      <c r="N1698" t="s">
        <v>79</v>
      </c>
      <c r="O1698" t="s">
        <v>80</v>
      </c>
      <c r="P1698">
        <v>-20.147821</v>
      </c>
      <c r="Q1698">
        <v>-44.908887</v>
      </c>
      <c r="R1698" s="2" t="str">
        <f>HYPERLINK("https://www.google.com/maps?q=-20.1478210,-44.9088870","Abrir no Google Maps")</f>
        <v>Abrir no Google Maps</v>
      </c>
      <c r="S1698">
        <v>4</v>
      </c>
      <c r="T1698">
        <v>232.2893841532152</v>
      </c>
      <c r="U1698">
        <v>3</v>
      </c>
      <c r="V1698">
        <v>16</v>
      </c>
      <c r="W1698">
        <v>1</v>
      </c>
      <c r="X1698">
        <v>16</v>
      </c>
      <c r="Y1698">
        <v>747</v>
      </c>
      <c r="Z1698">
        <v>195.3668648953757</v>
      </c>
      <c r="AA1698">
        <v>198</v>
      </c>
      <c r="AB1698">
        <v>332</v>
      </c>
      <c r="AC1698">
        <v>536</v>
      </c>
      <c r="AD1698">
        <v>30.74</v>
      </c>
      <c r="AE1698">
        <v>542</v>
      </c>
      <c r="AF1698">
        <v>30</v>
      </c>
      <c r="AG1698">
        <v>178</v>
      </c>
      <c r="AH1698">
        <v>129</v>
      </c>
      <c r="AI1698">
        <v>5.54</v>
      </c>
      <c r="AJ1698">
        <v>32.840000000000003</v>
      </c>
      <c r="AK1698">
        <v>23.8</v>
      </c>
      <c r="AL1698">
        <v>-20.147802849999952</v>
      </c>
      <c r="AM1698">
        <v>-44.908989919229477</v>
      </c>
      <c r="AN1698">
        <v>-20.147802849999952</v>
      </c>
      <c r="AO1698">
        <v>-44.908989919229491</v>
      </c>
      <c r="AP1698">
        <v>-20.147821</v>
      </c>
      <c r="AQ1698">
        <v>-44.908887</v>
      </c>
      <c r="AR1698">
        <v>10.944007761262529</v>
      </c>
      <c r="AS1698" t="s">
        <v>65</v>
      </c>
      <c r="AT1698">
        <v>1</v>
      </c>
      <c r="AU1698" t="s">
        <v>81</v>
      </c>
      <c r="AV1698" t="s">
        <v>82</v>
      </c>
      <c r="AW1698" t="s">
        <v>60</v>
      </c>
      <c r="AX1698" t="s">
        <v>68</v>
      </c>
      <c r="AY1698" t="s">
        <v>69</v>
      </c>
      <c r="AZ1698" t="b">
        <v>1</v>
      </c>
    </row>
    <row r="1699" spans="1:52" x14ac:dyDescent="0.3">
      <c r="A1699" t="s">
        <v>52</v>
      </c>
      <c r="B1699" t="s">
        <v>53</v>
      </c>
      <c r="C1699" t="s">
        <v>54</v>
      </c>
      <c r="D1699" t="s">
        <v>55</v>
      </c>
      <c r="E1699" t="s">
        <v>2148</v>
      </c>
      <c r="F1699" t="s">
        <v>190</v>
      </c>
      <c r="G1699" t="s">
        <v>95</v>
      </c>
      <c r="H1699" t="s">
        <v>96</v>
      </c>
      <c r="I1699" t="s">
        <v>96</v>
      </c>
      <c r="J1699" t="s">
        <v>60</v>
      </c>
      <c r="K1699" t="s">
        <v>72</v>
      </c>
      <c r="L1699" t="s">
        <v>62</v>
      </c>
      <c r="M1699" t="s">
        <v>72</v>
      </c>
      <c r="N1699" t="s">
        <v>97</v>
      </c>
      <c r="O1699" t="s">
        <v>98</v>
      </c>
      <c r="P1699">
        <v>-20.144062999999999</v>
      </c>
      <c r="Q1699">
        <v>-44.909627999999998</v>
      </c>
      <c r="R1699" s="2" t="str">
        <f>HYPERLINK("https://www.google.com/maps?q=-20.1440630,-44.9096280","Abrir no Google Maps")</f>
        <v>Abrir no Google Maps</v>
      </c>
      <c r="S1699">
        <v>4</v>
      </c>
      <c r="T1699">
        <v>205.27083326529291</v>
      </c>
      <c r="U1699">
        <v>3</v>
      </c>
      <c r="V1699">
        <v>16</v>
      </c>
      <c r="W1699">
        <v>1</v>
      </c>
      <c r="X1699">
        <v>16</v>
      </c>
      <c r="Y1699">
        <v>747</v>
      </c>
      <c r="Z1699">
        <v>336.75785483480968</v>
      </c>
      <c r="AA1699">
        <v>198</v>
      </c>
      <c r="AB1699">
        <v>332</v>
      </c>
      <c r="AC1699">
        <v>536</v>
      </c>
      <c r="AD1699">
        <v>30.74</v>
      </c>
      <c r="AE1699">
        <v>542</v>
      </c>
      <c r="AF1699">
        <v>30</v>
      </c>
      <c r="AG1699">
        <v>178</v>
      </c>
      <c r="AH1699">
        <v>129</v>
      </c>
      <c r="AI1699">
        <v>5.54</v>
      </c>
      <c r="AJ1699">
        <v>32.840000000000003</v>
      </c>
      <c r="AK1699">
        <v>23.8</v>
      </c>
      <c r="AL1699">
        <v>-20.144164099999951</v>
      </c>
      <c r="AM1699">
        <v>-44.909420167767642</v>
      </c>
      <c r="AN1699">
        <v>-20.144164099999951</v>
      </c>
      <c r="AO1699">
        <v>-44.909420167767642</v>
      </c>
      <c r="AP1699">
        <v>-20.144062999999999</v>
      </c>
      <c r="AQ1699">
        <v>-44.909627999999998</v>
      </c>
      <c r="AR1699">
        <v>24.46321571724976</v>
      </c>
      <c r="AS1699" t="s">
        <v>65</v>
      </c>
      <c r="AT1699">
        <v>1</v>
      </c>
      <c r="AU1699" t="s">
        <v>99</v>
      </c>
      <c r="AV1699" t="s">
        <v>94</v>
      </c>
      <c r="AW1699" t="s">
        <v>60</v>
      </c>
      <c r="AX1699" t="s">
        <v>68</v>
      </c>
      <c r="AY1699" t="s">
        <v>69</v>
      </c>
      <c r="AZ1699" t="b">
        <v>1</v>
      </c>
    </row>
    <row r="1700" spans="1:52" x14ac:dyDescent="0.3">
      <c r="A1700" t="s">
        <v>52</v>
      </c>
      <c r="B1700" t="s">
        <v>53</v>
      </c>
      <c r="C1700" t="s">
        <v>54</v>
      </c>
      <c r="D1700" t="s">
        <v>55</v>
      </c>
      <c r="E1700" t="s">
        <v>2148</v>
      </c>
      <c r="F1700" t="s">
        <v>190</v>
      </c>
      <c r="G1700" t="s">
        <v>108</v>
      </c>
      <c r="H1700" t="s">
        <v>109</v>
      </c>
      <c r="I1700" t="s">
        <v>109</v>
      </c>
      <c r="J1700" t="s">
        <v>60</v>
      </c>
      <c r="K1700" t="s">
        <v>110</v>
      </c>
      <c r="L1700" t="s">
        <v>62</v>
      </c>
      <c r="M1700" t="s">
        <v>110</v>
      </c>
      <c r="N1700" t="s">
        <v>111</v>
      </c>
      <c r="O1700" t="s">
        <v>112</v>
      </c>
      <c r="P1700">
        <v>-20.122233999999999</v>
      </c>
      <c r="Q1700">
        <v>-44.909194999999997</v>
      </c>
      <c r="R1700" s="2" t="str">
        <f>HYPERLINK("https://www.google.com/maps?q=-20.1222340,-44.9091950","Abrir no Google Maps")</f>
        <v>Abrir no Google Maps</v>
      </c>
      <c r="S1700">
        <v>4</v>
      </c>
      <c r="T1700">
        <v>1171.396020763932</v>
      </c>
      <c r="U1700">
        <v>3</v>
      </c>
      <c r="V1700">
        <v>18</v>
      </c>
      <c r="W1700">
        <v>0.85</v>
      </c>
      <c r="X1700">
        <v>15.3</v>
      </c>
      <c r="Y1700">
        <v>567</v>
      </c>
      <c r="Z1700">
        <v>1238.711234283244</v>
      </c>
      <c r="AA1700">
        <v>198</v>
      </c>
      <c r="AB1700">
        <v>332</v>
      </c>
      <c r="AC1700">
        <v>536</v>
      </c>
      <c r="AD1700">
        <v>30.74</v>
      </c>
      <c r="AE1700">
        <v>542</v>
      </c>
      <c r="AF1700">
        <v>30</v>
      </c>
      <c r="AG1700">
        <v>178</v>
      </c>
      <c r="AH1700">
        <v>129</v>
      </c>
      <c r="AI1700">
        <v>5.54</v>
      </c>
      <c r="AJ1700">
        <v>32.840000000000003</v>
      </c>
      <c r="AK1700">
        <v>23.8</v>
      </c>
      <c r="AL1700">
        <v>-20.121881249999941</v>
      </c>
      <c r="AM1700">
        <v>-44.909273766094323</v>
      </c>
      <c r="AN1700">
        <v>-20.121881249999941</v>
      </c>
      <c r="AO1700">
        <v>-44.909273766094323</v>
      </c>
      <c r="AP1700">
        <v>-20.122233999999999</v>
      </c>
      <c r="AQ1700">
        <v>-44.909194999999997</v>
      </c>
      <c r="AR1700">
        <v>40.12192930593006</v>
      </c>
      <c r="AS1700" t="s">
        <v>65</v>
      </c>
      <c r="AT1700">
        <v>1</v>
      </c>
      <c r="AU1700" t="s">
        <v>113</v>
      </c>
      <c r="AV1700" t="s">
        <v>114</v>
      </c>
      <c r="AW1700" t="s">
        <v>60</v>
      </c>
      <c r="AX1700" t="s">
        <v>68</v>
      </c>
      <c r="AY1700" t="s">
        <v>69</v>
      </c>
      <c r="AZ1700" t="b">
        <v>1</v>
      </c>
    </row>
    <row r="1701" spans="1:52" x14ac:dyDescent="0.3">
      <c r="A1701" t="s">
        <v>52</v>
      </c>
      <c r="B1701" t="s">
        <v>53</v>
      </c>
      <c r="C1701" t="s">
        <v>54</v>
      </c>
      <c r="D1701" t="s">
        <v>55</v>
      </c>
      <c r="E1701" t="s">
        <v>2148</v>
      </c>
      <c r="F1701" t="s">
        <v>190</v>
      </c>
      <c r="G1701" t="s">
        <v>115</v>
      </c>
      <c r="H1701" t="s">
        <v>116</v>
      </c>
      <c r="I1701" t="s">
        <v>116</v>
      </c>
      <c r="J1701" t="s">
        <v>60</v>
      </c>
      <c r="K1701" t="s">
        <v>117</v>
      </c>
      <c r="L1701" t="s">
        <v>62</v>
      </c>
      <c r="M1701" t="s">
        <v>117</v>
      </c>
      <c r="N1701" t="s">
        <v>118</v>
      </c>
      <c r="O1701" t="s">
        <v>119</v>
      </c>
      <c r="P1701">
        <v>-20.116992</v>
      </c>
      <c r="Q1701">
        <v>-44.899355</v>
      </c>
      <c r="R1701" s="2" t="str">
        <f>HYPERLINK("https://www.google.com/maps?q=-20.1169920,-44.8993550","Abrir no Google Maps")</f>
        <v>Abrir no Google Maps</v>
      </c>
      <c r="S1701">
        <v>4</v>
      </c>
      <c r="T1701">
        <v>0</v>
      </c>
      <c r="U1701">
        <v>3</v>
      </c>
      <c r="V1701">
        <v>16</v>
      </c>
      <c r="W1701">
        <v>1</v>
      </c>
      <c r="X1701">
        <v>16</v>
      </c>
      <c r="Y1701">
        <v>567</v>
      </c>
      <c r="Z1701">
        <v>54.913678078353321</v>
      </c>
      <c r="AA1701">
        <v>198</v>
      </c>
      <c r="AB1701">
        <v>332</v>
      </c>
      <c r="AC1701">
        <v>536</v>
      </c>
      <c r="AD1701">
        <v>30.74</v>
      </c>
      <c r="AE1701">
        <v>542</v>
      </c>
      <c r="AF1701">
        <v>30</v>
      </c>
      <c r="AG1701">
        <v>178</v>
      </c>
      <c r="AH1701">
        <v>129</v>
      </c>
      <c r="AI1701">
        <v>5.54</v>
      </c>
      <c r="AJ1701">
        <v>32.840000000000003</v>
      </c>
      <c r="AK1701">
        <v>23.8</v>
      </c>
      <c r="AL1701">
        <v>-20.117107749999949</v>
      </c>
      <c r="AM1701">
        <v>-44.899271226243108</v>
      </c>
      <c r="AN1701">
        <v>-20.117107749999949</v>
      </c>
      <c r="AO1701">
        <v>-44.899271226243108</v>
      </c>
      <c r="AP1701">
        <v>-20.116992</v>
      </c>
      <c r="AQ1701">
        <v>-44.899355</v>
      </c>
      <c r="AR1701">
        <v>15.579196044083419</v>
      </c>
      <c r="AS1701" t="s">
        <v>65</v>
      </c>
      <c r="AT1701">
        <v>1</v>
      </c>
      <c r="AU1701" t="s">
        <v>120</v>
      </c>
      <c r="AV1701" t="s">
        <v>121</v>
      </c>
      <c r="AW1701" t="s">
        <v>60</v>
      </c>
      <c r="AX1701" t="s">
        <v>68</v>
      </c>
      <c r="AY1701" t="s">
        <v>69</v>
      </c>
      <c r="AZ1701" t="b">
        <v>1</v>
      </c>
    </row>
    <row r="1702" spans="1:52" x14ac:dyDescent="0.3">
      <c r="A1702" t="s">
        <v>52</v>
      </c>
      <c r="B1702" t="s">
        <v>53</v>
      </c>
      <c r="C1702" t="s">
        <v>54</v>
      </c>
      <c r="D1702" t="s">
        <v>55</v>
      </c>
      <c r="E1702" t="s">
        <v>2148</v>
      </c>
      <c r="F1702" t="s">
        <v>190</v>
      </c>
      <c r="G1702" t="s">
        <v>212</v>
      </c>
      <c r="H1702" t="s">
        <v>213</v>
      </c>
      <c r="I1702" t="s">
        <v>213</v>
      </c>
      <c r="J1702" t="s">
        <v>60</v>
      </c>
      <c r="K1702" t="s">
        <v>214</v>
      </c>
      <c r="L1702" t="s">
        <v>62</v>
      </c>
      <c r="M1702" t="s">
        <v>214</v>
      </c>
      <c r="N1702" t="s">
        <v>215</v>
      </c>
      <c r="O1702" t="s">
        <v>216</v>
      </c>
      <c r="P1702">
        <v>-20.158149000000002</v>
      </c>
      <c r="Q1702">
        <v>-44.872593000000002</v>
      </c>
      <c r="R1702" s="2" t="str">
        <f>HYPERLINK("https://www.google.com/maps?q=-20.1581490,-44.8725930","Abrir no Google Maps")</f>
        <v>Abrir no Google Maps</v>
      </c>
      <c r="S1702">
        <v>4</v>
      </c>
      <c r="T1702">
        <v>0</v>
      </c>
      <c r="U1702">
        <v>3</v>
      </c>
      <c r="V1702">
        <v>20</v>
      </c>
      <c r="W1702">
        <v>1</v>
      </c>
      <c r="X1702">
        <v>20</v>
      </c>
      <c r="Y1702">
        <v>531</v>
      </c>
      <c r="Z1702">
        <v>127.8805352974544</v>
      </c>
      <c r="AA1702">
        <v>198</v>
      </c>
      <c r="AB1702">
        <v>332</v>
      </c>
      <c r="AC1702">
        <v>536</v>
      </c>
      <c r="AD1702">
        <v>30.74</v>
      </c>
      <c r="AE1702">
        <v>542</v>
      </c>
      <c r="AF1702">
        <v>30</v>
      </c>
      <c r="AG1702">
        <v>178</v>
      </c>
      <c r="AH1702">
        <v>129</v>
      </c>
      <c r="AI1702">
        <v>5.54</v>
      </c>
      <c r="AJ1702">
        <v>32.840000000000003</v>
      </c>
      <c r="AK1702">
        <v>23.8</v>
      </c>
      <c r="AL1702">
        <v>-20.158114249999951</v>
      </c>
      <c r="AM1702">
        <v>-44.872583123264782</v>
      </c>
      <c r="AN1702">
        <v>-20.158114249999951</v>
      </c>
      <c r="AO1702">
        <v>-44.872583123264782</v>
      </c>
      <c r="AP1702">
        <v>-20.158149000000002</v>
      </c>
      <c r="AQ1702">
        <v>-44.872593000000002</v>
      </c>
      <c r="AR1702">
        <v>4.0036956087599238</v>
      </c>
      <c r="AS1702" t="s">
        <v>65</v>
      </c>
      <c r="AT1702">
        <v>1</v>
      </c>
      <c r="AU1702" t="s">
        <v>217</v>
      </c>
      <c r="AV1702" t="s">
        <v>218</v>
      </c>
      <c r="AW1702" t="s">
        <v>60</v>
      </c>
      <c r="AX1702" t="s">
        <v>68</v>
      </c>
      <c r="AY1702" t="s">
        <v>69</v>
      </c>
      <c r="AZ1702" t="b">
        <v>1</v>
      </c>
    </row>
    <row r="1703" spans="1:52" x14ac:dyDescent="0.3">
      <c r="A1703" t="s">
        <v>52</v>
      </c>
      <c r="B1703" t="s">
        <v>53</v>
      </c>
      <c r="C1703" t="s">
        <v>54</v>
      </c>
      <c r="D1703" t="s">
        <v>55</v>
      </c>
      <c r="E1703" t="s">
        <v>2148</v>
      </c>
      <c r="F1703" t="s">
        <v>190</v>
      </c>
      <c r="G1703" t="s">
        <v>225</v>
      </c>
      <c r="H1703" t="s">
        <v>226</v>
      </c>
      <c r="I1703" t="s">
        <v>226</v>
      </c>
      <c r="J1703" t="s">
        <v>60</v>
      </c>
      <c r="K1703" t="s">
        <v>227</v>
      </c>
      <c r="L1703" t="s">
        <v>62</v>
      </c>
      <c r="M1703" t="s">
        <v>227</v>
      </c>
      <c r="N1703" t="s">
        <v>228</v>
      </c>
      <c r="O1703" t="s">
        <v>229</v>
      </c>
      <c r="P1703">
        <v>-20.156986</v>
      </c>
      <c r="Q1703">
        <v>-44.857474000000003</v>
      </c>
      <c r="R1703" s="2" t="str">
        <f>HYPERLINK("https://www.google.com/maps?q=-20.1569860,-44.8574740","Abrir no Google Maps")</f>
        <v>Abrir no Google Maps</v>
      </c>
      <c r="S1703">
        <v>4</v>
      </c>
      <c r="T1703">
        <v>270.52797591847911</v>
      </c>
      <c r="U1703">
        <v>3</v>
      </c>
      <c r="V1703">
        <v>16</v>
      </c>
      <c r="W1703">
        <v>1</v>
      </c>
      <c r="X1703">
        <v>16</v>
      </c>
      <c r="Y1703">
        <v>518</v>
      </c>
      <c r="Z1703">
        <v>441.86584449256071</v>
      </c>
      <c r="AA1703">
        <v>198</v>
      </c>
      <c r="AB1703">
        <v>332</v>
      </c>
      <c r="AC1703">
        <v>536</v>
      </c>
      <c r="AD1703">
        <v>30.74</v>
      </c>
      <c r="AE1703">
        <v>542</v>
      </c>
      <c r="AF1703">
        <v>30</v>
      </c>
      <c r="AG1703">
        <v>178</v>
      </c>
      <c r="AH1703">
        <v>129</v>
      </c>
      <c r="AI1703">
        <v>5.54</v>
      </c>
      <c r="AJ1703">
        <v>32.840000000000003</v>
      </c>
      <c r="AK1703">
        <v>23.8</v>
      </c>
      <c r="AL1703">
        <v>-20.156957249999952</v>
      </c>
      <c r="AM1703">
        <v>-44.857396682659299</v>
      </c>
      <c r="AN1703">
        <v>-20.156957249999952</v>
      </c>
      <c r="AO1703">
        <v>-44.857396682659299</v>
      </c>
      <c r="AP1703">
        <v>-20.156986</v>
      </c>
      <c r="AQ1703">
        <v>-44.857474000000003</v>
      </c>
      <c r="AR1703">
        <v>8.6905800579264607</v>
      </c>
      <c r="AS1703" t="s">
        <v>65</v>
      </c>
      <c r="AT1703">
        <v>1</v>
      </c>
      <c r="AU1703" t="s">
        <v>230</v>
      </c>
      <c r="AV1703" t="s">
        <v>231</v>
      </c>
      <c r="AW1703" t="s">
        <v>60</v>
      </c>
      <c r="AX1703" t="s">
        <v>68</v>
      </c>
      <c r="AY1703" t="s">
        <v>69</v>
      </c>
      <c r="AZ1703" t="b">
        <v>1</v>
      </c>
    </row>
    <row r="1704" spans="1:52" x14ac:dyDescent="0.3">
      <c r="A1704" t="s">
        <v>52</v>
      </c>
      <c r="B1704" t="s">
        <v>53</v>
      </c>
      <c r="C1704" t="s">
        <v>54</v>
      </c>
      <c r="D1704" t="s">
        <v>55</v>
      </c>
      <c r="E1704" t="s">
        <v>2148</v>
      </c>
      <c r="F1704" t="s">
        <v>190</v>
      </c>
      <c r="G1704" t="s">
        <v>232</v>
      </c>
      <c r="H1704" t="s">
        <v>233</v>
      </c>
      <c r="I1704" t="s">
        <v>233</v>
      </c>
      <c r="J1704" t="s">
        <v>60</v>
      </c>
      <c r="K1704" t="s">
        <v>227</v>
      </c>
      <c r="L1704" t="s">
        <v>62</v>
      </c>
      <c r="M1704" t="s">
        <v>227</v>
      </c>
      <c r="N1704" t="s">
        <v>234</v>
      </c>
      <c r="O1704" t="s">
        <v>235</v>
      </c>
      <c r="P1704">
        <v>-20.158666</v>
      </c>
      <c r="Q1704">
        <v>-44.861398999999999</v>
      </c>
      <c r="R1704" s="2" t="str">
        <f>HYPERLINK("https://www.google.com/maps?q=-20.1586660,-44.8613990","Abrir no Google Maps")</f>
        <v>Abrir no Google Maps</v>
      </c>
      <c r="S1704">
        <v>4</v>
      </c>
      <c r="T1704">
        <v>330.01505397941582</v>
      </c>
      <c r="U1704">
        <v>3</v>
      </c>
      <c r="V1704">
        <v>23</v>
      </c>
      <c r="W1704">
        <v>1</v>
      </c>
      <c r="X1704">
        <v>23</v>
      </c>
      <c r="Y1704">
        <v>518</v>
      </c>
      <c r="Z1704">
        <v>251.8092920281106</v>
      </c>
      <c r="AA1704">
        <v>198</v>
      </c>
      <c r="AB1704">
        <v>332</v>
      </c>
      <c r="AC1704">
        <v>536</v>
      </c>
      <c r="AD1704">
        <v>30.74</v>
      </c>
      <c r="AE1704">
        <v>542</v>
      </c>
      <c r="AF1704">
        <v>30</v>
      </c>
      <c r="AG1704">
        <v>178</v>
      </c>
      <c r="AH1704">
        <v>129</v>
      </c>
      <c r="AI1704">
        <v>5.54</v>
      </c>
      <c r="AJ1704">
        <v>32.840000000000003</v>
      </c>
      <c r="AK1704">
        <v>23.8</v>
      </c>
      <c r="AL1704">
        <v>-20.158631449999969</v>
      </c>
      <c r="AM1704">
        <v>-44.861424574758061</v>
      </c>
      <c r="AN1704">
        <v>-20.158631449999969</v>
      </c>
      <c r="AO1704">
        <v>-44.861424574758061</v>
      </c>
      <c r="AP1704">
        <v>-20.158666</v>
      </c>
      <c r="AQ1704">
        <v>-44.861398999999999</v>
      </c>
      <c r="AR1704">
        <v>4.6835056709567411</v>
      </c>
      <c r="AS1704" t="s">
        <v>65</v>
      </c>
      <c r="AT1704">
        <v>1</v>
      </c>
      <c r="AU1704" t="s">
        <v>236</v>
      </c>
      <c r="AV1704" t="s">
        <v>237</v>
      </c>
      <c r="AW1704" t="s">
        <v>60</v>
      </c>
      <c r="AX1704" t="s">
        <v>68</v>
      </c>
      <c r="AY1704" t="s">
        <v>69</v>
      </c>
      <c r="AZ1704" t="b">
        <v>1</v>
      </c>
    </row>
    <row r="1705" spans="1:52" x14ac:dyDescent="0.3">
      <c r="A1705" t="s">
        <v>52</v>
      </c>
      <c r="B1705" t="s">
        <v>53</v>
      </c>
      <c r="C1705" t="s">
        <v>54</v>
      </c>
      <c r="D1705" t="s">
        <v>55</v>
      </c>
      <c r="E1705" t="s">
        <v>2148</v>
      </c>
      <c r="F1705" t="s">
        <v>190</v>
      </c>
      <c r="G1705" t="s">
        <v>219</v>
      </c>
      <c r="H1705" t="s">
        <v>2129</v>
      </c>
      <c r="I1705" t="s">
        <v>2129</v>
      </c>
      <c r="J1705" t="s">
        <v>60</v>
      </c>
      <c r="K1705" t="s">
        <v>1165</v>
      </c>
      <c r="L1705" t="s">
        <v>62</v>
      </c>
      <c r="M1705" t="s">
        <v>1165</v>
      </c>
      <c r="N1705" t="s">
        <v>221</v>
      </c>
      <c r="O1705" t="s">
        <v>2130</v>
      </c>
      <c r="P1705">
        <v>-20.156721000000001</v>
      </c>
      <c r="Q1705">
        <v>-44.862000000000002</v>
      </c>
      <c r="R1705" s="2" t="str">
        <f>HYPERLINK("https://www.google.com/maps?q=-20.1567210,-44.8620000","Abrir no Google Maps")</f>
        <v>Abrir no Google Maps</v>
      </c>
      <c r="S1705">
        <v>4</v>
      </c>
      <c r="T1705">
        <v>471.61852854830028</v>
      </c>
      <c r="U1705">
        <v>3</v>
      </c>
      <c r="V1705">
        <v>21</v>
      </c>
      <c r="W1705">
        <v>0.85</v>
      </c>
      <c r="X1705">
        <v>17.850000000000001</v>
      </c>
      <c r="Y1705">
        <v>518</v>
      </c>
      <c r="Z1705">
        <v>453.51649447198128</v>
      </c>
      <c r="AA1705">
        <v>198</v>
      </c>
      <c r="AB1705">
        <v>332</v>
      </c>
      <c r="AC1705">
        <v>536</v>
      </c>
      <c r="AD1705">
        <v>30.74</v>
      </c>
      <c r="AE1705">
        <v>542</v>
      </c>
      <c r="AF1705">
        <v>30</v>
      </c>
      <c r="AG1705">
        <v>178</v>
      </c>
      <c r="AH1705">
        <v>129</v>
      </c>
      <c r="AI1705">
        <v>5.54</v>
      </c>
      <c r="AJ1705">
        <v>32.840000000000003</v>
      </c>
      <c r="AK1705">
        <v>23.8</v>
      </c>
      <c r="AL1705">
        <v>-20.156574899999949</v>
      </c>
      <c r="AM1705">
        <v>-44.861856840496699</v>
      </c>
      <c r="AN1705">
        <v>-20.156574899999949</v>
      </c>
      <c r="AO1705">
        <v>-44.861856840496699</v>
      </c>
      <c r="AP1705">
        <v>-20.156721000000001</v>
      </c>
      <c r="AQ1705">
        <v>-44.862000000000002</v>
      </c>
      <c r="AR1705">
        <v>22.09816067181935</v>
      </c>
      <c r="AS1705" t="s">
        <v>65</v>
      </c>
      <c r="AT1705">
        <v>1</v>
      </c>
      <c r="AU1705" t="s">
        <v>2131</v>
      </c>
      <c r="AV1705" t="s">
        <v>2132</v>
      </c>
      <c r="AW1705" t="s">
        <v>60</v>
      </c>
      <c r="AX1705" t="s">
        <v>68</v>
      </c>
      <c r="AY1705" t="s">
        <v>69</v>
      </c>
      <c r="AZ1705" t="b">
        <v>1</v>
      </c>
    </row>
    <row r="1706" spans="1:52" x14ac:dyDescent="0.3">
      <c r="A1706" t="s">
        <v>52</v>
      </c>
      <c r="B1706" t="s">
        <v>53</v>
      </c>
      <c r="C1706" t="s">
        <v>54</v>
      </c>
      <c r="D1706" t="s">
        <v>55</v>
      </c>
      <c r="E1706" t="s">
        <v>2148</v>
      </c>
      <c r="F1706" t="s">
        <v>190</v>
      </c>
      <c r="G1706" t="s">
        <v>238</v>
      </c>
      <c r="H1706" t="s">
        <v>239</v>
      </c>
      <c r="I1706" t="s">
        <v>239</v>
      </c>
      <c r="J1706" t="s">
        <v>60</v>
      </c>
      <c r="K1706" t="s">
        <v>227</v>
      </c>
      <c r="L1706" t="s">
        <v>62</v>
      </c>
      <c r="M1706" t="s">
        <v>227</v>
      </c>
      <c r="N1706" t="s">
        <v>240</v>
      </c>
      <c r="O1706" t="s">
        <v>202</v>
      </c>
      <c r="P1706">
        <v>-20.155833999999999</v>
      </c>
      <c r="Q1706">
        <v>-44.859437999999997</v>
      </c>
      <c r="R1706" s="2" t="str">
        <f>HYPERLINK("https://www.google.com/maps?q=-20.1558340,-44.8594380","Abrir no Google Maps")</f>
        <v>Abrir no Google Maps</v>
      </c>
      <c r="S1706">
        <v>4</v>
      </c>
      <c r="T1706">
        <v>381.00646482339403</v>
      </c>
      <c r="U1706">
        <v>3</v>
      </c>
      <c r="V1706">
        <v>18</v>
      </c>
      <c r="W1706">
        <v>1</v>
      </c>
      <c r="X1706">
        <v>18</v>
      </c>
      <c r="Y1706">
        <v>518</v>
      </c>
      <c r="Z1706">
        <v>484.9275363207239</v>
      </c>
      <c r="AA1706">
        <v>198</v>
      </c>
      <c r="AB1706">
        <v>332</v>
      </c>
      <c r="AC1706">
        <v>536</v>
      </c>
      <c r="AD1706">
        <v>30.74</v>
      </c>
      <c r="AE1706">
        <v>542</v>
      </c>
      <c r="AF1706">
        <v>30</v>
      </c>
      <c r="AG1706">
        <v>178</v>
      </c>
      <c r="AH1706">
        <v>129</v>
      </c>
      <c r="AI1706">
        <v>5.54</v>
      </c>
      <c r="AJ1706">
        <v>32.840000000000003</v>
      </c>
      <c r="AK1706">
        <v>23.8</v>
      </c>
      <c r="AL1706">
        <v>-20.155935399999979</v>
      </c>
      <c r="AM1706">
        <v>-44.859367525422847</v>
      </c>
      <c r="AN1706">
        <v>-20.155935399999979</v>
      </c>
      <c r="AO1706">
        <v>-44.859367525422847</v>
      </c>
      <c r="AP1706">
        <v>-20.155833999999999</v>
      </c>
      <c r="AQ1706">
        <v>-44.859437999999997</v>
      </c>
      <c r="AR1706">
        <v>13.477960508152201</v>
      </c>
      <c r="AS1706" t="s">
        <v>65</v>
      </c>
      <c r="AT1706">
        <v>1</v>
      </c>
      <c r="AU1706" t="s">
        <v>241</v>
      </c>
      <c r="AV1706" t="s">
        <v>242</v>
      </c>
      <c r="AW1706" t="s">
        <v>60</v>
      </c>
      <c r="AX1706" t="s">
        <v>68</v>
      </c>
      <c r="AY1706" t="s">
        <v>69</v>
      </c>
      <c r="AZ1706" t="b">
        <v>1</v>
      </c>
    </row>
    <row r="1707" spans="1:52" x14ac:dyDescent="0.3">
      <c r="A1707" t="s">
        <v>52</v>
      </c>
      <c r="B1707" t="s">
        <v>53</v>
      </c>
      <c r="C1707" t="s">
        <v>54</v>
      </c>
      <c r="D1707" t="s">
        <v>55</v>
      </c>
      <c r="E1707" t="s">
        <v>2148</v>
      </c>
      <c r="F1707" t="s">
        <v>190</v>
      </c>
      <c r="G1707" t="s">
        <v>1618</v>
      </c>
      <c r="H1707" t="s">
        <v>1619</v>
      </c>
      <c r="I1707" t="s">
        <v>1619</v>
      </c>
      <c r="J1707" t="s">
        <v>60</v>
      </c>
      <c r="K1707" t="s">
        <v>227</v>
      </c>
      <c r="L1707" t="s">
        <v>62</v>
      </c>
      <c r="M1707" t="s">
        <v>227</v>
      </c>
      <c r="N1707" t="s">
        <v>228</v>
      </c>
      <c r="O1707" t="s">
        <v>1620</v>
      </c>
      <c r="P1707">
        <v>-20.159497999999999</v>
      </c>
      <c r="Q1707">
        <v>-44.852925999999997</v>
      </c>
      <c r="R1707" s="2" t="str">
        <f>HYPERLINK("https://www.google.com/maps?q=-20.1594980,-44.8529260","Abrir no Google Maps")</f>
        <v>Abrir no Google Maps</v>
      </c>
      <c r="S1707">
        <v>4</v>
      </c>
      <c r="T1707">
        <v>560.11627509727657</v>
      </c>
      <c r="U1707">
        <v>3</v>
      </c>
      <c r="V1707">
        <v>19</v>
      </c>
      <c r="W1707">
        <v>1</v>
      </c>
      <c r="X1707">
        <v>19</v>
      </c>
      <c r="Y1707">
        <v>491</v>
      </c>
      <c r="Z1707">
        <v>609.25494989442086</v>
      </c>
      <c r="AA1707">
        <v>198</v>
      </c>
      <c r="AB1707">
        <v>332</v>
      </c>
      <c r="AC1707">
        <v>536</v>
      </c>
      <c r="AD1707">
        <v>30.74</v>
      </c>
      <c r="AE1707">
        <v>542</v>
      </c>
      <c r="AF1707">
        <v>30</v>
      </c>
      <c r="AG1707">
        <v>178</v>
      </c>
      <c r="AH1707">
        <v>129</v>
      </c>
      <c r="AI1707">
        <v>5.54</v>
      </c>
      <c r="AJ1707">
        <v>32.840000000000003</v>
      </c>
      <c r="AK1707">
        <v>23.8</v>
      </c>
      <c r="AL1707">
        <v>-20.159495399999969</v>
      </c>
      <c r="AM1707">
        <v>-44.85297928977559</v>
      </c>
      <c r="AN1707">
        <v>-20.159495399999969</v>
      </c>
      <c r="AO1707">
        <v>-44.85297928977559</v>
      </c>
      <c r="AP1707">
        <v>-20.159497999999999</v>
      </c>
      <c r="AQ1707">
        <v>-44.852925999999997</v>
      </c>
      <c r="AR1707">
        <v>5.5763081103260701</v>
      </c>
      <c r="AS1707" t="s">
        <v>65</v>
      </c>
      <c r="AT1707">
        <v>1</v>
      </c>
      <c r="AU1707" t="s">
        <v>1621</v>
      </c>
      <c r="AV1707" t="s">
        <v>1622</v>
      </c>
      <c r="AW1707" t="s">
        <v>60</v>
      </c>
      <c r="AX1707" t="s">
        <v>68</v>
      </c>
      <c r="AY1707" t="s">
        <v>69</v>
      </c>
      <c r="AZ1707" t="b">
        <v>1</v>
      </c>
    </row>
    <row r="1708" spans="1:52" x14ac:dyDescent="0.3">
      <c r="A1708" t="s">
        <v>52</v>
      </c>
      <c r="B1708" t="s">
        <v>53</v>
      </c>
      <c r="C1708" t="s">
        <v>54</v>
      </c>
      <c r="D1708" t="s">
        <v>55</v>
      </c>
      <c r="E1708" t="s">
        <v>2148</v>
      </c>
      <c r="F1708" t="s">
        <v>190</v>
      </c>
      <c r="G1708" t="s">
        <v>290</v>
      </c>
      <c r="H1708" t="s">
        <v>291</v>
      </c>
      <c r="I1708" t="s">
        <v>291</v>
      </c>
      <c r="J1708" t="s">
        <v>60</v>
      </c>
      <c r="K1708" t="s">
        <v>143</v>
      </c>
      <c r="L1708" t="s">
        <v>62</v>
      </c>
      <c r="M1708" t="s">
        <v>143</v>
      </c>
      <c r="N1708" t="s">
        <v>292</v>
      </c>
      <c r="O1708" t="s">
        <v>293</v>
      </c>
      <c r="P1708">
        <v>-20.164380999999999</v>
      </c>
      <c r="Q1708">
        <v>-44.841638000000003</v>
      </c>
      <c r="R1708" s="2" t="str">
        <f>HYPERLINK("https://www.google.com/maps?q=-20.1643810,-44.8416380","Abrir no Google Maps")</f>
        <v>Abrir no Google Maps</v>
      </c>
      <c r="S1708">
        <v>4</v>
      </c>
      <c r="T1708">
        <v>653.87342410001406</v>
      </c>
      <c r="U1708">
        <v>3</v>
      </c>
      <c r="V1708">
        <v>23</v>
      </c>
      <c r="W1708">
        <v>1</v>
      </c>
      <c r="X1708">
        <v>23</v>
      </c>
      <c r="Y1708">
        <v>292</v>
      </c>
      <c r="Z1708">
        <v>761.66023684754805</v>
      </c>
      <c r="AA1708">
        <v>198</v>
      </c>
      <c r="AB1708">
        <v>332</v>
      </c>
      <c r="AC1708">
        <v>536</v>
      </c>
      <c r="AD1708">
        <v>30.74</v>
      </c>
      <c r="AE1708">
        <v>542</v>
      </c>
      <c r="AF1708">
        <v>30</v>
      </c>
      <c r="AG1708">
        <v>178</v>
      </c>
      <c r="AH1708">
        <v>129</v>
      </c>
      <c r="AI1708">
        <v>5.54</v>
      </c>
      <c r="AJ1708">
        <v>32.840000000000003</v>
      </c>
      <c r="AK1708">
        <v>23.8</v>
      </c>
      <c r="AL1708">
        <v>-20.16420624999995</v>
      </c>
      <c r="AM1708">
        <v>-44.841488984995642</v>
      </c>
      <c r="AN1708">
        <v>-20.16420624999995</v>
      </c>
      <c r="AO1708">
        <v>-44.841488984995642</v>
      </c>
      <c r="AP1708">
        <v>-20.164380999999999</v>
      </c>
      <c r="AQ1708">
        <v>-44.841638000000003</v>
      </c>
      <c r="AR1708">
        <v>24.91789254993785</v>
      </c>
      <c r="AS1708" t="s">
        <v>65</v>
      </c>
      <c r="AT1708">
        <v>1</v>
      </c>
      <c r="AU1708" t="s">
        <v>294</v>
      </c>
      <c r="AV1708" t="s">
        <v>295</v>
      </c>
      <c r="AW1708" t="s">
        <v>60</v>
      </c>
      <c r="AX1708" t="s">
        <v>68</v>
      </c>
      <c r="AY1708" t="s">
        <v>69</v>
      </c>
      <c r="AZ1708" t="b">
        <v>1</v>
      </c>
    </row>
    <row r="1709" spans="1:52" x14ac:dyDescent="0.3">
      <c r="A1709" t="s">
        <v>52</v>
      </c>
      <c r="B1709" t="s">
        <v>53</v>
      </c>
      <c r="C1709" t="s">
        <v>54</v>
      </c>
      <c r="D1709" t="s">
        <v>55</v>
      </c>
      <c r="E1709" t="s">
        <v>2148</v>
      </c>
      <c r="F1709" t="s">
        <v>190</v>
      </c>
      <c r="G1709" t="s">
        <v>334</v>
      </c>
      <c r="H1709" t="s">
        <v>335</v>
      </c>
      <c r="I1709" t="s">
        <v>335</v>
      </c>
      <c r="J1709" t="s">
        <v>60</v>
      </c>
      <c r="K1709" t="s">
        <v>336</v>
      </c>
      <c r="L1709" t="s">
        <v>62</v>
      </c>
      <c r="M1709" t="s">
        <v>336</v>
      </c>
      <c r="N1709" t="s">
        <v>337</v>
      </c>
      <c r="O1709" t="s">
        <v>338</v>
      </c>
      <c r="P1709">
        <v>-20.168142</v>
      </c>
      <c r="Q1709">
        <v>-44.875697000000002</v>
      </c>
      <c r="R1709" s="2" t="str">
        <f>HYPERLINK("https://www.google.com/maps?q=-20.1681420,-44.8756970","Abrir no Google Maps")</f>
        <v>Abrir no Google Maps</v>
      </c>
      <c r="S1709">
        <v>4</v>
      </c>
      <c r="T1709">
        <v>678.04878367834192</v>
      </c>
      <c r="U1709">
        <v>3</v>
      </c>
      <c r="V1709">
        <v>22</v>
      </c>
      <c r="W1709">
        <v>1</v>
      </c>
      <c r="X1709">
        <v>22</v>
      </c>
      <c r="Y1709">
        <v>232</v>
      </c>
      <c r="Z1709">
        <v>595.98467532792097</v>
      </c>
      <c r="AA1709">
        <v>198</v>
      </c>
      <c r="AB1709">
        <v>332</v>
      </c>
      <c r="AC1709">
        <v>536</v>
      </c>
      <c r="AD1709">
        <v>30.74</v>
      </c>
      <c r="AE1709">
        <v>542</v>
      </c>
      <c r="AF1709">
        <v>30</v>
      </c>
      <c r="AG1709">
        <v>178</v>
      </c>
      <c r="AH1709">
        <v>129</v>
      </c>
      <c r="AI1709">
        <v>5.54</v>
      </c>
      <c r="AJ1709">
        <v>32.840000000000003</v>
      </c>
      <c r="AK1709">
        <v>23.8</v>
      </c>
      <c r="AL1709">
        <v>-20.16787839999995</v>
      </c>
      <c r="AM1709">
        <v>-44.875681825945229</v>
      </c>
      <c r="AN1709">
        <v>-20.16787839999995</v>
      </c>
      <c r="AO1709">
        <v>-44.875681825945229</v>
      </c>
      <c r="AP1709">
        <v>-20.168142</v>
      </c>
      <c r="AQ1709">
        <v>-44.875697000000002</v>
      </c>
      <c r="AR1709">
        <v>29.386760063894371</v>
      </c>
      <c r="AS1709" t="s">
        <v>65</v>
      </c>
      <c r="AT1709">
        <v>1</v>
      </c>
      <c r="AU1709" t="s">
        <v>339</v>
      </c>
      <c r="AV1709" t="s">
        <v>340</v>
      </c>
      <c r="AW1709" t="s">
        <v>60</v>
      </c>
      <c r="AX1709" t="s">
        <v>68</v>
      </c>
      <c r="AY1709" t="s">
        <v>69</v>
      </c>
      <c r="AZ1709" t="b">
        <v>1</v>
      </c>
    </row>
    <row r="1710" spans="1:52" x14ac:dyDescent="0.3">
      <c r="A1710" t="s">
        <v>52</v>
      </c>
      <c r="B1710" t="s">
        <v>53</v>
      </c>
      <c r="C1710" t="s">
        <v>54</v>
      </c>
      <c r="D1710" t="s">
        <v>55</v>
      </c>
      <c r="E1710" t="s">
        <v>2148</v>
      </c>
      <c r="F1710" t="s">
        <v>190</v>
      </c>
      <c r="G1710" t="s">
        <v>1718</v>
      </c>
      <c r="H1710" t="s">
        <v>1719</v>
      </c>
      <c r="I1710" t="s">
        <v>1719</v>
      </c>
      <c r="J1710" t="s">
        <v>60</v>
      </c>
      <c r="K1710" t="s">
        <v>157</v>
      </c>
      <c r="L1710" t="s">
        <v>62</v>
      </c>
      <c r="M1710" t="s">
        <v>157</v>
      </c>
      <c r="N1710" t="s">
        <v>1720</v>
      </c>
      <c r="O1710" t="s">
        <v>1504</v>
      </c>
      <c r="P1710">
        <v>-20.171738999999999</v>
      </c>
      <c r="Q1710">
        <v>-44.883522999999997</v>
      </c>
      <c r="R1710" s="2" t="str">
        <f>HYPERLINK("https://www.google.com/maps?q=-20.1717390,-44.8835230","Abrir no Google Maps")</f>
        <v>Abrir no Google Maps</v>
      </c>
      <c r="S1710">
        <v>4</v>
      </c>
      <c r="T1710">
        <v>256.99601600395061</v>
      </c>
      <c r="U1710">
        <v>3</v>
      </c>
      <c r="V1710">
        <v>20</v>
      </c>
      <c r="W1710">
        <v>0.85</v>
      </c>
      <c r="X1710">
        <v>17</v>
      </c>
      <c r="Y1710">
        <v>232</v>
      </c>
      <c r="Z1710">
        <v>340.87195921482072</v>
      </c>
      <c r="AA1710">
        <v>198</v>
      </c>
      <c r="AB1710">
        <v>332</v>
      </c>
      <c r="AC1710">
        <v>536</v>
      </c>
      <c r="AD1710">
        <v>30.74</v>
      </c>
      <c r="AE1710">
        <v>542</v>
      </c>
      <c r="AF1710">
        <v>30</v>
      </c>
      <c r="AG1710">
        <v>178</v>
      </c>
      <c r="AH1710">
        <v>129</v>
      </c>
      <c r="AI1710">
        <v>5.54</v>
      </c>
      <c r="AJ1710">
        <v>32.840000000000003</v>
      </c>
      <c r="AK1710">
        <v>23.8</v>
      </c>
      <c r="AL1710">
        <v>-20.171852049999959</v>
      </c>
      <c r="AM1710">
        <v>-44.883483547306533</v>
      </c>
      <c r="AN1710">
        <v>-20.171852049999959</v>
      </c>
      <c r="AO1710">
        <v>-44.883483547306533</v>
      </c>
      <c r="AP1710">
        <v>-20.171738999999999</v>
      </c>
      <c r="AQ1710">
        <v>-44.883522999999997</v>
      </c>
      <c r="AR1710">
        <v>13.24274259208917</v>
      </c>
      <c r="AS1710" t="s">
        <v>65</v>
      </c>
      <c r="AT1710">
        <v>1</v>
      </c>
      <c r="AU1710" t="s">
        <v>1721</v>
      </c>
      <c r="AV1710" t="s">
        <v>352</v>
      </c>
      <c r="AW1710" t="s">
        <v>60</v>
      </c>
      <c r="AX1710" t="s">
        <v>68</v>
      </c>
      <c r="AY1710" t="s">
        <v>69</v>
      </c>
      <c r="AZ1710" t="b">
        <v>1</v>
      </c>
    </row>
    <row r="1711" spans="1:52" x14ac:dyDescent="0.3">
      <c r="A1711" t="s">
        <v>52</v>
      </c>
      <c r="B1711" t="s">
        <v>53</v>
      </c>
      <c r="C1711" t="s">
        <v>54</v>
      </c>
      <c r="D1711" t="s">
        <v>55</v>
      </c>
      <c r="E1711" t="s">
        <v>2148</v>
      </c>
      <c r="F1711" t="s">
        <v>190</v>
      </c>
      <c r="G1711" t="s">
        <v>353</v>
      </c>
      <c r="H1711" t="s">
        <v>354</v>
      </c>
      <c r="I1711" t="s">
        <v>354</v>
      </c>
      <c r="J1711" t="s">
        <v>60</v>
      </c>
      <c r="K1711" t="s">
        <v>355</v>
      </c>
      <c r="L1711" t="s">
        <v>62</v>
      </c>
      <c r="M1711" t="s">
        <v>355</v>
      </c>
      <c r="N1711" t="s">
        <v>356</v>
      </c>
      <c r="O1711" t="s">
        <v>357</v>
      </c>
      <c r="P1711">
        <v>-20.147373999999999</v>
      </c>
      <c r="Q1711">
        <v>-44.875141999999997</v>
      </c>
      <c r="R1711" s="2" t="str">
        <f>HYPERLINK("https://www.google.com/maps?q=-20.1473740,-44.8751420","Abrir no Google Maps")</f>
        <v>Abrir no Google Maps</v>
      </c>
      <c r="S1711">
        <v>4</v>
      </c>
      <c r="T1711">
        <v>394.29708169591709</v>
      </c>
      <c r="U1711">
        <v>3</v>
      </c>
      <c r="V1711">
        <v>23</v>
      </c>
      <c r="W1711">
        <v>1</v>
      </c>
      <c r="X1711">
        <v>23</v>
      </c>
      <c r="Y1711">
        <v>209</v>
      </c>
      <c r="Z1711">
        <v>326.95034461828868</v>
      </c>
      <c r="AA1711">
        <v>198</v>
      </c>
      <c r="AB1711">
        <v>332</v>
      </c>
      <c r="AC1711">
        <v>536</v>
      </c>
      <c r="AD1711">
        <v>30.74</v>
      </c>
      <c r="AE1711">
        <v>542</v>
      </c>
      <c r="AF1711">
        <v>30</v>
      </c>
      <c r="AG1711">
        <v>178</v>
      </c>
      <c r="AH1711">
        <v>129</v>
      </c>
      <c r="AI1711">
        <v>5.54</v>
      </c>
      <c r="AJ1711">
        <v>32.840000000000003</v>
      </c>
      <c r="AK1711">
        <v>23.8</v>
      </c>
      <c r="AL1711">
        <v>-20.147207999999949</v>
      </c>
      <c r="AM1711">
        <v>-44.875152120336942</v>
      </c>
      <c r="AN1711">
        <v>-20.147207999999949</v>
      </c>
      <c r="AO1711">
        <v>-44.875152120336942</v>
      </c>
      <c r="AP1711">
        <v>-20.147373999999999</v>
      </c>
      <c r="AQ1711">
        <v>-44.875141999999997</v>
      </c>
      <c r="AR1711">
        <v>18.509363081081169</v>
      </c>
      <c r="AS1711" t="s">
        <v>65</v>
      </c>
      <c r="AT1711">
        <v>1</v>
      </c>
      <c r="AU1711" t="s">
        <v>358</v>
      </c>
      <c r="AV1711" t="s">
        <v>359</v>
      </c>
      <c r="AW1711" t="s">
        <v>60</v>
      </c>
      <c r="AX1711" t="s">
        <v>68</v>
      </c>
      <c r="AY1711" t="s">
        <v>69</v>
      </c>
      <c r="AZ1711" t="b">
        <v>1</v>
      </c>
    </row>
    <row r="1712" spans="1:52" x14ac:dyDescent="0.3">
      <c r="A1712" t="s">
        <v>52</v>
      </c>
      <c r="B1712" t="s">
        <v>53</v>
      </c>
      <c r="C1712" t="s">
        <v>54</v>
      </c>
      <c r="D1712" t="s">
        <v>55</v>
      </c>
      <c r="E1712" t="s">
        <v>2148</v>
      </c>
      <c r="F1712" t="s">
        <v>190</v>
      </c>
      <c r="G1712" t="s">
        <v>1649</v>
      </c>
      <c r="H1712" t="s">
        <v>1650</v>
      </c>
      <c r="I1712" t="s">
        <v>1650</v>
      </c>
      <c r="J1712" t="s">
        <v>60</v>
      </c>
      <c r="K1712" t="s">
        <v>355</v>
      </c>
      <c r="L1712" t="s">
        <v>62</v>
      </c>
      <c r="M1712" t="s">
        <v>355</v>
      </c>
      <c r="N1712" t="s">
        <v>1651</v>
      </c>
      <c r="O1712" t="s">
        <v>293</v>
      </c>
      <c r="P1712">
        <v>-20.141983</v>
      </c>
      <c r="Q1712">
        <v>-44.871161000000001</v>
      </c>
      <c r="R1712" s="2" t="str">
        <f>HYPERLINK("https://www.google.com/maps?q=-20.1419830,-44.8711610","Abrir no Google Maps")</f>
        <v>Abrir no Google Maps</v>
      </c>
      <c r="S1712">
        <v>4</v>
      </c>
      <c r="T1712">
        <v>492.40092389187612</v>
      </c>
      <c r="U1712">
        <v>3</v>
      </c>
      <c r="V1712">
        <v>18</v>
      </c>
      <c r="W1712">
        <v>1</v>
      </c>
      <c r="X1712">
        <v>18</v>
      </c>
      <c r="Y1712">
        <v>209</v>
      </c>
      <c r="Z1712">
        <v>425.51195583014947</v>
      </c>
      <c r="AA1712">
        <v>198</v>
      </c>
      <c r="AB1712">
        <v>332</v>
      </c>
      <c r="AC1712">
        <v>536</v>
      </c>
      <c r="AD1712">
        <v>30.74</v>
      </c>
      <c r="AE1712">
        <v>542</v>
      </c>
      <c r="AF1712">
        <v>30</v>
      </c>
      <c r="AG1712">
        <v>178</v>
      </c>
      <c r="AH1712">
        <v>129</v>
      </c>
      <c r="AI1712">
        <v>5.54</v>
      </c>
      <c r="AJ1712">
        <v>32.840000000000003</v>
      </c>
      <c r="AK1712">
        <v>23.8</v>
      </c>
      <c r="AL1712">
        <v>-20.142006349999971</v>
      </c>
      <c r="AM1712">
        <v>-44.871190369486733</v>
      </c>
      <c r="AN1712">
        <v>-20.142006349999981</v>
      </c>
      <c r="AO1712">
        <v>-44.871190369486733</v>
      </c>
      <c r="AP1712">
        <v>-20.141983</v>
      </c>
      <c r="AQ1712">
        <v>-44.871161000000001</v>
      </c>
      <c r="AR1712">
        <v>4.0221964388318616</v>
      </c>
      <c r="AS1712" t="s">
        <v>65</v>
      </c>
      <c r="AT1712">
        <v>1</v>
      </c>
      <c r="AU1712" t="s">
        <v>1652</v>
      </c>
      <c r="AV1712" t="s">
        <v>1653</v>
      </c>
      <c r="AW1712" t="s">
        <v>60</v>
      </c>
      <c r="AX1712" t="s">
        <v>68</v>
      </c>
      <c r="AY1712" t="s">
        <v>69</v>
      </c>
      <c r="AZ1712" t="b">
        <v>1</v>
      </c>
    </row>
    <row r="1713" spans="1:52" x14ac:dyDescent="0.3">
      <c r="A1713" t="s">
        <v>52</v>
      </c>
      <c r="B1713" t="s">
        <v>53</v>
      </c>
      <c r="C1713" t="s">
        <v>54</v>
      </c>
      <c r="D1713" t="s">
        <v>55</v>
      </c>
      <c r="E1713" t="s">
        <v>2148</v>
      </c>
      <c r="F1713" t="s">
        <v>190</v>
      </c>
      <c r="G1713" t="s">
        <v>366</v>
      </c>
      <c r="H1713" t="s">
        <v>367</v>
      </c>
      <c r="I1713" t="s">
        <v>367</v>
      </c>
      <c r="J1713" t="s">
        <v>60</v>
      </c>
      <c r="K1713" t="s">
        <v>368</v>
      </c>
      <c r="L1713" t="s">
        <v>62</v>
      </c>
      <c r="M1713" t="s">
        <v>368</v>
      </c>
      <c r="N1713" t="s">
        <v>369</v>
      </c>
      <c r="O1713" t="s">
        <v>370</v>
      </c>
      <c r="P1713">
        <v>-20.144553999999999</v>
      </c>
      <c r="Q1713">
        <v>-44.868183000000002</v>
      </c>
      <c r="R1713" s="2" t="str">
        <f>HYPERLINK("https://www.google.com/maps?q=-20.1445540,-44.8681830","Abrir no Google Maps")</f>
        <v>Abrir no Google Maps</v>
      </c>
      <c r="S1713">
        <v>4</v>
      </c>
      <c r="T1713">
        <v>783.87848835431373</v>
      </c>
      <c r="U1713">
        <v>3</v>
      </c>
      <c r="V1713">
        <v>17</v>
      </c>
      <c r="W1713">
        <v>1</v>
      </c>
      <c r="X1713">
        <v>17</v>
      </c>
      <c r="Y1713">
        <v>198</v>
      </c>
      <c r="Z1713">
        <v>360.68413994394842</v>
      </c>
      <c r="AA1713">
        <v>198</v>
      </c>
      <c r="AB1713">
        <v>332</v>
      </c>
      <c r="AC1713">
        <v>536</v>
      </c>
      <c r="AD1713">
        <v>30.74</v>
      </c>
      <c r="AE1713">
        <v>542</v>
      </c>
      <c r="AF1713">
        <v>30</v>
      </c>
      <c r="AG1713">
        <v>178</v>
      </c>
      <c r="AH1713">
        <v>129</v>
      </c>
      <c r="AI1713">
        <v>5.54</v>
      </c>
      <c r="AJ1713">
        <v>32.840000000000003</v>
      </c>
      <c r="AK1713">
        <v>23.8</v>
      </c>
      <c r="AL1713">
        <v>-20.144487399999949</v>
      </c>
      <c r="AM1713">
        <v>-44.868111936674481</v>
      </c>
      <c r="AN1713">
        <v>-20.144487399999939</v>
      </c>
      <c r="AO1713">
        <v>-44.868111936674481</v>
      </c>
      <c r="AP1713">
        <v>-20.144553999999999</v>
      </c>
      <c r="AQ1713">
        <v>-44.868183000000002</v>
      </c>
      <c r="AR1713">
        <v>10.49400387332288</v>
      </c>
      <c r="AS1713" t="s">
        <v>65</v>
      </c>
      <c r="AT1713">
        <v>1</v>
      </c>
      <c r="AU1713" t="s">
        <v>371</v>
      </c>
      <c r="AV1713" t="s">
        <v>372</v>
      </c>
      <c r="AW1713" t="s">
        <v>60</v>
      </c>
      <c r="AX1713" t="s">
        <v>68</v>
      </c>
      <c r="AY1713" t="s">
        <v>69</v>
      </c>
      <c r="AZ1713" t="b">
        <v>1</v>
      </c>
    </row>
    <row r="1714" spans="1:52" x14ac:dyDescent="0.3">
      <c r="A1714" t="s">
        <v>52</v>
      </c>
      <c r="B1714" t="s">
        <v>53</v>
      </c>
      <c r="C1714" t="s">
        <v>54</v>
      </c>
      <c r="D1714" t="s">
        <v>55</v>
      </c>
      <c r="E1714" t="s">
        <v>2148</v>
      </c>
      <c r="F1714" t="s">
        <v>190</v>
      </c>
      <c r="G1714" t="s">
        <v>1654</v>
      </c>
      <c r="H1714" t="s">
        <v>1655</v>
      </c>
      <c r="I1714" t="s">
        <v>1655</v>
      </c>
      <c r="J1714" t="s">
        <v>60</v>
      </c>
      <c r="K1714" t="s">
        <v>368</v>
      </c>
      <c r="L1714" t="s">
        <v>62</v>
      </c>
      <c r="M1714" t="s">
        <v>368</v>
      </c>
      <c r="N1714" t="s">
        <v>1656</v>
      </c>
      <c r="O1714" t="s">
        <v>1657</v>
      </c>
      <c r="P1714">
        <v>-20.143647999999999</v>
      </c>
      <c r="Q1714">
        <v>-44.870466</v>
      </c>
      <c r="R1714" s="2" t="str">
        <f>HYPERLINK("https://www.google.com/maps?q=-20.1436480,-44.8704660","Abrir no Google Maps")</f>
        <v>Abrir no Google Maps</v>
      </c>
      <c r="S1714">
        <v>4</v>
      </c>
      <c r="T1714">
        <v>545.81556277505979</v>
      </c>
      <c r="U1714">
        <v>3</v>
      </c>
      <c r="V1714">
        <v>19</v>
      </c>
      <c r="W1714">
        <v>1</v>
      </c>
      <c r="X1714">
        <v>19</v>
      </c>
      <c r="Y1714">
        <v>198</v>
      </c>
      <c r="Z1714">
        <v>258.83396188518708</v>
      </c>
      <c r="AA1714">
        <v>198</v>
      </c>
      <c r="AB1714">
        <v>332</v>
      </c>
      <c r="AC1714">
        <v>536</v>
      </c>
      <c r="AD1714">
        <v>30.74</v>
      </c>
      <c r="AE1714">
        <v>542</v>
      </c>
      <c r="AF1714">
        <v>30</v>
      </c>
      <c r="AG1714">
        <v>178</v>
      </c>
      <c r="AH1714">
        <v>129</v>
      </c>
      <c r="AI1714">
        <v>5.54</v>
      </c>
      <c r="AJ1714">
        <v>32.840000000000003</v>
      </c>
      <c r="AK1714">
        <v>23.8</v>
      </c>
      <c r="AL1714">
        <v>-20.143704099999951</v>
      </c>
      <c r="AM1714">
        <v>-44.870339403868741</v>
      </c>
      <c r="AN1714">
        <v>-20.143704099999951</v>
      </c>
      <c r="AO1714">
        <v>-44.870339403868741</v>
      </c>
      <c r="AP1714">
        <v>-20.143647999999999</v>
      </c>
      <c r="AQ1714">
        <v>-44.870466</v>
      </c>
      <c r="AR1714">
        <v>14.63048136060379</v>
      </c>
      <c r="AS1714" t="s">
        <v>65</v>
      </c>
      <c r="AT1714">
        <v>1</v>
      </c>
      <c r="AU1714" t="s">
        <v>1658</v>
      </c>
      <c r="AV1714" t="s">
        <v>1659</v>
      </c>
      <c r="AW1714" t="s">
        <v>60</v>
      </c>
      <c r="AX1714" t="s">
        <v>68</v>
      </c>
      <c r="AY1714" t="s">
        <v>69</v>
      </c>
      <c r="AZ1714" t="b">
        <v>1</v>
      </c>
    </row>
    <row r="1715" spans="1:52" x14ac:dyDescent="0.3">
      <c r="A1715" t="s">
        <v>52</v>
      </c>
      <c r="B1715" t="s">
        <v>53</v>
      </c>
      <c r="C1715" t="s">
        <v>54</v>
      </c>
      <c r="D1715" t="s">
        <v>55</v>
      </c>
      <c r="E1715" t="s">
        <v>2148</v>
      </c>
      <c r="F1715" t="s">
        <v>190</v>
      </c>
      <c r="G1715" t="s">
        <v>1728</v>
      </c>
      <c r="H1715" t="s">
        <v>1729</v>
      </c>
      <c r="I1715" t="s">
        <v>1729</v>
      </c>
      <c r="J1715" t="s">
        <v>60</v>
      </c>
      <c r="K1715" t="s">
        <v>171</v>
      </c>
      <c r="L1715" t="s">
        <v>62</v>
      </c>
      <c r="M1715" t="s">
        <v>171</v>
      </c>
      <c r="N1715" t="s">
        <v>1730</v>
      </c>
      <c r="O1715" t="s">
        <v>1731</v>
      </c>
      <c r="P1715">
        <v>-20.153237000000001</v>
      </c>
      <c r="Q1715">
        <v>-44.893830999999999</v>
      </c>
      <c r="R1715" s="2" t="str">
        <f>HYPERLINK("https://www.google.com/maps?q=-20.1532370,-44.8938310","Abrir no Google Maps")</f>
        <v>Abrir no Google Maps</v>
      </c>
      <c r="S1715">
        <v>4</v>
      </c>
      <c r="T1715">
        <v>413.69072684661631</v>
      </c>
      <c r="U1715">
        <v>3</v>
      </c>
      <c r="V1715">
        <v>22</v>
      </c>
      <c r="W1715">
        <v>1</v>
      </c>
      <c r="X1715">
        <v>22</v>
      </c>
      <c r="Y1715">
        <v>129</v>
      </c>
      <c r="Z1715">
        <v>276.95856023076033</v>
      </c>
      <c r="AA1715">
        <v>198</v>
      </c>
      <c r="AB1715">
        <v>332</v>
      </c>
      <c r="AC1715">
        <v>536</v>
      </c>
      <c r="AD1715">
        <v>30.74</v>
      </c>
      <c r="AE1715">
        <v>542</v>
      </c>
      <c r="AF1715">
        <v>30</v>
      </c>
      <c r="AG1715">
        <v>178</v>
      </c>
      <c r="AH1715">
        <v>129</v>
      </c>
      <c r="AI1715">
        <v>5.54</v>
      </c>
      <c r="AJ1715">
        <v>32.840000000000003</v>
      </c>
      <c r="AK1715">
        <v>23.8</v>
      </c>
      <c r="AL1715">
        <v>-20.15278304999995</v>
      </c>
      <c r="AM1715">
        <v>-44.894325691070982</v>
      </c>
      <c r="AN1715">
        <v>-20.15278304999995</v>
      </c>
      <c r="AO1715">
        <v>-44.894325691070982</v>
      </c>
      <c r="AP1715">
        <v>-20.153237000000001</v>
      </c>
      <c r="AQ1715">
        <v>-44.893830999999999</v>
      </c>
      <c r="AR1715">
        <v>72.293093135883012</v>
      </c>
      <c r="AS1715" t="s">
        <v>65</v>
      </c>
      <c r="AT1715">
        <v>1</v>
      </c>
      <c r="AU1715" t="s">
        <v>1732</v>
      </c>
      <c r="AV1715" t="s">
        <v>1733</v>
      </c>
      <c r="AW1715" t="s">
        <v>60</v>
      </c>
      <c r="AX1715" t="s">
        <v>68</v>
      </c>
      <c r="AY1715" t="s">
        <v>69</v>
      </c>
      <c r="AZ1715" t="b">
        <v>1</v>
      </c>
    </row>
    <row r="1716" spans="1:52" x14ac:dyDescent="0.3">
      <c r="A1716" t="s">
        <v>52</v>
      </c>
      <c r="B1716" t="s">
        <v>53</v>
      </c>
      <c r="C1716" t="s">
        <v>54</v>
      </c>
      <c r="D1716" t="s">
        <v>55</v>
      </c>
      <c r="E1716" t="s">
        <v>2148</v>
      </c>
      <c r="F1716" t="s">
        <v>190</v>
      </c>
      <c r="G1716" t="s">
        <v>169</v>
      </c>
      <c r="H1716" t="s">
        <v>170</v>
      </c>
      <c r="I1716" t="s">
        <v>170</v>
      </c>
      <c r="J1716" t="s">
        <v>60</v>
      </c>
      <c r="K1716" t="s">
        <v>171</v>
      </c>
      <c r="L1716" t="s">
        <v>62</v>
      </c>
      <c r="M1716" t="s">
        <v>171</v>
      </c>
      <c r="N1716" t="s">
        <v>172</v>
      </c>
      <c r="O1716" t="s">
        <v>173</v>
      </c>
      <c r="P1716">
        <v>-20.15334</v>
      </c>
      <c r="Q1716">
        <v>-44.891691000000002</v>
      </c>
      <c r="R1716" s="2" t="str">
        <f>HYPERLINK("https://www.google.com/maps?q=-20.1533400,-44.8916910","Abrir no Google Maps")</f>
        <v>Abrir no Google Maps</v>
      </c>
      <c r="S1716">
        <v>4</v>
      </c>
      <c r="T1716">
        <v>263.82013116084107</v>
      </c>
      <c r="U1716">
        <v>3</v>
      </c>
      <c r="V1716">
        <v>19</v>
      </c>
      <c r="W1716">
        <v>1</v>
      </c>
      <c r="X1716">
        <v>19</v>
      </c>
      <c r="Y1716">
        <v>129</v>
      </c>
      <c r="Z1716">
        <v>72.771047355993247</v>
      </c>
      <c r="AA1716">
        <v>198</v>
      </c>
      <c r="AB1716">
        <v>332</v>
      </c>
      <c r="AC1716">
        <v>536</v>
      </c>
      <c r="AD1716">
        <v>30.74</v>
      </c>
      <c r="AE1716">
        <v>542</v>
      </c>
      <c r="AF1716">
        <v>30</v>
      </c>
      <c r="AG1716">
        <v>178</v>
      </c>
      <c r="AH1716">
        <v>129</v>
      </c>
      <c r="AI1716">
        <v>5.54</v>
      </c>
      <c r="AJ1716">
        <v>32.840000000000003</v>
      </c>
      <c r="AK1716">
        <v>23.8</v>
      </c>
      <c r="AL1716">
        <v>-20.153531799999971</v>
      </c>
      <c r="AM1716">
        <v>-44.89196779651779</v>
      </c>
      <c r="AN1716">
        <v>-20.153531799999971</v>
      </c>
      <c r="AO1716">
        <v>-44.89196779651779</v>
      </c>
      <c r="AP1716">
        <v>-20.15334</v>
      </c>
      <c r="AQ1716">
        <v>-44.891691000000002</v>
      </c>
      <c r="AR1716">
        <v>35.952871813310509</v>
      </c>
      <c r="AS1716" t="s">
        <v>65</v>
      </c>
      <c r="AT1716">
        <v>1</v>
      </c>
      <c r="AU1716" t="s">
        <v>174</v>
      </c>
      <c r="AV1716" t="s">
        <v>175</v>
      </c>
      <c r="AW1716" t="s">
        <v>60</v>
      </c>
      <c r="AX1716" t="s">
        <v>68</v>
      </c>
      <c r="AY1716" t="s">
        <v>69</v>
      </c>
      <c r="AZ1716" t="b">
        <v>1</v>
      </c>
    </row>
    <row r="1717" spans="1:52" x14ac:dyDescent="0.3">
      <c r="A1717" t="s">
        <v>52</v>
      </c>
      <c r="B1717" t="s">
        <v>53</v>
      </c>
      <c r="C1717" t="s">
        <v>54</v>
      </c>
      <c r="D1717" t="s">
        <v>55</v>
      </c>
      <c r="E1717" t="s">
        <v>2148</v>
      </c>
      <c r="F1717" t="s">
        <v>190</v>
      </c>
      <c r="G1717" t="s">
        <v>1660</v>
      </c>
      <c r="H1717" t="s">
        <v>1661</v>
      </c>
      <c r="I1717" t="s">
        <v>1661</v>
      </c>
      <c r="J1717" t="s">
        <v>60</v>
      </c>
      <c r="K1717" t="s">
        <v>164</v>
      </c>
      <c r="L1717" t="s">
        <v>62</v>
      </c>
      <c r="M1717" t="s">
        <v>164</v>
      </c>
      <c r="N1717" t="s">
        <v>1662</v>
      </c>
      <c r="O1717" t="s">
        <v>1663</v>
      </c>
      <c r="P1717">
        <v>-20.181692000000002</v>
      </c>
      <c r="Q1717">
        <v>-44.877276000000002</v>
      </c>
      <c r="R1717" s="2" t="str">
        <f>HYPERLINK("https://www.google.com/maps?q=-20.1816920,-44.8772760","Abrir no Google Maps")</f>
        <v>Abrir no Google Maps</v>
      </c>
      <c r="S1717">
        <v>4</v>
      </c>
      <c r="T1717">
        <v>630.49689192580956</v>
      </c>
      <c r="U1717">
        <v>3</v>
      </c>
      <c r="V1717">
        <v>23</v>
      </c>
      <c r="W1717">
        <v>1</v>
      </c>
      <c r="X1717">
        <v>23</v>
      </c>
      <c r="Y1717">
        <v>101</v>
      </c>
      <c r="Z1717">
        <v>732.81472992851411</v>
      </c>
      <c r="AA1717">
        <v>198</v>
      </c>
      <c r="AB1717">
        <v>332</v>
      </c>
      <c r="AC1717">
        <v>536</v>
      </c>
      <c r="AD1717">
        <v>30.74</v>
      </c>
      <c r="AE1717">
        <v>542</v>
      </c>
      <c r="AF1717">
        <v>30</v>
      </c>
      <c r="AG1717">
        <v>178</v>
      </c>
      <c r="AH1717">
        <v>129</v>
      </c>
      <c r="AI1717">
        <v>5.54</v>
      </c>
      <c r="AJ1717">
        <v>32.840000000000003</v>
      </c>
      <c r="AK1717">
        <v>23.8</v>
      </c>
      <c r="AL1717">
        <v>-20.181644349999971</v>
      </c>
      <c r="AM1717">
        <v>-44.876890970787557</v>
      </c>
      <c r="AN1717">
        <v>-20.181644349999971</v>
      </c>
      <c r="AO1717">
        <v>-44.876890970787557</v>
      </c>
      <c r="AP1717">
        <v>-20.181692000000002</v>
      </c>
      <c r="AQ1717">
        <v>-44.877276000000002</v>
      </c>
      <c r="AR1717">
        <v>40.578104107908509</v>
      </c>
      <c r="AS1717" t="s">
        <v>65</v>
      </c>
      <c r="AT1717">
        <v>1</v>
      </c>
      <c r="AU1717" t="s">
        <v>1664</v>
      </c>
      <c r="AV1717" t="s">
        <v>1665</v>
      </c>
      <c r="AW1717" t="s">
        <v>60</v>
      </c>
      <c r="AX1717" t="s">
        <v>68</v>
      </c>
      <c r="AY1717" t="s">
        <v>69</v>
      </c>
      <c r="AZ1717" t="b">
        <v>1</v>
      </c>
    </row>
    <row r="1718" spans="1:52" x14ac:dyDescent="0.3">
      <c r="A1718" t="s">
        <v>52</v>
      </c>
      <c r="B1718" t="s">
        <v>53</v>
      </c>
      <c r="C1718" t="s">
        <v>54</v>
      </c>
      <c r="D1718" t="s">
        <v>55</v>
      </c>
      <c r="E1718" t="s">
        <v>2148</v>
      </c>
      <c r="F1718" t="s">
        <v>190</v>
      </c>
      <c r="G1718" t="s">
        <v>1739</v>
      </c>
      <c r="H1718" t="s">
        <v>1740</v>
      </c>
      <c r="I1718" t="s">
        <v>1740</v>
      </c>
      <c r="J1718" t="s">
        <v>60</v>
      </c>
      <c r="K1718" t="s">
        <v>164</v>
      </c>
      <c r="L1718" t="s">
        <v>62</v>
      </c>
      <c r="M1718" t="s">
        <v>164</v>
      </c>
      <c r="N1718" t="s">
        <v>1741</v>
      </c>
      <c r="O1718" t="s">
        <v>395</v>
      </c>
      <c r="P1718">
        <v>-20.185585</v>
      </c>
      <c r="Q1718">
        <v>-44.881284000000001</v>
      </c>
      <c r="R1718" s="2" t="str">
        <f>HYPERLINK("https://www.google.com/maps?q=-20.1855850,-44.8812840","Abrir no Google Maps")</f>
        <v>Abrir no Google Maps</v>
      </c>
      <c r="S1718">
        <v>4</v>
      </c>
      <c r="T1718">
        <v>0</v>
      </c>
      <c r="U1718">
        <v>3</v>
      </c>
      <c r="V1718">
        <v>20</v>
      </c>
      <c r="W1718">
        <v>0.85</v>
      </c>
      <c r="X1718">
        <v>17</v>
      </c>
      <c r="Y1718">
        <v>101</v>
      </c>
      <c r="Z1718">
        <v>50.899335234186083</v>
      </c>
      <c r="AA1718">
        <v>198</v>
      </c>
      <c r="AB1718">
        <v>332</v>
      </c>
      <c r="AC1718">
        <v>536</v>
      </c>
      <c r="AD1718">
        <v>30.74</v>
      </c>
      <c r="AE1718">
        <v>542</v>
      </c>
      <c r="AF1718">
        <v>30</v>
      </c>
      <c r="AG1718">
        <v>178</v>
      </c>
      <c r="AH1718">
        <v>129</v>
      </c>
      <c r="AI1718">
        <v>5.54</v>
      </c>
      <c r="AJ1718">
        <v>32.840000000000003</v>
      </c>
      <c r="AK1718">
        <v>23.8</v>
      </c>
      <c r="AL1718">
        <v>-20.185672099999952</v>
      </c>
      <c r="AM1718">
        <v>-44.881158973926922</v>
      </c>
      <c r="AN1718">
        <v>-20.185672099999952</v>
      </c>
      <c r="AO1718">
        <v>-44.881158973926922</v>
      </c>
      <c r="AP1718">
        <v>-20.185585</v>
      </c>
      <c r="AQ1718">
        <v>-44.881284000000001</v>
      </c>
      <c r="AR1718">
        <v>16.268229707677129</v>
      </c>
      <c r="AS1718" t="s">
        <v>65</v>
      </c>
      <c r="AT1718">
        <v>1</v>
      </c>
      <c r="AU1718" t="s">
        <v>1742</v>
      </c>
      <c r="AV1718" t="s">
        <v>1743</v>
      </c>
      <c r="AW1718" t="s">
        <v>60</v>
      </c>
      <c r="AX1718" t="s">
        <v>68</v>
      </c>
      <c r="AY1718" t="s">
        <v>69</v>
      </c>
      <c r="AZ1718" t="b">
        <v>1</v>
      </c>
    </row>
    <row r="1719" spans="1:52" x14ac:dyDescent="0.3">
      <c r="A1719" t="s">
        <v>52</v>
      </c>
      <c r="B1719" t="s">
        <v>53</v>
      </c>
      <c r="C1719" t="s">
        <v>54</v>
      </c>
      <c r="D1719" t="s">
        <v>55</v>
      </c>
      <c r="E1719" t="s">
        <v>2148</v>
      </c>
      <c r="F1719" t="s">
        <v>190</v>
      </c>
      <c r="G1719" t="s">
        <v>1671</v>
      </c>
      <c r="H1719" t="s">
        <v>1672</v>
      </c>
      <c r="I1719" t="s">
        <v>1672</v>
      </c>
      <c r="J1719" t="s">
        <v>60</v>
      </c>
      <c r="K1719" t="s">
        <v>375</v>
      </c>
      <c r="L1719" t="s">
        <v>62</v>
      </c>
      <c r="M1719" t="s">
        <v>375</v>
      </c>
      <c r="N1719" t="s">
        <v>1673</v>
      </c>
      <c r="O1719" t="s">
        <v>370</v>
      </c>
      <c r="P1719">
        <v>-20.180724000000001</v>
      </c>
      <c r="Q1719">
        <v>-44.886913999999997</v>
      </c>
      <c r="R1719" s="2" t="str">
        <f>HYPERLINK("https://www.google.com/maps?q=-20.1807240,-44.8869140","Abrir no Google Maps")</f>
        <v>Abrir no Google Maps</v>
      </c>
      <c r="S1719">
        <v>4</v>
      </c>
      <c r="T1719">
        <v>814.7424073839951</v>
      </c>
      <c r="U1719">
        <v>3</v>
      </c>
      <c r="V1719">
        <v>16</v>
      </c>
      <c r="W1719">
        <v>1</v>
      </c>
      <c r="X1719">
        <v>16</v>
      </c>
      <c r="Y1719">
        <v>101</v>
      </c>
      <c r="Z1719">
        <v>808.23656795472721</v>
      </c>
      <c r="AA1719">
        <v>198</v>
      </c>
      <c r="AB1719">
        <v>332</v>
      </c>
      <c r="AC1719">
        <v>536</v>
      </c>
      <c r="AD1719">
        <v>30.74</v>
      </c>
      <c r="AE1719">
        <v>542</v>
      </c>
      <c r="AF1719">
        <v>30</v>
      </c>
      <c r="AG1719">
        <v>178</v>
      </c>
      <c r="AH1719">
        <v>129</v>
      </c>
      <c r="AI1719">
        <v>5.54</v>
      </c>
      <c r="AJ1719">
        <v>32.840000000000003</v>
      </c>
      <c r="AK1719">
        <v>23.8</v>
      </c>
      <c r="AL1719">
        <v>-20.18071869999994</v>
      </c>
      <c r="AM1719">
        <v>-44.886927989725393</v>
      </c>
      <c r="AN1719">
        <v>-20.18071869999994</v>
      </c>
      <c r="AO1719">
        <v>-44.886927989725393</v>
      </c>
      <c r="AP1719">
        <v>-20.180724000000001</v>
      </c>
      <c r="AQ1719">
        <v>-44.886913999999997</v>
      </c>
      <c r="AR1719">
        <v>1.5763090046691759</v>
      </c>
      <c r="AS1719" t="s">
        <v>65</v>
      </c>
      <c r="AT1719">
        <v>1</v>
      </c>
      <c r="AU1719" t="s">
        <v>1674</v>
      </c>
      <c r="AV1719" t="s">
        <v>1642</v>
      </c>
      <c r="AW1719" t="s">
        <v>60</v>
      </c>
      <c r="AX1719" t="s">
        <v>68</v>
      </c>
      <c r="AY1719" t="s">
        <v>69</v>
      </c>
      <c r="AZ1719" t="b">
        <v>1</v>
      </c>
    </row>
    <row r="1720" spans="1:52" x14ac:dyDescent="0.3">
      <c r="A1720" t="s">
        <v>52</v>
      </c>
      <c r="B1720" t="s">
        <v>53</v>
      </c>
      <c r="C1720" t="s">
        <v>54</v>
      </c>
      <c r="D1720" t="s">
        <v>55</v>
      </c>
      <c r="E1720" t="s">
        <v>2148</v>
      </c>
      <c r="F1720" t="s">
        <v>190</v>
      </c>
      <c r="G1720" t="s">
        <v>1744</v>
      </c>
      <c r="H1720" t="s">
        <v>1745</v>
      </c>
      <c r="I1720" t="s">
        <v>1745</v>
      </c>
      <c r="J1720" t="s">
        <v>60</v>
      </c>
      <c r="K1720" t="s">
        <v>1676</v>
      </c>
      <c r="L1720" t="s">
        <v>62</v>
      </c>
      <c r="M1720" t="s">
        <v>1676</v>
      </c>
      <c r="N1720" t="s">
        <v>1746</v>
      </c>
      <c r="O1720" t="s">
        <v>1747</v>
      </c>
      <c r="P1720">
        <v>-20.180457000000001</v>
      </c>
      <c r="Q1720">
        <v>-44.880989</v>
      </c>
      <c r="R1720" s="2" t="str">
        <f>HYPERLINK("https://www.google.com/maps?q=-20.1804570,-44.8809890","Abrir no Google Maps")</f>
        <v>Abrir no Google Maps</v>
      </c>
      <c r="S1720">
        <v>4</v>
      </c>
      <c r="T1720">
        <v>594.60456790345131</v>
      </c>
      <c r="U1720">
        <v>3</v>
      </c>
      <c r="V1720">
        <v>18</v>
      </c>
      <c r="W1720">
        <v>0.85</v>
      </c>
      <c r="X1720">
        <v>15.3</v>
      </c>
      <c r="Y1720">
        <v>101</v>
      </c>
      <c r="Z1720">
        <v>644.27072665474043</v>
      </c>
      <c r="AA1720">
        <v>198</v>
      </c>
      <c r="AB1720">
        <v>332</v>
      </c>
      <c r="AC1720">
        <v>536</v>
      </c>
      <c r="AD1720">
        <v>30.74</v>
      </c>
      <c r="AE1720">
        <v>542</v>
      </c>
      <c r="AF1720">
        <v>30</v>
      </c>
      <c r="AG1720">
        <v>178</v>
      </c>
      <c r="AH1720">
        <v>129</v>
      </c>
      <c r="AI1720">
        <v>5.54</v>
      </c>
      <c r="AJ1720">
        <v>32.840000000000003</v>
      </c>
      <c r="AK1720">
        <v>23.8</v>
      </c>
      <c r="AL1720">
        <v>-20.180299249999969</v>
      </c>
      <c r="AM1720">
        <v>-44.881100391239819</v>
      </c>
      <c r="AN1720">
        <v>-20.180299249999969</v>
      </c>
      <c r="AO1720">
        <v>-44.881100391239819</v>
      </c>
      <c r="AP1720">
        <v>-20.180457000000001</v>
      </c>
      <c r="AQ1720">
        <v>-44.880989</v>
      </c>
      <c r="AR1720">
        <v>21.067561465339171</v>
      </c>
      <c r="AS1720" t="s">
        <v>65</v>
      </c>
      <c r="AT1720">
        <v>1</v>
      </c>
      <c r="AU1720" t="s">
        <v>1748</v>
      </c>
      <c r="AV1720" t="s">
        <v>1749</v>
      </c>
      <c r="AW1720" t="s">
        <v>60</v>
      </c>
      <c r="AX1720" t="s">
        <v>68</v>
      </c>
      <c r="AY1720" t="s">
        <v>69</v>
      </c>
      <c r="AZ1720" t="b">
        <v>1</v>
      </c>
    </row>
    <row r="1721" spans="1:52" x14ac:dyDescent="0.3">
      <c r="A1721" t="s">
        <v>52</v>
      </c>
      <c r="B1721" t="s">
        <v>53</v>
      </c>
      <c r="C1721" t="s">
        <v>54</v>
      </c>
      <c r="D1721" t="s">
        <v>55</v>
      </c>
      <c r="E1721" t="s">
        <v>2148</v>
      </c>
      <c r="F1721" t="s">
        <v>190</v>
      </c>
      <c r="G1721" t="s">
        <v>380</v>
      </c>
      <c r="H1721" t="s">
        <v>381</v>
      </c>
      <c r="I1721" t="s">
        <v>381</v>
      </c>
      <c r="J1721" t="s">
        <v>60</v>
      </c>
      <c r="K1721" t="s">
        <v>72</v>
      </c>
      <c r="L1721" t="s">
        <v>62</v>
      </c>
      <c r="M1721" t="s">
        <v>72</v>
      </c>
      <c r="N1721" t="s">
        <v>382</v>
      </c>
      <c r="O1721" t="s">
        <v>383</v>
      </c>
      <c r="P1721">
        <v>-20.147182000000001</v>
      </c>
      <c r="Q1721">
        <v>-44.912728999999999</v>
      </c>
      <c r="R1721" s="2" t="str">
        <f>HYPERLINK("https://www.google.com/maps?q=-20.1471820,-44.9127290","Abrir no Google Maps")</f>
        <v>Abrir no Google Maps</v>
      </c>
      <c r="S1721">
        <v>3</v>
      </c>
      <c r="T1721">
        <v>478.0141981540923</v>
      </c>
      <c r="U1721">
        <v>4</v>
      </c>
      <c r="V1721">
        <v>27</v>
      </c>
      <c r="W1721">
        <v>1</v>
      </c>
      <c r="X1721">
        <v>27</v>
      </c>
      <c r="Y1721">
        <v>747</v>
      </c>
      <c r="Z1721">
        <v>494.0254290673729</v>
      </c>
      <c r="AA1721">
        <v>198</v>
      </c>
      <c r="AB1721">
        <v>332</v>
      </c>
      <c r="AC1721">
        <v>536</v>
      </c>
      <c r="AD1721">
        <v>30.74</v>
      </c>
      <c r="AE1721">
        <v>542</v>
      </c>
      <c r="AF1721">
        <v>30</v>
      </c>
      <c r="AG1721">
        <v>178</v>
      </c>
      <c r="AH1721">
        <v>129</v>
      </c>
      <c r="AI1721">
        <v>5.54</v>
      </c>
      <c r="AJ1721">
        <v>32.840000000000003</v>
      </c>
      <c r="AK1721">
        <v>23.8</v>
      </c>
      <c r="AL1721">
        <v>-20.147375599999979</v>
      </c>
      <c r="AM1721">
        <v>-44.912907472879468</v>
      </c>
      <c r="AN1721">
        <v>-20.147375599999979</v>
      </c>
      <c r="AO1721">
        <v>-44.912907472879468</v>
      </c>
      <c r="AP1721">
        <v>-20.147182000000001</v>
      </c>
      <c r="AQ1721">
        <v>-44.912728999999999</v>
      </c>
      <c r="AR1721">
        <v>28.50197694184326</v>
      </c>
      <c r="AS1721" t="s">
        <v>65</v>
      </c>
      <c r="AT1721">
        <v>1</v>
      </c>
      <c r="AU1721" t="s">
        <v>384</v>
      </c>
      <c r="AV1721" t="s">
        <v>385</v>
      </c>
      <c r="AW1721" t="s">
        <v>60</v>
      </c>
      <c r="AX1721" t="s">
        <v>68</v>
      </c>
      <c r="AY1721" t="s">
        <v>69</v>
      </c>
      <c r="AZ1721" t="b">
        <v>1</v>
      </c>
    </row>
    <row r="1722" spans="1:52" x14ac:dyDescent="0.3">
      <c r="A1722" t="s">
        <v>52</v>
      </c>
      <c r="B1722" t="s">
        <v>53</v>
      </c>
      <c r="C1722" t="s">
        <v>54</v>
      </c>
      <c r="D1722" t="s">
        <v>55</v>
      </c>
      <c r="E1722" t="s">
        <v>2148</v>
      </c>
      <c r="F1722" t="s">
        <v>190</v>
      </c>
      <c r="G1722" t="s">
        <v>392</v>
      </c>
      <c r="H1722" t="s">
        <v>393</v>
      </c>
      <c r="I1722" t="s">
        <v>393</v>
      </c>
      <c r="J1722" t="s">
        <v>60</v>
      </c>
      <c r="K1722" t="s">
        <v>388</v>
      </c>
      <c r="L1722" t="s">
        <v>62</v>
      </c>
      <c r="M1722" t="s">
        <v>388</v>
      </c>
      <c r="N1722" t="s">
        <v>394</v>
      </c>
      <c r="O1722" t="s">
        <v>395</v>
      </c>
      <c r="P1722">
        <v>-20.158066999999999</v>
      </c>
      <c r="Q1722">
        <v>-44.908164999999997</v>
      </c>
      <c r="R1722" s="2" t="str">
        <f>HYPERLINK("https://www.google.com/maps?q=-20.1580670,-44.9081650","Abrir no Google Maps")</f>
        <v>Abrir no Google Maps</v>
      </c>
      <c r="S1722">
        <v>3</v>
      </c>
      <c r="T1722">
        <v>666.74434317993041</v>
      </c>
      <c r="U1722">
        <v>4</v>
      </c>
      <c r="V1722">
        <v>29</v>
      </c>
      <c r="W1722">
        <v>1</v>
      </c>
      <c r="X1722">
        <v>29</v>
      </c>
      <c r="Y1722">
        <v>729</v>
      </c>
      <c r="Z1722">
        <v>612.4323328215396</v>
      </c>
      <c r="AA1722">
        <v>198</v>
      </c>
      <c r="AB1722">
        <v>332</v>
      </c>
      <c r="AC1722">
        <v>536</v>
      </c>
      <c r="AD1722">
        <v>30.74</v>
      </c>
      <c r="AE1722">
        <v>542</v>
      </c>
      <c r="AF1722">
        <v>30</v>
      </c>
      <c r="AG1722">
        <v>178</v>
      </c>
      <c r="AH1722">
        <v>129</v>
      </c>
      <c r="AI1722">
        <v>5.54</v>
      </c>
      <c r="AJ1722">
        <v>32.840000000000003</v>
      </c>
      <c r="AK1722">
        <v>23.8</v>
      </c>
      <c r="AL1722">
        <v>-20.158151449999959</v>
      </c>
      <c r="AM1722">
        <v>-44.908107718360938</v>
      </c>
      <c r="AN1722">
        <v>-20.158151449999959</v>
      </c>
      <c r="AO1722">
        <v>-44.908107718360938</v>
      </c>
      <c r="AP1722">
        <v>-20.158066999999999</v>
      </c>
      <c r="AQ1722">
        <v>-44.908164999999997</v>
      </c>
      <c r="AR1722">
        <v>11.14497345894574</v>
      </c>
      <c r="AS1722" t="s">
        <v>65</v>
      </c>
      <c r="AT1722">
        <v>1</v>
      </c>
      <c r="AU1722" t="s">
        <v>396</v>
      </c>
      <c r="AV1722" t="s">
        <v>397</v>
      </c>
      <c r="AW1722" t="s">
        <v>60</v>
      </c>
      <c r="AX1722" t="s">
        <v>68</v>
      </c>
      <c r="AY1722" t="s">
        <v>69</v>
      </c>
      <c r="AZ1722" t="b">
        <v>1</v>
      </c>
    </row>
    <row r="1723" spans="1:52" x14ac:dyDescent="0.3">
      <c r="A1723" t="s">
        <v>52</v>
      </c>
      <c r="B1723" t="s">
        <v>53</v>
      </c>
      <c r="C1723" t="s">
        <v>54</v>
      </c>
      <c r="D1723" t="s">
        <v>55</v>
      </c>
      <c r="E1723" t="s">
        <v>2148</v>
      </c>
      <c r="F1723" t="s">
        <v>190</v>
      </c>
      <c r="G1723" t="s">
        <v>398</v>
      </c>
      <c r="H1723" t="s">
        <v>399</v>
      </c>
      <c r="I1723" t="s">
        <v>399</v>
      </c>
      <c r="J1723" t="s">
        <v>60</v>
      </c>
      <c r="K1723" t="s">
        <v>388</v>
      </c>
      <c r="L1723" t="s">
        <v>62</v>
      </c>
      <c r="M1723" t="s">
        <v>388</v>
      </c>
      <c r="N1723" t="s">
        <v>400</v>
      </c>
      <c r="O1723" t="s">
        <v>401</v>
      </c>
      <c r="P1723">
        <v>-20.160157000000002</v>
      </c>
      <c r="Q1723">
        <v>-44.904347999999999</v>
      </c>
      <c r="R1723" s="2" t="str">
        <f>HYPERLINK("https://www.google.com/maps?q=-20.1601570,-44.9043480","Abrir no Google Maps")</f>
        <v>Abrir no Google Maps</v>
      </c>
      <c r="S1723">
        <v>3</v>
      </c>
      <c r="T1723">
        <v>469.26088527154809</v>
      </c>
      <c r="U1723">
        <v>4</v>
      </c>
      <c r="V1723">
        <v>27</v>
      </c>
      <c r="W1723">
        <v>1</v>
      </c>
      <c r="X1723">
        <v>27</v>
      </c>
      <c r="Y1723">
        <v>729</v>
      </c>
      <c r="Z1723">
        <v>253.57832452309071</v>
      </c>
      <c r="AA1723">
        <v>198</v>
      </c>
      <c r="AB1723">
        <v>332</v>
      </c>
      <c r="AC1723">
        <v>536</v>
      </c>
      <c r="AD1723">
        <v>30.74</v>
      </c>
      <c r="AE1723">
        <v>542</v>
      </c>
      <c r="AF1723">
        <v>30</v>
      </c>
      <c r="AG1723">
        <v>178</v>
      </c>
      <c r="AH1723">
        <v>129</v>
      </c>
      <c r="AI1723">
        <v>5.54</v>
      </c>
      <c r="AJ1723">
        <v>32.840000000000003</v>
      </c>
      <c r="AK1723">
        <v>23.8</v>
      </c>
      <c r="AL1723">
        <v>-20.160007949999969</v>
      </c>
      <c r="AM1723">
        <v>-44.904396608560482</v>
      </c>
      <c r="AN1723">
        <v>-20.160007949999969</v>
      </c>
      <c r="AO1723">
        <v>-44.904396608560482</v>
      </c>
      <c r="AP1723">
        <v>-20.160157000000002</v>
      </c>
      <c r="AQ1723">
        <v>-44.904347999999999</v>
      </c>
      <c r="AR1723">
        <v>17.35237255387942</v>
      </c>
      <c r="AS1723" t="s">
        <v>65</v>
      </c>
      <c r="AT1723">
        <v>1</v>
      </c>
      <c r="AU1723" t="s">
        <v>402</v>
      </c>
      <c r="AV1723" t="s">
        <v>403</v>
      </c>
      <c r="AW1723" t="s">
        <v>60</v>
      </c>
      <c r="AX1723" t="s">
        <v>68</v>
      </c>
      <c r="AY1723" t="s">
        <v>69</v>
      </c>
      <c r="AZ1723" t="b">
        <v>1</v>
      </c>
    </row>
    <row r="1724" spans="1:52" x14ac:dyDescent="0.3">
      <c r="A1724" t="s">
        <v>52</v>
      </c>
      <c r="B1724" t="s">
        <v>53</v>
      </c>
      <c r="C1724" t="s">
        <v>54</v>
      </c>
      <c r="D1724" t="s">
        <v>55</v>
      </c>
      <c r="E1724" t="s">
        <v>2148</v>
      </c>
      <c r="F1724" t="s">
        <v>190</v>
      </c>
      <c r="G1724" t="s">
        <v>422</v>
      </c>
      <c r="H1724" t="s">
        <v>423</v>
      </c>
      <c r="I1724" t="s">
        <v>423</v>
      </c>
      <c r="J1724" t="s">
        <v>60</v>
      </c>
      <c r="K1724" t="s">
        <v>424</v>
      </c>
      <c r="L1724" t="s">
        <v>62</v>
      </c>
      <c r="M1724" t="s">
        <v>424</v>
      </c>
      <c r="N1724" t="s">
        <v>425</v>
      </c>
      <c r="O1724" t="s">
        <v>426</v>
      </c>
      <c r="P1724">
        <v>-20.177748000000001</v>
      </c>
      <c r="Q1724">
        <v>-44.912475000000001</v>
      </c>
      <c r="R1724" s="2" t="str">
        <f>HYPERLINK("https://www.google.com/maps?q=-20.1777480,-44.9124750","Abrir no Google Maps")</f>
        <v>Abrir no Google Maps</v>
      </c>
      <c r="S1724">
        <v>3</v>
      </c>
      <c r="T1724">
        <v>657.07560140436533</v>
      </c>
      <c r="U1724">
        <v>4</v>
      </c>
      <c r="V1724">
        <v>32</v>
      </c>
      <c r="W1724">
        <v>1</v>
      </c>
      <c r="X1724">
        <v>32</v>
      </c>
      <c r="Y1724">
        <v>723</v>
      </c>
      <c r="Z1724">
        <v>796.94198000561175</v>
      </c>
      <c r="AA1724">
        <v>198</v>
      </c>
      <c r="AB1724">
        <v>332</v>
      </c>
      <c r="AC1724">
        <v>536</v>
      </c>
      <c r="AD1724">
        <v>30.74</v>
      </c>
      <c r="AE1724">
        <v>542</v>
      </c>
      <c r="AF1724">
        <v>30</v>
      </c>
      <c r="AG1724">
        <v>178</v>
      </c>
      <c r="AH1724">
        <v>129</v>
      </c>
      <c r="AI1724">
        <v>5.54</v>
      </c>
      <c r="AJ1724">
        <v>32.840000000000003</v>
      </c>
      <c r="AK1724">
        <v>23.8</v>
      </c>
      <c r="AL1724">
        <v>-20.177761749999949</v>
      </c>
      <c r="AM1724">
        <v>-44.91263311624418</v>
      </c>
      <c r="AN1724">
        <v>-20.177761749999949</v>
      </c>
      <c r="AO1724">
        <v>-44.91263311624418</v>
      </c>
      <c r="AP1724">
        <v>-20.177748000000001</v>
      </c>
      <c r="AQ1724">
        <v>-44.912475000000001</v>
      </c>
      <c r="AR1724">
        <v>16.591996803075372</v>
      </c>
      <c r="AS1724" t="s">
        <v>65</v>
      </c>
      <c r="AT1724">
        <v>1</v>
      </c>
      <c r="AU1724" t="s">
        <v>427</v>
      </c>
      <c r="AV1724" t="s">
        <v>428</v>
      </c>
      <c r="AW1724" t="s">
        <v>60</v>
      </c>
      <c r="AX1724" t="s">
        <v>68</v>
      </c>
      <c r="AY1724" t="s">
        <v>69</v>
      </c>
      <c r="AZ1724" t="b">
        <v>1</v>
      </c>
    </row>
    <row r="1725" spans="1:52" x14ac:dyDescent="0.3">
      <c r="A1725" t="s">
        <v>52</v>
      </c>
      <c r="B1725" t="s">
        <v>53</v>
      </c>
      <c r="C1725" t="s">
        <v>54</v>
      </c>
      <c r="D1725" t="s">
        <v>55</v>
      </c>
      <c r="E1725" t="s">
        <v>2148</v>
      </c>
      <c r="F1725" t="s">
        <v>190</v>
      </c>
      <c r="G1725" t="s">
        <v>429</v>
      </c>
      <c r="H1725" t="s">
        <v>430</v>
      </c>
      <c r="I1725" t="s">
        <v>430</v>
      </c>
      <c r="J1725" t="s">
        <v>60</v>
      </c>
      <c r="K1725" t="s">
        <v>431</v>
      </c>
      <c r="L1725" t="s">
        <v>62</v>
      </c>
      <c r="M1725" t="s">
        <v>431</v>
      </c>
      <c r="N1725" t="s">
        <v>432</v>
      </c>
      <c r="O1725" t="s">
        <v>315</v>
      </c>
      <c r="P1725">
        <v>-20.172698</v>
      </c>
      <c r="Q1725">
        <v>-44.923842</v>
      </c>
      <c r="R1725" s="2" t="str">
        <f>HYPERLINK("https://www.google.com/maps?q=-20.1726980,-44.9238420","Abrir no Google Maps")</f>
        <v>Abrir no Google Maps</v>
      </c>
      <c r="S1725">
        <v>3</v>
      </c>
      <c r="T1725">
        <v>1376.1843173402931</v>
      </c>
      <c r="U1725">
        <v>4</v>
      </c>
      <c r="V1725">
        <v>32</v>
      </c>
      <c r="W1725">
        <v>0.85</v>
      </c>
      <c r="X1725">
        <v>27.2</v>
      </c>
      <c r="Y1725">
        <v>723</v>
      </c>
      <c r="Z1725">
        <v>1101.340635002096</v>
      </c>
      <c r="AA1725">
        <v>198</v>
      </c>
      <c r="AB1725">
        <v>332</v>
      </c>
      <c r="AC1725">
        <v>536</v>
      </c>
      <c r="AD1725">
        <v>30.74</v>
      </c>
      <c r="AE1725">
        <v>542</v>
      </c>
      <c r="AF1725">
        <v>30</v>
      </c>
      <c r="AG1725">
        <v>178</v>
      </c>
      <c r="AH1725">
        <v>129</v>
      </c>
      <c r="AI1725">
        <v>5.54</v>
      </c>
      <c r="AJ1725">
        <v>32.840000000000003</v>
      </c>
      <c r="AK1725">
        <v>23.8</v>
      </c>
      <c r="AL1725">
        <v>-20.172942799999959</v>
      </c>
      <c r="AM1725">
        <v>-44.923585372665762</v>
      </c>
      <c r="AN1725">
        <v>-20.172942799999959</v>
      </c>
      <c r="AO1725">
        <v>-44.923585372665762</v>
      </c>
      <c r="AP1725">
        <v>-20.172698</v>
      </c>
      <c r="AQ1725">
        <v>-44.923842</v>
      </c>
      <c r="AR1725">
        <v>38.231981408478958</v>
      </c>
      <c r="AS1725" t="s">
        <v>65</v>
      </c>
      <c r="AT1725">
        <v>1</v>
      </c>
      <c r="AU1725" t="s">
        <v>433</v>
      </c>
      <c r="AV1725" t="s">
        <v>434</v>
      </c>
      <c r="AW1725" t="s">
        <v>60</v>
      </c>
      <c r="AX1725" t="s">
        <v>68</v>
      </c>
      <c r="AY1725" t="s">
        <v>69</v>
      </c>
      <c r="AZ1725" t="b">
        <v>1</v>
      </c>
    </row>
    <row r="1726" spans="1:52" x14ac:dyDescent="0.3">
      <c r="A1726" t="s">
        <v>52</v>
      </c>
      <c r="B1726" t="s">
        <v>53</v>
      </c>
      <c r="C1726" t="s">
        <v>54</v>
      </c>
      <c r="D1726" t="s">
        <v>55</v>
      </c>
      <c r="E1726" t="s">
        <v>2148</v>
      </c>
      <c r="F1726" t="s">
        <v>190</v>
      </c>
      <c r="G1726" t="s">
        <v>442</v>
      </c>
      <c r="H1726" t="s">
        <v>443</v>
      </c>
      <c r="I1726" t="s">
        <v>443</v>
      </c>
      <c r="J1726" t="s">
        <v>60</v>
      </c>
      <c r="K1726" t="s">
        <v>437</v>
      </c>
      <c r="L1726" t="s">
        <v>62</v>
      </c>
      <c r="M1726" t="s">
        <v>437</v>
      </c>
      <c r="N1726" t="s">
        <v>444</v>
      </c>
      <c r="O1726" t="s">
        <v>445</v>
      </c>
      <c r="P1726">
        <v>-20.149744999999999</v>
      </c>
      <c r="Q1726">
        <v>-44.881385000000002</v>
      </c>
      <c r="R1726" s="2" t="str">
        <f>HYPERLINK("https://www.google.com/maps?q=-20.1497450,-44.8813850","Abrir no Google Maps")</f>
        <v>Abrir no Google Maps</v>
      </c>
      <c r="S1726">
        <v>3</v>
      </c>
      <c r="T1726">
        <v>188.80690546111239</v>
      </c>
      <c r="U1726">
        <v>4</v>
      </c>
      <c r="V1726">
        <v>26</v>
      </c>
      <c r="W1726">
        <v>1</v>
      </c>
      <c r="X1726">
        <v>26</v>
      </c>
      <c r="Y1726">
        <v>653</v>
      </c>
      <c r="Z1726">
        <v>86.575080390731017</v>
      </c>
      <c r="AA1726">
        <v>198</v>
      </c>
      <c r="AB1726">
        <v>332</v>
      </c>
      <c r="AC1726">
        <v>536</v>
      </c>
      <c r="AD1726">
        <v>30.74</v>
      </c>
      <c r="AE1726">
        <v>542</v>
      </c>
      <c r="AF1726">
        <v>30</v>
      </c>
      <c r="AG1726">
        <v>178</v>
      </c>
      <c r="AH1726">
        <v>129</v>
      </c>
      <c r="AI1726">
        <v>5.54</v>
      </c>
      <c r="AJ1726">
        <v>32.840000000000003</v>
      </c>
      <c r="AK1726">
        <v>23.8</v>
      </c>
      <c r="AL1726">
        <v>-20.149645149999941</v>
      </c>
      <c r="AM1726">
        <v>-44.881504585149607</v>
      </c>
      <c r="AN1726">
        <v>-20.149645149999941</v>
      </c>
      <c r="AO1726">
        <v>-44.881504585149607</v>
      </c>
      <c r="AP1726">
        <v>-20.149744999999999</v>
      </c>
      <c r="AQ1726">
        <v>-44.881385000000002</v>
      </c>
      <c r="AR1726">
        <v>16.725323110840389</v>
      </c>
      <c r="AS1726" t="s">
        <v>65</v>
      </c>
      <c r="AT1726">
        <v>1</v>
      </c>
      <c r="AU1726" t="s">
        <v>446</v>
      </c>
      <c r="AV1726" t="s">
        <v>447</v>
      </c>
      <c r="AW1726" t="s">
        <v>60</v>
      </c>
      <c r="AX1726" t="s">
        <v>68</v>
      </c>
      <c r="AY1726" t="s">
        <v>69</v>
      </c>
      <c r="AZ1726" t="b">
        <v>1</v>
      </c>
    </row>
    <row r="1727" spans="1:52" x14ac:dyDescent="0.3">
      <c r="A1727" t="s">
        <v>52</v>
      </c>
      <c r="B1727" t="s">
        <v>53</v>
      </c>
      <c r="C1727" t="s">
        <v>54</v>
      </c>
      <c r="D1727" t="s">
        <v>55</v>
      </c>
      <c r="E1727" t="s">
        <v>2148</v>
      </c>
      <c r="F1727" t="s">
        <v>190</v>
      </c>
      <c r="G1727" t="s">
        <v>448</v>
      </c>
      <c r="H1727" t="s">
        <v>449</v>
      </c>
      <c r="I1727" t="s">
        <v>449</v>
      </c>
      <c r="J1727" t="s">
        <v>60</v>
      </c>
      <c r="K1727" t="s">
        <v>388</v>
      </c>
      <c r="L1727" t="s">
        <v>62</v>
      </c>
      <c r="M1727" t="s">
        <v>388</v>
      </c>
      <c r="N1727" t="s">
        <v>450</v>
      </c>
      <c r="O1727" t="s">
        <v>451</v>
      </c>
      <c r="P1727">
        <v>-20.163981</v>
      </c>
      <c r="Q1727">
        <v>-44.907128999999998</v>
      </c>
      <c r="R1727" s="2" t="str">
        <f>HYPERLINK("https://www.google.com/maps?q=-20.1639810,-44.9071290","Abrir no Google Maps")</f>
        <v>Abrir no Google Maps</v>
      </c>
      <c r="S1727">
        <v>3</v>
      </c>
      <c r="T1727">
        <v>782.50730806588319</v>
      </c>
      <c r="U1727">
        <v>4</v>
      </c>
      <c r="V1727">
        <v>24</v>
      </c>
      <c r="W1727">
        <v>1</v>
      </c>
      <c r="X1727">
        <v>24</v>
      </c>
      <c r="Y1727">
        <v>639</v>
      </c>
      <c r="Z1727">
        <v>710.90621453796166</v>
      </c>
      <c r="AA1727">
        <v>198</v>
      </c>
      <c r="AB1727">
        <v>332</v>
      </c>
      <c r="AC1727">
        <v>536</v>
      </c>
      <c r="AD1727">
        <v>30.74</v>
      </c>
      <c r="AE1727">
        <v>542</v>
      </c>
      <c r="AF1727">
        <v>30</v>
      </c>
      <c r="AG1727">
        <v>178</v>
      </c>
      <c r="AH1727">
        <v>129</v>
      </c>
      <c r="AI1727">
        <v>5.54</v>
      </c>
      <c r="AJ1727">
        <v>32.840000000000003</v>
      </c>
      <c r="AK1727">
        <v>23.8</v>
      </c>
      <c r="AL1727">
        <v>-20.163958349999969</v>
      </c>
      <c r="AM1727">
        <v>-44.907180923930973</v>
      </c>
      <c r="AN1727">
        <v>-20.163958349999969</v>
      </c>
      <c r="AO1727">
        <v>-44.907180923930973</v>
      </c>
      <c r="AP1727">
        <v>-20.163981</v>
      </c>
      <c r="AQ1727">
        <v>-44.907128999999998</v>
      </c>
      <c r="AR1727">
        <v>5.9831345092457884</v>
      </c>
      <c r="AS1727" t="s">
        <v>65</v>
      </c>
      <c r="AT1727">
        <v>1</v>
      </c>
      <c r="AU1727" t="s">
        <v>452</v>
      </c>
      <c r="AV1727" t="s">
        <v>453</v>
      </c>
      <c r="AW1727" t="s">
        <v>60</v>
      </c>
      <c r="AX1727" t="s">
        <v>68</v>
      </c>
      <c r="AY1727" t="s">
        <v>69</v>
      </c>
      <c r="AZ1727" t="b">
        <v>1</v>
      </c>
    </row>
    <row r="1728" spans="1:52" x14ac:dyDescent="0.3">
      <c r="A1728" t="s">
        <v>52</v>
      </c>
      <c r="B1728" t="s">
        <v>53</v>
      </c>
      <c r="C1728" t="s">
        <v>54</v>
      </c>
      <c r="D1728" t="s">
        <v>55</v>
      </c>
      <c r="E1728" t="s">
        <v>2148</v>
      </c>
      <c r="F1728" t="s">
        <v>190</v>
      </c>
      <c r="G1728" t="s">
        <v>454</v>
      </c>
      <c r="H1728" t="s">
        <v>455</v>
      </c>
      <c r="I1728" t="s">
        <v>455</v>
      </c>
      <c r="J1728" t="s">
        <v>60</v>
      </c>
      <c r="K1728" t="s">
        <v>456</v>
      </c>
      <c r="L1728" t="s">
        <v>62</v>
      </c>
      <c r="M1728" t="s">
        <v>456</v>
      </c>
      <c r="N1728" t="s">
        <v>102</v>
      </c>
      <c r="O1728" t="s">
        <v>457</v>
      </c>
      <c r="P1728">
        <v>-20.138373999999999</v>
      </c>
      <c r="Q1728">
        <v>-44.903756999999999</v>
      </c>
      <c r="R1728" s="2" t="str">
        <f>HYPERLINK("https://www.google.com/maps?q=-20.1383740,-44.9037570","Abrir no Google Maps")</f>
        <v>Abrir no Google Maps</v>
      </c>
      <c r="S1728">
        <v>3</v>
      </c>
      <c r="T1728">
        <v>357.59466273594461</v>
      </c>
      <c r="U1728">
        <v>4</v>
      </c>
      <c r="V1728">
        <v>27</v>
      </c>
      <c r="W1728">
        <v>1</v>
      </c>
      <c r="X1728">
        <v>27</v>
      </c>
      <c r="Y1728">
        <v>581</v>
      </c>
      <c r="Z1728">
        <v>406.92482694505992</v>
      </c>
      <c r="AA1728">
        <v>198</v>
      </c>
      <c r="AB1728">
        <v>332</v>
      </c>
      <c r="AC1728">
        <v>536</v>
      </c>
      <c r="AD1728">
        <v>30.74</v>
      </c>
      <c r="AE1728">
        <v>542</v>
      </c>
      <c r="AF1728">
        <v>30</v>
      </c>
      <c r="AG1728">
        <v>178</v>
      </c>
      <c r="AH1728">
        <v>129</v>
      </c>
      <c r="AI1728">
        <v>5.54</v>
      </c>
      <c r="AJ1728">
        <v>32.840000000000003</v>
      </c>
      <c r="AK1728">
        <v>23.8</v>
      </c>
      <c r="AL1728">
        <v>-20.138338199999961</v>
      </c>
      <c r="AM1728">
        <v>-44.903768618976301</v>
      </c>
      <c r="AN1728">
        <v>-20.138338199999961</v>
      </c>
      <c r="AO1728">
        <v>-44.903768618976301</v>
      </c>
      <c r="AP1728">
        <v>-20.138373999999999</v>
      </c>
      <c r="AQ1728">
        <v>-44.903756999999999</v>
      </c>
      <c r="AR1728">
        <v>4.1661625938922704</v>
      </c>
      <c r="AS1728" t="s">
        <v>65</v>
      </c>
      <c r="AT1728">
        <v>1</v>
      </c>
      <c r="AU1728" t="s">
        <v>458</v>
      </c>
      <c r="AV1728" t="s">
        <v>459</v>
      </c>
      <c r="AW1728" t="s">
        <v>60</v>
      </c>
      <c r="AX1728" t="s">
        <v>68</v>
      </c>
      <c r="AY1728" t="s">
        <v>69</v>
      </c>
      <c r="AZ1728" t="b">
        <v>1</v>
      </c>
    </row>
    <row r="1729" spans="1:52" x14ac:dyDescent="0.3">
      <c r="A1729" t="s">
        <v>52</v>
      </c>
      <c r="B1729" t="s">
        <v>53</v>
      </c>
      <c r="C1729" t="s">
        <v>54</v>
      </c>
      <c r="D1729" t="s">
        <v>55</v>
      </c>
      <c r="E1729" t="s">
        <v>2148</v>
      </c>
      <c r="F1729" t="s">
        <v>190</v>
      </c>
      <c r="G1729" t="s">
        <v>460</v>
      </c>
      <c r="H1729" t="s">
        <v>461</v>
      </c>
      <c r="I1729" t="s">
        <v>461</v>
      </c>
      <c r="J1729" t="s">
        <v>60</v>
      </c>
      <c r="K1729" t="s">
        <v>462</v>
      </c>
      <c r="L1729" t="s">
        <v>62</v>
      </c>
      <c r="M1729" t="s">
        <v>462</v>
      </c>
      <c r="N1729" t="s">
        <v>463</v>
      </c>
      <c r="O1729" t="s">
        <v>464</v>
      </c>
      <c r="P1729">
        <v>-20.137919</v>
      </c>
      <c r="Q1729">
        <v>-44.905591000000001</v>
      </c>
      <c r="R1729" s="2" t="str">
        <f>HYPERLINK("https://www.google.com/maps?q=-20.1379190,-44.9055910","Abrir no Google Maps")</f>
        <v>Abrir no Google Maps</v>
      </c>
      <c r="S1729">
        <v>3</v>
      </c>
      <c r="T1729">
        <v>262.01115919461103</v>
      </c>
      <c r="U1729">
        <v>4</v>
      </c>
      <c r="V1729">
        <v>41</v>
      </c>
      <c r="W1729">
        <v>1</v>
      </c>
      <c r="X1729">
        <v>41</v>
      </c>
      <c r="Y1729">
        <v>581</v>
      </c>
      <c r="Z1729">
        <v>318.63337303219271</v>
      </c>
      <c r="AA1729">
        <v>198</v>
      </c>
      <c r="AB1729">
        <v>332</v>
      </c>
      <c r="AC1729">
        <v>536</v>
      </c>
      <c r="AD1729">
        <v>30.74</v>
      </c>
      <c r="AE1729">
        <v>542</v>
      </c>
      <c r="AF1729">
        <v>30</v>
      </c>
      <c r="AG1729">
        <v>178</v>
      </c>
      <c r="AH1729">
        <v>129</v>
      </c>
      <c r="AI1729">
        <v>5.54</v>
      </c>
      <c r="AJ1729">
        <v>32.840000000000003</v>
      </c>
      <c r="AK1729">
        <v>23.8</v>
      </c>
      <c r="AL1729">
        <v>-20.13789079999998</v>
      </c>
      <c r="AM1729">
        <v>-44.90548593520333</v>
      </c>
      <c r="AN1729">
        <v>-20.13789079999998</v>
      </c>
      <c r="AO1729">
        <v>-44.90548593520333</v>
      </c>
      <c r="AP1729">
        <v>-20.137919</v>
      </c>
      <c r="AQ1729">
        <v>-44.905591000000001</v>
      </c>
      <c r="AR1729">
        <v>11.42072348298178</v>
      </c>
      <c r="AS1729" t="s">
        <v>65</v>
      </c>
      <c r="AT1729">
        <v>1</v>
      </c>
      <c r="AU1729" t="s">
        <v>465</v>
      </c>
      <c r="AV1729" t="s">
        <v>466</v>
      </c>
      <c r="AW1729" t="s">
        <v>60</v>
      </c>
      <c r="AX1729" t="s">
        <v>68</v>
      </c>
      <c r="AY1729" t="s">
        <v>69</v>
      </c>
      <c r="AZ1729" t="b">
        <v>1</v>
      </c>
    </row>
    <row r="1730" spans="1:52" x14ac:dyDescent="0.3">
      <c r="A1730" t="s">
        <v>52</v>
      </c>
      <c r="B1730" t="s">
        <v>53</v>
      </c>
      <c r="C1730" t="s">
        <v>54</v>
      </c>
      <c r="D1730" t="s">
        <v>55</v>
      </c>
      <c r="E1730" t="s">
        <v>2148</v>
      </c>
      <c r="F1730" t="s">
        <v>190</v>
      </c>
      <c r="G1730" t="s">
        <v>467</v>
      </c>
      <c r="H1730" t="s">
        <v>468</v>
      </c>
      <c r="I1730" t="s">
        <v>468</v>
      </c>
      <c r="J1730" t="s">
        <v>60</v>
      </c>
      <c r="K1730" t="s">
        <v>462</v>
      </c>
      <c r="L1730" t="s">
        <v>62</v>
      </c>
      <c r="M1730" t="s">
        <v>462</v>
      </c>
      <c r="N1730" t="s">
        <v>469</v>
      </c>
      <c r="O1730" t="s">
        <v>470</v>
      </c>
      <c r="P1730">
        <v>-20.138233</v>
      </c>
      <c r="Q1730">
        <v>-44.908200000000001</v>
      </c>
      <c r="R1730" s="2" t="str">
        <f>HYPERLINK("https://www.google.com/maps?q=-20.1382330,-44.9082000","Abrir no Google Maps")</f>
        <v>Abrir no Google Maps</v>
      </c>
      <c r="S1730">
        <v>3</v>
      </c>
      <c r="T1730">
        <v>0</v>
      </c>
      <c r="U1730">
        <v>4</v>
      </c>
      <c r="V1730">
        <v>29</v>
      </c>
      <c r="W1730">
        <v>1</v>
      </c>
      <c r="X1730">
        <v>29</v>
      </c>
      <c r="Y1730">
        <v>581</v>
      </c>
      <c r="Z1730">
        <v>153.18688302958171</v>
      </c>
      <c r="AA1730">
        <v>198</v>
      </c>
      <c r="AB1730">
        <v>332</v>
      </c>
      <c r="AC1730">
        <v>536</v>
      </c>
      <c r="AD1730">
        <v>30.74</v>
      </c>
      <c r="AE1730">
        <v>542</v>
      </c>
      <c r="AF1730">
        <v>30</v>
      </c>
      <c r="AG1730">
        <v>178</v>
      </c>
      <c r="AH1730">
        <v>129</v>
      </c>
      <c r="AI1730">
        <v>5.54</v>
      </c>
      <c r="AJ1730">
        <v>32.840000000000003</v>
      </c>
      <c r="AK1730">
        <v>23.8</v>
      </c>
      <c r="AL1730">
        <v>-20.138364899999971</v>
      </c>
      <c r="AM1730">
        <v>-44.907942114873997</v>
      </c>
      <c r="AN1730">
        <v>-20.138364899999971</v>
      </c>
      <c r="AO1730">
        <v>-44.907942114873997</v>
      </c>
      <c r="AP1730">
        <v>-20.138233</v>
      </c>
      <c r="AQ1730">
        <v>-44.908200000000001</v>
      </c>
      <c r="AR1730">
        <v>30.692690617986941</v>
      </c>
      <c r="AS1730" t="s">
        <v>65</v>
      </c>
      <c r="AT1730">
        <v>1</v>
      </c>
      <c r="AU1730" t="s">
        <v>471</v>
      </c>
      <c r="AV1730" t="s">
        <v>472</v>
      </c>
      <c r="AW1730" t="s">
        <v>60</v>
      </c>
      <c r="AX1730" t="s">
        <v>68</v>
      </c>
      <c r="AY1730" t="s">
        <v>69</v>
      </c>
      <c r="AZ1730" t="b">
        <v>1</v>
      </c>
    </row>
    <row r="1731" spans="1:52" x14ac:dyDescent="0.3">
      <c r="A1731" t="s">
        <v>52</v>
      </c>
      <c r="B1731" t="s">
        <v>53</v>
      </c>
      <c r="C1731" t="s">
        <v>54</v>
      </c>
      <c r="D1731" t="s">
        <v>55</v>
      </c>
      <c r="E1731" t="s">
        <v>2148</v>
      </c>
      <c r="F1731" t="s">
        <v>190</v>
      </c>
      <c r="G1731" t="s">
        <v>864</v>
      </c>
      <c r="H1731" t="s">
        <v>865</v>
      </c>
      <c r="I1731" t="s">
        <v>865</v>
      </c>
      <c r="J1731" t="s">
        <v>60</v>
      </c>
      <c r="K1731" t="s">
        <v>486</v>
      </c>
      <c r="L1731" t="s">
        <v>62</v>
      </c>
      <c r="M1731" t="s">
        <v>486</v>
      </c>
      <c r="N1731" t="s">
        <v>866</v>
      </c>
      <c r="O1731" t="s">
        <v>867</v>
      </c>
      <c r="P1731">
        <v>-20.170919000000001</v>
      </c>
      <c r="Q1731">
        <v>-44.905451999999997</v>
      </c>
      <c r="R1731" s="2" t="str">
        <f>HYPERLINK("https://www.google.com/maps?q=-20.1709190,-44.9054520","Abrir no Google Maps")</f>
        <v>Abrir no Google Maps</v>
      </c>
      <c r="S1731">
        <v>3</v>
      </c>
      <c r="T1731">
        <v>0</v>
      </c>
      <c r="U1731">
        <v>4</v>
      </c>
      <c r="V1731">
        <v>24</v>
      </c>
      <c r="W1731">
        <v>1</v>
      </c>
      <c r="X1731">
        <v>24</v>
      </c>
      <c r="Y1731">
        <v>578</v>
      </c>
      <c r="Z1731">
        <v>205.34598855748419</v>
      </c>
      <c r="AA1731">
        <v>198</v>
      </c>
      <c r="AB1731">
        <v>332</v>
      </c>
      <c r="AC1731">
        <v>536</v>
      </c>
      <c r="AD1731">
        <v>30.74</v>
      </c>
      <c r="AE1731">
        <v>542</v>
      </c>
      <c r="AF1731">
        <v>30</v>
      </c>
      <c r="AG1731">
        <v>178</v>
      </c>
      <c r="AH1731">
        <v>129</v>
      </c>
      <c r="AI1731">
        <v>5.54</v>
      </c>
      <c r="AJ1731">
        <v>32.840000000000003</v>
      </c>
      <c r="AK1731">
        <v>23.8</v>
      </c>
      <c r="AL1731">
        <v>-20.170854399999939</v>
      </c>
      <c r="AM1731">
        <v>-44.905524839633358</v>
      </c>
      <c r="AN1731">
        <v>-20.170854399999939</v>
      </c>
      <c r="AO1731">
        <v>-44.905524839633358</v>
      </c>
      <c r="AP1731">
        <v>-20.170919000000001</v>
      </c>
      <c r="AQ1731">
        <v>-44.905451999999997</v>
      </c>
      <c r="AR1731">
        <v>10.471140355179269</v>
      </c>
      <c r="AS1731" t="s">
        <v>65</v>
      </c>
      <c r="AT1731">
        <v>1</v>
      </c>
      <c r="AU1731" t="s">
        <v>868</v>
      </c>
      <c r="AV1731" t="s">
        <v>869</v>
      </c>
      <c r="AW1731" t="s">
        <v>60</v>
      </c>
      <c r="AX1731" t="s">
        <v>68</v>
      </c>
      <c r="AY1731" t="s">
        <v>69</v>
      </c>
      <c r="AZ1731" t="b">
        <v>1</v>
      </c>
    </row>
    <row r="1732" spans="1:52" x14ac:dyDescent="0.3">
      <c r="A1732" t="s">
        <v>52</v>
      </c>
      <c r="B1732" t="s">
        <v>53</v>
      </c>
      <c r="C1732" t="s">
        <v>54</v>
      </c>
      <c r="D1732" t="s">
        <v>55</v>
      </c>
      <c r="E1732" t="s">
        <v>2148</v>
      </c>
      <c r="F1732" t="s">
        <v>190</v>
      </c>
      <c r="G1732" t="s">
        <v>484</v>
      </c>
      <c r="H1732" t="s">
        <v>485</v>
      </c>
      <c r="I1732" t="s">
        <v>485</v>
      </c>
      <c r="J1732" t="s">
        <v>60</v>
      </c>
      <c r="K1732" t="s">
        <v>486</v>
      </c>
      <c r="L1732" t="s">
        <v>62</v>
      </c>
      <c r="M1732" t="s">
        <v>486</v>
      </c>
      <c r="N1732" t="s">
        <v>487</v>
      </c>
      <c r="O1732" t="s">
        <v>488</v>
      </c>
      <c r="P1732">
        <v>-20.173000999999999</v>
      </c>
      <c r="Q1732">
        <v>-44.901876999999999</v>
      </c>
      <c r="R1732" s="2" t="str">
        <f>HYPERLINK("https://www.google.com/maps?q=-20.1730010,-44.9018770","Abrir no Google Maps")</f>
        <v>Abrir no Google Maps</v>
      </c>
      <c r="S1732">
        <v>3</v>
      </c>
      <c r="T1732">
        <v>437.59695450783011</v>
      </c>
      <c r="U1732">
        <v>4</v>
      </c>
      <c r="V1732">
        <v>25</v>
      </c>
      <c r="W1732">
        <v>1</v>
      </c>
      <c r="X1732">
        <v>25</v>
      </c>
      <c r="Y1732">
        <v>578</v>
      </c>
      <c r="Z1732">
        <v>440.53629183653243</v>
      </c>
      <c r="AA1732">
        <v>198</v>
      </c>
      <c r="AB1732">
        <v>332</v>
      </c>
      <c r="AC1732">
        <v>536</v>
      </c>
      <c r="AD1732">
        <v>30.74</v>
      </c>
      <c r="AE1732">
        <v>542</v>
      </c>
      <c r="AF1732">
        <v>30</v>
      </c>
      <c r="AG1732">
        <v>178</v>
      </c>
      <c r="AH1732">
        <v>129</v>
      </c>
      <c r="AI1732">
        <v>5.54</v>
      </c>
      <c r="AJ1732">
        <v>32.840000000000003</v>
      </c>
      <c r="AK1732">
        <v>23.8</v>
      </c>
      <c r="AL1732">
        <v>-20.173065299999969</v>
      </c>
      <c r="AM1732">
        <v>-44.902052686008687</v>
      </c>
      <c r="AN1732">
        <v>-20.173065299999969</v>
      </c>
      <c r="AO1732">
        <v>-44.902052686008687</v>
      </c>
      <c r="AP1732">
        <v>-20.173000999999999</v>
      </c>
      <c r="AQ1732">
        <v>-44.901876999999999</v>
      </c>
      <c r="AR1732">
        <v>19.703745070768829</v>
      </c>
      <c r="AS1732" t="s">
        <v>65</v>
      </c>
      <c r="AT1732">
        <v>1</v>
      </c>
      <c r="AU1732" t="s">
        <v>489</v>
      </c>
      <c r="AV1732" t="s">
        <v>490</v>
      </c>
      <c r="AW1732" t="s">
        <v>60</v>
      </c>
      <c r="AX1732" t="s">
        <v>68</v>
      </c>
      <c r="AY1732" t="s">
        <v>69</v>
      </c>
      <c r="AZ1732" t="b">
        <v>1</v>
      </c>
    </row>
    <row r="1733" spans="1:52" x14ac:dyDescent="0.3">
      <c r="A1733" t="s">
        <v>52</v>
      </c>
      <c r="B1733" t="s">
        <v>53</v>
      </c>
      <c r="C1733" t="s">
        <v>54</v>
      </c>
      <c r="D1733" t="s">
        <v>55</v>
      </c>
      <c r="E1733" t="s">
        <v>2148</v>
      </c>
      <c r="F1733" t="s">
        <v>190</v>
      </c>
      <c r="G1733" t="s">
        <v>491</v>
      </c>
      <c r="H1733" t="s">
        <v>492</v>
      </c>
      <c r="I1733" t="s">
        <v>492</v>
      </c>
      <c r="J1733" t="s">
        <v>60</v>
      </c>
      <c r="K1733" t="s">
        <v>475</v>
      </c>
      <c r="L1733" t="s">
        <v>62</v>
      </c>
      <c r="M1733" t="s">
        <v>475</v>
      </c>
      <c r="N1733" t="s">
        <v>493</v>
      </c>
      <c r="O1733" t="s">
        <v>494</v>
      </c>
      <c r="P1733">
        <v>-20.175250999999999</v>
      </c>
      <c r="Q1733">
        <v>-44.897357</v>
      </c>
      <c r="R1733" s="2" t="str">
        <f>HYPERLINK("https://www.google.com/maps?q=-20.1752510,-44.8973570","Abrir no Google Maps")</f>
        <v>Abrir no Google Maps</v>
      </c>
      <c r="S1733">
        <v>3</v>
      </c>
      <c r="T1733">
        <v>992.29631678149951</v>
      </c>
      <c r="U1733">
        <v>4</v>
      </c>
      <c r="V1733">
        <v>24</v>
      </c>
      <c r="W1733">
        <v>1</v>
      </c>
      <c r="X1733">
        <v>24</v>
      </c>
      <c r="Y1733">
        <v>578</v>
      </c>
      <c r="Z1733">
        <v>1008.5871064168319</v>
      </c>
      <c r="AA1733">
        <v>198</v>
      </c>
      <c r="AB1733">
        <v>332</v>
      </c>
      <c r="AC1733">
        <v>536</v>
      </c>
      <c r="AD1733">
        <v>30.74</v>
      </c>
      <c r="AE1733">
        <v>542</v>
      </c>
      <c r="AF1733">
        <v>30</v>
      </c>
      <c r="AG1733">
        <v>178</v>
      </c>
      <c r="AH1733">
        <v>129</v>
      </c>
      <c r="AI1733">
        <v>5.54</v>
      </c>
      <c r="AJ1733">
        <v>32.840000000000003</v>
      </c>
      <c r="AK1733">
        <v>23.8</v>
      </c>
      <c r="AL1733">
        <v>-20.175290599999951</v>
      </c>
      <c r="AM1733">
        <v>-44.897271931010721</v>
      </c>
      <c r="AN1733">
        <v>-20.175290599999951</v>
      </c>
      <c r="AO1733">
        <v>-44.897271931010721</v>
      </c>
      <c r="AP1733">
        <v>-20.175250999999999</v>
      </c>
      <c r="AQ1733">
        <v>-44.897357</v>
      </c>
      <c r="AR1733">
        <v>9.921899108467926</v>
      </c>
      <c r="AS1733" t="s">
        <v>65</v>
      </c>
      <c r="AT1733">
        <v>1</v>
      </c>
      <c r="AU1733" t="s">
        <v>495</v>
      </c>
      <c r="AV1733" t="s">
        <v>496</v>
      </c>
      <c r="AW1733" t="s">
        <v>60</v>
      </c>
      <c r="AX1733" t="s">
        <v>68</v>
      </c>
      <c r="AY1733" t="s">
        <v>69</v>
      </c>
      <c r="AZ1733" t="b">
        <v>1</v>
      </c>
    </row>
    <row r="1734" spans="1:52" x14ac:dyDescent="0.3">
      <c r="A1734" t="s">
        <v>52</v>
      </c>
      <c r="B1734" t="s">
        <v>53</v>
      </c>
      <c r="C1734" t="s">
        <v>54</v>
      </c>
      <c r="D1734" t="s">
        <v>55</v>
      </c>
      <c r="E1734" t="s">
        <v>2148</v>
      </c>
      <c r="F1734" t="s">
        <v>190</v>
      </c>
      <c r="G1734" t="s">
        <v>510</v>
      </c>
      <c r="H1734" t="s">
        <v>511</v>
      </c>
      <c r="I1734" t="s">
        <v>511</v>
      </c>
      <c r="J1734" t="s">
        <v>60</v>
      </c>
      <c r="K1734" t="s">
        <v>512</v>
      </c>
      <c r="L1734" t="s">
        <v>62</v>
      </c>
      <c r="M1734" t="s">
        <v>512</v>
      </c>
      <c r="N1734" t="s">
        <v>406</v>
      </c>
      <c r="O1734" t="s">
        <v>513</v>
      </c>
      <c r="P1734">
        <v>-20.127853000000002</v>
      </c>
      <c r="Q1734">
        <v>-44.891415000000002</v>
      </c>
      <c r="R1734" s="2" t="str">
        <f>HYPERLINK("https://www.google.com/maps?q=-20.1278530,-44.8914150","Abrir no Google Maps")</f>
        <v>Abrir no Google Maps</v>
      </c>
      <c r="S1734">
        <v>3</v>
      </c>
      <c r="T1734">
        <v>340.86994528233612</v>
      </c>
      <c r="U1734">
        <v>4</v>
      </c>
      <c r="V1734">
        <v>26</v>
      </c>
      <c r="W1734">
        <v>1</v>
      </c>
      <c r="X1734">
        <v>26</v>
      </c>
      <c r="Y1734">
        <v>564</v>
      </c>
      <c r="Z1734">
        <v>294.18108015916812</v>
      </c>
      <c r="AA1734">
        <v>198</v>
      </c>
      <c r="AB1734">
        <v>332</v>
      </c>
      <c r="AC1734">
        <v>536</v>
      </c>
      <c r="AD1734">
        <v>30.74</v>
      </c>
      <c r="AE1734">
        <v>542</v>
      </c>
      <c r="AF1734">
        <v>30</v>
      </c>
      <c r="AG1734">
        <v>178</v>
      </c>
      <c r="AH1734">
        <v>129</v>
      </c>
      <c r="AI1734">
        <v>5.54</v>
      </c>
      <c r="AJ1734">
        <v>32.840000000000003</v>
      </c>
      <c r="AK1734">
        <v>23.8</v>
      </c>
      <c r="AL1734">
        <v>-20.12777399999996</v>
      </c>
      <c r="AM1734">
        <v>-44.891400975758501</v>
      </c>
      <c r="AN1734">
        <v>-20.12777399999996</v>
      </c>
      <c r="AO1734">
        <v>-44.891400975758501</v>
      </c>
      <c r="AP1734">
        <v>-20.127853000000002</v>
      </c>
      <c r="AQ1734">
        <v>-44.891415000000002</v>
      </c>
      <c r="AR1734">
        <v>8.9156059162975616</v>
      </c>
      <c r="AS1734" t="s">
        <v>65</v>
      </c>
      <c r="AT1734">
        <v>1</v>
      </c>
      <c r="AU1734" t="s">
        <v>514</v>
      </c>
      <c r="AV1734" t="s">
        <v>515</v>
      </c>
      <c r="AW1734" t="s">
        <v>60</v>
      </c>
      <c r="AX1734" t="s">
        <v>68</v>
      </c>
      <c r="AY1734" t="s">
        <v>69</v>
      </c>
      <c r="AZ1734" t="b">
        <v>1</v>
      </c>
    </row>
    <row r="1735" spans="1:52" x14ac:dyDescent="0.3">
      <c r="A1735" t="s">
        <v>52</v>
      </c>
      <c r="B1735" t="s">
        <v>53</v>
      </c>
      <c r="C1735" t="s">
        <v>54</v>
      </c>
      <c r="D1735" t="s">
        <v>55</v>
      </c>
      <c r="E1735" t="s">
        <v>2148</v>
      </c>
      <c r="F1735" t="s">
        <v>190</v>
      </c>
      <c r="G1735" t="s">
        <v>516</v>
      </c>
      <c r="H1735" t="s">
        <v>517</v>
      </c>
      <c r="I1735" t="s">
        <v>517</v>
      </c>
      <c r="J1735" t="s">
        <v>60</v>
      </c>
      <c r="K1735" t="s">
        <v>518</v>
      </c>
      <c r="L1735" t="s">
        <v>62</v>
      </c>
      <c r="M1735" t="s">
        <v>518</v>
      </c>
      <c r="N1735" t="s">
        <v>519</v>
      </c>
      <c r="O1735" t="s">
        <v>520</v>
      </c>
      <c r="P1735">
        <v>-20.124502</v>
      </c>
      <c r="Q1735">
        <v>-44.888424000000001</v>
      </c>
      <c r="R1735" s="2" t="str">
        <f>HYPERLINK("https://www.google.com/maps?q=-20.1245020,-44.8884240","Abrir no Google Maps")</f>
        <v>Abrir no Google Maps</v>
      </c>
      <c r="S1735">
        <v>3</v>
      </c>
      <c r="T1735">
        <v>483.42298121929559</v>
      </c>
      <c r="U1735">
        <v>4</v>
      </c>
      <c r="V1735">
        <v>29</v>
      </c>
      <c r="W1735">
        <v>1</v>
      </c>
      <c r="X1735">
        <v>29</v>
      </c>
      <c r="Y1735">
        <v>564</v>
      </c>
      <c r="Z1735">
        <v>565.43074237076587</v>
      </c>
      <c r="AA1735">
        <v>198</v>
      </c>
      <c r="AB1735">
        <v>332</v>
      </c>
      <c r="AC1735">
        <v>536</v>
      </c>
      <c r="AD1735">
        <v>30.74</v>
      </c>
      <c r="AE1735">
        <v>542</v>
      </c>
      <c r="AF1735">
        <v>30</v>
      </c>
      <c r="AG1735">
        <v>178</v>
      </c>
      <c r="AH1735">
        <v>129</v>
      </c>
      <c r="AI1735">
        <v>5.54</v>
      </c>
      <c r="AJ1735">
        <v>32.840000000000003</v>
      </c>
      <c r="AK1735">
        <v>23.8</v>
      </c>
      <c r="AL1735">
        <v>-20.124624949999941</v>
      </c>
      <c r="AM1735">
        <v>-44.888432821777258</v>
      </c>
      <c r="AN1735">
        <v>-20.124624949999941</v>
      </c>
      <c r="AO1735">
        <v>-44.888432821777258</v>
      </c>
      <c r="AP1735">
        <v>-20.124502</v>
      </c>
      <c r="AQ1735">
        <v>-44.888424000000001</v>
      </c>
      <c r="AR1735">
        <v>13.717819333897451</v>
      </c>
      <c r="AS1735" t="s">
        <v>65</v>
      </c>
      <c r="AT1735">
        <v>1</v>
      </c>
      <c r="AU1735" t="s">
        <v>521</v>
      </c>
      <c r="AV1735" t="s">
        <v>522</v>
      </c>
      <c r="AW1735" t="s">
        <v>60</v>
      </c>
      <c r="AX1735" t="s">
        <v>68</v>
      </c>
      <c r="AY1735" t="s">
        <v>69</v>
      </c>
      <c r="AZ1735" t="b">
        <v>1</v>
      </c>
    </row>
    <row r="1736" spans="1:52" x14ac:dyDescent="0.3">
      <c r="A1736" t="s">
        <v>52</v>
      </c>
      <c r="B1736" t="s">
        <v>53</v>
      </c>
      <c r="C1736" t="s">
        <v>54</v>
      </c>
      <c r="D1736" t="s">
        <v>55</v>
      </c>
      <c r="E1736" t="s">
        <v>2148</v>
      </c>
      <c r="F1736" t="s">
        <v>190</v>
      </c>
      <c r="G1736" t="s">
        <v>523</v>
      </c>
      <c r="H1736" t="s">
        <v>524</v>
      </c>
      <c r="I1736" t="s">
        <v>524</v>
      </c>
      <c r="J1736" t="s">
        <v>60</v>
      </c>
      <c r="K1736" t="s">
        <v>518</v>
      </c>
      <c r="L1736" t="s">
        <v>62</v>
      </c>
      <c r="M1736" t="s">
        <v>518</v>
      </c>
      <c r="N1736" t="s">
        <v>525</v>
      </c>
      <c r="O1736" t="s">
        <v>331</v>
      </c>
      <c r="P1736">
        <v>-20.126553000000001</v>
      </c>
      <c r="Q1736">
        <v>-44.888599999999997</v>
      </c>
      <c r="R1736" s="2" t="str">
        <f>HYPERLINK("https://www.google.com/maps?q=-20.1265530,-44.8886000","Abrir no Google Maps")</f>
        <v>Abrir no Google Maps</v>
      </c>
      <c r="S1736">
        <v>3</v>
      </c>
      <c r="T1736">
        <v>256.34043440603853</v>
      </c>
      <c r="U1736">
        <v>4</v>
      </c>
      <c r="V1736">
        <v>25</v>
      </c>
      <c r="W1736">
        <v>1</v>
      </c>
      <c r="X1736">
        <v>25</v>
      </c>
      <c r="Y1736">
        <v>564</v>
      </c>
      <c r="Z1736">
        <v>325.4404273055876</v>
      </c>
      <c r="AA1736">
        <v>198</v>
      </c>
      <c r="AB1736">
        <v>332</v>
      </c>
      <c r="AC1736">
        <v>536</v>
      </c>
      <c r="AD1736">
        <v>30.74</v>
      </c>
      <c r="AE1736">
        <v>542</v>
      </c>
      <c r="AF1736">
        <v>30</v>
      </c>
      <c r="AG1736">
        <v>178</v>
      </c>
      <c r="AH1736">
        <v>129</v>
      </c>
      <c r="AI1736">
        <v>5.54</v>
      </c>
      <c r="AJ1736">
        <v>32.840000000000003</v>
      </c>
      <c r="AK1736">
        <v>23.8</v>
      </c>
      <c r="AL1736">
        <v>-20.12669049999997</v>
      </c>
      <c r="AM1736">
        <v>-44.888671289876577</v>
      </c>
      <c r="AN1736">
        <v>-20.12669049999997</v>
      </c>
      <c r="AO1736">
        <v>-44.888671289876577</v>
      </c>
      <c r="AP1736">
        <v>-20.126553000000001</v>
      </c>
      <c r="AQ1736">
        <v>-44.888599999999997</v>
      </c>
      <c r="AR1736">
        <v>17.023861591720589</v>
      </c>
      <c r="AS1736" t="s">
        <v>65</v>
      </c>
      <c r="AT1736">
        <v>1</v>
      </c>
      <c r="AU1736" t="s">
        <v>526</v>
      </c>
      <c r="AV1736" t="s">
        <v>527</v>
      </c>
      <c r="AW1736" t="s">
        <v>60</v>
      </c>
      <c r="AX1736" t="s">
        <v>68</v>
      </c>
      <c r="AY1736" t="s">
        <v>69</v>
      </c>
      <c r="AZ1736" t="b">
        <v>1</v>
      </c>
    </row>
    <row r="1737" spans="1:52" x14ac:dyDescent="0.3">
      <c r="A1737" t="s">
        <v>52</v>
      </c>
      <c r="B1737" t="s">
        <v>53</v>
      </c>
      <c r="C1737" t="s">
        <v>54</v>
      </c>
      <c r="D1737" t="s">
        <v>55</v>
      </c>
      <c r="E1737" t="s">
        <v>2148</v>
      </c>
      <c r="F1737" t="s">
        <v>190</v>
      </c>
      <c r="G1737" t="s">
        <v>649</v>
      </c>
      <c r="H1737" t="s">
        <v>885</v>
      </c>
      <c r="I1737" t="s">
        <v>885</v>
      </c>
      <c r="J1737" t="s">
        <v>60</v>
      </c>
      <c r="K1737" t="s">
        <v>886</v>
      </c>
      <c r="L1737" t="s">
        <v>62</v>
      </c>
      <c r="M1737" t="s">
        <v>886</v>
      </c>
      <c r="N1737" t="s">
        <v>652</v>
      </c>
      <c r="O1737" t="s">
        <v>887</v>
      </c>
      <c r="P1737">
        <v>-20.132252000000001</v>
      </c>
      <c r="Q1737">
        <v>-44.894159000000002</v>
      </c>
      <c r="R1737" s="2" t="str">
        <f>HYPERLINK("https://www.google.com/maps?q=-20.1322520,-44.8941590","Abrir no Google Maps")</f>
        <v>Abrir no Google Maps</v>
      </c>
      <c r="S1737">
        <v>3</v>
      </c>
      <c r="T1737">
        <v>699.5004749448899</v>
      </c>
      <c r="U1737">
        <v>4</v>
      </c>
      <c r="V1737">
        <v>28</v>
      </c>
      <c r="W1737">
        <v>0.85</v>
      </c>
      <c r="X1737">
        <v>23.8</v>
      </c>
      <c r="Y1737">
        <v>564</v>
      </c>
      <c r="Z1737">
        <v>522.21103586457991</v>
      </c>
      <c r="AA1737">
        <v>198</v>
      </c>
      <c r="AB1737">
        <v>332</v>
      </c>
      <c r="AC1737">
        <v>536</v>
      </c>
      <c r="AD1737">
        <v>30.74</v>
      </c>
      <c r="AE1737">
        <v>542</v>
      </c>
      <c r="AF1737">
        <v>30</v>
      </c>
      <c r="AG1737">
        <v>178</v>
      </c>
      <c r="AH1737">
        <v>129</v>
      </c>
      <c r="AI1737">
        <v>5.54</v>
      </c>
      <c r="AJ1737">
        <v>32.840000000000003</v>
      </c>
      <c r="AK1737">
        <v>23.8</v>
      </c>
      <c r="AL1737">
        <v>-20.132285999999969</v>
      </c>
      <c r="AM1737">
        <v>-44.894119001288672</v>
      </c>
      <c r="AN1737">
        <v>-20.132285999999969</v>
      </c>
      <c r="AO1737">
        <v>-44.894119001288672</v>
      </c>
      <c r="AP1737">
        <v>-20.132252000000001</v>
      </c>
      <c r="AQ1737">
        <v>-44.894159000000002</v>
      </c>
      <c r="AR1737">
        <v>5.6393921063261629</v>
      </c>
      <c r="AS1737" t="s">
        <v>65</v>
      </c>
      <c r="AT1737">
        <v>1</v>
      </c>
      <c r="AU1737" t="s">
        <v>888</v>
      </c>
      <c r="AV1737" t="s">
        <v>889</v>
      </c>
      <c r="AW1737" t="s">
        <v>60</v>
      </c>
      <c r="AX1737" t="s">
        <v>68</v>
      </c>
      <c r="AY1737" t="s">
        <v>69</v>
      </c>
      <c r="AZ1737" t="b">
        <v>1</v>
      </c>
    </row>
    <row r="1738" spans="1:52" x14ac:dyDescent="0.3">
      <c r="A1738" t="s">
        <v>52</v>
      </c>
      <c r="B1738" t="s">
        <v>53</v>
      </c>
      <c r="C1738" t="s">
        <v>54</v>
      </c>
      <c r="D1738" t="s">
        <v>55</v>
      </c>
      <c r="E1738" t="s">
        <v>2148</v>
      </c>
      <c r="F1738" t="s">
        <v>190</v>
      </c>
      <c r="G1738" t="s">
        <v>890</v>
      </c>
      <c r="H1738" t="s">
        <v>891</v>
      </c>
      <c r="I1738" t="s">
        <v>891</v>
      </c>
      <c r="J1738" t="s">
        <v>60</v>
      </c>
      <c r="K1738" t="s">
        <v>892</v>
      </c>
      <c r="L1738" t="s">
        <v>62</v>
      </c>
      <c r="M1738" t="s">
        <v>892</v>
      </c>
      <c r="N1738" t="s">
        <v>893</v>
      </c>
      <c r="O1738" t="s">
        <v>894</v>
      </c>
      <c r="P1738">
        <v>-20.152519000000002</v>
      </c>
      <c r="Q1738">
        <v>-44.899177000000002</v>
      </c>
      <c r="R1738" s="2" t="str">
        <f>HYPERLINK("https://www.google.com/maps?q=-20.1525190,-44.8991770","Abrir no Google Maps")</f>
        <v>Abrir no Google Maps</v>
      </c>
      <c r="S1738">
        <v>3</v>
      </c>
      <c r="T1738">
        <v>211.80188552994721</v>
      </c>
      <c r="U1738">
        <v>4</v>
      </c>
      <c r="V1738">
        <v>24</v>
      </c>
      <c r="W1738">
        <v>1</v>
      </c>
      <c r="X1738">
        <v>24</v>
      </c>
      <c r="Y1738">
        <v>556</v>
      </c>
      <c r="Z1738">
        <v>290.34804137107091</v>
      </c>
      <c r="AA1738">
        <v>198</v>
      </c>
      <c r="AB1738">
        <v>332</v>
      </c>
      <c r="AC1738">
        <v>536</v>
      </c>
      <c r="AD1738">
        <v>30.74</v>
      </c>
      <c r="AE1738">
        <v>542</v>
      </c>
      <c r="AF1738">
        <v>30</v>
      </c>
      <c r="AG1738">
        <v>178</v>
      </c>
      <c r="AH1738">
        <v>129</v>
      </c>
      <c r="AI1738">
        <v>5.54</v>
      </c>
      <c r="AJ1738">
        <v>32.840000000000003</v>
      </c>
      <c r="AK1738">
        <v>23.8</v>
      </c>
      <c r="AL1738">
        <v>-20.152516249999959</v>
      </c>
      <c r="AM1738">
        <v>-44.899310431333959</v>
      </c>
      <c r="AN1738">
        <v>-20.152516249999959</v>
      </c>
      <c r="AO1738">
        <v>-44.899310431333959</v>
      </c>
      <c r="AP1738">
        <v>-20.152519000000002</v>
      </c>
      <c r="AQ1738">
        <v>-44.899177000000002</v>
      </c>
      <c r="AR1738">
        <v>13.947583284957719</v>
      </c>
      <c r="AS1738" t="s">
        <v>65</v>
      </c>
      <c r="AT1738">
        <v>1</v>
      </c>
      <c r="AU1738" t="s">
        <v>895</v>
      </c>
      <c r="AV1738" t="s">
        <v>896</v>
      </c>
      <c r="AW1738" t="s">
        <v>60</v>
      </c>
      <c r="AX1738" t="s">
        <v>68</v>
      </c>
      <c r="AY1738" t="s">
        <v>69</v>
      </c>
      <c r="AZ1738" t="b">
        <v>1</v>
      </c>
    </row>
    <row r="1739" spans="1:52" x14ac:dyDescent="0.3">
      <c r="A1739" t="s">
        <v>52</v>
      </c>
      <c r="B1739" t="s">
        <v>53</v>
      </c>
      <c r="C1739" t="s">
        <v>54</v>
      </c>
      <c r="D1739" t="s">
        <v>55</v>
      </c>
      <c r="E1739" t="s">
        <v>2148</v>
      </c>
      <c r="F1739" t="s">
        <v>190</v>
      </c>
      <c r="G1739" t="s">
        <v>545</v>
      </c>
      <c r="H1739" t="s">
        <v>546</v>
      </c>
      <c r="I1739" t="s">
        <v>546</v>
      </c>
      <c r="J1739" t="s">
        <v>60</v>
      </c>
      <c r="K1739" t="s">
        <v>388</v>
      </c>
      <c r="L1739" t="s">
        <v>62</v>
      </c>
      <c r="M1739" t="s">
        <v>388</v>
      </c>
      <c r="N1739" t="s">
        <v>547</v>
      </c>
      <c r="O1739" t="s">
        <v>548</v>
      </c>
      <c r="P1739">
        <v>-20.155839</v>
      </c>
      <c r="Q1739">
        <v>-44.905655000000003</v>
      </c>
      <c r="R1739" s="2" t="str">
        <f>HYPERLINK("https://www.google.com/maps?q=-20.1558390,-44.9056550","Abrir no Google Maps")</f>
        <v>Abrir no Google Maps</v>
      </c>
      <c r="S1739">
        <v>3</v>
      </c>
      <c r="T1739">
        <v>309.7643089121122</v>
      </c>
      <c r="U1739">
        <v>4</v>
      </c>
      <c r="V1739">
        <v>24</v>
      </c>
      <c r="W1739">
        <v>1</v>
      </c>
      <c r="X1739">
        <v>24</v>
      </c>
      <c r="Y1739">
        <v>548</v>
      </c>
      <c r="Z1739">
        <v>284.24281731793161</v>
      </c>
      <c r="AA1739">
        <v>198</v>
      </c>
      <c r="AB1739">
        <v>332</v>
      </c>
      <c r="AC1739">
        <v>536</v>
      </c>
      <c r="AD1739">
        <v>30.74</v>
      </c>
      <c r="AE1739">
        <v>542</v>
      </c>
      <c r="AF1739">
        <v>30</v>
      </c>
      <c r="AG1739">
        <v>178</v>
      </c>
      <c r="AH1739">
        <v>129</v>
      </c>
      <c r="AI1739">
        <v>5.54</v>
      </c>
      <c r="AJ1739">
        <v>32.840000000000003</v>
      </c>
      <c r="AK1739">
        <v>23.8</v>
      </c>
      <c r="AL1739">
        <v>-20.155913549999951</v>
      </c>
      <c r="AM1739">
        <v>-44.905554508392683</v>
      </c>
      <c r="AN1739">
        <v>-20.155913549999951</v>
      </c>
      <c r="AO1739">
        <v>-44.905554508392669</v>
      </c>
      <c r="AP1739">
        <v>-20.155839</v>
      </c>
      <c r="AQ1739">
        <v>-44.905655000000003</v>
      </c>
      <c r="AR1739">
        <v>13.384922093797449</v>
      </c>
      <c r="AS1739" t="s">
        <v>65</v>
      </c>
      <c r="AT1739">
        <v>1</v>
      </c>
      <c r="AU1739" t="s">
        <v>549</v>
      </c>
      <c r="AV1739" t="s">
        <v>550</v>
      </c>
      <c r="AW1739" t="s">
        <v>60</v>
      </c>
      <c r="AX1739" t="s">
        <v>68</v>
      </c>
      <c r="AY1739" t="s">
        <v>69</v>
      </c>
      <c r="AZ1739" t="b">
        <v>1</v>
      </c>
    </row>
    <row r="1740" spans="1:52" x14ac:dyDescent="0.3">
      <c r="A1740" t="s">
        <v>52</v>
      </c>
      <c r="B1740" t="s">
        <v>53</v>
      </c>
      <c r="C1740" t="s">
        <v>54</v>
      </c>
      <c r="D1740" t="s">
        <v>55</v>
      </c>
      <c r="E1740" t="s">
        <v>2148</v>
      </c>
      <c r="F1740" t="s">
        <v>190</v>
      </c>
      <c r="G1740" t="s">
        <v>556</v>
      </c>
      <c r="H1740" t="s">
        <v>557</v>
      </c>
      <c r="I1740" t="s">
        <v>557</v>
      </c>
      <c r="J1740" t="s">
        <v>60</v>
      </c>
      <c r="K1740" t="s">
        <v>388</v>
      </c>
      <c r="L1740" t="s">
        <v>62</v>
      </c>
      <c r="M1740" t="s">
        <v>388</v>
      </c>
      <c r="N1740" t="s">
        <v>558</v>
      </c>
      <c r="O1740" t="s">
        <v>559</v>
      </c>
      <c r="P1740">
        <v>-20.152670000000001</v>
      </c>
      <c r="Q1740">
        <v>-44.902557999999999</v>
      </c>
      <c r="R1740" s="2" t="str">
        <f>HYPERLINK("https://www.google.com/maps?q=-20.1526700,-44.9025580","Abrir no Google Maps")</f>
        <v>Abrir no Google Maps</v>
      </c>
      <c r="S1740">
        <v>3</v>
      </c>
      <c r="T1740">
        <v>228.56195217678911</v>
      </c>
      <c r="U1740">
        <v>4</v>
      </c>
      <c r="V1740">
        <v>25</v>
      </c>
      <c r="W1740">
        <v>1</v>
      </c>
      <c r="X1740">
        <v>25</v>
      </c>
      <c r="Y1740">
        <v>548</v>
      </c>
      <c r="Z1740">
        <v>250.63133895224919</v>
      </c>
      <c r="AA1740">
        <v>198</v>
      </c>
      <c r="AB1740">
        <v>332</v>
      </c>
      <c r="AC1740">
        <v>536</v>
      </c>
      <c r="AD1740">
        <v>30.74</v>
      </c>
      <c r="AE1740">
        <v>542</v>
      </c>
      <c r="AF1740">
        <v>30</v>
      </c>
      <c r="AG1740">
        <v>178</v>
      </c>
      <c r="AH1740">
        <v>129</v>
      </c>
      <c r="AI1740">
        <v>5.54</v>
      </c>
      <c r="AJ1740">
        <v>32.840000000000003</v>
      </c>
      <c r="AK1740">
        <v>23.8</v>
      </c>
      <c r="AL1740">
        <v>-20.152629799999939</v>
      </c>
      <c r="AM1740">
        <v>-44.902604744705201</v>
      </c>
      <c r="AN1740">
        <v>-20.152629799999939</v>
      </c>
      <c r="AO1740">
        <v>-44.902604744705201</v>
      </c>
      <c r="AP1740">
        <v>-20.152670000000001</v>
      </c>
      <c r="AQ1740">
        <v>-44.902557999999999</v>
      </c>
      <c r="AR1740">
        <v>6.6249428037111509</v>
      </c>
      <c r="AS1740" t="s">
        <v>65</v>
      </c>
      <c r="AT1740">
        <v>1</v>
      </c>
      <c r="AU1740" t="s">
        <v>560</v>
      </c>
      <c r="AV1740" t="s">
        <v>561</v>
      </c>
      <c r="AW1740" t="s">
        <v>60</v>
      </c>
      <c r="AX1740" t="s">
        <v>68</v>
      </c>
      <c r="AY1740" t="s">
        <v>69</v>
      </c>
      <c r="AZ1740" t="b">
        <v>1</v>
      </c>
    </row>
    <row r="1741" spans="1:52" x14ac:dyDescent="0.3">
      <c r="A1741" t="s">
        <v>52</v>
      </c>
      <c r="B1741" t="s">
        <v>53</v>
      </c>
      <c r="C1741" t="s">
        <v>54</v>
      </c>
      <c r="D1741" t="s">
        <v>55</v>
      </c>
      <c r="E1741" t="s">
        <v>2148</v>
      </c>
      <c r="F1741" t="s">
        <v>190</v>
      </c>
      <c r="G1741" t="s">
        <v>568</v>
      </c>
      <c r="H1741" t="s">
        <v>569</v>
      </c>
      <c r="I1741" t="s">
        <v>569</v>
      </c>
      <c r="J1741" t="s">
        <v>60</v>
      </c>
      <c r="K1741" t="s">
        <v>61</v>
      </c>
      <c r="L1741" t="s">
        <v>62</v>
      </c>
      <c r="M1741" t="s">
        <v>61</v>
      </c>
      <c r="N1741" t="s">
        <v>570</v>
      </c>
      <c r="O1741" t="s">
        <v>548</v>
      </c>
      <c r="P1741">
        <v>-20.151508</v>
      </c>
      <c r="Q1741">
        <v>-44.907826</v>
      </c>
      <c r="R1741" s="2" t="str">
        <f>HYPERLINK("https://www.google.com/maps?q=-20.1515080,-44.9078260","Abrir no Google Maps")</f>
        <v>Abrir no Google Maps</v>
      </c>
      <c r="S1741">
        <v>3</v>
      </c>
      <c r="T1741">
        <v>567.15905416240514</v>
      </c>
      <c r="U1741">
        <v>4</v>
      </c>
      <c r="V1741">
        <v>28</v>
      </c>
      <c r="W1741">
        <v>0.85</v>
      </c>
      <c r="X1741">
        <v>23.8</v>
      </c>
      <c r="Y1741">
        <v>548</v>
      </c>
      <c r="Z1741">
        <v>560.49158010771464</v>
      </c>
      <c r="AA1741">
        <v>198</v>
      </c>
      <c r="AB1741">
        <v>332</v>
      </c>
      <c r="AC1741">
        <v>536</v>
      </c>
      <c r="AD1741">
        <v>30.74</v>
      </c>
      <c r="AE1741">
        <v>542</v>
      </c>
      <c r="AF1741">
        <v>30</v>
      </c>
      <c r="AG1741">
        <v>178</v>
      </c>
      <c r="AH1741">
        <v>129</v>
      </c>
      <c r="AI1741">
        <v>5.54</v>
      </c>
      <c r="AJ1741">
        <v>32.840000000000003</v>
      </c>
      <c r="AK1741">
        <v>23.8</v>
      </c>
      <c r="AL1741">
        <v>-20.15211779999996</v>
      </c>
      <c r="AM1741">
        <v>-44.907597469593128</v>
      </c>
      <c r="AN1741">
        <v>-20.15211779999996</v>
      </c>
      <c r="AO1741">
        <v>-44.907597469593128</v>
      </c>
      <c r="AP1741">
        <v>-20.151508</v>
      </c>
      <c r="AQ1741">
        <v>-44.907826</v>
      </c>
      <c r="AR1741">
        <v>71.961597929314735</v>
      </c>
      <c r="AS1741" t="s">
        <v>65</v>
      </c>
      <c r="AT1741">
        <v>1</v>
      </c>
      <c r="AU1741" t="s">
        <v>571</v>
      </c>
      <c r="AV1741" t="s">
        <v>572</v>
      </c>
      <c r="AW1741" t="s">
        <v>60</v>
      </c>
      <c r="AX1741" t="s">
        <v>68</v>
      </c>
      <c r="AY1741" t="s">
        <v>69</v>
      </c>
      <c r="AZ1741" t="b">
        <v>1</v>
      </c>
    </row>
    <row r="1742" spans="1:52" x14ac:dyDescent="0.3">
      <c r="A1742" t="s">
        <v>52</v>
      </c>
      <c r="B1742" t="s">
        <v>53</v>
      </c>
      <c r="C1742" t="s">
        <v>54</v>
      </c>
      <c r="D1742" t="s">
        <v>55</v>
      </c>
      <c r="E1742" t="s">
        <v>2148</v>
      </c>
      <c r="F1742" t="s">
        <v>190</v>
      </c>
      <c r="G1742" t="s">
        <v>573</v>
      </c>
      <c r="H1742" t="s">
        <v>574</v>
      </c>
      <c r="I1742" t="s">
        <v>574</v>
      </c>
      <c r="J1742" t="s">
        <v>60</v>
      </c>
      <c r="K1742" t="s">
        <v>207</v>
      </c>
      <c r="L1742" t="s">
        <v>62</v>
      </c>
      <c r="M1742" t="s">
        <v>207</v>
      </c>
      <c r="N1742" t="s">
        <v>575</v>
      </c>
      <c r="O1742" t="s">
        <v>576</v>
      </c>
      <c r="P1742">
        <v>-20.121252999999999</v>
      </c>
      <c r="Q1742">
        <v>-44.887988999999997</v>
      </c>
      <c r="R1742" s="2" t="str">
        <f>HYPERLINK("https://www.google.com/maps?q=-20.1212530,-44.8879890","Abrir no Google Maps")</f>
        <v>Abrir no Google Maps</v>
      </c>
      <c r="S1742">
        <v>3</v>
      </c>
      <c r="T1742">
        <v>310.5511884274041</v>
      </c>
      <c r="U1742">
        <v>4</v>
      </c>
      <c r="V1742">
        <v>29</v>
      </c>
      <c r="W1742">
        <v>1</v>
      </c>
      <c r="X1742">
        <v>29</v>
      </c>
      <c r="Y1742">
        <v>536</v>
      </c>
      <c r="Z1742">
        <v>292.13362593122162</v>
      </c>
      <c r="AA1742">
        <v>198</v>
      </c>
      <c r="AB1742">
        <v>332</v>
      </c>
      <c r="AC1742">
        <v>536</v>
      </c>
      <c r="AD1742">
        <v>30.74</v>
      </c>
      <c r="AE1742">
        <v>542</v>
      </c>
      <c r="AF1742">
        <v>30</v>
      </c>
      <c r="AG1742">
        <v>178</v>
      </c>
      <c r="AH1742">
        <v>129</v>
      </c>
      <c r="AI1742">
        <v>5.54</v>
      </c>
      <c r="AJ1742">
        <v>32.840000000000003</v>
      </c>
      <c r="AK1742">
        <v>23.8</v>
      </c>
      <c r="AL1742">
        <v>-20.121103699999939</v>
      </c>
      <c r="AM1742">
        <v>-44.888116617806723</v>
      </c>
      <c r="AN1742">
        <v>-20.121103699999939</v>
      </c>
      <c r="AO1742">
        <v>-44.888116617806723</v>
      </c>
      <c r="AP1742">
        <v>-20.121252999999999</v>
      </c>
      <c r="AQ1742">
        <v>-44.887988999999997</v>
      </c>
      <c r="AR1742">
        <v>21.311159673382519</v>
      </c>
      <c r="AS1742" t="s">
        <v>65</v>
      </c>
      <c r="AT1742">
        <v>1</v>
      </c>
      <c r="AU1742" t="s">
        <v>577</v>
      </c>
      <c r="AV1742" t="s">
        <v>578</v>
      </c>
      <c r="AW1742" t="s">
        <v>60</v>
      </c>
      <c r="AX1742" t="s">
        <v>68</v>
      </c>
      <c r="AY1742" t="s">
        <v>69</v>
      </c>
      <c r="AZ1742" t="b">
        <v>1</v>
      </c>
    </row>
    <row r="1743" spans="1:52" x14ac:dyDescent="0.3">
      <c r="A1743" t="s">
        <v>52</v>
      </c>
      <c r="B1743" t="s">
        <v>53</v>
      </c>
      <c r="C1743" t="s">
        <v>54</v>
      </c>
      <c r="D1743" t="s">
        <v>55</v>
      </c>
      <c r="E1743" t="s">
        <v>2148</v>
      </c>
      <c r="F1743" t="s">
        <v>190</v>
      </c>
      <c r="G1743" t="s">
        <v>579</v>
      </c>
      <c r="H1743" t="s">
        <v>580</v>
      </c>
      <c r="I1743" t="s">
        <v>580</v>
      </c>
      <c r="J1743" t="s">
        <v>60</v>
      </c>
      <c r="K1743" t="s">
        <v>117</v>
      </c>
      <c r="L1743" t="s">
        <v>62</v>
      </c>
      <c r="M1743" t="s">
        <v>117</v>
      </c>
      <c r="N1743" t="s">
        <v>581</v>
      </c>
      <c r="O1743" t="s">
        <v>338</v>
      </c>
      <c r="P1743">
        <v>-20.119333000000001</v>
      </c>
      <c r="Q1743">
        <v>-44.892454999999998</v>
      </c>
      <c r="R1743" s="2" t="str">
        <f>HYPERLINK("https://www.google.com/maps?q=-20.1193330,-44.8924550","Abrir no Google Maps")</f>
        <v>Abrir no Google Maps</v>
      </c>
      <c r="S1743">
        <v>3</v>
      </c>
      <c r="T1743">
        <v>545.06582215852734</v>
      </c>
      <c r="U1743">
        <v>4</v>
      </c>
      <c r="V1743">
        <v>24</v>
      </c>
      <c r="W1743">
        <v>1</v>
      </c>
      <c r="X1743">
        <v>24</v>
      </c>
      <c r="Y1743">
        <v>536</v>
      </c>
      <c r="Z1743">
        <v>583.72689769042404</v>
      </c>
      <c r="AA1743">
        <v>198</v>
      </c>
      <c r="AB1743">
        <v>332</v>
      </c>
      <c r="AC1743">
        <v>536</v>
      </c>
      <c r="AD1743">
        <v>30.74</v>
      </c>
      <c r="AE1743">
        <v>542</v>
      </c>
      <c r="AF1743">
        <v>30</v>
      </c>
      <c r="AG1743">
        <v>178</v>
      </c>
      <c r="AH1743">
        <v>129</v>
      </c>
      <c r="AI1743">
        <v>5.54</v>
      </c>
      <c r="AJ1743">
        <v>32.840000000000003</v>
      </c>
      <c r="AK1743">
        <v>23.8</v>
      </c>
      <c r="AL1743">
        <v>-20.11966729999995</v>
      </c>
      <c r="AM1743">
        <v>-44.892529474102908</v>
      </c>
      <c r="AN1743">
        <v>-20.119667299999939</v>
      </c>
      <c r="AO1743">
        <v>-44.892529474102908</v>
      </c>
      <c r="AP1743">
        <v>-20.119333000000001</v>
      </c>
      <c r="AQ1743">
        <v>-44.892454999999998</v>
      </c>
      <c r="AR1743">
        <v>38.019750592693072</v>
      </c>
      <c r="AS1743" t="s">
        <v>65</v>
      </c>
      <c r="AT1743">
        <v>1</v>
      </c>
      <c r="AU1743" t="s">
        <v>582</v>
      </c>
      <c r="AV1743" t="s">
        <v>583</v>
      </c>
      <c r="AW1743" t="s">
        <v>60</v>
      </c>
      <c r="AX1743" t="s">
        <v>68</v>
      </c>
      <c r="AY1743" t="s">
        <v>69</v>
      </c>
      <c r="AZ1743" t="b">
        <v>1</v>
      </c>
    </row>
    <row r="1744" spans="1:52" x14ac:dyDescent="0.3">
      <c r="A1744" t="s">
        <v>52</v>
      </c>
      <c r="B1744" t="s">
        <v>53</v>
      </c>
      <c r="C1744" t="s">
        <v>54</v>
      </c>
      <c r="D1744" t="s">
        <v>55</v>
      </c>
      <c r="E1744" t="s">
        <v>2148</v>
      </c>
      <c r="F1744" t="s">
        <v>190</v>
      </c>
      <c r="G1744" t="s">
        <v>584</v>
      </c>
      <c r="H1744" t="s">
        <v>585</v>
      </c>
      <c r="I1744" t="s">
        <v>585</v>
      </c>
      <c r="J1744" t="s">
        <v>60</v>
      </c>
      <c r="K1744" t="s">
        <v>207</v>
      </c>
      <c r="L1744" t="s">
        <v>62</v>
      </c>
      <c r="M1744" t="s">
        <v>207</v>
      </c>
      <c r="N1744" t="s">
        <v>586</v>
      </c>
      <c r="O1744" t="s">
        <v>587</v>
      </c>
      <c r="P1744">
        <v>-20.122596999999999</v>
      </c>
      <c r="Q1744">
        <v>-44.889994999999999</v>
      </c>
      <c r="R1744" s="2" t="str">
        <f>HYPERLINK("https://www.google.com/maps?q=-20.1225970,-44.8899950","Abrir no Google Maps")</f>
        <v>Abrir no Google Maps</v>
      </c>
      <c r="S1744">
        <v>3</v>
      </c>
      <c r="T1744">
        <v>548.23336486960989</v>
      </c>
      <c r="U1744">
        <v>4</v>
      </c>
      <c r="V1744">
        <v>32</v>
      </c>
      <c r="W1744">
        <v>1</v>
      </c>
      <c r="X1744">
        <v>32</v>
      </c>
      <c r="Y1744">
        <v>536</v>
      </c>
      <c r="Z1744">
        <v>547.28307523929982</v>
      </c>
      <c r="AA1744">
        <v>198</v>
      </c>
      <c r="AB1744">
        <v>332</v>
      </c>
      <c r="AC1744">
        <v>536</v>
      </c>
      <c r="AD1744">
        <v>30.74</v>
      </c>
      <c r="AE1744">
        <v>542</v>
      </c>
      <c r="AF1744">
        <v>30</v>
      </c>
      <c r="AG1744">
        <v>178</v>
      </c>
      <c r="AH1744">
        <v>129</v>
      </c>
      <c r="AI1744">
        <v>5.54</v>
      </c>
      <c r="AJ1744">
        <v>32.840000000000003</v>
      </c>
      <c r="AK1744">
        <v>23.8</v>
      </c>
      <c r="AL1744">
        <v>-20.122693899999941</v>
      </c>
      <c r="AM1744">
        <v>-44.890039706276887</v>
      </c>
      <c r="AN1744">
        <v>-20.122693899999941</v>
      </c>
      <c r="AO1744">
        <v>-44.890039706276887</v>
      </c>
      <c r="AP1744">
        <v>-20.122596999999999</v>
      </c>
      <c r="AQ1744">
        <v>-44.889994999999999</v>
      </c>
      <c r="AR1744">
        <v>11.75557400261394</v>
      </c>
      <c r="AS1744" t="s">
        <v>65</v>
      </c>
      <c r="AT1744">
        <v>1</v>
      </c>
      <c r="AU1744" t="s">
        <v>588</v>
      </c>
      <c r="AV1744" t="s">
        <v>589</v>
      </c>
      <c r="AW1744" t="s">
        <v>60</v>
      </c>
      <c r="AX1744" t="s">
        <v>68</v>
      </c>
      <c r="AY1744" t="s">
        <v>69</v>
      </c>
      <c r="AZ1744" t="b">
        <v>1</v>
      </c>
    </row>
    <row r="1745" spans="1:52" x14ac:dyDescent="0.3">
      <c r="A1745" t="s">
        <v>52</v>
      </c>
      <c r="B1745" t="s">
        <v>53</v>
      </c>
      <c r="C1745" t="s">
        <v>54</v>
      </c>
      <c r="D1745" t="s">
        <v>55</v>
      </c>
      <c r="E1745" t="s">
        <v>2148</v>
      </c>
      <c r="F1745" t="s">
        <v>190</v>
      </c>
      <c r="G1745" t="s">
        <v>590</v>
      </c>
      <c r="H1745" t="s">
        <v>591</v>
      </c>
      <c r="I1745" t="s">
        <v>591</v>
      </c>
      <c r="J1745" t="s">
        <v>60</v>
      </c>
      <c r="K1745" t="s">
        <v>207</v>
      </c>
      <c r="L1745" t="s">
        <v>62</v>
      </c>
      <c r="M1745" t="s">
        <v>207</v>
      </c>
      <c r="N1745" t="s">
        <v>592</v>
      </c>
      <c r="O1745" t="s">
        <v>565</v>
      </c>
      <c r="P1745">
        <v>-20.118652000000001</v>
      </c>
      <c r="Q1745">
        <v>-44.890574999999998</v>
      </c>
      <c r="R1745" s="2" t="str">
        <f>HYPERLINK("https://www.google.com/maps?q=-20.1186520,-44.8905750","Abrir no Google Maps")</f>
        <v>Abrir no Google Maps</v>
      </c>
      <c r="S1745">
        <v>3</v>
      </c>
      <c r="T1745">
        <v>305.97870753615422</v>
      </c>
      <c r="U1745">
        <v>4</v>
      </c>
      <c r="V1745">
        <v>28</v>
      </c>
      <c r="W1745">
        <v>1</v>
      </c>
      <c r="X1745">
        <v>28</v>
      </c>
      <c r="Y1745">
        <v>536</v>
      </c>
      <c r="Z1745">
        <v>368.07356795447242</v>
      </c>
      <c r="AA1745">
        <v>198</v>
      </c>
      <c r="AB1745">
        <v>332</v>
      </c>
      <c r="AC1745">
        <v>536</v>
      </c>
      <c r="AD1745">
        <v>30.74</v>
      </c>
      <c r="AE1745">
        <v>542</v>
      </c>
      <c r="AF1745">
        <v>30</v>
      </c>
      <c r="AG1745">
        <v>178</v>
      </c>
      <c r="AH1745">
        <v>129</v>
      </c>
      <c r="AI1745">
        <v>5.54</v>
      </c>
      <c r="AJ1745">
        <v>32.840000000000003</v>
      </c>
      <c r="AK1745">
        <v>23.8</v>
      </c>
      <c r="AL1745">
        <v>-20.118589699999941</v>
      </c>
      <c r="AM1745">
        <v>-44.890419442196389</v>
      </c>
      <c r="AN1745">
        <v>-20.118589699999941</v>
      </c>
      <c r="AO1745">
        <v>-44.890419442196389</v>
      </c>
      <c r="AP1745">
        <v>-20.118652000000001</v>
      </c>
      <c r="AQ1745">
        <v>-44.890574999999998</v>
      </c>
      <c r="AR1745">
        <v>17.67731866347437</v>
      </c>
      <c r="AS1745" t="s">
        <v>65</v>
      </c>
      <c r="AT1745">
        <v>1</v>
      </c>
      <c r="AU1745" t="s">
        <v>593</v>
      </c>
      <c r="AV1745" t="s">
        <v>594</v>
      </c>
      <c r="AW1745" t="s">
        <v>60</v>
      </c>
      <c r="AX1745" t="s">
        <v>68</v>
      </c>
      <c r="AY1745" t="s">
        <v>69</v>
      </c>
      <c r="AZ1745" t="b">
        <v>1</v>
      </c>
    </row>
    <row r="1746" spans="1:52" x14ac:dyDescent="0.3">
      <c r="A1746" t="s">
        <v>52</v>
      </c>
      <c r="B1746" t="s">
        <v>53</v>
      </c>
      <c r="C1746" t="s">
        <v>54</v>
      </c>
      <c r="D1746" t="s">
        <v>55</v>
      </c>
      <c r="E1746" t="s">
        <v>2148</v>
      </c>
      <c r="F1746" t="s">
        <v>190</v>
      </c>
      <c r="G1746" t="s">
        <v>620</v>
      </c>
      <c r="H1746" t="s">
        <v>621</v>
      </c>
      <c r="I1746" t="s">
        <v>621</v>
      </c>
      <c r="J1746" t="s">
        <v>60</v>
      </c>
      <c r="K1746" t="s">
        <v>207</v>
      </c>
      <c r="L1746" t="s">
        <v>62</v>
      </c>
      <c r="M1746" t="s">
        <v>207</v>
      </c>
      <c r="N1746" t="s">
        <v>622</v>
      </c>
      <c r="O1746" t="s">
        <v>623</v>
      </c>
      <c r="P1746">
        <v>-20.120775999999999</v>
      </c>
      <c r="Q1746">
        <v>-44.885562999999998</v>
      </c>
      <c r="R1746" s="2" t="str">
        <f>HYPERLINK("https://www.google.com/maps?q=-20.1207760,-44.8855630","Abrir no Google Maps")</f>
        <v>Abrir no Google Maps</v>
      </c>
      <c r="S1746">
        <v>3</v>
      </c>
      <c r="T1746">
        <v>332.24231777761912</v>
      </c>
      <c r="U1746">
        <v>4</v>
      </c>
      <c r="V1746">
        <v>24</v>
      </c>
      <c r="W1746">
        <v>1</v>
      </c>
      <c r="X1746">
        <v>24</v>
      </c>
      <c r="Y1746">
        <v>536</v>
      </c>
      <c r="Z1746">
        <v>255.48165096313261</v>
      </c>
      <c r="AA1746">
        <v>198</v>
      </c>
      <c r="AB1746">
        <v>332</v>
      </c>
      <c r="AC1746">
        <v>536</v>
      </c>
      <c r="AD1746">
        <v>30.74</v>
      </c>
      <c r="AE1746">
        <v>542</v>
      </c>
      <c r="AF1746">
        <v>30</v>
      </c>
      <c r="AG1746">
        <v>178</v>
      </c>
      <c r="AH1746">
        <v>129</v>
      </c>
      <c r="AI1746">
        <v>5.54</v>
      </c>
      <c r="AJ1746">
        <v>32.840000000000003</v>
      </c>
      <c r="AK1746">
        <v>23.8</v>
      </c>
      <c r="AL1746">
        <v>-20.120783799999941</v>
      </c>
      <c r="AM1746">
        <v>-44.885629603396453</v>
      </c>
      <c r="AN1746">
        <v>-20.120783799999941</v>
      </c>
      <c r="AO1746">
        <v>-44.885629603396453</v>
      </c>
      <c r="AP1746">
        <v>-20.120775999999999</v>
      </c>
      <c r="AQ1746">
        <v>-44.885562999999998</v>
      </c>
      <c r="AR1746">
        <v>7.0157317818911196</v>
      </c>
      <c r="AS1746" t="s">
        <v>65</v>
      </c>
      <c r="AT1746">
        <v>1</v>
      </c>
      <c r="AU1746" t="s">
        <v>624</v>
      </c>
      <c r="AV1746" t="s">
        <v>619</v>
      </c>
      <c r="AW1746" t="s">
        <v>60</v>
      </c>
      <c r="AX1746" t="s">
        <v>68</v>
      </c>
      <c r="AY1746" t="s">
        <v>69</v>
      </c>
      <c r="AZ1746" t="b">
        <v>1</v>
      </c>
    </row>
    <row r="1747" spans="1:52" x14ac:dyDescent="0.3">
      <c r="A1747" t="s">
        <v>52</v>
      </c>
      <c r="B1747" t="s">
        <v>53</v>
      </c>
      <c r="C1747" t="s">
        <v>54</v>
      </c>
      <c r="D1747" t="s">
        <v>55</v>
      </c>
      <c r="E1747" t="s">
        <v>2148</v>
      </c>
      <c r="F1747" t="s">
        <v>190</v>
      </c>
      <c r="G1747" t="s">
        <v>946</v>
      </c>
      <c r="H1747" t="s">
        <v>947</v>
      </c>
      <c r="I1747" t="s">
        <v>947</v>
      </c>
      <c r="J1747" t="s">
        <v>60</v>
      </c>
      <c r="K1747" t="s">
        <v>193</v>
      </c>
      <c r="L1747" t="s">
        <v>62</v>
      </c>
      <c r="M1747" t="s">
        <v>193</v>
      </c>
      <c r="N1747" t="s">
        <v>948</v>
      </c>
      <c r="O1747" t="s">
        <v>949</v>
      </c>
      <c r="P1747">
        <v>-20.141646000000001</v>
      </c>
      <c r="Q1747">
        <v>-44.920682999999997</v>
      </c>
      <c r="R1747" s="2" t="str">
        <f>HYPERLINK("https://www.google.com/maps?q=-20.1416460,-44.9206830","Abrir no Google Maps")</f>
        <v>Abrir no Google Maps</v>
      </c>
      <c r="S1747">
        <v>3</v>
      </c>
      <c r="T1747">
        <v>538.41742581974165</v>
      </c>
      <c r="U1747">
        <v>4</v>
      </c>
      <c r="V1747">
        <v>25</v>
      </c>
      <c r="W1747">
        <v>1</v>
      </c>
      <c r="X1747">
        <v>25</v>
      </c>
      <c r="Y1747">
        <v>508</v>
      </c>
      <c r="Z1747">
        <v>459.99626097363068</v>
      </c>
      <c r="AA1747">
        <v>198</v>
      </c>
      <c r="AB1747">
        <v>332</v>
      </c>
      <c r="AC1747">
        <v>536</v>
      </c>
      <c r="AD1747">
        <v>30.74</v>
      </c>
      <c r="AE1747">
        <v>542</v>
      </c>
      <c r="AF1747">
        <v>30</v>
      </c>
      <c r="AG1747">
        <v>178</v>
      </c>
      <c r="AH1747">
        <v>129</v>
      </c>
      <c r="AI1747">
        <v>5.54</v>
      </c>
      <c r="AJ1747">
        <v>32.840000000000003</v>
      </c>
      <c r="AK1747">
        <v>23.8</v>
      </c>
      <c r="AL1747">
        <v>-20.141877549999979</v>
      </c>
      <c r="AM1747">
        <v>-44.920658074778594</v>
      </c>
      <c r="AN1747">
        <v>-20.141877549999979</v>
      </c>
      <c r="AO1747">
        <v>-44.920658074778594</v>
      </c>
      <c r="AP1747">
        <v>-20.141646000000001</v>
      </c>
      <c r="AQ1747">
        <v>-44.920682999999997</v>
      </c>
      <c r="AR1747">
        <v>25.907443828287509</v>
      </c>
      <c r="AS1747" t="s">
        <v>65</v>
      </c>
      <c r="AT1747">
        <v>1</v>
      </c>
      <c r="AU1747" t="s">
        <v>950</v>
      </c>
      <c r="AV1747" t="s">
        <v>951</v>
      </c>
      <c r="AW1747" t="s">
        <v>60</v>
      </c>
      <c r="AX1747" t="s">
        <v>68</v>
      </c>
      <c r="AY1747" t="s">
        <v>69</v>
      </c>
      <c r="AZ1747" t="b">
        <v>1</v>
      </c>
    </row>
    <row r="1748" spans="1:52" x14ac:dyDescent="0.3">
      <c r="A1748" t="s">
        <v>52</v>
      </c>
      <c r="B1748" t="s">
        <v>53</v>
      </c>
      <c r="C1748" t="s">
        <v>54</v>
      </c>
      <c r="D1748" t="s">
        <v>55</v>
      </c>
      <c r="E1748" t="s">
        <v>2148</v>
      </c>
      <c r="F1748" t="s">
        <v>190</v>
      </c>
      <c r="G1748" t="s">
        <v>957</v>
      </c>
      <c r="H1748" t="s">
        <v>958</v>
      </c>
      <c r="I1748" t="s">
        <v>958</v>
      </c>
      <c r="J1748" t="s">
        <v>60</v>
      </c>
      <c r="K1748" t="s">
        <v>262</v>
      </c>
      <c r="L1748" t="s">
        <v>62</v>
      </c>
      <c r="M1748" t="s">
        <v>262</v>
      </c>
      <c r="N1748" t="s">
        <v>959</v>
      </c>
      <c r="O1748" t="s">
        <v>960</v>
      </c>
      <c r="P1748">
        <v>-20.165469999999999</v>
      </c>
      <c r="Q1748">
        <v>-44.854308000000003</v>
      </c>
      <c r="R1748" s="2" t="str">
        <f>HYPERLINK("https://www.google.com/maps?q=-20.1654700,-44.8543080","Abrir no Google Maps")</f>
        <v>Abrir no Google Maps</v>
      </c>
      <c r="S1748">
        <v>3</v>
      </c>
      <c r="T1748">
        <v>555.06043712641599</v>
      </c>
      <c r="U1748">
        <v>4</v>
      </c>
      <c r="V1748">
        <v>28</v>
      </c>
      <c r="W1748">
        <v>1</v>
      </c>
      <c r="X1748">
        <v>28</v>
      </c>
      <c r="Y1748">
        <v>491</v>
      </c>
      <c r="Z1748">
        <v>423.16855805320131</v>
      </c>
      <c r="AA1748">
        <v>198</v>
      </c>
      <c r="AB1748">
        <v>332</v>
      </c>
      <c r="AC1748">
        <v>536</v>
      </c>
      <c r="AD1748">
        <v>30.74</v>
      </c>
      <c r="AE1748">
        <v>542</v>
      </c>
      <c r="AF1748">
        <v>30</v>
      </c>
      <c r="AG1748">
        <v>178</v>
      </c>
      <c r="AH1748">
        <v>129</v>
      </c>
      <c r="AI1748">
        <v>5.54</v>
      </c>
      <c r="AJ1748">
        <v>32.840000000000003</v>
      </c>
      <c r="AK1748">
        <v>23.8</v>
      </c>
      <c r="AL1748">
        <v>-20.165538449999961</v>
      </c>
      <c r="AM1748">
        <v>-44.854274624633042</v>
      </c>
      <c r="AN1748">
        <v>-20.165538449999961</v>
      </c>
      <c r="AO1748">
        <v>-44.854274624633042</v>
      </c>
      <c r="AP1748">
        <v>-20.165469999999999</v>
      </c>
      <c r="AQ1748">
        <v>-44.854308000000003</v>
      </c>
      <c r="AR1748">
        <v>8.3800661572970956</v>
      </c>
      <c r="AS1748" t="s">
        <v>65</v>
      </c>
      <c r="AT1748">
        <v>1</v>
      </c>
      <c r="AU1748" t="s">
        <v>961</v>
      </c>
      <c r="AV1748" t="s">
        <v>962</v>
      </c>
      <c r="AW1748" t="s">
        <v>60</v>
      </c>
      <c r="AX1748" t="s">
        <v>68</v>
      </c>
      <c r="AY1748" t="s">
        <v>69</v>
      </c>
      <c r="AZ1748" t="b">
        <v>1</v>
      </c>
    </row>
    <row r="1749" spans="1:52" x14ac:dyDescent="0.3">
      <c r="A1749" t="s">
        <v>52</v>
      </c>
      <c r="B1749" t="s">
        <v>53</v>
      </c>
      <c r="C1749" t="s">
        <v>54</v>
      </c>
      <c r="D1749" t="s">
        <v>55</v>
      </c>
      <c r="E1749" t="s">
        <v>2148</v>
      </c>
      <c r="F1749" t="s">
        <v>190</v>
      </c>
      <c r="G1749" t="s">
        <v>986</v>
      </c>
      <c r="H1749" t="s">
        <v>987</v>
      </c>
      <c r="I1749" t="s">
        <v>987</v>
      </c>
      <c r="J1749" t="s">
        <v>60</v>
      </c>
      <c r="K1749" t="s">
        <v>702</v>
      </c>
      <c r="L1749" t="s">
        <v>62</v>
      </c>
      <c r="M1749" t="s">
        <v>702</v>
      </c>
      <c r="N1749" t="s">
        <v>988</v>
      </c>
      <c r="O1749" t="s">
        <v>989</v>
      </c>
      <c r="P1749">
        <v>-20.1691</v>
      </c>
      <c r="Q1749">
        <v>-44.860813999999998</v>
      </c>
      <c r="R1749" s="2" t="str">
        <f>HYPERLINK("https://www.google.com/maps?q=-20.1691000,-44.8608140","Abrir no Google Maps")</f>
        <v>Abrir no Google Maps</v>
      </c>
      <c r="S1749">
        <v>3</v>
      </c>
      <c r="T1749">
        <v>596.11124105675003</v>
      </c>
      <c r="U1749">
        <v>4</v>
      </c>
      <c r="V1749">
        <v>31</v>
      </c>
      <c r="W1749">
        <v>1</v>
      </c>
      <c r="X1749">
        <v>31</v>
      </c>
      <c r="Y1749">
        <v>491</v>
      </c>
      <c r="Z1749">
        <v>741.65354053819078</v>
      </c>
      <c r="AA1749">
        <v>198</v>
      </c>
      <c r="AB1749">
        <v>332</v>
      </c>
      <c r="AC1749">
        <v>536</v>
      </c>
      <c r="AD1749">
        <v>30.74</v>
      </c>
      <c r="AE1749">
        <v>542</v>
      </c>
      <c r="AF1749">
        <v>30</v>
      </c>
      <c r="AG1749">
        <v>178</v>
      </c>
      <c r="AH1749">
        <v>129</v>
      </c>
      <c r="AI1749">
        <v>5.54</v>
      </c>
      <c r="AJ1749">
        <v>32.840000000000003</v>
      </c>
      <c r="AK1749">
        <v>23.8</v>
      </c>
      <c r="AL1749">
        <v>-20.168995449999951</v>
      </c>
      <c r="AM1749">
        <v>-44.86088900357106</v>
      </c>
      <c r="AN1749">
        <v>-20.168995449999951</v>
      </c>
      <c r="AO1749">
        <v>-44.86088900357106</v>
      </c>
      <c r="AP1749">
        <v>-20.1691</v>
      </c>
      <c r="AQ1749">
        <v>-44.860813999999998</v>
      </c>
      <c r="AR1749">
        <v>14.03138702725616</v>
      </c>
      <c r="AS1749" t="s">
        <v>65</v>
      </c>
      <c r="AT1749">
        <v>1</v>
      </c>
      <c r="AU1749" t="s">
        <v>990</v>
      </c>
      <c r="AV1749" t="s">
        <v>991</v>
      </c>
      <c r="AW1749" t="s">
        <v>60</v>
      </c>
      <c r="AX1749" t="s">
        <v>68</v>
      </c>
      <c r="AY1749" t="s">
        <v>69</v>
      </c>
      <c r="AZ1749" t="b">
        <v>1</v>
      </c>
    </row>
    <row r="1750" spans="1:52" x14ac:dyDescent="0.3">
      <c r="A1750" t="s">
        <v>52</v>
      </c>
      <c r="B1750" t="s">
        <v>53</v>
      </c>
      <c r="C1750" t="s">
        <v>54</v>
      </c>
      <c r="D1750" t="s">
        <v>55</v>
      </c>
      <c r="E1750" t="s">
        <v>2148</v>
      </c>
      <c r="F1750" t="s">
        <v>190</v>
      </c>
      <c r="G1750" t="s">
        <v>643</v>
      </c>
      <c r="H1750" t="s">
        <v>644</v>
      </c>
      <c r="I1750" t="s">
        <v>644</v>
      </c>
      <c r="J1750" t="s">
        <v>60</v>
      </c>
      <c r="K1750" t="s">
        <v>462</v>
      </c>
      <c r="L1750" t="s">
        <v>62</v>
      </c>
      <c r="M1750" t="s">
        <v>462</v>
      </c>
      <c r="N1750" t="s">
        <v>645</v>
      </c>
      <c r="O1750" t="s">
        <v>646</v>
      </c>
      <c r="P1750">
        <v>-20.138680000000001</v>
      </c>
      <c r="Q1750">
        <v>-44.901313000000002</v>
      </c>
      <c r="R1750" s="2" t="str">
        <f>HYPERLINK("https://www.google.com/maps?q=-20.1386800,-44.9013130","Abrir no Google Maps")</f>
        <v>Abrir no Google Maps</v>
      </c>
      <c r="S1750">
        <v>3</v>
      </c>
      <c r="T1750">
        <v>322.91859681380862</v>
      </c>
      <c r="U1750">
        <v>4</v>
      </c>
      <c r="V1750">
        <v>34</v>
      </c>
      <c r="W1750">
        <v>1</v>
      </c>
      <c r="X1750">
        <v>34</v>
      </c>
      <c r="Y1750">
        <v>435</v>
      </c>
      <c r="Z1750">
        <v>299.891766434874</v>
      </c>
      <c r="AA1750">
        <v>198</v>
      </c>
      <c r="AB1750">
        <v>332</v>
      </c>
      <c r="AC1750">
        <v>536</v>
      </c>
      <c r="AD1750">
        <v>30.74</v>
      </c>
      <c r="AE1750">
        <v>542</v>
      </c>
      <c r="AF1750">
        <v>30</v>
      </c>
      <c r="AG1750">
        <v>178</v>
      </c>
      <c r="AH1750">
        <v>129</v>
      </c>
      <c r="AI1750">
        <v>5.54</v>
      </c>
      <c r="AJ1750">
        <v>32.840000000000003</v>
      </c>
      <c r="AK1750">
        <v>23.8</v>
      </c>
      <c r="AL1750">
        <v>-20.13865734999996</v>
      </c>
      <c r="AM1750">
        <v>-44.901255803238627</v>
      </c>
      <c r="AN1750">
        <v>-20.13865734999996</v>
      </c>
      <c r="AO1750">
        <v>-44.901255803238627</v>
      </c>
      <c r="AP1750">
        <v>-20.138680000000001</v>
      </c>
      <c r="AQ1750">
        <v>-44.901313000000002</v>
      </c>
      <c r="AR1750">
        <v>6.4878640135702481</v>
      </c>
      <c r="AS1750" t="s">
        <v>65</v>
      </c>
      <c r="AT1750">
        <v>1</v>
      </c>
      <c r="AU1750" t="s">
        <v>647</v>
      </c>
      <c r="AV1750" t="s">
        <v>648</v>
      </c>
      <c r="AW1750" t="s">
        <v>60</v>
      </c>
      <c r="AX1750" t="s">
        <v>68</v>
      </c>
      <c r="AY1750" t="s">
        <v>69</v>
      </c>
      <c r="AZ1750" t="b">
        <v>1</v>
      </c>
    </row>
    <row r="1751" spans="1:52" x14ac:dyDescent="0.3">
      <c r="A1751" t="s">
        <v>52</v>
      </c>
      <c r="B1751" t="s">
        <v>53</v>
      </c>
      <c r="C1751" t="s">
        <v>54</v>
      </c>
      <c r="D1751" t="s">
        <v>55</v>
      </c>
      <c r="E1751" t="s">
        <v>2148</v>
      </c>
      <c r="F1751" t="s">
        <v>190</v>
      </c>
      <c r="G1751" t="s">
        <v>656</v>
      </c>
      <c r="H1751" t="s">
        <v>657</v>
      </c>
      <c r="I1751" t="s">
        <v>657</v>
      </c>
      <c r="J1751" t="s">
        <v>60</v>
      </c>
      <c r="K1751" t="s">
        <v>651</v>
      </c>
      <c r="L1751" t="s">
        <v>62</v>
      </c>
      <c r="M1751" t="s">
        <v>651</v>
      </c>
      <c r="N1751" t="s">
        <v>658</v>
      </c>
      <c r="O1751" t="s">
        <v>659</v>
      </c>
      <c r="P1751">
        <v>-20.134922</v>
      </c>
      <c r="Q1751">
        <v>-44.893098000000002</v>
      </c>
      <c r="R1751" s="2" t="str">
        <f>HYPERLINK("https://www.google.com/maps?q=-20.1349220,-44.8930980","Abrir no Google Maps")</f>
        <v>Abrir no Google Maps</v>
      </c>
      <c r="S1751">
        <v>3</v>
      </c>
      <c r="T1751">
        <v>589.83980259734562</v>
      </c>
      <c r="U1751">
        <v>4</v>
      </c>
      <c r="V1751">
        <v>40</v>
      </c>
      <c r="W1751">
        <v>1</v>
      </c>
      <c r="X1751">
        <v>40</v>
      </c>
      <c r="Y1751">
        <v>435</v>
      </c>
      <c r="Z1751">
        <v>663.80986080131709</v>
      </c>
      <c r="AA1751">
        <v>198</v>
      </c>
      <c r="AB1751">
        <v>332</v>
      </c>
      <c r="AC1751">
        <v>536</v>
      </c>
      <c r="AD1751">
        <v>30.74</v>
      </c>
      <c r="AE1751">
        <v>542</v>
      </c>
      <c r="AF1751">
        <v>30</v>
      </c>
      <c r="AG1751">
        <v>178</v>
      </c>
      <c r="AH1751">
        <v>129</v>
      </c>
      <c r="AI1751">
        <v>5.54</v>
      </c>
      <c r="AJ1751">
        <v>32.840000000000003</v>
      </c>
      <c r="AK1751">
        <v>23.8</v>
      </c>
      <c r="AL1751">
        <v>-20.135021049999949</v>
      </c>
      <c r="AM1751">
        <v>-44.893227478208203</v>
      </c>
      <c r="AN1751">
        <v>-20.135021049999949</v>
      </c>
      <c r="AO1751">
        <v>-44.893227478208203</v>
      </c>
      <c r="AP1751">
        <v>-20.134922</v>
      </c>
      <c r="AQ1751">
        <v>-44.893098000000002</v>
      </c>
      <c r="AR1751">
        <v>17.455940349902249</v>
      </c>
      <c r="AS1751" t="s">
        <v>65</v>
      </c>
      <c r="AT1751">
        <v>1</v>
      </c>
      <c r="AU1751" t="s">
        <v>660</v>
      </c>
      <c r="AV1751" t="s">
        <v>661</v>
      </c>
      <c r="AW1751" t="s">
        <v>60</v>
      </c>
      <c r="AX1751" t="s">
        <v>68</v>
      </c>
      <c r="AY1751" t="s">
        <v>69</v>
      </c>
      <c r="AZ1751" t="b">
        <v>1</v>
      </c>
    </row>
    <row r="1752" spans="1:52" x14ac:dyDescent="0.3">
      <c r="A1752" t="s">
        <v>52</v>
      </c>
      <c r="B1752" t="s">
        <v>53</v>
      </c>
      <c r="C1752" t="s">
        <v>54</v>
      </c>
      <c r="D1752" t="s">
        <v>55</v>
      </c>
      <c r="E1752" t="s">
        <v>2148</v>
      </c>
      <c r="F1752" t="s">
        <v>190</v>
      </c>
      <c r="G1752" t="s">
        <v>669</v>
      </c>
      <c r="H1752" t="s">
        <v>670</v>
      </c>
      <c r="I1752" t="s">
        <v>670</v>
      </c>
      <c r="J1752" t="s">
        <v>60</v>
      </c>
      <c r="K1752" t="s">
        <v>530</v>
      </c>
      <c r="L1752" t="s">
        <v>62</v>
      </c>
      <c r="M1752" t="s">
        <v>530</v>
      </c>
      <c r="N1752" t="s">
        <v>671</v>
      </c>
      <c r="O1752" t="s">
        <v>672</v>
      </c>
      <c r="P1752">
        <v>-20.139036999999998</v>
      </c>
      <c r="Q1752">
        <v>-44.889187</v>
      </c>
      <c r="R1752" s="2" t="str">
        <f>HYPERLINK("https://www.google.com/maps?q=-20.1390370,-44.8891870","Abrir no Google Maps")</f>
        <v>Abrir no Google Maps</v>
      </c>
      <c r="S1752">
        <v>3</v>
      </c>
      <c r="T1752">
        <v>162.03713995333371</v>
      </c>
      <c r="U1752">
        <v>4</v>
      </c>
      <c r="V1752">
        <v>25</v>
      </c>
      <c r="W1752">
        <v>1</v>
      </c>
      <c r="X1752">
        <v>25</v>
      </c>
      <c r="Y1752">
        <v>428</v>
      </c>
      <c r="Z1752">
        <v>126.21352118044651</v>
      </c>
      <c r="AA1752">
        <v>198</v>
      </c>
      <c r="AB1752">
        <v>332</v>
      </c>
      <c r="AC1752">
        <v>536</v>
      </c>
      <c r="AD1752">
        <v>30.74</v>
      </c>
      <c r="AE1752">
        <v>542</v>
      </c>
      <c r="AF1752">
        <v>30</v>
      </c>
      <c r="AG1752">
        <v>178</v>
      </c>
      <c r="AH1752">
        <v>129</v>
      </c>
      <c r="AI1752">
        <v>5.54</v>
      </c>
      <c r="AJ1752">
        <v>32.840000000000003</v>
      </c>
      <c r="AK1752">
        <v>23.8</v>
      </c>
      <c r="AL1752">
        <v>-20.13900394999996</v>
      </c>
      <c r="AM1752">
        <v>-44.889298503583859</v>
      </c>
      <c r="AN1752">
        <v>-20.13900394999996</v>
      </c>
      <c r="AO1752">
        <v>-44.889298503583859</v>
      </c>
      <c r="AP1752">
        <v>-20.139036999999998</v>
      </c>
      <c r="AQ1752">
        <v>-44.889187</v>
      </c>
      <c r="AR1752">
        <v>12.220642731957311</v>
      </c>
      <c r="AS1752" t="s">
        <v>65</v>
      </c>
      <c r="AT1752">
        <v>1</v>
      </c>
      <c r="AU1752" t="s">
        <v>673</v>
      </c>
      <c r="AV1752" t="s">
        <v>674</v>
      </c>
      <c r="AW1752" t="s">
        <v>60</v>
      </c>
      <c r="AX1752" t="s">
        <v>68</v>
      </c>
      <c r="AY1752" t="s">
        <v>69</v>
      </c>
      <c r="AZ1752" t="b">
        <v>1</v>
      </c>
    </row>
    <row r="1753" spans="1:52" x14ac:dyDescent="0.3">
      <c r="A1753" t="s">
        <v>52</v>
      </c>
      <c r="B1753" t="s">
        <v>53</v>
      </c>
      <c r="C1753" t="s">
        <v>54</v>
      </c>
      <c r="D1753" t="s">
        <v>55</v>
      </c>
      <c r="E1753" t="s">
        <v>2148</v>
      </c>
      <c r="F1753" t="s">
        <v>190</v>
      </c>
      <c r="G1753" t="s">
        <v>675</v>
      </c>
      <c r="H1753" t="s">
        <v>676</v>
      </c>
      <c r="I1753" t="s">
        <v>676</v>
      </c>
      <c r="J1753" t="s">
        <v>60</v>
      </c>
      <c r="K1753" t="s">
        <v>530</v>
      </c>
      <c r="L1753" t="s">
        <v>62</v>
      </c>
      <c r="M1753" t="s">
        <v>530</v>
      </c>
      <c r="N1753" t="s">
        <v>677</v>
      </c>
      <c r="O1753" t="s">
        <v>678</v>
      </c>
      <c r="P1753">
        <v>-20.140103</v>
      </c>
      <c r="Q1753">
        <v>-44.887059999999998</v>
      </c>
      <c r="R1753" s="2" t="str">
        <f>HYPERLINK("https://www.google.com/maps?q=-20.1401030,-44.8870600","Abrir no Google Maps")</f>
        <v>Abrir no Google Maps</v>
      </c>
      <c r="S1753">
        <v>3</v>
      </c>
      <c r="T1753">
        <v>202.19329492684349</v>
      </c>
      <c r="U1753">
        <v>4</v>
      </c>
      <c r="V1753">
        <v>26</v>
      </c>
      <c r="W1753">
        <v>1</v>
      </c>
      <c r="X1753">
        <v>26</v>
      </c>
      <c r="Y1753">
        <v>428</v>
      </c>
      <c r="Z1753">
        <v>144.95603883960419</v>
      </c>
      <c r="AA1753">
        <v>198</v>
      </c>
      <c r="AB1753">
        <v>332</v>
      </c>
      <c r="AC1753">
        <v>536</v>
      </c>
      <c r="AD1753">
        <v>30.74</v>
      </c>
      <c r="AE1753">
        <v>542</v>
      </c>
      <c r="AF1753">
        <v>30</v>
      </c>
      <c r="AG1753">
        <v>178</v>
      </c>
      <c r="AH1753">
        <v>129</v>
      </c>
      <c r="AI1753">
        <v>5.54</v>
      </c>
      <c r="AJ1753">
        <v>32.840000000000003</v>
      </c>
      <c r="AK1753">
        <v>23.8</v>
      </c>
      <c r="AL1753">
        <v>-20.13997164999995</v>
      </c>
      <c r="AM1753">
        <v>-44.887075246455773</v>
      </c>
      <c r="AN1753">
        <v>-20.13997164999995</v>
      </c>
      <c r="AO1753">
        <v>-44.887075246455773</v>
      </c>
      <c r="AP1753">
        <v>-20.140103</v>
      </c>
      <c r="AQ1753">
        <v>-44.887059999999998</v>
      </c>
      <c r="AR1753">
        <v>14.7084512385181</v>
      </c>
      <c r="AS1753" t="s">
        <v>65</v>
      </c>
      <c r="AT1753">
        <v>1</v>
      </c>
      <c r="AU1753" t="s">
        <v>679</v>
      </c>
      <c r="AV1753" t="s">
        <v>680</v>
      </c>
      <c r="AW1753" t="s">
        <v>60</v>
      </c>
      <c r="AX1753" t="s">
        <v>68</v>
      </c>
      <c r="AY1753" t="s">
        <v>69</v>
      </c>
      <c r="AZ1753" t="b">
        <v>1</v>
      </c>
    </row>
    <row r="1754" spans="1:52" x14ac:dyDescent="0.3">
      <c r="A1754" t="s">
        <v>52</v>
      </c>
      <c r="B1754" t="s">
        <v>53</v>
      </c>
      <c r="C1754" t="s">
        <v>54</v>
      </c>
      <c r="D1754" t="s">
        <v>55</v>
      </c>
      <c r="E1754" t="s">
        <v>2148</v>
      </c>
      <c r="F1754" t="s">
        <v>190</v>
      </c>
      <c r="G1754" t="s">
        <v>681</v>
      </c>
      <c r="H1754" t="s">
        <v>682</v>
      </c>
      <c r="I1754" t="s">
        <v>682</v>
      </c>
      <c r="J1754" t="s">
        <v>60</v>
      </c>
      <c r="K1754" t="s">
        <v>530</v>
      </c>
      <c r="L1754" t="s">
        <v>62</v>
      </c>
      <c r="M1754" t="s">
        <v>530</v>
      </c>
      <c r="N1754" t="s">
        <v>683</v>
      </c>
      <c r="O1754" t="s">
        <v>173</v>
      </c>
      <c r="P1754">
        <v>-20.138342999999999</v>
      </c>
      <c r="Q1754">
        <v>-44.887732</v>
      </c>
      <c r="R1754" s="2" t="str">
        <f>HYPERLINK("https://www.google.com/maps?q=-20.1383430,-44.8877320","Abrir no Google Maps")</f>
        <v>Abrir no Google Maps</v>
      </c>
      <c r="S1754">
        <v>3</v>
      </c>
      <c r="T1754">
        <v>0</v>
      </c>
      <c r="U1754">
        <v>4</v>
      </c>
      <c r="V1754">
        <v>31</v>
      </c>
      <c r="W1754">
        <v>1</v>
      </c>
      <c r="X1754">
        <v>31</v>
      </c>
      <c r="Y1754">
        <v>428</v>
      </c>
      <c r="Z1754">
        <v>82.685534812530861</v>
      </c>
      <c r="AA1754">
        <v>198</v>
      </c>
      <c r="AB1754">
        <v>332</v>
      </c>
      <c r="AC1754">
        <v>536</v>
      </c>
      <c r="AD1754">
        <v>30.74</v>
      </c>
      <c r="AE1754">
        <v>542</v>
      </c>
      <c r="AF1754">
        <v>30</v>
      </c>
      <c r="AG1754">
        <v>178</v>
      </c>
      <c r="AH1754">
        <v>129</v>
      </c>
      <c r="AI1754">
        <v>5.54</v>
      </c>
      <c r="AJ1754">
        <v>32.840000000000003</v>
      </c>
      <c r="AK1754">
        <v>23.8</v>
      </c>
      <c r="AL1754">
        <v>-20.138329099999961</v>
      </c>
      <c r="AM1754">
        <v>-44.887922589375549</v>
      </c>
      <c r="AN1754">
        <v>-20.138329099999961</v>
      </c>
      <c r="AO1754">
        <v>-44.887922589375549</v>
      </c>
      <c r="AP1754">
        <v>-20.138342999999999</v>
      </c>
      <c r="AQ1754">
        <v>-44.887732</v>
      </c>
      <c r="AR1754">
        <v>19.979335127307191</v>
      </c>
      <c r="AS1754" t="s">
        <v>65</v>
      </c>
      <c r="AT1754">
        <v>1</v>
      </c>
      <c r="AU1754" t="s">
        <v>684</v>
      </c>
      <c r="AV1754" t="s">
        <v>685</v>
      </c>
      <c r="AW1754" t="s">
        <v>60</v>
      </c>
      <c r="AX1754" t="s">
        <v>68</v>
      </c>
      <c r="AY1754" t="s">
        <v>69</v>
      </c>
      <c r="AZ1754" t="b">
        <v>1</v>
      </c>
    </row>
    <row r="1755" spans="1:52" x14ac:dyDescent="0.3">
      <c r="A1755" t="s">
        <v>52</v>
      </c>
      <c r="B1755" t="s">
        <v>53</v>
      </c>
      <c r="C1755" t="s">
        <v>54</v>
      </c>
      <c r="D1755" t="s">
        <v>55</v>
      </c>
      <c r="E1755" t="s">
        <v>2148</v>
      </c>
      <c r="F1755" t="s">
        <v>190</v>
      </c>
      <c r="G1755" t="s">
        <v>686</v>
      </c>
      <c r="H1755" t="s">
        <v>687</v>
      </c>
      <c r="I1755" t="s">
        <v>687</v>
      </c>
      <c r="J1755" t="s">
        <v>60</v>
      </c>
      <c r="K1755" t="s">
        <v>688</v>
      </c>
      <c r="L1755" t="s">
        <v>62</v>
      </c>
      <c r="M1755" t="s">
        <v>688</v>
      </c>
      <c r="N1755" t="s">
        <v>689</v>
      </c>
      <c r="O1755" t="s">
        <v>690</v>
      </c>
      <c r="P1755">
        <v>-20.136451999999998</v>
      </c>
      <c r="Q1755">
        <v>-44.891254000000004</v>
      </c>
      <c r="R1755" s="2" t="str">
        <f>HYPERLINK("https://www.google.com/maps?q=-20.1364520,-44.8912540","Abrir no Google Maps")</f>
        <v>Abrir no Google Maps</v>
      </c>
      <c r="S1755">
        <v>3</v>
      </c>
      <c r="T1755">
        <v>397.58661308638909</v>
      </c>
      <c r="U1755">
        <v>4</v>
      </c>
      <c r="V1755">
        <v>26</v>
      </c>
      <c r="W1755">
        <v>1</v>
      </c>
      <c r="X1755">
        <v>26</v>
      </c>
      <c r="Y1755">
        <v>428</v>
      </c>
      <c r="Z1755">
        <v>449.62002896840892</v>
      </c>
      <c r="AA1755">
        <v>198</v>
      </c>
      <c r="AB1755">
        <v>332</v>
      </c>
      <c r="AC1755">
        <v>536</v>
      </c>
      <c r="AD1755">
        <v>30.74</v>
      </c>
      <c r="AE1755">
        <v>542</v>
      </c>
      <c r="AF1755">
        <v>30</v>
      </c>
      <c r="AG1755">
        <v>178</v>
      </c>
      <c r="AH1755">
        <v>129</v>
      </c>
      <c r="AI1755">
        <v>5.54</v>
      </c>
      <c r="AJ1755">
        <v>32.840000000000003</v>
      </c>
      <c r="AK1755">
        <v>23.8</v>
      </c>
      <c r="AL1755">
        <v>-20.136400499999951</v>
      </c>
      <c r="AM1755">
        <v>-44.891173264034883</v>
      </c>
      <c r="AN1755">
        <v>-20.136400499999951</v>
      </c>
      <c r="AO1755">
        <v>-44.891173264034883</v>
      </c>
      <c r="AP1755">
        <v>-20.136451999999998</v>
      </c>
      <c r="AQ1755">
        <v>-44.891254000000004</v>
      </c>
      <c r="AR1755">
        <v>10.20146066113916</v>
      </c>
      <c r="AS1755" t="s">
        <v>65</v>
      </c>
      <c r="AT1755">
        <v>1</v>
      </c>
      <c r="AU1755" t="s">
        <v>691</v>
      </c>
      <c r="AV1755" t="s">
        <v>692</v>
      </c>
      <c r="AW1755" t="s">
        <v>60</v>
      </c>
      <c r="AX1755" t="s">
        <v>68</v>
      </c>
      <c r="AY1755" t="s">
        <v>69</v>
      </c>
      <c r="AZ1755" t="b">
        <v>1</v>
      </c>
    </row>
    <row r="1756" spans="1:52" x14ac:dyDescent="0.3">
      <c r="A1756" t="s">
        <v>52</v>
      </c>
      <c r="B1756" t="s">
        <v>53</v>
      </c>
      <c r="C1756" t="s">
        <v>54</v>
      </c>
      <c r="D1756" t="s">
        <v>55</v>
      </c>
      <c r="E1756" t="s">
        <v>2148</v>
      </c>
      <c r="F1756" t="s">
        <v>190</v>
      </c>
      <c r="G1756" t="s">
        <v>1014</v>
      </c>
      <c r="H1756" t="s">
        <v>1015</v>
      </c>
      <c r="I1756" t="s">
        <v>1015</v>
      </c>
      <c r="J1756" t="s">
        <v>60</v>
      </c>
      <c r="K1756" t="s">
        <v>1016</v>
      </c>
      <c r="L1756" t="s">
        <v>62</v>
      </c>
      <c r="M1756" t="s">
        <v>1016</v>
      </c>
      <c r="N1756" t="s">
        <v>1017</v>
      </c>
      <c r="O1756" t="s">
        <v>1018</v>
      </c>
      <c r="P1756">
        <v>-20.174461000000001</v>
      </c>
      <c r="Q1756">
        <v>-44.868710999999998</v>
      </c>
      <c r="R1756" s="2" t="str">
        <f>HYPERLINK("https://www.google.com/maps?q=-20.1744610,-44.8687110","Abrir no Google Maps")</f>
        <v>Abrir no Google Maps</v>
      </c>
      <c r="S1756">
        <v>3</v>
      </c>
      <c r="T1756">
        <v>435.39504742850158</v>
      </c>
      <c r="U1756">
        <v>4</v>
      </c>
      <c r="V1756">
        <v>32</v>
      </c>
      <c r="W1756">
        <v>1</v>
      </c>
      <c r="X1756">
        <v>32</v>
      </c>
      <c r="Y1756">
        <v>422</v>
      </c>
      <c r="Z1756">
        <v>264.99958639233438</v>
      </c>
      <c r="AA1756">
        <v>198</v>
      </c>
      <c r="AB1756">
        <v>332</v>
      </c>
      <c r="AC1756">
        <v>536</v>
      </c>
      <c r="AD1756">
        <v>30.74</v>
      </c>
      <c r="AE1756">
        <v>542</v>
      </c>
      <c r="AF1756">
        <v>30</v>
      </c>
      <c r="AG1756">
        <v>178</v>
      </c>
      <c r="AH1756">
        <v>129</v>
      </c>
      <c r="AI1756">
        <v>5.54</v>
      </c>
      <c r="AJ1756">
        <v>32.840000000000003</v>
      </c>
      <c r="AK1756">
        <v>23.8</v>
      </c>
      <c r="AL1756">
        <v>-20.174459749999951</v>
      </c>
      <c r="AM1756">
        <v>-44.868877789186897</v>
      </c>
      <c r="AN1756">
        <v>-20.174459749999951</v>
      </c>
      <c r="AO1756">
        <v>-44.868877789186897</v>
      </c>
      <c r="AP1756">
        <v>-20.174461000000001</v>
      </c>
      <c r="AQ1756">
        <v>-44.868710999999998</v>
      </c>
      <c r="AR1756">
        <v>17.42838555603738</v>
      </c>
      <c r="AS1756" t="s">
        <v>65</v>
      </c>
      <c r="AT1756">
        <v>1</v>
      </c>
      <c r="AU1756" t="s">
        <v>1019</v>
      </c>
      <c r="AV1756" t="s">
        <v>1020</v>
      </c>
      <c r="AW1756" t="s">
        <v>60</v>
      </c>
      <c r="AX1756" t="s">
        <v>68</v>
      </c>
      <c r="AY1756" t="s">
        <v>69</v>
      </c>
      <c r="AZ1756" t="b">
        <v>1</v>
      </c>
    </row>
    <row r="1757" spans="1:52" x14ac:dyDescent="0.3">
      <c r="A1757" t="s">
        <v>52</v>
      </c>
      <c r="B1757" t="s">
        <v>53</v>
      </c>
      <c r="C1757" t="s">
        <v>54</v>
      </c>
      <c r="D1757" t="s">
        <v>55</v>
      </c>
      <c r="E1757" t="s">
        <v>2148</v>
      </c>
      <c r="F1757" t="s">
        <v>190</v>
      </c>
      <c r="G1757" t="s">
        <v>1021</v>
      </c>
      <c r="H1757" t="s">
        <v>1022</v>
      </c>
      <c r="I1757" t="s">
        <v>1022</v>
      </c>
      <c r="J1757" t="s">
        <v>60</v>
      </c>
      <c r="K1757" t="s">
        <v>1023</v>
      </c>
      <c r="L1757" t="s">
        <v>62</v>
      </c>
      <c r="M1757" t="s">
        <v>1023</v>
      </c>
      <c r="N1757" t="s">
        <v>1024</v>
      </c>
      <c r="O1757" t="s">
        <v>1025</v>
      </c>
      <c r="P1757">
        <v>-20.169588999999998</v>
      </c>
      <c r="Q1757">
        <v>-44.866636</v>
      </c>
      <c r="R1757" s="2" t="str">
        <f>HYPERLINK("https://www.google.com/maps?q=-20.1695890,-44.8666360","Abrir no Google Maps")</f>
        <v>Abrir no Google Maps</v>
      </c>
      <c r="S1757">
        <v>3</v>
      </c>
      <c r="T1757">
        <v>326.02709617860302</v>
      </c>
      <c r="U1757">
        <v>4</v>
      </c>
      <c r="V1757">
        <v>39</v>
      </c>
      <c r="W1757">
        <v>1</v>
      </c>
      <c r="X1757">
        <v>39</v>
      </c>
      <c r="Y1757">
        <v>422</v>
      </c>
      <c r="Z1757">
        <v>333.05362278862168</v>
      </c>
      <c r="AA1757">
        <v>198</v>
      </c>
      <c r="AB1757">
        <v>332</v>
      </c>
      <c r="AC1757">
        <v>536</v>
      </c>
      <c r="AD1757">
        <v>30.74</v>
      </c>
      <c r="AE1757">
        <v>542</v>
      </c>
      <c r="AF1757">
        <v>30</v>
      </c>
      <c r="AG1757">
        <v>178</v>
      </c>
      <c r="AH1757">
        <v>129</v>
      </c>
      <c r="AI1757">
        <v>5.54</v>
      </c>
      <c r="AJ1757">
        <v>32.840000000000003</v>
      </c>
      <c r="AK1757">
        <v>23.8</v>
      </c>
      <c r="AL1757">
        <v>-20.16956104999997</v>
      </c>
      <c r="AM1757">
        <v>-44.866560528183591</v>
      </c>
      <c r="AN1757">
        <v>-20.16956104999997</v>
      </c>
      <c r="AO1757">
        <v>-44.866560528183591</v>
      </c>
      <c r="AP1757">
        <v>-20.169588999999998</v>
      </c>
      <c r="AQ1757">
        <v>-44.866636</v>
      </c>
      <c r="AR1757">
        <v>8.4778927137831293</v>
      </c>
      <c r="AS1757" t="s">
        <v>65</v>
      </c>
      <c r="AT1757">
        <v>1</v>
      </c>
      <c r="AU1757" t="s">
        <v>1026</v>
      </c>
      <c r="AV1757" t="s">
        <v>1027</v>
      </c>
      <c r="AW1757" t="s">
        <v>60</v>
      </c>
      <c r="AX1757" t="s">
        <v>68</v>
      </c>
      <c r="AY1757" t="s">
        <v>69</v>
      </c>
      <c r="AZ1757" t="b">
        <v>1</v>
      </c>
    </row>
    <row r="1758" spans="1:52" x14ac:dyDescent="0.3">
      <c r="A1758" t="s">
        <v>52</v>
      </c>
      <c r="B1758" t="s">
        <v>53</v>
      </c>
      <c r="C1758" t="s">
        <v>54</v>
      </c>
      <c r="D1758" t="s">
        <v>55</v>
      </c>
      <c r="E1758" t="s">
        <v>2148</v>
      </c>
      <c r="F1758" t="s">
        <v>190</v>
      </c>
      <c r="G1758" t="s">
        <v>1028</v>
      </c>
      <c r="H1758" t="s">
        <v>1029</v>
      </c>
      <c r="I1758" t="s">
        <v>1029</v>
      </c>
      <c r="J1758" t="s">
        <v>60</v>
      </c>
      <c r="K1758" t="s">
        <v>1016</v>
      </c>
      <c r="L1758" t="s">
        <v>62</v>
      </c>
      <c r="M1758" t="s">
        <v>1016</v>
      </c>
      <c r="N1758" t="s">
        <v>1030</v>
      </c>
      <c r="O1758" t="s">
        <v>855</v>
      </c>
      <c r="P1758">
        <v>-20.169778000000001</v>
      </c>
      <c r="Q1758">
        <v>-44.871940000000002</v>
      </c>
      <c r="R1758" s="2" t="str">
        <f>HYPERLINK("https://www.google.com/maps?q=-20.1697780,-44.8719400","Abrir no Google Maps")</f>
        <v>Abrir no Google Maps</v>
      </c>
      <c r="S1758">
        <v>3</v>
      </c>
      <c r="T1758">
        <v>730.45462447863167</v>
      </c>
      <c r="U1758">
        <v>4</v>
      </c>
      <c r="V1758">
        <v>32</v>
      </c>
      <c r="W1758">
        <v>1</v>
      </c>
      <c r="X1758">
        <v>32</v>
      </c>
      <c r="Y1758">
        <v>422</v>
      </c>
      <c r="Z1758">
        <v>600.74952959765801</v>
      </c>
      <c r="AA1758">
        <v>198</v>
      </c>
      <c r="AB1758">
        <v>332</v>
      </c>
      <c r="AC1758">
        <v>536</v>
      </c>
      <c r="AD1758">
        <v>30.74</v>
      </c>
      <c r="AE1758">
        <v>542</v>
      </c>
      <c r="AF1758">
        <v>30</v>
      </c>
      <c r="AG1758">
        <v>178</v>
      </c>
      <c r="AH1758">
        <v>129</v>
      </c>
      <c r="AI1758">
        <v>5.54</v>
      </c>
      <c r="AJ1758">
        <v>32.840000000000003</v>
      </c>
      <c r="AK1758">
        <v>23.8</v>
      </c>
      <c r="AL1758">
        <v>-20.169770599999961</v>
      </c>
      <c r="AM1758">
        <v>-44.871857291666629</v>
      </c>
      <c r="AN1758">
        <v>-20.169770599999961</v>
      </c>
      <c r="AO1758">
        <v>-44.871857291666629</v>
      </c>
      <c r="AP1758">
        <v>-20.169778000000001</v>
      </c>
      <c r="AQ1758">
        <v>-44.871940000000002</v>
      </c>
      <c r="AR1758">
        <v>8.6816379320830315</v>
      </c>
      <c r="AS1758" t="s">
        <v>65</v>
      </c>
      <c r="AT1758">
        <v>1</v>
      </c>
      <c r="AU1758" t="s">
        <v>1031</v>
      </c>
      <c r="AV1758" t="s">
        <v>1032</v>
      </c>
      <c r="AW1758" t="s">
        <v>60</v>
      </c>
      <c r="AX1758" t="s">
        <v>68</v>
      </c>
      <c r="AY1758" t="s">
        <v>69</v>
      </c>
      <c r="AZ1758" t="b">
        <v>1</v>
      </c>
    </row>
    <row r="1759" spans="1:52" x14ac:dyDescent="0.3">
      <c r="A1759" t="s">
        <v>52</v>
      </c>
      <c r="B1759" t="s">
        <v>53</v>
      </c>
      <c r="C1759" t="s">
        <v>54</v>
      </c>
      <c r="D1759" t="s">
        <v>55</v>
      </c>
      <c r="E1759" t="s">
        <v>2148</v>
      </c>
      <c r="F1759" t="s">
        <v>190</v>
      </c>
      <c r="G1759" t="s">
        <v>1033</v>
      </c>
      <c r="H1759" t="s">
        <v>1034</v>
      </c>
      <c r="I1759" t="s">
        <v>1034</v>
      </c>
      <c r="J1759" t="s">
        <v>60</v>
      </c>
      <c r="K1759" t="s">
        <v>1016</v>
      </c>
      <c r="L1759" t="s">
        <v>62</v>
      </c>
      <c r="M1759" t="s">
        <v>1016</v>
      </c>
      <c r="N1759" t="s">
        <v>1035</v>
      </c>
      <c r="O1759" t="s">
        <v>1036</v>
      </c>
      <c r="P1759">
        <v>-20.176404999999999</v>
      </c>
      <c r="Q1759">
        <v>-44.871102</v>
      </c>
      <c r="R1759" s="2" t="str">
        <f>HYPERLINK("https://www.google.com/maps?q=-20.1764050,-44.8711020","Abrir no Google Maps")</f>
        <v>Abrir no Google Maps</v>
      </c>
      <c r="S1759">
        <v>3</v>
      </c>
      <c r="T1759">
        <v>746.17794449655105</v>
      </c>
      <c r="U1759">
        <v>4</v>
      </c>
      <c r="V1759">
        <v>32</v>
      </c>
      <c r="W1759">
        <v>1</v>
      </c>
      <c r="X1759">
        <v>32</v>
      </c>
      <c r="Y1759">
        <v>422</v>
      </c>
      <c r="Z1759">
        <v>532.61564453099913</v>
      </c>
      <c r="AA1759">
        <v>198</v>
      </c>
      <c r="AB1759">
        <v>332</v>
      </c>
      <c r="AC1759">
        <v>536</v>
      </c>
      <c r="AD1759">
        <v>30.74</v>
      </c>
      <c r="AE1759">
        <v>542</v>
      </c>
      <c r="AF1759">
        <v>30</v>
      </c>
      <c r="AG1759">
        <v>178</v>
      </c>
      <c r="AH1759">
        <v>129</v>
      </c>
      <c r="AI1759">
        <v>5.54</v>
      </c>
      <c r="AJ1759">
        <v>32.840000000000003</v>
      </c>
      <c r="AK1759">
        <v>23.8</v>
      </c>
      <c r="AL1759">
        <v>-20.176464949999971</v>
      </c>
      <c r="AM1759">
        <v>-44.871010194676387</v>
      </c>
      <c r="AN1759">
        <v>-20.176464949999971</v>
      </c>
      <c r="AO1759">
        <v>-44.871010194676387</v>
      </c>
      <c r="AP1759">
        <v>-20.176404999999999</v>
      </c>
      <c r="AQ1759">
        <v>-44.871102</v>
      </c>
      <c r="AR1759">
        <v>11.68571547850415</v>
      </c>
      <c r="AS1759" t="s">
        <v>65</v>
      </c>
      <c r="AT1759">
        <v>1</v>
      </c>
      <c r="AU1759" t="s">
        <v>1037</v>
      </c>
      <c r="AV1759" t="s">
        <v>1038</v>
      </c>
      <c r="AW1759" t="s">
        <v>60</v>
      </c>
      <c r="AX1759" t="s">
        <v>68</v>
      </c>
      <c r="AY1759" t="s">
        <v>69</v>
      </c>
      <c r="AZ1759" t="b">
        <v>1</v>
      </c>
    </row>
    <row r="1760" spans="1:52" x14ac:dyDescent="0.3">
      <c r="A1760" t="s">
        <v>52</v>
      </c>
      <c r="B1760" t="s">
        <v>53</v>
      </c>
      <c r="C1760" t="s">
        <v>54</v>
      </c>
      <c r="D1760" t="s">
        <v>55</v>
      </c>
      <c r="E1760" t="s">
        <v>2148</v>
      </c>
      <c r="F1760" t="s">
        <v>190</v>
      </c>
      <c r="G1760" t="s">
        <v>693</v>
      </c>
      <c r="H1760" t="s">
        <v>694</v>
      </c>
      <c r="I1760" t="s">
        <v>694</v>
      </c>
      <c r="J1760" t="s">
        <v>60</v>
      </c>
      <c r="K1760" t="s">
        <v>695</v>
      </c>
      <c r="L1760" t="s">
        <v>62</v>
      </c>
      <c r="M1760" t="s">
        <v>695</v>
      </c>
      <c r="N1760" t="s">
        <v>696</v>
      </c>
      <c r="O1760" t="s">
        <v>697</v>
      </c>
      <c r="P1760">
        <v>-20.174917000000001</v>
      </c>
      <c r="Q1760">
        <v>-44.857677000000002</v>
      </c>
      <c r="R1760" s="2" t="str">
        <f>HYPERLINK("https://www.google.com/maps?q=-20.1749170,-44.8576770","Abrir no Google Maps")</f>
        <v>Abrir no Google Maps</v>
      </c>
      <c r="S1760">
        <v>3</v>
      </c>
      <c r="T1760">
        <v>850.52349144267646</v>
      </c>
      <c r="U1760">
        <v>4</v>
      </c>
      <c r="V1760">
        <v>37</v>
      </c>
      <c r="W1760">
        <v>1</v>
      </c>
      <c r="X1760">
        <v>37</v>
      </c>
      <c r="Y1760">
        <v>422</v>
      </c>
      <c r="Z1760">
        <v>1042.4685698911451</v>
      </c>
      <c r="AA1760">
        <v>198</v>
      </c>
      <c r="AB1760">
        <v>332</v>
      </c>
      <c r="AC1760">
        <v>536</v>
      </c>
      <c r="AD1760">
        <v>30.74</v>
      </c>
      <c r="AE1760">
        <v>542</v>
      </c>
      <c r="AF1760">
        <v>30</v>
      </c>
      <c r="AG1760">
        <v>178</v>
      </c>
      <c r="AH1760">
        <v>129</v>
      </c>
      <c r="AI1760">
        <v>5.54</v>
      </c>
      <c r="AJ1760">
        <v>32.840000000000003</v>
      </c>
      <c r="AK1760">
        <v>23.8</v>
      </c>
      <c r="AL1760">
        <v>-20.17483459999994</v>
      </c>
      <c r="AM1760">
        <v>-44.857715667542379</v>
      </c>
      <c r="AN1760">
        <v>-20.17483459999994</v>
      </c>
      <c r="AO1760">
        <v>-44.857715667542379</v>
      </c>
      <c r="AP1760">
        <v>-20.174917000000001</v>
      </c>
      <c r="AQ1760">
        <v>-44.857677000000002</v>
      </c>
      <c r="AR1760">
        <v>10.02318555136439</v>
      </c>
      <c r="AS1760" t="s">
        <v>65</v>
      </c>
      <c r="AT1760">
        <v>1</v>
      </c>
      <c r="AU1760" t="s">
        <v>698</v>
      </c>
      <c r="AV1760" t="s">
        <v>699</v>
      </c>
      <c r="AW1760" t="s">
        <v>60</v>
      </c>
      <c r="AX1760" t="s">
        <v>68</v>
      </c>
      <c r="AY1760" t="s">
        <v>69</v>
      </c>
      <c r="AZ1760" t="b">
        <v>1</v>
      </c>
    </row>
    <row r="1761" spans="1:52" x14ac:dyDescent="0.3">
      <c r="A1761" t="s">
        <v>52</v>
      </c>
      <c r="B1761" t="s">
        <v>53</v>
      </c>
      <c r="C1761" t="s">
        <v>54</v>
      </c>
      <c r="D1761" t="s">
        <v>55</v>
      </c>
      <c r="E1761" t="s">
        <v>2148</v>
      </c>
      <c r="F1761" t="s">
        <v>190</v>
      </c>
      <c r="G1761" t="s">
        <v>700</v>
      </c>
      <c r="H1761" t="s">
        <v>701</v>
      </c>
      <c r="I1761" t="s">
        <v>701</v>
      </c>
      <c r="J1761" t="s">
        <v>60</v>
      </c>
      <c r="K1761" t="s">
        <v>702</v>
      </c>
      <c r="L1761" t="s">
        <v>62</v>
      </c>
      <c r="M1761" t="s">
        <v>702</v>
      </c>
      <c r="N1761" t="s">
        <v>703</v>
      </c>
      <c r="O1761" t="s">
        <v>315</v>
      </c>
      <c r="P1761">
        <v>-20.172599000000002</v>
      </c>
      <c r="Q1761">
        <v>-44.85915</v>
      </c>
      <c r="R1761" s="2" t="str">
        <f>HYPERLINK("https://www.google.com/maps?q=-20.1725990,-44.8591500","Abrir no Google Maps")</f>
        <v>Abrir no Google Maps</v>
      </c>
      <c r="S1761">
        <v>3</v>
      </c>
      <c r="T1761">
        <v>665.1003223445598</v>
      </c>
      <c r="U1761">
        <v>4</v>
      </c>
      <c r="V1761">
        <v>32</v>
      </c>
      <c r="W1761">
        <v>1</v>
      </c>
      <c r="X1761">
        <v>32</v>
      </c>
      <c r="Y1761">
        <v>422</v>
      </c>
      <c r="Z1761">
        <v>843.09189615634341</v>
      </c>
      <c r="AA1761">
        <v>198</v>
      </c>
      <c r="AB1761">
        <v>332</v>
      </c>
      <c r="AC1761">
        <v>536</v>
      </c>
      <c r="AD1761">
        <v>30.74</v>
      </c>
      <c r="AE1761">
        <v>542</v>
      </c>
      <c r="AF1761">
        <v>30</v>
      </c>
      <c r="AG1761">
        <v>178</v>
      </c>
      <c r="AH1761">
        <v>129</v>
      </c>
      <c r="AI1761">
        <v>5.54</v>
      </c>
      <c r="AJ1761">
        <v>32.840000000000003</v>
      </c>
      <c r="AK1761">
        <v>23.8</v>
      </c>
      <c r="AL1761">
        <v>-20.172576899999971</v>
      </c>
      <c r="AM1761">
        <v>-44.859040110359317</v>
      </c>
      <c r="AN1761">
        <v>-20.172576899999971</v>
      </c>
      <c r="AO1761">
        <v>-44.859040110359317</v>
      </c>
      <c r="AP1761">
        <v>-20.172599000000002</v>
      </c>
      <c r="AQ1761">
        <v>-44.85915</v>
      </c>
      <c r="AR1761">
        <v>11.743118835828479</v>
      </c>
      <c r="AS1761" t="s">
        <v>65</v>
      </c>
      <c r="AT1761">
        <v>1</v>
      </c>
      <c r="AU1761" t="s">
        <v>704</v>
      </c>
      <c r="AV1761" t="s">
        <v>705</v>
      </c>
      <c r="AW1761" t="s">
        <v>60</v>
      </c>
      <c r="AX1761" t="s">
        <v>68</v>
      </c>
      <c r="AY1761" t="s">
        <v>69</v>
      </c>
      <c r="AZ1761" t="b">
        <v>1</v>
      </c>
    </row>
    <row r="1762" spans="1:52" x14ac:dyDescent="0.3">
      <c r="A1762" t="s">
        <v>52</v>
      </c>
      <c r="B1762" t="s">
        <v>53</v>
      </c>
      <c r="C1762" t="s">
        <v>54</v>
      </c>
      <c r="D1762" t="s">
        <v>55</v>
      </c>
      <c r="E1762" t="s">
        <v>2148</v>
      </c>
      <c r="F1762" t="s">
        <v>190</v>
      </c>
      <c r="G1762" t="s">
        <v>713</v>
      </c>
      <c r="H1762" t="s">
        <v>714</v>
      </c>
      <c r="I1762" t="s">
        <v>714</v>
      </c>
      <c r="J1762" t="s">
        <v>60</v>
      </c>
      <c r="K1762" t="s">
        <v>708</v>
      </c>
      <c r="L1762" t="s">
        <v>62</v>
      </c>
      <c r="M1762" t="s">
        <v>708</v>
      </c>
      <c r="N1762" t="s">
        <v>715</v>
      </c>
      <c r="O1762" t="s">
        <v>604</v>
      </c>
      <c r="P1762">
        <v>-20.133372000000001</v>
      </c>
      <c r="Q1762">
        <v>-44.878864</v>
      </c>
      <c r="R1762" s="2" t="str">
        <f>HYPERLINK("https://www.google.com/maps?q=-20.1333720,-44.8788640","Abrir no Google Maps")</f>
        <v>Abrir no Google Maps</v>
      </c>
      <c r="S1762">
        <v>3</v>
      </c>
      <c r="T1762">
        <v>719.22842848296966</v>
      </c>
      <c r="U1762">
        <v>4</v>
      </c>
      <c r="V1762">
        <v>29</v>
      </c>
      <c r="W1762">
        <v>1</v>
      </c>
      <c r="X1762">
        <v>29</v>
      </c>
      <c r="Y1762">
        <v>387</v>
      </c>
      <c r="Z1762">
        <v>630.8628365125652</v>
      </c>
      <c r="AA1762">
        <v>198</v>
      </c>
      <c r="AB1762">
        <v>332</v>
      </c>
      <c r="AC1762">
        <v>536</v>
      </c>
      <c r="AD1762">
        <v>30.74</v>
      </c>
      <c r="AE1762">
        <v>542</v>
      </c>
      <c r="AF1762">
        <v>30</v>
      </c>
      <c r="AG1762">
        <v>178</v>
      </c>
      <c r="AH1762">
        <v>129</v>
      </c>
      <c r="AI1762">
        <v>5.54</v>
      </c>
      <c r="AJ1762">
        <v>32.840000000000003</v>
      </c>
      <c r="AK1762">
        <v>23.8</v>
      </c>
      <c r="AL1762">
        <v>-20.133312349999951</v>
      </c>
      <c r="AM1762">
        <v>-44.879452111094892</v>
      </c>
      <c r="AN1762">
        <v>-20.133312349999951</v>
      </c>
      <c r="AO1762">
        <v>-44.879452111094892</v>
      </c>
      <c r="AP1762">
        <v>-20.133372000000001</v>
      </c>
      <c r="AQ1762">
        <v>-44.878864</v>
      </c>
      <c r="AR1762">
        <v>61.825649864116713</v>
      </c>
      <c r="AS1762" t="s">
        <v>65</v>
      </c>
      <c r="AT1762">
        <v>1</v>
      </c>
      <c r="AU1762" t="s">
        <v>716</v>
      </c>
      <c r="AV1762" t="s">
        <v>717</v>
      </c>
      <c r="AW1762" t="s">
        <v>60</v>
      </c>
      <c r="AX1762" t="s">
        <v>68</v>
      </c>
      <c r="AY1762" t="s">
        <v>69</v>
      </c>
      <c r="AZ1762" t="b">
        <v>1</v>
      </c>
    </row>
    <row r="1763" spans="1:52" x14ac:dyDescent="0.3">
      <c r="A1763" t="s">
        <v>52</v>
      </c>
      <c r="B1763" t="s">
        <v>53</v>
      </c>
      <c r="C1763" t="s">
        <v>54</v>
      </c>
      <c r="D1763" t="s">
        <v>55</v>
      </c>
      <c r="E1763" t="s">
        <v>2148</v>
      </c>
      <c r="F1763" t="s">
        <v>190</v>
      </c>
      <c r="G1763" t="s">
        <v>718</v>
      </c>
      <c r="H1763" t="s">
        <v>719</v>
      </c>
      <c r="I1763" t="s">
        <v>719</v>
      </c>
      <c r="J1763" t="s">
        <v>60</v>
      </c>
      <c r="K1763" t="s">
        <v>708</v>
      </c>
      <c r="L1763" t="s">
        <v>62</v>
      </c>
      <c r="M1763" t="s">
        <v>708</v>
      </c>
      <c r="N1763" t="s">
        <v>720</v>
      </c>
      <c r="O1763" t="s">
        <v>721</v>
      </c>
      <c r="P1763">
        <v>-20.130344000000001</v>
      </c>
      <c r="Q1763">
        <v>-44.878869000000002</v>
      </c>
      <c r="R1763" s="2" t="str">
        <f>HYPERLINK("https://www.google.com/maps?q=-20.1303440,-44.8788690","Abrir no Google Maps")</f>
        <v>Abrir no Google Maps</v>
      </c>
      <c r="S1763">
        <v>3</v>
      </c>
      <c r="T1763">
        <v>556.14753541089829</v>
      </c>
      <c r="U1763">
        <v>4</v>
      </c>
      <c r="V1763">
        <v>34</v>
      </c>
      <c r="W1763">
        <v>1</v>
      </c>
      <c r="X1763">
        <v>34</v>
      </c>
      <c r="Y1763">
        <v>387</v>
      </c>
      <c r="Z1763">
        <v>521.53850378132177</v>
      </c>
      <c r="AA1763">
        <v>198</v>
      </c>
      <c r="AB1763">
        <v>332</v>
      </c>
      <c r="AC1763">
        <v>536</v>
      </c>
      <c r="AD1763">
        <v>30.74</v>
      </c>
      <c r="AE1763">
        <v>542</v>
      </c>
      <c r="AF1763">
        <v>30</v>
      </c>
      <c r="AG1763">
        <v>178</v>
      </c>
      <c r="AH1763">
        <v>129</v>
      </c>
      <c r="AI1763">
        <v>5.54</v>
      </c>
      <c r="AJ1763">
        <v>32.840000000000003</v>
      </c>
      <c r="AK1763">
        <v>23.8</v>
      </c>
      <c r="AL1763">
        <v>-20.13050289999995</v>
      </c>
      <c r="AM1763">
        <v>-44.878831282856943</v>
      </c>
      <c r="AN1763">
        <v>-20.13050289999995</v>
      </c>
      <c r="AO1763">
        <v>-44.878831282856943</v>
      </c>
      <c r="AP1763">
        <v>-20.130344000000001</v>
      </c>
      <c r="AQ1763">
        <v>-44.878869000000002</v>
      </c>
      <c r="AR1763">
        <v>18.122709277240279</v>
      </c>
      <c r="AS1763" t="s">
        <v>65</v>
      </c>
      <c r="AT1763">
        <v>1</v>
      </c>
      <c r="AU1763" t="s">
        <v>722</v>
      </c>
      <c r="AV1763" t="s">
        <v>723</v>
      </c>
      <c r="AW1763" t="s">
        <v>60</v>
      </c>
      <c r="AX1763" t="s">
        <v>68</v>
      </c>
      <c r="AY1763" t="s">
        <v>69</v>
      </c>
      <c r="AZ1763" t="b">
        <v>1</v>
      </c>
    </row>
    <row r="1764" spans="1:52" x14ac:dyDescent="0.3">
      <c r="A1764" t="s">
        <v>52</v>
      </c>
      <c r="B1764" t="s">
        <v>53</v>
      </c>
      <c r="C1764" t="s">
        <v>54</v>
      </c>
      <c r="D1764" t="s">
        <v>55</v>
      </c>
      <c r="E1764" t="s">
        <v>2148</v>
      </c>
      <c r="F1764" t="s">
        <v>190</v>
      </c>
      <c r="G1764" t="s">
        <v>724</v>
      </c>
      <c r="H1764" t="s">
        <v>725</v>
      </c>
      <c r="I1764" t="s">
        <v>725</v>
      </c>
      <c r="J1764" t="s">
        <v>60</v>
      </c>
      <c r="K1764" t="s">
        <v>708</v>
      </c>
      <c r="L1764" t="s">
        <v>62</v>
      </c>
      <c r="M1764" t="s">
        <v>708</v>
      </c>
      <c r="N1764" t="s">
        <v>726</v>
      </c>
      <c r="O1764" t="s">
        <v>727</v>
      </c>
      <c r="P1764">
        <v>-20.131702000000001</v>
      </c>
      <c r="Q1764">
        <v>-44.873930999999999</v>
      </c>
      <c r="R1764" s="2" t="str">
        <f>HYPERLINK("https://www.google.com/maps?q=-20.1317020,-44.8739310","Abrir no Google Maps")</f>
        <v>Abrir no Google Maps</v>
      </c>
      <c r="S1764">
        <v>3</v>
      </c>
      <c r="T1764">
        <v>207.9085436463628</v>
      </c>
      <c r="U1764">
        <v>4</v>
      </c>
      <c r="V1764">
        <v>35</v>
      </c>
      <c r="W1764">
        <v>1</v>
      </c>
      <c r="X1764">
        <v>35</v>
      </c>
      <c r="Y1764">
        <v>387</v>
      </c>
      <c r="Z1764">
        <v>213.98086855276571</v>
      </c>
      <c r="AA1764">
        <v>198</v>
      </c>
      <c r="AB1764">
        <v>332</v>
      </c>
      <c r="AC1764">
        <v>536</v>
      </c>
      <c r="AD1764">
        <v>30.74</v>
      </c>
      <c r="AE1764">
        <v>542</v>
      </c>
      <c r="AF1764">
        <v>30</v>
      </c>
      <c r="AG1764">
        <v>178</v>
      </c>
      <c r="AH1764">
        <v>129</v>
      </c>
      <c r="AI1764">
        <v>5.54</v>
      </c>
      <c r="AJ1764">
        <v>32.840000000000003</v>
      </c>
      <c r="AK1764">
        <v>23.8</v>
      </c>
      <c r="AL1764">
        <v>-20.131807549999959</v>
      </c>
      <c r="AM1764">
        <v>-44.874039553784442</v>
      </c>
      <c r="AN1764">
        <v>-20.131807549999959</v>
      </c>
      <c r="AO1764">
        <v>-44.874039553784442</v>
      </c>
      <c r="AP1764">
        <v>-20.131702000000001</v>
      </c>
      <c r="AQ1764">
        <v>-44.873930999999999</v>
      </c>
      <c r="AR1764">
        <v>16.333643574998401</v>
      </c>
      <c r="AS1764" t="s">
        <v>65</v>
      </c>
      <c r="AT1764">
        <v>1</v>
      </c>
      <c r="AU1764" t="s">
        <v>728</v>
      </c>
      <c r="AV1764" t="s">
        <v>729</v>
      </c>
      <c r="AW1764" t="s">
        <v>60</v>
      </c>
      <c r="AX1764" t="s">
        <v>68</v>
      </c>
      <c r="AY1764" t="s">
        <v>69</v>
      </c>
      <c r="AZ1764" t="b">
        <v>1</v>
      </c>
    </row>
    <row r="1765" spans="1:52" x14ac:dyDescent="0.3">
      <c r="A1765" t="s">
        <v>52</v>
      </c>
      <c r="B1765" t="s">
        <v>53</v>
      </c>
      <c r="C1765" t="s">
        <v>54</v>
      </c>
      <c r="D1765" t="s">
        <v>55</v>
      </c>
      <c r="E1765" t="s">
        <v>2148</v>
      </c>
      <c r="F1765" t="s">
        <v>190</v>
      </c>
      <c r="G1765" t="s">
        <v>1054</v>
      </c>
      <c r="H1765" t="s">
        <v>1055</v>
      </c>
      <c r="I1765" t="s">
        <v>1055</v>
      </c>
      <c r="J1765" t="s">
        <v>60</v>
      </c>
      <c r="K1765" t="s">
        <v>708</v>
      </c>
      <c r="L1765" t="s">
        <v>62</v>
      </c>
      <c r="M1765" t="s">
        <v>708</v>
      </c>
      <c r="N1765" t="s">
        <v>1056</v>
      </c>
      <c r="O1765" t="s">
        <v>315</v>
      </c>
      <c r="P1765">
        <v>-20.130849000000001</v>
      </c>
      <c r="Q1765">
        <v>-44.870922999999998</v>
      </c>
      <c r="R1765" s="2" t="str">
        <f>HYPERLINK("https://www.google.com/maps?q=-20.1308490,-44.8709230","Abrir no Google Maps")</f>
        <v>Abrir no Google Maps</v>
      </c>
      <c r="S1765">
        <v>3</v>
      </c>
      <c r="T1765">
        <v>288.83865075380498</v>
      </c>
      <c r="U1765">
        <v>4</v>
      </c>
      <c r="V1765">
        <v>35</v>
      </c>
      <c r="W1765">
        <v>0.85</v>
      </c>
      <c r="X1765">
        <v>29.75</v>
      </c>
      <c r="Y1765">
        <v>387</v>
      </c>
      <c r="Z1765">
        <v>347.59283577270531</v>
      </c>
      <c r="AA1765">
        <v>198</v>
      </c>
      <c r="AB1765">
        <v>332</v>
      </c>
      <c r="AC1765">
        <v>536</v>
      </c>
      <c r="AD1765">
        <v>30.74</v>
      </c>
      <c r="AE1765">
        <v>542</v>
      </c>
      <c r="AF1765">
        <v>30</v>
      </c>
      <c r="AG1765">
        <v>178</v>
      </c>
      <c r="AH1765">
        <v>129</v>
      </c>
      <c r="AI1765">
        <v>5.54</v>
      </c>
      <c r="AJ1765">
        <v>32.840000000000003</v>
      </c>
      <c r="AK1765">
        <v>23.8</v>
      </c>
      <c r="AL1765">
        <v>-20.130950899999959</v>
      </c>
      <c r="AM1765">
        <v>-44.87096892838121</v>
      </c>
      <c r="AN1765">
        <v>-20.130950899999959</v>
      </c>
      <c r="AO1765">
        <v>-44.87096892838121</v>
      </c>
      <c r="AP1765">
        <v>-20.130849000000001</v>
      </c>
      <c r="AQ1765">
        <v>-44.870922999999998</v>
      </c>
      <c r="AR1765">
        <v>12.31742795843153</v>
      </c>
      <c r="AS1765" t="s">
        <v>65</v>
      </c>
      <c r="AT1765">
        <v>1</v>
      </c>
      <c r="AU1765" t="s">
        <v>1057</v>
      </c>
      <c r="AV1765" t="s">
        <v>1058</v>
      </c>
      <c r="AW1765" t="s">
        <v>60</v>
      </c>
      <c r="AX1765" t="s">
        <v>68</v>
      </c>
      <c r="AY1765" t="s">
        <v>69</v>
      </c>
      <c r="AZ1765" t="b">
        <v>1</v>
      </c>
    </row>
    <row r="1766" spans="1:52" x14ac:dyDescent="0.3">
      <c r="A1766" t="s">
        <v>52</v>
      </c>
      <c r="B1766" t="s">
        <v>53</v>
      </c>
      <c r="C1766" t="s">
        <v>54</v>
      </c>
      <c r="D1766" t="s">
        <v>55</v>
      </c>
      <c r="E1766" t="s">
        <v>2148</v>
      </c>
      <c r="F1766" t="s">
        <v>190</v>
      </c>
      <c r="G1766" t="s">
        <v>706</v>
      </c>
      <c r="H1766" t="s">
        <v>730</v>
      </c>
      <c r="I1766" t="s">
        <v>730</v>
      </c>
      <c r="J1766" t="s">
        <v>60</v>
      </c>
      <c r="K1766" t="s">
        <v>708</v>
      </c>
      <c r="L1766" t="s">
        <v>62</v>
      </c>
      <c r="M1766" t="s">
        <v>708</v>
      </c>
      <c r="N1766" t="s">
        <v>709</v>
      </c>
      <c r="O1766" t="s">
        <v>731</v>
      </c>
      <c r="P1766">
        <v>-20.130037999999999</v>
      </c>
      <c r="Q1766">
        <v>-44.873514</v>
      </c>
      <c r="R1766" s="2" t="str">
        <f>HYPERLINK("https://www.google.com/maps?q=-20.1300380,-44.8735140","Abrir no Google Maps")</f>
        <v>Abrir no Google Maps</v>
      </c>
      <c r="S1766">
        <v>3</v>
      </c>
      <c r="T1766">
        <v>0</v>
      </c>
      <c r="U1766">
        <v>4</v>
      </c>
      <c r="V1766">
        <v>30</v>
      </c>
      <c r="W1766">
        <v>1</v>
      </c>
      <c r="X1766">
        <v>30</v>
      </c>
      <c r="Y1766">
        <v>387</v>
      </c>
      <c r="Z1766">
        <v>108.0014931591698</v>
      </c>
      <c r="AA1766">
        <v>198</v>
      </c>
      <c r="AB1766">
        <v>332</v>
      </c>
      <c r="AC1766">
        <v>536</v>
      </c>
      <c r="AD1766">
        <v>30.74</v>
      </c>
      <c r="AE1766">
        <v>542</v>
      </c>
      <c r="AF1766">
        <v>30</v>
      </c>
      <c r="AG1766">
        <v>178</v>
      </c>
      <c r="AH1766">
        <v>129</v>
      </c>
      <c r="AI1766">
        <v>5.54</v>
      </c>
      <c r="AJ1766">
        <v>32.840000000000003</v>
      </c>
      <c r="AK1766">
        <v>23.8</v>
      </c>
      <c r="AL1766">
        <v>-20.12998944999995</v>
      </c>
      <c r="AM1766">
        <v>-44.873538114227337</v>
      </c>
      <c r="AN1766">
        <v>-20.12998944999995</v>
      </c>
      <c r="AO1766">
        <v>-44.873538114227337</v>
      </c>
      <c r="AP1766">
        <v>-20.130037999999999</v>
      </c>
      <c r="AQ1766">
        <v>-44.873514</v>
      </c>
      <c r="AR1766">
        <v>5.9633928268280867</v>
      </c>
      <c r="AS1766" t="s">
        <v>65</v>
      </c>
      <c r="AT1766">
        <v>1</v>
      </c>
      <c r="AU1766" t="s">
        <v>732</v>
      </c>
      <c r="AV1766" t="s">
        <v>733</v>
      </c>
      <c r="AW1766" t="s">
        <v>60</v>
      </c>
      <c r="AX1766" t="s">
        <v>68</v>
      </c>
      <c r="AY1766" t="s">
        <v>69</v>
      </c>
      <c r="AZ1766" t="b">
        <v>1</v>
      </c>
    </row>
    <row r="1767" spans="1:52" x14ac:dyDescent="0.3">
      <c r="A1767" t="s">
        <v>52</v>
      </c>
      <c r="B1767" t="s">
        <v>53</v>
      </c>
      <c r="C1767" t="s">
        <v>54</v>
      </c>
      <c r="D1767" t="s">
        <v>55</v>
      </c>
      <c r="E1767" t="s">
        <v>2148</v>
      </c>
      <c r="F1767" t="s">
        <v>190</v>
      </c>
      <c r="G1767" t="s">
        <v>734</v>
      </c>
      <c r="H1767" t="s">
        <v>1068</v>
      </c>
      <c r="I1767" t="s">
        <v>1068</v>
      </c>
      <c r="J1767" t="s">
        <v>60</v>
      </c>
      <c r="K1767" t="s">
        <v>736</v>
      </c>
      <c r="L1767" t="s">
        <v>62</v>
      </c>
      <c r="M1767" t="s">
        <v>736</v>
      </c>
      <c r="N1767" t="s">
        <v>1069</v>
      </c>
      <c r="O1767" t="s">
        <v>1070</v>
      </c>
      <c r="P1767">
        <v>-20.110289999999999</v>
      </c>
      <c r="Q1767">
        <v>-44.981574000000002</v>
      </c>
      <c r="R1767" s="2" t="str">
        <f>HYPERLINK("https://www.google.com/maps?q=-20.1102900,-44.9815740","Abrir no Google Maps")</f>
        <v>Abrir no Google Maps</v>
      </c>
      <c r="S1767">
        <v>3</v>
      </c>
      <c r="T1767">
        <v>1081.8012210194311</v>
      </c>
      <c r="U1767">
        <v>4</v>
      </c>
      <c r="V1767">
        <v>28</v>
      </c>
      <c r="W1767">
        <v>1</v>
      </c>
      <c r="X1767">
        <v>28</v>
      </c>
      <c r="Y1767">
        <v>385</v>
      </c>
      <c r="Z1767">
        <v>1009.915869278438</v>
      </c>
      <c r="AA1767">
        <v>198</v>
      </c>
      <c r="AB1767">
        <v>332</v>
      </c>
      <c r="AC1767">
        <v>536</v>
      </c>
      <c r="AD1767">
        <v>30.74</v>
      </c>
      <c r="AE1767">
        <v>542</v>
      </c>
      <c r="AF1767">
        <v>30</v>
      </c>
      <c r="AG1767">
        <v>178</v>
      </c>
      <c r="AH1767">
        <v>129</v>
      </c>
      <c r="AI1767">
        <v>5.54</v>
      </c>
      <c r="AJ1767">
        <v>32.840000000000003</v>
      </c>
      <c r="AK1767">
        <v>23.8</v>
      </c>
      <c r="AL1767">
        <v>-20.110281699999941</v>
      </c>
      <c r="AM1767">
        <v>-44.98144213076452</v>
      </c>
      <c r="AN1767">
        <v>-20.110281699999941</v>
      </c>
      <c r="AO1767">
        <v>-44.98144213076452</v>
      </c>
      <c r="AP1767">
        <v>-20.110289999999999</v>
      </c>
      <c r="AQ1767">
        <v>-44.981574000000002</v>
      </c>
      <c r="AR1767">
        <v>13.815631287504781</v>
      </c>
      <c r="AS1767" t="s">
        <v>65</v>
      </c>
      <c r="AT1767">
        <v>1</v>
      </c>
      <c r="AU1767" t="s">
        <v>1071</v>
      </c>
      <c r="AV1767" t="s">
        <v>1072</v>
      </c>
      <c r="AW1767" t="s">
        <v>60</v>
      </c>
      <c r="AX1767" t="s">
        <v>68</v>
      </c>
      <c r="AY1767" t="s">
        <v>69</v>
      </c>
      <c r="AZ1767" t="b">
        <v>1</v>
      </c>
    </row>
    <row r="1768" spans="1:52" x14ac:dyDescent="0.3">
      <c r="A1768" t="s">
        <v>52</v>
      </c>
      <c r="B1768" t="s">
        <v>53</v>
      </c>
      <c r="C1768" t="s">
        <v>54</v>
      </c>
      <c r="D1768" t="s">
        <v>55</v>
      </c>
      <c r="E1768" t="s">
        <v>2148</v>
      </c>
      <c r="F1768" t="s">
        <v>190</v>
      </c>
      <c r="G1768" t="s">
        <v>741</v>
      </c>
      <c r="H1768" t="s">
        <v>742</v>
      </c>
      <c r="I1768" t="s">
        <v>742</v>
      </c>
      <c r="J1768" t="s">
        <v>60</v>
      </c>
      <c r="K1768" t="s">
        <v>688</v>
      </c>
      <c r="L1768" t="s">
        <v>62</v>
      </c>
      <c r="M1768" t="s">
        <v>688</v>
      </c>
      <c r="N1768" t="s">
        <v>743</v>
      </c>
      <c r="O1768" t="s">
        <v>744</v>
      </c>
      <c r="P1768">
        <v>-20.136733</v>
      </c>
      <c r="Q1768">
        <v>-44.888140999999997</v>
      </c>
      <c r="R1768" s="2" t="str">
        <f>HYPERLINK("https://www.google.com/maps?q=-20.1367330,-44.8881410","Abrir no Google Maps")</f>
        <v>Abrir no Google Maps</v>
      </c>
      <c r="S1768">
        <v>3</v>
      </c>
      <c r="T1768">
        <v>175.84339996559589</v>
      </c>
      <c r="U1768">
        <v>4</v>
      </c>
      <c r="V1768">
        <v>30</v>
      </c>
      <c r="W1768">
        <v>1</v>
      </c>
      <c r="X1768">
        <v>30</v>
      </c>
      <c r="Y1768">
        <v>350</v>
      </c>
      <c r="Z1768">
        <v>171.90575296051961</v>
      </c>
      <c r="AA1768">
        <v>198</v>
      </c>
      <c r="AB1768">
        <v>332</v>
      </c>
      <c r="AC1768">
        <v>536</v>
      </c>
      <c r="AD1768">
        <v>30.74</v>
      </c>
      <c r="AE1768">
        <v>542</v>
      </c>
      <c r="AF1768">
        <v>30</v>
      </c>
      <c r="AG1768">
        <v>178</v>
      </c>
      <c r="AH1768">
        <v>129</v>
      </c>
      <c r="AI1768">
        <v>5.54</v>
      </c>
      <c r="AJ1768">
        <v>32.840000000000003</v>
      </c>
      <c r="AK1768">
        <v>23.8</v>
      </c>
      <c r="AL1768">
        <v>-20.136726099999979</v>
      </c>
      <c r="AM1768">
        <v>-44.888062077766982</v>
      </c>
      <c r="AN1768">
        <v>-20.136726099999979</v>
      </c>
      <c r="AO1768">
        <v>-44.888062077766982</v>
      </c>
      <c r="AP1768">
        <v>-20.136733</v>
      </c>
      <c r="AQ1768">
        <v>-44.888140999999997</v>
      </c>
      <c r="AR1768">
        <v>8.2842769013797852</v>
      </c>
      <c r="AS1768" t="s">
        <v>65</v>
      </c>
      <c r="AT1768">
        <v>1</v>
      </c>
      <c r="AU1768" t="s">
        <v>745</v>
      </c>
      <c r="AV1768" t="s">
        <v>746</v>
      </c>
      <c r="AW1768" t="s">
        <v>60</v>
      </c>
      <c r="AX1768" t="s">
        <v>68</v>
      </c>
      <c r="AY1768" t="s">
        <v>69</v>
      </c>
      <c r="AZ1768" t="b">
        <v>1</v>
      </c>
    </row>
    <row r="1769" spans="1:52" x14ac:dyDescent="0.3">
      <c r="A1769" t="s">
        <v>52</v>
      </c>
      <c r="B1769" t="s">
        <v>53</v>
      </c>
      <c r="C1769" t="s">
        <v>54</v>
      </c>
      <c r="D1769" t="s">
        <v>55</v>
      </c>
      <c r="E1769" t="s">
        <v>2148</v>
      </c>
      <c r="F1769" t="s">
        <v>190</v>
      </c>
      <c r="G1769" t="s">
        <v>1083</v>
      </c>
      <c r="H1769" t="s">
        <v>1084</v>
      </c>
      <c r="I1769" t="s">
        <v>1084</v>
      </c>
      <c r="J1769" t="s">
        <v>60</v>
      </c>
      <c r="K1769" t="s">
        <v>761</v>
      </c>
      <c r="L1769" t="s">
        <v>62</v>
      </c>
      <c r="M1769" t="s">
        <v>761</v>
      </c>
      <c r="N1769" t="s">
        <v>1085</v>
      </c>
      <c r="O1769" t="s">
        <v>1086</v>
      </c>
      <c r="P1769">
        <v>-20.124312</v>
      </c>
      <c r="Q1769">
        <v>-44.850425000000001</v>
      </c>
      <c r="R1769" s="2" t="str">
        <f>HYPERLINK("https://www.google.com/maps?q=-20.1243120,-44.8504250","Abrir no Google Maps")</f>
        <v>Abrir no Google Maps</v>
      </c>
      <c r="S1769">
        <v>3</v>
      </c>
      <c r="T1769">
        <v>0</v>
      </c>
      <c r="U1769">
        <v>4</v>
      </c>
      <c r="V1769">
        <v>33</v>
      </c>
      <c r="W1769">
        <v>1</v>
      </c>
      <c r="X1769">
        <v>33</v>
      </c>
      <c r="Y1769">
        <v>350</v>
      </c>
      <c r="Z1769">
        <v>380.24040721202471</v>
      </c>
      <c r="AA1769">
        <v>198</v>
      </c>
      <c r="AB1769">
        <v>332</v>
      </c>
      <c r="AC1769">
        <v>536</v>
      </c>
      <c r="AD1769">
        <v>30.74</v>
      </c>
      <c r="AE1769">
        <v>542</v>
      </c>
      <c r="AF1769">
        <v>30</v>
      </c>
      <c r="AG1769">
        <v>178</v>
      </c>
      <c r="AH1769">
        <v>129</v>
      </c>
      <c r="AI1769">
        <v>5.54</v>
      </c>
      <c r="AJ1769">
        <v>32.840000000000003</v>
      </c>
      <c r="AK1769">
        <v>23.8</v>
      </c>
      <c r="AL1769">
        <v>-20.126267499999951</v>
      </c>
      <c r="AM1769">
        <v>-44.852460192840908</v>
      </c>
      <c r="AN1769">
        <v>-20.126267499999951</v>
      </c>
      <c r="AO1769">
        <v>-44.852460192840908</v>
      </c>
      <c r="AP1769">
        <v>-20.124312</v>
      </c>
      <c r="AQ1769">
        <v>-44.850425000000001</v>
      </c>
      <c r="AR1769">
        <v>304.36574074135672</v>
      </c>
      <c r="AS1769" t="s">
        <v>65</v>
      </c>
      <c r="AT1769">
        <v>1</v>
      </c>
      <c r="AU1769" t="s">
        <v>1087</v>
      </c>
      <c r="AV1769" t="s">
        <v>1088</v>
      </c>
      <c r="AW1769" t="s">
        <v>60</v>
      </c>
      <c r="AX1769" t="s">
        <v>68</v>
      </c>
      <c r="AY1769" t="s">
        <v>69</v>
      </c>
      <c r="AZ1769" t="b">
        <v>1</v>
      </c>
    </row>
    <row r="1770" spans="1:52" x14ac:dyDescent="0.3">
      <c r="A1770" t="s">
        <v>52</v>
      </c>
      <c r="B1770" t="s">
        <v>53</v>
      </c>
      <c r="C1770" t="s">
        <v>54</v>
      </c>
      <c r="D1770" t="s">
        <v>55</v>
      </c>
      <c r="E1770" t="s">
        <v>2148</v>
      </c>
      <c r="F1770" t="s">
        <v>190</v>
      </c>
      <c r="G1770" t="s">
        <v>1094</v>
      </c>
      <c r="H1770" t="s">
        <v>1095</v>
      </c>
      <c r="I1770" t="s">
        <v>1095</v>
      </c>
      <c r="J1770" t="s">
        <v>60</v>
      </c>
      <c r="K1770" t="s">
        <v>761</v>
      </c>
      <c r="L1770" t="s">
        <v>62</v>
      </c>
      <c r="M1770" t="s">
        <v>761</v>
      </c>
      <c r="N1770" t="s">
        <v>1096</v>
      </c>
      <c r="O1770" t="s">
        <v>1070</v>
      </c>
      <c r="P1770">
        <v>-20.122955999999999</v>
      </c>
      <c r="Q1770">
        <v>-44.847842</v>
      </c>
      <c r="R1770" s="2" t="str">
        <f>HYPERLINK("https://www.google.com/maps?q=-20.1229560,-44.8478420","Abrir no Google Maps")</f>
        <v>Abrir no Google Maps</v>
      </c>
      <c r="S1770">
        <v>3</v>
      </c>
      <c r="T1770">
        <v>611.23533866709147</v>
      </c>
      <c r="U1770">
        <v>4</v>
      </c>
      <c r="V1770">
        <v>31</v>
      </c>
      <c r="W1770">
        <v>1</v>
      </c>
      <c r="X1770">
        <v>31</v>
      </c>
      <c r="Y1770">
        <v>350</v>
      </c>
      <c r="Z1770">
        <v>567.3129443637539</v>
      </c>
      <c r="AA1770">
        <v>198</v>
      </c>
      <c r="AB1770">
        <v>332</v>
      </c>
      <c r="AC1770">
        <v>536</v>
      </c>
      <c r="AD1770">
        <v>30.74</v>
      </c>
      <c r="AE1770">
        <v>542</v>
      </c>
      <c r="AF1770">
        <v>30</v>
      </c>
      <c r="AG1770">
        <v>178</v>
      </c>
      <c r="AH1770">
        <v>129</v>
      </c>
      <c r="AI1770">
        <v>5.54</v>
      </c>
      <c r="AJ1770">
        <v>32.840000000000003</v>
      </c>
      <c r="AK1770">
        <v>23.8</v>
      </c>
      <c r="AL1770">
        <v>-20.122854299999972</v>
      </c>
      <c r="AM1770">
        <v>-44.847862495675152</v>
      </c>
      <c r="AN1770">
        <v>-20.122854299999972</v>
      </c>
      <c r="AO1770">
        <v>-44.847862495675152</v>
      </c>
      <c r="AP1770">
        <v>-20.122955999999999</v>
      </c>
      <c r="AQ1770">
        <v>-44.847842</v>
      </c>
      <c r="AR1770">
        <v>11.522154044835331</v>
      </c>
      <c r="AS1770" t="s">
        <v>65</v>
      </c>
      <c r="AT1770">
        <v>1</v>
      </c>
      <c r="AU1770" t="s">
        <v>1097</v>
      </c>
      <c r="AV1770" t="s">
        <v>1098</v>
      </c>
      <c r="AW1770" t="s">
        <v>60</v>
      </c>
      <c r="AX1770" t="s">
        <v>68</v>
      </c>
      <c r="AY1770" t="s">
        <v>69</v>
      </c>
      <c r="AZ1770" t="b">
        <v>1</v>
      </c>
    </row>
    <row r="1771" spans="1:52" x14ac:dyDescent="0.3">
      <c r="A1771" t="s">
        <v>52</v>
      </c>
      <c r="B1771" t="s">
        <v>53</v>
      </c>
      <c r="C1771" t="s">
        <v>54</v>
      </c>
      <c r="D1771" t="s">
        <v>55</v>
      </c>
      <c r="E1771" t="s">
        <v>2148</v>
      </c>
      <c r="F1771" t="s">
        <v>190</v>
      </c>
      <c r="G1771" t="s">
        <v>759</v>
      </c>
      <c r="H1771" t="s">
        <v>760</v>
      </c>
      <c r="I1771" t="s">
        <v>760</v>
      </c>
      <c r="J1771" t="s">
        <v>60</v>
      </c>
      <c r="K1771" t="s">
        <v>761</v>
      </c>
      <c r="L1771" t="s">
        <v>62</v>
      </c>
      <c r="M1771" t="s">
        <v>761</v>
      </c>
      <c r="N1771" t="s">
        <v>762</v>
      </c>
      <c r="O1771" t="s">
        <v>763</v>
      </c>
      <c r="P1771">
        <v>-20.118755</v>
      </c>
      <c r="Q1771">
        <v>-44.850627000000003</v>
      </c>
      <c r="R1771" s="2" t="str">
        <f>HYPERLINK("https://www.google.com/maps?q=-20.1187550,-44.8506270","Abrir no Google Maps")</f>
        <v>Abrir no Google Maps</v>
      </c>
      <c r="S1771">
        <v>3</v>
      </c>
      <c r="T1771">
        <v>848.81670834514034</v>
      </c>
      <c r="U1771">
        <v>4</v>
      </c>
      <c r="V1771">
        <v>24</v>
      </c>
      <c r="W1771">
        <v>1</v>
      </c>
      <c r="X1771">
        <v>24</v>
      </c>
      <c r="Y1771">
        <v>350</v>
      </c>
      <c r="Z1771">
        <v>443.51354125420028</v>
      </c>
      <c r="AA1771">
        <v>198</v>
      </c>
      <c r="AB1771">
        <v>332</v>
      </c>
      <c r="AC1771">
        <v>536</v>
      </c>
      <c r="AD1771">
        <v>30.74</v>
      </c>
      <c r="AE1771">
        <v>542</v>
      </c>
      <c r="AF1771">
        <v>30</v>
      </c>
      <c r="AG1771">
        <v>178</v>
      </c>
      <c r="AH1771">
        <v>129</v>
      </c>
      <c r="AI1771">
        <v>5.54</v>
      </c>
      <c r="AJ1771">
        <v>32.840000000000003</v>
      </c>
      <c r="AK1771">
        <v>23.8</v>
      </c>
      <c r="AL1771">
        <v>-20.11882464999994</v>
      </c>
      <c r="AM1771">
        <v>-44.850497004056017</v>
      </c>
      <c r="AN1771">
        <v>-20.11882464999994</v>
      </c>
      <c r="AO1771">
        <v>-44.850497004056017</v>
      </c>
      <c r="AP1771">
        <v>-20.118755</v>
      </c>
      <c r="AQ1771">
        <v>-44.850627000000003</v>
      </c>
      <c r="AR1771">
        <v>15.6445928866994</v>
      </c>
      <c r="AS1771" t="s">
        <v>65</v>
      </c>
      <c r="AT1771">
        <v>1</v>
      </c>
      <c r="AU1771" t="s">
        <v>764</v>
      </c>
      <c r="AV1771" t="s">
        <v>765</v>
      </c>
      <c r="AW1771" t="s">
        <v>60</v>
      </c>
      <c r="AX1771" t="s">
        <v>68</v>
      </c>
      <c r="AY1771" t="s">
        <v>69</v>
      </c>
      <c r="AZ1771" t="b">
        <v>1</v>
      </c>
    </row>
    <row r="1772" spans="1:52" x14ac:dyDescent="0.3">
      <c r="A1772" t="s">
        <v>52</v>
      </c>
      <c r="B1772" t="s">
        <v>53</v>
      </c>
      <c r="C1772" t="s">
        <v>54</v>
      </c>
      <c r="D1772" t="s">
        <v>55</v>
      </c>
      <c r="E1772" t="s">
        <v>2148</v>
      </c>
      <c r="F1772" t="s">
        <v>190</v>
      </c>
      <c r="G1772" t="s">
        <v>773</v>
      </c>
      <c r="H1772" t="s">
        <v>774</v>
      </c>
      <c r="I1772" t="s">
        <v>774</v>
      </c>
      <c r="J1772" t="s">
        <v>60</v>
      </c>
      <c r="K1772" t="s">
        <v>775</v>
      </c>
      <c r="L1772" t="s">
        <v>62</v>
      </c>
      <c r="M1772" t="s">
        <v>775</v>
      </c>
      <c r="N1772" t="s">
        <v>776</v>
      </c>
      <c r="O1772" t="s">
        <v>250</v>
      </c>
      <c r="P1772">
        <v>-20.135413</v>
      </c>
      <c r="Q1772">
        <v>-44.868969999999997</v>
      </c>
      <c r="R1772" s="2" t="str">
        <f>HYPERLINK("https://www.google.com/maps?q=-20.1354130,-44.8689700","Abrir no Google Maps")</f>
        <v>Abrir no Google Maps</v>
      </c>
      <c r="S1772">
        <v>3</v>
      </c>
      <c r="T1772">
        <v>403.5118397372845</v>
      </c>
      <c r="U1772">
        <v>4</v>
      </c>
      <c r="V1772">
        <v>27</v>
      </c>
      <c r="W1772">
        <v>1</v>
      </c>
      <c r="X1772">
        <v>27</v>
      </c>
      <c r="Y1772">
        <v>332</v>
      </c>
      <c r="Z1772">
        <v>455.74614750795899</v>
      </c>
      <c r="AA1772">
        <v>198</v>
      </c>
      <c r="AB1772">
        <v>332</v>
      </c>
      <c r="AC1772">
        <v>536</v>
      </c>
      <c r="AD1772">
        <v>30.74</v>
      </c>
      <c r="AE1772">
        <v>542</v>
      </c>
      <c r="AF1772">
        <v>30</v>
      </c>
      <c r="AG1772">
        <v>178</v>
      </c>
      <c r="AH1772">
        <v>129</v>
      </c>
      <c r="AI1772">
        <v>5.54</v>
      </c>
      <c r="AJ1772">
        <v>32.840000000000003</v>
      </c>
      <c r="AK1772">
        <v>23.8</v>
      </c>
      <c r="AL1772">
        <v>-20.13561149999995</v>
      </c>
      <c r="AM1772">
        <v>-44.868817260088647</v>
      </c>
      <c r="AN1772">
        <v>-20.13561149999995</v>
      </c>
      <c r="AO1772">
        <v>-44.868817260088647</v>
      </c>
      <c r="AP1772">
        <v>-20.135413</v>
      </c>
      <c r="AQ1772">
        <v>-44.868969999999997</v>
      </c>
      <c r="AR1772">
        <v>27.26024434808955</v>
      </c>
      <c r="AS1772" t="s">
        <v>65</v>
      </c>
      <c r="AT1772">
        <v>1</v>
      </c>
      <c r="AU1772" t="s">
        <v>777</v>
      </c>
      <c r="AV1772" t="s">
        <v>778</v>
      </c>
      <c r="AW1772" t="s">
        <v>60</v>
      </c>
      <c r="AX1772" t="s">
        <v>68</v>
      </c>
      <c r="AY1772" t="s">
        <v>69</v>
      </c>
      <c r="AZ1772" t="b">
        <v>1</v>
      </c>
    </row>
    <row r="1773" spans="1:52" x14ac:dyDescent="0.3">
      <c r="A1773" t="s">
        <v>52</v>
      </c>
      <c r="B1773" t="s">
        <v>53</v>
      </c>
      <c r="C1773" t="s">
        <v>54</v>
      </c>
      <c r="D1773" t="s">
        <v>55</v>
      </c>
      <c r="E1773" t="s">
        <v>2148</v>
      </c>
      <c r="F1773" t="s">
        <v>190</v>
      </c>
      <c r="G1773" t="s">
        <v>779</v>
      </c>
      <c r="H1773" t="s">
        <v>780</v>
      </c>
      <c r="I1773" t="s">
        <v>780</v>
      </c>
      <c r="J1773" t="s">
        <v>60</v>
      </c>
      <c r="K1773" t="s">
        <v>781</v>
      </c>
      <c r="L1773" t="s">
        <v>62</v>
      </c>
      <c r="M1773" t="s">
        <v>781</v>
      </c>
      <c r="N1773" t="s">
        <v>782</v>
      </c>
      <c r="O1773" t="s">
        <v>783</v>
      </c>
      <c r="P1773">
        <v>-20.137938999999999</v>
      </c>
      <c r="Q1773">
        <v>-44.865873000000001</v>
      </c>
      <c r="R1773" s="2" t="str">
        <f>HYPERLINK("https://www.google.com/maps?q=-20.1379390,-44.8658730","Abrir no Google Maps")</f>
        <v>Abrir no Google Maps</v>
      </c>
      <c r="S1773">
        <v>3</v>
      </c>
      <c r="T1773">
        <v>663.24596349877265</v>
      </c>
      <c r="U1773">
        <v>4</v>
      </c>
      <c r="V1773">
        <v>24</v>
      </c>
      <c r="W1773">
        <v>1</v>
      </c>
      <c r="X1773">
        <v>24</v>
      </c>
      <c r="Y1773">
        <v>332</v>
      </c>
      <c r="Z1773">
        <v>724.72470227972997</v>
      </c>
      <c r="AA1773">
        <v>198</v>
      </c>
      <c r="AB1773">
        <v>332</v>
      </c>
      <c r="AC1773">
        <v>536</v>
      </c>
      <c r="AD1773">
        <v>30.74</v>
      </c>
      <c r="AE1773">
        <v>542</v>
      </c>
      <c r="AF1773">
        <v>30</v>
      </c>
      <c r="AG1773">
        <v>178</v>
      </c>
      <c r="AH1773">
        <v>129</v>
      </c>
      <c r="AI1773">
        <v>5.54</v>
      </c>
      <c r="AJ1773">
        <v>32.840000000000003</v>
      </c>
      <c r="AK1773">
        <v>23.8</v>
      </c>
      <c r="AL1773">
        <v>-20.137865449999961</v>
      </c>
      <c r="AM1773">
        <v>-44.866141027847057</v>
      </c>
      <c r="AN1773">
        <v>-20.137865449999961</v>
      </c>
      <c r="AO1773">
        <v>-44.866141027847057</v>
      </c>
      <c r="AP1773">
        <v>-20.137938999999999</v>
      </c>
      <c r="AQ1773">
        <v>-44.865873000000001</v>
      </c>
      <c r="AR1773">
        <v>29.184856191831059</v>
      </c>
      <c r="AS1773" t="s">
        <v>65</v>
      </c>
      <c r="AT1773">
        <v>1</v>
      </c>
      <c r="AU1773" t="s">
        <v>784</v>
      </c>
      <c r="AV1773" t="s">
        <v>785</v>
      </c>
      <c r="AW1773" t="s">
        <v>60</v>
      </c>
      <c r="AX1773" t="s">
        <v>68</v>
      </c>
      <c r="AY1773" t="s">
        <v>69</v>
      </c>
      <c r="AZ1773" t="b">
        <v>1</v>
      </c>
    </row>
    <row r="1774" spans="1:52" x14ac:dyDescent="0.3">
      <c r="A1774" t="s">
        <v>52</v>
      </c>
      <c r="B1774" t="s">
        <v>53</v>
      </c>
      <c r="C1774" t="s">
        <v>54</v>
      </c>
      <c r="D1774" t="s">
        <v>55</v>
      </c>
      <c r="E1774" t="s">
        <v>2148</v>
      </c>
      <c r="F1774" t="s">
        <v>190</v>
      </c>
      <c r="G1774" t="s">
        <v>1104</v>
      </c>
      <c r="H1774" t="s">
        <v>1105</v>
      </c>
      <c r="I1774" t="s">
        <v>1105</v>
      </c>
      <c r="J1774" t="s">
        <v>60</v>
      </c>
      <c r="K1774" t="s">
        <v>781</v>
      </c>
      <c r="L1774" t="s">
        <v>62</v>
      </c>
      <c r="M1774" t="s">
        <v>781</v>
      </c>
      <c r="N1774" t="s">
        <v>1106</v>
      </c>
      <c r="O1774" t="s">
        <v>1080</v>
      </c>
      <c r="P1774">
        <v>-20.138683</v>
      </c>
      <c r="Q1774">
        <v>-44.868507999999999</v>
      </c>
      <c r="R1774" s="2" t="str">
        <f>HYPERLINK("https://www.google.com/maps?q=-20.1386830,-44.8685080","Abrir no Google Maps")</f>
        <v>Abrir no Google Maps</v>
      </c>
      <c r="S1774">
        <v>3</v>
      </c>
      <c r="T1774">
        <v>450.88210098833099</v>
      </c>
      <c r="U1774">
        <v>4</v>
      </c>
      <c r="V1774">
        <v>25</v>
      </c>
      <c r="W1774">
        <v>1</v>
      </c>
      <c r="X1774">
        <v>25</v>
      </c>
      <c r="Y1774">
        <v>332</v>
      </c>
      <c r="Z1774">
        <v>601.27669048153166</v>
      </c>
      <c r="AA1774">
        <v>198</v>
      </c>
      <c r="AB1774">
        <v>332</v>
      </c>
      <c r="AC1774">
        <v>536</v>
      </c>
      <c r="AD1774">
        <v>30.74</v>
      </c>
      <c r="AE1774">
        <v>542</v>
      </c>
      <c r="AF1774">
        <v>30</v>
      </c>
      <c r="AG1774">
        <v>178</v>
      </c>
      <c r="AH1774">
        <v>129</v>
      </c>
      <c r="AI1774">
        <v>5.54</v>
      </c>
      <c r="AJ1774">
        <v>32.840000000000003</v>
      </c>
      <c r="AK1774">
        <v>23.8</v>
      </c>
      <c r="AL1774">
        <v>-20.13870544999995</v>
      </c>
      <c r="AM1774">
        <v>-44.868521774012208</v>
      </c>
      <c r="AN1774">
        <v>-20.138705449999939</v>
      </c>
      <c r="AO1774">
        <v>-44.868521774012208</v>
      </c>
      <c r="AP1774">
        <v>-20.138683</v>
      </c>
      <c r="AQ1774">
        <v>-44.868507999999999</v>
      </c>
      <c r="AR1774">
        <v>2.8841042175322271</v>
      </c>
      <c r="AS1774" t="s">
        <v>65</v>
      </c>
      <c r="AT1774">
        <v>1</v>
      </c>
      <c r="AU1774" t="s">
        <v>1107</v>
      </c>
      <c r="AV1774" t="s">
        <v>1108</v>
      </c>
      <c r="AW1774" t="s">
        <v>60</v>
      </c>
      <c r="AX1774" t="s">
        <v>68</v>
      </c>
      <c r="AY1774" t="s">
        <v>69</v>
      </c>
      <c r="AZ1774" t="b">
        <v>1</v>
      </c>
    </row>
    <row r="1775" spans="1:52" x14ac:dyDescent="0.3">
      <c r="A1775" t="s">
        <v>52</v>
      </c>
      <c r="B1775" t="s">
        <v>53</v>
      </c>
      <c r="C1775" t="s">
        <v>54</v>
      </c>
      <c r="D1775" t="s">
        <v>55</v>
      </c>
      <c r="E1775" t="s">
        <v>2148</v>
      </c>
      <c r="F1775" t="s">
        <v>190</v>
      </c>
      <c r="G1775" t="s">
        <v>1133</v>
      </c>
      <c r="H1775" t="s">
        <v>1134</v>
      </c>
      <c r="I1775" t="s">
        <v>1134</v>
      </c>
      <c r="J1775" t="s">
        <v>60</v>
      </c>
      <c r="K1775" t="s">
        <v>1123</v>
      </c>
      <c r="L1775" t="s">
        <v>62</v>
      </c>
      <c r="M1775" t="s">
        <v>1123</v>
      </c>
      <c r="N1775" t="s">
        <v>1135</v>
      </c>
      <c r="O1775" t="s">
        <v>138</v>
      </c>
      <c r="P1775">
        <v>-20.106113000000001</v>
      </c>
      <c r="Q1775">
        <v>-44.876035999999999</v>
      </c>
      <c r="R1775" s="2" t="str">
        <f>HYPERLINK("https://www.google.com/maps?q=-20.1061130,-44.8760360","Abrir no Google Maps")</f>
        <v>Abrir no Google Maps</v>
      </c>
      <c r="S1775">
        <v>3</v>
      </c>
      <c r="T1775">
        <v>0</v>
      </c>
      <c r="U1775">
        <v>4</v>
      </c>
      <c r="V1775">
        <v>26</v>
      </c>
      <c r="W1775">
        <v>1</v>
      </c>
      <c r="X1775">
        <v>26</v>
      </c>
      <c r="Y1775">
        <v>314</v>
      </c>
      <c r="Z1775">
        <v>98.504848991092999</v>
      </c>
      <c r="AA1775">
        <v>198</v>
      </c>
      <c r="AB1775">
        <v>332</v>
      </c>
      <c r="AC1775">
        <v>536</v>
      </c>
      <c r="AD1775">
        <v>30.74</v>
      </c>
      <c r="AE1775">
        <v>542</v>
      </c>
      <c r="AF1775">
        <v>30</v>
      </c>
      <c r="AG1775">
        <v>178</v>
      </c>
      <c r="AH1775">
        <v>129</v>
      </c>
      <c r="AI1775">
        <v>5.54</v>
      </c>
      <c r="AJ1775">
        <v>32.840000000000003</v>
      </c>
      <c r="AK1775">
        <v>23.8</v>
      </c>
      <c r="AL1775">
        <v>-20.106190249999941</v>
      </c>
      <c r="AM1775">
        <v>-44.876327742253288</v>
      </c>
      <c r="AN1775">
        <v>-20.106190249999941</v>
      </c>
      <c r="AO1775">
        <v>-44.876327742253288</v>
      </c>
      <c r="AP1775">
        <v>-20.106113000000001</v>
      </c>
      <c r="AQ1775">
        <v>-44.876035999999999</v>
      </c>
      <c r="AR1775">
        <v>31.686742853465731</v>
      </c>
      <c r="AS1775" t="s">
        <v>65</v>
      </c>
      <c r="AT1775">
        <v>1</v>
      </c>
      <c r="AU1775" t="s">
        <v>1136</v>
      </c>
      <c r="AV1775" t="s">
        <v>1137</v>
      </c>
      <c r="AW1775" t="s">
        <v>60</v>
      </c>
      <c r="AX1775" t="s">
        <v>68</v>
      </c>
      <c r="AY1775" t="s">
        <v>69</v>
      </c>
      <c r="AZ1775" t="b">
        <v>1</v>
      </c>
    </row>
    <row r="1776" spans="1:52" x14ac:dyDescent="0.3">
      <c r="A1776" t="s">
        <v>52</v>
      </c>
      <c r="B1776" t="s">
        <v>53</v>
      </c>
      <c r="C1776" t="s">
        <v>54</v>
      </c>
      <c r="D1776" t="s">
        <v>55</v>
      </c>
      <c r="E1776" t="s">
        <v>2148</v>
      </c>
      <c r="F1776" t="s">
        <v>190</v>
      </c>
      <c r="G1776" t="s">
        <v>1138</v>
      </c>
      <c r="H1776" t="s">
        <v>1139</v>
      </c>
      <c r="I1776" t="s">
        <v>1139</v>
      </c>
      <c r="J1776" t="s">
        <v>60</v>
      </c>
      <c r="K1776" t="s">
        <v>1140</v>
      </c>
      <c r="L1776" t="s">
        <v>62</v>
      </c>
      <c r="M1776" t="s">
        <v>1140</v>
      </c>
      <c r="N1776" t="s">
        <v>1141</v>
      </c>
      <c r="O1776" t="s">
        <v>293</v>
      </c>
      <c r="P1776">
        <v>-20.103041999999999</v>
      </c>
      <c r="Q1776">
        <v>-44.882694999999998</v>
      </c>
      <c r="R1776" s="2" t="str">
        <f>HYPERLINK("https://www.google.com/maps?q=-20.1030420,-44.8826950","Abrir no Google Maps")</f>
        <v>Abrir no Google Maps</v>
      </c>
      <c r="S1776">
        <v>3</v>
      </c>
      <c r="T1776">
        <v>764.07293048598467</v>
      </c>
      <c r="U1776">
        <v>4</v>
      </c>
      <c r="V1776">
        <v>32</v>
      </c>
      <c r="W1776">
        <v>1</v>
      </c>
      <c r="X1776">
        <v>32</v>
      </c>
      <c r="Y1776">
        <v>314</v>
      </c>
      <c r="Z1776">
        <v>696.03268335706969</v>
      </c>
      <c r="AA1776">
        <v>198</v>
      </c>
      <c r="AB1776">
        <v>332</v>
      </c>
      <c r="AC1776">
        <v>536</v>
      </c>
      <c r="AD1776">
        <v>30.74</v>
      </c>
      <c r="AE1776">
        <v>542</v>
      </c>
      <c r="AF1776">
        <v>30</v>
      </c>
      <c r="AG1776">
        <v>178</v>
      </c>
      <c r="AH1776">
        <v>129</v>
      </c>
      <c r="AI1776">
        <v>5.54</v>
      </c>
      <c r="AJ1776">
        <v>32.840000000000003</v>
      </c>
      <c r="AK1776">
        <v>23.8</v>
      </c>
      <c r="AL1776">
        <v>-20.10298734999995</v>
      </c>
      <c r="AM1776">
        <v>-44.882802925792483</v>
      </c>
      <c r="AN1776">
        <v>-20.10298734999995</v>
      </c>
      <c r="AO1776">
        <v>-44.882802925792483</v>
      </c>
      <c r="AP1776">
        <v>-20.103041999999999</v>
      </c>
      <c r="AQ1776">
        <v>-44.882694999999998</v>
      </c>
      <c r="AR1776">
        <v>12.8180317775525</v>
      </c>
      <c r="AS1776" t="s">
        <v>65</v>
      </c>
      <c r="AT1776">
        <v>1</v>
      </c>
      <c r="AU1776" t="s">
        <v>1142</v>
      </c>
      <c r="AV1776" t="s">
        <v>1143</v>
      </c>
      <c r="AW1776" t="s">
        <v>60</v>
      </c>
      <c r="AX1776" t="s">
        <v>68</v>
      </c>
      <c r="AY1776" t="s">
        <v>69</v>
      </c>
      <c r="AZ1776" t="b">
        <v>1</v>
      </c>
    </row>
    <row r="1777" spans="1:52" x14ac:dyDescent="0.3">
      <c r="A1777" t="s">
        <v>52</v>
      </c>
      <c r="B1777" t="s">
        <v>53</v>
      </c>
      <c r="C1777" t="s">
        <v>54</v>
      </c>
      <c r="D1777" t="s">
        <v>55</v>
      </c>
      <c r="E1777" t="s">
        <v>2148</v>
      </c>
      <c r="F1777" t="s">
        <v>190</v>
      </c>
      <c r="G1777" t="s">
        <v>607</v>
      </c>
      <c r="H1777" t="s">
        <v>786</v>
      </c>
      <c r="I1777" t="s">
        <v>786</v>
      </c>
      <c r="J1777" t="s">
        <v>60</v>
      </c>
      <c r="K1777" t="s">
        <v>609</v>
      </c>
      <c r="L1777" t="s">
        <v>62</v>
      </c>
      <c r="M1777" t="s">
        <v>609</v>
      </c>
      <c r="N1777" t="s">
        <v>610</v>
      </c>
      <c r="O1777" t="s">
        <v>315</v>
      </c>
      <c r="P1777">
        <v>-20.108561999999999</v>
      </c>
      <c r="Q1777">
        <v>-44.883811000000001</v>
      </c>
      <c r="R1777" s="2" t="str">
        <f>HYPERLINK("https://www.google.com/maps?q=-20.1085620,-44.8838110","Abrir no Google Maps")</f>
        <v>Abrir no Google Maps</v>
      </c>
      <c r="S1777">
        <v>3</v>
      </c>
      <c r="T1777">
        <v>875.82813532572072</v>
      </c>
      <c r="U1777">
        <v>4</v>
      </c>
      <c r="V1777">
        <v>24</v>
      </c>
      <c r="W1777">
        <v>1</v>
      </c>
      <c r="X1777">
        <v>24</v>
      </c>
      <c r="Y1777">
        <v>314</v>
      </c>
      <c r="Z1777">
        <v>824.504668554717</v>
      </c>
      <c r="AA1777">
        <v>198</v>
      </c>
      <c r="AB1777">
        <v>332</v>
      </c>
      <c r="AC1777">
        <v>536</v>
      </c>
      <c r="AD1777">
        <v>30.74</v>
      </c>
      <c r="AE1777">
        <v>542</v>
      </c>
      <c r="AF1777">
        <v>30</v>
      </c>
      <c r="AG1777">
        <v>178</v>
      </c>
      <c r="AH1777">
        <v>129</v>
      </c>
      <c r="AI1777">
        <v>5.54</v>
      </c>
      <c r="AJ1777">
        <v>32.840000000000003</v>
      </c>
      <c r="AK1777">
        <v>23.8</v>
      </c>
      <c r="AL1777">
        <v>-20.108622949999951</v>
      </c>
      <c r="AM1777">
        <v>-44.884300516660261</v>
      </c>
      <c r="AN1777">
        <v>-20.108622949999951</v>
      </c>
      <c r="AO1777">
        <v>-44.884300516660261</v>
      </c>
      <c r="AP1777">
        <v>-20.108561999999999</v>
      </c>
      <c r="AQ1777">
        <v>-44.883811000000001</v>
      </c>
      <c r="AR1777">
        <v>51.619098272465493</v>
      </c>
      <c r="AS1777" t="s">
        <v>65</v>
      </c>
      <c r="AT1777">
        <v>1</v>
      </c>
      <c r="AU1777" t="s">
        <v>787</v>
      </c>
      <c r="AV1777" t="s">
        <v>788</v>
      </c>
      <c r="AW1777" t="s">
        <v>60</v>
      </c>
      <c r="AX1777" t="s">
        <v>68</v>
      </c>
      <c r="AY1777" t="s">
        <v>69</v>
      </c>
      <c r="AZ1777" t="b">
        <v>1</v>
      </c>
    </row>
    <row r="1778" spans="1:52" x14ac:dyDescent="0.3">
      <c r="A1778" t="s">
        <v>52</v>
      </c>
      <c r="B1778" t="s">
        <v>53</v>
      </c>
      <c r="C1778" t="s">
        <v>54</v>
      </c>
      <c r="D1778" t="s">
        <v>55</v>
      </c>
      <c r="E1778" t="s">
        <v>2148</v>
      </c>
      <c r="F1778" t="s">
        <v>190</v>
      </c>
      <c r="G1778" t="s">
        <v>789</v>
      </c>
      <c r="H1778" t="s">
        <v>790</v>
      </c>
      <c r="I1778" t="s">
        <v>790</v>
      </c>
      <c r="J1778" t="s">
        <v>60</v>
      </c>
      <c r="K1778" t="s">
        <v>791</v>
      </c>
      <c r="L1778" t="s">
        <v>62</v>
      </c>
      <c r="M1778" t="s">
        <v>791</v>
      </c>
      <c r="N1778" t="s">
        <v>792</v>
      </c>
      <c r="O1778" t="s">
        <v>793</v>
      </c>
      <c r="P1778">
        <v>-20.114263000000001</v>
      </c>
      <c r="Q1778">
        <v>-44.910150000000002</v>
      </c>
      <c r="R1778" s="2" t="str">
        <f>HYPERLINK("https://www.google.com/maps?q=-20.1142630,-44.9101500","Abrir no Google Maps")</f>
        <v>Abrir no Google Maps</v>
      </c>
      <c r="S1778">
        <v>3</v>
      </c>
      <c r="T1778">
        <v>1039.6249825628629</v>
      </c>
      <c r="U1778">
        <v>4</v>
      </c>
      <c r="V1778">
        <v>45</v>
      </c>
      <c r="W1778">
        <v>1</v>
      </c>
      <c r="X1778">
        <v>45</v>
      </c>
      <c r="Y1778">
        <v>300</v>
      </c>
      <c r="Z1778">
        <v>1156.8405524690361</v>
      </c>
      <c r="AA1778">
        <v>198</v>
      </c>
      <c r="AB1778">
        <v>332</v>
      </c>
      <c r="AC1778">
        <v>536</v>
      </c>
      <c r="AD1778">
        <v>30.74</v>
      </c>
      <c r="AE1778">
        <v>542</v>
      </c>
      <c r="AF1778">
        <v>30</v>
      </c>
      <c r="AG1778">
        <v>178</v>
      </c>
      <c r="AH1778">
        <v>129</v>
      </c>
      <c r="AI1778">
        <v>5.54</v>
      </c>
      <c r="AJ1778">
        <v>32.840000000000003</v>
      </c>
      <c r="AK1778">
        <v>23.8</v>
      </c>
      <c r="AL1778">
        <v>-20.113823899999939</v>
      </c>
      <c r="AM1778">
        <v>-44.910704705968108</v>
      </c>
      <c r="AN1778">
        <v>-20.113823899999939</v>
      </c>
      <c r="AO1778">
        <v>-44.910704705968108</v>
      </c>
      <c r="AP1778">
        <v>-20.114263000000001</v>
      </c>
      <c r="AQ1778">
        <v>-44.910150000000002</v>
      </c>
      <c r="AR1778">
        <v>75.838236800419978</v>
      </c>
      <c r="AS1778" t="s">
        <v>65</v>
      </c>
      <c r="AT1778">
        <v>1</v>
      </c>
      <c r="AU1778" t="s">
        <v>794</v>
      </c>
      <c r="AV1778" t="s">
        <v>795</v>
      </c>
      <c r="AW1778" t="s">
        <v>60</v>
      </c>
      <c r="AX1778" t="s">
        <v>68</v>
      </c>
      <c r="AY1778" t="s">
        <v>69</v>
      </c>
      <c r="AZ1778" t="b">
        <v>1</v>
      </c>
    </row>
    <row r="1779" spans="1:52" x14ac:dyDescent="0.3">
      <c r="A1779" t="s">
        <v>52</v>
      </c>
      <c r="B1779" t="s">
        <v>53</v>
      </c>
      <c r="C1779" t="s">
        <v>54</v>
      </c>
      <c r="D1779" t="s">
        <v>55</v>
      </c>
      <c r="E1779" t="s">
        <v>2148</v>
      </c>
      <c r="F1779" t="s">
        <v>190</v>
      </c>
      <c r="G1779" t="s">
        <v>1152</v>
      </c>
      <c r="H1779" t="s">
        <v>1153</v>
      </c>
      <c r="I1779" t="s">
        <v>1153</v>
      </c>
      <c r="J1779" t="s">
        <v>60</v>
      </c>
      <c r="K1779" t="s">
        <v>798</v>
      </c>
      <c r="L1779" t="s">
        <v>62</v>
      </c>
      <c r="M1779" t="s">
        <v>798</v>
      </c>
      <c r="N1779" t="s">
        <v>1154</v>
      </c>
      <c r="O1779" t="s">
        <v>293</v>
      </c>
      <c r="P1779">
        <v>-20.112477999999999</v>
      </c>
      <c r="Q1779">
        <v>-44.903066000000003</v>
      </c>
      <c r="R1779" s="2" t="str">
        <f>HYPERLINK("https://www.google.com/maps?q=-20.1124780,-44.9030660","Abrir no Google Maps")</f>
        <v>Abrir no Google Maps</v>
      </c>
      <c r="S1779">
        <v>3</v>
      </c>
      <c r="T1779">
        <v>246.8131690803576</v>
      </c>
      <c r="U1779">
        <v>4</v>
      </c>
      <c r="V1779">
        <v>25</v>
      </c>
      <c r="W1779">
        <v>1</v>
      </c>
      <c r="X1779">
        <v>25</v>
      </c>
      <c r="Y1779">
        <v>300</v>
      </c>
      <c r="Z1779">
        <v>335.63974056009812</v>
      </c>
      <c r="AA1779">
        <v>198</v>
      </c>
      <c r="AB1779">
        <v>332</v>
      </c>
      <c r="AC1779">
        <v>536</v>
      </c>
      <c r="AD1779">
        <v>30.74</v>
      </c>
      <c r="AE1779">
        <v>542</v>
      </c>
      <c r="AF1779">
        <v>30</v>
      </c>
      <c r="AG1779">
        <v>178</v>
      </c>
      <c r="AH1779">
        <v>129</v>
      </c>
      <c r="AI1779">
        <v>5.54</v>
      </c>
      <c r="AJ1779">
        <v>32.840000000000003</v>
      </c>
      <c r="AK1779">
        <v>23.8</v>
      </c>
      <c r="AL1779">
        <v>-20.112499949999972</v>
      </c>
      <c r="AM1779">
        <v>-44.903143791889391</v>
      </c>
      <c r="AN1779">
        <v>-20.112499949999972</v>
      </c>
      <c r="AO1779">
        <v>-44.903143791889391</v>
      </c>
      <c r="AP1779">
        <v>-20.112477999999999</v>
      </c>
      <c r="AQ1779">
        <v>-44.903066000000003</v>
      </c>
      <c r="AR1779">
        <v>8.4908959019572912</v>
      </c>
      <c r="AS1779" t="s">
        <v>65</v>
      </c>
      <c r="AT1779">
        <v>1</v>
      </c>
      <c r="AU1779" t="s">
        <v>1155</v>
      </c>
      <c r="AV1779" t="s">
        <v>1156</v>
      </c>
      <c r="AW1779" t="s">
        <v>60</v>
      </c>
      <c r="AX1779" t="s">
        <v>68</v>
      </c>
      <c r="AY1779" t="s">
        <v>69</v>
      </c>
      <c r="AZ1779" t="b">
        <v>1</v>
      </c>
    </row>
    <row r="1780" spans="1:52" x14ac:dyDescent="0.3">
      <c r="A1780" t="s">
        <v>52</v>
      </c>
      <c r="B1780" t="s">
        <v>53</v>
      </c>
      <c r="C1780" t="s">
        <v>54</v>
      </c>
      <c r="D1780" t="s">
        <v>55</v>
      </c>
      <c r="E1780" t="s">
        <v>2148</v>
      </c>
      <c r="F1780" t="s">
        <v>190</v>
      </c>
      <c r="G1780" t="s">
        <v>796</v>
      </c>
      <c r="H1780" t="s">
        <v>797</v>
      </c>
      <c r="I1780" t="s">
        <v>797</v>
      </c>
      <c r="J1780" t="s">
        <v>60</v>
      </c>
      <c r="K1780" t="s">
        <v>798</v>
      </c>
      <c r="L1780" t="s">
        <v>62</v>
      </c>
      <c r="M1780" t="s">
        <v>798</v>
      </c>
      <c r="N1780" t="s">
        <v>799</v>
      </c>
      <c r="O1780" t="s">
        <v>800</v>
      </c>
      <c r="P1780">
        <v>-20.105681000000001</v>
      </c>
      <c r="Q1780">
        <v>-44.902771999999999</v>
      </c>
      <c r="R1780" s="2" t="str">
        <f>HYPERLINK("https://www.google.com/maps?q=-20.1056810,-44.9027720","Abrir no Google Maps")</f>
        <v>Abrir no Google Maps</v>
      </c>
      <c r="S1780">
        <v>3</v>
      </c>
      <c r="T1780">
        <v>654.76334876090721</v>
      </c>
      <c r="U1780">
        <v>4</v>
      </c>
      <c r="V1780">
        <v>56</v>
      </c>
      <c r="W1780">
        <v>1</v>
      </c>
      <c r="X1780">
        <v>56</v>
      </c>
      <c r="Y1780">
        <v>300</v>
      </c>
      <c r="Z1780">
        <v>473.90209409135377</v>
      </c>
      <c r="AA1780">
        <v>198</v>
      </c>
      <c r="AB1780">
        <v>332</v>
      </c>
      <c r="AC1780">
        <v>536</v>
      </c>
      <c r="AD1780">
        <v>30.74</v>
      </c>
      <c r="AE1780">
        <v>542</v>
      </c>
      <c r="AF1780">
        <v>30</v>
      </c>
      <c r="AG1780">
        <v>178</v>
      </c>
      <c r="AH1780">
        <v>129</v>
      </c>
      <c r="AI1780">
        <v>5.54</v>
      </c>
      <c r="AJ1780">
        <v>32.840000000000003</v>
      </c>
      <c r="AK1780">
        <v>23.8</v>
      </c>
      <c r="AL1780">
        <v>-20.105710249999959</v>
      </c>
      <c r="AM1780">
        <v>-44.902887601574513</v>
      </c>
      <c r="AN1780">
        <v>-20.105710249999959</v>
      </c>
      <c r="AO1780">
        <v>-44.902887601574513</v>
      </c>
      <c r="AP1780">
        <v>-20.105681000000001</v>
      </c>
      <c r="AQ1780">
        <v>-44.902771999999999</v>
      </c>
      <c r="AR1780">
        <v>12.5155291382583</v>
      </c>
      <c r="AS1780" t="s">
        <v>65</v>
      </c>
      <c r="AT1780">
        <v>1</v>
      </c>
      <c r="AU1780" t="s">
        <v>801</v>
      </c>
      <c r="AV1780" t="s">
        <v>802</v>
      </c>
      <c r="AW1780" t="s">
        <v>60</v>
      </c>
      <c r="AX1780" t="s">
        <v>68</v>
      </c>
      <c r="AY1780" t="s">
        <v>69</v>
      </c>
      <c r="AZ1780" t="b">
        <v>1</v>
      </c>
    </row>
    <row r="1781" spans="1:52" x14ac:dyDescent="0.3">
      <c r="A1781" t="s">
        <v>52</v>
      </c>
      <c r="B1781" t="s">
        <v>53</v>
      </c>
      <c r="C1781" t="s">
        <v>54</v>
      </c>
      <c r="D1781" t="s">
        <v>55</v>
      </c>
      <c r="E1781" t="s">
        <v>2148</v>
      </c>
      <c r="F1781" t="s">
        <v>190</v>
      </c>
      <c r="G1781" t="s">
        <v>1780</v>
      </c>
      <c r="H1781" t="s">
        <v>1781</v>
      </c>
      <c r="I1781" t="s">
        <v>1781</v>
      </c>
      <c r="J1781" t="s">
        <v>60</v>
      </c>
      <c r="K1781" t="s">
        <v>791</v>
      </c>
      <c r="L1781" t="s">
        <v>62</v>
      </c>
      <c r="M1781" t="s">
        <v>791</v>
      </c>
      <c r="N1781" t="s">
        <v>1782</v>
      </c>
      <c r="O1781" t="s">
        <v>283</v>
      </c>
      <c r="P1781">
        <v>-20.111986999999999</v>
      </c>
      <c r="Q1781">
        <v>-44.915275999999999</v>
      </c>
      <c r="R1781" s="2" t="str">
        <f>HYPERLINK("https://www.google.com/maps?q=-20.1119870,-44.9152760","Abrir no Google Maps")</f>
        <v>Abrir no Google Maps</v>
      </c>
      <c r="S1781">
        <v>3</v>
      </c>
      <c r="T1781">
        <v>1467.0043378534899</v>
      </c>
      <c r="U1781">
        <v>4</v>
      </c>
      <c r="V1781">
        <v>30</v>
      </c>
      <c r="W1781">
        <v>0.85</v>
      </c>
      <c r="X1781">
        <v>25.5</v>
      </c>
      <c r="Y1781">
        <v>300</v>
      </c>
      <c r="Z1781">
        <v>1478.329767690894</v>
      </c>
      <c r="AA1781">
        <v>198</v>
      </c>
      <c r="AB1781">
        <v>332</v>
      </c>
      <c r="AC1781">
        <v>536</v>
      </c>
      <c r="AD1781">
        <v>30.74</v>
      </c>
      <c r="AE1781">
        <v>542</v>
      </c>
      <c r="AF1781">
        <v>30</v>
      </c>
      <c r="AG1781">
        <v>178</v>
      </c>
      <c r="AH1781">
        <v>129</v>
      </c>
      <c r="AI1781">
        <v>5.54</v>
      </c>
      <c r="AJ1781">
        <v>32.840000000000003</v>
      </c>
      <c r="AK1781">
        <v>23.8</v>
      </c>
      <c r="AL1781">
        <v>-20.11213934999995</v>
      </c>
      <c r="AM1781">
        <v>-44.915112261589371</v>
      </c>
      <c r="AN1781">
        <v>-20.11213934999995</v>
      </c>
      <c r="AO1781">
        <v>-44.915112261589371</v>
      </c>
      <c r="AP1781">
        <v>-20.111986999999999</v>
      </c>
      <c r="AQ1781">
        <v>-44.915275999999999</v>
      </c>
      <c r="AR1781">
        <v>24.095258739308729</v>
      </c>
      <c r="AS1781" t="s">
        <v>65</v>
      </c>
      <c r="AT1781">
        <v>1</v>
      </c>
      <c r="AU1781" t="s">
        <v>1783</v>
      </c>
      <c r="AV1781" t="s">
        <v>1784</v>
      </c>
      <c r="AW1781" t="s">
        <v>60</v>
      </c>
      <c r="AX1781" t="s">
        <v>68</v>
      </c>
      <c r="AY1781" t="s">
        <v>69</v>
      </c>
      <c r="AZ1781" t="b">
        <v>1</v>
      </c>
    </row>
    <row r="1782" spans="1:52" x14ac:dyDescent="0.3">
      <c r="A1782" t="s">
        <v>52</v>
      </c>
      <c r="B1782" t="s">
        <v>53</v>
      </c>
      <c r="C1782" t="s">
        <v>54</v>
      </c>
      <c r="D1782" t="s">
        <v>55</v>
      </c>
      <c r="E1782" t="s">
        <v>2148</v>
      </c>
      <c r="F1782" t="s">
        <v>190</v>
      </c>
      <c r="G1782" t="s">
        <v>1785</v>
      </c>
      <c r="H1782" t="s">
        <v>1786</v>
      </c>
      <c r="I1782" t="s">
        <v>1786</v>
      </c>
      <c r="J1782" t="s">
        <v>60</v>
      </c>
      <c r="K1782" t="s">
        <v>323</v>
      </c>
      <c r="L1782" t="s">
        <v>62</v>
      </c>
      <c r="M1782" t="s">
        <v>323</v>
      </c>
      <c r="N1782" t="s">
        <v>1787</v>
      </c>
      <c r="O1782" t="s">
        <v>166</v>
      </c>
      <c r="P1782">
        <v>-20.150456999999999</v>
      </c>
      <c r="Q1782">
        <v>-44.859959000000003</v>
      </c>
      <c r="R1782" s="2" t="str">
        <f>HYPERLINK("https://www.google.com/maps?q=-20.1504570,-44.8599590","Abrir no Google Maps")</f>
        <v>Abrir no Google Maps</v>
      </c>
      <c r="S1782">
        <v>3</v>
      </c>
      <c r="T1782">
        <v>658.64381182775185</v>
      </c>
      <c r="U1782">
        <v>4</v>
      </c>
      <c r="V1782">
        <v>33</v>
      </c>
      <c r="W1782">
        <v>1</v>
      </c>
      <c r="X1782">
        <v>33</v>
      </c>
      <c r="Y1782">
        <v>264</v>
      </c>
      <c r="Z1782">
        <v>516.83560872131818</v>
      </c>
      <c r="AA1782">
        <v>198</v>
      </c>
      <c r="AB1782">
        <v>332</v>
      </c>
      <c r="AC1782">
        <v>536</v>
      </c>
      <c r="AD1782">
        <v>30.74</v>
      </c>
      <c r="AE1782">
        <v>542</v>
      </c>
      <c r="AF1782">
        <v>30</v>
      </c>
      <c r="AG1782">
        <v>178</v>
      </c>
      <c r="AH1782">
        <v>129</v>
      </c>
      <c r="AI1782">
        <v>5.54</v>
      </c>
      <c r="AJ1782">
        <v>32.840000000000003</v>
      </c>
      <c r="AK1782">
        <v>23.8</v>
      </c>
      <c r="AL1782">
        <v>-20.150445899999969</v>
      </c>
      <c r="AM1782">
        <v>-44.860119388819953</v>
      </c>
      <c r="AN1782">
        <v>-20.150445899999969</v>
      </c>
      <c r="AO1782">
        <v>-44.860119388819953</v>
      </c>
      <c r="AP1782">
        <v>-20.150456999999999</v>
      </c>
      <c r="AQ1782">
        <v>-44.859959000000003</v>
      </c>
      <c r="AR1782">
        <v>16.807117810283469</v>
      </c>
      <c r="AS1782" t="s">
        <v>65</v>
      </c>
      <c r="AT1782">
        <v>1</v>
      </c>
      <c r="AU1782" t="s">
        <v>1788</v>
      </c>
      <c r="AV1782" t="s">
        <v>1789</v>
      </c>
      <c r="AW1782" t="s">
        <v>60</v>
      </c>
      <c r="AX1782" t="s">
        <v>68</v>
      </c>
      <c r="AY1782" t="s">
        <v>69</v>
      </c>
      <c r="AZ1782" t="b">
        <v>1</v>
      </c>
    </row>
    <row r="1783" spans="1:52" x14ac:dyDescent="0.3">
      <c r="A1783" t="s">
        <v>52</v>
      </c>
      <c r="B1783" t="s">
        <v>53</v>
      </c>
      <c r="C1783" t="s">
        <v>54</v>
      </c>
      <c r="D1783" t="s">
        <v>55</v>
      </c>
      <c r="E1783" t="s">
        <v>2148</v>
      </c>
      <c r="F1783" t="s">
        <v>190</v>
      </c>
      <c r="G1783" t="s">
        <v>803</v>
      </c>
      <c r="H1783" t="s">
        <v>804</v>
      </c>
      <c r="I1783" t="s">
        <v>804</v>
      </c>
      <c r="J1783" t="s">
        <v>60</v>
      </c>
      <c r="K1783" t="s">
        <v>805</v>
      </c>
      <c r="L1783" t="s">
        <v>62</v>
      </c>
      <c r="M1783" t="s">
        <v>805</v>
      </c>
      <c r="N1783" t="s">
        <v>806</v>
      </c>
      <c r="O1783" t="s">
        <v>807</v>
      </c>
      <c r="P1783">
        <v>-20.133293999999999</v>
      </c>
      <c r="Q1783">
        <v>-44.886302000000001</v>
      </c>
      <c r="R1783" s="2" t="str">
        <f>HYPERLINK("https://www.google.com/maps?q=-20.1332940,-44.8863020","Abrir no Google Maps")</f>
        <v>Abrir no Google Maps</v>
      </c>
      <c r="S1783">
        <v>3</v>
      </c>
      <c r="T1783">
        <v>0</v>
      </c>
      <c r="U1783">
        <v>4</v>
      </c>
      <c r="V1783">
        <v>28</v>
      </c>
      <c r="W1783">
        <v>1</v>
      </c>
      <c r="X1783">
        <v>28</v>
      </c>
      <c r="Y1783">
        <v>259</v>
      </c>
      <c r="Z1783">
        <v>76.358812960729097</v>
      </c>
      <c r="AA1783">
        <v>198</v>
      </c>
      <c r="AB1783">
        <v>332</v>
      </c>
      <c r="AC1783">
        <v>536</v>
      </c>
      <c r="AD1783">
        <v>30.74</v>
      </c>
      <c r="AE1783">
        <v>542</v>
      </c>
      <c r="AF1783">
        <v>30</v>
      </c>
      <c r="AG1783">
        <v>178</v>
      </c>
      <c r="AH1783">
        <v>129</v>
      </c>
      <c r="AI1783">
        <v>5.54</v>
      </c>
      <c r="AJ1783">
        <v>32.840000000000003</v>
      </c>
      <c r="AK1783">
        <v>23.8</v>
      </c>
      <c r="AL1783">
        <v>-20.133281749999949</v>
      </c>
      <c r="AM1783">
        <v>-44.886395047959027</v>
      </c>
      <c r="AN1783">
        <v>-20.133281749999949</v>
      </c>
      <c r="AO1783">
        <v>-44.886395047959027</v>
      </c>
      <c r="AP1783">
        <v>-20.133293999999999</v>
      </c>
      <c r="AQ1783">
        <v>-44.886302000000001</v>
      </c>
      <c r="AR1783">
        <v>9.8203037443031231</v>
      </c>
      <c r="AS1783" t="s">
        <v>65</v>
      </c>
      <c r="AT1783">
        <v>1</v>
      </c>
      <c r="AU1783" t="s">
        <v>808</v>
      </c>
      <c r="AV1783" t="s">
        <v>809</v>
      </c>
      <c r="AW1783" t="s">
        <v>60</v>
      </c>
      <c r="AX1783" t="s">
        <v>68</v>
      </c>
      <c r="AY1783" t="s">
        <v>69</v>
      </c>
      <c r="AZ1783" t="b">
        <v>1</v>
      </c>
    </row>
    <row r="1784" spans="1:52" x14ac:dyDescent="0.3">
      <c r="A1784" t="s">
        <v>52</v>
      </c>
      <c r="B1784" t="s">
        <v>53</v>
      </c>
      <c r="C1784" t="s">
        <v>54</v>
      </c>
      <c r="D1784" t="s">
        <v>55</v>
      </c>
      <c r="E1784" t="s">
        <v>2148</v>
      </c>
      <c r="F1784" t="s">
        <v>190</v>
      </c>
      <c r="G1784" t="s">
        <v>810</v>
      </c>
      <c r="H1784" t="s">
        <v>811</v>
      </c>
      <c r="I1784" t="s">
        <v>811</v>
      </c>
      <c r="J1784" t="s">
        <v>60</v>
      </c>
      <c r="K1784" t="s">
        <v>805</v>
      </c>
      <c r="L1784" t="s">
        <v>62</v>
      </c>
      <c r="M1784" t="s">
        <v>805</v>
      </c>
      <c r="N1784" t="s">
        <v>812</v>
      </c>
      <c r="O1784" t="s">
        <v>309</v>
      </c>
      <c r="P1784">
        <v>-20.129868999999999</v>
      </c>
      <c r="Q1784">
        <v>-44.884247999999999</v>
      </c>
      <c r="R1784" s="2" t="str">
        <f>HYPERLINK("https://www.google.com/maps?q=-20.1298690,-44.8842480","Abrir no Google Maps")</f>
        <v>Abrir no Google Maps</v>
      </c>
      <c r="S1784">
        <v>3</v>
      </c>
      <c r="T1784">
        <v>434.82198084080329</v>
      </c>
      <c r="U1784">
        <v>4</v>
      </c>
      <c r="V1784">
        <v>24</v>
      </c>
      <c r="W1784">
        <v>1</v>
      </c>
      <c r="X1784">
        <v>24</v>
      </c>
      <c r="Y1784">
        <v>259</v>
      </c>
      <c r="Z1784">
        <v>281.76247768049842</v>
      </c>
      <c r="AA1784">
        <v>198</v>
      </c>
      <c r="AB1784">
        <v>332</v>
      </c>
      <c r="AC1784">
        <v>536</v>
      </c>
      <c r="AD1784">
        <v>30.74</v>
      </c>
      <c r="AE1784">
        <v>542</v>
      </c>
      <c r="AF1784">
        <v>30</v>
      </c>
      <c r="AG1784">
        <v>178</v>
      </c>
      <c r="AH1784">
        <v>129</v>
      </c>
      <c r="AI1784">
        <v>5.54</v>
      </c>
      <c r="AJ1784">
        <v>32.840000000000003</v>
      </c>
      <c r="AK1784">
        <v>23.8</v>
      </c>
      <c r="AL1784">
        <v>-20.129927549999959</v>
      </c>
      <c r="AM1784">
        <v>-44.884228133573217</v>
      </c>
      <c r="AN1784">
        <v>-20.129927549999959</v>
      </c>
      <c r="AO1784">
        <v>-44.884228133573217</v>
      </c>
      <c r="AP1784">
        <v>-20.129868999999999</v>
      </c>
      <c r="AQ1784">
        <v>-44.884247999999999</v>
      </c>
      <c r="AR1784">
        <v>6.8405504803478081</v>
      </c>
      <c r="AS1784" t="s">
        <v>65</v>
      </c>
      <c r="AT1784">
        <v>1</v>
      </c>
      <c r="AU1784" t="s">
        <v>813</v>
      </c>
      <c r="AV1784" t="s">
        <v>814</v>
      </c>
      <c r="AW1784" t="s">
        <v>60</v>
      </c>
      <c r="AX1784" t="s">
        <v>68</v>
      </c>
      <c r="AY1784" t="s">
        <v>69</v>
      </c>
      <c r="AZ1784" t="b">
        <v>1</v>
      </c>
    </row>
    <row r="1785" spans="1:52" x14ac:dyDescent="0.3">
      <c r="A1785" t="s">
        <v>52</v>
      </c>
      <c r="B1785" t="s">
        <v>53</v>
      </c>
      <c r="C1785" t="s">
        <v>54</v>
      </c>
      <c r="D1785" t="s">
        <v>55</v>
      </c>
      <c r="E1785" t="s">
        <v>2148</v>
      </c>
      <c r="F1785" t="s">
        <v>190</v>
      </c>
      <c r="G1785" t="s">
        <v>815</v>
      </c>
      <c r="H1785" t="s">
        <v>816</v>
      </c>
      <c r="I1785" t="s">
        <v>816</v>
      </c>
      <c r="J1785" t="s">
        <v>60</v>
      </c>
      <c r="K1785" t="s">
        <v>805</v>
      </c>
      <c r="L1785" t="s">
        <v>62</v>
      </c>
      <c r="M1785" t="s">
        <v>805</v>
      </c>
      <c r="N1785" t="s">
        <v>817</v>
      </c>
      <c r="O1785" t="s">
        <v>818</v>
      </c>
      <c r="P1785">
        <v>-20.129894</v>
      </c>
      <c r="Q1785">
        <v>-44.886285000000001</v>
      </c>
      <c r="R1785" s="2" t="str">
        <f>HYPERLINK("https://www.google.com/maps?q=-20.1298940,-44.8862850","Abrir no Google Maps")</f>
        <v>Abrir no Google Maps</v>
      </c>
      <c r="S1785">
        <v>3</v>
      </c>
      <c r="T1785">
        <v>245.88570896460399</v>
      </c>
      <c r="U1785">
        <v>4</v>
      </c>
      <c r="V1785">
        <v>24</v>
      </c>
      <c r="W1785">
        <v>1</v>
      </c>
      <c r="X1785">
        <v>24</v>
      </c>
      <c r="Y1785">
        <v>259</v>
      </c>
      <c r="Z1785">
        <v>274.53833463725539</v>
      </c>
      <c r="AA1785">
        <v>198</v>
      </c>
      <c r="AB1785">
        <v>332</v>
      </c>
      <c r="AC1785">
        <v>536</v>
      </c>
      <c r="AD1785">
        <v>30.74</v>
      </c>
      <c r="AE1785">
        <v>542</v>
      </c>
      <c r="AF1785">
        <v>30</v>
      </c>
      <c r="AG1785">
        <v>178</v>
      </c>
      <c r="AH1785">
        <v>129</v>
      </c>
      <c r="AI1785">
        <v>5.54</v>
      </c>
      <c r="AJ1785">
        <v>32.840000000000003</v>
      </c>
      <c r="AK1785">
        <v>23.8</v>
      </c>
      <c r="AL1785">
        <v>-20.129900749999969</v>
      </c>
      <c r="AM1785">
        <v>-44.886258682425179</v>
      </c>
      <c r="AN1785">
        <v>-20.129900749999969</v>
      </c>
      <c r="AO1785">
        <v>-44.886258682425179</v>
      </c>
      <c r="AP1785">
        <v>-20.129894</v>
      </c>
      <c r="AQ1785">
        <v>-44.886285000000001</v>
      </c>
      <c r="AR1785">
        <v>2.851497427576585</v>
      </c>
      <c r="AS1785" t="s">
        <v>65</v>
      </c>
      <c r="AT1785">
        <v>1</v>
      </c>
      <c r="AU1785" t="s">
        <v>819</v>
      </c>
      <c r="AV1785" t="s">
        <v>814</v>
      </c>
      <c r="AW1785" t="s">
        <v>60</v>
      </c>
      <c r="AX1785" t="s">
        <v>68</v>
      </c>
      <c r="AY1785" t="s">
        <v>69</v>
      </c>
      <c r="AZ1785" t="b">
        <v>1</v>
      </c>
    </row>
    <row r="1786" spans="1:52" x14ac:dyDescent="0.3">
      <c r="A1786" t="s">
        <v>52</v>
      </c>
      <c r="B1786" t="s">
        <v>53</v>
      </c>
      <c r="C1786" t="s">
        <v>54</v>
      </c>
      <c r="D1786" t="s">
        <v>55</v>
      </c>
      <c r="E1786" t="s">
        <v>2148</v>
      </c>
      <c r="F1786" t="s">
        <v>190</v>
      </c>
      <c r="G1786" t="s">
        <v>1193</v>
      </c>
      <c r="H1786" t="s">
        <v>1194</v>
      </c>
      <c r="I1786" t="s">
        <v>1194</v>
      </c>
      <c r="J1786" t="s">
        <v>60</v>
      </c>
      <c r="K1786" t="s">
        <v>1195</v>
      </c>
      <c r="L1786" t="s">
        <v>62</v>
      </c>
      <c r="M1786" t="s">
        <v>1195</v>
      </c>
      <c r="N1786" t="s">
        <v>1196</v>
      </c>
      <c r="O1786" t="s">
        <v>1197</v>
      </c>
      <c r="P1786">
        <v>-20.105342</v>
      </c>
      <c r="Q1786">
        <v>-44.964716000000003</v>
      </c>
      <c r="R1786" s="2" t="str">
        <f>HYPERLINK("https://www.google.com/maps?q=-20.1053420,-44.9647160","Abrir no Google Maps")</f>
        <v>Abrir no Google Maps</v>
      </c>
      <c r="S1786">
        <v>3</v>
      </c>
      <c r="T1786">
        <v>893.28710125086457</v>
      </c>
      <c r="U1786">
        <v>4</v>
      </c>
      <c r="V1786">
        <v>31</v>
      </c>
      <c r="W1786">
        <v>1</v>
      </c>
      <c r="X1786">
        <v>31</v>
      </c>
      <c r="Y1786">
        <v>187</v>
      </c>
      <c r="Z1786">
        <v>592.18957175243293</v>
      </c>
      <c r="AA1786">
        <v>198</v>
      </c>
      <c r="AB1786">
        <v>332</v>
      </c>
      <c r="AC1786">
        <v>536</v>
      </c>
      <c r="AD1786">
        <v>30.74</v>
      </c>
      <c r="AE1786">
        <v>542</v>
      </c>
      <c r="AF1786">
        <v>30</v>
      </c>
      <c r="AG1786">
        <v>178</v>
      </c>
      <c r="AH1786">
        <v>129</v>
      </c>
      <c r="AI1786">
        <v>5.54</v>
      </c>
      <c r="AJ1786">
        <v>32.840000000000003</v>
      </c>
      <c r="AK1786">
        <v>23.8</v>
      </c>
      <c r="AL1786">
        <v>-20.105505699999949</v>
      </c>
      <c r="AM1786">
        <v>-44.964494228377532</v>
      </c>
      <c r="AN1786">
        <v>-20.105505699999949</v>
      </c>
      <c r="AO1786">
        <v>-44.964494228377532</v>
      </c>
      <c r="AP1786">
        <v>-20.105342</v>
      </c>
      <c r="AQ1786">
        <v>-44.964716000000003</v>
      </c>
      <c r="AR1786">
        <v>29.48797728637869</v>
      </c>
      <c r="AS1786" t="s">
        <v>65</v>
      </c>
      <c r="AT1786">
        <v>1</v>
      </c>
      <c r="AU1786" t="s">
        <v>1198</v>
      </c>
      <c r="AV1786" t="s">
        <v>1199</v>
      </c>
      <c r="AW1786" t="s">
        <v>60</v>
      </c>
      <c r="AX1786" t="s">
        <v>68</v>
      </c>
      <c r="AY1786" t="s">
        <v>69</v>
      </c>
      <c r="AZ1786" t="b">
        <v>1</v>
      </c>
    </row>
    <row r="1787" spans="1:52" x14ac:dyDescent="0.3">
      <c r="A1787" t="s">
        <v>52</v>
      </c>
      <c r="B1787" t="s">
        <v>53</v>
      </c>
      <c r="C1787" t="s">
        <v>54</v>
      </c>
      <c r="D1787" t="s">
        <v>55</v>
      </c>
      <c r="E1787" t="s">
        <v>2148</v>
      </c>
      <c r="F1787" t="s">
        <v>190</v>
      </c>
      <c r="G1787" t="s">
        <v>1200</v>
      </c>
      <c r="H1787" t="s">
        <v>1201</v>
      </c>
      <c r="I1787" t="s">
        <v>1201</v>
      </c>
      <c r="J1787" t="s">
        <v>60</v>
      </c>
      <c r="K1787" t="s">
        <v>1202</v>
      </c>
      <c r="L1787" t="s">
        <v>62</v>
      </c>
      <c r="M1787" t="s">
        <v>1202</v>
      </c>
      <c r="N1787" t="s">
        <v>1203</v>
      </c>
      <c r="O1787" t="s">
        <v>710</v>
      </c>
      <c r="P1787">
        <v>-20.191745999999998</v>
      </c>
      <c r="Q1787">
        <v>-44.904957000000003</v>
      </c>
      <c r="R1787" s="2" t="str">
        <f>HYPERLINK("https://www.google.com/maps?q=-20.1917460,-44.9049570","Abrir no Google Maps")</f>
        <v>Abrir no Google Maps</v>
      </c>
      <c r="S1787">
        <v>3</v>
      </c>
      <c r="T1787">
        <v>882.9384716293963</v>
      </c>
      <c r="U1787">
        <v>4</v>
      </c>
      <c r="V1787">
        <v>26</v>
      </c>
      <c r="W1787">
        <v>1</v>
      </c>
      <c r="X1787">
        <v>26</v>
      </c>
      <c r="Y1787">
        <v>135</v>
      </c>
      <c r="Z1787">
        <v>802.45927673397398</v>
      </c>
      <c r="AA1787">
        <v>198</v>
      </c>
      <c r="AB1787">
        <v>332</v>
      </c>
      <c r="AC1787">
        <v>536</v>
      </c>
      <c r="AD1787">
        <v>30.74</v>
      </c>
      <c r="AE1787">
        <v>542</v>
      </c>
      <c r="AF1787">
        <v>30</v>
      </c>
      <c r="AG1787">
        <v>178</v>
      </c>
      <c r="AH1787">
        <v>129</v>
      </c>
      <c r="AI1787">
        <v>5.54</v>
      </c>
      <c r="AJ1787">
        <v>32.840000000000003</v>
      </c>
      <c r="AK1787">
        <v>23.8</v>
      </c>
      <c r="AL1787">
        <v>-20.19172654999997</v>
      </c>
      <c r="AM1787">
        <v>-44.904976932073851</v>
      </c>
      <c r="AN1787">
        <v>-20.19172654999997</v>
      </c>
      <c r="AO1787">
        <v>-44.904976932073851</v>
      </c>
      <c r="AP1787">
        <v>-20.191745999999998</v>
      </c>
      <c r="AQ1787">
        <v>-44.904957000000003</v>
      </c>
      <c r="AR1787">
        <v>3.004110632807953</v>
      </c>
      <c r="AS1787" t="s">
        <v>65</v>
      </c>
      <c r="AT1787">
        <v>1</v>
      </c>
      <c r="AU1787" t="s">
        <v>1204</v>
      </c>
      <c r="AV1787" t="s">
        <v>1205</v>
      </c>
      <c r="AW1787" t="s">
        <v>60</v>
      </c>
      <c r="AX1787" t="s">
        <v>68</v>
      </c>
      <c r="AY1787" t="s">
        <v>69</v>
      </c>
      <c r="AZ1787" t="b">
        <v>1</v>
      </c>
    </row>
    <row r="1788" spans="1:52" x14ac:dyDescent="0.3">
      <c r="A1788" t="s">
        <v>52</v>
      </c>
      <c r="B1788" t="s">
        <v>53</v>
      </c>
      <c r="C1788" t="s">
        <v>54</v>
      </c>
      <c r="D1788" t="s">
        <v>55</v>
      </c>
      <c r="E1788" t="s">
        <v>2148</v>
      </c>
      <c r="F1788" t="s">
        <v>190</v>
      </c>
      <c r="G1788" t="s">
        <v>820</v>
      </c>
      <c r="H1788" t="s">
        <v>821</v>
      </c>
      <c r="I1788" t="s">
        <v>821</v>
      </c>
      <c r="J1788" t="s">
        <v>60</v>
      </c>
      <c r="K1788" t="s">
        <v>822</v>
      </c>
      <c r="L1788" t="s">
        <v>62</v>
      </c>
      <c r="M1788" t="s">
        <v>822</v>
      </c>
      <c r="N1788" t="s">
        <v>823</v>
      </c>
      <c r="O1788" t="s">
        <v>187</v>
      </c>
      <c r="P1788">
        <v>-20.182960999999999</v>
      </c>
      <c r="Q1788">
        <v>-44.902512999999999</v>
      </c>
      <c r="R1788" s="2" t="str">
        <f>HYPERLINK("https://www.google.com/maps?q=-20.1829610,-44.9025130","Abrir no Google Maps")</f>
        <v>Abrir no Google Maps</v>
      </c>
      <c r="S1788">
        <v>3</v>
      </c>
      <c r="T1788">
        <v>908.09917748271926</v>
      </c>
      <c r="U1788">
        <v>4</v>
      </c>
      <c r="V1788">
        <v>44</v>
      </c>
      <c r="W1788">
        <v>1</v>
      </c>
      <c r="X1788">
        <v>44</v>
      </c>
      <c r="Y1788">
        <v>135</v>
      </c>
      <c r="Z1788">
        <v>562.42494356837676</v>
      </c>
      <c r="AA1788">
        <v>198</v>
      </c>
      <c r="AB1788">
        <v>332</v>
      </c>
      <c r="AC1788">
        <v>536</v>
      </c>
      <c r="AD1788">
        <v>30.74</v>
      </c>
      <c r="AE1788">
        <v>542</v>
      </c>
      <c r="AF1788">
        <v>30</v>
      </c>
      <c r="AG1788">
        <v>178</v>
      </c>
      <c r="AH1788">
        <v>129</v>
      </c>
      <c r="AI1788">
        <v>5.54</v>
      </c>
      <c r="AJ1788">
        <v>32.840000000000003</v>
      </c>
      <c r="AK1788">
        <v>23.8</v>
      </c>
      <c r="AL1788">
        <v>-20.18277184999997</v>
      </c>
      <c r="AM1788">
        <v>-44.902421436048833</v>
      </c>
      <c r="AN1788">
        <v>-20.18277184999997</v>
      </c>
      <c r="AO1788">
        <v>-44.902421436048833</v>
      </c>
      <c r="AP1788">
        <v>-20.182960999999999</v>
      </c>
      <c r="AQ1788">
        <v>-44.902512999999999</v>
      </c>
      <c r="AR1788">
        <v>23.127700959037089</v>
      </c>
      <c r="AS1788" t="s">
        <v>65</v>
      </c>
      <c r="AT1788">
        <v>1</v>
      </c>
      <c r="AU1788" t="s">
        <v>824</v>
      </c>
      <c r="AV1788" t="s">
        <v>825</v>
      </c>
      <c r="AW1788" t="s">
        <v>60</v>
      </c>
      <c r="AX1788" t="s">
        <v>68</v>
      </c>
      <c r="AY1788" t="s">
        <v>69</v>
      </c>
      <c r="AZ1788" t="b">
        <v>1</v>
      </c>
    </row>
    <row r="1789" spans="1:52" x14ac:dyDescent="0.3">
      <c r="A1789" t="s">
        <v>52</v>
      </c>
      <c r="B1789" t="s">
        <v>53</v>
      </c>
      <c r="C1789" t="s">
        <v>54</v>
      </c>
      <c r="D1789" t="s">
        <v>55</v>
      </c>
      <c r="E1789" t="s">
        <v>2148</v>
      </c>
      <c r="F1789" t="s">
        <v>190</v>
      </c>
      <c r="G1789" t="s">
        <v>1218</v>
      </c>
      <c r="H1789" t="s">
        <v>1219</v>
      </c>
      <c r="I1789" t="s">
        <v>1219</v>
      </c>
      <c r="J1789" t="s">
        <v>60</v>
      </c>
      <c r="K1789" t="s">
        <v>828</v>
      </c>
      <c r="L1789" t="s">
        <v>62</v>
      </c>
      <c r="M1789" t="s">
        <v>828</v>
      </c>
      <c r="N1789" t="s">
        <v>1220</v>
      </c>
      <c r="O1789" t="s">
        <v>1221</v>
      </c>
      <c r="P1789">
        <v>-20.132722000000001</v>
      </c>
      <c r="Q1789">
        <v>-44.843550999999998</v>
      </c>
      <c r="R1789" s="2" t="str">
        <f>HYPERLINK("https://www.google.com/maps?q=-20.1327220,-44.8435510","Abrir no Google Maps")</f>
        <v>Abrir no Google Maps</v>
      </c>
      <c r="S1789">
        <v>3</v>
      </c>
      <c r="T1789">
        <v>846.88659580558431</v>
      </c>
      <c r="U1789">
        <v>4</v>
      </c>
      <c r="V1789">
        <v>32</v>
      </c>
      <c r="W1789">
        <v>1</v>
      </c>
      <c r="X1789">
        <v>32</v>
      </c>
      <c r="Y1789">
        <v>118</v>
      </c>
      <c r="Z1789">
        <v>797.91643890712305</v>
      </c>
      <c r="AA1789">
        <v>198</v>
      </c>
      <c r="AB1789">
        <v>332</v>
      </c>
      <c r="AC1789">
        <v>536</v>
      </c>
      <c r="AD1789">
        <v>30.74</v>
      </c>
      <c r="AE1789">
        <v>542</v>
      </c>
      <c r="AF1789">
        <v>30</v>
      </c>
      <c r="AG1789">
        <v>178</v>
      </c>
      <c r="AH1789">
        <v>129</v>
      </c>
      <c r="AI1789">
        <v>5.54</v>
      </c>
      <c r="AJ1789">
        <v>32.840000000000003</v>
      </c>
      <c r="AK1789">
        <v>23.8</v>
      </c>
      <c r="AL1789">
        <v>-20.132714949999979</v>
      </c>
      <c r="AM1789">
        <v>-44.843475702545703</v>
      </c>
      <c r="AN1789">
        <v>-20.132714949999979</v>
      </c>
      <c r="AO1789">
        <v>-44.843475702545703</v>
      </c>
      <c r="AP1789">
        <v>-20.132722000000001</v>
      </c>
      <c r="AQ1789">
        <v>-44.843550999999998</v>
      </c>
      <c r="AR1789">
        <v>7.9089820822755481</v>
      </c>
      <c r="AS1789" t="s">
        <v>65</v>
      </c>
      <c r="AT1789">
        <v>1</v>
      </c>
      <c r="AU1789" t="s">
        <v>1222</v>
      </c>
      <c r="AV1789" t="s">
        <v>1223</v>
      </c>
      <c r="AW1789" t="s">
        <v>60</v>
      </c>
      <c r="AX1789" t="s">
        <v>68</v>
      </c>
      <c r="AY1789" t="s">
        <v>69</v>
      </c>
      <c r="AZ1789" t="b">
        <v>1</v>
      </c>
    </row>
    <row r="1790" spans="1:52" x14ac:dyDescent="0.3">
      <c r="A1790" t="s">
        <v>52</v>
      </c>
      <c r="B1790" t="s">
        <v>53</v>
      </c>
      <c r="C1790" t="s">
        <v>54</v>
      </c>
      <c r="D1790" t="s">
        <v>55</v>
      </c>
      <c r="E1790" t="s">
        <v>2148</v>
      </c>
      <c r="F1790" t="s">
        <v>190</v>
      </c>
      <c r="G1790" t="s">
        <v>1224</v>
      </c>
      <c r="H1790" t="s">
        <v>1230</v>
      </c>
      <c r="I1790" t="s">
        <v>1230</v>
      </c>
      <c r="J1790" t="s">
        <v>60</v>
      </c>
      <c r="K1790" t="s">
        <v>828</v>
      </c>
      <c r="L1790" t="s">
        <v>62</v>
      </c>
      <c r="M1790" t="s">
        <v>828</v>
      </c>
      <c r="N1790" t="s">
        <v>1231</v>
      </c>
      <c r="O1790" t="s">
        <v>1232</v>
      </c>
      <c r="P1790">
        <v>-20.136106000000002</v>
      </c>
      <c r="Q1790">
        <v>-44.838470999999998</v>
      </c>
      <c r="R1790" s="2" t="str">
        <f>HYPERLINK("https://www.google.com/maps?q=-20.1361060,-44.8384710","Abrir no Google Maps")</f>
        <v>Abrir no Google Maps</v>
      </c>
      <c r="S1790">
        <v>3</v>
      </c>
      <c r="T1790">
        <v>910.01690137237858</v>
      </c>
      <c r="U1790">
        <v>4</v>
      </c>
      <c r="V1790">
        <v>32</v>
      </c>
      <c r="W1790">
        <v>1</v>
      </c>
      <c r="X1790">
        <v>32</v>
      </c>
      <c r="Y1790">
        <v>118</v>
      </c>
      <c r="Z1790">
        <v>892.76979321439796</v>
      </c>
      <c r="AA1790">
        <v>198</v>
      </c>
      <c r="AB1790">
        <v>332</v>
      </c>
      <c r="AC1790">
        <v>536</v>
      </c>
      <c r="AD1790">
        <v>30.74</v>
      </c>
      <c r="AE1790">
        <v>542</v>
      </c>
      <c r="AF1790">
        <v>30</v>
      </c>
      <c r="AG1790">
        <v>178</v>
      </c>
      <c r="AH1790">
        <v>129</v>
      </c>
      <c r="AI1790">
        <v>5.54</v>
      </c>
      <c r="AJ1790">
        <v>32.840000000000003</v>
      </c>
      <c r="AK1790">
        <v>23.8</v>
      </c>
      <c r="AL1790">
        <v>-20.136356149999951</v>
      </c>
      <c r="AM1790">
        <v>-44.838929886373997</v>
      </c>
      <c r="AN1790">
        <v>-20.136356149999951</v>
      </c>
      <c r="AO1790">
        <v>-44.838929886373997</v>
      </c>
      <c r="AP1790">
        <v>-20.136106000000002</v>
      </c>
      <c r="AQ1790">
        <v>-44.838470999999998</v>
      </c>
      <c r="AR1790">
        <v>55.458802856549369</v>
      </c>
      <c r="AS1790" t="s">
        <v>65</v>
      </c>
      <c r="AT1790">
        <v>1</v>
      </c>
      <c r="AU1790" t="s">
        <v>1233</v>
      </c>
      <c r="AV1790" t="s">
        <v>1234</v>
      </c>
      <c r="AW1790" t="s">
        <v>60</v>
      </c>
      <c r="AX1790" t="s">
        <v>68</v>
      </c>
      <c r="AY1790" t="s">
        <v>69</v>
      </c>
      <c r="AZ1790" t="b">
        <v>1</v>
      </c>
    </row>
    <row r="1791" spans="1:52" x14ac:dyDescent="0.3">
      <c r="A1791" t="s">
        <v>52</v>
      </c>
      <c r="B1791" t="s">
        <v>53</v>
      </c>
      <c r="C1791" t="s">
        <v>54</v>
      </c>
      <c r="D1791" t="s">
        <v>55</v>
      </c>
      <c r="E1791" t="s">
        <v>2148</v>
      </c>
      <c r="F1791" t="s">
        <v>190</v>
      </c>
      <c r="G1791" t="s">
        <v>1825</v>
      </c>
      <c r="H1791" t="s">
        <v>1826</v>
      </c>
      <c r="I1791" t="s">
        <v>1826</v>
      </c>
      <c r="J1791" t="s">
        <v>60</v>
      </c>
      <c r="K1791" t="s">
        <v>1821</v>
      </c>
      <c r="L1791" t="s">
        <v>62</v>
      </c>
      <c r="M1791" t="s">
        <v>1821</v>
      </c>
      <c r="N1791" t="s">
        <v>1827</v>
      </c>
      <c r="O1791" t="s">
        <v>303</v>
      </c>
      <c r="P1791">
        <v>-20.209962000000001</v>
      </c>
      <c r="Q1791">
        <v>-44.922398000000001</v>
      </c>
      <c r="R1791" s="2" t="str">
        <f>HYPERLINK("https://www.google.com/maps?q=-20.2099620,-44.9223980","Abrir no Google Maps")</f>
        <v>Abrir no Google Maps</v>
      </c>
      <c r="S1791">
        <v>3</v>
      </c>
      <c r="T1791">
        <v>2648.9288862562971</v>
      </c>
      <c r="U1791">
        <v>4</v>
      </c>
      <c r="V1791">
        <v>29</v>
      </c>
      <c r="W1791">
        <v>1</v>
      </c>
      <c r="X1791">
        <v>29</v>
      </c>
      <c r="Y1791">
        <v>113</v>
      </c>
      <c r="Z1791">
        <v>2658.455493028307</v>
      </c>
      <c r="AA1791">
        <v>198</v>
      </c>
      <c r="AB1791">
        <v>332</v>
      </c>
      <c r="AC1791">
        <v>536</v>
      </c>
      <c r="AD1791">
        <v>30.74</v>
      </c>
      <c r="AE1791">
        <v>542</v>
      </c>
      <c r="AF1791">
        <v>30</v>
      </c>
      <c r="AG1791">
        <v>178</v>
      </c>
      <c r="AH1791">
        <v>129</v>
      </c>
      <c r="AI1791">
        <v>5.54</v>
      </c>
      <c r="AJ1791">
        <v>32.840000000000003</v>
      </c>
      <c r="AK1791">
        <v>23.8</v>
      </c>
      <c r="AL1791">
        <v>-20.210291849999951</v>
      </c>
      <c r="AM1791">
        <v>-44.921758447931353</v>
      </c>
      <c r="AN1791">
        <v>-20.210291849999951</v>
      </c>
      <c r="AO1791">
        <v>-44.921758447931353</v>
      </c>
      <c r="AP1791">
        <v>-20.209962000000001</v>
      </c>
      <c r="AQ1791">
        <v>-44.922398000000001</v>
      </c>
      <c r="AR1791">
        <v>76.23686013355892</v>
      </c>
      <c r="AS1791" t="s">
        <v>65</v>
      </c>
      <c r="AT1791">
        <v>1</v>
      </c>
      <c r="AU1791" t="s">
        <v>1828</v>
      </c>
      <c r="AV1791" t="s">
        <v>1829</v>
      </c>
      <c r="AW1791" t="s">
        <v>60</v>
      </c>
      <c r="AX1791" t="s">
        <v>68</v>
      </c>
      <c r="AY1791" t="s">
        <v>69</v>
      </c>
      <c r="AZ1791" t="b">
        <v>1</v>
      </c>
    </row>
    <row r="1792" spans="1:52" x14ac:dyDescent="0.3">
      <c r="A1792" t="s">
        <v>52</v>
      </c>
      <c r="B1792" t="s">
        <v>53</v>
      </c>
      <c r="C1792" t="s">
        <v>54</v>
      </c>
      <c r="D1792" t="s">
        <v>55</v>
      </c>
      <c r="E1792" t="s">
        <v>2148</v>
      </c>
      <c r="F1792" t="s">
        <v>190</v>
      </c>
      <c r="G1792" t="s">
        <v>1836</v>
      </c>
      <c r="H1792" t="s">
        <v>1837</v>
      </c>
      <c r="I1792" t="s">
        <v>1837</v>
      </c>
      <c r="J1792" t="s">
        <v>60</v>
      </c>
      <c r="K1792" t="s">
        <v>1243</v>
      </c>
      <c r="L1792" t="s">
        <v>62</v>
      </c>
      <c r="M1792" t="s">
        <v>1243</v>
      </c>
      <c r="N1792" t="s">
        <v>1838</v>
      </c>
      <c r="O1792" t="s">
        <v>1839</v>
      </c>
      <c r="P1792">
        <v>-20.194417999999999</v>
      </c>
      <c r="Q1792">
        <v>-44.943080999999999</v>
      </c>
      <c r="R1792" s="2" t="str">
        <f>HYPERLINK("https://www.google.com/maps?q=-20.1944180,-44.9430810","Abrir no Google Maps")</f>
        <v>Abrir no Google Maps</v>
      </c>
      <c r="S1792">
        <v>3</v>
      </c>
      <c r="T1792">
        <v>570.3426559957137</v>
      </c>
      <c r="U1792">
        <v>4</v>
      </c>
      <c r="V1792">
        <v>32</v>
      </c>
      <c r="W1792">
        <v>1</v>
      </c>
      <c r="X1792">
        <v>32</v>
      </c>
      <c r="Y1792">
        <v>113</v>
      </c>
      <c r="Z1792">
        <v>342.73864025959449</v>
      </c>
      <c r="AA1792">
        <v>198</v>
      </c>
      <c r="AB1792">
        <v>332</v>
      </c>
      <c r="AC1792">
        <v>536</v>
      </c>
      <c r="AD1792">
        <v>30.74</v>
      </c>
      <c r="AE1792">
        <v>542</v>
      </c>
      <c r="AF1792">
        <v>30</v>
      </c>
      <c r="AG1792">
        <v>178</v>
      </c>
      <c r="AH1792">
        <v>129</v>
      </c>
      <c r="AI1792">
        <v>5.54</v>
      </c>
      <c r="AJ1792">
        <v>32.840000000000003</v>
      </c>
      <c r="AK1792">
        <v>23.8</v>
      </c>
      <c r="AL1792">
        <v>-20.194494749999929</v>
      </c>
      <c r="AM1792">
        <v>-44.942951635393733</v>
      </c>
      <c r="AN1792">
        <v>-20.194494749999929</v>
      </c>
      <c r="AO1792">
        <v>-44.942951635393733</v>
      </c>
      <c r="AP1792">
        <v>-20.194417999999999</v>
      </c>
      <c r="AQ1792">
        <v>-44.943080999999999</v>
      </c>
      <c r="AR1792">
        <v>15.9896188813922</v>
      </c>
      <c r="AS1792" t="s">
        <v>65</v>
      </c>
      <c r="AT1792">
        <v>1</v>
      </c>
      <c r="AU1792" t="s">
        <v>1840</v>
      </c>
      <c r="AV1792" t="s">
        <v>1841</v>
      </c>
      <c r="AW1792" t="s">
        <v>60</v>
      </c>
      <c r="AX1792" t="s">
        <v>68</v>
      </c>
      <c r="AY1792" t="s">
        <v>69</v>
      </c>
      <c r="AZ1792" t="b">
        <v>1</v>
      </c>
    </row>
    <row r="1793" spans="1:52" x14ac:dyDescent="0.3">
      <c r="A1793" t="s">
        <v>52</v>
      </c>
      <c r="B1793" t="s">
        <v>53</v>
      </c>
      <c r="C1793" t="s">
        <v>54</v>
      </c>
      <c r="D1793" t="s">
        <v>55</v>
      </c>
      <c r="E1793" t="s">
        <v>2148</v>
      </c>
      <c r="F1793" t="s">
        <v>190</v>
      </c>
      <c r="G1793" t="s">
        <v>1235</v>
      </c>
      <c r="H1793" t="s">
        <v>1236</v>
      </c>
      <c r="I1793" t="s">
        <v>1236</v>
      </c>
      <c r="J1793" t="s">
        <v>60</v>
      </c>
      <c r="K1793" t="s">
        <v>1237</v>
      </c>
      <c r="L1793" t="s">
        <v>62</v>
      </c>
      <c r="M1793" t="s">
        <v>1237</v>
      </c>
      <c r="N1793" t="s">
        <v>1238</v>
      </c>
      <c r="O1793" t="s">
        <v>315</v>
      </c>
      <c r="P1793">
        <v>-20.199687000000001</v>
      </c>
      <c r="Q1793">
        <v>-44.941882999999997</v>
      </c>
      <c r="R1793" s="2" t="str">
        <f>HYPERLINK("https://www.google.com/maps?q=-20.1996870,-44.9418830","Abrir no Google Maps")</f>
        <v>Abrir no Google Maps</v>
      </c>
      <c r="S1793">
        <v>3</v>
      </c>
      <c r="T1793">
        <v>928.80393950893483</v>
      </c>
      <c r="U1793">
        <v>4</v>
      </c>
      <c r="V1793">
        <v>41</v>
      </c>
      <c r="W1793">
        <v>1</v>
      </c>
      <c r="X1793">
        <v>41</v>
      </c>
      <c r="Y1793">
        <v>113</v>
      </c>
      <c r="Z1793">
        <v>798.11967422937732</v>
      </c>
      <c r="AA1793">
        <v>198</v>
      </c>
      <c r="AB1793">
        <v>332</v>
      </c>
      <c r="AC1793">
        <v>536</v>
      </c>
      <c r="AD1793">
        <v>30.74</v>
      </c>
      <c r="AE1793">
        <v>542</v>
      </c>
      <c r="AF1793">
        <v>30</v>
      </c>
      <c r="AG1793">
        <v>178</v>
      </c>
      <c r="AH1793">
        <v>129</v>
      </c>
      <c r="AI1793">
        <v>5.54</v>
      </c>
      <c r="AJ1793">
        <v>32.840000000000003</v>
      </c>
      <c r="AK1793">
        <v>23.8</v>
      </c>
      <c r="AL1793">
        <v>-20.199663899999958</v>
      </c>
      <c r="AM1793">
        <v>-44.941858448694838</v>
      </c>
      <c r="AN1793">
        <v>-20.199663899999958</v>
      </c>
      <c r="AO1793">
        <v>-44.941858448694838</v>
      </c>
      <c r="AP1793">
        <v>-20.199687000000001</v>
      </c>
      <c r="AQ1793">
        <v>-44.941882999999997</v>
      </c>
      <c r="AR1793">
        <v>3.632019521873886</v>
      </c>
      <c r="AS1793" t="s">
        <v>65</v>
      </c>
      <c r="AT1793">
        <v>1</v>
      </c>
      <c r="AU1793" t="s">
        <v>1239</v>
      </c>
      <c r="AV1793" t="s">
        <v>1240</v>
      </c>
      <c r="AW1793" t="s">
        <v>60</v>
      </c>
      <c r="AX1793" t="s">
        <v>68</v>
      </c>
      <c r="AY1793" t="s">
        <v>69</v>
      </c>
      <c r="AZ1793" t="b">
        <v>1</v>
      </c>
    </row>
    <row r="1794" spans="1:52" x14ac:dyDescent="0.3">
      <c r="A1794" t="s">
        <v>52</v>
      </c>
      <c r="B1794" t="s">
        <v>53</v>
      </c>
      <c r="C1794" t="s">
        <v>54</v>
      </c>
      <c r="D1794" t="s">
        <v>55</v>
      </c>
      <c r="E1794" t="s">
        <v>2148</v>
      </c>
      <c r="F1794" t="s">
        <v>190</v>
      </c>
      <c r="G1794" t="s">
        <v>2062</v>
      </c>
      <c r="H1794" t="s">
        <v>2063</v>
      </c>
      <c r="I1794" t="s">
        <v>2063</v>
      </c>
      <c r="J1794" t="s">
        <v>60</v>
      </c>
      <c r="K1794" t="s">
        <v>1237</v>
      </c>
      <c r="L1794" t="s">
        <v>62</v>
      </c>
      <c r="M1794" t="s">
        <v>1237</v>
      </c>
      <c r="N1794" t="s">
        <v>2064</v>
      </c>
      <c r="O1794" t="s">
        <v>2065</v>
      </c>
      <c r="P1794">
        <v>-20.199923999999999</v>
      </c>
      <c r="Q1794">
        <v>-44.945999999999998</v>
      </c>
      <c r="R1794" s="2" t="str">
        <f>HYPERLINK("https://www.google.com/maps?q=-20.1999240,-44.9460000","Abrir no Google Maps")</f>
        <v>Abrir no Google Maps</v>
      </c>
      <c r="S1794">
        <v>3</v>
      </c>
      <c r="T1794">
        <v>1216.1967888086051</v>
      </c>
      <c r="U1794">
        <v>4</v>
      </c>
      <c r="V1794">
        <v>33</v>
      </c>
      <c r="W1794">
        <v>0.85</v>
      </c>
      <c r="X1794">
        <v>28.05</v>
      </c>
      <c r="Y1794">
        <v>113</v>
      </c>
      <c r="Z1794">
        <v>968.58538409204391</v>
      </c>
      <c r="AA1794">
        <v>198</v>
      </c>
      <c r="AB1794">
        <v>332</v>
      </c>
      <c r="AC1794">
        <v>536</v>
      </c>
      <c r="AD1794">
        <v>30.74</v>
      </c>
      <c r="AE1794">
        <v>542</v>
      </c>
      <c r="AF1794">
        <v>30</v>
      </c>
      <c r="AG1794">
        <v>178</v>
      </c>
      <c r="AH1794">
        <v>129</v>
      </c>
      <c r="AI1794">
        <v>5.54</v>
      </c>
      <c r="AJ1794">
        <v>32.840000000000003</v>
      </c>
      <c r="AK1794">
        <v>23.8</v>
      </c>
      <c r="AL1794">
        <v>-20.199893249999949</v>
      </c>
      <c r="AM1794">
        <v>-44.946291931421001</v>
      </c>
      <c r="AN1794">
        <v>-20.199893249999949</v>
      </c>
      <c r="AO1794">
        <v>-44.946291931421001</v>
      </c>
      <c r="AP1794">
        <v>-20.199923999999999</v>
      </c>
      <c r="AQ1794">
        <v>-44.945999999999998</v>
      </c>
      <c r="AR1794">
        <v>30.690481010373571</v>
      </c>
      <c r="AS1794" t="s">
        <v>65</v>
      </c>
      <c r="AT1794">
        <v>1</v>
      </c>
      <c r="AU1794" t="s">
        <v>2066</v>
      </c>
      <c r="AV1794" t="s">
        <v>2067</v>
      </c>
      <c r="AW1794" t="s">
        <v>60</v>
      </c>
      <c r="AX1794" t="s">
        <v>68</v>
      </c>
      <c r="AY1794" t="s">
        <v>69</v>
      </c>
      <c r="AZ1794" t="b">
        <v>1</v>
      </c>
    </row>
    <row r="1795" spans="1:52" x14ac:dyDescent="0.3">
      <c r="A1795" t="s">
        <v>52</v>
      </c>
      <c r="B1795" t="s">
        <v>53</v>
      </c>
      <c r="C1795" t="s">
        <v>54</v>
      </c>
      <c r="D1795" t="s">
        <v>55</v>
      </c>
      <c r="E1795" t="s">
        <v>2148</v>
      </c>
      <c r="F1795" t="s">
        <v>190</v>
      </c>
      <c r="G1795" t="s">
        <v>1842</v>
      </c>
      <c r="H1795" t="s">
        <v>1843</v>
      </c>
      <c r="I1795" t="s">
        <v>1843</v>
      </c>
      <c r="J1795" t="s">
        <v>60</v>
      </c>
      <c r="K1795" t="s">
        <v>1243</v>
      </c>
      <c r="L1795" t="s">
        <v>62</v>
      </c>
      <c r="M1795" t="s">
        <v>1243</v>
      </c>
      <c r="N1795" t="s">
        <v>1844</v>
      </c>
      <c r="O1795" t="s">
        <v>598</v>
      </c>
      <c r="P1795">
        <v>-20.191507999999999</v>
      </c>
      <c r="Q1795">
        <v>-44.942765000000001</v>
      </c>
      <c r="R1795" s="2" t="str">
        <f>HYPERLINK("https://www.google.com/maps?q=-20.1915080,-44.9427650","Abrir no Google Maps")</f>
        <v>Abrir no Google Maps</v>
      </c>
      <c r="S1795">
        <v>3</v>
      </c>
      <c r="T1795">
        <v>481.65843439031818</v>
      </c>
      <c r="U1795">
        <v>4</v>
      </c>
      <c r="V1795">
        <v>24</v>
      </c>
      <c r="W1795">
        <v>1</v>
      </c>
      <c r="X1795">
        <v>24</v>
      </c>
      <c r="Y1795">
        <v>113</v>
      </c>
      <c r="Z1795">
        <v>403.01657911729887</v>
      </c>
      <c r="AA1795">
        <v>198</v>
      </c>
      <c r="AB1795">
        <v>332</v>
      </c>
      <c r="AC1795">
        <v>536</v>
      </c>
      <c r="AD1795">
        <v>30.74</v>
      </c>
      <c r="AE1795">
        <v>542</v>
      </c>
      <c r="AF1795">
        <v>30</v>
      </c>
      <c r="AG1795">
        <v>178</v>
      </c>
      <c r="AH1795">
        <v>129</v>
      </c>
      <c r="AI1795">
        <v>5.54</v>
      </c>
      <c r="AJ1795">
        <v>32.840000000000003</v>
      </c>
      <c r="AK1795">
        <v>23.8</v>
      </c>
      <c r="AL1795">
        <v>-20.19144764999993</v>
      </c>
      <c r="AM1795">
        <v>-44.942723431709183</v>
      </c>
      <c r="AN1795">
        <v>-20.19144764999993</v>
      </c>
      <c r="AO1795">
        <v>-44.942723431709183</v>
      </c>
      <c r="AP1795">
        <v>-20.191507999999999</v>
      </c>
      <c r="AQ1795">
        <v>-44.942765000000001</v>
      </c>
      <c r="AR1795">
        <v>7.9997116897974587</v>
      </c>
      <c r="AS1795" t="s">
        <v>65</v>
      </c>
      <c r="AT1795">
        <v>1</v>
      </c>
      <c r="AU1795" t="s">
        <v>1845</v>
      </c>
      <c r="AV1795" t="s">
        <v>1846</v>
      </c>
      <c r="AW1795" t="s">
        <v>60</v>
      </c>
      <c r="AX1795" t="s">
        <v>68</v>
      </c>
      <c r="AY1795" t="s">
        <v>69</v>
      </c>
      <c r="AZ1795" t="b">
        <v>1</v>
      </c>
    </row>
    <row r="1796" spans="1:52" x14ac:dyDescent="0.3">
      <c r="A1796" t="s">
        <v>52</v>
      </c>
      <c r="B1796" t="s">
        <v>53</v>
      </c>
      <c r="C1796" t="s">
        <v>54</v>
      </c>
      <c r="D1796" t="s">
        <v>55</v>
      </c>
      <c r="E1796" t="s">
        <v>2148</v>
      </c>
      <c r="F1796" t="s">
        <v>190</v>
      </c>
      <c r="G1796" t="s">
        <v>833</v>
      </c>
      <c r="H1796" t="s">
        <v>834</v>
      </c>
      <c r="I1796" t="s">
        <v>834</v>
      </c>
      <c r="J1796" t="s">
        <v>60</v>
      </c>
      <c r="K1796" t="s">
        <v>388</v>
      </c>
      <c r="L1796" t="s">
        <v>62</v>
      </c>
      <c r="M1796" t="s">
        <v>388</v>
      </c>
      <c r="N1796" t="s">
        <v>835</v>
      </c>
      <c r="O1796" t="s">
        <v>836</v>
      </c>
      <c r="P1796">
        <v>-20.157906000000001</v>
      </c>
      <c r="Q1796">
        <v>-44.900458999999998</v>
      </c>
      <c r="R1796" s="2" t="str">
        <f>HYPERLINK("https://www.google.com/maps?q=-20.1579060,-44.9004590","Abrir no Google Maps")</f>
        <v>Abrir no Google Maps</v>
      </c>
      <c r="S1796">
        <v>3</v>
      </c>
      <c r="T1796">
        <v>0</v>
      </c>
      <c r="U1796">
        <v>3</v>
      </c>
      <c r="V1796">
        <v>21</v>
      </c>
      <c r="W1796">
        <v>1</v>
      </c>
      <c r="X1796">
        <v>21</v>
      </c>
      <c r="Y1796">
        <v>729</v>
      </c>
      <c r="Z1796">
        <v>203.63168486652771</v>
      </c>
      <c r="AA1796">
        <v>198</v>
      </c>
      <c r="AB1796">
        <v>332</v>
      </c>
      <c r="AC1796">
        <v>536</v>
      </c>
      <c r="AD1796">
        <v>30.74</v>
      </c>
      <c r="AE1796">
        <v>542</v>
      </c>
      <c r="AF1796">
        <v>30</v>
      </c>
      <c r="AG1796">
        <v>178</v>
      </c>
      <c r="AH1796">
        <v>129</v>
      </c>
      <c r="AI1796">
        <v>5.54</v>
      </c>
      <c r="AJ1796">
        <v>32.840000000000003</v>
      </c>
      <c r="AK1796">
        <v>23.8</v>
      </c>
      <c r="AL1796">
        <v>-20.157925749999951</v>
      </c>
      <c r="AM1796">
        <v>-44.900484707799812</v>
      </c>
      <c r="AN1796">
        <v>-20.157925749999951</v>
      </c>
      <c r="AO1796">
        <v>-44.900484707799812</v>
      </c>
      <c r="AP1796">
        <v>-20.157906000000001</v>
      </c>
      <c r="AQ1796">
        <v>-44.900458999999998</v>
      </c>
      <c r="AR1796">
        <v>3.4714515960382508</v>
      </c>
      <c r="AS1796" t="s">
        <v>65</v>
      </c>
      <c r="AT1796">
        <v>1</v>
      </c>
      <c r="AU1796" t="s">
        <v>837</v>
      </c>
      <c r="AV1796" t="s">
        <v>838</v>
      </c>
      <c r="AW1796" t="s">
        <v>60</v>
      </c>
      <c r="AX1796" t="s">
        <v>68</v>
      </c>
      <c r="AY1796" t="s">
        <v>69</v>
      </c>
      <c r="AZ1796" t="b">
        <v>1</v>
      </c>
    </row>
    <row r="1797" spans="1:52" x14ac:dyDescent="0.3">
      <c r="A1797" t="s">
        <v>52</v>
      </c>
      <c r="B1797" t="s">
        <v>53</v>
      </c>
      <c r="C1797" t="s">
        <v>54</v>
      </c>
      <c r="D1797" t="s">
        <v>55</v>
      </c>
      <c r="E1797" t="s">
        <v>2148</v>
      </c>
      <c r="F1797" t="s">
        <v>190</v>
      </c>
      <c r="G1797" t="s">
        <v>386</v>
      </c>
      <c r="H1797" t="s">
        <v>387</v>
      </c>
      <c r="I1797" t="s">
        <v>387</v>
      </c>
      <c r="J1797" t="s">
        <v>60</v>
      </c>
      <c r="K1797" t="s">
        <v>388</v>
      </c>
      <c r="L1797" t="s">
        <v>62</v>
      </c>
      <c r="M1797" t="s">
        <v>388</v>
      </c>
      <c r="N1797" t="s">
        <v>389</v>
      </c>
      <c r="O1797" t="s">
        <v>357</v>
      </c>
      <c r="P1797">
        <v>-20.161041999999998</v>
      </c>
      <c r="Q1797">
        <v>-44.901242000000003</v>
      </c>
      <c r="R1797" s="2" t="str">
        <f>HYPERLINK("https://www.google.com/maps?q=-20.1610420,-44.9012420","Abrir no Google Maps")</f>
        <v>Abrir no Google Maps</v>
      </c>
      <c r="S1797">
        <v>3</v>
      </c>
      <c r="T1797">
        <v>440.22183232279212</v>
      </c>
      <c r="U1797">
        <v>3</v>
      </c>
      <c r="V1797">
        <v>21</v>
      </c>
      <c r="W1797">
        <v>1</v>
      </c>
      <c r="X1797">
        <v>21</v>
      </c>
      <c r="Y1797">
        <v>729</v>
      </c>
      <c r="Z1797">
        <v>398.48306829302379</v>
      </c>
      <c r="AA1797">
        <v>198</v>
      </c>
      <c r="AB1797">
        <v>332</v>
      </c>
      <c r="AC1797">
        <v>536</v>
      </c>
      <c r="AD1797">
        <v>30.74</v>
      </c>
      <c r="AE1797">
        <v>542</v>
      </c>
      <c r="AF1797">
        <v>30</v>
      </c>
      <c r="AG1797">
        <v>178</v>
      </c>
      <c r="AH1797">
        <v>129</v>
      </c>
      <c r="AI1797">
        <v>5.54</v>
      </c>
      <c r="AJ1797">
        <v>32.840000000000003</v>
      </c>
      <c r="AK1797">
        <v>23.8</v>
      </c>
      <c r="AL1797">
        <v>-20.16176629999995</v>
      </c>
      <c r="AM1797">
        <v>-44.901582787827898</v>
      </c>
      <c r="AN1797">
        <v>-20.16176629999995</v>
      </c>
      <c r="AO1797">
        <v>-44.901582787827898</v>
      </c>
      <c r="AP1797">
        <v>-20.161041999999998</v>
      </c>
      <c r="AQ1797">
        <v>-44.901242000000003</v>
      </c>
      <c r="AR1797">
        <v>88.143369157892835</v>
      </c>
      <c r="AS1797" t="s">
        <v>65</v>
      </c>
      <c r="AT1797">
        <v>1</v>
      </c>
      <c r="AU1797" t="s">
        <v>390</v>
      </c>
      <c r="AV1797" t="s">
        <v>391</v>
      </c>
      <c r="AW1797" t="s">
        <v>60</v>
      </c>
      <c r="AX1797" t="s">
        <v>68</v>
      </c>
      <c r="AY1797" t="s">
        <v>69</v>
      </c>
      <c r="AZ1797" t="b">
        <v>1</v>
      </c>
    </row>
    <row r="1798" spans="1:52" x14ac:dyDescent="0.3">
      <c r="A1798" t="s">
        <v>52</v>
      </c>
      <c r="B1798" t="s">
        <v>53</v>
      </c>
      <c r="C1798" t="s">
        <v>54</v>
      </c>
      <c r="D1798" t="s">
        <v>55</v>
      </c>
      <c r="E1798" t="s">
        <v>2148</v>
      </c>
      <c r="F1798" t="s">
        <v>190</v>
      </c>
      <c r="G1798" t="s">
        <v>1278</v>
      </c>
      <c r="H1798" t="s">
        <v>1279</v>
      </c>
      <c r="I1798" t="s">
        <v>1279</v>
      </c>
      <c r="J1798" t="s">
        <v>60</v>
      </c>
      <c r="K1798" t="s">
        <v>388</v>
      </c>
      <c r="L1798" t="s">
        <v>62</v>
      </c>
      <c r="M1798" t="s">
        <v>388</v>
      </c>
      <c r="N1798" t="s">
        <v>1280</v>
      </c>
      <c r="O1798" t="s">
        <v>216</v>
      </c>
      <c r="P1798">
        <v>-20.15681</v>
      </c>
      <c r="Q1798">
        <v>-44.899290999999998</v>
      </c>
      <c r="R1798" s="2" t="str">
        <f>HYPERLINK("https://www.google.com/maps?q=-20.1568100,-44.8992910","Abrir no Google Maps")</f>
        <v>Abrir no Google Maps</v>
      </c>
      <c r="S1798">
        <v>3</v>
      </c>
      <c r="T1798">
        <v>180.10162979749811</v>
      </c>
      <c r="U1798">
        <v>3</v>
      </c>
      <c r="V1798">
        <v>19</v>
      </c>
      <c r="W1798">
        <v>0.85</v>
      </c>
      <c r="X1798">
        <v>16.149999999999999</v>
      </c>
      <c r="Y1798">
        <v>729</v>
      </c>
      <c r="Z1798">
        <v>368.06065118133841</v>
      </c>
      <c r="AA1798">
        <v>198</v>
      </c>
      <c r="AB1798">
        <v>332</v>
      </c>
      <c r="AC1798">
        <v>536</v>
      </c>
      <c r="AD1798">
        <v>30.74</v>
      </c>
      <c r="AE1798">
        <v>542</v>
      </c>
      <c r="AF1798">
        <v>30</v>
      </c>
      <c r="AG1798">
        <v>178</v>
      </c>
      <c r="AH1798">
        <v>129</v>
      </c>
      <c r="AI1798">
        <v>5.54</v>
      </c>
      <c r="AJ1798">
        <v>32.840000000000003</v>
      </c>
      <c r="AK1798">
        <v>23.8</v>
      </c>
      <c r="AL1798">
        <v>-20.156785649999961</v>
      </c>
      <c r="AM1798">
        <v>-44.899254812291332</v>
      </c>
      <c r="AN1798">
        <v>-20.156785649999961</v>
      </c>
      <c r="AO1798">
        <v>-44.899254812291332</v>
      </c>
      <c r="AP1798">
        <v>-20.15681</v>
      </c>
      <c r="AQ1798">
        <v>-44.899290999999998</v>
      </c>
      <c r="AR1798">
        <v>4.6528211992813118</v>
      </c>
      <c r="AS1798" t="s">
        <v>65</v>
      </c>
      <c r="AT1798">
        <v>1</v>
      </c>
      <c r="AU1798" t="s">
        <v>1281</v>
      </c>
      <c r="AV1798" t="s">
        <v>1282</v>
      </c>
      <c r="AW1798" t="s">
        <v>60</v>
      </c>
      <c r="AX1798" t="s">
        <v>68</v>
      </c>
      <c r="AY1798" t="s">
        <v>69</v>
      </c>
      <c r="AZ1798" t="b">
        <v>1</v>
      </c>
    </row>
    <row r="1799" spans="1:52" x14ac:dyDescent="0.3">
      <c r="A1799" t="s">
        <v>52</v>
      </c>
      <c r="B1799" t="s">
        <v>53</v>
      </c>
      <c r="C1799" t="s">
        <v>54</v>
      </c>
      <c r="D1799" t="s">
        <v>55</v>
      </c>
      <c r="E1799" t="s">
        <v>2148</v>
      </c>
      <c r="F1799" t="s">
        <v>190</v>
      </c>
      <c r="G1799" t="s">
        <v>404</v>
      </c>
      <c r="H1799" t="s">
        <v>405</v>
      </c>
      <c r="I1799" t="s">
        <v>405</v>
      </c>
      <c r="J1799" t="s">
        <v>60</v>
      </c>
      <c r="K1799" t="s">
        <v>388</v>
      </c>
      <c r="L1799" t="s">
        <v>62</v>
      </c>
      <c r="M1799" t="s">
        <v>388</v>
      </c>
      <c r="N1799" t="s">
        <v>406</v>
      </c>
      <c r="O1799" t="s">
        <v>407</v>
      </c>
      <c r="P1799">
        <v>-20.162780999999999</v>
      </c>
      <c r="Q1799">
        <v>-44.904437999999999</v>
      </c>
      <c r="R1799" s="2" t="str">
        <f>HYPERLINK("https://www.google.com/maps?q=-20.1627810,-44.9044380","Abrir no Google Maps")</f>
        <v>Abrir no Google Maps</v>
      </c>
      <c r="S1799">
        <v>3</v>
      </c>
      <c r="T1799">
        <v>681.0891377731482</v>
      </c>
      <c r="U1799">
        <v>3</v>
      </c>
      <c r="V1799">
        <v>18</v>
      </c>
      <c r="W1799">
        <v>1</v>
      </c>
      <c r="X1799">
        <v>18</v>
      </c>
      <c r="Y1799">
        <v>729</v>
      </c>
      <c r="Z1799">
        <v>564.17713687218622</v>
      </c>
      <c r="AA1799">
        <v>198</v>
      </c>
      <c r="AB1799">
        <v>332</v>
      </c>
      <c r="AC1799">
        <v>536</v>
      </c>
      <c r="AD1799">
        <v>30.74</v>
      </c>
      <c r="AE1799">
        <v>542</v>
      </c>
      <c r="AF1799">
        <v>30</v>
      </c>
      <c r="AG1799">
        <v>178</v>
      </c>
      <c r="AH1799">
        <v>129</v>
      </c>
      <c r="AI1799">
        <v>5.54</v>
      </c>
      <c r="AJ1799">
        <v>32.840000000000003</v>
      </c>
      <c r="AK1799">
        <v>23.8</v>
      </c>
      <c r="AL1799">
        <v>-20.16295434999995</v>
      </c>
      <c r="AM1799">
        <v>-44.904242686956152</v>
      </c>
      <c r="AN1799">
        <v>-20.16295434999995</v>
      </c>
      <c r="AO1799">
        <v>-44.904242686956152</v>
      </c>
      <c r="AP1799">
        <v>-20.162780999999999</v>
      </c>
      <c r="AQ1799">
        <v>-44.904437999999999</v>
      </c>
      <c r="AR1799">
        <v>28.088191280523411</v>
      </c>
      <c r="AS1799" t="s">
        <v>65</v>
      </c>
      <c r="AT1799">
        <v>1</v>
      </c>
      <c r="AU1799" t="s">
        <v>408</v>
      </c>
      <c r="AV1799" t="s">
        <v>409</v>
      </c>
      <c r="AW1799" t="s">
        <v>60</v>
      </c>
      <c r="AX1799" t="s">
        <v>68</v>
      </c>
      <c r="AY1799" t="s">
        <v>69</v>
      </c>
      <c r="AZ1799" t="b">
        <v>1</v>
      </c>
    </row>
    <row r="1800" spans="1:52" x14ac:dyDescent="0.3">
      <c r="A1800" t="s">
        <v>52</v>
      </c>
      <c r="B1800" t="s">
        <v>53</v>
      </c>
      <c r="C1800" t="s">
        <v>54</v>
      </c>
      <c r="D1800" t="s">
        <v>55</v>
      </c>
      <c r="E1800" t="s">
        <v>2148</v>
      </c>
      <c r="F1800" t="s">
        <v>190</v>
      </c>
      <c r="G1800" t="s">
        <v>410</v>
      </c>
      <c r="H1800" t="s">
        <v>411</v>
      </c>
      <c r="I1800" t="s">
        <v>411</v>
      </c>
      <c r="J1800" t="s">
        <v>60</v>
      </c>
      <c r="K1800" t="s">
        <v>388</v>
      </c>
      <c r="L1800" t="s">
        <v>62</v>
      </c>
      <c r="M1800" t="s">
        <v>388</v>
      </c>
      <c r="N1800" t="s">
        <v>412</v>
      </c>
      <c r="O1800" t="s">
        <v>413</v>
      </c>
      <c r="P1800">
        <v>-20.161394000000001</v>
      </c>
      <c r="Q1800">
        <v>-44.906725999999999</v>
      </c>
      <c r="R1800" s="2" t="str">
        <f>HYPERLINK("https://www.google.com/maps?q=-20.1613940,-44.9067260","Abrir no Google Maps")</f>
        <v>Abrir no Google Maps</v>
      </c>
      <c r="S1800">
        <v>3</v>
      </c>
      <c r="T1800">
        <v>763.68157548493457</v>
      </c>
      <c r="U1800">
        <v>3</v>
      </c>
      <c r="V1800">
        <v>23</v>
      </c>
      <c r="W1800">
        <v>1</v>
      </c>
      <c r="X1800">
        <v>23</v>
      </c>
      <c r="Y1800">
        <v>729</v>
      </c>
      <c r="Z1800">
        <v>551.70379325948545</v>
      </c>
      <c r="AA1800">
        <v>198</v>
      </c>
      <c r="AB1800">
        <v>332</v>
      </c>
      <c r="AC1800">
        <v>536</v>
      </c>
      <c r="AD1800">
        <v>30.74</v>
      </c>
      <c r="AE1800">
        <v>542</v>
      </c>
      <c r="AF1800">
        <v>30</v>
      </c>
      <c r="AG1800">
        <v>178</v>
      </c>
      <c r="AH1800">
        <v>129</v>
      </c>
      <c r="AI1800">
        <v>5.54</v>
      </c>
      <c r="AJ1800">
        <v>32.840000000000003</v>
      </c>
      <c r="AK1800">
        <v>23.8</v>
      </c>
      <c r="AL1800">
        <v>-20.161371049999929</v>
      </c>
      <c r="AM1800">
        <v>-44.906816797310228</v>
      </c>
      <c r="AN1800">
        <v>-20.161371049999929</v>
      </c>
      <c r="AO1800">
        <v>-44.906816797310228</v>
      </c>
      <c r="AP1800">
        <v>-20.161394000000001</v>
      </c>
      <c r="AQ1800">
        <v>-44.906725999999999</v>
      </c>
      <c r="AR1800">
        <v>9.8261555662022495</v>
      </c>
      <c r="AS1800" t="s">
        <v>65</v>
      </c>
      <c r="AT1800">
        <v>1</v>
      </c>
      <c r="AU1800" t="s">
        <v>414</v>
      </c>
      <c r="AV1800" t="s">
        <v>415</v>
      </c>
      <c r="AW1800" t="s">
        <v>60</v>
      </c>
      <c r="AX1800" t="s">
        <v>68</v>
      </c>
      <c r="AY1800" t="s">
        <v>69</v>
      </c>
      <c r="AZ1800" t="b">
        <v>1</v>
      </c>
    </row>
    <row r="1801" spans="1:52" x14ac:dyDescent="0.3">
      <c r="A1801" t="s">
        <v>52</v>
      </c>
      <c r="B1801" t="s">
        <v>53</v>
      </c>
      <c r="C1801" t="s">
        <v>54</v>
      </c>
      <c r="D1801" t="s">
        <v>55</v>
      </c>
      <c r="E1801" t="s">
        <v>2148</v>
      </c>
      <c r="F1801" t="s">
        <v>190</v>
      </c>
      <c r="G1801" t="s">
        <v>416</v>
      </c>
      <c r="H1801" t="s">
        <v>417</v>
      </c>
      <c r="I1801" t="s">
        <v>417</v>
      </c>
      <c r="J1801" t="s">
        <v>60</v>
      </c>
      <c r="K1801" t="s">
        <v>418</v>
      </c>
      <c r="L1801" t="s">
        <v>62</v>
      </c>
      <c r="M1801" t="s">
        <v>418</v>
      </c>
      <c r="N1801" t="s">
        <v>419</v>
      </c>
      <c r="O1801" t="s">
        <v>202</v>
      </c>
      <c r="P1801">
        <v>-20.169886000000002</v>
      </c>
      <c r="Q1801">
        <v>-44.913288000000001</v>
      </c>
      <c r="R1801" s="2" t="str">
        <f>HYPERLINK("https://www.google.com/maps?q=-20.1698860,-44.9132880","Abrir no Google Maps")</f>
        <v>Abrir no Google Maps</v>
      </c>
      <c r="S1801">
        <v>3</v>
      </c>
      <c r="T1801">
        <v>422.88733632898152</v>
      </c>
      <c r="U1801">
        <v>3</v>
      </c>
      <c r="V1801">
        <v>16</v>
      </c>
      <c r="W1801">
        <v>1</v>
      </c>
      <c r="X1801">
        <v>16</v>
      </c>
      <c r="Y1801">
        <v>723</v>
      </c>
      <c r="Z1801">
        <v>128.65003864232261</v>
      </c>
      <c r="AA1801">
        <v>198</v>
      </c>
      <c r="AB1801">
        <v>332</v>
      </c>
      <c r="AC1801">
        <v>536</v>
      </c>
      <c r="AD1801">
        <v>30.74</v>
      </c>
      <c r="AE1801">
        <v>542</v>
      </c>
      <c r="AF1801">
        <v>30</v>
      </c>
      <c r="AG1801">
        <v>178</v>
      </c>
      <c r="AH1801">
        <v>129</v>
      </c>
      <c r="AI1801">
        <v>5.54</v>
      </c>
      <c r="AJ1801">
        <v>32.840000000000003</v>
      </c>
      <c r="AK1801">
        <v>23.8</v>
      </c>
      <c r="AL1801">
        <v>-20.16970024999998</v>
      </c>
      <c r="AM1801">
        <v>-44.913502201257437</v>
      </c>
      <c r="AN1801">
        <v>-20.16970024999998</v>
      </c>
      <c r="AO1801">
        <v>-44.913502201257437</v>
      </c>
      <c r="AP1801">
        <v>-20.169886000000002</v>
      </c>
      <c r="AQ1801">
        <v>-44.913288000000001</v>
      </c>
      <c r="AR1801">
        <v>30.47208587597606</v>
      </c>
      <c r="AS1801" t="s">
        <v>65</v>
      </c>
      <c r="AT1801">
        <v>1</v>
      </c>
      <c r="AU1801" t="s">
        <v>420</v>
      </c>
      <c r="AV1801" t="s">
        <v>421</v>
      </c>
      <c r="AW1801" t="s">
        <v>60</v>
      </c>
      <c r="AX1801" t="s">
        <v>68</v>
      </c>
      <c r="AY1801" t="s">
        <v>69</v>
      </c>
      <c r="AZ1801" t="b">
        <v>1</v>
      </c>
    </row>
    <row r="1802" spans="1:52" x14ac:dyDescent="0.3">
      <c r="A1802" t="s">
        <v>52</v>
      </c>
      <c r="B1802" t="s">
        <v>53</v>
      </c>
      <c r="C1802" t="s">
        <v>54</v>
      </c>
      <c r="D1802" t="s">
        <v>55</v>
      </c>
      <c r="E1802" t="s">
        <v>2148</v>
      </c>
      <c r="F1802" t="s">
        <v>190</v>
      </c>
      <c r="G1802" t="s">
        <v>1300</v>
      </c>
      <c r="H1802" t="s">
        <v>1301</v>
      </c>
      <c r="I1802" t="s">
        <v>1301</v>
      </c>
      <c r="J1802" t="s">
        <v>60</v>
      </c>
      <c r="K1802" t="s">
        <v>1302</v>
      </c>
      <c r="L1802" t="s">
        <v>62</v>
      </c>
      <c r="M1802" t="s">
        <v>1302</v>
      </c>
      <c r="N1802" t="s">
        <v>1303</v>
      </c>
      <c r="O1802" t="s">
        <v>1304</v>
      </c>
      <c r="P1802">
        <v>-20.166618</v>
      </c>
      <c r="Q1802">
        <v>-44.912920999999997</v>
      </c>
      <c r="R1802" s="2" t="str">
        <f>HYPERLINK("https://www.google.com/maps?q=-20.1666180,-44.9129210","Abrir no Google Maps")</f>
        <v>Abrir no Google Maps</v>
      </c>
      <c r="S1802">
        <v>3</v>
      </c>
      <c r="T1802">
        <v>636.32880156364706</v>
      </c>
      <c r="U1802">
        <v>3</v>
      </c>
      <c r="V1802">
        <v>23</v>
      </c>
      <c r="W1802">
        <v>0.85</v>
      </c>
      <c r="X1802">
        <v>19.55</v>
      </c>
      <c r="Y1802">
        <v>723</v>
      </c>
      <c r="Z1802">
        <v>407.62145176971592</v>
      </c>
      <c r="AA1802">
        <v>198</v>
      </c>
      <c r="AB1802">
        <v>332</v>
      </c>
      <c r="AC1802">
        <v>536</v>
      </c>
      <c r="AD1802">
        <v>30.74</v>
      </c>
      <c r="AE1802">
        <v>542</v>
      </c>
      <c r="AF1802">
        <v>30</v>
      </c>
      <c r="AG1802">
        <v>178</v>
      </c>
      <c r="AH1802">
        <v>129</v>
      </c>
      <c r="AI1802">
        <v>5.54</v>
      </c>
      <c r="AJ1802">
        <v>32.840000000000003</v>
      </c>
      <c r="AK1802">
        <v>23.8</v>
      </c>
      <c r="AL1802">
        <v>-20.166924799999951</v>
      </c>
      <c r="AM1802">
        <v>-44.912868681724092</v>
      </c>
      <c r="AN1802">
        <v>-20.166924799999951</v>
      </c>
      <c r="AO1802">
        <v>-44.912868681724092</v>
      </c>
      <c r="AP1802">
        <v>-20.166618</v>
      </c>
      <c r="AQ1802">
        <v>-44.912920999999997</v>
      </c>
      <c r="AR1802">
        <v>34.587771860198139</v>
      </c>
      <c r="AS1802" t="s">
        <v>65</v>
      </c>
      <c r="AT1802">
        <v>1</v>
      </c>
      <c r="AU1802" t="s">
        <v>1305</v>
      </c>
      <c r="AV1802" t="s">
        <v>1306</v>
      </c>
      <c r="AW1802" t="s">
        <v>60</v>
      </c>
      <c r="AX1802" t="s">
        <v>68</v>
      </c>
      <c r="AY1802" t="s">
        <v>69</v>
      </c>
      <c r="AZ1802" t="b">
        <v>1</v>
      </c>
    </row>
    <row r="1803" spans="1:52" x14ac:dyDescent="0.3">
      <c r="A1803" t="s">
        <v>52</v>
      </c>
      <c r="B1803" t="s">
        <v>53</v>
      </c>
      <c r="C1803" t="s">
        <v>54</v>
      </c>
      <c r="D1803" t="s">
        <v>55</v>
      </c>
      <c r="E1803" t="s">
        <v>2148</v>
      </c>
      <c r="F1803" t="s">
        <v>190</v>
      </c>
      <c r="G1803" t="s">
        <v>858</v>
      </c>
      <c r="H1803" t="s">
        <v>1360</v>
      </c>
      <c r="I1803" t="s">
        <v>1360</v>
      </c>
      <c r="J1803" t="s">
        <v>60</v>
      </c>
      <c r="K1803" t="s">
        <v>1356</v>
      </c>
      <c r="L1803" t="s">
        <v>62</v>
      </c>
      <c r="M1803" t="s">
        <v>1356</v>
      </c>
      <c r="N1803" t="s">
        <v>860</v>
      </c>
      <c r="O1803" t="s">
        <v>1361</v>
      </c>
      <c r="P1803">
        <v>-20.134969000000002</v>
      </c>
      <c r="Q1803">
        <v>-44.909384000000003</v>
      </c>
      <c r="R1803" s="2" t="str">
        <f>HYPERLINK("https://www.google.com/maps?q=-20.1349690,-44.9093840","Abrir no Google Maps")</f>
        <v>Abrir no Google Maps</v>
      </c>
      <c r="S1803">
        <v>3</v>
      </c>
      <c r="T1803">
        <v>413.6655911675532</v>
      </c>
      <c r="U1803">
        <v>3</v>
      </c>
      <c r="V1803">
        <v>18</v>
      </c>
      <c r="W1803">
        <v>0.85</v>
      </c>
      <c r="X1803">
        <v>15.3</v>
      </c>
      <c r="Y1803">
        <v>581</v>
      </c>
      <c r="Z1803">
        <v>555.30228470489919</v>
      </c>
      <c r="AA1803">
        <v>198</v>
      </c>
      <c r="AB1803">
        <v>332</v>
      </c>
      <c r="AC1803">
        <v>536</v>
      </c>
      <c r="AD1803">
        <v>30.74</v>
      </c>
      <c r="AE1803">
        <v>542</v>
      </c>
      <c r="AF1803">
        <v>30</v>
      </c>
      <c r="AG1803">
        <v>178</v>
      </c>
      <c r="AH1803">
        <v>129</v>
      </c>
      <c r="AI1803">
        <v>5.54</v>
      </c>
      <c r="AJ1803">
        <v>32.840000000000003</v>
      </c>
      <c r="AK1803">
        <v>23.8</v>
      </c>
      <c r="AL1803">
        <v>-20.134922099999951</v>
      </c>
      <c r="AM1803">
        <v>-44.909483975879112</v>
      </c>
      <c r="AN1803">
        <v>-20.134922099999951</v>
      </c>
      <c r="AO1803">
        <v>-44.909483975879112</v>
      </c>
      <c r="AP1803">
        <v>-20.134969000000002</v>
      </c>
      <c r="AQ1803">
        <v>-44.909384000000003</v>
      </c>
      <c r="AR1803">
        <v>11.68085867639515</v>
      </c>
      <c r="AS1803" t="s">
        <v>65</v>
      </c>
      <c r="AT1803">
        <v>1</v>
      </c>
      <c r="AU1803" t="s">
        <v>1362</v>
      </c>
      <c r="AV1803" t="s">
        <v>1363</v>
      </c>
      <c r="AW1803" t="s">
        <v>60</v>
      </c>
      <c r="AX1803" t="s">
        <v>68</v>
      </c>
      <c r="AY1803" t="s">
        <v>69</v>
      </c>
      <c r="AZ1803" t="b">
        <v>1</v>
      </c>
    </row>
    <row r="1804" spans="1:52" x14ac:dyDescent="0.3">
      <c r="A1804" t="s">
        <v>52</v>
      </c>
      <c r="B1804" t="s">
        <v>53</v>
      </c>
      <c r="C1804" t="s">
        <v>54</v>
      </c>
      <c r="D1804" t="s">
        <v>55</v>
      </c>
      <c r="E1804" t="s">
        <v>2148</v>
      </c>
      <c r="F1804" t="s">
        <v>190</v>
      </c>
      <c r="G1804" t="s">
        <v>870</v>
      </c>
      <c r="H1804" t="s">
        <v>871</v>
      </c>
      <c r="I1804" t="s">
        <v>871</v>
      </c>
      <c r="J1804" t="s">
        <v>60</v>
      </c>
      <c r="K1804" t="s">
        <v>475</v>
      </c>
      <c r="L1804" t="s">
        <v>62</v>
      </c>
      <c r="M1804" t="s">
        <v>475</v>
      </c>
      <c r="N1804" t="s">
        <v>872</v>
      </c>
      <c r="O1804" t="s">
        <v>507</v>
      </c>
      <c r="P1804">
        <v>-20.176269999999999</v>
      </c>
      <c r="Q1804">
        <v>-44.909323999999998</v>
      </c>
      <c r="R1804" s="2" t="str">
        <f>HYPERLINK("https://www.google.com/maps?q=-20.1762700,-44.9093240","Abrir no Google Maps")</f>
        <v>Abrir no Google Maps</v>
      </c>
      <c r="S1804">
        <v>3</v>
      </c>
      <c r="T1804">
        <v>472.42731136821368</v>
      </c>
      <c r="U1804">
        <v>3</v>
      </c>
      <c r="V1804">
        <v>18</v>
      </c>
      <c r="W1804">
        <v>1</v>
      </c>
      <c r="X1804">
        <v>18</v>
      </c>
      <c r="Y1804">
        <v>578</v>
      </c>
      <c r="Z1804">
        <v>495.19726726344601</v>
      </c>
      <c r="AA1804">
        <v>198</v>
      </c>
      <c r="AB1804">
        <v>332</v>
      </c>
      <c r="AC1804">
        <v>536</v>
      </c>
      <c r="AD1804">
        <v>30.74</v>
      </c>
      <c r="AE1804">
        <v>542</v>
      </c>
      <c r="AF1804">
        <v>30</v>
      </c>
      <c r="AG1804">
        <v>178</v>
      </c>
      <c r="AH1804">
        <v>129</v>
      </c>
      <c r="AI1804">
        <v>5.54</v>
      </c>
      <c r="AJ1804">
        <v>32.840000000000003</v>
      </c>
      <c r="AK1804">
        <v>23.8</v>
      </c>
      <c r="AL1804">
        <v>-20.17630284999996</v>
      </c>
      <c r="AM1804">
        <v>-44.909199064318948</v>
      </c>
      <c r="AN1804">
        <v>-20.17630284999996</v>
      </c>
      <c r="AO1804">
        <v>-44.909199064318948</v>
      </c>
      <c r="AP1804">
        <v>-20.176269999999999</v>
      </c>
      <c r="AQ1804">
        <v>-44.909323999999998</v>
      </c>
      <c r="AR1804">
        <v>13.55691308737447</v>
      </c>
      <c r="AS1804" t="s">
        <v>65</v>
      </c>
      <c r="AT1804">
        <v>1</v>
      </c>
      <c r="AU1804" t="s">
        <v>873</v>
      </c>
      <c r="AV1804" t="s">
        <v>874</v>
      </c>
      <c r="AW1804" t="s">
        <v>60</v>
      </c>
      <c r="AX1804" t="s">
        <v>68</v>
      </c>
      <c r="AY1804" t="s">
        <v>69</v>
      </c>
      <c r="AZ1804" t="b">
        <v>1</v>
      </c>
    </row>
    <row r="1805" spans="1:52" x14ac:dyDescent="0.3">
      <c r="A1805" t="s">
        <v>52</v>
      </c>
      <c r="B1805" t="s">
        <v>53</v>
      </c>
      <c r="C1805" t="s">
        <v>54</v>
      </c>
      <c r="D1805" t="s">
        <v>55</v>
      </c>
      <c r="E1805" t="s">
        <v>2148</v>
      </c>
      <c r="F1805" t="s">
        <v>190</v>
      </c>
      <c r="G1805" t="s">
        <v>473</v>
      </c>
      <c r="H1805" t="s">
        <v>474</v>
      </c>
      <c r="I1805" t="s">
        <v>474</v>
      </c>
      <c r="J1805" t="s">
        <v>60</v>
      </c>
      <c r="K1805" t="s">
        <v>475</v>
      </c>
      <c r="L1805" t="s">
        <v>62</v>
      </c>
      <c r="M1805" t="s">
        <v>475</v>
      </c>
      <c r="N1805" t="s">
        <v>406</v>
      </c>
      <c r="O1805" t="s">
        <v>476</v>
      </c>
      <c r="P1805">
        <v>-20.177902</v>
      </c>
      <c r="Q1805">
        <v>-44.908504000000001</v>
      </c>
      <c r="R1805" s="2" t="str">
        <f>HYPERLINK("https://www.google.com/maps?q=-20.1779020,-44.9085040","Abrir no Google Maps")</f>
        <v>Abrir no Google Maps</v>
      </c>
      <c r="S1805">
        <v>3</v>
      </c>
      <c r="T1805">
        <v>656.92307673247149</v>
      </c>
      <c r="U1805">
        <v>3</v>
      </c>
      <c r="V1805">
        <v>19</v>
      </c>
      <c r="W1805">
        <v>1</v>
      </c>
      <c r="X1805">
        <v>19</v>
      </c>
      <c r="Y1805">
        <v>578</v>
      </c>
      <c r="Z1805">
        <v>635.01982153722327</v>
      </c>
      <c r="AA1805">
        <v>198</v>
      </c>
      <c r="AB1805">
        <v>332</v>
      </c>
      <c r="AC1805">
        <v>536</v>
      </c>
      <c r="AD1805">
        <v>30.74</v>
      </c>
      <c r="AE1805">
        <v>542</v>
      </c>
      <c r="AF1805">
        <v>30</v>
      </c>
      <c r="AG1805">
        <v>178</v>
      </c>
      <c r="AH1805">
        <v>129</v>
      </c>
      <c r="AI1805">
        <v>5.54</v>
      </c>
      <c r="AJ1805">
        <v>32.840000000000003</v>
      </c>
      <c r="AK1805">
        <v>23.8</v>
      </c>
      <c r="AL1805">
        <v>-20.177800399999938</v>
      </c>
      <c r="AM1805">
        <v>-44.908361879701268</v>
      </c>
      <c r="AN1805">
        <v>-20.177800399999938</v>
      </c>
      <c r="AO1805">
        <v>-44.908361879701268</v>
      </c>
      <c r="AP1805">
        <v>-20.177902</v>
      </c>
      <c r="AQ1805">
        <v>-44.908504000000001</v>
      </c>
      <c r="AR1805">
        <v>18.666463141775541</v>
      </c>
      <c r="AS1805" t="s">
        <v>65</v>
      </c>
      <c r="AT1805">
        <v>1</v>
      </c>
      <c r="AU1805" t="s">
        <v>477</v>
      </c>
      <c r="AV1805" t="s">
        <v>478</v>
      </c>
      <c r="AW1805" t="s">
        <v>60</v>
      </c>
      <c r="AX1805" t="s">
        <v>68</v>
      </c>
      <c r="AY1805" t="s">
        <v>69</v>
      </c>
      <c r="AZ1805" t="b">
        <v>1</v>
      </c>
    </row>
    <row r="1806" spans="1:52" x14ac:dyDescent="0.3">
      <c r="A1806" t="s">
        <v>52</v>
      </c>
      <c r="B1806" t="s">
        <v>53</v>
      </c>
      <c r="C1806" t="s">
        <v>54</v>
      </c>
      <c r="D1806" t="s">
        <v>55</v>
      </c>
      <c r="E1806" t="s">
        <v>2148</v>
      </c>
      <c r="F1806" t="s">
        <v>190</v>
      </c>
      <c r="G1806" t="s">
        <v>479</v>
      </c>
      <c r="H1806" t="s">
        <v>480</v>
      </c>
      <c r="I1806" t="s">
        <v>480</v>
      </c>
      <c r="J1806" t="s">
        <v>60</v>
      </c>
      <c r="K1806" t="s">
        <v>388</v>
      </c>
      <c r="L1806" t="s">
        <v>62</v>
      </c>
      <c r="M1806" t="s">
        <v>388</v>
      </c>
      <c r="N1806" t="s">
        <v>481</v>
      </c>
      <c r="O1806" t="s">
        <v>315</v>
      </c>
      <c r="P1806">
        <v>-20.166903999999999</v>
      </c>
      <c r="Q1806">
        <v>-44.903492</v>
      </c>
      <c r="R1806" s="2" t="str">
        <f>HYPERLINK("https://www.google.com/maps?q=-20.1669040,-44.9034920","Abrir no Google Maps")</f>
        <v>Abrir no Google Maps</v>
      </c>
      <c r="S1806">
        <v>3</v>
      </c>
      <c r="T1806">
        <v>517.12253532511602</v>
      </c>
      <c r="U1806">
        <v>3</v>
      </c>
      <c r="V1806">
        <v>22</v>
      </c>
      <c r="W1806">
        <v>1</v>
      </c>
      <c r="X1806">
        <v>22</v>
      </c>
      <c r="Y1806">
        <v>578</v>
      </c>
      <c r="Z1806">
        <v>721.79551240050432</v>
      </c>
      <c r="AA1806">
        <v>198</v>
      </c>
      <c r="AB1806">
        <v>332</v>
      </c>
      <c r="AC1806">
        <v>536</v>
      </c>
      <c r="AD1806">
        <v>30.74</v>
      </c>
      <c r="AE1806">
        <v>542</v>
      </c>
      <c r="AF1806">
        <v>30</v>
      </c>
      <c r="AG1806">
        <v>178</v>
      </c>
      <c r="AH1806">
        <v>129</v>
      </c>
      <c r="AI1806">
        <v>5.54</v>
      </c>
      <c r="AJ1806">
        <v>32.840000000000003</v>
      </c>
      <c r="AK1806">
        <v>23.8</v>
      </c>
      <c r="AL1806">
        <v>-20.166610649999971</v>
      </c>
      <c r="AM1806">
        <v>-44.903452988928308</v>
      </c>
      <c r="AN1806">
        <v>-20.166610649999971</v>
      </c>
      <c r="AO1806">
        <v>-44.903452988928308</v>
      </c>
      <c r="AP1806">
        <v>-20.166903999999999</v>
      </c>
      <c r="AQ1806">
        <v>-44.903492</v>
      </c>
      <c r="AR1806">
        <v>32.909175876856217</v>
      </c>
      <c r="AS1806" t="s">
        <v>65</v>
      </c>
      <c r="AT1806">
        <v>1</v>
      </c>
      <c r="AU1806" t="s">
        <v>482</v>
      </c>
      <c r="AV1806" t="s">
        <v>483</v>
      </c>
      <c r="AW1806" t="s">
        <v>60</v>
      </c>
      <c r="AX1806" t="s">
        <v>68</v>
      </c>
      <c r="AY1806" t="s">
        <v>69</v>
      </c>
      <c r="AZ1806" t="b">
        <v>1</v>
      </c>
    </row>
    <row r="1807" spans="1:52" x14ac:dyDescent="0.3">
      <c r="A1807" t="s">
        <v>52</v>
      </c>
      <c r="B1807" t="s">
        <v>53</v>
      </c>
      <c r="C1807" t="s">
        <v>54</v>
      </c>
      <c r="D1807" t="s">
        <v>55</v>
      </c>
      <c r="E1807" t="s">
        <v>2148</v>
      </c>
      <c r="F1807" t="s">
        <v>190</v>
      </c>
      <c r="G1807" t="s">
        <v>497</v>
      </c>
      <c r="H1807" t="s">
        <v>498</v>
      </c>
      <c r="I1807" t="s">
        <v>498</v>
      </c>
      <c r="J1807" t="s">
        <v>60</v>
      </c>
      <c r="K1807" t="s">
        <v>475</v>
      </c>
      <c r="L1807" t="s">
        <v>62</v>
      </c>
      <c r="M1807" t="s">
        <v>475</v>
      </c>
      <c r="N1807" t="s">
        <v>499</v>
      </c>
      <c r="O1807" t="s">
        <v>500</v>
      </c>
      <c r="P1807">
        <v>-20.175492999999999</v>
      </c>
      <c r="Q1807">
        <v>-44.900759000000001</v>
      </c>
      <c r="R1807" s="2" t="str">
        <f>HYPERLINK("https://www.google.com/maps?q=-20.1754930,-44.9007590","Abrir no Google Maps")</f>
        <v>Abrir no Google Maps</v>
      </c>
      <c r="S1807">
        <v>3</v>
      </c>
      <c r="T1807">
        <v>753.30732354720431</v>
      </c>
      <c r="U1807">
        <v>3</v>
      </c>
      <c r="V1807">
        <v>19</v>
      </c>
      <c r="W1807">
        <v>1</v>
      </c>
      <c r="X1807">
        <v>19</v>
      </c>
      <c r="Y1807">
        <v>578</v>
      </c>
      <c r="Z1807">
        <v>695.28903655431702</v>
      </c>
      <c r="AA1807">
        <v>198</v>
      </c>
      <c r="AB1807">
        <v>332</v>
      </c>
      <c r="AC1807">
        <v>536</v>
      </c>
      <c r="AD1807">
        <v>30.74</v>
      </c>
      <c r="AE1807">
        <v>542</v>
      </c>
      <c r="AF1807">
        <v>30</v>
      </c>
      <c r="AG1807">
        <v>178</v>
      </c>
      <c r="AH1807">
        <v>129</v>
      </c>
      <c r="AI1807">
        <v>5.54</v>
      </c>
      <c r="AJ1807">
        <v>32.840000000000003</v>
      </c>
      <c r="AK1807">
        <v>23.8</v>
      </c>
      <c r="AL1807">
        <v>-20.175825999999969</v>
      </c>
      <c r="AM1807">
        <v>-44.900600234646973</v>
      </c>
      <c r="AN1807">
        <v>-20.175825999999969</v>
      </c>
      <c r="AO1807">
        <v>-44.900600234646973</v>
      </c>
      <c r="AP1807">
        <v>-20.175492999999999</v>
      </c>
      <c r="AQ1807">
        <v>-44.900759000000001</v>
      </c>
      <c r="AR1807">
        <v>40.612267304645073</v>
      </c>
      <c r="AS1807" t="s">
        <v>65</v>
      </c>
      <c r="AT1807">
        <v>1</v>
      </c>
      <c r="AU1807" t="s">
        <v>501</v>
      </c>
      <c r="AV1807" t="s">
        <v>502</v>
      </c>
      <c r="AW1807" t="s">
        <v>60</v>
      </c>
      <c r="AX1807" t="s">
        <v>68</v>
      </c>
      <c r="AY1807" t="s">
        <v>69</v>
      </c>
      <c r="AZ1807" t="b">
        <v>1</v>
      </c>
    </row>
    <row r="1808" spans="1:52" x14ac:dyDescent="0.3">
      <c r="A1808" t="s">
        <v>52</v>
      </c>
      <c r="B1808" t="s">
        <v>53</v>
      </c>
      <c r="C1808" t="s">
        <v>54</v>
      </c>
      <c r="D1808" t="s">
        <v>55</v>
      </c>
      <c r="E1808" t="s">
        <v>2148</v>
      </c>
      <c r="F1808" t="s">
        <v>190</v>
      </c>
      <c r="G1808" t="s">
        <v>503</v>
      </c>
      <c r="H1808" t="s">
        <v>504</v>
      </c>
      <c r="I1808" t="s">
        <v>504</v>
      </c>
      <c r="J1808" t="s">
        <v>60</v>
      </c>
      <c r="K1808" t="s">
        <v>505</v>
      </c>
      <c r="L1808" t="s">
        <v>62</v>
      </c>
      <c r="M1808" t="s">
        <v>505</v>
      </c>
      <c r="N1808" t="s">
        <v>506</v>
      </c>
      <c r="O1808" t="s">
        <v>507</v>
      </c>
      <c r="P1808">
        <v>-20.131428</v>
      </c>
      <c r="Q1808">
        <v>-44.888921000000003</v>
      </c>
      <c r="R1808" s="2" t="str">
        <f>HYPERLINK("https://www.google.com/maps?q=-20.1314280,-44.8889210","Abrir no Google Maps")</f>
        <v>Abrir no Google Maps</v>
      </c>
      <c r="S1808">
        <v>3</v>
      </c>
      <c r="T1808">
        <v>250.64150698244501</v>
      </c>
      <c r="U1808">
        <v>3</v>
      </c>
      <c r="V1808">
        <v>22</v>
      </c>
      <c r="W1808">
        <v>1</v>
      </c>
      <c r="X1808">
        <v>22</v>
      </c>
      <c r="Y1808">
        <v>564</v>
      </c>
      <c r="Z1808">
        <v>189.93933888952441</v>
      </c>
      <c r="AA1808">
        <v>198</v>
      </c>
      <c r="AB1808">
        <v>332</v>
      </c>
      <c r="AC1808">
        <v>536</v>
      </c>
      <c r="AD1808">
        <v>30.74</v>
      </c>
      <c r="AE1808">
        <v>542</v>
      </c>
      <c r="AF1808">
        <v>30</v>
      </c>
      <c r="AG1808">
        <v>178</v>
      </c>
      <c r="AH1808">
        <v>129</v>
      </c>
      <c r="AI1808">
        <v>5.54</v>
      </c>
      <c r="AJ1808">
        <v>32.840000000000003</v>
      </c>
      <c r="AK1808">
        <v>23.8</v>
      </c>
      <c r="AL1808">
        <v>-20.13123589999995</v>
      </c>
      <c r="AM1808">
        <v>-44.888742396501762</v>
      </c>
      <c r="AN1808">
        <v>-20.13123589999995</v>
      </c>
      <c r="AO1808">
        <v>-44.888742396501762</v>
      </c>
      <c r="AP1808">
        <v>-20.131428</v>
      </c>
      <c r="AQ1808">
        <v>-44.888921000000003</v>
      </c>
      <c r="AR1808">
        <v>28.386169462917032</v>
      </c>
      <c r="AS1808" t="s">
        <v>65</v>
      </c>
      <c r="AT1808">
        <v>1</v>
      </c>
      <c r="AU1808" t="s">
        <v>508</v>
      </c>
      <c r="AV1808" t="s">
        <v>509</v>
      </c>
      <c r="AW1808" t="s">
        <v>60</v>
      </c>
      <c r="AX1808" t="s">
        <v>68</v>
      </c>
      <c r="AY1808" t="s">
        <v>69</v>
      </c>
      <c r="AZ1808" t="b">
        <v>1</v>
      </c>
    </row>
    <row r="1809" spans="1:52" x14ac:dyDescent="0.3">
      <c r="A1809" t="s">
        <v>52</v>
      </c>
      <c r="B1809" t="s">
        <v>53</v>
      </c>
      <c r="C1809" t="s">
        <v>54</v>
      </c>
      <c r="D1809" t="s">
        <v>55</v>
      </c>
      <c r="E1809" t="s">
        <v>2148</v>
      </c>
      <c r="F1809" t="s">
        <v>190</v>
      </c>
      <c r="G1809" t="s">
        <v>535</v>
      </c>
      <c r="H1809" t="s">
        <v>536</v>
      </c>
      <c r="I1809" t="s">
        <v>536</v>
      </c>
      <c r="J1809" t="s">
        <v>60</v>
      </c>
      <c r="K1809" t="s">
        <v>388</v>
      </c>
      <c r="L1809" t="s">
        <v>62</v>
      </c>
      <c r="M1809" t="s">
        <v>388</v>
      </c>
      <c r="N1809" t="s">
        <v>537</v>
      </c>
      <c r="O1809" t="s">
        <v>538</v>
      </c>
      <c r="P1809">
        <v>-20.150061999999998</v>
      </c>
      <c r="Q1809">
        <v>-44.903379000000001</v>
      </c>
      <c r="R1809" s="2" t="str">
        <f>HYPERLINK("https://www.google.com/maps?q=-20.1500620,-44.9033790","Abrir no Google Maps")</f>
        <v>Abrir no Google Maps</v>
      </c>
      <c r="S1809">
        <v>3</v>
      </c>
      <c r="T1809">
        <v>286.20313674219977</v>
      </c>
      <c r="U1809">
        <v>3</v>
      </c>
      <c r="V1809">
        <v>17</v>
      </c>
      <c r="W1809">
        <v>1</v>
      </c>
      <c r="X1809">
        <v>17</v>
      </c>
      <c r="Y1809">
        <v>556</v>
      </c>
      <c r="Z1809">
        <v>315.81851898667401</v>
      </c>
      <c r="AA1809">
        <v>198</v>
      </c>
      <c r="AB1809">
        <v>332</v>
      </c>
      <c r="AC1809">
        <v>536</v>
      </c>
      <c r="AD1809">
        <v>30.74</v>
      </c>
      <c r="AE1809">
        <v>542</v>
      </c>
      <c r="AF1809">
        <v>30</v>
      </c>
      <c r="AG1809">
        <v>178</v>
      </c>
      <c r="AH1809">
        <v>129</v>
      </c>
      <c r="AI1809">
        <v>5.54</v>
      </c>
      <c r="AJ1809">
        <v>32.840000000000003</v>
      </c>
      <c r="AK1809">
        <v>23.8</v>
      </c>
      <c r="AL1809">
        <v>-20.150084299999971</v>
      </c>
      <c r="AM1809">
        <v>-44.903278407568479</v>
      </c>
      <c r="AN1809">
        <v>-20.150084299999971</v>
      </c>
      <c r="AO1809">
        <v>-44.903278407568479</v>
      </c>
      <c r="AP1809">
        <v>-20.150061999999998</v>
      </c>
      <c r="AQ1809">
        <v>-44.903379000000001</v>
      </c>
      <c r="AR1809">
        <v>10.801687336134639</v>
      </c>
      <c r="AS1809" t="s">
        <v>65</v>
      </c>
      <c r="AT1809">
        <v>1</v>
      </c>
      <c r="AU1809" t="s">
        <v>539</v>
      </c>
      <c r="AV1809" t="s">
        <v>540</v>
      </c>
      <c r="AW1809" t="s">
        <v>60</v>
      </c>
      <c r="AX1809" t="s">
        <v>68</v>
      </c>
      <c r="AY1809" t="s">
        <v>69</v>
      </c>
      <c r="AZ1809" t="b">
        <v>1</v>
      </c>
    </row>
    <row r="1810" spans="1:52" x14ac:dyDescent="0.3">
      <c r="A1810" t="s">
        <v>52</v>
      </c>
      <c r="B1810" t="s">
        <v>53</v>
      </c>
      <c r="C1810" t="s">
        <v>54</v>
      </c>
      <c r="D1810" t="s">
        <v>55</v>
      </c>
      <c r="E1810" t="s">
        <v>2148</v>
      </c>
      <c r="F1810" t="s">
        <v>190</v>
      </c>
      <c r="G1810" t="s">
        <v>398</v>
      </c>
      <c r="H1810" t="s">
        <v>541</v>
      </c>
      <c r="I1810" t="s">
        <v>541</v>
      </c>
      <c r="J1810" t="s">
        <v>60</v>
      </c>
      <c r="K1810" t="s">
        <v>388</v>
      </c>
      <c r="L1810" t="s">
        <v>62</v>
      </c>
      <c r="M1810" t="s">
        <v>388</v>
      </c>
      <c r="N1810" t="s">
        <v>400</v>
      </c>
      <c r="O1810" t="s">
        <v>542</v>
      </c>
      <c r="P1810">
        <v>-20.151335</v>
      </c>
      <c r="Q1810">
        <v>-44.901041999999997</v>
      </c>
      <c r="R1810" s="2" t="str">
        <f>HYPERLINK("https://www.google.com/maps?q=-20.1513350,-44.9010420","Abrir no Google Maps")</f>
        <v>Abrir no Google Maps</v>
      </c>
      <c r="S1810">
        <v>3</v>
      </c>
      <c r="T1810">
        <v>0</v>
      </c>
      <c r="U1810">
        <v>3</v>
      </c>
      <c r="V1810">
        <v>19</v>
      </c>
      <c r="W1810">
        <v>1</v>
      </c>
      <c r="X1810">
        <v>19</v>
      </c>
      <c r="Y1810">
        <v>556</v>
      </c>
      <c r="Z1810">
        <v>137.71609036908939</v>
      </c>
      <c r="AA1810">
        <v>198</v>
      </c>
      <c r="AB1810">
        <v>332</v>
      </c>
      <c r="AC1810">
        <v>536</v>
      </c>
      <c r="AD1810">
        <v>30.74</v>
      </c>
      <c r="AE1810">
        <v>542</v>
      </c>
      <c r="AF1810">
        <v>30</v>
      </c>
      <c r="AG1810">
        <v>178</v>
      </c>
      <c r="AH1810">
        <v>129</v>
      </c>
      <c r="AI1810">
        <v>5.54</v>
      </c>
      <c r="AJ1810">
        <v>32.840000000000003</v>
      </c>
      <c r="AK1810">
        <v>23.8</v>
      </c>
      <c r="AL1810">
        <v>-20.15125899999995</v>
      </c>
      <c r="AM1810">
        <v>-44.900838557594433</v>
      </c>
      <c r="AN1810">
        <v>-20.15125899999995</v>
      </c>
      <c r="AO1810">
        <v>-44.900838557594433</v>
      </c>
      <c r="AP1810">
        <v>-20.151335</v>
      </c>
      <c r="AQ1810">
        <v>-44.901041999999997</v>
      </c>
      <c r="AR1810">
        <v>22.882363139483491</v>
      </c>
      <c r="AS1810" t="s">
        <v>65</v>
      </c>
      <c r="AT1810">
        <v>1</v>
      </c>
      <c r="AU1810" t="s">
        <v>543</v>
      </c>
      <c r="AV1810" t="s">
        <v>544</v>
      </c>
      <c r="AW1810" t="s">
        <v>60</v>
      </c>
      <c r="AX1810" t="s">
        <v>68</v>
      </c>
      <c r="AY1810" t="s">
        <v>69</v>
      </c>
      <c r="AZ1810" t="b">
        <v>1</v>
      </c>
    </row>
    <row r="1811" spans="1:52" x14ac:dyDescent="0.3">
      <c r="A1811" t="s">
        <v>52</v>
      </c>
      <c r="B1811" t="s">
        <v>53</v>
      </c>
      <c r="C1811" t="s">
        <v>54</v>
      </c>
      <c r="D1811" t="s">
        <v>55</v>
      </c>
      <c r="E1811" t="s">
        <v>2148</v>
      </c>
      <c r="F1811" t="s">
        <v>190</v>
      </c>
      <c r="G1811" t="s">
        <v>551</v>
      </c>
      <c r="H1811" t="s">
        <v>552</v>
      </c>
      <c r="I1811" t="s">
        <v>552</v>
      </c>
      <c r="J1811" t="s">
        <v>60</v>
      </c>
      <c r="K1811" t="s">
        <v>388</v>
      </c>
      <c r="L1811" t="s">
        <v>62</v>
      </c>
      <c r="M1811" t="s">
        <v>388</v>
      </c>
      <c r="N1811" t="s">
        <v>553</v>
      </c>
      <c r="O1811" t="s">
        <v>315</v>
      </c>
      <c r="P1811">
        <v>-20.153086999999999</v>
      </c>
      <c r="Q1811">
        <v>-44.905451999999997</v>
      </c>
      <c r="R1811" s="2" t="str">
        <f>HYPERLINK("https://www.google.com/maps?q=-20.1530870,-44.9054520","Abrir no Google Maps")</f>
        <v>Abrir no Google Maps</v>
      </c>
      <c r="S1811">
        <v>3</v>
      </c>
      <c r="T1811">
        <v>313.69387682409018</v>
      </c>
      <c r="U1811">
        <v>3</v>
      </c>
      <c r="V1811">
        <v>21</v>
      </c>
      <c r="W1811">
        <v>1</v>
      </c>
      <c r="X1811">
        <v>21</v>
      </c>
      <c r="Y1811">
        <v>548</v>
      </c>
      <c r="Z1811">
        <v>319.51605309906859</v>
      </c>
      <c r="AA1811">
        <v>198</v>
      </c>
      <c r="AB1811">
        <v>332</v>
      </c>
      <c r="AC1811">
        <v>536</v>
      </c>
      <c r="AD1811">
        <v>30.74</v>
      </c>
      <c r="AE1811">
        <v>542</v>
      </c>
      <c r="AF1811">
        <v>30</v>
      </c>
      <c r="AG1811">
        <v>178</v>
      </c>
      <c r="AH1811">
        <v>129</v>
      </c>
      <c r="AI1811">
        <v>5.54</v>
      </c>
      <c r="AJ1811">
        <v>32.840000000000003</v>
      </c>
      <c r="AK1811">
        <v>23.8</v>
      </c>
      <c r="AL1811">
        <v>-20.153043049999951</v>
      </c>
      <c r="AM1811">
        <v>-44.905348275899513</v>
      </c>
      <c r="AN1811">
        <v>-20.153043049999951</v>
      </c>
      <c r="AO1811">
        <v>-44.905348275899513</v>
      </c>
      <c r="AP1811">
        <v>-20.153086999999999</v>
      </c>
      <c r="AQ1811">
        <v>-44.905451999999997</v>
      </c>
      <c r="AR1811">
        <v>11.892619975648341</v>
      </c>
      <c r="AS1811" t="s">
        <v>65</v>
      </c>
      <c r="AT1811">
        <v>1</v>
      </c>
      <c r="AU1811" t="s">
        <v>554</v>
      </c>
      <c r="AV1811" t="s">
        <v>555</v>
      </c>
      <c r="AW1811" t="s">
        <v>60</v>
      </c>
      <c r="AX1811" t="s">
        <v>68</v>
      </c>
      <c r="AY1811" t="s">
        <v>69</v>
      </c>
      <c r="AZ1811" t="b">
        <v>1</v>
      </c>
    </row>
    <row r="1812" spans="1:52" x14ac:dyDescent="0.3">
      <c r="A1812" t="s">
        <v>52</v>
      </c>
      <c r="B1812" t="s">
        <v>53</v>
      </c>
      <c r="C1812" t="s">
        <v>54</v>
      </c>
      <c r="D1812" t="s">
        <v>55</v>
      </c>
      <c r="E1812" t="s">
        <v>2148</v>
      </c>
      <c r="F1812" t="s">
        <v>190</v>
      </c>
      <c r="G1812" t="s">
        <v>903</v>
      </c>
      <c r="H1812" t="s">
        <v>904</v>
      </c>
      <c r="I1812" t="s">
        <v>904</v>
      </c>
      <c r="J1812" t="s">
        <v>60</v>
      </c>
      <c r="K1812" t="s">
        <v>905</v>
      </c>
      <c r="L1812" t="s">
        <v>62</v>
      </c>
      <c r="M1812" t="s">
        <v>905</v>
      </c>
      <c r="N1812" t="s">
        <v>906</v>
      </c>
      <c r="O1812" t="s">
        <v>907</v>
      </c>
      <c r="P1812">
        <v>-20.112969</v>
      </c>
      <c r="Q1812">
        <v>-44.891264</v>
      </c>
      <c r="R1812" s="2" t="str">
        <f>HYPERLINK("https://www.google.com/maps?q=-20.1129690,-44.8912640","Abrir no Google Maps")</f>
        <v>Abrir no Google Maps</v>
      </c>
      <c r="S1812">
        <v>3</v>
      </c>
      <c r="T1812">
        <v>760.33197426397032</v>
      </c>
      <c r="U1812">
        <v>3</v>
      </c>
      <c r="V1812">
        <v>19</v>
      </c>
      <c r="W1812">
        <v>1</v>
      </c>
      <c r="X1812">
        <v>19</v>
      </c>
      <c r="Y1812">
        <v>536</v>
      </c>
      <c r="Z1812">
        <v>755.3791742519096</v>
      </c>
      <c r="AA1812">
        <v>198</v>
      </c>
      <c r="AB1812">
        <v>332</v>
      </c>
      <c r="AC1812">
        <v>536</v>
      </c>
      <c r="AD1812">
        <v>30.74</v>
      </c>
      <c r="AE1812">
        <v>542</v>
      </c>
      <c r="AF1812">
        <v>30</v>
      </c>
      <c r="AG1812">
        <v>178</v>
      </c>
      <c r="AH1812">
        <v>129</v>
      </c>
      <c r="AI1812">
        <v>5.54</v>
      </c>
      <c r="AJ1812">
        <v>32.840000000000003</v>
      </c>
      <c r="AK1812">
        <v>23.8</v>
      </c>
      <c r="AL1812">
        <v>-20.11260604999995</v>
      </c>
      <c r="AM1812">
        <v>-44.891480970454502</v>
      </c>
      <c r="AN1812">
        <v>-20.11260604999995</v>
      </c>
      <c r="AO1812">
        <v>-44.891480970454502</v>
      </c>
      <c r="AP1812">
        <v>-20.112969</v>
      </c>
      <c r="AQ1812">
        <v>-44.891264</v>
      </c>
      <c r="AR1812">
        <v>46.334053708506183</v>
      </c>
      <c r="AS1812" t="s">
        <v>65</v>
      </c>
      <c r="AT1812">
        <v>1</v>
      </c>
      <c r="AU1812" t="s">
        <v>908</v>
      </c>
      <c r="AV1812" t="s">
        <v>909</v>
      </c>
      <c r="AW1812" t="s">
        <v>60</v>
      </c>
      <c r="AX1812" t="s">
        <v>68</v>
      </c>
      <c r="AY1812" t="s">
        <v>69</v>
      </c>
      <c r="AZ1812" t="b">
        <v>1</v>
      </c>
    </row>
    <row r="1813" spans="1:52" x14ac:dyDescent="0.3">
      <c r="A1813" t="s">
        <v>52</v>
      </c>
      <c r="B1813" t="s">
        <v>53</v>
      </c>
      <c r="C1813" t="s">
        <v>54</v>
      </c>
      <c r="D1813" t="s">
        <v>55</v>
      </c>
      <c r="E1813" t="s">
        <v>2148</v>
      </c>
      <c r="F1813" t="s">
        <v>190</v>
      </c>
      <c r="G1813" t="s">
        <v>910</v>
      </c>
      <c r="H1813" t="s">
        <v>911</v>
      </c>
      <c r="I1813" t="s">
        <v>911</v>
      </c>
      <c r="J1813" t="s">
        <v>60</v>
      </c>
      <c r="K1813" t="s">
        <v>207</v>
      </c>
      <c r="L1813" t="s">
        <v>62</v>
      </c>
      <c r="M1813" t="s">
        <v>207</v>
      </c>
      <c r="N1813" t="s">
        <v>912</v>
      </c>
      <c r="O1813" t="s">
        <v>548</v>
      </c>
      <c r="P1813">
        <v>-20.116987000000002</v>
      </c>
      <c r="Q1813">
        <v>-44.885240000000003</v>
      </c>
      <c r="R1813" s="2" t="str">
        <f>HYPERLINK("https://www.google.com/maps?q=-20.1169870,-44.8852400","Abrir no Google Maps")</f>
        <v>Abrir no Google Maps</v>
      </c>
      <c r="S1813">
        <v>3</v>
      </c>
      <c r="T1813">
        <v>283.94804862214067</v>
      </c>
      <c r="U1813">
        <v>3</v>
      </c>
      <c r="V1813">
        <v>18</v>
      </c>
      <c r="W1813">
        <v>1</v>
      </c>
      <c r="X1813">
        <v>18</v>
      </c>
      <c r="Y1813">
        <v>536</v>
      </c>
      <c r="Z1813">
        <v>297.39410031170689</v>
      </c>
      <c r="AA1813">
        <v>198</v>
      </c>
      <c r="AB1813">
        <v>332</v>
      </c>
      <c r="AC1813">
        <v>536</v>
      </c>
      <c r="AD1813">
        <v>30.74</v>
      </c>
      <c r="AE1813">
        <v>542</v>
      </c>
      <c r="AF1813">
        <v>30</v>
      </c>
      <c r="AG1813">
        <v>178</v>
      </c>
      <c r="AH1813">
        <v>129</v>
      </c>
      <c r="AI1813">
        <v>5.54</v>
      </c>
      <c r="AJ1813">
        <v>32.840000000000003</v>
      </c>
      <c r="AK1813">
        <v>23.8</v>
      </c>
      <c r="AL1813">
        <v>-20.116999599999961</v>
      </c>
      <c r="AM1813">
        <v>-44.885197873315192</v>
      </c>
      <c r="AN1813">
        <v>-20.116999599999961</v>
      </c>
      <c r="AO1813">
        <v>-44.885197873315192</v>
      </c>
      <c r="AP1813">
        <v>-20.116987000000002</v>
      </c>
      <c r="AQ1813">
        <v>-44.885240000000003</v>
      </c>
      <c r="AR1813">
        <v>4.6214387870334246</v>
      </c>
      <c r="AS1813" t="s">
        <v>65</v>
      </c>
      <c r="AT1813">
        <v>1</v>
      </c>
      <c r="AU1813" t="s">
        <v>913</v>
      </c>
      <c r="AV1813" t="s">
        <v>914</v>
      </c>
      <c r="AW1813" t="s">
        <v>60</v>
      </c>
      <c r="AX1813" t="s">
        <v>68</v>
      </c>
      <c r="AY1813" t="s">
        <v>69</v>
      </c>
      <c r="AZ1813" t="b">
        <v>1</v>
      </c>
    </row>
    <row r="1814" spans="1:52" x14ac:dyDescent="0.3">
      <c r="A1814" t="s">
        <v>52</v>
      </c>
      <c r="B1814" t="s">
        <v>53</v>
      </c>
      <c r="C1814" t="s">
        <v>54</v>
      </c>
      <c r="D1814" t="s">
        <v>55</v>
      </c>
      <c r="E1814" t="s">
        <v>2148</v>
      </c>
      <c r="F1814" t="s">
        <v>190</v>
      </c>
      <c r="G1814" t="s">
        <v>595</v>
      </c>
      <c r="H1814" t="s">
        <v>596</v>
      </c>
      <c r="I1814" t="s">
        <v>596</v>
      </c>
      <c r="J1814" t="s">
        <v>60</v>
      </c>
      <c r="K1814" t="s">
        <v>207</v>
      </c>
      <c r="L1814" t="s">
        <v>62</v>
      </c>
      <c r="M1814" t="s">
        <v>207</v>
      </c>
      <c r="N1814" t="s">
        <v>597</v>
      </c>
      <c r="O1814" t="s">
        <v>598</v>
      </c>
      <c r="P1814">
        <v>-20.118335999999999</v>
      </c>
      <c r="Q1814">
        <v>-44.887441000000003</v>
      </c>
      <c r="R1814" s="2" t="str">
        <f>HYPERLINK("https://www.google.com/maps?q=-20.1183360,-44.8874410","Abrir no Google Maps")</f>
        <v>Abrir no Google Maps</v>
      </c>
      <c r="S1814">
        <v>3</v>
      </c>
      <c r="T1814">
        <v>0</v>
      </c>
      <c r="U1814">
        <v>3</v>
      </c>
      <c r="V1814">
        <v>18</v>
      </c>
      <c r="W1814">
        <v>1</v>
      </c>
      <c r="X1814">
        <v>18</v>
      </c>
      <c r="Y1814">
        <v>536</v>
      </c>
      <c r="Z1814">
        <v>70.729031566967279</v>
      </c>
      <c r="AA1814">
        <v>198</v>
      </c>
      <c r="AB1814">
        <v>332</v>
      </c>
      <c r="AC1814">
        <v>536</v>
      </c>
      <c r="AD1814">
        <v>30.74</v>
      </c>
      <c r="AE1814">
        <v>542</v>
      </c>
      <c r="AF1814">
        <v>30</v>
      </c>
      <c r="AG1814">
        <v>178</v>
      </c>
      <c r="AH1814">
        <v>129</v>
      </c>
      <c r="AI1814">
        <v>5.54</v>
      </c>
      <c r="AJ1814">
        <v>32.840000000000003</v>
      </c>
      <c r="AK1814">
        <v>23.8</v>
      </c>
      <c r="AL1814">
        <v>-20.118357999999969</v>
      </c>
      <c r="AM1814">
        <v>-44.88750246616479</v>
      </c>
      <c r="AN1814">
        <v>-20.118357999999969</v>
      </c>
      <c r="AO1814">
        <v>-44.88750246616479</v>
      </c>
      <c r="AP1814">
        <v>-20.118335999999999</v>
      </c>
      <c r="AQ1814">
        <v>-44.887441000000003</v>
      </c>
      <c r="AR1814">
        <v>6.875853437004074</v>
      </c>
      <c r="AS1814" t="s">
        <v>65</v>
      </c>
      <c r="AT1814">
        <v>1</v>
      </c>
      <c r="AU1814" t="s">
        <v>599</v>
      </c>
      <c r="AV1814" t="s">
        <v>600</v>
      </c>
      <c r="AW1814" t="s">
        <v>60</v>
      </c>
      <c r="AX1814" t="s">
        <v>68</v>
      </c>
      <c r="AY1814" t="s">
        <v>69</v>
      </c>
      <c r="AZ1814" t="b">
        <v>1</v>
      </c>
    </row>
    <row r="1815" spans="1:52" x14ac:dyDescent="0.3">
      <c r="A1815" t="s">
        <v>52</v>
      </c>
      <c r="B1815" t="s">
        <v>53</v>
      </c>
      <c r="C1815" t="s">
        <v>54</v>
      </c>
      <c r="D1815" t="s">
        <v>55</v>
      </c>
      <c r="E1815" t="s">
        <v>2148</v>
      </c>
      <c r="F1815" t="s">
        <v>190</v>
      </c>
      <c r="G1815" t="s">
        <v>607</v>
      </c>
      <c r="H1815" t="s">
        <v>608</v>
      </c>
      <c r="I1815" t="s">
        <v>608</v>
      </c>
      <c r="J1815" t="s">
        <v>60</v>
      </c>
      <c r="K1815" t="s">
        <v>609</v>
      </c>
      <c r="L1815" t="s">
        <v>62</v>
      </c>
      <c r="M1815" t="s">
        <v>609</v>
      </c>
      <c r="N1815" t="s">
        <v>610</v>
      </c>
      <c r="O1815" t="s">
        <v>611</v>
      </c>
      <c r="P1815">
        <v>-20.110476999999999</v>
      </c>
      <c r="Q1815">
        <v>-44.887531000000003</v>
      </c>
      <c r="R1815" s="2" t="str">
        <f>HYPERLINK("https://www.google.com/maps?q=-20.1104770,-44.8875310","Abrir no Google Maps")</f>
        <v>Abrir no Google Maps</v>
      </c>
      <c r="S1815">
        <v>3</v>
      </c>
      <c r="T1815">
        <v>862.67854008986569</v>
      </c>
      <c r="U1815">
        <v>3</v>
      </c>
      <c r="V1815">
        <v>21</v>
      </c>
      <c r="W1815">
        <v>1</v>
      </c>
      <c r="X1815">
        <v>21</v>
      </c>
      <c r="Y1815">
        <v>536</v>
      </c>
      <c r="Z1815">
        <v>797.51469292431113</v>
      </c>
      <c r="AA1815">
        <v>198</v>
      </c>
      <c r="AB1815">
        <v>332</v>
      </c>
      <c r="AC1815">
        <v>536</v>
      </c>
      <c r="AD1815">
        <v>30.74</v>
      </c>
      <c r="AE1815">
        <v>542</v>
      </c>
      <c r="AF1815">
        <v>30</v>
      </c>
      <c r="AG1815">
        <v>178</v>
      </c>
      <c r="AH1815">
        <v>129</v>
      </c>
      <c r="AI1815">
        <v>5.54</v>
      </c>
      <c r="AJ1815">
        <v>32.840000000000003</v>
      </c>
      <c r="AK1815">
        <v>23.8</v>
      </c>
      <c r="AL1815">
        <v>-20.11057859999994</v>
      </c>
      <c r="AM1815">
        <v>-44.888034950185293</v>
      </c>
      <c r="AN1815">
        <v>-20.11057859999994</v>
      </c>
      <c r="AO1815">
        <v>-44.888034950185293</v>
      </c>
      <c r="AP1815">
        <v>-20.110476999999999</v>
      </c>
      <c r="AQ1815">
        <v>-44.887531000000003</v>
      </c>
      <c r="AR1815">
        <v>53.879824494602957</v>
      </c>
      <c r="AS1815" t="s">
        <v>65</v>
      </c>
      <c r="AT1815">
        <v>1</v>
      </c>
      <c r="AU1815" t="s">
        <v>612</v>
      </c>
      <c r="AV1815" t="s">
        <v>613</v>
      </c>
      <c r="AW1815" t="s">
        <v>60</v>
      </c>
      <c r="AX1815" t="s">
        <v>68</v>
      </c>
      <c r="AY1815" t="s">
        <v>69</v>
      </c>
      <c r="AZ1815" t="b">
        <v>1</v>
      </c>
    </row>
    <row r="1816" spans="1:52" x14ac:dyDescent="0.3">
      <c r="A1816" t="s">
        <v>52</v>
      </c>
      <c r="B1816" t="s">
        <v>53</v>
      </c>
      <c r="C1816" t="s">
        <v>54</v>
      </c>
      <c r="D1816" t="s">
        <v>55</v>
      </c>
      <c r="E1816" t="s">
        <v>2148</v>
      </c>
      <c r="F1816" t="s">
        <v>190</v>
      </c>
      <c r="G1816" t="s">
        <v>614</v>
      </c>
      <c r="H1816" t="s">
        <v>615</v>
      </c>
      <c r="I1816" t="s">
        <v>615</v>
      </c>
      <c r="J1816" t="s">
        <v>60</v>
      </c>
      <c r="K1816" t="s">
        <v>207</v>
      </c>
      <c r="L1816" t="s">
        <v>62</v>
      </c>
      <c r="M1816" t="s">
        <v>207</v>
      </c>
      <c r="N1816" t="s">
        <v>616</v>
      </c>
      <c r="O1816" t="s">
        <v>617</v>
      </c>
      <c r="P1816">
        <v>-20.123118999999999</v>
      </c>
      <c r="Q1816">
        <v>-44.886259000000003</v>
      </c>
      <c r="R1816" s="2" t="str">
        <f>HYPERLINK("https://www.google.com/maps?q=-20.1231190,-44.8862590","Abrir no Google Maps")</f>
        <v>Abrir no Google Maps</v>
      </c>
      <c r="S1816">
        <v>3</v>
      </c>
      <c r="T1816">
        <v>534.91642326845545</v>
      </c>
      <c r="U1816">
        <v>3</v>
      </c>
      <c r="V1816">
        <v>17</v>
      </c>
      <c r="W1816">
        <v>1</v>
      </c>
      <c r="X1816">
        <v>17</v>
      </c>
      <c r="Y1816">
        <v>536</v>
      </c>
      <c r="Z1816">
        <v>478.9192959851456</v>
      </c>
      <c r="AA1816">
        <v>198</v>
      </c>
      <c r="AB1816">
        <v>332</v>
      </c>
      <c r="AC1816">
        <v>536</v>
      </c>
      <c r="AD1816">
        <v>30.74</v>
      </c>
      <c r="AE1816">
        <v>542</v>
      </c>
      <c r="AF1816">
        <v>30</v>
      </c>
      <c r="AG1816">
        <v>178</v>
      </c>
      <c r="AH1816">
        <v>129</v>
      </c>
      <c r="AI1816">
        <v>5.54</v>
      </c>
      <c r="AJ1816">
        <v>32.840000000000003</v>
      </c>
      <c r="AK1816">
        <v>23.8</v>
      </c>
      <c r="AL1816">
        <v>-20.12305974999995</v>
      </c>
      <c r="AM1816">
        <v>-44.886314469108633</v>
      </c>
      <c r="AN1816">
        <v>-20.12305974999995</v>
      </c>
      <c r="AO1816">
        <v>-44.886314469108633</v>
      </c>
      <c r="AP1816">
        <v>-20.123118999999999</v>
      </c>
      <c r="AQ1816">
        <v>-44.886259000000003</v>
      </c>
      <c r="AR1816">
        <v>8.7817342078334093</v>
      </c>
      <c r="AS1816" t="s">
        <v>65</v>
      </c>
      <c r="AT1816">
        <v>1</v>
      </c>
      <c r="AU1816" t="s">
        <v>618</v>
      </c>
      <c r="AV1816" t="s">
        <v>619</v>
      </c>
      <c r="AW1816" t="s">
        <v>60</v>
      </c>
      <c r="AX1816" t="s">
        <v>68</v>
      </c>
      <c r="AY1816" t="s">
        <v>69</v>
      </c>
      <c r="AZ1816" t="b">
        <v>1</v>
      </c>
    </row>
    <row r="1817" spans="1:52" x14ac:dyDescent="0.3">
      <c r="A1817" t="s">
        <v>52</v>
      </c>
      <c r="B1817" t="s">
        <v>53</v>
      </c>
      <c r="C1817" t="s">
        <v>54</v>
      </c>
      <c r="D1817" t="s">
        <v>55</v>
      </c>
      <c r="E1817" t="s">
        <v>2148</v>
      </c>
      <c r="F1817" t="s">
        <v>190</v>
      </c>
      <c r="G1817" t="s">
        <v>232</v>
      </c>
      <c r="H1817" t="s">
        <v>925</v>
      </c>
      <c r="I1817" t="s">
        <v>925</v>
      </c>
      <c r="J1817" t="s">
        <v>60</v>
      </c>
      <c r="K1817" t="s">
        <v>702</v>
      </c>
      <c r="L1817" t="s">
        <v>62</v>
      </c>
      <c r="M1817" t="s">
        <v>702</v>
      </c>
      <c r="N1817" t="s">
        <v>234</v>
      </c>
      <c r="O1817" t="s">
        <v>926</v>
      </c>
      <c r="P1817">
        <v>-20.165887999999999</v>
      </c>
      <c r="Q1817">
        <v>-44.865220000000001</v>
      </c>
      <c r="R1817" s="2" t="str">
        <f>HYPERLINK("https://www.google.com/maps?q=-20.1658880,-44.8652200","Abrir no Google Maps")</f>
        <v>Abrir no Google Maps</v>
      </c>
      <c r="S1817">
        <v>3</v>
      </c>
      <c r="T1817">
        <v>711.71706763776342</v>
      </c>
      <c r="U1817">
        <v>3</v>
      </c>
      <c r="V1817">
        <v>22</v>
      </c>
      <c r="W1817">
        <v>1</v>
      </c>
      <c r="X1817">
        <v>22</v>
      </c>
      <c r="Y1817">
        <v>518</v>
      </c>
      <c r="Z1817">
        <v>801.45781285603209</v>
      </c>
      <c r="AA1817">
        <v>198</v>
      </c>
      <c r="AB1817">
        <v>332</v>
      </c>
      <c r="AC1817">
        <v>536</v>
      </c>
      <c r="AD1817">
        <v>30.74</v>
      </c>
      <c r="AE1817">
        <v>542</v>
      </c>
      <c r="AF1817">
        <v>30</v>
      </c>
      <c r="AG1817">
        <v>178</v>
      </c>
      <c r="AH1817">
        <v>129</v>
      </c>
      <c r="AI1817">
        <v>5.54</v>
      </c>
      <c r="AJ1817">
        <v>32.840000000000003</v>
      </c>
      <c r="AK1817">
        <v>23.8</v>
      </c>
      <c r="AL1817">
        <v>-20.165865449999959</v>
      </c>
      <c r="AM1817">
        <v>-44.865240434761468</v>
      </c>
      <c r="AN1817">
        <v>-20.165865449999959</v>
      </c>
      <c r="AO1817">
        <v>-44.865240434761468</v>
      </c>
      <c r="AP1817">
        <v>-20.165887999999999</v>
      </c>
      <c r="AQ1817">
        <v>-44.865220000000001</v>
      </c>
      <c r="AR1817">
        <v>3.2956262004279409</v>
      </c>
      <c r="AS1817" t="s">
        <v>65</v>
      </c>
      <c r="AT1817">
        <v>1</v>
      </c>
      <c r="AU1817" t="s">
        <v>927</v>
      </c>
      <c r="AV1817" t="s">
        <v>928</v>
      </c>
      <c r="AW1817" t="s">
        <v>60</v>
      </c>
      <c r="AX1817" t="s">
        <v>68</v>
      </c>
      <c r="AY1817" t="s">
        <v>69</v>
      </c>
      <c r="AZ1817" t="b">
        <v>1</v>
      </c>
    </row>
    <row r="1818" spans="1:52" x14ac:dyDescent="0.3">
      <c r="A1818" t="s">
        <v>52</v>
      </c>
      <c r="B1818" t="s">
        <v>53</v>
      </c>
      <c r="C1818" t="s">
        <v>54</v>
      </c>
      <c r="D1818" t="s">
        <v>55</v>
      </c>
      <c r="E1818" t="s">
        <v>2148</v>
      </c>
      <c r="F1818" t="s">
        <v>190</v>
      </c>
      <c r="G1818" t="s">
        <v>929</v>
      </c>
      <c r="H1818" t="s">
        <v>930</v>
      </c>
      <c r="I1818" t="s">
        <v>930</v>
      </c>
      <c r="J1818" t="s">
        <v>60</v>
      </c>
      <c r="K1818" t="s">
        <v>72</v>
      </c>
      <c r="L1818" t="s">
        <v>62</v>
      </c>
      <c r="M1818" t="s">
        <v>72</v>
      </c>
      <c r="N1818" t="s">
        <v>931</v>
      </c>
      <c r="O1818" t="s">
        <v>932</v>
      </c>
      <c r="P1818">
        <v>-20.144780999999998</v>
      </c>
      <c r="Q1818">
        <v>-44.914259000000001</v>
      </c>
      <c r="R1818" s="2" t="str">
        <f>HYPERLINK("https://www.google.com/maps?q=-20.1447810,-44.9142590","Abrir no Google Maps")</f>
        <v>Abrir no Google Maps</v>
      </c>
      <c r="S1818">
        <v>3</v>
      </c>
      <c r="T1818">
        <v>256.09363485874093</v>
      </c>
      <c r="U1818">
        <v>3</v>
      </c>
      <c r="V1818">
        <v>19</v>
      </c>
      <c r="W1818">
        <v>1</v>
      </c>
      <c r="X1818">
        <v>19</v>
      </c>
      <c r="Y1818">
        <v>508</v>
      </c>
      <c r="Z1818">
        <v>318.29766547935321</v>
      </c>
      <c r="AA1818">
        <v>198</v>
      </c>
      <c r="AB1818">
        <v>332</v>
      </c>
      <c r="AC1818">
        <v>536</v>
      </c>
      <c r="AD1818">
        <v>30.74</v>
      </c>
      <c r="AE1818">
        <v>542</v>
      </c>
      <c r="AF1818">
        <v>30</v>
      </c>
      <c r="AG1818">
        <v>178</v>
      </c>
      <c r="AH1818">
        <v>129</v>
      </c>
      <c r="AI1818">
        <v>5.54</v>
      </c>
      <c r="AJ1818">
        <v>32.840000000000003</v>
      </c>
      <c r="AK1818">
        <v>23.8</v>
      </c>
      <c r="AL1818">
        <v>-20.144721899999951</v>
      </c>
      <c r="AM1818">
        <v>-44.914368749511411</v>
      </c>
      <c r="AN1818">
        <v>-20.144721899999951</v>
      </c>
      <c r="AO1818">
        <v>-44.914368749511411</v>
      </c>
      <c r="AP1818">
        <v>-20.144780999999998</v>
      </c>
      <c r="AQ1818">
        <v>-44.914259000000001</v>
      </c>
      <c r="AR1818">
        <v>13.22280973360979</v>
      </c>
      <c r="AS1818" t="s">
        <v>65</v>
      </c>
      <c r="AT1818">
        <v>1</v>
      </c>
      <c r="AU1818" t="s">
        <v>933</v>
      </c>
      <c r="AV1818" t="s">
        <v>934</v>
      </c>
      <c r="AW1818" t="s">
        <v>60</v>
      </c>
      <c r="AX1818" t="s">
        <v>68</v>
      </c>
      <c r="AY1818" t="s">
        <v>69</v>
      </c>
      <c r="AZ1818" t="b">
        <v>1</v>
      </c>
    </row>
    <row r="1819" spans="1:52" x14ac:dyDescent="0.3">
      <c r="A1819" t="s">
        <v>52</v>
      </c>
      <c r="B1819" t="s">
        <v>53</v>
      </c>
      <c r="C1819" t="s">
        <v>54</v>
      </c>
      <c r="D1819" t="s">
        <v>55</v>
      </c>
      <c r="E1819" t="s">
        <v>2148</v>
      </c>
      <c r="F1819" t="s">
        <v>190</v>
      </c>
      <c r="G1819" t="s">
        <v>935</v>
      </c>
      <c r="H1819" t="s">
        <v>936</v>
      </c>
      <c r="I1819" t="s">
        <v>936</v>
      </c>
      <c r="J1819" t="s">
        <v>60</v>
      </c>
      <c r="K1819" t="s">
        <v>193</v>
      </c>
      <c r="L1819" t="s">
        <v>62</v>
      </c>
      <c r="M1819" t="s">
        <v>193</v>
      </c>
      <c r="N1819" t="s">
        <v>937</v>
      </c>
      <c r="O1819" t="s">
        <v>938</v>
      </c>
      <c r="P1819">
        <v>-20.144727</v>
      </c>
      <c r="Q1819">
        <v>-44.919978999999998</v>
      </c>
      <c r="R1819" s="2" t="str">
        <f>HYPERLINK("https://www.google.com/maps?q=-20.1447270,-44.9199790","Abrir no Google Maps")</f>
        <v>Abrir no Google Maps</v>
      </c>
      <c r="S1819">
        <v>3</v>
      </c>
      <c r="T1819">
        <v>341.13992759662477</v>
      </c>
      <c r="U1819">
        <v>3</v>
      </c>
      <c r="V1819">
        <v>17</v>
      </c>
      <c r="W1819">
        <v>1</v>
      </c>
      <c r="X1819">
        <v>17</v>
      </c>
      <c r="Y1819">
        <v>508</v>
      </c>
      <c r="Z1819">
        <v>274.58151985101409</v>
      </c>
      <c r="AA1819">
        <v>198</v>
      </c>
      <c r="AB1819">
        <v>332</v>
      </c>
      <c r="AC1819">
        <v>536</v>
      </c>
      <c r="AD1819">
        <v>30.74</v>
      </c>
      <c r="AE1819">
        <v>542</v>
      </c>
      <c r="AF1819">
        <v>30</v>
      </c>
      <c r="AG1819">
        <v>178</v>
      </c>
      <c r="AH1819">
        <v>129</v>
      </c>
      <c r="AI1819">
        <v>5.54</v>
      </c>
      <c r="AJ1819">
        <v>32.840000000000003</v>
      </c>
      <c r="AK1819">
        <v>23.8</v>
      </c>
      <c r="AL1819">
        <v>-20.144771099999961</v>
      </c>
      <c r="AM1819">
        <v>-44.92003491095209</v>
      </c>
      <c r="AN1819">
        <v>-20.144771099999961</v>
      </c>
      <c r="AO1819">
        <v>-44.92003491095209</v>
      </c>
      <c r="AP1819">
        <v>-20.144727</v>
      </c>
      <c r="AQ1819">
        <v>-44.919978999999998</v>
      </c>
      <c r="AR1819">
        <v>7.6317760459664177</v>
      </c>
      <c r="AS1819" t="s">
        <v>65</v>
      </c>
      <c r="AT1819">
        <v>1</v>
      </c>
      <c r="AU1819" t="s">
        <v>939</v>
      </c>
      <c r="AV1819" t="s">
        <v>940</v>
      </c>
      <c r="AW1819" t="s">
        <v>60</v>
      </c>
      <c r="AX1819" t="s">
        <v>68</v>
      </c>
      <c r="AY1819" t="s">
        <v>69</v>
      </c>
      <c r="AZ1819" t="b">
        <v>1</v>
      </c>
    </row>
    <row r="1820" spans="1:52" x14ac:dyDescent="0.3">
      <c r="A1820" t="s">
        <v>52</v>
      </c>
      <c r="B1820" t="s">
        <v>53</v>
      </c>
      <c r="C1820" t="s">
        <v>54</v>
      </c>
      <c r="D1820" t="s">
        <v>55</v>
      </c>
      <c r="E1820" t="s">
        <v>2148</v>
      </c>
      <c r="F1820" t="s">
        <v>190</v>
      </c>
      <c r="G1820" t="s">
        <v>625</v>
      </c>
      <c r="H1820" t="s">
        <v>626</v>
      </c>
      <c r="I1820" t="s">
        <v>626</v>
      </c>
      <c r="J1820" t="s">
        <v>60</v>
      </c>
      <c r="K1820" t="s">
        <v>193</v>
      </c>
      <c r="L1820" t="s">
        <v>62</v>
      </c>
      <c r="M1820" t="s">
        <v>193</v>
      </c>
      <c r="N1820" t="s">
        <v>627</v>
      </c>
      <c r="O1820" t="s">
        <v>628</v>
      </c>
      <c r="P1820">
        <v>-20.145171999999999</v>
      </c>
      <c r="Q1820">
        <v>-44.916764000000001</v>
      </c>
      <c r="R1820" s="2" t="str">
        <f>HYPERLINK("https://www.google.com/maps?q=-20.1451720,-44.9167640","Abrir no Google Maps")</f>
        <v>Abrir no Google Maps</v>
      </c>
      <c r="S1820">
        <v>3</v>
      </c>
      <c r="T1820">
        <v>0</v>
      </c>
      <c r="U1820">
        <v>3</v>
      </c>
      <c r="V1820">
        <v>16</v>
      </c>
      <c r="W1820">
        <v>1</v>
      </c>
      <c r="X1820">
        <v>16</v>
      </c>
      <c r="Y1820">
        <v>508</v>
      </c>
      <c r="Z1820">
        <v>79.403393114466795</v>
      </c>
      <c r="AA1820">
        <v>198</v>
      </c>
      <c r="AB1820">
        <v>332</v>
      </c>
      <c r="AC1820">
        <v>536</v>
      </c>
      <c r="AD1820">
        <v>30.74</v>
      </c>
      <c r="AE1820">
        <v>542</v>
      </c>
      <c r="AF1820">
        <v>30</v>
      </c>
      <c r="AG1820">
        <v>178</v>
      </c>
      <c r="AH1820">
        <v>129</v>
      </c>
      <c r="AI1820">
        <v>5.54</v>
      </c>
      <c r="AJ1820">
        <v>32.840000000000003</v>
      </c>
      <c r="AK1820">
        <v>23.8</v>
      </c>
      <c r="AL1820">
        <v>-20.145089199999969</v>
      </c>
      <c r="AM1820">
        <v>-44.916788127791321</v>
      </c>
      <c r="AN1820">
        <v>-20.145089199999969</v>
      </c>
      <c r="AO1820">
        <v>-44.916788127791321</v>
      </c>
      <c r="AP1820">
        <v>-20.145171999999999</v>
      </c>
      <c r="AQ1820">
        <v>-44.916764000000001</v>
      </c>
      <c r="AR1820">
        <v>9.555991267747272</v>
      </c>
      <c r="AS1820" t="s">
        <v>65</v>
      </c>
      <c r="AT1820">
        <v>1</v>
      </c>
      <c r="AU1820" t="s">
        <v>629</v>
      </c>
      <c r="AV1820" t="s">
        <v>630</v>
      </c>
      <c r="AW1820" t="s">
        <v>60</v>
      </c>
      <c r="AX1820" t="s">
        <v>68</v>
      </c>
      <c r="AY1820" t="s">
        <v>69</v>
      </c>
      <c r="AZ1820" t="b">
        <v>1</v>
      </c>
    </row>
    <row r="1821" spans="1:52" x14ac:dyDescent="0.3">
      <c r="A1821" t="s">
        <v>52</v>
      </c>
      <c r="B1821" t="s">
        <v>53</v>
      </c>
      <c r="C1821" t="s">
        <v>54</v>
      </c>
      <c r="D1821" t="s">
        <v>55</v>
      </c>
      <c r="E1821" t="s">
        <v>2148</v>
      </c>
      <c r="F1821" t="s">
        <v>190</v>
      </c>
      <c r="G1821" t="s">
        <v>631</v>
      </c>
      <c r="H1821" t="s">
        <v>632</v>
      </c>
      <c r="I1821" t="s">
        <v>632</v>
      </c>
      <c r="J1821" t="s">
        <v>60</v>
      </c>
      <c r="K1821" t="s">
        <v>530</v>
      </c>
      <c r="L1821" t="s">
        <v>62</v>
      </c>
      <c r="M1821" t="s">
        <v>530</v>
      </c>
      <c r="N1821" t="s">
        <v>633</v>
      </c>
      <c r="O1821" t="s">
        <v>634</v>
      </c>
      <c r="P1821">
        <v>-20.142136000000001</v>
      </c>
      <c r="Q1821">
        <v>-44.893895999999998</v>
      </c>
      <c r="R1821" s="2" t="str">
        <f>HYPERLINK("https://www.google.com/maps?q=-20.1421360,-44.8938960","Abrir no Google Maps")</f>
        <v>Abrir no Google Maps</v>
      </c>
      <c r="S1821">
        <v>3</v>
      </c>
      <c r="T1821">
        <v>252.77776243958951</v>
      </c>
      <c r="U1821">
        <v>3</v>
      </c>
      <c r="V1821">
        <v>21</v>
      </c>
      <c r="W1821">
        <v>1</v>
      </c>
      <c r="X1821">
        <v>21</v>
      </c>
      <c r="Y1821">
        <v>505</v>
      </c>
      <c r="Z1821">
        <v>331.79497003706751</v>
      </c>
      <c r="AA1821">
        <v>198</v>
      </c>
      <c r="AB1821">
        <v>332</v>
      </c>
      <c r="AC1821">
        <v>536</v>
      </c>
      <c r="AD1821">
        <v>30.74</v>
      </c>
      <c r="AE1821">
        <v>542</v>
      </c>
      <c r="AF1821">
        <v>30</v>
      </c>
      <c r="AG1821">
        <v>178</v>
      </c>
      <c r="AH1821">
        <v>129</v>
      </c>
      <c r="AI1821">
        <v>5.54</v>
      </c>
      <c r="AJ1821">
        <v>32.840000000000003</v>
      </c>
      <c r="AK1821">
        <v>23.8</v>
      </c>
      <c r="AL1821">
        <v>-20.142209999999949</v>
      </c>
      <c r="AM1821">
        <v>-44.893919659400702</v>
      </c>
      <c r="AN1821">
        <v>-20.142209999999949</v>
      </c>
      <c r="AO1821">
        <v>-44.893919659400702</v>
      </c>
      <c r="AP1821">
        <v>-20.142136000000001</v>
      </c>
      <c r="AQ1821">
        <v>-44.893895999999998</v>
      </c>
      <c r="AR1821">
        <v>8.6007875127343159</v>
      </c>
      <c r="AS1821" t="s">
        <v>65</v>
      </c>
      <c r="AT1821">
        <v>1</v>
      </c>
      <c r="AU1821" t="s">
        <v>635</v>
      </c>
      <c r="AV1821" t="s">
        <v>636</v>
      </c>
      <c r="AW1821" t="s">
        <v>60</v>
      </c>
      <c r="AX1821" t="s">
        <v>68</v>
      </c>
      <c r="AY1821" t="s">
        <v>69</v>
      </c>
      <c r="AZ1821" t="b">
        <v>1</v>
      </c>
    </row>
    <row r="1822" spans="1:52" x14ac:dyDescent="0.3">
      <c r="A1822" t="s">
        <v>52</v>
      </c>
      <c r="B1822" t="s">
        <v>53</v>
      </c>
      <c r="C1822" t="s">
        <v>54</v>
      </c>
      <c r="D1822" t="s">
        <v>55</v>
      </c>
      <c r="E1822" t="s">
        <v>2148</v>
      </c>
      <c r="F1822" t="s">
        <v>190</v>
      </c>
      <c r="G1822" t="s">
        <v>963</v>
      </c>
      <c r="H1822" t="s">
        <v>964</v>
      </c>
      <c r="I1822" t="s">
        <v>964</v>
      </c>
      <c r="J1822" t="s">
        <v>60</v>
      </c>
      <c r="K1822" t="s">
        <v>702</v>
      </c>
      <c r="L1822" t="s">
        <v>62</v>
      </c>
      <c r="M1822" t="s">
        <v>702</v>
      </c>
      <c r="N1822" t="s">
        <v>965</v>
      </c>
      <c r="O1822" t="s">
        <v>960</v>
      </c>
      <c r="P1822">
        <v>-20.164622000000001</v>
      </c>
      <c r="Q1822">
        <v>-44.860289999999999</v>
      </c>
      <c r="R1822" s="2" t="str">
        <f>HYPERLINK("https://www.google.com/maps?q=-20.1646220,-44.8602900","Abrir no Google Maps")</f>
        <v>Abrir no Google Maps</v>
      </c>
      <c r="S1822">
        <v>3</v>
      </c>
      <c r="T1822">
        <v>393.43725605569188</v>
      </c>
      <c r="U1822">
        <v>3</v>
      </c>
      <c r="V1822">
        <v>22</v>
      </c>
      <c r="W1822">
        <v>1</v>
      </c>
      <c r="X1822">
        <v>22</v>
      </c>
      <c r="Y1822">
        <v>491</v>
      </c>
      <c r="Z1822">
        <v>358.96336458076678</v>
      </c>
      <c r="AA1822">
        <v>198</v>
      </c>
      <c r="AB1822">
        <v>332</v>
      </c>
      <c r="AC1822">
        <v>536</v>
      </c>
      <c r="AD1822">
        <v>30.74</v>
      </c>
      <c r="AE1822">
        <v>542</v>
      </c>
      <c r="AF1822">
        <v>30</v>
      </c>
      <c r="AG1822">
        <v>178</v>
      </c>
      <c r="AH1822">
        <v>129</v>
      </c>
      <c r="AI1822">
        <v>5.54</v>
      </c>
      <c r="AJ1822">
        <v>32.840000000000003</v>
      </c>
      <c r="AK1822">
        <v>23.8</v>
      </c>
      <c r="AL1822">
        <v>-20.164560849999951</v>
      </c>
      <c r="AM1822">
        <v>-44.860330680844072</v>
      </c>
      <c r="AN1822">
        <v>-20.164560849999951</v>
      </c>
      <c r="AO1822">
        <v>-44.860330680844072</v>
      </c>
      <c r="AP1822">
        <v>-20.164622000000001</v>
      </c>
      <c r="AQ1822">
        <v>-44.860289999999999</v>
      </c>
      <c r="AR1822">
        <v>8.0255448908437454</v>
      </c>
      <c r="AS1822" t="s">
        <v>65</v>
      </c>
      <c r="AT1822">
        <v>1</v>
      </c>
      <c r="AU1822" t="s">
        <v>966</v>
      </c>
      <c r="AV1822" t="s">
        <v>967</v>
      </c>
      <c r="AW1822" t="s">
        <v>60</v>
      </c>
      <c r="AX1822" t="s">
        <v>68</v>
      </c>
      <c r="AY1822" t="s">
        <v>69</v>
      </c>
      <c r="AZ1822" t="b">
        <v>1</v>
      </c>
    </row>
    <row r="1823" spans="1:52" x14ac:dyDescent="0.3">
      <c r="A1823" t="s">
        <v>52</v>
      </c>
      <c r="B1823" t="s">
        <v>53</v>
      </c>
      <c r="C1823" t="s">
        <v>54</v>
      </c>
      <c r="D1823" t="s">
        <v>55</v>
      </c>
      <c r="E1823" t="s">
        <v>2148</v>
      </c>
      <c r="F1823" t="s">
        <v>190</v>
      </c>
      <c r="G1823" t="s">
        <v>968</v>
      </c>
      <c r="H1823" t="s">
        <v>969</v>
      </c>
      <c r="I1823" t="s">
        <v>969</v>
      </c>
      <c r="J1823" t="s">
        <v>60</v>
      </c>
      <c r="K1823" t="s">
        <v>262</v>
      </c>
      <c r="L1823" t="s">
        <v>62</v>
      </c>
      <c r="M1823" t="s">
        <v>262</v>
      </c>
      <c r="N1823" t="s">
        <v>970</v>
      </c>
      <c r="O1823" t="s">
        <v>971</v>
      </c>
      <c r="P1823">
        <v>-20.163060999999999</v>
      </c>
      <c r="Q1823">
        <v>-44.854047000000001</v>
      </c>
      <c r="R1823" s="2" t="str">
        <f>HYPERLINK("https://www.google.com/maps?q=-20.1630610,-44.8540470","Abrir no Google Maps")</f>
        <v>Abrir no Google Maps</v>
      </c>
      <c r="S1823">
        <v>3</v>
      </c>
      <c r="T1823">
        <v>418.63868463200271</v>
      </c>
      <c r="U1823">
        <v>3</v>
      </c>
      <c r="V1823">
        <v>16</v>
      </c>
      <c r="W1823">
        <v>1</v>
      </c>
      <c r="X1823">
        <v>16</v>
      </c>
      <c r="Y1823">
        <v>491</v>
      </c>
      <c r="Z1823">
        <v>339.19068595447408</v>
      </c>
      <c r="AA1823">
        <v>198</v>
      </c>
      <c r="AB1823">
        <v>332</v>
      </c>
      <c r="AC1823">
        <v>536</v>
      </c>
      <c r="AD1823">
        <v>30.74</v>
      </c>
      <c r="AE1823">
        <v>542</v>
      </c>
      <c r="AF1823">
        <v>30</v>
      </c>
      <c r="AG1823">
        <v>178</v>
      </c>
      <c r="AH1823">
        <v>129</v>
      </c>
      <c r="AI1823">
        <v>5.54</v>
      </c>
      <c r="AJ1823">
        <v>32.840000000000003</v>
      </c>
      <c r="AK1823">
        <v>23.8</v>
      </c>
      <c r="AL1823">
        <v>-20.163118949999959</v>
      </c>
      <c r="AM1823">
        <v>-44.854106723889032</v>
      </c>
      <c r="AN1823">
        <v>-20.163118949999959</v>
      </c>
      <c r="AO1823">
        <v>-44.854106723889032</v>
      </c>
      <c r="AP1823">
        <v>-20.163060999999999</v>
      </c>
      <c r="AQ1823">
        <v>-44.854047000000001</v>
      </c>
      <c r="AR1823">
        <v>8.9758322935491428</v>
      </c>
      <c r="AS1823" t="s">
        <v>65</v>
      </c>
      <c r="AT1823">
        <v>1</v>
      </c>
      <c r="AU1823" t="s">
        <v>972</v>
      </c>
      <c r="AV1823" t="s">
        <v>973</v>
      </c>
      <c r="AW1823" t="s">
        <v>60</v>
      </c>
      <c r="AX1823" t="s">
        <v>68</v>
      </c>
      <c r="AY1823" t="s">
        <v>69</v>
      </c>
      <c r="AZ1823" t="b">
        <v>1</v>
      </c>
    </row>
    <row r="1824" spans="1:52" x14ac:dyDescent="0.3">
      <c r="A1824" t="s">
        <v>52</v>
      </c>
      <c r="B1824" t="s">
        <v>53</v>
      </c>
      <c r="C1824" t="s">
        <v>54</v>
      </c>
      <c r="D1824" t="s">
        <v>55</v>
      </c>
      <c r="E1824" t="s">
        <v>2148</v>
      </c>
      <c r="F1824" t="s">
        <v>190</v>
      </c>
      <c r="G1824" t="s">
        <v>974</v>
      </c>
      <c r="H1824" t="s">
        <v>975</v>
      </c>
      <c r="I1824" t="s">
        <v>975</v>
      </c>
      <c r="J1824" t="s">
        <v>60</v>
      </c>
      <c r="K1824" t="s">
        <v>702</v>
      </c>
      <c r="L1824" t="s">
        <v>62</v>
      </c>
      <c r="M1824" t="s">
        <v>702</v>
      </c>
      <c r="N1824" t="s">
        <v>976</v>
      </c>
      <c r="O1824" t="s">
        <v>977</v>
      </c>
      <c r="P1824">
        <v>-20.167021999999999</v>
      </c>
      <c r="Q1824">
        <v>-44.863095000000001</v>
      </c>
      <c r="R1824" s="2" t="str">
        <f>HYPERLINK("https://www.google.com/maps?q=-20.1670220,-44.8630950","Abrir no Google Maps")</f>
        <v>Abrir no Google Maps</v>
      </c>
      <c r="S1824">
        <v>3</v>
      </c>
      <c r="T1824">
        <v>629.02897442495839</v>
      </c>
      <c r="U1824">
        <v>3</v>
      </c>
      <c r="V1824">
        <v>23</v>
      </c>
      <c r="W1824">
        <v>1</v>
      </c>
      <c r="X1824">
        <v>23</v>
      </c>
      <c r="Y1824">
        <v>491</v>
      </c>
      <c r="Z1824">
        <v>693.48000708961661</v>
      </c>
      <c r="AA1824">
        <v>198</v>
      </c>
      <c r="AB1824">
        <v>332</v>
      </c>
      <c r="AC1824">
        <v>536</v>
      </c>
      <c r="AD1824">
        <v>30.74</v>
      </c>
      <c r="AE1824">
        <v>542</v>
      </c>
      <c r="AF1824">
        <v>30</v>
      </c>
      <c r="AG1824">
        <v>178</v>
      </c>
      <c r="AH1824">
        <v>129</v>
      </c>
      <c r="AI1824">
        <v>5.54</v>
      </c>
      <c r="AJ1824">
        <v>32.840000000000003</v>
      </c>
      <c r="AK1824">
        <v>23.8</v>
      </c>
      <c r="AL1824">
        <v>-20.167032199999941</v>
      </c>
      <c r="AM1824">
        <v>-44.863123980291967</v>
      </c>
      <c r="AN1824">
        <v>-20.167032199999941</v>
      </c>
      <c r="AO1824">
        <v>-44.863123980291967</v>
      </c>
      <c r="AP1824">
        <v>-20.167021999999999</v>
      </c>
      <c r="AQ1824">
        <v>-44.863095000000001</v>
      </c>
      <c r="AR1824">
        <v>3.2341734571542871</v>
      </c>
      <c r="AS1824" t="s">
        <v>65</v>
      </c>
      <c r="AT1824">
        <v>1</v>
      </c>
      <c r="AU1824" t="s">
        <v>978</v>
      </c>
      <c r="AV1824" t="s">
        <v>979</v>
      </c>
      <c r="AW1824" t="s">
        <v>60</v>
      </c>
      <c r="AX1824" t="s">
        <v>68</v>
      </c>
      <c r="AY1824" t="s">
        <v>69</v>
      </c>
      <c r="AZ1824" t="b">
        <v>1</v>
      </c>
    </row>
    <row r="1825" spans="1:52" x14ac:dyDescent="0.3">
      <c r="A1825" t="s">
        <v>52</v>
      </c>
      <c r="B1825" t="s">
        <v>53</v>
      </c>
      <c r="C1825" t="s">
        <v>54</v>
      </c>
      <c r="D1825" t="s">
        <v>55</v>
      </c>
      <c r="E1825" t="s">
        <v>2148</v>
      </c>
      <c r="F1825" t="s">
        <v>190</v>
      </c>
      <c r="G1825" t="s">
        <v>968</v>
      </c>
      <c r="H1825" t="s">
        <v>1754</v>
      </c>
      <c r="I1825" t="s">
        <v>1754</v>
      </c>
      <c r="J1825" t="s">
        <v>60</v>
      </c>
      <c r="K1825" t="s">
        <v>262</v>
      </c>
      <c r="L1825" t="s">
        <v>62</v>
      </c>
      <c r="M1825" t="s">
        <v>262</v>
      </c>
      <c r="N1825" t="s">
        <v>970</v>
      </c>
      <c r="O1825" t="s">
        <v>1331</v>
      </c>
      <c r="P1825">
        <v>-20.161989999999999</v>
      </c>
      <c r="Q1825">
        <v>-44.857933000000003</v>
      </c>
      <c r="R1825" s="2" t="str">
        <f>HYPERLINK("https://www.google.com/maps?q=-20.1619900,-44.8579330","Abrir no Google Maps")</f>
        <v>Abrir no Google Maps</v>
      </c>
      <c r="S1825">
        <v>3</v>
      </c>
      <c r="T1825">
        <v>0</v>
      </c>
      <c r="U1825">
        <v>3</v>
      </c>
      <c r="V1825">
        <v>16</v>
      </c>
      <c r="W1825">
        <v>1</v>
      </c>
      <c r="X1825">
        <v>16</v>
      </c>
      <c r="Y1825">
        <v>491</v>
      </c>
      <c r="Z1825">
        <v>131.1697533741382</v>
      </c>
      <c r="AA1825">
        <v>198</v>
      </c>
      <c r="AB1825">
        <v>332</v>
      </c>
      <c r="AC1825">
        <v>536</v>
      </c>
      <c r="AD1825">
        <v>30.74</v>
      </c>
      <c r="AE1825">
        <v>542</v>
      </c>
      <c r="AF1825">
        <v>30</v>
      </c>
      <c r="AG1825">
        <v>178</v>
      </c>
      <c r="AH1825">
        <v>129</v>
      </c>
      <c r="AI1825">
        <v>5.54</v>
      </c>
      <c r="AJ1825">
        <v>32.840000000000003</v>
      </c>
      <c r="AK1825">
        <v>23.8</v>
      </c>
      <c r="AL1825">
        <v>-20.161858549999948</v>
      </c>
      <c r="AM1825">
        <v>-44.857884031071968</v>
      </c>
      <c r="AN1825">
        <v>-20.161858549999948</v>
      </c>
      <c r="AO1825">
        <v>-44.857884031071968</v>
      </c>
      <c r="AP1825">
        <v>-20.161989999999999</v>
      </c>
      <c r="AQ1825">
        <v>-44.857933000000003</v>
      </c>
      <c r="AR1825">
        <v>15.501957281614381</v>
      </c>
      <c r="AS1825" t="s">
        <v>65</v>
      </c>
      <c r="AT1825">
        <v>1</v>
      </c>
      <c r="AU1825" t="s">
        <v>1755</v>
      </c>
      <c r="AV1825" t="s">
        <v>1756</v>
      </c>
      <c r="AW1825" t="s">
        <v>60</v>
      </c>
      <c r="AX1825" t="s">
        <v>68</v>
      </c>
      <c r="AY1825" t="s">
        <v>69</v>
      </c>
      <c r="AZ1825" t="b">
        <v>1</v>
      </c>
    </row>
    <row r="1826" spans="1:52" x14ac:dyDescent="0.3">
      <c r="A1826" t="s">
        <v>52</v>
      </c>
      <c r="B1826" t="s">
        <v>53</v>
      </c>
      <c r="C1826" t="s">
        <v>54</v>
      </c>
      <c r="D1826" t="s">
        <v>55</v>
      </c>
      <c r="E1826" t="s">
        <v>2148</v>
      </c>
      <c r="F1826" t="s">
        <v>190</v>
      </c>
      <c r="G1826" t="s">
        <v>980</v>
      </c>
      <c r="H1826" t="s">
        <v>981</v>
      </c>
      <c r="I1826" t="s">
        <v>981</v>
      </c>
      <c r="J1826" t="s">
        <v>60</v>
      </c>
      <c r="K1826" t="s">
        <v>982</v>
      </c>
      <c r="L1826" t="s">
        <v>62</v>
      </c>
      <c r="M1826" t="s">
        <v>982</v>
      </c>
      <c r="N1826" t="s">
        <v>983</v>
      </c>
      <c r="O1826" t="s">
        <v>264</v>
      </c>
      <c r="P1826">
        <v>-20.166967</v>
      </c>
      <c r="Q1826">
        <v>-44.859355000000001</v>
      </c>
      <c r="R1826" s="2" t="str">
        <f>HYPERLINK("https://www.google.com/maps?q=-20.1669670,-44.8593550","Abrir no Google Maps")</f>
        <v>Abrir no Google Maps</v>
      </c>
      <c r="S1826">
        <v>3</v>
      </c>
      <c r="T1826">
        <v>577.54934865824521</v>
      </c>
      <c r="U1826">
        <v>3</v>
      </c>
      <c r="V1826">
        <v>20</v>
      </c>
      <c r="W1826">
        <v>1</v>
      </c>
      <c r="X1826">
        <v>20</v>
      </c>
      <c r="Y1826">
        <v>491</v>
      </c>
      <c r="Z1826">
        <v>433.59782149216659</v>
      </c>
      <c r="AA1826">
        <v>198</v>
      </c>
      <c r="AB1826">
        <v>332</v>
      </c>
      <c r="AC1826">
        <v>536</v>
      </c>
      <c r="AD1826">
        <v>30.74</v>
      </c>
      <c r="AE1826">
        <v>542</v>
      </c>
      <c r="AF1826">
        <v>30</v>
      </c>
      <c r="AG1826">
        <v>178</v>
      </c>
      <c r="AH1826">
        <v>129</v>
      </c>
      <c r="AI1826">
        <v>5.54</v>
      </c>
      <c r="AJ1826">
        <v>32.840000000000003</v>
      </c>
      <c r="AK1826">
        <v>23.8</v>
      </c>
      <c r="AL1826">
        <v>-20.16694954999997</v>
      </c>
      <c r="AM1826">
        <v>-44.859100695938046</v>
      </c>
      <c r="AN1826">
        <v>-20.16694954999997</v>
      </c>
      <c r="AO1826">
        <v>-44.859100695938046</v>
      </c>
      <c r="AP1826">
        <v>-20.166967</v>
      </c>
      <c r="AQ1826">
        <v>-44.859355000000001</v>
      </c>
      <c r="AR1826">
        <v>26.644458793923111</v>
      </c>
      <c r="AS1826" t="s">
        <v>65</v>
      </c>
      <c r="AT1826">
        <v>1</v>
      </c>
      <c r="AU1826" t="s">
        <v>984</v>
      </c>
      <c r="AV1826" t="s">
        <v>985</v>
      </c>
      <c r="AW1826" t="s">
        <v>60</v>
      </c>
      <c r="AX1826" t="s">
        <v>68</v>
      </c>
      <c r="AY1826" t="s">
        <v>69</v>
      </c>
      <c r="AZ1826" t="b">
        <v>1</v>
      </c>
    </row>
    <row r="1827" spans="1:52" x14ac:dyDescent="0.3">
      <c r="A1827" t="s">
        <v>52</v>
      </c>
      <c r="B1827" t="s">
        <v>53</v>
      </c>
      <c r="C1827" t="s">
        <v>54</v>
      </c>
      <c r="D1827" t="s">
        <v>55</v>
      </c>
      <c r="E1827" t="s">
        <v>2148</v>
      </c>
      <c r="F1827" t="s">
        <v>190</v>
      </c>
      <c r="G1827" t="s">
        <v>1856</v>
      </c>
      <c r="H1827" t="s">
        <v>1857</v>
      </c>
      <c r="I1827" t="s">
        <v>1857</v>
      </c>
      <c r="J1827" t="s">
        <v>60</v>
      </c>
      <c r="K1827" t="s">
        <v>982</v>
      </c>
      <c r="L1827" t="s">
        <v>62</v>
      </c>
      <c r="M1827" t="s">
        <v>982</v>
      </c>
      <c r="N1827" t="s">
        <v>1858</v>
      </c>
      <c r="O1827" t="s">
        <v>1859</v>
      </c>
      <c r="P1827">
        <v>-20.170065000000001</v>
      </c>
      <c r="Q1827">
        <v>-44.856502999999996</v>
      </c>
      <c r="R1827" s="2" t="str">
        <f>HYPERLINK("https://www.google.com/maps?q=-20.1700650,-44.8565030","Abrir no Google Maps")</f>
        <v>Abrir no Google Maps</v>
      </c>
      <c r="S1827">
        <v>3</v>
      </c>
      <c r="T1827">
        <v>924.49628970405706</v>
      </c>
      <c r="U1827">
        <v>3</v>
      </c>
      <c r="V1827">
        <v>20</v>
      </c>
      <c r="W1827">
        <v>0.85</v>
      </c>
      <c r="X1827">
        <v>17</v>
      </c>
      <c r="Y1827">
        <v>491</v>
      </c>
      <c r="Z1827">
        <v>781.19994751508341</v>
      </c>
      <c r="AA1827">
        <v>198</v>
      </c>
      <c r="AB1827">
        <v>332</v>
      </c>
      <c r="AC1827">
        <v>536</v>
      </c>
      <c r="AD1827">
        <v>30.74</v>
      </c>
      <c r="AE1827">
        <v>542</v>
      </c>
      <c r="AF1827">
        <v>30</v>
      </c>
      <c r="AG1827">
        <v>178</v>
      </c>
      <c r="AH1827">
        <v>129</v>
      </c>
      <c r="AI1827">
        <v>5.54</v>
      </c>
      <c r="AJ1827">
        <v>32.840000000000003</v>
      </c>
      <c r="AK1827">
        <v>23.8</v>
      </c>
      <c r="AL1827">
        <v>-20.170106749999949</v>
      </c>
      <c r="AM1827">
        <v>-44.856479111371733</v>
      </c>
      <c r="AN1827">
        <v>-20.170106749999949</v>
      </c>
      <c r="AO1827">
        <v>-44.856479111371733</v>
      </c>
      <c r="AP1827">
        <v>-20.170065000000001</v>
      </c>
      <c r="AQ1827">
        <v>-44.856502999999996</v>
      </c>
      <c r="AR1827">
        <v>5.275535546946946</v>
      </c>
      <c r="AS1827" t="s">
        <v>65</v>
      </c>
      <c r="AT1827">
        <v>1</v>
      </c>
      <c r="AU1827" t="s">
        <v>1860</v>
      </c>
      <c r="AV1827" t="s">
        <v>1861</v>
      </c>
      <c r="AW1827" t="s">
        <v>60</v>
      </c>
      <c r="AX1827" t="s">
        <v>68</v>
      </c>
      <c r="AY1827" t="s">
        <v>69</v>
      </c>
      <c r="AZ1827" t="b">
        <v>1</v>
      </c>
    </row>
    <row r="1828" spans="1:52" x14ac:dyDescent="0.3">
      <c r="A1828" t="s">
        <v>52</v>
      </c>
      <c r="B1828" t="s">
        <v>53</v>
      </c>
      <c r="C1828" t="s">
        <v>54</v>
      </c>
      <c r="D1828" t="s">
        <v>55</v>
      </c>
      <c r="E1828" t="s">
        <v>2148</v>
      </c>
      <c r="F1828" t="s">
        <v>190</v>
      </c>
      <c r="G1828" t="s">
        <v>649</v>
      </c>
      <c r="H1828" t="s">
        <v>650</v>
      </c>
      <c r="I1828" t="s">
        <v>650</v>
      </c>
      <c r="J1828" t="s">
        <v>60</v>
      </c>
      <c r="K1828" t="s">
        <v>651</v>
      </c>
      <c r="L1828" t="s">
        <v>62</v>
      </c>
      <c r="M1828" t="s">
        <v>651</v>
      </c>
      <c r="N1828" t="s">
        <v>652</v>
      </c>
      <c r="O1828" t="s">
        <v>653</v>
      </c>
      <c r="P1828">
        <v>-20.134566</v>
      </c>
      <c r="Q1828">
        <v>-44.894970999999998</v>
      </c>
      <c r="R1828" s="2" t="str">
        <f>HYPERLINK("https://www.google.com/maps?q=-20.1345660,-44.8949710","Abrir no Google Maps")</f>
        <v>Abrir no Google Maps</v>
      </c>
      <c r="S1828">
        <v>3</v>
      </c>
      <c r="T1828">
        <v>722.088947634291</v>
      </c>
      <c r="U1828">
        <v>3</v>
      </c>
      <c r="V1828">
        <v>21</v>
      </c>
      <c r="W1828">
        <v>1</v>
      </c>
      <c r="X1828">
        <v>21</v>
      </c>
      <c r="Y1828">
        <v>435</v>
      </c>
      <c r="Z1828">
        <v>510.93480096112631</v>
      </c>
      <c r="AA1828">
        <v>198</v>
      </c>
      <c r="AB1828">
        <v>332</v>
      </c>
      <c r="AC1828">
        <v>536</v>
      </c>
      <c r="AD1828">
        <v>30.74</v>
      </c>
      <c r="AE1828">
        <v>542</v>
      </c>
      <c r="AF1828">
        <v>30</v>
      </c>
      <c r="AG1828">
        <v>178</v>
      </c>
      <c r="AH1828">
        <v>129</v>
      </c>
      <c r="AI1828">
        <v>5.54</v>
      </c>
      <c r="AJ1828">
        <v>32.840000000000003</v>
      </c>
      <c r="AK1828">
        <v>23.8</v>
      </c>
      <c r="AL1828">
        <v>-20.134477649999951</v>
      </c>
      <c r="AM1828">
        <v>-44.894921468906077</v>
      </c>
      <c r="AN1828">
        <v>-20.134477649999951</v>
      </c>
      <c r="AO1828">
        <v>-44.894921468906077</v>
      </c>
      <c r="AP1828">
        <v>-20.134566</v>
      </c>
      <c r="AQ1828">
        <v>-44.894970999999998</v>
      </c>
      <c r="AR1828">
        <v>11.114372522967921</v>
      </c>
      <c r="AS1828" t="s">
        <v>65</v>
      </c>
      <c r="AT1828">
        <v>1</v>
      </c>
      <c r="AU1828" t="s">
        <v>654</v>
      </c>
      <c r="AV1828" t="s">
        <v>655</v>
      </c>
      <c r="AW1828" t="s">
        <v>60</v>
      </c>
      <c r="AX1828" t="s">
        <v>68</v>
      </c>
      <c r="AY1828" t="s">
        <v>69</v>
      </c>
      <c r="AZ1828" t="b">
        <v>1</v>
      </c>
    </row>
    <row r="1829" spans="1:52" x14ac:dyDescent="0.3">
      <c r="A1829" t="s">
        <v>52</v>
      </c>
      <c r="B1829" t="s">
        <v>53</v>
      </c>
      <c r="C1829" t="s">
        <v>54</v>
      </c>
      <c r="D1829" t="s">
        <v>55</v>
      </c>
      <c r="E1829" t="s">
        <v>2148</v>
      </c>
      <c r="F1829" t="s">
        <v>190</v>
      </c>
      <c r="G1829" t="s">
        <v>1004</v>
      </c>
      <c r="H1829" t="s">
        <v>1005</v>
      </c>
      <c r="I1829" t="s">
        <v>1005</v>
      </c>
      <c r="J1829" t="s">
        <v>60</v>
      </c>
      <c r="K1829" t="s">
        <v>664</v>
      </c>
      <c r="L1829" t="s">
        <v>62</v>
      </c>
      <c r="M1829" t="s">
        <v>664</v>
      </c>
      <c r="N1829" t="s">
        <v>1006</v>
      </c>
      <c r="O1829" t="s">
        <v>1007</v>
      </c>
      <c r="P1829">
        <v>-20.136424000000002</v>
      </c>
      <c r="Q1829">
        <v>-44.902287999999999</v>
      </c>
      <c r="R1829" s="2" t="str">
        <f>HYPERLINK("https://www.google.com/maps?q=-20.1364240,-44.9022880","Abrir no Google Maps")</f>
        <v>Abrir no Google Maps</v>
      </c>
      <c r="S1829">
        <v>3</v>
      </c>
      <c r="T1829">
        <v>0</v>
      </c>
      <c r="U1829">
        <v>3</v>
      </c>
      <c r="V1829">
        <v>21</v>
      </c>
      <c r="W1829">
        <v>0.85</v>
      </c>
      <c r="X1829">
        <v>17.850000000000001</v>
      </c>
      <c r="Y1829">
        <v>435</v>
      </c>
      <c r="Z1829">
        <v>273.7310860392941</v>
      </c>
      <c r="AA1829">
        <v>198</v>
      </c>
      <c r="AB1829">
        <v>332</v>
      </c>
      <c r="AC1829">
        <v>536</v>
      </c>
      <c r="AD1829">
        <v>30.74</v>
      </c>
      <c r="AE1829">
        <v>542</v>
      </c>
      <c r="AF1829">
        <v>30</v>
      </c>
      <c r="AG1829">
        <v>178</v>
      </c>
      <c r="AH1829">
        <v>129</v>
      </c>
      <c r="AI1829">
        <v>5.54</v>
      </c>
      <c r="AJ1829">
        <v>32.840000000000003</v>
      </c>
      <c r="AK1829">
        <v>23.8</v>
      </c>
      <c r="AL1829">
        <v>-20.135768749999951</v>
      </c>
      <c r="AM1829">
        <v>-44.901693772064696</v>
      </c>
      <c r="AN1829">
        <v>-20.135768749999951</v>
      </c>
      <c r="AO1829">
        <v>-44.901693772064696</v>
      </c>
      <c r="AP1829">
        <v>-20.136424000000002</v>
      </c>
      <c r="AQ1829">
        <v>-44.902287999999999</v>
      </c>
      <c r="AR1829">
        <v>95.800830031045166</v>
      </c>
      <c r="AS1829" t="s">
        <v>65</v>
      </c>
      <c r="AT1829">
        <v>1</v>
      </c>
      <c r="AU1829" t="s">
        <v>1008</v>
      </c>
      <c r="AV1829" t="s">
        <v>668</v>
      </c>
      <c r="AW1829" t="s">
        <v>60</v>
      </c>
      <c r="AX1829" t="s">
        <v>68</v>
      </c>
      <c r="AY1829" t="s">
        <v>69</v>
      </c>
      <c r="AZ1829" t="b">
        <v>1</v>
      </c>
    </row>
    <row r="1830" spans="1:52" x14ac:dyDescent="0.3">
      <c r="A1830" t="s">
        <v>52</v>
      </c>
      <c r="B1830" t="s">
        <v>53</v>
      </c>
      <c r="C1830" t="s">
        <v>54</v>
      </c>
      <c r="D1830" t="s">
        <v>55</v>
      </c>
      <c r="E1830" t="s">
        <v>2148</v>
      </c>
      <c r="F1830" t="s">
        <v>190</v>
      </c>
      <c r="G1830" t="s">
        <v>1039</v>
      </c>
      <c r="H1830" t="s">
        <v>1040</v>
      </c>
      <c r="I1830" t="s">
        <v>1040</v>
      </c>
      <c r="J1830" t="s">
        <v>60</v>
      </c>
      <c r="K1830" t="s">
        <v>1023</v>
      </c>
      <c r="L1830" t="s">
        <v>62</v>
      </c>
      <c r="M1830" t="s">
        <v>1023</v>
      </c>
      <c r="N1830" t="s">
        <v>1041</v>
      </c>
      <c r="O1830" t="s">
        <v>738</v>
      </c>
      <c r="P1830">
        <v>-20.172284000000001</v>
      </c>
      <c r="Q1830">
        <v>-44.865392999999997</v>
      </c>
      <c r="R1830" s="2" t="str">
        <f>HYPERLINK("https://www.google.com/maps?q=-20.1722840,-44.8653930","Abrir no Google Maps")</f>
        <v>Abrir no Google Maps</v>
      </c>
      <c r="S1830">
        <v>3</v>
      </c>
      <c r="T1830">
        <v>0</v>
      </c>
      <c r="U1830">
        <v>3</v>
      </c>
      <c r="V1830">
        <v>23</v>
      </c>
      <c r="W1830">
        <v>1</v>
      </c>
      <c r="X1830">
        <v>23</v>
      </c>
      <c r="Y1830">
        <v>422</v>
      </c>
      <c r="Z1830">
        <v>202.96804500763591</v>
      </c>
      <c r="AA1830">
        <v>198</v>
      </c>
      <c r="AB1830">
        <v>332</v>
      </c>
      <c r="AC1830">
        <v>536</v>
      </c>
      <c r="AD1830">
        <v>30.74</v>
      </c>
      <c r="AE1830">
        <v>542</v>
      </c>
      <c r="AF1830">
        <v>30</v>
      </c>
      <c r="AG1830">
        <v>178</v>
      </c>
      <c r="AH1830">
        <v>129</v>
      </c>
      <c r="AI1830">
        <v>5.54</v>
      </c>
      <c r="AJ1830">
        <v>32.840000000000003</v>
      </c>
      <c r="AK1830">
        <v>23.8</v>
      </c>
      <c r="AL1830">
        <v>-20.17229514999994</v>
      </c>
      <c r="AM1830">
        <v>-44.865398249858011</v>
      </c>
      <c r="AN1830">
        <v>-20.17229514999994</v>
      </c>
      <c r="AO1830">
        <v>-44.865398249858011</v>
      </c>
      <c r="AP1830">
        <v>-20.172284000000001</v>
      </c>
      <c r="AQ1830">
        <v>-44.865392999999997</v>
      </c>
      <c r="AR1830">
        <v>1.357036084497409</v>
      </c>
      <c r="AS1830" t="s">
        <v>65</v>
      </c>
      <c r="AT1830">
        <v>1</v>
      </c>
      <c r="AU1830" t="s">
        <v>1042</v>
      </c>
      <c r="AV1830" t="s">
        <v>1043</v>
      </c>
      <c r="AW1830" t="s">
        <v>60</v>
      </c>
      <c r="AX1830" t="s">
        <v>68</v>
      </c>
      <c r="AY1830" t="s">
        <v>69</v>
      </c>
      <c r="AZ1830" t="b">
        <v>1</v>
      </c>
    </row>
    <row r="1831" spans="1:52" x14ac:dyDescent="0.3">
      <c r="A1831" t="s">
        <v>52</v>
      </c>
      <c r="B1831" t="s">
        <v>53</v>
      </c>
      <c r="C1831" t="s">
        <v>54</v>
      </c>
      <c r="D1831" t="s">
        <v>55</v>
      </c>
      <c r="E1831" t="s">
        <v>2148</v>
      </c>
      <c r="F1831" t="s">
        <v>190</v>
      </c>
      <c r="G1831" t="s">
        <v>1044</v>
      </c>
      <c r="H1831" t="s">
        <v>1045</v>
      </c>
      <c r="I1831" t="s">
        <v>1045</v>
      </c>
      <c r="J1831" t="s">
        <v>60</v>
      </c>
      <c r="K1831" t="s">
        <v>702</v>
      </c>
      <c r="L1831" t="s">
        <v>62</v>
      </c>
      <c r="M1831" t="s">
        <v>702</v>
      </c>
      <c r="N1831" t="s">
        <v>983</v>
      </c>
      <c r="O1831" t="s">
        <v>1046</v>
      </c>
      <c r="P1831">
        <v>-20.172056000000001</v>
      </c>
      <c r="Q1831">
        <v>-44.861556999999998</v>
      </c>
      <c r="R1831" s="2" t="str">
        <f>HYPERLINK("https://www.google.com/maps?q=-20.1720560,-44.8615570","Abrir no Google Maps")</f>
        <v>Abrir no Google Maps</v>
      </c>
      <c r="S1831">
        <v>3</v>
      </c>
      <c r="T1831">
        <v>387.50881633442719</v>
      </c>
      <c r="U1831">
        <v>3</v>
      </c>
      <c r="V1831">
        <v>20</v>
      </c>
      <c r="W1831">
        <v>1</v>
      </c>
      <c r="X1831">
        <v>20</v>
      </c>
      <c r="Y1831">
        <v>422</v>
      </c>
      <c r="Z1831">
        <v>592.01060063884404</v>
      </c>
      <c r="AA1831">
        <v>198</v>
      </c>
      <c r="AB1831">
        <v>332</v>
      </c>
      <c r="AC1831">
        <v>536</v>
      </c>
      <c r="AD1831">
        <v>30.74</v>
      </c>
      <c r="AE1831">
        <v>542</v>
      </c>
      <c r="AF1831">
        <v>30</v>
      </c>
      <c r="AG1831">
        <v>178</v>
      </c>
      <c r="AH1831">
        <v>129</v>
      </c>
      <c r="AI1831">
        <v>5.54</v>
      </c>
      <c r="AJ1831">
        <v>32.840000000000003</v>
      </c>
      <c r="AK1831">
        <v>23.8</v>
      </c>
      <c r="AL1831">
        <v>-20.171880149999961</v>
      </c>
      <c r="AM1831">
        <v>-44.861715860253369</v>
      </c>
      <c r="AN1831">
        <v>-20.171880149999961</v>
      </c>
      <c r="AO1831">
        <v>-44.861715860253369</v>
      </c>
      <c r="AP1831">
        <v>-20.172056000000001</v>
      </c>
      <c r="AQ1831">
        <v>-44.861556999999998</v>
      </c>
      <c r="AR1831">
        <v>25.66616443825145</v>
      </c>
      <c r="AS1831" t="s">
        <v>65</v>
      </c>
      <c r="AT1831">
        <v>1</v>
      </c>
      <c r="AU1831" t="s">
        <v>1047</v>
      </c>
      <c r="AV1831" t="s">
        <v>705</v>
      </c>
      <c r="AW1831" t="s">
        <v>60</v>
      </c>
      <c r="AX1831" t="s">
        <v>68</v>
      </c>
      <c r="AY1831" t="s">
        <v>69</v>
      </c>
      <c r="AZ1831" t="b">
        <v>1</v>
      </c>
    </row>
    <row r="1832" spans="1:52" x14ac:dyDescent="0.3">
      <c r="A1832" t="s">
        <v>52</v>
      </c>
      <c r="B1832" t="s">
        <v>53</v>
      </c>
      <c r="C1832" t="s">
        <v>54</v>
      </c>
      <c r="D1832" t="s">
        <v>55</v>
      </c>
      <c r="E1832" t="s">
        <v>2148</v>
      </c>
      <c r="F1832" t="s">
        <v>190</v>
      </c>
      <c r="G1832" t="s">
        <v>706</v>
      </c>
      <c r="H1832" t="s">
        <v>707</v>
      </c>
      <c r="I1832" t="s">
        <v>707</v>
      </c>
      <c r="J1832" t="s">
        <v>60</v>
      </c>
      <c r="K1832" t="s">
        <v>708</v>
      </c>
      <c r="L1832" t="s">
        <v>62</v>
      </c>
      <c r="M1832" t="s">
        <v>708</v>
      </c>
      <c r="N1832" t="s">
        <v>709</v>
      </c>
      <c r="O1832" t="s">
        <v>710</v>
      </c>
      <c r="P1832">
        <v>-20.127054999999999</v>
      </c>
      <c r="Q1832">
        <v>-44.872073</v>
      </c>
      <c r="R1832" s="2" t="str">
        <f>HYPERLINK("https://www.google.com/maps?q=-20.1270550,-44.8720730","Abrir no Google Maps")</f>
        <v>Abrir no Google Maps</v>
      </c>
      <c r="S1832">
        <v>3</v>
      </c>
      <c r="T1832">
        <v>395.91108553086929</v>
      </c>
      <c r="U1832">
        <v>3</v>
      </c>
      <c r="V1832">
        <v>19</v>
      </c>
      <c r="W1832">
        <v>1</v>
      </c>
      <c r="X1832">
        <v>19</v>
      </c>
      <c r="Y1832">
        <v>387</v>
      </c>
      <c r="Z1832">
        <v>518.31496622382247</v>
      </c>
      <c r="AA1832">
        <v>198</v>
      </c>
      <c r="AB1832">
        <v>332</v>
      </c>
      <c r="AC1832">
        <v>536</v>
      </c>
      <c r="AD1832">
        <v>30.74</v>
      </c>
      <c r="AE1832">
        <v>542</v>
      </c>
      <c r="AF1832">
        <v>30</v>
      </c>
      <c r="AG1832">
        <v>178</v>
      </c>
      <c r="AH1832">
        <v>129</v>
      </c>
      <c r="AI1832">
        <v>5.54</v>
      </c>
      <c r="AJ1832">
        <v>32.840000000000003</v>
      </c>
      <c r="AK1832">
        <v>23.8</v>
      </c>
      <c r="AL1832">
        <v>-20.126854749999978</v>
      </c>
      <c r="AM1832">
        <v>-44.871712455027861</v>
      </c>
      <c r="AN1832">
        <v>-20.126854749999978</v>
      </c>
      <c r="AO1832">
        <v>-44.871712455027861</v>
      </c>
      <c r="AP1832">
        <v>-20.127054999999999</v>
      </c>
      <c r="AQ1832">
        <v>-44.872073</v>
      </c>
      <c r="AR1832">
        <v>43.784435535392717</v>
      </c>
      <c r="AS1832" t="s">
        <v>65</v>
      </c>
      <c r="AT1832">
        <v>1</v>
      </c>
      <c r="AU1832" t="s">
        <v>711</v>
      </c>
      <c r="AV1832" t="s">
        <v>712</v>
      </c>
      <c r="AW1832" t="s">
        <v>60</v>
      </c>
      <c r="AX1832" t="s">
        <v>68</v>
      </c>
      <c r="AY1832" t="s">
        <v>69</v>
      </c>
      <c r="AZ1832" t="b">
        <v>1</v>
      </c>
    </row>
    <row r="1833" spans="1:52" x14ac:dyDescent="0.3">
      <c r="A1833" t="s">
        <v>52</v>
      </c>
      <c r="B1833" t="s">
        <v>53</v>
      </c>
      <c r="C1833" t="s">
        <v>54</v>
      </c>
      <c r="D1833" t="s">
        <v>55</v>
      </c>
      <c r="E1833" t="s">
        <v>2148</v>
      </c>
      <c r="F1833" t="s">
        <v>190</v>
      </c>
      <c r="G1833" t="s">
        <v>734</v>
      </c>
      <c r="H1833" t="s">
        <v>1059</v>
      </c>
      <c r="I1833" t="s">
        <v>1059</v>
      </c>
      <c r="J1833" t="s">
        <v>60</v>
      </c>
      <c r="K1833" t="s">
        <v>736</v>
      </c>
      <c r="L1833" t="s">
        <v>62</v>
      </c>
      <c r="M1833" t="s">
        <v>736</v>
      </c>
      <c r="N1833" t="s">
        <v>1060</v>
      </c>
      <c r="O1833" t="s">
        <v>1061</v>
      </c>
      <c r="P1833">
        <v>-20.104700000000001</v>
      </c>
      <c r="Q1833">
        <v>-44.972988000000001</v>
      </c>
      <c r="R1833" s="2" t="str">
        <f>HYPERLINK("https://www.google.com/maps?q=-20.1047000,-44.9729880","Abrir no Google Maps")</f>
        <v>Abrir no Google Maps</v>
      </c>
      <c r="S1833">
        <v>3</v>
      </c>
      <c r="T1833">
        <v>0</v>
      </c>
      <c r="U1833">
        <v>3</v>
      </c>
      <c r="V1833">
        <v>16</v>
      </c>
      <c r="W1833">
        <v>1</v>
      </c>
      <c r="X1833">
        <v>16</v>
      </c>
      <c r="Y1833">
        <v>385</v>
      </c>
      <c r="Z1833">
        <v>130.87424695814411</v>
      </c>
      <c r="AA1833">
        <v>198</v>
      </c>
      <c r="AB1833">
        <v>332</v>
      </c>
      <c r="AC1833">
        <v>536</v>
      </c>
      <c r="AD1833">
        <v>30.74</v>
      </c>
      <c r="AE1833">
        <v>542</v>
      </c>
      <c r="AF1833">
        <v>30</v>
      </c>
      <c r="AG1833">
        <v>178</v>
      </c>
      <c r="AH1833">
        <v>129</v>
      </c>
      <c r="AI1833">
        <v>5.54</v>
      </c>
      <c r="AJ1833">
        <v>32.840000000000003</v>
      </c>
      <c r="AK1833">
        <v>23.8</v>
      </c>
      <c r="AL1833">
        <v>-20.104640449999948</v>
      </c>
      <c r="AM1833">
        <v>-44.972990283032523</v>
      </c>
      <c r="AN1833">
        <v>-20.104640449999948</v>
      </c>
      <c r="AO1833">
        <v>-44.972990283032509</v>
      </c>
      <c r="AP1833">
        <v>-20.104700000000001</v>
      </c>
      <c r="AQ1833">
        <v>-44.972988000000001</v>
      </c>
      <c r="AR1833">
        <v>6.6334007529191332</v>
      </c>
      <c r="AS1833" t="s">
        <v>65</v>
      </c>
      <c r="AT1833">
        <v>1</v>
      </c>
      <c r="AU1833" t="s">
        <v>1062</v>
      </c>
      <c r="AV1833" t="s">
        <v>1063</v>
      </c>
      <c r="AW1833" t="s">
        <v>60</v>
      </c>
      <c r="AX1833" t="s">
        <v>68</v>
      </c>
      <c r="AY1833" t="s">
        <v>69</v>
      </c>
      <c r="AZ1833" t="b">
        <v>1</v>
      </c>
    </row>
    <row r="1834" spans="1:52" x14ac:dyDescent="0.3">
      <c r="A1834" t="s">
        <v>52</v>
      </c>
      <c r="B1834" t="s">
        <v>53</v>
      </c>
      <c r="C1834" t="s">
        <v>54</v>
      </c>
      <c r="D1834" t="s">
        <v>55</v>
      </c>
      <c r="E1834" t="s">
        <v>2148</v>
      </c>
      <c r="F1834" t="s">
        <v>190</v>
      </c>
      <c r="G1834" t="s">
        <v>734</v>
      </c>
      <c r="H1834" t="s">
        <v>1064</v>
      </c>
      <c r="I1834" t="s">
        <v>1064</v>
      </c>
      <c r="J1834" t="s">
        <v>60</v>
      </c>
      <c r="K1834" t="s">
        <v>530</v>
      </c>
      <c r="L1834" t="s">
        <v>62</v>
      </c>
      <c r="M1834" t="s">
        <v>530</v>
      </c>
      <c r="N1834" t="s">
        <v>1060</v>
      </c>
      <c r="O1834" t="s">
        <v>1065</v>
      </c>
      <c r="P1834">
        <v>-20.102878</v>
      </c>
      <c r="Q1834">
        <v>-44.974297</v>
      </c>
      <c r="R1834" s="2" t="str">
        <f>HYPERLINK("https://www.google.com/maps?q=-20.1028780,-44.9742970","Abrir no Google Maps")</f>
        <v>Abrir no Google Maps</v>
      </c>
      <c r="S1834">
        <v>3</v>
      </c>
      <c r="T1834">
        <v>261.64376156647683</v>
      </c>
      <c r="U1834">
        <v>3</v>
      </c>
      <c r="V1834">
        <v>19</v>
      </c>
      <c r="W1834">
        <v>1</v>
      </c>
      <c r="X1834">
        <v>19</v>
      </c>
      <c r="Y1834">
        <v>385</v>
      </c>
      <c r="Z1834">
        <v>272.78931550338098</v>
      </c>
      <c r="AA1834">
        <v>198</v>
      </c>
      <c r="AB1834">
        <v>332</v>
      </c>
      <c r="AC1834">
        <v>536</v>
      </c>
      <c r="AD1834">
        <v>30.74</v>
      </c>
      <c r="AE1834">
        <v>542</v>
      </c>
      <c r="AF1834">
        <v>30</v>
      </c>
      <c r="AG1834">
        <v>178</v>
      </c>
      <c r="AH1834">
        <v>129</v>
      </c>
      <c r="AI1834">
        <v>5.54</v>
      </c>
      <c r="AJ1834">
        <v>32.840000000000003</v>
      </c>
      <c r="AK1834">
        <v>23.8</v>
      </c>
      <c r="AL1834">
        <v>-20.102914199999962</v>
      </c>
      <c r="AM1834">
        <v>-44.974700580584418</v>
      </c>
      <c r="AN1834">
        <v>-20.102914199999962</v>
      </c>
      <c r="AO1834">
        <v>-44.974700580584418</v>
      </c>
      <c r="AP1834">
        <v>-20.102878</v>
      </c>
      <c r="AQ1834">
        <v>-44.974297</v>
      </c>
      <c r="AR1834">
        <v>42.381535645626968</v>
      </c>
      <c r="AS1834" t="s">
        <v>65</v>
      </c>
      <c r="AT1834">
        <v>1</v>
      </c>
      <c r="AU1834" t="s">
        <v>1066</v>
      </c>
      <c r="AV1834" t="s">
        <v>1067</v>
      </c>
      <c r="AW1834" t="s">
        <v>60</v>
      </c>
      <c r="AX1834" t="s">
        <v>68</v>
      </c>
      <c r="AY1834" t="s">
        <v>69</v>
      </c>
      <c r="AZ1834" t="b">
        <v>1</v>
      </c>
    </row>
    <row r="1835" spans="1:52" x14ac:dyDescent="0.3">
      <c r="A1835" t="s">
        <v>52</v>
      </c>
      <c r="B1835" t="s">
        <v>53</v>
      </c>
      <c r="C1835" t="s">
        <v>54</v>
      </c>
      <c r="D1835" t="s">
        <v>55</v>
      </c>
      <c r="E1835" t="s">
        <v>2148</v>
      </c>
      <c r="F1835" t="s">
        <v>190</v>
      </c>
      <c r="G1835" t="s">
        <v>734</v>
      </c>
      <c r="H1835" t="s">
        <v>735</v>
      </c>
      <c r="I1835" t="s">
        <v>735</v>
      </c>
      <c r="J1835" t="s">
        <v>60</v>
      </c>
      <c r="K1835" t="s">
        <v>736</v>
      </c>
      <c r="L1835" t="s">
        <v>62</v>
      </c>
      <c r="M1835" t="s">
        <v>736</v>
      </c>
      <c r="N1835" t="s">
        <v>737</v>
      </c>
      <c r="O1835" t="s">
        <v>738</v>
      </c>
      <c r="P1835">
        <v>-20.113050000000001</v>
      </c>
      <c r="Q1835">
        <v>-44.977640999999998</v>
      </c>
      <c r="R1835" s="2" t="str">
        <f>HYPERLINK("https://www.google.com/maps?q=-20.1130500,-44.9776410","Abrir no Google Maps")</f>
        <v>Abrir no Google Maps</v>
      </c>
      <c r="S1835">
        <v>3</v>
      </c>
      <c r="T1835">
        <v>1057.751631532733</v>
      </c>
      <c r="U1835">
        <v>3</v>
      </c>
      <c r="V1835">
        <v>18</v>
      </c>
      <c r="W1835">
        <v>1</v>
      </c>
      <c r="X1835">
        <v>18</v>
      </c>
      <c r="Y1835">
        <v>385</v>
      </c>
      <c r="Z1835">
        <v>1001.029655866156</v>
      </c>
      <c r="AA1835">
        <v>198</v>
      </c>
      <c r="AB1835">
        <v>332</v>
      </c>
      <c r="AC1835">
        <v>536</v>
      </c>
      <c r="AD1835">
        <v>30.74</v>
      </c>
      <c r="AE1835">
        <v>542</v>
      </c>
      <c r="AF1835">
        <v>30</v>
      </c>
      <c r="AG1835">
        <v>178</v>
      </c>
      <c r="AH1835">
        <v>129</v>
      </c>
      <c r="AI1835">
        <v>5.54</v>
      </c>
      <c r="AJ1835">
        <v>32.840000000000003</v>
      </c>
      <c r="AK1835">
        <v>23.8</v>
      </c>
      <c r="AL1835">
        <v>-20.112977499999939</v>
      </c>
      <c r="AM1835">
        <v>-44.977939579895221</v>
      </c>
      <c r="AN1835">
        <v>-20.112977499999939</v>
      </c>
      <c r="AO1835">
        <v>-44.977939579895221</v>
      </c>
      <c r="AP1835">
        <v>-20.113050000000001</v>
      </c>
      <c r="AQ1835">
        <v>-44.977640999999998</v>
      </c>
      <c r="AR1835">
        <v>32.23754556505741</v>
      </c>
      <c r="AS1835" t="s">
        <v>65</v>
      </c>
      <c r="AT1835">
        <v>1</v>
      </c>
      <c r="AU1835" t="s">
        <v>739</v>
      </c>
      <c r="AV1835" t="s">
        <v>740</v>
      </c>
      <c r="AW1835" t="s">
        <v>60</v>
      </c>
      <c r="AX1835" t="s">
        <v>68</v>
      </c>
      <c r="AY1835" t="s">
        <v>69</v>
      </c>
      <c r="AZ1835" t="b">
        <v>1</v>
      </c>
    </row>
    <row r="1836" spans="1:52" x14ac:dyDescent="0.3">
      <c r="A1836" t="s">
        <v>52</v>
      </c>
      <c r="B1836" t="s">
        <v>53</v>
      </c>
      <c r="C1836" t="s">
        <v>54</v>
      </c>
      <c r="D1836" t="s">
        <v>55</v>
      </c>
      <c r="E1836" t="s">
        <v>2148</v>
      </c>
      <c r="F1836" t="s">
        <v>190</v>
      </c>
      <c r="G1836" t="s">
        <v>1009</v>
      </c>
      <c r="H1836" t="s">
        <v>1073</v>
      </c>
      <c r="I1836" t="s">
        <v>1073</v>
      </c>
      <c r="J1836" t="s">
        <v>60</v>
      </c>
      <c r="K1836" t="s">
        <v>805</v>
      </c>
      <c r="L1836" t="s">
        <v>62</v>
      </c>
      <c r="M1836" t="s">
        <v>805</v>
      </c>
      <c r="N1836" t="s">
        <v>1011</v>
      </c>
      <c r="O1836" t="s">
        <v>1074</v>
      </c>
      <c r="P1836">
        <v>-20.137049000000001</v>
      </c>
      <c r="Q1836">
        <v>-44.885832000000001</v>
      </c>
      <c r="R1836" s="2" t="str">
        <f>HYPERLINK("https://www.google.com/maps?q=-20.1370490,-44.8858320","Abrir no Google Maps")</f>
        <v>Abrir no Google Maps</v>
      </c>
      <c r="S1836">
        <v>3</v>
      </c>
      <c r="T1836">
        <v>255.2207994789398</v>
      </c>
      <c r="U1836">
        <v>3</v>
      </c>
      <c r="V1836">
        <v>19</v>
      </c>
      <c r="W1836">
        <v>0.85</v>
      </c>
      <c r="X1836">
        <v>16.149999999999999</v>
      </c>
      <c r="Y1836">
        <v>350</v>
      </c>
      <c r="Z1836">
        <v>122.85075315998721</v>
      </c>
      <c r="AA1836">
        <v>198</v>
      </c>
      <c r="AB1836">
        <v>332</v>
      </c>
      <c r="AC1836">
        <v>536</v>
      </c>
      <c r="AD1836">
        <v>30.74</v>
      </c>
      <c r="AE1836">
        <v>542</v>
      </c>
      <c r="AF1836">
        <v>30</v>
      </c>
      <c r="AG1836">
        <v>178</v>
      </c>
      <c r="AH1836">
        <v>129</v>
      </c>
      <c r="AI1836">
        <v>5.54</v>
      </c>
      <c r="AJ1836">
        <v>32.840000000000003</v>
      </c>
      <c r="AK1836">
        <v>23.8</v>
      </c>
      <c r="AL1836">
        <v>-20.136876799999978</v>
      </c>
      <c r="AM1836">
        <v>-44.885908665033703</v>
      </c>
      <c r="AN1836">
        <v>-20.136876799999989</v>
      </c>
      <c r="AO1836">
        <v>-44.885908665033703</v>
      </c>
      <c r="AP1836">
        <v>-20.137049000000001</v>
      </c>
      <c r="AQ1836">
        <v>-44.885832000000001</v>
      </c>
      <c r="AR1836">
        <v>20.776552041735069</v>
      </c>
      <c r="AS1836" t="s">
        <v>65</v>
      </c>
      <c r="AT1836">
        <v>1</v>
      </c>
      <c r="AU1836" t="s">
        <v>1075</v>
      </c>
      <c r="AV1836" t="s">
        <v>1076</v>
      </c>
      <c r="AW1836" t="s">
        <v>60</v>
      </c>
      <c r="AX1836" t="s">
        <v>68</v>
      </c>
      <c r="AY1836" t="s">
        <v>69</v>
      </c>
      <c r="AZ1836" t="b">
        <v>1</v>
      </c>
    </row>
    <row r="1837" spans="1:52" x14ac:dyDescent="0.3">
      <c r="A1837" t="s">
        <v>52</v>
      </c>
      <c r="B1837" t="s">
        <v>53</v>
      </c>
      <c r="C1837" t="s">
        <v>54</v>
      </c>
      <c r="D1837" t="s">
        <v>55</v>
      </c>
      <c r="E1837" t="s">
        <v>2148</v>
      </c>
      <c r="F1837" t="s">
        <v>190</v>
      </c>
      <c r="G1837" t="s">
        <v>1077</v>
      </c>
      <c r="H1837" t="s">
        <v>1078</v>
      </c>
      <c r="I1837" t="s">
        <v>1078</v>
      </c>
      <c r="J1837" t="s">
        <v>60</v>
      </c>
      <c r="K1837" t="s">
        <v>761</v>
      </c>
      <c r="L1837" t="s">
        <v>62</v>
      </c>
      <c r="M1837" t="s">
        <v>761</v>
      </c>
      <c r="N1837" t="s">
        <v>1079</v>
      </c>
      <c r="O1837" t="s">
        <v>1080</v>
      </c>
      <c r="P1837">
        <v>-20.119579999999999</v>
      </c>
      <c r="Q1837">
        <v>-44.855030999999997</v>
      </c>
      <c r="R1837" s="2" t="str">
        <f>HYPERLINK("https://www.google.com/maps?q=-20.1195800,-44.8550310","Abrir no Google Maps")</f>
        <v>Abrir no Google Maps</v>
      </c>
      <c r="S1837">
        <v>3</v>
      </c>
      <c r="T1837">
        <v>800.32085104254202</v>
      </c>
      <c r="U1837">
        <v>3</v>
      </c>
      <c r="V1837">
        <v>17</v>
      </c>
      <c r="W1837">
        <v>1</v>
      </c>
      <c r="X1837">
        <v>17</v>
      </c>
      <c r="Y1837">
        <v>350</v>
      </c>
      <c r="Z1837">
        <v>431.56201899267722</v>
      </c>
      <c r="AA1837">
        <v>198</v>
      </c>
      <c r="AB1837">
        <v>332</v>
      </c>
      <c r="AC1837">
        <v>536</v>
      </c>
      <c r="AD1837">
        <v>30.74</v>
      </c>
      <c r="AE1837">
        <v>542</v>
      </c>
      <c r="AF1837">
        <v>30</v>
      </c>
      <c r="AG1837">
        <v>178</v>
      </c>
      <c r="AH1837">
        <v>129</v>
      </c>
      <c r="AI1837">
        <v>5.54</v>
      </c>
      <c r="AJ1837">
        <v>32.840000000000003</v>
      </c>
      <c r="AK1837">
        <v>23.8</v>
      </c>
      <c r="AL1837">
        <v>-20.119806999999948</v>
      </c>
      <c r="AM1837">
        <v>-44.855901548391778</v>
      </c>
      <c r="AN1837">
        <v>-20.119806999999948</v>
      </c>
      <c r="AO1837">
        <v>-44.855901548391778</v>
      </c>
      <c r="AP1837">
        <v>-20.119579999999999</v>
      </c>
      <c r="AQ1837">
        <v>-44.855030999999997</v>
      </c>
      <c r="AR1837">
        <v>94.439141250965164</v>
      </c>
      <c r="AS1837" t="s">
        <v>65</v>
      </c>
      <c r="AT1837">
        <v>1</v>
      </c>
      <c r="AU1837" t="s">
        <v>1081</v>
      </c>
      <c r="AV1837" t="s">
        <v>1082</v>
      </c>
      <c r="AW1837" t="s">
        <v>60</v>
      </c>
      <c r="AX1837" t="s">
        <v>68</v>
      </c>
      <c r="AY1837" t="s">
        <v>69</v>
      </c>
      <c r="AZ1837" t="b">
        <v>1</v>
      </c>
    </row>
    <row r="1838" spans="1:52" x14ac:dyDescent="0.3">
      <c r="A1838" t="s">
        <v>52</v>
      </c>
      <c r="B1838" t="s">
        <v>53</v>
      </c>
      <c r="C1838" t="s">
        <v>54</v>
      </c>
      <c r="D1838" t="s">
        <v>55</v>
      </c>
      <c r="E1838" t="s">
        <v>2148</v>
      </c>
      <c r="F1838" t="s">
        <v>190</v>
      </c>
      <c r="G1838" t="s">
        <v>747</v>
      </c>
      <c r="H1838" t="s">
        <v>748</v>
      </c>
      <c r="I1838" t="s">
        <v>748</v>
      </c>
      <c r="J1838" t="s">
        <v>60</v>
      </c>
      <c r="K1838" t="s">
        <v>505</v>
      </c>
      <c r="L1838" t="s">
        <v>62</v>
      </c>
      <c r="M1838" t="s">
        <v>505</v>
      </c>
      <c r="N1838" t="s">
        <v>749</v>
      </c>
      <c r="O1838" t="s">
        <v>750</v>
      </c>
      <c r="P1838">
        <v>-20.135107000000001</v>
      </c>
      <c r="Q1838">
        <v>-44.887521</v>
      </c>
      <c r="R1838" s="2" t="str">
        <f>HYPERLINK("https://www.google.com/maps?q=-20.1351070,-44.8875210","Abrir no Google Maps")</f>
        <v>Abrir no Google Maps</v>
      </c>
      <c r="S1838">
        <v>3</v>
      </c>
      <c r="T1838">
        <v>0</v>
      </c>
      <c r="U1838">
        <v>3</v>
      </c>
      <c r="V1838">
        <v>16</v>
      </c>
      <c r="W1838">
        <v>1</v>
      </c>
      <c r="X1838">
        <v>16</v>
      </c>
      <c r="Y1838">
        <v>350</v>
      </c>
      <c r="Z1838">
        <v>162.3716242776689</v>
      </c>
      <c r="AA1838">
        <v>198</v>
      </c>
      <c r="AB1838">
        <v>332</v>
      </c>
      <c r="AC1838">
        <v>536</v>
      </c>
      <c r="AD1838">
        <v>30.74</v>
      </c>
      <c r="AE1838">
        <v>542</v>
      </c>
      <c r="AF1838">
        <v>30</v>
      </c>
      <c r="AG1838">
        <v>178</v>
      </c>
      <c r="AH1838">
        <v>129</v>
      </c>
      <c r="AI1838">
        <v>5.54</v>
      </c>
      <c r="AJ1838">
        <v>32.840000000000003</v>
      </c>
      <c r="AK1838">
        <v>23.8</v>
      </c>
      <c r="AL1838">
        <v>-20.13520169999995</v>
      </c>
      <c r="AM1838">
        <v>-44.887587176802917</v>
      </c>
      <c r="AN1838">
        <v>-20.13520169999995</v>
      </c>
      <c r="AO1838">
        <v>-44.887587176802931</v>
      </c>
      <c r="AP1838">
        <v>-20.135107000000001</v>
      </c>
      <c r="AQ1838">
        <v>-44.887521</v>
      </c>
      <c r="AR1838">
        <v>12.608438103029821</v>
      </c>
      <c r="AS1838" t="s">
        <v>65</v>
      </c>
      <c r="AT1838">
        <v>1</v>
      </c>
      <c r="AU1838" t="s">
        <v>751</v>
      </c>
      <c r="AV1838" t="s">
        <v>752</v>
      </c>
      <c r="AW1838" t="s">
        <v>60</v>
      </c>
      <c r="AX1838" t="s">
        <v>68</v>
      </c>
      <c r="AY1838" t="s">
        <v>69</v>
      </c>
      <c r="AZ1838" t="b">
        <v>1</v>
      </c>
    </row>
    <row r="1839" spans="1:52" x14ac:dyDescent="0.3">
      <c r="A1839" t="s">
        <v>52</v>
      </c>
      <c r="B1839" t="s">
        <v>53</v>
      </c>
      <c r="C1839" t="s">
        <v>54</v>
      </c>
      <c r="D1839" t="s">
        <v>55</v>
      </c>
      <c r="E1839" t="s">
        <v>2148</v>
      </c>
      <c r="F1839" t="s">
        <v>190</v>
      </c>
      <c r="G1839" t="s">
        <v>753</v>
      </c>
      <c r="H1839" t="s">
        <v>754</v>
      </c>
      <c r="I1839" t="s">
        <v>754</v>
      </c>
      <c r="J1839" t="s">
        <v>60</v>
      </c>
      <c r="K1839" t="s">
        <v>688</v>
      </c>
      <c r="L1839" t="s">
        <v>62</v>
      </c>
      <c r="M1839" t="s">
        <v>688</v>
      </c>
      <c r="N1839" t="s">
        <v>755</v>
      </c>
      <c r="O1839" t="s">
        <v>756</v>
      </c>
      <c r="P1839">
        <v>-20.135238000000001</v>
      </c>
      <c r="Q1839">
        <v>-44.890405999999999</v>
      </c>
      <c r="R1839" s="2" t="str">
        <f>HYPERLINK("https://www.google.com/maps?q=-20.1352380,-44.8904060","Abrir no Google Maps")</f>
        <v>Abrir no Google Maps</v>
      </c>
      <c r="S1839">
        <v>3</v>
      </c>
      <c r="T1839">
        <v>314.49904475975598</v>
      </c>
      <c r="U1839">
        <v>3</v>
      </c>
      <c r="V1839">
        <v>16</v>
      </c>
      <c r="W1839">
        <v>1</v>
      </c>
      <c r="X1839">
        <v>16</v>
      </c>
      <c r="Y1839">
        <v>350</v>
      </c>
      <c r="Z1839">
        <v>443.96798796176353</v>
      </c>
      <c r="AA1839">
        <v>198</v>
      </c>
      <c r="AB1839">
        <v>332</v>
      </c>
      <c r="AC1839">
        <v>536</v>
      </c>
      <c r="AD1839">
        <v>30.74</v>
      </c>
      <c r="AE1839">
        <v>542</v>
      </c>
      <c r="AF1839">
        <v>30</v>
      </c>
      <c r="AG1839">
        <v>178</v>
      </c>
      <c r="AH1839">
        <v>129</v>
      </c>
      <c r="AI1839">
        <v>5.54</v>
      </c>
      <c r="AJ1839">
        <v>32.840000000000003</v>
      </c>
      <c r="AK1839">
        <v>23.8</v>
      </c>
      <c r="AL1839">
        <v>-20.134851099999931</v>
      </c>
      <c r="AM1839">
        <v>-44.890573293408117</v>
      </c>
      <c r="AN1839">
        <v>-20.134851099999931</v>
      </c>
      <c r="AO1839">
        <v>-44.890573293408131</v>
      </c>
      <c r="AP1839">
        <v>-20.135238000000001</v>
      </c>
      <c r="AQ1839">
        <v>-44.890405999999999</v>
      </c>
      <c r="AR1839">
        <v>46.483580940434933</v>
      </c>
      <c r="AS1839" t="s">
        <v>65</v>
      </c>
      <c r="AT1839">
        <v>1</v>
      </c>
      <c r="AU1839" t="s">
        <v>757</v>
      </c>
      <c r="AV1839" t="s">
        <v>758</v>
      </c>
      <c r="AW1839" t="s">
        <v>60</v>
      </c>
      <c r="AX1839" t="s">
        <v>68</v>
      </c>
      <c r="AY1839" t="s">
        <v>69</v>
      </c>
      <c r="AZ1839" t="b">
        <v>1</v>
      </c>
    </row>
    <row r="1840" spans="1:52" x14ac:dyDescent="0.3">
      <c r="A1840" t="s">
        <v>52</v>
      </c>
      <c r="B1840" t="s">
        <v>53</v>
      </c>
      <c r="C1840" t="s">
        <v>54</v>
      </c>
      <c r="D1840" t="s">
        <v>55</v>
      </c>
      <c r="E1840" t="s">
        <v>2148</v>
      </c>
      <c r="F1840" t="s">
        <v>190</v>
      </c>
      <c r="G1840" t="s">
        <v>1089</v>
      </c>
      <c r="H1840" t="s">
        <v>1090</v>
      </c>
      <c r="I1840" t="s">
        <v>1090</v>
      </c>
      <c r="J1840" t="s">
        <v>60</v>
      </c>
      <c r="K1840" t="s">
        <v>761</v>
      </c>
      <c r="L1840" t="s">
        <v>62</v>
      </c>
      <c r="M1840" t="s">
        <v>761</v>
      </c>
      <c r="N1840" t="s">
        <v>1091</v>
      </c>
      <c r="O1840" t="s">
        <v>86</v>
      </c>
      <c r="P1840">
        <v>-20.116182999999999</v>
      </c>
      <c r="Q1840">
        <v>-44.850524</v>
      </c>
      <c r="R1840" s="2" t="str">
        <f>HYPERLINK("https://www.google.com/maps?q=-20.1161830,-44.8505240","Abrir no Google Maps")</f>
        <v>Abrir no Google Maps</v>
      </c>
      <c r="S1840">
        <v>3</v>
      </c>
      <c r="T1840">
        <v>1142.6607426309961</v>
      </c>
      <c r="U1840">
        <v>3</v>
      </c>
      <c r="V1840">
        <v>21</v>
      </c>
      <c r="W1840">
        <v>1</v>
      </c>
      <c r="X1840">
        <v>21</v>
      </c>
      <c r="Y1840">
        <v>350</v>
      </c>
      <c r="Z1840">
        <v>723.44841640590141</v>
      </c>
      <c r="AA1840">
        <v>198</v>
      </c>
      <c r="AB1840">
        <v>332</v>
      </c>
      <c r="AC1840">
        <v>536</v>
      </c>
      <c r="AD1840">
        <v>30.74</v>
      </c>
      <c r="AE1840">
        <v>542</v>
      </c>
      <c r="AF1840">
        <v>30</v>
      </c>
      <c r="AG1840">
        <v>178</v>
      </c>
      <c r="AH1840">
        <v>129</v>
      </c>
      <c r="AI1840">
        <v>5.54</v>
      </c>
      <c r="AJ1840">
        <v>32.840000000000003</v>
      </c>
      <c r="AK1840">
        <v>23.8</v>
      </c>
      <c r="AL1840">
        <v>-20.11605684999995</v>
      </c>
      <c r="AM1840">
        <v>-44.850832861808193</v>
      </c>
      <c r="AN1840">
        <v>-20.11605684999995</v>
      </c>
      <c r="AO1840">
        <v>-44.850832861808193</v>
      </c>
      <c r="AP1840">
        <v>-20.116182999999999</v>
      </c>
      <c r="AQ1840">
        <v>-44.850524</v>
      </c>
      <c r="AR1840">
        <v>35.207009729928053</v>
      </c>
      <c r="AS1840" t="s">
        <v>65</v>
      </c>
      <c r="AT1840">
        <v>1</v>
      </c>
      <c r="AU1840" t="s">
        <v>1092</v>
      </c>
      <c r="AV1840" t="s">
        <v>1093</v>
      </c>
      <c r="AW1840" t="s">
        <v>60</v>
      </c>
      <c r="AX1840" t="s">
        <v>68</v>
      </c>
      <c r="AY1840" t="s">
        <v>69</v>
      </c>
      <c r="AZ1840" t="b">
        <v>1</v>
      </c>
    </row>
    <row r="1841" spans="1:52" x14ac:dyDescent="0.3">
      <c r="A1841" t="s">
        <v>52</v>
      </c>
      <c r="B1841" t="s">
        <v>53</v>
      </c>
      <c r="C1841" t="s">
        <v>54</v>
      </c>
      <c r="D1841" t="s">
        <v>55</v>
      </c>
      <c r="E1841" t="s">
        <v>2148</v>
      </c>
      <c r="F1841" t="s">
        <v>190</v>
      </c>
      <c r="G1841" t="s">
        <v>2104</v>
      </c>
      <c r="H1841" t="s">
        <v>2105</v>
      </c>
      <c r="I1841" t="s">
        <v>2105</v>
      </c>
      <c r="J1841" t="s">
        <v>60</v>
      </c>
      <c r="K1841" t="s">
        <v>761</v>
      </c>
      <c r="L1841" t="s">
        <v>62</v>
      </c>
      <c r="M1841" t="s">
        <v>761</v>
      </c>
      <c r="N1841" t="s">
        <v>2106</v>
      </c>
      <c r="O1841" t="s">
        <v>1766</v>
      </c>
      <c r="P1841">
        <v>-20.112945</v>
      </c>
      <c r="Q1841">
        <v>-44.846407999999997</v>
      </c>
      <c r="R1841" s="2" t="str">
        <f>HYPERLINK("https://www.google.com/maps?q=-20.1129450,-44.8464080","Abrir no Google Maps")</f>
        <v>Abrir no Google Maps</v>
      </c>
      <c r="S1841">
        <v>3</v>
      </c>
      <c r="T1841">
        <v>1668.780010060626</v>
      </c>
      <c r="U1841">
        <v>3</v>
      </c>
      <c r="V1841">
        <v>18</v>
      </c>
      <c r="W1841">
        <v>0.85</v>
      </c>
      <c r="X1841">
        <v>15.3</v>
      </c>
      <c r="Y1841">
        <v>350</v>
      </c>
      <c r="Z1841">
        <v>1256.745217274372</v>
      </c>
      <c r="AA1841">
        <v>198</v>
      </c>
      <c r="AB1841">
        <v>332</v>
      </c>
      <c r="AC1841">
        <v>536</v>
      </c>
      <c r="AD1841">
        <v>30.74</v>
      </c>
      <c r="AE1841">
        <v>542</v>
      </c>
      <c r="AF1841">
        <v>30</v>
      </c>
      <c r="AG1841">
        <v>178</v>
      </c>
      <c r="AH1841">
        <v>129</v>
      </c>
      <c r="AI1841">
        <v>5.54</v>
      </c>
      <c r="AJ1841">
        <v>32.840000000000003</v>
      </c>
      <c r="AK1841">
        <v>23.8</v>
      </c>
      <c r="AL1841">
        <v>-20.111980249999959</v>
      </c>
      <c r="AM1841">
        <v>-44.847351973048802</v>
      </c>
      <c r="AN1841">
        <v>-20.111980249999959</v>
      </c>
      <c r="AO1841">
        <v>-44.847351973048802</v>
      </c>
      <c r="AP1841">
        <v>-20.112945</v>
      </c>
      <c r="AQ1841">
        <v>-44.846407999999997</v>
      </c>
      <c r="AR1841">
        <v>145.84485472325181</v>
      </c>
      <c r="AS1841" t="s">
        <v>65</v>
      </c>
      <c r="AT1841">
        <v>1</v>
      </c>
      <c r="AU1841" t="s">
        <v>2107</v>
      </c>
      <c r="AV1841" t="s">
        <v>2108</v>
      </c>
      <c r="AW1841" t="s">
        <v>60</v>
      </c>
      <c r="AX1841" t="s">
        <v>68</v>
      </c>
      <c r="AY1841" t="s">
        <v>69</v>
      </c>
      <c r="AZ1841" t="b">
        <v>1</v>
      </c>
    </row>
    <row r="1842" spans="1:52" x14ac:dyDescent="0.3">
      <c r="A1842" t="s">
        <v>52</v>
      </c>
      <c r="B1842" t="s">
        <v>53</v>
      </c>
      <c r="C1842" t="s">
        <v>54</v>
      </c>
      <c r="D1842" t="s">
        <v>55</v>
      </c>
      <c r="E1842" t="s">
        <v>2148</v>
      </c>
      <c r="F1842" t="s">
        <v>190</v>
      </c>
      <c r="G1842" t="s">
        <v>766</v>
      </c>
      <c r="H1842" t="s">
        <v>767</v>
      </c>
      <c r="I1842" t="s">
        <v>767</v>
      </c>
      <c r="J1842" t="s">
        <v>60</v>
      </c>
      <c r="K1842" t="s">
        <v>768</v>
      </c>
      <c r="L1842" t="s">
        <v>62</v>
      </c>
      <c r="M1842" t="s">
        <v>768</v>
      </c>
      <c r="N1842" t="s">
        <v>769</v>
      </c>
      <c r="O1842" t="s">
        <v>770</v>
      </c>
      <c r="P1842">
        <v>-20.135211000000002</v>
      </c>
      <c r="Q1842">
        <v>-44.875359000000003</v>
      </c>
      <c r="R1842" s="2" t="str">
        <f>HYPERLINK("https://www.google.com/maps?q=-20.1352110,-44.8753590","Abrir no Google Maps")</f>
        <v>Abrir no Google Maps</v>
      </c>
      <c r="S1842">
        <v>3</v>
      </c>
      <c r="T1842">
        <v>383.44405482521267</v>
      </c>
      <c r="U1842">
        <v>3</v>
      </c>
      <c r="V1842">
        <v>16</v>
      </c>
      <c r="W1842">
        <v>1</v>
      </c>
      <c r="X1842">
        <v>16</v>
      </c>
      <c r="Y1842">
        <v>332</v>
      </c>
      <c r="Z1842">
        <v>219.0766044611764</v>
      </c>
      <c r="AA1842">
        <v>198</v>
      </c>
      <c r="AB1842">
        <v>332</v>
      </c>
      <c r="AC1842">
        <v>536</v>
      </c>
      <c r="AD1842">
        <v>30.74</v>
      </c>
      <c r="AE1842">
        <v>542</v>
      </c>
      <c r="AF1842">
        <v>30</v>
      </c>
      <c r="AG1842">
        <v>178</v>
      </c>
      <c r="AH1842">
        <v>129</v>
      </c>
      <c r="AI1842">
        <v>5.54</v>
      </c>
      <c r="AJ1842">
        <v>32.840000000000003</v>
      </c>
      <c r="AK1842">
        <v>23.8</v>
      </c>
      <c r="AL1842">
        <v>-20.135125549999941</v>
      </c>
      <c r="AM1842">
        <v>-44.875534947489427</v>
      </c>
      <c r="AN1842">
        <v>-20.135125549999941</v>
      </c>
      <c r="AO1842">
        <v>-44.875534947489427</v>
      </c>
      <c r="AP1842">
        <v>-20.135211000000002</v>
      </c>
      <c r="AQ1842">
        <v>-44.875359000000003</v>
      </c>
      <c r="AR1842">
        <v>20.703969313709418</v>
      </c>
      <c r="AS1842" t="s">
        <v>65</v>
      </c>
      <c r="AT1842">
        <v>1</v>
      </c>
      <c r="AU1842" t="s">
        <v>771</v>
      </c>
      <c r="AV1842" t="s">
        <v>772</v>
      </c>
      <c r="AW1842" t="s">
        <v>60</v>
      </c>
      <c r="AX1842" t="s">
        <v>68</v>
      </c>
      <c r="AY1842" t="s">
        <v>69</v>
      </c>
      <c r="AZ1842" t="b">
        <v>1</v>
      </c>
    </row>
    <row r="1843" spans="1:52" x14ac:dyDescent="0.3">
      <c r="A1843" t="s">
        <v>52</v>
      </c>
      <c r="B1843" t="s">
        <v>53</v>
      </c>
      <c r="C1843" t="s">
        <v>54</v>
      </c>
      <c r="D1843" t="s">
        <v>55</v>
      </c>
      <c r="E1843" t="s">
        <v>2148</v>
      </c>
      <c r="F1843" t="s">
        <v>190</v>
      </c>
      <c r="G1843" t="s">
        <v>1099</v>
      </c>
      <c r="H1843" t="s">
        <v>1100</v>
      </c>
      <c r="I1843" t="s">
        <v>1100</v>
      </c>
      <c r="J1843" t="s">
        <v>60</v>
      </c>
      <c r="K1843" t="s">
        <v>781</v>
      </c>
      <c r="L1843" t="s">
        <v>62</v>
      </c>
      <c r="M1843" t="s">
        <v>781</v>
      </c>
      <c r="N1843" t="s">
        <v>1101</v>
      </c>
      <c r="O1843" t="s">
        <v>235</v>
      </c>
      <c r="P1843">
        <v>-20.136811999999999</v>
      </c>
      <c r="Q1843">
        <v>-44.872388000000001</v>
      </c>
      <c r="R1843" s="2" t="str">
        <f>HYPERLINK("https://www.google.com/maps?q=-20.1368120,-44.8723880","Abrir no Google Maps")</f>
        <v>Abrir no Google Maps</v>
      </c>
      <c r="S1843">
        <v>3</v>
      </c>
      <c r="T1843">
        <v>0</v>
      </c>
      <c r="U1843">
        <v>3</v>
      </c>
      <c r="V1843">
        <v>18</v>
      </c>
      <c r="W1843">
        <v>1</v>
      </c>
      <c r="X1843">
        <v>18</v>
      </c>
      <c r="Y1843">
        <v>332</v>
      </c>
      <c r="Z1843">
        <v>121.0319884418894</v>
      </c>
      <c r="AA1843">
        <v>198</v>
      </c>
      <c r="AB1843">
        <v>332</v>
      </c>
      <c r="AC1843">
        <v>536</v>
      </c>
      <c r="AD1843">
        <v>30.74</v>
      </c>
      <c r="AE1843">
        <v>542</v>
      </c>
      <c r="AF1843">
        <v>30</v>
      </c>
      <c r="AG1843">
        <v>178</v>
      </c>
      <c r="AH1843">
        <v>129</v>
      </c>
      <c r="AI1843">
        <v>5.54</v>
      </c>
      <c r="AJ1843">
        <v>32.840000000000003</v>
      </c>
      <c r="AK1843">
        <v>23.8</v>
      </c>
      <c r="AL1843">
        <v>-20.136943099999939</v>
      </c>
      <c r="AM1843">
        <v>-44.872411407897907</v>
      </c>
      <c r="AN1843">
        <v>-20.136943099999939</v>
      </c>
      <c r="AO1843">
        <v>-44.872411407897907</v>
      </c>
      <c r="AP1843">
        <v>-20.136811999999999</v>
      </c>
      <c r="AQ1843">
        <v>-44.872388000000001</v>
      </c>
      <c r="AR1843">
        <v>14.79769012694347</v>
      </c>
      <c r="AS1843" t="s">
        <v>65</v>
      </c>
      <c r="AT1843">
        <v>1</v>
      </c>
      <c r="AU1843" t="s">
        <v>1102</v>
      </c>
      <c r="AV1843" t="s">
        <v>1103</v>
      </c>
      <c r="AW1843" t="s">
        <v>60</v>
      </c>
      <c r="AX1843" t="s">
        <v>68</v>
      </c>
      <c r="AY1843" t="s">
        <v>69</v>
      </c>
      <c r="AZ1843" t="b">
        <v>1</v>
      </c>
    </row>
    <row r="1844" spans="1:52" x14ac:dyDescent="0.3">
      <c r="A1844" t="s">
        <v>52</v>
      </c>
      <c r="B1844" t="s">
        <v>53</v>
      </c>
      <c r="C1844" t="s">
        <v>54</v>
      </c>
      <c r="D1844" t="s">
        <v>55</v>
      </c>
      <c r="E1844" t="s">
        <v>2148</v>
      </c>
      <c r="F1844" t="s">
        <v>190</v>
      </c>
      <c r="G1844" t="s">
        <v>1109</v>
      </c>
      <c r="H1844" t="s">
        <v>1110</v>
      </c>
      <c r="I1844" t="s">
        <v>1110</v>
      </c>
      <c r="J1844" t="s">
        <v>60</v>
      </c>
      <c r="K1844" t="s">
        <v>768</v>
      </c>
      <c r="L1844" t="s">
        <v>62</v>
      </c>
      <c r="M1844" t="s">
        <v>768</v>
      </c>
      <c r="N1844" t="s">
        <v>1111</v>
      </c>
      <c r="O1844" t="s">
        <v>1112</v>
      </c>
      <c r="P1844">
        <v>-20.135508000000002</v>
      </c>
      <c r="Q1844">
        <v>-44.871786999999998</v>
      </c>
      <c r="R1844" s="2" t="str">
        <f>HYPERLINK("https://www.google.com/maps?q=-20.1355080,-44.8717870","Abrir no Google Maps")</f>
        <v>Abrir no Google Maps</v>
      </c>
      <c r="S1844">
        <v>3</v>
      </c>
      <c r="T1844">
        <v>167.5382405548801</v>
      </c>
      <c r="U1844">
        <v>3</v>
      </c>
      <c r="V1844">
        <v>23</v>
      </c>
      <c r="W1844">
        <v>1</v>
      </c>
      <c r="X1844">
        <v>23</v>
      </c>
      <c r="Y1844">
        <v>332</v>
      </c>
      <c r="Z1844">
        <v>179.76671916562941</v>
      </c>
      <c r="AA1844">
        <v>198</v>
      </c>
      <c r="AB1844">
        <v>332</v>
      </c>
      <c r="AC1844">
        <v>536</v>
      </c>
      <c r="AD1844">
        <v>30.74</v>
      </c>
      <c r="AE1844">
        <v>542</v>
      </c>
      <c r="AF1844">
        <v>30</v>
      </c>
      <c r="AG1844">
        <v>178</v>
      </c>
      <c r="AH1844">
        <v>129</v>
      </c>
      <c r="AI1844">
        <v>5.54</v>
      </c>
      <c r="AJ1844">
        <v>32.840000000000003</v>
      </c>
      <c r="AK1844">
        <v>23.8</v>
      </c>
      <c r="AL1844">
        <v>-20.135532899999959</v>
      </c>
      <c r="AM1844">
        <v>-44.871828172735903</v>
      </c>
      <c r="AN1844">
        <v>-20.135532899999959</v>
      </c>
      <c r="AO1844">
        <v>-44.871828172735903</v>
      </c>
      <c r="AP1844">
        <v>-20.135508000000002</v>
      </c>
      <c r="AQ1844">
        <v>-44.871786999999998</v>
      </c>
      <c r="AR1844">
        <v>5.1186859635787858</v>
      </c>
      <c r="AS1844" t="s">
        <v>65</v>
      </c>
      <c r="AT1844">
        <v>1</v>
      </c>
      <c r="AU1844" t="s">
        <v>1113</v>
      </c>
      <c r="AV1844" t="s">
        <v>1114</v>
      </c>
      <c r="AW1844" t="s">
        <v>60</v>
      </c>
      <c r="AX1844" t="s">
        <v>68</v>
      </c>
      <c r="AY1844" t="s">
        <v>69</v>
      </c>
      <c r="AZ1844" t="b">
        <v>1</v>
      </c>
    </row>
    <row r="1845" spans="1:52" x14ac:dyDescent="0.3">
      <c r="A1845" t="s">
        <v>52</v>
      </c>
      <c r="B1845" t="s">
        <v>53</v>
      </c>
      <c r="C1845" t="s">
        <v>54</v>
      </c>
      <c r="D1845" t="s">
        <v>55</v>
      </c>
      <c r="E1845" t="s">
        <v>2148</v>
      </c>
      <c r="F1845" t="s">
        <v>190</v>
      </c>
      <c r="G1845" t="s">
        <v>1121</v>
      </c>
      <c r="H1845" t="s">
        <v>1122</v>
      </c>
      <c r="I1845" t="s">
        <v>1122</v>
      </c>
      <c r="J1845" t="s">
        <v>60</v>
      </c>
      <c r="K1845" t="s">
        <v>1123</v>
      </c>
      <c r="L1845" t="s">
        <v>62</v>
      </c>
      <c r="M1845" t="s">
        <v>1123</v>
      </c>
      <c r="N1845" t="s">
        <v>1124</v>
      </c>
      <c r="O1845" t="s">
        <v>74</v>
      </c>
      <c r="P1845">
        <v>-20.105318</v>
      </c>
      <c r="Q1845">
        <v>-44.879216</v>
      </c>
      <c r="R1845" s="2" t="str">
        <f>HYPERLINK("https://www.google.com/maps?q=-20.1053180,-44.8792160","Abrir no Google Maps")</f>
        <v>Abrir no Google Maps</v>
      </c>
      <c r="S1845">
        <v>3</v>
      </c>
      <c r="T1845">
        <v>318.57668516180911</v>
      </c>
      <c r="U1845">
        <v>3</v>
      </c>
      <c r="V1845">
        <v>21</v>
      </c>
      <c r="W1845">
        <v>1</v>
      </c>
      <c r="X1845">
        <v>21</v>
      </c>
      <c r="Y1845">
        <v>314</v>
      </c>
      <c r="Z1845">
        <v>207.50829098881519</v>
      </c>
      <c r="AA1845">
        <v>198</v>
      </c>
      <c r="AB1845">
        <v>332</v>
      </c>
      <c r="AC1845">
        <v>536</v>
      </c>
      <c r="AD1845">
        <v>30.74</v>
      </c>
      <c r="AE1845">
        <v>542</v>
      </c>
      <c r="AF1845">
        <v>30</v>
      </c>
      <c r="AG1845">
        <v>178</v>
      </c>
      <c r="AH1845">
        <v>129</v>
      </c>
      <c r="AI1845">
        <v>5.54</v>
      </c>
      <c r="AJ1845">
        <v>32.840000000000003</v>
      </c>
      <c r="AK1845">
        <v>23.8</v>
      </c>
      <c r="AL1845">
        <v>-20.105361049999939</v>
      </c>
      <c r="AM1845">
        <v>-44.87924613740698</v>
      </c>
      <c r="AN1845">
        <v>-20.105361049999939</v>
      </c>
      <c r="AO1845">
        <v>-44.87924613740698</v>
      </c>
      <c r="AP1845">
        <v>-20.105318</v>
      </c>
      <c r="AQ1845">
        <v>-44.879216</v>
      </c>
      <c r="AR1845">
        <v>5.7351338374851242</v>
      </c>
      <c r="AS1845" t="s">
        <v>65</v>
      </c>
      <c r="AT1845">
        <v>1</v>
      </c>
      <c r="AU1845" t="s">
        <v>1125</v>
      </c>
      <c r="AV1845" t="s">
        <v>1126</v>
      </c>
      <c r="AW1845" t="s">
        <v>60</v>
      </c>
      <c r="AX1845" t="s">
        <v>68</v>
      </c>
      <c r="AY1845" t="s">
        <v>69</v>
      </c>
      <c r="AZ1845" t="b">
        <v>1</v>
      </c>
    </row>
    <row r="1846" spans="1:52" x14ac:dyDescent="0.3">
      <c r="A1846" t="s">
        <v>52</v>
      </c>
      <c r="B1846" t="s">
        <v>53</v>
      </c>
      <c r="C1846" t="s">
        <v>54</v>
      </c>
      <c r="D1846" t="s">
        <v>55</v>
      </c>
      <c r="E1846" t="s">
        <v>2148</v>
      </c>
      <c r="F1846" t="s">
        <v>190</v>
      </c>
      <c r="G1846" t="s">
        <v>1127</v>
      </c>
      <c r="H1846" t="s">
        <v>1128</v>
      </c>
      <c r="I1846" t="s">
        <v>1128</v>
      </c>
      <c r="J1846" t="s">
        <v>60</v>
      </c>
      <c r="K1846" t="s">
        <v>1129</v>
      </c>
      <c r="L1846" t="s">
        <v>62</v>
      </c>
      <c r="M1846" t="s">
        <v>1129</v>
      </c>
      <c r="N1846" t="s">
        <v>1130</v>
      </c>
      <c r="O1846" t="s">
        <v>357</v>
      </c>
      <c r="P1846">
        <v>-20.106638</v>
      </c>
      <c r="Q1846">
        <v>-44.883538000000001</v>
      </c>
      <c r="R1846" s="2" t="str">
        <f>HYPERLINK("https://www.google.com/maps?q=-20.1066380,-44.8835380","Abrir no Google Maps")</f>
        <v>Abrir no Google Maps</v>
      </c>
      <c r="S1846">
        <v>3</v>
      </c>
      <c r="T1846">
        <v>754.03514396665969</v>
      </c>
      <c r="U1846">
        <v>3</v>
      </c>
      <c r="V1846">
        <v>23</v>
      </c>
      <c r="W1846">
        <v>1</v>
      </c>
      <c r="X1846">
        <v>23</v>
      </c>
      <c r="Y1846">
        <v>314</v>
      </c>
      <c r="Z1846">
        <v>584.1161650721092</v>
      </c>
      <c r="AA1846">
        <v>198</v>
      </c>
      <c r="AB1846">
        <v>332</v>
      </c>
      <c r="AC1846">
        <v>536</v>
      </c>
      <c r="AD1846">
        <v>30.74</v>
      </c>
      <c r="AE1846">
        <v>542</v>
      </c>
      <c r="AF1846">
        <v>30</v>
      </c>
      <c r="AG1846">
        <v>178</v>
      </c>
      <c r="AH1846">
        <v>129</v>
      </c>
      <c r="AI1846">
        <v>5.54</v>
      </c>
      <c r="AJ1846">
        <v>32.840000000000003</v>
      </c>
      <c r="AK1846">
        <v>23.8</v>
      </c>
      <c r="AL1846">
        <v>-20.106599599999949</v>
      </c>
      <c r="AM1846">
        <v>-44.883527947279568</v>
      </c>
      <c r="AN1846">
        <v>-20.106599599999949</v>
      </c>
      <c r="AO1846">
        <v>-44.883527947279568</v>
      </c>
      <c r="AP1846">
        <v>-20.106638</v>
      </c>
      <c r="AQ1846">
        <v>-44.883538000000001</v>
      </c>
      <c r="AR1846">
        <v>4.4019630384815924</v>
      </c>
      <c r="AS1846" t="s">
        <v>65</v>
      </c>
      <c r="AT1846">
        <v>1</v>
      </c>
      <c r="AU1846" t="s">
        <v>1131</v>
      </c>
      <c r="AV1846" t="s">
        <v>1132</v>
      </c>
      <c r="AW1846" t="s">
        <v>60</v>
      </c>
      <c r="AX1846" t="s">
        <v>68</v>
      </c>
      <c r="AY1846" t="s">
        <v>69</v>
      </c>
      <c r="AZ1846" t="b">
        <v>1</v>
      </c>
    </row>
    <row r="1847" spans="1:52" x14ac:dyDescent="0.3">
      <c r="A1847" t="s">
        <v>52</v>
      </c>
      <c r="B1847" t="s">
        <v>53</v>
      </c>
      <c r="C1847" t="s">
        <v>54</v>
      </c>
      <c r="D1847" t="s">
        <v>55</v>
      </c>
      <c r="E1847" t="s">
        <v>2148</v>
      </c>
      <c r="F1847" t="s">
        <v>190</v>
      </c>
      <c r="G1847" t="s">
        <v>1133</v>
      </c>
      <c r="H1847" t="s">
        <v>1144</v>
      </c>
      <c r="I1847" t="s">
        <v>1144</v>
      </c>
      <c r="J1847" t="s">
        <v>60</v>
      </c>
      <c r="K1847" t="s">
        <v>1123</v>
      </c>
      <c r="L1847" t="s">
        <v>62</v>
      </c>
      <c r="M1847" t="s">
        <v>1123</v>
      </c>
      <c r="N1847" t="s">
        <v>1135</v>
      </c>
      <c r="O1847" t="s">
        <v>907</v>
      </c>
      <c r="P1847">
        <v>-20.100351</v>
      </c>
      <c r="Q1847">
        <v>-44.878037999999997</v>
      </c>
      <c r="R1847" s="2" t="str">
        <f>HYPERLINK("https://www.google.com/maps?q=-20.1003510,-44.8780380","Abrir no Google Maps")</f>
        <v>Abrir no Google Maps</v>
      </c>
      <c r="S1847">
        <v>3</v>
      </c>
      <c r="T1847">
        <v>665.56785712469116</v>
      </c>
      <c r="U1847">
        <v>3</v>
      </c>
      <c r="V1847">
        <v>20</v>
      </c>
      <c r="W1847">
        <v>1</v>
      </c>
      <c r="X1847">
        <v>20</v>
      </c>
      <c r="Y1847">
        <v>314</v>
      </c>
      <c r="Z1847">
        <v>584.8532299266725</v>
      </c>
      <c r="AA1847">
        <v>198</v>
      </c>
      <c r="AB1847">
        <v>332</v>
      </c>
      <c r="AC1847">
        <v>536</v>
      </c>
      <c r="AD1847">
        <v>30.74</v>
      </c>
      <c r="AE1847">
        <v>542</v>
      </c>
      <c r="AF1847">
        <v>30</v>
      </c>
      <c r="AG1847">
        <v>178</v>
      </c>
      <c r="AH1847">
        <v>129</v>
      </c>
      <c r="AI1847">
        <v>5.54</v>
      </c>
      <c r="AJ1847">
        <v>32.840000000000003</v>
      </c>
      <c r="AK1847">
        <v>23.8</v>
      </c>
      <c r="AL1847">
        <v>-20.100420499999959</v>
      </c>
      <c r="AM1847">
        <v>-44.878125332575927</v>
      </c>
      <c r="AN1847">
        <v>-20.100420499999959</v>
      </c>
      <c r="AO1847">
        <v>-44.878125332575927</v>
      </c>
      <c r="AP1847">
        <v>-20.100351</v>
      </c>
      <c r="AQ1847">
        <v>-44.878037999999997</v>
      </c>
      <c r="AR1847">
        <v>11.966993892024719</v>
      </c>
      <c r="AS1847" t="s">
        <v>65</v>
      </c>
      <c r="AT1847">
        <v>1</v>
      </c>
      <c r="AU1847" t="s">
        <v>1145</v>
      </c>
      <c r="AV1847" t="s">
        <v>1146</v>
      </c>
      <c r="AW1847" t="s">
        <v>60</v>
      </c>
      <c r="AX1847" t="s">
        <v>68</v>
      </c>
      <c r="AY1847" t="s">
        <v>69</v>
      </c>
      <c r="AZ1847" t="b">
        <v>1</v>
      </c>
    </row>
    <row r="1848" spans="1:52" x14ac:dyDescent="0.3">
      <c r="A1848" t="s">
        <v>52</v>
      </c>
      <c r="B1848" t="s">
        <v>53</v>
      </c>
      <c r="C1848" t="s">
        <v>54</v>
      </c>
      <c r="D1848" t="s">
        <v>55</v>
      </c>
      <c r="E1848" t="s">
        <v>2148</v>
      </c>
      <c r="F1848" t="s">
        <v>190</v>
      </c>
      <c r="G1848" t="s">
        <v>2114</v>
      </c>
      <c r="H1848" t="s">
        <v>2115</v>
      </c>
      <c r="I1848" t="s">
        <v>2115</v>
      </c>
      <c r="J1848" t="s">
        <v>60</v>
      </c>
      <c r="K1848" t="s">
        <v>1123</v>
      </c>
      <c r="L1848" t="s">
        <v>62</v>
      </c>
      <c r="M1848" t="s">
        <v>1123</v>
      </c>
      <c r="N1848" t="s">
        <v>2116</v>
      </c>
      <c r="O1848" t="s">
        <v>2117</v>
      </c>
      <c r="P1848">
        <v>-20.102357000000001</v>
      </c>
      <c r="Q1848">
        <v>-44.876989000000002</v>
      </c>
      <c r="R1848" s="2" t="str">
        <f>HYPERLINK("https://www.google.com/maps?q=-20.1023570,-44.8769890","Abrir no Google Maps")</f>
        <v>Abrir no Google Maps</v>
      </c>
      <c r="S1848">
        <v>3</v>
      </c>
      <c r="T1848">
        <v>454.11282395638511</v>
      </c>
      <c r="U1848">
        <v>3</v>
      </c>
      <c r="V1848">
        <v>18</v>
      </c>
      <c r="W1848">
        <v>0.85</v>
      </c>
      <c r="X1848">
        <v>15.3</v>
      </c>
      <c r="Y1848">
        <v>314</v>
      </c>
      <c r="Z1848">
        <v>352.26842550518722</v>
      </c>
      <c r="AA1848">
        <v>198</v>
      </c>
      <c r="AB1848">
        <v>332</v>
      </c>
      <c r="AC1848">
        <v>536</v>
      </c>
      <c r="AD1848">
        <v>30.74</v>
      </c>
      <c r="AE1848">
        <v>542</v>
      </c>
      <c r="AF1848">
        <v>30</v>
      </c>
      <c r="AG1848">
        <v>178</v>
      </c>
      <c r="AH1848">
        <v>129</v>
      </c>
      <c r="AI1848">
        <v>5.54</v>
      </c>
      <c r="AJ1848">
        <v>32.840000000000003</v>
      </c>
      <c r="AK1848">
        <v>23.8</v>
      </c>
      <c r="AL1848">
        <v>-20.10213364999996</v>
      </c>
      <c r="AM1848">
        <v>-44.876983461947091</v>
      </c>
      <c r="AN1848">
        <v>-20.10213364999996</v>
      </c>
      <c r="AO1848">
        <v>-44.876983461947091</v>
      </c>
      <c r="AP1848">
        <v>-20.102357000000001</v>
      </c>
      <c r="AQ1848">
        <v>-44.876989000000002</v>
      </c>
      <c r="AR1848">
        <v>24.870061372191081</v>
      </c>
      <c r="AS1848" t="s">
        <v>65</v>
      </c>
      <c r="AT1848">
        <v>1</v>
      </c>
      <c r="AU1848" t="s">
        <v>2118</v>
      </c>
      <c r="AV1848" t="s">
        <v>1146</v>
      </c>
      <c r="AW1848" t="s">
        <v>60</v>
      </c>
      <c r="AX1848" t="s">
        <v>68</v>
      </c>
      <c r="AY1848" t="s">
        <v>69</v>
      </c>
      <c r="AZ1848" t="b">
        <v>1</v>
      </c>
    </row>
    <row r="1849" spans="1:52" x14ac:dyDescent="0.3">
      <c r="A1849" t="s">
        <v>52</v>
      </c>
      <c r="B1849" t="s">
        <v>53</v>
      </c>
      <c r="C1849" t="s">
        <v>54</v>
      </c>
      <c r="D1849" t="s">
        <v>55</v>
      </c>
      <c r="E1849" t="s">
        <v>2148</v>
      </c>
      <c r="F1849" t="s">
        <v>190</v>
      </c>
      <c r="G1849" t="s">
        <v>1147</v>
      </c>
      <c r="H1849" t="s">
        <v>1148</v>
      </c>
      <c r="I1849" t="s">
        <v>1148</v>
      </c>
      <c r="J1849" t="s">
        <v>60</v>
      </c>
      <c r="K1849" t="s">
        <v>798</v>
      </c>
      <c r="L1849" t="s">
        <v>62</v>
      </c>
      <c r="M1849" t="s">
        <v>798</v>
      </c>
      <c r="N1849" t="s">
        <v>1149</v>
      </c>
      <c r="O1849" t="s">
        <v>836</v>
      </c>
      <c r="P1849">
        <v>-20.112448000000001</v>
      </c>
      <c r="Q1849">
        <v>-44.904887000000002</v>
      </c>
      <c r="R1849" s="2" t="str">
        <f>HYPERLINK("https://www.google.com/maps?q=-20.1124480,-44.9048870","Abrir no Google Maps")</f>
        <v>Abrir no Google Maps</v>
      </c>
      <c r="S1849">
        <v>3</v>
      </c>
      <c r="T1849">
        <v>404.16588765758058</v>
      </c>
      <c r="U1849">
        <v>3</v>
      </c>
      <c r="V1849">
        <v>16</v>
      </c>
      <c r="W1849">
        <v>1</v>
      </c>
      <c r="X1849">
        <v>16</v>
      </c>
      <c r="Y1849">
        <v>300</v>
      </c>
      <c r="Z1849">
        <v>435.21165957304731</v>
      </c>
      <c r="AA1849">
        <v>198</v>
      </c>
      <c r="AB1849">
        <v>332</v>
      </c>
      <c r="AC1849">
        <v>536</v>
      </c>
      <c r="AD1849">
        <v>30.74</v>
      </c>
      <c r="AE1849">
        <v>542</v>
      </c>
      <c r="AF1849">
        <v>30</v>
      </c>
      <c r="AG1849">
        <v>178</v>
      </c>
      <c r="AH1849">
        <v>129</v>
      </c>
      <c r="AI1849">
        <v>5.54</v>
      </c>
      <c r="AJ1849">
        <v>32.840000000000003</v>
      </c>
      <c r="AK1849">
        <v>23.8</v>
      </c>
      <c r="AL1849">
        <v>-20.11243479999996</v>
      </c>
      <c r="AM1849">
        <v>-44.904803228053026</v>
      </c>
      <c r="AN1849">
        <v>-20.11243479999996</v>
      </c>
      <c r="AO1849">
        <v>-44.904803228053026</v>
      </c>
      <c r="AP1849">
        <v>-20.112448000000001</v>
      </c>
      <c r="AQ1849">
        <v>-44.904887000000002</v>
      </c>
      <c r="AR1849">
        <v>8.8792525353759544</v>
      </c>
      <c r="AS1849" t="s">
        <v>65</v>
      </c>
      <c r="AT1849">
        <v>1</v>
      </c>
      <c r="AU1849" t="s">
        <v>1150</v>
      </c>
      <c r="AV1849" t="s">
        <v>1151</v>
      </c>
      <c r="AW1849" t="s">
        <v>60</v>
      </c>
      <c r="AX1849" t="s">
        <v>68</v>
      </c>
      <c r="AY1849" t="s">
        <v>69</v>
      </c>
      <c r="AZ1849" t="b">
        <v>1</v>
      </c>
    </row>
    <row r="1850" spans="1:52" x14ac:dyDescent="0.3">
      <c r="A1850" t="s">
        <v>52</v>
      </c>
      <c r="B1850" t="s">
        <v>53</v>
      </c>
      <c r="C1850" t="s">
        <v>54</v>
      </c>
      <c r="D1850" t="s">
        <v>55</v>
      </c>
      <c r="E1850" t="s">
        <v>2148</v>
      </c>
      <c r="F1850" t="s">
        <v>190</v>
      </c>
      <c r="G1850" t="s">
        <v>1763</v>
      </c>
      <c r="H1850" t="s">
        <v>1764</v>
      </c>
      <c r="I1850" t="s">
        <v>1764</v>
      </c>
      <c r="J1850" t="s">
        <v>60</v>
      </c>
      <c r="K1850" t="s">
        <v>798</v>
      </c>
      <c r="L1850" t="s">
        <v>62</v>
      </c>
      <c r="M1850" t="s">
        <v>798</v>
      </c>
      <c r="N1850" t="s">
        <v>1765</v>
      </c>
      <c r="O1850" t="s">
        <v>1766</v>
      </c>
      <c r="P1850">
        <v>-20.111158</v>
      </c>
      <c r="Q1850">
        <v>-44.901231000000003</v>
      </c>
      <c r="R1850" s="2" t="str">
        <f>HYPERLINK("https://www.google.com/maps?q=-20.1111580,-44.9012310","Abrir no Google Maps")</f>
        <v>Abrir no Google Maps</v>
      </c>
      <c r="S1850">
        <v>3</v>
      </c>
      <c r="T1850">
        <v>0</v>
      </c>
      <c r="U1850">
        <v>3</v>
      </c>
      <c r="V1850">
        <v>21</v>
      </c>
      <c r="W1850">
        <v>1</v>
      </c>
      <c r="X1850">
        <v>21</v>
      </c>
      <c r="Y1850">
        <v>300</v>
      </c>
      <c r="Z1850">
        <v>159.5707781627477</v>
      </c>
      <c r="AA1850">
        <v>198</v>
      </c>
      <c r="AB1850">
        <v>332</v>
      </c>
      <c r="AC1850">
        <v>536</v>
      </c>
      <c r="AD1850">
        <v>30.74</v>
      </c>
      <c r="AE1850">
        <v>542</v>
      </c>
      <c r="AF1850">
        <v>30</v>
      </c>
      <c r="AG1850">
        <v>178</v>
      </c>
      <c r="AH1850">
        <v>129</v>
      </c>
      <c r="AI1850">
        <v>5.54</v>
      </c>
      <c r="AJ1850">
        <v>32.840000000000003</v>
      </c>
      <c r="AK1850">
        <v>23.8</v>
      </c>
      <c r="AL1850">
        <v>-20.111381299999941</v>
      </c>
      <c r="AM1850">
        <v>-44.90110111260114</v>
      </c>
      <c r="AN1850">
        <v>-20.111381299999941</v>
      </c>
      <c r="AO1850">
        <v>-44.90110111260114</v>
      </c>
      <c r="AP1850">
        <v>-20.111158</v>
      </c>
      <c r="AQ1850">
        <v>-44.901231000000003</v>
      </c>
      <c r="AR1850">
        <v>28.32410367036935</v>
      </c>
      <c r="AS1850" t="s">
        <v>65</v>
      </c>
      <c r="AT1850">
        <v>1</v>
      </c>
      <c r="AU1850" t="s">
        <v>1767</v>
      </c>
      <c r="AV1850" t="s">
        <v>1768</v>
      </c>
      <c r="AW1850" t="s">
        <v>60</v>
      </c>
      <c r="AX1850" t="s">
        <v>68</v>
      </c>
      <c r="AY1850" t="s">
        <v>69</v>
      </c>
      <c r="AZ1850" t="b">
        <v>1</v>
      </c>
    </row>
    <row r="1851" spans="1:52" x14ac:dyDescent="0.3">
      <c r="A1851" t="s">
        <v>52</v>
      </c>
      <c r="B1851" t="s">
        <v>53</v>
      </c>
      <c r="C1851" t="s">
        <v>54</v>
      </c>
      <c r="D1851" t="s">
        <v>55</v>
      </c>
      <c r="E1851" t="s">
        <v>2148</v>
      </c>
      <c r="F1851" t="s">
        <v>190</v>
      </c>
      <c r="G1851" t="s">
        <v>1769</v>
      </c>
      <c r="H1851" t="s">
        <v>1770</v>
      </c>
      <c r="I1851" t="s">
        <v>1770</v>
      </c>
      <c r="J1851" t="s">
        <v>60</v>
      </c>
      <c r="K1851" t="s">
        <v>791</v>
      </c>
      <c r="L1851" t="s">
        <v>62</v>
      </c>
      <c r="M1851" t="s">
        <v>791</v>
      </c>
      <c r="N1851" t="s">
        <v>1771</v>
      </c>
      <c r="O1851" t="s">
        <v>494</v>
      </c>
      <c r="P1851">
        <v>-20.108464999999999</v>
      </c>
      <c r="Q1851">
        <v>-44.902169000000001</v>
      </c>
      <c r="R1851" s="2" t="str">
        <f>HYPERLINK("https://www.google.com/maps?q=-20.1084650,-44.9021690","Abrir no Google Maps")</f>
        <v>Abrir no Google Maps</v>
      </c>
      <c r="S1851">
        <v>3</v>
      </c>
      <c r="T1851">
        <v>332.55452480320798</v>
      </c>
      <c r="U1851">
        <v>3</v>
      </c>
      <c r="V1851">
        <v>17</v>
      </c>
      <c r="W1851">
        <v>1</v>
      </c>
      <c r="X1851">
        <v>17</v>
      </c>
      <c r="Y1851">
        <v>300</v>
      </c>
      <c r="Z1851">
        <v>139.01495543278119</v>
      </c>
      <c r="AA1851">
        <v>198</v>
      </c>
      <c r="AB1851">
        <v>332</v>
      </c>
      <c r="AC1851">
        <v>536</v>
      </c>
      <c r="AD1851">
        <v>30.74</v>
      </c>
      <c r="AE1851">
        <v>542</v>
      </c>
      <c r="AF1851">
        <v>30</v>
      </c>
      <c r="AG1851">
        <v>178</v>
      </c>
      <c r="AH1851">
        <v>129</v>
      </c>
      <c r="AI1851">
        <v>5.54</v>
      </c>
      <c r="AJ1851">
        <v>32.840000000000003</v>
      </c>
      <c r="AK1851">
        <v>23.8</v>
      </c>
      <c r="AL1851">
        <v>-20.108420149999969</v>
      </c>
      <c r="AM1851">
        <v>-44.90164352007664</v>
      </c>
      <c r="AN1851">
        <v>-20.108420149999969</v>
      </c>
      <c r="AO1851">
        <v>-44.90164352007664</v>
      </c>
      <c r="AP1851">
        <v>-20.108464999999999</v>
      </c>
      <c r="AQ1851">
        <v>-44.902169000000001</v>
      </c>
      <c r="AR1851">
        <v>55.157130612493773</v>
      </c>
      <c r="AS1851" t="s">
        <v>65</v>
      </c>
      <c r="AT1851">
        <v>1</v>
      </c>
      <c r="AU1851" t="s">
        <v>1772</v>
      </c>
      <c r="AV1851" t="s">
        <v>1773</v>
      </c>
      <c r="AW1851" t="s">
        <v>60</v>
      </c>
      <c r="AX1851" t="s">
        <v>68</v>
      </c>
      <c r="AY1851" t="s">
        <v>69</v>
      </c>
      <c r="AZ1851" t="b">
        <v>1</v>
      </c>
    </row>
    <row r="1852" spans="1:52" x14ac:dyDescent="0.3">
      <c r="A1852" t="s">
        <v>52</v>
      </c>
      <c r="B1852" t="s">
        <v>53</v>
      </c>
      <c r="C1852" t="s">
        <v>54</v>
      </c>
      <c r="D1852" t="s">
        <v>55</v>
      </c>
      <c r="E1852" t="s">
        <v>2148</v>
      </c>
      <c r="F1852" t="s">
        <v>190</v>
      </c>
      <c r="G1852" t="s">
        <v>1935</v>
      </c>
      <c r="H1852" t="s">
        <v>1936</v>
      </c>
      <c r="I1852" t="s">
        <v>1936</v>
      </c>
      <c r="J1852" t="s">
        <v>60</v>
      </c>
      <c r="K1852" t="s">
        <v>1265</v>
      </c>
      <c r="L1852" t="s">
        <v>62</v>
      </c>
      <c r="M1852" t="s">
        <v>1265</v>
      </c>
      <c r="N1852" t="s">
        <v>1937</v>
      </c>
      <c r="O1852" t="s">
        <v>738</v>
      </c>
      <c r="P1852">
        <v>-20.112497999999999</v>
      </c>
      <c r="Q1852">
        <v>-44.907307000000003</v>
      </c>
      <c r="R1852" s="2" t="str">
        <f>HYPERLINK("https://www.google.com/maps?q=-20.1124980,-44.9073070","Abrir no Google Maps")</f>
        <v>Abrir no Google Maps</v>
      </c>
      <c r="S1852">
        <v>3</v>
      </c>
      <c r="T1852">
        <v>682.46188175859595</v>
      </c>
      <c r="U1852">
        <v>3</v>
      </c>
      <c r="V1852">
        <v>20</v>
      </c>
      <c r="W1852">
        <v>0.85</v>
      </c>
      <c r="X1852">
        <v>17</v>
      </c>
      <c r="Y1852">
        <v>300</v>
      </c>
      <c r="Z1852">
        <v>693.47964384474699</v>
      </c>
      <c r="AA1852">
        <v>198</v>
      </c>
      <c r="AB1852">
        <v>332</v>
      </c>
      <c r="AC1852">
        <v>536</v>
      </c>
      <c r="AD1852">
        <v>30.74</v>
      </c>
      <c r="AE1852">
        <v>542</v>
      </c>
      <c r="AF1852">
        <v>30</v>
      </c>
      <c r="AG1852">
        <v>178</v>
      </c>
      <c r="AH1852">
        <v>129</v>
      </c>
      <c r="AI1852">
        <v>5.54</v>
      </c>
      <c r="AJ1852">
        <v>32.840000000000003</v>
      </c>
      <c r="AK1852">
        <v>23.8</v>
      </c>
      <c r="AL1852">
        <v>-20.112429099999961</v>
      </c>
      <c r="AM1852">
        <v>-44.907534975307001</v>
      </c>
      <c r="AN1852">
        <v>-20.112429099999961</v>
      </c>
      <c r="AO1852">
        <v>-44.907534975307001</v>
      </c>
      <c r="AP1852">
        <v>-20.112497999999999</v>
      </c>
      <c r="AQ1852">
        <v>-44.907307000000003</v>
      </c>
      <c r="AR1852">
        <v>25.034526020325121</v>
      </c>
      <c r="AS1852" t="s">
        <v>65</v>
      </c>
      <c r="AT1852">
        <v>1</v>
      </c>
      <c r="AU1852" t="s">
        <v>1938</v>
      </c>
      <c r="AV1852" t="s">
        <v>1939</v>
      </c>
      <c r="AW1852" t="s">
        <v>60</v>
      </c>
      <c r="AX1852" t="s">
        <v>68</v>
      </c>
      <c r="AY1852" t="s">
        <v>69</v>
      </c>
      <c r="AZ1852" t="b">
        <v>1</v>
      </c>
    </row>
    <row r="1853" spans="1:52" x14ac:dyDescent="0.3">
      <c r="A1853" t="s">
        <v>52</v>
      </c>
      <c r="B1853" t="s">
        <v>53</v>
      </c>
      <c r="C1853" t="s">
        <v>54</v>
      </c>
      <c r="D1853" t="s">
        <v>55</v>
      </c>
      <c r="E1853" t="s">
        <v>2148</v>
      </c>
      <c r="F1853" t="s">
        <v>190</v>
      </c>
      <c r="G1853" t="s">
        <v>1157</v>
      </c>
      <c r="H1853" t="s">
        <v>1158</v>
      </c>
      <c r="I1853" t="s">
        <v>1158</v>
      </c>
      <c r="J1853" t="s">
        <v>60</v>
      </c>
      <c r="K1853" t="s">
        <v>791</v>
      </c>
      <c r="L1853" t="s">
        <v>62</v>
      </c>
      <c r="M1853" t="s">
        <v>791</v>
      </c>
      <c r="N1853" t="s">
        <v>1159</v>
      </c>
      <c r="O1853" t="s">
        <v>1160</v>
      </c>
      <c r="P1853">
        <v>-20.108114</v>
      </c>
      <c r="Q1853">
        <v>-44.905804000000003</v>
      </c>
      <c r="R1853" s="2" t="str">
        <f>HYPERLINK("https://www.google.com/maps?q=-20.1081140,-44.9058040","Abrir no Google Maps")</f>
        <v>Abrir no Google Maps</v>
      </c>
      <c r="S1853">
        <v>3</v>
      </c>
      <c r="T1853">
        <v>603.1428230097074</v>
      </c>
      <c r="U1853">
        <v>3</v>
      </c>
      <c r="V1853">
        <v>20</v>
      </c>
      <c r="W1853">
        <v>1</v>
      </c>
      <c r="X1853">
        <v>20</v>
      </c>
      <c r="Y1853">
        <v>300</v>
      </c>
      <c r="Z1853">
        <v>444.71482981499793</v>
      </c>
      <c r="AA1853">
        <v>198</v>
      </c>
      <c r="AB1853">
        <v>332</v>
      </c>
      <c r="AC1853">
        <v>536</v>
      </c>
      <c r="AD1853">
        <v>30.74</v>
      </c>
      <c r="AE1853">
        <v>542</v>
      </c>
      <c r="AF1853">
        <v>30</v>
      </c>
      <c r="AG1853">
        <v>178</v>
      </c>
      <c r="AH1853">
        <v>129</v>
      </c>
      <c r="AI1853">
        <v>5.54</v>
      </c>
      <c r="AJ1853">
        <v>32.840000000000003</v>
      </c>
      <c r="AK1853">
        <v>23.8</v>
      </c>
      <c r="AL1853">
        <v>-20.108146549999962</v>
      </c>
      <c r="AM1853">
        <v>-44.905744943453513</v>
      </c>
      <c r="AN1853">
        <v>-20.108146549999962</v>
      </c>
      <c r="AO1853">
        <v>-44.905744943453513</v>
      </c>
      <c r="AP1853">
        <v>-20.108114</v>
      </c>
      <c r="AQ1853">
        <v>-44.905804000000003</v>
      </c>
      <c r="AR1853">
        <v>7.1582799138071884</v>
      </c>
      <c r="AS1853" t="s">
        <v>65</v>
      </c>
      <c r="AT1853">
        <v>1</v>
      </c>
      <c r="AU1853" t="s">
        <v>1161</v>
      </c>
      <c r="AV1853" t="s">
        <v>1162</v>
      </c>
      <c r="AW1853" t="s">
        <v>60</v>
      </c>
      <c r="AX1853" t="s">
        <v>68</v>
      </c>
      <c r="AY1853" t="s">
        <v>69</v>
      </c>
      <c r="AZ1853" t="b">
        <v>1</v>
      </c>
    </row>
    <row r="1854" spans="1:52" x14ac:dyDescent="0.3">
      <c r="A1854" t="s">
        <v>52</v>
      </c>
      <c r="B1854" t="s">
        <v>53</v>
      </c>
      <c r="C1854" t="s">
        <v>54</v>
      </c>
      <c r="D1854" t="s">
        <v>55</v>
      </c>
      <c r="E1854" t="s">
        <v>2148</v>
      </c>
      <c r="F1854" t="s">
        <v>190</v>
      </c>
      <c r="G1854" t="s">
        <v>1940</v>
      </c>
      <c r="H1854" t="s">
        <v>1941</v>
      </c>
      <c r="I1854" t="s">
        <v>1941</v>
      </c>
      <c r="J1854" t="s">
        <v>60</v>
      </c>
      <c r="K1854" t="s">
        <v>791</v>
      </c>
      <c r="L1854" t="s">
        <v>62</v>
      </c>
      <c r="M1854" t="s">
        <v>791</v>
      </c>
      <c r="N1854" t="s">
        <v>1942</v>
      </c>
      <c r="O1854" t="s">
        <v>1943</v>
      </c>
      <c r="P1854">
        <v>-20.10868</v>
      </c>
      <c r="Q1854">
        <v>-44.914802999999999</v>
      </c>
      <c r="R1854" s="2" t="str">
        <f>HYPERLINK("https://www.google.com/maps?q=-20.1086800,-44.9148030","Abrir no Google Maps")</f>
        <v>Abrir no Google Maps</v>
      </c>
      <c r="S1854">
        <v>3</v>
      </c>
      <c r="T1854">
        <v>1497.818218016964</v>
      </c>
      <c r="U1854">
        <v>3</v>
      </c>
      <c r="V1854">
        <v>20</v>
      </c>
      <c r="W1854">
        <v>0.85</v>
      </c>
      <c r="X1854">
        <v>17</v>
      </c>
      <c r="Y1854">
        <v>300</v>
      </c>
      <c r="Z1854">
        <v>1347.8282808622</v>
      </c>
      <c r="AA1854">
        <v>198</v>
      </c>
      <c r="AB1854">
        <v>332</v>
      </c>
      <c r="AC1854">
        <v>536</v>
      </c>
      <c r="AD1854">
        <v>30.74</v>
      </c>
      <c r="AE1854">
        <v>542</v>
      </c>
      <c r="AF1854">
        <v>30</v>
      </c>
      <c r="AG1854">
        <v>178</v>
      </c>
      <c r="AH1854">
        <v>129</v>
      </c>
      <c r="AI1854">
        <v>5.54</v>
      </c>
      <c r="AJ1854">
        <v>32.840000000000003</v>
      </c>
      <c r="AK1854">
        <v>23.8</v>
      </c>
      <c r="AL1854">
        <v>-20.108341949999978</v>
      </c>
      <c r="AM1854">
        <v>-44.915063905998323</v>
      </c>
      <c r="AN1854">
        <v>-20.108341949999978</v>
      </c>
      <c r="AO1854">
        <v>-44.915063905998323</v>
      </c>
      <c r="AP1854">
        <v>-20.10868</v>
      </c>
      <c r="AQ1854">
        <v>-44.914802999999999</v>
      </c>
      <c r="AR1854">
        <v>46.47578843967414</v>
      </c>
      <c r="AS1854" t="s">
        <v>65</v>
      </c>
      <c r="AT1854">
        <v>1</v>
      </c>
      <c r="AU1854" t="s">
        <v>1944</v>
      </c>
      <c r="AV1854" t="s">
        <v>1945</v>
      </c>
      <c r="AW1854" t="s">
        <v>60</v>
      </c>
      <c r="AX1854" t="s">
        <v>68</v>
      </c>
      <c r="AY1854" t="s">
        <v>69</v>
      </c>
      <c r="AZ1854" t="b">
        <v>1</v>
      </c>
    </row>
    <row r="1855" spans="1:52" x14ac:dyDescent="0.3">
      <c r="A1855" t="s">
        <v>52</v>
      </c>
      <c r="B1855" t="s">
        <v>53</v>
      </c>
      <c r="C1855" t="s">
        <v>54</v>
      </c>
      <c r="D1855" t="s">
        <v>55</v>
      </c>
      <c r="E1855" t="s">
        <v>2148</v>
      </c>
      <c r="F1855" t="s">
        <v>190</v>
      </c>
      <c r="G1855" t="s">
        <v>1163</v>
      </c>
      <c r="H1855" t="s">
        <v>1164</v>
      </c>
      <c r="I1855" t="s">
        <v>1164</v>
      </c>
      <c r="J1855" t="s">
        <v>60</v>
      </c>
      <c r="K1855" t="s">
        <v>1165</v>
      </c>
      <c r="L1855" t="s">
        <v>62</v>
      </c>
      <c r="M1855" t="s">
        <v>1165</v>
      </c>
      <c r="N1855" t="s">
        <v>1166</v>
      </c>
      <c r="O1855" t="s">
        <v>1167</v>
      </c>
      <c r="P1855">
        <v>-20.155543000000002</v>
      </c>
      <c r="Q1855">
        <v>-44.863444000000001</v>
      </c>
      <c r="R1855" s="2" t="str">
        <f>HYPERLINK("https://www.google.com/maps?q=-20.1555430,-44.8634440","Abrir no Google Maps")</f>
        <v>Abrir no Google Maps</v>
      </c>
      <c r="S1855">
        <v>3</v>
      </c>
      <c r="T1855">
        <v>314.02353400254742</v>
      </c>
      <c r="U1855">
        <v>3</v>
      </c>
      <c r="V1855">
        <v>23</v>
      </c>
      <c r="W1855">
        <v>1</v>
      </c>
      <c r="X1855">
        <v>23</v>
      </c>
      <c r="Y1855">
        <v>264</v>
      </c>
      <c r="Z1855">
        <v>282.65065866463459</v>
      </c>
      <c r="AA1855">
        <v>198</v>
      </c>
      <c r="AB1855">
        <v>332</v>
      </c>
      <c r="AC1855">
        <v>536</v>
      </c>
      <c r="AD1855">
        <v>30.74</v>
      </c>
      <c r="AE1855">
        <v>542</v>
      </c>
      <c r="AF1855">
        <v>30</v>
      </c>
      <c r="AG1855">
        <v>178</v>
      </c>
      <c r="AH1855">
        <v>129</v>
      </c>
      <c r="AI1855">
        <v>5.54</v>
      </c>
      <c r="AJ1855">
        <v>32.840000000000003</v>
      </c>
      <c r="AK1855">
        <v>23.8</v>
      </c>
      <c r="AL1855">
        <v>-20.155436449999939</v>
      </c>
      <c r="AM1855">
        <v>-44.863557722691183</v>
      </c>
      <c r="AN1855">
        <v>-20.155436449999939</v>
      </c>
      <c r="AO1855">
        <v>-44.863557722691183</v>
      </c>
      <c r="AP1855">
        <v>-20.155543000000002</v>
      </c>
      <c r="AQ1855">
        <v>-44.863444000000001</v>
      </c>
      <c r="AR1855">
        <v>16.790610674079979</v>
      </c>
      <c r="AS1855" t="s">
        <v>65</v>
      </c>
      <c r="AT1855">
        <v>1</v>
      </c>
      <c r="AU1855" t="s">
        <v>1168</v>
      </c>
      <c r="AV1855" t="s">
        <v>1169</v>
      </c>
      <c r="AW1855" t="s">
        <v>60</v>
      </c>
      <c r="AX1855" t="s">
        <v>68</v>
      </c>
      <c r="AY1855" t="s">
        <v>69</v>
      </c>
      <c r="AZ1855" t="b">
        <v>1</v>
      </c>
    </row>
    <row r="1856" spans="1:52" x14ac:dyDescent="0.3">
      <c r="A1856" t="s">
        <v>52</v>
      </c>
      <c r="B1856" t="s">
        <v>53</v>
      </c>
      <c r="C1856" t="s">
        <v>54</v>
      </c>
      <c r="D1856" t="s">
        <v>55</v>
      </c>
      <c r="E1856" t="s">
        <v>2148</v>
      </c>
      <c r="F1856" t="s">
        <v>190</v>
      </c>
      <c r="G1856" t="s">
        <v>1175</v>
      </c>
      <c r="H1856" t="s">
        <v>1176</v>
      </c>
      <c r="I1856" t="s">
        <v>1176</v>
      </c>
      <c r="J1856" t="s">
        <v>60</v>
      </c>
      <c r="K1856" t="s">
        <v>1177</v>
      </c>
      <c r="L1856" t="s">
        <v>62</v>
      </c>
      <c r="M1856" t="s">
        <v>1177</v>
      </c>
      <c r="N1856" t="s">
        <v>1178</v>
      </c>
      <c r="O1856" t="s">
        <v>1179</v>
      </c>
      <c r="P1856">
        <v>-20.153393000000001</v>
      </c>
      <c r="Q1856">
        <v>-44.865701999999999</v>
      </c>
      <c r="R1856" s="2" t="str">
        <f>HYPERLINK("https://www.google.com/maps?q=-20.1533930,-44.8657020","Abrir no Google Maps")</f>
        <v>Abrir no Google Maps</v>
      </c>
      <c r="S1856">
        <v>3</v>
      </c>
      <c r="T1856">
        <v>0</v>
      </c>
      <c r="U1856">
        <v>3</v>
      </c>
      <c r="V1856">
        <v>23</v>
      </c>
      <c r="W1856">
        <v>1</v>
      </c>
      <c r="X1856">
        <v>23</v>
      </c>
      <c r="Y1856">
        <v>264</v>
      </c>
      <c r="Z1856">
        <v>187.61117597536</v>
      </c>
      <c r="AA1856">
        <v>198</v>
      </c>
      <c r="AB1856">
        <v>332</v>
      </c>
      <c r="AC1856">
        <v>536</v>
      </c>
      <c r="AD1856">
        <v>30.74</v>
      </c>
      <c r="AE1856">
        <v>542</v>
      </c>
      <c r="AF1856">
        <v>30</v>
      </c>
      <c r="AG1856">
        <v>178</v>
      </c>
      <c r="AH1856">
        <v>129</v>
      </c>
      <c r="AI1856">
        <v>5.54</v>
      </c>
      <c r="AJ1856">
        <v>32.840000000000003</v>
      </c>
      <c r="AK1856">
        <v>23.8</v>
      </c>
      <c r="AL1856">
        <v>-20.153365199999971</v>
      </c>
      <c r="AM1856">
        <v>-44.865611713780503</v>
      </c>
      <c r="AN1856">
        <v>-20.153365199999971</v>
      </c>
      <c r="AO1856">
        <v>-44.865611713780503</v>
      </c>
      <c r="AP1856">
        <v>-20.153393000000001</v>
      </c>
      <c r="AQ1856">
        <v>-44.865701999999999</v>
      </c>
      <c r="AR1856">
        <v>9.9298532940923003</v>
      </c>
      <c r="AS1856" t="s">
        <v>65</v>
      </c>
      <c r="AT1856">
        <v>1</v>
      </c>
      <c r="AU1856" t="s">
        <v>1180</v>
      </c>
      <c r="AV1856" t="s">
        <v>1181</v>
      </c>
      <c r="AW1856" t="s">
        <v>60</v>
      </c>
      <c r="AX1856" t="s">
        <v>68</v>
      </c>
      <c r="AY1856" t="s">
        <v>69</v>
      </c>
      <c r="AZ1856" t="b">
        <v>1</v>
      </c>
    </row>
    <row r="1857" spans="1:52" x14ac:dyDescent="0.3">
      <c r="A1857" t="s">
        <v>52</v>
      </c>
      <c r="B1857" t="s">
        <v>53</v>
      </c>
      <c r="C1857" t="s">
        <v>54</v>
      </c>
      <c r="D1857" t="s">
        <v>55</v>
      </c>
      <c r="E1857" t="s">
        <v>2148</v>
      </c>
      <c r="F1857" t="s">
        <v>190</v>
      </c>
      <c r="G1857" t="s">
        <v>1790</v>
      </c>
      <c r="H1857" t="s">
        <v>1791</v>
      </c>
      <c r="I1857" t="s">
        <v>1791</v>
      </c>
      <c r="J1857" t="s">
        <v>60</v>
      </c>
      <c r="K1857" t="s">
        <v>781</v>
      </c>
      <c r="L1857" t="s">
        <v>62</v>
      </c>
      <c r="M1857" t="s">
        <v>781</v>
      </c>
      <c r="N1857" t="s">
        <v>1792</v>
      </c>
      <c r="O1857" t="s">
        <v>1438</v>
      </c>
      <c r="P1857">
        <v>-20.140640999999999</v>
      </c>
      <c r="Q1857">
        <v>-44.865606999999997</v>
      </c>
      <c r="R1857" s="2" t="str">
        <f>HYPERLINK("https://www.google.com/maps?q=-20.1406410,-44.8656070","Abrir no Google Maps")</f>
        <v>Abrir no Google Maps</v>
      </c>
      <c r="S1857">
        <v>3</v>
      </c>
      <c r="T1857">
        <v>718.83674500124857</v>
      </c>
      <c r="U1857">
        <v>3</v>
      </c>
      <c r="V1857">
        <v>16</v>
      </c>
      <c r="W1857">
        <v>1</v>
      </c>
      <c r="X1857">
        <v>16</v>
      </c>
      <c r="Y1857">
        <v>198</v>
      </c>
      <c r="Z1857">
        <v>796.27455839490824</v>
      </c>
      <c r="AA1857">
        <v>198</v>
      </c>
      <c r="AB1857">
        <v>332</v>
      </c>
      <c r="AC1857">
        <v>536</v>
      </c>
      <c r="AD1857">
        <v>30.74</v>
      </c>
      <c r="AE1857">
        <v>542</v>
      </c>
      <c r="AF1857">
        <v>30</v>
      </c>
      <c r="AG1857">
        <v>178</v>
      </c>
      <c r="AH1857">
        <v>129</v>
      </c>
      <c r="AI1857">
        <v>5.54</v>
      </c>
      <c r="AJ1857">
        <v>32.840000000000003</v>
      </c>
      <c r="AK1857">
        <v>23.8</v>
      </c>
      <c r="AL1857">
        <v>-20.14068544999995</v>
      </c>
      <c r="AM1857">
        <v>-44.865682971258813</v>
      </c>
      <c r="AN1857">
        <v>-20.140685449999939</v>
      </c>
      <c r="AO1857">
        <v>-44.865682971258813</v>
      </c>
      <c r="AP1857">
        <v>-20.140640999999999</v>
      </c>
      <c r="AQ1857">
        <v>-44.865606999999997</v>
      </c>
      <c r="AR1857">
        <v>9.3556137916774258</v>
      </c>
      <c r="AS1857" t="s">
        <v>65</v>
      </c>
      <c r="AT1857">
        <v>1</v>
      </c>
      <c r="AU1857" t="s">
        <v>1793</v>
      </c>
      <c r="AV1857" t="s">
        <v>1794</v>
      </c>
      <c r="AW1857" t="s">
        <v>60</v>
      </c>
      <c r="AX1857" t="s">
        <v>68</v>
      </c>
      <c r="AY1857" t="s">
        <v>69</v>
      </c>
      <c r="AZ1857" t="b">
        <v>1</v>
      </c>
    </row>
    <row r="1858" spans="1:52" x14ac:dyDescent="0.3">
      <c r="A1858" t="s">
        <v>52</v>
      </c>
      <c r="B1858" t="s">
        <v>53</v>
      </c>
      <c r="C1858" t="s">
        <v>54</v>
      </c>
      <c r="D1858" t="s">
        <v>55</v>
      </c>
      <c r="E1858" t="s">
        <v>2148</v>
      </c>
      <c r="F1858" t="s">
        <v>190</v>
      </c>
      <c r="G1858" t="s">
        <v>1990</v>
      </c>
      <c r="H1858" t="s">
        <v>1991</v>
      </c>
      <c r="I1858" t="s">
        <v>1991</v>
      </c>
      <c r="J1858" t="s">
        <v>60</v>
      </c>
      <c r="K1858" t="s">
        <v>822</v>
      </c>
      <c r="L1858" t="s">
        <v>62</v>
      </c>
      <c r="M1858" t="s">
        <v>822</v>
      </c>
      <c r="N1858" t="s">
        <v>1992</v>
      </c>
      <c r="O1858" t="s">
        <v>1993</v>
      </c>
      <c r="P1858">
        <v>-20.185697000000001</v>
      </c>
      <c r="Q1858">
        <v>-44.910505999999998</v>
      </c>
      <c r="R1858" s="2" t="str">
        <f>HYPERLINK("https://www.google.com/maps?q=-20.1856970,-44.9105060","Abrir no Google Maps")</f>
        <v>Abrir no Google Maps</v>
      </c>
      <c r="S1858">
        <v>3</v>
      </c>
      <c r="T1858">
        <v>0</v>
      </c>
      <c r="U1858">
        <v>3</v>
      </c>
      <c r="V1858">
        <v>20</v>
      </c>
      <c r="W1858">
        <v>0.85</v>
      </c>
      <c r="X1858">
        <v>17</v>
      </c>
      <c r="Y1858">
        <v>135</v>
      </c>
      <c r="Z1858">
        <v>343.69681053463609</v>
      </c>
      <c r="AA1858">
        <v>198</v>
      </c>
      <c r="AB1858">
        <v>332</v>
      </c>
      <c r="AC1858">
        <v>536</v>
      </c>
      <c r="AD1858">
        <v>30.74</v>
      </c>
      <c r="AE1858">
        <v>542</v>
      </c>
      <c r="AF1858">
        <v>30</v>
      </c>
      <c r="AG1858">
        <v>178</v>
      </c>
      <c r="AH1858">
        <v>129</v>
      </c>
      <c r="AI1858">
        <v>5.54</v>
      </c>
      <c r="AJ1858">
        <v>32.840000000000003</v>
      </c>
      <c r="AK1858">
        <v>23.8</v>
      </c>
      <c r="AL1858">
        <v>-20.185715749999961</v>
      </c>
      <c r="AM1858">
        <v>-44.910534239471573</v>
      </c>
      <c r="AN1858">
        <v>-20.185715749999961</v>
      </c>
      <c r="AO1858">
        <v>-44.910534239471573</v>
      </c>
      <c r="AP1858">
        <v>-20.185697000000001</v>
      </c>
      <c r="AQ1858">
        <v>-44.910505999999998</v>
      </c>
      <c r="AR1858">
        <v>3.6141753980162412</v>
      </c>
      <c r="AS1858" t="s">
        <v>65</v>
      </c>
      <c r="AT1858">
        <v>1</v>
      </c>
      <c r="AU1858" t="s">
        <v>1994</v>
      </c>
      <c r="AV1858" t="s">
        <v>1995</v>
      </c>
      <c r="AW1858" t="s">
        <v>60</v>
      </c>
      <c r="AX1858" t="s">
        <v>68</v>
      </c>
      <c r="AY1858" t="s">
        <v>69</v>
      </c>
      <c r="AZ1858" t="b">
        <v>1</v>
      </c>
    </row>
    <row r="1859" spans="1:52" x14ac:dyDescent="0.3">
      <c r="A1859" t="s">
        <v>52</v>
      </c>
      <c r="B1859" t="s">
        <v>53</v>
      </c>
      <c r="C1859" t="s">
        <v>54</v>
      </c>
      <c r="D1859" t="s">
        <v>55</v>
      </c>
      <c r="E1859" t="s">
        <v>2148</v>
      </c>
      <c r="F1859" t="s">
        <v>190</v>
      </c>
      <c r="G1859" t="s">
        <v>845</v>
      </c>
      <c r="H1859" t="s">
        <v>2124</v>
      </c>
      <c r="I1859" t="s">
        <v>2124</v>
      </c>
      <c r="J1859" t="s">
        <v>60</v>
      </c>
      <c r="K1859" t="s">
        <v>424</v>
      </c>
      <c r="L1859" t="s">
        <v>62</v>
      </c>
      <c r="M1859" t="s">
        <v>424</v>
      </c>
      <c r="N1859" t="s">
        <v>847</v>
      </c>
      <c r="O1859" t="s">
        <v>2125</v>
      </c>
      <c r="P1859">
        <v>-20.180002999999999</v>
      </c>
      <c r="Q1859">
        <v>-44.915557999999997</v>
      </c>
      <c r="R1859" s="2" t="str">
        <f>HYPERLINK("https://www.google.com/maps?q=-20.1800030,-44.9155580","Abrir no Google Maps")</f>
        <v>Abrir no Google Maps</v>
      </c>
      <c r="S1859">
        <v>3</v>
      </c>
      <c r="T1859">
        <v>849.07837312552761</v>
      </c>
      <c r="U1859">
        <v>3</v>
      </c>
      <c r="V1859">
        <v>18</v>
      </c>
      <c r="W1859">
        <v>0.85</v>
      </c>
      <c r="X1859">
        <v>15.3</v>
      </c>
      <c r="Y1859">
        <v>135</v>
      </c>
      <c r="Z1859">
        <v>1017.379067015247</v>
      </c>
      <c r="AA1859">
        <v>198</v>
      </c>
      <c r="AB1859">
        <v>332</v>
      </c>
      <c r="AC1859">
        <v>536</v>
      </c>
      <c r="AD1859">
        <v>30.74</v>
      </c>
      <c r="AE1859">
        <v>542</v>
      </c>
      <c r="AF1859">
        <v>30</v>
      </c>
      <c r="AG1859">
        <v>178</v>
      </c>
      <c r="AH1859">
        <v>129</v>
      </c>
      <c r="AI1859">
        <v>5.54</v>
      </c>
      <c r="AJ1859">
        <v>32.840000000000003</v>
      </c>
      <c r="AK1859">
        <v>23.8</v>
      </c>
      <c r="AL1859">
        <v>-20.180131649999961</v>
      </c>
      <c r="AM1859">
        <v>-44.916107332085438</v>
      </c>
      <c r="AN1859">
        <v>-20.180131649999961</v>
      </c>
      <c r="AO1859">
        <v>-44.916107332085438</v>
      </c>
      <c r="AP1859">
        <v>-20.180002999999999</v>
      </c>
      <c r="AQ1859">
        <v>-44.915557999999997</v>
      </c>
      <c r="AR1859">
        <v>59.157397370141183</v>
      </c>
      <c r="AS1859" t="s">
        <v>65</v>
      </c>
      <c r="AT1859">
        <v>1</v>
      </c>
      <c r="AU1859" t="s">
        <v>2126</v>
      </c>
      <c r="AV1859" t="s">
        <v>2127</v>
      </c>
      <c r="AW1859" t="s">
        <v>60</v>
      </c>
      <c r="AX1859" t="s">
        <v>68</v>
      </c>
      <c r="AY1859" t="s">
        <v>69</v>
      </c>
      <c r="AZ1859" t="b">
        <v>1</v>
      </c>
    </row>
    <row r="1860" spans="1:52" x14ac:dyDescent="0.3">
      <c r="A1860" t="s">
        <v>52</v>
      </c>
      <c r="B1860" t="s">
        <v>53</v>
      </c>
      <c r="C1860" t="s">
        <v>54</v>
      </c>
      <c r="D1860" t="s">
        <v>55</v>
      </c>
      <c r="E1860" t="s">
        <v>2148</v>
      </c>
      <c r="F1860" t="s">
        <v>190</v>
      </c>
      <c r="G1860" t="s">
        <v>422</v>
      </c>
      <c r="H1860" t="s">
        <v>2001</v>
      </c>
      <c r="I1860" t="s">
        <v>2001</v>
      </c>
      <c r="J1860" t="s">
        <v>60</v>
      </c>
      <c r="K1860" t="s">
        <v>475</v>
      </c>
      <c r="L1860" t="s">
        <v>62</v>
      </c>
      <c r="M1860" t="s">
        <v>475</v>
      </c>
      <c r="N1860" t="s">
        <v>425</v>
      </c>
      <c r="O1860" t="s">
        <v>1663</v>
      </c>
      <c r="P1860">
        <v>-20.180004</v>
      </c>
      <c r="Q1860">
        <v>-44.911242999999999</v>
      </c>
      <c r="R1860" s="2" t="str">
        <f>HYPERLINK("https://www.google.com/maps?q=-20.1800040,-44.9112430","Abrir no Google Maps")</f>
        <v>Abrir no Google Maps</v>
      </c>
      <c r="S1860">
        <v>3</v>
      </c>
      <c r="T1860">
        <v>529.77473531196472</v>
      </c>
      <c r="U1860">
        <v>3</v>
      </c>
      <c r="V1860">
        <v>18</v>
      </c>
      <c r="W1860">
        <v>0.85</v>
      </c>
      <c r="X1860">
        <v>15.3</v>
      </c>
      <c r="Y1860">
        <v>135</v>
      </c>
      <c r="Z1860">
        <v>464.21721188606858</v>
      </c>
      <c r="AA1860">
        <v>198</v>
      </c>
      <c r="AB1860">
        <v>332</v>
      </c>
      <c r="AC1860">
        <v>536</v>
      </c>
      <c r="AD1860">
        <v>30.74</v>
      </c>
      <c r="AE1860">
        <v>542</v>
      </c>
      <c r="AF1860">
        <v>30</v>
      </c>
      <c r="AG1860">
        <v>178</v>
      </c>
      <c r="AH1860">
        <v>129</v>
      </c>
      <c r="AI1860">
        <v>5.54</v>
      </c>
      <c r="AJ1860">
        <v>32.840000000000003</v>
      </c>
      <c r="AK1860">
        <v>23.8</v>
      </c>
      <c r="AL1860">
        <v>-20.180959999999949</v>
      </c>
      <c r="AM1860">
        <v>-44.911115442322981</v>
      </c>
      <c r="AN1860">
        <v>-20.180959999999949</v>
      </c>
      <c r="AO1860">
        <v>-44.911115442322981</v>
      </c>
      <c r="AP1860">
        <v>-20.180004</v>
      </c>
      <c r="AQ1860">
        <v>-44.911242999999999</v>
      </c>
      <c r="AR1860">
        <v>107.2532506205936</v>
      </c>
      <c r="AS1860" t="s">
        <v>65</v>
      </c>
      <c r="AT1860">
        <v>1</v>
      </c>
      <c r="AU1860" t="s">
        <v>2002</v>
      </c>
      <c r="AV1860" t="s">
        <v>1211</v>
      </c>
      <c r="AW1860" t="s">
        <v>60</v>
      </c>
      <c r="AX1860" t="s">
        <v>68</v>
      </c>
      <c r="AY1860" t="s">
        <v>69</v>
      </c>
      <c r="AZ1860" t="b">
        <v>1</v>
      </c>
    </row>
    <row r="1861" spans="1:52" x14ac:dyDescent="0.3">
      <c r="A1861" t="s">
        <v>52</v>
      </c>
      <c r="B1861" t="s">
        <v>53</v>
      </c>
      <c r="C1861" t="s">
        <v>54</v>
      </c>
      <c r="D1861" t="s">
        <v>55</v>
      </c>
      <c r="E1861" t="s">
        <v>2148</v>
      </c>
      <c r="F1861" t="s">
        <v>190</v>
      </c>
      <c r="G1861" t="s">
        <v>1206</v>
      </c>
      <c r="H1861" t="s">
        <v>1207</v>
      </c>
      <c r="I1861" t="s">
        <v>1207</v>
      </c>
      <c r="J1861" t="s">
        <v>60</v>
      </c>
      <c r="K1861" t="s">
        <v>475</v>
      </c>
      <c r="L1861" t="s">
        <v>62</v>
      </c>
      <c r="M1861" t="s">
        <v>475</v>
      </c>
      <c r="N1861" t="s">
        <v>1208</v>
      </c>
      <c r="O1861" t="s">
        <v>1209</v>
      </c>
      <c r="P1861">
        <v>-20.180554999999998</v>
      </c>
      <c r="Q1861">
        <v>-44.905642999999998</v>
      </c>
      <c r="R1861" s="2" t="str">
        <f>HYPERLINK("https://www.google.com/maps?q=-20.1805550,-44.9056430","Abrir no Google Maps")</f>
        <v>Abrir no Google Maps</v>
      </c>
      <c r="S1861">
        <v>3</v>
      </c>
      <c r="T1861">
        <v>768.13826761541702</v>
      </c>
      <c r="U1861">
        <v>3</v>
      </c>
      <c r="V1861">
        <v>18</v>
      </c>
      <c r="W1861">
        <v>1</v>
      </c>
      <c r="X1861">
        <v>18</v>
      </c>
      <c r="Y1861">
        <v>135</v>
      </c>
      <c r="Z1861">
        <v>442.64437152702573</v>
      </c>
      <c r="AA1861">
        <v>198</v>
      </c>
      <c r="AB1861">
        <v>332</v>
      </c>
      <c r="AC1861">
        <v>536</v>
      </c>
      <c r="AD1861">
        <v>30.74</v>
      </c>
      <c r="AE1861">
        <v>542</v>
      </c>
      <c r="AF1861">
        <v>30</v>
      </c>
      <c r="AG1861">
        <v>178</v>
      </c>
      <c r="AH1861">
        <v>129</v>
      </c>
      <c r="AI1861">
        <v>5.54</v>
      </c>
      <c r="AJ1861">
        <v>32.840000000000003</v>
      </c>
      <c r="AK1861">
        <v>23.8</v>
      </c>
      <c r="AL1861">
        <v>-20.180439499999949</v>
      </c>
      <c r="AM1861">
        <v>-44.905757266135502</v>
      </c>
      <c r="AN1861">
        <v>-20.180439499999949</v>
      </c>
      <c r="AO1861">
        <v>-44.905757266135502</v>
      </c>
      <c r="AP1861">
        <v>-20.180554999999998</v>
      </c>
      <c r="AQ1861">
        <v>-44.905642999999998</v>
      </c>
      <c r="AR1861">
        <v>17.545924993698129</v>
      </c>
      <c r="AS1861" t="s">
        <v>65</v>
      </c>
      <c r="AT1861">
        <v>1</v>
      </c>
      <c r="AU1861" t="s">
        <v>1210</v>
      </c>
      <c r="AV1861" t="s">
        <v>1211</v>
      </c>
      <c r="AW1861" t="s">
        <v>60</v>
      </c>
      <c r="AX1861" t="s">
        <v>68</v>
      </c>
      <c r="AY1861" t="s">
        <v>69</v>
      </c>
      <c r="AZ1861" t="b">
        <v>1</v>
      </c>
    </row>
    <row r="1862" spans="1:52" x14ac:dyDescent="0.3">
      <c r="A1862" t="s">
        <v>52</v>
      </c>
      <c r="B1862" t="s">
        <v>53</v>
      </c>
      <c r="C1862" t="s">
        <v>54</v>
      </c>
      <c r="D1862" t="s">
        <v>55</v>
      </c>
      <c r="E1862" t="s">
        <v>2148</v>
      </c>
      <c r="F1862" t="s">
        <v>190</v>
      </c>
      <c r="G1862" t="s">
        <v>1801</v>
      </c>
      <c r="H1862" t="s">
        <v>1802</v>
      </c>
      <c r="I1862" t="s">
        <v>1802</v>
      </c>
      <c r="J1862" t="s">
        <v>60</v>
      </c>
      <c r="K1862" t="s">
        <v>1803</v>
      </c>
      <c r="L1862" t="s">
        <v>62</v>
      </c>
      <c r="M1862" t="s">
        <v>1803</v>
      </c>
      <c r="N1862" t="s">
        <v>1804</v>
      </c>
      <c r="O1862" t="s">
        <v>1805</v>
      </c>
      <c r="P1862">
        <v>-20.131599000000001</v>
      </c>
      <c r="Q1862">
        <v>-44.839945</v>
      </c>
      <c r="R1862" s="2" t="str">
        <f>HYPERLINK("https://www.google.com/maps?q=-20.1315990,-44.8399450","Abrir no Google Maps")</f>
        <v>Abrir no Google Maps</v>
      </c>
      <c r="S1862">
        <v>3</v>
      </c>
      <c r="T1862">
        <v>480.67866935083049</v>
      </c>
      <c r="U1862">
        <v>3</v>
      </c>
      <c r="V1862">
        <v>20</v>
      </c>
      <c r="W1862">
        <v>1</v>
      </c>
      <c r="X1862">
        <v>20</v>
      </c>
      <c r="Y1862">
        <v>118</v>
      </c>
      <c r="Z1862">
        <v>505.26312452494989</v>
      </c>
      <c r="AA1862">
        <v>198</v>
      </c>
      <c r="AB1862">
        <v>332</v>
      </c>
      <c r="AC1862">
        <v>536</v>
      </c>
      <c r="AD1862">
        <v>30.74</v>
      </c>
      <c r="AE1862">
        <v>542</v>
      </c>
      <c r="AF1862">
        <v>30</v>
      </c>
      <c r="AG1862">
        <v>178</v>
      </c>
      <c r="AH1862">
        <v>129</v>
      </c>
      <c r="AI1862">
        <v>5.54</v>
      </c>
      <c r="AJ1862">
        <v>32.840000000000003</v>
      </c>
      <c r="AK1862">
        <v>23.8</v>
      </c>
      <c r="AL1862">
        <v>-20.131561999999949</v>
      </c>
      <c r="AM1862">
        <v>-44.839930272274998</v>
      </c>
      <c r="AN1862">
        <v>-20.131561999999949</v>
      </c>
      <c r="AO1862">
        <v>-44.839930272274998</v>
      </c>
      <c r="AP1862">
        <v>-20.131599000000001</v>
      </c>
      <c r="AQ1862">
        <v>-44.839945</v>
      </c>
      <c r="AR1862">
        <v>4.3970860299791923</v>
      </c>
      <c r="AS1862" t="s">
        <v>65</v>
      </c>
      <c r="AT1862">
        <v>1</v>
      </c>
      <c r="AU1862" t="s">
        <v>1806</v>
      </c>
      <c r="AV1862" t="s">
        <v>1807</v>
      </c>
      <c r="AW1862" t="s">
        <v>60</v>
      </c>
      <c r="AX1862" t="s">
        <v>68</v>
      </c>
      <c r="AY1862" t="s">
        <v>69</v>
      </c>
      <c r="AZ1862" t="b">
        <v>1</v>
      </c>
    </row>
    <row r="1863" spans="1:52" x14ac:dyDescent="0.3">
      <c r="A1863" t="s">
        <v>52</v>
      </c>
      <c r="B1863" t="s">
        <v>53</v>
      </c>
      <c r="C1863" t="s">
        <v>54</v>
      </c>
      <c r="D1863" t="s">
        <v>55</v>
      </c>
      <c r="E1863" t="s">
        <v>2148</v>
      </c>
      <c r="F1863" t="s">
        <v>190</v>
      </c>
      <c r="G1863" t="s">
        <v>1224</v>
      </c>
      <c r="H1863" t="s">
        <v>1225</v>
      </c>
      <c r="I1863" t="s">
        <v>1225</v>
      </c>
      <c r="J1863" t="s">
        <v>60</v>
      </c>
      <c r="K1863" t="s">
        <v>828</v>
      </c>
      <c r="L1863" t="s">
        <v>62</v>
      </c>
      <c r="M1863" t="s">
        <v>828</v>
      </c>
      <c r="N1863" t="s">
        <v>1226</v>
      </c>
      <c r="O1863" t="s">
        <v>1227</v>
      </c>
      <c r="P1863">
        <v>-20.135355000000001</v>
      </c>
      <c r="Q1863">
        <v>-44.835469000000003</v>
      </c>
      <c r="R1863" s="2" t="str">
        <f>HYPERLINK("https://www.google.com/maps?q=-20.1353550,-44.8354690","Abrir no Google Maps")</f>
        <v>Abrir no Google Maps</v>
      </c>
      <c r="S1863">
        <v>3</v>
      </c>
      <c r="T1863">
        <v>751.16107206095137</v>
      </c>
      <c r="U1863">
        <v>3</v>
      </c>
      <c r="V1863">
        <v>21</v>
      </c>
      <c r="W1863">
        <v>0.85</v>
      </c>
      <c r="X1863">
        <v>17.850000000000001</v>
      </c>
      <c r="Y1863">
        <v>118</v>
      </c>
      <c r="Z1863">
        <v>677.63401865784431</v>
      </c>
      <c r="AA1863">
        <v>198</v>
      </c>
      <c r="AB1863">
        <v>332</v>
      </c>
      <c r="AC1863">
        <v>536</v>
      </c>
      <c r="AD1863">
        <v>30.74</v>
      </c>
      <c r="AE1863">
        <v>542</v>
      </c>
      <c r="AF1863">
        <v>30</v>
      </c>
      <c r="AG1863">
        <v>178</v>
      </c>
      <c r="AH1863">
        <v>129</v>
      </c>
      <c r="AI1863">
        <v>5.54</v>
      </c>
      <c r="AJ1863">
        <v>32.840000000000003</v>
      </c>
      <c r="AK1863">
        <v>23.8</v>
      </c>
      <c r="AL1863">
        <v>-20.134961199999939</v>
      </c>
      <c r="AM1863">
        <v>-44.835020399356488</v>
      </c>
      <c r="AN1863">
        <v>-20.134961199999939</v>
      </c>
      <c r="AO1863">
        <v>-44.835020399356488</v>
      </c>
      <c r="AP1863">
        <v>-20.135355000000001</v>
      </c>
      <c r="AQ1863">
        <v>-44.835469000000003</v>
      </c>
      <c r="AR1863">
        <v>64.187783608237439</v>
      </c>
      <c r="AS1863" t="s">
        <v>65</v>
      </c>
      <c r="AT1863">
        <v>1</v>
      </c>
      <c r="AU1863" t="s">
        <v>1228</v>
      </c>
      <c r="AV1863" t="s">
        <v>1229</v>
      </c>
      <c r="AW1863" t="s">
        <v>60</v>
      </c>
      <c r="AX1863" t="s">
        <v>68</v>
      </c>
      <c r="AY1863" t="s">
        <v>69</v>
      </c>
      <c r="AZ1863" t="b">
        <v>1</v>
      </c>
    </row>
    <row r="1864" spans="1:52" x14ac:dyDescent="0.3">
      <c r="A1864" t="s">
        <v>52</v>
      </c>
      <c r="B1864" t="s">
        <v>53</v>
      </c>
      <c r="C1864" t="s">
        <v>54</v>
      </c>
      <c r="D1864" t="s">
        <v>55</v>
      </c>
      <c r="E1864" t="s">
        <v>2148</v>
      </c>
      <c r="F1864" t="s">
        <v>190</v>
      </c>
      <c r="G1864" t="s">
        <v>826</v>
      </c>
      <c r="H1864" t="s">
        <v>827</v>
      </c>
      <c r="I1864" t="s">
        <v>827</v>
      </c>
      <c r="J1864" t="s">
        <v>60</v>
      </c>
      <c r="K1864" t="s">
        <v>828</v>
      </c>
      <c r="L1864" t="s">
        <v>62</v>
      </c>
      <c r="M1864" t="s">
        <v>828</v>
      </c>
      <c r="N1864" t="s">
        <v>829</v>
      </c>
      <c r="O1864" t="s">
        <v>830</v>
      </c>
      <c r="P1864">
        <v>-20.128309999999999</v>
      </c>
      <c r="Q1864">
        <v>-44.8367</v>
      </c>
      <c r="R1864" s="2" t="str">
        <f>HYPERLINK("https://www.google.com/maps?q=-20.1283100,-44.8367000","Abrir no Google Maps")</f>
        <v>Abrir no Google Maps</v>
      </c>
      <c r="S1864">
        <v>3</v>
      </c>
      <c r="T1864">
        <v>0</v>
      </c>
      <c r="U1864">
        <v>3</v>
      </c>
      <c r="V1864">
        <v>20</v>
      </c>
      <c r="W1864">
        <v>1</v>
      </c>
      <c r="X1864">
        <v>20</v>
      </c>
      <c r="Y1864">
        <v>118</v>
      </c>
      <c r="Z1864">
        <v>65.93296364139367</v>
      </c>
      <c r="AA1864">
        <v>198</v>
      </c>
      <c r="AB1864">
        <v>332</v>
      </c>
      <c r="AC1864">
        <v>536</v>
      </c>
      <c r="AD1864">
        <v>30.74</v>
      </c>
      <c r="AE1864">
        <v>542</v>
      </c>
      <c r="AF1864">
        <v>30</v>
      </c>
      <c r="AG1864">
        <v>178</v>
      </c>
      <c r="AH1864">
        <v>129</v>
      </c>
      <c r="AI1864">
        <v>5.54</v>
      </c>
      <c r="AJ1864">
        <v>32.840000000000003</v>
      </c>
      <c r="AK1864">
        <v>23.8</v>
      </c>
      <c r="AL1864">
        <v>-20.128383649999961</v>
      </c>
      <c r="AM1864">
        <v>-44.836795615491283</v>
      </c>
      <c r="AN1864">
        <v>-20.128383649999961</v>
      </c>
      <c r="AO1864">
        <v>-44.836795615491283</v>
      </c>
      <c r="AP1864">
        <v>-20.128309999999999</v>
      </c>
      <c r="AQ1864">
        <v>-44.8367</v>
      </c>
      <c r="AR1864">
        <v>12.92654496723039</v>
      </c>
      <c r="AS1864" t="s">
        <v>65</v>
      </c>
      <c r="AT1864">
        <v>1</v>
      </c>
      <c r="AU1864" t="s">
        <v>831</v>
      </c>
      <c r="AV1864" t="s">
        <v>832</v>
      </c>
      <c r="AW1864" t="s">
        <v>60</v>
      </c>
      <c r="AX1864" t="s">
        <v>68</v>
      </c>
      <c r="AY1864" t="s">
        <v>69</v>
      </c>
      <c r="AZ1864" t="b">
        <v>1</v>
      </c>
    </row>
    <row r="1865" spans="1:52" x14ac:dyDescent="0.3">
      <c r="A1865" t="s">
        <v>52</v>
      </c>
      <c r="B1865" t="s">
        <v>53</v>
      </c>
      <c r="C1865" t="s">
        <v>54</v>
      </c>
      <c r="D1865" t="s">
        <v>55</v>
      </c>
      <c r="E1865" t="s">
        <v>2148</v>
      </c>
      <c r="F1865" t="s">
        <v>190</v>
      </c>
      <c r="G1865" t="s">
        <v>1808</v>
      </c>
      <c r="H1865" t="s">
        <v>1809</v>
      </c>
      <c r="I1865" t="s">
        <v>1809</v>
      </c>
      <c r="J1865" t="s">
        <v>60</v>
      </c>
      <c r="K1865" t="s">
        <v>1710</v>
      </c>
      <c r="L1865" t="s">
        <v>62</v>
      </c>
      <c r="M1865" t="s">
        <v>1710</v>
      </c>
      <c r="N1865" t="s">
        <v>1810</v>
      </c>
      <c r="O1865" t="s">
        <v>297</v>
      </c>
      <c r="P1865">
        <v>-20.144154</v>
      </c>
      <c r="Q1865">
        <v>-44.840567</v>
      </c>
      <c r="R1865" s="2" t="str">
        <f>HYPERLINK("https://www.google.com/maps?q=-20.1441540,-44.8405670","Abrir no Google Maps")</f>
        <v>Abrir no Google Maps</v>
      </c>
      <c r="S1865">
        <v>3</v>
      </c>
      <c r="T1865">
        <v>1790.4609200116779</v>
      </c>
      <c r="U1865">
        <v>3</v>
      </c>
      <c r="V1865">
        <v>20</v>
      </c>
      <c r="W1865">
        <v>0.85</v>
      </c>
      <c r="X1865">
        <v>17</v>
      </c>
      <c r="Y1865">
        <v>118</v>
      </c>
      <c r="Z1865">
        <v>1718.5674352993251</v>
      </c>
      <c r="AA1865">
        <v>198</v>
      </c>
      <c r="AB1865">
        <v>332</v>
      </c>
      <c r="AC1865">
        <v>536</v>
      </c>
      <c r="AD1865">
        <v>30.74</v>
      </c>
      <c r="AE1865">
        <v>542</v>
      </c>
      <c r="AF1865">
        <v>30</v>
      </c>
      <c r="AG1865">
        <v>178</v>
      </c>
      <c r="AH1865">
        <v>129</v>
      </c>
      <c r="AI1865">
        <v>5.54</v>
      </c>
      <c r="AJ1865">
        <v>32.840000000000003</v>
      </c>
      <c r="AK1865">
        <v>23.8</v>
      </c>
      <c r="AL1865">
        <v>-20.144149799999951</v>
      </c>
      <c r="AM1865">
        <v>-44.840643310374091</v>
      </c>
      <c r="AN1865">
        <v>-20.144149799999951</v>
      </c>
      <c r="AO1865">
        <v>-44.840643310374091</v>
      </c>
      <c r="AP1865">
        <v>-20.144154</v>
      </c>
      <c r="AQ1865">
        <v>-44.840567</v>
      </c>
      <c r="AR1865">
        <v>7.9889254965004346</v>
      </c>
      <c r="AS1865" t="s">
        <v>65</v>
      </c>
      <c r="AT1865">
        <v>1</v>
      </c>
      <c r="AU1865" t="s">
        <v>1811</v>
      </c>
      <c r="AV1865" t="s">
        <v>1812</v>
      </c>
      <c r="AW1865" t="s">
        <v>60</v>
      </c>
      <c r="AX1865" t="s">
        <v>68</v>
      </c>
      <c r="AY1865" t="s">
        <v>69</v>
      </c>
      <c r="AZ1865" t="b">
        <v>1</v>
      </c>
    </row>
    <row r="1866" spans="1:52" x14ac:dyDescent="0.3">
      <c r="A1866" t="s">
        <v>52</v>
      </c>
      <c r="B1866" t="s">
        <v>53</v>
      </c>
      <c r="C1866" t="s">
        <v>54</v>
      </c>
      <c r="D1866" t="s">
        <v>55</v>
      </c>
      <c r="E1866" t="s">
        <v>2148</v>
      </c>
      <c r="F1866" t="s">
        <v>190</v>
      </c>
      <c r="G1866" t="s">
        <v>1193</v>
      </c>
      <c r="H1866" t="s">
        <v>2025</v>
      </c>
      <c r="I1866" t="s">
        <v>2025</v>
      </c>
      <c r="J1866" t="s">
        <v>60</v>
      </c>
      <c r="K1866" t="s">
        <v>1710</v>
      </c>
      <c r="L1866" t="s">
        <v>62</v>
      </c>
      <c r="M1866" t="s">
        <v>1710</v>
      </c>
      <c r="N1866" t="s">
        <v>2026</v>
      </c>
      <c r="O1866" t="s">
        <v>1438</v>
      </c>
      <c r="P1866">
        <v>-20.147459000000001</v>
      </c>
      <c r="Q1866">
        <v>-44.839049000000003</v>
      </c>
      <c r="R1866" s="2" t="str">
        <f>HYPERLINK("https://www.google.com/maps?q=-20.1474590,-44.8390490","Abrir no Google Maps")</f>
        <v>Abrir no Google Maps</v>
      </c>
      <c r="S1866">
        <v>3</v>
      </c>
      <c r="T1866">
        <v>2134.7842223159018</v>
      </c>
      <c r="U1866">
        <v>3</v>
      </c>
      <c r="V1866">
        <v>19</v>
      </c>
      <c r="W1866">
        <v>0.85</v>
      </c>
      <c r="X1866">
        <v>16.149999999999999</v>
      </c>
      <c r="Y1866">
        <v>118</v>
      </c>
      <c r="Z1866">
        <v>2105.8235104165119</v>
      </c>
      <c r="AA1866">
        <v>198</v>
      </c>
      <c r="AB1866">
        <v>332</v>
      </c>
      <c r="AC1866">
        <v>536</v>
      </c>
      <c r="AD1866">
        <v>30.74</v>
      </c>
      <c r="AE1866">
        <v>542</v>
      </c>
      <c r="AF1866">
        <v>30</v>
      </c>
      <c r="AG1866">
        <v>178</v>
      </c>
      <c r="AH1866">
        <v>129</v>
      </c>
      <c r="AI1866">
        <v>5.54</v>
      </c>
      <c r="AJ1866">
        <v>32.840000000000003</v>
      </c>
      <c r="AK1866">
        <v>23.8</v>
      </c>
      <c r="AL1866">
        <v>-20.147568249999949</v>
      </c>
      <c r="AM1866">
        <v>-44.838938056199567</v>
      </c>
      <c r="AN1866">
        <v>-20.147568249999949</v>
      </c>
      <c r="AO1866">
        <v>-44.838938056199567</v>
      </c>
      <c r="AP1866">
        <v>-20.147459000000001</v>
      </c>
      <c r="AQ1866">
        <v>-44.839049000000003</v>
      </c>
      <c r="AR1866">
        <v>16.80298816089098</v>
      </c>
      <c r="AS1866" t="s">
        <v>65</v>
      </c>
      <c r="AT1866">
        <v>1</v>
      </c>
      <c r="AU1866" t="s">
        <v>2027</v>
      </c>
      <c r="AV1866" t="s">
        <v>2028</v>
      </c>
      <c r="AW1866" t="s">
        <v>60</v>
      </c>
      <c r="AX1866" t="s">
        <v>68</v>
      </c>
      <c r="AY1866" t="s">
        <v>69</v>
      </c>
      <c r="AZ1866" t="b">
        <v>1</v>
      </c>
    </row>
    <row r="1867" spans="1:52" x14ac:dyDescent="0.3">
      <c r="A1867" t="s">
        <v>52</v>
      </c>
      <c r="B1867" t="s">
        <v>53</v>
      </c>
      <c r="C1867" t="s">
        <v>54</v>
      </c>
      <c r="D1867" t="s">
        <v>55</v>
      </c>
      <c r="E1867" t="s">
        <v>2148</v>
      </c>
      <c r="F1867" t="s">
        <v>190</v>
      </c>
      <c r="G1867" t="s">
        <v>1813</v>
      </c>
      <c r="H1867" t="s">
        <v>1814</v>
      </c>
      <c r="I1867" t="s">
        <v>1814</v>
      </c>
      <c r="J1867" t="s">
        <v>60</v>
      </c>
      <c r="K1867" t="s">
        <v>1815</v>
      </c>
      <c r="L1867" t="s">
        <v>62</v>
      </c>
      <c r="M1867" t="s">
        <v>1815</v>
      </c>
      <c r="N1867" t="s">
        <v>1816</v>
      </c>
      <c r="O1867" t="s">
        <v>793</v>
      </c>
      <c r="P1867">
        <v>-20.144487999999999</v>
      </c>
      <c r="Q1867">
        <v>-44.836683000000001</v>
      </c>
      <c r="R1867" s="2" t="str">
        <f>HYPERLINK("https://www.google.com/maps?q=-20.1444880,-44.8366830","Abrir no Google Maps")</f>
        <v>Abrir no Google Maps</v>
      </c>
      <c r="S1867">
        <v>3</v>
      </c>
      <c r="T1867">
        <v>1786.4671732320769</v>
      </c>
      <c r="U1867">
        <v>3</v>
      </c>
      <c r="V1867">
        <v>23</v>
      </c>
      <c r="W1867">
        <v>0.85</v>
      </c>
      <c r="X1867">
        <v>19.55</v>
      </c>
      <c r="Y1867">
        <v>118</v>
      </c>
      <c r="Z1867">
        <v>1788.4311204774231</v>
      </c>
      <c r="AA1867">
        <v>198</v>
      </c>
      <c r="AB1867">
        <v>332</v>
      </c>
      <c r="AC1867">
        <v>536</v>
      </c>
      <c r="AD1867">
        <v>30.74</v>
      </c>
      <c r="AE1867">
        <v>542</v>
      </c>
      <c r="AF1867">
        <v>30</v>
      </c>
      <c r="AG1867">
        <v>178</v>
      </c>
      <c r="AH1867">
        <v>129</v>
      </c>
      <c r="AI1867">
        <v>5.54</v>
      </c>
      <c r="AJ1867">
        <v>32.840000000000003</v>
      </c>
      <c r="AK1867">
        <v>23.8</v>
      </c>
      <c r="AL1867">
        <v>-20.14452704999994</v>
      </c>
      <c r="AM1867">
        <v>-44.836757520268662</v>
      </c>
      <c r="AN1867">
        <v>-20.14452704999994</v>
      </c>
      <c r="AO1867">
        <v>-44.836757520268662</v>
      </c>
      <c r="AP1867">
        <v>-20.144487999999999</v>
      </c>
      <c r="AQ1867">
        <v>-44.836683000000001</v>
      </c>
      <c r="AR1867">
        <v>8.9191793946858624</v>
      </c>
      <c r="AS1867" t="s">
        <v>65</v>
      </c>
      <c r="AT1867">
        <v>1</v>
      </c>
      <c r="AU1867" t="s">
        <v>1817</v>
      </c>
      <c r="AV1867" t="s">
        <v>1818</v>
      </c>
      <c r="AW1867" t="s">
        <v>60</v>
      </c>
      <c r="AX1867" t="s">
        <v>68</v>
      </c>
      <c r="AY1867" t="s">
        <v>69</v>
      </c>
      <c r="AZ1867" t="b">
        <v>1</v>
      </c>
    </row>
    <row r="1868" spans="1:52" x14ac:dyDescent="0.3">
      <c r="A1868" t="s">
        <v>52</v>
      </c>
      <c r="B1868" t="s">
        <v>53</v>
      </c>
      <c r="C1868" t="s">
        <v>54</v>
      </c>
      <c r="D1868" t="s">
        <v>55</v>
      </c>
      <c r="E1868" t="s">
        <v>2148</v>
      </c>
      <c r="F1868" t="s">
        <v>190</v>
      </c>
      <c r="G1868" t="s">
        <v>1830</v>
      </c>
      <c r="H1868" t="s">
        <v>1831</v>
      </c>
      <c r="I1868" t="s">
        <v>1831</v>
      </c>
      <c r="J1868" t="s">
        <v>60</v>
      </c>
      <c r="K1868" t="s">
        <v>1243</v>
      </c>
      <c r="L1868" t="s">
        <v>62</v>
      </c>
      <c r="M1868" t="s">
        <v>1243</v>
      </c>
      <c r="N1868" t="s">
        <v>1832</v>
      </c>
      <c r="O1868" t="s">
        <v>1833</v>
      </c>
      <c r="P1868">
        <v>-20.196815999999998</v>
      </c>
      <c r="Q1868">
        <v>-44.940482000000003</v>
      </c>
      <c r="R1868" s="2" t="str">
        <f>HYPERLINK("https://www.google.com/maps?q=-20.1968160,-44.9404820","Abrir no Google Maps")</f>
        <v>Abrir no Google Maps</v>
      </c>
      <c r="S1868">
        <v>3</v>
      </c>
      <c r="T1868">
        <v>536.34378309151361</v>
      </c>
      <c r="U1868">
        <v>3</v>
      </c>
      <c r="V1868">
        <v>23</v>
      </c>
      <c r="W1868">
        <v>1</v>
      </c>
      <c r="X1868">
        <v>23</v>
      </c>
      <c r="Y1868">
        <v>113</v>
      </c>
      <c r="Z1868">
        <v>376.90325621866373</v>
      </c>
      <c r="AA1868">
        <v>198</v>
      </c>
      <c r="AB1868">
        <v>332</v>
      </c>
      <c r="AC1868">
        <v>536</v>
      </c>
      <c r="AD1868">
        <v>30.74</v>
      </c>
      <c r="AE1868">
        <v>542</v>
      </c>
      <c r="AF1868">
        <v>30</v>
      </c>
      <c r="AG1868">
        <v>178</v>
      </c>
      <c r="AH1868">
        <v>129</v>
      </c>
      <c r="AI1868">
        <v>5.54</v>
      </c>
      <c r="AJ1868">
        <v>32.840000000000003</v>
      </c>
      <c r="AK1868">
        <v>23.8</v>
      </c>
      <c r="AL1868">
        <v>-20.196517149999949</v>
      </c>
      <c r="AM1868">
        <v>-44.94010487355537</v>
      </c>
      <c r="AN1868">
        <v>-20.196517149999949</v>
      </c>
      <c r="AO1868">
        <v>-44.94010487355537</v>
      </c>
      <c r="AP1868">
        <v>-20.196815999999998</v>
      </c>
      <c r="AQ1868">
        <v>-44.940482000000003</v>
      </c>
      <c r="AR1868">
        <v>51.566969969189948</v>
      </c>
      <c r="AS1868" t="s">
        <v>65</v>
      </c>
      <c r="AT1868">
        <v>1</v>
      </c>
      <c r="AU1868" t="s">
        <v>1834</v>
      </c>
      <c r="AV1868" t="s">
        <v>1835</v>
      </c>
      <c r="AW1868" t="s">
        <v>60</v>
      </c>
      <c r="AX1868" t="s">
        <v>68</v>
      </c>
      <c r="AY1868" t="s">
        <v>69</v>
      </c>
      <c r="AZ1868" t="b">
        <v>1</v>
      </c>
    </row>
    <row r="1869" spans="1:52" x14ac:dyDescent="0.3">
      <c r="A1869" t="s">
        <v>52</v>
      </c>
      <c r="B1869" t="s">
        <v>53</v>
      </c>
      <c r="C1869" t="s">
        <v>54</v>
      </c>
      <c r="D1869" t="s">
        <v>55</v>
      </c>
      <c r="E1869" t="s">
        <v>2148</v>
      </c>
      <c r="F1869" t="s">
        <v>190</v>
      </c>
      <c r="G1869" t="s">
        <v>1241</v>
      </c>
      <c r="H1869" t="s">
        <v>1242</v>
      </c>
      <c r="I1869" t="s">
        <v>1242</v>
      </c>
      <c r="J1869" t="s">
        <v>60</v>
      </c>
      <c r="K1869" t="s">
        <v>1243</v>
      </c>
      <c r="L1869" t="s">
        <v>62</v>
      </c>
      <c r="M1869" t="s">
        <v>1243</v>
      </c>
      <c r="N1869" t="s">
        <v>1244</v>
      </c>
      <c r="O1869" t="s">
        <v>315</v>
      </c>
      <c r="P1869">
        <v>-20.188538000000001</v>
      </c>
      <c r="Q1869">
        <v>-44.930104</v>
      </c>
      <c r="R1869" s="2" t="str">
        <f>HYPERLINK("https://www.google.com/maps?q=-20.1885380,-44.9301040","Abrir no Google Maps")</f>
        <v>Abrir no Google Maps</v>
      </c>
      <c r="S1869">
        <v>3</v>
      </c>
      <c r="T1869">
        <v>928.27105405717066</v>
      </c>
      <c r="U1869">
        <v>3</v>
      </c>
      <c r="V1869">
        <v>19</v>
      </c>
      <c r="W1869">
        <v>1</v>
      </c>
      <c r="X1869">
        <v>19</v>
      </c>
      <c r="Y1869">
        <v>113</v>
      </c>
      <c r="Z1869">
        <v>1111.4269393179579</v>
      </c>
      <c r="AA1869">
        <v>198</v>
      </c>
      <c r="AB1869">
        <v>332</v>
      </c>
      <c r="AC1869">
        <v>536</v>
      </c>
      <c r="AD1869">
        <v>30.74</v>
      </c>
      <c r="AE1869">
        <v>542</v>
      </c>
      <c r="AF1869">
        <v>30</v>
      </c>
      <c r="AG1869">
        <v>178</v>
      </c>
      <c r="AH1869">
        <v>129</v>
      </c>
      <c r="AI1869">
        <v>5.54</v>
      </c>
      <c r="AJ1869">
        <v>32.840000000000003</v>
      </c>
      <c r="AK1869">
        <v>23.8</v>
      </c>
      <c r="AL1869">
        <v>-20.18852899999996</v>
      </c>
      <c r="AM1869">
        <v>-44.930083089036543</v>
      </c>
      <c r="AN1869">
        <v>-20.18852899999996</v>
      </c>
      <c r="AO1869">
        <v>-44.930083089036543</v>
      </c>
      <c r="AP1869">
        <v>-20.188538000000001</v>
      </c>
      <c r="AQ1869">
        <v>-44.930104</v>
      </c>
      <c r="AR1869">
        <v>2.4035564137158438</v>
      </c>
      <c r="AS1869" t="s">
        <v>65</v>
      </c>
      <c r="AT1869">
        <v>1</v>
      </c>
      <c r="AU1869" t="s">
        <v>1245</v>
      </c>
      <c r="AV1869" t="s">
        <v>1246</v>
      </c>
      <c r="AW1869" t="s">
        <v>60</v>
      </c>
      <c r="AX1869" t="s">
        <v>68</v>
      </c>
      <c r="AY1869" t="s">
        <v>69</v>
      </c>
      <c r="AZ1869" t="b">
        <v>1</v>
      </c>
    </row>
    <row r="1870" spans="1:52" x14ac:dyDescent="0.3">
      <c r="A1870" t="s">
        <v>52</v>
      </c>
      <c r="B1870" t="s">
        <v>53</v>
      </c>
      <c r="C1870" t="s">
        <v>54</v>
      </c>
      <c r="D1870" t="s">
        <v>55</v>
      </c>
      <c r="E1870" t="s">
        <v>2148</v>
      </c>
      <c r="F1870" t="s">
        <v>190</v>
      </c>
      <c r="G1870" t="s">
        <v>2068</v>
      </c>
      <c r="H1870" t="s">
        <v>2069</v>
      </c>
      <c r="I1870" t="s">
        <v>2069</v>
      </c>
      <c r="J1870" t="s">
        <v>60</v>
      </c>
      <c r="K1870" t="s">
        <v>1243</v>
      </c>
      <c r="L1870" t="s">
        <v>62</v>
      </c>
      <c r="M1870" t="s">
        <v>1243</v>
      </c>
      <c r="N1870" t="s">
        <v>2070</v>
      </c>
      <c r="O1870" t="s">
        <v>2071</v>
      </c>
      <c r="P1870">
        <v>-20.191583999999999</v>
      </c>
      <c r="Q1870">
        <v>-44.935839999999999</v>
      </c>
      <c r="R1870" s="2" t="str">
        <f>HYPERLINK("https://www.google.com/maps?q=-20.1915840,-44.9358400","Abrir no Google Maps")</f>
        <v>Abrir no Google Maps</v>
      </c>
      <c r="S1870">
        <v>3</v>
      </c>
      <c r="T1870">
        <v>307.37698546101831</v>
      </c>
      <c r="U1870">
        <v>3</v>
      </c>
      <c r="V1870">
        <v>24</v>
      </c>
      <c r="W1870">
        <v>0.85</v>
      </c>
      <c r="X1870">
        <v>20.399999999999999</v>
      </c>
      <c r="Y1870">
        <v>113</v>
      </c>
      <c r="Z1870">
        <v>564.35501618411911</v>
      </c>
      <c r="AA1870">
        <v>198</v>
      </c>
      <c r="AB1870">
        <v>332</v>
      </c>
      <c r="AC1870">
        <v>536</v>
      </c>
      <c r="AD1870">
        <v>30.74</v>
      </c>
      <c r="AE1870">
        <v>542</v>
      </c>
      <c r="AF1870">
        <v>30</v>
      </c>
      <c r="AG1870">
        <v>178</v>
      </c>
      <c r="AH1870">
        <v>129</v>
      </c>
      <c r="AI1870">
        <v>5.54</v>
      </c>
      <c r="AJ1870">
        <v>32.840000000000003</v>
      </c>
      <c r="AK1870">
        <v>23.8</v>
      </c>
      <c r="AL1870">
        <v>-20.191156699999961</v>
      </c>
      <c r="AM1870">
        <v>-44.935363697152681</v>
      </c>
      <c r="AN1870">
        <v>-20.191156699999961</v>
      </c>
      <c r="AO1870">
        <v>-44.935363697152681</v>
      </c>
      <c r="AP1870">
        <v>-20.191583999999999</v>
      </c>
      <c r="AQ1870">
        <v>-44.935839999999999</v>
      </c>
      <c r="AR1870">
        <v>68.84070092388103</v>
      </c>
      <c r="AS1870" t="s">
        <v>65</v>
      </c>
      <c r="AT1870">
        <v>1</v>
      </c>
      <c r="AU1870" t="s">
        <v>2072</v>
      </c>
      <c r="AV1870" t="s">
        <v>2073</v>
      </c>
      <c r="AW1870" t="s">
        <v>60</v>
      </c>
      <c r="AX1870" t="s">
        <v>68</v>
      </c>
      <c r="AY1870" t="s">
        <v>69</v>
      </c>
      <c r="AZ1870" t="b">
        <v>1</v>
      </c>
    </row>
    <row r="1871" spans="1:52" x14ac:dyDescent="0.3">
      <c r="A1871" t="s">
        <v>52</v>
      </c>
      <c r="B1871" t="s">
        <v>53</v>
      </c>
      <c r="C1871" t="s">
        <v>54</v>
      </c>
      <c r="D1871" t="s">
        <v>55</v>
      </c>
      <c r="E1871" t="s">
        <v>2148</v>
      </c>
      <c r="F1871" t="s">
        <v>190</v>
      </c>
      <c r="G1871" t="s">
        <v>2074</v>
      </c>
      <c r="H1871" t="s">
        <v>2075</v>
      </c>
      <c r="I1871" t="s">
        <v>2075</v>
      </c>
      <c r="J1871" t="s">
        <v>60</v>
      </c>
      <c r="K1871" t="s">
        <v>1314</v>
      </c>
      <c r="L1871" t="s">
        <v>62</v>
      </c>
      <c r="M1871" t="s">
        <v>1314</v>
      </c>
      <c r="N1871" t="s">
        <v>2076</v>
      </c>
      <c r="O1871" t="s">
        <v>2077</v>
      </c>
      <c r="P1871">
        <v>-20.176835000000001</v>
      </c>
      <c r="Q1871">
        <v>-44.930950000000003</v>
      </c>
      <c r="R1871" s="2" t="str">
        <f>HYPERLINK("https://www.google.com/maps?q=-20.1768350,-44.9309500","Abrir no Google Maps")</f>
        <v>Abrir no Google Maps</v>
      </c>
      <c r="S1871">
        <v>3</v>
      </c>
      <c r="T1871">
        <v>1806.8580939436499</v>
      </c>
      <c r="U1871">
        <v>3</v>
      </c>
      <c r="V1871">
        <v>20</v>
      </c>
      <c r="W1871">
        <v>0.85</v>
      </c>
      <c r="X1871">
        <v>17</v>
      </c>
      <c r="Y1871">
        <v>113</v>
      </c>
      <c r="Z1871">
        <v>1921.313394530237</v>
      </c>
      <c r="AA1871">
        <v>198</v>
      </c>
      <c r="AB1871">
        <v>332</v>
      </c>
      <c r="AC1871">
        <v>536</v>
      </c>
      <c r="AD1871">
        <v>30.74</v>
      </c>
      <c r="AE1871">
        <v>542</v>
      </c>
      <c r="AF1871">
        <v>30</v>
      </c>
      <c r="AG1871">
        <v>178</v>
      </c>
      <c r="AH1871">
        <v>129</v>
      </c>
      <c r="AI1871">
        <v>5.54</v>
      </c>
      <c r="AJ1871">
        <v>32.840000000000003</v>
      </c>
      <c r="AK1871">
        <v>23.8</v>
      </c>
      <c r="AL1871">
        <v>-20.17717879999995</v>
      </c>
      <c r="AM1871">
        <v>-44.930977454083752</v>
      </c>
      <c r="AN1871">
        <v>-20.17717879999995</v>
      </c>
      <c r="AO1871">
        <v>-44.930977454083752</v>
      </c>
      <c r="AP1871">
        <v>-20.176835000000001</v>
      </c>
      <c r="AQ1871">
        <v>-44.930950000000003</v>
      </c>
      <c r="AR1871">
        <v>38.379173360223952</v>
      </c>
      <c r="AS1871" t="s">
        <v>65</v>
      </c>
      <c r="AT1871">
        <v>1</v>
      </c>
      <c r="AU1871" t="s">
        <v>2078</v>
      </c>
      <c r="AV1871" t="s">
        <v>1553</v>
      </c>
      <c r="AW1871" t="s">
        <v>60</v>
      </c>
      <c r="AX1871" t="s">
        <v>68</v>
      </c>
      <c r="AY1871" t="s">
        <v>69</v>
      </c>
      <c r="AZ1871" t="b">
        <v>1</v>
      </c>
    </row>
    <row r="1872" spans="1:52" x14ac:dyDescent="0.3">
      <c r="A1872" t="s">
        <v>52</v>
      </c>
      <c r="B1872" t="s">
        <v>53</v>
      </c>
      <c r="C1872" t="s">
        <v>54</v>
      </c>
      <c r="D1872" t="s">
        <v>55</v>
      </c>
      <c r="E1872" t="s">
        <v>2148</v>
      </c>
      <c r="F1872" t="s">
        <v>190</v>
      </c>
      <c r="G1872" t="s">
        <v>1235</v>
      </c>
      <c r="H1872" t="s">
        <v>1847</v>
      </c>
      <c r="I1872" t="s">
        <v>1847</v>
      </c>
      <c r="J1872" t="s">
        <v>60</v>
      </c>
      <c r="K1872" t="s">
        <v>1243</v>
      </c>
      <c r="L1872" t="s">
        <v>62</v>
      </c>
      <c r="M1872" t="s">
        <v>1243</v>
      </c>
      <c r="N1872" t="s">
        <v>1238</v>
      </c>
      <c r="O1872" t="s">
        <v>1351</v>
      </c>
      <c r="P1872">
        <v>-20.194087</v>
      </c>
      <c r="Q1872">
        <v>-44.936889999999998</v>
      </c>
      <c r="R1872" s="2" t="str">
        <f>HYPERLINK("https://www.google.com/maps?q=-20.1940870,-44.9368900","Abrir no Google Maps")</f>
        <v>Abrir no Google Maps</v>
      </c>
      <c r="S1872">
        <v>3</v>
      </c>
      <c r="T1872">
        <v>257.18642318734362</v>
      </c>
      <c r="U1872">
        <v>3</v>
      </c>
      <c r="V1872">
        <v>22</v>
      </c>
      <c r="W1872">
        <v>1</v>
      </c>
      <c r="X1872">
        <v>22</v>
      </c>
      <c r="Y1872">
        <v>113</v>
      </c>
      <c r="Z1872">
        <v>339.77652558311001</v>
      </c>
      <c r="AA1872">
        <v>198</v>
      </c>
      <c r="AB1872">
        <v>332</v>
      </c>
      <c r="AC1872">
        <v>536</v>
      </c>
      <c r="AD1872">
        <v>30.74</v>
      </c>
      <c r="AE1872">
        <v>542</v>
      </c>
      <c r="AF1872">
        <v>30</v>
      </c>
      <c r="AG1872">
        <v>178</v>
      </c>
      <c r="AH1872">
        <v>129</v>
      </c>
      <c r="AI1872">
        <v>5.54</v>
      </c>
      <c r="AJ1872">
        <v>32.840000000000003</v>
      </c>
      <c r="AK1872">
        <v>23.8</v>
      </c>
      <c r="AL1872">
        <v>-20.19405954999996</v>
      </c>
      <c r="AM1872">
        <v>-44.936949074015281</v>
      </c>
      <c r="AN1872">
        <v>-20.19405954999996</v>
      </c>
      <c r="AO1872">
        <v>-44.936949074015281</v>
      </c>
      <c r="AP1872">
        <v>-20.194087</v>
      </c>
      <c r="AQ1872">
        <v>-44.936889999999998</v>
      </c>
      <c r="AR1872">
        <v>6.8869138825619167</v>
      </c>
      <c r="AS1872" t="s">
        <v>65</v>
      </c>
      <c r="AT1872">
        <v>1</v>
      </c>
      <c r="AU1872" t="s">
        <v>1848</v>
      </c>
      <c r="AV1872" t="s">
        <v>1849</v>
      </c>
      <c r="AW1872" t="s">
        <v>60</v>
      </c>
      <c r="AX1872" t="s">
        <v>68</v>
      </c>
      <c r="AY1872" t="s">
        <v>69</v>
      </c>
      <c r="AZ1872" t="b">
        <v>1</v>
      </c>
    </row>
    <row r="1873" spans="1:52" x14ac:dyDescent="0.3">
      <c r="A1873" t="s">
        <v>52</v>
      </c>
      <c r="B1873" t="s">
        <v>53</v>
      </c>
      <c r="C1873" t="s">
        <v>54</v>
      </c>
      <c r="D1873" t="s">
        <v>55</v>
      </c>
      <c r="E1873" t="s">
        <v>2148</v>
      </c>
      <c r="F1873" t="s">
        <v>190</v>
      </c>
      <c r="G1873" t="s">
        <v>2079</v>
      </c>
      <c r="H1873" t="s">
        <v>2080</v>
      </c>
      <c r="I1873" t="s">
        <v>2080</v>
      </c>
      <c r="J1873" t="s">
        <v>60</v>
      </c>
      <c r="K1873" t="s">
        <v>1243</v>
      </c>
      <c r="L1873" t="s">
        <v>62</v>
      </c>
      <c r="M1873" t="s">
        <v>1243</v>
      </c>
      <c r="N1873" t="s">
        <v>2081</v>
      </c>
      <c r="O1873" t="s">
        <v>2082</v>
      </c>
      <c r="P1873">
        <v>-20.192271000000002</v>
      </c>
      <c r="Q1873">
        <v>-44.938338999999999</v>
      </c>
      <c r="R1873" s="2" t="str">
        <f>HYPERLINK("https://www.google.com/maps?q=-20.1922710,-44.9383390","Abrir no Google Maps")</f>
        <v>Abrir no Google Maps</v>
      </c>
      <c r="S1873">
        <v>3</v>
      </c>
      <c r="T1873">
        <v>0</v>
      </c>
      <c r="U1873">
        <v>3</v>
      </c>
      <c r="V1873">
        <v>19</v>
      </c>
      <c r="W1873">
        <v>0.85</v>
      </c>
      <c r="X1873">
        <v>16.149999999999999</v>
      </c>
      <c r="Y1873">
        <v>113</v>
      </c>
      <c r="Z1873">
        <v>189.74224055455261</v>
      </c>
      <c r="AA1873">
        <v>198</v>
      </c>
      <c r="AB1873">
        <v>332</v>
      </c>
      <c r="AC1873">
        <v>536</v>
      </c>
      <c r="AD1873">
        <v>30.74</v>
      </c>
      <c r="AE1873">
        <v>542</v>
      </c>
      <c r="AF1873">
        <v>30</v>
      </c>
      <c r="AG1873">
        <v>178</v>
      </c>
      <c r="AH1873">
        <v>129</v>
      </c>
      <c r="AI1873">
        <v>5.54</v>
      </c>
      <c r="AJ1873">
        <v>32.840000000000003</v>
      </c>
      <c r="AK1873">
        <v>23.8</v>
      </c>
      <c r="AL1873">
        <v>-20.19203359999997</v>
      </c>
      <c r="AM1873">
        <v>-44.938155258198137</v>
      </c>
      <c r="AN1873">
        <v>-20.192033599999981</v>
      </c>
      <c r="AO1873">
        <v>-44.938155258198137</v>
      </c>
      <c r="AP1873">
        <v>-20.192271000000002</v>
      </c>
      <c r="AQ1873">
        <v>-44.938338999999999</v>
      </c>
      <c r="AR1873">
        <v>32.663931097584417</v>
      </c>
      <c r="AS1873" t="s">
        <v>65</v>
      </c>
      <c r="AT1873">
        <v>1</v>
      </c>
      <c r="AU1873" t="s">
        <v>2083</v>
      </c>
      <c r="AV1873" t="s">
        <v>1849</v>
      </c>
      <c r="AW1873" t="s">
        <v>60</v>
      </c>
      <c r="AX1873" t="s">
        <v>68</v>
      </c>
      <c r="AY1873" t="s">
        <v>69</v>
      </c>
      <c r="AZ1873" t="b">
        <v>1</v>
      </c>
    </row>
    <row r="1874" spans="1:52" x14ac:dyDescent="0.3">
      <c r="A1874" t="s">
        <v>52</v>
      </c>
      <c r="B1874" t="s">
        <v>53</v>
      </c>
      <c r="C1874" t="s">
        <v>54</v>
      </c>
      <c r="D1874" t="s">
        <v>55</v>
      </c>
      <c r="E1874" t="s">
        <v>2148</v>
      </c>
      <c r="F1874" t="s">
        <v>190</v>
      </c>
      <c r="G1874" t="s">
        <v>1850</v>
      </c>
      <c r="H1874" t="s">
        <v>1851</v>
      </c>
      <c r="I1874" t="s">
        <v>1851</v>
      </c>
      <c r="J1874" t="s">
        <v>60</v>
      </c>
      <c r="K1874" t="s">
        <v>1681</v>
      </c>
      <c r="L1874" t="s">
        <v>62</v>
      </c>
      <c r="M1874" t="s">
        <v>1681</v>
      </c>
      <c r="N1874" t="s">
        <v>1852</v>
      </c>
      <c r="O1874" t="s">
        <v>1853</v>
      </c>
      <c r="P1874">
        <v>-20.139354000000001</v>
      </c>
      <c r="Q1874">
        <v>-44.855398999999998</v>
      </c>
      <c r="R1874" s="2" t="str">
        <f>HYPERLINK("https://www.google.com/maps?q=-20.1393540,-44.8553990","Abrir no Google Maps")</f>
        <v>Abrir no Google Maps</v>
      </c>
      <c r="S1874">
        <v>3</v>
      </c>
      <c r="T1874">
        <v>694.41696355871329</v>
      </c>
      <c r="U1874">
        <v>3</v>
      </c>
      <c r="V1874">
        <v>21</v>
      </c>
      <c r="W1874">
        <v>1</v>
      </c>
      <c r="X1874">
        <v>21</v>
      </c>
      <c r="Y1874">
        <v>95</v>
      </c>
      <c r="Z1874">
        <v>790.58507878435637</v>
      </c>
      <c r="AA1874">
        <v>198</v>
      </c>
      <c r="AB1874">
        <v>332</v>
      </c>
      <c r="AC1874">
        <v>536</v>
      </c>
      <c r="AD1874">
        <v>30.74</v>
      </c>
      <c r="AE1874">
        <v>542</v>
      </c>
      <c r="AF1874">
        <v>30</v>
      </c>
      <c r="AG1874">
        <v>178</v>
      </c>
      <c r="AH1874">
        <v>129</v>
      </c>
      <c r="AI1874">
        <v>5.54</v>
      </c>
      <c r="AJ1874">
        <v>32.840000000000003</v>
      </c>
      <c r="AK1874">
        <v>23.8</v>
      </c>
      <c r="AL1874">
        <v>-20.139412599999961</v>
      </c>
      <c r="AM1874">
        <v>-44.855150404999961</v>
      </c>
      <c r="AN1874">
        <v>-20.139412599999961</v>
      </c>
      <c r="AO1874">
        <v>-44.855150404999961</v>
      </c>
      <c r="AP1874">
        <v>-20.139354000000001</v>
      </c>
      <c r="AQ1874">
        <v>-44.855398999999998</v>
      </c>
      <c r="AR1874">
        <v>26.787980665123101</v>
      </c>
      <c r="AS1874" t="s">
        <v>65</v>
      </c>
      <c r="AT1874">
        <v>1</v>
      </c>
      <c r="AU1874" t="s">
        <v>1854</v>
      </c>
      <c r="AV1874" t="s">
        <v>1855</v>
      </c>
      <c r="AW1874" t="s">
        <v>60</v>
      </c>
      <c r="AX1874" t="s">
        <v>68</v>
      </c>
      <c r="AY1874" t="s">
        <v>69</v>
      </c>
      <c r="AZ1874" t="b">
        <v>1</v>
      </c>
    </row>
    <row r="1875" spans="1:52" x14ac:dyDescent="0.3">
      <c r="A1875" t="s">
        <v>52</v>
      </c>
      <c r="B1875" t="s">
        <v>53</v>
      </c>
      <c r="C1875" t="s">
        <v>54</v>
      </c>
      <c r="D1875" t="s">
        <v>55</v>
      </c>
      <c r="E1875" t="s">
        <v>2148</v>
      </c>
      <c r="F1875" t="s">
        <v>1247</v>
      </c>
      <c r="G1875" t="s">
        <v>58</v>
      </c>
      <c r="H1875" t="s">
        <v>59</v>
      </c>
      <c r="I1875" t="s">
        <v>59</v>
      </c>
      <c r="J1875" t="s">
        <v>60</v>
      </c>
      <c r="K1875" t="s">
        <v>61</v>
      </c>
      <c r="L1875" t="s">
        <v>62</v>
      </c>
      <c r="M1875" t="s">
        <v>61</v>
      </c>
      <c r="N1875" t="s">
        <v>63</v>
      </c>
      <c r="O1875" t="s">
        <v>64</v>
      </c>
      <c r="P1875">
        <v>-20.147940999999999</v>
      </c>
      <c r="Q1875">
        <v>-44.906514000000001</v>
      </c>
      <c r="R1875" s="2" t="str">
        <f>HYPERLINK("https://www.google.com/maps?q=-20.1479410,-44.9065140","Abrir no Google Maps")</f>
        <v>Abrir no Google Maps</v>
      </c>
      <c r="S1875">
        <v>4</v>
      </c>
      <c r="T1875">
        <v>308.67004994113421</v>
      </c>
      <c r="U1875">
        <v>4</v>
      </c>
      <c r="V1875">
        <v>30</v>
      </c>
      <c r="W1875">
        <v>1</v>
      </c>
      <c r="X1875">
        <v>30</v>
      </c>
      <c r="Y1875">
        <v>747</v>
      </c>
      <c r="Z1875">
        <v>274.71440454502522</v>
      </c>
      <c r="AA1875">
        <v>198</v>
      </c>
      <c r="AB1875">
        <v>332</v>
      </c>
      <c r="AC1875">
        <v>536</v>
      </c>
      <c r="AD1875">
        <v>30.74</v>
      </c>
      <c r="AE1875">
        <v>542</v>
      </c>
      <c r="AF1875">
        <v>30</v>
      </c>
      <c r="AG1875">
        <v>178</v>
      </c>
      <c r="AH1875">
        <v>129</v>
      </c>
      <c r="AI1875">
        <v>5.54</v>
      </c>
      <c r="AJ1875">
        <v>32.840000000000003</v>
      </c>
      <c r="AK1875">
        <v>23.8</v>
      </c>
      <c r="AL1875">
        <v>-20.147947799999969</v>
      </c>
      <c r="AM1875">
        <v>-44.906591596129203</v>
      </c>
      <c r="AN1875">
        <v>-20.147947799999969</v>
      </c>
      <c r="AO1875">
        <v>-44.906591596129203</v>
      </c>
      <c r="AP1875">
        <v>-20.147940999999999</v>
      </c>
      <c r="AQ1875">
        <v>-44.906514000000001</v>
      </c>
      <c r="AR1875">
        <v>8.1446636170570326</v>
      </c>
      <c r="AS1875" t="s">
        <v>65</v>
      </c>
      <c r="AT1875">
        <v>1</v>
      </c>
      <c r="AU1875" t="s">
        <v>66</v>
      </c>
      <c r="AV1875" t="s">
        <v>67</v>
      </c>
      <c r="AW1875" t="s">
        <v>60</v>
      </c>
      <c r="AX1875" t="s">
        <v>68</v>
      </c>
      <c r="AY1875" t="s">
        <v>69</v>
      </c>
      <c r="AZ1875" t="b">
        <v>1</v>
      </c>
    </row>
    <row r="1876" spans="1:52" x14ac:dyDescent="0.3">
      <c r="A1876" t="s">
        <v>52</v>
      </c>
      <c r="B1876" t="s">
        <v>53</v>
      </c>
      <c r="C1876" t="s">
        <v>54</v>
      </c>
      <c r="D1876" t="s">
        <v>55</v>
      </c>
      <c r="E1876" t="s">
        <v>2148</v>
      </c>
      <c r="F1876" t="s">
        <v>1247</v>
      </c>
      <c r="G1876" t="s">
        <v>191</v>
      </c>
      <c r="H1876" t="s">
        <v>192</v>
      </c>
      <c r="I1876" t="s">
        <v>192</v>
      </c>
      <c r="J1876" t="s">
        <v>60</v>
      </c>
      <c r="K1876" t="s">
        <v>193</v>
      </c>
      <c r="L1876" t="s">
        <v>62</v>
      </c>
      <c r="M1876" t="s">
        <v>193</v>
      </c>
      <c r="N1876" t="s">
        <v>194</v>
      </c>
      <c r="O1876" t="s">
        <v>195</v>
      </c>
      <c r="P1876">
        <v>-20.143266000000001</v>
      </c>
      <c r="Q1876">
        <v>-44.912075000000002</v>
      </c>
      <c r="R1876" s="2" t="str">
        <f>HYPERLINK("https://www.google.com/maps?q=-20.1432660,-44.9120750","Abrir no Google Maps")</f>
        <v>Abrir no Google Maps</v>
      </c>
      <c r="S1876">
        <v>4</v>
      </c>
      <c r="T1876">
        <v>467.04339396175408</v>
      </c>
      <c r="U1876">
        <v>4</v>
      </c>
      <c r="V1876">
        <v>26</v>
      </c>
      <c r="W1876">
        <v>1</v>
      </c>
      <c r="X1876">
        <v>26</v>
      </c>
      <c r="Y1876">
        <v>747</v>
      </c>
      <c r="Z1876">
        <v>585.1742452866996</v>
      </c>
      <c r="AA1876">
        <v>198</v>
      </c>
      <c r="AB1876">
        <v>332</v>
      </c>
      <c r="AC1876">
        <v>536</v>
      </c>
      <c r="AD1876">
        <v>30.74</v>
      </c>
      <c r="AE1876">
        <v>542</v>
      </c>
      <c r="AF1876">
        <v>30</v>
      </c>
      <c r="AG1876">
        <v>178</v>
      </c>
      <c r="AH1876">
        <v>129</v>
      </c>
      <c r="AI1876">
        <v>5.54</v>
      </c>
      <c r="AJ1876">
        <v>32.840000000000003</v>
      </c>
      <c r="AK1876">
        <v>23.8</v>
      </c>
      <c r="AL1876">
        <v>-20.143307949999951</v>
      </c>
      <c r="AM1876">
        <v>-44.912066629431067</v>
      </c>
      <c r="AN1876">
        <v>-20.143307949999951</v>
      </c>
      <c r="AO1876">
        <v>-44.912066629431067</v>
      </c>
      <c r="AP1876">
        <v>-20.143266000000001</v>
      </c>
      <c r="AQ1876">
        <v>-44.912075000000002</v>
      </c>
      <c r="AR1876">
        <v>4.751108024498329</v>
      </c>
      <c r="AS1876" t="s">
        <v>65</v>
      </c>
      <c r="AT1876">
        <v>1</v>
      </c>
      <c r="AU1876" t="s">
        <v>196</v>
      </c>
      <c r="AV1876" t="s">
        <v>197</v>
      </c>
      <c r="AW1876" t="s">
        <v>60</v>
      </c>
      <c r="AX1876" t="s">
        <v>68</v>
      </c>
      <c r="AY1876" t="s">
        <v>69</v>
      </c>
      <c r="AZ1876" t="b">
        <v>1</v>
      </c>
    </row>
    <row r="1877" spans="1:52" x14ac:dyDescent="0.3">
      <c r="A1877" t="s">
        <v>52</v>
      </c>
      <c r="B1877" t="s">
        <v>53</v>
      </c>
      <c r="C1877" t="s">
        <v>54</v>
      </c>
      <c r="D1877" t="s">
        <v>55</v>
      </c>
      <c r="E1877" t="s">
        <v>2148</v>
      </c>
      <c r="F1877" t="s">
        <v>1247</v>
      </c>
      <c r="G1877" t="s">
        <v>89</v>
      </c>
      <c r="H1877" t="s">
        <v>90</v>
      </c>
      <c r="I1877" t="s">
        <v>90</v>
      </c>
      <c r="J1877" t="s">
        <v>60</v>
      </c>
      <c r="K1877" t="s">
        <v>72</v>
      </c>
      <c r="L1877" t="s">
        <v>62</v>
      </c>
      <c r="M1877" t="s">
        <v>72</v>
      </c>
      <c r="N1877" t="s">
        <v>91</v>
      </c>
      <c r="O1877" t="s">
        <v>92</v>
      </c>
      <c r="P1877">
        <v>-20.145848999999998</v>
      </c>
      <c r="Q1877">
        <v>-44.908419000000002</v>
      </c>
      <c r="R1877" s="2" t="str">
        <f>HYPERLINK("https://www.google.com/maps?q=-20.1458490,-44.9084190","Abrir no Google Maps")</f>
        <v>Abrir no Google Maps</v>
      </c>
      <c r="S1877">
        <v>4</v>
      </c>
      <c r="T1877">
        <v>0</v>
      </c>
      <c r="U1877">
        <v>4</v>
      </c>
      <c r="V1877">
        <v>25</v>
      </c>
      <c r="W1877">
        <v>1</v>
      </c>
      <c r="X1877">
        <v>25</v>
      </c>
      <c r="Y1877">
        <v>747</v>
      </c>
      <c r="Z1877">
        <v>136.08168502765241</v>
      </c>
      <c r="AA1877">
        <v>198</v>
      </c>
      <c r="AB1877">
        <v>332</v>
      </c>
      <c r="AC1877">
        <v>536</v>
      </c>
      <c r="AD1877">
        <v>30.74</v>
      </c>
      <c r="AE1877">
        <v>542</v>
      </c>
      <c r="AF1877">
        <v>30</v>
      </c>
      <c r="AG1877">
        <v>178</v>
      </c>
      <c r="AH1877">
        <v>129</v>
      </c>
      <c r="AI1877">
        <v>5.54</v>
      </c>
      <c r="AJ1877">
        <v>32.840000000000003</v>
      </c>
      <c r="AK1877">
        <v>23.8</v>
      </c>
      <c r="AL1877">
        <v>-20.14576979999995</v>
      </c>
      <c r="AM1877">
        <v>-44.908436775053183</v>
      </c>
      <c r="AN1877">
        <v>-20.14576979999995</v>
      </c>
      <c r="AO1877">
        <v>-44.908436775053183</v>
      </c>
      <c r="AP1877">
        <v>-20.145848999999998</v>
      </c>
      <c r="AQ1877">
        <v>-44.908419000000002</v>
      </c>
      <c r="AR1877">
        <v>9.0101247482327356</v>
      </c>
      <c r="AS1877" t="s">
        <v>65</v>
      </c>
      <c r="AT1877">
        <v>1</v>
      </c>
      <c r="AU1877" t="s">
        <v>93</v>
      </c>
      <c r="AV1877" t="s">
        <v>94</v>
      </c>
      <c r="AW1877" t="s">
        <v>60</v>
      </c>
      <c r="AX1877" t="s">
        <v>68</v>
      </c>
      <c r="AY1877" t="s">
        <v>69</v>
      </c>
      <c r="AZ1877" t="b">
        <v>1</v>
      </c>
    </row>
    <row r="1878" spans="1:52" x14ac:dyDescent="0.3">
      <c r="A1878" t="s">
        <v>52</v>
      </c>
      <c r="B1878" t="s">
        <v>53</v>
      </c>
      <c r="C1878" t="s">
        <v>54</v>
      </c>
      <c r="D1878" t="s">
        <v>55</v>
      </c>
      <c r="E1878" t="s">
        <v>2148</v>
      </c>
      <c r="F1878" t="s">
        <v>1247</v>
      </c>
      <c r="G1878" t="s">
        <v>100</v>
      </c>
      <c r="H1878" t="s">
        <v>101</v>
      </c>
      <c r="I1878" t="s">
        <v>101</v>
      </c>
      <c r="J1878" t="s">
        <v>60</v>
      </c>
      <c r="K1878" t="s">
        <v>61</v>
      </c>
      <c r="L1878" t="s">
        <v>62</v>
      </c>
      <c r="M1878" t="s">
        <v>61</v>
      </c>
      <c r="N1878" t="s">
        <v>102</v>
      </c>
      <c r="O1878" t="s">
        <v>103</v>
      </c>
      <c r="P1878">
        <v>-20.151098999999999</v>
      </c>
      <c r="Q1878">
        <v>-44.909699000000003</v>
      </c>
      <c r="R1878" s="2" t="str">
        <f>HYPERLINK("https://www.google.com/maps?q=-20.1510990,-44.9096990","Abrir no Google Maps")</f>
        <v>Abrir no Google Maps</v>
      </c>
      <c r="S1878">
        <v>4</v>
      </c>
      <c r="T1878">
        <v>628.5023128813533</v>
      </c>
      <c r="U1878">
        <v>4</v>
      </c>
      <c r="V1878">
        <v>38</v>
      </c>
      <c r="W1878">
        <v>1</v>
      </c>
      <c r="X1878">
        <v>38</v>
      </c>
      <c r="Y1878">
        <v>747</v>
      </c>
      <c r="Z1878">
        <v>563.16456625265948</v>
      </c>
      <c r="AA1878">
        <v>198</v>
      </c>
      <c r="AB1878">
        <v>332</v>
      </c>
      <c r="AC1878">
        <v>536</v>
      </c>
      <c r="AD1878">
        <v>30.74</v>
      </c>
      <c r="AE1878">
        <v>542</v>
      </c>
      <c r="AF1878">
        <v>30</v>
      </c>
      <c r="AG1878">
        <v>178</v>
      </c>
      <c r="AH1878">
        <v>129</v>
      </c>
      <c r="AI1878">
        <v>5.54</v>
      </c>
      <c r="AJ1878">
        <v>32.840000000000003</v>
      </c>
      <c r="AK1878">
        <v>23.8</v>
      </c>
      <c r="AL1878">
        <v>-20.151307349999971</v>
      </c>
      <c r="AM1878">
        <v>-44.909772836123523</v>
      </c>
      <c r="AN1878">
        <v>-20.151307349999971</v>
      </c>
      <c r="AO1878">
        <v>-44.909772836123523</v>
      </c>
      <c r="AP1878">
        <v>-20.151098999999999</v>
      </c>
      <c r="AQ1878">
        <v>-44.909699000000003</v>
      </c>
      <c r="AR1878">
        <v>24.443417349564811</v>
      </c>
      <c r="AS1878" t="s">
        <v>65</v>
      </c>
      <c r="AT1878">
        <v>1</v>
      </c>
      <c r="AU1878" t="s">
        <v>104</v>
      </c>
      <c r="AV1878" t="s">
        <v>105</v>
      </c>
      <c r="AW1878" t="s">
        <v>60</v>
      </c>
      <c r="AX1878" t="s">
        <v>68</v>
      </c>
      <c r="AY1878" t="s">
        <v>69</v>
      </c>
      <c r="AZ1878" t="b">
        <v>1</v>
      </c>
    </row>
    <row r="1879" spans="1:52" x14ac:dyDescent="0.3">
      <c r="A1879" t="s">
        <v>52</v>
      </c>
      <c r="B1879" t="s">
        <v>53</v>
      </c>
      <c r="C1879" t="s">
        <v>54</v>
      </c>
      <c r="D1879" t="s">
        <v>55</v>
      </c>
      <c r="E1879" t="s">
        <v>2148</v>
      </c>
      <c r="F1879" t="s">
        <v>1247</v>
      </c>
      <c r="G1879" t="s">
        <v>100</v>
      </c>
      <c r="H1879" t="s">
        <v>106</v>
      </c>
      <c r="I1879" t="s">
        <v>106</v>
      </c>
      <c r="J1879" t="s">
        <v>60</v>
      </c>
      <c r="K1879" t="s">
        <v>61</v>
      </c>
      <c r="L1879" t="s">
        <v>62</v>
      </c>
      <c r="M1879" t="s">
        <v>61</v>
      </c>
      <c r="N1879" t="s">
        <v>102</v>
      </c>
      <c r="O1879" t="s">
        <v>103</v>
      </c>
      <c r="P1879">
        <v>-20.151107</v>
      </c>
      <c r="Q1879">
        <v>-44.908918</v>
      </c>
      <c r="R1879" s="2" t="str">
        <f>HYPERLINK("https://www.google.com/maps?q=-20.1511070,-44.9089180","Abrir no Google Maps")</f>
        <v>Abrir no Google Maps</v>
      </c>
      <c r="S1879">
        <v>4</v>
      </c>
      <c r="T1879">
        <v>615.86400245321579</v>
      </c>
      <c r="U1879">
        <v>4</v>
      </c>
      <c r="V1879">
        <v>32</v>
      </c>
      <c r="W1879">
        <v>0.85</v>
      </c>
      <c r="X1879">
        <v>27.2</v>
      </c>
      <c r="Y1879">
        <v>747</v>
      </c>
      <c r="Z1879">
        <v>535.34543763764702</v>
      </c>
      <c r="AA1879">
        <v>198</v>
      </c>
      <c r="AB1879">
        <v>332</v>
      </c>
      <c r="AC1879">
        <v>536</v>
      </c>
      <c r="AD1879">
        <v>30.74</v>
      </c>
      <c r="AE1879">
        <v>542</v>
      </c>
      <c r="AF1879">
        <v>30</v>
      </c>
      <c r="AG1879">
        <v>178</v>
      </c>
      <c r="AH1879">
        <v>129</v>
      </c>
      <c r="AI1879">
        <v>5.54</v>
      </c>
      <c r="AJ1879">
        <v>32.840000000000003</v>
      </c>
      <c r="AK1879">
        <v>23.8</v>
      </c>
      <c r="AL1879">
        <v>-20.151307349999971</v>
      </c>
      <c r="AM1879">
        <v>-44.909024234051429</v>
      </c>
      <c r="AN1879">
        <v>-20.151307349999971</v>
      </c>
      <c r="AO1879">
        <v>-44.909024234051429</v>
      </c>
      <c r="AP1879">
        <v>-20.151107</v>
      </c>
      <c r="AQ1879">
        <v>-44.908918</v>
      </c>
      <c r="AR1879">
        <v>24.91340747371116</v>
      </c>
      <c r="AS1879" t="s">
        <v>65</v>
      </c>
      <c r="AT1879">
        <v>1</v>
      </c>
      <c r="AU1879" t="s">
        <v>107</v>
      </c>
      <c r="AV1879" t="s">
        <v>105</v>
      </c>
      <c r="AW1879" t="s">
        <v>60</v>
      </c>
      <c r="AX1879" t="s">
        <v>68</v>
      </c>
      <c r="AY1879" t="s">
        <v>69</v>
      </c>
      <c r="AZ1879" t="b">
        <v>1</v>
      </c>
    </row>
    <row r="1880" spans="1:52" x14ac:dyDescent="0.3">
      <c r="A1880" t="s">
        <v>52</v>
      </c>
      <c r="B1880" t="s">
        <v>53</v>
      </c>
      <c r="C1880" t="s">
        <v>54</v>
      </c>
      <c r="D1880" t="s">
        <v>55</v>
      </c>
      <c r="E1880" t="s">
        <v>2148</v>
      </c>
      <c r="F1880" t="s">
        <v>1247</v>
      </c>
      <c r="G1880" t="s">
        <v>70</v>
      </c>
      <c r="H1880" t="s">
        <v>71</v>
      </c>
      <c r="I1880" t="s">
        <v>71</v>
      </c>
      <c r="J1880" t="s">
        <v>60</v>
      </c>
      <c r="K1880" t="s">
        <v>72</v>
      </c>
      <c r="L1880" t="s">
        <v>62</v>
      </c>
      <c r="M1880" t="s">
        <v>72</v>
      </c>
      <c r="N1880" t="s">
        <v>73</v>
      </c>
      <c r="O1880" t="s">
        <v>74</v>
      </c>
      <c r="P1880">
        <v>-20.149349000000001</v>
      </c>
      <c r="Q1880">
        <v>-44.910784</v>
      </c>
      <c r="R1880" s="2" t="str">
        <f>HYPERLINK("https://www.google.com/maps?q=-20.1493490,-44.9107840","Abrir no Google Maps")</f>
        <v>Abrir no Google Maps</v>
      </c>
      <c r="S1880">
        <v>4</v>
      </c>
      <c r="T1880">
        <v>472.43876549769578</v>
      </c>
      <c r="U1880">
        <v>3</v>
      </c>
      <c r="V1880">
        <v>19</v>
      </c>
      <c r="W1880">
        <v>1</v>
      </c>
      <c r="X1880">
        <v>19</v>
      </c>
      <c r="Y1880">
        <v>747</v>
      </c>
      <c r="Z1880">
        <v>441.03921887407779</v>
      </c>
      <c r="AA1880">
        <v>198</v>
      </c>
      <c r="AB1880">
        <v>332</v>
      </c>
      <c r="AC1880">
        <v>536</v>
      </c>
      <c r="AD1880">
        <v>30.74</v>
      </c>
      <c r="AE1880">
        <v>542</v>
      </c>
      <c r="AF1880">
        <v>30</v>
      </c>
      <c r="AG1880">
        <v>178</v>
      </c>
      <c r="AH1880">
        <v>129</v>
      </c>
      <c r="AI1880">
        <v>5.54</v>
      </c>
      <c r="AJ1880">
        <v>32.840000000000003</v>
      </c>
      <c r="AK1880">
        <v>23.8</v>
      </c>
      <c r="AL1880">
        <v>-20.149403999999951</v>
      </c>
      <c r="AM1880">
        <v>-44.91080895147438</v>
      </c>
      <c r="AN1880">
        <v>-20.149403999999951</v>
      </c>
      <c r="AO1880">
        <v>-44.91080895147438</v>
      </c>
      <c r="AP1880">
        <v>-20.149349000000001</v>
      </c>
      <c r="AQ1880">
        <v>-44.910784</v>
      </c>
      <c r="AR1880">
        <v>6.6547592699416382</v>
      </c>
      <c r="AS1880" t="s">
        <v>65</v>
      </c>
      <c r="AT1880">
        <v>1</v>
      </c>
      <c r="AU1880" t="s">
        <v>75</v>
      </c>
      <c r="AV1880" t="s">
        <v>76</v>
      </c>
      <c r="AW1880" t="s">
        <v>60</v>
      </c>
      <c r="AX1880" t="s">
        <v>68</v>
      </c>
      <c r="AY1880" t="s">
        <v>69</v>
      </c>
      <c r="AZ1880" t="b">
        <v>1</v>
      </c>
    </row>
    <row r="1881" spans="1:52" x14ac:dyDescent="0.3">
      <c r="A1881" t="s">
        <v>52</v>
      </c>
      <c r="B1881" t="s">
        <v>53</v>
      </c>
      <c r="C1881" t="s">
        <v>54</v>
      </c>
      <c r="D1881" t="s">
        <v>55</v>
      </c>
      <c r="E1881" t="s">
        <v>2148</v>
      </c>
      <c r="F1881" t="s">
        <v>1247</v>
      </c>
      <c r="G1881" t="s">
        <v>77</v>
      </c>
      <c r="H1881" t="s">
        <v>78</v>
      </c>
      <c r="I1881" t="s">
        <v>78</v>
      </c>
      <c r="J1881" t="s">
        <v>60</v>
      </c>
      <c r="K1881" t="s">
        <v>72</v>
      </c>
      <c r="L1881" t="s">
        <v>62</v>
      </c>
      <c r="M1881" t="s">
        <v>72</v>
      </c>
      <c r="N1881" t="s">
        <v>79</v>
      </c>
      <c r="O1881" t="s">
        <v>80</v>
      </c>
      <c r="P1881">
        <v>-20.147821</v>
      </c>
      <c r="Q1881">
        <v>-44.908887</v>
      </c>
      <c r="R1881" s="2" t="str">
        <f>HYPERLINK("https://www.google.com/maps?q=-20.1478210,-44.9088870","Abrir no Google Maps")</f>
        <v>Abrir no Google Maps</v>
      </c>
      <c r="S1881">
        <v>4</v>
      </c>
      <c r="T1881">
        <v>232.2893841532152</v>
      </c>
      <c r="U1881">
        <v>3</v>
      </c>
      <c r="V1881">
        <v>16</v>
      </c>
      <c r="W1881">
        <v>1</v>
      </c>
      <c r="X1881">
        <v>16</v>
      </c>
      <c r="Y1881">
        <v>747</v>
      </c>
      <c r="Z1881">
        <v>195.3668648953757</v>
      </c>
      <c r="AA1881">
        <v>198</v>
      </c>
      <c r="AB1881">
        <v>332</v>
      </c>
      <c r="AC1881">
        <v>536</v>
      </c>
      <c r="AD1881">
        <v>30.74</v>
      </c>
      <c r="AE1881">
        <v>542</v>
      </c>
      <c r="AF1881">
        <v>30</v>
      </c>
      <c r="AG1881">
        <v>178</v>
      </c>
      <c r="AH1881">
        <v>129</v>
      </c>
      <c r="AI1881">
        <v>5.54</v>
      </c>
      <c r="AJ1881">
        <v>32.840000000000003</v>
      </c>
      <c r="AK1881">
        <v>23.8</v>
      </c>
      <c r="AL1881">
        <v>-20.147802849999952</v>
      </c>
      <c r="AM1881">
        <v>-44.908989919229477</v>
      </c>
      <c r="AN1881">
        <v>-20.147802849999952</v>
      </c>
      <c r="AO1881">
        <v>-44.908989919229491</v>
      </c>
      <c r="AP1881">
        <v>-20.147821</v>
      </c>
      <c r="AQ1881">
        <v>-44.908887</v>
      </c>
      <c r="AR1881">
        <v>10.944007761262529</v>
      </c>
      <c r="AS1881" t="s">
        <v>65</v>
      </c>
      <c r="AT1881">
        <v>1</v>
      </c>
      <c r="AU1881" t="s">
        <v>81</v>
      </c>
      <c r="AV1881" t="s">
        <v>82</v>
      </c>
      <c r="AW1881" t="s">
        <v>60</v>
      </c>
      <c r="AX1881" t="s">
        <v>68</v>
      </c>
      <c r="AY1881" t="s">
        <v>69</v>
      </c>
      <c r="AZ1881" t="b">
        <v>1</v>
      </c>
    </row>
    <row r="1882" spans="1:52" x14ac:dyDescent="0.3">
      <c r="A1882" t="s">
        <v>52</v>
      </c>
      <c r="B1882" t="s">
        <v>53</v>
      </c>
      <c r="C1882" t="s">
        <v>54</v>
      </c>
      <c r="D1882" t="s">
        <v>55</v>
      </c>
      <c r="E1882" t="s">
        <v>2148</v>
      </c>
      <c r="F1882" t="s">
        <v>1247</v>
      </c>
      <c r="G1882" t="s">
        <v>95</v>
      </c>
      <c r="H1882" t="s">
        <v>96</v>
      </c>
      <c r="I1882" t="s">
        <v>96</v>
      </c>
      <c r="J1882" t="s">
        <v>60</v>
      </c>
      <c r="K1882" t="s">
        <v>72</v>
      </c>
      <c r="L1882" t="s">
        <v>62</v>
      </c>
      <c r="M1882" t="s">
        <v>72</v>
      </c>
      <c r="N1882" t="s">
        <v>97</v>
      </c>
      <c r="O1882" t="s">
        <v>98</v>
      </c>
      <c r="P1882">
        <v>-20.144062999999999</v>
      </c>
      <c r="Q1882">
        <v>-44.909627999999998</v>
      </c>
      <c r="R1882" s="2" t="str">
        <f>HYPERLINK("https://www.google.com/maps?q=-20.1440630,-44.9096280","Abrir no Google Maps")</f>
        <v>Abrir no Google Maps</v>
      </c>
      <c r="S1882">
        <v>4</v>
      </c>
      <c r="T1882">
        <v>205.27083326529291</v>
      </c>
      <c r="U1882">
        <v>3</v>
      </c>
      <c r="V1882">
        <v>16</v>
      </c>
      <c r="W1882">
        <v>1</v>
      </c>
      <c r="X1882">
        <v>16</v>
      </c>
      <c r="Y1882">
        <v>747</v>
      </c>
      <c r="Z1882">
        <v>336.75785483480968</v>
      </c>
      <c r="AA1882">
        <v>198</v>
      </c>
      <c r="AB1882">
        <v>332</v>
      </c>
      <c r="AC1882">
        <v>536</v>
      </c>
      <c r="AD1882">
        <v>30.74</v>
      </c>
      <c r="AE1882">
        <v>542</v>
      </c>
      <c r="AF1882">
        <v>30</v>
      </c>
      <c r="AG1882">
        <v>178</v>
      </c>
      <c r="AH1882">
        <v>129</v>
      </c>
      <c r="AI1882">
        <v>5.54</v>
      </c>
      <c r="AJ1882">
        <v>32.840000000000003</v>
      </c>
      <c r="AK1882">
        <v>23.8</v>
      </c>
      <c r="AL1882">
        <v>-20.144164099999951</v>
      </c>
      <c r="AM1882">
        <v>-44.909420167767642</v>
      </c>
      <c r="AN1882">
        <v>-20.144164099999951</v>
      </c>
      <c r="AO1882">
        <v>-44.909420167767642</v>
      </c>
      <c r="AP1882">
        <v>-20.144062999999999</v>
      </c>
      <c r="AQ1882">
        <v>-44.909627999999998</v>
      </c>
      <c r="AR1882">
        <v>24.46321571724976</v>
      </c>
      <c r="AS1882" t="s">
        <v>65</v>
      </c>
      <c r="AT1882">
        <v>1</v>
      </c>
      <c r="AU1882" t="s">
        <v>99</v>
      </c>
      <c r="AV1882" t="s">
        <v>94</v>
      </c>
      <c r="AW1882" t="s">
        <v>60</v>
      </c>
      <c r="AX1882" t="s">
        <v>68</v>
      </c>
      <c r="AY1882" t="s">
        <v>69</v>
      </c>
      <c r="AZ1882" t="b">
        <v>1</v>
      </c>
    </row>
    <row r="1883" spans="1:52" x14ac:dyDescent="0.3">
      <c r="A1883" t="s">
        <v>52</v>
      </c>
      <c r="B1883" t="s">
        <v>53</v>
      </c>
      <c r="C1883" t="s">
        <v>54</v>
      </c>
      <c r="D1883" t="s">
        <v>55</v>
      </c>
      <c r="E1883" t="s">
        <v>2148</v>
      </c>
      <c r="F1883" t="s">
        <v>1247</v>
      </c>
      <c r="G1883" t="s">
        <v>108</v>
      </c>
      <c r="H1883" t="s">
        <v>109</v>
      </c>
      <c r="I1883" t="s">
        <v>109</v>
      </c>
      <c r="J1883" t="s">
        <v>60</v>
      </c>
      <c r="K1883" t="s">
        <v>110</v>
      </c>
      <c r="L1883" t="s">
        <v>62</v>
      </c>
      <c r="M1883" t="s">
        <v>110</v>
      </c>
      <c r="N1883" t="s">
        <v>111</v>
      </c>
      <c r="O1883" t="s">
        <v>112</v>
      </c>
      <c r="P1883">
        <v>-20.122233999999999</v>
      </c>
      <c r="Q1883">
        <v>-44.909194999999997</v>
      </c>
      <c r="R1883" s="2" t="str">
        <f>HYPERLINK("https://www.google.com/maps?q=-20.1222340,-44.9091950","Abrir no Google Maps")</f>
        <v>Abrir no Google Maps</v>
      </c>
      <c r="S1883">
        <v>4</v>
      </c>
      <c r="T1883">
        <v>1171.396020763932</v>
      </c>
      <c r="U1883">
        <v>3</v>
      </c>
      <c r="V1883">
        <v>18</v>
      </c>
      <c r="W1883">
        <v>0.85</v>
      </c>
      <c r="X1883">
        <v>15.3</v>
      </c>
      <c r="Y1883">
        <v>567</v>
      </c>
      <c r="Z1883">
        <v>1238.711234283244</v>
      </c>
      <c r="AA1883">
        <v>198</v>
      </c>
      <c r="AB1883">
        <v>332</v>
      </c>
      <c r="AC1883">
        <v>536</v>
      </c>
      <c r="AD1883">
        <v>30.74</v>
      </c>
      <c r="AE1883">
        <v>542</v>
      </c>
      <c r="AF1883">
        <v>30</v>
      </c>
      <c r="AG1883">
        <v>178</v>
      </c>
      <c r="AH1883">
        <v>129</v>
      </c>
      <c r="AI1883">
        <v>5.54</v>
      </c>
      <c r="AJ1883">
        <v>32.840000000000003</v>
      </c>
      <c r="AK1883">
        <v>23.8</v>
      </c>
      <c r="AL1883">
        <v>-20.121881249999941</v>
      </c>
      <c r="AM1883">
        <v>-44.909273766094323</v>
      </c>
      <c r="AN1883">
        <v>-20.121881249999941</v>
      </c>
      <c r="AO1883">
        <v>-44.909273766094323</v>
      </c>
      <c r="AP1883">
        <v>-20.122233999999999</v>
      </c>
      <c r="AQ1883">
        <v>-44.909194999999997</v>
      </c>
      <c r="AR1883">
        <v>40.12192930593006</v>
      </c>
      <c r="AS1883" t="s">
        <v>65</v>
      </c>
      <c r="AT1883">
        <v>1</v>
      </c>
      <c r="AU1883" t="s">
        <v>113</v>
      </c>
      <c r="AV1883" t="s">
        <v>114</v>
      </c>
      <c r="AW1883" t="s">
        <v>60</v>
      </c>
      <c r="AX1883" t="s">
        <v>68</v>
      </c>
      <c r="AY1883" t="s">
        <v>69</v>
      </c>
      <c r="AZ1883" t="b">
        <v>1</v>
      </c>
    </row>
    <row r="1884" spans="1:52" x14ac:dyDescent="0.3">
      <c r="A1884" t="s">
        <v>52</v>
      </c>
      <c r="B1884" t="s">
        <v>53</v>
      </c>
      <c r="C1884" t="s">
        <v>54</v>
      </c>
      <c r="D1884" t="s">
        <v>55</v>
      </c>
      <c r="E1884" t="s">
        <v>2148</v>
      </c>
      <c r="F1884" t="s">
        <v>1247</v>
      </c>
      <c r="G1884" t="s">
        <v>115</v>
      </c>
      <c r="H1884" t="s">
        <v>116</v>
      </c>
      <c r="I1884" t="s">
        <v>116</v>
      </c>
      <c r="J1884" t="s">
        <v>60</v>
      </c>
      <c r="K1884" t="s">
        <v>117</v>
      </c>
      <c r="L1884" t="s">
        <v>62</v>
      </c>
      <c r="M1884" t="s">
        <v>117</v>
      </c>
      <c r="N1884" t="s">
        <v>118</v>
      </c>
      <c r="O1884" t="s">
        <v>119</v>
      </c>
      <c r="P1884">
        <v>-20.116992</v>
      </c>
      <c r="Q1884">
        <v>-44.899355</v>
      </c>
      <c r="R1884" s="2" t="str">
        <f>HYPERLINK("https://www.google.com/maps?q=-20.1169920,-44.8993550","Abrir no Google Maps")</f>
        <v>Abrir no Google Maps</v>
      </c>
      <c r="S1884">
        <v>4</v>
      </c>
      <c r="T1884">
        <v>0</v>
      </c>
      <c r="U1884">
        <v>3</v>
      </c>
      <c r="V1884">
        <v>16</v>
      </c>
      <c r="W1884">
        <v>1</v>
      </c>
      <c r="X1884">
        <v>16</v>
      </c>
      <c r="Y1884">
        <v>567</v>
      </c>
      <c r="Z1884">
        <v>54.913678078353321</v>
      </c>
      <c r="AA1884">
        <v>198</v>
      </c>
      <c r="AB1884">
        <v>332</v>
      </c>
      <c r="AC1884">
        <v>536</v>
      </c>
      <c r="AD1884">
        <v>30.74</v>
      </c>
      <c r="AE1884">
        <v>542</v>
      </c>
      <c r="AF1884">
        <v>30</v>
      </c>
      <c r="AG1884">
        <v>178</v>
      </c>
      <c r="AH1884">
        <v>129</v>
      </c>
      <c r="AI1884">
        <v>5.54</v>
      </c>
      <c r="AJ1884">
        <v>32.840000000000003</v>
      </c>
      <c r="AK1884">
        <v>23.8</v>
      </c>
      <c r="AL1884">
        <v>-20.117107749999949</v>
      </c>
      <c r="AM1884">
        <v>-44.899271226243108</v>
      </c>
      <c r="AN1884">
        <v>-20.117107749999949</v>
      </c>
      <c r="AO1884">
        <v>-44.899271226243108</v>
      </c>
      <c r="AP1884">
        <v>-20.116992</v>
      </c>
      <c r="AQ1884">
        <v>-44.899355</v>
      </c>
      <c r="AR1884">
        <v>15.579196044083419</v>
      </c>
      <c r="AS1884" t="s">
        <v>65</v>
      </c>
      <c r="AT1884">
        <v>1</v>
      </c>
      <c r="AU1884" t="s">
        <v>120</v>
      </c>
      <c r="AV1884" t="s">
        <v>121</v>
      </c>
      <c r="AW1884" t="s">
        <v>60</v>
      </c>
      <c r="AX1884" t="s">
        <v>68</v>
      </c>
      <c r="AY1884" t="s">
        <v>69</v>
      </c>
      <c r="AZ1884" t="b">
        <v>1</v>
      </c>
    </row>
    <row r="1885" spans="1:52" x14ac:dyDescent="0.3">
      <c r="A1885" t="s">
        <v>52</v>
      </c>
      <c r="B1885" t="s">
        <v>53</v>
      </c>
      <c r="C1885" t="s">
        <v>54</v>
      </c>
      <c r="D1885" t="s">
        <v>55</v>
      </c>
      <c r="E1885" t="s">
        <v>2148</v>
      </c>
      <c r="F1885" t="s">
        <v>1247</v>
      </c>
      <c r="G1885" t="s">
        <v>83</v>
      </c>
      <c r="H1885" t="s">
        <v>1253</v>
      </c>
      <c r="I1885" t="s">
        <v>1253</v>
      </c>
      <c r="J1885" t="s">
        <v>60</v>
      </c>
      <c r="K1885" t="s">
        <v>72</v>
      </c>
      <c r="L1885" t="s">
        <v>62</v>
      </c>
      <c r="M1885" t="s">
        <v>72</v>
      </c>
      <c r="N1885" t="s">
        <v>1254</v>
      </c>
      <c r="O1885" t="s">
        <v>1255</v>
      </c>
      <c r="P1885">
        <v>-20.147164</v>
      </c>
      <c r="Q1885">
        <v>-44.905259000000001</v>
      </c>
      <c r="R1885" s="2" t="str">
        <f>HYPERLINK("https://www.google.com/maps?q=-20.1471640,-44.9052590","Abrir no Google Maps")</f>
        <v>Abrir no Google Maps</v>
      </c>
      <c r="S1885">
        <v>4</v>
      </c>
      <c r="T1885">
        <v>364.08569180502712</v>
      </c>
      <c r="U1885">
        <v>2</v>
      </c>
      <c r="V1885">
        <v>11</v>
      </c>
      <c r="W1885">
        <v>0.85</v>
      </c>
      <c r="X1885">
        <v>9.35</v>
      </c>
      <c r="Y1885">
        <v>747</v>
      </c>
      <c r="Z1885">
        <v>309.89238988435022</v>
      </c>
      <c r="AA1885">
        <v>198</v>
      </c>
      <c r="AB1885">
        <v>332</v>
      </c>
      <c r="AC1885">
        <v>536</v>
      </c>
      <c r="AD1885">
        <v>30.74</v>
      </c>
      <c r="AE1885">
        <v>542</v>
      </c>
      <c r="AF1885">
        <v>30</v>
      </c>
      <c r="AG1885">
        <v>178</v>
      </c>
      <c r="AH1885">
        <v>129</v>
      </c>
      <c r="AI1885">
        <v>5.54</v>
      </c>
      <c r="AJ1885">
        <v>32.840000000000003</v>
      </c>
      <c r="AK1885">
        <v>23.8</v>
      </c>
      <c r="AL1885">
        <v>-20.14718674999995</v>
      </c>
      <c r="AM1885">
        <v>-44.905292621565764</v>
      </c>
      <c r="AN1885">
        <v>-20.147186749999939</v>
      </c>
      <c r="AO1885">
        <v>-44.905292621565764</v>
      </c>
      <c r="AP1885">
        <v>-20.147164</v>
      </c>
      <c r="AQ1885">
        <v>-44.905259000000001</v>
      </c>
      <c r="AR1885">
        <v>4.3312880650984971</v>
      </c>
      <c r="AS1885" t="s">
        <v>65</v>
      </c>
      <c r="AT1885">
        <v>1</v>
      </c>
      <c r="AU1885" t="s">
        <v>1256</v>
      </c>
      <c r="AV1885" t="s">
        <v>1257</v>
      </c>
      <c r="AW1885" t="s">
        <v>60</v>
      </c>
      <c r="AX1885" t="s">
        <v>68</v>
      </c>
      <c r="AY1885" t="s">
        <v>69</v>
      </c>
      <c r="AZ1885" t="b">
        <v>1</v>
      </c>
    </row>
    <row r="1886" spans="1:52" x14ac:dyDescent="0.3">
      <c r="A1886" t="s">
        <v>52</v>
      </c>
      <c r="B1886" t="s">
        <v>53</v>
      </c>
      <c r="C1886" t="s">
        <v>54</v>
      </c>
      <c r="D1886" t="s">
        <v>55</v>
      </c>
      <c r="E1886" t="s">
        <v>2148</v>
      </c>
      <c r="F1886" t="s">
        <v>1247</v>
      </c>
      <c r="G1886" t="s">
        <v>83</v>
      </c>
      <c r="H1886" t="s">
        <v>84</v>
      </c>
      <c r="I1886" t="s">
        <v>84</v>
      </c>
      <c r="J1886" t="s">
        <v>60</v>
      </c>
      <c r="K1886" t="s">
        <v>61</v>
      </c>
      <c r="L1886" t="s">
        <v>62</v>
      </c>
      <c r="M1886" t="s">
        <v>61</v>
      </c>
      <c r="N1886" t="s">
        <v>85</v>
      </c>
      <c r="O1886" t="s">
        <v>86</v>
      </c>
      <c r="P1886">
        <v>-20.149799000000002</v>
      </c>
      <c r="Q1886">
        <v>-44.906517000000001</v>
      </c>
      <c r="R1886" s="2" t="str">
        <f>HYPERLINK("https://www.google.com/maps?q=-20.1497990,-44.9065170","Abrir no Google Maps")</f>
        <v>Abrir no Google Maps</v>
      </c>
      <c r="S1886">
        <v>4</v>
      </c>
      <c r="T1886">
        <v>487.90051105537998</v>
      </c>
      <c r="U1886">
        <v>2</v>
      </c>
      <c r="V1886">
        <v>15</v>
      </c>
      <c r="W1886">
        <v>1</v>
      </c>
      <c r="X1886">
        <v>15</v>
      </c>
      <c r="Y1886">
        <v>747</v>
      </c>
      <c r="Z1886">
        <v>365.93785960107078</v>
      </c>
      <c r="AA1886">
        <v>198</v>
      </c>
      <c r="AB1886">
        <v>332</v>
      </c>
      <c r="AC1886">
        <v>536</v>
      </c>
      <c r="AD1886">
        <v>30.74</v>
      </c>
      <c r="AE1886">
        <v>542</v>
      </c>
      <c r="AF1886">
        <v>30</v>
      </c>
      <c r="AG1886">
        <v>178</v>
      </c>
      <c r="AH1886">
        <v>129</v>
      </c>
      <c r="AI1886">
        <v>5.54</v>
      </c>
      <c r="AJ1886">
        <v>32.840000000000003</v>
      </c>
      <c r="AK1886">
        <v>23.8</v>
      </c>
      <c r="AL1886">
        <v>-20.149879599999959</v>
      </c>
      <c r="AM1886">
        <v>-44.906746466068469</v>
      </c>
      <c r="AN1886">
        <v>-20.149879599999959</v>
      </c>
      <c r="AO1886">
        <v>-44.906746466068469</v>
      </c>
      <c r="AP1886">
        <v>-20.149799000000002</v>
      </c>
      <c r="AQ1886">
        <v>-44.906517000000001</v>
      </c>
      <c r="AR1886">
        <v>25.604276856970429</v>
      </c>
      <c r="AS1886" t="s">
        <v>65</v>
      </c>
      <c r="AT1886">
        <v>1</v>
      </c>
      <c r="AU1886" t="s">
        <v>87</v>
      </c>
      <c r="AV1886" t="s">
        <v>88</v>
      </c>
      <c r="AW1886" t="s">
        <v>60</v>
      </c>
      <c r="AX1886" t="s">
        <v>68</v>
      </c>
      <c r="AY1886" t="s">
        <v>69</v>
      </c>
      <c r="AZ1886" t="b">
        <v>1</v>
      </c>
    </row>
    <row r="1887" spans="1:52" x14ac:dyDescent="0.3">
      <c r="A1887" t="s">
        <v>52</v>
      </c>
      <c r="B1887" t="s">
        <v>53</v>
      </c>
      <c r="C1887" t="s">
        <v>54</v>
      </c>
      <c r="D1887" t="s">
        <v>55</v>
      </c>
      <c r="E1887" t="s">
        <v>2148</v>
      </c>
      <c r="F1887" t="s">
        <v>1247</v>
      </c>
      <c r="G1887" t="s">
        <v>1258</v>
      </c>
      <c r="H1887" t="s">
        <v>1259</v>
      </c>
      <c r="I1887" t="s">
        <v>1259</v>
      </c>
      <c r="J1887" t="s">
        <v>60</v>
      </c>
      <c r="K1887" t="s">
        <v>905</v>
      </c>
      <c r="L1887" t="s">
        <v>62</v>
      </c>
      <c r="M1887" t="s">
        <v>905</v>
      </c>
      <c r="N1887" t="s">
        <v>1260</v>
      </c>
      <c r="O1887" t="s">
        <v>628</v>
      </c>
      <c r="P1887">
        <v>-20.113569999999999</v>
      </c>
      <c r="Q1887">
        <v>-44.897216</v>
      </c>
      <c r="R1887" s="2" t="str">
        <f>HYPERLINK("https://www.google.com/maps?q=-20.1135700,-44.8972160","Abrir no Google Maps")</f>
        <v>Abrir no Google Maps</v>
      </c>
      <c r="S1887">
        <v>4</v>
      </c>
      <c r="T1887">
        <v>418.54368277643368</v>
      </c>
      <c r="U1887">
        <v>2</v>
      </c>
      <c r="V1887">
        <v>13</v>
      </c>
      <c r="W1887">
        <v>0.85</v>
      </c>
      <c r="X1887">
        <v>11.05</v>
      </c>
      <c r="Y1887">
        <v>567</v>
      </c>
      <c r="Z1887">
        <v>315.02989622191018</v>
      </c>
      <c r="AA1887">
        <v>198</v>
      </c>
      <c r="AB1887">
        <v>332</v>
      </c>
      <c r="AC1887">
        <v>536</v>
      </c>
      <c r="AD1887">
        <v>30.74</v>
      </c>
      <c r="AE1887">
        <v>542</v>
      </c>
      <c r="AF1887">
        <v>30</v>
      </c>
      <c r="AG1887">
        <v>178</v>
      </c>
      <c r="AH1887">
        <v>129</v>
      </c>
      <c r="AI1887">
        <v>5.54</v>
      </c>
      <c r="AJ1887">
        <v>32.840000000000003</v>
      </c>
      <c r="AK1887">
        <v>23.8</v>
      </c>
      <c r="AL1887">
        <v>-20.113750149999959</v>
      </c>
      <c r="AM1887">
        <v>-44.897427949999937</v>
      </c>
      <c r="AN1887">
        <v>-20.113750149999959</v>
      </c>
      <c r="AO1887">
        <v>-44.897427949999937</v>
      </c>
      <c r="AP1887">
        <v>-20.113569999999999</v>
      </c>
      <c r="AQ1887">
        <v>-44.897216</v>
      </c>
      <c r="AR1887">
        <v>29.883644534822711</v>
      </c>
      <c r="AS1887" t="s">
        <v>65</v>
      </c>
      <c r="AT1887">
        <v>1</v>
      </c>
      <c r="AU1887" t="s">
        <v>1261</v>
      </c>
      <c r="AV1887" t="s">
        <v>1262</v>
      </c>
      <c r="AW1887" t="s">
        <v>60</v>
      </c>
      <c r="AX1887" t="s">
        <v>68</v>
      </c>
      <c r="AY1887" t="s">
        <v>69</v>
      </c>
      <c r="AZ1887" t="b">
        <v>1</v>
      </c>
    </row>
    <row r="1888" spans="1:52" x14ac:dyDescent="0.3">
      <c r="A1888" t="s">
        <v>52</v>
      </c>
      <c r="B1888" t="s">
        <v>53</v>
      </c>
      <c r="C1888" t="s">
        <v>54</v>
      </c>
      <c r="D1888" t="s">
        <v>55</v>
      </c>
      <c r="E1888" t="s">
        <v>2148</v>
      </c>
      <c r="F1888" t="s">
        <v>1247</v>
      </c>
      <c r="G1888" t="s">
        <v>198</v>
      </c>
      <c r="H1888" t="s">
        <v>199</v>
      </c>
      <c r="I1888" t="s">
        <v>199</v>
      </c>
      <c r="J1888" t="s">
        <v>60</v>
      </c>
      <c r="K1888" t="s">
        <v>200</v>
      </c>
      <c r="L1888" t="s">
        <v>62</v>
      </c>
      <c r="M1888" t="s">
        <v>200</v>
      </c>
      <c r="N1888" t="s">
        <v>201</v>
      </c>
      <c r="O1888" t="s">
        <v>202</v>
      </c>
      <c r="P1888">
        <v>-20.122433000000001</v>
      </c>
      <c r="Q1888">
        <v>-44.897013999999999</v>
      </c>
      <c r="R1888" s="2" t="str">
        <f>HYPERLINK("https://www.google.com/maps?q=-20.1224330,-44.8970140","Abrir no Google Maps")</f>
        <v>Abrir no Google Maps</v>
      </c>
      <c r="S1888">
        <v>4</v>
      </c>
      <c r="T1888">
        <v>616.04759279207849</v>
      </c>
      <c r="U1888">
        <v>2</v>
      </c>
      <c r="V1888">
        <v>13</v>
      </c>
      <c r="W1888">
        <v>0.85</v>
      </c>
      <c r="X1888">
        <v>11.05</v>
      </c>
      <c r="Y1888">
        <v>567</v>
      </c>
      <c r="Z1888">
        <v>655.51024138861465</v>
      </c>
      <c r="AA1888">
        <v>198</v>
      </c>
      <c r="AB1888">
        <v>332</v>
      </c>
      <c r="AC1888">
        <v>536</v>
      </c>
      <c r="AD1888">
        <v>30.74</v>
      </c>
      <c r="AE1888">
        <v>542</v>
      </c>
      <c r="AF1888">
        <v>30</v>
      </c>
      <c r="AG1888">
        <v>178</v>
      </c>
      <c r="AH1888">
        <v>129</v>
      </c>
      <c r="AI1888">
        <v>5.54</v>
      </c>
      <c r="AJ1888">
        <v>32.840000000000003</v>
      </c>
      <c r="AK1888">
        <v>23.8</v>
      </c>
      <c r="AL1888">
        <v>-20.122144949999949</v>
      </c>
      <c r="AM1888">
        <v>-44.896761973125983</v>
      </c>
      <c r="AN1888">
        <v>-20.122144949999949</v>
      </c>
      <c r="AO1888">
        <v>-44.896761973125983</v>
      </c>
      <c r="AP1888">
        <v>-20.122433000000001</v>
      </c>
      <c r="AQ1888">
        <v>-44.897013999999999</v>
      </c>
      <c r="AR1888">
        <v>41.499066772735389</v>
      </c>
      <c r="AS1888" t="s">
        <v>65</v>
      </c>
      <c r="AT1888">
        <v>1</v>
      </c>
      <c r="AU1888" t="s">
        <v>203</v>
      </c>
      <c r="AV1888" t="s">
        <v>204</v>
      </c>
      <c r="AW1888" t="s">
        <v>60</v>
      </c>
      <c r="AX1888" t="s">
        <v>68</v>
      </c>
      <c r="AY1888" t="s">
        <v>69</v>
      </c>
      <c r="AZ1888" t="b">
        <v>1</v>
      </c>
    </row>
    <row r="1889" spans="1:52" x14ac:dyDescent="0.3">
      <c r="A1889" t="s">
        <v>52</v>
      </c>
      <c r="B1889" t="s">
        <v>53</v>
      </c>
      <c r="C1889" t="s">
        <v>54</v>
      </c>
      <c r="D1889" t="s">
        <v>55</v>
      </c>
      <c r="E1889" t="s">
        <v>2148</v>
      </c>
      <c r="F1889" t="s">
        <v>1247</v>
      </c>
      <c r="G1889" t="s">
        <v>122</v>
      </c>
      <c r="H1889" t="s">
        <v>123</v>
      </c>
      <c r="I1889" t="s">
        <v>123</v>
      </c>
      <c r="J1889" t="s">
        <v>60</v>
      </c>
      <c r="K1889" t="s">
        <v>117</v>
      </c>
      <c r="L1889" t="s">
        <v>62</v>
      </c>
      <c r="M1889" t="s">
        <v>117</v>
      </c>
      <c r="N1889" t="s">
        <v>124</v>
      </c>
      <c r="O1889" t="s">
        <v>125</v>
      </c>
      <c r="P1889">
        <v>-20.11853</v>
      </c>
      <c r="Q1889">
        <v>-44.896925000000003</v>
      </c>
      <c r="R1889" s="2" t="str">
        <f>HYPERLINK("https://www.google.com/maps?q=-20.1185300,-44.8969250","Abrir no Google Maps")</f>
        <v>Abrir no Google Maps</v>
      </c>
      <c r="S1889">
        <v>4</v>
      </c>
      <c r="T1889">
        <v>325.32255721093247</v>
      </c>
      <c r="U1889">
        <v>2</v>
      </c>
      <c r="V1889">
        <v>14</v>
      </c>
      <c r="W1889">
        <v>1</v>
      </c>
      <c r="X1889">
        <v>14</v>
      </c>
      <c r="Y1889">
        <v>567</v>
      </c>
      <c r="Z1889">
        <v>306.04423478678871</v>
      </c>
      <c r="AA1889">
        <v>198</v>
      </c>
      <c r="AB1889">
        <v>332</v>
      </c>
      <c r="AC1889">
        <v>536</v>
      </c>
      <c r="AD1889">
        <v>30.74</v>
      </c>
      <c r="AE1889">
        <v>542</v>
      </c>
      <c r="AF1889">
        <v>30</v>
      </c>
      <c r="AG1889">
        <v>178</v>
      </c>
      <c r="AH1889">
        <v>129</v>
      </c>
      <c r="AI1889">
        <v>5.54</v>
      </c>
      <c r="AJ1889">
        <v>32.840000000000003</v>
      </c>
      <c r="AK1889">
        <v>23.8</v>
      </c>
      <c r="AL1889">
        <v>-20.118682499999949</v>
      </c>
      <c r="AM1889">
        <v>-44.896643089287927</v>
      </c>
      <c r="AN1889">
        <v>-20.118682499999949</v>
      </c>
      <c r="AO1889">
        <v>-44.896643089287927</v>
      </c>
      <c r="AP1889">
        <v>-20.11853</v>
      </c>
      <c r="AQ1889">
        <v>-44.896925000000003</v>
      </c>
      <c r="AR1889">
        <v>34.007698996886518</v>
      </c>
      <c r="AS1889" t="s">
        <v>65</v>
      </c>
      <c r="AT1889">
        <v>1</v>
      </c>
      <c r="AU1889" t="s">
        <v>126</v>
      </c>
      <c r="AV1889" t="s">
        <v>121</v>
      </c>
      <c r="AW1889" t="s">
        <v>60</v>
      </c>
      <c r="AX1889" t="s">
        <v>68</v>
      </c>
      <c r="AY1889" t="s">
        <v>69</v>
      </c>
      <c r="AZ1889" t="b">
        <v>1</v>
      </c>
    </row>
    <row r="1890" spans="1:52" x14ac:dyDescent="0.3">
      <c r="A1890" t="s">
        <v>52</v>
      </c>
      <c r="B1890" t="s">
        <v>53</v>
      </c>
      <c r="C1890" t="s">
        <v>54</v>
      </c>
      <c r="D1890" t="s">
        <v>55</v>
      </c>
      <c r="E1890" t="s">
        <v>2148</v>
      </c>
      <c r="F1890" t="s">
        <v>1247</v>
      </c>
      <c r="G1890" t="s">
        <v>1248</v>
      </c>
      <c r="H1890" t="s">
        <v>1249</v>
      </c>
      <c r="I1890" t="s">
        <v>1249</v>
      </c>
      <c r="J1890" t="s">
        <v>60</v>
      </c>
      <c r="K1890" t="s">
        <v>61</v>
      </c>
      <c r="L1890" t="s">
        <v>62</v>
      </c>
      <c r="M1890" t="s">
        <v>61</v>
      </c>
      <c r="N1890" t="s">
        <v>1250</v>
      </c>
      <c r="O1890" t="s">
        <v>202</v>
      </c>
      <c r="P1890">
        <v>-20.145337999999999</v>
      </c>
      <c r="Q1890">
        <v>-44.906260000000003</v>
      </c>
      <c r="R1890" s="2" t="str">
        <f>HYPERLINK("https://www.google.com/maps?q=-20.1453380,-44.9062600","Abrir no Google Maps")</f>
        <v>Abrir no Google Maps</v>
      </c>
      <c r="S1890">
        <v>4</v>
      </c>
      <c r="T1890">
        <v>231.8105263092443</v>
      </c>
      <c r="U1890">
        <v>1</v>
      </c>
      <c r="V1890">
        <v>7</v>
      </c>
      <c r="W1890">
        <v>0.85</v>
      </c>
      <c r="X1890">
        <v>5.95</v>
      </c>
      <c r="Y1890">
        <v>747</v>
      </c>
      <c r="Z1890">
        <v>210.09098260239841</v>
      </c>
      <c r="AA1890">
        <v>198</v>
      </c>
      <c r="AB1890">
        <v>332</v>
      </c>
      <c r="AC1890">
        <v>536</v>
      </c>
      <c r="AD1890">
        <v>30.74</v>
      </c>
      <c r="AE1890">
        <v>542</v>
      </c>
      <c r="AF1890">
        <v>30</v>
      </c>
      <c r="AG1890">
        <v>178</v>
      </c>
      <c r="AH1890">
        <v>129</v>
      </c>
      <c r="AI1890">
        <v>5.54</v>
      </c>
      <c r="AJ1890">
        <v>32.840000000000003</v>
      </c>
      <c r="AK1890">
        <v>23.8</v>
      </c>
      <c r="AL1890">
        <v>-20.14545934999995</v>
      </c>
      <c r="AM1890">
        <v>-44.906243174283489</v>
      </c>
      <c r="AN1890">
        <v>-20.14545934999995</v>
      </c>
      <c r="AO1890">
        <v>-44.906243174283489</v>
      </c>
      <c r="AP1890">
        <v>-20.145337999999999</v>
      </c>
      <c r="AQ1890">
        <v>-44.906260000000003</v>
      </c>
      <c r="AR1890">
        <v>13.622651392262521</v>
      </c>
      <c r="AS1890" t="s">
        <v>65</v>
      </c>
      <c r="AT1890">
        <v>1</v>
      </c>
      <c r="AU1890" t="s">
        <v>1251</v>
      </c>
      <c r="AV1890" t="s">
        <v>1252</v>
      </c>
      <c r="AW1890" t="s">
        <v>60</v>
      </c>
      <c r="AX1890" t="s">
        <v>68</v>
      </c>
      <c r="AY1890" t="s">
        <v>69</v>
      </c>
      <c r="AZ1890" t="b">
        <v>1</v>
      </c>
    </row>
    <row r="1891" spans="1:52" x14ac:dyDescent="0.3">
      <c r="A1891" t="s">
        <v>52</v>
      </c>
      <c r="B1891" t="s">
        <v>53</v>
      </c>
      <c r="C1891" t="s">
        <v>54</v>
      </c>
      <c r="D1891" t="s">
        <v>55</v>
      </c>
      <c r="E1891" t="s">
        <v>2148</v>
      </c>
      <c r="F1891" t="s">
        <v>1247</v>
      </c>
      <c r="G1891" t="s">
        <v>1263</v>
      </c>
      <c r="H1891" t="s">
        <v>1264</v>
      </c>
      <c r="I1891" t="s">
        <v>1264</v>
      </c>
      <c r="J1891" t="s">
        <v>60</v>
      </c>
      <c r="K1891" t="s">
        <v>1265</v>
      </c>
      <c r="L1891" t="s">
        <v>62</v>
      </c>
      <c r="M1891" t="s">
        <v>1265</v>
      </c>
      <c r="N1891" t="s">
        <v>1266</v>
      </c>
      <c r="O1891" t="s">
        <v>1267</v>
      </c>
      <c r="P1891">
        <v>-20.116924000000001</v>
      </c>
      <c r="Q1891">
        <v>-44.906587000000002</v>
      </c>
      <c r="R1891" s="2" t="str">
        <f>HYPERLINK("https://www.google.com/maps?q=-20.1169240,-44.9065870","Abrir no Google Maps")</f>
        <v>Abrir no Google Maps</v>
      </c>
      <c r="S1891">
        <v>4</v>
      </c>
      <c r="T1891">
        <v>745.10453961787857</v>
      </c>
      <c r="U1891">
        <v>1</v>
      </c>
      <c r="V1891">
        <v>3</v>
      </c>
      <c r="W1891">
        <v>0.85</v>
      </c>
      <c r="X1891">
        <v>2.5499999999999998</v>
      </c>
      <c r="Y1891">
        <v>567</v>
      </c>
      <c r="Z1891">
        <v>816.44456345071217</v>
      </c>
      <c r="AA1891">
        <v>198</v>
      </c>
      <c r="AB1891">
        <v>332</v>
      </c>
      <c r="AC1891">
        <v>536</v>
      </c>
      <c r="AD1891">
        <v>30.74</v>
      </c>
      <c r="AE1891">
        <v>542</v>
      </c>
      <c r="AF1891">
        <v>30</v>
      </c>
      <c r="AG1891">
        <v>178</v>
      </c>
      <c r="AH1891">
        <v>129</v>
      </c>
      <c r="AI1891">
        <v>5.54</v>
      </c>
      <c r="AJ1891">
        <v>32.840000000000003</v>
      </c>
      <c r="AK1891">
        <v>23.8</v>
      </c>
      <c r="AL1891">
        <v>-20.117279149999941</v>
      </c>
      <c r="AM1891">
        <v>-44.906397211815133</v>
      </c>
      <c r="AN1891">
        <v>-20.117279149999941</v>
      </c>
      <c r="AO1891">
        <v>-44.906397211815133</v>
      </c>
      <c r="AP1891">
        <v>-20.116924000000001</v>
      </c>
      <c r="AQ1891">
        <v>-44.906587000000002</v>
      </c>
      <c r="AR1891">
        <v>44.233430660980403</v>
      </c>
      <c r="AS1891" t="s">
        <v>65</v>
      </c>
      <c r="AT1891">
        <v>1</v>
      </c>
      <c r="AU1891" t="s">
        <v>1268</v>
      </c>
      <c r="AV1891" t="s">
        <v>1269</v>
      </c>
      <c r="AW1891" t="s">
        <v>60</v>
      </c>
      <c r="AX1891" t="s">
        <v>68</v>
      </c>
      <c r="AY1891" t="s">
        <v>69</v>
      </c>
      <c r="AZ1891" t="b">
        <v>1</v>
      </c>
    </row>
    <row r="1892" spans="1:52" x14ac:dyDescent="0.3">
      <c r="A1892" t="s">
        <v>52</v>
      </c>
      <c r="B1892" t="s">
        <v>53</v>
      </c>
      <c r="C1892" t="s">
        <v>54</v>
      </c>
      <c r="D1892" t="s">
        <v>55</v>
      </c>
      <c r="E1892" t="s">
        <v>2148</v>
      </c>
      <c r="F1892" t="s">
        <v>1247</v>
      </c>
      <c r="G1892" t="s">
        <v>205</v>
      </c>
      <c r="H1892" t="s">
        <v>206</v>
      </c>
      <c r="I1892" t="s">
        <v>206</v>
      </c>
      <c r="J1892" t="s">
        <v>60</v>
      </c>
      <c r="K1892" t="s">
        <v>207</v>
      </c>
      <c r="L1892" t="s">
        <v>62</v>
      </c>
      <c r="M1892" t="s">
        <v>207</v>
      </c>
      <c r="N1892" t="s">
        <v>208</v>
      </c>
      <c r="O1892" t="s">
        <v>209</v>
      </c>
      <c r="P1892">
        <v>-20.117533999999999</v>
      </c>
      <c r="Q1892">
        <v>-44.892943000000002</v>
      </c>
      <c r="R1892" s="2" t="str">
        <f>HYPERLINK("https://www.google.com/maps?q=-20.1175340,-44.8929430","Abrir no Google Maps")</f>
        <v>Abrir no Google Maps</v>
      </c>
      <c r="S1892">
        <v>4</v>
      </c>
      <c r="T1892">
        <v>601.98486688021592</v>
      </c>
      <c r="U1892">
        <v>1</v>
      </c>
      <c r="V1892">
        <v>7</v>
      </c>
      <c r="W1892">
        <v>0.85</v>
      </c>
      <c r="X1892">
        <v>5.95</v>
      </c>
      <c r="Y1892">
        <v>567</v>
      </c>
      <c r="Z1892">
        <v>574.59225706016446</v>
      </c>
      <c r="AA1892">
        <v>198</v>
      </c>
      <c r="AB1892">
        <v>332</v>
      </c>
      <c r="AC1892">
        <v>536</v>
      </c>
      <c r="AD1892">
        <v>30.74</v>
      </c>
      <c r="AE1892">
        <v>542</v>
      </c>
      <c r="AF1892">
        <v>30</v>
      </c>
      <c r="AG1892">
        <v>178</v>
      </c>
      <c r="AH1892">
        <v>129</v>
      </c>
      <c r="AI1892">
        <v>5.54</v>
      </c>
      <c r="AJ1892">
        <v>32.840000000000003</v>
      </c>
      <c r="AK1892">
        <v>23.8</v>
      </c>
      <c r="AL1892">
        <v>-20.11671494999996</v>
      </c>
      <c r="AM1892">
        <v>-44.89352717833448</v>
      </c>
      <c r="AN1892">
        <v>-20.11671494999996</v>
      </c>
      <c r="AO1892">
        <v>-44.89352717833448</v>
      </c>
      <c r="AP1892">
        <v>-20.117533999999999</v>
      </c>
      <c r="AQ1892">
        <v>-44.892943000000002</v>
      </c>
      <c r="AR1892">
        <v>109.7357164799156</v>
      </c>
      <c r="AS1892" t="s">
        <v>65</v>
      </c>
      <c r="AT1892">
        <v>1</v>
      </c>
      <c r="AU1892" t="s">
        <v>210</v>
      </c>
      <c r="AV1892" t="s">
        <v>211</v>
      </c>
      <c r="AW1892" t="s">
        <v>60</v>
      </c>
      <c r="AX1892" t="s">
        <v>68</v>
      </c>
      <c r="AY1892" t="s">
        <v>69</v>
      </c>
      <c r="AZ1892" t="b">
        <v>1</v>
      </c>
    </row>
    <row r="1893" spans="1:52" x14ac:dyDescent="0.3">
      <c r="A1893" t="s">
        <v>52</v>
      </c>
      <c r="B1893" t="s">
        <v>53</v>
      </c>
      <c r="C1893" t="s">
        <v>54</v>
      </c>
      <c r="D1893" t="s">
        <v>55</v>
      </c>
      <c r="E1893" t="s">
        <v>2148</v>
      </c>
      <c r="F1893" t="s">
        <v>1247</v>
      </c>
      <c r="G1893" t="s">
        <v>1127</v>
      </c>
      <c r="H1893" t="s">
        <v>1270</v>
      </c>
      <c r="I1893" t="s">
        <v>1270</v>
      </c>
      <c r="J1893" t="s">
        <v>60</v>
      </c>
      <c r="K1893" t="s">
        <v>200</v>
      </c>
      <c r="L1893" t="s">
        <v>62</v>
      </c>
      <c r="M1893" t="s">
        <v>200</v>
      </c>
      <c r="N1893" t="s">
        <v>1271</v>
      </c>
      <c r="O1893" t="s">
        <v>315</v>
      </c>
      <c r="P1893">
        <v>-20.123483</v>
      </c>
      <c r="Q1893">
        <v>-44.904159</v>
      </c>
      <c r="R1893" s="2" t="str">
        <f>HYPERLINK("https://www.google.com/maps?q=-20.1234830,-44.9041590","Abrir no Google Maps")</f>
        <v>Abrir no Google Maps</v>
      </c>
      <c r="S1893">
        <v>4</v>
      </c>
      <c r="T1893">
        <v>1046.2792913459141</v>
      </c>
      <c r="U1893">
        <v>1</v>
      </c>
      <c r="V1893">
        <v>0</v>
      </c>
      <c r="W1893">
        <v>0.85</v>
      </c>
      <c r="X1893">
        <v>0</v>
      </c>
      <c r="Y1893">
        <v>567</v>
      </c>
      <c r="Z1893">
        <v>1072.1273144328541</v>
      </c>
      <c r="AA1893">
        <v>198</v>
      </c>
      <c r="AB1893">
        <v>332</v>
      </c>
      <c r="AC1893">
        <v>536</v>
      </c>
      <c r="AD1893">
        <v>30.74</v>
      </c>
      <c r="AE1893">
        <v>542</v>
      </c>
      <c r="AF1893">
        <v>30</v>
      </c>
      <c r="AG1893">
        <v>178</v>
      </c>
      <c r="AH1893">
        <v>129</v>
      </c>
      <c r="AI1893">
        <v>5.54</v>
      </c>
      <c r="AJ1893">
        <v>32.840000000000003</v>
      </c>
      <c r="AK1893">
        <v>23.8</v>
      </c>
      <c r="AL1893">
        <v>-20.12548399999994</v>
      </c>
      <c r="AM1893">
        <v>-44.903913990586467</v>
      </c>
      <c r="AN1893">
        <v>-20.12548399999994</v>
      </c>
      <c r="AO1893">
        <v>-44.903913990586467</v>
      </c>
      <c r="AP1893">
        <v>-20.123483</v>
      </c>
      <c r="AQ1893">
        <v>-44.904159</v>
      </c>
      <c r="AR1893">
        <v>224.218591682908</v>
      </c>
      <c r="AS1893" t="s">
        <v>65</v>
      </c>
      <c r="AT1893">
        <v>1</v>
      </c>
      <c r="AU1893" t="s">
        <v>1272</v>
      </c>
      <c r="AV1893" t="s">
        <v>1273</v>
      </c>
      <c r="AW1893" t="s">
        <v>60</v>
      </c>
      <c r="AX1893" t="s">
        <v>68</v>
      </c>
      <c r="AY1893" t="s">
        <v>69</v>
      </c>
      <c r="AZ1893" t="b">
        <v>1</v>
      </c>
    </row>
    <row r="1894" spans="1:52" x14ac:dyDescent="0.3">
      <c r="A1894" t="s">
        <v>52</v>
      </c>
      <c r="B1894" t="s">
        <v>53</v>
      </c>
      <c r="C1894" t="s">
        <v>54</v>
      </c>
      <c r="D1894" t="s">
        <v>55</v>
      </c>
      <c r="E1894" t="s">
        <v>2148</v>
      </c>
      <c r="F1894" t="s">
        <v>1247</v>
      </c>
      <c r="G1894" t="s">
        <v>380</v>
      </c>
      <c r="H1894" t="s">
        <v>381</v>
      </c>
      <c r="I1894" t="s">
        <v>381</v>
      </c>
      <c r="J1894" t="s">
        <v>60</v>
      </c>
      <c r="K1894" t="s">
        <v>72</v>
      </c>
      <c r="L1894" t="s">
        <v>62</v>
      </c>
      <c r="M1894" t="s">
        <v>72</v>
      </c>
      <c r="N1894" t="s">
        <v>382</v>
      </c>
      <c r="O1894" t="s">
        <v>383</v>
      </c>
      <c r="P1894">
        <v>-20.147182000000001</v>
      </c>
      <c r="Q1894">
        <v>-44.912728999999999</v>
      </c>
      <c r="R1894" s="2" t="str">
        <f>HYPERLINK("https://www.google.com/maps?q=-20.1471820,-44.9127290","Abrir no Google Maps")</f>
        <v>Abrir no Google Maps</v>
      </c>
      <c r="S1894">
        <v>3</v>
      </c>
      <c r="T1894">
        <v>478.0141981540923</v>
      </c>
      <c r="U1894">
        <v>4</v>
      </c>
      <c r="V1894">
        <v>27</v>
      </c>
      <c r="W1894">
        <v>1</v>
      </c>
      <c r="X1894">
        <v>27</v>
      </c>
      <c r="Y1894">
        <v>747</v>
      </c>
      <c r="Z1894">
        <v>494.0254290673729</v>
      </c>
      <c r="AA1894">
        <v>198</v>
      </c>
      <c r="AB1894">
        <v>332</v>
      </c>
      <c r="AC1894">
        <v>536</v>
      </c>
      <c r="AD1894">
        <v>30.74</v>
      </c>
      <c r="AE1894">
        <v>542</v>
      </c>
      <c r="AF1894">
        <v>30</v>
      </c>
      <c r="AG1894">
        <v>178</v>
      </c>
      <c r="AH1894">
        <v>129</v>
      </c>
      <c r="AI1894">
        <v>5.54</v>
      </c>
      <c r="AJ1894">
        <v>32.840000000000003</v>
      </c>
      <c r="AK1894">
        <v>23.8</v>
      </c>
      <c r="AL1894">
        <v>-20.147375599999979</v>
      </c>
      <c r="AM1894">
        <v>-44.912907472879468</v>
      </c>
      <c r="AN1894">
        <v>-20.147375599999979</v>
      </c>
      <c r="AO1894">
        <v>-44.912907472879468</v>
      </c>
      <c r="AP1894">
        <v>-20.147182000000001</v>
      </c>
      <c r="AQ1894">
        <v>-44.912728999999999</v>
      </c>
      <c r="AR1894">
        <v>28.50197694184326</v>
      </c>
      <c r="AS1894" t="s">
        <v>65</v>
      </c>
      <c r="AT1894">
        <v>1</v>
      </c>
      <c r="AU1894" t="s">
        <v>384</v>
      </c>
      <c r="AV1894" t="s">
        <v>385</v>
      </c>
      <c r="AW1894" t="s">
        <v>60</v>
      </c>
      <c r="AX1894" t="s">
        <v>68</v>
      </c>
      <c r="AY1894" t="s">
        <v>69</v>
      </c>
      <c r="AZ1894" t="b">
        <v>1</v>
      </c>
    </row>
    <row r="1895" spans="1:52" x14ac:dyDescent="0.3">
      <c r="A1895" t="s">
        <v>52</v>
      </c>
      <c r="B1895" t="s">
        <v>53</v>
      </c>
      <c r="C1895" t="s">
        <v>54</v>
      </c>
      <c r="D1895" t="s">
        <v>55</v>
      </c>
      <c r="E1895" t="s">
        <v>2148</v>
      </c>
      <c r="F1895" t="s">
        <v>1247</v>
      </c>
      <c r="G1895" t="s">
        <v>392</v>
      </c>
      <c r="H1895" t="s">
        <v>393</v>
      </c>
      <c r="I1895" t="s">
        <v>393</v>
      </c>
      <c r="J1895" t="s">
        <v>60</v>
      </c>
      <c r="K1895" t="s">
        <v>388</v>
      </c>
      <c r="L1895" t="s">
        <v>62</v>
      </c>
      <c r="M1895" t="s">
        <v>388</v>
      </c>
      <c r="N1895" t="s">
        <v>394</v>
      </c>
      <c r="O1895" t="s">
        <v>395</v>
      </c>
      <c r="P1895">
        <v>-20.158066999999999</v>
      </c>
      <c r="Q1895">
        <v>-44.908164999999997</v>
      </c>
      <c r="R1895" s="2" t="str">
        <f>HYPERLINK("https://www.google.com/maps?q=-20.1580670,-44.9081650","Abrir no Google Maps")</f>
        <v>Abrir no Google Maps</v>
      </c>
      <c r="S1895">
        <v>3</v>
      </c>
      <c r="T1895">
        <v>666.74434317993041</v>
      </c>
      <c r="U1895">
        <v>4</v>
      </c>
      <c r="V1895">
        <v>29</v>
      </c>
      <c r="W1895">
        <v>1</v>
      </c>
      <c r="X1895">
        <v>29</v>
      </c>
      <c r="Y1895">
        <v>729</v>
      </c>
      <c r="Z1895">
        <v>612.4323328215396</v>
      </c>
      <c r="AA1895">
        <v>198</v>
      </c>
      <c r="AB1895">
        <v>332</v>
      </c>
      <c r="AC1895">
        <v>536</v>
      </c>
      <c r="AD1895">
        <v>30.74</v>
      </c>
      <c r="AE1895">
        <v>542</v>
      </c>
      <c r="AF1895">
        <v>30</v>
      </c>
      <c r="AG1895">
        <v>178</v>
      </c>
      <c r="AH1895">
        <v>129</v>
      </c>
      <c r="AI1895">
        <v>5.54</v>
      </c>
      <c r="AJ1895">
        <v>32.840000000000003</v>
      </c>
      <c r="AK1895">
        <v>23.8</v>
      </c>
      <c r="AL1895">
        <v>-20.158151449999959</v>
      </c>
      <c r="AM1895">
        <v>-44.908107718360938</v>
      </c>
      <c r="AN1895">
        <v>-20.158151449999959</v>
      </c>
      <c r="AO1895">
        <v>-44.908107718360938</v>
      </c>
      <c r="AP1895">
        <v>-20.158066999999999</v>
      </c>
      <c r="AQ1895">
        <v>-44.908164999999997</v>
      </c>
      <c r="AR1895">
        <v>11.14497345894574</v>
      </c>
      <c r="AS1895" t="s">
        <v>65</v>
      </c>
      <c r="AT1895">
        <v>1</v>
      </c>
      <c r="AU1895" t="s">
        <v>396</v>
      </c>
      <c r="AV1895" t="s">
        <v>397</v>
      </c>
      <c r="AW1895" t="s">
        <v>60</v>
      </c>
      <c r="AX1895" t="s">
        <v>68</v>
      </c>
      <c r="AY1895" t="s">
        <v>69</v>
      </c>
      <c r="AZ1895" t="b">
        <v>1</v>
      </c>
    </row>
    <row r="1896" spans="1:52" x14ac:dyDescent="0.3">
      <c r="A1896" t="s">
        <v>52</v>
      </c>
      <c r="B1896" t="s">
        <v>53</v>
      </c>
      <c r="C1896" t="s">
        <v>54</v>
      </c>
      <c r="D1896" t="s">
        <v>55</v>
      </c>
      <c r="E1896" t="s">
        <v>2148</v>
      </c>
      <c r="F1896" t="s">
        <v>1247</v>
      </c>
      <c r="G1896" t="s">
        <v>398</v>
      </c>
      <c r="H1896" t="s">
        <v>399</v>
      </c>
      <c r="I1896" t="s">
        <v>399</v>
      </c>
      <c r="J1896" t="s">
        <v>60</v>
      </c>
      <c r="K1896" t="s">
        <v>388</v>
      </c>
      <c r="L1896" t="s">
        <v>62</v>
      </c>
      <c r="M1896" t="s">
        <v>388</v>
      </c>
      <c r="N1896" t="s">
        <v>400</v>
      </c>
      <c r="O1896" t="s">
        <v>401</v>
      </c>
      <c r="P1896">
        <v>-20.160157000000002</v>
      </c>
      <c r="Q1896">
        <v>-44.904347999999999</v>
      </c>
      <c r="R1896" s="2" t="str">
        <f>HYPERLINK("https://www.google.com/maps?q=-20.1601570,-44.9043480","Abrir no Google Maps")</f>
        <v>Abrir no Google Maps</v>
      </c>
      <c r="S1896">
        <v>3</v>
      </c>
      <c r="T1896">
        <v>469.26088527154809</v>
      </c>
      <c r="U1896">
        <v>4</v>
      </c>
      <c r="V1896">
        <v>27</v>
      </c>
      <c r="W1896">
        <v>1</v>
      </c>
      <c r="X1896">
        <v>27</v>
      </c>
      <c r="Y1896">
        <v>729</v>
      </c>
      <c r="Z1896">
        <v>253.57832452309071</v>
      </c>
      <c r="AA1896">
        <v>198</v>
      </c>
      <c r="AB1896">
        <v>332</v>
      </c>
      <c r="AC1896">
        <v>536</v>
      </c>
      <c r="AD1896">
        <v>30.74</v>
      </c>
      <c r="AE1896">
        <v>542</v>
      </c>
      <c r="AF1896">
        <v>30</v>
      </c>
      <c r="AG1896">
        <v>178</v>
      </c>
      <c r="AH1896">
        <v>129</v>
      </c>
      <c r="AI1896">
        <v>5.54</v>
      </c>
      <c r="AJ1896">
        <v>32.840000000000003</v>
      </c>
      <c r="AK1896">
        <v>23.8</v>
      </c>
      <c r="AL1896">
        <v>-20.160007949999969</v>
      </c>
      <c r="AM1896">
        <v>-44.904396608560482</v>
      </c>
      <c r="AN1896">
        <v>-20.160007949999969</v>
      </c>
      <c r="AO1896">
        <v>-44.904396608560482</v>
      </c>
      <c r="AP1896">
        <v>-20.160157000000002</v>
      </c>
      <c r="AQ1896">
        <v>-44.904347999999999</v>
      </c>
      <c r="AR1896">
        <v>17.35237255387942</v>
      </c>
      <c r="AS1896" t="s">
        <v>65</v>
      </c>
      <c r="AT1896">
        <v>1</v>
      </c>
      <c r="AU1896" t="s">
        <v>402</v>
      </c>
      <c r="AV1896" t="s">
        <v>403</v>
      </c>
      <c r="AW1896" t="s">
        <v>60</v>
      </c>
      <c r="AX1896" t="s">
        <v>68</v>
      </c>
      <c r="AY1896" t="s">
        <v>69</v>
      </c>
      <c r="AZ1896" t="b">
        <v>1</v>
      </c>
    </row>
    <row r="1897" spans="1:52" x14ac:dyDescent="0.3">
      <c r="A1897" t="s">
        <v>52</v>
      </c>
      <c r="B1897" t="s">
        <v>53</v>
      </c>
      <c r="C1897" t="s">
        <v>54</v>
      </c>
      <c r="D1897" t="s">
        <v>55</v>
      </c>
      <c r="E1897" t="s">
        <v>2148</v>
      </c>
      <c r="F1897" t="s">
        <v>1247</v>
      </c>
      <c r="G1897" t="s">
        <v>422</v>
      </c>
      <c r="H1897" t="s">
        <v>423</v>
      </c>
      <c r="I1897" t="s">
        <v>423</v>
      </c>
      <c r="J1897" t="s">
        <v>60</v>
      </c>
      <c r="K1897" t="s">
        <v>424</v>
      </c>
      <c r="L1897" t="s">
        <v>62</v>
      </c>
      <c r="M1897" t="s">
        <v>424</v>
      </c>
      <c r="N1897" t="s">
        <v>425</v>
      </c>
      <c r="O1897" t="s">
        <v>426</v>
      </c>
      <c r="P1897">
        <v>-20.177748000000001</v>
      </c>
      <c r="Q1897">
        <v>-44.912475000000001</v>
      </c>
      <c r="R1897" s="2" t="str">
        <f>HYPERLINK("https://www.google.com/maps?q=-20.1777480,-44.9124750","Abrir no Google Maps")</f>
        <v>Abrir no Google Maps</v>
      </c>
      <c r="S1897">
        <v>3</v>
      </c>
      <c r="T1897">
        <v>657.07560140436533</v>
      </c>
      <c r="U1897">
        <v>4</v>
      </c>
      <c r="V1897">
        <v>32</v>
      </c>
      <c r="W1897">
        <v>1</v>
      </c>
      <c r="X1897">
        <v>32</v>
      </c>
      <c r="Y1897">
        <v>723</v>
      </c>
      <c r="Z1897">
        <v>796.94198000561175</v>
      </c>
      <c r="AA1897">
        <v>198</v>
      </c>
      <c r="AB1897">
        <v>332</v>
      </c>
      <c r="AC1897">
        <v>536</v>
      </c>
      <c r="AD1897">
        <v>30.74</v>
      </c>
      <c r="AE1897">
        <v>542</v>
      </c>
      <c r="AF1897">
        <v>30</v>
      </c>
      <c r="AG1897">
        <v>178</v>
      </c>
      <c r="AH1897">
        <v>129</v>
      </c>
      <c r="AI1897">
        <v>5.54</v>
      </c>
      <c r="AJ1897">
        <v>32.840000000000003</v>
      </c>
      <c r="AK1897">
        <v>23.8</v>
      </c>
      <c r="AL1897">
        <v>-20.177761749999949</v>
      </c>
      <c r="AM1897">
        <v>-44.91263311624418</v>
      </c>
      <c r="AN1897">
        <v>-20.177761749999949</v>
      </c>
      <c r="AO1897">
        <v>-44.91263311624418</v>
      </c>
      <c r="AP1897">
        <v>-20.177748000000001</v>
      </c>
      <c r="AQ1897">
        <v>-44.912475000000001</v>
      </c>
      <c r="AR1897">
        <v>16.591996803075372</v>
      </c>
      <c r="AS1897" t="s">
        <v>65</v>
      </c>
      <c r="AT1897">
        <v>1</v>
      </c>
      <c r="AU1897" t="s">
        <v>427</v>
      </c>
      <c r="AV1897" t="s">
        <v>428</v>
      </c>
      <c r="AW1897" t="s">
        <v>60</v>
      </c>
      <c r="AX1897" t="s">
        <v>68</v>
      </c>
      <c r="AY1897" t="s">
        <v>69</v>
      </c>
      <c r="AZ1897" t="b">
        <v>1</v>
      </c>
    </row>
    <row r="1898" spans="1:52" x14ac:dyDescent="0.3">
      <c r="A1898" t="s">
        <v>52</v>
      </c>
      <c r="B1898" t="s">
        <v>53</v>
      </c>
      <c r="C1898" t="s">
        <v>54</v>
      </c>
      <c r="D1898" t="s">
        <v>55</v>
      </c>
      <c r="E1898" t="s">
        <v>2148</v>
      </c>
      <c r="F1898" t="s">
        <v>1247</v>
      </c>
      <c r="G1898" t="s">
        <v>429</v>
      </c>
      <c r="H1898" t="s">
        <v>430</v>
      </c>
      <c r="I1898" t="s">
        <v>430</v>
      </c>
      <c r="J1898" t="s">
        <v>60</v>
      </c>
      <c r="K1898" t="s">
        <v>431</v>
      </c>
      <c r="L1898" t="s">
        <v>62</v>
      </c>
      <c r="M1898" t="s">
        <v>431</v>
      </c>
      <c r="N1898" t="s">
        <v>432</v>
      </c>
      <c r="O1898" t="s">
        <v>315</v>
      </c>
      <c r="P1898">
        <v>-20.172698</v>
      </c>
      <c r="Q1898">
        <v>-44.923842</v>
      </c>
      <c r="R1898" s="2" t="str">
        <f>HYPERLINK("https://www.google.com/maps?q=-20.1726980,-44.9238420","Abrir no Google Maps")</f>
        <v>Abrir no Google Maps</v>
      </c>
      <c r="S1898">
        <v>3</v>
      </c>
      <c r="T1898">
        <v>1376.1843173402931</v>
      </c>
      <c r="U1898">
        <v>4</v>
      </c>
      <c r="V1898">
        <v>32</v>
      </c>
      <c r="W1898">
        <v>0.85</v>
      </c>
      <c r="X1898">
        <v>27.2</v>
      </c>
      <c r="Y1898">
        <v>723</v>
      </c>
      <c r="Z1898">
        <v>1101.340635002096</v>
      </c>
      <c r="AA1898">
        <v>198</v>
      </c>
      <c r="AB1898">
        <v>332</v>
      </c>
      <c r="AC1898">
        <v>536</v>
      </c>
      <c r="AD1898">
        <v>30.74</v>
      </c>
      <c r="AE1898">
        <v>542</v>
      </c>
      <c r="AF1898">
        <v>30</v>
      </c>
      <c r="AG1898">
        <v>178</v>
      </c>
      <c r="AH1898">
        <v>129</v>
      </c>
      <c r="AI1898">
        <v>5.54</v>
      </c>
      <c r="AJ1898">
        <v>32.840000000000003</v>
      </c>
      <c r="AK1898">
        <v>23.8</v>
      </c>
      <c r="AL1898">
        <v>-20.172942799999959</v>
      </c>
      <c r="AM1898">
        <v>-44.923585372665762</v>
      </c>
      <c r="AN1898">
        <v>-20.172942799999959</v>
      </c>
      <c r="AO1898">
        <v>-44.923585372665762</v>
      </c>
      <c r="AP1898">
        <v>-20.172698</v>
      </c>
      <c r="AQ1898">
        <v>-44.923842</v>
      </c>
      <c r="AR1898">
        <v>38.231981408478958</v>
      </c>
      <c r="AS1898" t="s">
        <v>65</v>
      </c>
      <c r="AT1898">
        <v>1</v>
      </c>
      <c r="AU1898" t="s">
        <v>433</v>
      </c>
      <c r="AV1898" t="s">
        <v>434</v>
      </c>
      <c r="AW1898" t="s">
        <v>60</v>
      </c>
      <c r="AX1898" t="s">
        <v>68</v>
      </c>
      <c r="AY1898" t="s">
        <v>69</v>
      </c>
      <c r="AZ1898" t="b">
        <v>1</v>
      </c>
    </row>
    <row r="1899" spans="1:52" x14ac:dyDescent="0.3">
      <c r="A1899" t="s">
        <v>52</v>
      </c>
      <c r="B1899" t="s">
        <v>53</v>
      </c>
      <c r="C1899" t="s">
        <v>54</v>
      </c>
      <c r="D1899" t="s">
        <v>55</v>
      </c>
      <c r="E1899" t="s">
        <v>2148</v>
      </c>
      <c r="F1899" t="s">
        <v>1247</v>
      </c>
      <c r="G1899" t="s">
        <v>442</v>
      </c>
      <c r="H1899" t="s">
        <v>443</v>
      </c>
      <c r="I1899" t="s">
        <v>443</v>
      </c>
      <c r="J1899" t="s">
        <v>60</v>
      </c>
      <c r="K1899" t="s">
        <v>437</v>
      </c>
      <c r="L1899" t="s">
        <v>62</v>
      </c>
      <c r="M1899" t="s">
        <v>437</v>
      </c>
      <c r="N1899" t="s">
        <v>444</v>
      </c>
      <c r="O1899" t="s">
        <v>445</v>
      </c>
      <c r="P1899">
        <v>-20.149744999999999</v>
      </c>
      <c r="Q1899">
        <v>-44.881385000000002</v>
      </c>
      <c r="R1899" s="2" t="str">
        <f>HYPERLINK("https://www.google.com/maps?q=-20.1497450,-44.8813850","Abrir no Google Maps")</f>
        <v>Abrir no Google Maps</v>
      </c>
      <c r="S1899">
        <v>3</v>
      </c>
      <c r="T1899">
        <v>188.80690546111239</v>
      </c>
      <c r="U1899">
        <v>4</v>
      </c>
      <c r="V1899">
        <v>26</v>
      </c>
      <c r="W1899">
        <v>1</v>
      </c>
      <c r="X1899">
        <v>26</v>
      </c>
      <c r="Y1899">
        <v>653</v>
      </c>
      <c r="Z1899">
        <v>86.575080390731017</v>
      </c>
      <c r="AA1899">
        <v>198</v>
      </c>
      <c r="AB1899">
        <v>332</v>
      </c>
      <c r="AC1899">
        <v>536</v>
      </c>
      <c r="AD1899">
        <v>30.74</v>
      </c>
      <c r="AE1899">
        <v>542</v>
      </c>
      <c r="AF1899">
        <v>30</v>
      </c>
      <c r="AG1899">
        <v>178</v>
      </c>
      <c r="AH1899">
        <v>129</v>
      </c>
      <c r="AI1899">
        <v>5.54</v>
      </c>
      <c r="AJ1899">
        <v>32.840000000000003</v>
      </c>
      <c r="AK1899">
        <v>23.8</v>
      </c>
      <c r="AL1899">
        <v>-20.149645149999941</v>
      </c>
      <c r="AM1899">
        <v>-44.881504585149607</v>
      </c>
      <c r="AN1899">
        <v>-20.149645149999941</v>
      </c>
      <c r="AO1899">
        <v>-44.881504585149607</v>
      </c>
      <c r="AP1899">
        <v>-20.149744999999999</v>
      </c>
      <c r="AQ1899">
        <v>-44.881385000000002</v>
      </c>
      <c r="AR1899">
        <v>16.725323110840389</v>
      </c>
      <c r="AS1899" t="s">
        <v>65</v>
      </c>
      <c r="AT1899">
        <v>1</v>
      </c>
      <c r="AU1899" t="s">
        <v>446</v>
      </c>
      <c r="AV1899" t="s">
        <v>447</v>
      </c>
      <c r="AW1899" t="s">
        <v>60</v>
      </c>
      <c r="AX1899" t="s">
        <v>68</v>
      </c>
      <c r="AY1899" t="s">
        <v>69</v>
      </c>
      <c r="AZ1899" t="b">
        <v>1</v>
      </c>
    </row>
    <row r="1900" spans="1:52" x14ac:dyDescent="0.3">
      <c r="A1900" t="s">
        <v>52</v>
      </c>
      <c r="B1900" t="s">
        <v>53</v>
      </c>
      <c r="C1900" t="s">
        <v>54</v>
      </c>
      <c r="D1900" t="s">
        <v>55</v>
      </c>
      <c r="E1900" t="s">
        <v>2148</v>
      </c>
      <c r="F1900" t="s">
        <v>1247</v>
      </c>
      <c r="G1900" t="s">
        <v>448</v>
      </c>
      <c r="H1900" t="s">
        <v>449</v>
      </c>
      <c r="I1900" t="s">
        <v>449</v>
      </c>
      <c r="J1900" t="s">
        <v>60</v>
      </c>
      <c r="K1900" t="s">
        <v>388</v>
      </c>
      <c r="L1900" t="s">
        <v>62</v>
      </c>
      <c r="M1900" t="s">
        <v>388</v>
      </c>
      <c r="N1900" t="s">
        <v>450</v>
      </c>
      <c r="O1900" t="s">
        <v>451</v>
      </c>
      <c r="P1900">
        <v>-20.163981</v>
      </c>
      <c r="Q1900">
        <v>-44.907128999999998</v>
      </c>
      <c r="R1900" s="2" t="str">
        <f>HYPERLINK("https://www.google.com/maps?q=-20.1639810,-44.9071290","Abrir no Google Maps")</f>
        <v>Abrir no Google Maps</v>
      </c>
      <c r="S1900">
        <v>3</v>
      </c>
      <c r="T1900">
        <v>782.50730806588319</v>
      </c>
      <c r="U1900">
        <v>4</v>
      </c>
      <c r="V1900">
        <v>24</v>
      </c>
      <c r="W1900">
        <v>1</v>
      </c>
      <c r="X1900">
        <v>24</v>
      </c>
      <c r="Y1900">
        <v>639</v>
      </c>
      <c r="Z1900">
        <v>710.90621453796166</v>
      </c>
      <c r="AA1900">
        <v>198</v>
      </c>
      <c r="AB1900">
        <v>332</v>
      </c>
      <c r="AC1900">
        <v>536</v>
      </c>
      <c r="AD1900">
        <v>30.74</v>
      </c>
      <c r="AE1900">
        <v>542</v>
      </c>
      <c r="AF1900">
        <v>30</v>
      </c>
      <c r="AG1900">
        <v>178</v>
      </c>
      <c r="AH1900">
        <v>129</v>
      </c>
      <c r="AI1900">
        <v>5.54</v>
      </c>
      <c r="AJ1900">
        <v>32.840000000000003</v>
      </c>
      <c r="AK1900">
        <v>23.8</v>
      </c>
      <c r="AL1900">
        <v>-20.163958349999969</v>
      </c>
      <c r="AM1900">
        <v>-44.907180923930973</v>
      </c>
      <c r="AN1900">
        <v>-20.163958349999969</v>
      </c>
      <c r="AO1900">
        <v>-44.907180923930973</v>
      </c>
      <c r="AP1900">
        <v>-20.163981</v>
      </c>
      <c r="AQ1900">
        <v>-44.907128999999998</v>
      </c>
      <c r="AR1900">
        <v>5.9831345092457884</v>
      </c>
      <c r="AS1900" t="s">
        <v>65</v>
      </c>
      <c r="AT1900">
        <v>1</v>
      </c>
      <c r="AU1900" t="s">
        <v>452</v>
      </c>
      <c r="AV1900" t="s">
        <v>453</v>
      </c>
      <c r="AW1900" t="s">
        <v>60</v>
      </c>
      <c r="AX1900" t="s">
        <v>68</v>
      </c>
      <c r="AY1900" t="s">
        <v>69</v>
      </c>
      <c r="AZ1900" t="b">
        <v>1</v>
      </c>
    </row>
    <row r="1901" spans="1:52" x14ac:dyDescent="0.3">
      <c r="A1901" t="s">
        <v>52</v>
      </c>
      <c r="B1901" t="s">
        <v>53</v>
      </c>
      <c r="C1901" t="s">
        <v>54</v>
      </c>
      <c r="D1901" t="s">
        <v>55</v>
      </c>
      <c r="E1901" t="s">
        <v>2148</v>
      </c>
      <c r="F1901" t="s">
        <v>1247</v>
      </c>
      <c r="G1901" t="s">
        <v>454</v>
      </c>
      <c r="H1901" t="s">
        <v>455</v>
      </c>
      <c r="I1901" t="s">
        <v>455</v>
      </c>
      <c r="J1901" t="s">
        <v>60</v>
      </c>
      <c r="K1901" t="s">
        <v>456</v>
      </c>
      <c r="L1901" t="s">
        <v>62</v>
      </c>
      <c r="M1901" t="s">
        <v>456</v>
      </c>
      <c r="N1901" t="s">
        <v>102</v>
      </c>
      <c r="O1901" t="s">
        <v>457</v>
      </c>
      <c r="P1901">
        <v>-20.138373999999999</v>
      </c>
      <c r="Q1901">
        <v>-44.903756999999999</v>
      </c>
      <c r="R1901" s="2" t="str">
        <f>HYPERLINK("https://www.google.com/maps?q=-20.1383740,-44.9037570","Abrir no Google Maps")</f>
        <v>Abrir no Google Maps</v>
      </c>
      <c r="S1901">
        <v>3</v>
      </c>
      <c r="T1901">
        <v>357.59466273594461</v>
      </c>
      <c r="U1901">
        <v>4</v>
      </c>
      <c r="V1901">
        <v>27</v>
      </c>
      <c r="W1901">
        <v>1</v>
      </c>
      <c r="X1901">
        <v>27</v>
      </c>
      <c r="Y1901">
        <v>581</v>
      </c>
      <c r="Z1901">
        <v>406.92482694505992</v>
      </c>
      <c r="AA1901">
        <v>198</v>
      </c>
      <c r="AB1901">
        <v>332</v>
      </c>
      <c r="AC1901">
        <v>536</v>
      </c>
      <c r="AD1901">
        <v>30.74</v>
      </c>
      <c r="AE1901">
        <v>542</v>
      </c>
      <c r="AF1901">
        <v>30</v>
      </c>
      <c r="AG1901">
        <v>178</v>
      </c>
      <c r="AH1901">
        <v>129</v>
      </c>
      <c r="AI1901">
        <v>5.54</v>
      </c>
      <c r="AJ1901">
        <v>32.840000000000003</v>
      </c>
      <c r="AK1901">
        <v>23.8</v>
      </c>
      <c r="AL1901">
        <v>-20.138338199999961</v>
      </c>
      <c r="AM1901">
        <v>-44.903768618976301</v>
      </c>
      <c r="AN1901">
        <v>-20.138338199999961</v>
      </c>
      <c r="AO1901">
        <v>-44.903768618976301</v>
      </c>
      <c r="AP1901">
        <v>-20.138373999999999</v>
      </c>
      <c r="AQ1901">
        <v>-44.903756999999999</v>
      </c>
      <c r="AR1901">
        <v>4.1661625938922704</v>
      </c>
      <c r="AS1901" t="s">
        <v>65</v>
      </c>
      <c r="AT1901">
        <v>1</v>
      </c>
      <c r="AU1901" t="s">
        <v>458</v>
      </c>
      <c r="AV1901" t="s">
        <v>459</v>
      </c>
      <c r="AW1901" t="s">
        <v>60</v>
      </c>
      <c r="AX1901" t="s">
        <v>68</v>
      </c>
      <c r="AY1901" t="s">
        <v>69</v>
      </c>
      <c r="AZ1901" t="b">
        <v>1</v>
      </c>
    </row>
    <row r="1902" spans="1:52" x14ac:dyDescent="0.3">
      <c r="A1902" t="s">
        <v>52</v>
      </c>
      <c r="B1902" t="s">
        <v>53</v>
      </c>
      <c r="C1902" t="s">
        <v>54</v>
      </c>
      <c r="D1902" t="s">
        <v>55</v>
      </c>
      <c r="E1902" t="s">
        <v>2148</v>
      </c>
      <c r="F1902" t="s">
        <v>1247</v>
      </c>
      <c r="G1902" t="s">
        <v>460</v>
      </c>
      <c r="H1902" t="s">
        <v>461</v>
      </c>
      <c r="I1902" t="s">
        <v>461</v>
      </c>
      <c r="J1902" t="s">
        <v>60</v>
      </c>
      <c r="K1902" t="s">
        <v>462</v>
      </c>
      <c r="L1902" t="s">
        <v>62</v>
      </c>
      <c r="M1902" t="s">
        <v>462</v>
      </c>
      <c r="N1902" t="s">
        <v>463</v>
      </c>
      <c r="O1902" t="s">
        <v>464</v>
      </c>
      <c r="P1902">
        <v>-20.137919</v>
      </c>
      <c r="Q1902">
        <v>-44.905591000000001</v>
      </c>
      <c r="R1902" s="2" t="str">
        <f>HYPERLINK("https://www.google.com/maps?q=-20.1379190,-44.9055910","Abrir no Google Maps")</f>
        <v>Abrir no Google Maps</v>
      </c>
      <c r="S1902">
        <v>3</v>
      </c>
      <c r="T1902">
        <v>262.01115919461103</v>
      </c>
      <c r="U1902">
        <v>4</v>
      </c>
      <c r="V1902">
        <v>41</v>
      </c>
      <c r="W1902">
        <v>1</v>
      </c>
      <c r="X1902">
        <v>41</v>
      </c>
      <c r="Y1902">
        <v>581</v>
      </c>
      <c r="Z1902">
        <v>318.63337303219271</v>
      </c>
      <c r="AA1902">
        <v>198</v>
      </c>
      <c r="AB1902">
        <v>332</v>
      </c>
      <c r="AC1902">
        <v>536</v>
      </c>
      <c r="AD1902">
        <v>30.74</v>
      </c>
      <c r="AE1902">
        <v>542</v>
      </c>
      <c r="AF1902">
        <v>30</v>
      </c>
      <c r="AG1902">
        <v>178</v>
      </c>
      <c r="AH1902">
        <v>129</v>
      </c>
      <c r="AI1902">
        <v>5.54</v>
      </c>
      <c r="AJ1902">
        <v>32.840000000000003</v>
      </c>
      <c r="AK1902">
        <v>23.8</v>
      </c>
      <c r="AL1902">
        <v>-20.13789079999998</v>
      </c>
      <c r="AM1902">
        <v>-44.90548593520333</v>
      </c>
      <c r="AN1902">
        <v>-20.13789079999998</v>
      </c>
      <c r="AO1902">
        <v>-44.90548593520333</v>
      </c>
      <c r="AP1902">
        <v>-20.137919</v>
      </c>
      <c r="AQ1902">
        <v>-44.905591000000001</v>
      </c>
      <c r="AR1902">
        <v>11.42072348298178</v>
      </c>
      <c r="AS1902" t="s">
        <v>65</v>
      </c>
      <c r="AT1902">
        <v>1</v>
      </c>
      <c r="AU1902" t="s">
        <v>465</v>
      </c>
      <c r="AV1902" t="s">
        <v>466</v>
      </c>
      <c r="AW1902" t="s">
        <v>60</v>
      </c>
      <c r="AX1902" t="s">
        <v>68</v>
      </c>
      <c r="AY1902" t="s">
        <v>69</v>
      </c>
      <c r="AZ1902" t="b">
        <v>1</v>
      </c>
    </row>
    <row r="1903" spans="1:52" x14ac:dyDescent="0.3">
      <c r="A1903" t="s">
        <v>52</v>
      </c>
      <c r="B1903" t="s">
        <v>53</v>
      </c>
      <c r="C1903" t="s">
        <v>54</v>
      </c>
      <c r="D1903" t="s">
        <v>55</v>
      </c>
      <c r="E1903" t="s">
        <v>2148</v>
      </c>
      <c r="F1903" t="s">
        <v>1247</v>
      </c>
      <c r="G1903" t="s">
        <v>467</v>
      </c>
      <c r="H1903" t="s">
        <v>468</v>
      </c>
      <c r="I1903" t="s">
        <v>468</v>
      </c>
      <c r="J1903" t="s">
        <v>60</v>
      </c>
      <c r="K1903" t="s">
        <v>462</v>
      </c>
      <c r="L1903" t="s">
        <v>62</v>
      </c>
      <c r="M1903" t="s">
        <v>462</v>
      </c>
      <c r="N1903" t="s">
        <v>469</v>
      </c>
      <c r="O1903" t="s">
        <v>470</v>
      </c>
      <c r="P1903">
        <v>-20.138233</v>
      </c>
      <c r="Q1903">
        <v>-44.908200000000001</v>
      </c>
      <c r="R1903" s="2" t="str">
        <f>HYPERLINK("https://www.google.com/maps?q=-20.1382330,-44.9082000","Abrir no Google Maps")</f>
        <v>Abrir no Google Maps</v>
      </c>
      <c r="S1903">
        <v>3</v>
      </c>
      <c r="T1903">
        <v>0</v>
      </c>
      <c r="U1903">
        <v>4</v>
      </c>
      <c r="V1903">
        <v>29</v>
      </c>
      <c r="W1903">
        <v>1</v>
      </c>
      <c r="X1903">
        <v>29</v>
      </c>
      <c r="Y1903">
        <v>581</v>
      </c>
      <c r="Z1903">
        <v>153.18688302958171</v>
      </c>
      <c r="AA1903">
        <v>198</v>
      </c>
      <c r="AB1903">
        <v>332</v>
      </c>
      <c r="AC1903">
        <v>536</v>
      </c>
      <c r="AD1903">
        <v>30.74</v>
      </c>
      <c r="AE1903">
        <v>542</v>
      </c>
      <c r="AF1903">
        <v>30</v>
      </c>
      <c r="AG1903">
        <v>178</v>
      </c>
      <c r="AH1903">
        <v>129</v>
      </c>
      <c r="AI1903">
        <v>5.54</v>
      </c>
      <c r="AJ1903">
        <v>32.840000000000003</v>
      </c>
      <c r="AK1903">
        <v>23.8</v>
      </c>
      <c r="AL1903">
        <v>-20.138364899999971</v>
      </c>
      <c r="AM1903">
        <v>-44.907942114873997</v>
      </c>
      <c r="AN1903">
        <v>-20.138364899999971</v>
      </c>
      <c r="AO1903">
        <v>-44.907942114873997</v>
      </c>
      <c r="AP1903">
        <v>-20.138233</v>
      </c>
      <c r="AQ1903">
        <v>-44.908200000000001</v>
      </c>
      <c r="AR1903">
        <v>30.692690617986941</v>
      </c>
      <c r="AS1903" t="s">
        <v>65</v>
      </c>
      <c r="AT1903">
        <v>1</v>
      </c>
      <c r="AU1903" t="s">
        <v>471</v>
      </c>
      <c r="AV1903" t="s">
        <v>472</v>
      </c>
      <c r="AW1903" t="s">
        <v>60</v>
      </c>
      <c r="AX1903" t="s">
        <v>68</v>
      </c>
      <c r="AY1903" t="s">
        <v>69</v>
      </c>
      <c r="AZ1903" t="b">
        <v>1</v>
      </c>
    </row>
    <row r="1904" spans="1:52" x14ac:dyDescent="0.3">
      <c r="A1904" t="s">
        <v>52</v>
      </c>
      <c r="B1904" t="s">
        <v>53</v>
      </c>
      <c r="C1904" t="s">
        <v>54</v>
      </c>
      <c r="D1904" t="s">
        <v>55</v>
      </c>
      <c r="E1904" t="s">
        <v>2148</v>
      </c>
      <c r="F1904" t="s">
        <v>1247</v>
      </c>
      <c r="G1904" t="s">
        <v>864</v>
      </c>
      <c r="H1904" t="s">
        <v>865</v>
      </c>
      <c r="I1904" t="s">
        <v>865</v>
      </c>
      <c r="J1904" t="s">
        <v>60</v>
      </c>
      <c r="K1904" t="s">
        <v>486</v>
      </c>
      <c r="L1904" t="s">
        <v>62</v>
      </c>
      <c r="M1904" t="s">
        <v>486</v>
      </c>
      <c r="N1904" t="s">
        <v>866</v>
      </c>
      <c r="O1904" t="s">
        <v>867</v>
      </c>
      <c r="P1904">
        <v>-20.170919000000001</v>
      </c>
      <c r="Q1904">
        <v>-44.905451999999997</v>
      </c>
      <c r="R1904" s="2" t="str">
        <f>HYPERLINK("https://www.google.com/maps?q=-20.1709190,-44.9054520","Abrir no Google Maps")</f>
        <v>Abrir no Google Maps</v>
      </c>
      <c r="S1904">
        <v>3</v>
      </c>
      <c r="T1904">
        <v>0</v>
      </c>
      <c r="U1904">
        <v>4</v>
      </c>
      <c r="V1904">
        <v>24</v>
      </c>
      <c r="W1904">
        <v>1</v>
      </c>
      <c r="X1904">
        <v>24</v>
      </c>
      <c r="Y1904">
        <v>578</v>
      </c>
      <c r="Z1904">
        <v>205.34598855748419</v>
      </c>
      <c r="AA1904">
        <v>198</v>
      </c>
      <c r="AB1904">
        <v>332</v>
      </c>
      <c r="AC1904">
        <v>536</v>
      </c>
      <c r="AD1904">
        <v>30.74</v>
      </c>
      <c r="AE1904">
        <v>542</v>
      </c>
      <c r="AF1904">
        <v>30</v>
      </c>
      <c r="AG1904">
        <v>178</v>
      </c>
      <c r="AH1904">
        <v>129</v>
      </c>
      <c r="AI1904">
        <v>5.54</v>
      </c>
      <c r="AJ1904">
        <v>32.840000000000003</v>
      </c>
      <c r="AK1904">
        <v>23.8</v>
      </c>
      <c r="AL1904">
        <v>-20.170854399999939</v>
      </c>
      <c r="AM1904">
        <v>-44.905524839633358</v>
      </c>
      <c r="AN1904">
        <v>-20.170854399999939</v>
      </c>
      <c r="AO1904">
        <v>-44.905524839633358</v>
      </c>
      <c r="AP1904">
        <v>-20.170919000000001</v>
      </c>
      <c r="AQ1904">
        <v>-44.905451999999997</v>
      </c>
      <c r="AR1904">
        <v>10.471140355179269</v>
      </c>
      <c r="AS1904" t="s">
        <v>65</v>
      </c>
      <c r="AT1904">
        <v>1</v>
      </c>
      <c r="AU1904" t="s">
        <v>868</v>
      </c>
      <c r="AV1904" t="s">
        <v>869</v>
      </c>
      <c r="AW1904" t="s">
        <v>60</v>
      </c>
      <c r="AX1904" t="s">
        <v>68</v>
      </c>
      <c r="AY1904" t="s">
        <v>69</v>
      </c>
      <c r="AZ1904" t="b">
        <v>1</v>
      </c>
    </row>
    <row r="1905" spans="1:52" x14ac:dyDescent="0.3">
      <c r="A1905" t="s">
        <v>52</v>
      </c>
      <c r="B1905" t="s">
        <v>53</v>
      </c>
      <c r="C1905" t="s">
        <v>54</v>
      </c>
      <c r="D1905" t="s">
        <v>55</v>
      </c>
      <c r="E1905" t="s">
        <v>2148</v>
      </c>
      <c r="F1905" t="s">
        <v>1247</v>
      </c>
      <c r="G1905" t="s">
        <v>484</v>
      </c>
      <c r="H1905" t="s">
        <v>485</v>
      </c>
      <c r="I1905" t="s">
        <v>485</v>
      </c>
      <c r="J1905" t="s">
        <v>60</v>
      </c>
      <c r="K1905" t="s">
        <v>486</v>
      </c>
      <c r="L1905" t="s">
        <v>62</v>
      </c>
      <c r="M1905" t="s">
        <v>486</v>
      </c>
      <c r="N1905" t="s">
        <v>487</v>
      </c>
      <c r="O1905" t="s">
        <v>488</v>
      </c>
      <c r="P1905">
        <v>-20.173000999999999</v>
      </c>
      <c r="Q1905">
        <v>-44.901876999999999</v>
      </c>
      <c r="R1905" s="2" t="str">
        <f>HYPERLINK("https://www.google.com/maps?q=-20.1730010,-44.9018770","Abrir no Google Maps")</f>
        <v>Abrir no Google Maps</v>
      </c>
      <c r="S1905">
        <v>3</v>
      </c>
      <c r="T1905">
        <v>437.59695450783011</v>
      </c>
      <c r="U1905">
        <v>4</v>
      </c>
      <c r="V1905">
        <v>25</v>
      </c>
      <c r="W1905">
        <v>1</v>
      </c>
      <c r="X1905">
        <v>25</v>
      </c>
      <c r="Y1905">
        <v>578</v>
      </c>
      <c r="Z1905">
        <v>440.53629183653243</v>
      </c>
      <c r="AA1905">
        <v>198</v>
      </c>
      <c r="AB1905">
        <v>332</v>
      </c>
      <c r="AC1905">
        <v>536</v>
      </c>
      <c r="AD1905">
        <v>30.74</v>
      </c>
      <c r="AE1905">
        <v>542</v>
      </c>
      <c r="AF1905">
        <v>30</v>
      </c>
      <c r="AG1905">
        <v>178</v>
      </c>
      <c r="AH1905">
        <v>129</v>
      </c>
      <c r="AI1905">
        <v>5.54</v>
      </c>
      <c r="AJ1905">
        <v>32.840000000000003</v>
      </c>
      <c r="AK1905">
        <v>23.8</v>
      </c>
      <c r="AL1905">
        <v>-20.173065299999969</v>
      </c>
      <c r="AM1905">
        <v>-44.902052686008687</v>
      </c>
      <c r="AN1905">
        <v>-20.173065299999969</v>
      </c>
      <c r="AO1905">
        <v>-44.902052686008687</v>
      </c>
      <c r="AP1905">
        <v>-20.173000999999999</v>
      </c>
      <c r="AQ1905">
        <v>-44.901876999999999</v>
      </c>
      <c r="AR1905">
        <v>19.703745070768829</v>
      </c>
      <c r="AS1905" t="s">
        <v>65</v>
      </c>
      <c r="AT1905">
        <v>1</v>
      </c>
      <c r="AU1905" t="s">
        <v>489</v>
      </c>
      <c r="AV1905" t="s">
        <v>490</v>
      </c>
      <c r="AW1905" t="s">
        <v>60</v>
      </c>
      <c r="AX1905" t="s">
        <v>68</v>
      </c>
      <c r="AY1905" t="s">
        <v>69</v>
      </c>
      <c r="AZ1905" t="b">
        <v>1</v>
      </c>
    </row>
    <row r="1906" spans="1:52" x14ac:dyDescent="0.3">
      <c r="A1906" t="s">
        <v>52</v>
      </c>
      <c r="B1906" t="s">
        <v>53</v>
      </c>
      <c r="C1906" t="s">
        <v>54</v>
      </c>
      <c r="D1906" t="s">
        <v>55</v>
      </c>
      <c r="E1906" t="s">
        <v>2148</v>
      </c>
      <c r="F1906" t="s">
        <v>1247</v>
      </c>
      <c r="G1906" t="s">
        <v>491</v>
      </c>
      <c r="H1906" t="s">
        <v>492</v>
      </c>
      <c r="I1906" t="s">
        <v>492</v>
      </c>
      <c r="J1906" t="s">
        <v>60</v>
      </c>
      <c r="K1906" t="s">
        <v>475</v>
      </c>
      <c r="L1906" t="s">
        <v>62</v>
      </c>
      <c r="M1906" t="s">
        <v>475</v>
      </c>
      <c r="N1906" t="s">
        <v>493</v>
      </c>
      <c r="O1906" t="s">
        <v>494</v>
      </c>
      <c r="P1906">
        <v>-20.175250999999999</v>
      </c>
      <c r="Q1906">
        <v>-44.897357</v>
      </c>
      <c r="R1906" s="2" t="str">
        <f>HYPERLINK("https://www.google.com/maps?q=-20.1752510,-44.8973570","Abrir no Google Maps")</f>
        <v>Abrir no Google Maps</v>
      </c>
      <c r="S1906">
        <v>3</v>
      </c>
      <c r="T1906">
        <v>992.29631678149951</v>
      </c>
      <c r="U1906">
        <v>4</v>
      </c>
      <c r="V1906">
        <v>24</v>
      </c>
      <c r="W1906">
        <v>1</v>
      </c>
      <c r="X1906">
        <v>24</v>
      </c>
      <c r="Y1906">
        <v>578</v>
      </c>
      <c r="Z1906">
        <v>1008.5871064168319</v>
      </c>
      <c r="AA1906">
        <v>198</v>
      </c>
      <c r="AB1906">
        <v>332</v>
      </c>
      <c r="AC1906">
        <v>536</v>
      </c>
      <c r="AD1906">
        <v>30.74</v>
      </c>
      <c r="AE1906">
        <v>542</v>
      </c>
      <c r="AF1906">
        <v>30</v>
      </c>
      <c r="AG1906">
        <v>178</v>
      </c>
      <c r="AH1906">
        <v>129</v>
      </c>
      <c r="AI1906">
        <v>5.54</v>
      </c>
      <c r="AJ1906">
        <v>32.840000000000003</v>
      </c>
      <c r="AK1906">
        <v>23.8</v>
      </c>
      <c r="AL1906">
        <v>-20.175290599999951</v>
      </c>
      <c r="AM1906">
        <v>-44.897271931010721</v>
      </c>
      <c r="AN1906">
        <v>-20.175290599999951</v>
      </c>
      <c r="AO1906">
        <v>-44.897271931010721</v>
      </c>
      <c r="AP1906">
        <v>-20.175250999999999</v>
      </c>
      <c r="AQ1906">
        <v>-44.897357</v>
      </c>
      <c r="AR1906">
        <v>9.921899108467926</v>
      </c>
      <c r="AS1906" t="s">
        <v>65</v>
      </c>
      <c r="AT1906">
        <v>1</v>
      </c>
      <c r="AU1906" t="s">
        <v>495</v>
      </c>
      <c r="AV1906" t="s">
        <v>496</v>
      </c>
      <c r="AW1906" t="s">
        <v>60</v>
      </c>
      <c r="AX1906" t="s">
        <v>68</v>
      </c>
      <c r="AY1906" t="s">
        <v>69</v>
      </c>
      <c r="AZ1906" t="b">
        <v>1</v>
      </c>
    </row>
    <row r="1907" spans="1:52" x14ac:dyDescent="0.3">
      <c r="A1907" t="s">
        <v>52</v>
      </c>
      <c r="B1907" t="s">
        <v>53</v>
      </c>
      <c r="C1907" t="s">
        <v>54</v>
      </c>
      <c r="D1907" t="s">
        <v>55</v>
      </c>
      <c r="E1907" t="s">
        <v>2148</v>
      </c>
      <c r="F1907" t="s">
        <v>1247</v>
      </c>
      <c r="G1907" t="s">
        <v>510</v>
      </c>
      <c r="H1907" t="s">
        <v>511</v>
      </c>
      <c r="I1907" t="s">
        <v>511</v>
      </c>
      <c r="J1907" t="s">
        <v>60</v>
      </c>
      <c r="K1907" t="s">
        <v>512</v>
      </c>
      <c r="L1907" t="s">
        <v>62</v>
      </c>
      <c r="M1907" t="s">
        <v>512</v>
      </c>
      <c r="N1907" t="s">
        <v>406</v>
      </c>
      <c r="O1907" t="s">
        <v>513</v>
      </c>
      <c r="P1907">
        <v>-20.127853000000002</v>
      </c>
      <c r="Q1907">
        <v>-44.891415000000002</v>
      </c>
      <c r="R1907" s="2" t="str">
        <f>HYPERLINK("https://www.google.com/maps?q=-20.1278530,-44.8914150","Abrir no Google Maps")</f>
        <v>Abrir no Google Maps</v>
      </c>
      <c r="S1907">
        <v>3</v>
      </c>
      <c r="T1907">
        <v>340.86994528233612</v>
      </c>
      <c r="U1907">
        <v>4</v>
      </c>
      <c r="V1907">
        <v>26</v>
      </c>
      <c r="W1907">
        <v>1</v>
      </c>
      <c r="X1907">
        <v>26</v>
      </c>
      <c r="Y1907">
        <v>564</v>
      </c>
      <c r="Z1907">
        <v>294.18108015916812</v>
      </c>
      <c r="AA1907">
        <v>198</v>
      </c>
      <c r="AB1907">
        <v>332</v>
      </c>
      <c r="AC1907">
        <v>536</v>
      </c>
      <c r="AD1907">
        <v>30.74</v>
      </c>
      <c r="AE1907">
        <v>542</v>
      </c>
      <c r="AF1907">
        <v>30</v>
      </c>
      <c r="AG1907">
        <v>178</v>
      </c>
      <c r="AH1907">
        <v>129</v>
      </c>
      <c r="AI1907">
        <v>5.54</v>
      </c>
      <c r="AJ1907">
        <v>32.840000000000003</v>
      </c>
      <c r="AK1907">
        <v>23.8</v>
      </c>
      <c r="AL1907">
        <v>-20.12777399999996</v>
      </c>
      <c r="AM1907">
        <v>-44.891400975758501</v>
      </c>
      <c r="AN1907">
        <v>-20.12777399999996</v>
      </c>
      <c r="AO1907">
        <v>-44.891400975758501</v>
      </c>
      <c r="AP1907">
        <v>-20.127853000000002</v>
      </c>
      <c r="AQ1907">
        <v>-44.891415000000002</v>
      </c>
      <c r="AR1907">
        <v>8.9156059162975616</v>
      </c>
      <c r="AS1907" t="s">
        <v>65</v>
      </c>
      <c r="AT1907">
        <v>1</v>
      </c>
      <c r="AU1907" t="s">
        <v>514</v>
      </c>
      <c r="AV1907" t="s">
        <v>515</v>
      </c>
      <c r="AW1907" t="s">
        <v>60</v>
      </c>
      <c r="AX1907" t="s">
        <v>68</v>
      </c>
      <c r="AY1907" t="s">
        <v>69</v>
      </c>
      <c r="AZ1907" t="b">
        <v>1</v>
      </c>
    </row>
    <row r="1908" spans="1:52" x14ac:dyDescent="0.3">
      <c r="A1908" t="s">
        <v>52</v>
      </c>
      <c r="B1908" t="s">
        <v>53</v>
      </c>
      <c r="C1908" t="s">
        <v>54</v>
      </c>
      <c r="D1908" t="s">
        <v>55</v>
      </c>
      <c r="E1908" t="s">
        <v>2148</v>
      </c>
      <c r="F1908" t="s">
        <v>1247</v>
      </c>
      <c r="G1908" t="s">
        <v>516</v>
      </c>
      <c r="H1908" t="s">
        <v>517</v>
      </c>
      <c r="I1908" t="s">
        <v>517</v>
      </c>
      <c r="J1908" t="s">
        <v>60</v>
      </c>
      <c r="K1908" t="s">
        <v>518</v>
      </c>
      <c r="L1908" t="s">
        <v>62</v>
      </c>
      <c r="M1908" t="s">
        <v>518</v>
      </c>
      <c r="N1908" t="s">
        <v>519</v>
      </c>
      <c r="O1908" t="s">
        <v>520</v>
      </c>
      <c r="P1908">
        <v>-20.124502</v>
      </c>
      <c r="Q1908">
        <v>-44.888424000000001</v>
      </c>
      <c r="R1908" s="2" t="str">
        <f>HYPERLINK("https://www.google.com/maps?q=-20.1245020,-44.8884240","Abrir no Google Maps")</f>
        <v>Abrir no Google Maps</v>
      </c>
      <c r="S1908">
        <v>3</v>
      </c>
      <c r="T1908">
        <v>483.42298121929559</v>
      </c>
      <c r="U1908">
        <v>4</v>
      </c>
      <c r="V1908">
        <v>29</v>
      </c>
      <c r="W1908">
        <v>1</v>
      </c>
      <c r="X1908">
        <v>29</v>
      </c>
      <c r="Y1908">
        <v>564</v>
      </c>
      <c r="Z1908">
        <v>565.43074237076587</v>
      </c>
      <c r="AA1908">
        <v>198</v>
      </c>
      <c r="AB1908">
        <v>332</v>
      </c>
      <c r="AC1908">
        <v>536</v>
      </c>
      <c r="AD1908">
        <v>30.74</v>
      </c>
      <c r="AE1908">
        <v>542</v>
      </c>
      <c r="AF1908">
        <v>30</v>
      </c>
      <c r="AG1908">
        <v>178</v>
      </c>
      <c r="AH1908">
        <v>129</v>
      </c>
      <c r="AI1908">
        <v>5.54</v>
      </c>
      <c r="AJ1908">
        <v>32.840000000000003</v>
      </c>
      <c r="AK1908">
        <v>23.8</v>
      </c>
      <c r="AL1908">
        <v>-20.124624949999941</v>
      </c>
      <c r="AM1908">
        <v>-44.888432821777258</v>
      </c>
      <c r="AN1908">
        <v>-20.124624949999941</v>
      </c>
      <c r="AO1908">
        <v>-44.888432821777258</v>
      </c>
      <c r="AP1908">
        <v>-20.124502</v>
      </c>
      <c r="AQ1908">
        <v>-44.888424000000001</v>
      </c>
      <c r="AR1908">
        <v>13.717819333897451</v>
      </c>
      <c r="AS1908" t="s">
        <v>65</v>
      </c>
      <c r="AT1908">
        <v>1</v>
      </c>
      <c r="AU1908" t="s">
        <v>521</v>
      </c>
      <c r="AV1908" t="s">
        <v>522</v>
      </c>
      <c r="AW1908" t="s">
        <v>60</v>
      </c>
      <c r="AX1908" t="s">
        <v>68</v>
      </c>
      <c r="AY1908" t="s">
        <v>69</v>
      </c>
      <c r="AZ1908" t="b">
        <v>1</v>
      </c>
    </row>
    <row r="1909" spans="1:52" x14ac:dyDescent="0.3">
      <c r="A1909" t="s">
        <v>52</v>
      </c>
      <c r="B1909" t="s">
        <v>53</v>
      </c>
      <c r="C1909" t="s">
        <v>54</v>
      </c>
      <c r="D1909" t="s">
        <v>55</v>
      </c>
      <c r="E1909" t="s">
        <v>2148</v>
      </c>
      <c r="F1909" t="s">
        <v>1247</v>
      </c>
      <c r="G1909" t="s">
        <v>523</v>
      </c>
      <c r="H1909" t="s">
        <v>524</v>
      </c>
      <c r="I1909" t="s">
        <v>524</v>
      </c>
      <c r="J1909" t="s">
        <v>60</v>
      </c>
      <c r="K1909" t="s">
        <v>518</v>
      </c>
      <c r="L1909" t="s">
        <v>62</v>
      </c>
      <c r="M1909" t="s">
        <v>518</v>
      </c>
      <c r="N1909" t="s">
        <v>525</v>
      </c>
      <c r="O1909" t="s">
        <v>331</v>
      </c>
      <c r="P1909">
        <v>-20.126553000000001</v>
      </c>
      <c r="Q1909">
        <v>-44.888599999999997</v>
      </c>
      <c r="R1909" s="2" t="str">
        <f>HYPERLINK("https://www.google.com/maps?q=-20.1265530,-44.8886000","Abrir no Google Maps")</f>
        <v>Abrir no Google Maps</v>
      </c>
      <c r="S1909">
        <v>3</v>
      </c>
      <c r="T1909">
        <v>256.34043440603853</v>
      </c>
      <c r="U1909">
        <v>4</v>
      </c>
      <c r="V1909">
        <v>25</v>
      </c>
      <c r="W1909">
        <v>1</v>
      </c>
      <c r="X1909">
        <v>25</v>
      </c>
      <c r="Y1909">
        <v>564</v>
      </c>
      <c r="Z1909">
        <v>325.4404273055876</v>
      </c>
      <c r="AA1909">
        <v>198</v>
      </c>
      <c r="AB1909">
        <v>332</v>
      </c>
      <c r="AC1909">
        <v>536</v>
      </c>
      <c r="AD1909">
        <v>30.74</v>
      </c>
      <c r="AE1909">
        <v>542</v>
      </c>
      <c r="AF1909">
        <v>30</v>
      </c>
      <c r="AG1909">
        <v>178</v>
      </c>
      <c r="AH1909">
        <v>129</v>
      </c>
      <c r="AI1909">
        <v>5.54</v>
      </c>
      <c r="AJ1909">
        <v>32.840000000000003</v>
      </c>
      <c r="AK1909">
        <v>23.8</v>
      </c>
      <c r="AL1909">
        <v>-20.12669049999997</v>
      </c>
      <c r="AM1909">
        <v>-44.888671289876577</v>
      </c>
      <c r="AN1909">
        <v>-20.12669049999997</v>
      </c>
      <c r="AO1909">
        <v>-44.888671289876577</v>
      </c>
      <c r="AP1909">
        <v>-20.126553000000001</v>
      </c>
      <c r="AQ1909">
        <v>-44.888599999999997</v>
      </c>
      <c r="AR1909">
        <v>17.023861591720589</v>
      </c>
      <c r="AS1909" t="s">
        <v>65</v>
      </c>
      <c r="AT1909">
        <v>1</v>
      </c>
      <c r="AU1909" t="s">
        <v>526</v>
      </c>
      <c r="AV1909" t="s">
        <v>527</v>
      </c>
      <c r="AW1909" t="s">
        <v>60</v>
      </c>
      <c r="AX1909" t="s">
        <v>68</v>
      </c>
      <c r="AY1909" t="s">
        <v>69</v>
      </c>
      <c r="AZ1909" t="b">
        <v>1</v>
      </c>
    </row>
    <row r="1910" spans="1:52" x14ac:dyDescent="0.3">
      <c r="A1910" t="s">
        <v>52</v>
      </c>
      <c r="B1910" t="s">
        <v>53</v>
      </c>
      <c r="C1910" t="s">
        <v>54</v>
      </c>
      <c r="D1910" t="s">
        <v>55</v>
      </c>
      <c r="E1910" t="s">
        <v>2148</v>
      </c>
      <c r="F1910" t="s">
        <v>1247</v>
      </c>
      <c r="G1910" t="s">
        <v>649</v>
      </c>
      <c r="H1910" t="s">
        <v>885</v>
      </c>
      <c r="I1910" t="s">
        <v>885</v>
      </c>
      <c r="J1910" t="s">
        <v>60</v>
      </c>
      <c r="K1910" t="s">
        <v>886</v>
      </c>
      <c r="L1910" t="s">
        <v>62</v>
      </c>
      <c r="M1910" t="s">
        <v>886</v>
      </c>
      <c r="N1910" t="s">
        <v>652</v>
      </c>
      <c r="O1910" t="s">
        <v>887</v>
      </c>
      <c r="P1910">
        <v>-20.132252000000001</v>
      </c>
      <c r="Q1910">
        <v>-44.894159000000002</v>
      </c>
      <c r="R1910" s="2" t="str">
        <f>HYPERLINK("https://www.google.com/maps?q=-20.1322520,-44.8941590","Abrir no Google Maps")</f>
        <v>Abrir no Google Maps</v>
      </c>
      <c r="S1910">
        <v>3</v>
      </c>
      <c r="T1910">
        <v>699.5004749448899</v>
      </c>
      <c r="U1910">
        <v>4</v>
      </c>
      <c r="V1910">
        <v>28</v>
      </c>
      <c r="W1910">
        <v>0.85</v>
      </c>
      <c r="X1910">
        <v>23.8</v>
      </c>
      <c r="Y1910">
        <v>564</v>
      </c>
      <c r="Z1910">
        <v>522.21103586457991</v>
      </c>
      <c r="AA1910">
        <v>198</v>
      </c>
      <c r="AB1910">
        <v>332</v>
      </c>
      <c r="AC1910">
        <v>536</v>
      </c>
      <c r="AD1910">
        <v>30.74</v>
      </c>
      <c r="AE1910">
        <v>542</v>
      </c>
      <c r="AF1910">
        <v>30</v>
      </c>
      <c r="AG1910">
        <v>178</v>
      </c>
      <c r="AH1910">
        <v>129</v>
      </c>
      <c r="AI1910">
        <v>5.54</v>
      </c>
      <c r="AJ1910">
        <v>32.840000000000003</v>
      </c>
      <c r="AK1910">
        <v>23.8</v>
      </c>
      <c r="AL1910">
        <v>-20.132285999999969</v>
      </c>
      <c r="AM1910">
        <v>-44.894119001288672</v>
      </c>
      <c r="AN1910">
        <v>-20.132285999999969</v>
      </c>
      <c r="AO1910">
        <v>-44.894119001288672</v>
      </c>
      <c r="AP1910">
        <v>-20.132252000000001</v>
      </c>
      <c r="AQ1910">
        <v>-44.894159000000002</v>
      </c>
      <c r="AR1910">
        <v>5.6393921063261629</v>
      </c>
      <c r="AS1910" t="s">
        <v>65</v>
      </c>
      <c r="AT1910">
        <v>1</v>
      </c>
      <c r="AU1910" t="s">
        <v>888</v>
      </c>
      <c r="AV1910" t="s">
        <v>889</v>
      </c>
      <c r="AW1910" t="s">
        <v>60</v>
      </c>
      <c r="AX1910" t="s">
        <v>68</v>
      </c>
      <c r="AY1910" t="s">
        <v>69</v>
      </c>
      <c r="AZ1910" t="b">
        <v>1</v>
      </c>
    </row>
    <row r="1911" spans="1:52" x14ac:dyDescent="0.3">
      <c r="A1911" t="s">
        <v>52</v>
      </c>
      <c r="B1911" t="s">
        <v>53</v>
      </c>
      <c r="C1911" t="s">
        <v>54</v>
      </c>
      <c r="D1911" t="s">
        <v>55</v>
      </c>
      <c r="E1911" t="s">
        <v>2148</v>
      </c>
      <c r="F1911" t="s">
        <v>1247</v>
      </c>
      <c r="G1911" t="s">
        <v>890</v>
      </c>
      <c r="H1911" t="s">
        <v>891</v>
      </c>
      <c r="I1911" t="s">
        <v>891</v>
      </c>
      <c r="J1911" t="s">
        <v>60</v>
      </c>
      <c r="K1911" t="s">
        <v>892</v>
      </c>
      <c r="L1911" t="s">
        <v>62</v>
      </c>
      <c r="M1911" t="s">
        <v>892</v>
      </c>
      <c r="N1911" t="s">
        <v>893</v>
      </c>
      <c r="O1911" t="s">
        <v>894</v>
      </c>
      <c r="P1911">
        <v>-20.152519000000002</v>
      </c>
      <c r="Q1911">
        <v>-44.899177000000002</v>
      </c>
      <c r="R1911" s="2" t="str">
        <f>HYPERLINK("https://www.google.com/maps?q=-20.1525190,-44.8991770","Abrir no Google Maps")</f>
        <v>Abrir no Google Maps</v>
      </c>
      <c r="S1911">
        <v>3</v>
      </c>
      <c r="T1911">
        <v>211.80188552994721</v>
      </c>
      <c r="U1911">
        <v>4</v>
      </c>
      <c r="V1911">
        <v>24</v>
      </c>
      <c r="W1911">
        <v>1</v>
      </c>
      <c r="X1911">
        <v>24</v>
      </c>
      <c r="Y1911">
        <v>556</v>
      </c>
      <c r="Z1911">
        <v>290.34804137107091</v>
      </c>
      <c r="AA1911">
        <v>198</v>
      </c>
      <c r="AB1911">
        <v>332</v>
      </c>
      <c r="AC1911">
        <v>536</v>
      </c>
      <c r="AD1911">
        <v>30.74</v>
      </c>
      <c r="AE1911">
        <v>542</v>
      </c>
      <c r="AF1911">
        <v>30</v>
      </c>
      <c r="AG1911">
        <v>178</v>
      </c>
      <c r="AH1911">
        <v>129</v>
      </c>
      <c r="AI1911">
        <v>5.54</v>
      </c>
      <c r="AJ1911">
        <v>32.840000000000003</v>
      </c>
      <c r="AK1911">
        <v>23.8</v>
      </c>
      <c r="AL1911">
        <v>-20.152516249999959</v>
      </c>
      <c r="AM1911">
        <v>-44.899310431333959</v>
      </c>
      <c r="AN1911">
        <v>-20.152516249999959</v>
      </c>
      <c r="AO1911">
        <v>-44.899310431333959</v>
      </c>
      <c r="AP1911">
        <v>-20.152519000000002</v>
      </c>
      <c r="AQ1911">
        <v>-44.899177000000002</v>
      </c>
      <c r="AR1911">
        <v>13.947583284957719</v>
      </c>
      <c r="AS1911" t="s">
        <v>65</v>
      </c>
      <c r="AT1911">
        <v>1</v>
      </c>
      <c r="AU1911" t="s">
        <v>895</v>
      </c>
      <c r="AV1911" t="s">
        <v>896</v>
      </c>
      <c r="AW1911" t="s">
        <v>60</v>
      </c>
      <c r="AX1911" t="s">
        <v>68</v>
      </c>
      <c r="AY1911" t="s">
        <v>69</v>
      </c>
      <c r="AZ1911" t="b">
        <v>1</v>
      </c>
    </row>
    <row r="1912" spans="1:52" x14ac:dyDescent="0.3">
      <c r="A1912" t="s">
        <v>52</v>
      </c>
      <c r="B1912" t="s">
        <v>53</v>
      </c>
      <c r="C1912" t="s">
        <v>54</v>
      </c>
      <c r="D1912" t="s">
        <v>55</v>
      </c>
      <c r="E1912" t="s">
        <v>2148</v>
      </c>
      <c r="F1912" t="s">
        <v>1247</v>
      </c>
      <c r="G1912" t="s">
        <v>545</v>
      </c>
      <c r="H1912" t="s">
        <v>546</v>
      </c>
      <c r="I1912" t="s">
        <v>546</v>
      </c>
      <c r="J1912" t="s">
        <v>60</v>
      </c>
      <c r="K1912" t="s">
        <v>388</v>
      </c>
      <c r="L1912" t="s">
        <v>62</v>
      </c>
      <c r="M1912" t="s">
        <v>388</v>
      </c>
      <c r="N1912" t="s">
        <v>547</v>
      </c>
      <c r="O1912" t="s">
        <v>548</v>
      </c>
      <c r="P1912">
        <v>-20.155839</v>
      </c>
      <c r="Q1912">
        <v>-44.905655000000003</v>
      </c>
      <c r="R1912" s="2" t="str">
        <f>HYPERLINK("https://www.google.com/maps?q=-20.1558390,-44.9056550","Abrir no Google Maps")</f>
        <v>Abrir no Google Maps</v>
      </c>
      <c r="S1912">
        <v>3</v>
      </c>
      <c r="T1912">
        <v>309.7643089121122</v>
      </c>
      <c r="U1912">
        <v>4</v>
      </c>
      <c r="V1912">
        <v>24</v>
      </c>
      <c r="W1912">
        <v>1</v>
      </c>
      <c r="X1912">
        <v>24</v>
      </c>
      <c r="Y1912">
        <v>548</v>
      </c>
      <c r="Z1912">
        <v>284.24281731793161</v>
      </c>
      <c r="AA1912">
        <v>198</v>
      </c>
      <c r="AB1912">
        <v>332</v>
      </c>
      <c r="AC1912">
        <v>536</v>
      </c>
      <c r="AD1912">
        <v>30.74</v>
      </c>
      <c r="AE1912">
        <v>542</v>
      </c>
      <c r="AF1912">
        <v>30</v>
      </c>
      <c r="AG1912">
        <v>178</v>
      </c>
      <c r="AH1912">
        <v>129</v>
      </c>
      <c r="AI1912">
        <v>5.54</v>
      </c>
      <c r="AJ1912">
        <v>32.840000000000003</v>
      </c>
      <c r="AK1912">
        <v>23.8</v>
      </c>
      <c r="AL1912">
        <v>-20.155913549999951</v>
      </c>
      <c r="AM1912">
        <v>-44.905554508392683</v>
      </c>
      <c r="AN1912">
        <v>-20.155913549999951</v>
      </c>
      <c r="AO1912">
        <v>-44.905554508392669</v>
      </c>
      <c r="AP1912">
        <v>-20.155839</v>
      </c>
      <c r="AQ1912">
        <v>-44.905655000000003</v>
      </c>
      <c r="AR1912">
        <v>13.384922093797449</v>
      </c>
      <c r="AS1912" t="s">
        <v>65</v>
      </c>
      <c r="AT1912">
        <v>1</v>
      </c>
      <c r="AU1912" t="s">
        <v>549</v>
      </c>
      <c r="AV1912" t="s">
        <v>550</v>
      </c>
      <c r="AW1912" t="s">
        <v>60</v>
      </c>
      <c r="AX1912" t="s">
        <v>68</v>
      </c>
      <c r="AY1912" t="s">
        <v>69</v>
      </c>
      <c r="AZ1912" t="b">
        <v>1</v>
      </c>
    </row>
    <row r="1913" spans="1:52" x14ac:dyDescent="0.3">
      <c r="A1913" t="s">
        <v>52</v>
      </c>
      <c r="B1913" t="s">
        <v>53</v>
      </c>
      <c r="C1913" t="s">
        <v>54</v>
      </c>
      <c r="D1913" t="s">
        <v>55</v>
      </c>
      <c r="E1913" t="s">
        <v>2148</v>
      </c>
      <c r="F1913" t="s">
        <v>1247</v>
      </c>
      <c r="G1913" t="s">
        <v>556</v>
      </c>
      <c r="H1913" t="s">
        <v>557</v>
      </c>
      <c r="I1913" t="s">
        <v>557</v>
      </c>
      <c r="J1913" t="s">
        <v>60</v>
      </c>
      <c r="K1913" t="s">
        <v>388</v>
      </c>
      <c r="L1913" t="s">
        <v>62</v>
      </c>
      <c r="M1913" t="s">
        <v>388</v>
      </c>
      <c r="N1913" t="s">
        <v>558</v>
      </c>
      <c r="O1913" t="s">
        <v>559</v>
      </c>
      <c r="P1913">
        <v>-20.152670000000001</v>
      </c>
      <c r="Q1913">
        <v>-44.902557999999999</v>
      </c>
      <c r="R1913" s="2" t="str">
        <f>HYPERLINK("https://www.google.com/maps?q=-20.1526700,-44.9025580","Abrir no Google Maps")</f>
        <v>Abrir no Google Maps</v>
      </c>
      <c r="S1913">
        <v>3</v>
      </c>
      <c r="T1913">
        <v>228.56195217678911</v>
      </c>
      <c r="U1913">
        <v>4</v>
      </c>
      <c r="V1913">
        <v>25</v>
      </c>
      <c r="W1913">
        <v>1</v>
      </c>
      <c r="X1913">
        <v>25</v>
      </c>
      <c r="Y1913">
        <v>548</v>
      </c>
      <c r="Z1913">
        <v>250.63133895224919</v>
      </c>
      <c r="AA1913">
        <v>198</v>
      </c>
      <c r="AB1913">
        <v>332</v>
      </c>
      <c r="AC1913">
        <v>536</v>
      </c>
      <c r="AD1913">
        <v>30.74</v>
      </c>
      <c r="AE1913">
        <v>542</v>
      </c>
      <c r="AF1913">
        <v>30</v>
      </c>
      <c r="AG1913">
        <v>178</v>
      </c>
      <c r="AH1913">
        <v>129</v>
      </c>
      <c r="AI1913">
        <v>5.54</v>
      </c>
      <c r="AJ1913">
        <v>32.840000000000003</v>
      </c>
      <c r="AK1913">
        <v>23.8</v>
      </c>
      <c r="AL1913">
        <v>-20.152629799999939</v>
      </c>
      <c r="AM1913">
        <v>-44.902604744705201</v>
      </c>
      <c r="AN1913">
        <v>-20.152629799999939</v>
      </c>
      <c r="AO1913">
        <v>-44.902604744705201</v>
      </c>
      <c r="AP1913">
        <v>-20.152670000000001</v>
      </c>
      <c r="AQ1913">
        <v>-44.902557999999999</v>
      </c>
      <c r="AR1913">
        <v>6.6249428037111509</v>
      </c>
      <c r="AS1913" t="s">
        <v>65</v>
      </c>
      <c r="AT1913">
        <v>1</v>
      </c>
      <c r="AU1913" t="s">
        <v>560</v>
      </c>
      <c r="AV1913" t="s">
        <v>561</v>
      </c>
      <c r="AW1913" t="s">
        <v>60</v>
      </c>
      <c r="AX1913" t="s">
        <v>68</v>
      </c>
      <c r="AY1913" t="s">
        <v>69</v>
      </c>
      <c r="AZ1913" t="b">
        <v>1</v>
      </c>
    </row>
    <row r="1914" spans="1:52" x14ac:dyDescent="0.3">
      <c r="A1914" t="s">
        <v>52</v>
      </c>
      <c r="B1914" t="s">
        <v>53</v>
      </c>
      <c r="C1914" t="s">
        <v>54</v>
      </c>
      <c r="D1914" t="s">
        <v>55</v>
      </c>
      <c r="E1914" t="s">
        <v>2148</v>
      </c>
      <c r="F1914" t="s">
        <v>1247</v>
      </c>
      <c r="G1914" t="s">
        <v>568</v>
      </c>
      <c r="H1914" t="s">
        <v>569</v>
      </c>
      <c r="I1914" t="s">
        <v>569</v>
      </c>
      <c r="J1914" t="s">
        <v>60</v>
      </c>
      <c r="K1914" t="s">
        <v>61</v>
      </c>
      <c r="L1914" t="s">
        <v>62</v>
      </c>
      <c r="M1914" t="s">
        <v>61</v>
      </c>
      <c r="N1914" t="s">
        <v>570</v>
      </c>
      <c r="O1914" t="s">
        <v>548</v>
      </c>
      <c r="P1914">
        <v>-20.151508</v>
      </c>
      <c r="Q1914">
        <v>-44.907826</v>
      </c>
      <c r="R1914" s="2" t="str">
        <f>HYPERLINK("https://www.google.com/maps?q=-20.1515080,-44.9078260","Abrir no Google Maps")</f>
        <v>Abrir no Google Maps</v>
      </c>
      <c r="S1914">
        <v>3</v>
      </c>
      <c r="T1914">
        <v>567.15905416240514</v>
      </c>
      <c r="U1914">
        <v>4</v>
      </c>
      <c r="V1914">
        <v>28</v>
      </c>
      <c r="W1914">
        <v>0.85</v>
      </c>
      <c r="X1914">
        <v>23.8</v>
      </c>
      <c r="Y1914">
        <v>548</v>
      </c>
      <c r="Z1914">
        <v>560.49158010771464</v>
      </c>
      <c r="AA1914">
        <v>198</v>
      </c>
      <c r="AB1914">
        <v>332</v>
      </c>
      <c r="AC1914">
        <v>536</v>
      </c>
      <c r="AD1914">
        <v>30.74</v>
      </c>
      <c r="AE1914">
        <v>542</v>
      </c>
      <c r="AF1914">
        <v>30</v>
      </c>
      <c r="AG1914">
        <v>178</v>
      </c>
      <c r="AH1914">
        <v>129</v>
      </c>
      <c r="AI1914">
        <v>5.54</v>
      </c>
      <c r="AJ1914">
        <v>32.840000000000003</v>
      </c>
      <c r="AK1914">
        <v>23.8</v>
      </c>
      <c r="AL1914">
        <v>-20.15211779999996</v>
      </c>
      <c r="AM1914">
        <v>-44.907597469593128</v>
      </c>
      <c r="AN1914">
        <v>-20.15211779999996</v>
      </c>
      <c r="AO1914">
        <v>-44.907597469593128</v>
      </c>
      <c r="AP1914">
        <v>-20.151508</v>
      </c>
      <c r="AQ1914">
        <v>-44.907826</v>
      </c>
      <c r="AR1914">
        <v>71.961597929314735</v>
      </c>
      <c r="AS1914" t="s">
        <v>65</v>
      </c>
      <c r="AT1914">
        <v>1</v>
      </c>
      <c r="AU1914" t="s">
        <v>571</v>
      </c>
      <c r="AV1914" t="s">
        <v>572</v>
      </c>
      <c r="AW1914" t="s">
        <v>60</v>
      </c>
      <c r="AX1914" t="s">
        <v>68</v>
      </c>
      <c r="AY1914" t="s">
        <v>69</v>
      </c>
      <c r="AZ1914" t="b">
        <v>1</v>
      </c>
    </row>
    <row r="1915" spans="1:52" x14ac:dyDescent="0.3">
      <c r="A1915" t="s">
        <v>52</v>
      </c>
      <c r="B1915" t="s">
        <v>53</v>
      </c>
      <c r="C1915" t="s">
        <v>54</v>
      </c>
      <c r="D1915" t="s">
        <v>55</v>
      </c>
      <c r="E1915" t="s">
        <v>2148</v>
      </c>
      <c r="F1915" t="s">
        <v>1247</v>
      </c>
      <c r="G1915" t="s">
        <v>833</v>
      </c>
      <c r="H1915" t="s">
        <v>834</v>
      </c>
      <c r="I1915" t="s">
        <v>834</v>
      </c>
      <c r="J1915" t="s">
        <v>60</v>
      </c>
      <c r="K1915" t="s">
        <v>388</v>
      </c>
      <c r="L1915" t="s">
        <v>62</v>
      </c>
      <c r="M1915" t="s">
        <v>388</v>
      </c>
      <c r="N1915" t="s">
        <v>835</v>
      </c>
      <c r="O1915" t="s">
        <v>836</v>
      </c>
      <c r="P1915">
        <v>-20.157906000000001</v>
      </c>
      <c r="Q1915">
        <v>-44.900458999999998</v>
      </c>
      <c r="R1915" s="2" t="str">
        <f>HYPERLINK("https://www.google.com/maps?q=-20.1579060,-44.9004590","Abrir no Google Maps")</f>
        <v>Abrir no Google Maps</v>
      </c>
      <c r="S1915">
        <v>3</v>
      </c>
      <c r="T1915">
        <v>0</v>
      </c>
      <c r="U1915">
        <v>3</v>
      </c>
      <c r="V1915">
        <v>21</v>
      </c>
      <c r="W1915">
        <v>1</v>
      </c>
      <c r="X1915">
        <v>21</v>
      </c>
      <c r="Y1915">
        <v>729</v>
      </c>
      <c r="Z1915">
        <v>203.63168486652771</v>
      </c>
      <c r="AA1915">
        <v>198</v>
      </c>
      <c r="AB1915">
        <v>332</v>
      </c>
      <c r="AC1915">
        <v>536</v>
      </c>
      <c r="AD1915">
        <v>30.74</v>
      </c>
      <c r="AE1915">
        <v>542</v>
      </c>
      <c r="AF1915">
        <v>30</v>
      </c>
      <c r="AG1915">
        <v>178</v>
      </c>
      <c r="AH1915">
        <v>129</v>
      </c>
      <c r="AI1915">
        <v>5.54</v>
      </c>
      <c r="AJ1915">
        <v>32.840000000000003</v>
      </c>
      <c r="AK1915">
        <v>23.8</v>
      </c>
      <c r="AL1915">
        <v>-20.157925749999951</v>
      </c>
      <c r="AM1915">
        <v>-44.900484707799812</v>
      </c>
      <c r="AN1915">
        <v>-20.157925749999951</v>
      </c>
      <c r="AO1915">
        <v>-44.900484707799812</v>
      </c>
      <c r="AP1915">
        <v>-20.157906000000001</v>
      </c>
      <c r="AQ1915">
        <v>-44.900458999999998</v>
      </c>
      <c r="AR1915">
        <v>3.4714515960382508</v>
      </c>
      <c r="AS1915" t="s">
        <v>65</v>
      </c>
      <c r="AT1915">
        <v>1</v>
      </c>
      <c r="AU1915" t="s">
        <v>837</v>
      </c>
      <c r="AV1915" t="s">
        <v>838</v>
      </c>
      <c r="AW1915" t="s">
        <v>60</v>
      </c>
      <c r="AX1915" t="s">
        <v>68</v>
      </c>
      <c r="AY1915" t="s">
        <v>69</v>
      </c>
      <c r="AZ1915" t="b">
        <v>1</v>
      </c>
    </row>
    <row r="1916" spans="1:52" x14ac:dyDescent="0.3">
      <c r="A1916" t="s">
        <v>52</v>
      </c>
      <c r="B1916" t="s">
        <v>53</v>
      </c>
      <c r="C1916" t="s">
        <v>54</v>
      </c>
      <c r="D1916" t="s">
        <v>55</v>
      </c>
      <c r="E1916" t="s">
        <v>2148</v>
      </c>
      <c r="F1916" t="s">
        <v>1247</v>
      </c>
      <c r="G1916" t="s">
        <v>386</v>
      </c>
      <c r="H1916" t="s">
        <v>387</v>
      </c>
      <c r="I1916" t="s">
        <v>387</v>
      </c>
      <c r="J1916" t="s">
        <v>60</v>
      </c>
      <c r="K1916" t="s">
        <v>388</v>
      </c>
      <c r="L1916" t="s">
        <v>62</v>
      </c>
      <c r="M1916" t="s">
        <v>388</v>
      </c>
      <c r="N1916" t="s">
        <v>389</v>
      </c>
      <c r="O1916" t="s">
        <v>357</v>
      </c>
      <c r="P1916">
        <v>-20.161041999999998</v>
      </c>
      <c r="Q1916">
        <v>-44.901242000000003</v>
      </c>
      <c r="R1916" s="2" t="str">
        <f>HYPERLINK("https://www.google.com/maps?q=-20.1610420,-44.9012420","Abrir no Google Maps")</f>
        <v>Abrir no Google Maps</v>
      </c>
      <c r="S1916">
        <v>3</v>
      </c>
      <c r="T1916">
        <v>440.22183232279212</v>
      </c>
      <c r="U1916">
        <v>3</v>
      </c>
      <c r="V1916">
        <v>21</v>
      </c>
      <c r="W1916">
        <v>1</v>
      </c>
      <c r="X1916">
        <v>21</v>
      </c>
      <c r="Y1916">
        <v>729</v>
      </c>
      <c r="Z1916">
        <v>398.48306829302379</v>
      </c>
      <c r="AA1916">
        <v>198</v>
      </c>
      <c r="AB1916">
        <v>332</v>
      </c>
      <c r="AC1916">
        <v>536</v>
      </c>
      <c r="AD1916">
        <v>30.74</v>
      </c>
      <c r="AE1916">
        <v>542</v>
      </c>
      <c r="AF1916">
        <v>30</v>
      </c>
      <c r="AG1916">
        <v>178</v>
      </c>
      <c r="AH1916">
        <v>129</v>
      </c>
      <c r="AI1916">
        <v>5.54</v>
      </c>
      <c r="AJ1916">
        <v>32.840000000000003</v>
      </c>
      <c r="AK1916">
        <v>23.8</v>
      </c>
      <c r="AL1916">
        <v>-20.16176629999995</v>
      </c>
      <c r="AM1916">
        <v>-44.901582787827898</v>
      </c>
      <c r="AN1916">
        <v>-20.16176629999995</v>
      </c>
      <c r="AO1916">
        <v>-44.901582787827898</v>
      </c>
      <c r="AP1916">
        <v>-20.161041999999998</v>
      </c>
      <c r="AQ1916">
        <v>-44.901242000000003</v>
      </c>
      <c r="AR1916">
        <v>88.143369157892835</v>
      </c>
      <c r="AS1916" t="s">
        <v>65</v>
      </c>
      <c r="AT1916">
        <v>1</v>
      </c>
      <c r="AU1916" t="s">
        <v>390</v>
      </c>
      <c r="AV1916" t="s">
        <v>391</v>
      </c>
      <c r="AW1916" t="s">
        <v>60</v>
      </c>
      <c r="AX1916" t="s">
        <v>68</v>
      </c>
      <c r="AY1916" t="s">
        <v>69</v>
      </c>
      <c r="AZ1916" t="b">
        <v>1</v>
      </c>
    </row>
    <row r="1917" spans="1:52" x14ac:dyDescent="0.3">
      <c r="A1917" t="s">
        <v>52</v>
      </c>
      <c r="B1917" t="s">
        <v>53</v>
      </c>
      <c r="C1917" t="s">
        <v>54</v>
      </c>
      <c r="D1917" t="s">
        <v>55</v>
      </c>
      <c r="E1917" t="s">
        <v>2148</v>
      </c>
      <c r="F1917" t="s">
        <v>1247</v>
      </c>
      <c r="G1917" t="s">
        <v>1278</v>
      </c>
      <c r="H1917" t="s">
        <v>1279</v>
      </c>
      <c r="I1917" t="s">
        <v>1279</v>
      </c>
      <c r="J1917" t="s">
        <v>60</v>
      </c>
      <c r="K1917" t="s">
        <v>388</v>
      </c>
      <c r="L1917" t="s">
        <v>62</v>
      </c>
      <c r="M1917" t="s">
        <v>388</v>
      </c>
      <c r="N1917" t="s">
        <v>1280</v>
      </c>
      <c r="O1917" t="s">
        <v>216</v>
      </c>
      <c r="P1917">
        <v>-20.15681</v>
      </c>
      <c r="Q1917">
        <v>-44.899290999999998</v>
      </c>
      <c r="R1917" s="2" t="str">
        <f>HYPERLINK("https://www.google.com/maps?q=-20.1568100,-44.8992910","Abrir no Google Maps")</f>
        <v>Abrir no Google Maps</v>
      </c>
      <c r="S1917">
        <v>3</v>
      </c>
      <c r="T1917">
        <v>180.10162979749811</v>
      </c>
      <c r="U1917">
        <v>3</v>
      </c>
      <c r="V1917">
        <v>19</v>
      </c>
      <c r="W1917">
        <v>0.85</v>
      </c>
      <c r="X1917">
        <v>16.149999999999999</v>
      </c>
      <c r="Y1917">
        <v>729</v>
      </c>
      <c r="Z1917">
        <v>368.06065118133841</v>
      </c>
      <c r="AA1917">
        <v>198</v>
      </c>
      <c r="AB1917">
        <v>332</v>
      </c>
      <c r="AC1917">
        <v>536</v>
      </c>
      <c r="AD1917">
        <v>30.74</v>
      </c>
      <c r="AE1917">
        <v>542</v>
      </c>
      <c r="AF1917">
        <v>30</v>
      </c>
      <c r="AG1917">
        <v>178</v>
      </c>
      <c r="AH1917">
        <v>129</v>
      </c>
      <c r="AI1917">
        <v>5.54</v>
      </c>
      <c r="AJ1917">
        <v>32.840000000000003</v>
      </c>
      <c r="AK1917">
        <v>23.8</v>
      </c>
      <c r="AL1917">
        <v>-20.156785649999961</v>
      </c>
      <c r="AM1917">
        <v>-44.899254812291332</v>
      </c>
      <c r="AN1917">
        <v>-20.156785649999961</v>
      </c>
      <c r="AO1917">
        <v>-44.899254812291332</v>
      </c>
      <c r="AP1917">
        <v>-20.15681</v>
      </c>
      <c r="AQ1917">
        <v>-44.899290999999998</v>
      </c>
      <c r="AR1917">
        <v>4.6528211992813118</v>
      </c>
      <c r="AS1917" t="s">
        <v>65</v>
      </c>
      <c r="AT1917">
        <v>1</v>
      </c>
      <c r="AU1917" t="s">
        <v>1281</v>
      </c>
      <c r="AV1917" t="s">
        <v>1282</v>
      </c>
      <c r="AW1917" t="s">
        <v>60</v>
      </c>
      <c r="AX1917" t="s">
        <v>68</v>
      </c>
      <c r="AY1917" t="s">
        <v>69</v>
      </c>
      <c r="AZ1917" t="b">
        <v>1</v>
      </c>
    </row>
    <row r="1918" spans="1:52" x14ac:dyDescent="0.3">
      <c r="A1918" t="s">
        <v>52</v>
      </c>
      <c r="B1918" t="s">
        <v>53</v>
      </c>
      <c r="C1918" t="s">
        <v>54</v>
      </c>
      <c r="D1918" t="s">
        <v>55</v>
      </c>
      <c r="E1918" t="s">
        <v>2148</v>
      </c>
      <c r="F1918" t="s">
        <v>1247</v>
      </c>
      <c r="G1918" t="s">
        <v>404</v>
      </c>
      <c r="H1918" t="s">
        <v>405</v>
      </c>
      <c r="I1918" t="s">
        <v>405</v>
      </c>
      <c r="J1918" t="s">
        <v>60</v>
      </c>
      <c r="K1918" t="s">
        <v>388</v>
      </c>
      <c r="L1918" t="s">
        <v>62</v>
      </c>
      <c r="M1918" t="s">
        <v>388</v>
      </c>
      <c r="N1918" t="s">
        <v>406</v>
      </c>
      <c r="O1918" t="s">
        <v>407</v>
      </c>
      <c r="P1918">
        <v>-20.162780999999999</v>
      </c>
      <c r="Q1918">
        <v>-44.904437999999999</v>
      </c>
      <c r="R1918" s="2" t="str">
        <f>HYPERLINK("https://www.google.com/maps?q=-20.1627810,-44.9044380","Abrir no Google Maps")</f>
        <v>Abrir no Google Maps</v>
      </c>
      <c r="S1918">
        <v>3</v>
      </c>
      <c r="T1918">
        <v>681.0891377731482</v>
      </c>
      <c r="U1918">
        <v>3</v>
      </c>
      <c r="V1918">
        <v>18</v>
      </c>
      <c r="W1918">
        <v>1</v>
      </c>
      <c r="X1918">
        <v>18</v>
      </c>
      <c r="Y1918">
        <v>729</v>
      </c>
      <c r="Z1918">
        <v>564.17713687218622</v>
      </c>
      <c r="AA1918">
        <v>198</v>
      </c>
      <c r="AB1918">
        <v>332</v>
      </c>
      <c r="AC1918">
        <v>536</v>
      </c>
      <c r="AD1918">
        <v>30.74</v>
      </c>
      <c r="AE1918">
        <v>542</v>
      </c>
      <c r="AF1918">
        <v>30</v>
      </c>
      <c r="AG1918">
        <v>178</v>
      </c>
      <c r="AH1918">
        <v>129</v>
      </c>
      <c r="AI1918">
        <v>5.54</v>
      </c>
      <c r="AJ1918">
        <v>32.840000000000003</v>
      </c>
      <c r="AK1918">
        <v>23.8</v>
      </c>
      <c r="AL1918">
        <v>-20.16295434999995</v>
      </c>
      <c r="AM1918">
        <v>-44.904242686956152</v>
      </c>
      <c r="AN1918">
        <v>-20.16295434999995</v>
      </c>
      <c r="AO1918">
        <v>-44.904242686956152</v>
      </c>
      <c r="AP1918">
        <v>-20.162780999999999</v>
      </c>
      <c r="AQ1918">
        <v>-44.904437999999999</v>
      </c>
      <c r="AR1918">
        <v>28.088191280523411</v>
      </c>
      <c r="AS1918" t="s">
        <v>65</v>
      </c>
      <c r="AT1918">
        <v>1</v>
      </c>
      <c r="AU1918" t="s">
        <v>408</v>
      </c>
      <c r="AV1918" t="s">
        <v>409</v>
      </c>
      <c r="AW1918" t="s">
        <v>60</v>
      </c>
      <c r="AX1918" t="s">
        <v>68</v>
      </c>
      <c r="AY1918" t="s">
        <v>69</v>
      </c>
      <c r="AZ1918" t="b">
        <v>1</v>
      </c>
    </row>
    <row r="1919" spans="1:52" x14ac:dyDescent="0.3">
      <c r="A1919" t="s">
        <v>52</v>
      </c>
      <c r="B1919" t="s">
        <v>53</v>
      </c>
      <c r="C1919" t="s">
        <v>54</v>
      </c>
      <c r="D1919" t="s">
        <v>55</v>
      </c>
      <c r="E1919" t="s">
        <v>2148</v>
      </c>
      <c r="F1919" t="s">
        <v>1247</v>
      </c>
      <c r="G1919" t="s">
        <v>410</v>
      </c>
      <c r="H1919" t="s">
        <v>411</v>
      </c>
      <c r="I1919" t="s">
        <v>411</v>
      </c>
      <c r="J1919" t="s">
        <v>60</v>
      </c>
      <c r="K1919" t="s">
        <v>388</v>
      </c>
      <c r="L1919" t="s">
        <v>62</v>
      </c>
      <c r="M1919" t="s">
        <v>388</v>
      </c>
      <c r="N1919" t="s">
        <v>412</v>
      </c>
      <c r="O1919" t="s">
        <v>413</v>
      </c>
      <c r="P1919">
        <v>-20.161394000000001</v>
      </c>
      <c r="Q1919">
        <v>-44.906725999999999</v>
      </c>
      <c r="R1919" s="2" t="str">
        <f>HYPERLINK("https://www.google.com/maps?q=-20.1613940,-44.9067260","Abrir no Google Maps")</f>
        <v>Abrir no Google Maps</v>
      </c>
      <c r="S1919">
        <v>3</v>
      </c>
      <c r="T1919">
        <v>763.68157548493457</v>
      </c>
      <c r="U1919">
        <v>3</v>
      </c>
      <c r="V1919">
        <v>23</v>
      </c>
      <c r="W1919">
        <v>1</v>
      </c>
      <c r="X1919">
        <v>23</v>
      </c>
      <c r="Y1919">
        <v>729</v>
      </c>
      <c r="Z1919">
        <v>551.70379325948545</v>
      </c>
      <c r="AA1919">
        <v>198</v>
      </c>
      <c r="AB1919">
        <v>332</v>
      </c>
      <c r="AC1919">
        <v>536</v>
      </c>
      <c r="AD1919">
        <v>30.74</v>
      </c>
      <c r="AE1919">
        <v>542</v>
      </c>
      <c r="AF1919">
        <v>30</v>
      </c>
      <c r="AG1919">
        <v>178</v>
      </c>
      <c r="AH1919">
        <v>129</v>
      </c>
      <c r="AI1919">
        <v>5.54</v>
      </c>
      <c r="AJ1919">
        <v>32.840000000000003</v>
      </c>
      <c r="AK1919">
        <v>23.8</v>
      </c>
      <c r="AL1919">
        <v>-20.161371049999929</v>
      </c>
      <c r="AM1919">
        <v>-44.906816797310228</v>
      </c>
      <c r="AN1919">
        <v>-20.161371049999929</v>
      </c>
      <c r="AO1919">
        <v>-44.906816797310228</v>
      </c>
      <c r="AP1919">
        <v>-20.161394000000001</v>
      </c>
      <c r="AQ1919">
        <v>-44.906725999999999</v>
      </c>
      <c r="AR1919">
        <v>9.8261555662022495</v>
      </c>
      <c r="AS1919" t="s">
        <v>65</v>
      </c>
      <c r="AT1919">
        <v>1</v>
      </c>
      <c r="AU1919" t="s">
        <v>414</v>
      </c>
      <c r="AV1919" t="s">
        <v>415</v>
      </c>
      <c r="AW1919" t="s">
        <v>60</v>
      </c>
      <c r="AX1919" t="s">
        <v>68</v>
      </c>
      <c r="AY1919" t="s">
        <v>69</v>
      </c>
      <c r="AZ1919" t="b">
        <v>1</v>
      </c>
    </row>
    <row r="1920" spans="1:52" x14ac:dyDescent="0.3">
      <c r="A1920" t="s">
        <v>52</v>
      </c>
      <c r="B1920" t="s">
        <v>53</v>
      </c>
      <c r="C1920" t="s">
        <v>54</v>
      </c>
      <c r="D1920" t="s">
        <v>55</v>
      </c>
      <c r="E1920" t="s">
        <v>2148</v>
      </c>
      <c r="F1920" t="s">
        <v>1247</v>
      </c>
      <c r="G1920" t="s">
        <v>416</v>
      </c>
      <c r="H1920" t="s">
        <v>417</v>
      </c>
      <c r="I1920" t="s">
        <v>417</v>
      </c>
      <c r="J1920" t="s">
        <v>60</v>
      </c>
      <c r="K1920" t="s">
        <v>418</v>
      </c>
      <c r="L1920" t="s">
        <v>62</v>
      </c>
      <c r="M1920" t="s">
        <v>418</v>
      </c>
      <c r="N1920" t="s">
        <v>419</v>
      </c>
      <c r="O1920" t="s">
        <v>202</v>
      </c>
      <c r="P1920">
        <v>-20.169886000000002</v>
      </c>
      <c r="Q1920">
        <v>-44.913288000000001</v>
      </c>
      <c r="R1920" s="2" t="str">
        <f>HYPERLINK("https://www.google.com/maps?q=-20.1698860,-44.9132880","Abrir no Google Maps")</f>
        <v>Abrir no Google Maps</v>
      </c>
      <c r="S1920">
        <v>3</v>
      </c>
      <c r="T1920">
        <v>422.88733632898152</v>
      </c>
      <c r="U1920">
        <v>3</v>
      </c>
      <c r="V1920">
        <v>16</v>
      </c>
      <c r="W1920">
        <v>1</v>
      </c>
      <c r="X1920">
        <v>16</v>
      </c>
      <c r="Y1920">
        <v>723</v>
      </c>
      <c r="Z1920">
        <v>128.65003864232261</v>
      </c>
      <c r="AA1920">
        <v>198</v>
      </c>
      <c r="AB1920">
        <v>332</v>
      </c>
      <c r="AC1920">
        <v>536</v>
      </c>
      <c r="AD1920">
        <v>30.74</v>
      </c>
      <c r="AE1920">
        <v>542</v>
      </c>
      <c r="AF1920">
        <v>30</v>
      </c>
      <c r="AG1920">
        <v>178</v>
      </c>
      <c r="AH1920">
        <v>129</v>
      </c>
      <c r="AI1920">
        <v>5.54</v>
      </c>
      <c r="AJ1920">
        <v>32.840000000000003</v>
      </c>
      <c r="AK1920">
        <v>23.8</v>
      </c>
      <c r="AL1920">
        <v>-20.16970024999998</v>
      </c>
      <c r="AM1920">
        <v>-44.913502201257437</v>
      </c>
      <c r="AN1920">
        <v>-20.16970024999998</v>
      </c>
      <c r="AO1920">
        <v>-44.913502201257437</v>
      </c>
      <c r="AP1920">
        <v>-20.169886000000002</v>
      </c>
      <c r="AQ1920">
        <v>-44.913288000000001</v>
      </c>
      <c r="AR1920">
        <v>30.47208587597606</v>
      </c>
      <c r="AS1920" t="s">
        <v>65</v>
      </c>
      <c r="AT1920">
        <v>1</v>
      </c>
      <c r="AU1920" t="s">
        <v>420</v>
      </c>
      <c r="AV1920" t="s">
        <v>421</v>
      </c>
      <c r="AW1920" t="s">
        <v>60</v>
      </c>
      <c r="AX1920" t="s">
        <v>68</v>
      </c>
      <c r="AY1920" t="s">
        <v>69</v>
      </c>
      <c r="AZ1920" t="b">
        <v>1</v>
      </c>
    </row>
    <row r="1921" spans="1:52" x14ac:dyDescent="0.3">
      <c r="A1921" t="s">
        <v>52</v>
      </c>
      <c r="B1921" t="s">
        <v>53</v>
      </c>
      <c r="C1921" t="s">
        <v>54</v>
      </c>
      <c r="D1921" t="s">
        <v>55</v>
      </c>
      <c r="E1921" t="s">
        <v>2148</v>
      </c>
      <c r="F1921" t="s">
        <v>1247</v>
      </c>
      <c r="G1921" t="s">
        <v>1300</v>
      </c>
      <c r="H1921" t="s">
        <v>1301</v>
      </c>
      <c r="I1921" t="s">
        <v>1301</v>
      </c>
      <c r="J1921" t="s">
        <v>60</v>
      </c>
      <c r="K1921" t="s">
        <v>1302</v>
      </c>
      <c r="L1921" t="s">
        <v>62</v>
      </c>
      <c r="M1921" t="s">
        <v>1302</v>
      </c>
      <c r="N1921" t="s">
        <v>1303</v>
      </c>
      <c r="O1921" t="s">
        <v>1304</v>
      </c>
      <c r="P1921">
        <v>-20.166618</v>
      </c>
      <c r="Q1921">
        <v>-44.912920999999997</v>
      </c>
      <c r="R1921" s="2" t="str">
        <f>HYPERLINK("https://www.google.com/maps?q=-20.1666180,-44.9129210","Abrir no Google Maps")</f>
        <v>Abrir no Google Maps</v>
      </c>
      <c r="S1921">
        <v>3</v>
      </c>
      <c r="T1921">
        <v>636.32880156364706</v>
      </c>
      <c r="U1921">
        <v>3</v>
      </c>
      <c r="V1921">
        <v>23</v>
      </c>
      <c r="W1921">
        <v>0.85</v>
      </c>
      <c r="X1921">
        <v>19.55</v>
      </c>
      <c r="Y1921">
        <v>723</v>
      </c>
      <c r="Z1921">
        <v>407.62145176971592</v>
      </c>
      <c r="AA1921">
        <v>198</v>
      </c>
      <c r="AB1921">
        <v>332</v>
      </c>
      <c r="AC1921">
        <v>536</v>
      </c>
      <c r="AD1921">
        <v>30.74</v>
      </c>
      <c r="AE1921">
        <v>542</v>
      </c>
      <c r="AF1921">
        <v>30</v>
      </c>
      <c r="AG1921">
        <v>178</v>
      </c>
      <c r="AH1921">
        <v>129</v>
      </c>
      <c r="AI1921">
        <v>5.54</v>
      </c>
      <c r="AJ1921">
        <v>32.840000000000003</v>
      </c>
      <c r="AK1921">
        <v>23.8</v>
      </c>
      <c r="AL1921">
        <v>-20.166924799999951</v>
      </c>
      <c r="AM1921">
        <v>-44.912868681724092</v>
      </c>
      <c r="AN1921">
        <v>-20.166924799999951</v>
      </c>
      <c r="AO1921">
        <v>-44.912868681724092</v>
      </c>
      <c r="AP1921">
        <v>-20.166618</v>
      </c>
      <c r="AQ1921">
        <v>-44.912920999999997</v>
      </c>
      <c r="AR1921">
        <v>34.587771860198139</v>
      </c>
      <c r="AS1921" t="s">
        <v>65</v>
      </c>
      <c r="AT1921">
        <v>1</v>
      </c>
      <c r="AU1921" t="s">
        <v>1305</v>
      </c>
      <c r="AV1921" t="s">
        <v>1306</v>
      </c>
      <c r="AW1921" t="s">
        <v>60</v>
      </c>
      <c r="AX1921" t="s">
        <v>68</v>
      </c>
      <c r="AY1921" t="s">
        <v>69</v>
      </c>
      <c r="AZ1921" t="b">
        <v>1</v>
      </c>
    </row>
    <row r="1922" spans="1:52" x14ac:dyDescent="0.3">
      <c r="A1922" t="s">
        <v>52</v>
      </c>
      <c r="B1922" t="s">
        <v>53</v>
      </c>
      <c r="C1922" t="s">
        <v>54</v>
      </c>
      <c r="D1922" t="s">
        <v>55</v>
      </c>
      <c r="E1922" t="s">
        <v>2148</v>
      </c>
      <c r="F1922" t="s">
        <v>1247</v>
      </c>
      <c r="G1922" t="s">
        <v>858</v>
      </c>
      <c r="H1922" t="s">
        <v>1360</v>
      </c>
      <c r="I1922" t="s">
        <v>1360</v>
      </c>
      <c r="J1922" t="s">
        <v>60</v>
      </c>
      <c r="K1922" t="s">
        <v>1356</v>
      </c>
      <c r="L1922" t="s">
        <v>62</v>
      </c>
      <c r="M1922" t="s">
        <v>1356</v>
      </c>
      <c r="N1922" t="s">
        <v>860</v>
      </c>
      <c r="O1922" t="s">
        <v>1361</v>
      </c>
      <c r="P1922">
        <v>-20.134969000000002</v>
      </c>
      <c r="Q1922">
        <v>-44.909384000000003</v>
      </c>
      <c r="R1922" s="2" t="str">
        <f>HYPERLINK("https://www.google.com/maps?q=-20.1349690,-44.9093840","Abrir no Google Maps")</f>
        <v>Abrir no Google Maps</v>
      </c>
      <c r="S1922">
        <v>3</v>
      </c>
      <c r="T1922">
        <v>413.6655911675532</v>
      </c>
      <c r="U1922">
        <v>3</v>
      </c>
      <c r="V1922">
        <v>18</v>
      </c>
      <c r="W1922">
        <v>0.85</v>
      </c>
      <c r="X1922">
        <v>15.3</v>
      </c>
      <c r="Y1922">
        <v>581</v>
      </c>
      <c r="Z1922">
        <v>555.30228470489919</v>
      </c>
      <c r="AA1922">
        <v>198</v>
      </c>
      <c r="AB1922">
        <v>332</v>
      </c>
      <c r="AC1922">
        <v>536</v>
      </c>
      <c r="AD1922">
        <v>30.74</v>
      </c>
      <c r="AE1922">
        <v>542</v>
      </c>
      <c r="AF1922">
        <v>30</v>
      </c>
      <c r="AG1922">
        <v>178</v>
      </c>
      <c r="AH1922">
        <v>129</v>
      </c>
      <c r="AI1922">
        <v>5.54</v>
      </c>
      <c r="AJ1922">
        <v>32.840000000000003</v>
      </c>
      <c r="AK1922">
        <v>23.8</v>
      </c>
      <c r="AL1922">
        <v>-20.134922099999951</v>
      </c>
      <c r="AM1922">
        <v>-44.909483975879112</v>
      </c>
      <c r="AN1922">
        <v>-20.134922099999951</v>
      </c>
      <c r="AO1922">
        <v>-44.909483975879112</v>
      </c>
      <c r="AP1922">
        <v>-20.134969000000002</v>
      </c>
      <c r="AQ1922">
        <v>-44.909384000000003</v>
      </c>
      <c r="AR1922">
        <v>11.68085867639515</v>
      </c>
      <c r="AS1922" t="s">
        <v>65</v>
      </c>
      <c r="AT1922">
        <v>1</v>
      </c>
      <c r="AU1922" t="s">
        <v>1362</v>
      </c>
      <c r="AV1922" t="s">
        <v>1363</v>
      </c>
      <c r="AW1922" t="s">
        <v>60</v>
      </c>
      <c r="AX1922" t="s">
        <v>68</v>
      </c>
      <c r="AY1922" t="s">
        <v>69</v>
      </c>
      <c r="AZ1922" t="b">
        <v>1</v>
      </c>
    </row>
    <row r="1923" spans="1:52" x14ac:dyDescent="0.3">
      <c r="A1923" t="s">
        <v>52</v>
      </c>
      <c r="B1923" t="s">
        <v>53</v>
      </c>
      <c r="C1923" t="s">
        <v>54</v>
      </c>
      <c r="D1923" t="s">
        <v>55</v>
      </c>
      <c r="E1923" t="s">
        <v>2148</v>
      </c>
      <c r="F1923" t="s">
        <v>1247</v>
      </c>
      <c r="G1923" t="s">
        <v>870</v>
      </c>
      <c r="H1923" t="s">
        <v>871</v>
      </c>
      <c r="I1923" t="s">
        <v>871</v>
      </c>
      <c r="J1923" t="s">
        <v>60</v>
      </c>
      <c r="K1923" t="s">
        <v>475</v>
      </c>
      <c r="L1923" t="s">
        <v>62</v>
      </c>
      <c r="M1923" t="s">
        <v>475</v>
      </c>
      <c r="N1923" t="s">
        <v>872</v>
      </c>
      <c r="O1923" t="s">
        <v>507</v>
      </c>
      <c r="P1923">
        <v>-20.176269999999999</v>
      </c>
      <c r="Q1923">
        <v>-44.909323999999998</v>
      </c>
      <c r="R1923" s="2" t="str">
        <f>HYPERLINK("https://www.google.com/maps?q=-20.1762700,-44.9093240","Abrir no Google Maps")</f>
        <v>Abrir no Google Maps</v>
      </c>
      <c r="S1923">
        <v>3</v>
      </c>
      <c r="T1923">
        <v>472.42731136821368</v>
      </c>
      <c r="U1923">
        <v>3</v>
      </c>
      <c r="V1923">
        <v>18</v>
      </c>
      <c r="W1923">
        <v>1</v>
      </c>
      <c r="X1923">
        <v>18</v>
      </c>
      <c r="Y1923">
        <v>578</v>
      </c>
      <c r="Z1923">
        <v>495.19726726344601</v>
      </c>
      <c r="AA1923">
        <v>198</v>
      </c>
      <c r="AB1923">
        <v>332</v>
      </c>
      <c r="AC1923">
        <v>536</v>
      </c>
      <c r="AD1923">
        <v>30.74</v>
      </c>
      <c r="AE1923">
        <v>542</v>
      </c>
      <c r="AF1923">
        <v>30</v>
      </c>
      <c r="AG1923">
        <v>178</v>
      </c>
      <c r="AH1923">
        <v>129</v>
      </c>
      <c r="AI1923">
        <v>5.54</v>
      </c>
      <c r="AJ1923">
        <v>32.840000000000003</v>
      </c>
      <c r="AK1923">
        <v>23.8</v>
      </c>
      <c r="AL1923">
        <v>-20.17630284999996</v>
      </c>
      <c r="AM1923">
        <v>-44.909199064318948</v>
      </c>
      <c r="AN1923">
        <v>-20.17630284999996</v>
      </c>
      <c r="AO1923">
        <v>-44.909199064318948</v>
      </c>
      <c r="AP1923">
        <v>-20.176269999999999</v>
      </c>
      <c r="AQ1923">
        <v>-44.909323999999998</v>
      </c>
      <c r="AR1923">
        <v>13.55691308737447</v>
      </c>
      <c r="AS1923" t="s">
        <v>65</v>
      </c>
      <c r="AT1923">
        <v>1</v>
      </c>
      <c r="AU1923" t="s">
        <v>873</v>
      </c>
      <c r="AV1923" t="s">
        <v>874</v>
      </c>
      <c r="AW1923" t="s">
        <v>60</v>
      </c>
      <c r="AX1923" t="s">
        <v>68</v>
      </c>
      <c r="AY1923" t="s">
        <v>69</v>
      </c>
      <c r="AZ1923" t="b">
        <v>1</v>
      </c>
    </row>
    <row r="1924" spans="1:52" x14ac:dyDescent="0.3">
      <c r="A1924" t="s">
        <v>52</v>
      </c>
      <c r="B1924" t="s">
        <v>53</v>
      </c>
      <c r="C1924" t="s">
        <v>54</v>
      </c>
      <c r="D1924" t="s">
        <v>55</v>
      </c>
      <c r="E1924" t="s">
        <v>2148</v>
      </c>
      <c r="F1924" t="s">
        <v>1247</v>
      </c>
      <c r="G1924" t="s">
        <v>473</v>
      </c>
      <c r="H1924" t="s">
        <v>474</v>
      </c>
      <c r="I1924" t="s">
        <v>474</v>
      </c>
      <c r="J1924" t="s">
        <v>60</v>
      </c>
      <c r="K1924" t="s">
        <v>475</v>
      </c>
      <c r="L1924" t="s">
        <v>62</v>
      </c>
      <c r="M1924" t="s">
        <v>475</v>
      </c>
      <c r="N1924" t="s">
        <v>406</v>
      </c>
      <c r="O1924" t="s">
        <v>476</v>
      </c>
      <c r="P1924">
        <v>-20.177902</v>
      </c>
      <c r="Q1924">
        <v>-44.908504000000001</v>
      </c>
      <c r="R1924" s="2" t="str">
        <f>HYPERLINK("https://www.google.com/maps?q=-20.1779020,-44.9085040","Abrir no Google Maps")</f>
        <v>Abrir no Google Maps</v>
      </c>
      <c r="S1924">
        <v>3</v>
      </c>
      <c r="T1924">
        <v>656.92307673247149</v>
      </c>
      <c r="U1924">
        <v>3</v>
      </c>
      <c r="V1924">
        <v>19</v>
      </c>
      <c r="W1924">
        <v>1</v>
      </c>
      <c r="X1924">
        <v>19</v>
      </c>
      <c r="Y1924">
        <v>578</v>
      </c>
      <c r="Z1924">
        <v>635.01982153722327</v>
      </c>
      <c r="AA1924">
        <v>198</v>
      </c>
      <c r="AB1924">
        <v>332</v>
      </c>
      <c r="AC1924">
        <v>536</v>
      </c>
      <c r="AD1924">
        <v>30.74</v>
      </c>
      <c r="AE1924">
        <v>542</v>
      </c>
      <c r="AF1924">
        <v>30</v>
      </c>
      <c r="AG1924">
        <v>178</v>
      </c>
      <c r="AH1924">
        <v>129</v>
      </c>
      <c r="AI1924">
        <v>5.54</v>
      </c>
      <c r="AJ1924">
        <v>32.840000000000003</v>
      </c>
      <c r="AK1924">
        <v>23.8</v>
      </c>
      <c r="AL1924">
        <v>-20.177800399999938</v>
      </c>
      <c r="AM1924">
        <v>-44.908361879701268</v>
      </c>
      <c r="AN1924">
        <v>-20.177800399999938</v>
      </c>
      <c r="AO1924">
        <v>-44.908361879701268</v>
      </c>
      <c r="AP1924">
        <v>-20.177902</v>
      </c>
      <c r="AQ1924">
        <v>-44.908504000000001</v>
      </c>
      <c r="AR1924">
        <v>18.666463141775541</v>
      </c>
      <c r="AS1924" t="s">
        <v>65</v>
      </c>
      <c r="AT1924">
        <v>1</v>
      </c>
      <c r="AU1924" t="s">
        <v>477</v>
      </c>
      <c r="AV1924" t="s">
        <v>478</v>
      </c>
      <c r="AW1924" t="s">
        <v>60</v>
      </c>
      <c r="AX1924" t="s">
        <v>68</v>
      </c>
      <c r="AY1924" t="s">
        <v>69</v>
      </c>
      <c r="AZ1924" t="b">
        <v>1</v>
      </c>
    </row>
    <row r="1925" spans="1:52" x14ac:dyDescent="0.3">
      <c r="A1925" t="s">
        <v>52</v>
      </c>
      <c r="B1925" t="s">
        <v>53</v>
      </c>
      <c r="C1925" t="s">
        <v>54</v>
      </c>
      <c r="D1925" t="s">
        <v>55</v>
      </c>
      <c r="E1925" t="s">
        <v>2148</v>
      </c>
      <c r="F1925" t="s">
        <v>1247</v>
      </c>
      <c r="G1925" t="s">
        <v>479</v>
      </c>
      <c r="H1925" t="s">
        <v>480</v>
      </c>
      <c r="I1925" t="s">
        <v>480</v>
      </c>
      <c r="J1925" t="s">
        <v>60</v>
      </c>
      <c r="K1925" t="s">
        <v>388</v>
      </c>
      <c r="L1925" t="s">
        <v>62</v>
      </c>
      <c r="M1925" t="s">
        <v>388</v>
      </c>
      <c r="N1925" t="s">
        <v>481</v>
      </c>
      <c r="O1925" t="s">
        <v>315</v>
      </c>
      <c r="P1925">
        <v>-20.166903999999999</v>
      </c>
      <c r="Q1925">
        <v>-44.903492</v>
      </c>
      <c r="R1925" s="2" t="str">
        <f>HYPERLINK("https://www.google.com/maps?q=-20.1669040,-44.9034920","Abrir no Google Maps")</f>
        <v>Abrir no Google Maps</v>
      </c>
      <c r="S1925">
        <v>3</v>
      </c>
      <c r="T1925">
        <v>517.12253532511602</v>
      </c>
      <c r="U1925">
        <v>3</v>
      </c>
      <c r="V1925">
        <v>22</v>
      </c>
      <c r="W1925">
        <v>1</v>
      </c>
      <c r="X1925">
        <v>22</v>
      </c>
      <c r="Y1925">
        <v>578</v>
      </c>
      <c r="Z1925">
        <v>721.79551240050432</v>
      </c>
      <c r="AA1925">
        <v>198</v>
      </c>
      <c r="AB1925">
        <v>332</v>
      </c>
      <c r="AC1925">
        <v>536</v>
      </c>
      <c r="AD1925">
        <v>30.74</v>
      </c>
      <c r="AE1925">
        <v>542</v>
      </c>
      <c r="AF1925">
        <v>30</v>
      </c>
      <c r="AG1925">
        <v>178</v>
      </c>
      <c r="AH1925">
        <v>129</v>
      </c>
      <c r="AI1925">
        <v>5.54</v>
      </c>
      <c r="AJ1925">
        <v>32.840000000000003</v>
      </c>
      <c r="AK1925">
        <v>23.8</v>
      </c>
      <c r="AL1925">
        <v>-20.166610649999971</v>
      </c>
      <c r="AM1925">
        <v>-44.903452988928308</v>
      </c>
      <c r="AN1925">
        <v>-20.166610649999971</v>
      </c>
      <c r="AO1925">
        <v>-44.903452988928308</v>
      </c>
      <c r="AP1925">
        <v>-20.166903999999999</v>
      </c>
      <c r="AQ1925">
        <v>-44.903492</v>
      </c>
      <c r="AR1925">
        <v>32.909175876856217</v>
      </c>
      <c r="AS1925" t="s">
        <v>65</v>
      </c>
      <c r="AT1925">
        <v>1</v>
      </c>
      <c r="AU1925" t="s">
        <v>482</v>
      </c>
      <c r="AV1925" t="s">
        <v>483</v>
      </c>
      <c r="AW1925" t="s">
        <v>60</v>
      </c>
      <c r="AX1925" t="s">
        <v>68</v>
      </c>
      <c r="AY1925" t="s">
        <v>69</v>
      </c>
      <c r="AZ1925" t="b">
        <v>1</v>
      </c>
    </row>
    <row r="1926" spans="1:52" x14ac:dyDescent="0.3">
      <c r="A1926" t="s">
        <v>52</v>
      </c>
      <c r="B1926" t="s">
        <v>53</v>
      </c>
      <c r="C1926" t="s">
        <v>54</v>
      </c>
      <c r="D1926" t="s">
        <v>55</v>
      </c>
      <c r="E1926" t="s">
        <v>2148</v>
      </c>
      <c r="F1926" t="s">
        <v>1247</v>
      </c>
      <c r="G1926" t="s">
        <v>497</v>
      </c>
      <c r="H1926" t="s">
        <v>498</v>
      </c>
      <c r="I1926" t="s">
        <v>498</v>
      </c>
      <c r="J1926" t="s">
        <v>60</v>
      </c>
      <c r="K1926" t="s">
        <v>475</v>
      </c>
      <c r="L1926" t="s">
        <v>62</v>
      </c>
      <c r="M1926" t="s">
        <v>475</v>
      </c>
      <c r="N1926" t="s">
        <v>499</v>
      </c>
      <c r="O1926" t="s">
        <v>500</v>
      </c>
      <c r="P1926">
        <v>-20.175492999999999</v>
      </c>
      <c r="Q1926">
        <v>-44.900759000000001</v>
      </c>
      <c r="R1926" s="2" t="str">
        <f>HYPERLINK("https://www.google.com/maps?q=-20.1754930,-44.9007590","Abrir no Google Maps")</f>
        <v>Abrir no Google Maps</v>
      </c>
      <c r="S1926">
        <v>3</v>
      </c>
      <c r="T1926">
        <v>753.30732354720431</v>
      </c>
      <c r="U1926">
        <v>3</v>
      </c>
      <c r="V1926">
        <v>19</v>
      </c>
      <c r="W1926">
        <v>1</v>
      </c>
      <c r="X1926">
        <v>19</v>
      </c>
      <c r="Y1926">
        <v>578</v>
      </c>
      <c r="Z1926">
        <v>695.28903655431702</v>
      </c>
      <c r="AA1926">
        <v>198</v>
      </c>
      <c r="AB1926">
        <v>332</v>
      </c>
      <c r="AC1926">
        <v>536</v>
      </c>
      <c r="AD1926">
        <v>30.74</v>
      </c>
      <c r="AE1926">
        <v>542</v>
      </c>
      <c r="AF1926">
        <v>30</v>
      </c>
      <c r="AG1926">
        <v>178</v>
      </c>
      <c r="AH1926">
        <v>129</v>
      </c>
      <c r="AI1926">
        <v>5.54</v>
      </c>
      <c r="AJ1926">
        <v>32.840000000000003</v>
      </c>
      <c r="AK1926">
        <v>23.8</v>
      </c>
      <c r="AL1926">
        <v>-20.175825999999969</v>
      </c>
      <c r="AM1926">
        <v>-44.900600234646973</v>
      </c>
      <c r="AN1926">
        <v>-20.175825999999969</v>
      </c>
      <c r="AO1926">
        <v>-44.900600234646973</v>
      </c>
      <c r="AP1926">
        <v>-20.175492999999999</v>
      </c>
      <c r="AQ1926">
        <v>-44.900759000000001</v>
      </c>
      <c r="AR1926">
        <v>40.612267304645073</v>
      </c>
      <c r="AS1926" t="s">
        <v>65</v>
      </c>
      <c r="AT1926">
        <v>1</v>
      </c>
      <c r="AU1926" t="s">
        <v>501</v>
      </c>
      <c r="AV1926" t="s">
        <v>502</v>
      </c>
      <c r="AW1926" t="s">
        <v>60</v>
      </c>
      <c r="AX1926" t="s">
        <v>68</v>
      </c>
      <c r="AY1926" t="s">
        <v>69</v>
      </c>
      <c r="AZ1926" t="b">
        <v>1</v>
      </c>
    </row>
    <row r="1927" spans="1:52" x14ac:dyDescent="0.3">
      <c r="A1927" t="s">
        <v>52</v>
      </c>
      <c r="B1927" t="s">
        <v>53</v>
      </c>
      <c r="C1927" t="s">
        <v>54</v>
      </c>
      <c r="D1927" t="s">
        <v>55</v>
      </c>
      <c r="E1927" t="s">
        <v>2148</v>
      </c>
      <c r="F1927" t="s">
        <v>1247</v>
      </c>
      <c r="G1927" t="s">
        <v>503</v>
      </c>
      <c r="H1927" t="s">
        <v>504</v>
      </c>
      <c r="I1927" t="s">
        <v>504</v>
      </c>
      <c r="J1927" t="s">
        <v>60</v>
      </c>
      <c r="K1927" t="s">
        <v>505</v>
      </c>
      <c r="L1927" t="s">
        <v>62</v>
      </c>
      <c r="M1927" t="s">
        <v>505</v>
      </c>
      <c r="N1927" t="s">
        <v>506</v>
      </c>
      <c r="O1927" t="s">
        <v>507</v>
      </c>
      <c r="P1927">
        <v>-20.131428</v>
      </c>
      <c r="Q1927">
        <v>-44.888921000000003</v>
      </c>
      <c r="R1927" s="2" t="str">
        <f>HYPERLINK("https://www.google.com/maps?q=-20.1314280,-44.8889210","Abrir no Google Maps")</f>
        <v>Abrir no Google Maps</v>
      </c>
      <c r="S1927">
        <v>3</v>
      </c>
      <c r="T1927">
        <v>250.64150698244501</v>
      </c>
      <c r="U1927">
        <v>3</v>
      </c>
      <c r="V1927">
        <v>22</v>
      </c>
      <c r="W1927">
        <v>1</v>
      </c>
      <c r="X1927">
        <v>22</v>
      </c>
      <c r="Y1927">
        <v>564</v>
      </c>
      <c r="Z1927">
        <v>189.93933888952441</v>
      </c>
      <c r="AA1927">
        <v>198</v>
      </c>
      <c r="AB1927">
        <v>332</v>
      </c>
      <c r="AC1927">
        <v>536</v>
      </c>
      <c r="AD1927">
        <v>30.74</v>
      </c>
      <c r="AE1927">
        <v>542</v>
      </c>
      <c r="AF1927">
        <v>30</v>
      </c>
      <c r="AG1927">
        <v>178</v>
      </c>
      <c r="AH1927">
        <v>129</v>
      </c>
      <c r="AI1927">
        <v>5.54</v>
      </c>
      <c r="AJ1927">
        <v>32.840000000000003</v>
      </c>
      <c r="AK1927">
        <v>23.8</v>
      </c>
      <c r="AL1927">
        <v>-20.13123589999995</v>
      </c>
      <c r="AM1927">
        <v>-44.888742396501762</v>
      </c>
      <c r="AN1927">
        <v>-20.13123589999995</v>
      </c>
      <c r="AO1927">
        <v>-44.888742396501762</v>
      </c>
      <c r="AP1927">
        <v>-20.131428</v>
      </c>
      <c r="AQ1927">
        <v>-44.888921000000003</v>
      </c>
      <c r="AR1927">
        <v>28.386169462917032</v>
      </c>
      <c r="AS1927" t="s">
        <v>65</v>
      </c>
      <c r="AT1927">
        <v>1</v>
      </c>
      <c r="AU1927" t="s">
        <v>508</v>
      </c>
      <c r="AV1927" t="s">
        <v>509</v>
      </c>
      <c r="AW1927" t="s">
        <v>60</v>
      </c>
      <c r="AX1927" t="s">
        <v>68</v>
      </c>
      <c r="AY1927" t="s">
        <v>69</v>
      </c>
      <c r="AZ1927" t="b">
        <v>1</v>
      </c>
    </row>
    <row r="1928" spans="1:52" x14ac:dyDescent="0.3">
      <c r="A1928" t="s">
        <v>52</v>
      </c>
      <c r="B1928" t="s">
        <v>53</v>
      </c>
      <c r="C1928" t="s">
        <v>54</v>
      </c>
      <c r="D1928" t="s">
        <v>55</v>
      </c>
      <c r="E1928" t="s">
        <v>2148</v>
      </c>
      <c r="F1928" t="s">
        <v>1247</v>
      </c>
      <c r="G1928" t="s">
        <v>535</v>
      </c>
      <c r="H1928" t="s">
        <v>536</v>
      </c>
      <c r="I1928" t="s">
        <v>536</v>
      </c>
      <c r="J1928" t="s">
        <v>60</v>
      </c>
      <c r="K1928" t="s">
        <v>388</v>
      </c>
      <c r="L1928" t="s">
        <v>62</v>
      </c>
      <c r="M1928" t="s">
        <v>388</v>
      </c>
      <c r="N1928" t="s">
        <v>537</v>
      </c>
      <c r="O1928" t="s">
        <v>538</v>
      </c>
      <c r="P1928">
        <v>-20.150061999999998</v>
      </c>
      <c r="Q1928">
        <v>-44.903379000000001</v>
      </c>
      <c r="R1928" s="2" t="str">
        <f>HYPERLINK("https://www.google.com/maps?q=-20.1500620,-44.9033790","Abrir no Google Maps")</f>
        <v>Abrir no Google Maps</v>
      </c>
      <c r="S1928">
        <v>3</v>
      </c>
      <c r="T1928">
        <v>286.20313674219977</v>
      </c>
      <c r="U1928">
        <v>3</v>
      </c>
      <c r="V1928">
        <v>17</v>
      </c>
      <c r="W1928">
        <v>1</v>
      </c>
      <c r="X1928">
        <v>17</v>
      </c>
      <c r="Y1928">
        <v>556</v>
      </c>
      <c r="Z1928">
        <v>315.81851898667401</v>
      </c>
      <c r="AA1928">
        <v>198</v>
      </c>
      <c r="AB1928">
        <v>332</v>
      </c>
      <c r="AC1928">
        <v>536</v>
      </c>
      <c r="AD1928">
        <v>30.74</v>
      </c>
      <c r="AE1928">
        <v>542</v>
      </c>
      <c r="AF1928">
        <v>30</v>
      </c>
      <c r="AG1928">
        <v>178</v>
      </c>
      <c r="AH1928">
        <v>129</v>
      </c>
      <c r="AI1928">
        <v>5.54</v>
      </c>
      <c r="AJ1928">
        <v>32.840000000000003</v>
      </c>
      <c r="AK1928">
        <v>23.8</v>
      </c>
      <c r="AL1928">
        <v>-20.150084299999971</v>
      </c>
      <c r="AM1928">
        <v>-44.903278407568479</v>
      </c>
      <c r="AN1928">
        <v>-20.150084299999971</v>
      </c>
      <c r="AO1928">
        <v>-44.903278407568479</v>
      </c>
      <c r="AP1928">
        <v>-20.150061999999998</v>
      </c>
      <c r="AQ1928">
        <v>-44.903379000000001</v>
      </c>
      <c r="AR1928">
        <v>10.801687336134639</v>
      </c>
      <c r="AS1928" t="s">
        <v>65</v>
      </c>
      <c r="AT1928">
        <v>1</v>
      </c>
      <c r="AU1928" t="s">
        <v>539</v>
      </c>
      <c r="AV1928" t="s">
        <v>540</v>
      </c>
      <c r="AW1928" t="s">
        <v>60</v>
      </c>
      <c r="AX1928" t="s">
        <v>68</v>
      </c>
      <c r="AY1928" t="s">
        <v>69</v>
      </c>
      <c r="AZ1928" t="b">
        <v>1</v>
      </c>
    </row>
    <row r="1929" spans="1:52" x14ac:dyDescent="0.3">
      <c r="A1929" t="s">
        <v>52</v>
      </c>
      <c r="B1929" t="s">
        <v>53</v>
      </c>
      <c r="C1929" t="s">
        <v>54</v>
      </c>
      <c r="D1929" t="s">
        <v>55</v>
      </c>
      <c r="E1929" t="s">
        <v>2148</v>
      </c>
      <c r="F1929" t="s">
        <v>1247</v>
      </c>
      <c r="G1929" t="s">
        <v>398</v>
      </c>
      <c r="H1929" t="s">
        <v>541</v>
      </c>
      <c r="I1929" t="s">
        <v>541</v>
      </c>
      <c r="J1929" t="s">
        <v>60</v>
      </c>
      <c r="K1929" t="s">
        <v>388</v>
      </c>
      <c r="L1929" t="s">
        <v>62</v>
      </c>
      <c r="M1929" t="s">
        <v>388</v>
      </c>
      <c r="N1929" t="s">
        <v>400</v>
      </c>
      <c r="O1929" t="s">
        <v>542</v>
      </c>
      <c r="P1929">
        <v>-20.151335</v>
      </c>
      <c r="Q1929">
        <v>-44.901041999999997</v>
      </c>
      <c r="R1929" s="2" t="str">
        <f>HYPERLINK("https://www.google.com/maps?q=-20.1513350,-44.9010420","Abrir no Google Maps")</f>
        <v>Abrir no Google Maps</v>
      </c>
      <c r="S1929">
        <v>3</v>
      </c>
      <c r="T1929">
        <v>0</v>
      </c>
      <c r="U1929">
        <v>3</v>
      </c>
      <c r="V1929">
        <v>19</v>
      </c>
      <c r="W1929">
        <v>1</v>
      </c>
      <c r="X1929">
        <v>19</v>
      </c>
      <c r="Y1929">
        <v>556</v>
      </c>
      <c r="Z1929">
        <v>137.71609036908939</v>
      </c>
      <c r="AA1929">
        <v>198</v>
      </c>
      <c r="AB1929">
        <v>332</v>
      </c>
      <c r="AC1929">
        <v>536</v>
      </c>
      <c r="AD1929">
        <v>30.74</v>
      </c>
      <c r="AE1929">
        <v>542</v>
      </c>
      <c r="AF1929">
        <v>30</v>
      </c>
      <c r="AG1929">
        <v>178</v>
      </c>
      <c r="AH1929">
        <v>129</v>
      </c>
      <c r="AI1929">
        <v>5.54</v>
      </c>
      <c r="AJ1929">
        <v>32.840000000000003</v>
      </c>
      <c r="AK1929">
        <v>23.8</v>
      </c>
      <c r="AL1929">
        <v>-20.15125899999995</v>
      </c>
      <c r="AM1929">
        <v>-44.900838557594433</v>
      </c>
      <c r="AN1929">
        <v>-20.15125899999995</v>
      </c>
      <c r="AO1929">
        <v>-44.900838557594433</v>
      </c>
      <c r="AP1929">
        <v>-20.151335</v>
      </c>
      <c r="AQ1929">
        <v>-44.901041999999997</v>
      </c>
      <c r="AR1929">
        <v>22.882363139483491</v>
      </c>
      <c r="AS1929" t="s">
        <v>65</v>
      </c>
      <c r="AT1929">
        <v>1</v>
      </c>
      <c r="AU1929" t="s">
        <v>543</v>
      </c>
      <c r="AV1929" t="s">
        <v>544</v>
      </c>
      <c r="AW1929" t="s">
        <v>60</v>
      </c>
      <c r="AX1929" t="s">
        <v>68</v>
      </c>
      <c r="AY1929" t="s">
        <v>69</v>
      </c>
      <c r="AZ1929" t="b">
        <v>1</v>
      </c>
    </row>
    <row r="1930" spans="1:52" x14ac:dyDescent="0.3">
      <c r="A1930" t="s">
        <v>52</v>
      </c>
      <c r="B1930" t="s">
        <v>53</v>
      </c>
      <c r="C1930" t="s">
        <v>54</v>
      </c>
      <c r="D1930" t="s">
        <v>55</v>
      </c>
      <c r="E1930" t="s">
        <v>2148</v>
      </c>
      <c r="F1930" t="s">
        <v>1247</v>
      </c>
      <c r="G1930" t="s">
        <v>551</v>
      </c>
      <c r="H1930" t="s">
        <v>552</v>
      </c>
      <c r="I1930" t="s">
        <v>552</v>
      </c>
      <c r="J1930" t="s">
        <v>60</v>
      </c>
      <c r="K1930" t="s">
        <v>388</v>
      </c>
      <c r="L1930" t="s">
        <v>62</v>
      </c>
      <c r="M1930" t="s">
        <v>388</v>
      </c>
      <c r="N1930" t="s">
        <v>553</v>
      </c>
      <c r="O1930" t="s">
        <v>315</v>
      </c>
      <c r="P1930">
        <v>-20.153086999999999</v>
      </c>
      <c r="Q1930">
        <v>-44.905451999999997</v>
      </c>
      <c r="R1930" s="2" t="str">
        <f>HYPERLINK("https://www.google.com/maps?q=-20.1530870,-44.9054520","Abrir no Google Maps")</f>
        <v>Abrir no Google Maps</v>
      </c>
      <c r="S1930">
        <v>3</v>
      </c>
      <c r="T1930">
        <v>313.69387682409018</v>
      </c>
      <c r="U1930">
        <v>3</v>
      </c>
      <c r="V1930">
        <v>21</v>
      </c>
      <c r="W1930">
        <v>1</v>
      </c>
      <c r="X1930">
        <v>21</v>
      </c>
      <c r="Y1930">
        <v>548</v>
      </c>
      <c r="Z1930">
        <v>319.51605309906859</v>
      </c>
      <c r="AA1930">
        <v>198</v>
      </c>
      <c r="AB1930">
        <v>332</v>
      </c>
      <c r="AC1930">
        <v>536</v>
      </c>
      <c r="AD1930">
        <v>30.74</v>
      </c>
      <c r="AE1930">
        <v>542</v>
      </c>
      <c r="AF1930">
        <v>30</v>
      </c>
      <c r="AG1930">
        <v>178</v>
      </c>
      <c r="AH1930">
        <v>129</v>
      </c>
      <c r="AI1930">
        <v>5.54</v>
      </c>
      <c r="AJ1930">
        <v>32.840000000000003</v>
      </c>
      <c r="AK1930">
        <v>23.8</v>
      </c>
      <c r="AL1930">
        <v>-20.153043049999951</v>
      </c>
      <c r="AM1930">
        <v>-44.905348275899513</v>
      </c>
      <c r="AN1930">
        <v>-20.153043049999951</v>
      </c>
      <c r="AO1930">
        <v>-44.905348275899513</v>
      </c>
      <c r="AP1930">
        <v>-20.153086999999999</v>
      </c>
      <c r="AQ1930">
        <v>-44.905451999999997</v>
      </c>
      <c r="AR1930">
        <v>11.892619975648341</v>
      </c>
      <c r="AS1930" t="s">
        <v>65</v>
      </c>
      <c r="AT1930">
        <v>1</v>
      </c>
      <c r="AU1930" t="s">
        <v>554</v>
      </c>
      <c r="AV1930" t="s">
        <v>555</v>
      </c>
      <c r="AW1930" t="s">
        <v>60</v>
      </c>
      <c r="AX1930" t="s">
        <v>68</v>
      </c>
      <c r="AY1930" t="s">
        <v>69</v>
      </c>
      <c r="AZ1930" t="b">
        <v>1</v>
      </c>
    </row>
    <row r="1931" spans="1:52" x14ac:dyDescent="0.3">
      <c r="A1931" t="s">
        <v>52</v>
      </c>
      <c r="B1931" t="s">
        <v>53</v>
      </c>
      <c r="C1931" t="s">
        <v>54</v>
      </c>
      <c r="D1931" t="s">
        <v>55</v>
      </c>
      <c r="E1931" t="s">
        <v>2148</v>
      </c>
      <c r="F1931" t="s">
        <v>1247</v>
      </c>
      <c r="G1931" t="s">
        <v>839</v>
      </c>
      <c r="H1931" t="s">
        <v>840</v>
      </c>
      <c r="I1931" t="s">
        <v>840</v>
      </c>
      <c r="J1931" t="s">
        <v>60</v>
      </c>
      <c r="K1931" t="s">
        <v>388</v>
      </c>
      <c r="L1931" t="s">
        <v>62</v>
      </c>
      <c r="M1931" t="s">
        <v>388</v>
      </c>
      <c r="N1931" t="s">
        <v>841</v>
      </c>
      <c r="O1931" t="s">
        <v>842</v>
      </c>
      <c r="P1931">
        <v>-20.159977999999999</v>
      </c>
      <c r="Q1931">
        <v>-44.900207000000002</v>
      </c>
      <c r="R1931" s="2" t="str">
        <f>HYPERLINK("https://www.google.com/maps?q=-20.1599780,-44.9002070","Abrir no Google Maps")</f>
        <v>Abrir no Google Maps</v>
      </c>
      <c r="S1931">
        <v>3</v>
      </c>
      <c r="T1931">
        <v>213.24333517300789</v>
      </c>
      <c r="U1931">
        <v>2</v>
      </c>
      <c r="V1931">
        <v>14</v>
      </c>
      <c r="W1931">
        <v>1</v>
      </c>
      <c r="X1931">
        <v>14</v>
      </c>
      <c r="Y1931">
        <v>729</v>
      </c>
      <c r="Z1931">
        <v>315.47173727880028</v>
      </c>
      <c r="AA1931">
        <v>198</v>
      </c>
      <c r="AB1931">
        <v>332</v>
      </c>
      <c r="AC1931">
        <v>536</v>
      </c>
      <c r="AD1931">
        <v>30.74</v>
      </c>
      <c r="AE1931">
        <v>542</v>
      </c>
      <c r="AF1931">
        <v>30</v>
      </c>
      <c r="AG1931">
        <v>178</v>
      </c>
      <c r="AH1931">
        <v>129</v>
      </c>
      <c r="AI1931">
        <v>5.54</v>
      </c>
      <c r="AJ1931">
        <v>32.840000000000003</v>
      </c>
      <c r="AK1931">
        <v>23.8</v>
      </c>
      <c r="AL1931">
        <v>-20.159825649999959</v>
      </c>
      <c r="AM1931">
        <v>-44.900143828909613</v>
      </c>
      <c r="AN1931">
        <v>-20.159825649999959</v>
      </c>
      <c r="AO1931">
        <v>-44.900143828909613</v>
      </c>
      <c r="AP1931">
        <v>-20.159977999999999</v>
      </c>
      <c r="AQ1931">
        <v>-44.900207000000002</v>
      </c>
      <c r="AR1931">
        <v>18.199073573580371</v>
      </c>
      <c r="AS1931" t="s">
        <v>65</v>
      </c>
      <c r="AT1931">
        <v>1</v>
      </c>
      <c r="AU1931" t="s">
        <v>843</v>
      </c>
      <c r="AV1931" t="s">
        <v>844</v>
      </c>
      <c r="AW1931" t="s">
        <v>60</v>
      </c>
      <c r="AX1931" t="s">
        <v>68</v>
      </c>
      <c r="AY1931" t="s">
        <v>69</v>
      </c>
      <c r="AZ1931" t="b">
        <v>1</v>
      </c>
    </row>
    <row r="1932" spans="1:52" x14ac:dyDescent="0.3">
      <c r="A1932" t="s">
        <v>52</v>
      </c>
      <c r="B1932" t="s">
        <v>53</v>
      </c>
      <c r="C1932" t="s">
        <v>54</v>
      </c>
      <c r="D1932" t="s">
        <v>55</v>
      </c>
      <c r="E1932" t="s">
        <v>2148</v>
      </c>
      <c r="F1932" t="s">
        <v>1247</v>
      </c>
      <c r="G1932" t="s">
        <v>839</v>
      </c>
      <c r="H1932" t="s">
        <v>1274</v>
      </c>
      <c r="I1932" t="s">
        <v>1274</v>
      </c>
      <c r="J1932" t="s">
        <v>60</v>
      </c>
      <c r="K1932" t="s">
        <v>388</v>
      </c>
      <c r="L1932" t="s">
        <v>62</v>
      </c>
      <c r="M1932" t="s">
        <v>388</v>
      </c>
      <c r="N1932" t="s">
        <v>841</v>
      </c>
      <c r="O1932" t="s">
        <v>1275</v>
      </c>
      <c r="P1932">
        <v>-20.157979999999998</v>
      </c>
      <c r="Q1932">
        <v>-44.906365999999998</v>
      </c>
      <c r="R1932" s="2" t="str">
        <f>HYPERLINK("https://www.google.com/maps?q=-20.1579800,-44.9063660","Abrir no Google Maps")</f>
        <v>Abrir no Google Maps</v>
      </c>
      <c r="S1932">
        <v>3</v>
      </c>
      <c r="T1932">
        <v>519.48953004348823</v>
      </c>
      <c r="U1932">
        <v>2</v>
      </c>
      <c r="V1932">
        <v>14</v>
      </c>
      <c r="W1932">
        <v>0.85</v>
      </c>
      <c r="X1932">
        <v>11.9</v>
      </c>
      <c r="Y1932">
        <v>729</v>
      </c>
      <c r="Z1932">
        <v>393.22938248316768</v>
      </c>
      <c r="AA1932">
        <v>198</v>
      </c>
      <c r="AB1932">
        <v>332</v>
      </c>
      <c r="AC1932">
        <v>536</v>
      </c>
      <c r="AD1932">
        <v>30.74</v>
      </c>
      <c r="AE1932">
        <v>542</v>
      </c>
      <c r="AF1932">
        <v>30</v>
      </c>
      <c r="AG1932">
        <v>178</v>
      </c>
      <c r="AH1932">
        <v>129</v>
      </c>
      <c r="AI1932">
        <v>5.54</v>
      </c>
      <c r="AJ1932">
        <v>32.840000000000003</v>
      </c>
      <c r="AK1932">
        <v>23.8</v>
      </c>
      <c r="AL1932">
        <v>-20.157977799999941</v>
      </c>
      <c r="AM1932">
        <v>-44.906429896327573</v>
      </c>
      <c r="AN1932">
        <v>-20.157977799999941</v>
      </c>
      <c r="AO1932">
        <v>-44.906429896327573</v>
      </c>
      <c r="AP1932">
        <v>-20.157979999999998</v>
      </c>
      <c r="AQ1932">
        <v>-44.906365999999998</v>
      </c>
      <c r="AR1932">
        <v>6.6817330699236734</v>
      </c>
      <c r="AS1932" t="s">
        <v>65</v>
      </c>
      <c r="AT1932">
        <v>1</v>
      </c>
      <c r="AU1932" t="s">
        <v>1276</v>
      </c>
      <c r="AV1932" t="s">
        <v>1277</v>
      </c>
      <c r="AW1932" t="s">
        <v>60</v>
      </c>
      <c r="AX1932" t="s">
        <v>68</v>
      </c>
      <c r="AY1932" t="s">
        <v>69</v>
      </c>
      <c r="AZ1932" t="b">
        <v>1</v>
      </c>
    </row>
    <row r="1933" spans="1:52" x14ac:dyDescent="0.3">
      <c r="A1933" t="s">
        <v>52</v>
      </c>
      <c r="B1933" t="s">
        <v>53</v>
      </c>
      <c r="C1933" t="s">
        <v>54</v>
      </c>
      <c r="D1933" t="s">
        <v>55</v>
      </c>
      <c r="E1933" t="s">
        <v>2148</v>
      </c>
      <c r="F1933" t="s">
        <v>1247</v>
      </c>
      <c r="G1933" t="s">
        <v>1417</v>
      </c>
      <c r="H1933" t="s">
        <v>1418</v>
      </c>
      <c r="I1933" t="s">
        <v>1418</v>
      </c>
      <c r="J1933" t="s">
        <v>60</v>
      </c>
      <c r="K1933" t="s">
        <v>1419</v>
      </c>
      <c r="L1933" t="s">
        <v>62</v>
      </c>
      <c r="M1933" t="s">
        <v>1419</v>
      </c>
      <c r="N1933" t="s">
        <v>1420</v>
      </c>
      <c r="O1933" t="s">
        <v>1421</v>
      </c>
      <c r="P1933">
        <v>-20.159427000000001</v>
      </c>
      <c r="Q1933">
        <v>-44.897143</v>
      </c>
      <c r="R1933" s="2" t="str">
        <f>HYPERLINK("https://www.google.com/maps?q=-20.1594270,-44.8971430","Abrir no Google Maps")</f>
        <v>Abrir no Google Maps</v>
      </c>
      <c r="S1933">
        <v>3</v>
      </c>
      <c r="T1933">
        <v>392.64349875646298</v>
      </c>
      <c r="U1933">
        <v>2</v>
      </c>
      <c r="V1933">
        <v>10</v>
      </c>
      <c r="W1933">
        <v>0.85</v>
      </c>
      <c r="X1933">
        <v>8.5</v>
      </c>
      <c r="Y1933">
        <v>729</v>
      </c>
      <c r="Z1933">
        <v>550.20062797366995</v>
      </c>
      <c r="AA1933">
        <v>198</v>
      </c>
      <c r="AB1933">
        <v>332</v>
      </c>
      <c r="AC1933">
        <v>536</v>
      </c>
      <c r="AD1933">
        <v>30.74</v>
      </c>
      <c r="AE1933">
        <v>542</v>
      </c>
      <c r="AF1933">
        <v>30</v>
      </c>
      <c r="AG1933">
        <v>178</v>
      </c>
      <c r="AH1933">
        <v>129</v>
      </c>
      <c r="AI1933">
        <v>5.54</v>
      </c>
      <c r="AJ1933">
        <v>32.840000000000003</v>
      </c>
      <c r="AK1933">
        <v>23.8</v>
      </c>
      <c r="AL1933">
        <v>-20.15946549999995</v>
      </c>
      <c r="AM1933">
        <v>-44.89709959354267</v>
      </c>
      <c r="AN1933">
        <v>-20.15946549999995</v>
      </c>
      <c r="AO1933">
        <v>-44.89709959354267</v>
      </c>
      <c r="AP1933">
        <v>-20.159427000000001</v>
      </c>
      <c r="AQ1933">
        <v>-44.897143</v>
      </c>
      <c r="AR1933">
        <v>6.2404649979039286</v>
      </c>
      <c r="AS1933" t="s">
        <v>65</v>
      </c>
      <c r="AT1933">
        <v>1</v>
      </c>
      <c r="AU1933" t="s">
        <v>1422</v>
      </c>
      <c r="AV1933" t="s">
        <v>1423</v>
      </c>
      <c r="AW1933" t="s">
        <v>60</v>
      </c>
      <c r="AX1933" t="s">
        <v>68</v>
      </c>
      <c r="AY1933" t="s">
        <v>69</v>
      </c>
      <c r="AZ1933" t="b">
        <v>1</v>
      </c>
    </row>
    <row r="1934" spans="1:52" x14ac:dyDescent="0.3">
      <c r="A1934" t="s">
        <v>52</v>
      </c>
      <c r="B1934" t="s">
        <v>53</v>
      </c>
      <c r="C1934" t="s">
        <v>54</v>
      </c>
      <c r="D1934" t="s">
        <v>55</v>
      </c>
      <c r="E1934" t="s">
        <v>2148</v>
      </c>
      <c r="F1934" t="s">
        <v>1247</v>
      </c>
      <c r="G1934" t="s">
        <v>1294</v>
      </c>
      <c r="H1934" t="s">
        <v>1295</v>
      </c>
      <c r="I1934" t="s">
        <v>1295</v>
      </c>
      <c r="J1934" t="s">
        <v>60</v>
      </c>
      <c r="K1934" t="s">
        <v>418</v>
      </c>
      <c r="L1934" t="s">
        <v>62</v>
      </c>
      <c r="M1934" t="s">
        <v>418</v>
      </c>
      <c r="N1934" t="s">
        <v>1296</v>
      </c>
      <c r="O1934" t="s">
        <v>1297</v>
      </c>
      <c r="P1934">
        <v>-20.169899999999998</v>
      </c>
      <c r="Q1934">
        <v>-44.916176999999998</v>
      </c>
      <c r="R1934" s="2" t="str">
        <f>HYPERLINK("https://www.google.com/maps?q=-20.1699000,-44.9161770","Abrir no Google Maps")</f>
        <v>Abrir no Google Maps</v>
      </c>
      <c r="S1934">
        <v>3</v>
      </c>
      <c r="T1934">
        <v>658.15251036568407</v>
      </c>
      <c r="U1934">
        <v>2</v>
      </c>
      <c r="V1934">
        <v>16</v>
      </c>
      <c r="W1934">
        <v>0.85</v>
      </c>
      <c r="X1934">
        <v>13.6</v>
      </c>
      <c r="Y1934">
        <v>723</v>
      </c>
      <c r="Z1934">
        <v>400.39092274559039</v>
      </c>
      <c r="AA1934">
        <v>198</v>
      </c>
      <c r="AB1934">
        <v>332</v>
      </c>
      <c r="AC1934">
        <v>536</v>
      </c>
      <c r="AD1934">
        <v>30.74</v>
      </c>
      <c r="AE1934">
        <v>542</v>
      </c>
      <c r="AF1934">
        <v>30</v>
      </c>
      <c r="AG1934">
        <v>178</v>
      </c>
      <c r="AH1934">
        <v>129</v>
      </c>
      <c r="AI1934">
        <v>5.54</v>
      </c>
      <c r="AJ1934">
        <v>32.840000000000003</v>
      </c>
      <c r="AK1934">
        <v>23.8</v>
      </c>
      <c r="AL1934">
        <v>-20.169898399999941</v>
      </c>
      <c r="AM1934">
        <v>-44.916247682868359</v>
      </c>
      <c r="AN1934">
        <v>-20.169898399999941</v>
      </c>
      <c r="AO1934">
        <v>-44.916247682868359</v>
      </c>
      <c r="AP1934">
        <v>-20.169899999999998</v>
      </c>
      <c r="AQ1934">
        <v>-44.916176999999998</v>
      </c>
      <c r="AR1934">
        <v>7.388028048308902</v>
      </c>
      <c r="AS1934" t="s">
        <v>65</v>
      </c>
      <c r="AT1934">
        <v>1</v>
      </c>
      <c r="AU1934" t="s">
        <v>1298</v>
      </c>
      <c r="AV1934" t="s">
        <v>1299</v>
      </c>
      <c r="AW1934" t="s">
        <v>60</v>
      </c>
      <c r="AX1934" t="s">
        <v>68</v>
      </c>
      <c r="AY1934" t="s">
        <v>69</v>
      </c>
      <c r="AZ1934" t="b">
        <v>1</v>
      </c>
    </row>
    <row r="1935" spans="1:52" x14ac:dyDescent="0.3">
      <c r="A1935" t="s">
        <v>52</v>
      </c>
      <c r="B1935" t="s">
        <v>53</v>
      </c>
      <c r="C1935" t="s">
        <v>54</v>
      </c>
      <c r="D1935" t="s">
        <v>55</v>
      </c>
      <c r="E1935" t="s">
        <v>2148</v>
      </c>
      <c r="F1935" t="s">
        <v>1247</v>
      </c>
      <c r="G1935" t="s">
        <v>1307</v>
      </c>
      <c r="H1935" t="s">
        <v>1308</v>
      </c>
      <c r="I1935" t="s">
        <v>1308</v>
      </c>
      <c r="J1935" t="s">
        <v>60</v>
      </c>
      <c r="K1935" t="s">
        <v>1302</v>
      </c>
      <c r="L1935" t="s">
        <v>62</v>
      </c>
      <c r="M1935" t="s">
        <v>1302</v>
      </c>
      <c r="N1935" t="s">
        <v>558</v>
      </c>
      <c r="O1935" t="s">
        <v>1309</v>
      </c>
      <c r="P1935">
        <v>-20.169051</v>
      </c>
      <c r="Q1935">
        <v>-44.910093000000003</v>
      </c>
      <c r="R1935" s="2" t="str">
        <f>HYPERLINK("https://www.google.com/maps?q=-20.1690510,-44.9100930","Abrir no Google Maps")</f>
        <v>Abrir no Google Maps</v>
      </c>
      <c r="S1935">
        <v>3</v>
      </c>
      <c r="T1935">
        <v>375.90504489887479</v>
      </c>
      <c r="U1935">
        <v>2</v>
      </c>
      <c r="V1935">
        <v>11</v>
      </c>
      <c r="W1935">
        <v>0.85</v>
      </c>
      <c r="X1935">
        <v>9.35</v>
      </c>
      <c r="Y1935">
        <v>723</v>
      </c>
      <c r="Z1935">
        <v>456.19893675176831</v>
      </c>
      <c r="AA1935">
        <v>198</v>
      </c>
      <c r="AB1935">
        <v>332</v>
      </c>
      <c r="AC1935">
        <v>536</v>
      </c>
      <c r="AD1935">
        <v>30.74</v>
      </c>
      <c r="AE1935">
        <v>542</v>
      </c>
      <c r="AF1935">
        <v>30</v>
      </c>
      <c r="AG1935">
        <v>178</v>
      </c>
      <c r="AH1935">
        <v>129</v>
      </c>
      <c r="AI1935">
        <v>5.54</v>
      </c>
      <c r="AJ1935">
        <v>32.840000000000003</v>
      </c>
      <c r="AK1935">
        <v>23.8</v>
      </c>
      <c r="AL1935">
        <v>-20.168810949999941</v>
      </c>
      <c r="AM1935">
        <v>-44.910156475447927</v>
      </c>
      <c r="AN1935">
        <v>-20.168810949999941</v>
      </c>
      <c r="AO1935">
        <v>-44.910156475447927</v>
      </c>
      <c r="AP1935">
        <v>-20.169051</v>
      </c>
      <c r="AQ1935">
        <v>-44.910093000000003</v>
      </c>
      <c r="AR1935">
        <v>27.533232396417059</v>
      </c>
      <c r="AS1935" t="s">
        <v>65</v>
      </c>
      <c r="AT1935">
        <v>1</v>
      </c>
      <c r="AU1935" t="s">
        <v>1310</v>
      </c>
      <c r="AV1935" t="s">
        <v>1311</v>
      </c>
      <c r="AW1935" t="s">
        <v>60</v>
      </c>
      <c r="AX1935" t="s">
        <v>68</v>
      </c>
      <c r="AY1935" t="s">
        <v>69</v>
      </c>
      <c r="AZ1935" t="b">
        <v>1</v>
      </c>
    </row>
    <row r="1936" spans="1:52" x14ac:dyDescent="0.3">
      <c r="A1936" t="s">
        <v>52</v>
      </c>
      <c r="B1936" t="s">
        <v>53</v>
      </c>
      <c r="C1936" t="s">
        <v>54</v>
      </c>
      <c r="D1936" t="s">
        <v>55</v>
      </c>
      <c r="E1936" t="s">
        <v>2148</v>
      </c>
      <c r="F1936" t="s">
        <v>1247</v>
      </c>
      <c r="G1936" t="s">
        <v>1312</v>
      </c>
      <c r="H1936" t="s">
        <v>1313</v>
      </c>
      <c r="I1936" t="s">
        <v>1313</v>
      </c>
      <c r="J1936" t="s">
        <v>60</v>
      </c>
      <c r="K1936" t="s">
        <v>1314</v>
      </c>
      <c r="L1936" t="s">
        <v>62</v>
      </c>
      <c r="M1936" t="s">
        <v>1314</v>
      </c>
      <c r="N1936" t="s">
        <v>1315</v>
      </c>
      <c r="O1936" t="s">
        <v>315</v>
      </c>
      <c r="P1936">
        <v>-20.179649999999999</v>
      </c>
      <c r="Q1936">
        <v>-44.927177</v>
      </c>
      <c r="R1936" s="2" t="str">
        <f>HYPERLINK("https://www.google.com/maps?q=-20.1796500,-44.9271770","Abrir no Google Maps")</f>
        <v>Abrir no Google Maps</v>
      </c>
      <c r="S1936">
        <v>3</v>
      </c>
      <c r="T1936">
        <v>1742.181438658615</v>
      </c>
      <c r="U1936">
        <v>2</v>
      </c>
      <c r="V1936">
        <v>11</v>
      </c>
      <c r="W1936">
        <v>0.85</v>
      </c>
      <c r="X1936">
        <v>9.35</v>
      </c>
      <c r="Y1936">
        <v>723</v>
      </c>
      <c r="Z1936">
        <v>1801.262037027635</v>
      </c>
      <c r="AA1936">
        <v>198</v>
      </c>
      <c r="AB1936">
        <v>332</v>
      </c>
      <c r="AC1936">
        <v>536</v>
      </c>
      <c r="AD1936">
        <v>30.74</v>
      </c>
      <c r="AE1936">
        <v>542</v>
      </c>
      <c r="AF1936">
        <v>30</v>
      </c>
      <c r="AG1936">
        <v>178</v>
      </c>
      <c r="AH1936">
        <v>129</v>
      </c>
      <c r="AI1936">
        <v>5.54</v>
      </c>
      <c r="AJ1936">
        <v>32.840000000000003</v>
      </c>
      <c r="AK1936">
        <v>23.8</v>
      </c>
      <c r="AL1936">
        <v>-20.18058599999998</v>
      </c>
      <c r="AM1936">
        <v>-44.926708474999977</v>
      </c>
      <c r="AN1936">
        <v>-20.18058599999998</v>
      </c>
      <c r="AO1936">
        <v>-44.926708474999977</v>
      </c>
      <c r="AP1936">
        <v>-20.179649999999999</v>
      </c>
      <c r="AQ1936">
        <v>-44.927177</v>
      </c>
      <c r="AR1936">
        <v>115.1226868075416</v>
      </c>
      <c r="AS1936" t="s">
        <v>65</v>
      </c>
      <c r="AT1936">
        <v>1</v>
      </c>
      <c r="AU1936" t="s">
        <v>1316</v>
      </c>
      <c r="AV1936" t="s">
        <v>1317</v>
      </c>
      <c r="AW1936" t="s">
        <v>60</v>
      </c>
      <c r="AX1936" t="s">
        <v>68</v>
      </c>
      <c r="AY1936" t="s">
        <v>69</v>
      </c>
      <c r="AZ1936" t="b">
        <v>1</v>
      </c>
    </row>
    <row r="1937" spans="1:52" x14ac:dyDescent="0.3">
      <c r="A1937" t="s">
        <v>52</v>
      </c>
      <c r="B1937" t="s">
        <v>53</v>
      </c>
      <c r="C1937" t="s">
        <v>54</v>
      </c>
      <c r="D1937" t="s">
        <v>55</v>
      </c>
      <c r="E1937" t="s">
        <v>2148</v>
      </c>
      <c r="F1937" t="s">
        <v>1247</v>
      </c>
      <c r="G1937" t="s">
        <v>422</v>
      </c>
      <c r="H1937" t="s">
        <v>1323</v>
      </c>
      <c r="I1937" t="s">
        <v>1323</v>
      </c>
      <c r="J1937" t="s">
        <v>60</v>
      </c>
      <c r="K1937" t="s">
        <v>1324</v>
      </c>
      <c r="L1937" t="s">
        <v>62</v>
      </c>
      <c r="M1937" t="s">
        <v>1324</v>
      </c>
      <c r="N1937" t="s">
        <v>425</v>
      </c>
      <c r="O1937" t="s">
        <v>1325</v>
      </c>
      <c r="P1937">
        <v>-20.175142000000001</v>
      </c>
      <c r="Q1937">
        <v>-44.913783000000002</v>
      </c>
      <c r="R1937" s="2" t="str">
        <f>HYPERLINK("https://www.google.com/maps?q=-20.1751420,-44.9137830","Abrir no Google Maps")</f>
        <v>Abrir no Google Maps</v>
      </c>
      <c r="S1937">
        <v>3</v>
      </c>
      <c r="T1937">
        <v>495.73888273066677</v>
      </c>
      <c r="U1937">
        <v>2</v>
      </c>
      <c r="V1937">
        <v>11</v>
      </c>
      <c r="W1937">
        <v>0.85</v>
      </c>
      <c r="X1937">
        <v>9.35</v>
      </c>
      <c r="Y1937">
        <v>723</v>
      </c>
      <c r="Z1937">
        <v>488.51574748236328</v>
      </c>
      <c r="AA1937">
        <v>198</v>
      </c>
      <c r="AB1937">
        <v>332</v>
      </c>
      <c r="AC1937">
        <v>536</v>
      </c>
      <c r="AD1937">
        <v>30.74</v>
      </c>
      <c r="AE1937">
        <v>542</v>
      </c>
      <c r="AF1937">
        <v>30</v>
      </c>
      <c r="AG1937">
        <v>178</v>
      </c>
      <c r="AH1937">
        <v>129</v>
      </c>
      <c r="AI1937">
        <v>5.54</v>
      </c>
      <c r="AJ1937">
        <v>32.840000000000003</v>
      </c>
      <c r="AK1937">
        <v>23.8</v>
      </c>
      <c r="AL1937">
        <v>-20.175195199999958</v>
      </c>
      <c r="AM1937">
        <v>-44.913964122548052</v>
      </c>
      <c r="AN1937">
        <v>-20.175195199999958</v>
      </c>
      <c r="AO1937">
        <v>-44.913964122548052</v>
      </c>
      <c r="AP1937">
        <v>-20.175142000000001</v>
      </c>
      <c r="AQ1937">
        <v>-44.913783000000002</v>
      </c>
      <c r="AR1937">
        <v>19.830402633152101</v>
      </c>
      <c r="AS1937" t="s">
        <v>65</v>
      </c>
      <c r="AT1937">
        <v>1</v>
      </c>
      <c r="AU1937" t="s">
        <v>1326</v>
      </c>
      <c r="AV1937" t="s">
        <v>1327</v>
      </c>
      <c r="AW1937" t="s">
        <v>60</v>
      </c>
      <c r="AX1937" t="s">
        <v>68</v>
      </c>
      <c r="AY1937" t="s">
        <v>69</v>
      </c>
      <c r="AZ1937" t="b">
        <v>1</v>
      </c>
    </row>
    <row r="1938" spans="1:52" x14ac:dyDescent="0.3">
      <c r="A1938" t="s">
        <v>52</v>
      </c>
      <c r="B1938" t="s">
        <v>53</v>
      </c>
      <c r="C1938" t="s">
        <v>54</v>
      </c>
      <c r="D1938" t="s">
        <v>55</v>
      </c>
      <c r="E1938" t="s">
        <v>2148</v>
      </c>
      <c r="F1938" t="s">
        <v>1247</v>
      </c>
      <c r="G1938" t="s">
        <v>1328</v>
      </c>
      <c r="H1938" t="s">
        <v>1329</v>
      </c>
      <c r="I1938" t="s">
        <v>1329</v>
      </c>
      <c r="J1938" t="s">
        <v>60</v>
      </c>
      <c r="K1938" t="s">
        <v>1324</v>
      </c>
      <c r="L1938" t="s">
        <v>62</v>
      </c>
      <c r="M1938" t="s">
        <v>1324</v>
      </c>
      <c r="N1938" t="s">
        <v>1330</v>
      </c>
      <c r="O1938" t="s">
        <v>1331</v>
      </c>
      <c r="P1938">
        <v>-20.172984</v>
      </c>
      <c r="Q1938">
        <v>-44.915225999999997</v>
      </c>
      <c r="R1938" s="2" t="str">
        <f>HYPERLINK("https://www.google.com/maps?q=-20.1729840,-44.9152260","Abrir no Google Maps")</f>
        <v>Abrir no Google Maps</v>
      </c>
      <c r="S1938">
        <v>3</v>
      </c>
      <c r="T1938">
        <v>498.21203543103741</v>
      </c>
      <c r="U1938">
        <v>2</v>
      </c>
      <c r="V1938">
        <v>11</v>
      </c>
      <c r="W1938">
        <v>0.85</v>
      </c>
      <c r="X1938">
        <v>9.35</v>
      </c>
      <c r="Y1938">
        <v>723</v>
      </c>
      <c r="Z1938">
        <v>297.36167326949931</v>
      </c>
      <c r="AA1938">
        <v>198</v>
      </c>
      <c r="AB1938">
        <v>332</v>
      </c>
      <c r="AC1938">
        <v>536</v>
      </c>
      <c r="AD1938">
        <v>30.74</v>
      </c>
      <c r="AE1938">
        <v>542</v>
      </c>
      <c r="AF1938">
        <v>30</v>
      </c>
      <c r="AG1938">
        <v>178</v>
      </c>
      <c r="AH1938">
        <v>129</v>
      </c>
      <c r="AI1938">
        <v>5.54</v>
      </c>
      <c r="AJ1938">
        <v>32.840000000000003</v>
      </c>
      <c r="AK1938">
        <v>23.8</v>
      </c>
      <c r="AL1938">
        <v>-20.172838899999959</v>
      </c>
      <c r="AM1938">
        <v>-44.915158011603552</v>
      </c>
      <c r="AN1938">
        <v>-20.172838899999959</v>
      </c>
      <c r="AO1938">
        <v>-44.915158011603552</v>
      </c>
      <c r="AP1938">
        <v>-20.172984</v>
      </c>
      <c r="AQ1938">
        <v>-44.915225999999997</v>
      </c>
      <c r="AR1938">
        <v>17.645788305942119</v>
      </c>
      <c r="AS1938" t="s">
        <v>65</v>
      </c>
      <c r="AT1938">
        <v>1</v>
      </c>
      <c r="AU1938" t="s">
        <v>1332</v>
      </c>
      <c r="AV1938" t="s">
        <v>1327</v>
      </c>
      <c r="AW1938" t="s">
        <v>60</v>
      </c>
      <c r="AX1938" t="s">
        <v>68</v>
      </c>
      <c r="AY1938" t="s">
        <v>69</v>
      </c>
      <c r="AZ1938" t="b">
        <v>1</v>
      </c>
    </row>
    <row r="1939" spans="1:52" x14ac:dyDescent="0.3">
      <c r="A1939" t="s">
        <v>52</v>
      </c>
      <c r="B1939" t="s">
        <v>53</v>
      </c>
      <c r="C1939" t="s">
        <v>54</v>
      </c>
      <c r="D1939" t="s">
        <v>55</v>
      </c>
      <c r="E1939" t="s">
        <v>2148</v>
      </c>
      <c r="F1939" t="s">
        <v>1247</v>
      </c>
      <c r="G1939" t="s">
        <v>435</v>
      </c>
      <c r="H1939" t="s">
        <v>436</v>
      </c>
      <c r="I1939" t="s">
        <v>436</v>
      </c>
      <c r="J1939" t="s">
        <v>60</v>
      </c>
      <c r="K1939" t="s">
        <v>437</v>
      </c>
      <c r="L1939" t="s">
        <v>62</v>
      </c>
      <c r="M1939" t="s">
        <v>437</v>
      </c>
      <c r="N1939" t="s">
        <v>438</v>
      </c>
      <c r="O1939" t="s">
        <v>439</v>
      </c>
      <c r="P1939">
        <v>-20.145613000000001</v>
      </c>
      <c r="Q1939">
        <v>-44.882375000000003</v>
      </c>
      <c r="R1939" s="2" t="str">
        <f>HYPERLINK("https://www.google.com/maps?q=-20.1456130,-44.8823750","Abrir no Google Maps")</f>
        <v>Abrir no Google Maps</v>
      </c>
      <c r="S1939">
        <v>3</v>
      </c>
      <c r="T1939">
        <v>305.65092112314198</v>
      </c>
      <c r="U1939">
        <v>2</v>
      </c>
      <c r="V1939">
        <v>14</v>
      </c>
      <c r="W1939">
        <v>1</v>
      </c>
      <c r="X1939">
        <v>14</v>
      </c>
      <c r="Y1939">
        <v>653</v>
      </c>
      <c r="Z1939">
        <v>349.55297035282501</v>
      </c>
      <c r="AA1939">
        <v>198</v>
      </c>
      <c r="AB1939">
        <v>332</v>
      </c>
      <c r="AC1939">
        <v>536</v>
      </c>
      <c r="AD1939">
        <v>30.74</v>
      </c>
      <c r="AE1939">
        <v>542</v>
      </c>
      <c r="AF1939">
        <v>30</v>
      </c>
      <c r="AG1939">
        <v>178</v>
      </c>
      <c r="AH1939">
        <v>129</v>
      </c>
      <c r="AI1939">
        <v>5.54</v>
      </c>
      <c r="AJ1939">
        <v>32.840000000000003</v>
      </c>
      <c r="AK1939">
        <v>23.8</v>
      </c>
      <c r="AL1939">
        <v>-20.14550464999996</v>
      </c>
      <c r="AM1939">
        <v>-44.882157007077737</v>
      </c>
      <c r="AN1939">
        <v>-20.14550464999996</v>
      </c>
      <c r="AO1939">
        <v>-44.882157007077737</v>
      </c>
      <c r="AP1939">
        <v>-20.145613000000001</v>
      </c>
      <c r="AQ1939">
        <v>-44.882375000000003</v>
      </c>
      <c r="AR1939">
        <v>25.77819791856259</v>
      </c>
      <c r="AS1939" t="s">
        <v>65</v>
      </c>
      <c r="AT1939">
        <v>1</v>
      </c>
      <c r="AU1939" t="s">
        <v>440</v>
      </c>
      <c r="AV1939" t="s">
        <v>441</v>
      </c>
      <c r="AW1939" t="s">
        <v>60</v>
      </c>
      <c r="AX1939" t="s">
        <v>68</v>
      </c>
      <c r="AY1939" t="s">
        <v>69</v>
      </c>
      <c r="AZ1939" t="b">
        <v>1</v>
      </c>
    </row>
    <row r="1940" spans="1:52" x14ac:dyDescent="0.3">
      <c r="A1940" t="s">
        <v>52</v>
      </c>
      <c r="B1940" t="s">
        <v>53</v>
      </c>
      <c r="C1940" t="s">
        <v>54</v>
      </c>
      <c r="D1940" t="s">
        <v>55</v>
      </c>
      <c r="E1940" t="s">
        <v>2148</v>
      </c>
      <c r="F1940" t="s">
        <v>1247</v>
      </c>
      <c r="G1940" t="s">
        <v>1333</v>
      </c>
      <c r="H1940" t="s">
        <v>1334</v>
      </c>
      <c r="I1940" t="s">
        <v>1334</v>
      </c>
      <c r="J1940" t="s">
        <v>60</v>
      </c>
      <c r="K1940" t="s">
        <v>437</v>
      </c>
      <c r="L1940" t="s">
        <v>62</v>
      </c>
      <c r="M1940" t="s">
        <v>437</v>
      </c>
      <c r="N1940" t="s">
        <v>1335</v>
      </c>
      <c r="O1940" t="s">
        <v>807</v>
      </c>
      <c r="P1940">
        <v>-20.148</v>
      </c>
      <c r="Q1940">
        <v>-44.880944999999997</v>
      </c>
      <c r="R1940" s="2" t="str">
        <f>HYPERLINK("https://www.google.com/maps?q=-20.1480000,-44.8809450","Abrir no Google Maps")</f>
        <v>Abrir no Google Maps</v>
      </c>
      <c r="S1940">
        <v>3</v>
      </c>
      <c r="T1940">
        <v>0</v>
      </c>
      <c r="U1940">
        <v>2</v>
      </c>
      <c r="V1940">
        <v>15</v>
      </c>
      <c r="W1940">
        <v>0.85</v>
      </c>
      <c r="X1940">
        <v>12.75</v>
      </c>
      <c r="Y1940">
        <v>653</v>
      </c>
      <c r="Z1940">
        <v>108.2792411420544</v>
      </c>
      <c r="AA1940">
        <v>198</v>
      </c>
      <c r="AB1940">
        <v>332</v>
      </c>
      <c r="AC1940">
        <v>536</v>
      </c>
      <c r="AD1940">
        <v>30.74</v>
      </c>
      <c r="AE1940">
        <v>542</v>
      </c>
      <c r="AF1940">
        <v>30</v>
      </c>
      <c r="AG1940">
        <v>178</v>
      </c>
      <c r="AH1940">
        <v>129</v>
      </c>
      <c r="AI1940">
        <v>5.54</v>
      </c>
      <c r="AJ1940">
        <v>32.840000000000003</v>
      </c>
      <c r="AK1940">
        <v>23.8</v>
      </c>
      <c r="AL1940">
        <v>-20.14802099999994</v>
      </c>
      <c r="AM1940">
        <v>-44.880951206225959</v>
      </c>
      <c r="AN1940">
        <v>-20.14802099999994</v>
      </c>
      <c r="AO1940">
        <v>-44.880951206225959</v>
      </c>
      <c r="AP1940">
        <v>-20.148</v>
      </c>
      <c r="AQ1940">
        <v>-44.880944999999997</v>
      </c>
      <c r="AR1940">
        <v>2.4260288619737169</v>
      </c>
      <c r="AS1940" t="s">
        <v>65</v>
      </c>
      <c r="AT1940">
        <v>1</v>
      </c>
      <c r="AU1940" t="s">
        <v>1336</v>
      </c>
      <c r="AV1940" t="s">
        <v>1337</v>
      </c>
      <c r="AW1940" t="s">
        <v>60</v>
      </c>
      <c r="AX1940" t="s">
        <v>68</v>
      </c>
      <c r="AY1940" t="s">
        <v>69</v>
      </c>
      <c r="AZ1940" t="b">
        <v>1</v>
      </c>
    </row>
    <row r="1941" spans="1:52" x14ac:dyDescent="0.3">
      <c r="A1941" t="s">
        <v>52</v>
      </c>
      <c r="B1941" t="s">
        <v>53</v>
      </c>
      <c r="C1941" t="s">
        <v>54</v>
      </c>
      <c r="D1941" t="s">
        <v>55</v>
      </c>
      <c r="E1941" t="s">
        <v>2148</v>
      </c>
      <c r="F1941" t="s">
        <v>1247</v>
      </c>
      <c r="G1941" t="s">
        <v>479</v>
      </c>
      <c r="H1941" t="s">
        <v>1338</v>
      </c>
      <c r="I1941" t="s">
        <v>1338</v>
      </c>
      <c r="J1941" t="s">
        <v>60</v>
      </c>
      <c r="K1941" t="s">
        <v>1302</v>
      </c>
      <c r="L1941" t="s">
        <v>62</v>
      </c>
      <c r="M1941" t="s">
        <v>1302</v>
      </c>
      <c r="N1941" t="s">
        <v>481</v>
      </c>
      <c r="O1941" t="s">
        <v>1339</v>
      </c>
      <c r="P1941">
        <v>-20.165590000000002</v>
      </c>
      <c r="Q1941">
        <v>-44.907876000000002</v>
      </c>
      <c r="R1941" s="2" t="str">
        <f>HYPERLINK("https://www.google.com/maps?q=-20.1655900,-44.9078760","Abrir no Google Maps")</f>
        <v>Abrir no Google Maps</v>
      </c>
      <c r="S1941">
        <v>3</v>
      </c>
      <c r="T1941">
        <v>626.07643944893005</v>
      </c>
      <c r="U1941">
        <v>2</v>
      </c>
      <c r="V1941">
        <v>11</v>
      </c>
      <c r="W1941">
        <v>0.85</v>
      </c>
      <c r="X1941">
        <v>9.35</v>
      </c>
      <c r="Y1941">
        <v>639</v>
      </c>
      <c r="Z1941">
        <v>723.2656461789519</v>
      </c>
      <c r="AA1941">
        <v>198</v>
      </c>
      <c r="AB1941">
        <v>332</v>
      </c>
      <c r="AC1941">
        <v>536</v>
      </c>
      <c r="AD1941">
        <v>30.74</v>
      </c>
      <c r="AE1941">
        <v>542</v>
      </c>
      <c r="AF1941">
        <v>30</v>
      </c>
      <c r="AG1941">
        <v>178</v>
      </c>
      <c r="AH1941">
        <v>129</v>
      </c>
      <c r="AI1941">
        <v>5.54</v>
      </c>
      <c r="AJ1941">
        <v>32.840000000000003</v>
      </c>
      <c r="AK1941">
        <v>23.8</v>
      </c>
      <c r="AL1941">
        <v>-20.16561419999994</v>
      </c>
      <c r="AM1941">
        <v>-44.907783360572083</v>
      </c>
      <c r="AN1941">
        <v>-20.16561419999994</v>
      </c>
      <c r="AO1941">
        <v>-44.907783360572083</v>
      </c>
      <c r="AP1941">
        <v>-20.165590000000002</v>
      </c>
      <c r="AQ1941">
        <v>-44.907876000000002</v>
      </c>
      <c r="AR1941">
        <v>10.04831364257741</v>
      </c>
      <c r="AS1941" t="s">
        <v>65</v>
      </c>
      <c r="AT1941">
        <v>1</v>
      </c>
      <c r="AU1941" t="s">
        <v>1340</v>
      </c>
      <c r="AV1941" t="s">
        <v>1341</v>
      </c>
      <c r="AW1941" t="s">
        <v>60</v>
      </c>
      <c r="AX1941" t="s">
        <v>68</v>
      </c>
      <c r="AY1941" t="s">
        <v>69</v>
      </c>
      <c r="AZ1941" t="b">
        <v>1</v>
      </c>
    </row>
    <row r="1942" spans="1:52" x14ac:dyDescent="0.3">
      <c r="A1942" t="s">
        <v>52</v>
      </c>
      <c r="B1942" t="s">
        <v>53</v>
      </c>
      <c r="C1942" t="s">
        <v>54</v>
      </c>
      <c r="D1942" t="s">
        <v>55</v>
      </c>
      <c r="E1942" t="s">
        <v>2148</v>
      </c>
      <c r="F1942" t="s">
        <v>1247</v>
      </c>
      <c r="G1942" t="s">
        <v>851</v>
      </c>
      <c r="H1942" t="s">
        <v>852</v>
      </c>
      <c r="I1942" t="s">
        <v>852</v>
      </c>
      <c r="J1942" t="s">
        <v>60</v>
      </c>
      <c r="K1942" t="s">
        <v>853</v>
      </c>
      <c r="L1942" t="s">
        <v>62</v>
      </c>
      <c r="M1942" t="s">
        <v>853</v>
      </c>
      <c r="N1942" t="s">
        <v>854</v>
      </c>
      <c r="O1942" t="s">
        <v>855</v>
      </c>
      <c r="P1942">
        <v>-20.127835000000001</v>
      </c>
      <c r="Q1942">
        <v>-44.909329</v>
      </c>
      <c r="R1942" s="2" t="str">
        <f>HYPERLINK("https://www.google.com/maps?q=-20.1278350,-44.9093290","Abrir no Google Maps")</f>
        <v>Abrir no Google Maps</v>
      </c>
      <c r="S1942">
        <v>3</v>
      </c>
      <c r="T1942">
        <v>1173.033690896357</v>
      </c>
      <c r="U1942">
        <v>2</v>
      </c>
      <c r="V1942">
        <v>13</v>
      </c>
      <c r="W1942">
        <v>1</v>
      </c>
      <c r="X1942">
        <v>13</v>
      </c>
      <c r="Y1942">
        <v>581</v>
      </c>
      <c r="Z1942">
        <v>1296.5011565926129</v>
      </c>
      <c r="AA1942">
        <v>198</v>
      </c>
      <c r="AB1942">
        <v>332</v>
      </c>
      <c r="AC1942">
        <v>536</v>
      </c>
      <c r="AD1942">
        <v>30.74</v>
      </c>
      <c r="AE1942">
        <v>542</v>
      </c>
      <c r="AF1942">
        <v>30</v>
      </c>
      <c r="AG1942">
        <v>178</v>
      </c>
      <c r="AH1942">
        <v>129</v>
      </c>
      <c r="AI1942">
        <v>5.54</v>
      </c>
      <c r="AJ1942">
        <v>32.840000000000003</v>
      </c>
      <c r="AK1942">
        <v>23.8</v>
      </c>
      <c r="AL1942">
        <v>-20.127852899999969</v>
      </c>
      <c r="AM1942">
        <v>-44.909386667699948</v>
      </c>
      <c r="AN1942">
        <v>-20.127852899999969</v>
      </c>
      <c r="AO1942">
        <v>-44.909386667699948</v>
      </c>
      <c r="AP1942">
        <v>-20.127835000000001</v>
      </c>
      <c r="AQ1942">
        <v>-44.909329</v>
      </c>
      <c r="AR1942">
        <v>6.3483385067119924</v>
      </c>
      <c r="AS1942" t="s">
        <v>65</v>
      </c>
      <c r="AT1942">
        <v>1</v>
      </c>
      <c r="AU1942" t="s">
        <v>856</v>
      </c>
      <c r="AV1942" t="s">
        <v>857</v>
      </c>
      <c r="AW1942" t="s">
        <v>60</v>
      </c>
      <c r="AX1942" t="s">
        <v>68</v>
      </c>
      <c r="AY1942" t="s">
        <v>69</v>
      </c>
      <c r="AZ1942" t="b">
        <v>1</v>
      </c>
    </row>
    <row r="1943" spans="1:52" x14ac:dyDescent="0.3">
      <c r="A1943" t="s">
        <v>52</v>
      </c>
      <c r="B1943" t="s">
        <v>53</v>
      </c>
      <c r="C1943" t="s">
        <v>54</v>
      </c>
      <c r="D1943" t="s">
        <v>55</v>
      </c>
      <c r="E1943" t="s">
        <v>2148</v>
      </c>
      <c r="F1943" t="s">
        <v>1247</v>
      </c>
      <c r="G1943" t="s">
        <v>1364</v>
      </c>
      <c r="H1943" t="s">
        <v>1369</v>
      </c>
      <c r="I1943" t="s">
        <v>1369</v>
      </c>
      <c r="J1943" t="s">
        <v>60</v>
      </c>
      <c r="K1943" t="s">
        <v>1370</v>
      </c>
      <c r="L1943" t="s">
        <v>62</v>
      </c>
      <c r="M1943" t="s">
        <v>1370</v>
      </c>
      <c r="N1943" t="s">
        <v>1366</v>
      </c>
      <c r="O1943" t="s">
        <v>989</v>
      </c>
      <c r="P1943">
        <v>-20.141185</v>
      </c>
      <c r="Q1943">
        <v>-44.914200999999998</v>
      </c>
      <c r="R1943" s="2" t="str">
        <f>HYPERLINK("https://www.google.com/maps?q=-20.1411850,-44.9142010","Abrir no Google Maps")</f>
        <v>Abrir no Google Maps</v>
      </c>
      <c r="S1943">
        <v>3</v>
      </c>
      <c r="T1943">
        <v>512.52588459346453</v>
      </c>
      <c r="U1943">
        <v>2</v>
      </c>
      <c r="V1943">
        <v>10</v>
      </c>
      <c r="W1943">
        <v>0.85</v>
      </c>
      <c r="X1943">
        <v>8.5</v>
      </c>
      <c r="Y1943">
        <v>581</v>
      </c>
      <c r="Z1943">
        <v>473.10673043319349</v>
      </c>
      <c r="AA1943">
        <v>198</v>
      </c>
      <c r="AB1943">
        <v>332</v>
      </c>
      <c r="AC1943">
        <v>536</v>
      </c>
      <c r="AD1943">
        <v>30.74</v>
      </c>
      <c r="AE1943">
        <v>542</v>
      </c>
      <c r="AF1943">
        <v>30</v>
      </c>
      <c r="AG1943">
        <v>178</v>
      </c>
      <c r="AH1943">
        <v>129</v>
      </c>
      <c r="AI1943">
        <v>5.54</v>
      </c>
      <c r="AJ1943">
        <v>32.840000000000003</v>
      </c>
      <c r="AK1943">
        <v>23.8</v>
      </c>
      <c r="AL1943">
        <v>-20.14133909999995</v>
      </c>
      <c r="AM1943">
        <v>-44.913910219286038</v>
      </c>
      <c r="AN1943">
        <v>-20.14133909999995</v>
      </c>
      <c r="AO1943">
        <v>-44.913910219286038</v>
      </c>
      <c r="AP1943">
        <v>-20.141185</v>
      </c>
      <c r="AQ1943">
        <v>-44.914200999999998</v>
      </c>
      <c r="AR1943">
        <v>34.897514361429593</v>
      </c>
      <c r="AS1943" t="s">
        <v>65</v>
      </c>
      <c r="AT1943">
        <v>1</v>
      </c>
      <c r="AU1943" t="s">
        <v>1371</v>
      </c>
      <c r="AV1943" t="s">
        <v>863</v>
      </c>
      <c r="AW1943" t="s">
        <v>60</v>
      </c>
      <c r="AX1943" t="s">
        <v>68</v>
      </c>
      <c r="AY1943" t="s">
        <v>69</v>
      </c>
      <c r="AZ1943" t="b">
        <v>1</v>
      </c>
    </row>
    <row r="1944" spans="1:52" x14ac:dyDescent="0.3">
      <c r="A1944" t="s">
        <v>52</v>
      </c>
      <c r="B1944" t="s">
        <v>53</v>
      </c>
      <c r="C1944" t="s">
        <v>54</v>
      </c>
      <c r="D1944" t="s">
        <v>55</v>
      </c>
      <c r="E1944" t="s">
        <v>2148</v>
      </c>
      <c r="F1944" t="s">
        <v>1247</v>
      </c>
      <c r="G1944" t="s">
        <v>1300</v>
      </c>
      <c r="H1944" t="s">
        <v>1372</v>
      </c>
      <c r="I1944" t="s">
        <v>1372</v>
      </c>
      <c r="J1944" t="s">
        <v>60</v>
      </c>
      <c r="K1944" t="s">
        <v>486</v>
      </c>
      <c r="L1944" t="s">
        <v>62</v>
      </c>
      <c r="M1944" t="s">
        <v>486</v>
      </c>
      <c r="N1944" t="s">
        <v>1303</v>
      </c>
      <c r="O1944" t="s">
        <v>1373</v>
      </c>
      <c r="P1944">
        <v>-20.170458</v>
      </c>
      <c r="Q1944">
        <v>-44.900936000000002</v>
      </c>
      <c r="R1944" s="2" t="str">
        <f>HYPERLINK("https://www.google.com/maps?q=-20.1704580,-44.9009360","Abrir no Google Maps")</f>
        <v>Abrir no Google Maps</v>
      </c>
      <c r="S1944">
        <v>3</v>
      </c>
      <c r="T1944">
        <v>470.55793133653339</v>
      </c>
      <c r="U1944">
        <v>2</v>
      </c>
      <c r="V1944">
        <v>12</v>
      </c>
      <c r="W1944">
        <v>0.85</v>
      </c>
      <c r="X1944">
        <v>10.199999999999999</v>
      </c>
      <c r="Y1944">
        <v>578</v>
      </c>
      <c r="Z1944">
        <v>645.48909402437766</v>
      </c>
      <c r="AA1944">
        <v>198</v>
      </c>
      <c r="AB1944">
        <v>332</v>
      </c>
      <c r="AC1944">
        <v>536</v>
      </c>
      <c r="AD1944">
        <v>30.74</v>
      </c>
      <c r="AE1944">
        <v>542</v>
      </c>
      <c r="AF1944">
        <v>30</v>
      </c>
      <c r="AG1944">
        <v>178</v>
      </c>
      <c r="AH1944">
        <v>129</v>
      </c>
      <c r="AI1944">
        <v>5.54</v>
      </c>
      <c r="AJ1944">
        <v>32.840000000000003</v>
      </c>
      <c r="AK1944">
        <v>23.8</v>
      </c>
      <c r="AL1944">
        <v>-20.17025029999996</v>
      </c>
      <c r="AM1944">
        <v>-44.901067235372473</v>
      </c>
      <c r="AN1944">
        <v>-20.17025029999996</v>
      </c>
      <c r="AO1944">
        <v>-44.901067235372473</v>
      </c>
      <c r="AP1944">
        <v>-20.170458</v>
      </c>
      <c r="AQ1944">
        <v>-44.900936000000002</v>
      </c>
      <c r="AR1944">
        <v>26.88195352459519</v>
      </c>
      <c r="AS1944" t="s">
        <v>65</v>
      </c>
      <c r="AT1944">
        <v>1</v>
      </c>
      <c r="AU1944" t="s">
        <v>1374</v>
      </c>
      <c r="AV1944" t="s">
        <v>1375</v>
      </c>
      <c r="AW1944" t="s">
        <v>60</v>
      </c>
      <c r="AX1944" t="s">
        <v>68</v>
      </c>
      <c r="AY1944" t="s">
        <v>69</v>
      </c>
      <c r="AZ1944" t="b">
        <v>1</v>
      </c>
    </row>
    <row r="1945" spans="1:52" x14ac:dyDescent="0.3">
      <c r="A1945" t="s">
        <v>52</v>
      </c>
      <c r="B1945" t="s">
        <v>53</v>
      </c>
      <c r="C1945" t="s">
        <v>54</v>
      </c>
      <c r="D1945" t="s">
        <v>55</v>
      </c>
      <c r="E1945" t="s">
        <v>2148</v>
      </c>
      <c r="F1945" t="s">
        <v>1247</v>
      </c>
      <c r="G1945" t="s">
        <v>1382</v>
      </c>
      <c r="H1945" t="s">
        <v>1383</v>
      </c>
      <c r="I1945" t="s">
        <v>1383</v>
      </c>
      <c r="J1945" t="s">
        <v>60</v>
      </c>
      <c r="K1945" t="s">
        <v>1384</v>
      </c>
      <c r="L1945" t="s">
        <v>62</v>
      </c>
      <c r="M1945" t="s">
        <v>1384</v>
      </c>
      <c r="N1945" t="s">
        <v>1385</v>
      </c>
      <c r="O1945" t="s">
        <v>1379</v>
      </c>
      <c r="P1945">
        <v>-20.168914999999998</v>
      </c>
      <c r="Q1945">
        <v>-44.897015000000003</v>
      </c>
      <c r="R1945" s="2" t="str">
        <f>HYPERLINK("https://www.google.com/maps?q=-20.1689150,-44.8970150","Abrir no Google Maps")</f>
        <v>Abrir no Google Maps</v>
      </c>
      <c r="S1945">
        <v>3</v>
      </c>
      <c r="T1945">
        <v>1082.4313448281291</v>
      </c>
      <c r="U1945">
        <v>2</v>
      </c>
      <c r="V1945">
        <v>14</v>
      </c>
      <c r="W1945">
        <v>0.85</v>
      </c>
      <c r="X1945">
        <v>11.9</v>
      </c>
      <c r="Y1945">
        <v>578</v>
      </c>
      <c r="Z1945">
        <v>1085.6751638476369</v>
      </c>
      <c r="AA1945">
        <v>198</v>
      </c>
      <c r="AB1945">
        <v>332</v>
      </c>
      <c r="AC1945">
        <v>536</v>
      </c>
      <c r="AD1945">
        <v>30.74</v>
      </c>
      <c r="AE1945">
        <v>542</v>
      </c>
      <c r="AF1945">
        <v>30</v>
      </c>
      <c r="AG1945">
        <v>178</v>
      </c>
      <c r="AH1945">
        <v>129</v>
      </c>
      <c r="AI1945">
        <v>5.54</v>
      </c>
      <c r="AJ1945">
        <v>32.840000000000003</v>
      </c>
      <c r="AK1945">
        <v>23.8</v>
      </c>
      <c r="AL1945">
        <v>-20.168195549999979</v>
      </c>
      <c r="AM1945">
        <v>-44.895555997240763</v>
      </c>
      <c r="AN1945">
        <v>-20.168195549999979</v>
      </c>
      <c r="AO1945">
        <v>-44.895555997240763</v>
      </c>
      <c r="AP1945">
        <v>-20.168914999999998</v>
      </c>
      <c r="AQ1945">
        <v>-44.897015000000003</v>
      </c>
      <c r="AR1945">
        <v>172.21377736735809</v>
      </c>
      <c r="AS1945" t="s">
        <v>65</v>
      </c>
      <c r="AT1945">
        <v>1</v>
      </c>
      <c r="AU1945" t="s">
        <v>1386</v>
      </c>
      <c r="AV1945" t="s">
        <v>1387</v>
      </c>
      <c r="AW1945" t="s">
        <v>60</v>
      </c>
      <c r="AX1945" t="s">
        <v>68</v>
      </c>
      <c r="AY1945" t="s">
        <v>69</v>
      </c>
      <c r="AZ1945" t="b">
        <v>1</v>
      </c>
    </row>
    <row r="1946" spans="1:52" x14ac:dyDescent="0.3">
      <c r="A1946" t="s">
        <v>52</v>
      </c>
      <c r="B1946" t="s">
        <v>53</v>
      </c>
      <c r="C1946" t="s">
        <v>54</v>
      </c>
      <c r="D1946" t="s">
        <v>55</v>
      </c>
      <c r="E1946" t="s">
        <v>2148</v>
      </c>
      <c r="F1946" t="s">
        <v>1247</v>
      </c>
      <c r="G1946" t="s">
        <v>1388</v>
      </c>
      <c r="H1946" t="s">
        <v>1389</v>
      </c>
      <c r="I1946" t="s">
        <v>1389</v>
      </c>
      <c r="J1946" t="s">
        <v>60</v>
      </c>
      <c r="K1946" t="s">
        <v>475</v>
      </c>
      <c r="L1946" t="s">
        <v>62</v>
      </c>
      <c r="M1946" t="s">
        <v>475</v>
      </c>
      <c r="N1946" t="s">
        <v>1390</v>
      </c>
      <c r="O1946" t="s">
        <v>855</v>
      </c>
      <c r="P1946">
        <v>-20.173748</v>
      </c>
      <c r="Q1946">
        <v>-44.894596999999997</v>
      </c>
      <c r="R1946" s="2" t="str">
        <f>HYPERLINK("https://www.google.com/maps?q=-20.1737480,-44.8945970","Abrir no Google Maps")</f>
        <v>Abrir no Google Maps</v>
      </c>
      <c r="S1946">
        <v>3</v>
      </c>
      <c r="T1946">
        <v>1217.388518792701</v>
      </c>
      <c r="U1946">
        <v>2</v>
      </c>
      <c r="V1946">
        <v>12</v>
      </c>
      <c r="W1946">
        <v>0.85</v>
      </c>
      <c r="X1946">
        <v>10.199999999999999</v>
      </c>
      <c r="Y1946">
        <v>578</v>
      </c>
      <c r="Z1946">
        <v>1268.0048337091989</v>
      </c>
      <c r="AA1946">
        <v>198</v>
      </c>
      <c r="AB1946">
        <v>332</v>
      </c>
      <c r="AC1946">
        <v>536</v>
      </c>
      <c r="AD1946">
        <v>30.74</v>
      </c>
      <c r="AE1946">
        <v>542</v>
      </c>
      <c r="AF1946">
        <v>30</v>
      </c>
      <c r="AG1946">
        <v>178</v>
      </c>
      <c r="AH1946">
        <v>129</v>
      </c>
      <c r="AI1946">
        <v>5.54</v>
      </c>
      <c r="AJ1946">
        <v>32.840000000000003</v>
      </c>
      <c r="AK1946">
        <v>23.8</v>
      </c>
      <c r="AL1946">
        <v>-20.173821999999941</v>
      </c>
      <c r="AM1946">
        <v>-44.894306105833543</v>
      </c>
      <c r="AN1946">
        <v>-20.173821999999941</v>
      </c>
      <c r="AO1946">
        <v>-44.894306105833543</v>
      </c>
      <c r="AP1946">
        <v>-20.173748</v>
      </c>
      <c r="AQ1946">
        <v>-44.894596999999997</v>
      </c>
      <c r="AR1946">
        <v>31.492193006406161</v>
      </c>
      <c r="AS1946" t="s">
        <v>65</v>
      </c>
      <c r="AT1946">
        <v>1</v>
      </c>
      <c r="AU1946" t="s">
        <v>1391</v>
      </c>
      <c r="AV1946" t="s">
        <v>1392</v>
      </c>
      <c r="AW1946" t="s">
        <v>60</v>
      </c>
      <c r="AX1946" t="s">
        <v>68</v>
      </c>
      <c r="AY1946" t="s">
        <v>69</v>
      </c>
      <c r="AZ1946" t="b">
        <v>1</v>
      </c>
    </row>
    <row r="1947" spans="1:52" x14ac:dyDescent="0.3">
      <c r="A1947" t="s">
        <v>52</v>
      </c>
      <c r="B1947" t="s">
        <v>53</v>
      </c>
      <c r="C1947" t="s">
        <v>54</v>
      </c>
      <c r="D1947" t="s">
        <v>55</v>
      </c>
      <c r="E1947" t="s">
        <v>2148</v>
      </c>
      <c r="F1947" t="s">
        <v>1247</v>
      </c>
      <c r="G1947" t="s">
        <v>1393</v>
      </c>
      <c r="H1947" t="s">
        <v>1394</v>
      </c>
      <c r="I1947" t="s">
        <v>1394</v>
      </c>
      <c r="J1947" t="s">
        <v>60</v>
      </c>
      <c r="K1947" t="s">
        <v>388</v>
      </c>
      <c r="L1947" t="s">
        <v>62</v>
      </c>
      <c r="M1947" t="s">
        <v>388</v>
      </c>
      <c r="N1947" t="s">
        <v>1395</v>
      </c>
      <c r="O1947" t="s">
        <v>1396</v>
      </c>
      <c r="P1947">
        <v>-20.167425000000001</v>
      </c>
      <c r="Q1947">
        <v>-44.907733999999998</v>
      </c>
      <c r="R1947" s="2" t="str">
        <f>HYPERLINK("https://www.google.com/maps?q=-20.1674250,-44.9077340","Abrir no Google Maps")</f>
        <v>Abrir no Google Maps</v>
      </c>
      <c r="S1947">
        <v>3</v>
      </c>
      <c r="T1947">
        <v>424.62372109792739</v>
      </c>
      <c r="U1947">
        <v>2</v>
      </c>
      <c r="V1947">
        <v>11</v>
      </c>
      <c r="W1947">
        <v>0.85</v>
      </c>
      <c r="X1947">
        <v>9.35</v>
      </c>
      <c r="Y1947">
        <v>578</v>
      </c>
      <c r="Z1947">
        <v>559.08337206965382</v>
      </c>
      <c r="AA1947">
        <v>198</v>
      </c>
      <c r="AB1947">
        <v>332</v>
      </c>
      <c r="AC1947">
        <v>536</v>
      </c>
      <c r="AD1947">
        <v>30.74</v>
      </c>
      <c r="AE1947">
        <v>542</v>
      </c>
      <c r="AF1947">
        <v>30</v>
      </c>
      <c r="AG1947">
        <v>178</v>
      </c>
      <c r="AH1947">
        <v>129</v>
      </c>
      <c r="AI1947">
        <v>5.54</v>
      </c>
      <c r="AJ1947">
        <v>32.840000000000003</v>
      </c>
      <c r="AK1947">
        <v>23.8</v>
      </c>
      <c r="AL1947">
        <v>-20.167592099999951</v>
      </c>
      <c r="AM1947">
        <v>-44.907664214502859</v>
      </c>
      <c r="AN1947">
        <v>-20.167592099999951</v>
      </c>
      <c r="AO1947">
        <v>-44.907664214502859</v>
      </c>
      <c r="AP1947">
        <v>-20.167425000000001</v>
      </c>
      <c r="AQ1947">
        <v>-44.907733999999998</v>
      </c>
      <c r="AR1947">
        <v>19.979863459652229</v>
      </c>
      <c r="AS1947" t="s">
        <v>65</v>
      </c>
      <c r="AT1947">
        <v>1</v>
      </c>
      <c r="AU1947" t="s">
        <v>1397</v>
      </c>
      <c r="AV1947" t="s">
        <v>1398</v>
      </c>
      <c r="AW1947" t="s">
        <v>60</v>
      </c>
      <c r="AX1947" t="s">
        <v>68</v>
      </c>
      <c r="AY1947" t="s">
        <v>69</v>
      </c>
      <c r="AZ1947" t="b">
        <v>1</v>
      </c>
    </row>
    <row r="1948" spans="1:52" x14ac:dyDescent="0.3">
      <c r="A1948" t="s">
        <v>52</v>
      </c>
      <c r="B1948" t="s">
        <v>53</v>
      </c>
      <c r="C1948" t="s">
        <v>54</v>
      </c>
      <c r="D1948" t="s">
        <v>55</v>
      </c>
      <c r="E1948" t="s">
        <v>2148</v>
      </c>
      <c r="F1948" t="s">
        <v>1247</v>
      </c>
      <c r="G1948" t="s">
        <v>497</v>
      </c>
      <c r="H1948" t="s">
        <v>875</v>
      </c>
      <c r="I1948" t="s">
        <v>875</v>
      </c>
      <c r="J1948" t="s">
        <v>60</v>
      </c>
      <c r="K1948" t="s">
        <v>475</v>
      </c>
      <c r="L1948" t="s">
        <v>62</v>
      </c>
      <c r="M1948" t="s">
        <v>475</v>
      </c>
      <c r="N1948" t="s">
        <v>499</v>
      </c>
      <c r="O1948" t="s">
        <v>876</v>
      </c>
      <c r="P1948">
        <v>-20.177212999999998</v>
      </c>
      <c r="Q1948">
        <v>-44.904026999999999</v>
      </c>
      <c r="R1948" s="2" t="str">
        <f>HYPERLINK("https://www.google.com/maps?q=-20.1772130,-44.9040270","Abrir no Google Maps")</f>
        <v>Abrir no Google Maps</v>
      </c>
      <c r="S1948">
        <v>3</v>
      </c>
      <c r="T1948">
        <v>706.4159561113795</v>
      </c>
      <c r="U1948">
        <v>2</v>
      </c>
      <c r="V1948">
        <v>11</v>
      </c>
      <c r="W1948">
        <v>1</v>
      </c>
      <c r="X1948">
        <v>11</v>
      </c>
      <c r="Y1948">
        <v>578</v>
      </c>
      <c r="Z1948">
        <v>588.7160518608398</v>
      </c>
      <c r="AA1948">
        <v>198</v>
      </c>
      <c r="AB1948">
        <v>332</v>
      </c>
      <c r="AC1948">
        <v>536</v>
      </c>
      <c r="AD1948">
        <v>30.74</v>
      </c>
      <c r="AE1948">
        <v>542</v>
      </c>
      <c r="AF1948">
        <v>30</v>
      </c>
      <c r="AG1948">
        <v>178</v>
      </c>
      <c r="AH1948">
        <v>129</v>
      </c>
      <c r="AI1948">
        <v>5.54</v>
      </c>
      <c r="AJ1948">
        <v>32.840000000000003</v>
      </c>
      <c r="AK1948">
        <v>23.8</v>
      </c>
      <c r="AL1948">
        <v>-20.177090199999949</v>
      </c>
      <c r="AM1948">
        <v>-44.904078820930181</v>
      </c>
      <c r="AN1948">
        <v>-20.177090199999949</v>
      </c>
      <c r="AO1948">
        <v>-44.904078820930181</v>
      </c>
      <c r="AP1948">
        <v>-20.177212999999998</v>
      </c>
      <c r="AQ1948">
        <v>-44.904026999999999</v>
      </c>
      <c r="AR1948">
        <v>14.7034129632295</v>
      </c>
      <c r="AS1948" t="s">
        <v>65</v>
      </c>
      <c r="AT1948">
        <v>1</v>
      </c>
      <c r="AU1948" t="s">
        <v>877</v>
      </c>
      <c r="AV1948" t="s">
        <v>878</v>
      </c>
      <c r="AW1948" t="s">
        <v>60</v>
      </c>
      <c r="AX1948" t="s">
        <v>68</v>
      </c>
      <c r="AY1948" t="s">
        <v>69</v>
      </c>
      <c r="AZ1948" t="b">
        <v>1</v>
      </c>
    </row>
    <row r="1949" spans="1:52" x14ac:dyDescent="0.3">
      <c r="A1949" t="s">
        <v>52</v>
      </c>
      <c r="B1949" t="s">
        <v>53</v>
      </c>
      <c r="C1949" t="s">
        <v>54</v>
      </c>
      <c r="D1949" t="s">
        <v>55</v>
      </c>
      <c r="E1949" t="s">
        <v>2148</v>
      </c>
      <c r="F1949" t="s">
        <v>1247</v>
      </c>
      <c r="G1949" t="s">
        <v>1399</v>
      </c>
      <c r="H1949" t="s">
        <v>1400</v>
      </c>
      <c r="I1949" t="s">
        <v>1400</v>
      </c>
      <c r="J1949" t="s">
        <v>60</v>
      </c>
      <c r="K1949" t="s">
        <v>475</v>
      </c>
      <c r="L1949" t="s">
        <v>62</v>
      </c>
      <c r="M1949" t="s">
        <v>475</v>
      </c>
      <c r="N1949" t="s">
        <v>1401</v>
      </c>
      <c r="O1949" t="s">
        <v>1080</v>
      </c>
      <c r="P1949">
        <v>-20.178809000000001</v>
      </c>
      <c r="Q1949">
        <v>-44.900204000000002</v>
      </c>
      <c r="R1949" s="2" t="str">
        <f>HYPERLINK("https://www.google.com/maps?q=-20.1788090,-44.9002040","Abrir no Google Maps")</f>
        <v>Abrir no Google Maps</v>
      </c>
      <c r="S1949">
        <v>3</v>
      </c>
      <c r="T1949">
        <v>1015.86498565614</v>
      </c>
      <c r="U1949">
        <v>2</v>
      </c>
      <c r="V1949">
        <v>16</v>
      </c>
      <c r="W1949">
        <v>0.85</v>
      </c>
      <c r="X1949">
        <v>13.6</v>
      </c>
      <c r="Y1949">
        <v>578</v>
      </c>
      <c r="Z1949">
        <v>954.77111474428102</v>
      </c>
      <c r="AA1949">
        <v>198</v>
      </c>
      <c r="AB1949">
        <v>332</v>
      </c>
      <c r="AC1949">
        <v>536</v>
      </c>
      <c r="AD1949">
        <v>30.74</v>
      </c>
      <c r="AE1949">
        <v>542</v>
      </c>
      <c r="AF1949">
        <v>30</v>
      </c>
      <c r="AG1949">
        <v>178</v>
      </c>
      <c r="AH1949">
        <v>129</v>
      </c>
      <c r="AI1949">
        <v>5.54</v>
      </c>
      <c r="AJ1949">
        <v>32.840000000000003</v>
      </c>
      <c r="AK1949">
        <v>23.8</v>
      </c>
      <c r="AL1949">
        <v>-20.178590099999951</v>
      </c>
      <c r="AM1949">
        <v>-44.90029029928732</v>
      </c>
      <c r="AN1949">
        <v>-20.178590099999951</v>
      </c>
      <c r="AO1949">
        <v>-44.90029029928732</v>
      </c>
      <c r="AP1949">
        <v>-20.178809000000001</v>
      </c>
      <c r="AQ1949">
        <v>-44.900204000000002</v>
      </c>
      <c r="AR1949">
        <v>25.982812999798391</v>
      </c>
      <c r="AS1949" t="s">
        <v>65</v>
      </c>
      <c r="AT1949">
        <v>1</v>
      </c>
      <c r="AU1949" t="s">
        <v>1402</v>
      </c>
      <c r="AV1949" t="s">
        <v>1403</v>
      </c>
      <c r="AW1949" t="s">
        <v>60</v>
      </c>
      <c r="AX1949" t="s">
        <v>68</v>
      </c>
      <c r="AY1949" t="s">
        <v>69</v>
      </c>
      <c r="AZ1949" t="b">
        <v>1</v>
      </c>
    </row>
    <row r="1950" spans="1:52" x14ac:dyDescent="0.3">
      <c r="A1950" t="s">
        <v>52</v>
      </c>
      <c r="B1950" t="s">
        <v>53</v>
      </c>
      <c r="C1950" t="s">
        <v>54</v>
      </c>
      <c r="D1950" t="s">
        <v>55</v>
      </c>
      <c r="E1950" t="s">
        <v>2148</v>
      </c>
      <c r="F1950" t="s">
        <v>1247</v>
      </c>
      <c r="G1950" t="s">
        <v>879</v>
      </c>
      <c r="H1950" t="s">
        <v>880</v>
      </c>
      <c r="I1950" t="s">
        <v>880</v>
      </c>
      <c r="J1950" t="s">
        <v>60</v>
      </c>
      <c r="K1950" t="s">
        <v>505</v>
      </c>
      <c r="L1950" t="s">
        <v>62</v>
      </c>
      <c r="M1950" t="s">
        <v>505</v>
      </c>
      <c r="N1950" t="s">
        <v>881</v>
      </c>
      <c r="O1950" t="s">
        <v>882</v>
      </c>
      <c r="P1950">
        <v>-20.133452999999999</v>
      </c>
      <c r="Q1950">
        <v>-44.890571999999999</v>
      </c>
      <c r="R1950" s="2" t="str">
        <f>HYPERLINK("https://www.google.com/maps?q=-20.1334530,-44.8905720","Abrir no Google Maps")</f>
        <v>Abrir no Google Maps</v>
      </c>
      <c r="S1950">
        <v>3</v>
      </c>
      <c r="T1950">
        <v>373.51332104809921</v>
      </c>
      <c r="U1950">
        <v>2</v>
      </c>
      <c r="V1950">
        <v>12</v>
      </c>
      <c r="W1950">
        <v>1</v>
      </c>
      <c r="X1950">
        <v>12</v>
      </c>
      <c r="Y1950">
        <v>564</v>
      </c>
      <c r="Z1950">
        <v>422.34693311930448</v>
      </c>
      <c r="AA1950">
        <v>198</v>
      </c>
      <c r="AB1950">
        <v>332</v>
      </c>
      <c r="AC1950">
        <v>536</v>
      </c>
      <c r="AD1950">
        <v>30.74</v>
      </c>
      <c r="AE1950">
        <v>542</v>
      </c>
      <c r="AF1950">
        <v>30</v>
      </c>
      <c r="AG1950">
        <v>178</v>
      </c>
      <c r="AH1950">
        <v>129</v>
      </c>
      <c r="AI1950">
        <v>5.54</v>
      </c>
      <c r="AJ1950">
        <v>32.840000000000003</v>
      </c>
      <c r="AK1950">
        <v>23.8</v>
      </c>
      <c r="AL1950">
        <v>-20.133421549999952</v>
      </c>
      <c r="AM1950">
        <v>-44.890623456009052</v>
      </c>
      <c r="AN1950">
        <v>-20.133421549999952</v>
      </c>
      <c r="AO1950">
        <v>-44.890623456009052</v>
      </c>
      <c r="AP1950">
        <v>-20.133452999999999</v>
      </c>
      <c r="AQ1950">
        <v>-44.890571999999999</v>
      </c>
      <c r="AR1950">
        <v>6.4172139275452773</v>
      </c>
      <c r="AS1950" t="s">
        <v>65</v>
      </c>
      <c r="AT1950">
        <v>1</v>
      </c>
      <c r="AU1950" t="s">
        <v>883</v>
      </c>
      <c r="AV1950" t="s">
        <v>884</v>
      </c>
      <c r="AW1950" t="s">
        <v>60</v>
      </c>
      <c r="AX1950" t="s">
        <v>68</v>
      </c>
      <c r="AY1950" t="s">
        <v>69</v>
      </c>
      <c r="AZ1950" t="b">
        <v>1</v>
      </c>
    </row>
    <row r="1951" spans="1:52" x14ac:dyDescent="0.3">
      <c r="A1951" t="s">
        <v>52</v>
      </c>
      <c r="B1951" t="s">
        <v>53</v>
      </c>
      <c r="C1951" t="s">
        <v>54</v>
      </c>
      <c r="D1951" t="s">
        <v>55</v>
      </c>
      <c r="E1951" t="s">
        <v>2148</v>
      </c>
      <c r="F1951" t="s">
        <v>1247</v>
      </c>
      <c r="G1951" t="s">
        <v>815</v>
      </c>
      <c r="H1951" t="s">
        <v>1404</v>
      </c>
      <c r="I1951" t="s">
        <v>1404</v>
      </c>
      <c r="J1951" t="s">
        <v>60</v>
      </c>
      <c r="K1951" t="s">
        <v>512</v>
      </c>
      <c r="L1951" t="s">
        <v>62</v>
      </c>
      <c r="M1951" t="s">
        <v>512</v>
      </c>
      <c r="N1951" t="s">
        <v>817</v>
      </c>
      <c r="O1951" t="s">
        <v>1405</v>
      </c>
      <c r="P1951">
        <v>-20.129069999999999</v>
      </c>
      <c r="Q1951">
        <v>-44.888452000000001</v>
      </c>
      <c r="R1951" s="2" t="str">
        <f>HYPERLINK("https://www.google.com/maps?q=-20.1290700,-44.8884520","Abrir no Google Maps")</f>
        <v>Abrir no Google Maps</v>
      </c>
      <c r="S1951">
        <v>3</v>
      </c>
      <c r="T1951">
        <v>0</v>
      </c>
      <c r="U1951">
        <v>2</v>
      </c>
      <c r="V1951">
        <v>16</v>
      </c>
      <c r="W1951">
        <v>0.85</v>
      </c>
      <c r="X1951">
        <v>13.6</v>
      </c>
      <c r="Y1951">
        <v>564</v>
      </c>
      <c r="Z1951">
        <v>95.870354837220688</v>
      </c>
      <c r="AA1951">
        <v>198</v>
      </c>
      <c r="AB1951">
        <v>332</v>
      </c>
      <c r="AC1951">
        <v>536</v>
      </c>
      <c r="AD1951">
        <v>30.74</v>
      </c>
      <c r="AE1951">
        <v>542</v>
      </c>
      <c r="AF1951">
        <v>30</v>
      </c>
      <c r="AG1951">
        <v>178</v>
      </c>
      <c r="AH1951">
        <v>129</v>
      </c>
      <c r="AI1951">
        <v>5.54</v>
      </c>
      <c r="AJ1951">
        <v>32.840000000000003</v>
      </c>
      <c r="AK1951">
        <v>23.8</v>
      </c>
      <c r="AL1951">
        <v>-20.12899334999997</v>
      </c>
      <c r="AM1951">
        <v>-44.888406102471222</v>
      </c>
      <c r="AN1951">
        <v>-20.12899334999997</v>
      </c>
      <c r="AO1951">
        <v>-44.888406102471222</v>
      </c>
      <c r="AP1951">
        <v>-20.129069999999999</v>
      </c>
      <c r="AQ1951">
        <v>-44.888452000000001</v>
      </c>
      <c r="AR1951">
        <v>9.7887731150376265</v>
      </c>
      <c r="AS1951" t="s">
        <v>65</v>
      </c>
      <c r="AT1951">
        <v>1</v>
      </c>
      <c r="AU1951" t="s">
        <v>1406</v>
      </c>
      <c r="AV1951" t="s">
        <v>1407</v>
      </c>
      <c r="AW1951" t="s">
        <v>60</v>
      </c>
      <c r="AX1951" t="s">
        <v>68</v>
      </c>
      <c r="AY1951" t="s">
        <v>69</v>
      </c>
      <c r="AZ1951" t="b">
        <v>1</v>
      </c>
    </row>
    <row r="1952" spans="1:52" x14ac:dyDescent="0.3">
      <c r="A1952" t="s">
        <v>52</v>
      </c>
      <c r="B1952" t="s">
        <v>53</v>
      </c>
      <c r="C1952" t="s">
        <v>54</v>
      </c>
      <c r="D1952" t="s">
        <v>55</v>
      </c>
      <c r="E1952" t="s">
        <v>2148</v>
      </c>
      <c r="F1952" t="s">
        <v>1247</v>
      </c>
      <c r="G1952" t="s">
        <v>1435</v>
      </c>
      <c r="H1952" t="s">
        <v>1436</v>
      </c>
      <c r="I1952" t="s">
        <v>1436</v>
      </c>
      <c r="J1952" t="s">
        <v>60</v>
      </c>
      <c r="K1952" t="s">
        <v>886</v>
      </c>
      <c r="L1952" t="s">
        <v>62</v>
      </c>
      <c r="M1952" t="s">
        <v>886</v>
      </c>
      <c r="N1952" t="s">
        <v>1437</v>
      </c>
      <c r="O1952" t="s">
        <v>1438</v>
      </c>
      <c r="P1952">
        <v>-20.131108000000001</v>
      </c>
      <c r="Q1952">
        <v>-44.893228000000001</v>
      </c>
      <c r="R1952" s="2" t="str">
        <f>HYPERLINK("https://www.google.com/maps?q=-20.1311080,-44.8932280","Abrir no Google Maps")</f>
        <v>Abrir no Google Maps</v>
      </c>
      <c r="S1952">
        <v>3</v>
      </c>
      <c r="T1952">
        <v>548.07497919430136</v>
      </c>
      <c r="U1952">
        <v>2</v>
      </c>
      <c r="V1952">
        <v>10</v>
      </c>
      <c r="W1952">
        <v>0.85</v>
      </c>
      <c r="X1952">
        <v>8.5</v>
      </c>
      <c r="Y1952">
        <v>564</v>
      </c>
      <c r="Z1952">
        <v>369.17139216388432</v>
      </c>
      <c r="AA1952">
        <v>198</v>
      </c>
      <c r="AB1952">
        <v>332</v>
      </c>
      <c r="AC1952">
        <v>536</v>
      </c>
      <c r="AD1952">
        <v>30.74</v>
      </c>
      <c r="AE1952">
        <v>542</v>
      </c>
      <c r="AF1952">
        <v>30</v>
      </c>
      <c r="AG1952">
        <v>178</v>
      </c>
      <c r="AH1952">
        <v>129</v>
      </c>
      <c r="AI1952">
        <v>5.54</v>
      </c>
      <c r="AJ1952">
        <v>32.840000000000003</v>
      </c>
      <c r="AK1952">
        <v>23.8</v>
      </c>
      <c r="AL1952">
        <v>-20.13103294999997</v>
      </c>
      <c r="AM1952">
        <v>-44.89318457893738</v>
      </c>
      <c r="AN1952">
        <v>-20.13103294999997</v>
      </c>
      <c r="AO1952">
        <v>-44.89318457893738</v>
      </c>
      <c r="AP1952">
        <v>-20.131108000000001</v>
      </c>
      <c r="AQ1952">
        <v>-44.893228000000001</v>
      </c>
      <c r="AR1952">
        <v>9.5076426885244203</v>
      </c>
      <c r="AS1952" t="s">
        <v>65</v>
      </c>
      <c r="AT1952">
        <v>1</v>
      </c>
      <c r="AU1952" t="s">
        <v>1439</v>
      </c>
      <c r="AV1952" t="s">
        <v>1440</v>
      </c>
      <c r="AW1952" t="s">
        <v>60</v>
      </c>
      <c r="AX1952" t="s">
        <v>68</v>
      </c>
      <c r="AY1952" t="s">
        <v>69</v>
      </c>
      <c r="AZ1952" t="b">
        <v>1</v>
      </c>
    </row>
    <row r="1953" spans="1:52" x14ac:dyDescent="0.3">
      <c r="A1953" t="s">
        <v>52</v>
      </c>
      <c r="B1953" t="s">
        <v>53</v>
      </c>
      <c r="C1953" t="s">
        <v>54</v>
      </c>
      <c r="D1953" t="s">
        <v>55</v>
      </c>
      <c r="E1953" t="s">
        <v>2148</v>
      </c>
      <c r="F1953" t="s">
        <v>1247</v>
      </c>
      <c r="G1953" t="s">
        <v>503</v>
      </c>
      <c r="H1953" t="s">
        <v>1441</v>
      </c>
      <c r="I1953" t="s">
        <v>1441</v>
      </c>
      <c r="J1953" t="s">
        <v>60</v>
      </c>
      <c r="K1953" t="s">
        <v>512</v>
      </c>
      <c r="L1953" t="s">
        <v>62</v>
      </c>
      <c r="M1953" t="s">
        <v>512</v>
      </c>
      <c r="N1953" t="s">
        <v>506</v>
      </c>
      <c r="O1953" t="s">
        <v>1442</v>
      </c>
      <c r="P1953">
        <v>-20.13036</v>
      </c>
      <c r="Q1953">
        <v>-44.891019</v>
      </c>
      <c r="R1953" s="2" t="str">
        <f>HYPERLINK("https://www.google.com/maps?q=-20.1303600,-44.8910190","Abrir no Google Maps")</f>
        <v>Abrir no Google Maps</v>
      </c>
      <c r="S1953">
        <v>3</v>
      </c>
      <c r="T1953">
        <v>313.17410616307359</v>
      </c>
      <c r="U1953">
        <v>2</v>
      </c>
      <c r="V1953">
        <v>12</v>
      </c>
      <c r="W1953">
        <v>0.85</v>
      </c>
      <c r="X1953">
        <v>10.199999999999999</v>
      </c>
      <c r="Y1953">
        <v>564</v>
      </c>
      <c r="Z1953">
        <v>208.43159293494489</v>
      </c>
      <c r="AA1953">
        <v>198</v>
      </c>
      <c r="AB1953">
        <v>332</v>
      </c>
      <c r="AC1953">
        <v>536</v>
      </c>
      <c r="AD1953">
        <v>30.74</v>
      </c>
      <c r="AE1953">
        <v>542</v>
      </c>
      <c r="AF1953">
        <v>30</v>
      </c>
      <c r="AG1953">
        <v>178</v>
      </c>
      <c r="AH1953">
        <v>129</v>
      </c>
      <c r="AI1953">
        <v>5.54</v>
      </c>
      <c r="AJ1953">
        <v>32.840000000000003</v>
      </c>
      <c r="AK1953">
        <v>23.8</v>
      </c>
      <c r="AL1953">
        <v>-20.130100449999961</v>
      </c>
      <c r="AM1953">
        <v>-44.891163633475301</v>
      </c>
      <c r="AN1953">
        <v>-20.130100449999961</v>
      </c>
      <c r="AO1953">
        <v>-44.891163633475301</v>
      </c>
      <c r="AP1953">
        <v>-20.13036</v>
      </c>
      <c r="AQ1953">
        <v>-44.891019</v>
      </c>
      <c r="AR1953">
        <v>32.608854575381159</v>
      </c>
      <c r="AS1953" t="s">
        <v>65</v>
      </c>
      <c r="AT1953">
        <v>1</v>
      </c>
      <c r="AU1953" t="s">
        <v>1443</v>
      </c>
      <c r="AV1953" t="s">
        <v>1444</v>
      </c>
      <c r="AW1953" t="s">
        <v>60</v>
      </c>
      <c r="AX1953" t="s">
        <v>68</v>
      </c>
      <c r="AY1953" t="s">
        <v>69</v>
      </c>
      <c r="AZ1953" t="b">
        <v>1</v>
      </c>
    </row>
    <row r="1954" spans="1:52" x14ac:dyDescent="0.3">
      <c r="A1954" t="s">
        <v>52</v>
      </c>
      <c r="B1954" t="s">
        <v>53</v>
      </c>
      <c r="C1954" t="s">
        <v>54</v>
      </c>
      <c r="D1954" t="s">
        <v>55</v>
      </c>
      <c r="E1954" t="s">
        <v>2148</v>
      </c>
      <c r="F1954" t="s">
        <v>1247</v>
      </c>
      <c r="G1954" t="s">
        <v>528</v>
      </c>
      <c r="H1954" t="s">
        <v>529</v>
      </c>
      <c r="I1954" t="s">
        <v>529</v>
      </c>
      <c r="J1954" t="s">
        <v>60</v>
      </c>
      <c r="K1954" t="s">
        <v>530</v>
      </c>
      <c r="L1954" t="s">
        <v>62</v>
      </c>
      <c r="M1954" t="s">
        <v>530</v>
      </c>
      <c r="N1954" t="s">
        <v>531</v>
      </c>
      <c r="O1954" t="s">
        <v>532</v>
      </c>
      <c r="P1954">
        <v>-20.142457</v>
      </c>
      <c r="Q1954">
        <v>-44.891688000000002</v>
      </c>
      <c r="R1954" s="2" t="str">
        <f>HYPERLINK("https://www.google.com/maps?q=-20.1424570,-44.8916880","Abrir no Google Maps")</f>
        <v>Abrir no Google Maps</v>
      </c>
      <c r="S1954">
        <v>3</v>
      </c>
      <c r="T1954">
        <v>0</v>
      </c>
      <c r="U1954">
        <v>2</v>
      </c>
      <c r="V1954">
        <v>14</v>
      </c>
      <c r="W1954">
        <v>1</v>
      </c>
      <c r="X1954">
        <v>14</v>
      </c>
      <c r="Y1954">
        <v>557</v>
      </c>
      <c r="Z1954">
        <v>42.611952255679803</v>
      </c>
      <c r="AA1954">
        <v>198</v>
      </c>
      <c r="AB1954">
        <v>332</v>
      </c>
      <c r="AC1954">
        <v>536</v>
      </c>
      <c r="AD1954">
        <v>30.74</v>
      </c>
      <c r="AE1954">
        <v>542</v>
      </c>
      <c r="AF1954">
        <v>30</v>
      </c>
      <c r="AG1954">
        <v>178</v>
      </c>
      <c r="AH1954">
        <v>129</v>
      </c>
      <c r="AI1954">
        <v>5.54</v>
      </c>
      <c r="AJ1954">
        <v>32.840000000000003</v>
      </c>
      <c r="AK1954">
        <v>23.8</v>
      </c>
      <c r="AL1954">
        <v>-20.142523099999948</v>
      </c>
      <c r="AM1954">
        <v>-44.891523817588819</v>
      </c>
      <c r="AN1954">
        <v>-20.142523099999948</v>
      </c>
      <c r="AO1954">
        <v>-44.891523817588819</v>
      </c>
      <c r="AP1954">
        <v>-20.142457</v>
      </c>
      <c r="AQ1954">
        <v>-44.891688000000002</v>
      </c>
      <c r="AR1954">
        <v>18.670129248632971</v>
      </c>
      <c r="AS1954" t="s">
        <v>65</v>
      </c>
      <c r="AT1954">
        <v>1</v>
      </c>
      <c r="AU1954" t="s">
        <v>533</v>
      </c>
      <c r="AV1954" t="s">
        <v>534</v>
      </c>
      <c r="AW1954" t="s">
        <v>60</v>
      </c>
      <c r="AX1954" t="s">
        <v>68</v>
      </c>
      <c r="AY1954" t="s">
        <v>69</v>
      </c>
      <c r="AZ1954" t="b">
        <v>1</v>
      </c>
    </row>
    <row r="1955" spans="1:52" x14ac:dyDescent="0.3">
      <c r="A1955" t="s">
        <v>52</v>
      </c>
      <c r="B1955" t="s">
        <v>53</v>
      </c>
      <c r="C1955" t="s">
        <v>54</v>
      </c>
      <c r="D1955" t="s">
        <v>55</v>
      </c>
      <c r="E1955" t="s">
        <v>2148</v>
      </c>
      <c r="F1955" t="s">
        <v>1247</v>
      </c>
      <c r="G1955" t="s">
        <v>473</v>
      </c>
      <c r="H1955" t="s">
        <v>1445</v>
      </c>
      <c r="I1955" t="s">
        <v>1445</v>
      </c>
      <c r="J1955" t="s">
        <v>60</v>
      </c>
      <c r="K1955" t="s">
        <v>892</v>
      </c>
      <c r="L1955" t="s">
        <v>62</v>
      </c>
      <c r="M1955" t="s">
        <v>892</v>
      </c>
      <c r="N1955" t="s">
        <v>406</v>
      </c>
      <c r="O1955" t="s">
        <v>1446</v>
      </c>
      <c r="P1955">
        <v>-20.14941</v>
      </c>
      <c r="Q1955">
        <v>-44.899535</v>
      </c>
      <c r="R1955" s="2" t="str">
        <f>HYPERLINK("https://www.google.com/maps?q=-20.1494100,-44.8995350","Abrir no Google Maps")</f>
        <v>Abrir no Google Maps</v>
      </c>
      <c r="S1955">
        <v>3</v>
      </c>
      <c r="T1955">
        <v>249.83945591849931</v>
      </c>
      <c r="U1955">
        <v>2</v>
      </c>
      <c r="V1955">
        <v>10</v>
      </c>
      <c r="W1955">
        <v>0.85</v>
      </c>
      <c r="X1955">
        <v>8.5</v>
      </c>
      <c r="Y1955">
        <v>556</v>
      </c>
      <c r="Z1955">
        <v>156.62360082488701</v>
      </c>
      <c r="AA1955">
        <v>198</v>
      </c>
      <c r="AB1955">
        <v>332</v>
      </c>
      <c r="AC1955">
        <v>536</v>
      </c>
      <c r="AD1955">
        <v>30.74</v>
      </c>
      <c r="AE1955">
        <v>542</v>
      </c>
      <c r="AF1955">
        <v>30</v>
      </c>
      <c r="AG1955">
        <v>178</v>
      </c>
      <c r="AH1955">
        <v>129</v>
      </c>
      <c r="AI1955">
        <v>5.54</v>
      </c>
      <c r="AJ1955">
        <v>32.840000000000003</v>
      </c>
      <c r="AK1955">
        <v>23.8</v>
      </c>
      <c r="AL1955">
        <v>-20.149341899999939</v>
      </c>
      <c r="AM1955">
        <v>-44.899575902083967</v>
      </c>
      <c r="AN1955">
        <v>-20.149341899999939</v>
      </c>
      <c r="AO1955">
        <v>-44.899575902083967</v>
      </c>
      <c r="AP1955">
        <v>-20.14941</v>
      </c>
      <c r="AQ1955">
        <v>-44.899535</v>
      </c>
      <c r="AR1955">
        <v>8.7029725999778709</v>
      </c>
      <c r="AS1955" t="s">
        <v>65</v>
      </c>
      <c r="AT1955">
        <v>1</v>
      </c>
      <c r="AU1955" t="s">
        <v>1447</v>
      </c>
      <c r="AV1955" t="s">
        <v>1448</v>
      </c>
      <c r="AW1955" t="s">
        <v>60</v>
      </c>
      <c r="AX1955" t="s">
        <v>68</v>
      </c>
      <c r="AY1955" t="s">
        <v>69</v>
      </c>
      <c r="AZ1955" t="b">
        <v>1</v>
      </c>
    </row>
    <row r="1956" spans="1:52" x14ac:dyDescent="0.3">
      <c r="A1956" t="s">
        <v>52</v>
      </c>
      <c r="B1956" t="s">
        <v>53</v>
      </c>
      <c r="C1956" t="s">
        <v>54</v>
      </c>
      <c r="D1956" t="s">
        <v>55</v>
      </c>
      <c r="E1956" t="s">
        <v>2148</v>
      </c>
      <c r="F1956" t="s">
        <v>1247</v>
      </c>
      <c r="G1956" t="s">
        <v>897</v>
      </c>
      <c r="H1956" t="s">
        <v>898</v>
      </c>
      <c r="I1956" t="s">
        <v>898</v>
      </c>
      <c r="J1956" t="s">
        <v>60</v>
      </c>
      <c r="K1956" t="s">
        <v>892</v>
      </c>
      <c r="L1956" t="s">
        <v>62</v>
      </c>
      <c r="M1956" t="s">
        <v>892</v>
      </c>
      <c r="N1956" t="s">
        <v>899</v>
      </c>
      <c r="O1956" t="s">
        <v>900</v>
      </c>
      <c r="P1956">
        <v>-20.154885</v>
      </c>
      <c r="Q1956">
        <v>-44.899890999999997</v>
      </c>
      <c r="R1956" s="2" t="str">
        <f>HYPERLINK("https://www.google.com/maps?q=-20.1548850,-44.8998910","Abrir no Google Maps")</f>
        <v>Abrir no Google Maps</v>
      </c>
      <c r="S1956">
        <v>3</v>
      </c>
      <c r="T1956">
        <v>314.66339661014308</v>
      </c>
      <c r="U1956">
        <v>2</v>
      </c>
      <c r="V1956">
        <v>11</v>
      </c>
      <c r="W1956">
        <v>1</v>
      </c>
      <c r="X1956">
        <v>11</v>
      </c>
      <c r="Y1956">
        <v>548</v>
      </c>
      <c r="Z1956">
        <v>319.02252584834253</v>
      </c>
      <c r="AA1956">
        <v>198</v>
      </c>
      <c r="AB1956">
        <v>332</v>
      </c>
      <c r="AC1956">
        <v>536</v>
      </c>
      <c r="AD1956">
        <v>30.74</v>
      </c>
      <c r="AE1956">
        <v>542</v>
      </c>
      <c r="AF1956">
        <v>30</v>
      </c>
      <c r="AG1956">
        <v>178</v>
      </c>
      <c r="AH1956">
        <v>129</v>
      </c>
      <c r="AI1956">
        <v>5.54</v>
      </c>
      <c r="AJ1956">
        <v>32.840000000000003</v>
      </c>
      <c r="AK1956">
        <v>23.8</v>
      </c>
      <c r="AL1956">
        <v>-20.154906649999951</v>
      </c>
      <c r="AM1956">
        <v>-44.899894072543653</v>
      </c>
      <c r="AN1956">
        <v>-20.154906649999951</v>
      </c>
      <c r="AO1956">
        <v>-44.899894072543653</v>
      </c>
      <c r="AP1956">
        <v>-20.154885</v>
      </c>
      <c r="AQ1956">
        <v>-44.899890999999997</v>
      </c>
      <c r="AR1956">
        <v>2.431373123904943</v>
      </c>
      <c r="AS1956" t="s">
        <v>65</v>
      </c>
      <c r="AT1956">
        <v>1</v>
      </c>
      <c r="AU1956" t="s">
        <v>901</v>
      </c>
      <c r="AV1956" t="s">
        <v>902</v>
      </c>
      <c r="AW1956" t="s">
        <v>60</v>
      </c>
      <c r="AX1956" t="s">
        <v>68</v>
      </c>
      <c r="AY1956" t="s">
        <v>69</v>
      </c>
      <c r="AZ1956" t="b">
        <v>1</v>
      </c>
    </row>
    <row r="1957" spans="1:52" x14ac:dyDescent="0.3">
      <c r="A1957" t="s">
        <v>52</v>
      </c>
      <c r="B1957" t="s">
        <v>53</v>
      </c>
      <c r="C1957" t="s">
        <v>54</v>
      </c>
      <c r="D1957" t="s">
        <v>55</v>
      </c>
      <c r="E1957" t="s">
        <v>2148</v>
      </c>
      <c r="F1957" t="s">
        <v>1247</v>
      </c>
      <c r="G1957" t="s">
        <v>562</v>
      </c>
      <c r="H1957" t="s">
        <v>563</v>
      </c>
      <c r="I1957" t="s">
        <v>563</v>
      </c>
      <c r="J1957" t="s">
        <v>60</v>
      </c>
      <c r="K1957" t="s">
        <v>388</v>
      </c>
      <c r="L1957" t="s">
        <v>62</v>
      </c>
      <c r="M1957" t="s">
        <v>388</v>
      </c>
      <c r="N1957" t="s">
        <v>564</v>
      </c>
      <c r="O1957" t="s">
        <v>565</v>
      </c>
      <c r="P1957">
        <v>-20.154432</v>
      </c>
      <c r="Q1957">
        <v>-44.902977999999997</v>
      </c>
      <c r="R1957" s="2" t="str">
        <f>HYPERLINK("https://www.google.com/maps?q=-20.1544320,-44.9029780","Abrir no Google Maps")</f>
        <v>Abrir no Google Maps</v>
      </c>
      <c r="S1957">
        <v>3</v>
      </c>
      <c r="T1957">
        <v>0</v>
      </c>
      <c r="U1957">
        <v>2</v>
      </c>
      <c r="V1957">
        <v>13</v>
      </c>
      <c r="W1957">
        <v>1</v>
      </c>
      <c r="X1957">
        <v>13</v>
      </c>
      <c r="Y1957">
        <v>548</v>
      </c>
      <c r="Z1957">
        <v>29.424211042533759</v>
      </c>
      <c r="AA1957">
        <v>198</v>
      </c>
      <c r="AB1957">
        <v>332</v>
      </c>
      <c r="AC1957">
        <v>536</v>
      </c>
      <c r="AD1957">
        <v>30.74</v>
      </c>
      <c r="AE1957">
        <v>542</v>
      </c>
      <c r="AF1957">
        <v>30</v>
      </c>
      <c r="AG1957">
        <v>178</v>
      </c>
      <c r="AH1957">
        <v>129</v>
      </c>
      <c r="AI1957">
        <v>5.54</v>
      </c>
      <c r="AJ1957">
        <v>32.840000000000003</v>
      </c>
      <c r="AK1957">
        <v>23.8</v>
      </c>
      <c r="AL1957">
        <v>-20.15467689999997</v>
      </c>
      <c r="AM1957">
        <v>-44.902895281771222</v>
      </c>
      <c r="AN1957">
        <v>-20.15467689999997</v>
      </c>
      <c r="AO1957">
        <v>-44.902895281771222</v>
      </c>
      <c r="AP1957">
        <v>-20.154432</v>
      </c>
      <c r="AQ1957">
        <v>-44.902977999999997</v>
      </c>
      <c r="AR1957">
        <v>28.5999270636025</v>
      </c>
      <c r="AS1957" t="s">
        <v>65</v>
      </c>
      <c r="AT1957">
        <v>1</v>
      </c>
      <c r="AU1957" t="s">
        <v>566</v>
      </c>
      <c r="AV1957" t="s">
        <v>567</v>
      </c>
      <c r="AW1957" t="s">
        <v>60</v>
      </c>
      <c r="AX1957" t="s">
        <v>68</v>
      </c>
      <c r="AY1957" t="s">
        <v>69</v>
      </c>
      <c r="AZ1957" t="b">
        <v>1</v>
      </c>
    </row>
    <row r="1958" spans="1:52" x14ac:dyDescent="0.3">
      <c r="A1958" t="s">
        <v>52</v>
      </c>
      <c r="B1958" t="s">
        <v>53</v>
      </c>
      <c r="C1958" t="s">
        <v>54</v>
      </c>
      <c r="D1958" t="s">
        <v>55</v>
      </c>
      <c r="E1958" t="s">
        <v>2148</v>
      </c>
      <c r="F1958" t="s">
        <v>1247</v>
      </c>
      <c r="G1958" t="s">
        <v>1283</v>
      </c>
      <c r="H1958" t="s">
        <v>1284</v>
      </c>
      <c r="I1958" t="s">
        <v>1284</v>
      </c>
      <c r="J1958" t="s">
        <v>60</v>
      </c>
      <c r="K1958" t="s">
        <v>388</v>
      </c>
      <c r="L1958" t="s">
        <v>62</v>
      </c>
      <c r="M1958" t="s">
        <v>388</v>
      </c>
      <c r="N1958" t="s">
        <v>400</v>
      </c>
      <c r="O1958" t="s">
        <v>1285</v>
      </c>
      <c r="P1958">
        <v>-20.156977999999999</v>
      </c>
      <c r="Q1958">
        <v>-44.90325</v>
      </c>
      <c r="R1958" s="2" t="str">
        <f>HYPERLINK("https://www.google.com/maps?q=-20.1569780,-44.9032500","Abrir no Google Maps")</f>
        <v>Abrir no Google Maps</v>
      </c>
      <c r="S1958">
        <v>3</v>
      </c>
      <c r="T1958">
        <v>256.05633739092571</v>
      </c>
      <c r="U1958">
        <v>1</v>
      </c>
      <c r="V1958">
        <v>6</v>
      </c>
      <c r="W1958">
        <v>0.85</v>
      </c>
      <c r="X1958">
        <v>5.0999999999999996</v>
      </c>
      <c r="Y1958">
        <v>729</v>
      </c>
      <c r="Z1958">
        <v>162.99447055889971</v>
      </c>
      <c r="AA1958">
        <v>198</v>
      </c>
      <c r="AB1958">
        <v>332</v>
      </c>
      <c r="AC1958">
        <v>536</v>
      </c>
      <c r="AD1958">
        <v>30.74</v>
      </c>
      <c r="AE1958">
        <v>542</v>
      </c>
      <c r="AF1958">
        <v>30</v>
      </c>
      <c r="AG1958">
        <v>178</v>
      </c>
      <c r="AH1958">
        <v>129</v>
      </c>
      <c r="AI1958">
        <v>5.54</v>
      </c>
      <c r="AJ1958">
        <v>32.840000000000003</v>
      </c>
      <c r="AK1958">
        <v>23.8</v>
      </c>
      <c r="AL1958">
        <v>-20.15696524999996</v>
      </c>
      <c r="AM1958">
        <v>-44.903258102626708</v>
      </c>
      <c r="AN1958">
        <v>-20.15696524999996</v>
      </c>
      <c r="AO1958">
        <v>-44.903258102626708</v>
      </c>
      <c r="AP1958">
        <v>-20.156977999999999</v>
      </c>
      <c r="AQ1958">
        <v>-44.90325</v>
      </c>
      <c r="AR1958">
        <v>1.6527147033629741</v>
      </c>
      <c r="AS1958" t="s">
        <v>65</v>
      </c>
      <c r="AT1958">
        <v>1</v>
      </c>
      <c r="AU1958" t="s">
        <v>1286</v>
      </c>
      <c r="AV1958" t="s">
        <v>1287</v>
      </c>
      <c r="AW1958" t="s">
        <v>60</v>
      </c>
      <c r="AX1958" t="s">
        <v>68</v>
      </c>
      <c r="AY1958" t="s">
        <v>69</v>
      </c>
      <c r="AZ1958" t="b">
        <v>1</v>
      </c>
    </row>
    <row r="1959" spans="1:52" x14ac:dyDescent="0.3">
      <c r="A1959" t="s">
        <v>52</v>
      </c>
      <c r="B1959" t="s">
        <v>53</v>
      </c>
      <c r="C1959" t="s">
        <v>54</v>
      </c>
      <c r="D1959" t="s">
        <v>55</v>
      </c>
      <c r="E1959" t="s">
        <v>2148</v>
      </c>
      <c r="F1959" t="s">
        <v>1247</v>
      </c>
      <c r="G1959" t="s">
        <v>1288</v>
      </c>
      <c r="H1959" t="s">
        <v>1289</v>
      </c>
      <c r="I1959" t="s">
        <v>1289</v>
      </c>
      <c r="J1959" t="s">
        <v>60</v>
      </c>
      <c r="K1959" t="s">
        <v>1290</v>
      </c>
      <c r="L1959" t="s">
        <v>62</v>
      </c>
      <c r="M1959" t="s">
        <v>1290</v>
      </c>
      <c r="N1959" t="s">
        <v>1291</v>
      </c>
      <c r="O1959" t="s">
        <v>315</v>
      </c>
      <c r="P1959">
        <v>-20.171008</v>
      </c>
      <c r="Q1959">
        <v>-44.918908999999999</v>
      </c>
      <c r="R1959" s="2" t="str">
        <f>HYPERLINK("https://www.google.com/maps?q=-20.1710080,-44.9189090","Abrir no Google Maps")</f>
        <v>Abrir no Google Maps</v>
      </c>
      <c r="S1959">
        <v>3</v>
      </c>
      <c r="T1959">
        <v>972.86786700299888</v>
      </c>
      <c r="U1959">
        <v>1</v>
      </c>
      <c r="V1959">
        <v>7</v>
      </c>
      <c r="W1959">
        <v>0.85</v>
      </c>
      <c r="X1959">
        <v>5.95</v>
      </c>
      <c r="Y1959">
        <v>723</v>
      </c>
      <c r="Z1959">
        <v>690.55600110253613</v>
      </c>
      <c r="AA1959">
        <v>198</v>
      </c>
      <c r="AB1959">
        <v>332</v>
      </c>
      <c r="AC1959">
        <v>536</v>
      </c>
      <c r="AD1959">
        <v>30.74</v>
      </c>
      <c r="AE1959">
        <v>542</v>
      </c>
      <c r="AF1959">
        <v>30</v>
      </c>
      <c r="AG1959">
        <v>178</v>
      </c>
      <c r="AH1959">
        <v>129</v>
      </c>
      <c r="AI1959">
        <v>5.54</v>
      </c>
      <c r="AJ1959">
        <v>32.840000000000003</v>
      </c>
      <c r="AK1959">
        <v>23.8</v>
      </c>
      <c r="AL1959">
        <v>-20.171738249999979</v>
      </c>
      <c r="AM1959">
        <v>-44.919736490382917</v>
      </c>
      <c r="AN1959">
        <v>-20.171738249999979</v>
      </c>
      <c r="AO1959">
        <v>-44.919736490382931</v>
      </c>
      <c r="AP1959">
        <v>-20.171008</v>
      </c>
      <c r="AQ1959">
        <v>-44.918908999999999</v>
      </c>
      <c r="AR1959">
        <v>118.678920061485</v>
      </c>
      <c r="AS1959" t="s">
        <v>65</v>
      </c>
      <c r="AT1959">
        <v>1</v>
      </c>
      <c r="AU1959" t="s">
        <v>1292</v>
      </c>
      <c r="AV1959" t="s">
        <v>1293</v>
      </c>
      <c r="AW1959" t="s">
        <v>60</v>
      </c>
      <c r="AX1959" t="s">
        <v>68</v>
      </c>
      <c r="AY1959" t="s">
        <v>69</v>
      </c>
      <c r="AZ1959" t="b">
        <v>1</v>
      </c>
    </row>
    <row r="1960" spans="1:52" x14ac:dyDescent="0.3">
      <c r="A1960" t="s">
        <v>52</v>
      </c>
      <c r="B1960" t="s">
        <v>53</v>
      </c>
      <c r="C1960" t="s">
        <v>54</v>
      </c>
      <c r="D1960" t="s">
        <v>55</v>
      </c>
      <c r="E1960" t="s">
        <v>2148</v>
      </c>
      <c r="F1960" t="s">
        <v>1247</v>
      </c>
      <c r="G1960" t="s">
        <v>845</v>
      </c>
      <c r="H1960" t="s">
        <v>846</v>
      </c>
      <c r="I1960" t="s">
        <v>846</v>
      </c>
      <c r="J1960" t="s">
        <v>60</v>
      </c>
      <c r="K1960" t="s">
        <v>424</v>
      </c>
      <c r="L1960" t="s">
        <v>62</v>
      </c>
      <c r="M1960" t="s">
        <v>424</v>
      </c>
      <c r="N1960" t="s">
        <v>847</v>
      </c>
      <c r="O1960" t="s">
        <v>848</v>
      </c>
      <c r="P1960">
        <v>-20.175523999999999</v>
      </c>
      <c r="Q1960">
        <v>-44.918016999999999</v>
      </c>
      <c r="R1960" s="2" t="str">
        <f>HYPERLINK("https://www.google.com/maps?q=-20.1755240,-44.9180170","Abrir no Google Maps")</f>
        <v>Abrir no Google Maps</v>
      </c>
      <c r="S1960">
        <v>3</v>
      </c>
      <c r="T1960">
        <v>833.59191671824021</v>
      </c>
      <c r="U1960">
        <v>1</v>
      </c>
      <c r="V1960">
        <v>9</v>
      </c>
      <c r="W1960">
        <v>0.85</v>
      </c>
      <c r="X1960">
        <v>7.6499999999999986</v>
      </c>
      <c r="Y1960">
        <v>723</v>
      </c>
      <c r="Z1960">
        <v>701.05790658871581</v>
      </c>
      <c r="AA1960">
        <v>198</v>
      </c>
      <c r="AB1960">
        <v>332</v>
      </c>
      <c r="AC1960">
        <v>536</v>
      </c>
      <c r="AD1960">
        <v>30.74</v>
      </c>
      <c r="AE1960">
        <v>542</v>
      </c>
      <c r="AF1960">
        <v>30</v>
      </c>
      <c r="AG1960">
        <v>178</v>
      </c>
      <c r="AH1960">
        <v>129</v>
      </c>
      <c r="AI1960">
        <v>5.54</v>
      </c>
      <c r="AJ1960">
        <v>32.840000000000003</v>
      </c>
      <c r="AK1960">
        <v>23.8</v>
      </c>
      <c r="AL1960">
        <v>-20.17533859999995</v>
      </c>
      <c r="AM1960">
        <v>-44.917689627873088</v>
      </c>
      <c r="AN1960">
        <v>-20.17533859999995</v>
      </c>
      <c r="AO1960">
        <v>-44.917689627873088</v>
      </c>
      <c r="AP1960">
        <v>-20.175523999999999</v>
      </c>
      <c r="AQ1960">
        <v>-44.918016999999999</v>
      </c>
      <c r="AR1960">
        <v>39.950898228213873</v>
      </c>
      <c r="AS1960" t="s">
        <v>65</v>
      </c>
      <c r="AT1960">
        <v>1</v>
      </c>
      <c r="AU1960" t="s">
        <v>849</v>
      </c>
      <c r="AV1960" t="s">
        <v>850</v>
      </c>
      <c r="AW1960" t="s">
        <v>60</v>
      </c>
      <c r="AX1960" t="s">
        <v>68</v>
      </c>
      <c r="AY1960" t="s">
        <v>69</v>
      </c>
      <c r="AZ1960" t="b">
        <v>1</v>
      </c>
    </row>
    <row r="1961" spans="1:52" x14ac:dyDescent="0.3">
      <c r="A1961" t="s">
        <v>52</v>
      </c>
      <c r="B1961" t="s">
        <v>53</v>
      </c>
      <c r="C1961" t="s">
        <v>54</v>
      </c>
      <c r="D1961" t="s">
        <v>55</v>
      </c>
      <c r="E1961" t="s">
        <v>2148</v>
      </c>
      <c r="F1961" t="s">
        <v>1247</v>
      </c>
      <c r="G1961" t="s">
        <v>1318</v>
      </c>
      <c r="H1961" t="s">
        <v>1319</v>
      </c>
      <c r="I1961" t="s">
        <v>1319</v>
      </c>
      <c r="J1961" t="s">
        <v>60</v>
      </c>
      <c r="K1961" t="s">
        <v>1314</v>
      </c>
      <c r="L1961" t="s">
        <v>62</v>
      </c>
      <c r="M1961" t="s">
        <v>1314</v>
      </c>
      <c r="N1961" t="s">
        <v>1320</v>
      </c>
      <c r="O1961" t="s">
        <v>1321</v>
      </c>
      <c r="P1961">
        <v>-20.178615000000001</v>
      </c>
      <c r="Q1961">
        <v>-44.924697999999999</v>
      </c>
      <c r="R1961" s="2" t="str">
        <f>HYPERLINK("https://www.google.com/maps?q=-20.1786150,-44.9246980","Abrir no Google Maps")</f>
        <v>Abrir no Google Maps</v>
      </c>
      <c r="S1961">
        <v>3</v>
      </c>
      <c r="T1961">
        <v>1583.462557226148</v>
      </c>
      <c r="U1961">
        <v>1</v>
      </c>
      <c r="V1961">
        <v>7</v>
      </c>
      <c r="W1961">
        <v>0.85</v>
      </c>
      <c r="X1961">
        <v>5.95</v>
      </c>
      <c r="Y1961">
        <v>723</v>
      </c>
      <c r="Z1961">
        <v>1414.1542726995031</v>
      </c>
      <c r="AA1961">
        <v>198</v>
      </c>
      <c r="AB1961">
        <v>332</v>
      </c>
      <c r="AC1961">
        <v>536</v>
      </c>
      <c r="AD1961">
        <v>30.74</v>
      </c>
      <c r="AE1961">
        <v>542</v>
      </c>
      <c r="AF1961">
        <v>30</v>
      </c>
      <c r="AG1961">
        <v>178</v>
      </c>
      <c r="AH1961">
        <v>129</v>
      </c>
      <c r="AI1961">
        <v>5.54</v>
      </c>
      <c r="AJ1961">
        <v>32.840000000000003</v>
      </c>
      <c r="AK1961">
        <v>23.8</v>
      </c>
      <c r="AL1961">
        <v>-20.17821329999995</v>
      </c>
      <c r="AM1961">
        <v>-44.924188563452951</v>
      </c>
      <c r="AN1961">
        <v>-20.17821329999995</v>
      </c>
      <c r="AO1961">
        <v>-44.924188563452951</v>
      </c>
      <c r="AP1961">
        <v>-20.178615000000001</v>
      </c>
      <c r="AQ1961">
        <v>-44.924697999999999</v>
      </c>
      <c r="AR1961">
        <v>69.520116290580319</v>
      </c>
      <c r="AS1961" t="s">
        <v>65</v>
      </c>
      <c r="AT1961">
        <v>1</v>
      </c>
      <c r="AU1961" t="s">
        <v>1322</v>
      </c>
      <c r="AV1961" t="s">
        <v>1317</v>
      </c>
      <c r="AW1961" t="s">
        <v>60</v>
      </c>
      <c r="AX1961" t="s">
        <v>68</v>
      </c>
      <c r="AY1961" t="s">
        <v>69</v>
      </c>
      <c r="AZ1961" t="b">
        <v>1</v>
      </c>
    </row>
    <row r="1962" spans="1:52" x14ac:dyDescent="0.3">
      <c r="A1962" t="s">
        <v>52</v>
      </c>
      <c r="B1962" t="s">
        <v>53</v>
      </c>
      <c r="C1962" t="s">
        <v>54</v>
      </c>
      <c r="D1962" t="s">
        <v>55</v>
      </c>
      <c r="E1962" t="s">
        <v>2148</v>
      </c>
      <c r="F1962" t="s">
        <v>1247</v>
      </c>
      <c r="G1962" t="s">
        <v>1342</v>
      </c>
      <c r="H1962" t="s">
        <v>1343</v>
      </c>
      <c r="I1962" t="s">
        <v>1343</v>
      </c>
      <c r="J1962" t="s">
        <v>60</v>
      </c>
      <c r="K1962" t="s">
        <v>462</v>
      </c>
      <c r="L1962" t="s">
        <v>62</v>
      </c>
      <c r="M1962" t="s">
        <v>462</v>
      </c>
      <c r="N1962" t="s">
        <v>921</v>
      </c>
      <c r="O1962" t="s">
        <v>1344</v>
      </c>
      <c r="P1962">
        <v>-20.137526000000001</v>
      </c>
      <c r="Q1962">
        <v>-44.912452999999999</v>
      </c>
      <c r="R1962" s="2" t="str">
        <f>HYPERLINK("https://www.google.com/maps?q=-20.1375260,-44.9124530","Abrir no Google Maps")</f>
        <v>Abrir no Google Maps</v>
      </c>
      <c r="S1962">
        <v>3</v>
      </c>
      <c r="T1962">
        <v>446.95091416730708</v>
      </c>
      <c r="U1962">
        <v>1</v>
      </c>
      <c r="V1962">
        <v>8</v>
      </c>
      <c r="W1962">
        <v>0.85</v>
      </c>
      <c r="X1962">
        <v>6.8</v>
      </c>
      <c r="Y1962">
        <v>581</v>
      </c>
      <c r="Z1962">
        <v>507.4747778269288</v>
      </c>
      <c r="AA1962">
        <v>198</v>
      </c>
      <c r="AB1962">
        <v>332</v>
      </c>
      <c r="AC1962">
        <v>536</v>
      </c>
      <c r="AD1962">
        <v>30.74</v>
      </c>
      <c r="AE1962">
        <v>542</v>
      </c>
      <c r="AF1962">
        <v>30</v>
      </c>
      <c r="AG1962">
        <v>178</v>
      </c>
      <c r="AH1962">
        <v>129</v>
      </c>
      <c r="AI1962">
        <v>5.54</v>
      </c>
      <c r="AJ1962">
        <v>32.840000000000003</v>
      </c>
      <c r="AK1962">
        <v>23.8</v>
      </c>
      <c r="AL1962">
        <v>-20.136672649999959</v>
      </c>
      <c r="AM1962">
        <v>-44.911825104396357</v>
      </c>
      <c r="AN1962">
        <v>-20.136672649999959</v>
      </c>
      <c r="AO1962">
        <v>-44.911825104396357</v>
      </c>
      <c r="AP1962">
        <v>-20.137526000000001</v>
      </c>
      <c r="AQ1962">
        <v>-44.912452999999999</v>
      </c>
      <c r="AR1962">
        <v>115.45843265992529</v>
      </c>
      <c r="AS1962" t="s">
        <v>65</v>
      </c>
      <c r="AT1962">
        <v>1</v>
      </c>
      <c r="AU1962" t="s">
        <v>1345</v>
      </c>
      <c r="AV1962" t="s">
        <v>1346</v>
      </c>
      <c r="AW1962" t="s">
        <v>60</v>
      </c>
      <c r="AX1962" t="s">
        <v>68</v>
      </c>
      <c r="AY1962" t="s">
        <v>69</v>
      </c>
      <c r="AZ1962" t="b">
        <v>1</v>
      </c>
    </row>
    <row r="1963" spans="1:52" x14ac:dyDescent="0.3">
      <c r="A1963" t="s">
        <v>52</v>
      </c>
      <c r="B1963" t="s">
        <v>53</v>
      </c>
      <c r="C1963" t="s">
        <v>54</v>
      </c>
      <c r="D1963" t="s">
        <v>55</v>
      </c>
      <c r="E1963" t="s">
        <v>2148</v>
      </c>
      <c r="F1963" t="s">
        <v>1247</v>
      </c>
      <c r="G1963" t="s">
        <v>1347</v>
      </c>
      <c r="H1963" t="s">
        <v>1348</v>
      </c>
      <c r="I1963" t="s">
        <v>1348</v>
      </c>
      <c r="J1963" t="s">
        <v>60</v>
      </c>
      <c r="K1963" t="s">
        <v>1349</v>
      </c>
      <c r="L1963" t="s">
        <v>62</v>
      </c>
      <c r="M1963" t="s">
        <v>1349</v>
      </c>
      <c r="N1963" t="s">
        <v>1350</v>
      </c>
      <c r="O1963" t="s">
        <v>1351</v>
      </c>
      <c r="P1963">
        <v>-20.140426999999999</v>
      </c>
      <c r="Q1963">
        <v>-44.905327999999997</v>
      </c>
      <c r="R1963" s="2" t="str">
        <f>HYPERLINK("https://www.google.com/maps?q=-20.1404270,-44.9053280","Abrir no Google Maps")</f>
        <v>Abrir no Google Maps</v>
      </c>
      <c r="S1963">
        <v>3</v>
      </c>
      <c r="T1963">
        <v>359.5810968231857</v>
      </c>
      <c r="U1963">
        <v>1</v>
      </c>
      <c r="V1963">
        <v>6</v>
      </c>
      <c r="W1963">
        <v>0.85</v>
      </c>
      <c r="X1963">
        <v>5.0999999999999996</v>
      </c>
      <c r="Y1963">
        <v>581</v>
      </c>
      <c r="Z1963">
        <v>292.370097058873</v>
      </c>
      <c r="AA1963">
        <v>198</v>
      </c>
      <c r="AB1963">
        <v>332</v>
      </c>
      <c r="AC1963">
        <v>536</v>
      </c>
      <c r="AD1963">
        <v>30.74</v>
      </c>
      <c r="AE1963">
        <v>542</v>
      </c>
      <c r="AF1963">
        <v>30</v>
      </c>
      <c r="AG1963">
        <v>178</v>
      </c>
      <c r="AH1963">
        <v>129</v>
      </c>
      <c r="AI1963">
        <v>5.54</v>
      </c>
      <c r="AJ1963">
        <v>32.840000000000003</v>
      </c>
      <c r="AK1963">
        <v>23.8</v>
      </c>
      <c r="AL1963">
        <v>-20.140465449999969</v>
      </c>
      <c r="AM1963">
        <v>-44.905317129037229</v>
      </c>
      <c r="AN1963">
        <v>-20.140465449999969</v>
      </c>
      <c r="AO1963">
        <v>-44.905317129037229</v>
      </c>
      <c r="AP1963">
        <v>-20.140426999999999</v>
      </c>
      <c r="AQ1963">
        <v>-44.905327999999997</v>
      </c>
      <c r="AR1963">
        <v>4.4284788644958706</v>
      </c>
      <c r="AS1963" t="s">
        <v>65</v>
      </c>
      <c r="AT1963">
        <v>1</v>
      </c>
      <c r="AU1963" t="s">
        <v>1352</v>
      </c>
      <c r="AV1963" t="s">
        <v>1353</v>
      </c>
      <c r="AW1963" t="s">
        <v>60</v>
      </c>
      <c r="AX1963" t="s">
        <v>68</v>
      </c>
      <c r="AY1963" t="s">
        <v>69</v>
      </c>
      <c r="AZ1963" t="b">
        <v>1</v>
      </c>
    </row>
    <row r="1964" spans="1:52" x14ac:dyDescent="0.3">
      <c r="A1964" t="s">
        <v>52</v>
      </c>
      <c r="B1964" t="s">
        <v>53</v>
      </c>
      <c r="C1964" t="s">
        <v>54</v>
      </c>
      <c r="D1964" t="s">
        <v>55</v>
      </c>
      <c r="E1964" t="s">
        <v>2148</v>
      </c>
      <c r="F1964" t="s">
        <v>1247</v>
      </c>
      <c r="G1964" t="s">
        <v>1354</v>
      </c>
      <c r="H1964" t="s">
        <v>1355</v>
      </c>
      <c r="I1964" t="s">
        <v>1355</v>
      </c>
      <c r="J1964" t="s">
        <v>60</v>
      </c>
      <c r="K1964" t="s">
        <v>1356</v>
      </c>
      <c r="L1964" t="s">
        <v>62</v>
      </c>
      <c r="M1964" t="s">
        <v>1356</v>
      </c>
      <c r="N1964" t="s">
        <v>1357</v>
      </c>
      <c r="O1964" t="s">
        <v>315</v>
      </c>
      <c r="P1964">
        <v>-20.132080999999999</v>
      </c>
      <c r="Q1964">
        <v>-44.908614</v>
      </c>
      <c r="R1964" s="2" t="str">
        <f>HYPERLINK("https://www.google.com/maps?q=-20.1320810,-44.9086140","Abrir no Google Maps")</f>
        <v>Abrir no Google Maps</v>
      </c>
      <c r="S1964">
        <v>3</v>
      </c>
      <c r="T1964">
        <v>701.02570959373259</v>
      </c>
      <c r="U1964">
        <v>1</v>
      </c>
      <c r="V1964">
        <v>9</v>
      </c>
      <c r="W1964">
        <v>0.85</v>
      </c>
      <c r="X1964">
        <v>7.6499999999999986</v>
      </c>
      <c r="Y1964">
        <v>581</v>
      </c>
      <c r="Z1964">
        <v>811.38061352229215</v>
      </c>
      <c r="AA1964">
        <v>198</v>
      </c>
      <c r="AB1964">
        <v>332</v>
      </c>
      <c r="AC1964">
        <v>536</v>
      </c>
      <c r="AD1964">
        <v>30.74</v>
      </c>
      <c r="AE1964">
        <v>542</v>
      </c>
      <c r="AF1964">
        <v>30</v>
      </c>
      <c r="AG1964">
        <v>178</v>
      </c>
      <c r="AH1964">
        <v>129</v>
      </c>
      <c r="AI1964">
        <v>5.54</v>
      </c>
      <c r="AJ1964">
        <v>32.840000000000003</v>
      </c>
      <c r="AK1964">
        <v>23.8</v>
      </c>
      <c r="AL1964">
        <v>-20.132063499999951</v>
      </c>
      <c r="AM1964">
        <v>-44.908630454878519</v>
      </c>
      <c r="AN1964">
        <v>-20.132063499999951</v>
      </c>
      <c r="AO1964">
        <v>-44.908630454878519</v>
      </c>
      <c r="AP1964">
        <v>-20.132080999999999</v>
      </c>
      <c r="AQ1964">
        <v>-44.908614</v>
      </c>
      <c r="AR1964">
        <v>2.5986425761911551</v>
      </c>
      <c r="AS1964" t="s">
        <v>65</v>
      </c>
      <c r="AT1964">
        <v>1</v>
      </c>
      <c r="AU1964" t="s">
        <v>1358</v>
      </c>
      <c r="AV1964" t="s">
        <v>1359</v>
      </c>
      <c r="AW1964" t="s">
        <v>60</v>
      </c>
      <c r="AX1964" t="s">
        <v>68</v>
      </c>
      <c r="AY1964" t="s">
        <v>69</v>
      </c>
      <c r="AZ1964" t="b">
        <v>1</v>
      </c>
    </row>
    <row r="1965" spans="1:52" x14ac:dyDescent="0.3">
      <c r="A1965" t="s">
        <v>52</v>
      </c>
      <c r="B1965" t="s">
        <v>53</v>
      </c>
      <c r="C1965" t="s">
        <v>54</v>
      </c>
      <c r="D1965" t="s">
        <v>55</v>
      </c>
      <c r="E1965" t="s">
        <v>2148</v>
      </c>
      <c r="F1965" t="s">
        <v>1247</v>
      </c>
      <c r="G1965" t="s">
        <v>1364</v>
      </c>
      <c r="H1965" t="s">
        <v>1365</v>
      </c>
      <c r="I1965" t="s">
        <v>1365</v>
      </c>
      <c r="J1965" t="s">
        <v>60</v>
      </c>
      <c r="K1965" t="s">
        <v>1356</v>
      </c>
      <c r="L1965" t="s">
        <v>62</v>
      </c>
      <c r="M1965" t="s">
        <v>1356</v>
      </c>
      <c r="N1965" t="s">
        <v>1366</v>
      </c>
      <c r="O1965" t="s">
        <v>548</v>
      </c>
      <c r="P1965">
        <v>-20.131240999999999</v>
      </c>
      <c r="Q1965">
        <v>-44.910567999999998</v>
      </c>
      <c r="R1965" s="2" t="str">
        <f>HYPERLINK("https://www.google.com/maps?q=-20.1312410,-44.9105680","Abrir no Google Maps")</f>
        <v>Abrir no Google Maps</v>
      </c>
      <c r="S1965">
        <v>3</v>
      </c>
      <c r="T1965">
        <v>822.61354861726704</v>
      </c>
      <c r="U1965">
        <v>1</v>
      </c>
      <c r="V1965">
        <v>5</v>
      </c>
      <c r="W1965">
        <v>0.85</v>
      </c>
      <c r="X1965">
        <v>4.25</v>
      </c>
      <c r="Y1965">
        <v>581</v>
      </c>
      <c r="Z1965">
        <v>982.3990834787046</v>
      </c>
      <c r="AA1965">
        <v>198</v>
      </c>
      <c r="AB1965">
        <v>332</v>
      </c>
      <c r="AC1965">
        <v>536</v>
      </c>
      <c r="AD1965">
        <v>30.74</v>
      </c>
      <c r="AE1965">
        <v>542</v>
      </c>
      <c r="AF1965">
        <v>30</v>
      </c>
      <c r="AG1965">
        <v>178</v>
      </c>
      <c r="AH1965">
        <v>129</v>
      </c>
      <c r="AI1965">
        <v>5.54</v>
      </c>
      <c r="AJ1965">
        <v>32.840000000000003</v>
      </c>
      <c r="AK1965">
        <v>23.8</v>
      </c>
      <c r="AL1965">
        <v>-20.131367099999981</v>
      </c>
      <c r="AM1965">
        <v>-44.910597350758543</v>
      </c>
      <c r="AN1965">
        <v>-20.131367099999981</v>
      </c>
      <c r="AO1965">
        <v>-44.910597350758543</v>
      </c>
      <c r="AP1965">
        <v>-20.131240999999999</v>
      </c>
      <c r="AQ1965">
        <v>-44.910567999999998</v>
      </c>
      <c r="AR1965">
        <v>14.36874794070623</v>
      </c>
      <c r="AS1965" t="s">
        <v>65</v>
      </c>
      <c r="AT1965">
        <v>1</v>
      </c>
      <c r="AU1965" t="s">
        <v>1367</v>
      </c>
      <c r="AV1965" t="s">
        <v>1368</v>
      </c>
      <c r="AW1965" t="s">
        <v>60</v>
      </c>
      <c r="AX1965" t="s">
        <v>68</v>
      </c>
      <c r="AY1965" t="s">
        <v>69</v>
      </c>
      <c r="AZ1965" t="b">
        <v>1</v>
      </c>
    </row>
    <row r="1966" spans="1:52" x14ac:dyDescent="0.3">
      <c r="A1966" t="s">
        <v>52</v>
      </c>
      <c r="B1966" t="s">
        <v>53</v>
      </c>
      <c r="C1966" t="s">
        <v>54</v>
      </c>
      <c r="D1966" t="s">
        <v>55</v>
      </c>
      <c r="E1966" t="s">
        <v>2148</v>
      </c>
      <c r="F1966" t="s">
        <v>1247</v>
      </c>
      <c r="G1966" t="s">
        <v>858</v>
      </c>
      <c r="H1966" t="s">
        <v>859</v>
      </c>
      <c r="I1966" t="s">
        <v>859</v>
      </c>
      <c r="J1966" t="s">
        <v>60</v>
      </c>
      <c r="K1966" t="s">
        <v>462</v>
      </c>
      <c r="L1966" t="s">
        <v>62</v>
      </c>
      <c r="M1966" t="s">
        <v>462</v>
      </c>
      <c r="N1966" t="s">
        <v>860</v>
      </c>
      <c r="O1966" t="s">
        <v>861</v>
      </c>
      <c r="P1966">
        <v>-20.139693999999999</v>
      </c>
      <c r="Q1966">
        <v>-44.911256000000002</v>
      </c>
      <c r="R1966" s="2" t="str">
        <f>HYPERLINK("https://www.google.com/maps?q=-20.1396940,-44.9112560","Abrir no Google Maps")</f>
        <v>Abrir no Google Maps</v>
      </c>
      <c r="S1966">
        <v>3</v>
      </c>
      <c r="T1966">
        <v>380.48036838042862</v>
      </c>
      <c r="U1966">
        <v>1</v>
      </c>
      <c r="V1966">
        <v>9</v>
      </c>
      <c r="W1966">
        <v>0.85</v>
      </c>
      <c r="X1966">
        <v>7.6499999999999986</v>
      </c>
      <c r="Y1966">
        <v>581</v>
      </c>
      <c r="Z1966">
        <v>374.61146000000178</v>
      </c>
      <c r="AA1966">
        <v>198</v>
      </c>
      <c r="AB1966">
        <v>332</v>
      </c>
      <c r="AC1966">
        <v>536</v>
      </c>
      <c r="AD1966">
        <v>30.74</v>
      </c>
      <c r="AE1966">
        <v>542</v>
      </c>
      <c r="AF1966">
        <v>30</v>
      </c>
      <c r="AG1966">
        <v>178</v>
      </c>
      <c r="AH1966">
        <v>129</v>
      </c>
      <c r="AI1966">
        <v>5.54</v>
      </c>
      <c r="AJ1966">
        <v>32.840000000000003</v>
      </c>
      <c r="AK1966">
        <v>23.8</v>
      </c>
      <c r="AL1966">
        <v>-20.139768699999959</v>
      </c>
      <c r="AM1966">
        <v>-44.911265351587588</v>
      </c>
      <c r="AN1966">
        <v>-20.139768699999959</v>
      </c>
      <c r="AO1966">
        <v>-44.911265351587588</v>
      </c>
      <c r="AP1966">
        <v>-20.139693999999999</v>
      </c>
      <c r="AQ1966">
        <v>-44.911256000000002</v>
      </c>
      <c r="AR1966">
        <v>8.3728438666521061</v>
      </c>
      <c r="AS1966" t="s">
        <v>65</v>
      </c>
      <c r="AT1966">
        <v>1</v>
      </c>
      <c r="AU1966" t="s">
        <v>862</v>
      </c>
      <c r="AV1966" t="s">
        <v>863</v>
      </c>
      <c r="AW1966" t="s">
        <v>60</v>
      </c>
      <c r="AX1966" t="s">
        <v>68</v>
      </c>
      <c r="AY1966" t="s">
        <v>69</v>
      </c>
      <c r="AZ1966" t="b">
        <v>1</v>
      </c>
    </row>
    <row r="1967" spans="1:52" x14ac:dyDescent="0.3">
      <c r="A1967" t="s">
        <v>52</v>
      </c>
      <c r="B1967" t="s">
        <v>53</v>
      </c>
      <c r="C1967" t="s">
        <v>54</v>
      </c>
      <c r="D1967" t="s">
        <v>55</v>
      </c>
      <c r="E1967" t="s">
        <v>2148</v>
      </c>
      <c r="F1967" t="s">
        <v>1247</v>
      </c>
      <c r="G1967" t="s">
        <v>1376</v>
      </c>
      <c r="H1967" t="s">
        <v>1377</v>
      </c>
      <c r="I1967" t="s">
        <v>1377</v>
      </c>
      <c r="J1967" t="s">
        <v>60</v>
      </c>
      <c r="K1967" t="s">
        <v>475</v>
      </c>
      <c r="L1967" t="s">
        <v>62</v>
      </c>
      <c r="M1967" t="s">
        <v>475</v>
      </c>
      <c r="N1967" t="s">
        <v>1378</v>
      </c>
      <c r="O1967" t="s">
        <v>1379</v>
      </c>
      <c r="P1967">
        <v>-20.175298000000002</v>
      </c>
      <c r="Q1967">
        <v>-44.904794000000003</v>
      </c>
      <c r="R1967" s="2" t="str">
        <f>HYPERLINK("https://www.google.com/maps?q=-20.1752980,-44.9047940","Abrir no Google Maps")</f>
        <v>Abrir no Google Maps</v>
      </c>
      <c r="S1967">
        <v>3</v>
      </c>
      <c r="T1967">
        <v>497.7557906927301</v>
      </c>
      <c r="U1967">
        <v>1</v>
      </c>
      <c r="V1967">
        <v>6</v>
      </c>
      <c r="W1967">
        <v>0.85</v>
      </c>
      <c r="X1967">
        <v>5.0999999999999996</v>
      </c>
      <c r="Y1967">
        <v>578</v>
      </c>
      <c r="Z1967">
        <v>363.80816567363502</v>
      </c>
      <c r="AA1967">
        <v>198</v>
      </c>
      <c r="AB1967">
        <v>332</v>
      </c>
      <c r="AC1967">
        <v>536</v>
      </c>
      <c r="AD1967">
        <v>30.74</v>
      </c>
      <c r="AE1967">
        <v>542</v>
      </c>
      <c r="AF1967">
        <v>30</v>
      </c>
      <c r="AG1967">
        <v>178</v>
      </c>
      <c r="AH1967">
        <v>129</v>
      </c>
      <c r="AI1967">
        <v>5.54</v>
      </c>
      <c r="AJ1967">
        <v>32.840000000000003</v>
      </c>
      <c r="AK1967">
        <v>23.8</v>
      </c>
      <c r="AL1967">
        <v>-20.17530484999995</v>
      </c>
      <c r="AM1967">
        <v>-44.904834224351781</v>
      </c>
      <c r="AN1967">
        <v>-20.17530484999995</v>
      </c>
      <c r="AO1967">
        <v>-44.904834224351781</v>
      </c>
      <c r="AP1967">
        <v>-20.175298000000002</v>
      </c>
      <c r="AQ1967">
        <v>-44.904794000000003</v>
      </c>
      <c r="AR1967">
        <v>4.2716392411563806</v>
      </c>
      <c r="AS1967" t="s">
        <v>65</v>
      </c>
      <c r="AT1967">
        <v>1</v>
      </c>
      <c r="AU1967" t="s">
        <v>1380</v>
      </c>
      <c r="AV1967" t="s">
        <v>1381</v>
      </c>
      <c r="AW1967" t="s">
        <v>60</v>
      </c>
      <c r="AX1967" t="s">
        <v>68</v>
      </c>
      <c r="AY1967" t="s">
        <v>69</v>
      </c>
      <c r="AZ1967" t="b">
        <v>1</v>
      </c>
    </row>
    <row r="1968" spans="1:52" x14ac:dyDescent="0.3">
      <c r="A1968" t="s">
        <v>52</v>
      </c>
      <c r="B1968" t="s">
        <v>53</v>
      </c>
      <c r="C1968" t="s">
        <v>54</v>
      </c>
      <c r="D1968" t="s">
        <v>55</v>
      </c>
      <c r="E1968" t="s">
        <v>2148</v>
      </c>
      <c r="F1968" t="s">
        <v>1247</v>
      </c>
      <c r="G1968" t="s">
        <v>1424</v>
      </c>
      <c r="H1968" t="s">
        <v>1425</v>
      </c>
      <c r="I1968" t="s">
        <v>1425</v>
      </c>
      <c r="J1968" t="s">
        <v>60</v>
      </c>
      <c r="K1968" t="s">
        <v>1324</v>
      </c>
      <c r="L1968" t="s">
        <v>62</v>
      </c>
      <c r="M1968" t="s">
        <v>1324</v>
      </c>
      <c r="N1968" t="s">
        <v>1426</v>
      </c>
      <c r="O1968" t="s">
        <v>938</v>
      </c>
      <c r="P1968">
        <v>-20.172844999999999</v>
      </c>
      <c r="Q1968">
        <v>-44.909215000000003</v>
      </c>
      <c r="R1968" s="2" t="str">
        <f>HYPERLINK("https://www.google.com/maps?q=-20.1728450,-44.9092150","Abrir no Google Maps")</f>
        <v>Abrir no Google Maps</v>
      </c>
      <c r="S1968">
        <v>3</v>
      </c>
      <c r="T1968">
        <v>0</v>
      </c>
      <c r="U1968">
        <v>1</v>
      </c>
      <c r="V1968">
        <v>0</v>
      </c>
      <c r="W1968">
        <v>0.85</v>
      </c>
      <c r="X1968">
        <v>0</v>
      </c>
      <c r="Y1968">
        <v>578</v>
      </c>
      <c r="Z1968">
        <v>365.56549317689053</v>
      </c>
      <c r="AA1968">
        <v>198</v>
      </c>
      <c r="AB1968">
        <v>332</v>
      </c>
      <c r="AC1968">
        <v>536</v>
      </c>
      <c r="AD1968">
        <v>30.74</v>
      </c>
      <c r="AE1968">
        <v>542</v>
      </c>
      <c r="AF1968">
        <v>30</v>
      </c>
      <c r="AG1968">
        <v>178</v>
      </c>
      <c r="AH1968">
        <v>129</v>
      </c>
      <c r="AI1968">
        <v>5.54</v>
      </c>
      <c r="AJ1968">
        <v>32.840000000000003</v>
      </c>
      <c r="AK1968">
        <v>23.8</v>
      </c>
      <c r="AL1968">
        <v>-20.172197349999941</v>
      </c>
      <c r="AM1968">
        <v>-44.910438675762883</v>
      </c>
      <c r="AN1968">
        <v>-20.172197349999941</v>
      </c>
      <c r="AO1968">
        <v>-44.910438675762883</v>
      </c>
      <c r="AP1968">
        <v>-20.172844999999999</v>
      </c>
      <c r="AQ1968">
        <v>-44.909215000000003</v>
      </c>
      <c r="AR1968">
        <v>146.78922919749749</v>
      </c>
      <c r="AS1968" t="s">
        <v>65</v>
      </c>
      <c r="AT1968">
        <v>1</v>
      </c>
      <c r="AU1968" t="s">
        <v>1427</v>
      </c>
      <c r="AV1968" t="s">
        <v>1428</v>
      </c>
      <c r="AW1968" t="s">
        <v>60</v>
      </c>
      <c r="AX1968" t="s">
        <v>68</v>
      </c>
      <c r="AY1968" t="s">
        <v>69</v>
      </c>
      <c r="AZ1968" t="b">
        <v>1</v>
      </c>
    </row>
    <row r="1969" spans="1:52" x14ac:dyDescent="0.3">
      <c r="A1969" t="s">
        <v>52</v>
      </c>
      <c r="B1969" t="s">
        <v>53</v>
      </c>
      <c r="C1969" t="s">
        <v>54</v>
      </c>
      <c r="D1969" t="s">
        <v>55</v>
      </c>
      <c r="E1969" t="s">
        <v>2148</v>
      </c>
      <c r="F1969" t="s">
        <v>1247</v>
      </c>
      <c r="G1969" t="s">
        <v>1429</v>
      </c>
      <c r="H1969" t="s">
        <v>1430</v>
      </c>
      <c r="I1969" t="s">
        <v>1430</v>
      </c>
      <c r="J1969" t="s">
        <v>60</v>
      </c>
      <c r="K1969" t="s">
        <v>505</v>
      </c>
      <c r="L1969" t="s">
        <v>62</v>
      </c>
      <c r="M1969" t="s">
        <v>505</v>
      </c>
      <c r="N1969" t="s">
        <v>1431</v>
      </c>
      <c r="O1969" t="s">
        <v>1432</v>
      </c>
      <c r="P1969">
        <v>-20.132069000000001</v>
      </c>
      <c r="Q1969">
        <v>-44.891694000000001</v>
      </c>
      <c r="R1969" s="2" t="str">
        <f>HYPERLINK("https://www.google.com/maps?q=-20.1320690,-44.8916940","Abrir no Google Maps")</f>
        <v>Abrir no Google Maps</v>
      </c>
      <c r="S1969">
        <v>3</v>
      </c>
      <c r="T1969">
        <v>463.84477613866852</v>
      </c>
      <c r="U1969">
        <v>1</v>
      </c>
      <c r="V1969">
        <v>6</v>
      </c>
      <c r="W1969">
        <v>0.85</v>
      </c>
      <c r="X1969">
        <v>5.0999999999999996</v>
      </c>
      <c r="Y1969">
        <v>564</v>
      </c>
      <c r="Z1969">
        <v>349.6044774510159</v>
      </c>
      <c r="AA1969">
        <v>198</v>
      </c>
      <c r="AB1969">
        <v>332</v>
      </c>
      <c r="AC1969">
        <v>536</v>
      </c>
      <c r="AD1969">
        <v>30.74</v>
      </c>
      <c r="AE1969">
        <v>542</v>
      </c>
      <c r="AF1969">
        <v>30</v>
      </c>
      <c r="AG1969">
        <v>178</v>
      </c>
      <c r="AH1969">
        <v>129</v>
      </c>
      <c r="AI1969">
        <v>5.54</v>
      </c>
      <c r="AJ1969">
        <v>32.840000000000003</v>
      </c>
      <c r="AK1969">
        <v>23.8</v>
      </c>
      <c r="AL1969">
        <v>-20.131860799999941</v>
      </c>
      <c r="AM1969">
        <v>-44.891643045551348</v>
      </c>
      <c r="AN1969">
        <v>-20.131860799999941</v>
      </c>
      <c r="AO1969">
        <v>-44.891643045551348</v>
      </c>
      <c r="AP1969">
        <v>-20.132069000000001</v>
      </c>
      <c r="AQ1969">
        <v>-44.891694000000001</v>
      </c>
      <c r="AR1969">
        <v>23.780836080569209</v>
      </c>
      <c r="AS1969" t="s">
        <v>65</v>
      </c>
      <c r="AT1969">
        <v>1</v>
      </c>
      <c r="AU1969" t="s">
        <v>1433</v>
      </c>
      <c r="AV1969" t="s">
        <v>1434</v>
      </c>
      <c r="AW1969" t="s">
        <v>60</v>
      </c>
      <c r="AX1969" t="s">
        <v>68</v>
      </c>
      <c r="AY1969" t="s">
        <v>69</v>
      </c>
      <c r="AZ1969" t="b">
        <v>1</v>
      </c>
    </row>
    <row r="1970" spans="1:52" x14ac:dyDescent="0.3">
      <c r="A1970" t="s">
        <v>52</v>
      </c>
      <c r="B1970" t="s">
        <v>53</v>
      </c>
      <c r="C1970" t="s">
        <v>54</v>
      </c>
      <c r="D1970" t="s">
        <v>55</v>
      </c>
      <c r="E1970" t="s">
        <v>2148</v>
      </c>
      <c r="F1970" t="s">
        <v>1247</v>
      </c>
      <c r="G1970" t="s">
        <v>1408</v>
      </c>
      <c r="H1970" t="s">
        <v>1409</v>
      </c>
      <c r="I1970" t="s">
        <v>1409</v>
      </c>
      <c r="J1970" t="s">
        <v>60</v>
      </c>
      <c r="K1970" t="s">
        <v>200</v>
      </c>
      <c r="L1970" t="s">
        <v>62</v>
      </c>
      <c r="M1970" t="s">
        <v>200</v>
      </c>
      <c r="N1970" t="s">
        <v>1410</v>
      </c>
      <c r="O1970" t="s">
        <v>1001</v>
      </c>
      <c r="P1970">
        <v>-20.126062999999998</v>
      </c>
      <c r="Q1970">
        <v>-44.894936999999999</v>
      </c>
      <c r="R1970" s="2" t="str">
        <f>HYPERLINK("https://www.google.com/maps?q=-20.1260630,-44.8949370","Abrir no Google Maps")</f>
        <v>Abrir no Google Maps</v>
      </c>
      <c r="S1970">
        <v>3</v>
      </c>
      <c r="T1970">
        <v>747.3122077966558</v>
      </c>
      <c r="U1970">
        <v>1</v>
      </c>
      <c r="V1970">
        <v>4</v>
      </c>
      <c r="W1970">
        <v>0.85</v>
      </c>
      <c r="X1970">
        <v>3.4</v>
      </c>
      <c r="Y1970">
        <v>564</v>
      </c>
      <c r="Z1970">
        <v>693.80888866206885</v>
      </c>
      <c r="AA1970">
        <v>198</v>
      </c>
      <c r="AB1970">
        <v>332</v>
      </c>
      <c r="AC1970">
        <v>536</v>
      </c>
      <c r="AD1970">
        <v>30.74</v>
      </c>
      <c r="AE1970">
        <v>542</v>
      </c>
      <c r="AF1970">
        <v>30</v>
      </c>
      <c r="AG1970">
        <v>178</v>
      </c>
      <c r="AH1970">
        <v>129</v>
      </c>
      <c r="AI1970">
        <v>5.54</v>
      </c>
      <c r="AJ1970">
        <v>32.840000000000003</v>
      </c>
      <c r="AK1970">
        <v>23.8</v>
      </c>
      <c r="AL1970">
        <v>-20.126099149999959</v>
      </c>
      <c r="AM1970">
        <v>-44.894866076436763</v>
      </c>
      <c r="AN1970">
        <v>-20.126099149999959</v>
      </c>
      <c r="AO1970">
        <v>-44.894866076436749</v>
      </c>
      <c r="AP1970">
        <v>-20.126062999999998</v>
      </c>
      <c r="AQ1970">
        <v>-44.894936999999999</v>
      </c>
      <c r="AR1970">
        <v>8.4349593682699737</v>
      </c>
      <c r="AS1970" t="s">
        <v>65</v>
      </c>
      <c r="AT1970">
        <v>1</v>
      </c>
      <c r="AU1970" t="s">
        <v>1411</v>
      </c>
      <c r="AV1970" t="s">
        <v>1003</v>
      </c>
      <c r="AW1970" t="s">
        <v>60</v>
      </c>
      <c r="AX1970" t="s">
        <v>68</v>
      </c>
      <c r="AY1970" t="s">
        <v>69</v>
      </c>
      <c r="AZ1970" t="b">
        <v>1</v>
      </c>
    </row>
    <row r="1971" spans="1:52" x14ac:dyDescent="0.3">
      <c r="A1971" t="s">
        <v>52</v>
      </c>
      <c r="B1971" t="s">
        <v>53</v>
      </c>
      <c r="C1971" t="s">
        <v>54</v>
      </c>
      <c r="D1971" t="s">
        <v>55</v>
      </c>
      <c r="E1971" t="s">
        <v>2148</v>
      </c>
      <c r="F1971" t="s">
        <v>1247</v>
      </c>
      <c r="G1971" t="s">
        <v>1412</v>
      </c>
      <c r="H1971" t="s">
        <v>1413</v>
      </c>
      <c r="I1971" t="s">
        <v>1413</v>
      </c>
      <c r="J1971" t="s">
        <v>60</v>
      </c>
      <c r="K1971" t="s">
        <v>892</v>
      </c>
      <c r="L1971" t="s">
        <v>62</v>
      </c>
      <c r="M1971" t="s">
        <v>892</v>
      </c>
      <c r="N1971" t="s">
        <v>1414</v>
      </c>
      <c r="O1971" t="s">
        <v>293</v>
      </c>
      <c r="P1971">
        <v>-20.150780999999998</v>
      </c>
      <c r="Q1971">
        <v>-44.897972000000003</v>
      </c>
      <c r="R1971" s="2" t="str">
        <f>HYPERLINK("https://www.google.com/maps?q=-20.1507810,-44.8979720","Abrir no Google Maps")</f>
        <v>Abrir no Google Maps</v>
      </c>
      <c r="S1971">
        <v>3</v>
      </c>
      <c r="T1971">
        <v>306.36394634674508</v>
      </c>
      <c r="U1971">
        <v>1</v>
      </c>
      <c r="V1971">
        <v>5</v>
      </c>
      <c r="W1971">
        <v>0.85</v>
      </c>
      <c r="X1971">
        <v>4.25</v>
      </c>
      <c r="Y1971">
        <v>556</v>
      </c>
      <c r="Z1971">
        <v>233.85692443628571</v>
      </c>
      <c r="AA1971">
        <v>198</v>
      </c>
      <c r="AB1971">
        <v>332</v>
      </c>
      <c r="AC1971">
        <v>536</v>
      </c>
      <c r="AD1971">
        <v>30.74</v>
      </c>
      <c r="AE1971">
        <v>542</v>
      </c>
      <c r="AF1971">
        <v>30</v>
      </c>
      <c r="AG1971">
        <v>178</v>
      </c>
      <c r="AH1971">
        <v>129</v>
      </c>
      <c r="AI1971">
        <v>5.54</v>
      </c>
      <c r="AJ1971">
        <v>32.840000000000003</v>
      </c>
      <c r="AK1971">
        <v>23.8</v>
      </c>
      <c r="AL1971">
        <v>-20.15074609999996</v>
      </c>
      <c r="AM1971">
        <v>-44.89795774234689</v>
      </c>
      <c r="AN1971">
        <v>-20.15074609999996</v>
      </c>
      <c r="AO1971">
        <v>-44.89795774234689</v>
      </c>
      <c r="AP1971">
        <v>-20.150780999999998</v>
      </c>
      <c r="AQ1971">
        <v>-44.897972000000003</v>
      </c>
      <c r="AR1971">
        <v>4.160995809097348</v>
      </c>
      <c r="AS1971" t="s">
        <v>65</v>
      </c>
      <c r="AT1971">
        <v>1</v>
      </c>
      <c r="AU1971" t="s">
        <v>1415</v>
      </c>
      <c r="AV1971" t="s">
        <v>1416</v>
      </c>
      <c r="AW1971" t="s">
        <v>60</v>
      </c>
      <c r="AX1971" t="s">
        <v>68</v>
      </c>
      <c r="AY1971" t="s">
        <v>69</v>
      </c>
      <c r="AZ1971" t="b">
        <v>1</v>
      </c>
    </row>
    <row r="1972" spans="1:52" x14ac:dyDescent="0.3">
      <c r="A1972" t="s">
        <v>52</v>
      </c>
      <c r="B1972" t="s">
        <v>53</v>
      </c>
      <c r="C1972" t="s">
        <v>54</v>
      </c>
      <c r="D1972" t="s">
        <v>55</v>
      </c>
      <c r="E1972" t="s">
        <v>2148</v>
      </c>
      <c r="F1972" t="s">
        <v>1247</v>
      </c>
      <c r="G1972" t="s">
        <v>1127</v>
      </c>
      <c r="H1972" t="s">
        <v>1449</v>
      </c>
      <c r="I1972" t="s">
        <v>1449</v>
      </c>
      <c r="J1972" t="s">
        <v>60</v>
      </c>
      <c r="K1972" t="s">
        <v>1450</v>
      </c>
      <c r="L1972" t="s">
        <v>62</v>
      </c>
      <c r="M1972" t="s">
        <v>1450</v>
      </c>
      <c r="N1972" t="s">
        <v>1451</v>
      </c>
      <c r="O1972" t="s">
        <v>1452</v>
      </c>
      <c r="P1972">
        <v>-20.152612000000001</v>
      </c>
      <c r="Q1972">
        <v>-44.897098</v>
      </c>
      <c r="R1972" s="2" t="str">
        <f>HYPERLINK("https://www.google.com/maps?q=-20.1526120,-44.8970980","Abrir no Google Maps")</f>
        <v>Abrir no Google Maps</v>
      </c>
      <c r="S1972">
        <v>3</v>
      </c>
      <c r="T1972">
        <v>418.6283592063233</v>
      </c>
      <c r="U1972">
        <v>1</v>
      </c>
      <c r="V1972">
        <v>4</v>
      </c>
      <c r="W1972">
        <v>0.85</v>
      </c>
      <c r="X1972">
        <v>3.4</v>
      </c>
      <c r="Y1972">
        <v>556</v>
      </c>
      <c r="Z1972">
        <v>387.16462225830952</v>
      </c>
      <c r="AA1972">
        <v>198</v>
      </c>
      <c r="AB1972">
        <v>332</v>
      </c>
      <c r="AC1972">
        <v>536</v>
      </c>
      <c r="AD1972">
        <v>30.74</v>
      </c>
      <c r="AE1972">
        <v>542</v>
      </c>
      <c r="AF1972">
        <v>30</v>
      </c>
      <c r="AG1972">
        <v>178</v>
      </c>
      <c r="AH1972">
        <v>129</v>
      </c>
      <c r="AI1972">
        <v>5.54</v>
      </c>
      <c r="AJ1972">
        <v>32.840000000000003</v>
      </c>
      <c r="AK1972">
        <v>23.8</v>
      </c>
      <c r="AL1972">
        <v>-20.15253669999996</v>
      </c>
      <c r="AM1972">
        <v>-44.897068126936119</v>
      </c>
      <c r="AN1972">
        <v>-20.15253669999996</v>
      </c>
      <c r="AO1972">
        <v>-44.897068126936119</v>
      </c>
      <c r="AP1972">
        <v>-20.152612000000001</v>
      </c>
      <c r="AQ1972">
        <v>-44.897098</v>
      </c>
      <c r="AR1972">
        <v>8.9448699164987104</v>
      </c>
      <c r="AS1972" t="s">
        <v>65</v>
      </c>
      <c r="AT1972">
        <v>1</v>
      </c>
      <c r="AU1972" t="s">
        <v>1453</v>
      </c>
      <c r="AV1972" t="s">
        <v>1454</v>
      </c>
      <c r="AW1972" t="s">
        <v>60</v>
      </c>
      <c r="AX1972" t="s">
        <v>68</v>
      </c>
      <c r="AY1972" t="s">
        <v>69</v>
      </c>
      <c r="AZ1972" t="b">
        <v>1</v>
      </c>
    </row>
    <row r="1973" spans="1:52" x14ac:dyDescent="0.3">
      <c r="A1973" t="s">
        <v>52</v>
      </c>
      <c r="B1973" t="s">
        <v>53</v>
      </c>
      <c r="C1973" t="s">
        <v>54</v>
      </c>
      <c r="D1973" t="s">
        <v>55</v>
      </c>
      <c r="E1973" t="s">
        <v>2148</v>
      </c>
      <c r="F1973" t="s">
        <v>1247</v>
      </c>
      <c r="G1973" t="s">
        <v>1459</v>
      </c>
      <c r="H1973" t="s">
        <v>1460</v>
      </c>
      <c r="I1973" t="s">
        <v>1460</v>
      </c>
      <c r="J1973" t="s">
        <v>60</v>
      </c>
      <c r="K1973" t="s">
        <v>431</v>
      </c>
      <c r="L1973" t="s">
        <v>62</v>
      </c>
      <c r="M1973" t="s">
        <v>431</v>
      </c>
      <c r="N1973" t="s">
        <v>1461</v>
      </c>
      <c r="O1973" t="s">
        <v>1462</v>
      </c>
      <c r="P1973">
        <v>-20.170182</v>
      </c>
      <c r="Q1973">
        <v>-44.922556999999998</v>
      </c>
      <c r="R1973" s="2" t="str">
        <f>HYPERLINK("https://www.google.com/maps?q=-20.1701820,-44.9225570","Abrir no Google Maps")</f>
        <v>Abrir no Google Maps</v>
      </c>
      <c r="S1973">
        <v>2</v>
      </c>
      <c r="T1973">
        <v>1189.3885679843149</v>
      </c>
      <c r="U1973">
        <v>4</v>
      </c>
      <c r="V1973">
        <v>30</v>
      </c>
      <c r="W1973">
        <v>0.85</v>
      </c>
      <c r="X1973">
        <v>25.5</v>
      </c>
      <c r="Y1973">
        <v>723</v>
      </c>
      <c r="Z1973">
        <v>961.89164604479117</v>
      </c>
      <c r="AA1973">
        <v>198</v>
      </c>
      <c r="AB1973">
        <v>332</v>
      </c>
      <c r="AC1973">
        <v>536</v>
      </c>
      <c r="AD1973">
        <v>30.74</v>
      </c>
      <c r="AE1973">
        <v>542</v>
      </c>
      <c r="AF1973">
        <v>30</v>
      </c>
      <c r="AG1973">
        <v>178</v>
      </c>
      <c r="AH1973">
        <v>129</v>
      </c>
      <c r="AI1973">
        <v>5.54</v>
      </c>
      <c r="AJ1973">
        <v>32.840000000000003</v>
      </c>
      <c r="AK1973">
        <v>23.8</v>
      </c>
      <c r="AL1973">
        <v>-20.169385449999961</v>
      </c>
      <c r="AM1973">
        <v>-44.922107101898007</v>
      </c>
      <c r="AN1973">
        <v>-20.169385449999961</v>
      </c>
      <c r="AO1973">
        <v>-44.922107101898007</v>
      </c>
      <c r="AP1973">
        <v>-20.170182</v>
      </c>
      <c r="AQ1973">
        <v>-44.922556999999998</v>
      </c>
      <c r="AR1973">
        <v>100.36329580049031</v>
      </c>
      <c r="AS1973" t="s">
        <v>65</v>
      </c>
      <c r="AT1973">
        <v>1</v>
      </c>
      <c r="AU1973" t="s">
        <v>1463</v>
      </c>
      <c r="AV1973" t="s">
        <v>1458</v>
      </c>
      <c r="AW1973" t="s">
        <v>60</v>
      </c>
      <c r="AX1973" t="s">
        <v>68</v>
      </c>
      <c r="AY1973" t="s">
        <v>69</v>
      </c>
      <c r="AZ1973" t="b">
        <v>1</v>
      </c>
    </row>
    <row r="1974" spans="1:52" x14ac:dyDescent="0.3">
      <c r="A1974" t="s">
        <v>52</v>
      </c>
      <c r="B1974" t="s">
        <v>53</v>
      </c>
      <c r="C1974" t="s">
        <v>54</v>
      </c>
      <c r="D1974" t="s">
        <v>55</v>
      </c>
      <c r="E1974" t="s">
        <v>2148</v>
      </c>
      <c r="F1974" t="s">
        <v>1247</v>
      </c>
      <c r="G1974" t="s">
        <v>1464</v>
      </c>
      <c r="H1974" t="s">
        <v>1465</v>
      </c>
      <c r="I1974" t="s">
        <v>1465</v>
      </c>
      <c r="J1974" t="s">
        <v>60</v>
      </c>
      <c r="K1974" t="s">
        <v>1466</v>
      </c>
      <c r="L1974" t="s">
        <v>62</v>
      </c>
      <c r="M1974" t="s">
        <v>1466</v>
      </c>
      <c r="N1974" t="s">
        <v>1467</v>
      </c>
      <c r="O1974" t="s">
        <v>145</v>
      </c>
      <c r="P1974">
        <v>-20.160509999999999</v>
      </c>
      <c r="Q1974">
        <v>-44.884123000000002</v>
      </c>
      <c r="R1974" s="2" t="str">
        <f>HYPERLINK("https://www.google.com/maps?q=-20.1605100,-44.8841230","Abrir no Google Maps")</f>
        <v>Abrir no Google Maps</v>
      </c>
      <c r="S1974">
        <v>2</v>
      </c>
      <c r="T1974">
        <v>650.04961276595373</v>
      </c>
      <c r="U1974">
        <v>4</v>
      </c>
      <c r="V1974">
        <v>26</v>
      </c>
      <c r="W1974">
        <v>1</v>
      </c>
      <c r="X1974">
        <v>26</v>
      </c>
      <c r="Y1974">
        <v>671</v>
      </c>
      <c r="Z1974">
        <v>591.49066685698506</v>
      </c>
      <c r="AA1974">
        <v>198</v>
      </c>
      <c r="AB1974">
        <v>332</v>
      </c>
      <c r="AC1974">
        <v>536</v>
      </c>
      <c r="AD1974">
        <v>30.74</v>
      </c>
      <c r="AE1974">
        <v>542</v>
      </c>
      <c r="AF1974">
        <v>30</v>
      </c>
      <c r="AG1974">
        <v>178</v>
      </c>
      <c r="AH1974">
        <v>129</v>
      </c>
      <c r="AI1974">
        <v>5.54</v>
      </c>
      <c r="AJ1974">
        <v>32.840000000000003</v>
      </c>
      <c r="AK1974">
        <v>23.8</v>
      </c>
      <c r="AL1974">
        <v>-20.16056479999995</v>
      </c>
      <c r="AM1974">
        <v>-44.88424978393428</v>
      </c>
      <c r="AN1974">
        <v>-20.160564799999939</v>
      </c>
      <c r="AO1974">
        <v>-44.88424978393428</v>
      </c>
      <c r="AP1974">
        <v>-20.160509999999999</v>
      </c>
      <c r="AQ1974">
        <v>-44.884123000000002</v>
      </c>
      <c r="AR1974">
        <v>14.585823463739541</v>
      </c>
      <c r="AS1974" t="s">
        <v>65</v>
      </c>
      <c r="AT1974">
        <v>1</v>
      </c>
      <c r="AU1974" t="s">
        <v>1468</v>
      </c>
      <c r="AV1974" t="s">
        <v>1469</v>
      </c>
      <c r="AW1974" t="s">
        <v>60</v>
      </c>
      <c r="AX1974" t="s">
        <v>68</v>
      </c>
      <c r="AY1974" t="s">
        <v>69</v>
      </c>
      <c r="AZ1974" t="b">
        <v>1</v>
      </c>
    </row>
    <row r="1975" spans="1:52" x14ac:dyDescent="0.3">
      <c r="A1975" t="s">
        <v>52</v>
      </c>
      <c r="B1975" t="s">
        <v>53</v>
      </c>
      <c r="C1975" t="s">
        <v>54</v>
      </c>
      <c r="D1975" t="s">
        <v>55</v>
      </c>
      <c r="E1975" t="s">
        <v>2148</v>
      </c>
      <c r="F1975" t="s">
        <v>1247</v>
      </c>
      <c r="G1975" t="s">
        <v>1490</v>
      </c>
      <c r="H1975" t="s">
        <v>1491</v>
      </c>
      <c r="I1975" t="s">
        <v>1491</v>
      </c>
      <c r="J1975" t="s">
        <v>60</v>
      </c>
      <c r="K1975" t="s">
        <v>336</v>
      </c>
      <c r="L1975" t="s">
        <v>62</v>
      </c>
      <c r="M1975" t="s">
        <v>336</v>
      </c>
      <c r="N1975" t="s">
        <v>1492</v>
      </c>
      <c r="O1975" t="s">
        <v>842</v>
      </c>
      <c r="P1975">
        <v>-20.164228999999999</v>
      </c>
      <c r="Q1975">
        <v>-44.876455999999997</v>
      </c>
      <c r="R1975" s="2" t="str">
        <f>HYPERLINK("https://www.google.com/maps?q=-20.1642290,-44.8764560","Abrir no Google Maps")</f>
        <v>Abrir no Google Maps</v>
      </c>
      <c r="S1975">
        <v>2</v>
      </c>
      <c r="T1975">
        <v>420.00990411628987</v>
      </c>
      <c r="U1975">
        <v>4</v>
      </c>
      <c r="V1975">
        <v>25</v>
      </c>
      <c r="W1975">
        <v>1</v>
      </c>
      <c r="X1975">
        <v>25</v>
      </c>
      <c r="Y1975">
        <v>671</v>
      </c>
      <c r="Z1975">
        <v>375.90194920648611</v>
      </c>
      <c r="AA1975">
        <v>198</v>
      </c>
      <c r="AB1975">
        <v>332</v>
      </c>
      <c r="AC1975">
        <v>536</v>
      </c>
      <c r="AD1975">
        <v>30.74</v>
      </c>
      <c r="AE1975">
        <v>542</v>
      </c>
      <c r="AF1975">
        <v>30</v>
      </c>
      <c r="AG1975">
        <v>178</v>
      </c>
      <c r="AH1975">
        <v>129</v>
      </c>
      <c r="AI1975">
        <v>5.54</v>
      </c>
      <c r="AJ1975">
        <v>32.840000000000003</v>
      </c>
      <c r="AK1975">
        <v>23.8</v>
      </c>
      <c r="AL1975">
        <v>-20.164255749999938</v>
      </c>
      <c r="AM1975">
        <v>-44.876471676086922</v>
      </c>
      <c r="AN1975">
        <v>-20.164255749999938</v>
      </c>
      <c r="AO1975">
        <v>-44.876471676086922</v>
      </c>
      <c r="AP1975">
        <v>-20.164228999999999</v>
      </c>
      <c r="AQ1975">
        <v>-44.876455999999997</v>
      </c>
      <c r="AR1975">
        <v>3.3986375813953771</v>
      </c>
      <c r="AS1975" t="s">
        <v>65</v>
      </c>
      <c r="AT1975">
        <v>1</v>
      </c>
      <c r="AU1975" t="s">
        <v>1493</v>
      </c>
      <c r="AV1975" t="s">
        <v>1494</v>
      </c>
      <c r="AW1975" t="s">
        <v>60</v>
      </c>
      <c r="AX1975" t="s">
        <v>68</v>
      </c>
      <c r="AY1975" t="s">
        <v>69</v>
      </c>
      <c r="AZ1975" t="b">
        <v>1</v>
      </c>
    </row>
    <row r="1976" spans="1:52" x14ac:dyDescent="0.3">
      <c r="A1976" t="s">
        <v>52</v>
      </c>
      <c r="B1976" t="s">
        <v>53</v>
      </c>
      <c r="C1976" t="s">
        <v>54</v>
      </c>
      <c r="D1976" t="s">
        <v>55</v>
      </c>
      <c r="E1976" t="s">
        <v>2148</v>
      </c>
      <c r="F1976" t="s">
        <v>1247</v>
      </c>
      <c r="G1976" t="s">
        <v>1473</v>
      </c>
      <c r="H1976" t="s">
        <v>1474</v>
      </c>
      <c r="I1976" t="s">
        <v>1474</v>
      </c>
      <c r="J1976" t="s">
        <v>60</v>
      </c>
      <c r="K1976" t="s">
        <v>1302</v>
      </c>
      <c r="L1976" t="s">
        <v>62</v>
      </c>
      <c r="M1976" t="s">
        <v>1302</v>
      </c>
      <c r="N1976" t="s">
        <v>1475</v>
      </c>
      <c r="O1976" t="s">
        <v>1476</v>
      </c>
      <c r="P1976">
        <v>-20.161372</v>
      </c>
      <c r="Q1976">
        <v>-44.914636999999999</v>
      </c>
      <c r="R1976" s="2" t="str">
        <f>HYPERLINK("https://www.google.com/maps?q=-20.1613720,-44.9146370","Abrir no Google Maps")</f>
        <v>Abrir no Google Maps</v>
      </c>
      <c r="S1976">
        <v>2</v>
      </c>
      <c r="T1976">
        <v>0</v>
      </c>
      <c r="U1976">
        <v>4</v>
      </c>
      <c r="V1976">
        <v>30</v>
      </c>
      <c r="W1976">
        <v>1</v>
      </c>
      <c r="X1976">
        <v>30</v>
      </c>
      <c r="Y1976">
        <v>639</v>
      </c>
      <c r="Z1976">
        <v>81.742669907651447</v>
      </c>
      <c r="AA1976">
        <v>198</v>
      </c>
      <c r="AB1976">
        <v>332</v>
      </c>
      <c r="AC1976">
        <v>536</v>
      </c>
      <c r="AD1976">
        <v>30.74</v>
      </c>
      <c r="AE1976">
        <v>542</v>
      </c>
      <c r="AF1976">
        <v>30</v>
      </c>
      <c r="AG1976">
        <v>178</v>
      </c>
      <c r="AH1976">
        <v>129</v>
      </c>
      <c r="AI1976">
        <v>5.54</v>
      </c>
      <c r="AJ1976">
        <v>32.840000000000003</v>
      </c>
      <c r="AK1976">
        <v>23.8</v>
      </c>
      <c r="AL1976">
        <v>-20.161294499999961</v>
      </c>
      <c r="AM1976">
        <v>-44.914614684493202</v>
      </c>
      <c r="AN1976">
        <v>-20.161294499999961</v>
      </c>
      <c r="AO1976">
        <v>-44.914614684493202</v>
      </c>
      <c r="AP1976">
        <v>-20.161372</v>
      </c>
      <c r="AQ1976">
        <v>-44.914636999999999</v>
      </c>
      <c r="AR1976">
        <v>8.9369058443944862</v>
      </c>
      <c r="AS1976" t="s">
        <v>65</v>
      </c>
      <c r="AT1976">
        <v>1</v>
      </c>
      <c r="AU1976" t="s">
        <v>1477</v>
      </c>
      <c r="AV1976" t="s">
        <v>1478</v>
      </c>
      <c r="AW1976" t="s">
        <v>60</v>
      </c>
      <c r="AX1976" t="s">
        <v>68</v>
      </c>
      <c r="AY1976" t="s">
        <v>69</v>
      </c>
      <c r="AZ1976" t="b">
        <v>1</v>
      </c>
    </row>
    <row r="1977" spans="1:52" x14ac:dyDescent="0.3">
      <c r="A1977" t="s">
        <v>52</v>
      </c>
      <c r="B1977" t="s">
        <v>53</v>
      </c>
      <c r="C1977" t="s">
        <v>54</v>
      </c>
      <c r="D1977" t="s">
        <v>55</v>
      </c>
      <c r="E1977" t="s">
        <v>2148</v>
      </c>
      <c r="F1977" t="s">
        <v>1247</v>
      </c>
      <c r="G1977" t="s">
        <v>1479</v>
      </c>
      <c r="H1977" t="s">
        <v>1480</v>
      </c>
      <c r="I1977" t="s">
        <v>1480</v>
      </c>
      <c r="J1977" t="s">
        <v>60</v>
      </c>
      <c r="K1977" t="s">
        <v>1302</v>
      </c>
      <c r="L1977" t="s">
        <v>62</v>
      </c>
      <c r="M1977" t="s">
        <v>1302</v>
      </c>
      <c r="N1977" t="s">
        <v>1481</v>
      </c>
      <c r="O1977" t="s">
        <v>1482</v>
      </c>
      <c r="P1977">
        <v>-20.164655</v>
      </c>
      <c r="Q1977">
        <v>-44.912697000000001</v>
      </c>
      <c r="R1977" s="2" t="str">
        <f>HYPERLINK("https://www.google.com/maps?q=-20.1646550,-44.9126970","Abrir no Google Maps")</f>
        <v>Abrir no Google Maps</v>
      </c>
      <c r="S1977">
        <v>2</v>
      </c>
      <c r="T1977">
        <v>441.50274004930441</v>
      </c>
      <c r="U1977">
        <v>4</v>
      </c>
      <c r="V1977">
        <v>29</v>
      </c>
      <c r="W1977">
        <v>1</v>
      </c>
      <c r="X1977">
        <v>29</v>
      </c>
      <c r="Y1977">
        <v>639</v>
      </c>
      <c r="Z1977">
        <v>311.03317029936522</v>
      </c>
      <c r="AA1977">
        <v>198</v>
      </c>
      <c r="AB1977">
        <v>332</v>
      </c>
      <c r="AC1977">
        <v>536</v>
      </c>
      <c r="AD1977">
        <v>30.74</v>
      </c>
      <c r="AE1977">
        <v>542</v>
      </c>
      <c r="AF1977">
        <v>30</v>
      </c>
      <c r="AG1977">
        <v>178</v>
      </c>
      <c r="AH1977">
        <v>129</v>
      </c>
      <c r="AI1977">
        <v>5.54</v>
      </c>
      <c r="AJ1977">
        <v>32.840000000000003</v>
      </c>
      <c r="AK1977">
        <v>23.8</v>
      </c>
      <c r="AL1977">
        <v>-20.164702999999971</v>
      </c>
      <c r="AM1977">
        <v>-44.912418857911163</v>
      </c>
      <c r="AN1977">
        <v>-20.164702999999971</v>
      </c>
      <c r="AO1977">
        <v>-44.912418857911163</v>
      </c>
      <c r="AP1977">
        <v>-20.164655</v>
      </c>
      <c r="AQ1977">
        <v>-44.912697000000001</v>
      </c>
      <c r="AR1977">
        <v>29.552017409892429</v>
      </c>
      <c r="AS1977" t="s">
        <v>65</v>
      </c>
      <c r="AT1977">
        <v>1</v>
      </c>
      <c r="AU1977" t="s">
        <v>1483</v>
      </c>
      <c r="AV1977" t="s">
        <v>1484</v>
      </c>
      <c r="AW1977" t="s">
        <v>60</v>
      </c>
      <c r="AX1977" t="s">
        <v>68</v>
      </c>
      <c r="AY1977" t="s">
        <v>69</v>
      </c>
      <c r="AZ1977" t="b">
        <v>1</v>
      </c>
    </row>
    <row r="1978" spans="1:52" x14ac:dyDescent="0.3">
      <c r="A1978" t="s">
        <v>52</v>
      </c>
      <c r="B1978" t="s">
        <v>53</v>
      </c>
      <c r="C1978" t="s">
        <v>54</v>
      </c>
      <c r="D1978" t="s">
        <v>55</v>
      </c>
      <c r="E1978" t="s">
        <v>2148</v>
      </c>
      <c r="F1978" t="s">
        <v>1247</v>
      </c>
      <c r="G1978" t="s">
        <v>1518</v>
      </c>
      <c r="H1978" t="s">
        <v>1519</v>
      </c>
      <c r="I1978" t="s">
        <v>1519</v>
      </c>
      <c r="J1978" t="s">
        <v>60</v>
      </c>
      <c r="K1978" t="s">
        <v>1302</v>
      </c>
      <c r="L1978" t="s">
        <v>62</v>
      </c>
      <c r="M1978" t="s">
        <v>1302</v>
      </c>
      <c r="N1978" t="s">
        <v>1520</v>
      </c>
      <c r="O1978" t="s">
        <v>1521</v>
      </c>
      <c r="P1978">
        <v>-20.16263</v>
      </c>
      <c r="Q1978">
        <v>-44.910342999999997</v>
      </c>
      <c r="R1978" s="2" t="str">
        <f>HYPERLINK("https://www.google.com/maps?q=-20.1626300,-44.9103430","Abrir no Google Maps")</f>
        <v>Abrir no Google Maps</v>
      </c>
      <c r="S1978">
        <v>2</v>
      </c>
      <c r="T1978">
        <v>492.63980270666781</v>
      </c>
      <c r="U1978">
        <v>4</v>
      </c>
      <c r="V1978">
        <v>25</v>
      </c>
      <c r="W1978">
        <v>1</v>
      </c>
      <c r="X1978">
        <v>25</v>
      </c>
      <c r="Y1978">
        <v>639</v>
      </c>
      <c r="Z1978">
        <v>412.49960371731271</v>
      </c>
      <c r="AA1978">
        <v>198</v>
      </c>
      <c r="AB1978">
        <v>332</v>
      </c>
      <c r="AC1978">
        <v>536</v>
      </c>
      <c r="AD1978">
        <v>30.74</v>
      </c>
      <c r="AE1978">
        <v>542</v>
      </c>
      <c r="AF1978">
        <v>30</v>
      </c>
      <c r="AG1978">
        <v>178</v>
      </c>
      <c r="AH1978">
        <v>129</v>
      </c>
      <c r="AI1978">
        <v>5.54</v>
      </c>
      <c r="AJ1978">
        <v>32.840000000000003</v>
      </c>
      <c r="AK1978">
        <v>23.8</v>
      </c>
      <c r="AL1978">
        <v>-20.162579949999952</v>
      </c>
      <c r="AM1978">
        <v>-44.910101148008863</v>
      </c>
      <c r="AN1978">
        <v>-20.162579949999952</v>
      </c>
      <c r="AO1978">
        <v>-44.910101148008863</v>
      </c>
      <c r="AP1978">
        <v>-20.16263</v>
      </c>
      <c r="AQ1978">
        <v>-44.910342999999997</v>
      </c>
      <c r="AR1978">
        <v>25.879932474893501</v>
      </c>
      <c r="AS1978" t="s">
        <v>65</v>
      </c>
      <c r="AT1978">
        <v>1</v>
      </c>
      <c r="AU1978" t="s">
        <v>1522</v>
      </c>
      <c r="AV1978" t="s">
        <v>1523</v>
      </c>
      <c r="AW1978" t="s">
        <v>60</v>
      </c>
      <c r="AX1978" t="s">
        <v>68</v>
      </c>
      <c r="AY1978" t="s">
        <v>69</v>
      </c>
      <c r="AZ1978" t="b">
        <v>1</v>
      </c>
    </row>
    <row r="1979" spans="1:52" x14ac:dyDescent="0.3">
      <c r="A1979" t="s">
        <v>52</v>
      </c>
      <c r="B1979" t="s">
        <v>53</v>
      </c>
      <c r="C1979" t="s">
        <v>54</v>
      </c>
      <c r="D1979" t="s">
        <v>55</v>
      </c>
      <c r="E1979" t="s">
        <v>2148</v>
      </c>
      <c r="F1979" t="s">
        <v>1247</v>
      </c>
      <c r="G1979" t="s">
        <v>1547</v>
      </c>
      <c r="H1979" t="s">
        <v>1548</v>
      </c>
      <c r="I1979" t="s">
        <v>1548</v>
      </c>
      <c r="J1979" t="s">
        <v>60</v>
      </c>
      <c r="K1979" t="s">
        <v>1549</v>
      </c>
      <c r="L1979" t="s">
        <v>62</v>
      </c>
      <c r="M1979" t="s">
        <v>1549</v>
      </c>
      <c r="N1979" t="s">
        <v>1550</v>
      </c>
      <c r="O1979" t="s">
        <v>1551</v>
      </c>
      <c r="P1979">
        <v>-20.173258000000001</v>
      </c>
      <c r="Q1979">
        <v>-44.930354000000001</v>
      </c>
      <c r="R1979" s="2" t="str">
        <f>HYPERLINK("https://www.google.com/maps?q=-20.1732580,-44.9303540","Abrir no Google Maps")</f>
        <v>Abrir no Google Maps</v>
      </c>
      <c r="S1979">
        <v>2</v>
      </c>
      <c r="T1979">
        <v>2023.802197028052</v>
      </c>
      <c r="U1979">
        <v>3</v>
      </c>
      <c r="V1979">
        <v>18</v>
      </c>
      <c r="W1979">
        <v>0.85</v>
      </c>
      <c r="X1979">
        <v>15.3</v>
      </c>
      <c r="Y1979">
        <v>723</v>
      </c>
      <c r="Z1979">
        <v>1727.7445576555911</v>
      </c>
      <c r="AA1979">
        <v>198</v>
      </c>
      <c r="AB1979">
        <v>332</v>
      </c>
      <c r="AC1979">
        <v>536</v>
      </c>
      <c r="AD1979">
        <v>30.74</v>
      </c>
      <c r="AE1979">
        <v>542</v>
      </c>
      <c r="AF1979">
        <v>30</v>
      </c>
      <c r="AG1979">
        <v>178</v>
      </c>
      <c r="AH1979">
        <v>129</v>
      </c>
      <c r="AI1979">
        <v>5.54</v>
      </c>
      <c r="AJ1979">
        <v>32.840000000000003</v>
      </c>
      <c r="AK1979">
        <v>23.8</v>
      </c>
      <c r="AL1979">
        <v>-20.172996449999939</v>
      </c>
      <c r="AM1979">
        <v>-44.930058436825973</v>
      </c>
      <c r="AN1979">
        <v>-20.172996449999939</v>
      </c>
      <c r="AO1979">
        <v>-44.930058436825973</v>
      </c>
      <c r="AP1979">
        <v>-20.173258000000001</v>
      </c>
      <c r="AQ1979">
        <v>-44.930354000000001</v>
      </c>
      <c r="AR1979">
        <v>42.444455141884362</v>
      </c>
      <c r="AS1979" t="s">
        <v>65</v>
      </c>
      <c r="AT1979">
        <v>1</v>
      </c>
      <c r="AU1979" t="s">
        <v>1552</v>
      </c>
      <c r="AV1979" t="s">
        <v>1553</v>
      </c>
      <c r="AW1979" t="s">
        <v>60</v>
      </c>
      <c r="AX1979" t="s">
        <v>68</v>
      </c>
      <c r="AY1979" t="s">
        <v>69</v>
      </c>
      <c r="AZ1979" t="b">
        <v>1</v>
      </c>
    </row>
    <row r="1980" spans="1:52" x14ac:dyDescent="0.3">
      <c r="A1980" t="s">
        <v>52</v>
      </c>
      <c r="B1980" t="s">
        <v>53</v>
      </c>
      <c r="C1980" t="s">
        <v>54</v>
      </c>
      <c r="D1980" t="s">
        <v>55</v>
      </c>
      <c r="E1980" t="s">
        <v>2148</v>
      </c>
      <c r="F1980" t="s">
        <v>1247</v>
      </c>
      <c r="G1980" t="s">
        <v>1127</v>
      </c>
      <c r="H1980" t="s">
        <v>1455</v>
      </c>
      <c r="I1980" t="s">
        <v>1455</v>
      </c>
      <c r="J1980" t="s">
        <v>60</v>
      </c>
      <c r="K1980" t="s">
        <v>431</v>
      </c>
      <c r="L1980" t="s">
        <v>62</v>
      </c>
      <c r="M1980" t="s">
        <v>431</v>
      </c>
      <c r="N1980" t="s">
        <v>1456</v>
      </c>
      <c r="O1980" t="s">
        <v>1001</v>
      </c>
      <c r="P1980">
        <v>-20.168237999999999</v>
      </c>
      <c r="Q1980">
        <v>-44.924250999999998</v>
      </c>
      <c r="R1980" s="2" t="str">
        <f>HYPERLINK("https://www.google.com/maps?q=-20.1682380,-44.9242510","Abrir no Google Maps")</f>
        <v>Abrir no Google Maps</v>
      </c>
      <c r="S1980">
        <v>2</v>
      </c>
      <c r="T1980">
        <v>1220.188820430971</v>
      </c>
      <c r="U1980">
        <v>3</v>
      </c>
      <c r="V1980">
        <v>22</v>
      </c>
      <c r="W1980">
        <v>0.85</v>
      </c>
      <c r="X1980">
        <v>18.7</v>
      </c>
      <c r="Y1980">
        <v>723</v>
      </c>
      <c r="Z1980">
        <v>1092.4377883150901</v>
      </c>
      <c r="AA1980">
        <v>198</v>
      </c>
      <c r="AB1980">
        <v>332</v>
      </c>
      <c r="AC1980">
        <v>536</v>
      </c>
      <c r="AD1980">
        <v>30.74</v>
      </c>
      <c r="AE1980">
        <v>542</v>
      </c>
      <c r="AF1980">
        <v>30</v>
      </c>
      <c r="AG1980">
        <v>178</v>
      </c>
      <c r="AH1980">
        <v>129</v>
      </c>
      <c r="AI1980">
        <v>5.54</v>
      </c>
      <c r="AJ1980">
        <v>32.840000000000003</v>
      </c>
      <c r="AK1980">
        <v>23.8</v>
      </c>
      <c r="AL1980">
        <v>-20.168394999999951</v>
      </c>
      <c r="AM1980">
        <v>-44.923548168580673</v>
      </c>
      <c r="AN1980">
        <v>-20.168394999999951</v>
      </c>
      <c r="AO1980">
        <v>-44.923548168580673</v>
      </c>
      <c r="AP1980">
        <v>-20.168237999999999</v>
      </c>
      <c r="AQ1980">
        <v>-44.924250999999998</v>
      </c>
      <c r="AR1980">
        <v>75.492755104934275</v>
      </c>
      <c r="AS1980" t="s">
        <v>65</v>
      </c>
      <c r="AT1980">
        <v>1</v>
      </c>
      <c r="AU1980" t="s">
        <v>1457</v>
      </c>
      <c r="AV1980" t="s">
        <v>1458</v>
      </c>
      <c r="AW1980" t="s">
        <v>60</v>
      </c>
      <c r="AX1980" t="s">
        <v>68</v>
      </c>
      <c r="AY1980" t="s">
        <v>69</v>
      </c>
      <c r="AZ1980" t="b">
        <v>1</v>
      </c>
    </row>
    <row r="1981" spans="1:52" x14ac:dyDescent="0.3">
      <c r="A1981" t="s">
        <v>52</v>
      </c>
      <c r="B1981" t="s">
        <v>53</v>
      </c>
      <c r="C1981" t="s">
        <v>54</v>
      </c>
      <c r="D1981" t="s">
        <v>55</v>
      </c>
      <c r="E1981" t="s">
        <v>2148</v>
      </c>
      <c r="F1981" t="s">
        <v>1247</v>
      </c>
      <c r="G1981" t="s">
        <v>1464</v>
      </c>
      <c r="H1981" t="s">
        <v>1485</v>
      </c>
      <c r="I1981" t="s">
        <v>1485</v>
      </c>
      <c r="J1981" t="s">
        <v>60</v>
      </c>
      <c r="K1981" t="s">
        <v>1486</v>
      </c>
      <c r="L1981" t="s">
        <v>62</v>
      </c>
      <c r="M1981" t="s">
        <v>1486</v>
      </c>
      <c r="N1981" t="s">
        <v>1467</v>
      </c>
      <c r="O1981" t="s">
        <v>1487</v>
      </c>
      <c r="P1981">
        <v>-20.162842000000001</v>
      </c>
      <c r="Q1981">
        <v>-44.883769999999998</v>
      </c>
      <c r="R1981" s="2" t="str">
        <f>HYPERLINK("https://www.google.com/maps?q=-20.1628420,-44.8837700","Abrir no Google Maps")</f>
        <v>Abrir no Google Maps</v>
      </c>
      <c r="S1981">
        <v>2</v>
      </c>
      <c r="T1981">
        <v>659.67909450906006</v>
      </c>
      <c r="U1981">
        <v>3</v>
      </c>
      <c r="V1981">
        <v>22</v>
      </c>
      <c r="W1981">
        <v>1</v>
      </c>
      <c r="X1981">
        <v>22</v>
      </c>
      <c r="Y1981">
        <v>671</v>
      </c>
      <c r="Z1981">
        <v>566.23107864368092</v>
      </c>
      <c r="AA1981">
        <v>198</v>
      </c>
      <c r="AB1981">
        <v>332</v>
      </c>
      <c r="AC1981">
        <v>536</v>
      </c>
      <c r="AD1981">
        <v>30.74</v>
      </c>
      <c r="AE1981">
        <v>542</v>
      </c>
      <c r="AF1981">
        <v>30</v>
      </c>
      <c r="AG1981">
        <v>178</v>
      </c>
      <c r="AH1981">
        <v>129</v>
      </c>
      <c r="AI1981">
        <v>5.54</v>
      </c>
      <c r="AJ1981">
        <v>32.840000000000003</v>
      </c>
      <c r="AK1981">
        <v>23.8</v>
      </c>
      <c r="AL1981">
        <v>-20.162791299999949</v>
      </c>
      <c r="AM1981">
        <v>-44.883966852092939</v>
      </c>
      <c r="AN1981">
        <v>-20.162791299999949</v>
      </c>
      <c r="AO1981">
        <v>-44.883966852092939</v>
      </c>
      <c r="AP1981">
        <v>-20.162842000000001</v>
      </c>
      <c r="AQ1981">
        <v>-44.883769999999998</v>
      </c>
      <c r="AR1981">
        <v>21.33085532825611</v>
      </c>
      <c r="AS1981" t="s">
        <v>65</v>
      </c>
      <c r="AT1981">
        <v>1</v>
      </c>
      <c r="AU1981" t="s">
        <v>1488</v>
      </c>
      <c r="AV1981" t="s">
        <v>1489</v>
      </c>
      <c r="AW1981" t="s">
        <v>60</v>
      </c>
      <c r="AX1981" t="s">
        <v>68</v>
      </c>
      <c r="AY1981" t="s">
        <v>69</v>
      </c>
      <c r="AZ1981" t="b">
        <v>1</v>
      </c>
    </row>
    <row r="1982" spans="1:52" x14ac:dyDescent="0.3">
      <c r="A1982" t="s">
        <v>52</v>
      </c>
      <c r="B1982" t="s">
        <v>53</v>
      </c>
      <c r="C1982" t="s">
        <v>54</v>
      </c>
      <c r="D1982" t="s">
        <v>55</v>
      </c>
      <c r="E1982" t="s">
        <v>2148</v>
      </c>
      <c r="F1982" t="s">
        <v>1247</v>
      </c>
      <c r="G1982" t="s">
        <v>1501</v>
      </c>
      <c r="H1982" t="s">
        <v>1502</v>
      </c>
      <c r="I1982" t="s">
        <v>1502</v>
      </c>
      <c r="J1982" t="s">
        <v>60</v>
      </c>
      <c r="K1982" t="s">
        <v>1466</v>
      </c>
      <c r="L1982" t="s">
        <v>62</v>
      </c>
      <c r="M1982" t="s">
        <v>1466</v>
      </c>
      <c r="N1982" t="s">
        <v>1503</v>
      </c>
      <c r="O1982" t="s">
        <v>1504</v>
      </c>
      <c r="P1982">
        <v>-20.159618999999999</v>
      </c>
      <c r="Q1982">
        <v>-44.880065000000002</v>
      </c>
      <c r="R1982" s="2" t="str">
        <f>HYPERLINK("https://www.google.com/maps?q=-20.1596190,-44.8800650","Abrir no Google Maps")</f>
        <v>Abrir no Google Maps</v>
      </c>
      <c r="S1982">
        <v>2</v>
      </c>
      <c r="T1982">
        <v>243.9950282285559</v>
      </c>
      <c r="U1982">
        <v>3</v>
      </c>
      <c r="V1982">
        <v>18</v>
      </c>
      <c r="W1982">
        <v>1</v>
      </c>
      <c r="X1982">
        <v>18</v>
      </c>
      <c r="Y1982">
        <v>671</v>
      </c>
      <c r="Z1982">
        <v>265.31354384517681</v>
      </c>
      <c r="AA1982">
        <v>198</v>
      </c>
      <c r="AB1982">
        <v>332</v>
      </c>
      <c r="AC1982">
        <v>536</v>
      </c>
      <c r="AD1982">
        <v>30.74</v>
      </c>
      <c r="AE1982">
        <v>542</v>
      </c>
      <c r="AF1982">
        <v>30</v>
      </c>
      <c r="AG1982">
        <v>178</v>
      </c>
      <c r="AH1982">
        <v>129</v>
      </c>
      <c r="AI1982">
        <v>5.54</v>
      </c>
      <c r="AJ1982">
        <v>32.840000000000003</v>
      </c>
      <c r="AK1982">
        <v>23.8</v>
      </c>
      <c r="AL1982">
        <v>-20.159689949999969</v>
      </c>
      <c r="AM1982">
        <v>-44.880075072344489</v>
      </c>
      <c r="AN1982">
        <v>-20.159689949999969</v>
      </c>
      <c r="AO1982">
        <v>-44.880075072344489</v>
      </c>
      <c r="AP1982">
        <v>-20.159618999999999</v>
      </c>
      <c r="AQ1982">
        <v>-44.880065000000002</v>
      </c>
      <c r="AR1982">
        <v>7.9679809486040876</v>
      </c>
      <c r="AS1982" t="s">
        <v>65</v>
      </c>
      <c r="AT1982">
        <v>1</v>
      </c>
      <c r="AU1982" t="s">
        <v>1505</v>
      </c>
      <c r="AV1982" t="s">
        <v>1506</v>
      </c>
      <c r="AW1982" t="s">
        <v>60</v>
      </c>
      <c r="AX1982" t="s">
        <v>68</v>
      </c>
      <c r="AY1982" t="s">
        <v>69</v>
      </c>
      <c r="AZ1982" t="b">
        <v>1</v>
      </c>
    </row>
    <row r="1983" spans="1:52" x14ac:dyDescent="0.3">
      <c r="A1983" t="s">
        <v>52</v>
      </c>
      <c r="B1983" t="s">
        <v>53</v>
      </c>
      <c r="C1983" t="s">
        <v>54</v>
      </c>
      <c r="D1983" t="s">
        <v>55</v>
      </c>
      <c r="E1983" t="s">
        <v>2148</v>
      </c>
      <c r="F1983" t="s">
        <v>1247</v>
      </c>
      <c r="G1983" t="s">
        <v>1507</v>
      </c>
      <c r="H1983" t="s">
        <v>1508</v>
      </c>
      <c r="I1983" t="s">
        <v>1508</v>
      </c>
      <c r="J1983" t="s">
        <v>60</v>
      </c>
      <c r="K1983" t="s">
        <v>1466</v>
      </c>
      <c r="L1983" t="s">
        <v>62</v>
      </c>
      <c r="M1983" t="s">
        <v>1466</v>
      </c>
      <c r="N1983" t="s">
        <v>1509</v>
      </c>
      <c r="O1983" t="s">
        <v>270</v>
      </c>
      <c r="P1983">
        <v>-20.164501999999999</v>
      </c>
      <c r="Q1983">
        <v>-44.883226999999998</v>
      </c>
      <c r="R1983" s="2" t="str">
        <f>HYPERLINK("https://www.google.com/maps?q=-20.1645020,-44.8832270","Abrir no Google Maps")</f>
        <v>Abrir no Google Maps</v>
      </c>
      <c r="S1983">
        <v>2</v>
      </c>
      <c r="T1983">
        <v>691.62667420887726</v>
      </c>
      <c r="U1983">
        <v>3</v>
      </c>
      <c r="V1983">
        <v>21</v>
      </c>
      <c r="W1983">
        <v>1</v>
      </c>
      <c r="X1983">
        <v>21</v>
      </c>
      <c r="Y1983">
        <v>671</v>
      </c>
      <c r="Z1983">
        <v>591.13935302436732</v>
      </c>
      <c r="AA1983">
        <v>198</v>
      </c>
      <c r="AB1983">
        <v>332</v>
      </c>
      <c r="AC1983">
        <v>536</v>
      </c>
      <c r="AD1983">
        <v>30.74</v>
      </c>
      <c r="AE1983">
        <v>542</v>
      </c>
      <c r="AF1983">
        <v>30</v>
      </c>
      <c r="AG1983">
        <v>178</v>
      </c>
      <c r="AH1983">
        <v>129</v>
      </c>
      <c r="AI1983">
        <v>5.54</v>
      </c>
      <c r="AJ1983">
        <v>32.840000000000003</v>
      </c>
      <c r="AK1983">
        <v>23.8</v>
      </c>
      <c r="AL1983">
        <v>-20.164470149999939</v>
      </c>
      <c r="AM1983">
        <v>-44.883357321672527</v>
      </c>
      <c r="AN1983">
        <v>-20.164470149999939</v>
      </c>
      <c r="AO1983">
        <v>-44.883357321672527</v>
      </c>
      <c r="AP1983">
        <v>-20.164501999999999</v>
      </c>
      <c r="AQ1983">
        <v>-44.883226999999998</v>
      </c>
      <c r="AR1983">
        <v>14.072184947340521</v>
      </c>
      <c r="AS1983" t="s">
        <v>65</v>
      </c>
      <c r="AT1983">
        <v>1</v>
      </c>
      <c r="AU1983" t="s">
        <v>1510</v>
      </c>
      <c r="AV1983" t="s">
        <v>1511</v>
      </c>
      <c r="AW1983" t="s">
        <v>60</v>
      </c>
      <c r="AX1983" t="s">
        <v>68</v>
      </c>
      <c r="AY1983" t="s">
        <v>69</v>
      </c>
      <c r="AZ1983" t="b">
        <v>1</v>
      </c>
    </row>
    <row r="1984" spans="1:52" x14ac:dyDescent="0.3">
      <c r="A1984" t="s">
        <v>52</v>
      </c>
      <c r="B1984" t="s">
        <v>53</v>
      </c>
      <c r="C1984" t="s">
        <v>54</v>
      </c>
      <c r="D1984" t="s">
        <v>55</v>
      </c>
      <c r="E1984" t="s">
        <v>2148</v>
      </c>
      <c r="F1984" t="s">
        <v>1247</v>
      </c>
      <c r="G1984" t="s">
        <v>1524</v>
      </c>
      <c r="H1984" t="s">
        <v>1525</v>
      </c>
      <c r="I1984" t="s">
        <v>1525</v>
      </c>
      <c r="J1984" t="s">
        <v>60</v>
      </c>
      <c r="K1984" t="s">
        <v>1302</v>
      </c>
      <c r="L1984" t="s">
        <v>62</v>
      </c>
      <c r="M1984" t="s">
        <v>1302</v>
      </c>
      <c r="N1984" t="s">
        <v>1526</v>
      </c>
      <c r="O1984" t="s">
        <v>303</v>
      </c>
      <c r="P1984">
        <v>-20.159873000000001</v>
      </c>
      <c r="Q1984">
        <v>-44.911431999999998</v>
      </c>
      <c r="R1984" s="2" t="str">
        <f>HYPERLINK("https://www.google.com/maps?q=-20.1598730,-44.9114320","Abrir no Google Maps")</f>
        <v>Abrir no Google Maps</v>
      </c>
      <c r="S1984">
        <v>2</v>
      </c>
      <c r="T1984">
        <v>359.34785817593553</v>
      </c>
      <c r="U1984">
        <v>3</v>
      </c>
      <c r="V1984">
        <v>17</v>
      </c>
      <c r="W1984">
        <v>1</v>
      </c>
      <c r="X1984">
        <v>17</v>
      </c>
      <c r="Y1984">
        <v>639</v>
      </c>
      <c r="Z1984">
        <v>388.13505700247691</v>
      </c>
      <c r="AA1984">
        <v>198</v>
      </c>
      <c r="AB1984">
        <v>332</v>
      </c>
      <c r="AC1984">
        <v>536</v>
      </c>
      <c r="AD1984">
        <v>30.74</v>
      </c>
      <c r="AE1984">
        <v>542</v>
      </c>
      <c r="AF1984">
        <v>30</v>
      </c>
      <c r="AG1984">
        <v>178</v>
      </c>
      <c r="AH1984">
        <v>129</v>
      </c>
      <c r="AI1984">
        <v>5.54</v>
      </c>
      <c r="AJ1984">
        <v>32.840000000000003</v>
      </c>
      <c r="AK1984">
        <v>23.8</v>
      </c>
      <c r="AL1984">
        <v>-20.159583599999969</v>
      </c>
      <c r="AM1984">
        <v>-44.911691929105316</v>
      </c>
      <c r="AN1984">
        <v>-20.159583599999969</v>
      </c>
      <c r="AO1984">
        <v>-44.911691929105316</v>
      </c>
      <c r="AP1984">
        <v>-20.159873000000001</v>
      </c>
      <c r="AQ1984">
        <v>-44.911431999999998</v>
      </c>
      <c r="AR1984">
        <v>42.138811218570019</v>
      </c>
      <c r="AS1984" t="s">
        <v>65</v>
      </c>
      <c r="AT1984">
        <v>1</v>
      </c>
      <c r="AU1984" t="s">
        <v>1527</v>
      </c>
      <c r="AV1984" t="s">
        <v>1528</v>
      </c>
      <c r="AW1984" t="s">
        <v>60</v>
      </c>
      <c r="AX1984" t="s">
        <v>68</v>
      </c>
      <c r="AY1984" t="s">
        <v>69</v>
      </c>
      <c r="AZ1984" t="b">
        <v>1</v>
      </c>
    </row>
    <row r="1985" spans="1:52" x14ac:dyDescent="0.3">
      <c r="A1985" t="s">
        <v>52</v>
      </c>
      <c r="B1985" t="s">
        <v>53</v>
      </c>
      <c r="C1985" t="s">
        <v>54</v>
      </c>
      <c r="D1985" t="s">
        <v>55</v>
      </c>
      <c r="E1985" t="s">
        <v>2148</v>
      </c>
      <c r="F1985" t="s">
        <v>1247</v>
      </c>
      <c r="G1985" t="s">
        <v>1495</v>
      </c>
      <c r="H1985" t="s">
        <v>1496</v>
      </c>
      <c r="I1985" t="s">
        <v>1496</v>
      </c>
      <c r="J1985" t="s">
        <v>60</v>
      </c>
      <c r="K1985" t="s">
        <v>1466</v>
      </c>
      <c r="L1985" t="s">
        <v>62</v>
      </c>
      <c r="M1985" t="s">
        <v>1466</v>
      </c>
      <c r="N1985" t="s">
        <v>1497</v>
      </c>
      <c r="O1985" t="s">
        <v>1498</v>
      </c>
      <c r="P1985">
        <v>-20.163160999999999</v>
      </c>
      <c r="Q1985">
        <v>-44.880460999999997</v>
      </c>
      <c r="R1985" s="2" t="str">
        <f>HYPERLINK("https://www.google.com/maps?q=-20.1631610,-44.8804610","Abrir no Google Maps")</f>
        <v>Abrir no Google Maps</v>
      </c>
      <c r="S1985">
        <v>2</v>
      </c>
      <c r="T1985">
        <v>372.63783804650222</v>
      </c>
      <c r="U1985">
        <v>2</v>
      </c>
      <c r="V1985">
        <v>15</v>
      </c>
      <c r="W1985">
        <v>1</v>
      </c>
      <c r="X1985">
        <v>15</v>
      </c>
      <c r="Y1985">
        <v>671</v>
      </c>
      <c r="Z1985">
        <v>250.43144487082299</v>
      </c>
      <c r="AA1985">
        <v>198</v>
      </c>
      <c r="AB1985">
        <v>332</v>
      </c>
      <c r="AC1985">
        <v>536</v>
      </c>
      <c r="AD1985">
        <v>30.74</v>
      </c>
      <c r="AE1985">
        <v>542</v>
      </c>
      <c r="AF1985">
        <v>30</v>
      </c>
      <c r="AG1985">
        <v>178</v>
      </c>
      <c r="AH1985">
        <v>129</v>
      </c>
      <c r="AI1985">
        <v>5.54</v>
      </c>
      <c r="AJ1985">
        <v>32.840000000000003</v>
      </c>
      <c r="AK1985">
        <v>23.8</v>
      </c>
      <c r="AL1985">
        <v>-20.163296749999969</v>
      </c>
      <c r="AM1985">
        <v>-44.88037544059182</v>
      </c>
      <c r="AN1985">
        <v>-20.163296749999969</v>
      </c>
      <c r="AO1985">
        <v>-44.88037544059182</v>
      </c>
      <c r="AP1985">
        <v>-20.163160999999999</v>
      </c>
      <c r="AQ1985">
        <v>-44.880460999999997</v>
      </c>
      <c r="AR1985">
        <v>17.558482416121191</v>
      </c>
      <c r="AS1985" t="s">
        <v>65</v>
      </c>
      <c r="AT1985">
        <v>1</v>
      </c>
      <c r="AU1985" t="s">
        <v>1499</v>
      </c>
      <c r="AV1985" t="s">
        <v>1500</v>
      </c>
      <c r="AW1985" t="s">
        <v>60</v>
      </c>
      <c r="AX1985" t="s">
        <v>68</v>
      </c>
      <c r="AY1985" t="s">
        <v>69</v>
      </c>
      <c r="AZ1985" t="b">
        <v>1</v>
      </c>
    </row>
    <row r="1986" spans="1:52" x14ac:dyDescent="0.3">
      <c r="A1986" t="s">
        <v>52</v>
      </c>
      <c r="B1986" t="s">
        <v>53</v>
      </c>
      <c r="C1986" t="s">
        <v>54</v>
      </c>
      <c r="D1986" t="s">
        <v>55</v>
      </c>
      <c r="E1986" t="s">
        <v>2148</v>
      </c>
      <c r="F1986" t="s">
        <v>1247</v>
      </c>
      <c r="G1986" t="s">
        <v>1529</v>
      </c>
      <c r="H1986" t="s">
        <v>1530</v>
      </c>
      <c r="I1986" t="s">
        <v>1530</v>
      </c>
      <c r="J1986" t="s">
        <v>60</v>
      </c>
      <c r="K1986" t="s">
        <v>1466</v>
      </c>
      <c r="L1986" t="s">
        <v>62</v>
      </c>
      <c r="M1986" t="s">
        <v>1466</v>
      </c>
      <c r="N1986" t="s">
        <v>1531</v>
      </c>
      <c r="O1986" t="s">
        <v>145</v>
      </c>
      <c r="P1986">
        <v>-20.162952000000001</v>
      </c>
      <c r="Q1986">
        <v>-44.877612999999997</v>
      </c>
      <c r="R1986" s="2" t="str">
        <f>HYPERLINK("https://www.google.com/maps?q=-20.1629520,-44.8776130","Abrir no Google Maps")</f>
        <v>Abrir no Google Maps</v>
      </c>
      <c r="S1986">
        <v>2</v>
      </c>
      <c r="T1986">
        <v>229.91388913695721</v>
      </c>
      <c r="U1986">
        <v>2</v>
      </c>
      <c r="V1986">
        <v>12</v>
      </c>
      <c r="W1986">
        <v>0.85</v>
      </c>
      <c r="X1986">
        <v>10.199999999999999</v>
      </c>
      <c r="Y1986">
        <v>671</v>
      </c>
      <c r="Z1986">
        <v>157.6775523644973</v>
      </c>
      <c r="AA1986">
        <v>198</v>
      </c>
      <c r="AB1986">
        <v>332</v>
      </c>
      <c r="AC1986">
        <v>536</v>
      </c>
      <c r="AD1986">
        <v>30.74</v>
      </c>
      <c r="AE1986">
        <v>542</v>
      </c>
      <c r="AF1986">
        <v>30</v>
      </c>
      <c r="AG1986">
        <v>178</v>
      </c>
      <c r="AH1986">
        <v>129</v>
      </c>
      <c r="AI1986">
        <v>5.54</v>
      </c>
      <c r="AJ1986">
        <v>32.840000000000003</v>
      </c>
      <c r="AK1986">
        <v>23.8</v>
      </c>
      <c r="AL1986">
        <v>-20.16278829999996</v>
      </c>
      <c r="AM1986">
        <v>-44.877564655204168</v>
      </c>
      <c r="AN1986">
        <v>-20.16278829999996</v>
      </c>
      <c r="AO1986">
        <v>-44.877564655204168</v>
      </c>
      <c r="AP1986">
        <v>-20.162952000000001</v>
      </c>
      <c r="AQ1986">
        <v>-44.877612999999997</v>
      </c>
      <c r="AR1986">
        <v>18.91038935762678</v>
      </c>
      <c r="AS1986" t="s">
        <v>65</v>
      </c>
      <c r="AT1986">
        <v>1</v>
      </c>
      <c r="AU1986" t="s">
        <v>1532</v>
      </c>
      <c r="AV1986" t="s">
        <v>1533</v>
      </c>
      <c r="AW1986" t="s">
        <v>60</v>
      </c>
      <c r="AX1986" t="s">
        <v>68</v>
      </c>
      <c r="AY1986" t="s">
        <v>69</v>
      </c>
      <c r="AZ1986" t="b">
        <v>1</v>
      </c>
    </row>
    <row r="1987" spans="1:52" x14ac:dyDescent="0.3">
      <c r="A1987" t="s">
        <v>52</v>
      </c>
      <c r="B1987" t="s">
        <v>53</v>
      </c>
      <c r="C1987" t="s">
        <v>54</v>
      </c>
      <c r="D1987" t="s">
        <v>55</v>
      </c>
      <c r="E1987" t="s">
        <v>2148</v>
      </c>
      <c r="F1987" t="s">
        <v>1247</v>
      </c>
      <c r="G1987" t="s">
        <v>1333</v>
      </c>
      <c r="H1987" t="s">
        <v>1470</v>
      </c>
      <c r="I1987" t="s">
        <v>1470</v>
      </c>
      <c r="J1987" t="s">
        <v>60</v>
      </c>
      <c r="K1987" t="s">
        <v>437</v>
      </c>
      <c r="L1987" t="s">
        <v>62</v>
      </c>
      <c r="M1987" t="s">
        <v>437</v>
      </c>
      <c r="N1987" t="s">
        <v>1335</v>
      </c>
      <c r="O1987" t="s">
        <v>900</v>
      </c>
      <c r="P1987">
        <v>-20.147047000000001</v>
      </c>
      <c r="Q1987">
        <v>-44.883921999999998</v>
      </c>
      <c r="R1987" s="2" t="str">
        <f>HYPERLINK("https://www.google.com/maps?q=-20.1470470,-44.8839220","Abrir no Google Maps")</f>
        <v>Abrir no Google Maps</v>
      </c>
      <c r="S1987">
        <v>2</v>
      </c>
      <c r="T1987">
        <v>296.4098018832658</v>
      </c>
      <c r="U1987">
        <v>2</v>
      </c>
      <c r="V1987">
        <v>14</v>
      </c>
      <c r="W1987">
        <v>1</v>
      </c>
      <c r="X1987">
        <v>14</v>
      </c>
      <c r="Y1987">
        <v>653</v>
      </c>
      <c r="Z1987">
        <v>299.72271006042178</v>
      </c>
      <c r="AA1987">
        <v>198</v>
      </c>
      <c r="AB1987">
        <v>332</v>
      </c>
      <c r="AC1987">
        <v>536</v>
      </c>
      <c r="AD1987">
        <v>30.74</v>
      </c>
      <c r="AE1987">
        <v>542</v>
      </c>
      <c r="AF1987">
        <v>30</v>
      </c>
      <c r="AG1987">
        <v>178</v>
      </c>
      <c r="AH1987">
        <v>129</v>
      </c>
      <c r="AI1987">
        <v>5.54</v>
      </c>
      <c r="AJ1987">
        <v>32.840000000000003</v>
      </c>
      <c r="AK1987">
        <v>23.8</v>
      </c>
      <c r="AL1987">
        <v>-20.147074949999929</v>
      </c>
      <c r="AM1987">
        <v>-44.883796511502347</v>
      </c>
      <c r="AN1987">
        <v>-20.147074949999929</v>
      </c>
      <c r="AO1987">
        <v>-44.883796511502347</v>
      </c>
      <c r="AP1987">
        <v>-20.147047000000001</v>
      </c>
      <c r="AQ1987">
        <v>-44.883921999999998</v>
      </c>
      <c r="AR1987">
        <v>13.47864632994</v>
      </c>
      <c r="AS1987" t="s">
        <v>65</v>
      </c>
      <c r="AT1987">
        <v>1</v>
      </c>
      <c r="AU1987" t="s">
        <v>1471</v>
      </c>
      <c r="AV1987" t="s">
        <v>1472</v>
      </c>
      <c r="AW1987" t="s">
        <v>60</v>
      </c>
      <c r="AX1987" t="s">
        <v>68</v>
      </c>
      <c r="AY1987" t="s">
        <v>69</v>
      </c>
      <c r="AZ1987" t="b">
        <v>1</v>
      </c>
    </row>
    <row r="1988" spans="1:52" x14ac:dyDescent="0.3">
      <c r="A1988" t="s">
        <v>52</v>
      </c>
      <c r="B1988" t="s">
        <v>53</v>
      </c>
      <c r="C1988" t="s">
        <v>54</v>
      </c>
      <c r="D1988" t="s">
        <v>55</v>
      </c>
      <c r="E1988" t="s">
        <v>2148</v>
      </c>
      <c r="F1988" t="s">
        <v>1247</v>
      </c>
      <c r="G1988" t="s">
        <v>1512</v>
      </c>
      <c r="H1988" t="s">
        <v>1513</v>
      </c>
      <c r="I1988" t="s">
        <v>1513</v>
      </c>
      <c r="J1988" t="s">
        <v>60</v>
      </c>
      <c r="K1988" t="s">
        <v>1302</v>
      </c>
      <c r="L1988" t="s">
        <v>62</v>
      </c>
      <c r="M1988" t="s">
        <v>1302</v>
      </c>
      <c r="N1988" t="s">
        <v>1514</v>
      </c>
      <c r="O1988" t="s">
        <v>1515</v>
      </c>
      <c r="P1988">
        <v>-20.163709000000001</v>
      </c>
      <c r="Q1988">
        <v>-44.916074999999999</v>
      </c>
      <c r="R1988" s="2" t="str">
        <f>HYPERLINK("https://www.google.com/maps?q=-20.1637090,-44.9160750","Abrir no Google Maps")</f>
        <v>Abrir no Google Maps</v>
      </c>
      <c r="S1988">
        <v>2</v>
      </c>
      <c r="T1988">
        <v>305.09593452131332</v>
      </c>
      <c r="U1988">
        <v>2</v>
      </c>
      <c r="V1988">
        <v>13</v>
      </c>
      <c r="W1988">
        <v>1</v>
      </c>
      <c r="X1988">
        <v>13</v>
      </c>
      <c r="Y1988">
        <v>639</v>
      </c>
      <c r="Z1988">
        <v>289.37841230131949</v>
      </c>
      <c r="AA1988">
        <v>198</v>
      </c>
      <c r="AB1988">
        <v>332</v>
      </c>
      <c r="AC1988">
        <v>536</v>
      </c>
      <c r="AD1988">
        <v>30.74</v>
      </c>
      <c r="AE1988">
        <v>542</v>
      </c>
      <c r="AF1988">
        <v>30</v>
      </c>
      <c r="AG1988">
        <v>178</v>
      </c>
      <c r="AH1988">
        <v>129</v>
      </c>
      <c r="AI1988">
        <v>5.54</v>
      </c>
      <c r="AJ1988">
        <v>32.840000000000003</v>
      </c>
      <c r="AK1988">
        <v>23.8</v>
      </c>
      <c r="AL1988">
        <v>-20.163666449999969</v>
      </c>
      <c r="AM1988">
        <v>-44.916102906827042</v>
      </c>
      <c r="AN1988">
        <v>-20.163666449999969</v>
      </c>
      <c r="AO1988">
        <v>-44.916102906827042</v>
      </c>
      <c r="AP1988">
        <v>-20.163709000000001</v>
      </c>
      <c r="AQ1988">
        <v>-44.916074999999999</v>
      </c>
      <c r="AR1988">
        <v>5.5623892025550603</v>
      </c>
      <c r="AS1988" t="s">
        <v>65</v>
      </c>
      <c r="AT1988">
        <v>1</v>
      </c>
      <c r="AU1988" t="s">
        <v>1516</v>
      </c>
      <c r="AV1988" t="s">
        <v>1517</v>
      </c>
      <c r="AW1988" t="s">
        <v>60</v>
      </c>
      <c r="AX1988" t="s">
        <v>68</v>
      </c>
      <c r="AY1988" t="s">
        <v>69</v>
      </c>
      <c r="AZ1988" t="b">
        <v>1</v>
      </c>
    </row>
    <row r="1989" spans="1:52" x14ac:dyDescent="0.3">
      <c r="A1989" t="s">
        <v>52</v>
      </c>
      <c r="B1989" t="s">
        <v>53</v>
      </c>
      <c r="C1989" t="s">
        <v>54</v>
      </c>
      <c r="D1989" t="s">
        <v>55</v>
      </c>
      <c r="E1989" t="s">
        <v>2148</v>
      </c>
      <c r="F1989" t="s">
        <v>1247</v>
      </c>
      <c r="G1989" t="s">
        <v>1541</v>
      </c>
      <c r="H1989" t="s">
        <v>1542</v>
      </c>
      <c r="I1989" t="s">
        <v>1542</v>
      </c>
      <c r="J1989" t="s">
        <v>60</v>
      </c>
      <c r="K1989" t="s">
        <v>1302</v>
      </c>
      <c r="L1989" t="s">
        <v>62</v>
      </c>
      <c r="M1989" t="s">
        <v>1302</v>
      </c>
      <c r="N1989" t="s">
        <v>1543</v>
      </c>
      <c r="O1989" t="s">
        <v>1544</v>
      </c>
      <c r="P1989">
        <v>-20.166267999999999</v>
      </c>
      <c r="Q1989">
        <v>-44.916902</v>
      </c>
      <c r="R1989" s="2" t="str">
        <f>HYPERLINK("https://www.google.com/maps?q=-20.1662680,-44.9169020","Abrir no Google Maps")</f>
        <v>Abrir no Google Maps</v>
      </c>
      <c r="S1989">
        <v>2</v>
      </c>
      <c r="T1989">
        <v>580.14556008922216</v>
      </c>
      <c r="U1989">
        <v>2</v>
      </c>
      <c r="V1989">
        <v>10</v>
      </c>
      <c r="W1989">
        <v>0.85</v>
      </c>
      <c r="X1989">
        <v>8.5</v>
      </c>
      <c r="Y1989">
        <v>639</v>
      </c>
      <c r="Z1989">
        <v>590.87477783185614</v>
      </c>
      <c r="AA1989">
        <v>198</v>
      </c>
      <c r="AB1989">
        <v>332</v>
      </c>
      <c r="AC1989">
        <v>536</v>
      </c>
      <c r="AD1989">
        <v>30.74</v>
      </c>
      <c r="AE1989">
        <v>542</v>
      </c>
      <c r="AF1989">
        <v>30</v>
      </c>
      <c r="AG1989">
        <v>178</v>
      </c>
      <c r="AH1989">
        <v>129</v>
      </c>
      <c r="AI1989">
        <v>5.54</v>
      </c>
      <c r="AJ1989">
        <v>32.840000000000003</v>
      </c>
      <c r="AK1989">
        <v>23.8</v>
      </c>
      <c r="AL1989">
        <v>-20.165891749999961</v>
      </c>
      <c r="AM1989">
        <v>-44.917283075074913</v>
      </c>
      <c r="AN1989">
        <v>-20.165891749999961</v>
      </c>
      <c r="AO1989">
        <v>-44.917283075074913</v>
      </c>
      <c r="AP1989">
        <v>-20.166267999999999</v>
      </c>
      <c r="AQ1989">
        <v>-44.916902</v>
      </c>
      <c r="AR1989">
        <v>57.792534087281872</v>
      </c>
      <c r="AS1989" t="s">
        <v>65</v>
      </c>
      <c r="AT1989">
        <v>1</v>
      </c>
      <c r="AU1989" t="s">
        <v>1545</v>
      </c>
      <c r="AV1989" t="s">
        <v>1546</v>
      </c>
      <c r="AW1989" t="s">
        <v>60</v>
      </c>
      <c r="AX1989" t="s">
        <v>68</v>
      </c>
      <c r="AY1989" t="s">
        <v>69</v>
      </c>
      <c r="AZ1989" t="b">
        <v>1</v>
      </c>
    </row>
    <row r="1990" spans="1:52" x14ac:dyDescent="0.3">
      <c r="A1990" t="s">
        <v>52</v>
      </c>
      <c r="B1990" t="s">
        <v>53</v>
      </c>
      <c r="C1990" t="s">
        <v>54</v>
      </c>
      <c r="D1990" t="s">
        <v>55</v>
      </c>
      <c r="E1990" t="s">
        <v>2148</v>
      </c>
      <c r="F1990" t="s">
        <v>1247</v>
      </c>
      <c r="G1990" t="s">
        <v>1554</v>
      </c>
      <c r="H1990" t="s">
        <v>1555</v>
      </c>
      <c r="I1990" t="s">
        <v>1555</v>
      </c>
      <c r="J1990" t="s">
        <v>60</v>
      </c>
      <c r="K1990" t="s">
        <v>1466</v>
      </c>
      <c r="L1990" t="s">
        <v>62</v>
      </c>
      <c r="M1990" t="s">
        <v>1466</v>
      </c>
      <c r="N1990" t="s">
        <v>1556</v>
      </c>
      <c r="O1990" t="s">
        <v>989</v>
      </c>
      <c r="P1990">
        <v>-20.160997999999999</v>
      </c>
      <c r="Q1990">
        <v>-44.878385999999999</v>
      </c>
      <c r="R1990" s="2" t="str">
        <f>HYPERLINK("https://www.google.com/maps?q=-20.1609980,-44.8783860","Abrir no Google Maps")</f>
        <v>Abrir no Google Maps</v>
      </c>
      <c r="S1990">
        <v>2</v>
      </c>
      <c r="T1990">
        <v>0</v>
      </c>
      <c r="U1990">
        <v>1</v>
      </c>
      <c r="V1990">
        <v>5</v>
      </c>
      <c r="W1990">
        <v>0.85</v>
      </c>
      <c r="X1990">
        <v>4.25</v>
      </c>
      <c r="Y1990">
        <v>671</v>
      </c>
      <c r="Z1990">
        <v>74.014802531188664</v>
      </c>
      <c r="AA1990">
        <v>198</v>
      </c>
      <c r="AB1990">
        <v>332</v>
      </c>
      <c r="AC1990">
        <v>536</v>
      </c>
      <c r="AD1990">
        <v>30.74</v>
      </c>
      <c r="AE1990">
        <v>542</v>
      </c>
      <c r="AF1990">
        <v>30</v>
      </c>
      <c r="AG1990">
        <v>178</v>
      </c>
      <c r="AH1990">
        <v>129</v>
      </c>
      <c r="AI1990">
        <v>5.54</v>
      </c>
      <c r="AJ1990">
        <v>32.840000000000003</v>
      </c>
      <c r="AK1990">
        <v>23.8</v>
      </c>
      <c r="AL1990">
        <v>-20.160758199999979</v>
      </c>
      <c r="AM1990">
        <v>-44.878032519747983</v>
      </c>
      <c r="AN1990">
        <v>-20.160758199999979</v>
      </c>
      <c r="AO1990">
        <v>-44.878032519747983</v>
      </c>
      <c r="AP1990">
        <v>-20.160997999999999</v>
      </c>
      <c r="AQ1990">
        <v>-44.878385999999999</v>
      </c>
      <c r="AR1990">
        <v>45.574638830261883</v>
      </c>
      <c r="AS1990" t="s">
        <v>65</v>
      </c>
      <c r="AT1990">
        <v>1</v>
      </c>
      <c r="AU1990" t="s">
        <v>1557</v>
      </c>
      <c r="AV1990" t="s">
        <v>1558</v>
      </c>
      <c r="AW1990" t="s">
        <v>60</v>
      </c>
      <c r="AX1990" t="s">
        <v>68</v>
      </c>
      <c r="AY1990" t="s">
        <v>69</v>
      </c>
      <c r="AZ1990" t="b">
        <v>1</v>
      </c>
    </row>
    <row r="1991" spans="1:52" x14ac:dyDescent="0.3">
      <c r="A1991" t="s">
        <v>52</v>
      </c>
      <c r="B1991" t="s">
        <v>53</v>
      </c>
      <c r="C1991" t="s">
        <v>54</v>
      </c>
      <c r="D1991" t="s">
        <v>55</v>
      </c>
      <c r="E1991" t="s">
        <v>2148</v>
      </c>
      <c r="F1991" t="s">
        <v>1247</v>
      </c>
      <c r="G1991" t="s">
        <v>1534</v>
      </c>
      <c r="H1991" t="s">
        <v>1535</v>
      </c>
      <c r="I1991" t="s">
        <v>1535</v>
      </c>
      <c r="J1991" t="s">
        <v>60</v>
      </c>
      <c r="K1991" t="s">
        <v>1536</v>
      </c>
      <c r="L1991" t="s">
        <v>62</v>
      </c>
      <c r="M1991" t="s">
        <v>1536</v>
      </c>
      <c r="N1991" t="s">
        <v>1537</v>
      </c>
      <c r="O1991" t="s">
        <v>1538</v>
      </c>
      <c r="P1991">
        <v>-20.164618999999998</v>
      </c>
      <c r="Q1991">
        <v>-44.921776999999999</v>
      </c>
      <c r="R1991" s="2" t="str">
        <f>HYPERLINK("https://www.google.com/maps?q=-20.1646190,-44.9217770","Abrir no Google Maps")</f>
        <v>Abrir no Google Maps</v>
      </c>
      <c r="S1991">
        <v>2</v>
      </c>
      <c r="T1991">
        <v>835.70698013544222</v>
      </c>
      <c r="U1991">
        <v>1</v>
      </c>
      <c r="V1991">
        <v>8</v>
      </c>
      <c r="W1991">
        <v>0.85</v>
      </c>
      <c r="X1991">
        <v>6.8</v>
      </c>
      <c r="Y1991">
        <v>639</v>
      </c>
      <c r="Z1991">
        <v>821.59880323911125</v>
      </c>
      <c r="AA1991">
        <v>198</v>
      </c>
      <c r="AB1991">
        <v>332</v>
      </c>
      <c r="AC1991">
        <v>536</v>
      </c>
      <c r="AD1991">
        <v>30.74</v>
      </c>
      <c r="AE1991">
        <v>542</v>
      </c>
      <c r="AF1991">
        <v>30</v>
      </c>
      <c r="AG1991">
        <v>178</v>
      </c>
      <c r="AH1991">
        <v>129</v>
      </c>
      <c r="AI1991">
        <v>5.54</v>
      </c>
      <c r="AJ1991">
        <v>32.840000000000003</v>
      </c>
      <c r="AK1991">
        <v>23.8</v>
      </c>
      <c r="AL1991">
        <v>-20.164312499999969</v>
      </c>
      <c r="AM1991">
        <v>-44.921945691824099</v>
      </c>
      <c r="AN1991">
        <v>-20.164312499999969</v>
      </c>
      <c r="AO1991">
        <v>-44.921945691824099</v>
      </c>
      <c r="AP1991">
        <v>-20.164618999999998</v>
      </c>
      <c r="AQ1991">
        <v>-44.921776999999999</v>
      </c>
      <c r="AR1991">
        <v>38.404224975746608</v>
      </c>
      <c r="AS1991" t="s">
        <v>65</v>
      </c>
      <c r="AT1991">
        <v>1</v>
      </c>
      <c r="AU1991" t="s">
        <v>1539</v>
      </c>
      <c r="AV1991" t="s">
        <v>1540</v>
      </c>
      <c r="AW1991" t="s">
        <v>60</v>
      </c>
      <c r="AX1991" t="s">
        <v>68</v>
      </c>
      <c r="AY1991" t="s">
        <v>69</v>
      </c>
      <c r="AZ1991" t="b">
        <v>1</v>
      </c>
    </row>
    <row r="1992" spans="1:52" x14ac:dyDescent="0.3">
      <c r="A1992" t="s">
        <v>52</v>
      </c>
      <c r="B1992" t="s">
        <v>53</v>
      </c>
      <c r="C1992" t="s">
        <v>54</v>
      </c>
      <c r="D1992" t="s">
        <v>55</v>
      </c>
      <c r="E1992" t="s">
        <v>2148</v>
      </c>
      <c r="F1992" t="s">
        <v>1247</v>
      </c>
      <c r="G1992" t="s">
        <v>1559</v>
      </c>
      <c r="H1992" t="s">
        <v>1560</v>
      </c>
      <c r="I1992" t="s">
        <v>1560</v>
      </c>
      <c r="J1992" t="s">
        <v>60</v>
      </c>
      <c r="K1992" t="s">
        <v>61</v>
      </c>
      <c r="L1992" t="s">
        <v>62</v>
      </c>
      <c r="M1992" t="s">
        <v>61</v>
      </c>
      <c r="N1992" t="s">
        <v>1561</v>
      </c>
      <c r="O1992" t="s">
        <v>1562</v>
      </c>
      <c r="P1992">
        <v>-20.154959000000002</v>
      </c>
      <c r="Q1992">
        <v>-44.91525</v>
      </c>
      <c r="R1992" s="2" t="str">
        <f>HYPERLINK("https://www.google.com/maps?q=-20.1549590,-44.9152500","Abrir no Google Maps")</f>
        <v>Abrir no Google Maps</v>
      </c>
      <c r="S1992">
        <v>2</v>
      </c>
      <c r="T1992">
        <v>738.36411213380245</v>
      </c>
      <c r="U1992">
        <v>1</v>
      </c>
      <c r="V1992">
        <v>0</v>
      </c>
      <c r="W1992">
        <v>0.85</v>
      </c>
      <c r="X1992">
        <v>0</v>
      </c>
      <c r="Y1992">
        <v>639</v>
      </c>
      <c r="Z1992">
        <v>860.82840850294542</v>
      </c>
      <c r="AA1992">
        <v>198</v>
      </c>
      <c r="AB1992">
        <v>332</v>
      </c>
      <c r="AC1992">
        <v>536</v>
      </c>
      <c r="AD1992">
        <v>30.74</v>
      </c>
      <c r="AE1992">
        <v>542</v>
      </c>
      <c r="AF1992">
        <v>30</v>
      </c>
      <c r="AG1992">
        <v>178</v>
      </c>
      <c r="AH1992">
        <v>129</v>
      </c>
      <c r="AI1992">
        <v>5.54</v>
      </c>
      <c r="AJ1992">
        <v>32.840000000000003</v>
      </c>
      <c r="AK1992">
        <v>23.8</v>
      </c>
      <c r="AL1992">
        <v>-20.154629849999939</v>
      </c>
      <c r="AM1992">
        <v>-44.914951620624052</v>
      </c>
      <c r="AN1992">
        <v>-20.154629849999939</v>
      </c>
      <c r="AO1992">
        <v>-44.914951620624052</v>
      </c>
      <c r="AP1992">
        <v>-20.154959000000002</v>
      </c>
      <c r="AQ1992">
        <v>-44.91525</v>
      </c>
      <c r="AR1992">
        <v>48.11297170616912</v>
      </c>
      <c r="AS1992" t="s">
        <v>65</v>
      </c>
      <c r="AT1992">
        <v>1</v>
      </c>
      <c r="AU1992" t="s">
        <v>1563</v>
      </c>
      <c r="AV1992" t="s">
        <v>1564</v>
      </c>
      <c r="AW1992" t="s">
        <v>60</v>
      </c>
      <c r="AX1992" t="s">
        <v>68</v>
      </c>
      <c r="AY1992" t="s">
        <v>69</v>
      </c>
      <c r="AZ1992" t="b">
        <v>1</v>
      </c>
    </row>
    <row r="1993" spans="1:52" x14ac:dyDescent="0.3">
      <c r="A1993" t="s">
        <v>52</v>
      </c>
      <c r="B1993" t="s">
        <v>53</v>
      </c>
      <c r="C1993" t="s">
        <v>54</v>
      </c>
      <c r="D1993" t="s">
        <v>55</v>
      </c>
      <c r="E1993" t="s">
        <v>2148</v>
      </c>
      <c r="F1993" t="s">
        <v>1247</v>
      </c>
      <c r="G1993" t="s">
        <v>1607</v>
      </c>
      <c r="H1993" t="s">
        <v>1608</v>
      </c>
      <c r="I1993" t="s">
        <v>1608</v>
      </c>
      <c r="J1993" t="s">
        <v>60</v>
      </c>
      <c r="K1993" t="s">
        <v>1486</v>
      </c>
      <c r="L1993" t="s">
        <v>62</v>
      </c>
      <c r="M1993" t="s">
        <v>1486</v>
      </c>
      <c r="N1993" t="s">
        <v>1609</v>
      </c>
      <c r="O1993" t="s">
        <v>1255</v>
      </c>
      <c r="P1993">
        <v>-20.157689000000001</v>
      </c>
      <c r="Q1993">
        <v>-44.883887000000001</v>
      </c>
      <c r="R1993" s="2" t="str">
        <f>HYPERLINK("https://www.google.com/maps?q=-20.1576890,-44.8838870","Abrir no Google Maps")</f>
        <v>Abrir no Google Maps</v>
      </c>
      <c r="S1993">
        <v>1</v>
      </c>
      <c r="T1993">
        <v>603.38424821205774</v>
      </c>
      <c r="U1993">
        <v>4</v>
      </c>
      <c r="V1993">
        <v>26</v>
      </c>
      <c r="W1993">
        <v>1</v>
      </c>
      <c r="X1993">
        <v>26</v>
      </c>
      <c r="Y1993">
        <v>671</v>
      </c>
      <c r="Z1993">
        <v>682.48636898467089</v>
      </c>
      <c r="AA1993">
        <v>198</v>
      </c>
      <c r="AB1993">
        <v>332</v>
      </c>
      <c r="AC1993">
        <v>536</v>
      </c>
      <c r="AD1993">
        <v>30.74</v>
      </c>
      <c r="AE1993">
        <v>542</v>
      </c>
      <c r="AF1993">
        <v>30</v>
      </c>
      <c r="AG1993">
        <v>178</v>
      </c>
      <c r="AH1993">
        <v>129</v>
      </c>
      <c r="AI1993">
        <v>5.54</v>
      </c>
      <c r="AJ1993">
        <v>32.840000000000003</v>
      </c>
      <c r="AK1993">
        <v>23.8</v>
      </c>
      <c r="AL1993">
        <v>-20.157732249999949</v>
      </c>
      <c r="AM1993">
        <v>-44.883829923283272</v>
      </c>
      <c r="AN1993">
        <v>-20.157732249999949</v>
      </c>
      <c r="AO1993">
        <v>-44.883829923283272</v>
      </c>
      <c r="AP1993">
        <v>-20.157689000000001</v>
      </c>
      <c r="AQ1993">
        <v>-44.883887000000001</v>
      </c>
      <c r="AR1993">
        <v>7.6652901074925257</v>
      </c>
      <c r="AS1993" t="s">
        <v>65</v>
      </c>
      <c r="AT1993">
        <v>1</v>
      </c>
      <c r="AU1993" t="s">
        <v>1610</v>
      </c>
      <c r="AV1993" t="s">
        <v>1611</v>
      </c>
      <c r="AW1993" t="s">
        <v>60</v>
      </c>
      <c r="AX1993" t="s">
        <v>68</v>
      </c>
      <c r="AY1993" t="s">
        <v>69</v>
      </c>
      <c r="AZ1993" t="b">
        <v>1</v>
      </c>
    </row>
    <row r="1994" spans="1:52" x14ac:dyDescent="0.3">
      <c r="A1994" t="s">
        <v>52</v>
      </c>
      <c r="B1994" t="s">
        <v>53</v>
      </c>
      <c r="C1994" t="s">
        <v>54</v>
      </c>
      <c r="D1994" t="s">
        <v>55</v>
      </c>
      <c r="E1994" t="s">
        <v>2148</v>
      </c>
      <c r="F1994" t="s">
        <v>1247</v>
      </c>
      <c r="G1994" t="s">
        <v>1578</v>
      </c>
      <c r="H1994" t="s">
        <v>1579</v>
      </c>
      <c r="I1994" t="s">
        <v>1579</v>
      </c>
      <c r="J1994" t="s">
        <v>60</v>
      </c>
      <c r="K1994" t="s">
        <v>530</v>
      </c>
      <c r="L1994" t="s">
        <v>62</v>
      </c>
      <c r="M1994" t="s">
        <v>530</v>
      </c>
      <c r="N1994" t="s">
        <v>1580</v>
      </c>
      <c r="O1994" t="s">
        <v>1581</v>
      </c>
      <c r="P1994">
        <v>-20.143713999999999</v>
      </c>
      <c r="Q1994">
        <v>-44.897387999999999</v>
      </c>
      <c r="R1994" s="2" t="str">
        <f>HYPERLINK("https://www.google.com/maps?q=-20.1437140,-44.8973880","Abrir no Google Maps")</f>
        <v>Abrir no Google Maps</v>
      </c>
      <c r="S1994">
        <v>1</v>
      </c>
      <c r="T1994">
        <v>354.74438118735611</v>
      </c>
      <c r="U1994">
        <v>4</v>
      </c>
      <c r="V1994">
        <v>27</v>
      </c>
      <c r="W1994">
        <v>1</v>
      </c>
      <c r="X1994">
        <v>27</v>
      </c>
      <c r="Y1994">
        <v>588</v>
      </c>
      <c r="Z1994">
        <v>336.29881064197872</v>
      </c>
      <c r="AA1994">
        <v>198</v>
      </c>
      <c r="AB1994">
        <v>332</v>
      </c>
      <c r="AC1994">
        <v>536</v>
      </c>
      <c r="AD1994">
        <v>30.74</v>
      </c>
      <c r="AE1994">
        <v>542</v>
      </c>
      <c r="AF1994">
        <v>30</v>
      </c>
      <c r="AG1994">
        <v>178</v>
      </c>
      <c r="AH1994">
        <v>129</v>
      </c>
      <c r="AI1994">
        <v>5.54</v>
      </c>
      <c r="AJ1994">
        <v>32.840000000000003</v>
      </c>
      <c r="AK1994">
        <v>23.8</v>
      </c>
      <c r="AL1994">
        <v>-20.14371329999997</v>
      </c>
      <c r="AM1994">
        <v>-44.897384604125257</v>
      </c>
      <c r="AN1994">
        <v>-20.14371329999997</v>
      </c>
      <c r="AO1994">
        <v>-44.897384604125257</v>
      </c>
      <c r="AP1994">
        <v>-20.143713999999999</v>
      </c>
      <c r="AQ1994">
        <v>-44.897387999999999</v>
      </c>
      <c r="AR1994">
        <v>0.36335934693921551</v>
      </c>
      <c r="AS1994" t="s">
        <v>65</v>
      </c>
      <c r="AT1994">
        <v>1</v>
      </c>
      <c r="AU1994" t="s">
        <v>1582</v>
      </c>
      <c r="AV1994" t="s">
        <v>1583</v>
      </c>
      <c r="AW1994" t="s">
        <v>60</v>
      </c>
      <c r="AX1994" t="s">
        <v>68</v>
      </c>
      <c r="AY1994" t="s">
        <v>69</v>
      </c>
      <c r="AZ1994" t="b">
        <v>1</v>
      </c>
    </row>
    <row r="1995" spans="1:52" x14ac:dyDescent="0.3">
      <c r="A1995" t="s">
        <v>52</v>
      </c>
      <c r="B1995" t="s">
        <v>53</v>
      </c>
      <c r="C1995" t="s">
        <v>54</v>
      </c>
      <c r="D1995" t="s">
        <v>55</v>
      </c>
      <c r="E1995" t="s">
        <v>2148</v>
      </c>
      <c r="F1995" t="s">
        <v>1247</v>
      </c>
      <c r="G1995" t="s">
        <v>1584</v>
      </c>
      <c r="H1995" t="s">
        <v>1585</v>
      </c>
      <c r="I1995" t="s">
        <v>1585</v>
      </c>
      <c r="J1995" t="s">
        <v>60</v>
      </c>
      <c r="K1995" t="s">
        <v>530</v>
      </c>
      <c r="L1995" t="s">
        <v>62</v>
      </c>
      <c r="M1995" t="s">
        <v>530</v>
      </c>
      <c r="N1995" t="s">
        <v>406</v>
      </c>
      <c r="O1995" t="s">
        <v>1586</v>
      </c>
      <c r="P1995">
        <v>-20.141316</v>
      </c>
      <c r="Q1995">
        <v>-44.896424000000003</v>
      </c>
      <c r="R1995" s="2" t="str">
        <f>HYPERLINK("https://www.google.com/maps?q=-20.1413160,-44.8964240","Abrir no Google Maps")</f>
        <v>Abrir no Google Maps</v>
      </c>
      <c r="S1995">
        <v>1</v>
      </c>
      <c r="T1995">
        <v>236.6687095166524</v>
      </c>
      <c r="U1995">
        <v>4</v>
      </c>
      <c r="V1995">
        <v>34</v>
      </c>
      <c r="W1995">
        <v>1</v>
      </c>
      <c r="X1995">
        <v>34</v>
      </c>
      <c r="Y1995">
        <v>588</v>
      </c>
      <c r="Z1995">
        <v>255.50729797374251</v>
      </c>
      <c r="AA1995">
        <v>198</v>
      </c>
      <c r="AB1995">
        <v>332</v>
      </c>
      <c r="AC1995">
        <v>536</v>
      </c>
      <c r="AD1995">
        <v>30.74</v>
      </c>
      <c r="AE1995">
        <v>542</v>
      </c>
      <c r="AF1995">
        <v>30</v>
      </c>
      <c r="AG1995">
        <v>178</v>
      </c>
      <c r="AH1995">
        <v>129</v>
      </c>
      <c r="AI1995">
        <v>5.54</v>
      </c>
      <c r="AJ1995">
        <v>32.840000000000003</v>
      </c>
      <c r="AK1995">
        <v>23.8</v>
      </c>
      <c r="AL1995">
        <v>-20.141468299999961</v>
      </c>
      <c r="AM1995">
        <v>-44.896566678331098</v>
      </c>
      <c r="AN1995">
        <v>-20.141468299999961</v>
      </c>
      <c r="AO1995">
        <v>-44.896566678331098</v>
      </c>
      <c r="AP1995">
        <v>-20.141316</v>
      </c>
      <c r="AQ1995">
        <v>-44.896424000000003</v>
      </c>
      <c r="AR1995">
        <v>22.578666373759301</v>
      </c>
      <c r="AS1995" t="s">
        <v>65</v>
      </c>
      <c r="AT1995">
        <v>1</v>
      </c>
      <c r="AU1995" t="s">
        <v>1587</v>
      </c>
      <c r="AV1995" t="s">
        <v>1588</v>
      </c>
      <c r="AW1995" t="s">
        <v>60</v>
      </c>
      <c r="AX1995" t="s">
        <v>68</v>
      </c>
      <c r="AY1995" t="s">
        <v>69</v>
      </c>
      <c r="AZ1995" t="b">
        <v>1</v>
      </c>
    </row>
    <row r="1996" spans="1:52" x14ac:dyDescent="0.3">
      <c r="A1996" t="s">
        <v>52</v>
      </c>
      <c r="B1996" t="s">
        <v>53</v>
      </c>
      <c r="C1996" t="s">
        <v>54</v>
      </c>
      <c r="D1996" t="s">
        <v>55</v>
      </c>
      <c r="E1996" t="s">
        <v>2148</v>
      </c>
      <c r="F1996" t="s">
        <v>1247</v>
      </c>
      <c r="G1996" t="s">
        <v>1584</v>
      </c>
      <c r="H1996" t="s">
        <v>1604</v>
      </c>
      <c r="I1996" t="s">
        <v>1604</v>
      </c>
      <c r="J1996" t="s">
        <v>60</v>
      </c>
      <c r="K1996" t="s">
        <v>530</v>
      </c>
      <c r="L1996" t="s">
        <v>62</v>
      </c>
      <c r="M1996" t="s">
        <v>530</v>
      </c>
      <c r="N1996" t="s">
        <v>406</v>
      </c>
      <c r="O1996" t="s">
        <v>1267</v>
      </c>
      <c r="P1996">
        <v>-20.147068000000001</v>
      </c>
      <c r="Q1996">
        <v>-44.898629999999997</v>
      </c>
      <c r="R1996" s="2" t="str">
        <f>HYPERLINK("https://www.google.com/maps?q=-20.1470680,-44.8986300","Abrir no Google Maps")</f>
        <v>Abrir no Google Maps</v>
      </c>
      <c r="S1996">
        <v>1</v>
      </c>
      <c r="T1996">
        <v>468.5580266389448</v>
      </c>
      <c r="U1996">
        <v>4</v>
      </c>
      <c r="V1996">
        <v>25</v>
      </c>
      <c r="W1996">
        <v>1</v>
      </c>
      <c r="X1996">
        <v>25</v>
      </c>
      <c r="Y1996">
        <v>556</v>
      </c>
      <c r="Z1996">
        <v>447.77738134922419</v>
      </c>
      <c r="AA1996">
        <v>198</v>
      </c>
      <c r="AB1996">
        <v>332</v>
      </c>
      <c r="AC1996">
        <v>536</v>
      </c>
      <c r="AD1996">
        <v>30.74</v>
      </c>
      <c r="AE1996">
        <v>542</v>
      </c>
      <c r="AF1996">
        <v>30</v>
      </c>
      <c r="AG1996">
        <v>178</v>
      </c>
      <c r="AH1996">
        <v>129</v>
      </c>
      <c r="AI1996">
        <v>5.54</v>
      </c>
      <c r="AJ1996">
        <v>32.840000000000003</v>
      </c>
      <c r="AK1996">
        <v>23.8</v>
      </c>
      <c r="AL1996">
        <v>-20.14701759999997</v>
      </c>
      <c r="AM1996">
        <v>-44.898633710342303</v>
      </c>
      <c r="AN1996">
        <v>-20.14701759999997</v>
      </c>
      <c r="AO1996">
        <v>-44.898633710342303</v>
      </c>
      <c r="AP1996">
        <v>-20.147068000000001</v>
      </c>
      <c r="AQ1996">
        <v>-44.898629999999997</v>
      </c>
      <c r="AR1996">
        <v>5.6239118246064832</v>
      </c>
      <c r="AS1996" t="s">
        <v>65</v>
      </c>
      <c r="AT1996">
        <v>1</v>
      </c>
      <c r="AU1996" t="s">
        <v>1605</v>
      </c>
      <c r="AV1996" t="s">
        <v>1606</v>
      </c>
      <c r="AW1996" t="s">
        <v>60</v>
      </c>
      <c r="AX1996" t="s">
        <v>68</v>
      </c>
      <c r="AY1996" t="s">
        <v>69</v>
      </c>
      <c r="AZ1996" t="b">
        <v>1</v>
      </c>
    </row>
    <row r="1997" spans="1:52" x14ac:dyDescent="0.3">
      <c r="A1997" t="s">
        <v>52</v>
      </c>
      <c r="B1997" t="s">
        <v>53</v>
      </c>
      <c r="C1997" t="s">
        <v>54</v>
      </c>
      <c r="D1997" t="s">
        <v>55</v>
      </c>
      <c r="E1997" t="s">
        <v>2148</v>
      </c>
      <c r="F1997" t="s">
        <v>1247</v>
      </c>
      <c r="G1997" t="s">
        <v>1569</v>
      </c>
      <c r="H1997" t="s">
        <v>1570</v>
      </c>
      <c r="I1997" t="s">
        <v>1570</v>
      </c>
      <c r="J1997" t="s">
        <v>60</v>
      </c>
      <c r="K1997" t="s">
        <v>530</v>
      </c>
      <c r="L1997" t="s">
        <v>62</v>
      </c>
      <c r="M1997" t="s">
        <v>530</v>
      </c>
      <c r="N1997" t="s">
        <v>1571</v>
      </c>
      <c r="O1997" t="s">
        <v>598</v>
      </c>
      <c r="P1997">
        <v>-20.146418000000001</v>
      </c>
      <c r="Q1997">
        <v>-44.893861999999999</v>
      </c>
      <c r="R1997" s="2" t="str">
        <f>HYPERLINK("https://www.google.com/maps?q=-20.1464180,-44.8938620","Abrir no Google Maps")</f>
        <v>Abrir no Google Maps</v>
      </c>
      <c r="S1997">
        <v>1</v>
      </c>
      <c r="T1997">
        <v>0</v>
      </c>
      <c r="U1997">
        <v>3</v>
      </c>
      <c r="V1997">
        <v>18</v>
      </c>
      <c r="W1997">
        <v>0.85</v>
      </c>
      <c r="X1997">
        <v>15.3</v>
      </c>
      <c r="Y1997">
        <v>602</v>
      </c>
      <c r="Z1997">
        <v>124.5475134899211</v>
      </c>
      <c r="AA1997">
        <v>198</v>
      </c>
      <c r="AB1997">
        <v>332</v>
      </c>
      <c r="AC1997">
        <v>536</v>
      </c>
      <c r="AD1997">
        <v>30.74</v>
      </c>
      <c r="AE1997">
        <v>542</v>
      </c>
      <c r="AF1997">
        <v>30</v>
      </c>
      <c r="AG1997">
        <v>178</v>
      </c>
      <c r="AH1997">
        <v>129</v>
      </c>
      <c r="AI1997">
        <v>5.54</v>
      </c>
      <c r="AJ1997">
        <v>32.840000000000003</v>
      </c>
      <c r="AK1997">
        <v>23.8</v>
      </c>
      <c r="AL1997">
        <v>-20.146753399999941</v>
      </c>
      <c r="AM1997">
        <v>-44.893993355901941</v>
      </c>
      <c r="AN1997">
        <v>-20.146753399999941</v>
      </c>
      <c r="AO1997">
        <v>-44.893993355901941</v>
      </c>
      <c r="AP1997">
        <v>-20.146418000000001</v>
      </c>
      <c r="AQ1997">
        <v>-44.893861999999999</v>
      </c>
      <c r="AR1997">
        <v>39.780457157851913</v>
      </c>
      <c r="AS1997" t="s">
        <v>65</v>
      </c>
      <c r="AT1997">
        <v>1</v>
      </c>
      <c r="AU1997" t="s">
        <v>1572</v>
      </c>
      <c r="AV1997" t="s">
        <v>1573</v>
      </c>
      <c r="AW1997" t="s">
        <v>60</v>
      </c>
      <c r="AX1997" t="s">
        <v>68</v>
      </c>
      <c r="AY1997" t="s">
        <v>69</v>
      </c>
      <c r="AZ1997" t="b">
        <v>1</v>
      </c>
    </row>
    <row r="1998" spans="1:52" x14ac:dyDescent="0.3">
      <c r="A1998" t="s">
        <v>52</v>
      </c>
      <c r="B1998" t="s">
        <v>53</v>
      </c>
      <c r="C1998" t="s">
        <v>54</v>
      </c>
      <c r="D1998" t="s">
        <v>55</v>
      </c>
      <c r="E1998" t="s">
        <v>2148</v>
      </c>
      <c r="F1998" t="s">
        <v>1247</v>
      </c>
      <c r="G1998" t="s">
        <v>1569</v>
      </c>
      <c r="H1998" t="s">
        <v>1574</v>
      </c>
      <c r="I1998" t="s">
        <v>1574</v>
      </c>
      <c r="J1998" t="s">
        <v>60</v>
      </c>
      <c r="K1998" t="s">
        <v>530</v>
      </c>
      <c r="L1998" t="s">
        <v>62</v>
      </c>
      <c r="M1998" t="s">
        <v>530</v>
      </c>
      <c r="N1998" t="s">
        <v>1571</v>
      </c>
      <c r="O1998" t="s">
        <v>1575</v>
      </c>
      <c r="P1998">
        <v>-20.14554</v>
      </c>
      <c r="Q1998">
        <v>-44.895606000000001</v>
      </c>
      <c r="R1998" s="2" t="str">
        <f>HYPERLINK("https://www.google.com/maps?q=-20.1455400,-44.8956060","Abrir no Google Maps")</f>
        <v>Abrir no Google Maps</v>
      </c>
      <c r="S1998">
        <v>1</v>
      </c>
      <c r="T1998">
        <v>218.66647838959381</v>
      </c>
      <c r="U1998">
        <v>3</v>
      </c>
      <c r="V1998">
        <v>17</v>
      </c>
      <c r="W1998">
        <v>1</v>
      </c>
      <c r="X1998">
        <v>17</v>
      </c>
      <c r="Y1998">
        <v>602</v>
      </c>
      <c r="Z1998">
        <v>263.6501043391637</v>
      </c>
      <c r="AA1998">
        <v>198</v>
      </c>
      <c r="AB1998">
        <v>332</v>
      </c>
      <c r="AC1998">
        <v>536</v>
      </c>
      <c r="AD1998">
        <v>30.74</v>
      </c>
      <c r="AE1998">
        <v>542</v>
      </c>
      <c r="AF1998">
        <v>30</v>
      </c>
      <c r="AG1998">
        <v>178</v>
      </c>
      <c r="AH1998">
        <v>129</v>
      </c>
      <c r="AI1998">
        <v>5.54</v>
      </c>
      <c r="AJ1998">
        <v>32.840000000000003</v>
      </c>
      <c r="AK1998">
        <v>23.8</v>
      </c>
      <c r="AL1998">
        <v>-20.145504749999962</v>
      </c>
      <c r="AM1998">
        <v>-44.89561499588882</v>
      </c>
      <c r="AN1998">
        <v>-20.145504749999962</v>
      </c>
      <c r="AO1998">
        <v>-44.89561499588882</v>
      </c>
      <c r="AP1998">
        <v>-20.14554</v>
      </c>
      <c r="AQ1998">
        <v>-44.895606000000001</v>
      </c>
      <c r="AR1998">
        <v>4.0350843151508604</v>
      </c>
      <c r="AS1998" t="s">
        <v>65</v>
      </c>
      <c r="AT1998">
        <v>1</v>
      </c>
      <c r="AU1998" t="s">
        <v>1576</v>
      </c>
      <c r="AV1998" t="s">
        <v>1577</v>
      </c>
      <c r="AW1998" t="s">
        <v>60</v>
      </c>
      <c r="AX1998" t="s">
        <v>68</v>
      </c>
      <c r="AY1998" t="s">
        <v>69</v>
      </c>
      <c r="AZ1998" t="b">
        <v>1</v>
      </c>
    </row>
    <row r="1999" spans="1:52" x14ac:dyDescent="0.3">
      <c r="A1999" t="s">
        <v>52</v>
      </c>
      <c r="B1999" t="s">
        <v>53</v>
      </c>
      <c r="C1999" t="s">
        <v>54</v>
      </c>
      <c r="D1999" t="s">
        <v>55</v>
      </c>
      <c r="E1999" t="s">
        <v>2148</v>
      </c>
      <c r="F1999" t="s">
        <v>1247</v>
      </c>
      <c r="G1999" t="s">
        <v>1589</v>
      </c>
      <c r="H1999" t="s">
        <v>1590</v>
      </c>
      <c r="I1999" t="s">
        <v>1590</v>
      </c>
      <c r="J1999" t="s">
        <v>60</v>
      </c>
      <c r="K1999" t="s">
        <v>1591</v>
      </c>
      <c r="L1999" t="s">
        <v>62</v>
      </c>
      <c r="M1999" t="s">
        <v>1591</v>
      </c>
      <c r="N1999" t="s">
        <v>1592</v>
      </c>
      <c r="O1999" t="s">
        <v>659</v>
      </c>
      <c r="P1999">
        <v>-20.140789000000002</v>
      </c>
      <c r="Q1999">
        <v>-44.898631000000002</v>
      </c>
      <c r="R1999" s="2" t="str">
        <f>HYPERLINK("https://www.google.com/maps?q=-20.1407890,-44.8986310","Abrir no Google Maps")</f>
        <v>Abrir no Google Maps</v>
      </c>
      <c r="S1999">
        <v>1</v>
      </c>
      <c r="T1999">
        <v>0</v>
      </c>
      <c r="U1999">
        <v>3</v>
      </c>
      <c r="V1999">
        <v>23</v>
      </c>
      <c r="W1999">
        <v>1</v>
      </c>
      <c r="X1999">
        <v>23</v>
      </c>
      <c r="Y1999">
        <v>588</v>
      </c>
      <c r="Z1999">
        <v>51.152636251897107</v>
      </c>
      <c r="AA1999">
        <v>198</v>
      </c>
      <c r="AB1999">
        <v>332</v>
      </c>
      <c r="AC1999">
        <v>536</v>
      </c>
      <c r="AD1999">
        <v>30.74</v>
      </c>
      <c r="AE1999">
        <v>542</v>
      </c>
      <c r="AF1999">
        <v>30</v>
      </c>
      <c r="AG1999">
        <v>178</v>
      </c>
      <c r="AH1999">
        <v>129</v>
      </c>
      <c r="AI1999">
        <v>5.54</v>
      </c>
      <c r="AJ1999">
        <v>32.840000000000003</v>
      </c>
      <c r="AK1999">
        <v>23.8</v>
      </c>
      <c r="AL1999">
        <v>-20.140759399999951</v>
      </c>
      <c r="AM1999">
        <v>-44.898703172474903</v>
      </c>
      <c r="AN1999">
        <v>-20.140759399999951</v>
      </c>
      <c r="AO1999">
        <v>-44.898703172474903</v>
      </c>
      <c r="AP1999">
        <v>-20.140789000000002</v>
      </c>
      <c r="AQ1999">
        <v>-44.898631000000002</v>
      </c>
      <c r="AR1999">
        <v>8.2312502179962053</v>
      </c>
      <c r="AS1999" t="s">
        <v>65</v>
      </c>
      <c r="AT1999">
        <v>1</v>
      </c>
      <c r="AU1999" t="s">
        <v>1593</v>
      </c>
      <c r="AV1999" t="s">
        <v>1594</v>
      </c>
      <c r="AW1999" t="s">
        <v>60</v>
      </c>
      <c r="AX1999" t="s">
        <v>68</v>
      </c>
      <c r="AY1999" t="s">
        <v>69</v>
      </c>
      <c r="AZ1999" t="b">
        <v>1</v>
      </c>
    </row>
    <row r="2000" spans="1:52" x14ac:dyDescent="0.3">
      <c r="A2000" t="s">
        <v>52</v>
      </c>
      <c r="B2000" t="s">
        <v>53</v>
      </c>
      <c r="C2000" t="s">
        <v>54</v>
      </c>
      <c r="D2000" t="s">
        <v>55</v>
      </c>
      <c r="E2000" t="s">
        <v>2148</v>
      </c>
      <c r="F2000" t="s">
        <v>1247</v>
      </c>
      <c r="G2000" t="s">
        <v>1595</v>
      </c>
      <c r="H2000" t="s">
        <v>1596</v>
      </c>
      <c r="I2000" t="s">
        <v>1596</v>
      </c>
      <c r="J2000" t="s">
        <v>60</v>
      </c>
      <c r="K2000" t="s">
        <v>530</v>
      </c>
      <c r="L2000" t="s">
        <v>62</v>
      </c>
      <c r="M2000" t="s">
        <v>530</v>
      </c>
      <c r="N2000" t="s">
        <v>1006</v>
      </c>
      <c r="O2000" t="s">
        <v>1597</v>
      </c>
      <c r="P2000">
        <v>-20.139135</v>
      </c>
      <c r="Q2000">
        <v>-44.895907000000001</v>
      </c>
      <c r="R2000" s="2" t="str">
        <f>HYPERLINK("https://www.google.com/maps?q=-20.1391350,-44.8959070","Abrir no Google Maps")</f>
        <v>Abrir no Google Maps</v>
      </c>
      <c r="S2000">
        <v>1</v>
      </c>
      <c r="T2000">
        <v>324.98342996447241</v>
      </c>
      <c r="U2000">
        <v>3</v>
      </c>
      <c r="V2000">
        <v>18</v>
      </c>
      <c r="W2000">
        <v>1</v>
      </c>
      <c r="X2000">
        <v>18</v>
      </c>
      <c r="Y2000">
        <v>588</v>
      </c>
      <c r="Z2000">
        <v>411.69998599301618</v>
      </c>
      <c r="AA2000">
        <v>198</v>
      </c>
      <c r="AB2000">
        <v>332</v>
      </c>
      <c r="AC2000">
        <v>536</v>
      </c>
      <c r="AD2000">
        <v>30.74</v>
      </c>
      <c r="AE2000">
        <v>542</v>
      </c>
      <c r="AF2000">
        <v>30</v>
      </c>
      <c r="AG2000">
        <v>178</v>
      </c>
      <c r="AH2000">
        <v>129</v>
      </c>
      <c r="AI2000">
        <v>5.54</v>
      </c>
      <c r="AJ2000">
        <v>32.840000000000003</v>
      </c>
      <c r="AK2000">
        <v>23.8</v>
      </c>
      <c r="AL2000">
        <v>-20.139299649999941</v>
      </c>
      <c r="AM2000">
        <v>-44.896005009217312</v>
      </c>
      <c r="AN2000">
        <v>-20.139299649999941</v>
      </c>
      <c r="AO2000">
        <v>-44.896005009217312</v>
      </c>
      <c r="AP2000">
        <v>-20.139135</v>
      </c>
      <c r="AQ2000">
        <v>-44.895907000000001</v>
      </c>
      <c r="AR2000">
        <v>20.996943428875841</v>
      </c>
      <c r="AS2000" t="s">
        <v>65</v>
      </c>
      <c r="AT2000">
        <v>1</v>
      </c>
      <c r="AU2000" t="s">
        <v>1598</v>
      </c>
      <c r="AV2000" t="s">
        <v>1599</v>
      </c>
      <c r="AW2000" t="s">
        <v>60</v>
      </c>
      <c r="AX2000" t="s">
        <v>68</v>
      </c>
      <c r="AY2000" t="s">
        <v>69</v>
      </c>
      <c r="AZ2000" t="b">
        <v>1</v>
      </c>
    </row>
    <row r="2001" spans="1:52" x14ac:dyDescent="0.3">
      <c r="A2001" t="s">
        <v>52</v>
      </c>
      <c r="B2001" t="s">
        <v>53</v>
      </c>
      <c r="C2001" t="s">
        <v>54</v>
      </c>
      <c r="D2001" t="s">
        <v>55</v>
      </c>
      <c r="E2001" t="s">
        <v>2148</v>
      </c>
      <c r="F2001" t="s">
        <v>1247</v>
      </c>
      <c r="G2001" t="s">
        <v>1342</v>
      </c>
      <c r="H2001" t="s">
        <v>1600</v>
      </c>
      <c r="I2001" t="s">
        <v>1600</v>
      </c>
      <c r="J2001" t="s">
        <v>60</v>
      </c>
      <c r="K2001" t="s">
        <v>462</v>
      </c>
      <c r="L2001" t="s">
        <v>62</v>
      </c>
      <c r="M2001" t="s">
        <v>462</v>
      </c>
      <c r="N2001" t="s">
        <v>921</v>
      </c>
      <c r="O2001" t="s">
        <v>1601</v>
      </c>
      <c r="P2001">
        <v>-20.140741999999999</v>
      </c>
      <c r="Q2001">
        <v>-44.902729000000001</v>
      </c>
      <c r="R2001" s="2" t="str">
        <f>HYPERLINK("https://www.google.com/maps?q=-20.1407420,-44.9027290","Abrir no Google Maps")</f>
        <v>Abrir no Google Maps</v>
      </c>
      <c r="S2001">
        <v>1</v>
      </c>
      <c r="T2001">
        <v>373.97936588503438</v>
      </c>
      <c r="U2001">
        <v>3</v>
      </c>
      <c r="V2001">
        <v>16</v>
      </c>
      <c r="W2001">
        <v>1</v>
      </c>
      <c r="X2001">
        <v>16</v>
      </c>
      <c r="Y2001">
        <v>588</v>
      </c>
      <c r="Z2001">
        <v>427.55758539734131</v>
      </c>
      <c r="AA2001">
        <v>198</v>
      </c>
      <c r="AB2001">
        <v>332</v>
      </c>
      <c r="AC2001">
        <v>536</v>
      </c>
      <c r="AD2001">
        <v>30.74</v>
      </c>
      <c r="AE2001">
        <v>542</v>
      </c>
      <c r="AF2001">
        <v>30</v>
      </c>
      <c r="AG2001">
        <v>178</v>
      </c>
      <c r="AH2001">
        <v>129</v>
      </c>
      <c r="AI2001">
        <v>5.54</v>
      </c>
      <c r="AJ2001">
        <v>32.840000000000003</v>
      </c>
      <c r="AK2001">
        <v>23.8</v>
      </c>
      <c r="AL2001">
        <v>-20.140729549999971</v>
      </c>
      <c r="AM2001">
        <v>-44.902779454814521</v>
      </c>
      <c r="AN2001">
        <v>-20.140729549999971</v>
      </c>
      <c r="AO2001">
        <v>-44.902779454814521</v>
      </c>
      <c r="AP2001">
        <v>-20.140741999999999</v>
      </c>
      <c r="AQ2001">
        <v>-44.902729000000001</v>
      </c>
      <c r="AR2001">
        <v>5.4522610212697993</v>
      </c>
      <c r="AS2001" t="s">
        <v>65</v>
      </c>
      <c r="AT2001">
        <v>1</v>
      </c>
      <c r="AU2001" t="s">
        <v>1602</v>
      </c>
      <c r="AV2001" t="s">
        <v>1603</v>
      </c>
      <c r="AW2001" t="s">
        <v>60</v>
      </c>
      <c r="AX2001" t="s">
        <v>68</v>
      </c>
      <c r="AY2001" t="s">
        <v>69</v>
      </c>
      <c r="AZ2001" t="b">
        <v>1</v>
      </c>
    </row>
    <row r="2002" spans="1:52" x14ac:dyDescent="0.3">
      <c r="A2002" t="s">
        <v>52</v>
      </c>
      <c r="B2002" t="s">
        <v>53</v>
      </c>
      <c r="C2002" t="s">
        <v>54</v>
      </c>
      <c r="D2002" t="s">
        <v>55</v>
      </c>
      <c r="E2002" t="s">
        <v>2148</v>
      </c>
      <c r="F2002" t="s">
        <v>1247</v>
      </c>
      <c r="G2002" t="s">
        <v>631</v>
      </c>
      <c r="H2002" t="s">
        <v>1565</v>
      </c>
      <c r="I2002" t="s">
        <v>1565</v>
      </c>
      <c r="J2002" t="s">
        <v>60</v>
      </c>
      <c r="K2002" t="s">
        <v>530</v>
      </c>
      <c r="L2002" t="s">
        <v>62</v>
      </c>
      <c r="M2002" t="s">
        <v>530</v>
      </c>
      <c r="N2002" t="s">
        <v>633</v>
      </c>
      <c r="O2002" t="s">
        <v>1566</v>
      </c>
      <c r="P2002">
        <v>-20.143915</v>
      </c>
      <c r="Q2002">
        <v>-44.8947</v>
      </c>
      <c r="R2002" s="2" t="str">
        <f>HYPERLINK("https://www.google.com/maps?q=-20.1439150,-44.8947000","Abrir no Google Maps")</f>
        <v>Abrir no Google Maps</v>
      </c>
      <c r="S2002">
        <v>1</v>
      </c>
      <c r="T2002">
        <v>327.74435325417051</v>
      </c>
      <c r="U2002">
        <v>2</v>
      </c>
      <c r="V2002">
        <v>14</v>
      </c>
      <c r="W2002">
        <v>1</v>
      </c>
      <c r="X2002">
        <v>14</v>
      </c>
      <c r="Y2002">
        <v>602</v>
      </c>
      <c r="Z2002">
        <v>236.41345279429891</v>
      </c>
      <c r="AA2002">
        <v>198</v>
      </c>
      <c r="AB2002">
        <v>332</v>
      </c>
      <c r="AC2002">
        <v>536</v>
      </c>
      <c r="AD2002">
        <v>30.74</v>
      </c>
      <c r="AE2002">
        <v>542</v>
      </c>
      <c r="AF2002">
        <v>30</v>
      </c>
      <c r="AG2002">
        <v>178</v>
      </c>
      <c r="AH2002">
        <v>129</v>
      </c>
      <c r="AI2002">
        <v>5.54</v>
      </c>
      <c r="AJ2002">
        <v>32.840000000000003</v>
      </c>
      <c r="AK2002">
        <v>23.8</v>
      </c>
      <c r="AL2002">
        <v>-20.143900549999959</v>
      </c>
      <c r="AM2002">
        <v>-44.894835636584318</v>
      </c>
      <c r="AN2002">
        <v>-20.143900549999959</v>
      </c>
      <c r="AO2002">
        <v>-44.894835636584318</v>
      </c>
      <c r="AP2002">
        <v>-20.143915</v>
      </c>
      <c r="AQ2002">
        <v>-44.8947</v>
      </c>
      <c r="AR2002">
        <v>14.266440053785869</v>
      </c>
      <c r="AS2002" t="s">
        <v>65</v>
      </c>
      <c r="AT2002">
        <v>1</v>
      </c>
      <c r="AU2002" t="s">
        <v>1567</v>
      </c>
      <c r="AV2002" t="s">
        <v>1568</v>
      </c>
      <c r="AW2002" t="s">
        <v>60</v>
      </c>
      <c r="AX2002" t="s">
        <v>68</v>
      </c>
      <c r="AY2002" t="s">
        <v>69</v>
      </c>
      <c r="AZ2002" t="b">
        <v>1</v>
      </c>
    </row>
    <row r="2003" spans="1:52" x14ac:dyDescent="0.3">
      <c r="A2003" t="s">
        <v>52</v>
      </c>
      <c r="B2003" t="s">
        <v>53</v>
      </c>
      <c r="C2003" t="s">
        <v>54</v>
      </c>
      <c r="D2003" t="s">
        <v>55</v>
      </c>
      <c r="E2003" t="s">
        <v>2148</v>
      </c>
      <c r="F2003" t="s">
        <v>1247</v>
      </c>
      <c r="G2003" t="s">
        <v>1612</v>
      </c>
      <c r="H2003" t="s">
        <v>1613</v>
      </c>
      <c r="I2003" t="s">
        <v>1613</v>
      </c>
      <c r="J2003" t="s">
        <v>60</v>
      </c>
      <c r="K2003" t="s">
        <v>1349</v>
      </c>
      <c r="L2003" t="s">
        <v>62</v>
      </c>
      <c r="M2003" t="s">
        <v>1349</v>
      </c>
      <c r="N2003" t="s">
        <v>1614</v>
      </c>
      <c r="O2003" t="s">
        <v>710</v>
      </c>
      <c r="P2003">
        <v>-20.141335999999999</v>
      </c>
      <c r="Q2003">
        <v>-44.901133000000002</v>
      </c>
      <c r="R2003" s="2" t="str">
        <f>HYPERLINK("https://www.google.com/maps?q=-20.1413360,-44.9011330","Abrir no Google Maps")</f>
        <v>Abrir no Google Maps</v>
      </c>
      <c r="S2003">
        <v>1</v>
      </c>
      <c r="T2003">
        <v>257.92927430829218</v>
      </c>
      <c r="U2003">
        <v>1</v>
      </c>
      <c r="V2003">
        <v>6</v>
      </c>
      <c r="W2003">
        <v>0.85</v>
      </c>
      <c r="X2003">
        <v>5.0999999999999996</v>
      </c>
      <c r="Y2003">
        <v>588</v>
      </c>
      <c r="Z2003">
        <v>252.62617475231269</v>
      </c>
      <c r="AA2003">
        <v>198</v>
      </c>
      <c r="AB2003">
        <v>332</v>
      </c>
      <c r="AC2003">
        <v>536</v>
      </c>
      <c r="AD2003">
        <v>30.74</v>
      </c>
      <c r="AE2003">
        <v>542</v>
      </c>
      <c r="AF2003">
        <v>30</v>
      </c>
      <c r="AG2003">
        <v>178</v>
      </c>
      <c r="AH2003">
        <v>129</v>
      </c>
      <c r="AI2003">
        <v>5.54</v>
      </c>
      <c r="AJ2003">
        <v>32.840000000000003</v>
      </c>
      <c r="AK2003">
        <v>23.8</v>
      </c>
      <c r="AL2003">
        <v>-20.141297649999959</v>
      </c>
      <c r="AM2003">
        <v>-44.901104406351408</v>
      </c>
      <c r="AN2003">
        <v>-20.141297649999959</v>
      </c>
      <c r="AO2003">
        <v>-44.901104406351408</v>
      </c>
      <c r="AP2003">
        <v>-20.141335999999999</v>
      </c>
      <c r="AQ2003">
        <v>-44.901133000000002</v>
      </c>
      <c r="AR2003">
        <v>5.211130154459668</v>
      </c>
      <c r="AS2003" t="s">
        <v>65</v>
      </c>
      <c r="AT2003">
        <v>1</v>
      </c>
      <c r="AU2003" t="s">
        <v>1615</v>
      </c>
      <c r="AV2003" t="s">
        <v>1616</v>
      </c>
      <c r="AW2003" t="s">
        <v>60</v>
      </c>
      <c r="AX2003" t="s">
        <v>68</v>
      </c>
      <c r="AY2003" t="s">
        <v>69</v>
      </c>
      <c r="AZ2003" t="b">
        <v>1</v>
      </c>
    </row>
    <row r="2004" spans="1:52" x14ac:dyDescent="0.3">
      <c r="A2004" t="s">
        <v>52</v>
      </c>
      <c r="B2004" t="s">
        <v>53</v>
      </c>
      <c r="C2004" t="s">
        <v>54</v>
      </c>
      <c r="D2004" t="s">
        <v>55</v>
      </c>
      <c r="E2004" t="s">
        <v>2149</v>
      </c>
      <c r="F2004" t="s">
        <v>57</v>
      </c>
      <c r="G2004" t="s">
        <v>58</v>
      </c>
      <c r="H2004" t="s">
        <v>59</v>
      </c>
      <c r="I2004" t="s">
        <v>59</v>
      </c>
      <c r="J2004" t="s">
        <v>60</v>
      </c>
      <c r="K2004" t="s">
        <v>61</v>
      </c>
      <c r="L2004" t="s">
        <v>62</v>
      </c>
      <c r="M2004" t="s">
        <v>61</v>
      </c>
      <c r="N2004" t="s">
        <v>63</v>
      </c>
      <c r="O2004" t="s">
        <v>64</v>
      </c>
      <c r="P2004">
        <v>-20.147940999999999</v>
      </c>
      <c r="Q2004">
        <v>-44.906514000000001</v>
      </c>
      <c r="R2004" s="2" t="str">
        <f>HYPERLINK("https://www.google.com/maps?q=-20.1479410,-44.9065140","Abrir no Google Maps")</f>
        <v>Abrir no Google Maps</v>
      </c>
      <c r="S2004">
        <v>4</v>
      </c>
      <c r="T2004">
        <v>308.67004994113421</v>
      </c>
      <c r="U2004">
        <v>4</v>
      </c>
      <c r="V2004">
        <v>0.51846129711457567</v>
      </c>
      <c r="W2004">
        <v>1</v>
      </c>
      <c r="X2004">
        <v>0.51846129711457567</v>
      </c>
      <c r="Y2004">
        <v>747</v>
      </c>
      <c r="Z2004">
        <v>274.71440454502522</v>
      </c>
      <c r="AA2004">
        <v>198</v>
      </c>
      <c r="AB2004">
        <v>332</v>
      </c>
      <c r="AC2004">
        <v>536</v>
      </c>
      <c r="AD2004">
        <v>26.61</v>
      </c>
      <c r="AE2004">
        <v>542</v>
      </c>
      <c r="AF2004">
        <v>13</v>
      </c>
      <c r="AG2004">
        <v>180</v>
      </c>
      <c r="AH2004">
        <v>129</v>
      </c>
      <c r="AI2004">
        <v>2.4</v>
      </c>
      <c r="AJ2004">
        <v>33.21</v>
      </c>
      <c r="AK2004">
        <v>23.8</v>
      </c>
      <c r="AL2004">
        <v>-20.147947799999969</v>
      </c>
      <c r="AM2004">
        <v>-44.906591596129203</v>
      </c>
      <c r="AN2004">
        <v>-20.147947799999969</v>
      </c>
      <c r="AO2004">
        <v>-44.906591596129203</v>
      </c>
      <c r="AP2004">
        <v>-20.147940999999999</v>
      </c>
      <c r="AQ2004">
        <v>-44.906514000000001</v>
      </c>
      <c r="AR2004">
        <v>8.1446636170570326</v>
      </c>
      <c r="AS2004" t="s">
        <v>65</v>
      </c>
      <c r="AT2004">
        <v>1</v>
      </c>
      <c r="AU2004" t="s">
        <v>66</v>
      </c>
      <c r="AV2004" t="s">
        <v>67</v>
      </c>
      <c r="AW2004" t="s">
        <v>60</v>
      </c>
      <c r="AX2004" t="s">
        <v>68</v>
      </c>
      <c r="AY2004" t="s">
        <v>69</v>
      </c>
      <c r="AZ2004" t="b">
        <v>1</v>
      </c>
    </row>
    <row r="2005" spans="1:52" x14ac:dyDescent="0.3">
      <c r="A2005" t="s">
        <v>52</v>
      </c>
      <c r="B2005" t="s">
        <v>53</v>
      </c>
      <c r="C2005" t="s">
        <v>54</v>
      </c>
      <c r="D2005" t="s">
        <v>55</v>
      </c>
      <c r="E2005" t="s">
        <v>2149</v>
      </c>
      <c r="F2005" t="s">
        <v>57</v>
      </c>
      <c r="G2005" t="s">
        <v>70</v>
      </c>
      <c r="H2005" t="s">
        <v>71</v>
      </c>
      <c r="I2005" t="s">
        <v>71</v>
      </c>
      <c r="J2005" t="s">
        <v>60</v>
      </c>
      <c r="K2005" t="s">
        <v>72</v>
      </c>
      <c r="L2005" t="s">
        <v>62</v>
      </c>
      <c r="M2005" t="s">
        <v>72</v>
      </c>
      <c r="N2005" t="s">
        <v>73</v>
      </c>
      <c r="O2005" t="s">
        <v>74</v>
      </c>
      <c r="P2005">
        <v>-20.149349000000001</v>
      </c>
      <c r="Q2005">
        <v>-44.910784</v>
      </c>
      <c r="R2005" s="2" t="str">
        <f>HYPERLINK("https://www.google.com/maps?q=-20.1493490,-44.9107840","Abrir no Google Maps")</f>
        <v>Abrir no Google Maps</v>
      </c>
      <c r="S2005">
        <v>4</v>
      </c>
      <c r="T2005">
        <v>472.43876549769578</v>
      </c>
      <c r="U2005">
        <v>4</v>
      </c>
      <c r="V2005">
        <v>0.52747828452692158</v>
      </c>
      <c r="W2005">
        <v>1</v>
      </c>
      <c r="X2005">
        <v>0.52747828452692158</v>
      </c>
      <c r="Y2005">
        <v>747</v>
      </c>
      <c r="Z2005">
        <v>441.03921887407779</v>
      </c>
      <c r="AA2005">
        <v>198</v>
      </c>
      <c r="AB2005">
        <v>332</v>
      </c>
      <c r="AC2005">
        <v>536</v>
      </c>
      <c r="AD2005">
        <v>26.61</v>
      </c>
      <c r="AE2005">
        <v>542</v>
      </c>
      <c r="AF2005">
        <v>13</v>
      </c>
      <c r="AG2005">
        <v>180</v>
      </c>
      <c r="AH2005">
        <v>129</v>
      </c>
      <c r="AI2005">
        <v>2.4</v>
      </c>
      <c r="AJ2005">
        <v>33.21</v>
      </c>
      <c r="AK2005">
        <v>23.8</v>
      </c>
      <c r="AL2005">
        <v>-20.149403999999951</v>
      </c>
      <c r="AM2005">
        <v>-44.91080895147438</v>
      </c>
      <c r="AN2005">
        <v>-20.149403999999951</v>
      </c>
      <c r="AO2005">
        <v>-44.91080895147438</v>
      </c>
      <c r="AP2005">
        <v>-20.149349000000001</v>
      </c>
      <c r="AQ2005">
        <v>-44.910784</v>
      </c>
      <c r="AR2005">
        <v>6.6547592699416382</v>
      </c>
      <c r="AS2005" t="s">
        <v>65</v>
      </c>
      <c r="AT2005">
        <v>1</v>
      </c>
      <c r="AU2005" t="s">
        <v>75</v>
      </c>
      <c r="AV2005" t="s">
        <v>76</v>
      </c>
      <c r="AW2005" t="s">
        <v>60</v>
      </c>
      <c r="AX2005" t="s">
        <v>68</v>
      </c>
      <c r="AY2005" t="s">
        <v>69</v>
      </c>
      <c r="AZ2005" t="b">
        <v>1</v>
      </c>
    </row>
    <row r="2006" spans="1:52" x14ac:dyDescent="0.3">
      <c r="A2006" t="s">
        <v>52</v>
      </c>
      <c r="B2006" t="s">
        <v>53</v>
      </c>
      <c r="C2006" t="s">
        <v>54</v>
      </c>
      <c r="D2006" t="s">
        <v>55</v>
      </c>
      <c r="E2006" t="s">
        <v>2149</v>
      </c>
      <c r="F2006" t="s">
        <v>57</v>
      </c>
      <c r="G2006" t="s">
        <v>77</v>
      </c>
      <c r="H2006" t="s">
        <v>78</v>
      </c>
      <c r="I2006" t="s">
        <v>78</v>
      </c>
      <c r="J2006" t="s">
        <v>60</v>
      </c>
      <c r="K2006" t="s">
        <v>72</v>
      </c>
      <c r="L2006" t="s">
        <v>62</v>
      </c>
      <c r="M2006" t="s">
        <v>72</v>
      </c>
      <c r="N2006" t="s">
        <v>79</v>
      </c>
      <c r="O2006" t="s">
        <v>80</v>
      </c>
      <c r="P2006">
        <v>-20.147821</v>
      </c>
      <c r="Q2006">
        <v>-44.908887</v>
      </c>
      <c r="R2006" s="2" t="str">
        <f>HYPERLINK("https://www.google.com/maps?q=-20.1478210,-44.9088870","Abrir no Google Maps")</f>
        <v>Abrir no Google Maps</v>
      </c>
      <c r="S2006">
        <v>4</v>
      </c>
      <c r="T2006">
        <v>232.2893841532152</v>
      </c>
      <c r="U2006">
        <v>4</v>
      </c>
      <c r="V2006">
        <v>0.56375644899277499</v>
      </c>
      <c r="W2006">
        <v>1</v>
      </c>
      <c r="X2006">
        <v>0.56375644899277499</v>
      </c>
      <c r="Y2006">
        <v>747</v>
      </c>
      <c r="Z2006">
        <v>195.3668648953757</v>
      </c>
      <c r="AA2006">
        <v>198</v>
      </c>
      <c r="AB2006">
        <v>332</v>
      </c>
      <c r="AC2006">
        <v>536</v>
      </c>
      <c r="AD2006">
        <v>26.61</v>
      </c>
      <c r="AE2006">
        <v>542</v>
      </c>
      <c r="AF2006">
        <v>13</v>
      </c>
      <c r="AG2006">
        <v>180</v>
      </c>
      <c r="AH2006">
        <v>129</v>
      </c>
      <c r="AI2006">
        <v>2.4</v>
      </c>
      <c r="AJ2006">
        <v>33.21</v>
      </c>
      <c r="AK2006">
        <v>23.8</v>
      </c>
      <c r="AL2006">
        <v>-20.147802849999952</v>
      </c>
      <c r="AM2006">
        <v>-44.908989919229477</v>
      </c>
      <c r="AN2006">
        <v>-20.147802849999952</v>
      </c>
      <c r="AO2006">
        <v>-44.908989919229491</v>
      </c>
      <c r="AP2006">
        <v>-20.147821</v>
      </c>
      <c r="AQ2006">
        <v>-44.908887</v>
      </c>
      <c r="AR2006">
        <v>10.944007761262529</v>
      </c>
      <c r="AS2006" t="s">
        <v>65</v>
      </c>
      <c r="AT2006">
        <v>1</v>
      </c>
      <c r="AU2006" t="s">
        <v>81</v>
      </c>
      <c r="AV2006" t="s">
        <v>82</v>
      </c>
      <c r="AW2006" t="s">
        <v>60</v>
      </c>
      <c r="AX2006" t="s">
        <v>68</v>
      </c>
      <c r="AY2006" t="s">
        <v>69</v>
      </c>
      <c r="AZ2006" t="b">
        <v>1</v>
      </c>
    </row>
    <row r="2007" spans="1:52" x14ac:dyDescent="0.3">
      <c r="A2007" t="s">
        <v>52</v>
      </c>
      <c r="B2007" t="s">
        <v>53</v>
      </c>
      <c r="C2007" t="s">
        <v>54</v>
      </c>
      <c r="D2007" t="s">
        <v>55</v>
      </c>
      <c r="E2007" t="s">
        <v>2149</v>
      </c>
      <c r="F2007" t="s">
        <v>57</v>
      </c>
      <c r="G2007" t="s">
        <v>83</v>
      </c>
      <c r="H2007" t="s">
        <v>84</v>
      </c>
      <c r="I2007" t="s">
        <v>84</v>
      </c>
      <c r="J2007" t="s">
        <v>60</v>
      </c>
      <c r="K2007" t="s">
        <v>61</v>
      </c>
      <c r="L2007" t="s">
        <v>62</v>
      </c>
      <c r="M2007" t="s">
        <v>61</v>
      </c>
      <c r="N2007" t="s">
        <v>85</v>
      </c>
      <c r="O2007" t="s">
        <v>86</v>
      </c>
      <c r="P2007">
        <v>-20.149799000000002</v>
      </c>
      <c r="Q2007">
        <v>-44.906517000000001</v>
      </c>
      <c r="R2007" s="2" t="str">
        <f>HYPERLINK("https://www.google.com/maps?q=-20.1497990,-44.9065170","Abrir no Google Maps")</f>
        <v>Abrir no Google Maps</v>
      </c>
      <c r="S2007">
        <v>4</v>
      </c>
      <c r="T2007">
        <v>487.90051105537998</v>
      </c>
      <c r="U2007">
        <v>4</v>
      </c>
      <c r="V2007">
        <v>0.46815840805374959</v>
      </c>
      <c r="W2007">
        <v>1</v>
      </c>
      <c r="X2007">
        <v>0.46815840805374959</v>
      </c>
      <c r="Y2007">
        <v>747</v>
      </c>
      <c r="Z2007">
        <v>365.93785960107078</v>
      </c>
      <c r="AA2007">
        <v>198</v>
      </c>
      <c r="AB2007">
        <v>332</v>
      </c>
      <c r="AC2007">
        <v>536</v>
      </c>
      <c r="AD2007">
        <v>26.61</v>
      </c>
      <c r="AE2007">
        <v>542</v>
      </c>
      <c r="AF2007">
        <v>13</v>
      </c>
      <c r="AG2007">
        <v>180</v>
      </c>
      <c r="AH2007">
        <v>129</v>
      </c>
      <c r="AI2007">
        <v>2.4</v>
      </c>
      <c r="AJ2007">
        <v>33.21</v>
      </c>
      <c r="AK2007">
        <v>23.8</v>
      </c>
      <c r="AL2007">
        <v>-20.149879599999959</v>
      </c>
      <c r="AM2007">
        <v>-44.906746466068469</v>
      </c>
      <c r="AN2007">
        <v>-20.149879599999959</v>
      </c>
      <c r="AO2007">
        <v>-44.906746466068469</v>
      </c>
      <c r="AP2007">
        <v>-20.149799000000002</v>
      </c>
      <c r="AQ2007">
        <v>-44.906517000000001</v>
      </c>
      <c r="AR2007">
        <v>25.604276856970429</v>
      </c>
      <c r="AS2007" t="s">
        <v>65</v>
      </c>
      <c r="AT2007">
        <v>1</v>
      </c>
      <c r="AU2007" t="s">
        <v>87</v>
      </c>
      <c r="AV2007" t="s">
        <v>88</v>
      </c>
      <c r="AW2007" t="s">
        <v>60</v>
      </c>
      <c r="AX2007" t="s">
        <v>68</v>
      </c>
      <c r="AY2007" t="s">
        <v>69</v>
      </c>
      <c r="AZ2007" t="b">
        <v>1</v>
      </c>
    </row>
    <row r="2008" spans="1:52" x14ac:dyDescent="0.3">
      <c r="A2008" t="s">
        <v>52</v>
      </c>
      <c r="B2008" t="s">
        <v>53</v>
      </c>
      <c r="C2008" t="s">
        <v>54</v>
      </c>
      <c r="D2008" t="s">
        <v>55</v>
      </c>
      <c r="E2008" t="s">
        <v>2149</v>
      </c>
      <c r="F2008" t="s">
        <v>57</v>
      </c>
      <c r="G2008" t="s">
        <v>89</v>
      </c>
      <c r="H2008" t="s">
        <v>90</v>
      </c>
      <c r="I2008" t="s">
        <v>90</v>
      </c>
      <c r="J2008" t="s">
        <v>60</v>
      </c>
      <c r="K2008" t="s">
        <v>72</v>
      </c>
      <c r="L2008" t="s">
        <v>62</v>
      </c>
      <c r="M2008" t="s">
        <v>72</v>
      </c>
      <c r="N2008" t="s">
        <v>91</v>
      </c>
      <c r="O2008" t="s">
        <v>92</v>
      </c>
      <c r="P2008">
        <v>-20.145848999999998</v>
      </c>
      <c r="Q2008">
        <v>-44.908419000000002</v>
      </c>
      <c r="R2008" s="2" t="str">
        <f>HYPERLINK("https://www.google.com/maps?q=-20.1458490,-44.9084190","Abrir no Google Maps")</f>
        <v>Abrir no Google Maps</v>
      </c>
      <c r="S2008">
        <v>4</v>
      </c>
      <c r="T2008">
        <v>0</v>
      </c>
      <c r="U2008">
        <v>4</v>
      </c>
      <c r="V2008">
        <v>0.52039991020136211</v>
      </c>
      <c r="W2008">
        <v>1</v>
      </c>
      <c r="X2008">
        <v>0.52039991020136211</v>
      </c>
      <c r="Y2008">
        <v>747</v>
      </c>
      <c r="Z2008">
        <v>136.08168502765241</v>
      </c>
      <c r="AA2008">
        <v>198</v>
      </c>
      <c r="AB2008">
        <v>332</v>
      </c>
      <c r="AC2008">
        <v>536</v>
      </c>
      <c r="AD2008">
        <v>26.61</v>
      </c>
      <c r="AE2008">
        <v>542</v>
      </c>
      <c r="AF2008">
        <v>13</v>
      </c>
      <c r="AG2008">
        <v>180</v>
      </c>
      <c r="AH2008">
        <v>129</v>
      </c>
      <c r="AI2008">
        <v>2.4</v>
      </c>
      <c r="AJ2008">
        <v>33.21</v>
      </c>
      <c r="AK2008">
        <v>23.8</v>
      </c>
      <c r="AL2008">
        <v>-20.14576979999995</v>
      </c>
      <c r="AM2008">
        <v>-44.908436775053183</v>
      </c>
      <c r="AN2008">
        <v>-20.14576979999995</v>
      </c>
      <c r="AO2008">
        <v>-44.908436775053183</v>
      </c>
      <c r="AP2008">
        <v>-20.145848999999998</v>
      </c>
      <c r="AQ2008">
        <v>-44.908419000000002</v>
      </c>
      <c r="AR2008">
        <v>9.0101247482327356</v>
      </c>
      <c r="AS2008" t="s">
        <v>65</v>
      </c>
      <c r="AT2008">
        <v>1</v>
      </c>
      <c r="AU2008" t="s">
        <v>93</v>
      </c>
      <c r="AV2008" t="s">
        <v>94</v>
      </c>
      <c r="AW2008" t="s">
        <v>60</v>
      </c>
      <c r="AX2008" t="s">
        <v>68</v>
      </c>
      <c r="AY2008" t="s">
        <v>69</v>
      </c>
      <c r="AZ2008" t="b">
        <v>1</v>
      </c>
    </row>
    <row r="2009" spans="1:52" x14ac:dyDescent="0.3">
      <c r="A2009" t="s">
        <v>52</v>
      </c>
      <c r="B2009" t="s">
        <v>53</v>
      </c>
      <c r="C2009" t="s">
        <v>54</v>
      </c>
      <c r="D2009" t="s">
        <v>55</v>
      </c>
      <c r="E2009" t="s">
        <v>2149</v>
      </c>
      <c r="F2009" t="s">
        <v>57</v>
      </c>
      <c r="G2009" t="s">
        <v>95</v>
      </c>
      <c r="H2009" t="s">
        <v>96</v>
      </c>
      <c r="I2009" t="s">
        <v>96</v>
      </c>
      <c r="J2009" t="s">
        <v>60</v>
      </c>
      <c r="K2009" t="s">
        <v>72</v>
      </c>
      <c r="L2009" t="s">
        <v>62</v>
      </c>
      <c r="M2009" t="s">
        <v>72</v>
      </c>
      <c r="N2009" t="s">
        <v>97</v>
      </c>
      <c r="O2009" t="s">
        <v>98</v>
      </c>
      <c r="P2009">
        <v>-20.144062999999999</v>
      </c>
      <c r="Q2009">
        <v>-44.909627999999998</v>
      </c>
      <c r="R2009" s="2" t="str">
        <f>HYPERLINK("https://www.google.com/maps?q=-20.1440630,-44.9096280","Abrir no Google Maps")</f>
        <v>Abrir no Google Maps</v>
      </c>
      <c r="S2009">
        <v>4</v>
      </c>
      <c r="T2009">
        <v>205.27083326529291</v>
      </c>
      <c r="U2009">
        <v>4</v>
      </c>
      <c r="V2009">
        <v>0.50147770545138393</v>
      </c>
      <c r="W2009">
        <v>1</v>
      </c>
      <c r="X2009">
        <v>0.50147770545138393</v>
      </c>
      <c r="Y2009">
        <v>747</v>
      </c>
      <c r="Z2009">
        <v>336.75785483480968</v>
      </c>
      <c r="AA2009">
        <v>198</v>
      </c>
      <c r="AB2009">
        <v>332</v>
      </c>
      <c r="AC2009">
        <v>536</v>
      </c>
      <c r="AD2009">
        <v>26.61</v>
      </c>
      <c r="AE2009">
        <v>542</v>
      </c>
      <c r="AF2009">
        <v>13</v>
      </c>
      <c r="AG2009">
        <v>180</v>
      </c>
      <c r="AH2009">
        <v>129</v>
      </c>
      <c r="AI2009">
        <v>2.4</v>
      </c>
      <c r="AJ2009">
        <v>33.21</v>
      </c>
      <c r="AK2009">
        <v>23.8</v>
      </c>
      <c r="AL2009">
        <v>-20.144164099999951</v>
      </c>
      <c r="AM2009">
        <v>-44.909420167767642</v>
      </c>
      <c r="AN2009">
        <v>-20.144164099999951</v>
      </c>
      <c r="AO2009">
        <v>-44.909420167767642</v>
      </c>
      <c r="AP2009">
        <v>-20.144062999999999</v>
      </c>
      <c r="AQ2009">
        <v>-44.909627999999998</v>
      </c>
      <c r="AR2009">
        <v>24.46321571724976</v>
      </c>
      <c r="AS2009" t="s">
        <v>65</v>
      </c>
      <c r="AT2009">
        <v>1</v>
      </c>
      <c r="AU2009" t="s">
        <v>99</v>
      </c>
      <c r="AV2009" t="s">
        <v>94</v>
      </c>
      <c r="AW2009" t="s">
        <v>60</v>
      </c>
      <c r="AX2009" t="s">
        <v>68</v>
      </c>
      <c r="AY2009" t="s">
        <v>69</v>
      </c>
      <c r="AZ2009" t="b">
        <v>1</v>
      </c>
    </row>
    <row r="2010" spans="1:52" x14ac:dyDescent="0.3">
      <c r="A2010" t="s">
        <v>52</v>
      </c>
      <c r="B2010" t="s">
        <v>53</v>
      </c>
      <c r="C2010" t="s">
        <v>54</v>
      </c>
      <c r="D2010" t="s">
        <v>55</v>
      </c>
      <c r="E2010" t="s">
        <v>2149</v>
      </c>
      <c r="F2010" t="s">
        <v>57</v>
      </c>
      <c r="G2010" t="s">
        <v>100</v>
      </c>
      <c r="H2010" t="s">
        <v>101</v>
      </c>
      <c r="I2010" t="s">
        <v>101</v>
      </c>
      <c r="J2010" t="s">
        <v>60</v>
      </c>
      <c r="K2010" t="s">
        <v>61</v>
      </c>
      <c r="L2010" t="s">
        <v>62</v>
      </c>
      <c r="M2010" t="s">
        <v>61</v>
      </c>
      <c r="N2010" t="s">
        <v>102</v>
      </c>
      <c r="O2010" t="s">
        <v>103</v>
      </c>
      <c r="P2010">
        <v>-20.151098999999999</v>
      </c>
      <c r="Q2010">
        <v>-44.909699000000003</v>
      </c>
      <c r="R2010" s="2" t="str">
        <f>HYPERLINK("https://www.google.com/maps?q=-20.1510990,-44.9096990","Abrir no Google Maps")</f>
        <v>Abrir no Google Maps</v>
      </c>
      <c r="S2010">
        <v>4</v>
      </c>
      <c r="T2010">
        <v>628.5023128813533</v>
      </c>
      <c r="U2010">
        <v>4</v>
      </c>
      <c r="V2010">
        <v>0.59505011729084001</v>
      </c>
      <c r="W2010">
        <v>1</v>
      </c>
      <c r="X2010">
        <v>0.59505011729084001</v>
      </c>
      <c r="Y2010">
        <v>747</v>
      </c>
      <c r="Z2010">
        <v>563.16456625265948</v>
      </c>
      <c r="AA2010">
        <v>198</v>
      </c>
      <c r="AB2010">
        <v>332</v>
      </c>
      <c r="AC2010">
        <v>536</v>
      </c>
      <c r="AD2010">
        <v>26.61</v>
      </c>
      <c r="AE2010">
        <v>542</v>
      </c>
      <c r="AF2010">
        <v>13</v>
      </c>
      <c r="AG2010">
        <v>180</v>
      </c>
      <c r="AH2010">
        <v>129</v>
      </c>
      <c r="AI2010">
        <v>2.4</v>
      </c>
      <c r="AJ2010">
        <v>33.21</v>
      </c>
      <c r="AK2010">
        <v>23.8</v>
      </c>
      <c r="AL2010">
        <v>-20.151307349999971</v>
      </c>
      <c r="AM2010">
        <v>-44.909772836123523</v>
      </c>
      <c r="AN2010">
        <v>-20.151307349999971</v>
      </c>
      <c r="AO2010">
        <v>-44.909772836123523</v>
      </c>
      <c r="AP2010">
        <v>-20.151098999999999</v>
      </c>
      <c r="AQ2010">
        <v>-44.909699000000003</v>
      </c>
      <c r="AR2010">
        <v>24.443417349564811</v>
      </c>
      <c r="AS2010" t="s">
        <v>65</v>
      </c>
      <c r="AT2010">
        <v>1</v>
      </c>
      <c r="AU2010" t="s">
        <v>104</v>
      </c>
      <c r="AV2010" t="s">
        <v>105</v>
      </c>
      <c r="AW2010" t="s">
        <v>60</v>
      </c>
      <c r="AX2010" t="s">
        <v>68</v>
      </c>
      <c r="AY2010" t="s">
        <v>69</v>
      </c>
      <c r="AZ2010" t="b">
        <v>1</v>
      </c>
    </row>
    <row r="2011" spans="1:52" x14ac:dyDescent="0.3">
      <c r="A2011" t="s">
        <v>52</v>
      </c>
      <c r="B2011" t="s">
        <v>53</v>
      </c>
      <c r="C2011" t="s">
        <v>54</v>
      </c>
      <c r="D2011" t="s">
        <v>55</v>
      </c>
      <c r="E2011" t="s">
        <v>2149</v>
      </c>
      <c r="F2011" t="s">
        <v>57</v>
      </c>
      <c r="G2011" t="s">
        <v>100</v>
      </c>
      <c r="H2011" t="s">
        <v>106</v>
      </c>
      <c r="I2011" t="s">
        <v>106</v>
      </c>
      <c r="J2011" t="s">
        <v>60</v>
      </c>
      <c r="K2011" t="s">
        <v>61</v>
      </c>
      <c r="L2011" t="s">
        <v>62</v>
      </c>
      <c r="M2011" t="s">
        <v>61</v>
      </c>
      <c r="N2011" t="s">
        <v>102</v>
      </c>
      <c r="O2011" t="s">
        <v>103</v>
      </c>
      <c r="P2011">
        <v>-20.151107</v>
      </c>
      <c r="Q2011">
        <v>-44.908918</v>
      </c>
      <c r="R2011" s="2" t="str">
        <f>HYPERLINK("https://www.google.com/maps?q=-20.1511070,-44.9089180","Abrir no Google Maps")</f>
        <v>Abrir no Google Maps</v>
      </c>
      <c r="S2011">
        <v>4</v>
      </c>
      <c r="T2011">
        <v>615.86400245321579</v>
      </c>
      <c r="U2011">
        <v>4</v>
      </c>
      <c r="V2011">
        <v>0.6334876321389914</v>
      </c>
      <c r="W2011">
        <v>0.85</v>
      </c>
      <c r="X2011">
        <v>0.53846448731814267</v>
      </c>
      <c r="Y2011">
        <v>747</v>
      </c>
      <c r="Z2011">
        <v>535.34543763764702</v>
      </c>
      <c r="AA2011">
        <v>198</v>
      </c>
      <c r="AB2011">
        <v>332</v>
      </c>
      <c r="AC2011">
        <v>536</v>
      </c>
      <c r="AD2011">
        <v>26.61</v>
      </c>
      <c r="AE2011">
        <v>542</v>
      </c>
      <c r="AF2011">
        <v>13</v>
      </c>
      <c r="AG2011">
        <v>180</v>
      </c>
      <c r="AH2011">
        <v>129</v>
      </c>
      <c r="AI2011">
        <v>2.4</v>
      </c>
      <c r="AJ2011">
        <v>33.21</v>
      </c>
      <c r="AK2011">
        <v>23.8</v>
      </c>
      <c r="AL2011">
        <v>-20.151307349999971</v>
      </c>
      <c r="AM2011">
        <v>-44.909024234051429</v>
      </c>
      <c r="AN2011">
        <v>-20.151307349999971</v>
      </c>
      <c r="AO2011">
        <v>-44.909024234051429</v>
      </c>
      <c r="AP2011">
        <v>-20.151107</v>
      </c>
      <c r="AQ2011">
        <v>-44.908918</v>
      </c>
      <c r="AR2011">
        <v>24.91340747371116</v>
      </c>
      <c r="AS2011" t="s">
        <v>65</v>
      </c>
      <c r="AT2011">
        <v>1</v>
      </c>
      <c r="AU2011" t="s">
        <v>107</v>
      </c>
      <c r="AV2011" t="s">
        <v>105</v>
      </c>
      <c r="AW2011" t="s">
        <v>60</v>
      </c>
      <c r="AX2011" t="s">
        <v>68</v>
      </c>
      <c r="AY2011" t="s">
        <v>69</v>
      </c>
      <c r="AZ2011" t="b">
        <v>1</v>
      </c>
    </row>
    <row r="2012" spans="1:52" x14ac:dyDescent="0.3">
      <c r="A2012" t="s">
        <v>52</v>
      </c>
      <c r="B2012" t="s">
        <v>53</v>
      </c>
      <c r="C2012" t="s">
        <v>54</v>
      </c>
      <c r="D2012" t="s">
        <v>55</v>
      </c>
      <c r="E2012" t="s">
        <v>2149</v>
      </c>
      <c r="F2012" t="s">
        <v>57</v>
      </c>
      <c r="G2012" t="s">
        <v>108</v>
      </c>
      <c r="H2012" t="s">
        <v>109</v>
      </c>
      <c r="I2012" t="s">
        <v>109</v>
      </c>
      <c r="J2012" t="s">
        <v>60</v>
      </c>
      <c r="K2012" t="s">
        <v>110</v>
      </c>
      <c r="L2012" t="s">
        <v>62</v>
      </c>
      <c r="M2012" t="s">
        <v>110</v>
      </c>
      <c r="N2012" t="s">
        <v>111</v>
      </c>
      <c r="O2012" t="s">
        <v>112</v>
      </c>
      <c r="P2012">
        <v>-20.122233999999999</v>
      </c>
      <c r="Q2012">
        <v>-44.909194999999997</v>
      </c>
      <c r="R2012" s="2" t="str">
        <f>HYPERLINK("https://www.google.com/maps?q=-20.1222340,-44.9091950","Abrir no Google Maps")</f>
        <v>Abrir no Google Maps</v>
      </c>
      <c r="S2012">
        <v>4</v>
      </c>
      <c r="T2012">
        <v>1171.396020763932</v>
      </c>
      <c r="U2012">
        <v>4</v>
      </c>
      <c r="V2012">
        <v>0.55647711595824023</v>
      </c>
      <c r="W2012">
        <v>0.85</v>
      </c>
      <c r="X2012">
        <v>0.47300554856450422</v>
      </c>
      <c r="Y2012">
        <v>567</v>
      </c>
      <c r="Z2012">
        <v>1238.711234283244</v>
      </c>
      <c r="AA2012">
        <v>198</v>
      </c>
      <c r="AB2012">
        <v>332</v>
      </c>
      <c r="AC2012">
        <v>536</v>
      </c>
      <c r="AD2012">
        <v>26.61</v>
      </c>
      <c r="AE2012">
        <v>542</v>
      </c>
      <c r="AF2012">
        <v>13</v>
      </c>
      <c r="AG2012">
        <v>180</v>
      </c>
      <c r="AH2012">
        <v>129</v>
      </c>
      <c r="AI2012">
        <v>2.4</v>
      </c>
      <c r="AJ2012">
        <v>33.21</v>
      </c>
      <c r="AK2012">
        <v>23.8</v>
      </c>
      <c r="AL2012">
        <v>-20.121881249999941</v>
      </c>
      <c r="AM2012">
        <v>-44.909273766094323</v>
      </c>
      <c r="AN2012">
        <v>-20.121881249999941</v>
      </c>
      <c r="AO2012">
        <v>-44.909273766094323</v>
      </c>
      <c r="AP2012">
        <v>-20.122233999999999</v>
      </c>
      <c r="AQ2012">
        <v>-44.909194999999997</v>
      </c>
      <c r="AR2012">
        <v>40.12192930593006</v>
      </c>
      <c r="AS2012" t="s">
        <v>65</v>
      </c>
      <c r="AT2012">
        <v>1</v>
      </c>
      <c r="AU2012" t="s">
        <v>113</v>
      </c>
      <c r="AV2012" t="s">
        <v>114</v>
      </c>
      <c r="AW2012" t="s">
        <v>60</v>
      </c>
      <c r="AX2012" t="s">
        <v>68</v>
      </c>
      <c r="AY2012" t="s">
        <v>69</v>
      </c>
      <c r="AZ2012" t="b">
        <v>1</v>
      </c>
    </row>
    <row r="2013" spans="1:52" x14ac:dyDescent="0.3">
      <c r="A2013" t="s">
        <v>52</v>
      </c>
      <c r="B2013" t="s">
        <v>53</v>
      </c>
      <c r="C2013" t="s">
        <v>54</v>
      </c>
      <c r="D2013" t="s">
        <v>55</v>
      </c>
      <c r="E2013" t="s">
        <v>2149</v>
      </c>
      <c r="F2013" t="s">
        <v>57</v>
      </c>
      <c r="G2013" t="s">
        <v>115</v>
      </c>
      <c r="H2013" t="s">
        <v>116</v>
      </c>
      <c r="I2013" t="s">
        <v>116</v>
      </c>
      <c r="J2013" t="s">
        <v>60</v>
      </c>
      <c r="K2013" t="s">
        <v>117</v>
      </c>
      <c r="L2013" t="s">
        <v>62</v>
      </c>
      <c r="M2013" t="s">
        <v>117</v>
      </c>
      <c r="N2013" t="s">
        <v>118</v>
      </c>
      <c r="O2013" t="s">
        <v>119</v>
      </c>
      <c r="P2013">
        <v>-20.116992</v>
      </c>
      <c r="Q2013">
        <v>-44.899355</v>
      </c>
      <c r="R2013" s="2" t="str">
        <f>HYPERLINK("https://www.google.com/maps?q=-20.1169920,-44.8993550","Abrir no Google Maps")</f>
        <v>Abrir no Google Maps</v>
      </c>
      <c r="S2013">
        <v>4</v>
      </c>
      <c r="T2013">
        <v>0</v>
      </c>
      <c r="U2013">
        <v>4</v>
      </c>
      <c r="V2013">
        <v>0.47838496829552651</v>
      </c>
      <c r="W2013">
        <v>1</v>
      </c>
      <c r="X2013">
        <v>0.47838496829552651</v>
      </c>
      <c r="Y2013">
        <v>567</v>
      </c>
      <c r="Z2013">
        <v>54.913678078353321</v>
      </c>
      <c r="AA2013">
        <v>198</v>
      </c>
      <c r="AB2013">
        <v>332</v>
      </c>
      <c r="AC2013">
        <v>536</v>
      </c>
      <c r="AD2013">
        <v>26.61</v>
      </c>
      <c r="AE2013">
        <v>542</v>
      </c>
      <c r="AF2013">
        <v>13</v>
      </c>
      <c r="AG2013">
        <v>180</v>
      </c>
      <c r="AH2013">
        <v>129</v>
      </c>
      <c r="AI2013">
        <v>2.4</v>
      </c>
      <c r="AJ2013">
        <v>33.21</v>
      </c>
      <c r="AK2013">
        <v>23.8</v>
      </c>
      <c r="AL2013">
        <v>-20.117107749999949</v>
      </c>
      <c r="AM2013">
        <v>-44.899271226243108</v>
      </c>
      <c r="AN2013">
        <v>-20.117107749999949</v>
      </c>
      <c r="AO2013">
        <v>-44.899271226243108</v>
      </c>
      <c r="AP2013">
        <v>-20.116992</v>
      </c>
      <c r="AQ2013">
        <v>-44.899355</v>
      </c>
      <c r="AR2013">
        <v>15.579196044083419</v>
      </c>
      <c r="AS2013" t="s">
        <v>65</v>
      </c>
      <c r="AT2013">
        <v>1</v>
      </c>
      <c r="AU2013" t="s">
        <v>120</v>
      </c>
      <c r="AV2013" t="s">
        <v>121</v>
      </c>
      <c r="AW2013" t="s">
        <v>60</v>
      </c>
      <c r="AX2013" t="s">
        <v>68</v>
      </c>
      <c r="AY2013" t="s">
        <v>69</v>
      </c>
      <c r="AZ2013" t="b">
        <v>1</v>
      </c>
    </row>
    <row r="2014" spans="1:52" x14ac:dyDescent="0.3">
      <c r="A2014" t="s">
        <v>52</v>
      </c>
      <c r="B2014" t="s">
        <v>53</v>
      </c>
      <c r="C2014" t="s">
        <v>54</v>
      </c>
      <c r="D2014" t="s">
        <v>55</v>
      </c>
      <c r="E2014" t="s">
        <v>2149</v>
      </c>
      <c r="F2014" t="s">
        <v>57</v>
      </c>
      <c r="G2014" t="s">
        <v>122</v>
      </c>
      <c r="H2014" t="s">
        <v>123</v>
      </c>
      <c r="I2014" t="s">
        <v>123</v>
      </c>
      <c r="J2014" t="s">
        <v>60</v>
      </c>
      <c r="K2014" t="s">
        <v>117</v>
      </c>
      <c r="L2014" t="s">
        <v>62</v>
      </c>
      <c r="M2014" t="s">
        <v>117</v>
      </c>
      <c r="N2014" t="s">
        <v>124</v>
      </c>
      <c r="O2014" t="s">
        <v>125</v>
      </c>
      <c r="P2014">
        <v>-20.11853</v>
      </c>
      <c r="Q2014">
        <v>-44.896925000000003</v>
      </c>
      <c r="R2014" s="2" t="str">
        <f>HYPERLINK("https://www.google.com/maps?q=-20.1185300,-44.8969250","Abrir no Google Maps")</f>
        <v>Abrir no Google Maps</v>
      </c>
      <c r="S2014">
        <v>4</v>
      </c>
      <c r="T2014">
        <v>325.32255721093247</v>
      </c>
      <c r="U2014">
        <v>4</v>
      </c>
      <c r="V2014">
        <v>0.48405621864056009</v>
      </c>
      <c r="W2014">
        <v>1</v>
      </c>
      <c r="X2014">
        <v>0.48405621864056009</v>
      </c>
      <c r="Y2014">
        <v>567</v>
      </c>
      <c r="Z2014">
        <v>306.04423478678871</v>
      </c>
      <c r="AA2014">
        <v>198</v>
      </c>
      <c r="AB2014">
        <v>332</v>
      </c>
      <c r="AC2014">
        <v>536</v>
      </c>
      <c r="AD2014">
        <v>26.61</v>
      </c>
      <c r="AE2014">
        <v>542</v>
      </c>
      <c r="AF2014">
        <v>13</v>
      </c>
      <c r="AG2014">
        <v>180</v>
      </c>
      <c r="AH2014">
        <v>129</v>
      </c>
      <c r="AI2014">
        <v>2.4</v>
      </c>
      <c r="AJ2014">
        <v>33.21</v>
      </c>
      <c r="AK2014">
        <v>23.8</v>
      </c>
      <c r="AL2014">
        <v>-20.118682499999949</v>
      </c>
      <c r="AM2014">
        <v>-44.896643089287927</v>
      </c>
      <c r="AN2014">
        <v>-20.118682499999949</v>
      </c>
      <c r="AO2014">
        <v>-44.896643089287927</v>
      </c>
      <c r="AP2014">
        <v>-20.11853</v>
      </c>
      <c r="AQ2014">
        <v>-44.896925000000003</v>
      </c>
      <c r="AR2014">
        <v>34.007698996886518</v>
      </c>
      <c r="AS2014" t="s">
        <v>65</v>
      </c>
      <c r="AT2014">
        <v>1</v>
      </c>
      <c r="AU2014" t="s">
        <v>126</v>
      </c>
      <c r="AV2014" t="s">
        <v>121</v>
      </c>
      <c r="AW2014" t="s">
        <v>60</v>
      </c>
      <c r="AX2014" t="s">
        <v>68</v>
      </c>
      <c r="AY2014" t="s">
        <v>69</v>
      </c>
      <c r="AZ2014" t="b">
        <v>1</v>
      </c>
    </row>
    <row r="2015" spans="1:52" x14ac:dyDescent="0.3">
      <c r="A2015" t="s">
        <v>52</v>
      </c>
      <c r="B2015" t="s">
        <v>53</v>
      </c>
      <c r="C2015" t="s">
        <v>54</v>
      </c>
      <c r="D2015" t="s">
        <v>55</v>
      </c>
      <c r="E2015" t="s">
        <v>2149</v>
      </c>
      <c r="F2015" t="s">
        <v>57</v>
      </c>
      <c r="G2015" t="s">
        <v>127</v>
      </c>
      <c r="H2015" t="s">
        <v>128</v>
      </c>
      <c r="I2015" t="s">
        <v>128</v>
      </c>
      <c r="J2015" t="s">
        <v>60</v>
      </c>
      <c r="K2015" t="s">
        <v>129</v>
      </c>
      <c r="L2015" t="s">
        <v>62</v>
      </c>
      <c r="M2015" t="s">
        <v>129</v>
      </c>
      <c r="N2015" t="s">
        <v>130</v>
      </c>
      <c r="O2015" t="s">
        <v>131</v>
      </c>
      <c r="P2015">
        <v>-20.130752000000001</v>
      </c>
      <c r="Q2015">
        <v>-44.865676999999998</v>
      </c>
      <c r="R2015" s="2" t="str">
        <f>HYPERLINK("https://www.google.com/maps?q=-20.1307520,-44.8656770","Abrir no Google Maps")</f>
        <v>Abrir no Google Maps</v>
      </c>
      <c r="S2015">
        <v>4</v>
      </c>
      <c r="T2015">
        <v>666.25741128624747</v>
      </c>
      <c r="U2015">
        <v>4</v>
      </c>
      <c r="V2015">
        <v>0.48242377459224289</v>
      </c>
      <c r="W2015">
        <v>1</v>
      </c>
      <c r="X2015">
        <v>0.48242377459224289</v>
      </c>
      <c r="Y2015">
        <v>387</v>
      </c>
      <c r="Z2015">
        <v>838.7193965949632</v>
      </c>
      <c r="AA2015">
        <v>198</v>
      </c>
      <c r="AB2015">
        <v>332</v>
      </c>
      <c r="AC2015">
        <v>536</v>
      </c>
      <c r="AD2015">
        <v>26.61</v>
      </c>
      <c r="AE2015">
        <v>542</v>
      </c>
      <c r="AF2015">
        <v>13</v>
      </c>
      <c r="AG2015">
        <v>180</v>
      </c>
      <c r="AH2015">
        <v>129</v>
      </c>
      <c r="AI2015">
        <v>2.4</v>
      </c>
      <c r="AJ2015">
        <v>33.21</v>
      </c>
      <c r="AK2015">
        <v>23.8</v>
      </c>
      <c r="AL2015">
        <v>-20.130734049999969</v>
      </c>
      <c r="AM2015">
        <v>-44.86564904282416</v>
      </c>
      <c r="AN2015">
        <v>-20.130734049999969</v>
      </c>
      <c r="AO2015">
        <v>-44.86564904282416</v>
      </c>
      <c r="AP2015">
        <v>-20.130752000000001</v>
      </c>
      <c r="AQ2015">
        <v>-44.865676999999998</v>
      </c>
      <c r="AR2015">
        <v>3.539952280780454</v>
      </c>
      <c r="AS2015" t="s">
        <v>65</v>
      </c>
      <c r="AT2015">
        <v>1</v>
      </c>
      <c r="AU2015" t="s">
        <v>132</v>
      </c>
      <c r="AV2015" t="s">
        <v>133</v>
      </c>
      <c r="AW2015" t="s">
        <v>60</v>
      </c>
      <c r="AX2015" t="s">
        <v>68</v>
      </c>
      <c r="AY2015" t="s">
        <v>69</v>
      </c>
      <c r="AZ2015" t="b">
        <v>1</v>
      </c>
    </row>
    <row r="2016" spans="1:52" x14ac:dyDescent="0.3">
      <c r="A2016" t="s">
        <v>52</v>
      </c>
      <c r="B2016" t="s">
        <v>53</v>
      </c>
      <c r="C2016" t="s">
        <v>54</v>
      </c>
      <c r="D2016" t="s">
        <v>55</v>
      </c>
      <c r="E2016" t="s">
        <v>2149</v>
      </c>
      <c r="F2016" t="s">
        <v>57</v>
      </c>
      <c r="G2016" t="s">
        <v>169</v>
      </c>
      <c r="H2016" t="s">
        <v>170</v>
      </c>
      <c r="I2016" t="s">
        <v>170</v>
      </c>
      <c r="J2016" t="s">
        <v>60</v>
      </c>
      <c r="K2016" t="s">
        <v>171</v>
      </c>
      <c r="L2016" t="s">
        <v>62</v>
      </c>
      <c r="M2016" t="s">
        <v>171</v>
      </c>
      <c r="N2016" t="s">
        <v>172</v>
      </c>
      <c r="O2016" t="s">
        <v>173</v>
      </c>
      <c r="P2016">
        <v>-20.15334</v>
      </c>
      <c r="Q2016">
        <v>-44.891691000000002</v>
      </c>
      <c r="R2016" s="2" t="str">
        <f>HYPERLINK("https://www.google.com/maps?q=-20.1533400,-44.8916910","Abrir no Google Maps")</f>
        <v>Abrir no Google Maps</v>
      </c>
      <c r="S2016">
        <v>4</v>
      </c>
      <c r="T2016">
        <v>263.82013116084107</v>
      </c>
      <c r="U2016">
        <v>4</v>
      </c>
      <c r="V2016">
        <v>0.4840493513360854</v>
      </c>
      <c r="W2016">
        <v>1</v>
      </c>
      <c r="X2016">
        <v>0.4840493513360854</v>
      </c>
      <c r="Y2016">
        <v>129</v>
      </c>
      <c r="Z2016">
        <v>72.771047355993247</v>
      </c>
      <c r="AA2016">
        <v>198</v>
      </c>
      <c r="AB2016">
        <v>332</v>
      </c>
      <c r="AC2016">
        <v>536</v>
      </c>
      <c r="AD2016">
        <v>26.61</v>
      </c>
      <c r="AE2016">
        <v>542</v>
      </c>
      <c r="AF2016">
        <v>13</v>
      </c>
      <c r="AG2016">
        <v>180</v>
      </c>
      <c r="AH2016">
        <v>129</v>
      </c>
      <c r="AI2016">
        <v>2.4</v>
      </c>
      <c r="AJ2016">
        <v>33.21</v>
      </c>
      <c r="AK2016">
        <v>23.8</v>
      </c>
      <c r="AL2016">
        <v>-20.153531799999971</v>
      </c>
      <c r="AM2016">
        <v>-44.89196779651779</v>
      </c>
      <c r="AN2016">
        <v>-20.153531799999971</v>
      </c>
      <c r="AO2016">
        <v>-44.89196779651779</v>
      </c>
      <c r="AP2016">
        <v>-20.15334</v>
      </c>
      <c r="AQ2016">
        <v>-44.891691000000002</v>
      </c>
      <c r="AR2016">
        <v>35.952871813310509</v>
      </c>
      <c r="AS2016" t="s">
        <v>65</v>
      </c>
      <c r="AT2016">
        <v>1</v>
      </c>
      <c r="AU2016" t="s">
        <v>174</v>
      </c>
      <c r="AV2016" t="s">
        <v>175</v>
      </c>
      <c r="AW2016" t="s">
        <v>60</v>
      </c>
      <c r="AX2016" t="s">
        <v>68</v>
      </c>
      <c r="AY2016" t="s">
        <v>69</v>
      </c>
      <c r="AZ2016" t="b">
        <v>1</v>
      </c>
    </row>
    <row r="2017" spans="1:52" x14ac:dyDescent="0.3">
      <c r="A2017" t="s">
        <v>52</v>
      </c>
      <c r="B2017" t="s">
        <v>53</v>
      </c>
      <c r="C2017" t="s">
        <v>54</v>
      </c>
      <c r="D2017" t="s">
        <v>55</v>
      </c>
      <c r="E2017" t="s">
        <v>2149</v>
      </c>
      <c r="F2017" t="s">
        <v>190</v>
      </c>
      <c r="G2017" t="s">
        <v>191</v>
      </c>
      <c r="H2017" t="s">
        <v>192</v>
      </c>
      <c r="I2017" t="s">
        <v>192</v>
      </c>
      <c r="J2017" t="s">
        <v>60</v>
      </c>
      <c r="K2017" t="s">
        <v>193</v>
      </c>
      <c r="L2017" t="s">
        <v>62</v>
      </c>
      <c r="M2017" t="s">
        <v>193</v>
      </c>
      <c r="N2017" t="s">
        <v>194</v>
      </c>
      <c r="O2017" t="s">
        <v>195</v>
      </c>
      <c r="P2017">
        <v>-20.143266000000001</v>
      </c>
      <c r="Q2017">
        <v>-44.912075000000002</v>
      </c>
      <c r="R2017" s="2" t="str">
        <f>HYPERLINK("https://www.google.com/maps?q=-20.1432660,-44.9120750","Abrir no Google Maps")</f>
        <v>Abrir no Google Maps</v>
      </c>
      <c r="S2017">
        <v>4</v>
      </c>
      <c r="T2017">
        <v>467.04339396175408</v>
      </c>
      <c r="U2017">
        <v>3</v>
      </c>
      <c r="V2017">
        <v>0.4534668707294377</v>
      </c>
      <c r="W2017">
        <v>1</v>
      </c>
      <c r="X2017">
        <v>0.4534668707294377</v>
      </c>
      <c r="Y2017">
        <v>747</v>
      </c>
      <c r="Z2017">
        <v>585.1742452866996</v>
      </c>
      <c r="AA2017">
        <v>198</v>
      </c>
      <c r="AB2017">
        <v>332</v>
      </c>
      <c r="AC2017">
        <v>536</v>
      </c>
      <c r="AD2017">
        <v>26.61</v>
      </c>
      <c r="AE2017">
        <v>542</v>
      </c>
      <c r="AF2017">
        <v>13</v>
      </c>
      <c r="AG2017">
        <v>180</v>
      </c>
      <c r="AH2017">
        <v>129</v>
      </c>
      <c r="AI2017">
        <v>2.4</v>
      </c>
      <c r="AJ2017">
        <v>33.21</v>
      </c>
      <c r="AK2017">
        <v>23.8</v>
      </c>
      <c r="AL2017">
        <v>-20.143307949999951</v>
      </c>
      <c r="AM2017">
        <v>-44.912066629431067</v>
      </c>
      <c r="AN2017">
        <v>-20.143307949999951</v>
      </c>
      <c r="AO2017">
        <v>-44.912066629431067</v>
      </c>
      <c r="AP2017">
        <v>-20.143266000000001</v>
      </c>
      <c r="AQ2017">
        <v>-44.912075000000002</v>
      </c>
      <c r="AR2017">
        <v>4.751108024498329</v>
      </c>
      <c r="AS2017" t="s">
        <v>65</v>
      </c>
      <c r="AT2017">
        <v>1</v>
      </c>
      <c r="AU2017" t="s">
        <v>196</v>
      </c>
      <c r="AV2017" t="s">
        <v>197</v>
      </c>
      <c r="AW2017" t="s">
        <v>60</v>
      </c>
      <c r="AX2017" t="s">
        <v>68</v>
      </c>
      <c r="AY2017" t="s">
        <v>69</v>
      </c>
      <c r="AZ2017" t="b">
        <v>1</v>
      </c>
    </row>
    <row r="2018" spans="1:52" x14ac:dyDescent="0.3">
      <c r="A2018" t="s">
        <v>52</v>
      </c>
      <c r="B2018" t="s">
        <v>53</v>
      </c>
      <c r="C2018" t="s">
        <v>54</v>
      </c>
      <c r="D2018" t="s">
        <v>55</v>
      </c>
      <c r="E2018" t="s">
        <v>2149</v>
      </c>
      <c r="F2018" t="s">
        <v>190</v>
      </c>
      <c r="G2018" t="s">
        <v>198</v>
      </c>
      <c r="H2018" t="s">
        <v>199</v>
      </c>
      <c r="I2018" t="s">
        <v>199</v>
      </c>
      <c r="J2018" t="s">
        <v>60</v>
      </c>
      <c r="K2018" t="s">
        <v>200</v>
      </c>
      <c r="L2018" t="s">
        <v>62</v>
      </c>
      <c r="M2018" t="s">
        <v>200</v>
      </c>
      <c r="N2018" t="s">
        <v>201</v>
      </c>
      <c r="O2018" t="s">
        <v>202</v>
      </c>
      <c r="P2018">
        <v>-20.122433000000001</v>
      </c>
      <c r="Q2018">
        <v>-44.897013999999999</v>
      </c>
      <c r="R2018" s="2" t="str">
        <f>HYPERLINK("https://www.google.com/maps?q=-20.1224330,-44.8970140","Abrir no Google Maps")</f>
        <v>Abrir no Google Maps</v>
      </c>
      <c r="S2018">
        <v>4</v>
      </c>
      <c r="T2018">
        <v>616.04759279207849</v>
      </c>
      <c r="U2018">
        <v>3</v>
      </c>
      <c r="V2018">
        <v>0.52759130199662851</v>
      </c>
      <c r="W2018">
        <v>0.85</v>
      </c>
      <c r="X2018">
        <v>0.44845260669713422</v>
      </c>
      <c r="Y2018">
        <v>567</v>
      </c>
      <c r="Z2018">
        <v>655.51024138861465</v>
      </c>
      <c r="AA2018">
        <v>198</v>
      </c>
      <c r="AB2018">
        <v>332</v>
      </c>
      <c r="AC2018">
        <v>536</v>
      </c>
      <c r="AD2018">
        <v>26.61</v>
      </c>
      <c r="AE2018">
        <v>542</v>
      </c>
      <c r="AF2018">
        <v>13</v>
      </c>
      <c r="AG2018">
        <v>180</v>
      </c>
      <c r="AH2018">
        <v>129</v>
      </c>
      <c r="AI2018">
        <v>2.4</v>
      </c>
      <c r="AJ2018">
        <v>33.21</v>
      </c>
      <c r="AK2018">
        <v>23.8</v>
      </c>
      <c r="AL2018">
        <v>-20.122144949999949</v>
      </c>
      <c r="AM2018">
        <v>-44.896761973125983</v>
      </c>
      <c r="AN2018">
        <v>-20.122144949999949</v>
      </c>
      <c r="AO2018">
        <v>-44.896761973125983</v>
      </c>
      <c r="AP2018">
        <v>-20.122433000000001</v>
      </c>
      <c r="AQ2018">
        <v>-44.897013999999999</v>
      </c>
      <c r="AR2018">
        <v>41.499066772735389</v>
      </c>
      <c r="AS2018" t="s">
        <v>65</v>
      </c>
      <c r="AT2018">
        <v>1</v>
      </c>
      <c r="AU2018" t="s">
        <v>203</v>
      </c>
      <c r="AV2018" t="s">
        <v>204</v>
      </c>
      <c r="AW2018" t="s">
        <v>60</v>
      </c>
      <c r="AX2018" t="s">
        <v>68</v>
      </c>
      <c r="AY2018" t="s">
        <v>69</v>
      </c>
      <c r="AZ2018" t="b">
        <v>1</v>
      </c>
    </row>
    <row r="2019" spans="1:52" x14ac:dyDescent="0.3">
      <c r="A2019" t="s">
        <v>52</v>
      </c>
      <c r="B2019" t="s">
        <v>53</v>
      </c>
      <c r="C2019" t="s">
        <v>54</v>
      </c>
      <c r="D2019" t="s">
        <v>55</v>
      </c>
      <c r="E2019" t="s">
        <v>2149</v>
      </c>
      <c r="F2019" t="s">
        <v>190</v>
      </c>
      <c r="G2019" t="s">
        <v>205</v>
      </c>
      <c r="H2019" t="s">
        <v>206</v>
      </c>
      <c r="I2019" t="s">
        <v>206</v>
      </c>
      <c r="J2019" t="s">
        <v>60</v>
      </c>
      <c r="K2019" t="s">
        <v>207</v>
      </c>
      <c r="L2019" t="s">
        <v>62</v>
      </c>
      <c r="M2019" t="s">
        <v>207</v>
      </c>
      <c r="N2019" t="s">
        <v>208</v>
      </c>
      <c r="O2019" t="s">
        <v>209</v>
      </c>
      <c r="P2019">
        <v>-20.117533999999999</v>
      </c>
      <c r="Q2019">
        <v>-44.892943000000002</v>
      </c>
      <c r="R2019" s="2" t="str">
        <f>HYPERLINK("https://www.google.com/maps?q=-20.1175340,-44.8929430","Abrir no Google Maps")</f>
        <v>Abrir no Google Maps</v>
      </c>
      <c r="S2019">
        <v>4</v>
      </c>
      <c r="T2019">
        <v>601.98486688021592</v>
      </c>
      <c r="U2019">
        <v>3</v>
      </c>
      <c r="V2019">
        <v>0.5356697235284622</v>
      </c>
      <c r="W2019">
        <v>0.85</v>
      </c>
      <c r="X2019">
        <v>0.45531926499919279</v>
      </c>
      <c r="Y2019">
        <v>567</v>
      </c>
      <c r="Z2019">
        <v>574.59225706016446</v>
      </c>
      <c r="AA2019">
        <v>198</v>
      </c>
      <c r="AB2019">
        <v>332</v>
      </c>
      <c r="AC2019">
        <v>536</v>
      </c>
      <c r="AD2019">
        <v>26.61</v>
      </c>
      <c r="AE2019">
        <v>542</v>
      </c>
      <c r="AF2019">
        <v>13</v>
      </c>
      <c r="AG2019">
        <v>180</v>
      </c>
      <c r="AH2019">
        <v>129</v>
      </c>
      <c r="AI2019">
        <v>2.4</v>
      </c>
      <c r="AJ2019">
        <v>33.21</v>
      </c>
      <c r="AK2019">
        <v>23.8</v>
      </c>
      <c r="AL2019">
        <v>-20.11671494999996</v>
      </c>
      <c r="AM2019">
        <v>-44.89352717833448</v>
      </c>
      <c r="AN2019">
        <v>-20.11671494999996</v>
      </c>
      <c r="AO2019">
        <v>-44.89352717833448</v>
      </c>
      <c r="AP2019">
        <v>-20.117533999999999</v>
      </c>
      <c r="AQ2019">
        <v>-44.892943000000002</v>
      </c>
      <c r="AR2019">
        <v>109.7357164799156</v>
      </c>
      <c r="AS2019" t="s">
        <v>65</v>
      </c>
      <c r="AT2019">
        <v>1</v>
      </c>
      <c r="AU2019" t="s">
        <v>210</v>
      </c>
      <c r="AV2019" t="s">
        <v>211</v>
      </c>
      <c r="AW2019" t="s">
        <v>60</v>
      </c>
      <c r="AX2019" t="s">
        <v>68</v>
      </c>
      <c r="AY2019" t="s">
        <v>69</v>
      </c>
      <c r="AZ2019" t="b">
        <v>1</v>
      </c>
    </row>
    <row r="2020" spans="1:52" x14ac:dyDescent="0.3">
      <c r="A2020" t="s">
        <v>52</v>
      </c>
      <c r="B2020" t="s">
        <v>53</v>
      </c>
      <c r="C2020" t="s">
        <v>54</v>
      </c>
      <c r="D2020" t="s">
        <v>55</v>
      </c>
      <c r="E2020" t="s">
        <v>2149</v>
      </c>
      <c r="F2020" t="s">
        <v>190</v>
      </c>
      <c r="G2020" t="s">
        <v>212</v>
      </c>
      <c r="H2020" t="s">
        <v>213</v>
      </c>
      <c r="I2020" t="s">
        <v>213</v>
      </c>
      <c r="J2020" t="s">
        <v>60</v>
      </c>
      <c r="K2020" t="s">
        <v>214</v>
      </c>
      <c r="L2020" t="s">
        <v>62</v>
      </c>
      <c r="M2020" t="s">
        <v>214</v>
      </c>
      <c r="N2020" t="s">
        <v>215</v>
      </c>
      <c r="O2020" t="s">
        <v>216</v>
      </c>
      <c r="P2020">
        <v>-20.158149000000002</v>
      </c>
      <c r="Q2020">
        <v>-44.872593000000002</v>
      </c>
      <c r="R2020" s="2" t="str">
        <f>HYPERLINK("https://www.google.com/maps?q=-20.1581490,-44.8725930","Abrir no Google Maps")</f>
        <v>Abrir no Google Maps</v>
      </c>
      <c r="S2020">
        <v>4</v>
      </c>
      <c r="T2020">
        <v>0</v>
      </c>
      <c r="U2020">
        <v>3</v>
      </c>
      <c r="V2020">
        <v>0.44154769729863919</v>
      </c>
      <c r="W2020">
        <v>1</v>
      </c>
      <c r="X2020">
        <v>0.44154769729863919</v>
      </c>
      <c r="Y2020">
        <v>531</v>
      </c>
      <c r="Z2020">
        <v>127.8805352974544</v>
      </c>
      <c r="AA2020">
        <v>198</v>
      </c>
      <c r="AB2020">
        <v>332</v>
      </c>
      <c r="AC2020">
        <v>536</v>
      </c>
      <c r="AD2020">
        <v>26.61</v>
      </c>
      <c r="AE2020">
        <v>542</v>
      </c>
      <c r="AF2020">
        <v>13</v>
      </c>
      <c r="AG2020">
        <v>180</v>
      </c>
      <c r="AH2020">
        <v>129</v>
      </c>
      <c r="AI2020">
        <v>2.4</v>
      </c>
      <c r="AJ2020">
        <v>33.21</v>
      </c>
      <c r="AK2020">
        <v>23.8</v>
      </c>
      <c r="AL2020">
        <v>-20.158114249999951</v>
      </c>
      <c r="AM2020">
        <v>-44.872583123264782</v>
      </c>
      <c r="AN2020">
        <v>-20.158114249999951</v>
      </c>
      <c r="AO2020">
        <v>-44.872583123264782</v>
      </c>
      <c r="AP2020">
        <v>-20.158149000000002</v>
      </c>
      <c r="AQ2020">
        <v>-44.872593000000002</v>
      </c>
      <c r="AR2020">
        <v>4.0036956087599238</v>
      </c>
      <c r="AS2020" t="s">
        <v>65</v>
      </c>
      <c r="AT2020">
        <v>1</v>
      </c>
      <c r="AU2020" t="s">
        <v>217</v>
      </c>
      <c r="AV2020" t="s">
        <v>218</v>
      </c>
      <c r="AW2020" t="s">
        <v>60</v>
      </c>
      <c r="AX2020" t="s">
        <v>68</v>
      </c>
      <c r="AY2020" t="s">
        <v>69</v>
      </c>
      <c r="AZ2020" t="b">
        <v>1</v>
      </c>
    </row>
    <row r="2021" spans="1:52" x14ac:dyDescent="0.3">
      <c r="A2021" t="s">
        <v>52</v>
      </c>
      <c r="B2021" t="s">
        <v>53</v>
      </c>
      <c r="C2021" t="s">
        <v>54</v>
      </c>
      <c r="D2021" t="s">
        <v>55</v>
      </c>
      <c r="E2021" t="s">
        <v>2149</v>
      </c>
      <c r="F2021" t="s">
        <v>190</v>
      </c>
      <c r="G2021" t="s">
        <v>219</v>
      </c>
      <c r="H2021" t="s">
        <v>220</v>
      </c>
      <c r="I2021" t="s">
        <v>220</v>
      </c>
      <c r="J2021" t="s">
        <v>60</v>
      </c>
      <c r="K2021" t="s">
        <v>214</v>
      </c>
      <c r="L2021" t="s">
        <v>62</v>
      </c>
      <c r="M2021" t="s">
        <v>214</v>
      </c>
      <c r="N2021" t="s">
        <v>221</v>
      </c>
      <c r="O2021" t="s">
        <v>222</v>
      </c>
      <c r="P2021">
        <v>-20.158049999999999</v>
      </c>
      <c r="Q2021">
        <v>-44.868823999999996</v>
      </c>
      <c r="R2021" s="2" t="str">
        <f>HYPERLINK("https://www.google.com/maps?q=-20.1580500,-44.8688240","Abrir no Google Maps")</f>
        <v>Abrir no Google Maps</v>
      </c>
      <c r="S2021">
        <v>4</v>
      </c>
      <c r="T2021">
        <v>400.85705002223079</v>
      </c>
      <c r="U2021">
        <v>3</v>
      </c>
      <c r="V2021">
        <v>0.4344595311342066</v>
      </c>
      <c r="W2021">
        <v>1</v>
      </c>
      <c r="X2021">
        <v>0.4344595311342066</v>
      </c>
      <c r="Y2021">
        <v>531</v>
      </c>
      <c r="Z2021">
        <v>493.98501624607121</v>
      </c>
      <c r="AA2021">
        <v>198</v>
      </c>
      <c r="AB2021">
        <v>332</v>
      </c>
      <c r="AC2021">
        <v>536</v>
      </c>
      <c r="AD2021">
        <v>26.61</v>
      </c>
      <c r="AE2021">
        <v>542</v>
      </c>
      <c r="AF2021">
        <v>13</v>
      </c>
      <c r="AG2021">
        <v>180</v>
      </c>
      <c r="AH2021">
        <v>129</v>
      </c>
      <c r="AI2021">
        <v>2.4</v>
      </c>
      <c r="AJ2021">
        <v>33.21</v>
      </c>
      <c r="AK2021">
        <v>23.8</v>
      </c>
      <c r="AL2021">
        <v>-20.158020649999969</v>
      </c>
      <c r="AM2021">
        <v>-44.868748475381317</v>
      </c>
      <c r="AN2021">
        <v>-20.158020649999969</v>
      </c>
      <c r="AO2021">
        <v>-44.868748475381331</v>
      </c>
      <c r="AP2021">
        <v>-20.158049999999999</v>
      </c>
      <c r="AQ2021">
        <v>-44.868823999999996</v>
      </c>
      <c r="AR2021">
        <v>8.5419571471718818</v>
      </c>
      <c r="AS2021" t="s">
        <v>65</v>
      </c>
      <c r="AT2021">
        <v>1</v>
      </c>
      <c r="AU2021" t="s">
        <v>223</v>
      </c>
      <c r="AV2021" t="s">
        <v>224</v>
      </c>
      <c r="AW2021" t="s">
        <v>60</v>
      </c>
      <c r="AX2021" t="s">
        <v>68</v>
      </c>
      <c r="AY2021" t="s">
        <v>69</v>
      </c>
      <c r="AZ2021" t="b">
        <v>1</v>
      </c>
    </row>
    <row r="2022" spans="1:52" x14ac:dyDescent="0.3">
      <c r="A2022" t="s">
        <v>52</v>
      </c>
      <c r="B2022" t="s">
        <v>53</v>
      </c>
      <c r="C2022" t="s">
        <v>54</v>
      </c>
      <c r="D2022" t="s">
        <v>55</v>
      </c>
      <c r="E2022" t="s">
        <v>2149</v>
      </c>
      <c r="F2022" t="s">
        <v>190</v>
      </c>
      <c r="G2022" t="s">
        <v>225</v>
      </c>
      <c r="H2022" t="s">
        <v>226</v>
      </c>
      <c r="I2022" t="s">
        <v>226</v>
      </c>
      <c r="J2022" t="s">
        <v>60</v>
      </c>
      <c r="K2022" t="s">
        <v>227</v>
      </c>
      <c r="L2022" t="s">
        <v>62</v>
      </c>
      <c r="M2022" t="s">
        <v>227</v>
      </c>
      <c r="N2022" t="s">
        <v>228</v>
      </c>
      <c r="O2022" t="s">
        <v>229</v>
      </c>
      <c r="P2022">
        <v>-20.156986</v>
      </c>
      <c r="Q2022">
        <v>-44.857474000000003</v>
      </c>
      <c r="R2022" s="2" t="str">
        <f>HYPERLINK("https://www.google.com/maps?q=-20.1569860,-44.8574740","Abrir no Google Maps")</f>
        <v>Abrir no Google Maps</v>
      </c>
      <c r="S2022">
        <v>4</v>
      </c>
      <c r="T2022">
        <v>270.52797591847911</v>
      </c>
      <c r="U2022">
        <v>3</v>
      </c>
      <c r="V2022">
        <v>0.4358084722256082</v>
      </c>
      <c r="W2022">
        <v>1</v>
      </c>
      <c r="X2022">
        <v>0.4358084722256082</v>
      </c>
      <c r="Y2022">
        <v>518</v>
      </c>
      <c r="Z2022">
        <v>441.86584449256071</v>
      </c>
      <c r="AA2022">
        <v>198</v>
      </c>
      <c r="AB2022">
        <v>332</v>
      </c>
      <c r="AC2022">
        <v>536</v>
      </c>
      <c r="AD2022">
        <v>26.61</v>
      </c>
      <c r="AE2022">
        <v>542</v>
      </c>
      <c r="AF2022">
        <v>13</v>
      </c>
      <c r="AG2022">
        <v>180</v>
      </c>
      <c r="AH2022">
        <v>129</v>
      </c>
      <c r="AI2022">
        <v>2.4</v>
      </c>
      <c r="AJ2022">
        <v>33.21</v>
      </c>
      <c r="AK2022">
        <v>23.8</v>
      </c>
      <c r="AL2022">
        <v>-20.156957249999952</v>
      </c>
      <c r="AM2022">
        <v>-44.857396682659299</v>
      </c>
      <c r="AN2022">
        <v>-20.156957249999952</v>
      </c>
      <c r="AO2022">
        <v>-44.857396682659299</v>
      </c>
      <c r="AP2022">
        <v>-20.156986</v>
      </c>
      <c r="AQ2022">
        <v>-44.857474000000003</v>
      </c>
      <c r="AR2022">
        <v>8.6905800579264607</v>
      </c>
      <c r="AS2022" t="s">
        <v>65</v>
      </c>
      <c r="AT2022">
        <v>1</v>
      </c>
      <c r="AU2022" t="s">
        <v>230</v>
      </c>
      <c r="AV2022" t="s">
        <v>231</v>
      </c>
      <c r="AW2022" t="s">
        <v>60</v>
      </c>
      <c r="AX2022" t="s">
        <v>68</v>
      </c>
      <c r="AY2022" t="s">
        <v>69</v>
      </c>
      <c r="AZ2022" t="b">
        <v>1</v>
      </c>
    </row>
    <row r="2023" spans="1:52" x14ac:dyDescent="0.3">
      <c r="A2023" t="s">
        <v>52</v>
      </c>
      <c r="B2023" t="s">
        <v>53</v>
      </c>
      <c r="C2023" t="s">
        <v>54</v>
      </c>
      <c r="D2023" t="s">
        <v>55</v>
      </c>
      <c r="E2023" t="s">
        <v>2149</v>
      </c>
      <c r="F2023" t="s">
        <v>190</v>
      </c>
      <c r="G2023" t="s">
        <v>232</v>
      </c>
      <c r="H2023" t="s">
        <v>233</v>
      </c>
      <c r="I2023" t="s">
        <v>233</v>
      </c>
      <c r="J2023" t="s">
        <v>60</v>
      </c>
      <c r="K2023" t="s">
        <v>227</v>
      </c>
      <c r="L2023" t="s">
        <v>62</v>
      </c>
      <c r="M2023" t="s">
        <v>227</v>
      </c>
      <c r="N2023" t="s">
        <v>234</v>
      </c>
      <c r="O2023" t="s">
        <v>235</v>
      </c>
      <c r="P2023">
        <v>-20.158666</v>
      </c>
      <c r="Q2023">
        <v>-44.861398999999999</v>
      </c>
      <c r="R2023" s="2" t="str">
        <f>HYPERLINK("https://www.google.com/maps?q=-20.1586660,-44.8613990","Abrir no Google Maps")</f>
        <v>Abrir no Google Maps</v>
      </c>
      <c r="S2023">
        <v>4</v>
      </c>
      <c r="T2023">
        <v>330.01505397941582</v>
      </c>
      <c r="U2023">
        <v>3</v>
      </c>
      <c r="V2023">
        <v>0.44394623798530752</v>
      </c>
      <c r="W2023">
        <v>1</v>
      </c>
      <c r="X2023">
        <v>0.44394623798530752</v>
      </c>
      <c r="Y2023">
        <v>518</v>
      </c>
      <c r="Z2023">
        <v>251.8092920281106</v>
      </c>
      <c r="AA2023">
        <v>198</v>
      </c>
      <c r="AB2023">
        <v>332</v>
      </c>
      <c r="AC2023">
        <v>536</v>
      </c>
      <c r="AD2023">
        <v>26.61</v>
      </c>
      <c r="AE2023">
        <v>542</v>
      </c>
      <c r="AF2023">
        <v>13</v>
      </c>
      <c r="AG2023">
        <v>180</v>
      </c>
      <c r="AH2023">
        <v>129</v>
      </c>
      <c r="AI2023">
        <v>2.4</v>
      </c>
      <c r="AJ2023">
        <v>33.21</v>
      </c>
      <c r="AK2023">
        <v>23.8</v>
      </c>
      <c r="AL2023">
        <v>-20.158631449999969</v>
      </c>
      <c r="AM2023">
        <v>-44.861424574758061</v>
      </c>
      <c r="AN2023">
        <v>-20.158631449999969</v>
      </c>
      <c r="AO2023">
        <v>-44.861424574758061</v>
      </c>
      <c r="AP2023">
        <v>-20.158666</v>
      </c>
      <c r="AQ2023">
        <v>-44.861398999999999</v>
      </c>
      <c r="AR2023">
        <v>4.6835056709567411</v>
      </c>
      <c r="AS2023" t="s">
        <v>65</v>
      </c>
      <c r="AT2023">
        <v>1</v>
      </c>
      <c r="AU2023" t="s">
        <v>236</v>
      </c>
      <c r="AV2023" t="s">
        <v>237</v>
      </c>
      <c r="AW2023" t="s">
        <v>60</v>
      </c>
      <c r="AX2023" t="s">
        <v>68</v>
      </c>
      <c r="AY2023" t="s">
        <v>69</v>
      </c>
      <c r="AZ2023" t="b">
        <v>1</v>
      </c>
    </row>
    <row r="2024" spans="1:52" x14ac:dyDescent="0.3">
      <c r="A2024" t="s">
        <v>52</v>
      </c>
      <c r="B2024" t="s">
        <v>53</v>
      </c>
      <c r="C2024" t="s">
        <v>54</v>
      </c>
      <c r="D2024" t="s">
        <v>55</v>
      </c>
      <c r="E2024" t="s">
        <v>2149</v>
      </c>
      <c r="F2024" t="s">
        <v>190</v>
      </c>
      <c r="G2024" t="s">
        <v>238</v>
      </c>
      <c r="H2024" t="s">
        <v>239</v>
      </c>
      <c r="I2024" t="s">
        <v>239</v>
      </c>
      <c r="J2024" t="s">
        <v>60</v>
      </c>
      <c r="K2024" t="s">
        <v>227</v>
      </c>
      <c r="L2024" t="s">
        <v>62</v>
      </c>
      <c r="M2024" t="s">
        <v>227</v>
      </c>
      <c r="N2024" t="s">
        <v>240</v>
      </c>
      <c r="O2024" t="s">
        <v>202</v>
      </c>
      <c r="P2024">
        <v>-20.155833999999999</v>
      </c>
      <c r="Q2024">
        <v>-44.859437999999997</v>
      </c>
      <c r="R2024" s="2" t="str">
        <f>HYPERLINK("https://www.google.com/maps?q=-20.1558340,-44.8594380","Abrir no Google Maps")</f>
        <v>Abrir no Google Maps</v>
      </c>
      <c r="S2024">
        <v>4</v>
      </c>
      <c r="T2024">
        <v>381.00646482339403</v>
      </c>
      <c r="U2024">
        <v>3</v>
      </c>
      <c r="V2024">
        <v>0.4458638794842858</v>
      </c>
      <c r="W2024">
        <v>1</v>
      </c>
      <c r="X2024">
        <v>0.4458638794842858</v>
      </c>
      <c r="Y2024">
        <v>518</v>
      </c>
      <c r="Z2024">
        <v>484.9275363207239</v>
      </c>
      <c r="AA2024">
        <v>198</v>
      </c>
      <c r="AB2024">
        <v>332</v>
      </c>
      <c r="AC2024">
        <v>536</v>
      </c>
      <c r="AD2024">
        <v>26.61</v>
      </c>
      <c r="AE2024">
        <v>542</v>
      </c>
      <c r="AF2024">
        <v>13</v>
      </c>
      <c r="AG2024">
        <v>180</v>
      </c>
      <c r="AH2024">
        <v>129</v>
      </c>
      <c r="AI2024">
        <v>2.4</v>
      </c>
      <c r="AJ2024">
        <v>33.21</v>
      </c>
      <c r="AK2024">
        <v>23.8</v>
      </c>
      <c r="AL2024">
        <v>-20.155935399999979</v>
      </c>
      <c r="AM2024">
        <v>-44.859367525422847</v>
      </c>
      <c r="AN2024">
        <v>-20.155935399999979</v>
      </c>
      <c r="AO2024">
        <v>-44.859367525422847</v>
      </c>
      <c r="AP2024">
        <v>-20.155833999999999</v>
      </c>
      <c r="AQ2024">
        <v>-44.859437999999997</v>
      </c>
      <c r="AR2024">
        <v>13.477960508152201</v>
      </c>
      <c r="AS2024" t="s">
        <v>65</v>
      </c>
      <c r="AT2024">
        <v>1</v>
      </c>
      <c r="AU2024" t="s">
        <v>241</v>
      </c>
      <c r="AV2024" t="s">
        <v>242</v>
      </c>
      <c r="AW2024" t="s">
        <v>60</v>
      </c>
      <c r="AX2024" t="s">
        <v>68</v>
      </c>
      <c r="AY2024" t="s">
        <v>69</v>
      </c>
      <c r="AZ2024" t="b">
        <v>1</v>
      </c>
    </row>
    <row r="2025" spans="1:52" x14ac:dyDescent="0.3">
      <c r="A2025" t="s">
        <v>52</v>
      </c>
      <c r="B2025" t="s">
        <v>53</v>
      </c>
      <c r="C2025" t="s">
        <v>54</v>
      </c>
      <c r="D2025" t="s">
        <v>55</v>
      </c>
      <c r="E2025" t="s">
        <v>2149</v>
      </c>
      <c r="F2025" t="s">
        <v>190</v>
      </c>
      <c r="G2025" t="s">
        <v>243</v>
      </c>
      <c r="H2025" t="s">
        <v>244</v>
      </c>
      <c r="I2025" t="s">
        <v>244</v>
      </c>
      <c r="J2025" t="s">
        <v>60</v>
      </c>
      <c r="K2025" t="s">
        <v>214</v>
      </c>
      <c r="L2025" t="s">
        <v>62</v>
      </c>
      <c r="M2025" t="s">
        <v>214</v>
      </c>
      <c r="N2025" t="s">
        <v>245</v>
      </c>
      <c r="O2025" t="s">
        <v>246</v>
      </c>
      <c r="P2025">
        <v>-20.156296999999999</v>
      </c>
      <c r="Q2025">
        <v>-44.873035999999999</v>
      </c>
      <c r="R2025" s="2" t="str">
        <f>HYPERLINK("https://www.google.com/maps?q=-20.1562970,-44.8730360","Abrir no Google Maps")</f>
        <v>Abrir no Google Maps</v>
      </c>
      <c r="S2025">
        <v>4</v>
      </c>
      <c r="T2025">
        <v>198.04479306725889</v>
      </c>
      <c r="U2025">
        <v>3</v>
      </c>
      <c r="V2025">
        <v>0.44511744739402781</v>
      </c>
      <c r="W2025">
        <v>1</v>
      </c>
      <c r="X2025">
        <v>0.44511744739402781</v>
      </c>
      <c r="Y2025">
        <v>305</v>
      </c>
      <c r="Z2025">
        <v>267.7765515134916</v>
      </c>
      <c r="AA2025">
        <v>198</v>
      </c>
      <c r="AB2025">
        <v>332</v>
      </c>
      <c r="AC2025">
        <v>536</v>
      </c>
      <c r="AD2025">
        <v>26.61</v>
      </c>
      <c r="AE2025">
        <v>542</v>
      </c>
      <c r="AF2025">
        <v>13</v>
      </c>
      <c r="AG2025">
        <v>180</v>
      </c>
      <c r="AH2025">
        <v>129</v>
      </c>
      <c r="AI2025">
        <v>2.4</v>
      </c>
      <c r="AJ2025">
        <v>33.21</v>
      </c>
      <c r="AK2025">
        <v>23.8</v>
      </c>
      <c r="AL2025">
        <v>-20.156361349999941</v>
      </c>
      <c r="AM2025">
        <v>-44.87296512500793</v>
      </c>
      <c r="AN2025">
        <v>-20.156361349999941</v>
      </c>
      <c r="AO2025">
        <v>-44.87296512500793</v>
      </c>
      <c r="AP2025">
        <v>-20.156296999999999</v>
      </c>
      <c r="AQ2025">
        <v>-44.873035999999999</v>
      </c>
      <c r="AR2025">
        <v>10.304009356726979</v>
      </c>
      <c r="AS2025" t="s">
        <v>65</v>
      </c>
      <c r="AT2025">
        <v>1</v>
      </c>
      <c r="AU2025" t="s">
        <v>247</v>
      </c>
      <c r="AV2025" t="s">
        <v>248</v>
      </c>
      <c r="AW2025" t="s">
        <v>60</v>
      </c>
      <c r="AX2025" t="s">
        <v>68</v>
      </c>
      <c r="AY2025" t="s">
        <v>69</v>
      </c>
      <c r="AZ2025" t="b">
        <v>1</v>
      </c>
    </row>
    <row r="2026" spans="1:52" x14ac:dyDescent="0.3">
      <c r="A2026" t="s">
        <v>52</v>
      </c>
      <c r="B2026" t="s">
        <v>53</v>
      </c>
      <c r="C2026" t="s">
        <v>54</v>
      </c>
      <c r="D2026" t="s">
        <v>55</v>
      </c>
      <c r="E2026" t="s">
        <v>2149</v>
      </c>
      <c r="F2026" t="s">
        <v>190</v>
      </c>
      <c r="G2026" t="s">
        <v>212</v>
      </c>
      <c r="H2026" t="s">
        <v>249</v>
      </c>
      <c r="I2026" t="s">
        <v>249</v>
      </c>
      <c r="J2026" t="s">
        <v>60</v>
      </c>
      <c r="K2026" t="s">
        <v>214</v>
      </c>
      <c r="L2026" t="s">
        <v>62</v>
      </c>
      <c r="M2026" t="s">
        <v>214</v>
      </c>
      <c r="N2026" t="s">
        <v>215</v>
      </c>
      <c r="O2026" t="s">
        <v>250</v>
      </c>
      <c r="P2026">
        <v>-20.153901000000001</v>
      </c>
      <c r="Q2026">
        <v>-44.873201000000002</v>
      </c>
      <c r="R2026" s="2" t="str">
        <f>HYPERLINK("https://www.google.com/maps?q=-20.1539010,-44.8732010","Abrir no Google Maps")</f>
        <v>Abrir no Google Maps</v>
      </c>
      <c r="S2026">
        <v>4</v>
      </c>
      <c r="T2026">
        <v>478.23282142593177</v>
      </c>
      <c r="U2026">
        <v>3</v>
      </c>
      <c r="V2026">
        <v>0.43851213961483332</v>
      </c>
      <c r="W2026">
        <v>1</v>
      </c>
      <c r="X2026">
        <v>0.43851213961483332</v>
      </c>
      <c r="Y2026">
        <v>305</v>
      </c>
      <c r="Z2026">
        <v>392.82025973713081</v>
      </c>
      <c r="AA2026">
        <v>198</v>
      </c>
      <c r="AB2026">
        <v>332</v>
      </c>
      <c r="AC2026">
        <v>536</v>
      </c>
      <c r="AD2026">
        <v>26.61</v>
      </c>
      <c r="AE2026">
        <v>542</v>
      </c>
      <c r="AF2026">
        <v>13</v>
      </c>
      <c r="AG2026">
        <v>180</v>
      </c>
      <c r="AH2026">
        <v>129</v>
      </c>
      <c r="AI2026">
        <v>2.4</v>
      </c>
      <c r="AJ2026">
        <v>33.21</v>
      </c>
      <c r="AK2026">
        <v>23.8</v>
      </c>
      <c r="AL2026">
        <v>-20.153814849999971</v>
      </c>
      <c r="AM2026">
        <v>-44.87304592111829</v>
      </c>
      <c r="AN2026">
        <v>-20.153814849999971</v>
      </c>
      <c r="AO2026">
        <v>-44.87304592111829</v>
      </c>
      <c r="AP2026">
        <v>-20.153901000000001</v>
      </c>
      <c r="AQ2026">
        <v>-44.873201000000002</v>
      </c>
      <c r="AR2026">
        <v>18.831316146831309</v>
      </c>
      <c r="AS2026" t="s">
        <v>65</v>
      </c>
      <c r="AT2026">
        <v>1</v>
      </c>
      <c r="AU2026" t="s">
        <v>251</v>
      </c>
      <c r="AV2026" t="s">
        <v>252</v>
      </c>
      <c r="AW2026" t="s">
        <v>60</v>
      </c>
      <c r="AX2026" t="s">
        <v>68</v>
      </c>
      <c r="AY2026" t="s">
        <v>69</v>
      </c>
      <c r="AZ2026" t="b">
        <v>1</v>
      </c>
    </row>
    <row r="2027" spans="1:52" x14ac:dyDescent="0.3">
      <c r="A2027" t="s">
        <v>52</v>
      </c>
      <c r="B2027" t="s">
        <v>53</v>
      </c>
      <c r="C2027" t="s">
        <v>54</v>
      </c>
      <c r="D2027" t="s">
        <v>55</v>
      </c>
      <c r="E2027" t="s">
        <v>2149</v>
      </c>
      <c r="F2027" t="s">
        <v>190</v>
      </c>
      <c r="G2027" t="s">
        <v>253</v>
      </c>
      <c r="H2027" t="s">
        <v>254</v>
      </c>
      <c r="I2027" t="s">
        <v>254</v>
      </c>
      <c r="J2027" t="s">
        <v>60</v>
      </c>
      <c r="K2027" t="s">
        <v>255</v>
      </c>
      <c r="L2027" t="s">
        <v>62</v>
      </c>
      <c r="M2027" t="s">
        <v>255</v>
      </c>
      <c r="N2027" t="s">
        <v>256</v>
      </c>
      <c r="O2027" t="s">
        <v>257</v>
      </c>
      <c r="P2027">
        <v>-20.159638000000001</v>
      </c>
      <c r="Q2027">
        <v>-44.849030999999997</v>
      </c>
      <c r="R2027" s="2" t="str">
        <f>HYPERLINK("https://www.google.com/maps?q=-20.1596380,-44.8490310","Abrir no Google Maps")</f>
        <v>Abrir no Google Maps</v>
      </c>
      <c r="S2027">
        <v>4</v>
      </c>
      <c r="T2027">
        <v>691.81173220845892</v>
      </c>
      <c r="U2027">
        <v>3</v>
      </c>
      <c r="V2027">
        <v>0.42598905352149391</v>
      </c>
      <c r="W2027">
        <v>1</v>
      </c>
      <c r="X2027">
        <v>0.42598905352149391</v>
      </c>
      <c r="Y2027">
        <v>292</v>
      </c>
      <c r="Z2027">
        <v>678.56824923431736</v>
      </c>
      <c r="AA2027">
        <v>198</v>
      </c>
      <c r="AB2027">
        <v>332</v>
      </c>
      <c r="AC2027">
        <v>536</v>
      </c>
      <c r="AD2027">
        <v>26.61</v>
      </c>
      <c r="AE2027">
        <v>542</v>
      </c>
      <c r="AF2027">
        <v>13</v>
      </c>
      <c r="AG2027">
        <v>180</v>
      </c>
      <c r="AH2027">
        <v>129</v>
      </c>
      <c r="AI2027">
        <v>2.4</v>
      </c>
      <c r="AJ2027">
        <v>33.21</v>
      </c>
      <c r="AK2027">
        <v>23.8</v>
      </c>
      <c r="AL2027">
        <v>-20.159590049999959</v>
      </c>
      <c r="AM2027">
        <v>-44.849181856774607</v>
      </c>
      <c r="AN2027">
        <v>-20.159590049999959</v>
      </c>
      <c r="AO2027">
        <v>-44.849181856774607</v>
      </c>
      <c r="AP2027">
        <v>-20.159638000000001</v>
      </c>
      <c r="AQ2027">
        <v>-44.849030999999997</v>
      </c>
      <c r="AR2027">
        <v>16.643712040087191</v>
      </c>
      <c r="AS2027" t="s">
        <v>65</v>
      </c>
      <c r="AT2027">
        <v>1</v>
      </c>
      <c r="AU2027" t="s">
        <v>258</v>
      </c>
      <c r="AV2027" t="s">
        <v>259</v>
      </c>
      <c r="AW2027" t="s">
        <v>60</v>
      </c>
      <c r="AX2027" t="s">
        <v>68</v>
      </c>
      <c r="AY2027" t="s">
        <v>69</v>
      </c>
      <c r="AZ2027" t="b">
        <v>1</v>
      </c>
    </row>
    <row r="2028" spans="1:52" x14ac:dyDescent="0.3">
      <c r="A2028" t="s">
        <v>52</v>
      </c>
      <c r="B2028" t="s">
        <v>53</v>
      </c>
      <c r="C2028" t="s">
        <v>54</v>
      </c>
      <c r="D2028" t="s">
        <v>55</v>
      </c>
      <c r="E2028" t="s">
        <v>2149</v>
      </c>
      <c r="F2028" t="s">
        <v>190</v>
      </c>
      <c r="G2028" t="s">
        <v>260</v>
      </c>
      <c r="H2028" t="s">
        <v>261</v>
      </c>
      <c r="I2028" t="s">
        <v>261</v>
      </c>
      <c r="J2028" t="s">
        <v>60</v>
      </c>
      <c r="K2028" t="s">
        <v>262</v>
      </c>
      <c r="L2028" t="s">
        <v>62</v>
      </c>
      <c r="M2028" t="s">
        <v>262</v>
      </c>
      <c r="N2028" t="s">
        <v>263</v>
      </c>
      <c r="O2028" t="s">
        <v>264</v>
      </c>
      <c r="P2028">
        <v>-20.162230000000001</v>
      </c>
      <c r="Q2028">
        <v>-44.850189</v>
      </c>
      <c r="R2028" s="2" t="str">
        <f>HYPERLINK("https://www.google.com/maps?q=-20.1622300,-44.8501890","Abrir no Google Maps")</f>
        <v>Abrir no Google Maps</v>
      </c>
      <c r="S2028">
        <v>4</v>
      </c>
      <c r="T2028">
        <v>485.03737650296068</v>
      </c>
      <c r="U2028">
        <v>3</v>
      </c>
      <c r="V2028">
        <v>0.41843839946632772</v>
      </c>
      <c r="W2028">
        <v>1</v>
      </c>
      <c r="X2028">
        <v>0.41843839946632772</v>
      </c>
      <c r="Y2028">
        <v>292</v>
      </c>
      <c r="Z2028">
        <v>461.03925198673232</v>
      </c>
      <c r="AA2028">
        <v>198</v>
      </c>
      <c r="AB2028">
        <v>332</v>
      </c>
      <c r="AC2028">
        <v>536</v>
      </c>
      <c r="AD2028">
        <v>26.61</v>
      </c>
      <c r="AE2028">
        <v>542</v>
      </c>
      <c r="AF2028">
        <v>13</v>
      </c>
      <c r="AG2028">
        <v>180</v>
      </c>
      <c r="AH2028">
        <v>129</v>
      </c>
      <c r="AI2028">
        <v>2.4</v>
      </c>
      <c r="AJ2028">
        <v>33.21</v>
      </c>
      <c r="AK2028">
        <v>23.8</v>
      </c>
      <c r="AL2028">
        <v>-20.162067849999971</v>
      </c>
      <c r="AM2028">
        <v>-44.850230909322903</v>
      </c>
      <c r="AN2028">
        <v>-20.162067849999971</v>
      </c>
      <c r="AO2028">
        <v>-44.850230909322903</v>
      </c>
      <c r="AP2028">
        <v>-20.162230000000001</v>
      </c>
      <c r="AQ2028">
        <v>-44.850189</v>
      </c>
      <c r="AR2028">
        <v>18.574218491036259</v>
      </c>
      <c r="AS2028" t="s">
        <v>65</v>
      </c>
      <c r="AT2028">
        <v>1</v>
      </c>
      <c r="AU2028" t="s">
        <v>265</v>
      </c>
      <c r="AV2028" t="s">
        <v>266</v>
      </c>
      <c r="AW2028" t="s">
        <v>60</v>
      </c>
      <c r="AX2028" t="s">
        <v>68</v>
      </c>
      <c r="AY2028" t="s">
        <v>69</v>
      </c>
      <c r="AZ2028" t="b">
        <v>1</v>
      </c>
    </row>
    <row r="2029" spans="1:52" x14ac:dyDescent="0.3">
      <c r="A2029" t="s">
        <v>52</v>
      </c>
      <c r="B2029" t="s">
        <v>53</v>
      </c>
      <c r="C2029" t="s">
        <v>54</v>
      </c>
      <c r="D2029" t="s">
        <v>55</v>
      </c>
      <c r="E2029" t="s">
        <v>2149</v>
      </c>
      <c r="F2029" t="s">
        <v>190</v>
      </c>
      <c r="G2029" t="s">
        <v>267</v>
      </c>
      <c r="H2029" t="s">
        <v>268</v>
      </c>
      <c r="I2029" t="s">
        <v>268</v>
      </c>
      <c r="J2029" t="s">
        <v>60</v>
      </c>
      <c r="K2029" t="s">
        <v>150</v>
      </c>
      <c r="L2029" t="s">
        <v>62</v>
      </c>
      <c r="M2029" t="s">
        <v>150</v>
      </c>
      <c r="N2029" t="s">
        <v>269</v>
      </c>
      <c r="O2029" t="s">
        <v>270</v>
      </c>
      <c r="P2029">
        <v>-20.172367999999999</v>
      </c>
      <c r="Q2029">
        <v>-44.848661</v>
      </c>
      <c r="R2029" s="2" t="str">
        <f>HYPERLINK("https://www.google.com/maps?q=-20.1723680,-44.8486610","Abrir no Google Maps")</f>
        <v>Abrir no Google Maps</v>
      </c>
      <c r="S2029">
        <v>4</v>
      </c>
      <c r="T2029">
        <v>759.75892180950234</v>
      </c>
      <c r="U2029">
        <v>3</v>
      </c>
      <c r="V2029">
        <v>0.41826007798331011</v>
      </c>
      <c r="W2029">
        <v>1</v>
      </c>
      <c r="X2029">
        <v>0.41826007798331011</v>
      </c>
      <c r="Y2029">
        <v>292</v>
      </c>
      <c r="Z2029">
        <v>735.80511761487242</v>
      </c>
      <c r="AA2029">
        <v>198</v>
      </c>
      <c r="AB2029">
        <v>332</v>
      </c>
      <c r="AC2029">
        <v>536</v>
      </c>
      <c r="AD2029">
        <v>26.61</v>
      </c>
      <c r="AE2029">
        <v>542</v>
      </c>
      <c r="AF2029">
        <v>13</v>
      </c>
      <c r="AG2029">
        <v>180</v>
      </c>
      <c r="AH2029">
        <v>129</v>
      </c>
      <c r="AI2029">
        <v>2.4</v>
      </c>
      <c r="AJ2029">
        <v>33.21</v>
      </c>
      <c r="AK2029">
        <v>23.8</v>
      </c>
      <c r="AL2029">
        <v>-20.172435999999951</v>
      </c>
      <c r="AM2029">
        <v>-44.84866233556005</v>
      </c>
      <c r="AN2029">
        <v>-20.172435999999951</v>
      </c>
      <c r="AO2029">
        <v>-44.84866233556005</v>
      </c>
      <c r="AP2029">
        <v>-20.172367999999999</v>
      </c>
      <c r="AQ2029">
        <v>-44.848661</v>
      </c>
      <c r="AR2029">
        <v>7.5710462874877198</v>
      </c>
      <c r="AS2029" t="s">
        <v>65</v>
      </c>
      <c r="AT2029">
        <v>1</v>
      </c>
      <c r="AU2029" t="s">
        <v>271</v>
      </c>
      <c r="AV2029" t="s">
        <v>272</v>
      </c>
      <c r="AW2029" t="s">
        <v>60</v>
      </c>
      <c r="AX2029" t="s">
        <v>68</v>
      </c>
      <c r="AY2029" t="s">
        <v>69</v>
      </c>
      <c r="AZ2029" t="b">
        <v>1</v>
      </c>
    </row>
    <row r="2030" spans="1:52" x14ac:dyDescent="0.3">
      <c r="A2030" t="s">
        <v>52</v>
      </c>
      <c r="B2030" t="s">
        <v>53</v>
      </c>
      <c r="C2030" t="s">
        <v>54</v>
      </c>
      <c r="D2030" t="s">
        <v>55</v>
      </c>
      <c r="E2030" t="s">
        <v>2149</v>
      </c>
      <c r="F2030" t="s">
        <v>190</v>
      </c>
      <c r="G2030" t="s">
        <v>134</v>
      </c>
      <c r="H2030" t="s">
        <v>135</v>
      </c>
      <c r="I2030" t="s">
        <v>135</v>
      </c>
      <c r="J2030" t="s">
        <v>60</v>
      </c>
      <c r="K2030" t="s">
        <v>136</v>
      </c>
      <c r="L2030" t="s">
        <v>62</v>
      </c>
      <c r="M2030" t="s">
        <v>136</v>
      </c>
      <c r="N2030" t="s">
        <v>137</v>
      </c>
      <c r="O2030" t="s">
        <v>138</v>
      </c>
      <c r="P2030">
        <v>-20.165773000000002</v>
      </c>
      <c r="Q2030">
        <v>-44.847566999999998</v>
      </c>
      <c r="R2030" s="2" t="str">
        <f>HYPERLINK("https://www.google.com/maps?q=-20.1657730,-44.8475670","Abrir no Google Maps")</f>
        <v>Abrir no Google Maps</v>
      </c>
      <c r="S2030">
        <v>4</v>
      </c>
      <c r="T2030">
        <v>0</v>
      </c>
      <c r="U2030">
        <v>3</v>
      </c>
      <c r="V2030">
        <v>0.44756500112228859</v>
      </c>
      <c r="W2030">
        <v>1</v>
      </c>
      <c r="X2030">
        <v>0.44756500112228859</v>
      </c>
      <c r="Y2030">
        <v>292</v>
      </c>
      <c r="Z2030">
        <v>98.987346341524855</v>
      </c>
      <c r="AA2030">
        <v>198</v>
      </c>
      <c r="AB2030">
        <v>332</v>
      </c>
      <c r="AC2030">
        <v>536</v>
      </c>
      <c r="AD2030">
        <v>26.61</v>
      </c>
      <c r="AE2030">
        <v>542</v>
      </c>
      <c r="AF2030">
        <v>13</v>
      </c>
      <c r="AG2030">
        <v>180</v>
      </c>
      <c r="AH2030">
        <v>129</v>
      </c>
      <c r="AI2030">
        <v>2.4</v>
      </c>
      <c r="AJ2030">
        <v>33.21</v>
      </c>
      <c r="AK2030">
        <v>23.8</v>
      </c>
      <c r="AL2030">
        <v>-20.16565029999995</v>
      </c>
      <c r="AM2030">
        <v>-44.847556627666897</v>
      </c>
      <c r="AN2030">
        <v>-20.16565029999995</v>
      </c>
      <c r="AO2030">
        <v>-44.847556627666897</v>
      </c>
      <c r="AP2030">
        <v>-20.165773000000002</v>
      </c>
      <c r="AQ2030">
        <v>-44.847566999999998</v>
      </c>
      <c r="AR2030">
        <v>13.701900146251189</v>
      </c>
      <c r="AS2030" t="s">
        <v>65</v>
      </c>
      <c r="AT2030">
        <v>1</v>
      </c>
      <c r="AU2030" t="s">
        <v>139</v>
      </c>
      <c r="AV2030" t="s">
        <v>140</v>
      </c>
      <c r="AW2030" t="s">
        <v>60</v>
      </c>
      <c r="AX2030" t="s">
        <v>68</v>
      </c>
      <c r="AY2030" t="s">
        <v>69</v>
      </c>
      <c r="AZ2030" t="b">
        <v>1</v>
      </c>
    </row>
    <row r="2031" spans="1:52" x14ac:dyDescent="0.3">
      <c r="A2031" t="s">
        <v>52</v>
      </c>
      <c r="B2031" t="s">
        <v>53</v>
      </c>
      <c r="C2031" t="s">
        <v>54</v>
      </c>
      <c r="D2031" t="s">
        <v>55</v>
      </c>
      <c r="E2031" t="s">
        <v>2149</v>
      </c>
      <c r="F2031" t="s">
        <v>190</v>
      </c>
      <c r="G2031" t="s">
        <v>253</v>
      </c>
      <c r="H2031" t="s">
        <v>286</v>
      </c>
      <c r="I2031" t="s">
        <v>286</v>
      </c>
      <c r="J2031" t="s">
        <v>60</v>
      </c>
      <c r="K2031" t="s">
        <v>136</v>
      </c>
      <c r="L2031" t="s">
        <v>62</v>
      </c>
      <c r="M2031" t="s">
        <v>136</v>
      </c>
      <c r="N2031" t="s">
        <v>256</v>
      </c>
      <c r="O2031" t="s">
        <v>287</v>
      </c>
      <c r="P2031">
        <v>-20.165067000000001</v>
      </c>
      <c r="Q2031">
        <v>-44.851146999999997</v>
      </c>
      <c r="R2031" s="2" t="str">
        <f>HYPERLINK("https://www.google.com/maps?q=-20.1650670,-44.8511470","Abrir no Google Maps")</f>
        <v>Abrir no Google Maps</v>
      </c>
      <c r="S2031">
        <v>4</v>
      </c>
      <c r="T2031">
        <v>374.14945573570043</v>
      </c>
      <c r="U2031">
        <v>3</v>
      </c>
      <c r="V2031">
        <v>0.4177809155665726</v>
      </c>
      <c r="W2031">
        <v>1</v>
      </c>
      <c r="X2031">
        <v>0.4177809155665726</v>
      </c>
      <c r="Y2031">
        <v>292</v>
      </c>
      <c r="Z2031">
        <v>295.9878686859272</v>
      </c>
      <c r="AA2031">
        <v>198</v>
      </c>
      <c r="AB2031">
        <v>332</v>
      </c>
      <c r="AC2031">
        <v>536</v>
      </c>
      <c r="AD2031">
        <v>26.61</v>
      </c>
      <c r="AE2031">
        <v>542</v>
      </c>
      <c r="AF2031">
        <v>13</v>
      </c>
      <c r="AG2031">
        <v>180</v>
      </c>
      <c r="AH2031">
        <v>129</v>
      </c>
      <c r="AI2031">
        <v>2.4</v>
      </c>
      <c r="AJ2031">
        <v>33.21</v>
      </c>
      <c r="AK2031">
        <v>23.8</v>
      </c>
      <c r="AL2031">
        <v>-20.164961799999961</v>
      </c>
      <c r="AM2031">
        <v>-44.851062119796737</v>
      </c>
      <c r="AN2031">
        <v>-20.164961799999961</v>
      </c>
      <c r="AO2031">
        <v>-44.851062119796737</v>
      </c>
      <c r="AP2031">
        <v>-20.165067000000001</v>
      </c>
      <c r="AQ2031">
        <v>-44.851146999999997</v>
      </c>
      <c r="AR2031">
        <v>14.690666366415</v>
      </c>
      <c r="AS2031" t="s">
        <v>65</v>
      </c>
      <c r="AT2031">
        <v>1</v>
      </c>
      <c r="AU2031" t="s">
        <v>288</v>
      </c>
      <c r="AV2031" t="s">
        <v>289</v>
      </c>
      <c r="AW2031" t="s">
        <v>60</v>
      </c>
      <c r="AX2031" t="s">
        <v>68</v>
      </c>
      <c r="AY2031" t="s">
        <v>69</v>
      </c>
      <c r="AZ2031" t="b">
        <v>1</v>
      </c>
    </row>
    <row r="2032" spans="1:52" x14ac:dyDescent="0.3">
      <c r="A2032" t="s">
        <v>52</v>
      </c>
      <c r="B2032" t="s">
        <v>53</v>
      </c>
      <c r="C2032" t="s">
        <v>54</v>
      </c>
      <c r="D2032" t="s">
        <v>55</v>
      </c>
      <c r="E2032" t="s">
        <v>2149</v>
      </c>
      <c r="F2032" t="s">
        <v>190</v>
      </c>
      <c r="G2032" t="s">
        <v>141</v>
      </c>
      <c r="H2032" t="s">
        <v>142</v>
      </c>
      <c r="I2032" t="s">
        <v>142</v>
      </c>
      <c r="J2032" t="s">
        <v>60</v>
      </c>
      <c r="K2032" t="s">
        <v>143</v>
      </c>
      <c r="L2032" t="s">
        <v>62</v>
      </c>
      <c r="M2032" t="s">
        <v>143</v>
      </c>
      <c r="N2032" t="s">
        <v>144</v>
      </c>
      <c r="O2032" t="s">
        <v>145</v>
      </c>
      <c r="P2032">
        <v>-20.163377000000001</v>
      </c>
      <c r="Q2032">
        <v>-44.843598</v>
      </c>
      <c r="R2032" s="2" t="str">
        <f>HYPERLINK("https://www.google.com/maps?q=-20.1633770,-44.8435980","Abrir no Google Maps")</f>
        <v>Abrir no Google Maps</v>
      </c>
      <c r="S2032">
        <v>4</v>
      </c>
      <c r="T2032">
        <v>481.58374128635978</v>
      </c>
      <c r="U2032">
        <v>3</v>
      </c>
      <c r="V2032">
        <v>0.44251941778764903</v>
      </c>
      <c r="W2032">
        <v>1</v>
      </c>
      <c r="X2032">
        <v>0.44251941778764903</v>
      </c>
      <c r="Y2032">
        <v>292</v>
      </c>
      <c r="Z2032">
        <v>575.44522663909652</v>
      </c>
      <c r="AA2032">
        <v>198</v>
      </c>
      <c r="AB2032">
        <v>332</v>
      </c>
      <c r="AC2032">
        <v>536</v>
      </c>
      <c r="AD2032">
        <v>26.61</v>
      </c>
      <c r="AE2032">
        <v>542</v>
      </c>
      <c r="AF2032">
        <v>13</v>
      </c>
      <c r="AG2032">
        <v>180</v>
      </c>
      <c r="AH2032">
        <v>129</v>
      </c>
      <c r="AI2032">
        <v>2.4</v>
      </c>
      <c r="AJ2032">
        <v>33.21</v>
      </c>
      <c r="AK2032">
        <v>23.8</v>
      </c>
      <c r="AL2032">
        <v>-20.16343344999996</v>
      </c>
      <c r="AM2032">
        <v>-44.843590796247732</v>
      </c>
      <c r="AN2032">
        <v>-20.16343344999996</v>
      </c>
      <c r="AO2032">
        <v>-44.843590796247732</v>
      </c>
      <c r="AP2032">
        <v>-20.163377000000001</v>
      </c>
      <c r="AQ2032">
        <v>-44.843598</v>
      </c>
      <c r="AR2032">
        <v>6.3289415646640057</v>
      </c>
      <c r="AS2032" t="s">
        <v>65</v>
      </c>
      <c r="AT2032">
        <v>1</v>
      </c>
      <c r="AU2032" t="s">
        <v>146</v>
      </c>
      <c r="AV2032" t="s">
        <v>147</v>
      </c>
      <c r="AW2032" t="s">
        <v>60</v>
      </c>
      <c r="AX2032" t="s">
        <v>68</v>
      </c>
      <c r="AY2032" t="s">
        <v>69</v>
      </c>
      <c r="AZ2032" t="b">
        <v>1</v>
      </c>
    </row>
    <row r="2033" spans="1:52" x14ac:dyDescent="0.3">
      <c r="A2033" t="s">
        <v>52</v>
      </c>
      <c r="B2033" t="s">
        <v>53</v>
      </c>
      <c r="C2033" t="s">
        <v>54</v>
      </c>
      <c r="D2033" t="s">
        <v>55</v>
      </c>
      <c r="E2033" t="s">
        <v>2149</v>
      </c>
      <c r="F2033" t="s">
        <v>190</v>
      </c>
      <c r="G2033" t="s">
        <v>290</v>
      </c>
      <c r="H2033" t="s">
        <v>291</v>
      </c>
      <c r="I2033" t="s">
        <v>291</v>
      </c>
      <c r="J2033" t="s">
        <v>60</v>
      </c>
      <c r="K2033" t="s">
        <v>143</v>
      </c>
      <c r="L2033" t="s">
        <v>62</v>
      </c>
      <c r="M2033" t="s">
        <v>143</v>
      </c>
      <c r="N2033" t="s">
        <v>292</v>
      </c>
      <c r="O2033" t="s">
        <v>293</v>
      </c>
      <c r="P2033">
        <v>-20.164380999999999</v>
      </c>
      <c r="Q2033">
        <v>-44.841638000000003</v>
      </c>
      <c r="R2033" s="2" t="str">
        <f>HYPERLINK("https://www.google.com/maps?q=-20.1643810,-44.8416380","Abrir no Google Maps")</f>
        <v>Abrir no Google Maps</v>
      </c>
      <c r="S2033">
        <v>4</v>
      </c>
      <c r="T2033">
        <v>653.87342410001406</v>
      </c>
      <c r="U2033">
        <v>3</v>
      </c>
      <c r="V2033">
        <v>0.43667057119607011</v>
      </c>
      <c r="W2033">
        <v>1</v>
      </c>
      <c r="X2033">
        <v>0.43667057119607011</v>
      </c>
      <c r="Y2033">
        <v>292</v>
      </c>
      <c r="Z2033">
        <v>761.66023684754805</v>
      </c>
      <c r="AA2033">
        <v>198</v>
      </c>
      <c r="AB2033">
        <v>332</v>
      </c>
      <c r="AC2033">
        <v>536</v>
      </c>
      <c r="AD2033">
        <v>26.61</v>
      </c>
      <c r="AE2033">
        <v>542</v>
      </c>
      <c r="AF2033">
        <v>13</v>
      </c>
      <c r="AG2033">
        <v>180</v>
      </c>
      <c r="AH2033">
        <v>129</v>
      </c>
      <c r="AI2033">
        <v>2.4</v>
      </c>
      <c r="AJ2033">
        <v>33.21</v>
      </c>
      <c r="AK2033">
        <v>23.8</v>
      </c>
      <c r="AL2033">
        <v>-20.16420624999995</v>
      </c>
      <c r="AM2033">
        <v>-44.841488984995642</v>
      </c>
      <c r="AN2033">
        <v>-20.16420624999995</v>
      </c>
      <c r="AO2033">
        <v>-44.841488984995642</v>
      </c>
      <c r="AP2033">
        <v>-20.164380999999999</v>
      </c>
      <c r="AQ2033">
        <v>-44.841638000000003</v>
      </c>
      <c r="AR2033">
        <v>24.91789254993785</v>
      </c>
      <c r="AS2033" t="s">
        <v>65</v>
      </c>
      <c r="AT2033">
        <v>1</v>
      </c>
      <c r="AU2033" t="s">
        <v>294</v>
      </c>
      <c r="AV2033" t="s">
        <v>295</v>
      </c>
      <c r="AW2033" t="s">
        <v>60</v>
      </c>
      <c r="AX2033" t="s">
        <v>68</v>
      </c>
      <c r="AY2033" t="s">
        <v>69</v>
      </c>
      <c r="AZ2033" t="b">
        <v>1</v>
      </c>
    </row>
    <row r="2034" spans="1:52" x14ac:dyDescent="0.3">
      <c r="A2034" t="s">
        <v>52</v>
      </c>
      <c r="B2034" t="s">
        <v>53</v>
      </c>
      <c r="C2034" t="s">
        <v>54</v>
      </c>
      <c r="D2034" t="s">
        <v>55</v>
      </c>
      <c r="E2034" t="s">
        <v>2149</v>
      </c>
      <c r="F2034" t="s">
        <v>190</v>
      </c>
      <c r="G2034" t="s">
        <v>253</v>
      </c>
      <c r="H2034" t="s">
        <v>296</v>
      </c>
      <c r="I2034" t="s">
        <v>296</v>
      </c>
      <c r="J2034" t="s">
        <v>60</v>
      </c>
      <c r="K2034" t="s">
        <v>136</v>
      </c>
      <c r="L2034" t="s">
        <v>62</v>
      </c>
      <c r="M2034" t="s">
        <v>136</v>
      </c>
      <c r="N2034" t="s">
        <v>256</v>
      </c>
      <c r="O2034" t="s">
        <v>297</v>
      </c>
      <c r="P2034">
        <v>-20.168476999999999</v>
      </c>
      <c r="Q2034">
        <v>-44.852528</v>
      </c>
      <c r="R2034" s="2" t="str">
        <f>HYPERLINK("https://www.google.com/maps?q=-20.1684770,-44.8525280","Abrir no Google Maps")</f>
        <v>Abrir no Google Maps</v>
      </c>
      <c r="S2034">
        <v>4</v>
      </c>
      <c r="T2034">
        <v>587.16898087421623</v>
      </c>
      <c r="U2034">
        <v>3</v>
      </c>
      <c r="V2034">
        <v>0.42025299119903642</v>
      </c>
      <c r="W2034">
        <v>1</v>
      </c>
      <c r="X2034">
        <v>0.42025299119903642</v>
      </c>
      <c r="Y2034">
        <v>292</v>
      </c>
      <c r="Z2034">
        <v>471.75619463337938</v>
      </c>
      <c r="AA2034">
        <v>198</v>
      </c>
      <c r="AB2034">
        <v>332</v>
      </c>
      <c r="AC2034">
        <v>536</v>
      </c>
      <c r="AD2034">
        <v>26.61</v>
      </c>
      <c r="AE2034">
        <v>542</v>
      </c>
      <c r="AF2034">
        <v>13</v>
      </c>
      <c r="AG2034">
        <v>180</v>
      </c>
      <c r="AH2034">
        <v>129</v>
      </c>
      <c r="AI2034">
        <v>2.4</v>
      </c>
      <c r="AJ2034">
        <v>33.21</v>
      </c>
      <c r="AK2034">
        <v>23.8</v>
      </c>
      <c r="AL2034">
        <v>-20.16846514999995</v>
      </c>
      <c r="AM2034">
        <v>-44.852319844682007</v>
      </c>
      <c r="AN2034">
        <v>-20.168465149999939</v>
      </c>
      <c r="AO2034">
        <v>-44.852319844682007</v>
      </c>
      <c r="AP2034">
        <v>-20.168476999999999</v>
      </c>
      <c r="AQ2034">
        <v>-44.852528</v>
      </c>
      <c r="AR2034">
        <v>21.790984536052999</v>
      </c>
      <c r="AS2034" t="s">
        <v>65</v>
      </c>
      <c r="AT2034">
        <v>1</v>
      </c>
      <c r="AU2034" t="s">
        <v>298</v>
      </c>
      <c r="AV2034" t="s">
        <v>299</v>
      </c>
      <c r="AW2034" t="s">
        <v>60</v>
      </c>
      <c r="AX2034" t="s">
        <v>68</v>
      </c>
      <c r="AY2034" t="s">
        <v>69</v>
      </c>
      <c r="AZ2034" t="b">
        <v>1</v>
      </c>
    </row>
    <row r="2035" spans="1:52" x14ac:dyDescent="0.3">
      <c r="A2035" t="s">
        <v>52</v>
      </c>
      <c r="B2035" t="s">
        <v>53</v>
      </c>
      <c r="C2035" t="s">
        <v>54</v>
      </c>
      <c r="D2035" t="s">
        <v>55</v>
      </c>
      <c r="E2035" t="s">
        <v>2149</v>
      </c>
      <c r="F2035" t="s">
        <v>190</v>
      </c>
      <c r="G2035" t="s">
        <v>148</v>
      </c>
      <c r="H2035" t="s">
        <v>149</v>
      </c>
      <c r="I2035" t="s">
        <v>149</v>
      </c>
      <c r="J2035" t="s">
        <v>60</v>
      </c>
      <c r="K2035" t="s">
        <v>150</v>
      </c>
      <c r="L2035" t="s">
        <v>62</v>
      </c>
      <c r="M2035" t="s">
        <v>150</v>
      </c>
      <c r="N2035" t="s">
        <v>151</v>
      </c>
      <c r="O2035" t="s">
        <v>152</v>
      </c>
      <c r="P2035">
        <v>-20.174192999999999</v>
      </c>
      <c r="Q2035">
        <v>-44.850782000000002</v>
      </c>
      <c r="R2035" s="2" t="str">
        <f>HYPERLINK("https://www.google.com/maps?q=-20.1741930,-44.8507820","Abrir no Google Maps")</f>
        <v>Abrir no Google Maps</v>
      </c>
      <c r="S2035">
        <v>4</v>
      </c>
      <c r="T2035">
        <v>994.93657848632188</v>
      </c>
      <c r="U2035">
        <v>3</v>
      </c>
      <c r="V2035">
        <v>0.42185174808720988</v>
      </c>
      <c r="W2035">
        <v>1</v>
      </c>
      <c r="X2035">
        <v>0.42185174808720988</v>
      </c>
      <c r="Y2035">
        <v>292</v>
      </c>
      <c r="Z2035">
        <v>948.95851793804729</v>
      </c>
      <c r="AA2035">
        <v>198</v>
      </c>
      <c r="AB2035">
        <v>332</v>
      </c>
      <c r="AC2035">
        <v>536</v>
      </c>
      <c r="AD2035">
        <v>26.61</v>
      </c>
      <c r="AE2035">
        <v>542</v>
      </c>
      <c r="AF2035">
        <v>13</v>
      </c>
      <c r="AG2035">
        <v>180</v>
      </c>
      <c r="AH2035">
        <v>129</v>
      </c>
      <c r="AI2035">
        <v>2.4</v>
      </c>
      <c r="AJ2035">
        <v>33.21</v>
      </c>
      <c r="AK2035">
        <v>23.8</v>
      </c>
      <c r="AL2035">
        <v>-20.174122099999941</v>
      </c>
      <c r="AM2035">
        <v>-44.850744657037339</v>
      </c>
      <c r="AN2035">
        <v>-20.174122099999941</v>
      </c>
      <c r="AO2035">
        <v>-44.850744657037339</v>
      </c>
      <c r="AP2035">
        <v>-20.174192999999999</v>
      </c>
      <c r="AQ2035">
        <v>-44.850782000000002</v>
      </c>
      <c r="AR2035">
        <v>8.8044534253701947</v>
      </c>
      <c r="AS2035" t="s">
        <v>65</v>
      </c>
      <c r="AT2035">
        <v>1</v>
      </c>
      <c r="AU2035" t="s">
        <v>153</v>
      </c>
      <c r="AV2035" t="s">
        <v>154</v>
      </c>
      <c r="AW2035" t="s">
        <v>60</v>
      </c>
      <c r="AX2035" t="s">
        <v>68</v>
      </c>
      <c r="AY2035" t="s">
        <v>69</v>
      </c>
      <c r="AZ2035" t="b">
        <v>1</v>
      </c>
    </row>
    <row r="2036" spans="1:52" x14ac:dyDescent="0.3">
      <c r="A2036" t="s">
        <v>52</v>
      </c>
      <c r="B2036" t="s">
        <v>53</v>
      </c>
      <c r="C2036" t="s">
        <v>54</v>
      </c>
      <c r="D2036" t="s">
        <v>55</v>
      </c>
      <c r="E2036" t="s">
        <v>2149</v>
      </c>
      <c r="F2036" t="s">
        <v>190</v>
      </c>
      <c r="G2036" t="s">
        <v>300</v>
      </c>
      <c r="H2036" t="s">
        <v>301</v>
      </c>
      <c r="I2036" t="s">
        <v>301</v>
      </c>
      <c r="J2036" t="s">
        <v>60</v>
      </c>
      <c r="K2036" t="s">
        <v>150</v>
      </c>
      <c r="L2036" t="s">
        <v>62</v>
      </c>
      <c r="M2036" t="s">
        <v>150</v>
      </c>
      <c r="N2036" t="s">
        <v>302</v>
      </c>
      <c r="O2036" t="s">
        <v>303</v>
      </c>
      <c r="P2036">
        <v>-20.172993000000002</v>
      </c>
      <c r="Q2036">
        <v>-44.853588999999999</v>
      </c>
      <c r="R2036" s="2" t="str">
        <f>HYPERLINK("https://www.google.com/maps?q=-20.1729930,-44.8535890","Abrir no Google Maps")</f>
        <v>Abrir no Google Maps</v>
      </c>
      <c r="S2036">
        <v>4</v>
      </c>
      <c r="T2036">
        <v>1041.446216907221</v>
      </c>
      <c r="U2036">
        <v>3</v>
      </c>
      <c r="V2036">
        <v>0.43477941522947883</v>
      </c>
      <c r="W2036">
        <v>1</v>
      </c>
      <c r="X2036">
        <v>0.43477941522947883</v>
      </c>
      <c r="Y2036">
        <v>292</v>
      </c>
      <c r="Z2036">
        <v>978.86270909763937</v>
      </c>
      <c r="AA2036">
        <v>198</v>
      </c>
      <c r="AB2036">
        <v>332</v>
      </c>
      <c r="AC2036">
        <v>536</v>
      </c>
      <c r="AD2036">
        <v>26.61</v>
      </c>
      <c r="AE2036">
        <v>542</v>
      </c>
      <c r="AF2036">
        <v>13</v>
      </c>
      <c r="AG2036">
        <v>180</v>
      </c>
      <c r="AH2036">
        <v>129</v>
      </c>
      <c r="AI2036">
        <v>2.4</v>
      </c>
      <c r="AJ2036">
        <v>33.21</v>
      </c>
      <c r="AK2036">
        <v>23.8</v>
      </c>
      <c r="AL2036">
        <v>-20.173142449999968</v>
      </c>
      <c r="AM2036">
        <v>-44.853588035903172</v>
      </c>
      <c r="AN2036">
        <v>-20.173142449999968</v>
      </c>
      <c r="AO2036">
        <v>-44.853588035903172</v>
      </c>
      <c r="AP2036">
        <v>-20.172993000000002</v>
      </c>
      <c r="AQ2036">
        <v>-44.853588999999999</v>
      </c>
      <c r="AR2036">
        <v>16.637078994259841</v>
      </c>
      <c r="AS2036" t="s">
        <v>65</v>
      </c>
      <c r="AT2036">
        <v>1</v>
      </c>
      <c r="AU2036" t="s">
        <v>304</v>
      </c>
      <c r="AV2036" t="s">
        <v>305</v>
      </c>
      <c r="AW2036" t="s">
        <v>60</v>
      </c>
      <c r="AX2036" t="s">
        <v>68</v>
      </c>
      <c r="AY2036" t="s">
        <v>69</v>
      </c>
      <c r="AZ2036" t="b">
        <v>1</v>
      </c>
    </row>
    <row r="2037" spans="1:52" x14ac:dyDescent="0.3">
      <c r="A2037" t="s">
        <v>52</v>
      </c>
      <c r="B2037" t="s">
        <v>53</v>
      </c>
      <c r="C2037" t="s">
        <v>54</v>
      </c>
      <c r="D2037" t="s">
        <v>55</v>
      </c>
      <c r="E2037" t="s">
        <v>2149</v>
      </c>
      <c r="F2037" t="s">
        <v>190</v>
      </c>
      <c r="G2037" t="s">
        <v>306</v>
      </c>
      <c r="H2037" t="s">
        <v>307</v>
      </c>
      <c r="I2037" t="s">
        <v>307</v>
      </c>
      <c r="J2037" t="s">
        <v>60</v>
      </c>
      <c r="K2037" t="s">
        <v>143</v>
      </c>
      <c r="L2037" t="s">
        <v>62</v>
      </c>
      <c r="M2037" t="s">
        <v>143</v>
      </c>
      <c r="N2037" t="s">
        <v>308</v>
      </c>
      <c r="O2037" t="s">
        <v>309</v>
      </c>
      <c r="P2037">
        <v>-20.167071</v>
      </c>
      <c r="Q2037">
        <v>-44.842730000000003</v>
      </c>
      <c r="R2037" s="2" t="str">
        <f>HYPERLINK("https://www.google.com/maps?q=-20.1670710,-44.8427300","Abrir no Google Maps")</f>
        <v>Abrir no Google Maps</v>
      </c>
      <c r="S2037">
        <v>4</v>
      </c>
      <c r="T2037">
        <v>535.14780070571521</v>
      </c>
      <c r="U2037">
        <v>3</v>
      </c>
      <c r="V2037">
        <v>0.41938131133986117</v>
      </c>
      <c r="W2037">
        <v>1</v>
      </c>
      <c r="X2037">
        <v>0.41938131133986117</v>
      </c>
      <c r="Y2037">
        <v>292</v>
      </c>
      <c r="Z2037">
        <v>582.78942050501109</v>
      </c>
      <c r="AA2037">
        <v>198</v>
      </c>
      <c r="AB2037">
        <v>332</v>
      </c>
      <c r="AC2037">
        <v>536</v>
      </c>
      <c r="AD2037">
        <v>26.61</v>
      </c>
      <c r="AE2037">
        <v>542</v>
      </c>
      <c r="AF2037">
        <v>13</v>
      </c>
      <c r="AG2037">
        <v>180</v>
      </c>
      <c r="AH2037">
        <v>129</v>
      </c>
      <c r="AI2037">
        <v>2.4</v>
      </c>
      <c r="AJ2037">
        <v>33.21</v>
      </c>
      <c r="AK2037">
        <v>23.8</v>
      </c>
      <c r="AL2037">
        <v>-20.167006799999971</v>
      </c>
      <c r="AM2037">
        <v>-44.842640974693197</v>
      </c>
      <c r="AN2037">
        <v>-20.167006799999971</v>
      </c>
      <c r="AO2037">
        <v>-44.842640974693197</v>
      </c>
      <c r="AP2037">
        <v>-20.167071</v>
      </c>
      <c r="AQ2037">
        <v>-44.842730000000003</v>
      </c>
      <c r="AR2037">
        <v>11.73100304278117</v>
      </c>
      <c r="AS2037" t="s">
        <v>65</v>
      </c>
      <c r="AT2037">
        <v>1</v>
      </c>
      <c r="AU2037" t="s">
        <v>310</v>
      </c>
      <c r="AV2037" t="s">
        <v>311</v>
      </c>
      <c r="AW2037" t="s">
        <v>60</v>
      </c>
      <c r="AX2037" t="s">
        <v>68</v>
      </c>
      <c r="AY2037" t="s">
        <v>69</v>
      </c>
      <c r="AZ2037" t="b">
        <v>1</v>
      </c>
    </row>
    <row r="2038" spans="1:52" x14ac:dyDescent="0.3">
      <c r="A2038" t="s">
        <v>52</v>
      </c>
      <c r="B2038" t="s">
        <v>53</v>
      </c>
      <c r="C2038" t="s">
        <v>54</v>
      </c>
      <c r="D2038" t="s">
        <v>55</v>
      </c>
      <c r="E2038" t="s">
        <v>2149</v>
      </c>
      <c r="F2038" t="s">
        <v>190</v>
      </c>
      <c r="G2038" t="s">
        <v>312</v>
      </c>
      <c r="H2038" t="s">
        <v>313</v>
      </c>
      <c r="I2038" t="s">
        <v>313</v>
      </c>
      <c r="J2038" t="s">
        <v>60</v>
      </c>
      <c r="K2038" t="s">
        <v>143</v>
      </c>
      <c r="L2038" t="s">
        <v>62</v>
      </c>
      <c r="M2038" t="s">
        <v>143</v>
      </c>
      <c r="N2038" t="s">
        <v>314</v>
      </c>
      <c r="O2038" t="s">
        <v>315</v>
      </c>
      <c r="P2038">
        <v>-20.168939000000002</v>
      </c>
      <c r="Q2038">
        <v>-44.843286999999997</v>
      </c>
      <c r="R2038" s="2" t="str">
        <f>HYPERLINK("https://www.google.com/maps?q=-20.1689390,-44.8432870","Abrir no Google Maps")</f>
        <v>Abrir no Google Maps</v>
      </c>
      <c r="S2038">
        <v>4</v>
      </c>
      <c r="T2038">
        <v>582.22902758915586</v>
      </c>
      <c r="U2038">
        <v>3</v>
      </c>
      <c r="V2038">
        <v>0.42260734240149811</v>
      </c>
      <c r="W2038">
        <v>1</v>
      </c>
      <c r="X2038">
        <v>0.42260734240149811</v>
      </c>
      <c r="Y2038">
        <v>292</v>
      </c>
      <c r="Z2038">
        <v>628.29035609472794</v>
      </c>
      <c r="AA2038">
        <v>198</v>
      </c>
      <c r="AB2038">
        <v>332</v>
      </c>
      <c r="AC2038">
        <v>536</v>
      </c>
      <c r="AD2038">
        <v>26.61</v>
      </c>
      <c r="AE2038">
        <v>542</v>
      </c>
      <c r="AF2038">
        <v>13</v>
      </c>
      <c r="AG2038">
        <v>180</v>
      </c>
      <c r="AH2038">
        <v>129</v>
      </c>
      <c r="AI2038">
        <v>2.4</v>
      </c>
      <c r="AJ2038">
        <v>33.21</v>
      </c>
      <c r="AK2038">
        <v>23.8</v>
      </c>
      <c r="AL2038">
        <v>-20.16917709999996</v>
      </c>
      <c r="AM2038">
        <v>-44.84342194427667</v>
      </c>
      <c r="AN2038">
        <v>-20.16917709999996</v>
      </c>
      <c r="AO2038">
        <v>-44.84342194427667</v>
      </c>
      <c r="AP2038">
        <v>-20.168939000000002</v>
      </c>
      <c r="AQ2038">
        <v>-44.843286999999997</v>
      </c>
      <c r="AR2038">
        <v>30.02272213565665</v>
      </c>
      <c r="AS2038" t="s">
        <v>65</v>
      </c>
      <c r="AT2038">
        <v>1</v>
      </c>
      <c r="AU2038" t="s">
        <v>316</v>
      </c>
      <c r="AV2038" t="s">
        <v>311</v>
      </c>
      <c r="AW2038" t="s">
        <v>60</v>
      </c>
      <c r="AX2038" t="s">
        <v>68</v>
      </c>
      <c r="AY2038" t="s">
        <v>69</v>
      </c>
      <c r="AZ2038" t="b">
        <v>1</v>
      </c>
    </row>
    <row r="2039" spans="1:52" x14ac:dyDescent="0.3">
      <c r="A2039" t="s">
        <v>52</v>
      </c>
      <c r="B2039" t="s">
        <v>53</v>
      </c>
      <c r="C2039" t="s">
        <v>54</v>
      </c>
      <c r="D2039" t="s">
        <v>55</v>
      </c>
      <c r="E2039" t="s">
        <v>2149</v>
      </c>
      <c r="F2039" t="s">
        <v>190</v>
      </c>
      <c r="G2039" t="s">
        <v>260</v>
      </c>
      <c r="H2039" t="s">
        <v>317</v>
      </c>
      <c r="I2039" t="s">
        <v>317</v>
      </c>
      <c r="J2039" t="s">
        <v>60</v>
      </c>
      <c r="K2039" t="s">
        <v>255</v>
      </c>
      <c r="L2039" t="s">
        <v>62</v>
      </c>
      <c r="M2039" t="s">
        <v>255</v>
      </c>
      <c r="N2039" t="s">
        <v>263</v>
      </c>
      <c r="O2039" t="s">
        <v>318</v>
      </c>
      <c r="P2039">
        <v>-20.163532</v>
      </c>
      <c r="Q2039">
        <v>-44.846910999999999</v>
      </c>
      <c r="R2039" s="2" t="str">
        <f>HYPERLINK("https://www.google.com/maps?q=-20.1635320,-44.8469110","Abrir no Google Maps")</f>
        <v>Abrir no Google Maps</v>
      </c>
      <c r="S2039">
        <v>4</v>
      </c>
      <c r="T2039">
        <v>259.92389401636012</v>
      </c>
      <c r="U2039">
        <v>3</v>
      </c>
      <c r="V2039">
        <v>0.4295885619811981</v>
      </c>
      <c r="W2039">
        <v>1</v>
      </c>
      <c r="X2039">
        <v>0.4295885619811981</v>
      </c>
      <c r="Y2039">
        <v>292</v>
      </c>
      <c r="Z2039">
        <v>316.26738966059708</v>
      </c>
      <c r="AA2039">
        <v>198</v>
      </c>
      <c r="AB2039">
        <v>332</v>
      </c>
      <c r="AC2039">
        <v>536</v>
      </c>
      <c r="AD2039">
        <v>26.61</v>
      </c>
      <c r="AE2039">
        <v>542</v>
      </c>
      <c r="AF2039">
        <v>13</v>
      </c>
      <c r="AG2039">
        <v>180</v>
      </c>
      <c r="AH2039">
        <v>129</v>
      </c>
      <c r="AI2039">
        <v>2.4</v>
      </c>
      <c r="AJ2039">
        <v>33.21</v>
      </c>
      <c r="AK2039">
        <v>23.8</v>
      </c>
      <c r="AL2039">
        <v>-20.16343344999996</v>
      </c>
      <c r="AM2039">
        <v>-44.846734659744428</v>
      </c>
      <c r="AN2039">
        <v>-20.16343344999996</v>
      </c>
      <c r="AO2039">
        <v>-44.846734659744428</v>
      </c>
      <c r="AP2039">
        <v>-20.163532</v>
      </c>
      <c r="AQ2039">
        <v>-44.846910999999999</v>
      </c>
      <c r="AR2039">
        <v>21.445575432006599</v>
      </c>
      <c r="AS2039" t="s">
        <v>65</v>
      </c>
      <c r="AT2039">
        <v>1</v>
      </c>
      <c r="AU2039" t="s">
        <v>319</v>
      </c>
      <c r="AV2039" t="s">
        <v>320</v>
      </c>
      <c r="AW2039" t="s">
        <v>60</v>
      </c>
      <c r="AX2039" t="s">
        <v>68</v>
      </c>
      <c r="AY2039" t="s">
        <v>69</v>
      </c>
      <c r="AZ2039" t="b">
        <v>1</v>
      </c>
    </row>
    <row r="2040" spans="1:52" x14ac:dyDescent="0.3">
      <c r="A2040" t="s">
        <v>52</v>
      </c>
      <c r="B2040" t="s">
        <v>53</v>
      </c>
      <c r="C2040" t="s">
        <v>54</v>
      </c>
      <c r="D2040" t="s">
        <v>55</v>
      </c>
      <c r="E2040" t="s">
        <v>2149</v>
      </c>
      <c r="F2040" t="s">
        <v>190</v>
      </c>
      <c r="G2040" t="s">
        <v>328</v>
      </c>
      <c r="H2040" t="s">
        <v>329</v>
      </c>
      <c r="I2040" t="s">
        <v>329</v>
      </c>
      <c r="J2040" t="s">
        <v>60</v>
      </c>
      <c r="K2040" t="s">
        <v>157</v>
      </c>
      <c r="L2040" t="s">
        <v>62</v>
      </c>
      <c r="M2040" t="s">
        <v>157</v>
      </c>
      <c r="N2040" t="s">
        <v>330</v>
      </c>
      <c r="O2040" t="s">
        <v>331</v>
      </c>
      <c r="P2040">
        <v>-20.167981999999999</v>
      </c>
      <c r="Q2040">
        <v>-44.885706999999996</v>
      </c>
      <c r="R2040" s="2" t="str">
        <f>HYPERLINK("https://www.google.com/maps?q=-20.1679820,-44.8857070","Abrir no Google Maps")</f>
        <v>Abrir no Google Maps</v>
      </c>
      <c r="S2040">
        <v>4</v>
      </c>
      <c r="T2040">
        <v>594.70112534633722</v>
      </c>
      <c r="U2040">
        <v>3</v>
      </c>
      <c r="V2040">
        <v>0.44519425434910648</v>
      </c>
      <c r="W2040">
        <v>1</v>
      </c>
      <c r="X2040">
        <v>0.44519425434910648</v>
      </c>
      <c r="Y2040">
        <v>232</v>
      </c>
      <c r="Z2040">
        <v>560.38516624860983</v>
      </c>
      <c r="AA2040">
        <v>198</v>
      </c>
      <c r="AB2040">
        <v>332</v>
      </c>
      <c r="AC2040">
        <v>536</v>
      </c>
      <c r="AD2040">
        <v>26.61</v>
      </c>
      <c r="AE2040">
        <v>542</v>
      </c>
      <c r="AF2040">
        <v>13</v>
      </c>
      <c r="AG2040">
        <v>180</v>
      </c>
      <c r="AH2040">
        <v>129</v>
      </c>
      <c r="AI2040">
        <v>2.4</v>
      </c>
      <c r="AJ2040">
        <v>33.21</v>
      </c>
      <c r="AK2040">
        <v>23.8</v>
      </c>
      <c r="AL2040">
        <v>-20.167931149999959</v>
      </c>
      <c r="AM2040">
        <v>-44.885606821741909</v>
      </c>
      <c r="AN2040">
        <v>-20.167931149999959</v>
      </c>
      <c r="AO2040">
        <v>-44.885606821741909</v>
      </c>
      <c r="AP2040">
        <v>-20.167981999999999</v>
      </c>
      <c r="AQ2040">
        <v>-44.885706999999996</v>
      </c>
      <c r="AR2040">
        <v>11.90056149590643</v>
      </c>
      <c r="AS2040" t="s">
        <v>65</v>
      </c>
      <c r="AT2040">
        <v>1</v>
      </c>
      <c r="AU2040" t="s">
        <v>332</v>
      </c>
      <c r="AV2040" t="s">
        <v>333</v>
      </c>
      <c r="AW2040" t="s">
        <v>60</v>
      </c>
      <c r="AX2040" t="s">
        <v>68</v>
      </c>
      <c r="AY2040" t="s">
        <v>69</v>
      </c>
      <c r="AZ2040" t="b">
        <v>1</v>
      </c>
    </row>
    <row r="2041" spans="1:52" x14ac:dyDescent="0.3">
      <c r="A2041" t="s">
        <v>52</v>
      </c>
      <c r="B2041" t="s">
        <v>53</v>
      </c>
      <c r="C2041" t="s">
        <v>54</v>
      </c>
      <c r="D2041" t="s">
        <v>55</v>
      </c>
      <c r="E2041" t="s">
        <v>2149</v>
      </c>
      <c r="F2041" t="s">
        <v>190</v>
      </c>
      <c r="G2041" t="s">
        <v>334</v>
      </c>
      <c r="H2041" t="s">
        <v>335</v>
      </c>
      <c r="I2041" t="s">
        <v>335</v>
      </c>
      <c r="J2041" t="s">
        <v>60</v>
      </c>
      <c r="K2041" t="s">
        <v>336</v>
      </c>
      <c r="L2041" t="s">
        <v>62</v>
      </c>
      <c r="M2041" t="s">
        <v>336</v>
      </c>
      <c r="N2041" t="s">
        <v>337</v>
      </c>
      <c r="O2041" t="s">
        <v>338</v>
      </c>
      <c r="P2041">
        <v>-20.168142</v>
      </c>
      <c r="Q2041">
        <v>-44.875697000000002</v>
      </c>
      <c r="R2041" s="2" t="str">
        <f>HYPERLINK("https://www.google.com/maps?q=-20.1681420,-44.8756970","Abrir no Google Maps")</f>
        <v>Abrir no Google Maps</v>
      </c>
      <c r="S2041">
        <v>4</v>
      </c>
      <c r="T2041">
        <v>678.04878367834192</v>
      </c>
      <c r="U2041">
        <v>3</v>
      </c>
      <c r="V2041">
        <v>0.44017007070100722</v>
      </c>
      <c r="W2041">
        <v>1</v>
      </c>
      <c r="X2041">
        <v>0.44017007070100722</v>
      </c>
      <c r="Y2041">
        <v>232</v>
      </c>
      <c r="Z2041">
        <v>595.98467532792097</v>
      </c>
      <c r="AA2041">
        <v>198</v>
      </c>
      <c r="AB2041">
        <v>332</v>
      </c>
      <c r="AC2041">
        <v>536</v>
      </c>
      <c r="AD2041">
        <v>26.61</v>
      </c>
      <c r="AE2041">
        <v>542</v>
      </c>
      <c r="AF2041">
        <v>13</v>
      </c>
      <c r="AG2041">
        <v>180</v>
      </c>
      <c r="AH2041">
        <v>129</v>
      </c>
      <c r="AI2041">
        <v>2.4</v>
      </c>
      <c r="AJ2041">
        <v>33.21</v>
      </c>
      <c r="AK2041">
        <v>23.8</v>
      </c>
      <c r="AL2041">
        <v>-20.16787839999995</v>
      </c>
      <c r="AM2041">
        <v>-44.875681825945229</v>
      </c>
      <c r="AN2041">
        <v>-20.16787839999995</v>
      </c>
      <c r="AO2041">
        <v>-44.875681825945229</v>
      </c>
      <c r="AP2041">
        <v>-20.168142</v>
      </c>
      <c r="AQ2041">
        <v>-44.875697000000002</v>
      </c>
      <c r="AR2041">
        <v>29.386760063894371</v>
      </c>
      <c r="AS2041" t="s">
        <v>65</v>
      </c>
      <c r="AT2041">
        <v>1</v>
      </c>
      <c r="AU2041" t="s">
        <v>339</v>
      </c>
      <c r="AV2041" t="s">
        <v>340</v>
      </c>
      <c r="AW2041" t="s">
        <v>60</v>
      </c>
      <c r="AX2041" t="s">
        <v>68</v>
      </c>
      <c r="AY2041" t="s">
        <v>69</v>
      </c>
      <c r="AZ2041" t="b">
        <v>1</v>
      </c>
    </row>
    <row r="2042" spans="1:52" x14ac:dyDescent="0.3">
      <c r="A2042" t="s">
        <v>52</v>
      </c>
      <c r="B2042" t="s">
        <v>53</v>
      </c>
      <c r="C2042" t="s">
        <v>54</v>
      </c>
      <c r="D2042" t="s">
        <v>55</v>
      </c>
      <c r="E2042" t="s">
        <v>2149</v>
      </c>
      <c r="F2042" t="s">
        <v>190</v>
      </c>
      <c r="G2042" t="s">
        <v>155</v>
      </c>
      <c r="H2042" t="s">
        <v>156</v>
      </c>
      <c r="I2042" t="s">
        <v>156</v>
      </c>
      <c r="J2042" t="s">
        <v>60</v>
      </c>
      <c r="K2042" t="s">
        <v>157</v>
      </c>
      <c r="L2042" t="s">
        <v>62</v>
      </c>
      <c r="M2042" t="s">
        <v>157</v>
      </c>
      <c r="N2042" t="s">
        <v>158</v>
      </c>
      <c r="O2042" t="s">
        <v>159</v>
      </c>
      <c r="P2042">
        <v>-20.166302999999999</v>
      </c>
      <c r="Q2042">
        <v>-44.880659999999999</v>
      </c>
      <c r="R2042" s="2" t="str">
        <f>HYPERLINK("https://www.google.com/maps?q=-20.1663030,-44.8806600","Abrir no Google Maps")</f>
        <v>Abrir no Google Maps</v>
      </c>
      <c r="S2042">
        <v>4</v>
      </c>
      <c r="T2042">
        <v>504.41812426451338</v>
      </c>
      <c r="U2042">
        <v>3</v>
      </c>
      <c r="V2042">
        <v>0.44766556655337791</v>
      </c>
      <c r="W2042">
        <v>1</v>
      </c>
      <c r="X2042">
        <v>0.44766556655337791</v>
      </c>
      <c r="Y2042">
        <v>232</v>
      </c>
      <c r="Z2042">
        <v>279.57571553948952</v>
      </c>
      <c r="AA2042">
        <v>198</v>
      </c>
      <c r="AB2042">
        <v>332</v>
      </c>
      <c r="AC2042">
        <v>536</v>
      </c>
      <c r="AD2042">
        <v>26.61</v>
      </c>
      <c r="AE2042">
        <v>542</v>
      </c>
      <c r="AF2042">
        <v>13</v>
      </c>
      <c r="AG2042">
        <v>180</v>
      </c>
      <c r="AH2042">
        <v>129</v>
      </c>
      <c r="AI2042">
        <v>2.4</v>
      </c>
      <c r="AJ2042">
        <v>33.21</v>
      </c>
      <c r="AK2042">
        <v>23.8</v>
      </c>
      <c r="AL2042">
        <v>-20.166700449999951</v>
      </c>
      <c r="AM2042">
        <v>-44.880573341714289</v>
      </c>
      <c r="AN2042">
        <v>-20.166700449999951</v>
      </c>
      <c r="AO2042">
        <v>-44.880573341714289</v>
      </c>
      <c r="AP2042">
        <v>-20.166302999999999</v>
      </c>
      <c r="AQ2042">
        <v>-44.880659999999999</v>
      </c>
      <c r="AR2042">
        <v>45.161304979350312</v>
      </c>
      <c r="AS2042" t="s">
        <v>65</v>
      </c>
      <c r="AT2042">
        <v>1</v>
      </c>
      <c r="AU2042" t="s">
        <v>160</v>
      </c>
      <c r="AV2042" t="s">
        <v>161</v>
      </c>
      <c r="AW2042" t="s">
        <v>60</v>
      </c>
      <c r="AX2042" t="s">
        <v>68</v>
      </c>
      <c r="AY2042" t="s">
        <v>69</v>
      </c>
      <c r="AZ2042" t="b">
        <v>1</v>
      </c>
    </row>
    <row r="2043" spans="1:52" x14ac:dyDescent="0.3">
      <c r="A2043" t="s">
        <v>52</v>
      </c>
      <c r="B2043" t="s">
        <v>53</v>
      </c>
      <c r="C2043" t="s">
        <v>54</v>
      </c>
      <c r="D2043" t="s">
        <v>55</v>
      </c>
      <c r="E2043" t="s">
        <v>2149</v>
      </c>
      <c r="F2043" t="s">
        <v>190</v>
      </c>
      <c r="G2043" t="s">
        <v>341</v>
      </c>
      <c r="H2043" t="s">
        <v>342</v>
      </c>
      <c r="I2043" t="s">
        <v>342</v>
      </c>
      <c r="J2043" t="s">
        <v>60</v>
      </c>
      <c r="K2043" t="s">
        <v>164</v>
      </c>
      <c r="L2043" t="s">
        <v>62</v>
      </c>
      <c r="M2043" t="s">
        <v>164</v>
      </c>
      <c r="N2043" t="s">
        <v>343</v>
      </c>
      <c r="O2043" t="s">
        <v>344</v>
      </c>
      <c r="P2043">
        <v>-20.17606</v>
      </c>
      <c r="Q2043">
        <v>-44.880409999999998</v>
      </c>
      <c r="R2043" s="2" t="str">
        <f>HYPERLINK("https://www.google.com/maps?q=-20.1760600,-44.8804100","Abrir no Google Maps")</f>
        <v>Abrir no Google Maps</v>
      </c>
      <c r="S2043">
        <v>4</v>
      </c>
      <c r="T2043">
        <v>556.35468246023754</v>
      </c>
      <c r="U2043">
        <v>3</v>
      </c>
      <c r="V2043">
        <v>0.41671254837499161</v>
      </c>
      <c r="W2043">
        <v>1</v>
      </c>
      <c r="X2043">
        <v>0.41671254837499161</v>
      </c>
      <c r="Y2043">
        <v>232</v>
      </c>
      <c r="Z2043">
        <v>674.22003156100322</v>
      </c>
      <c r="AA2043">
        <v>198</v>
      </c>
      <c r="AB2043">
        <v>332</v>
      </c>
      <c r="AC2043">
        <v>536</v>
      </c>
      <c r="AD2043">
        <v>26.61</v>
      </c>
      <c r="AE2043">
        <v>542</v>
      </c>
      <c r="AF2043">
        <v>13</v>
      </c>
      <c r="AG2043">
        <v>180</v>
      </c>
      <c r="AH2043">
        <v>129</v>
      </c>
      <c r="AI2043">
        <v>2.4</v>
      </c>
      <c r="AJ2043">
        <v>33.21</v>
      </c>
      <c r="AK2043">
        <v>23.8</v>
      </c>
      <c r="AL2043">
        <v>-20.176226899999961</v>
      </c>
      <c r="AM2043">
        <v>-44.880527903427911</v>
      </c>
      <c r="AN2043">
        <v>-20.176226899999961</v>
      </c>
      <c r="AO2043">
        <v>-44.880527903427911</v>
      </c>
      <c r="AP2043">
        <v>-20.17606</v>
      </c>
      <c r="AQ2043">
        <v>-44.880409999999998</v>
      </c>
      <c r="AR2043">
        <v>22.292677247804349</v>
      </c>
      <c r="AS2043" t="s">
        <v>65</v>
      </c>
      <c r="AT2043">
        <v>1</v>
      </c>
      <c r="AU2043" t="s">
        <v>345</v>
      </c>
      <c r="AV2043" t="s">
        <v>346</v>
      </c>
      <c r="AW2043" t="s">
        <v>60</v>
      </c>
      <c r="AX2043" t="s">
        <v>68</v>
      </c>
      <c r="AY2043" t="s">
        <v>69</v>
      </c>
      <c r="AZ2043" t="b">
        <v>1</v>
      </c>
    </row>
    <row r="2044" spans="1:52" x14ac:dyDescent="0.3">
      <c r="A2044" t="s">
        <v>52</v>
      </c>
      <c r="B2044" t="s">
        <v>53</v>
      </c>
      <c r="C2044" t="s">
        <v>54</v>
      </c>
      <c r="D2044" t="s">
        <v>55</v>
      </c>
      <c r="E2044" t="s">
        <v>2149</v>
      </c>
      <c r="F2044" t="s">
        <v>190</v>
      </c>
      <c r="G2044" t="s">
        <v>162</v>
      </c>
      <c r="H2044" t="s">
        <v>163</v>
      </c>
      <c r="I2044" t="s">
        <v>163</v>
      </c>
      <c r="J2044" t="s">
        <v>60</v>
      </c>
      <c r="K2044" t="s">
        <v>164</v>
      </c>
      <c r="L2044" t="s">
        <v>62</v>
      </c>
      <c r="M2044" t="s">
        <v>164</v>
      </c>
      <c r="N2044" t="s">
        <v>165</v>
      </c>
      <c r="O2044" t="s">
        <v>166</v>
      </c>
      <c r="P2044">
        <v>-20.175967</v>
      </c>
      <c r="Q2044">
        <v>-44.876730000000002</v>
      </c>
      <c r="R2044" s="2" t="str">
        <f>HYPERLINK("https://www.google.com/maps?q=-20.1759670,-44.8767300","Abrir no Google Maps")</f>
        <v>Abrir no Google Maps</v>
      </c>
      <c r="S2044">
        <v>4</v>
      </c>
      <c r="T2044">
        <v>692.5753730151132</v>
      </c>
      <c r="U2044">
        <v>3</v>
      </c>
      <c r="V2044">
        <v>0.43730774807193251</v>
      </c>
      <c r="W2044">
        <v>1</v>
      </c>
      <c r="X2044">
        <v>0.43730774807193251</v>
      </c>
      <c r="Y2044">
        <v>232</v>
      </c>
      <c r="Z2044">
        <v>686.15054949166824</v>
      </c>
      <c r="AA2044">
        <v>198</v>
      </c>
      <c r="AB2044">
        <v>332</v>
      </c>
      <c r="AC2044">
        <v>536</v>
      </c>
      <c r="AD2044">
        <v>26.61</v>
      </c>
      <c r="AE2044">
        <v>542</v>
      </c>
      <c r="AF2044">
        <v>13</v>
      </c>
      <c r="AG2044">
        <v>180</v>
      </c>
      <c r="AH2044">
        <v>129</v>
      </c>
      <c r="AI2044">
        <v>2.4</v>
      </c>
      <c r="AJ2044">
        <v>33.21</v>
      </c>
      <c r="AK2044">
        <v>23.8</v>
      </c>
      <c r="AL2044">
        <v>-20.17598664999997</v>
      </c>
      <c r="AM2044">
        <v>-44.876806510253203</v>
      </c>
      <c r="AN2044">
        <v>-20.17598664999997</v>
      </c>
      <c r="AO2044">
        <v>-44.876806510253203</v>
      </c>
      <c r="AP2044">
        <v>-20.175967</v>
      </c>
      <c r="AQ2044">
        <v>-44.876730000000002</v>
      </c>
      <c r="AR2044">
        <v>8.2883514287440097</v>
      </c>
      <c r="AS2044" t="s">
        <v>65</v>
      </c>
      <c r="AT2044">
        <v>1</v>
      </c>
      <c r="AU2044" t="s">
        <v>167</v>
      </c>
      <c r="AV2044" t="s">
        <v>168</v>
      </c>
      <c r="AW2044" t="s">
        <v>60</v>
      </c>
      <c r="AX2044" t="s">
        <v>68</v>
      </c>
      <c r="AY2044" t="s">
        <v>69</v>
      </c>
      <c r="AZ2044" t="b">
        <v>1</v>
      </c>
    </row>
    <row r="2045" spans="1:52" x14ac:dyDescent="0.3">
      <c r="A2045" t="s">
        <v>52</v>
      </c>
      <c r="B2045" t="s">
        <v>53</v>
      </c>
      <c r="C2045" t="s">
        <v>54</v>
      </c>
      <c r="D2045" t="s">
        <v>55</v>
      </c>
      <c r="E2045" t="s">
        <v>2149</v>
      </c>
      <c r="F2045" t="s">
        <v>190</v>
      </c>
      <c r="G2045" t="s">
        <v>347</v>
      </c>
      <c r="H2045" t="s">
        <v>348</v>
      </c>
      <c r="I2045" t="s">
        <v>348</v>
      </c>
      <c r="J2045" t="s">
        <v>60</v>
      </c>
      <c r="K2045" t="s">
        <v>157</v>
      </c>
      <c r="L2045" t="s">
        <v>62</v>
      </c>
      <c r="M2045" t="s">
        <v>157</v>
      </c>
      <c r="N2045" t="s">
        <v>349</v>
      </c>
      <c r="O2045" t="s">
        <v>350</v>
      </c>
      <c r="P2045">
        <v>-20.171206999999999</v>
      </c>
      <c r="Q2045">
        <v>-44.881143999999999</v>
      </c>
      <c r="R2045" s="2" t="str">
        <f>HYPERLINK("https://www.google.com/maps?q=-20.1712070,-44.8811440","Abrir no Google Maps")</f>
        <v>Abrir no Google Maps</v>
      </c>
      <c r="S2045">
        <v>4</v>
      </c>
      <c r="T2045">
        <v>0</v>
      </c>
      <c r="U2045">
        <v>3</v>
      </c>
      <c r="V2045">
        <v>0.4358658237631442</v>
      </c>
      <c r="W2045">
        <v>1</v>
      </c>
      <c r="X2045">
        <v>0.4358658237631442</v>
      </c>
      <c r="Y2045">
        <v>232</v>
      </c>
      <c r="Z2045">
        <v>184.81719774496389</v>
      </c>
      <c r="AA2045">
        <v>198</v>
      </c>
      <c r="AB2045">
        <v>332</v>
      </c>
      <c r="AC2045">
        <v>536</v>
      </c>
      <c r="AD2045">
        <v>26.61</v>
      </c>
      <c r="AE2045">
        <v>542</v>
      </c>
      <c r="AF2045">
        <v>13</v>
      </c>
      <c r="AG2045">
        <v>180</v>
      </c>
      <c r="AH2045">
        <v>129</v>
      </c>
      <c r="AI2045">
        <v>2.4</v>
      </c>
      <c r="AJ2045">
        <v>33.21</v>
      </c>
      <c r="AK2045">
        <v>23.8</v>
      </c>
      <c r="AL2045">
        <v>-20.171229949999969</v>
      </c>
      <c r="AM2045">
        <v>-44.881113944480241</v>
      </c>
      <c r="AN2045">
        <v>-20.171229949999969</v>
      </c>
      <c r="AO2045">
        <v>-44.881113944480241</v>
      </c>
      <c r="AP2045">
        <v>-20.171206999999999</v>
      </c>
      <c r="AQ2045">
        <v>-44.881143999999999</v>
      </c>
      <c r="AR2045">
        <v>4.0484763362859333</v>
      </c>
      <c r="AS2045" t="s">
        <v>65</v>
      </c>
      <c r="AT2045">
        <v>1</v>
      </c>
      <c r="AU2045" t="s">
        <v>351</v>
      </c>
      <c r="AV2045" t="s">
        <v>352</v>
      </c>
      <c r="AW2045" t="s">
        <v>60</v>
      </c>
      <c r="AX2045" t="s">
        <v>68</v>
      </c>
      <c r="AY2045" t="s">
        <v>69</v>
      </c>
      <c r="AZ2045" t="b">
        <v>1</v>
      </c>
    </row>
    <row r="2046" spans="1:52" x14ac:dyDescent="0.3">
      <c r="A2046" t="s">
        <v>52</v>
      </c>
      <c r="B2046" t="s">
        <v>53</v>
      </c>
      <c r="C2046" t="s">
        <v>54</v>
      </c>
      <c r="D2046" t="s">
        <v>55</v>
      </c>
      <c r="E2046" t="s">
        <v>2149</v>
      </c>
      <c r="F2046" t="s">
        <v>190</v>
      </c>
      <c r="G2046" t="s">
        <v>353</v>
      </c>
      <c r="H2046" t="s">
        <v>354</v>
      </c>
      <c r="I2046" t="s">
        <v>354</v>
      </c>
      <c r="J2046" t="s">
        <v>60</v>
      </c>
      <c r="K2046" t="s">
        <v>355</v>
      </c>
      <c r="L2046" t="s">
        <v>62</v>
      </c>
      <c r="M2046" t="s">
        <v>355</v>
      </c>
      <c r="N2046" t="s">
        <v>356</v>
      </c>
      <c r="O2046" t="s">
        <v>357</v>
      </c>
      <c r="P2046">
        <v>-20.147373999999999</v>
      </c>
      <c r="Q2046">
        <v>-44.875141999999997</v>
      </c>
      <c r="R2046" s="2" t="str">
        <f>HYPERLINK("https://www.google.com/maps?q=-20.1473740,-44.8751420","Abrir no Google Maps")</f>
        <v>Abrir no Google Maps</v>
      </c>
      <c r="S2046">
        <v>4</v>
      </c>
      <c r="T2046">
        <v>394.29708169591709</v>
      </c>
      <c r="U2046">
        <v>3</v>
      </c>
      <c r="V2046">
        <v>0.4435350571850587</v>
      </c>
      <c r="W2046">
        <v>1</v>
      </c>
      <c r="X2046">
        <v>0.4435350571850587</v>
      </c>
      <c r="Y2046">
        <v>209</v>
      </c>
      <c r="Z2046">
        <v>326.95034461828868</v>
      </c>
      <c r="AA2046">
        <v>198</v>
      </c>
      <c r="AB2046">
        <v>332</v>
      </c>
      <c r="AC2046">
        <v>536</v>
      </c>
      <c r="AD2046">
        <v>26.61</v>
      </c>
      <c r="AE2046">
        <v>542</v>
      </c>
      <c r="AF2046">
        <v>13</v>
      </c>
      <c r="AG2046">
        <v>180</v>
      </c>
      <c r="AH2046">
        <v>129</v>
      </c>
      <c r="AI2046">
        <v>2.4</v>
      </c>
      <c r="AJ2046">
        <v>33.21</v>
      </c>
      <c r="AK2046">
        <v>23.8</v>
      </c>
      <c r="AL2046">
        <v>-20.147207999999949</v>
      </c>
      <c r="AM2046">
        <v>-44.875152120336942</v>
      </c>
      <c r="AN2046">
        <v>-20.147207999999949</v>
      </c>
      <c r="AO2046">
        <v>-44.875152120336942</v>
      </c>
      <c r="AP2046">
        <v>-20.147373999999999</v>
      </c>
      <c r="AQ2046">
        <v>-44.875141999999997</v>
      </c>
      <c r="AR2046">
        <v>18.509363081081169</v>
      </c>
      <c r="AS2046" t="s">
        <v>65</v>
      </c>
      <c r="AT2046">
        <v>1</v>
      </c>
      <c r="AU2046" t="s">
        <v>358</v>
      </c>
      <c r="AV2046" t="s">
        <v>359</v>
      </c>
      <c r="AW2046" t="s">
        <v>60</v>
      </c>
      <c r="AX2046" t="s">
        <v>68</v>
      </c>
      <c r="AY2046" t="s">
        <v>69</v>
      </c>
      <c r="AZ2046" t="b">
        <v>1</v>
      </c>
    </row>
    <row r="2047" spans="1:52" x14ac:dyDescent="0.3">
      <c r="A2047" t="s">
        <v>52</v>
      </c>
      <c r="B2047" t="s">
        <v>53</v>
      </c>
      <c r="C2047" t="s">
        <v>54</v>
      </c>
      <c r="D2047" t="s">
        <v>55</v>
      </c>
      <c r="E2047" t="s">
        <v>2149</v>
      </c>
      <c r="F2047" t="s">
        <v>190</v>
      </c>
      <c r="G2047" t="s">
        <v>360</v>
      </c>
      <c r="H2047" t="s">
        <v>361</v>
      </c>
      <c r="I2047" t="s">
        <v>361</v>
      </c>
      <c r="J2047" t="s">
        <v>60</v>
      </c>
      <c r="K2047" t="s">
        <v>362</v>
      </c>
      <c r="L2047" t="s">
        <v>62</v>
      </c>
      <c r="M2047" t="s">
        <v>362</v>
      </c>
      <c r="N2047" t="s">
        <v>363</v>
      </c>
      <c r="O2047" t="s">
        <v>235</v>
      </c>
      <c r="P2047">
        <v>-20.143716999999999</v>
      </c>
      <c r="Q2047">
        <v>-44.875278000000002</v>
      </c>
      <c r="R2047" s="2" t="str">
        <f>HYPERLINK("https://www.google.com/maps?q=-20.1437170,-44.8752780","Abrir no Google Maps")</f>
        <v>Abrir no Google Maps</v>
      </c>
      <c r="S2047">
        <v>4</v>
      </c>
      <c r="T2047">
        <v>0</v>
      </c>
      <c r="U2047">
        <v>3</v>
      </c>
      <c r="V2047">
        <v>0.44849050136379209</v>
      </c>
      <c r="W2047">
        <v>1</v>
      </c>
      <c r="X2047">
        <v>0.44849050136379209</v>
      </c>
      <c r="Y2047">
        <v>209</v>
      </c>
      <c r="Z2047">
        <v>121.8438559354383</v>
      </c>
      <c r="AA2047">
        <v>198</v>
      </c>
      <c r="AB2047">
        <v>332</v>
      </c>
      <c r="AC2047">
        <v>536</v>
      </c>
      <c r="AD2047">
        <v>26.61</v>
      </c>
      <c r="AE2047">
        <v>542</v>
      </c>
      <c r="AF2047">
        <v>13</v>
      </c>
      <c r="AG2047">
        <v>180</v>
      </c>
      <c r="AH2047">
        <v>129</v>
      </c>
      <c r="AI2047">
        <v>2.4</v>
      </c>
      <c r="AJ2047">
        <v>33.21</v>
      </c>
      <c r="AK2047">
        <v>23.8</v>
      </c>
      <c r="AL2047">
        <v>-20.143665999999961</v>
      </c>
      <c r="AM2047">
        <v>-44.875561853046079</v>
      </c>
      <c r="AN2047">
        <v>-20.143665999999961</v>
      </c>
      <c r="AO2047">
        <v>-44.875561853046079</v>
      </c>
      <c r="AP2047">
        <v>-20.143716999999999</v>
      </c>
      <c r="AQ2047">
        <v>-44.875278000000002</v>
      </c>
      <c r="AR2047">
        <v>30.20407282671313</v>
      </c>
      <c r="AS2047" t="s">
        <v>65</v>
      </c>
      <c r="AT2047">
        <v>1</v>
      </c>
      <c r="AU2047" t="s">
        <v>364</v>
      </c>
      <c r="AV2047" t="s">
        <v>365</v>
      </c>
      <c r="AW2047" t="s">
        <v>60</v>
      </c>
      <c r="AX2047" t="s">
        <v>68</v>
      </c>
      <c r="AY2047" t="s">
        <v>69</v>
      </c>
      <c r="AZ2047" t="b">
        <v>1</v>
      </c>
    </row>
    <row r="2048" spans="1:52" x14ac:dyDescent="0.3">
      <c r="A2048" t="s">
        <v>52</v>
      </c>
      <c r="B2048" t="s">
        <v>53</v>
      </c>
      <c r="C2048" t="s">
        <v>54</v>
      </c>
      <c r="D2048" t="s">
        <v>55</v>
      </c>
      <c r="E2048" t="s">
        <v>2149</v>
      </c>
      <c r="F2048" t="s">
        <v>190</v>
      </c>
      <c r="G2048" t="s">
        <v>366</v>
      </c>
      <c r="H2048" t="s">
        <v>367</v>
      </c>
      <c r="I2048" t="s">
        <v>367</v>
      </c>
      <c r="J2048" t="s">
        <v>60</v>
      </c>
      <c r="K2048" t="s">
        <v>368</v>
      </c>
      <c r="L2048" t="s">
        <v>62</v>
      </c>
      <c r="M2048" t="s">
        <v>368</v>
      </c>
      <c r="N2048" t="s">
        <v>369</v>
      </c>
      <c r="O2048" t="s">
        <v>370</v>
      </c>
      <c r="P2048">
        <v>-20.144553999999999</v>
      </c>
      <c r="Q2048">
        <v>-44.868183000000002</v>
      </c>
      <c r="R2048" s="2" t="str">
        <f>HYPERLINK("https://www.google.com/maps?q=-20.1445540,-44.8681830","Abrir no Google Maps")</f>
        <v>Abrir no Google Maps</v>
      </c>
      <c r="S2048">
        <v>4</v>
      </c>
      <c r="T2048">
        <v>783.87848835431373</v>
      </c>
      <c r="U2048">
        <v>3</v>
      </c>
      <c r="V2048">
        <v>0.44393143578217198</v>
      </c>
      <c r="W2048">
        <v>1</v>
      </c>
      <c r="X2048">
        <v>0.44393143578217198</v>
      </c>
      <c r="Y2048">
        <v>198</v>
      </c>
      <c r="Z2048">
        <v>360.68413994394842</v>
      </c>
      <c r="AA2048">
        <v>198</v>
      </c>
      <c r="AB2048">
        <v>332</v>
      </c>
      <c r="AC2048">
        <v>536</v>
      </c>
      <c r="AD2048">
        <v>26.61</v>
      </c>
      <c r="AE2048">
        <v>542</v>
      </c>
      <c r="AF2048">
        <v>13</v>
      </c>
      <c r="AG2048">
        <v>180</v>
      </c>
      <c r="AH2048">
        <v>129</v>
      </c>
      <c r="AI2048">
        <v>2.4</v>
      </c>
      <c r="AJ2048">
        <v>33.21</v>
      </c>
      <c r="AK2048">
        <v>23.8</v>
      </c>
      <c r="AL2048">
        <v>-20.144487399999949</v>
      </c>
      <c r="AM2048">
        <v>-44.868111936674481</v>
      </c>
      <c r="AN2048">
        <v>-20.144487399999939</v>
      </c>
      <c r="AO2048">
        <v>-44.868111936674481</v>
      </c>
      <c r="AP2048">
        <v>-20.144553999999999</v>
      </c>
      <c r="AQ2048">
        <v>-44.868183000000002</v>
      </c>
      <c r="AR2048">
        <v>10.49400387332288</v>
      </c>
      <c r="AS2048" t="s">
        <v>65</v>
      </c>
      <c r="AT2048">
        <v>1</v>
      </c>
      <c r="AU2048" t="s">
        <v>371</v>
      </c>
      <c r="AV2048" t="s">
        <v>372</v>
      </c>
      <c r="AW2048" t="s">
        <v>60</v>
      </c>
      <c r="AX2048" t="s">
        <v>68</v>
      </c>
      <c r="AY2048" t="s">
        <v>69</v>
      </c>
      <c r="AZ2048" t="b">
        <v>1</v>
      </c>
    </row>
    <row r="2049" spans="1:52" x14ac:dyDescent="0.3">
      <c r="A2049" t="s">
        <v>52</v>
      </c>
      <c r="B2049" t="s">
        <v>53</v>
      </c>
      <c r="C2049" t="s">
        <v>54</v>
      </c>
      <c r="D2049" t="s">
        <v>55</v>
      </c>
      <c r="E2049" t="s">
        <v>2149</v>
      </c>
      <c r="F2049" t="s">
        <v>190</v>
      </c>
      <c r="G2049" t="s">
        <v>1728</v>
      </c>
      <c r="H2049" t="s">
        <v>1729</v>
      </c>
      <c r="I2049" t="s">
        <v>1729</v>
      </c>
      <c r="J2049" t="s">
        <v>60</v>
      </c>
      <c r="K2049" t="s">
        <v>171</v>
      </c>
      <c r="L2049" t="s">
        <v>62</v>
      </c>
      <c r="M2049" t="s">
        <v>171</v>
      </c>
      <c r="N2049" t="s">
        <v>1730</v>
      </c>
      <c r="O2049" t="s">
        <v>1731</v>
      </c>
      <c r="P2049">
        <v>-20.153237000000001</v>
      </c>
      <c r="Q2049">
        <v>-44.893830999999999</v>
      </c>
      <c r="R2049" s="2" t="str">
        <f>HYPERLINK("https://www.google.com/maps?q=-20.1532370,-44.8938310","Abrir no Google Maps")</f>
        <v>Abrir no Google Maps</v>
      </c>
      <c r="S2049">
        <v>4</v>
      </c>
      <c r="T2049">
        <v>413.69072684661631</v>
      </c>
      <c r="U2049">
        <v>3</v>
      </c>
      <c r="V2049">
        <v>0.43668121412868688</v>
      </c>
      <c r="W2049">
        <v>1</v>
      </c>
      <c r="X2049">
        <v>0.43668121412868688</v>
      </c>
      <c r="Y2049">
        <v>129</v>
      </c>
      <c r="Z2049">
        <v>276.95856023076033</v>
      </c>
      <c r="AA2049">
        <v>198</v>
      </c>
      <c r="AB2049">
        <v>332</v>
      </c>
      <c r="AC2049">
        <v>536</v>
      </c>
      <c r="AD2049">
        <v>26.61</v>
      </c>
      <c r="AE2049">
        <v>542</v>
      </c>
      <c r="AF2049">
        <v>13</v>
      </c>
      <c r="AG2049">
        <v>180</v>
      </c>
      <c r="AH2049">
        <v>129</v>
      </c>
      <c r="AI2049">
        <v>2.4</v>
      </c>
      <c r="AJ2049">
        <v>33.21</v>
      </c>
      <c r="AK2049">
        <v>23.8</v>
      </c>
      <c r="AL2049">
        <v>-20.15278304999995</v>
      </c>
      <c r="AM2049">
        <v>-44.894325691070982</v>
      </c>
      <c r="AN2049">
        <v>-20.15278304999995</v>
      </c>
      <c r="AO2049">
        <v>-44.894325691070982</v>
      </c>
      <c r="AP2049">
        <v>-20.153237000000001</v>
      </c>
      <c r="AQ2049">
        <v>-44.893830999999999</v>
      </c>
      <c r="AR2049">
        <v>72.293093135883012</v>
      </c>
      <c r="AS2049" t="s">
        <v>65</v>
      </c>
      <c r="AT2049">
        <v>1</v>
      </c>
      <c r="AU2049" t="s">
        <v>1732</v>
      </c>
      <c r="AV2049" t="s">
        <v>1733</v>
      </c>
      <c r="AW2049" t="s">
        <v>60</v>
      </c>
      <c r="AX2049" t="s">
        <v>68</v>
      </c>
      <c r="AY2049" t="s">
        <v>69</v>
      </c>
      <c r="AZ2049" t="b">
        <v>1</v>
      </c>
    </row>
    <row r="2050" spans="1:52" x14ac:dyDescent="0.3">
      <c r="A2050" t="s">
        <v>52</v>
      </c>
      <c r="B2050" t="s">
        <v>53</v>
      </c>
      <c r="C2050" t="s">
        <v>54</v>
      </c>
      <c r="D2050" t="s">
        <v>55</v>
      </c>
      <c r="E2050" t="s">
        <v>2149</v>
      </c>
      <c r="F2050" t="s">
        <v>190</v>
      </c>
      <c r="G2050" t="s">
        <v>176</v>
      </c>
      <c r="H2050" t="s">
        <v>177</v>
      </c>
      <c r="I2050" t="s">
        <v>177</v>
      </c>
      <c r="J2050" t="s">
        <v>60</v>
      </c>
      <c r="K2050" t="s">
        <v>178</v>
      </c>
      <c r="L2050" t="s">
        <v>62</v>
      </c>
      <c r="M2050" t="s">
        <v>178</v>
      </c>
      <c r="N2050" t="s">
        <v>179</v>
      </c>
      <c r="O2050" t="s">
        <v>180</v>
      </c>
      <c r="P2050">
        <v>-20.129152999999999</v>
      </c>
      <c r="Q2050">
        <v>-44.859299</v>
      </c>
      <c r="R2050" s="2" t="str">
        <f>HYPERLINK("https://www.google.com/maps?q=-20.1291530,-44.8592990","Abrir no Google Maps")</f>
        <v>Abrir no Google Maps</v>
      </c>
      <c r="S2050">
        <v>4</v>
      </c>
      <c r="T2050">
        <v>0</v>
      </c>
      <c r="U2050">
        <v>3</v>
      </c>
      <c r="V2050">
        <v>0.43162206155489341</v>
      </c>
      <c r="W2050">
        <v>1</v>
      </c>
      <c r="X2050">
        <v>0.43162206155489341</v>
      </c>
      <c r="Y2050">
        <v>95</v>
      </c>
      <c r="Z2050">
        <v>323.58963420291411</v>
      </c>
      <c r="AA2050">
        <v>198</v>
      </c>
      <c r="AB2050">
        <v>332</v>
      </c>
      <c r="AC2050">
        <v>536</v>
      </c>
      <c r="AD2050">
        <v>26.61</v>
      </c>
      <c r="AE2050">
        <v>542</v>
      </c>
      <c r="AF2050">
        <v>13</v>
      </c>
      <c r="AG2050">
        <v>180</v>
      </c>
      <c r="AH2050">
        <v>129</v>
      </c>
      <c r="AI2050">
        <v>2.4</v>
      </c>
      <c r="AJ2050">
        <v>33.21</v>
      </c>
      <c r="AK2050">
        <v>23.8</v>
      </c>
      <c r="AL2050">
        <v>-20.129260799999969</v>
      </c>
      <c r="AM2050">
        <v>-44.859468344955843</v>
      </c>
      <c r="AN2050">
        <v>-20.129260799999969</v>
      </c>
      <c r="AO2050">
        <v>-44.859468344955843</v>
      </c>
      <c r="AP2050">
        <v>-20.129152999999999</v>
      </c>
      <c r="AQ2050">
        <v>-44.859299</v>
      </c>
      <c r="AR2050">
        <v>21.38451122307773</v>
      </c>
      <c r="AS2050" t="s">
        <v>65</v>
      </c>
      <c r="AT2050">
        <v>1</v>
      </c>
      <c r="AU2050" t="s">
        <v>181</v>
      </c>
      <c r="AV2050" t="s">
        <v>182</v>
      </c>
      <c r="AW2050" t="s">
        <v>60</v>
      </c>
      <c r="AX2050" t="s">
        <v>68</v>
      </c>
      <c r="AY2050" t="s">
        <v>69</v>
      </c>
      <c r="AZ2050" t="b">
        <v>1</v>
      </c>
    </row>
    <row r="2051" spans="1:52" x14ac:dyDescent="0.3">
      <c r="A2051" t="s">
        <v>52</v>
      </c>
      <c r="B2051" t="s">
        <v>53</v>
      </c>
      <c r="C2051" t="s">
        <v>54</v>
      </c>
      <c r="D2051" t="s">
        <v>55</v>
      </c>
      <c r="E2051" t="s">
        <v>2149</v>
      </c>
      <c r="F2051" t="s">
        <v>190</v>
      </c>
      <c r="G2051" t="s">
        <v>183</v>
      </c>
      <c r="H2051" t="s">
        <v>184</v>
      </c>
      <c r="I2051" t="s">
        <v>184</v>
      </c>
      <c r="J2051" t="s">
        <v>60</v>
      </c>
      <c r="K2051" t="s">
        <v>185</v>
      </c>
      <c r="L2051" t="s">
        <v>62</v>
      </c>
      <c r="M2051" t="s">
        <v>185</v>
      </c>
      <c r="N2051" t="s">
        <v>186</v>
      </c>
      <c r="O2051" t="s">
        <v>187</v>
      </c>
      <c r="P2051">
        <v>-20.134855000000002</v>
      </c>
      <c r="Q2051">
        <v>-44.860174000000001</v>
      </c>
      <c r="R2051" s="2" t="str">
        <f>HYPERLINK("https://www.google.com/maps?q=-20.1348550,-44.8601740","Abrir no Google Maps")</f>
        <v>Abrir no Google Maps</v>
      </c>
      <c r="S2051">
        <v>4</v>
      </c>
      <c r="T2051">
        <v>625.96998974571841</v>
      </c>
      <c r="U2051">
        <v>3</v>
      </c>
      <c r="V2051">
        <v>0.45435906887588939</v>
      </c>
      <c r="W2051">
        <v>1</v>
      </c>
      <c r="X2051">
        <v>0.45435906887588939</v>
      </c>
      <c r="Y2051">
        <v>95</v>
      </c>
      <c r="Z2051">
        <v>257.67818504656498</v>
      </c>
      <c r="AA2051">
        <v>198</v>
      </c>
      <c r="AB2051">
        <v>332</v>
      </c>
      <c r="AC2051">
        <v>536</v>
      </c>
      <c r="AD2051">
        <v>26.61</v>
      </c>
      <c r="AE2051">
        <v>542</v>
      </c>
      <c r="AF2051">
        <v>13</v>
      </c>
      <c r="AG2051">
        <v>180</v>
      </c>
      <c r="AH2051">
        <v>129</v>
      </c>
      <c r="AI2051">
        <v>2.4</v>
      </c>
      <c r="AJ2051">
        <v>33.21</v>
      </c>
      <c r="AK2051">
        <v>23.8</v>
      </c>
      <c r="AL2051">
        <v>-20.134903999999981</v>
      </c>
      <c r="AM2051">
        <v>-44.859880285335962</v>
      </c>
      <c r="AN2051">
        <v>-20.134903999999981</v>
      </c>
      <c r="AO2051">
        <v>-44.859880285335962</v>
      </c>
      <c r="AP2051">
        <v>-20.134855000000002</v>
      </c>
      <c r="AQ2051">
        <v>-44.860174000000001</v>
      </c>
      <c r="AR2051">
        <v>31.178921696823132</v>
      </c>
      <c r="AS2051" t="s">
        <v>65</v>
      </c>
      <c r="AT2051">
        <v>1</v>
      </c>
      <c r="AU2051" t="s">
        <v>188</v>
      </c>
      <c r="AV2051" t="s">
        <v>189</v>
      </c>
      <c r="AW2051" t="s">
        <v>60</v>
      </c>
      <c r="AX2051" t="s">
        <v>68</v>
      </c>
      <c r="AY2051" t="s">
        <v>69</v>
      </c>
      <c r="AZ2051" t="b">
        <v>1</v>
      </c>
    </row>
    <row r="2052" spans="1:52" x14ac:dyDescent="0.3">
      <c r="A2052" t="s">
        <v>52</v>
      </c>
      <c r="B2052" t="s">
        <v>53</v>
      </c>
      <c r="C2052" t="s">
        <v>54</v>
      </c>
      <c r="D2052" t="s">
        <v>55</v>
      </c>
      <c r="E2052" t="s">
        <v>2149</v>
      </c>
      <c r="F2052" t="s">
        <v>190</v>
      </c>
      <c r="G2052" t="s">
        <v>380</v>
      </c>
      <c r="H2052" t="s">
        <v>381</v>
      </c>
      <c r="I2052" t="s">
        <v>381</v>
      </c>
      <c r="J2052" t="s">
        <v>60</v>
      </c>
      <c r="K2052" t="s">
        <v>72</v>
      </c>
      <c r="L2052" t="s">
        <v>62</v>
      </c>
      <c r="M2052" t="s">
        <v>72</v>
      </c>
      <c r="N2052" t="s">
        <v>382</v>
      </c>
      <c r="O2052" t="s">
        <v>383</v>
      </c>
      <c r="P2052">
        <v>-20.147182000000001</v>
      </c>
      <c r="Q2052">
        <v>-44.912728999999999</v>
      </c>
      <c r="R2052" s="2" t="str">
        <f>HYPERLINK("https://www.google.com/maps?q=-20.1471820,-44.9127290","Abrir no Google Maps")</f>
        <v>Abrir no Google Maps</v>
      </c>
      <c r="S2052">
        <v>3</v>
      </c>
      <c r="T2052">
        <v>478.0141981540923</v>
      </c>
      <c r="U2052">
        <v>4</v>
      </c>
      <c r="V2052">
        <v>0.46353302907239508</v>
      </c>
      <c r="W2052">
        <v>1</v>
      </c>
      <c r="X2052">
        <v>0.46353302907239508</v>
      </c>
      <c r="Y2052">
        <v>747</v>
      </c>
      <c r="Z2052">
        <v>494.0254290673729</v>
      </c>
      <c r="AA2052">
        <v>198</v>
      </c>
      <c r="AB2052">
        <v>332</v>
      </c>
      <c r="AC2052">
        <v>536</v>
      </c>
      <c r="AD2052">
        <v>26.61</v>
      </c>
      <c r="AE2052">
        <v>542</v>
      </c>
      <c r="AF2052">
        <v>13</v>
      </c>
      <c r="AG2052">
        <v>180</v>
      </c>
      <c r="AH2052">
        <v>129</v>
      </c>
      <c r="AI2052">
        <v>2.4</v>
      </c>
      <c r="AJ2052">
        <v>33.21</v>
      </c>
      <c r="AK2052">
        <v>23.8</v>
      </c>
      <c r="AL2052">
        <v>-20.147375599999979</v>
      </c>
      <c r="AM2052">
        <v>-44.912907472879468</v>
      </c>
      <c r="AN2052">
        <v>-20.147375599999979</v>
      </c>
      <c r="AO2052">
        <v>-44.912907472879468</v>
      </c>
      <c r="AP2052">
        <v>-20.147182000000001</v>
      </c>
      <c r="AQ2052">
        <v>-44.912728999999999</v>
      </c>
      <c r="AR2052">
        <v>28.50197694184326</v>
      </c>
      <c r="AS2052" t="s">
        <v>65</v>
      </c>
      <c r="AT2052">
        <v>1</v>
      </c>
      <c r="AU2052" t="s">
        <v>384</v>
      </c>
      <c r="AV2052" t="s">
        <v>385</v>
      </c>
      <c r="AW2052" t="s">
        <v>60</v>
      </c>
      <c r="AX2052" t="s">
        <v>68</v>
      </c>
      <c r="AY2052" t="s">
        <v>69</v>
      </c>
      <c r="AZ2052" t="b">
        <v>1</v>
      </c>
    </row>
    <row r="2053" spans="1:52" x14ac:dyDescent="0.3">
      <c r="A2053" t="s">
        <v>52</v>
      </c>
      <c r="B2053" t="s">
        <v>53</v>
      </c>
      <c r="C2053" t="s">
        <v>54</v>
      </c>
      <c r="D2053" t="s">
        <v>55</v>
      </c>
      <c r="E2053" t="s">
        <v>2149</v>
      </c>
      <c r="F2053" t="s">
        <v>190</v>
      </c>
      <c r="G2053" t="s">
        <v>839</v>
      </c>
      <c r="H2053" t="s">
        <v>840</v>
      </c>
      <c r="I2053" t="s">
        <v>840</v>
      </c>
      <c r="J2053" t="s">
        <v>60</v>
      </c>
      <c r="K2053" t="s">
        <v>388</v>
      </c>
      <c r="L2053" t="s">
        <v>62</v>
      </c>
      <c r="M2053" t="s">
        <v>388</v>
      </c>
      <c r="N2053" t="s">
        <v>841</v>
      </c>
      <c r="O2053" t="s">
        <v>842</v>
      </c>
      <c r="P2053">
        <v>-20.159977999999999</v>
      </c>
      <c r="Q2053">
        <v>-44.900207000000002</v>
      </c>
      <c r="R2053" s="2" t="str">
        <f>HYPERLINK("https://www.google.com/maps?q=-20.1599780,-44.9002070","Abrir no Google Maps")</f>
        <v>Abrir no Google Maps</v>
      </c>
      <c r="S2053">
        <v>3</v>
      </c>
      <c r="T2053">
        <v>213.24333517300789</v>
      </c>
      <c r="U2053">
        <v>4</v>
      </c>
      <c r="V2053">
        <v>0.46364773750165528</v>
      </c>
      <c r="W2053">
        <v>1</v>
      </c>
      <c r="X2053">
        <v>0.46364773750165528</v>
      </c>
      <c r="Y2053">
        <v>729</v>
      </c>
      <c r="Z2053">
        <v>315.47173727880028</v>
      </c>
      <c r="AA2053">
        <v>198</v>
      </c>
      <c r="AB2053">
        <v>332</v>
      </c>
      <c r="AC2053">
        <v>536</v>
      </c>
      <c r="AD2053">
        <v>26.61</v>
      </c>
      <c r="AE2053">
        <v>542</v>
      </c>
      <c r="AF2053">
        <v>13</v>
      </c>
      <c r="AG2053">
        <v>180</v>
      </c>
      <c r="AH2053">
        <v>129</v>
      </c>
      <c r="AI2053">
        <v>2.4</v>
      </c>
      <c r="AJ2053">
        <v>33.21</v>
      </c>
      <c r="AK2053">
        <v>23.8</v>
      </c>
      <c r="AL2053">
        <v>-20.159825649999959</v>
      </c>
      <c r="AM2053">
        <v>-44.900143828909613</v>
      </c>
      <c r="AN2053">
        <v>-20.159825649999959</v>
      </c>
      <c r="AO2053">
        <v>-44.900143828909613</v>
      </c>
      <c r="AP2053">
        <v>-20.159977999999999</v>
      </c>
      <c r="AQ2053">
        <v>-44.900207000000002</v>
      </c>
      <c r="AR2053">
        <v>18.199073573580371</v>
      </c>
      <c r="AS2053" t="s">
        <v>65</v>
      </c>
      <c r="AT2053">
        <v>1</v>
      </c>
      <c r="AU2053" t="s">
        <v>843</v>
      </c>
      <c r="AV2053" t="s">
        <v>844</v>
      </c>
      <c r="AW2053" t="s">
        <v>60</v>
      </c>
      <c r="AX2053" t="s">
        <v>68</v>
      </c>
      <c r="AY2053" t="s">
        <v>69</v>
      </c>
      <c r="AZ2053" t="b">
        <v>1</v>
      </c>
    </row>
    <row r="2054" spans="1:52" x14ac:dyDescent="0.3">
      <c r="A2054" t="s">
        <v>52</v>
      </c>
      <c r="B2054" t="s">
        <v>53</v>
      </c>
      <c r="C2054" t="s">
        <v>54</v>
      </c>
      <c r="D2054" t="s">
        <v>55</v>
      </c>
      <c r="E2054" t="s">
        <v>2149</v>
      </c>
      <c r="F2054" t="s">
        <v>190</v>
      </c>
      <c r="G2054" t="s">
        <v>386</v>
      </c>
      <c r="H2054" t="s">
        <v>387</v>
      </c>
      <c r="I2054" t="s">
        <v>387</v>
      </c>
      <c r="J2054" t="s">
        <v>60</v>
      </c>
      <c r="K2054" t="s">
        <v>388</v>
      </c>
      <c r="L2054" t="s">
        <v>62</v>
      </c>
      <c r="M2054" t="s">
        <v>388</v>
      </c>
      <c r="N2054" t="s">
        <v>389</v>
      </c>
      <c r="O2054" t="s">
        <v>357</v>
      </c>
      <c r="P2054">
        <v>-20.161041999999998</v>
      </c>
      <c r="Q2054">
        <v>-44.901242000000003</v>
      </c>
      <c r="R2054" s="2" t="str">
        <f>HYPERLINK("https://www.google.com/maps?q=-20.1610420,-44.9012420","Abrir no Google Maps")</f>
        <v>Abrir no Google Maps</v>
      </c>
      <c r="S2054">
        <v>3</v>
      </c>
      <c r="T2054">
        <v>440.22183232279212</v>
      </c>
      <c r="U2054">
        <v>4</v>
      </c>
      <c r="V2054">
        <v>0.47259098820360079</v>
      </c>
      <c r="W2054">
        <v>1</v>
      </c>
      <c r="X2054">
        <v>0.47259098820360079</v>
      </c>
      <c r="Y2054">
        <v>729</v>
      </c>
      <c r="Z2054">
        <v>398.48306829302379</v>
      </c>
      <c r="AA2054">
        <v>198</v>
      </c>
      <c r="AB2054">
        <v>332</v>
      </c>
      <c r="AC2054">
        <v>536</v>
      </c>
      <c r="AD2054">
        <v>26.61</v>
      </c>
      <c r="AE2054">
        <v>542</v>
      </c>
      <c r="AF2054">
        <v>13</v>
      </c>
      <c r="AG2054">
        <v>180</v>
      </c>
      <c r="AH2054">
        <v>129</v>
      </c>
      <c r="AI2054">
        <v>2.4</v>
      </c>
      <c r="AJ2054">
        <v>33.21</v>
      </c>
      <c r="AK2054">
        <v>23.8</v>
      </c>
      <c r="AL2054">
        <v>-20.16176629999995</v>
      </c>
      <c r="AM2054">
        <v>-44.901582787827898</v>
      </c>
      <c r="AN2054">
        <v>-20.16176629999995</v>
      </c>
      <c r="AO2054">
        <v>-44.901582787827898</v>
      </c>
      <c r="AP2054">
        <v>-20.161041999999998</v>
      </c>
      <c r="AQ2054">
        <v>-44.901242000000003</v>
      </c>
      <c r="AR2054">
        <v>88.143369157892835</v>
      </c>
      <c r="AS2054" t="s">
        <v>65</v>
      </c>
      <c r="AT2054">
        <v>1</v>
      </c>
      <c r="AU2054" t="s">
        <v>390</v>
      </c>
      <c r="AV2054" t="s">
        <v>391</v>
      </c>
      <c r="AW2054" t="s">
        <v>60</v>
      </c>
      <c r="AX2054" t="s">
        <v>68</v>
      </c>
      <c r="AY2054" t="s">
        <v>69</v>
      </c>
      <c r="AZ2054" t="b">
        <v>1</v>
      </c>
    </row>
    <row r="2055" spans="1:52" x14ac:dyDescent="0.3">
      <c r="A2055" t="s">
        <v>52</v>
      </c>
      <c r="B2055" t="s">
        <v>53</v>
      </c>
      <c r="C2055" t="s">
        <v>54</v>
      </c>
      <c r="D2055" t="s">
        <v>55</v>
      </c>
      <c r="E2055" t="s">
        <v>2149</v>
      </c>
      <c r="F2055" t="s">
        <v>190</v>
      </c>
      <c r="G2055" t="s">
        <v>392</v>
      </c>
      <c r="H2055" t="s">
        <v>393</v>
      </c>
      <c r="I2055" t="s">
        <v>393</v>
      </c>
      <c r="J2055" t="s">
        <v>60</v>
      </c>
      <c r="K2055" t="s">
        <v>388</v>
      </c>
      <c r="L2055" t="s">
        <v>62</v>
      </c>
      <c r="M2055" t="s">
        <v>388</v>
      </c>
      <c r="N2055" t="s">
        <v>394</v>
      </c>
      <c r="O2055" t="s">
        <v>395</v>
      </c>
      <c r="P2055">
        <v>-20.158066999999999</v>
      </c>
      <c r="Q2055">
        <v>-44.908164999999997</v>
      </c>
      <c r="R2055" s="2" t="str">
        <f>HYPERLINK("https://www.google.com/maps?q=-20.1580670,-44.9081650","Abrir no Google Maps")</f>
        <v>Abrir no Google Maps</v>
      </c>
      <c r="S2055">
        <v>3</v>
      </c>
      <c r="T2055">
        <v>666.74434317993041</v>
      </c>
      <c r="U2055">
        <v>4</v>
      </c>
      <c r="V2055">
        <v>0.4757125178447168</v>
      </c>
      <c r="W2055">
        <v>1</v>
      </c>
      <c r="X2055">
        <v>0.4757125178447168</v>
      </c>
      <c r="Y2055">
        <v>729</v>
      </c>
      <c r="Z2055">
        <v>612.4323328215396</v>
      </c>
      <c r="AA2055">
        <v>198</v>
      </c>
      <c r="AB2055">
        <v>332</v>
      </c>
      <c r="AC2055">
        <v>536</v>
      </c>
      <c r="AD2055">
        <v>26.61</v>
      </c>
      <c r="AE2055">
        <v>542</v>
      </c>
      <c r="AF2055">
        <v>13</v>
      </c>
      <c r="AG2055">
        <v>180</v>
      </c>
      <c r="AH2055">
        <v>129</v>
      </c>
      <c r="AI2055">
        <v>2.4</v>
      </c>
      <c r="AJ2055">
        <v>33.21</v>
      </c>
      <c r="AK2055">
        <v>23.8</v>
      </c>
      <c r="AL2055">
        <v>-20.158151449999959</v>
      </c>
      <c r="AM2055">
        <v>-44.908107718360938</v>
      </c>
      <c r="AN2055">
        <v>-20.158151449999959</v>
      </c>
      <c r="AO2055">
        <v>-44.908107718360938</v>
      </c>
      <c r="AP2055">
        <v>-20.158066999999999</v>
      </c>
      <c r="AQ2055">
        <v>-44.908164999999997</v>
      </c>
      <c r="AR2055">
        <v>11.14497345894574</v>
      </c>
      <c r="AS2055" t="s">
        <v>65</v>
      </c>
      <c r="AT2055">
        <v>1</v>
      </c>
      <c r="AU2055" t="s">
        <v>396</v>
      </c>
      <c r="AV2055" t="s">
        <v>397</v>
      </c>
      <c r="AW2055" t="s">
        <v>60</v>
      </c>
      <c r="AX2055" t="s">
        <v>68</v>
      </c>
      <c r="AY2055" t="s">
        <v>69</v>
      </c>
      <c r="AZ2055" t="b">
        <v>1</v>
      </c>
    </row>
    <row r="2056" spans="1:52" x14ac:dyDescent="0.3">
      <c r="A2056" t="s">
        <v>52</v>
      </c>
      <c r="B2056" t="s">
        <v>53</v>
      </c>
      <c r="C2056" t="s">
        <v>54</v>
      </c>
      <c r="D2056" t="s">
        <v>55</v>
      </c>
      <c r="E2056" t="s">
        <v>2149</v>
      </c>
      <c r="F2056" t="s">
        <v>190</v>
      </c>
      <c r="G2056" t="s">
        <v>398</v>
      </c>
      <c r="H2056" t="s">
        <v>399</v>
      </c>
      <c r="I2056" t="s">
        <v>399</v>
      </c>
      <c r="J2056" t="s">
        <v>60</v>
      </c>
      <c r="K2056" t="s">
        <v>388</v>
      </c>
      <c r="L2056" t="s">
        <v>62</v>
      </c>
      <c r="M2056" t="s">
        <v>388</v>
      </c>
      <c r="N2056" t="s">
        <v>400</v>
      </c>
      <c r="O2056" t="s">
        <v>401</v>
      </c>
      <c r="P2056">
        <v>-20.160157000000002</v>
      </c>
      <c r="Q2056">
        <v>-44.904347999999999</v>
      </c>
      <c r="R2056" s="2" t="str">
        <f>HYPERLINK("https://www.google.com/maps?q=-20.1601570,-44.9043480","Abrir no Google Maps")</f>
        <v>Abrir no Google Maps</v>
      </c>
      <c r="S2056">
        <v>3</v>
      </c>
      <c r="T2056">
        <v>469.26088527154809</v>
      </c>
      <c r="U2056">
        <v>4</v>
      </c>
      <c r="V2056">
        <v>0.52178184077694678</v>
      </c>
      <c r="W2056">
        <v>1</v>
      </c>
      <c r="X2056">
        <v>0.52178184077694678</v>
      </c>
      <c r="Y2056">
        <v>729</v>
      </c>
      <c r="Z2056">
        <v>253.57832452309071</v>
      </c>
      <c r="AA2056">
        <v>198</v>
      </c>
      <c r="AB2056">
        <v>332</v>
      </c>
      <c r="AC2056">
        <v>536</v>
      </c>
      <c r="AD2056">
        <v>26.61</v>
      </c>
      <c r="AE2056">
        <v>542</v>
      </c>
      <c r="AF2056">
        <v>13</v>
      </c>
      <c r="AG2056">
        <v>180</v>
      </c>
      <c r="AH2056">
        <v>129</v>
      </c>
      <c r="AI2056">
        <v>2.4</v>
      </c>
      <c r="AJ2056">
        <v>33.21</v>
      </c>
      <c r="AK2056">
        <v>23.8</v>
      </c>
      <c r="AL2056">
        <v>-20.160007949999969</v>
      </c>
      <c r="AM2056">
        <v>-44.904396608560482</v>
      </c>
      <c r="AN2056">
        <v>-20.160007949999969</v>
      </c>
      <c r="AO2056">
        <v>-44.904396608560482</v>
      </c>
      <c r="AP2056">
        <v>-20.160157000000002</v>
      </c>
      <c r="AQ2056">
        <v>-44.904347999999999</v>
      </c>
      <c r="AR2056">
        <v>17.35237255387942</v>
      </c>
      <c r="AS2056" t="s">
        <v>65</v>
      </c>
      <c r="AT2056">
        <v>1</v>
      </c>
      <c r="AU2056" t="s">
        <v>402</v>
      </c>
      <c r="AV2056" t="s">
        <v>403</v>
      </c>
      <c r="AW2056" t="s">
        <v>60</v>
      </c>
      <c r="AX2056" t="s">
        <v>68</v>
      </c>
      <c r="AY2056" t="s">
        <v>69</v>
      </c>
      <c r="AZ2056" t="b">
        <v>1</v>
      </c>
    </row>
    <row r="2057" spans="1:52" x14ac:dyDescent="0.3">
      <c r="A2057" t="s">
        <v>52</v>
      </c>
      <c r="B2057" t="s">
        <v>53</v>
      </c>
      <c r="C2057" t="s">
        <v>54</v>
      </c>
      <c r="D2057" t="s">
        <v>55</v>
      </c>
      <c r="E2057" t="s">
        <v>2149</v>
      </c>
      <c r="F2057" t="s">
        <v>190</v>
      </c>
      <c r="G2057" t="s">
        <v>404</v>
      </c>
      <c r="H2057" t="s">
        <v>405</v>
      </c>
      <c r="I2057" t="s">
        <v>405</v>
      </c>
      <c r="J2057" t="s">
        <v>60</v>
      </c>
      <c r="K2057" t="s">
        <v>388</v>
      </c>
      <c r="L2057" t="s">
        <v>62</v>
      </c>
      <c r="M2057" t="s">
        <v>388</v>
      </c>
      <c r="N2057" t="s">
        <v>406</v>
      </c>
      <c r="O2057" t="s">
        <v>407</v>
      </c>
      <c r="P2057">
        <v>-20.162780999999999</v>
      </c>
      <c r="Q2057">
        <v>-44.904437999999999</v>
      </c>
      <c r="R2057" s="2" t="str">
        <f>HYPERLINK("https://www.google.com/maps?q=-20.1627810,-44.9044380","Abrir no Google Maps")</f>
        <v>Abrir no Google Maps</v>
      </c>
      <c r="S2057">
        <v>3</v>
      </c>
      <c r="T2057">
        <v>681.0891377731482</v>
      </c>
      <c r="U2057">
        <v>4</v>
      </c>
      <c r="V2057">
        <v>0.52625083498091085</v>
      </c>
      <c r="W2057">
        <v>1</v>
      </c>
      <c r="X2057">
        <v>0.52625083498091085</v>
      </c>
      <c r="Y2057">
        <v>729</v>
      </c>
      <c r="Z2057">
        <v>564.17713687218622</v>
      </c>
      <c r="AA2057">
        <v>198</v>
      </c>
      <c r="AB2057">
        <v>332</v>
      </c>
      <c r="AC2057">
        <v>536</v>
      </c>
      <c r="AD2057">
        <v>26.61</v>
      </c>
      <c r="AE2057">
        <v>542</v>
      </c>
      <c r="AF2057">
        <v>13</v>
      </c>
      <c r="AG2057">
        <v>180</v>
      </c>
      <c r="AH2057">
        <v>129</v>
      </c>
      <c r="AI2057">
        <v>2.4</v>
      </c>
      <c r="AJ2057">
        <v>33.21</v>
      </c>
      <c r="AK2057">
        <v>23.8</v>
      </c>
      <c r="AL2057">
        <v>-20.16295434999995</v>
      </c>
      <c r="AM2057">
        <v>-44.904242686956152</v>
      </c>
      <c r="AN2057">
        <v>-20.16295434999995</v>
      </c>
      <c r="AO2057">
        <v>-44.904242686956152</v>
      </c>
      <c r="AP2057">
        <v>-20.162780999999999</v>
      </c>
      <c r="AQ2057">
        <v>-44.904437999999999</v>
      </c>
      <c r="AR2057">
        <v>28.088191280523411</v>
      </c>
      <c r="AS2057" t="s">
        <v>65</v>
      </c>
      <c r="AT2057">
        <v>1</v>
      </c>
      <c r="AU2057" t="s">
        <v>408</v>
      </c>
      <c r="AV2057" t="s">
        <v>409</v>
      </c>
      <c r="AW2057" t="s">
        <v>60</v>
      </c>
      <c r="AX2057" t="s">
        <v>68</v>
      </c>
      <c r="AY2057" t="s">
        <v>69</v>
      </c>
      <c r="AZ2057" t="b">
        <v>1</v>
      </c>
    </row>
    <row r="2058" spans="1:52" x14ac:dyDescent="0.3">
      <c r="A2058" t="s">
        <v>52</v>
      </c>
      <c r="B2058" t="s">
        <v>53</v>
      </c>
      <c r="C2058" t="s">
        <v>54</v>
      </c>
      <c r="D2058" t="s">
        <v>55</v>
      </c>
      <c r="E2058" t="s">
        <v>2149</v>
      </c>
      <c r="F2058" t="s">
        <v>190</v>
      </c>
      <c r="G2058" t="s">
        <v>410</v>
      </c>
      <c r="H2058" t="s">
        <v>411</v>
      </c>
      <c r="I2058" t="s">
        <v>411</v>
      </c>
      <c r="J2058" t="s">
        <v>60</v>
      </c>
      <c r="K2058" t="s">
        <v>388</v>
      </c>
      <c r="L2058" t="s">
        <v>62</v>
      </c>
      <c r="M2058" t="s">
        <v>388</v>
      </c>
      <c r="N2058" t="s">
        <v>412</v>
      </c>
      <c r="O2058" t="s">
        <v>413</v>
      </c>
      <c r="P2058">
        <v>-20.161394000000001</v>
      </c>
      <c r="Q2058">
        <v>-44.906725999999999</v>
      </c>
      <c r="R2058" s="2" t="str">
        <f>HYPERLINK("https://www.google.com/maps?q=-20.1613940,-44.9067260","Abrir no Google Maps")</f>
        <v>Abrir no Google Maps</v>
      </c>
      <c r="S2058">
        <v>3</v>
      </c>
      <c r="T2058">
        <v>763.68157548493457</v>
      </c>
      <c r="U2058">
        <v>4</v>
      </c>
      <c r="V2058">
        <v>0.51346597749418654</v>
      </c>
      <c r="W2058">
        <v>1</v>
      </c>
      <c r="X2058">
        <v>0.51346597749418654</v>
      </c>
      <c r="Y2058">
        <v>729</v>
      </c>
      <c r="Z2058">
        <v>551.70379325948545</v>
      </c>
      <c r="AA2058">
        <v>198</v>
      </c>
      <c r="AB2058">
        <v>332</v>
      </c>
      <c r="AC2058">
        <v>536</v>
      </c>
      <c r="AD2058">
        <v>26.61</v>
      </c>
      <c r="AE2058">
        <v>542</v>
      </c>
      <c r="AF2058">
        <v>13</v>
      </c>
      <c r="AG2058">
        <v>180</v>
      </c>
      <c r="AH2058">
        <v>129</v>
      </c>
      <c r="AI2058">
        <v>2.4</v>
      </c>
      <c r="AJ2058">
        <v>33.21</v>
      </c>
      <c r="AK2058">
        <v>23.8</v>
      </c>
      <c r="AL2058">
        <v>-20.161371049999929</v>
      </c>
      <c r="AM2058">
        <v>-44.906816797310228</v>
      </c>
      <c r="AN2058">
        <v>-20.161371049999929</v>
      </c>
      <c r="AO2058">
        <v>-44.906816797310228</v>
      </c>
      <c r="AP2058">
        <v>-20.161394000000001</v>
      </c>
      <c r="AQ2058">
        <v>-44.906725999999999</v>
      </c>
      <c r="AR2058">
        <v>9.8261555662022495</v>
      </c>
      <c r="AS2058" t="s">
        <v>65</v>
      </c>
      <c r="AT2058">
        <v>1</v>
      </c>
      <c r="AU2058" t="s">
        <v>414</v>
      </c>
      <c r="AV2058" t="s">
        <v>415</v>
      </c>
      <c r="AW2058" t="s">
        <v>60</v>
      </c>
      <c r="AX2058" t="s">
        <v>68</v>
      </c>
      <c r="AY2058" t="s">
        <v>69</v>
      </c>
      <c r="AZ2058" t="b">
        <v>1</v>
      </c>
    </row>
    <row r="2059" spans="1:52" x14ac:dyDescent="0.3">
      <c r="A2059" t="s">
        <v>52</v>
      </c>
      <c r="B2059" t="s">
        <v>53</v>
      </c>
      <c r="C2059" t="s">
        <v>54</v>
      </c>
      <c r="D2059" t="s">
        <v>55</v>
      </c>
      <c r="E2059" t="s">
        <v>2149</v>
      </c>
      <c r="F2059" t="s">
        <v>190</v>
      </c>
      <c r="G2059" t="s">
        <v>416</v>
      </c>
      <c r="H2059" t="s">
        <v>417</v>
      </c>
      <c r="I2059" t="s">
        <v>417</v>
      </c>
      <c r="J2059" t="s">
        <v>60</v>
      </c>
      <c r="K2059" t="s">
        <v>418</v>
      </c>
      <c r="L2059" t="s">
        <v>62</v>
      </c>
      <c r="M2059" t="s">
        <v>418</v>
      </c>
      <c r="N2059" t="s">
        <v>419</v>
      </c>
      <c r="O2059" t="s">
        <v>202</v>
      </c>
      <c r="P2059">
        <v>-20.169886000000002</v>
      </c>
      <c r="Q2059">
        <v>-44.913288000000001</v>
      </c>
      <c r="R2059" s="2" t="str">
        <f>HYPERLINK("https://www.google.com/maps?q=-20.1698860,-44.9132880","Abrir no Google Maps")</f>
        <v>Abrir no Google Maps</v>
      </c>
      <c r="S2059">
        <v>3</v>
      </c>
      <c r="T2059">
        <v>422.88733632898152</v>
      </c>
      <c r="U2059">
        <v>4</v>
      </c>
      <c r="V2059">
        <v>0.50917875223715359</v>
      </c>
      <c r="W2059">
        <v>1</v>
      </c>
      <c r="X2059">
        <v>0.50917875223715359</v>
      </c>
      <c r="Y2059">
        <v>723</v>
      </c>
      <c r="Z2059">
        <v>128.65003864232261</v>
      </c>
      <c r="AA2059">
        <v>198</v>
      </c>
      <c r="AB2059">
        <v>332</v>
      </c>
      <c r="AC2059">
        <v>536</v>
      </c>
      <c r="AD2059">
        <v>26.61</v>
      </c>
      <c r="AE2059">
        <v>542</v>
      </c>
      <c r="AF2059">
        <v>13</v>
      </c>
      <c r="AG2059">
        <v>180</v>
      </c>
      <c r="AH2059">
        <v>129</v>
      </c>
      <c r="AI2059">
        <v>2.4</v>
      </c>
      <c r="AJ2059">
        <v>33.21</v>
      </c>
      <c r="AK2059">
        <v>23.8</v>
      </c>
      <c r="AL2059">
        <v>-20.16970024999998</v>
      </c>
      <c r="AM2059">
        <v>-44.913502201257437</v>
      </c>
      <c r="AN2059">
        <v>-20.16970024999998</v>
      </c>
      <c r="AO2059">
        <v>-44.913502201257437</v>
      </c>
      <c r="AP2059">
        <v>-20.169886000000002</v>
      </c>
      <c r="AQ2059">
        <v>-44.913288000000001</v>
      </c>
      <c r="AR2059">
        <v>30.47208587597606</v>
      </c>
      <c r="AS2059" t="s">
        <v>65</v>
      </c>
      <c r="AT2059">
        <v>1</v>
      </c>
      <c r="AU2059" t="s">
        <v>420</v>
      </c>
      <c r="AV2059" t="s">
        <v>421</v>
      </c>
      <c r="AW2059" t="s">
        <v>60</v>
      </c>
      <c r="AX2059" t="s">
        <v>68</v>
      </c>
      <c r="AY2059" t="s">
        <v>69</v>
      </c>
      <c r="AZ2059" t="b">
        <v>1</v>
      </c>
    </row>
    <row r="2060" spans="1:52" x14ac:dyDescent="0.3">
      <c r="A2060" t="s">
        <v>52</v>
      </c>
      <c r="B2060" t="s">
        <v>53</v>
      </c>
      <c r="C2060" t="s">
        <v>54</v>
      </c>
      <c r="D2060" t="s">
        <v>55</v>
      </c>
      <c r="E2060" t="s">
        <v>2149</v>
      </c>
      <c r="F2060" t="s">
        <v>190</v>
      </c>
      <c r="G2060" t="s">
        <v>422</v>
      </c>
      <c r="H2060" t="s">
        <v>423</v>
      </c>
      <c r="I2060" t="s">
        <v>423</v>
      </c>
      <c r="J2060" t="s">
        <v>60</v>
      </c>
      <c r="K2060" t="s">
        <v>424</v>
      </c>
      <c r="L2060" t="s">
        <v>62</v>
      </c>
      <c r="M2060" t="s">
        <v>424</v>
      </c>
      <c r="N2060" t="s">
        <v>425</v>
      </c>
      <c r="O2060" t="s">
        <v>426</v>
      </c>
      <c r="P2060">
        <v>-20.177748000000001</v>
      </c>
      <c r="Q2060">
        <v>-44.912475000000001</v>
      </c>
      <c r="R2060" s="2" t="str">
        <f>HYPERLINK("https://www.google.com/maps?q=-20.1777480,-44.9124750","Abrir no Google Maps")</f>
        <v>Abrir no Google Maps</v>
      </c>
      <c r="S2060">
        <v>3</v>
      </c>
      <c r="T2060">
        <v>657.07560140436533</v>
      </c>
      <c r="U2060">
        <v>4</v>
      </c>
      <c r="V2060">
        <v>0.4650225095672253</v>
      </c>
      <c r="W2060">
        <v>1</v>
      </c>
      <c r="X2060">
        <v>0.4650225095672253</v>
      </c>
      <c r="Y2060">
        <v>723</v>
      </c>
      <c r="Z2060">
        <v>796.94198000561175</v>
      </c>
      <c r="AA2060">
        <v>198</v>
      </c>
      <c r="AB2060">
        <v>332</v>
      </c>
      <c r="AC2060">
        <v>536</v>
      </c>
      <c r="AD2060">
        <v>26.61</v>
      </c>
      <c r="AE2060">
        <v>542</v>
      </c>
      <c r="AF2060">
        <v>13</v>
      </c>
      <c r="AG2060">
        <v>180</v>
      </c>
      <c r="AH2060">
        <v>129</v>
      </c>
      <c r="AI2060">
        <v>2.4</v>
      </c>
      <c r="AJ2060">
        <v>33.21</v>
      </c>
      <c r="AK2060">
        <v>23.8</v>
      </c>
      <c r="AL2060">
        <v>-20.177761749999949</v>
      </c>
      <c r="AM2060">
        <v>-44.91263311624418</v>
      </c>
      <c r="AN2060">
        <v>-20.177761749999949</v>
      </c>
      <c r="AO2060">
        <v>-44.91263311624418</v>
      </c>
      <c r="AP2060">
        <v>-20.177748000000001</v>
      </c>
      <c r="AQ2060">
        <v>-44.912475000000001</v>
      </c>
      <c r="AR2060">
        <v>16.591996803075372</v>
      </c>
      <c r="AS2060" t="s">
        <v>65</v>
      </c>
      <c r="AT2060">
        <v>1</v>
      </c>
      <c r="AU2060" t="s">
        <v>427</v>
      </c>
      <c r="AV2060" t="s">
        <v>428</v>
      </c>
      <c r="AW2060" t="s">
        <v>60</v>
      </c>
      <c r="AX2060" t="s">
        <v>68</v>
      </c>
      <c r="AY2060" t="s">
        <v>69</v>
      </c>
      <c r="AZ2060" t="b">
        <v>1</v>
      </c>
    </row>
    <row r="2061" spans="1:52" x14ac:dyDescent="0.3">
      <c r="A2061" t="s">
        <v>52</v>
      </c>
      <c r="B2061" t="s">
        <v>53</v>
      </c>
      <c r="C2061" t="s">
        <v>54</v>
      </c>
      <c r="D2061" t="s">
        <v>55</v>
      </c>
      <c r="E2061" t="s">
        <v>2149</v>
      </c>
      <c r="F2061" t="s">
        <v>190</v>
      </c>
      <c r="G2061" t="s">
        <v>429</v>
      </c>
      <c r="H2061" t="s">
        <v>430</v>
      </c>
      <c r="I2061" t="s">
        <v>430</v>
      </c>
      <c r="J2061" t="s">
        <v>60</v>
      </c>
      <c r="K2061" t="s">
        <v>431</v>
      </c>
      <c r="L2061" t="s">
        <v>62</v>
      </c>
      <c r="M2061" t="s">
        <v>431</v>
      </c>
      <c r="N2061" t="s">
        <v>432</v>
      </c>
      <c r="O2061" t="s">
        <v>315</v>
      </c>
      <c r="P2061">
        <v>-20.172698</v>
      </c>
      <c r="Q2061">
        <v>-44.923842</v>
      </c>
      <c r="R2061" s="2" t="str">
        <f>HYPERLINK("https://www.google.com/maps?q=-20.1726980,-44.9238420","Abrir no Google Maps")</f>
        <v>Abrir no Google Maps</v>
      </c>
      <c r="S2061">
        <v>3</v>
      </c>
      <c r="T2061">
        <v>1376.1843173402931</v>
      </c>
      <c r="U2061">
        <v>4</v>
      </c>
      <c r="V2061">
        <v>0.60154139980866927</v>
      </c>
      <c r="W2061">
        <v>0.85</v>
      </c>
      <c r="X2061">
        <v>0.51131018983736887</v>
      </c>
      <c r="Y2061">
        <v>723</v>
      </c>
      <c r="Z2061">
        <v>1101.340635002096</v>
      </c>
      <c r="AA2061">
        <v>198</v>
      </c>
      <c r="AB2061">
        <v>332</v>
      </c>
      <c r="AC2061">
        <v>536</v>
      </c>
      <c r="AD2061">
        <v>26.61</v>
      </c>
      <c r="AE2061">
        <v>542</v>
      </c>
      <c r="AF2061">
        <v>13</v>
      </c>
      <c r="AG2061">
        <v>180</v>
      </c>
      <c r="AH2061">
        <v>129</v>
      </c>
      <c r="AI2061">
        <v>2.4</v>
      </c>
      <c r="AJ2061">
        <v>33.21</v>
      </c>
      <c r="AK2061">
        <v>23.8</v>
      </c>
      <c r="AL2061">
        <v>-20.172942799999959</v>
      </c>
      <c r="AM2061">
        <v>-44.923585372665762</v>
      </c>
      <c r="AN2061">
        <v>-20.172942799999959</v>
      </c>
      <c r="AO2061">
        <v>-44.923585372665762</v>
      </c>
      <c r="AP2061">
        <v>-20.172698</v>
      </c>
      <c r="AQ2061">
        <v>-44.923842</v>
      </c>
      <c r="AR2061">
        <v>38.231981408478958</v>
      </c>
      <c r="AS2061" t="s">
        <v>65</v>
      </c>
      <c r="AT2061">
        <v>1</v>
      </c>
      <c r="AU2061" t="s">
        <v>433</v>
      </c>
      <c r="AV2061" t="s">
        <v>434</v>
      </c>
      <c r="AW2061" t="s">
        <v>60</v>
      </c>
      <c r="AX2061" t="s">
        <v>68</v>
      </c>
      <c r="AY2061" t="s">
        <v>69</v>
      </c>
      <c r="AZ2061" t="b">
        <v>1</v>
      </c>
    </row>
    <row r="2062" spans="1:52" x14ac:dyDescent="0.3">
      <c r="A2062" t="s">
        <v>52</v>
      </c>
      <c r="B2062" t="s">
        <v>53</v>
      </c>
      <c r="C2062" t="s">
        <v>54</v>
      </c>
      <c r="D2062" t="s">
        <v>55</v>
      </c>
      <c r="E2062" t="s">
        <v>2149</v>
      </c>
      <c r="F2062" t="s">
        <v>190</v>
      </c>
      <c r="G2062" t="s">
        <v>435</v>
      </c>
      <c r="H2062" t="s">
        <v>436</v>
      </c>
      <c r="I2062" t="s">
        <v>436</v>
      </c>
      <c r="J2062" t="s">
        <v>60</v>
      </c>
      <c r="K2062" t="s">
        <v>437</v>
      </c>
      <c r="L2062" t="s">
        <v>62</v>
      </c>
      <c r="M2062" t="s">
        <v>437</v>
      </c>
      <c r="N2062" t="s">
        <v>438</v>
      </c>
      <c r="O2062" t="s">
        <v>439</v>
      </c>
      <c r="P2062">
        <v>-20.145613000000001</v>
      </c>
      <c r="Q2062">
        <v>-44.882375000000003</v>
      </c>
      <c r="R2062" s="2" t="str">
        <f>HYPERLINK("https://www.google.com/maps?q=-20.1456130,-44.8823750","Abrir no Google Maps")</f>
        <v>Abrir no Google Maps</v>
      </c>
      <c r="S2062">
        <v>3</v>
      </c>
      <c r="T2062">
        <v>305.65092112314198</v>
      </c>
      <c r="U2062">
        <v>4</v>
      </c>
      <c r="V2062">
        <v>0.49474749733531198</v>
      </c>
      <c r="W2062">
        <v>1</v>
      </c>
      <c r="X2062">
        <v>0.49474749733531198</v>
      </c>
      <c r="Y2062">
        <v>653</v>
      </c>
      <c r="Z2062">
        <v>349.55297035282501</v>
      </c>
      <c r="AA2062">
        <v>198</v>
      </c>
      <c r="AB2062">
        <v>332</v>
      </c>
      <c r="AC2062">
        <v>536</v>
      </c>
      <c r="AD2062">
        <v>26.61</v>
      </c>
      <c r="AE2062">
        <v>542</v>
      </c>
      <c r="AF2062">
        <v>13</v>
      </c>
      <c r="AG2062">
        <v>180</v>
      </c>
      <c r="AH2062">
        <v>129</v>
      </c>
      <c r="AI2062">
        <v>2.4</v>
      </c>
      <c r="AJ2062">
        <v>33.21</v>
      </c>
      <c r="AK2062">
        <v>23.8</v>
      </c>
      <c r="AL2062">
        <v>-20.14550464999996</v>
      </c>
      <c r="AM2062">
        <v>-44.882157007077737</v>
      </c>
      <c r="AN2062">
        <v>-20.14550464999996</v>
      </c>
      <c r="AO2062">
        <v>-44.882157007077737</v>
      </c>
      <c r="AP2062">
        <v>-20.145613000000001</v>
      </c>
      <c r="AQ2062">
        <v>-44.882375000000003</v>
      </c>
      <c r="AR2062">
        <v>25.77819791856259</v>
      </c>
      <c r="AS2062" t="s">
        <v>65</v>
      </c>
      <c r="AT2062">
        <v>1</v>
      </c>
      <c r="AU2062" t="s">
        <v>440</v>
      </c>
      <c r="AV2062" t="s">
        <v>441</v>
      </c>
      <c r="AW2062" t="s">
        <v>60</v>
      </c>
      <c r="AX2062" t="s">
        <v>68</v>
      </c>
      <c r="AY2062" t="s">
        <v>69</v>
      </c>
      <c r="AZ2062" t="b">
        <v>1</v>
      </c>
    </row>
    <row r="2063" spans="1:52" x14ac:dyDescent="0.3">
      <c r="A2063" t="s">
        <v>52</v>
      </c>
      <c r="B2063" t="s">
        <v>53</v>
      </c>
      <c r="C2063" t="s">
        <v>54</v>
      </c>
      <c r="D2063" t="s">
        <v>55</v>
      </c>
      <c r="E2063" t="s">
        <v>2149</v>
      </c>
      <c r="F2063" t="s">
        <v>190</v>
      </c>
      <c r="G2063" t="s">
        <v>442</v>
      </c>
      <c r="H2063" t="s">
        <v>443</v>
      </c>
      <c r="I2063" t="s">
        <v>443</v>
      </c>
      <c r="J2063" t="s">
        <v>60</v>
      </c>
      <c r="K2063" t="s">
        <v>437</v>
      </c>
      <c r="L2063" t="s">
        <v>62</v>
      </c>
      <c r="M2063" t="s">
        <v>437</v>
      </c>
      <c r="N2063" t="s">
        <v>444</v>
      </c>
      <c r="O2063" t="s">
        <v>445</v>
      </c>
      <c r="P2063">
        <v>-20.149744999999999</v>
      </c>
      <c r="Q2063">
        <v>-44.881385000000002</v>
      </c>
      <c r="R2063" s="2" t="str">
        <f>HYPERLINK("https://www.google.com/maps?q=-20.1497450,-44.8813850","Abrir no Google Maps")</f>
        <v>Abrir no Google Maps</v>
      </c>
      <c r="S2063">
        <v>3</v>
      </c>
      <c r="T2063">
        <v>188.80690546111239</v>
      </c>
      <c r="U2063">
        <v>4</v>
      </c>
      <c r="V2063">
        <v>0.52053538579262915</v>
      </c>
      <c r="W2063">
        <v>1</v>
      </c>
      <c r="X2063">
        <v>0.52053538579262915</v>
      </c>
      <c r="Y2063">
        <v>653</v>
      </c>
      <c r="Z2063">
        <v>86.575080390731017</v>
      </c>
      <c r="AA2063">
        <v>198</v>
      </c>
      <c r="AB2063">
        <v>332</v>
      </c>
      <c r="AC2063">
        <v>536</v>
      </c>
      <c r="AD2063">
        <v>26.61</v>
      </c>
      <c r="AE2063">
        <v>542</v>
      </c>
      <c r="AF2063">
        <v>13</v>
      </c>
      <c r="AG2063">
        <v>180</v>
      </c>
      <c r="AH2063">
        <v>129</v>
      </c>
      <c r="AI2063">
        <v>2.4</v>
      </c>
      <c r="AJ2063">
        <v>33.21</v>
      </c>
      <c r="AK2063">
        <v>23.8</v>
      </c>
      <c r="AL2063">
        <v>-20.149645149999941</v>
      </c>
      <c r="AM2063">
        <v>-44.881504585149607</v>
      </c>
      <c r="AN2063">
        <v>-20.149645149999941</v>
      </c>
      <c r="AO2063">
        <v>-44.881504585149607</v>
      </c>
      <c r="AP2063">
        <v>-20.149744999999999</v>
      </c>
      <c r="AQ2063">
        <v>-44.881385000000002</v>
      </c>
      <c r="AR2063">
        <v>16.725323110840389</v>
      </c>
      <c r="AS2063" t="s">
        <v>65</v>
      </c>
      <c r="AT2063">
        <v>1</v>
      </c>
      <c r="AU2063" t="s">
        <v>446</v>
      </c>
      <c r="AV2063" t="s">
        <v>447</v>
      </c>
      <c r="AW2063" t="s">
        <v>60</v>
      </c>
      <c r="AX2063" t="s">
        <v>68</v>
      </c>
      <c r="AY2063" t="s">
        <v>69</v>
      </c>
      <c r="AZ2063" t="b">
        <v>1</v>
      </c>
    </row>
    <row r="2064" spans="1:52" x14ac:dyDescent="0.3">
      <c r="A2064" t="s">
        <v>52</v>
      </c>
      <c r="B2064" t="s">
        <v>53</v>
      </c>
      <c r="C2064" t="s">
        <v>54</v>
      </c>
      <c r="D2064" t="s">
        <v>55</v>
      </c>
      <c r="E2064" t="s">
        <v>2149</v>
      </c>
      <c r="F2064" t="s">
        <v>190</v>
      </c>
      <c r="G2064" t="s">
        <v>448</v>
      </c>
      <c r="H2064" t="s">
        <v>449</v>
      </c>
      <c r="I2064" t="s">
        <v>449</v>
      </c>
      <c r="J2064" t="s">
        <v>60</v>
      </c>
      <c r="K2064" t="s">
        <v>388</v>
      </c>
      <c r="L2064" t="s">
        <v>62</v>
      </c>
      <c r="M2064" t="s">
        <v>388</v>
      </c>
      <c r="N2064" t="s">
        <v>450</v>
      </c>
      <c r="O2064" t="s">
        <v>451</v>
      </c>
      <c r="P2064">
        <v>-20.163981</v>
      </c>
      <c r="Q2064">
        <v>-44.907128999999998</v>
      </c>
      <c r="R2064" s="2" t="str">
        <f>HYPERLINK("https://www.google.com/maps?q=-20.1639810,-44.9071290","Abrir no Google Maps")</f>
        <v>Abrir no Google Maps</v>
      </c>
      <c r="S2064">
        <v>3</v>
      </c>
      <c r="T2064">
        <v>782.50730806588319</v>
      </c>
      <c r="U2064">
        <v>4</v>
      </c>
      <c r="V2064">
        <v>0.5222294668204992</v>
      </c>
      <c r="W2064">
        <v>1</v>
      </c>
      <c r="X2064">
        <v>0.5222294668204992</v>
      </c>
      <c r="Y2064">
        <v>639</v>
      </c>
      <c r="Z2064">
        <v>710.90621453796166</v>
      </c>
      <c r="AA2064">
        <v>198</v>
      </c>
      <c r="AB2064">
        <v>332</v>
      </c>
      <c r="AC2064">
        <v>536</v>
      </c>
      <c r="AD2064">
        <v>26.61</v>
      </c>
      <c r="AE2064">
        <v>542</v>
      </c>
      <c r="AF2064">
        <v>13</v>
      </c>
      <c r="AG2064">
        <v>180</v>
      </c>
      <c r="AH2064">
        <v>129</v>
      </c>
      <c r="AI2064">
        <v>2.4</v>
      </c>
      <c r="AJ2064">
        <v>33.21</v>
      </c>
      <c r="AK2064">
        <v>23.8</v>
      </c>
      <c r="AL2064">
        <v>-20.163958349999969</v>
      </c>
      <c r="AM2064">
        <v>-44.907180923930973</v>
      </c>
      <c r="AN2064">
        <v>-20.163958349999969</v>
      </c>
      <c r="AO2064">
        <v>-44.907180923930973</v>
      </c>
      <c r="AP2064">
        <v>-20.163981</v>
      </c>
      <c r="AQ2064">
        <v>-44.907128999999998</v>
      </c>
      <c r="AR2064">
        <v>5.9831345092457884</v>
      </c>
      <c r="AS2064" t="s">
        <v>65</v>
      </c>
      <c r="AT2064">
        <v>1</v>
      </c>
      <c r="AU2064" t="s">
        <v>452</v>
      </c>
      <c r="AV2064" t="s">
        <v>453</v>
      </c>
      <c r="AW2064" t="s">
        <v>60</v>
      </c>
      <c r="AX2064" t="s">
        <v>68</v>
      </c>
      <c r="AY2064" t="s">
        <v>69</v>
      </c>
      <c r="AZ2064" t="b">
        <v>1</v>
      </c>
    </row>
    <row r="2065" spans="1:52" x14ac:dyDescent="0.3">
      <c r="A2065" t="s">
        <v>52</v>
      </c>
      <c r="B2065" t="s">
        <v>53</v>
      </c>
      <c r="C2065" t="s">
        <v>54</v>
      </c>
      <c r="D2065" t="s">
        <v>55</v>
      </c>
      <c r="E2065" t="s">
        <v>2149</v>
      </c>
      <c r="F2065" t="s">
        <v>190</v>
      </c>
      <c r="G2065" t="s">
        <v>454</v>
      </c>
      <c r="H2065" t="s">
        <v>455</v>
      </c>
      <c r="I2065" t="s">
        <v>455</v>
      </c>
      <c r="J2065" t="s">
        <v>60</v>
      </c>
      <c r="K2065" t="s">
        <v>456</v>
      </c>
      <c r="L2065" t="s">
        <v>62</v>
      </c>
      <c r="M2065" t="s">
        <v>456</v>
      </c>
      <c r="N2065" t="s">
        <v>102</v>
      </c>
      <c r="O2065" t="s">
        <v>457</v>
      </c>
      <c r="P2065">
        <v>-20.138373999999999</v>
      </c>
      <c r="Q2065">
        <v>-44.903756999999999</v>
      </c>
      <c r="R2065" s="2" t="str">
        <f>HYPERLINK("https://www.google.com/maps?q=-20.1383740,-44.9037570","Abrir no Google Maps")</f>
        <v>Abrir no Google Maps</v>
      </c>
      <c r="S2065">
        <v>3</v>
      </c>
      <c r="T2065">
        <v>357.59466273594461</v>
      </c>
      <c r="U2065">
        <v>4</v>
      </c>
      <c r="V2065">
        <v>0.53706056656487489</v>
      </c>
      <c r="W2065">
        <v>1</v>
      </c>
      <c r="X2065">
        <v>0.53706056656487489</v>
      </c>
      <c r="Y2065">
        <v>581</v>
      </c>
      <c r="Z2065">
        <v>406.92482694505992</v>
      </c>
      <c r="AA2065">
        <v>198</v>
      </c>
      <c r="AB2065">
        <v>332</v>
      </c>
      <c r="AC2065">
        <v>536</v>
      </c>
      <c r="AD2065">
        <v>26.61</v>
      </c>
      <c r="AE2065">
        <v>542</v>
      </c>
      <c r="AF2065">
        <v>13</v>
      </c>
      <c r="AG2065">
        <v>180</v>
      </c>
      <c r="AH2065">
        <v>129</v>
      </c>
      <c r="AI2065">
        <v>2.4</v>
      </c>
      <c r="AJ2065">
        <v>33.21</v>
      </c>
      <c r="AK2065">
        <v>23.8</v>
      </c>
      <c r="AL2065">
        <v>-20.138338199999961</v>
      </c>
      <c r="AM2065">
        <v>-44.903768618976301</v>
      </c>
      <c r="AN2065">
        <v>-20.138338199999961</v>
      </c>
      <c r="AO2065">
        <v>-44.903768618976301</v>
      </c>
      <c r="AP2065">
        <v>-20.138373999999999</v>
      </c>
      <c r="AQ2065">
        <v>-44.903756999999999</v>
      </c>
      <c r="AR2065">
        <v>4.1661625938922704</v>
      </c>
      <c r="AS2065" t="s">
        <v>65</v>
      </c>
      <c r="AT2065">
        <v>1</v>
      </c>
      <c r="AU2065" t="s">
        <v>458</v>
      </c>
      <c r="AV2065" t="s">
        <v>459</v>
      </c>
      <c r="AW2065" t="s">
        <v>60</v>
      </c>
      <c r="AX2065" t="s">
        <v>68</v>
      </c>
      <c r="AY2065" t="s">
        <v>69</v>
      </c>
      <c r="AZ2065" t="b">
        <v>1</v>
      </c>
    </row>
    <row r="2066" spans="1:52" x14ac:dyDescent="0.3">
      <c r="A2066" t="s">
        <v>52</v>
      </c>
      <c r="B2066" t="s">
        <v>53</v>
      </c>
      <c r="C2066" t="s">
        <v>54</v>
      </c>
      <c r="D2066" t="s">
        <v>55</v>
      </c>
      <c r="E2066" t="s">
        <v>2149</v>
      </c>
      <c r="F2066" t="s">
        <v>190</v>
      </c>
      <c r="G2066" t="s">
        <v>460</v>
      </c>
      <c r="H2066" t="s">
        <v>461</v>
      </c>
      <c r="I2066" t="s">
        <v>461</v>
      </c>
      <c r="J2066" t="s">
        <v>60</v>
      </c>
      <c r="K2066" t="s">
        <v>462</v>
      </c>
      <c r="L2066" t="s">
        <v>62</v>
      </c>
      <c r="M2066" t="s">
        <v>462</v>
      </c>
      <c r="N2066" t="s">
        <v>463</v>
      </c>
      <c r="O2066" t="s">
        <v>464</v>
      </c>
      <c r="P2066">
        <v>-20.137919</v>
      </c>
      <c r="Q2066">
        <v>-44.905591000000001</v>
      </c>
      <c r="R2066" s="2" t="str">
        <f>HYPERLINK("https://www.google.com/maps?q=-20.1379190,-44.9055910","Abrir no Google Maps")</f>
        <v>Abrir no Google Maps</v>
      </c>
      <c r="S2066">
        <v>3</v>
      </c>
      <c r="T2066">
        <v>262.01115919461103</v>
      </c>
      <c r="U2066">
        <v>4</v>
      </c>
      <c r="V2066">
        <v>0.54559041164414457</v>
      </c>
      <c r="W2066">
        <v>1</v>
      </c>
      <c r="X2066">
        <v>0.54559041164414457</v>
      </c>
      <c r="Y2066">
        <v>581</v>
      </c>
      <c r="Z2066">
        <v>318.63337303219271</v>
      </c>
      <c r="AA2066">
        <v>198</v>
      </c>
      <c r="AB2066">
        <v>332</v>
      </c>
      <c r="AC2066">
        <v>536</v>
      </c>
      <c r="AD2066">
        <v>26.61</v>
      </c>
      <c r="AE2066">
        <v>542</v>
      </c>
      <c r="AF2066">
        <v>13</v>
      </c>
      <c r="AG2066">
        <v>180</v>
      </c>
      <c r="AH2066">
        <v>129</v>
      </c>
      <c r="AI2066">
        <v>2.4</v>
      </c>
      <c r="AJ2066">
        <v>33.21</v>
      </c>
      <c r="AK2066">
        <v>23.8</v>
      </c>
      <c r="AL2066">
        <v>-20.13789079999998</v>
      </c>
      <c r="AM2066">
        <v>-44.90548593520333</v>
      </c>
      <c r="AN2066">
        <v>-20.13789079999998</v>
      </c>
      <c r="AO2066">
        <v>-44.90548593520333</v>
      </c>
      <c r="AP2066">
        <v>-20.137919</v>
      </c>
      <c r="AQ2066">
        <v>-44.905591000000001</v>
      </c>
      <c r="AR2066">
        <v>11.42072348298178</v>
      </c>
      <c r="AS2066" t="s">
        <v>65</v>
      </c>
      <c r="AT2066">
        <v>1</v>
      </c>
      <c r="AU2066" t="s">
        <v>465</v>
      </c>
      <c r="AV2066" t="s">
        <v>466</v>
      </c>
      <c r="AW2066" t="s">
        <v>60</v>
      </c>
      <c r="AX2066" t="s">
        <v>68</v>
      </c>
      <c r="AY2066" t="s">
        <v>69</v>
      </c>
      <c r="AZ2066" t="b">
        <v>1</v>
      </c>
    </row>
    <row r="2067" spans="1:52" x14ac:dyDescent="0.3">
      <c r="A2067" t="s">
        <v>52</v>
      </c>
      <c r="B2067" t="s">
        <v>53</v>
      </c>
      <c r="C2067" t="s">
        <v>54</v>
      </c>
      <c r="D2067" t="s">
        <v>55</v>
      </c>
      <c r="E2067" t="s">
        <v>2149</v>
      </c>
      <c r="F2067" t="s">
        <v>190</v>
      </c>
      <c r="G2067" t="s">
        <v>467</v>
      </c>
      <c r="H2067" t="s">
        <v>468</v>
      </c>
      <c r="I2067" t="s">
        <v>468</v>
      </c>
      <c r="J2067" t="s">
        <v>60</v>
      </c>
      <c r="K2067" t="s">
        <v>462</v>
      </c>
      <c r="L2067" t="s">
        <v>62</v>
      </c>
      <c r="M2067" t="s">
        <v>462</v>
      </c>
      <c r="N2067" t="s">
        <v>469</v>
      </c>
      <c r="O2067" t="s">
        <v>470</v>
      </c>
      <c r="P2067">
        <v>-20.138233</v>
      </c>
      <c r="Q2067">
        <v>-44.908200000000001</v>
      </c>
      <c r="R2067" s="2" t="str">
        <f>HYPERLINK("https://www.google.com/maps?q=-20.1382330,-44.9082000","Abrir no Google Maps")</f>
        <v>Abrir no Google Maps</v>
      </c>
      <c r="S2067">
        <v>3</v>
      </c>
      <c r="T2067">
        <v>0</v>
      </c>
      <c r="U2067">
        <v>4</v>
      </c>
      <c r="V2067">
        <v>0.54041802622707036</v>
      </c>
      <c r="W2067">
        <v>1</v>
      </c>
      <c r="X2067">
        <v>0.54041802622707036</v>
      </c>
      <c r="Y2067">
        <v>581</v>
      </c>
      <c r="Z2067">
        <v>153.18688302958171</v>
      </c>
      <c r="AA2067">
        <v>198</v>
      </c>
      <c r="AB2067">
        <v>332</v>
      </c>
      <c r="AC2067">
        <v>536</v>
      </c>
      <c r="AD2067">
        <v>26.61</v>
      </c>
      <c r="AE2067">
        <v>542</v>
      </c>
      <c r="AF2067">
        <v>13</v>
      </c>
      <c r="AG2067">
        <v>180</v>
      </c>
      <c r="AH2067">
        <v>129</v>
      </c>
      <c r="AI2067">
        <v>2.4</v>
      </c>
      <c r="AJ2067">
        <v>33.21</v>
      </c>
      <c r="AK2067">
        <v>23.8</v>
      </c>
      <c r="AL2067">
        <v>-20.138364899999971</v>
      </c>
      <c r="AM2067">
        <v>-44.907942114873997</v>
      </c>
      <c r="AN2067">
        <v>-20.138364899999971</v>
      </c>
      <c r="AO2067">
        <v>-44.907942114873997</v>
      </c>
      <c r="AP2067">
        <v>-20.138233</v>
      </c>
      <c r="AQ2067">
        <v>-44.908200000000001</v>
      </c>
      <c r="AR2067">
        <v>30.692690617986941</v>
      </c>
      <c r="AS2067" t="s">
        <v>65</v>
      </c>
      <c r="AT2067">
        <v>1</v>
      </c>
      <c r="AU2067" t="s">
        <v>471</v>
      </c>
      <c r="AV2067" t="s">
        <v>472</v>
      </c>
      <c r="AW2067" t="s">
        <v>60</v>
      </c>
      <c r="AX2067" t="s">
        <v>68</v>
      </c>
      <c r="AY2067" t="s">
        <v>69</v>
      </c>
      <c r="AZ2067" t="b">
        <v>1</v>
      </c>
    </row>
    <row r="2068" spans="1:52" x14ac:dyDescent="0.3">
      <c r="A2068" t="s">
        <v>52</v>
      </c>
      <c r="B2068" t="s">
        <v>53</v>
      </c>
      <c r="C2068" t="s">
        <v>54</v>
      </c>
      <c r="D2068" t="s">
        <v>55</v>
      </c>
      <c r="E2068" t="s">
        <v>2149</v>
      </c>
      <c r="F2068" t="s">
        <v>190</v>
      </c>
      <c r="G2068" t="s">
        <v>858</v>
      </c>
      <c r="H2068" t="s">
        <v>859</v>
      </c>
      <c r="I2068" t="s">
        <v>859</v>
      </c>
      <c r="J2068" t="s">
        <v>60</v>
      </c>
      <c r="K2068" t="s">
        <v>462</v>
      </c>
      <c r="L2068" t="s">
        <v>62</v>
      </c>
      <c r="M2068" t="s">
        <v>462</v>
      </c>
      <c r="N2068" t="s">
        <v>860</v>
      </c>
      <c r="O2068" t="s">
        <v>861</v>
      </c>
      <c r="P2068">
        <v>-20.139693999999999</v>
      </c>
      <c r="Q2068">
        <v>-44.911256000000002</v>
      </c>
      <c r="R2068" s="2" t="str">
        <f>HYPERLINK("https://www.google.com/maps?q=-20.1396940,-44.9112560","Abrir no Google Maps")</f>
        <v>Abrir no Google Maps</v>
      </c>
      <c r="S2068">
        <v>3</v>
      </c>
      <c r="T2068">
        <v>380.48036838042862</v>
      </c>
      <c r="U2068">
        <v>4</v>
      </c>
      <c r="V2068">
        <v>0.57922795581933939</v>
      </c>
      <c r="W2068">
        <v>0.85</v>
      </c>
      <c r="X2068">
        <v>0.49234376244643852</v>
      </c>
      <c r="Y2068">
        <v>581</v>
      </c>
      <c r="Z2068">
        <v>374.61146000000178</v>
      </c>
      <c r="AA2068">
        <v>198</v>
      </c>
      <c r="AB2068">
        <v>332</v>
      </c>
      <c r="AC2068">
        <v>536</v>
      </c>
      <c r="AD2068">
        <v>26.61</v>
      </c>
      <c r="AE2068">
        <v>542</v>
      </c>
      <c r="AF2068">
        <v>13</v>
      </c>
      <c r="AG2068">
        <v>180</v>
      </c>
      <c r="AH2068">
        <v>129</v>
      </c>
      <c r="AI2068">
        <v>2.4</v>
      </c>
      <c r="AJ2068">
        <v>33.21</v>
      </c>
      <c r="AK2068">
        <v>23.8</v>
      </c>
      <c r="AL2068">
        <v>-20.139768699999959</v>
      </c>
      <c r="AM2068">
        <v>-44.911265351587588</v>
      </c>
      <c r="AN2068">
        <v>-20.139768699999959</v>
      </c>
      <c r="AO2068">
        <v>-44.911265351587588</v>
      </c>
      <c r="AP2068">
        <v>-20.139693999999999</v>
      </c>
      <c r="AQ2068">
        <v>-44.911256000000002</v>
      </c>
      <c r="AR2068">
        <v>8.3728438666521061</v>
      </c>
      <c r="AS2068" t="s">
        <v>65</v>
      </c>
      <c r="AT2068">
        <v>1</v>
      </c>
      <c r="AU2068" t="s">
        <v>862</v>
      </c>
      <c r="AV2068" t="s">
        <v>863</v>
      </c>
      <c r="AW2068" t="s">
        <v>60</v>
      </c>
      <c r="AX2068" t="s">
        <v>68</v>
      </c>
      <c r="AY2068" t="s">
        <v>69</v>
      </c>
      <c r="AZ2068" t="b">
        <v>1</v>
      </c>
    </row>
    <row r="2069" spans="1:52" x14ac:dyDescent="0.3">
      <c r="A2069" t="s">
        <v>52</v>
      </c>
      <c r="B2069" t="s">
        <v>53</v>
      </c>
      <c r="C2069" t="s">
        <v>54</v>
      </c>
      <c r="D2069" t="s">
        <v>55</v>
      </c>
      <c r="E2069" t="s">
        <v>2149</v>
      </c>
      <c r="F2069" t="s">
        <v>190</v>
      </c>
      <c r="G2069" t="s">
        <v>864</v>
      </c>
      <c r="H2069" t="s">
        <v>865</v>
      </c>
      <c r="I2069" t="s">
        <v>865</v>
      </c>
      <c r="J2069" t="s">
        <v>60</v>
      </c>
      <c r="K2069" t="s">
        <v>486</v>
      </c>
      <c r="L2069" t="s">
        <v>62</v>
      </c>
      <c r="M2069" t="s">
        <v>486</v>
      </c>
      <c r="N2069" t="s">
        <v>866</v>
      </c>
      <c r="O2069" t="s">
        <v>867</v>
      </c>
      <c r="P2069">
        <v>-20.170919000000001</v>
      </c>
      <c r="Q2069">
        <v>-44.905451999999997</v>
      </c>
      <c r="R2069" s="2" t="str">
        <f>HYPERLINK("https://www.google.com/maps?q=-20.1709190,-44.9054520","Abrir no Google Maps")</f>
        <v>Abrir no Google Maps</v>
      </c>
      <c r="S2069">
        <v>3</v>
      </c>
      <c r="T2069">
        <v>0</v>
      </c>
      <c r="U2069">
        <v>4</v>
      </c>
      <c r="V2069">
        <v>0.46369556995123917</v>
      </c>
      <c r="W2069">
        <v>1</v>
      </c>
      <c r="X2069">
        <v>0.46369556995123917</v>
      </c>
      <c r="Y2069">
        <v>578</v>
      </c>
      <c r="Z2069">
        <v>205.34598855748419</v>
      </c>
      <c r="AA2069">
        <v>198</v>
      </c>
      <c r="AB2069">
        <v>332</v>
      </c>
      <c r="AC2069">
        <v>536</v>
      </c>
      <c r="AD2069">
        <v>26.61</v>
      </c>
      <c r="AE2069">
        <v>542</v>
      </c>
      <c r="AF2069">
        <v>13</v>
      </c>
      <c r="AG2069">
        <v>180</v>
      </c>
      <c r="AH2069">
        <v>129</v>
      </c>
      <c r="AI2069">
        <v>2.4</v>
      </c>
      <c r="AJ2069">
        <v>33.21</v>
      </c>
      <c r="AK2069">
        <v>23.8</v>
      </c>
      <c r="AL2069">
        <v>-20.170854399999939</v>
      </c>
      <c r="AM2069">
        <v>-44.905524839633358</v>
      </c>
      <c r="AN2069">
        <v>-20.170854399999939</v>
      </c>
      <c r="AO2069">
        <v>-44.905524839633358</v>
      </c>
      <c r="AP2069">
        <v>-20.170919000000001</v>
      </c>
      <c r="AQ2069">
        <v>-44.905451999999997</v>
      </c>
      <c r="AR2069">
        <v>10.471140355179269</v>
      </c>
      <c r="AS2069" t="s">
        <v>65</v>
      </c>
      <c r="AT2069">
        <v>1</v>
      </c>
      <c r="AU2069" t="s">
        <v>868</v>
      </c>
      <c r="AV2069" t="s">
        <v>869</v>
      </c>
      <c r="AW2069" t="s">
        <v>60</v>
      </c>
      <c r="AX2069" t="s">
        <v>68</v>
      </c>
      <c r="AY2069" t="s">
        <v>69</v>
      </c>
      <c r="AZ2069" t="b">
        <v>1</v>
      </c>
    </row>
    <row r="2070" spans="1:52" x14ac:dyDescent="0.3">
      <c r="A2070" t="s">
        <v>52</v>
      </c>
      <c r="B2070" t="s">
        <v>53</v>
      </c>
      <c r="C2070" t="s">
        <v>54</v>
      </c>
      <c r="D2070" t="s">
        <v>55</v>
      </c>
      <c r="E2070" t="s">
        <v>2149</v>
      </c>
      <c r="F2070" t="s">
        <v>190</v>
      </c>
      <c r="G2070" t="s">
        <v>479</v>
      </c>
      <c r="H2070" t="s">
        <v>480</v>
      </c>
      <c r="I2070" t="s">
        <v>480</v>
      </c>
      <c r="J2070" t="s">
        <v>60</v>
      </c>
      <c r="K2070" t="s">
        <v>388</v>
      </c>
      <c r="L2070" t="s">
        <v>62</v>
      </c>
      <c r="M2070" t="s">
        <v>388</v>
      </c>
      <c r="N2070" t="s">
        <v>481</v>
      </c>
      <c r="O2070" t="s">
        <v>315</v>
      </c>
      <c r="P2070">
        <v>-20.166903999999999</v>
      </c>
      <c r="Q2070">
        <v>-44.903492</v>
      </c>
      <c r="R2070" s="2" t="str">
        <f>HYPERLINK("https://www.google.com/maps?q=-20.1669040,-44.9034920","Abrir no Google Maps")</f>
        <v>Abrir no Google Maps</v>
      </c>
      <c r="S2070">
        <v>3</v>
      </c>
      <c r="T2070">
        <v>517.12253532511602</v>
      </c>
      <c r="U2070">
        <v>4</v>
      </c>
      <c r="V2070">
        <v>0.47825363491276962</v>
      </c>
      <c r="W2070">
        <v>1</v>
      </c>
      <c r="X2070">
        <v>0.47825363491276962</v>
      </c>
      <c r="Y2070">
        <v>578</v>
      </c>
      <c r="Z2070">
        <v>721.79551240050432</v>
      </c>
      <c r="AA2070">
        <v>198</v>
      </c>
      <c r="AB2070">
        <v>332</v>
      </c>
      <c r="AC2070">
        <v>536</v>
      </c>
      <c r="AD2070">
        <v>26.61</v>
      </c>
      <c r="AE2070">
        <v>542</v>
      </c>
      <c r="AF2070">
        <v>13</v>
      </c>
      <c r="AG2070">
        <v>180</v>
      </c>
      <c r="AH2070">
        <v>129</v>
      </c>
      <c r="AI2070">
        <v>2.4</v>
      </c>
      <c r="AJ2070">
        <v>33.21</v>
      </c>
      <c r="AK2070">
        <v>23.8</v>
      </c>
      <c r="AL2070">
        <v>-20.166610649999971</v>
      </c>
      <c r="AM2070">
        <v>-44.903452988928308</v>
      </c>
      <c r="AN2070">
        <v>-20.166610649999971</v>
      </c>
      <c r="AO2070">
        <v>-44.903452988928308</v>
      </c>
      <c r="AP2070">
        <v>-20.166903999999999</v>
      </c>
      <c r="AQ2070">
        <v>-44.903492</v>
      </c>
      <c r="AR2070">
        <v>32.909175876856217</v>
      </c>
      <c r="AS2070" t="s">
        <v>65</v>
      </c>
      <c r="AT2070">
        <v>1</v>
      </c>
      <c r="AU2070" t="s">
        <v>482</v>
      </c>
      <c r="AV2070" t="s">
        <v>483</v>
      </c>
      <c r="AW2070" t="s">
        <v>60</v>
      </c>
      <c r="AX2070" t="s">
        <v>68</v>
      </c>
      <c r="AY2070" t="s">
        <v>69</v>
      </c>
      <c r="AZ2070" t="b">
        <v>1</v>
      </c>
    </row>
    <row r="2071" spans="1:52" x14ac:dyDescent="0.3">
      <c r="A2071" t="s">
        <v>52</v>
      </c>
      <c r="B2071" t="s">
        <v>53</v>
      </c>
      <c r="C2071" t="s">
        <v>54</v>
      </c>
      <c r="D2071" t="s">
        <v>55</v>
      </c>
      <c r="E2071" t="s">
        <v>2149</v>
      </c>
      <c r="F2071" t="s">
        <v>190</v>
      </c>
      <c r="G2071" t="s">
        <v>497</v>
      </c>
      <c r="H2071" t="s">
        <v>498</v>
      </c>
      <c r="I2071" t="s">
        <v>498</v>
      </c>
      <c r="J2071" t="s">
        <v>60</v>
      </c>
      <c r="K2071" t="s">
        <v>475</v>
      </c>
      <c r="L2071" t="s">
        <v>62</v>
      </c>
      <c r="M2071" t="s">
        <v>475</v>
      </c>
      <c r="N2071" t="s">
        <v>499</v>
      </c>
      <c r="O2071" t="s">
        <v>500</v>
      </c>
      <c r="P2071">
        <v>-20.175492999999999</v>
      </c>
      <c r="Q2071">
        <v>-44.900759000000001</v>
      </c>
      <c r="R2071" s="2" t="str">
        <f>HYPERLINK("https://www.google.com/maps?q=-20.1754930,-44.9007590","Abrir no Google Maps")</f>
        <v>Abrir no Google Maps</v>
      </c>
      <c r="S2071">
        <v>3</v>
      </c>
      <c r="T2071">
        <v>753.30732354720431</v>
      </c>
      <c r="U2071">
        <v>4</v>
      </c>
      <c r="V2071">
        <v>0.46089799359550121</v>
      </c>
      <c r="W2071">
        <v>1</v>
      </c>
      <c r="X2071">
        <v>0.46089799359550121</v>
      </c>
      <c r="Y2071">
        <v>578</v>
      </c>
      <c r="Z2071">
        <v>695.28903655431702</v>
      </c>
      <c r="AA2071">
        <v>198</v>
      </c>
      <c r="AB2071">
        <v>332</v>
      </c>
      <c r="AC2071">
        <v>536</v>
      </c>
      <c r="AD2071">
        <v>26.61</v>
      </c>
      <c r="AE2071">
        <v>542</v>
      </c>
      <c r="AF2071">
        <v>13</v>
      </c>
      <c r="AG2071">
        <v>180</v>
      </c>
      <c r="AH2071">
        <v>129</v>
      </c>
      <c r="AI2071">
        <v>2.4</v>
      </c>
      <c r="AJ2071">
        <v>33.21</v>
      </c>
      <c r="AK2071">
        <v>23.8</v>
      </c>
      <c r="AL2071">
        <v>-20.175825999999969</v>
      </c>
      <c r="AM2071">
        <v>-44.900600234646973</v>
      </c>
      <c r="AN2071">
        <v>-20.175825999999969</v>
      </c>
      <c r="AO2071">
        <v>-44.900600234646973</v>
      </c>
      <c r="AP2071">
        <v>-20.175492999999999</v>
      </c>
      <c r="AQ2071">
        <v>-44.900759000000001</v>
      </c>
      <c r="AR2071">
        <v>40.612267304645073</v>
      </c>
      <c r="AS2071" t="s">
        <v>65</v>
      </c>
      <c r="AT2071">
        <v>1</v>
      </c>
      <c r="AU2071" t="s">
        <v>501</v>
      </c>
      <c r="AV2071" t="s">
        <v>502</v>
      </c>
      <c r="AW2071" t="s">
        <v>60</v>
      </c>
      <c r="AX2071" t="s">
        <v>68</v>
      </c>
      <c r="AY2071" t="s">
        <v>69</v>
      </c>
      <c r="AZ2071" t="b">
        <v>1</v>
      </c>
    </row>
    <row r="2072" spans="1:52" x14ac:dyDescent="0.3">
      <c r="A2072" t="s">
        <v>52</v>
      </c>
      <c r="B2072" t="s">
        <v>53</v>
      </c>
      <c r="C2072" t="s">
        <v>54</v>
      </c>
      <c r="D2072" t="s">
        <v>55</v>
      </c>
      <c r="E2072" t="s">
        <v>2149</v>
      </c>
      <c r="F2072" t="s">
        <v>190</v>
      </c>
      <c r="G2072" t="s">
        <v>503</v>
      </c>
      <c r="H2072" t="s">
        <v>504</v>
      </c>
      <c r="I2072" t="s">
        <v>504</v>
      </c>
      <c r="J2072" t="s">
        <v>60</v>
      </c>
      <c r="K2072" t="s">
        <v>505</v>
      </c>
      <c r="L2072" t="s">
        <v>62</v>
      </c>
      <c r="M2072" t="s">
        <v>505</v>
      </c>
      <c r="N2072" t="s">
        <v>506</v>
      </c>
      <c r="O2072" t="s">
        <v>507</v>
      </c>
      <c r="P2072">
        <v>-20.131428</v>
      </c>
      <c r="Q2072">
        <v>-44.888921000000003</v>
      </c>
      <c r="R2072" s="2" t="str">
        <f>HYPERLINK("https://www.google.com/maps?q=-20.1314280,-44.8889210","Abrir no Google Maps")</f>
        <v>Abrir no Google Maps</v>
      </c>
      <c r="S2072">
        <v>3</v>
      </c>
      <c r="T2072">
        <v>250.64150698244501</v>
      </c>
      <c r="U2072">
        <v>4</v>
      </c>
      <c r="V2072">
        <v>0.48352982360739688</v>
      </c>
      <c r="W2072">
        <v>1</v>
      </c>
      <c r="X2072">
        <v>0.48352982360739688</v>
      </c>
      <c r="Y2072">
        <v>564</v>
      </c>
      <c r="Z2072">
        <v>189.93933888952441</v>
      </c>
      <c r="AA2072">
        <v>198</v>
      </c>
      <c r="AB2072">
        <v>332</v>
      </c>
      <c r="AC2072">
        <v>536</v>
      </c>
      <c r="AD2072">
        <v>26.61</v>
      </c>
      <c r="AE2072">
        <v>542</v>
      </c>
      <c r="AF2072">
        <v>13</v>
      </c>
      <c r="AG2072">
        <v>180</v>
      </c>
      <c r="AH2072">
        <v>129</v>
      </c>
      <c r="AI2072">
        <v>2.4</v>
      </c>
      <c r="AJ2072">
        <v>33.21</v>
      </c>
      <c r="AK2072">
        <v>23.8</v>
      </c>
      <c r="AL2072">
        <v>-20.13123589999995</v>
      </c>
      <c r="AM2072">
        <v>-44.888742396501762</v>
      </c>
      <c r="AN2072">
        <v>-20.13123589999995</v>
      </c>
      <c r="AO2072">
        <v>-44.888742396501762</v>
      </c>
      <c r="AP2072">
        <v>-20.131428</v>
      </c>
      <c r="AQ2072">
        <v>-44.888921000000003</v>
      </c>
      <c r="AR2072">
        <v>28.386169462917032</v>
      </c>
      <c r="AS2072" t="s">
        <v>65</v>
      </c>
      <c r="AT2072">
        <v>1</v>
      </c>
      <c r="AU2072" t="s">
        <v>508</v>
      </c>
      <c r="AV2072" t="s">
        <v>509</v>
      </c>
      <c r="AW2072" t="s">
        <v>60</v>
      </c>
      <c r="AX2072" t="s">
        <v>68</v>
      </c>
      <c r="AY2072" t="s">
        <v>69</v>
      </c>
      <c r="AZ2072" t="b">
        <v>1</v>
      </c>
    </row>
    <row r="2073" spans="1:52" x14ac:dyDescent="0.3">
      <c r="A2073" t="s">
        <v>52</v>
      </c>
      <c r="B2073" t="s">
        <v>53</v>
      </c>
      <c r="C2073" t="s">
        <v>54</v>
      </c>
      <c r="D2073" t="s">
        <v>55</v>
      </c>
      <c r="E2073" t="s">
        <v>2149</v>
      </c>
      <c r="F2073" t="s">
        <v>190</v>
      </c>
      <c r="G2073" t="s">
        <v>510</v>
      </c>
      <c r="H2073" t="s">
        <v>511</v>
      </c>
      <c r="I2073" t="s">
        <v>511</v>
      </c>
      <c r="J2073" t="s">
        <v>60</v>
      </c>
      <c r="K2073" t="s">
        <v>512</v>
      </c>
      <c r="L2073" t="s">
        <v>62</v>
      </c>
      <c r="M2073" t="s">
        <v>512</v>
      </c>
      <c r="N2073" t="s">
        <v>406</v>
      </c>
      <c r="O2073" t="s">
        <v>513</v>
      </c>
      <c r="P2073">
        <v>-20.127853000000002</v>
      </c>
      <c r="Q2073">
        <v>-44.891415000000002</v>
      </c>
      <c r="R2073" s="2" t="str">
        <f>HYPERLINK("https://www.google.com/maps?q=-20.1278530,-44.8914150","Abrir no Google Maps")</f>
        <v>Abrir no Google Maps</v>
      </c>
      <c r="S2073">
        <v>3</v>
      </c>
      <c r="T2073">
        <v>340.86994528233612</v>
      </c>
      <c r="U2073">
        <v>4</v>
      </c>
      <c r="V2073">
        <v>0.48295823001423849</v>
      </c>
      <c r="W2073">
        <v>1</v>
      </c>
      <c r="X2073">
        <v>0.48295823001423849</v>
      </c>
      <c r="Y2073">
        <v>564</v>
      </c>
      <c r="Z2073">
        <v>294.18108015916812</v>
      </c>
      <c r="AA2073">
        <v>198</v>
      </c>
      <c r="AB2073">
        <v>332</v>
      </c>
      <c r="AC2073">
        <v>536</v>
      </c>
      <c r="AD2073">
        <v>26.61</v>
      </c>
      <c r="AE2073">
        <v>542</v>
      </c>
      <c r="AF2073">
        <v>13</v>
      </c>
      <c r="AG2073">
        <v>180</v>
      </c>
      <c r="AH2073">
        <v>129</v>
      </c>
      <c r="AI2073">
        <v>2.4</v>
      </c>
      <c r="AJ2073">
        <v>33.21</v>
      </c>
      <c r="AK2073">
        <v>23.8</v>
      </c>
      <c r="AL2073">
        <v>-20.12777399999996</v>
      </c>
      <c r="AM2073">
        <v>-44.891400975758501</v>
      </c>
      <c r="AN2073">
        <v>-20.12777399999996</v>
      </c>
      <c r="AO2073">
        <v>-44.891400975758501</v>
      </c>
      <c r="AP2073">
        <v>-20.127853000000002</v>
      </c>
      <c r="AQ2073">
        <v>-44.891415000000002</v>
      </c>
      <c r="AR2073">
        <v>8.9156059162975616</v>
      </c>
      <c r="AS2073" t="s">
        <v>65</v>
      </c>
      <c r="AT2073">
        <v>1</v>
      </c>
      <c r="AU2073" t="s">
        <v>514</v>
      </c>
      <c r="AV2073" t="s">
        <v>515</v>
      </c>
      <c r="AW2073" t="s">
        <v>60</v>
      </c>
      <c r="AX2073" t="s">
        <v>68</v>
      </c>
      <c r="AY2073" t="s">
        <v>69</v>
      </c>
      <c r="AZ2073" t="b">
        <v>1</v>
      </c>
    </row>
    <row r="2074" spans="1:52" x14ac:dyDescent="0.3">
      <c r="A2074" t="s">
        <v>52</v>
      </c>
      <c r="B2074" t="s">
        <v>53</v>
      </c>
      <c r="C2074" t="s">
        <v>54</v>
      </c>
      <c r="D2074" t="s">
        <v>55</v>
      </c>
      <c r="E2074" t="s">
        <v>2149</v>
      </c>
      <c r="F2074" t="s">
        <v>190</v>
      </c>
      <c r="G2074" t="s">
        <v>516</v>
      </c>
      <c r="H2074" t="s">
        <v>517</v>
      </c>
      <c r="I2074" t="s">
        <v>517</v>
      </c>
      <c r="J2074" t="s">
        <v>60</v>
      </c>
      <c r="K2074" t="s">
        <v>518</v>
      </c>
      <c r="L2074" t="s">
        <v>62</v>
      </c>
      <c r="M2074" t="s">
        <v>518</v>
      </c>
      <c r="N2074" t="s">
        <v>519</v>
      </c>
      <c r="O2074" t="s">
        <v>520</v>
      </c>
      <c r="P2074">
        <v>-20.124502</v>
      </c>
      <c r="Q2074">
        <v>-44.888424000000001</v>
      </c>
      <c r="R2074" s="2" t="str">
        <f>HYPERLINK("https://www.google.com/maps?q=-20.1245020,-44.8884240","Abrir no Google Maps")</f>
        <v>Abrir no Google Maps</v>
      </c>
      <c r="S2074">
        <v>3</v>
      </c>
      <c r="T2074">
        <v>483.42298121929559</v>
      </c>
      <c r="U2074">
        <v>4</v>
      </c>
      <c r="V2074">
        <v>0.54234896465979765</v>
      </c>
      <c r="W2074">
        <v>1</v>
      </c>
      <c r="X2074">
        <v>0.54234896465979765</v>
      </c>
      <c r="Y2074">
        <v>564</v>
      </c>
      <c r="Z2074">
        <v>565.43074237076587</v>
      </c>
      <c r="AA2074">
        <v>198</v>
      </c>
      <c r="AB2074">
        <v>332</v>
      </c>
      <c r="AC2074">
        <v>536</v>
      </c>
      <c r="AD2074">
        <v>26.61</v>
      </c>
      <c r="AE2074">
        <v>542</v>
      </c>
      <c r="AF2074">
        <v>13</v>
      </c>
      <c r="AG2074">
        <v>180</v>
      </c>
      <c r="AH2074">
        <v>129</v>
      </c>
      <c r="AI2074">
        <v>2.4</v>
      </c>
      <c r="AJ2074">
        <v>33.21</v>
      </c>
      <c r="AK2074">
        <v>23.8</v>
      </c>
      <c r="AL2074">
        <v>-20.124624949999941</v>
      </c>
      <c r="AM2074">
        <v>-44.888432821777258</v>
      </c>
      <c r="AN2074">
        <v>-20.124624949999941</v>
      </c>
      <c r="AO2074">
        <v>-44.888432821777258</v>
      </c>
      <c r="AP2074">
        <v>-20.124502</v>
      </c>
      <c r="AQ2074">
        <v>-44.888424000000001</v>
      </c>
      <c r="AR2074">
        <v>13.717819333897451</v>
      </c>
      <c r="AS2074" t="s">
        <v>65</v>
      </c>
      <c r="AT2074">
        <v>1</v>
      </c>
      <c r="AU2074" t="s">
        <v>521</v>
      </c>
      <c r="AV2074" t="s">
        <v>522</v>
      </c>
      <c r="AW2074" t="s">
        <v>60</v>
      </c>
      <c r="AX2074" t="s">
        <v>68</v>
      </c>
      <c r="AY2074" t="s">
        <v>69</v>
      </c>
      <c r="AZ2074" t="b">
        <v>1</v>
      </c>
    </row>
    <row r="2075" spans="1:52" x14ac:dyDescent="0.3">
      <c r="A2075" t="s">
        <v>52</v>
      </c>
      <c r="B2075" t="s">
        <v>53</v>
      </c>
      <c r="C2075" t="s">
        <v>54</v>
      </c>
      <c r="D2075" t="s">
        <v>55</v>
      </c>
      <c r="E2075" t="s">
        <v>2149</v>
      </c>
      <c r="F2075" t="s">
        <v>190</v>
      </c>
      <c r="G2075" t="s">
        <v>879</v>
      </c>
      <c r="H2075" t="s">
        <v>880</v>
      </c>
      <c r="I2075" t="s">
        <v>880</v>
      </c>
      <c r="J2075" t="s">
        <v>60</v>
      </c>
      <c r="K2075" t="s">
        <v>505</v>
      </c>
      <c r="L2075" t="s">
        <v>62</v>
      </c>
      <c r="M2075" t="s">
        <v>505</v>
      </c>
      <c r="N2075" t="s">
        <v>881</v>
      </c>
      <c r="O2075" t="s">
        <v>882</v>
      </c>
      <c r="P2075">
        <v>-20.133452999999999</v>
      </c>
      <c r="Q2075">
        <v>-44.890571999999999</v>
      </c>
      <c r="R2075" s="2" t="str">
        <f>HYPERLINK("https://www.google.com/maps?q=-20.1334530,-44.8905720","Abrir no Google Maps")</f>
        <v>Abrir no Google Maps</v>
      </c>
      <c r="S2075">
        <v>3</v>
      </c>
      <c r="T2075">
        <v>373.51332104809921</v>
      </c>
      <c r="U2075">
        <v>4</v>
      </c>
      <c r="V2075">
        <v>0.4593863716110459</v>
      </c>
      <c r="W2075">
        <v>1</v>
      </c>
      <c r="X2075">
        <v>0.4593863716110459</v>
      </c>
      <c r="Y2075">
        <v>564</v>
      </c>
      <c r="Z2075">
        <v>422.34693311930448</v>
      </c>
      <c r="AA2075">
        <v>198</v>
      </c>
      <c r="AB2075">
        <v>332</v>
      </c>
      <c r="AC2075">
        <v>536</v>
      </c>
      <c r="AD2075">
        <v>26.61</v>
      </c>
      <c r="AE2075">
        <v>542</v>
      </c>
      <c r="AF2075">
        <v>13</v>
      </c>
      <c r="AG2075">
        <v>180</v>
      </c>
      <c r="AH2075">
        <v>129</v>
      </c>
      <c r="AI2075">
        <v>2.4</v>
      </c>
      <c r="AJ2075">
        <v>33.21</v>
      </c>
      <c r="AK2075">
        <v>23.8</v>
      </c>
      <c r="AL2075">
        <v>-20.133421549999952</v>
      </c>
      <c r="AM2075">
        <v>-44.890623456009052</v>
      </c>
      <c r="AN2075">
        <v>-20.133421549999952</v>
      </c>
      <c r="AO2075">
        <v>-44.890623456009052</v>
      </c>
      <c r="AP2075">
        <v>-20.133452999999999</v>
      </c>
      <c r="AQ2075">
        <v>-44.890571999999999</v>
      </c>
      <c r="AR2075">
        <v>6.4172139275452773</v>
      </c>
      <c r="AS2075" t="s">
        <v>65</v>
      </c>
      <c r="AT2075">
        <v>1</v>
      </c>
      <c r="AU2075" t="s">
        <v>883</v>
      </c>
      <c r="AV2075" t="s">
        <v>884</v>
      </c>
      <c r="AW2075" t="s">
        <v>60</v>
      </c>
      <c r="AX2075" t="s">
        <v>68</v>
      </c>
      <c r="AY2075" t="s">
        <v>69</v>
      </c>
      <c r="AZ2075" t="b">
        <v>1</v>
      </c>
    </row>
    <row r="2076" spans="1:52" x14ac:dyDescent="0.3">
      <c r="A2076" t="s">
        <v>52</v>
      </c>
      <c r="B2076" t="s">
        <v>53</v>
      </c>
      <c r="C2076" t="s">
        <v>54</v>
      </c>
      <c r="D2076" t="s">
        <v>55</v>
      </c>
      <c r="E2076" t="s">
        <v>2149</v>
      </c>
      <c r="F2076" t="s">
        <v>190</v>
      </c>
      <c r="G2076" t="s">
        <v>523</v>
      </c>
      <c r="H2076" t="s">
        <v>524</v>
      </c>
      <c r="I2076" t="s">
        <v>524</v>
      </c>
      <c r="J2076" t="s">
        <v>60</v>
      </c>
      <c r="K2076" t="s">
        <v>518</v>
      </c>
      <c r="L2076" t="s">
        <v>62</v>
      </c>
      <c r="M2076" t="s">
        <v>518</v>
      </c>
      <c r="N2076" t="s">
        <v>525</v>
      </c>
      <c r="O2076" t="s">
        <v>331</v>
      </c>
      <c r="P2076">
        <v>-20.126553000000001</v>
      </c>
      <c r="Q2076">
        <v>-44.888599999999997</v>
      </c>
      <c r="R2076" s="2" t="str">
        <f>HYPERLINK("https://www.google.com/maps?q=-20.1265530,-44.8886000","Abrir no Google Maps")</f>
        <v>Abrir no Google Maps</v>
      </c>
      <c r="S2076">
        <v>3</v>
      </c>
      <c r="T2076">
        <v>256.34043440603853</v>
      </c>
      <c r="U2076">
        <v>4</v>
      </c>
      <c r="V2076">
        <v>0.5018809627489802</v>
      </c>
      <c r="W2076">
        <v>1</v>
      </c>
      <c r="X2076">
        <v>0.5018809627489802</v>
      </c>
      <c r="Y2076">
        <v>564</v>
      </c>
      <c r="Z2076">
        <v>325.4404273055876</v>
      </c>
      <c r="AA2076">
        <v>198</v>
      </c>
      <c r="AB2076">
        <v>332</v>
      </c>
      <c r="AC2076">
        <v>536</v>
      </c>
      <c r="AD2076">
        <v>26.61</v>
      </c>
      <c r="AE2076">
        <v>542</v>
      </c>
      <c r="AF2076">
        <v>13</v>
      </c>
      <c r="AG2076">
        <v>180</v>
      </c>
      <c r="AH2076">
        <v>129</v>
      </c>
      <c r="AI2076">
        <v>2.4</v>
      </c>
      <c r="AJ2076">
        <v>33.21</v>
      </c>
      <c r="AK2076">
        <v>23.8</v>
      </c>
      <c r="AL2076">
        <v>-20.12669049999997</v>
      </c>
      <c r="AM2076">
        <v>-44.888671289876577</v>
      </c>
      <c r="AN2076">
        <v>-20.12669049999997</v>
      </c>
      <c r="AO2076">
        <v>-44.888671289876577</v>
      </c>
      <c r="AP2076">
        <v>-20.126553000000001</v>
      </c>
      <c r="AQ2076">
        <v>-44.888599999999997</v>
      </c>
      <c r="AR2076">
        <v>17.023861591720589</v>
      </c>
      <c r="AS2076" t="s">
        <v>65</v>
      </c>
      <c r="AT2076">
        <v>1</v>
      </c>
      <c r="AU2076" t="s">
        <v>526</v>
      </c>
      <c r="AV2076" t="s">
        <v>527</v>
      </c>
      <c r="AW2076" t="s">
        <v>60</v>
      </c>
      <c r="AX2076" t="s">
        <v>68</v>
      </c>
      <c r="AY2076" t="s">
        <v>69</v>
      </c>
      <c r="AZ2076" t="b">
        <v>1</v>
      </c>
    </row>
    <row r="2077" spans="1:52" x14ac:dyDescent="0.3">
      <c r="A2077" t="s">
        <v>52</v>
      </c>
      <c r="B2077" t="s">
        <v>53</v>
      </c>
      <c r="C2077" t="s">
        <v>54</v>
      </c>
      <c r="D2077" t="s">
        <v>55</v>
      </c>
      <c r="E2077" t="s">
        <v>2149</v>
      </c>
      <c r="F2077" t="s">
        <v>190</v>
      </c>
      <c r="G2077" t="s">
        <v>528</v>
      </c>
      <c r="H2077" t="s">
        <v>529</v>
      </c>
      <c r="I2077" t="s">
        <v>529</v>
      </c>
      <c r="J2077" t="s">
        <v>60</v>
      </c>
      <c r="K2077" t="s">
        <v>530</v>
      </c>
      <c r="L2077" t="s">
        <v>62</v>
      </c>
      <c r="M2077" t="s">
        <v>530</v>
      </c>
      <c r="N2077" t="s">
        <v>531</v>
      </c>
      <c r="O2077" t="s">
        <v>532</v>
      </c>
      <c r="P2077">
        <v>-20.142457</v>
      </c>
      <c r="Q2077">
        <v>-44.891688000000002</v>
      </c>
      <c r="R2077" s="2" t="str">
        <f>HYPERLINK("https://www.google.com/maps?q=-20.1424570,-44.8916880","Abrir no Google Maps")</f>
        <v>Abrir no Google Maps</v>
      </c>
      <c r="S2077">
        <v>3</v>
      </c>
      <c r="T2077">
        <v>0</v>
      </c>
      <c r="U2077">
        <v>4</v>
      </c>
      <c r="V2077">
        <v>0.58333710350661983</v>
      </c>
      <c r="W2077">
        <v>1</v>
      </c>
      <c r="X2077">
        <v>0.58333710350661983</v>
      </c>
      <c r="Y2077">
        <v>557</v>
      </c>
      <c r="Z2077">
        <v>42.611952255679803</v>
      </c>
      <c r="AA2077">
        <v>198</v>
      </c>
      <c r="AB2077">
        <v>332</v>
      </c>
      <c r="AC2077">
        <v>536</v>
      </c>
      <c r="AD2077">
        <v>26.61</v>
      </c>
      <c r="AE2077">
        <v>542</v>
      </c>
      <c r="AF2077">
        <v>13</v>
      </c>
      <c r="AG2077">
        <v>180</v>
      </c>
      <c r="AH2077">
        <v>129</v>
      </c>
      <c r="AI2077">
        <v>2.4</v>
      </c>
      <c r="AJ2077">
        <v>33.21</v>
      </c>
      <c r="AK2077">
        <v>23.8</v>
      </c>
      <c r="AL2077">
        <v>-20.142523099999948</v>
      </c>
      <c r="AM2077">
        <v>-44.891523817588819</v>
      </c>
      <c r="AN2077">
        <v>-20.142523099999948</v>
      </c>
      <c r="AO2077">
        <v>-44.891523817588819</v>
      </c>
      <c r="AP2077">
        <v>-20.142457</v>
      </c>
      <c r="AQ2077">
        <v>-44.891688000000002</v>
      </c>
      <c r="AR2077">
        <v>18.670129248632971</v>
      </c>
      <c r="AS2077" t="s">
        <v>65</v>
      </c>
      <c r="AT2077">
        <v>1</v>
      </c>
      <c r="AU2077" t="s">
        <v>533</v>
      </c>
      <c r="AV2077" t="s">
        <v>534</v>
      </c>
      <c r="AW2077" t="s">
        <v>60</v>
      </c>
      <c r="AX2077" t="s">
        <v>68</v>
      </c>
      <c r="AY2077" t="s">
        <v>69</v>
      </c>
      <c r="AZ2077" t="b">
        <v>1</v>
      </c>
    </row>
    <row r="2078" spans="1:52" x14ac:dyDescent="0.3">
      <c r="A2078" t="s">
        <v>52</v>
      </c>
      <c r="B2078" t="s">
        <v>53</v>
      </c>
      <c r="C2078" t="s">
        <v>54</v>
      </c>
      <c r="D2078" t="s">
        <v>55</v>
      </c>
      <c r="E2078" t="s">
        <v>2149</v>
      </c>
      <c r="F2078" t="s">
        <v>190</v>
      </c>
      <c r="G2078" t="s">
        <v>535</v>
      </c>
      <c r="H2078" t="s">
        <v>536</v>
      </c>
      <c r="I2078" t="s">
        <v>536</v>
      </c>
      <c r="J2078" t="s">
        <v>60</v>
      </c>
      <c r="K2078" t="s">
        <v>388</v>
      </c>
      <c r="L2078" t="s">
        <v>62</v>
      </c>
      <c r="M2078" t="s">
        <v>388</v>
      </c>
      <c r="N2078" t="s">
        <v>537</v>
      </c>
      <c r="O2078" t="s">
        <v>538</v>
      </c>
      <c r="P2078">
        <v>-20.150061999999998</v>
      </c>
      <c r="Q2078">
        <v>-44.903379000000001</v>
      </c>
      <c r="R2078" s="2" t="str">
        <f>HYPERLINK("https://www.google.com/maps?q=-20.1500620,-44.9033790","Abrir no Google Maps")</f>
        <v>Abrir no Google Maps</v>
      </c>
      <c r="S2078">
        <v>3</v>
      </c>
      <c r="T2078">
        <v>286.20313674219977</v>
      </c>
      <c r="U2078">
        <v>4</v>
      </c>
      <c r="V2078">
        <v>0.52542004273479825</v>
      </c>
      <c r="W2078">
        <v>1</v>
      </c>
      <c r="X2078">
        <v>0.52542004273479825</v>
      </c>
      <c r="Y2078">
        <v>556</v>
      </c>
      <c r="Z2078">
        <v>315.81851898667401</v>
      </c>
      <c r="AA2078">
        <v>198</v>
      </c>
      <c r="AB2078">
        <v>332</v>
      </c>
      <c r="AC2078">
        <v>536</v>
      </c>
      <c r="AD2078">
        <v>26.61</v>
      </c>
      <c r="AE2078">
        <v>542</v>
      </c>
      <c r="AF2078">
        <v>13</v>
      </c>
      <c r="AG2078">
        <v>180</v>
      </c>
      <c r="AH2078">
        <v>129</v>
      </c>
      <c r="AI2078">
        <v>2.4</v>
      </c>
      <c r="AJ2078">
        <v>33.21</v>
      </c>
      <c r="AK2078">
        <v>23.8</v>
      </c>
      <c r="AL2078">
        <v>-20.150084299999971</v>
      </c>
      <c r="AM2078">
        <v>-44.903278407568479</v>
      </c>
      <c r="AN2078">
        <v>-20.150084299999971</v>
      </c>
      <c r="AO2078">
        <v>-44.903278407568479</v>
      </c>
      <c r="AP2078">
        <v>-20.150061999999998</v>
      </c>
      <c r="AQ2078">
        <v>-44.903379000000001</v>
      </c>
      <c r="AR2078">
        <v>10.801687336134639</v>
      </c>
      <c r="AS2078" t="s">
        <v>65</v>
      </c>
      <c r="AT2078">
        <v>1</v>
      </c>
      <c r="AU2078" t="s">
        <v>539</v>
      </c>
      <c r="AV2078" t="s">
        <v>540</v>
      </c>
      <c r="AW2078" t="s">
        <v>60</v>
      </c>
      <c r="AX2078" t="s">
        <v>68</v>
      </c>
      <c r="AY2078" t="s">
        <v>69</v>
      </c>
      <c r="AZ2078" t="b">
        <v>1</v>
      </c>
    </row>
    <row r="2079" spans="1:52" x14ac:dyDescent="0.3">
      <c r="A2079" t="s">
        <v>52</v>
      </c>
      <c r="B2079" t="s">
        <v>53</v>
      </c>
      <c r="C2079" t="s">
        <v>54</v>
      </c>
      <c r="D2079" t="s">
        <v>55</v>
      </c>
      <c r="E2079" t="s">
        <v>2149</v>
      </c>
      <c r="F2079" t="s">
        <v>190</v>
      </c>
      <c r="G2079" t="s">
        <v>398</v>
      </c>
      <c r="H2079" t="s">
        <v>541</v>
      </c>
      <c r="I2079" t="s">
        <v>541</v>
      </c>
      <c r="J2079" t="s">
        <v>60</v>
      </c>
      <c r="K2079" t="s">
        <v>388</v>
      </c>
      <c r="L2079" t="s">
        <v>62</v>
      </c>
      <c r="M2079" t="s">
        <v>388</v>
      </c>
      <c r="N2079" t="s">
        <v>400</v>
      </c>
      <c r="O2079" t="s">
        <v>542</v>
      </c>
      <c r="P2079">
        <v>-20.151335</v>
      </c>
      <c r="Q2079">
        <v>-44.901041999999997</v>
      </c>
      <c r="R2079" s="2" t="str">
        <f>HYPERLINK("https://www.google.com/maps?q=-20.1513350,-44.9010420","Abrir no Google Maps")</f>
        <v>Abrir no Google Maps</v>
      </c>
      <c r="S2079">
        <v>3</v>
      </c>
      <c r="T2079">
        <v>0</v>
      </c>
      <c r="U2079">
        <v>4</v>
      </c>
      <c r="V2079">
        <v>0.48336870546341421</v>
      </c>
      <c r="W2079">
        <v>1</v>
      </c>
      <c r="X2079">
        <v>0.48336870546341421</v>
      </c>
      <c r="Y2079">
        <v>556</v>
      </c>
      <c r="Z2079">
        <v>137.71609036908939</v>
      </c>
      <c r="AA2079">
        <v>198</v>
      </c>
      <c r="AB2079">
        <v>332</v>
      </c>
      <c r="AC2079">
        <v>536</v>
      </c>
      <c r="AD2079">
        <v>26.61</v>
      </c>
      <c r="AE2079">
        <v>542</v>
      </c>
      <c r="AF2079">
        <v>13</v>
      </c>
      <c r="AG2079">
        <v>180</v>
      </c>
      <c r="AH2079">
        <v>129</v>
      </c>
      <c r="AI2079">
        <v>2.4</v>
      </c>
      <c r="AJ2079">
        <v>33.21</v>
      </c>
      <c r="AK2079">
        <v>23.8</v>
      </c>
      <c r="AL2079">
        <v>-20.15125899999995</v>
      </c>
      <c r="AM2079">
        <v>-44.900838557594433</v>
      </c>
      <c r="AN2079">
        <v>-20.15125899999995</v>
      </c>
      <c r="AO2079">
        <v>-44.900838557594433</v>
      </c>
      <c r="AP2079">
        <v>-20.151335</v>
      </c>
      <c r="AQ2079">
        <v>-44.901041999999997</v>
      </c>
      <c r="AR2079">
        <v>22.882363139483491</v>
      </c>
      <c r="AS2079" t="s">
        <v>65</v>
      </c>
      <c r="AT2079">
        <v>1</v>
      </c>
      <c r="AU2079" t="s">
        <v>543</v>
      </c>
      <c r="AV2079" t="s">
        <v>544</v>
      </c>
      <c r="AW2079" t="s">
        <v>60</v>
      </c>
      <c r="AX2079" t="s">
        <v>68</v>
      </c>
      <c r="AY2079" t="s">
        <v>69</v>
      </c>
      <c r="AZ2079" t="b">
        <v>1</v>
      </c>
    </row>
    <row r="2080" spans="1:52" x14ac:dyDescent="0.3">
      <c r="A2080" t="s">
        <v>52</v>
      </c>
      <c r="B2080" t="s">
        <v>53</v>
      </c>
      <c r="C2080" t="s">
        <v>54</v>
      </c>
      <c r="D2080" t="s">
        <v>55</v>
      </c>
      <c r="E2080" t="s">
        <v>2149</v>
      </c>
      <c r="F2080" t="s">
        <v>190</v>
      </c>
      <c r="G2080" t="s">
        <v>545</v>
      </c>
      <c r="H2080" t="s">
        <v>546</v>
      </c>
      <c r="I2080" t="s">
        <v>546</v>
      </c>
      <c r="J2080" t="s">
        <v>60</v>
      </c>
      <c r="K2080" t="s">
        <v>388</v>
      </c>
      <c r="L2080" t="s">
        <v>62</v>
      </c>
      <c r="M2080" t="s">
        <v>388</v>
      </c>
      <c r="N2080" t="s">
        <v>547</v>
      </c>
      <c r="O2080" t="s">
        <v>548</v>
      </c>
      <c r="P2080">
        <v>-20.155839</v>
      </c>
      <c r="Q2080">
        <v>-44.905655000000003</v>
      </c>
      <c r="R2080" s="2" t="str">
        <f>HYPERLINK("https://www.google.com/maps?q=-20.1558390,-44.9056550","Abrir no Google Maps")</f>
        <v>Abrir no Google Maps</v>
      </c>
      <c r="S2080">
        <v>3</v>
      </c>
      <c r="T2080">
        <v>309.7643089121122</v>
      </c>
      <c r="U2080">
        <v>4</v>
      </c>
      <c r="V2080">
        <v>0.50792096513726614</v>
      </c>
      <c r="W2080">
        <v>1</v>
      </c>
      <c r="X2080">
        <v>0.50792096513726614</v>
      </c>
      <c r="Y2080">
        <v>548</v>
      </c>
      <c r="Z2080">
        <v>284.24281731793161</v>
      </c>
      <c r="AA2080">
        <v>198</v>
      </c>
      <c r="AB2080">
        <v>332</v>
      </c>
      <c r="AC2080">
        <v>536</v>
      </c>
      <c r="AD2080">
        <v>26.61</v>
      </c>
      <c r="AE2080">
        <v>542</v>
      </c>
      <c r="AF2080">
        <v>13</v>
      </c>
      <c r="AG2080">
        <v>180</v>
      </c>
      <c r="AH2080">
        <v>129</v>
      </c>
      <c r="AI2080">
        <v>2.4</v>
      </c>
      <c r="AJ2080">
        <v>33.21</v>
      </c>
      <c r="AK2080">
        <v>23.8</v>
      </c>
      <c r="AL2080">
        <v>-20.155913549999951</v>
      </c>
      <c r="AM2080">
        <v>-44.905554508392683</v>
      </c>
      <c r="AN2080">
        <v>-20.155913549999951</v>
      </c>
      <c r="AO2080">
        <v>-44.905554508392669</v>
      </c>
      <c r="AP2080">
        <v>-20.155839</v>
      </c>
      <c r="AQ2080">
        <v>-44.905655000000003</v>
      </c>
      <c r="AR2080">
        <v>13.384922093797449</v>
      </c>
      <c r="AS2080" t="s">
        <v>65</v>
      </c>
      <c r="AT2080">
        <v>1</v>
      </c>
      <c r="AU2080" t="s">
        <v>549</v>
      </c>
      <c r="AV2080" t="s">
        <v>550</v>
      </c>
      <c r="AW2080" t="s">
        <v>60</v>
      </c>
      <c r="AX2080" t="s">
        <v>68</v>
      </c>
      <c r="AY2080" t="s">
        <v>69</v>
      </c>
      <c r="AZ2080" t="b">
        <v>1</v>
      </c>
    </row>
    <row r="2081" spans="1:52" x14ac:dyDescent="0.3">
      <c r="A2081" t="s">
        <v>52</v>
      </c>
      <c r="B2081" t="s">
        <v>53</v>
      </c>
      <c r="C2081" t="s">
        <v>54</v>
      </c>
      <c r="D2081" t="s">
        <v>55</v>
      </c>
      <c r="E2081" t="s">
        <v>2149</v>
      </c>
      <c r="F2081" t="s">
        <v>190</v>
      </c>
      <c r="G2081" t="s">
        <v>551</v>
      </c>
      <c r="H2081" t="s">
        <v>552</v>
      </c>
      <c r="I2081" t="s">
        <v>552</v>
      </c>
      <c r="J2081" t="s">
        <v>60</v>
      </c>
      <c r="K2081" t="s">
        <v>388</v>
      </c>
      <c r="L2081" t="s">
        <v>62</v>
      </c>
      <c r="M2081" t="s">
        <v>388</v>
      </c>
      <c r="N2081" t="s">
        <v>553</v>
      </c>
      <c r="O2081" t="s">
        <v>315</v>
      </c>
      <c r="P2081">
        <v>-20.153086999999999</v>
      </c>
      <c r="Q2081">
        <v>-44.905451999999997</v>
      </c>
      <c r="R2081" s="2" t="str">
        <f>HYPERLINK("https://www.google.com/maps?q=-20.1530870,-44.9054520","Abrir no Google Maps")</f>
        <v>Abrir no Google Maps</v>
      </c>
      <c r="S2081">
        <v>3</v>
      </c>
      <c r="T2081">
        <v>313.69387682409018</v>
      </c>
      <c r="U2081">
        <v>4</v>
      </c>
      <c r="V2081">
        <v>0.48902806078616129</v>
      </c>
      <c r="W2081">
        <v>1</v>
      </c>
      <c r="X2081">
        <v>0.48902806078616129</v>
      </c>
      <c r="Y2081">
        <v>548</v>
      </c>
      <c r="Z2081">
        <v>319.51605309906859</v>
      </c>
      <c r="AA2081">
        <v>198</v>
      </c>
      <c r="AB2081">
        <v>332</v>
      </c>
      <c r="AC2081">
        <v>536</v>
      </c>
      <c r="AD2081">
        <v>26.61</v>
      </c>
      <c r="AE2081">
        <v>542</v>
      </c>
      <c r="AF2081">
        <v>13</v>
      </c>
      <c r="AG2081">
        <v>180</v>
      </c>
      <c r="AH2081">
        <v>129</v>
      </c>
      <c r="AI2081">
        <v>2.4</v>
      </c>
      <c r="AJ2081">
        <v>33.21</v>
      </c>
      <c r="AK2081">
        <v>23.8</v>
      </c>
      <c r="AL2081">
        <v>-20.153043049999951</v>
      </c>
      <c r="AM2081">
        <v>-44.905348275899513</v>
      </c>
      <c r="AN2081">
        <v>-20.153043049999951</v>
      </c>
      <c r="AO2081">
        <v>-44.905348275899513</v>
      </c>
      <c r="AP2081">
        <v>-20.153086999999999</v>
      </c>
      <c r="AQ2081">
        <v>-44.905451999999997</v>
      </c>
      <c r="AR2081">
        <v>11.892619975648341</v>
      </c>
      <c r="AS2081" t="s">
        <v>65</v>
      </c>
      <c r="AT2081">
        <v>1</v>
      </c>
      <c r="AU2081" t="s">
        <v>554</v>
      </c>
      <c r="AV2081" t="s">
        <v>555</v>
      </c>
      <c r="AW2081" t="s">
        <v>60</v>
      </c>
      <c r="AX2081" t="s">
        <v>68</v>
      </c>
      <c r="AY2081" t="s">
        <v>69</v>
      </c>
      <c r="AZ2081" t="b">
        <v>1</v>
      </c>
    </row>
    <row r="2082" spans="1:52" x14ac:dyDescent="0.3">
      <c r="A2082" t="s">
        <v>52</v>
      </c>
      <c r="B2082" t="s">
        <v>53</v>
      </c>
      <c r="C2082" t="s">
        <v>54</v>
      </c>
      <c r="D2082" t="s">
        <v>55</v>
      </c>
      <c r="E2082" t="s">
        <v>2149</v>
      </c>
      <c r="F2082" t="s">
        <v>190</v>
      </c>
      <c r="G2082" t="s">
        <v>556</v>
      </c>
      <c r="H2082" t="s">
        <v>557</v>
      </c>
      <c r="I2082" t="s">
        <v>557</v>
      </c>
      <c r="J2082" t="s">
        <v>60</v>
      </c>
      <c r="K2082" t="s">
        <v>388</v>
      </c>
      <c r="L2082" t="s">
        <v>62</v>
      </c>
      <c r="M2082" t="s">
        <v>388</v>
      </c>
      <c r="N2082" t="s">
        <v>558</v>
      </c>
      <c r="O2082" t="s">
        <v>559</v>
      </c>
      <c r="P2082">
        <v>-20.152670000000001</v>
      </c>
      <c r="Q2082">
        <v>-44.902557999999999</v>
      </c>
      <c r="R2082" s="2" t="str">
        <f>HYPERLINK("https://www.google.com/maps?q=-20.1526700,-44.9025580","Abrir no Google Maps")</f>
        <v>Abrir no Google Maps</v>
      </c>
      <c r="S2082">
        <v>3</v>
      </c>
      <c r="T2082">
        <v>228.56195217678911</v>
      </c>
      <c r="U2082">
        <v>4</v>
      </c>
      <c r="V2082">
        <v>0.51111989292758531</v>
      </c>
      <c r="W2082">
        <v>1</v>
      </c>
      <c r="X2082">
        <v>0.51111989292758531</v>
      </c>
      <c r="Y2082">
        <v>548</v>
      </c>
      <c r="Z2082">
        <v>250.63133895224919</v>
      </c>
      <c r="AA2082">
        <v>198</v>
      </c>
      <c r="AB2082">
        <v>332</v>
      </c>
      <c r="AC2082">
        <v>536</v>
      </c>
      <c r="AD2082">
        <v>26.61</v>
      </c>
      <c r="AE2082">
        <v>542</v>
      </c>
      <c r="AF2082">
        <v>13</v>
      </c>
      <c r="AG2082">
        <v>180</v>
      </c>
      <c r="AH2082">
        <v>129</v>
      </c>
      <c r="AI2082">
        <v>2.4</v>
      </c>
      <c r="AJ2082">
        <v>33.21</v>
      </c>
      <c r="AK2082">
        <v>23.8</v>
      </c>
      <c r="AL2082">
        <v>-20.152629799999939</v>
      </c>
      <c r="AM2082">
        <v>-44.902604744705201</v>
      </c>
      <c r="AN2082">
        <v>-20.152629799999939</v>
      </c>
      <c r="AO2082">
        <v>-44.902604744705201</v>
      </c>
      <c r="AP2082">
        <v>-20.152670000000001</v>
      </c>
      <c r="AQ2082">
        <v>-44.902557999999999</v>
      </c>
      <c r="AR2082">
        <v>6.6249428037111509</v>
      </c>
      <c r="AS2082" t="s">
        <v>65</v>
      </c>
      <c r="AT2082">
        <v>1</v>
      </c>
      <c r="AU2082" t="s">
        <v>560</v>
      </c>
      <c r="AV2082" t="s">
        <v>561</v>
      </c>
      <c r="AW2082" t="s">
        <v>60</v>
      </c>
      <c r="AX2082" t="s">
        <v>68</v>
      </c>
      <c r="AY2082" t="s">
        <v>69</v>
      </c>
      <c r="AZ2082" t="b">
        <v>1</v>
      </c>
    </row>
    <row r="2083" spans="1:52" x14ac:dyDescent="0.3">
      <c r="A2083" t="s">
        <v>52</v>
      </c>
      <c r="B2083" t="s">
        <v>53</v>
      </c>
      <c r="C2083" t="s">
        <v>54</v>
      </c>
      <c r="D2083" t="s">
        <v>55</v>
      </c>
      <c r="E2083" t="s">
        <v>2149</v>
      </c>
      <c r="F2083" t="s">
        <v>190</v>
      </c>
      <c r="G2083" t="s">
        <v>562</v>
      </c>
      <c r="H2083" t="s">
        <v>563</v>
      </c>
      <c r="I2083" t="s">
        <v>563</v>
      </c>
      <c r="J2083" t="s">
        <v>60</v>
      </c>
      <c r="K2083" t="s">
        <v>388</v>
      </c>
      <c r="L2083" t="s">
        <v>62</v>
      </c>
      <c r="M2083" t="s">
        <v>388</v>
      </c>
      <c r="N2083" t="s">
        <v>564</v>
      </c>
      <c r="O2083" t="s">
        <v>565</v>
      </c>
      <c r="P2083">
        <v>-20.154432</v>
      </c>
      <c r="Q2083">
        <v>-44.902977999999997</v>
      </c>
      <c r="R2083" s="2" t="str">
        <f>HYPERLINK("https://www.google.com/maps?q=-20.1544320,-44.9029780","Abrir no Google Maps")</f>
        <v>Abrir no Google Maps</v>
      </c>
      <c r="S2083">
        <v>3</v>
      </c>
      <c r="T2083">
        <v>0</v>
      </c>
      <c r="U2083">
        <v>4</v>
      </c>
      <c r="V2083">
        <v>0.51824478277439823</v>
      </c>
      <c r="W2083">
        <v>1</v>
      </c>
      <c r="X2083">
        <v>0.51824478277439823</v>
      </c>
      <c r="Y2083">
        <v>548</v>
      </c>
      <c r="Z2083">
        <v>29.424211042533759</v>
      </c>
      <c r="AA2083">
        <v>198</v>
      </c>
      <c r="AB2083">
        <v>332</v>
      </c>
      <c r="AC2083">
        <v>536</v>
      </c>
      <c r="AD2083">
        <v>26.61</v>
      </c>
      <c r="AE2083">
        <v>542</v>
      </c>
      <c r="AF2083">
        <v>13</v>
      </c>
      <c r="AG2083">
        <v>180</v>
      </c>
      <c r="AH2083">
        <v>129</v>
      </c>
      <c r="AI2083">
        <v>2.4</v>
      </c>
      <c r="AJ2083">
        <v>33.21</v>
      </c>
      <c r="AK2083">
        <v>23.8</v>
      </c>
      <c r="AL2083">
        <v>-20.15467689999997</v>
      </c>
      <c r="AM2083">
        <v>-44.902895281771222</v>
      </c>
      <c r="AN2083">
        <v>-20.15467689999997</v>
      </c>
      <c r="AO2083">
        <v>-44.902895281771222</v>
      </c>
      <c r="AP2083">
        <v>-20.154432</v>
      </c>
      <c r="AQ2083">
        <v>-44.902977999999997</v>
      </c>
      <c r="AR2083">
        <v>28.5999270636025</v>
      </c>
      <c r="AS2083" t="s">
        <v>65</v>
      </c>
      <c r="AT2083">
        <v>1</v>
      </c>
      <c r="AU2083" t="s">
        <v>566</v>
      </c>
      <c r="AV2083" t="s">
        <v>567</v>
      </c>
      <c r="AW2083" t="s">
        <v>60</v>
      </c>
      <c r="AX2083" t="s">
        <v>68</v>
      </c>
      <c r="AY2083" t="s">
        <v>69</v>
      </c>
      <c r="AZ2083" t="b">
        <v>1</v>
      </c>
    </row>
    <row r="2084" spans="1:52" x14ac:dyDescent="0.3">
      <c r="A2084" t="s">
        <v>52</v>
      </c>
      <c r="B2084" t="s">
        <v>53</v>
      </c>
      <c r="C2084" t="s">
        <v>54</v>
      </c>
      <c r="D2084" t="s">
        <v>55</v>
      </c>
      <c r="E2084" t="s">
        <v>2149</v>
      </c>
      <c r="F2084" t="s">
        <v>190</v>
      </c>
      <c r="G2084" t="s">
        <v>568</v>
      </c>
      <c r="H2084" t="s">
        <v>569</v>
      </c>
      <c r="I2084" t="s">
        <v>569</v>
      </c>
      <c r="J2084" t="s">
        <v>60</v>
      </c>
      <c r="K2084" t="s">
        <v>61</v>
      </c>
      <c r="L2084" t="s">
        <v>62</v>
      </c>
      <c r="M2084" t="s">
        <v>61</v>
      </c>
      <c r="N2084" t="s">
        <v>570</v>
      </c>
      <c r="O2084" t="s">
        <v>548</v>
      </c>
      <c r="P2084">
        <v>-20.151508</v>
      </c>
      <c r="Q2084">
        <v>-44.907826</v>
      </c>
      <c r="R2084" s="2" t="str">
        <f>HYPERLINK("https://www.google.com/maps?q=-20.1515080,-44.9078260","Abrir no Google Maps")</f>
        <v>Abrir no Google Maps</v>
      </c>
      <c r="S2084">
        <v>3</v>
      </c>
      <c r="T2084">
        <v>567.15905416240514</v>
      </c>
      <c r="U2084">
        <v>4</v>
      </c>
      <c r="V2084">
        <v>0.6277828106479435</v>
      </c>
      <c r="W2084">
        <v>0.85</v>
      </c>
      <c r="X2084">
        <v>0.53361538905075201</v>
      </c>
      <c r="Y2084">
        <v>548</v>
      </c>
      <c r="Z2084">
        <v>560.49158010771464</v>
      </c>
      <c r="AA2084">
        <v>198</v>
      </c>
      <c r="AB2084">
        <v>332</v>
      </c>
      <c r="AC2084">
        <v>536</v>
      </c>
      <c r="AD2084">
        <v>26.61</v>
      </c>
      <c r="AE2084">
        <v>542</v>
      </c>
      <c r="AF2084">
        <v>13</v>
      </c>
      <c r="AG2084">
        <v>180</v>
      </c>
      <c r="AH2084">
        <v>129</v>
      </c>
      <c r="AI2084">
        <v>2.4</v>
      </c>
      <c r="AJ2084">
        <v>33.21</v>
      </c>
      <c r="AK2084">
        <v>23.8</v>
      </c>
      <c r="AL2084">
        <v>-20.15211779999996</v>
      </c>
      <c r="AM2084">
        <v>-44.907597469593128</v>
      </c>
      <c r="AN2084">
        <v>-20.15211779999996</v>
      </c>
      <c r="AO2084">
        <v>-44.907597469593128</v>
      </c>
      <c r="AP2084">
        <v>-20.151508</v>
      </c>
      <c r="AQ2084">
        <v>-44.907826</v>
      </c>
      <c r="AR2084">
        <v>71.961597929314735</v>
      </c>
      <c r="AS2084" t="s">
        <v>65</v>
      </c>
      <c r="AT2084">
        <v>1</v>
      </c>
      <c r="AU2084" t="s">
        <v>571</v>
      </c>
      <c r="AV2084" t="s">
        <v>572</v>
      </c>
      <c r="AW2084" t="s">
        <v>60</v>
      </c>
      <c r="AX2084" t="s">
        <v>68</v>
      </c>
      <c r="AY2084" t="s">
        <v>69</v>
      </c>
      <c r="AZ2084" t="b">
        <v>1</v>
      </c>
    </row>
    <row r="2085" spans="1:52" x14ac:dyDescent="0.3">
      <c r="A2085" t="s">
        <v>52</v>
      </c>
      <c r="B2085" t="s">
        <v>53</v>
      </c>
      <c r="C2085" t="s">
        <v>54</v>
      </c>
      <c r="D2085" t="s">
        <v>55</v>
      </c>
      <c r="E2085" t="s">
        <v>2149</v>
      </c>
      <c r="F2085" t="s">
        <v>190</v>
      </c>
      <c r="G2085" t="s">
        <v>573</v>
      </c>
      <c r="H2085" t="s">
        <v>574</v>
      </c>
      <c r="I2085" t="s">
        <v>574</v>
      </c>
      <c r="J2085" t="s">
        <v>60</v>
      </c>
      <c r="K2085" t="s">
        <v>207</v>
      </c>
      <c r="L2085" t="s">
        <v>62</v>
      </c>
      <c r="M2085" t="s">
        <v>207</v>
      </c>
      <c r="N2085" t="s">
        <v>575</v>
      </c>
      <c r="O2085" t="s">
        <v>576</v>
      </c>
      <c r="P2085">
        <v>-20.121252999999999</v>
      </c>
      <c r="Q2085">
        <v>-44.887988999999997</v>
      </c>
      <c r="R2085" s="2" t="str">
        <f>HYPERLINK("https://www.google.com/maps?q=-20.1212530,-44.8879890","Abrir no Google Maps")</f>
        <v>Abrir no Google Maps</v>
      </c>
      <c r="S2085">
        <v>3</v>
      </c>
      <c r="T2085">
        <v>310.5511884274041</v>
      </c>
      <c r="U2085">
        <v>4</v>
      </c>
      <c r="V2085">
        <v>0.54477656066284552</v>
      </c>
      <c r="W2085">
        <v>1</v>
      </c>
      <c r="X2085">
        <v>0.54477656066284552</v>
      </c>
      <c r="Y2085">
        <v>536</v>
      </c>
      <c r="Z2085">
        <v>292.13362593122162</v>
      </c>
      <c r="AA2085">
        <v>198</v>
      </c>
      <c r="AB2085">
        <v>332</v>
      </c>
      <c r="AC2085">
        <v>536</v>
      </c>
      <c r="AD2085">
        <v>26.61</v>
      </c>
      <c r="AE2085">
        <v>542</v>
      </c>
      <c r="AF2085">
        <v>13</v>
      </c>
      <c r="AG2085">
        <v>180</v>
      </c>
      <c r="AH2085">
        <v>129</v>
      </c>
      <c r="AI2085">
        <v>2.4</v>
      </c>
      <c r="AJ2085">
        <v>33.21</v>
      </c>
      <c r="AK2085">
        <v>23.8</v>
      </c>
      <c r="AL2085">
        <v>-20.121103699999939</v>
      </c>
      <c r="AM2085">
        <v>-44.888116617806723</v>
      </c>
      <c r="AN2085">
        <v>-20.121103699999939</v>
      </c>
      <c r="AO2085">
        <v>-44.888116617806723</v>
      </c>
      <c r="AP2085">
        <v>-20.121252999999999</v>
      </c>
      <c r="AQ2085">
        <v>-44.887988999999997</v>
      </c>
      <c r="AR2085">
        <v>21.311159673382519</v>
      </c>
      <c r="AS2085" t="s">
        <v>65</v>
      </c>
      <c r="AT2085">
        <v>1</v>
      </c>
      <c r="AU2085" t="s">
        <v>577</v>
      </c>
      <c r="AV2085" t="s">
        <v>578</v>
      </c>
      <c r="AW2085" t="s">
        <v>60</v>
      </c>
      <c r="AX2085" t="s">
        <v>68</v>
      </c>
      <c r="AY2085" t="s">
        <v>69</v>
      </c>
      <c r="AZ2085" t="b">
        <v>1</v>
      </c>
    </row>
    <row r="2086" spans="1:52" x14ac:dyDescent="0.3">
      <c r="A2086" t="s">
        <v>52</v>
      </c>
      <c r="B2086" t="s">
        <v>53</v>
      </c>
      <c r="C2086" t="s">
        <v>54</v>
      </c>
      <c r="D2086" t="s">
        <v>55</v>
      </c>
      <c r="E2086" t="s">
        <v>2149</v>
      </c>
      <c r="F2086" t="s">
        <v>190</v>
      </c>
      <c r="G2086" t="s">
        <v>579</v>
      </c>
      <c r="H2086" t="s">
        <v>580</v>
      </c>
      <c r="I2086" t="s">
        <v>580</v>
      </c>
      <c r="J2086" t="s">
        <v>60</v>
      </c>
      <c r="K2086" t="s">
        <v>117</v>
      </c>
      <c r="L2086" t="s">
        <v>62</v>
      </c>
      <c r="M2086" t="s">
        <v>117</v>
      </c>
      <c r="N2086" t="s">
        <v>581</v>
      </c>
      <c r="O2086" t="s">
        <v>338</v>
      </c>
      <c r="P2086">
        <v>-20.119333000000001</v>
      </c>
      <c r="Q2086">
        <v>-44.892454999999998</v>
      </c>
      <c r="R2086" s="2" t="str">
        <f>HYPERLINK("https://www.google.com/maps?q=-20.1193330,-44.8924550","Abrir no Google Maps")</f>
        <v>Abrir no Google Maps</v>
      </c>
      <c r="S2086">
        <v>3</v>
      </c>
      <c r="T2086">
        <v>545.06582215852734</v>
      </c>
      <c r="U2086">
        <v>4</v>
      </c>
      <c r="V2086">
        <v>0.4767483026445406</v>
      </c>
      <c r="W2086">
        <v>1</v>
      </c>
      <c r="X2086">
        <v>0.4767483026445406</v>
      </c>
      <c r="Y2086">
        <v>536</v>
      </c>
      <c r="Z2086">
        <v>583.72689769042404</v>
      </c>
      <c r="AA2086">
        <v>198</v>
      </c>
      <c r="AB2086">
        <v>332</v>
      </c>
      <c r="AC2086">
        <v>536</v>
      </c>
      <c r="AD2086">
        <v>26.61</v>
      </c>
      <c r="AE2086">
        <v>542</v>
      </c>
      <c r="AF2086">
        <v>13</v>
      </c>
      <c r="AG2086">
        <v>180</v>
      </c>
      <c r="AH2086">
        <v>129</v>
      </c>
      <c r="AI2086">
        <v>2.4</v>
      </c>
      <c r="AJ2086">
        <v>33.21</v>
      </c>
      <c r="AK2086">
        <v>23.8</v>
      </c>
      <c r="AL2086">
        <v>-20.11966729999995</v>
      </c>
      <c r="AM2086">
        <v>-44.892529474102908</v>
      </c>
      <c r="AN2086">
        <v>-20.119667299999939</v>
      </c>
      <c r="AO2086">
        <v>-44.892529474102908</v>
      </c>
      <c r="AP2086">
        <v>-20.119333000000001</v>
      </c>
      <c r="AQ2086">
        <v>-44.892454999999998</v>
      </c>
      <c r="AR2086">
        <v>38.019750592693072</v>
      </c>
      <c r="AS2086" t="s">
        <v>65</v>
      </c>
      <c r="AT2086">
        <v>1</v>
      </c>
      <c r="AU2086" t="s">
        <v>582</v>
      </c>
      <c r="AV2086" t="s">
        <v>583</v>
      </c>
      <c r="AW2086" t="s">
        <v>60</v>
      </c>
      <c r="AX2086" t="s">
        <v>68</v>
      </c>
      <c r="AY2086" t="s">
        <v>69</v>
      </c>
      <c r="AZ2086" t="b">
        <v>1</v>
      </c>
    </row>
    <row r="2087" spans="1:52" x14ac:dyDescent="0.3">
      <c r="A2087" t="s">
        <v>52</v>
      </c>
      <c r="B2087" t="s">
        <v>53</v>
      </c>
      <c r="C2087" t="s">
        <v>54</v>
      </c>
      <c r="D2087" t="s">
        <v>55</v>
      </c>
      <c r="E2087" t="s">
        <v>2149</v>
      </c>
      <c r="F2087" t="s">
        <v>190</v>
      </c>
      <c r="G2087" t="s">
        <v>584</v>
      </c>
      <c r="H2087" t="s">
        <v>585</v>
      </c>
      <c r="I2087" t="s">
        <v>585</v>
      </c>
      <c r="J2087" t="s">
        <v>60</v>
      </c>
      <c r="K2087" t="s">
        <v>207</v>
      </c>
      <c r="L2087" t="s">
        <v>62</v>
      </c>
      <c r="M2087" t="s">
        <v>207</v>
      </c>
      <c r="N2087" t="s">
        <v>586</v>
      </c>
      <c r="O2087" t="s">
        <v>587</v>
      </c>
      <c r="P2087">
        <v>-20.122596999999999</v>
      </c>
      <c r="Q2087">
        <v>-44.889994999999999</v>
      </c>
      <c r="R2087" s="2" t="str">
        <f>HYPERLINK("https://www.google.com/maps?q=-20.1225970,-44.8899950","Abrir no Google Maps")</f>
        <v>Abrir no Google Maps</v>
      </c>
      <c r="S2087">
        <v>3</v>
      </c>
      <c r="T2087">
        <v>548.23336486960989</v>
      </c>
      <c r="U2087">
        <v>4</v>
      </c>
      <c r="V2087">
        <v>0.48649733837799342</v>
      </c>
      <c r="W2087">
        <v>1</v>
      </c>
      <c r="X2087">
        <v>0.48649733837799342</v>
      </c>
      <c r="Y2087">
        <v>536</v>
      </c>
      <c r="Z2087">
        <v>547.28307523929982</v>
      </c>
      <c r="AA2087">
        <v>198</v>
      </c>
      <c r="AB2087">
        <v>332</v>
      </c>
      <c r="AC2087">
        <v>536</v>
      </c>
      <c r="AD2087">
        <v>26.61</v>
      </c>
      <c r="AE2087">
        <v>542</v>
      </c>
      <c r="AF2087">
        <v>13</v>
      </c>
      <c r="AG2087">
        <v>180</v>
      </c>
      <c r="AH2087">
        <v>129</v>
      </c>
      <c r="AI2087">
        <v>2.4</v>
      </c>
      <c r="AJ2087">
        <v>33.21</v>
      </c>
      <c r="AK2087">
        <v>23.8</v>
      </c>
      <c r="AL2087">
        <v>-20.122693899999941</v>
      </c>
      <c r="AM2087">
        <v>-44.890039706276887</v>
      </c>
      <c r="AN2087">
        <v>-20.122693899999941</v>
      </c>
      <c r="AO2087">
        <v>-44.890039706276887</v>
      </c>
      <c r="AP2087">
        <v>-20.122596999999999</v>
      </c>
      <c r="AQ2087">
        <v>-44.889994999999999</v>
      </c>
      <c r="AR2087">
        <v>11.75557400261394</v>
      </c>
      <c r="AS2087" t="s">
        <v>65</v>
      </c>
      <c r="AT2087">
        <v>1</v>
      </c>
      <c r="AU2087" t="s">
        <v>588</v>
      </c>
      <c r="AV2087" t="s">
        <v>589</v>
      </c>
      <c r="AW2087" t="s">
        <v>60</v>
      </c>
      <c r="AX2087" t="s">
        <v>68</v>
      </c>
      <c r="AY2087" t="s">
        <v>69</v>
      </c>
      <c r="AZ2087" t="b">
        <v>1</v>
      </c>
    </row>
    <row r="2088" spans="1:52" x14ac:dyDescent="0.3">
      <c r="A2088" t="s">
        <v>52</v>
      </c>
      <c r="B2088" t="s">
        <v>53</v>
      </c>
      <c r="C2088" t="s">
        <v>54</v>
      </c>
      <c r="D2088" t="s">
        <v>55</v>
      </c>
      <c r="E2088" t="s">
        <v>2149</v>
      </c>
      <c r="F2088" t="s">
        <v>190</v>
      </c>
      <c r="G2088" t="s">
        <v>590</v>
      </c>
      <c r="H2088" t="s">
        <v>591</v>
      </c>
      <c r="I2088" t="s">
        <v>591</v>
      </c>
      <c r="J2088" t="s">
        <v>60</v>
      </c>
      <c r="K2088" t="s">
        <v>207</v>
      </c>
      <c r="L2088" t="s">
        <v>62</v>
      </c>
      <c r="M2088" t="s">
        <v>207</v>
      </c>
      <c r="N2088" t="s">
        <v>592</v>
      </c>
      <c r="O2088" t="s">
        <v>565</v>
      </c>
      <c r="P2088">
        <v>-20.118652000000001</v>
      </c>
      <c r="Q2088">
        <v>-44.890574999999998</v>
      </c>
      <c r="R2088" s="2" t="str">
        <f>HYPERLINK("https://www.google.com/maps?q=-20.1186520,-44.8905750","Abrir no Google Maps")</f>
        <v>Abrir no Google Maps</v>
      </c>
      <c r="S2088">
        <v>3</v>
      </c>
      <c r="T2088">
        <v>305.97870753615422</v>
      </c>
      <c r="U2088">
        <v>4</v>
      </c>
      <c r="V2088">
        <v>0.48185422816813339</v>
      </c>
      <c r="W2088">
        <v>1</v>
      </c>
      <c r="X2088">
        <v>0.48185422816813339</v>
      </c>
      <c r="Y2088">
        <v>536</v>
      </c>
      <c r="Z2088">
        <v>368.07356795447242</v>
      </c>
      <c r="AA2088">
        <v>198</v>
      </c>
      <c r="AB2088">
        <v>332</v>
      </c>
      <c r="AC2088">
        <v>536</v>
      </c>
      <c r="AD2088">
        <v>26.61</v>
      </c>
      <c r="AE2088">
        <v>542</v>
      </c>
      <c r="AF2088">
        <v>13</v>
      </c>
      <c r="AG2088">
        <v>180</v>
      </c>
      <c r="AH2088">
        <v>129</v>
      </c>
      <c r="AI2088">
        <v>2.4</v>
      </c>
      <c r="AJ2088">
        <v>33.21</v>
      </c>
      <c r="AK2088">
        <v>23.8</v>
      </c>
      <c r="AL2088">
        <v>-20.118589699999941</v>
      </c>
      <c r="AM2088">
        <v>-44.890419442196389</v>
      </c>
      <c r="AN2088">
        <v>-20.118589699999941</v>
      </c>
      <c r="AO2088">
        <v>-44.890419442196389</v>
      </c>
      <c r="AP2088">
        <v>-20.118652000000001</v>
      </c>
      <c r="AQ2088">
        <v>-44.890574999999998</v>
      </c>
      <c r="AR2088">
        <v>17.67731866347437</v>
      </c>
      <c r="AS2088" t="s">
        <v>65</v>
      </c>
      <c r="AT2088">
        <v>1</v>
      </c>
      <c r="AU2088" t="s">
        <v>593</v>
      </c>
      <c r="AV2088" t="s">
        <v>594</v>
      </c>
      <c r="AW2088" t="s">
        <v>60</v>
      </c>
      <c r="AX2088" t="s">
        <v>68</v>
      </c>
      <c r="AY2088" t="s">
        <v>69</v>
      </c>
      <c r="AZ2088" t="b">
        <v>1</v>
      </c>
    </row>
    <row r="2089" spans="1:52" x14ac:dyDescent="0.3">
      <c r="A2089" t="s">
        <v>52</v>
      </c>
      <c r="B2089" t="s">
        <v>53</v>
      </c>
      <c r="C2089" t="s">
        <v>54</v>
      </c>
      <c r="D2089" t="s">
        <v>55</v>
      </c>
      <c r="E2089" t="s">
        <v>2149</v>
      </c>
      <c r="F2089" t="s">
        <v>190</v>
      </c>
      <c r="G2089" t="s">
        <v>595</v>
      </c>
      <c r="H2089" t="s">
        <v>596</v>
      </c>
      <c r="I2089" t="s">
        <v>596</v>
      </c>
      <c r="J2089" t="s">
        <v>60</v>
      </c>
      <c r="K2089" t="s">
        <v>207</v>
      </c>
      <c r="L2089" t="s">
        <v>62</v>
      </c>
      <c r="M2089" t="s">
        <v>207</v>
      </c>
      <c r="N2089" t="s">
        <v>597</v>
      </c>
      <c r="O2089" t="s">
        <v>598</v>
      </c>
      <c r="P2089">
        <v>-20.118335999999999</v>
      </c>
      <c r="Q2089">
        <v>-44.887441000000003</v>
      </c>
      <c r="R2089" s="2" t="str">
        <f>HYPERLINK("https://www.google.com/maps?q=-20.1183360,-44.8874410","Abrir no Google Maps")</f>
        <v>Abrir no Google Maps</v>
      </c>
      <c r="S2089">
        <v>3</v>
      </c>
      <c r="T2089">
        <v>0</v>
      </c>
      <c r="U2089">
        <v>4</v>
      </c>
      <c r="V2089">
        <v>0.49227192569587908</v>
      </c>
      <c r="W2089">
        <v>1</v>
      </c>
      <c r="X2089">
        <v>0.49227192569587908</v>
      </c>
      <c r="Y2089">
        <v>536</v>
      </c>
      <c r="Z2089">
        <v>70.729031566967279</v>
      </c>
      <c r="AA2089">
        <v>198</v>
      </c>
      <c r="AB2089">
        <v>332</v>
      </c>
      <c r="AC2089">
        <v>536</v>
      </c>
      <c r="AD2089">
        <v>26.61</v>
      </c>
      <c r="AE2089">
        <v>542</v>
      </c>
      <c r="AF2089">
        <v>13</v>
      </c>
      <c r="AG2089">
        <v>180</v>
      </c>
      <c r="AH2089">
        <v>129</v>
      </c>
      <c r="AI2089">
        <v>2.4</v>
      </c>
      <c r="AJ2089">
        <v>33.21</v>
      </c>
      <c r="AK2089">
        <v>23.8</v>
      </c>
      <c r="AL2089">
        <v>-20.118357999999969</v>
      </c>
      <c r="AM2089">
        <v>-44.88750246616479</v>
      </c>
      <c r="AN2089">
        <v>-20.118357999999969</v>
      </c>
      <c r="AO2089">
        <v>-44.88750246616479</v>
      </c>
      <c r="AP2089">
        <v>-20.118335999999999</v>
      </c>
      <c r="AQ2089">
        <v>-44.887441000000003</v>
      </c>
      <c r="AR2089">
        <v>6.875853437004074</v>
      </c>
      <c r="AS2089" t="s">
        <v>65</v>
      </c>
      <c r="AT2089">
        <v>1</v>
      </c>
      <c r="AU2089" t="s">
        <v>599</v>
      </c>
      <c r="AV2089" t="s">
        <v>600</v>
      </c>
      <c r="AW2089" t="s">
        <v>60</v>
      </c>
      <c r="AX2089" t="s">
        <v>68</v>
      </c>
      <c r="AY2089" t="s">
        <v>69</v>
      </c>
      <c r="AZ2089" t="b">
        <v>1</v>
      </c>
    </row>
    <row r="2090" spans="1:52" x14ac:dyDescent="0.3">
      <c r="A2090" t="s">
        <v>52</v>
      </c>
      <c r="B2090" t="s">
        <v>53</v>
      </c>
      <c r="C2090" t="s">
        <v>54</v>
      </c>
      <c r="D2090" t="s">
        <v>55</v>
      </c>
      <c r="E2090" t="s">
        <v>2149</v>
      </c>
      <c r="F2090" t="s">
        <v>190</v>
      </c>
      <c r="G2090" t="s">
        <v>601</v>
      </c>
      <c r="H2090" t="s">
        <v>602</v>
      </c>
      <c r="I2090" t="s">
        <v>602</v>
      </c>
      <c r="J2090" t="s">
        <v>60</v>
      </c>
      <c r="K2090" t="s">
        <v>117</v>
      </c>
      <c r="L2090" t="s">
        <v>62</v>
      </c>
      <c r="M2090" t="s">
        <v>117</v>
      </c>
      <c r="N2090" t="s">
        <v>603</v>
      </c>
      <c r="O2090" t="s">
        <v>604</v>
      </c>
      <c r="P2090">
        <v>-20.122198999999998</v>
      </c>
      <c r="Q2090">
        <v>-44.893118999999999</v>
      </c>
      <c r="R2090" s="2" t="str">
        <f>HYPERLINK("https://www.google.com/maps?q=-20.1221990,-44.8931190","Abrir no Google Maps")</f>
        <v>Abrir no Google Maps</v>
      </c>
      <c r="S2090">
        <v>3</v>
      </c>
      <c r="T2090">
        <v>737.41475740297403</v>
      </c>
      <c r="U2090">
        <v>4</v>
      </c>
      <c r="V2090">
        <v>0.49635309417995371</v>
      </c>
      <c r="W2090">
        <v>1</v>
      </c>
      <c r="X2090">
        <v>0.49635309417995371</v>
      </c>
      <c r="Y2090">
        <v>536</v>
      </c>
      <c r="Z2090">
        <v>753.81321098979549</v>
      </c>
      <c r="AA2090">
        <v>198</v>
      </c>
      <c r="AB2090">
        <v>332</v>
      </c>
      <c r="AC2090">
        <v>536</v>
      </c>
      <c r="AD2090">
        <v>26.61</v>
      </c>
      <c r="AE2090">
        <v>542</v>
      </c>
      <c r="AF2090">
        <v>13</v>
      </c>
      <c r="AG2090">
        <v>180</v>
      </c>
      <c r="AH2090">
        <v>129</v>
      </c>
      <c r="AI2090">
        <v>2.4</v>
      </c>
      <c r="AJ2090">
        <v>33.21</v>
      </c>
      <c r="AK2090">
        <v>23.8</v>
      </c>
      <c r="AL2090">
        <v>-20.122192249999959</v>
      </c>
      <c r="AM2090">
        <v>-44.893272469204263</v>
      </c>
      <c r="AN2090">
        <v>-20.122192249999959</v>
      </c>
      <c r="AO2090">
        <v>-44.893272469204263</v>
      </c>
      <c r="AP2090">
        <v>-20.122198999999998</v>
      </c>
      <c r="AQ2090">
        <v>-44.893118999999999</v>
      </c>
      <c r="AR2090">
        <v>16.058980187178161</v>
      </c>
      <c r="AS2090" t="s">
        <v>65</v>
      </c>
      <c r="AT2090">
        <v>1</v>
      </c>
      <c r="AU2090" t="s">
        <v>605</v>
      </c>
      <c r="AV2090" t="s">
        <v>606</v>
      </c>
      <c r="AW2090" t="s">
        <v>60</v>
      </c>
      <c r="AX2090" t="s">
        <v>68</v>
      </c>
      <c r="AY2090" t="s">
        <v>69</v>
      </c>
      <c r="AZ2090" t="b">
        <v>1</v>
      </c>
    </row>
    <row r="2091" spans="1:52" x14ac:dyDescent="0.3">
      <c r="A2091" t="s">
        <v>52</v>
      </c>
      <c r="B2091" t="s">
        <v>53</v>
      </c>
      <c r="C2091" t="s">
        <v>54</v>
      </c>
      <c r="D2091" t="s">
        <v>55</v>
      </c>
      <c r="E2091" t="s">
        <v>2149</v>
      </c>
      <c r="F2091" t="s">
        <v>190</v>
      </c>
      <c r="G2091" t="s">
        <v>607</v>
      </c>
      <c r="H2091" t="s">
        <v>608</v>
      </c>
      <c r="I2091" t="s">
        <v>608</v>
      </c>
      <c r="J2091" t="s">
        <v>60</v>
      </c>
      <c r="K2091" t="s">
        <v>609</v>
      </c>
      <c r="L2091" t="s">
        <v>62</v>
      </c>
      <c r="M2091" t="s">
        <v>609</v>
      </c>
      <c r="N2091" t="s">
        <v>610</v>
      </c>
      <c r="O2091" t="s">
        <v>611</v>
      </c>
      <c r="P2091">
        <v>-20.110476999999999</v>
      </c>
      <c r="Q2091">
        <v>-44.887531000000003</v>
      </c>
      <c r="R2091" s="2" t="str">
        <f>HYPERLINK("https://www.google.com/maps?q=-20.1104770,-44.8875310","Abrir no Google Maps")</f>
        <v>Abrir no Google Maps</v>
      </c>
      <c r="S2091">
        <v>3</v>
      </c>
      <c r="T2091">
        <v>862.67854008986569</v>
      </c>
      <c r="U2091">
        <v>4</v>
      </c>
      <c r="V2091">
        <v>0.47835084285756491</v>
      </c>
      <c r="W2091">
        <v>1</v>
      </c>
      <c r="X2091">
        <v>0.47835084285756491</v>
      </c>
      <c r="Y2091">
        <v>536</v>
      </c>
      <c r="Z2091">
        <v>797.51469292431113</v>
      </c>
      <c r="AA2091">
        <v>198</v>
      </c>
      <c r="AB2091">
        <v>332</v>
      </c>
      <c r="AC2091">
        <v>536</v>
      </c>
      <c r="AD2091">
        <v>26.61</v>
      </c>
      <c r="AE2091">
        <v>542</v>
      </c>
      <c r="AF2091">
        <v>13</v>
      </c>
      <c r="AG2091">
        <v>180</v>
      </c>
      <c r="AH2091">
        <v>129</v>
      </c>
      <c r="AI2091">
        <v>2.4</v>
      </c>
      <c r="AJ2091">
        <v>33.21</v>
      </c>
      <c r="AK2091">
        <v>23.8</v>
      </c>
      <c r="AL2091">
        <v>-20.11057859999994</v>
      </c>
      <c r="AM2091">
        <v>-44.888034950185293</v>
      </c>
      <c r="AN2091">
        <v>-20.11057859999994</v>
      </c>
      <c r="AO2091">
        <v>-44.888034950185293</v>
      </c>
      <c r="AP2091">
        <v>-20.110476999999999</v>
      </c>
      <c r="AQ2091">
        <v>-44.887531000000003</v>
      </c>
      <c r="AR2091">
        <v>53.879824494602957</v>
      </c>
      <c r="AS2091" t="s">
        <v>65</v>
      </c>
      <c r="AT2091">
        <v>1</v>
      </c>
      <c r="AU2091" t="s">
        <v>612</v>
      </c>
      <c r="AV2091" t="s">
        <v>613</v>
      </c>
      <c r="AW2091" t="s">
        <v>60</v>
      </c>
      <c r="AX2091" t="s">
        <v>68</v>
      </c>
      <c r="AY2091" t="s">
        <v>69</v>
      </c>
      <c r="AZ2091" t="b">
        <v>1</v>
      </c>
    </row>
    <row r="2092" spans="1:52" x14ac:dyDescent="0.3">
      <c r="A2092" t="s">
        <v>52</v>
      </c>
      <c r="B2092" t="s">
        <v>53</v>
      </c>
      <c r="C2092" t="s">
        <v>54</v>
      </c>
      <c r="D2092" t="s">
        <v>55</v>
      </c>
      <c r="E2092" t="s">
        <v>2149</v>
      </c>
      <c r="F2092" t="s">
        <v>190</v>
      </c>
      <c r="G2092" t="s">
        <v>614</v>
      </c>
      <c r="H2092" t="s">
        <v>615</v>
      </c>
      <c r="I2092" t="s">
        <v>615</v>
      </c>
      <c r="J2092" t="s">
        <v>60</v>
      </c>
      <c r="K2092" t="s">
        <v>207</v>
      </c>
      <c r="L2092" t="s">
        <v>62</v>
      </c>
      <c r="M2092" t="s">
        <v>207</v>
      </c>
      <c r="N2092" t="s">
        <v>616</v>
      </c>
      <c r="O2092" t="s">
        <v>617</v>
      </c>
      <c r="P2092">
        <v>-20.123118999999999</v>
      </c>
      <c r="Q2092">
        <v>-44.886259000000003</v>
      </c>
      <c r="R2092" s="2" t="str">
        <f>HYPERLINK("https://www.google.com/maps?q=-20.1231190,-44.8862590","Abrir no Google Maps")</f>
        <v>Abrir no Google Maps</v>
      </c>
      <c r="S2092">
        <v>3</v>
      </c>
      <c r="T2092">
        <v>534.91642326845545</v>
      </c>
      <c r="U2092">
        <v>4</v>
      </c>
      <c r="V2092">
        <v>0.53805151630849291</v>
      </c>
      <c r="W2092">
        <v>1</v>
      </c>
      <c r="X2092">
        <v>0.53805151630849291</v>
      </c>
      <c r="Y2092">
        <v>536</v>
      </c>
      <c r="Z2092">
        <v>478.9192959851456</v>
      </c>
      <c r="AA2092">
        <v>198</v>
      </c>
      <c r="AB2092">
        <v>332</v>
      </c>
      <c r="AC2092">
        <v>536</v>
      </c>
      <c r="AD2092">
        <v>26.61</v>
      </c>
      <c r="AE2092">
        <v>542</v>
      </c>
      <c r="AF2092">
        <v>13</v>
      </c>
      <c r="AG2092">
        <v>180</v>
      </c>
      <c r="AH2092">
        <v>129</v>
      </c>
      <c r="AI2092">
        <v>2.4</v>
      </c>
      <c r="AJ2092">
        <v>33.21</v>
      </c>
      <c r="AK2092">
        <v>23.8</v>
      </c>
      <c r="AL2092">
        <v>-20.12305974999995</v>
      </c>
      <c r="AM2092">
        <v>-44.886314469108633</v>
      </c>
      <c r="AN2092">
        <v>-20.12305974999995</v>
      </c>
      <c r="AO2092">
        <v>-44.886314469108633</v>
      </c>
      <c r="AP2092">
        <v>-20.123118999999999</v>
      </c>
      <c r="AQ2092">
        <v>-44.886259000000003</v>
      </c>
      <c r="AR2092">
        <v>8.7817342078334093</v>
      </c>
      <c r="AS2092" t="s">
        <v>65</v>
      </c>
      <c r="AT2092">
        <v>1</v>
      </c>
      <c r="AU2092" t="s">
        <v>618</v>
      </c>
      <c r="AV2092" t="s">
        <v>619</v>
      </c>
      <c r="AW2092" t="s">
        <v>60</v>
      </c>
      <c r="AX2092" t="s">
        <v>68</v>
      </c>
      <c r="AY2092" t="s">
        <v>69</v>
      </c>
      <c r="AZ2092" t="b">
        <v>1</v>
      </c>
    </row>
    <row r="2093" spans="1:52" x14ac:dyDescent="0.3">
      <c r="A2093" t="s">
        <v>52</v>
      </c>
      <c r="B2093" t="s">
        <v>53</v>
      </c>
      <c r="C2093" t="s">
        <v>54</v>
      </c>
      <c r="D2093" t="s">
        <v>55</v>
      </c>
      <c r="E2093" t="s">
        <v>2149</v>
      </c>
      <c r="F2093" t="s">
        <v>190</v>
      </c>
      <c r="G2093" t="s">
        <v>620</v>
      </c>
      <c r="H2093" t="s">
        <v>621</v>
      </c>
      <c r="I2093" t="s">
        <v>621</v>
      </c>
      <c r="J2093" t="s">
        <v>60</v>
      </c>
      <c r="K2093" t="s">
        <v>207</v>
      </c>
      <c r="L2093" t="s">
        <v>62</v>
      </c>
      <c r="M2093" t="s">
        <v>207</v>
      </c>
      <c r="N2093" t="s">
        <v>622</v>
      </c>
      <c r="O2093" t="s">
        <v>623</v>
      </c>
      <c r="P2093">
        <v>-20.120775999999999</v>
      </c>
      <c r="Q2093">
        <v>-44.885562999999998</v>
      </c>
      <c r="R2093" s="2" t="str">
        <f>HYPERLINK("https://www.google.com/maps?q=-20.1207760,-44.8855630","Abrir no Google Maps")</f>
        <v>Abrir no Google Maps</v>
      </c>
      <c r="S2093">
        <v>3</v>
      </c>
      <c r="T2093">
        <v>332.24231777761912</v>
      </c>
      <c r="U2093">
        <v>4</v>
      </c>
      <c r="V2093">
        <v>0.51367122869919646</v>
      </c>
      <c r="W2093">
        <v>1</v>
      </c>
      <c r="X2093">
        <v>0.51367122869919646</v>
      </c>
      <c r="Y2093">
        <v>536</v>
      </c>
      <c r="Z2093">
        <v>255.48165096313261</v>
      </c>
      <c r="AA2093">
        <v>198</v>
      </c>
      <c r="AB2093">
        <v>332</v>
      </c>
      <c r="AC2093">
        <v>536</v>
      </c>
      <c r="AD2093">
        <v>26.61</v>
      </c>
      <c r="AE2093">
        <v>542</v>
      </c>
      <c r="AF2093">
        <v>13</v>
      </c>
      <c r="AG2093">
        <v>180</v>
      </c>
      <c r="AH2093">
        <v>129</v>
      </c>
      <c r="AI2093">
        <v>2.4</v>
      </c>
      <c r="AJ2093">
        <v>33.21</v>
      </c>
      <c r="AK2093">
        <v>23.8</v>
      </c>
      <c r="AL2093">
        <v>-20.120783799999941</v>
      </c>
      <c r="AM2093">
        <v>-44.885629603396453</v>
      </c>
      <c r="AN2093">
        <v>-20.120783799999941</v>
      </c>
      <c r="AO2093">
        <v>-44.885629603396453</v>
      </c>
      <c r="AP2093">
        <v>-20.120775999999999</v>
      </c>
      <c r="AQ2093">
        <v>-44.885562999999998</v>
      </c>
      <c r="AR2093">
        <v>7.0157317818911196</v>
      </c>
      <c r="AS2093" t="s">
        <v>65</v>
      </c>
      <c r="AT2093">
        <v>1</v>
      </c>
      <c r="AU2093" t="s">
        <v>624</v>
      </c>
      <c r="AV2093" t="s">
        <v>619</v>
      </c>
      <c r="AW2093" t="s">
        <v>60</v>
      </c>
      <c r="AX2093" t="s">
        <v>68</v>
      </c>
      <c r="AY2093" t="s">
        <v>69</v>
      </c>
      <c r="AZ2093" t="b">
        <v>1</v>
      </c>
    </row>
    <row r="2094" spans="1:52" x14ac:dyDescent="0.3">
      <c r="A2094" t="s">
        <v>52</v>
      </c>
      <c r="B2094" t="s">
        <v>53</v>
      </c>
      <c r="C2094" t="s">
        <v>54</v>
      </c>
      <c r="D2094" t="s">
        <v>55</v>
      </c>
      <c r="E2094" t="s">
        <v>2149</v>
      </c>
      <c r="F2094" t="s">
        <v>190</v>
      </c>
      <c r="G2094" t="s">
        <v>637</v>
      </c>
      <c r="H2094" t="s">
        <v>915</v>
      </c>
      <c r="I2094" t="s">
        <v>915</v>
      </c>
      <c r="J2094" t="s">
        <v>60</v>
      </c>
      <c r="K2094" t="s">
        <v>530</v>
      </c>
      <c r="L2094" t="s">
        <v>62</v>
      </c>
      <c r="M2094" t="s">
        <v>530</v>
      </c>
      <c r="N2094" t="s">
        <v>639</v>
      </c>
      <c r="O2094" t="s">
        <v>916</v>
      </c>
      <c r="P2094">
        <v>-20.144821</v>
      </c>
      <c r="Q2094">
        <v>-44.88937</v>
      </c>
      <c r="R2094" s="2" t="str">
        <f>HYPERLINK("https://www.google.com/maps?q=-20.1448210,-44.8893700","Abrir no Google Maps")</f>
        <v>Abrir no Google Maps</v>
      </c>
      <c r="S2094">
        <v>3</v>
      </c>
      <c r="T2094">
        <v>256.58219197259177</v>
      </c>
      <c r="U2094">
        <v>4</v>
      </c>
      <c r="V2094">
        <v>0.58208114827531521</v>
      </c>
      <c r="W2094">
        <v>0.85</v>
      </c>
      <c r="X2094">
        <v>0.49476897603401793</v>
      </c>
      <c r="Y2094">
        <v>527</v>
      </c>
      <c r="Z2094">
        <v>177.1895281295705</v>
      </c>
      <c r="AA2094">
        <v>198</v>
      </c>
      <c r="AB2094">
        <v>332</v>
      </c>
      <c r="AC2094">
        <v>536</v>
      </c>
      <c r="AD2094">
        <v>26.61</v>
      </c>
      <c r="AE2094">
        <v>542</v>
      </c>
      <c r="AF2094">
        <v>13</v>
      </c>
      <c r="AG2094">
        <v>180</v>
      </c>
      <c r="AH2094">
        <v>129</v>
      </c>
      <c r="AI2094">
        <v>2.4</v>
      </c>
      <c r="AJ2094">
        <v>33.21</v>
      </c>
      <c r="AK2094">
        <v>23.8</v>
      </c>
      <c r="AL2094">
        <v>-20.144812799999951</v>
      </c>
      <c r="AM2094">
        <v>-44.8892780390361</v>
      </c>
      <c r="AN2094">
        <v>-20.144812799999951</v>
      </c>
      <c r="AO2094">
        <v>-44.8892780390361</v>
      </c>
      <c r="AP2094">
        <v>-20.144821</v>
      </c>
      <c r="AQ2094">
        <v>-44.88937</v>
      </c>
      <c r="AR2094">
        <v>9.6540941010892158</v>
      </c>
      <c r="AS2094" t="s">
        <v>65</v>
      </c>
      <c r="AT2094">
        <v>1</v>
      </c>
      <c r="AU2094" t="s">
        <v>917</v>
      </c>
      <c r="AV2094" t="s">
        <v>918</v>
      </c>
      <c r="AW2094" t="s">
        <v>60</v>
      </c>
      <c r="AX2094" t="s">
        <v>68</v>
      </c>
      <c r="AY2094" t="s">
        <v>69</v>
      </c>
      <c r="AZ2094" t="b">
        <v>1</v>
      </c>
    </row>
    <row r="2095" spans="1:52" x14ac:dyDescent="0.3">
      <c r="A2095" t="s">
        <v>52</v>
      </c>
      <c r="B2095" t="s">
        <v>53</v>
      </c>
      <c r="C2095" t="s">
        <v>54</v>
      </c>
      <c r="D2095" t="s">
        <v>55</v>
      </c>
      <c r="E2095" t="s">
        <v>2149</v>
      </c>
      <c r="F2095" t="s">
        <v>190</v>
      </c>
      <c r="G2095" t="s">
        <v>919</v>
      </c>
      <c r="H2095" t="s">
        <v>920</v>
      </c>
      <c r="I2095" t="s">
        <v>920</v>
      </c>
      <c r="J2095" t="s">
        <v>60</v>
      </c>
      <c r="K2095" t="s">
        <v>530</v>
      </c>
      <c r="L2095" t="s">
        <v>62</v>
      </c>
      <c r="M2095" t="s">
        <v>530</v>
      </c>
      <c r="N2095" t="s">
        <v>921</v>
      </c>
      <c r="O2095" t="s">
        <v>922</v>
      </c>
      <c r="P2095">
        <v>-20.144537</v>
      </c>
      <c r="Q2095">
        <v>-44.891530000000003</v>
      </c>
      <c r="R2095" s="2" t="str">
        <f>HYPERLINK("https://www.google.com/maps?q=-20.1445370,-44.8915300","Abrir no Google Maps")</f>
        <v>Abrir no Google Maps</v>
      </c>
      <c r="S2095">
        <v>3</v>
      </c>
      <c r="T2095">
        <v>0</v>
      </c>
      <c r="U2095">
        <v>4</v>
      </c>
      <c r="V2095">
        <v>0.58421938240001869</v>
      </c>
      <c r="W2095">
        <v>0.85</v>
      </c>
      <c r="X2095">
        <v>0.49658647504001591</v>
      </c>
      <c r="Y2095">
        <v>527</v>
      </c>
      <c r="Z2095">
        <v>80.350679251421383</v>
      </c>
      <c r="AA2095">
        <v>198</v>
      </c>
      <c r="AB2095">
        <v>332</v>
      </c>
      <c r="AC2095">
        <v>536</v>
      </c>
      <c r="AD2095">
        <v>26.61</v>
      </c>
      <c r="AE2095">
        <v>542</v>
      </c>
      <c r="AF2095">
        <v>13</v>
      </c>
      <c r="AG2095">
        <v>180</v>
      </c>
      <c r="AH2095">
        <v>129</v>
      </c>
      <c r="AI2095">
        <v>2.4</v>
      </c>
      <c r="AJ2095">
        <v>33.21</v>
      </c>
      <c r="AK2095">
        <v>23.8</v>
      </c>
      <c r="AL2095">
        <v>-20.144700699999959</v>
      </c>
      <c r="AM2095">
        <v>-44.891730278075883</v>
      </c>
      <c r="AN2095">
        <v>-20.144700699999959</v>
      </c>
      <c r="AO2095">
        <v>-44.891730278075883</v>
      </c>
      <c r="AP2095">
        <v>-20.144537</v>
      </c>
      <c r="AQ2095">
        <v>-44.891530000000003</v>
      </c>
      <c r="AR2095">
        <v>27.752313800143739</v>
      </c>
      <c r="AS2095" t="s">
        <v>65</v>
      </c>
      <c r="AT2095">
        <v>1</v>
      </c>
      <c r="AU2095" t="s">
        <v>923</v>
      </c>
      <c r="AV2095" t="s">
        <v>924</v>
      </c>
      <c r="AW2095" t="s">
        <v>60</v>
      </c>
      <c r="AX2095" t="s">
        <v>68</v>
      </c>
      <c r="AY2095" t="s">
        <v>69</v>
      </c>
      <c r="AZ2095" t="b">
        <v>1</v>
      </c>
    </row>
    <row r="2096" spans="1:52" x14ac:dyDescent="0.3">
      <c r="A2096" t="s">
        <v>52</v>
      </c>
      <c r="B2096" t="s">
        <v>53</v>
      </c>
      <c r="C2096" t="s">
        <v>54</v>
      </c>
      <c r="D2096" t="s">
        <v>55</v>
      </c>
      <c r="E2096" t="s">
        <v>2149</v>
      </c>
      <c r="F2096" t="s">
        <v>190</v>
      </c>
      <c r="G2096" t="s">
        <v>929</v>
      </c>
      <c r="H2096" t="s">
        <v>930</v>
      </c>
      <c r="I2096" t="s">
        <v>930</v>
      </c>
      <c r="J2096" t="s">
        <v>60</v>
      </c>
      <c r="K2096" t="s">
        <v>72</v>
      </c>
      <c r="L2096" t="s">
        <v>62</v>
      </c>
      <c r="M2096" t="s">
        <v>72</v>
      </c>
      <c r="N2096" t="s">
        <v>931</v>
      </c>
      <c r="O2096" t="s">
        <v>932</v>
      </c>
      <c r="P2096">
        <v>-20.144780999999998</v>
      </c>
      <c r="Q2096">
        <v>-44.914259000000001</v>
      </c>
      <c r="R2096" s="2" t="str">
        <f>HYPERLINK("https://www.google.com/maps?q=-20.1447810,-44.9142590","Abrir no Google Maps")</f>
        <v>Abrir no Google Maps</v>
      </c>
      <c r="S2096">
        <v>3</v>
      </c>
      <c r="T2096">
        <v>256.09363485874093</v>
      </c>
      <c r="U2096">
        <v>4</v>
      </c>
      <c r="V2096">
        <v>0.46205731461709521</v>
      </c>
      <c r="W2096">
        <v>1</v>
      </c>
      <c r="X2096">
        <v>0.46205731461709521</v>
      </c>
      <c r="Y2096">
        <v>508</v>
      </c>
      <c r="Z2096">
        <v>318.29766547935321</v>
      </c>
      <c r="AA2096">
        <v>198</v>
      </c>
      <c r="AB2096">
        <v>332</v>
      </c>
      <c r="AC2096">
        <v>536</v>
      </c>
      <c r="AD2096">
        <v>26.61</v>
      </c>
      <c r="AE2096">
        <v>542</v>
      </c>
      <c r="AF2096">
        <v>13</v>
      </c>
      <c r="AG2096">
        <v>180</v>
      </c>
      <c r="AH2096">
        <v>129</v>
      </c>
      <c r="AI2096">
        <v>2.4</v>
      </c>
      <c r="AJ2096">
        <v>33.21</v>
      </c>
      <c r="AK2096">
        <v>23.8</v>
      </c>
      <c r="AL2096">
        <v>-20.144721899999951</v>
      </c>
      <c r="AM2096">
        <v>-44.914368749511411</v>
      </c>
      <c r="AN2096">
        <v>-20.144721899999951</v>
      </c>
      <c r="AO2096">
        <v>-44.914368749511411</v>
      </c>
      <c r="AP2096">
        <v>-20.144780999999998</v>
      </c>
      <c r="AQ2096">
        <v>-44.914259000000001</v>
      </c>
      <c r="AR2096">
        <v>13.22280973360979</v>
      </c>
      <c r="AS2096" t="s">
        <v>65</v>
      </c>
      <c r="AT2096">
        <v>1</v>
      </c>
      <c r="AU2096" t="s">
        <v>933</v>
      </c>
      <c r="AV2096" t="s">
        <v>934</v>
      </c>
      <c r="AW2096" t="s">
        <v>60</v>
      </c>
      <c r="AX2096" t="s">
        <v>68</v>
      </c>
      <c r="AY2096" t="s">
        <v>69</v>
      </c>
      <c r="AZ2096" t="b">
        <v>1</v>
      </c>
    </row>
    <row r="2097" spans="1:52" x14ac:dyDescent="0.3">
      <c r="A2097" t="s">
        <v>52</v>
      </c>
      <c r="B2097" t="s">
        <v>53</v>
      </c>
      <c r="C2097" t="s">
        <v>54</v>
      </c>
      <c r="D2097" t="s">
        <v>55</v>
      </c>
      <c r="E2097" t="s">
        <v>2149</v>
      </c>
      <c r="F2097" t="s">
        <v>190</v>
      </c>
      <c r="G2097" t="s">
        <v>631</v>
      </c>
      <c r="H2097" t="s">
        <v>632</v>
      </c>
      <c r="I2097" t="s">
        <v>632</v>
      </c>
      <c r="J2097" t="s">
        <v>60</v>
      </c>
      <c r="K2097" t="s">
        <v>530</v>
      </c>
      <c r="L2097" t="s">
        <v>62</v>
      </c>
      <c r="M2097" t="s">
        <v>530</v>
      </c>
      <c r="N2097" t="s">
        <v>633</v>
      </c>
      <c r="O2097" t="s">
        <v>634</v>
      </c>
      <c r="P2097">
        <v>-20.142136000000001</v>
      </c>
      <c r="Q2097">
        <v>-44.893895999999998</v>
      </c>
      <c r="R2097" s="2" t="str">
        <f>HYPERLINK("https://www.google.com/maps?q=-20.1421360,-44.8938960","Abrir no Google Maps")</f>
        <v>Abrir no Google Maps</v>
      </c>
      <c r="S2097">
        <v>3</v>
      </c>
      <c r="T2097">
        <v>252.77776243958951</v>
      </c>
      <c r="U2097">
        <v>4</v>
      </c>
      <c r="V2097">
        <v>0.59771316904753924</v>
      </c>
      <c r="W2097">
        <v>1</v>
      </c>
      <c r="X2097">
        <v>0.59771316904753924</v>
      </c>
      <c r="Y2097">
        <v>505</v>
      </c>
      <c r="Z2097">
        <v>331.79497003706751</v>
      </c>
      <c r="AA2097">
        <v>198</v>
      </c>
      <c r="AB2097">
        <v>332</v>
      </c>
      <c r="AC2097">
        <v>536</v>
      </c>
      <c r="AD2097">
        <v>26.61</v>
      </c>
      <c r="AE2097">
        <v>542</v>
      </c>
      <c r="AF2097">
        <v>13</v>
      </c>
      <c r="AG2097">
        <v>180</v>
      </c>
      <c r="AH2097">
        <v>129</v>
      </c>
      <c r="AI2097">
        <v>2.4</v>
      </c>
      <c r="AJ2097">
        <v>33.21</v>
      </c>
      <c r="AK2097">
        <v>23.8</v>
      </c>
      <c r="AL2097">
        <v>-20.142209999999949</v>
      </c>
      <c r="AM2097">
        <v>-44.893919659400702</v>
      </c>
      <c r="AN2097">
        <v>-20.142209999999949</v>
      </c>
      <c r="AO2097">
        <v>-44.893919659400702</v>
      </c>
      <c r="AP2097">
        <v>-20.142136000000001</v>
      </c>
      <c r="AQ2097">
        <v>-44.893895999999998</v>
      </c>
      <c r="AR2097">
        <v>8.6007875127343159</v>
      </c>
      <c r="AS2097" t="s">
        <v>65</v>
      </c>
      <c r="AT2097">
        <v>1</v>
      </c>
      <c r="AU2097" t="s">
        <v>635</v>
      </c>
      <c r="AV2097" t="s">
        <v>636</v>
      </c>
      <c r="AW2097" t="s">
        <v>60</v>
      </c>
      <c r="AX2097" t="s">
        <v>68</v>
      </c>
      <c r="AY2097" t="s">
        <v>69</v>
      </c>
      <c r="AZ2097" t="b">
        <v>1</v>
      </c>
    </row>
    <row r="2098" spans="1:52" x14ac:dyDescent="0.3">
      <c r="A2098" t="s">
        <v>52</v>
      </c>
      <c r="B2098" t="s">
        <v>53</v>
      </c>
      <c r="C2098" t="s">
        <v>54</v>
      </c>
      <c r="D2098" t="s">
        <v>55</v>
      </c>
      <c r="E2098" t="s">
        <v>2149</v>
      </c>
      <c r="F2098" t="s">
        <v>190</v>
      </c>
      <c r="G2098" t="s">
        <v>637</v>
      </c>
      <c r="H2098" t="s">
        <v>638</v>
      </c>
      <c r="I2098" t="s">
        <v>638</v>
      </c>
      <c r="J2098" t="s">
        <v>60</v>
      </c>
      <c r="K2098" t="s">
        <v>530</v>
      </c>
      <c r="L2098" t="s">
        <v>62</v>
      </c>
      <c r="M2098" t="s">
        <v>530</v>
      </c>
      <c r="N2098" t="s">
        <v>639</v>
      </c>
      <c r="O2098" t="s">
        <v>640</v>
      </c>
      <c r="P2098">
        <v>-20.143090000000001</v>
      </c>
      <c r="Q2098">
        <v>-44.888948999999997</v>
      </c>
      <c r="R2098" s="2" t="str">
        <f>HYPERLINK("https://www.google.com/maps?q=-20.1430900,-44.8889490","Abrir no Google Maps")</f>
        <v>Abrir no Google Maps</v>
      </c>
      <c r="S2098">
        <v>3</v>
      </c>
      <c r="T2098">
        <v>264.88903234377068</v>
      </c>
      <c r="U2098">
        <v>4</v>
      </c>
      <c r="V2098">
        <v>0.57125318375405632</v>
      </c>
      <c r="W2098">
        <v>1</v>
      </c>
      <c r="X2098">
        <v>0.57125318375405632</v>
      </c>
      <c r="Y2098">
        <v>478</v>
      </c>
      <c r="Z2098">
        <v>216.60886577490871</v>
      </c>
      <c r="AA2098">
        <v>198</v>
      </c>
      <c r="AB2098">
        <v>332</v>
      </c>
      <c r="AC2098">
        <v>536</v>
      </c>
      <c r="AD2098">
        <v>26.61</v>
      </c>
      <c r="AE2098">
        <v>542</v>
      </c>
      <c r="AF2098">
        <v>13</v>
      </c>
      <c r="AG2098">
        <v>180</v>
      </c>
      <c r="AH2098">
        <v>129</v>
      </c>
      <c r="AI2098">
        <v>2.4</v>
      </c>
      <c r="AJ2098">
        <v>33.21</v>
      </c>
      <c r="AK2098">
        <v>23.8</v>
      </c>
      <c r="AL2098">
        <v>-20.14306029999997</v>
      </c>
      <c r="AM2098">
        <v>-44.889053908028878</v>
      </c>
      <c r="AN2098">
        <v>-20.14306029999997</v>
      </c>
      <c r="AO2098">
        <v>-44.889053908028878</v>
      </c>
      <c r="AP2098">
        <v>-20.143090000000001</v>
      </c>
      <c r="AQ2098">
        <v>-44.888948999999997</v>
      </c>
      <c r="AR2098">
        <v>11.451710102611671</v>
      </c>
      <c r="AS2098" t="s">
        <v>65</v>
      </c>
      <c r="AT2098">
        <v>1</v>
      </c>
      <c r="AU2098" t="s">
        <v>641</v>
      </c>
      <c r="AV2098" t="s">
        <v>642</v>
      </c>
      <c r="AW2098" t="s">
        <v>60</v>
      </c>
      <c r="AX2098" t="s">
        <v>68</v>
      </c>
      <c r="AY2098" t="s">
        <v>69</v>
      </c>
      <c r="AZ2098" t="b">
        <v>1</v>
      </c>
    </row>
    <row r="2099" spans="1:52" x14ac:dyDescent="0.3">
      <c r="A2099" t="s">
        <v>52</v>
      </c>
      <c r="B2099" t="s">
        <v>53</v>
      </c>
      <c r="C2099" t="s">
        <v>54</v>
      </c>
      <c r="D2099" t="s">
        <v>55</v>
      </c>
      <c r="E2099" t="s">
        <v>2149</v>
      </c>
      <c r="F2099" t="s">
        <v>190</v>
      </c>
      <c r="G2099" t="s">
        <v>992</v>
      </c>
      <c r="H2099" t="s">
        <v>993</v>
      </c>
      <c r="I2099" t="s">
        <v>993</v>
      </c>
      <c r="J2099" t="s">
        <v>60</v>
      </c>
      <c r="K2099" t="s">
        <v>530</v>
      </c>
      <c r="L2099" t="s">
        <v>62</v>
      </c>
      <c r="M2099" t="s">
        <v>530</v>
      </c>
      <c r="N2099" t="s">
        <v>994</v>
      </c>
      <c r="O2099" t="s">
        <v>995</v>
      </c>
      <c r="P2099">
        <v>-20.144141000000001</v>
      </c>
      <c r="Q2099">
        <v>-44.884635000000003</v>
      </c>
      <c r="R2099" s="2" t="str">
        <f>HYPERLINK("https://www.google.com/maps?q=-20.1441410,-44.8846350","Abrir no Google Maps")</f>
        <v>Abrir no Google Maps</v>
      </c>
      <c r="S2099">
        <v>3</v>
      </c>
      <c r="T2099">
        <v>0</v>
      </c>
      <c r="U2099">
        <v>4</v>
      </c>
      <c r="V2099">
        <v>0.56610661055160305</v>
      </c>
      <c r="W2099">
        <v>0.85</v>
      </c>
      <c r="X2099">
        <v>0.48119061896886262</v>
      </c>
      <c r="Y2099">
        <v>478</v>
      </c>
      <c r="Z2099">
        <v>252.29400768218821</v>
      </c>
      <c r="AA2099">
        <v>198</v>
      </c>
      <c r="AB2099">
        <v>332</v>
      </c>
      <c r="AC2099">
        <v>536</v>
      </c>
      <c r="AD2099">
        <v>26.61</v>
      </c>
      <c r="AE2099">
        <v>542</v>
      </c>
      <c r="AF2099">
        <v>13</v>
      </c>
      <c r="AG2099">
        <v>180</v>
      </c>
      <c r="AH2099">
        <v>129</v>
      </c>
      <c r="AI2099">
        <v>2.4</v>
      </c>
      <c r="AJ2099">
        <v>33.21</v>
      </c>
      <c r="AK2099">
        <v>23.8</v>
      </c>
      <c r="AL2099">
        <v>-20.144119999999951</v>
      </c>
      <c r="AM2099">
        <v>-44.884814928637752</v>
      </c>
      <c r="AN2099">
        <v>-20.144119999999951</v>
      </c>
      <c r="AO2099">
        <v>-44.884814928637752</v>
      </c>
      <c r="AP2099">
        <v>-20.144141000000001</v>
      </c>
      <c r="AQ2099">
        <v>-44.884635000000003</v>
      </c>
      <c r="AR2099">
        <v>18.949181367223549</v>
      </c>
      <c r="AS2099" t="s">
        <v>65</v>
      </c>
      <c r="AT2099">
        <v>1</v>
      </c>
      <c r="AU2099" t="s">
        <v>996</v>
      </c>
      <c r="AV2099" t="s">
        <v>997</v>
      </c>
      <c r="AW2099" t="s">
        <v>60</v>
      </c>
      <c r="AX2099" t="s">
        <v>68</v>
      </c>
      <c r="AY2099" t="s">
        <v>69</v>
      </c>
      <c r="AZ2099" t="b">
        <v>1</v>
      </c>
    </row>
    <row r="2100" spans="1:52" x14ac:dyDescent="0.3">
      <c r="A2100" t="s">
        <v>52</v>
      </c>
      <c r="B2100" t="s">
        <v>53</v>
      </c>
      <c r="C2100" t="s">
        <v>54</v>
      </c>
      <c r="D2100" t="s">
        <v>55</v>
      </c>
      <c r="E2100" t="s">
        <v>2149</v>
      </c>
      <c r="F2100" t="s">
        <v>190</v>
      </c>
      <c r="G2100" t="s">
        <v>643</v>
      </c>
      <c r="H2100" t="s">
        <v>644</v>
      </c>
      <c r="I2100" t="s">
        <v>644</v>
      </c>
      <c r="J2100" t="s">
        <v>60</v>
      </c>
      <c r="K2100" t="s">
        <v>462</v>
      </c>
      <c r="L2100" t="s">
        <v>62</v>
      </c>
      <c r="M2100" t="s">
        <v>462</v>
      </c>
      <c r="N2100" t="s">
        <v>645</v>
      </c>
      <c r="O2100" t="s">
        <v>646</v>
      </c>
      <c r="P2100">
        <v>-20.138680000000001</v>
      </c>
      <c r="Q2100">
        <v>-44.901313000000002</v>
      </c>
      <c r="R2100" s="2" t="str">
        <f>HYPERLINK("https://www.google.com/maps?q=-20.1386800,-44.9013130","Abrir no Google Maps")</f>
        <v>Abrir no Google Maps</v>
      </c>
      <c r="S2100">
        <v>3</v>
      </c>
      <c r="T2100">
        <v>322.91859681380862</v>
      </c>
      <c r="U2100">
        <v>4</v>
      </c>
      <c r="V2100">
        <v>0.54793250983803554</v>
      </c>
      <c r="W2100">
        <v>1</v>
      </c>
      <c r="X2100">
        <v>0.54793250983803554</v>
      </c>
      <c r="Y2100">
        <v>435</v>
      </c>
      <c r="Z2100">
        <v>299.891766434874</v>
      </c>
      <c r="AA2100">
        <v>198</v>
      </c>
      <c r="AB2100">
        <v>332</v>
      </c>
      <c r="AC2100">
        <v>536</v>
      </c>
      <c r="AD2100">
        <v>26.61</v>
      </c>
      <c r="AE2100">
        <v>542</v>
      </c>
      <c r="AF2100">
        <v>13</v>
      </c>
      <c r="AG2100">
        <v>180</v>
      </c>
      <c r="AH2100">
        <v>129</v>
      </c>
      <c r="AI2100">
        <v>2.4</v>
      </c>
      <c r="AJ2100">
        <v>33.21</v>
      </c>
      <c r="AK2100">
        <v>23.8</v>
      </c>
      <c r="AL2100">
        <v>-20.13865734999996</v>
      </c>
      <c r="AM2100">
        <v>-44.901255803238627</v>
      </c>
      <c r="AN2100">
        <v>-20.13865734999996</v>
      </c>
      <c r="AO2100">
        <v>-44.901255803238627</v>
      </c>
      <c r="AP2100">
        <v>-20.138680000000001</v>
      </c>
      <c r="AQ2100">
        <v>-44.901313000000002</v>
      </c>
      <c r="AR2100">
        <v>6.4878640135702481</v>
      </c>
      <c r="AS2100" t="s">
        <v>65</v>
      </c>
      <c r="AT2100">
        <v>1</v>
      </c>
      <c r="AU2100" t="s">
        <v>647</v>
      </c>
      <c r="AV2100" t="s">
        <v>648</v>
      </c>
      <c r="AW2100" t="s">
        <v>60</v>
      </c>
      <c r="AX2100" t="s">
        <v>68</v>
      </c>
      <c r="AY2100" t="s">
        <v>69</v>
      </c>
      <c r="AZ2100" t="b">
        <v>1</v>
      </c>
    </row>
    <row r="2101" spans="1:52" x14ac:dyDescent="0.3">
      <c r="A2101" t="s">
        <v>52</v>
      </c>
      <c r="B2101" t="s">
        <v>53</v>
      </c>
      <c r="C2101" t="s">
        <v>54</v>
      </c>
      <c r="D2101" t="s">
        <v>55</v>
      </c>
      <c r="E2101" t="s">
        <v>2149</v>
      </c>
      <c r="F2101" t="s">
        <v>190</v>
      </c>
      <c r="G2101" t="s">
        <v>649</v>
      </c>
      <c r="H2101" t="s">
        <v>650</v>
      </c>
      <c r="I2101" t="s">
        <v>650</v>
      </c>
      <c r="J2101" t="s">
        <v>60</v>
      </c>
      <c r="K2101" t="s">
        <v>651</v>
      </c>
      <c r="L2101" t="s">
        <v>62</v>
      </c>
      <c r="M2101" t="s">
        <v>651</v>
      </c>
      <c r="N2101" t="s">
        <v>652</v>
      </c>
      <c r="O2101" t="s">
        <v>653</v>
      </c>
      <c r="P2101">
        <v>-20.134566</v>
      </c>
      <c r="Q2101">
        <v>-44.894970999999998</v>
      </c>
      <c r="R2101" s="2" t="str">
        <f>HYPERLINK("https://www.google.com/maps?q=-20.1345660,-44.8949710","Abrir no Google Maps")</f>
        <v>Abrir no Google Maps</v>
      </c>
      <c r="S2101">
        <v>3</v>
      </c>
      <c r="T2101">
        <v>722.088947634291</v>
      </c>
      <c r="U2101">
        <v>4</v>
      </c>
      <c r="V2101">
        <v>0.57592342840925237</v>
      </c>
      <c r="W2101">
        <v>1</v>
      </c>
      <c r="X2101">
        <v>0.57592342840925237</v>
      </c>
      <c r="Y2101">
        <v>435</v>
      </c>
      <c r="Z2101">
        <v>510.93480096112631</v>
      </c>
      <c r="AA2101">
        <v>198</v>
      </c>
      <c r="AB2101">
        <v>332</v>
      </c>
      <c r="AC2101">
        <v>536</v>
      </c>
      <c r="AD2101">
        <v>26.61</v>
      </c>
      <c r="AE2101">
        <v>542</v>
      </c>
      <c r="AF2101">
        <v>13</v>
      </c>
      <c r="AG2101">
        <v>180</v>
      </c>
      <c r="AH2101">
        <v>129</v>
      </c>
      <c r="AI2101">
        <v>2.4</v>
      </c>
      <c r="AJ2101">
        <v>33.21</v>
      </c>
      <c r="AK2101">
        <v>23.8</v>
      </c>
      <c r="AL2101">
        <v>-20.134477649999951</v>
      </c>
      <c r="AM2101">
        <v>-44.894921468906077</v>
      </c>
      <c r="AN2101">
        <v>-20.134477649999951</v>
      </c>
      <c r="AO2101">
        <v>-44.894921468906077</v>
      </c>
      <c r="AP2101">
        <v>-20.134566</v>
      </c>
      <c r="AQ2101">
        <v>-44.894970999999998</v>
      </c>
      <c r="AR2101">
        <v>11.114372522967921</v>
      </c>
      <c r="AS2101" t="s">
        <v>65</v>
      </c>
      <c r="AT2101">
        <v>1</v>
      </c>
      <c r="AU2101" t="s">
        <v>654</v>
      </c>
      <c r="AV2101" t="s">
        <v>655</v>
      </c>
      <c r="AW2101" t="s">
        <v>60</v>
      </c>
      <c r="AX2101" t="s">
        <v>68</v>
      </c>
      <c r="AY2101" t="s">
        <v>69</v>
      </c>
      <c r="AZ2101" t="b">
        <v>1</v>
      </c>
    </row>
    <row r="2102" spans="1:52" x14ac:dyDescent="0.3">
      <c r="A2102" t="s">
        <v>52</v>
      </c>
      <c r="B2102" t="s">
        <v>53</v>
      </c>
      <c r="C2102" t="s">
        <v>54</v>
      </c>
      <c r="D2102" t="s">
        <v>55</v>
      </c>
      <c r="E2102" t="s">
        <v>2149</v>
      </c>
      <c r="F2102" t="s">
        <v>190</v>
      </c>
      <c r="G2102" t="s">
        <v>656</v>
      </c>
      <c r="H2102" t="s">
        <v>657</v>
      </c>
      <c r="I2102" t="s">
        <v>657</v>
      </c>
      <c r="J2102" t="s">
        <v>60</v>
      </c>
      <c r="K2102" t="s">
        <v>651</v>
      </c>
      <c r="L2102" t="s">
        <v>62</v>
      </c>
      <c r="M2102" t="s">
        <v>651</v>
      </c>
      <c r="N2102" t="s">
        <v>658</v>
      </c>
      <c r="O2102" t="s">
        <v>659</v>
      </c>
      <c r="P2102">
        <v>-20.134922</v>
      </c>
      <c r="Q2102">
        <v>-44.893098000000002</v>
      </c>
      <c r="R2102" s="2" t="str">
        <f>HYPERLINK("https://www.google.com/maps?q=-20.1349220,-44.8930980","Abrir no Google Maps")</f>
        <v>Abrir no Google Maps</v>
      </c>
      <c r="S2102">
        <v>3</v>
      </c>
      <c r="T2102">
        <v>589.83980259734562</v>
      </c>
      <c r="U2102">
        <v>4</v>
      </c>
      <c r="V2102">
        <v>0.59539435874918167</v>
      </c>
      <c r="W2102">
        <v>1</v>
      </c>
      <c r="X2102">
        <v>0.59539435874918167</v>
      </c>
      <c r="Y2102">
        <v>435</v>
      </c>
      <c r="Z2102">
        <v>663.80986080131709</v>
      </c>
      <c r="AA2102">
        <v>198</v>
      </c>
      <c r="AB2102">
        <v>332</v>
      </c>
      <c r="AC2102">
        <v>536</v>
      </c>
      <c r="AD2102">
        <v>26.61</v>
      </c>
      <c r="AE2102">
        <v>542</v>
      </c>
      <c r="AF2102">
        <v>13</v>
      </c>
      <c r="AG2102">
        <v>180</v>
      </c>
      <c r="AH2102">
        <v>129</v>
      </c>
      <c r="AI2102">
        <v>2.4</v>
      </c>
      <c r="AJ2102">
        <v>33.21</v>
      </c>
      <c r="AK2102">
        <v>23.8</v>
      </c>
      <c r="AL2102">
        <v>-20.135021049999949</v>
      </c>
      <c r="AM2102">
        <v>-44.893227478208203</v>
      </c>
      <c r="AN2102">
        <v>-20.135021049999949</v>
      </c>
      <c r="AO2102">
        <v>-44.893227478208203</v>
      </c>
      <c r="AP2102">
        <v>-20.134922</v>
      </c>
      <c r="AQ2102">
        <v>-44.893098000000002</v>
      </c>
      <c r="AR2102">
        <v>17.455940349902249</v>
      </c>
      <c r="AS2102" t="s">
        <v>65</v>
      </c>
      <c r="AT2102">
        <v>1</v>
      </c>
      <c r="AU2102" t="s">
        <v>660</v>
      </c>
      <c r="AV2102" t="s">
        <v>661</v>
      </c>
      <c r="AW2102" t="s">
        <v>60</v>
      </c>
      <c r="AX2102" t="s">
        <v>68</v>
      </c>
      <c r="AY2102" t="s">
        <v>69</v>
      </c>
      <c r="AZ2102" t="b">
        <v>1</v>
      </c>
    </row>
    <row r="2103" spans="1:52" x14ac:dyDescent="0.3">
      <c r="A2103" t="s">
        <v>52</v>
      </c>
      <c r="B2103" t="s">
        <v>53</v>
      </c>
      <c r="C2103" t="s">
        <v>54</v>
      </c>
      <c r="D2103" t="s">
        <v>55</v>
      </c>
      <c r="E2103" t="s">
        <v>2149</v>
      </c>
      <c r="F2103" t="s">
        <v>190</v>
      </c>
      <c r="G2103" t="s">
        <v>998</v>
      </c>
      <c r="H2103" t="s">
        <v>999</v>
      </c>
      <c r="I2103" t="s">
        <v>999</v>
      </c>
      <c r="J2103" t="s">
        <v>60</v>
      </c>
      <c r="K2103" t="s">
        <v>200</v>
      </c>
      <c r="L2103" t="s">
        <v>62</v>
      </c>
      <c r="M2103" t="s">
        <v>200</v>
      </c>
      <c r="N2103" t="s">
        <v>1000</v>
      </c>
      <c r="O2103" t="s">
        <v>1001</v>
      </c>
      <c r="P2103">
        <v>-20.128198000000001</v>
      </c>
      <c r="Q2103">
        <v>-44.897989000000003</v>
      </c>
      <c r="R2103" s="2" t="str">
        <f>HYPERLINK("https://www.google.com/maps?q=-20.1281980,-44.8979890","Abrir no Google Maps")</f>
        <v>Abrir no Google Maps</v>
      </c>
      <c r="S2103">
        <v>3</v>
      </c>
      <c r="T2103">
        <v>764.99274209740315</v>
      </c>
      <c r="U2103">
        <v>4</v>
      </c>
      <c r="V2103">
        <v>0.56498802307004858</v>
      </c>
      <c r="W2103">
        <v>0.85</v>
      </c>
      <c r="X2103">
        <v>0.48023981960954132</v>
      </c>
      <c r="Y2103">
        <v>435</v>
      </c>
      <c r="Z2103">
        <v>666.56370235056943</v>
      </c>
      <c r="AA2103">
        <v>198</v>
      </c>
      <c r="AB2103">
        <v>332</v>
      </c>
      <c r="AC2103">
        <v>536</v>
      </c>
      <c r="AD2103">
        <v>26.61</v>
      </c>
      <c r="AE2103">
        <v>542</v>
      </c>
      <c r="AF2103">
        <v>13</v>
      </c>
      <c r="AG2103">
        <v>180</v>
      </c>
      <c r="AH2103">
        <v>129</v>
      </c>
      <c r="AI2103">
        <v>2.4</v>
      </c>
      <c r="AJ2103">
        <v>33.21</v>
      </c>
      <c r="AK2103">
        <v>23.8</v>
      </c>
      <c r="AL2103">
        <v>-20.129869449999941</v>
      </c>
      <c r="AM2103">
        <v>-44.897878269453869</v>
      </c>
      <c r="AN2103">
        <v>-20.129869449999941</v>
      </c>
      <c r="AO2103">
        <v>-44.897878269453869</v>
      </c>
      <c r="AP2103">
        <v>-20.128198000000001</v>
      </c>
      <c r="AQ2103">
        <v>-44.897989000000003</v>
      </c>
      <c r="AR2103">
        <v>186.42541239811899</v>
      </c>
      <c r="AS2103" t="s">
        <v>65</v>
      </c>
      <c r="AT2103">
        <v>1</v>
      </c>
      <c r="AU2103" t="s">
        <v>1002</v>
      </c>
      <c r="AV2103" t="s">
        <v>1003</v>
      </c>
      <c r="AW2103" t="s">
        <v>60</v>
      </c>
      <c r="AX2103" t="s">
        <v>68</v>
      </c>
      <c r="AY2103" t="s">
        <v>69</v>
      </c>
      <c r="AZ2103" t="b">
        <v>1</v>
      </c>
    </row>
    <row r="2104" spans="1:52" x14ac:dyDescent="0.3">
      <c r="A2104" t="s">
        <v>52</v>
      </c>
      <c r="B2104" t="s">
        <v>53</v>
      </c>
      <c r="C2104" t="s">
        <v>54</v>
      </c>
      <c r="D2104" t="s">
        <v>55</v>
      </c>
      <c r="E2104" t="s">
        <v>2149</v>
      </c>
      <c r="F2104" t="s">
        <v>190</v>
      </c>
      <c r="G2104" t="s">
        <v>1004</v>
      </c>
      <c r="H2104" t="s">
        <v>1005</v>
      </c>
      <c r="I2104" t="s">
        <v>1005</v>
      </c>
      <c r="J2104" t="s">
        <v>60</v>
      </c>
      <c r="K2104" t="s">
        <v>664</v>
      </c>
      <c r="L2104" t="s">
        <v>62</v>
      </c>
      <c r="M2104" t="s">
        <v>664</v>
      </c>
      <c r="N2104" t="s">
        <v>1006</v>
      </c>
      <c r="O2104" t="s">
        <v>1007</v>
      </c>
      <c r="P2104">
        <v>-20.136424000000002</v>
      </c>
      <c r="Q2104">
        <v>-44.902287999999999</v>
      </c>
      <c r="R2104" s="2" t="str">
        <f>HYPERLINK("https://www.google.com/maps?q=-20.1364240,-44.9022880","Abrir no Google Maps")</f>
        <v>Abrir no Google Maps</v>
      </c>
      <c r="S2104">
        <v>3</v>
      </c>
      <c r="T2104">
        <v>0</v>
      </c>
      <c r="U2104">
        <v>4</v>
      </c>
      <c r="V2104">
        <v>0.56966518953509071</v>
      </c>
      <c r="W2104">
        <v>0.85</v>
      </c>
      <c r="X2104">
        <v>0.48421541110482708</v>
      </c>
      <c r="Y2104">
        <v>435</v>
      </c>
      <c r="Z2104">
        <v>273.7310860392941</v>
      </c>
      <c r="AA2104">
        <v>198</v>
      </c>
      <c r="AB2104">
        <v>332</v>
      </c>
      <c r="AC2104">
        <v>536</v>
      </c>
      <c r="AD2104">
        <v>26.61</v>
      </c>
      <c r="AE2104">
        <v>542</v>
      </c>
      <c r="AF2104">
        <v>13</v>
      </c>
      <c r="AG2104">
        <v>180</v>
      </c>
      <c r="AH2104">
        <v>129</v>
      </c>
      <c r="AI2104">
        <v>2.4</v>
      </c>
      <c r="AJ2104">
        <v>33.21</v>
      </c>
      <c r="AK2104">
        <v>23.8</v>
      </c>
      <c r="AL2104">
        <v>-20.135768749999951</v>
      </c>
      <c r="AM2104">
        <v>-44.901693772064696</v>
      </c>
      <c r="AN2104">
        <v>-20.135768749999951</v>
      </c>
      <c r="AO2104">
        <v>-44.901693772064696</v>
      </c>
      <c r="AP2104">
        <v>-20.136424000000002</v>
      </c>
      <c r="AQ2104">
        <v>-44.902287999999999</v>
      </c>
      <c r="AR2104">
        <v>95.800830031045166</v>
      </c>
      <c r="AS2104" t="s">
        <v>65</v>
      </c>
      <c r="AT2104">
        <v>1</v>
      </c>
      <c r="AU2104" t="s">
        <v>1008</v>
      </c>
      <c r="AV2104" t="s">
        <v>668</v>
      </c>
      <c r="AW2104" t="s">
        <v>60</v>
      </c>
      <c r="AX2104" t="s">
        <v>68</v>
      </c>
      <c r="AY2104" t="s">
        <v>69</v>
      </c>
      <c r="AZ2104" t="b">
        <v>1</v>
      </c>
    </row>
    <row r="2105" spans="1:52" x14ac:dyDescent="0.3">
      <c r="A2105" t="s">
        <v>52</v>
      </c>
      <c r="B2105" t="s">
        <v>53</v>
      </c>
      <c r="C2105" t="s">
        <v>54</v>
      </c>
      <c r="D2105" t="s">
        <v>55</v>
      </c>
      <c r="E2105" t="s">
        <v>2149</v>
      </c>
      <c r="F2105" t="s">
        <v>190</v>
      </c>
      <c r="G2105" t="s">
        <v>662</v>
      </c>
      <c r="H2105" t="s">
        <v>663</v>
      </c>
      <c r="I2105" t="s">
        <v>663</v>
      </c>
      <c r="J2105" t="s">
        <v>60</v>
      </c>
      <c r="K2105" t="s">
        <v>664</v>
      </c>
      <c r="L2105" t="s">
        <v>62</v>
      </c>
      <c r="M2105" t="s">
        <v>664</v>
      </c>
      <c r="N2105" t="s">
        <v>665</v>
      </c>
      <c r="O2105" t="s">
        <v>666</v>
      </c>
      <c r="P2105">
        <v>-20.13401</v>
      </c>
      <c r="Q2105">
        <v>-44.896515999999998</v>
      </c>
      <c r="R2105" s="2" t="str">
        <f>HYPERLINK("https://www.google.com/maps?q=-20.1340100,-44.8965160","Abrir no Google Maps")</f>
        <v>Abrir no Google Maps</v>
      </c>
      <c r="S2105">
        <v>3</v>
      </c>
      <c r="T2105">
        <v>577.93085469739992</v>
      </c>
      <c r="U2105">
        <v>4</v>
      </c>
      <c r="V2105">
        <v>0.61824360201619111</v>
      </c>
      <c r="W2105">
        <v>0.85</v>
      </c>
      <c r="X2105">
        <v>0.52550706171376238</v>
      </c>
      <c r="Y2105">
        <v>435</v>
      </c>
      <c r="Z2105">
        <v>334.84976208093428</v>
      </c>
      <c r="AA2105">
        <v>198</v>
      </c>
      <c r="AB2105">
        <v>332</v>
      </c>
      <c r="AC2105">
        <v>536</v>
      </c>
      <c r="AD2105">
        <v>26.61</v>
      </c>
      <c r="AE2105">
        <v>542</v>
      </c>
      <c r="AF2105">
        <v>13</v>
      </c>
      <c r="AG2105">
        <v>180</v>
      </c>
      <c r="AH2105">
        <v>129</v>
      </c>
      <c r="AI2105">
        <v>2.4</v>
      </c>
      <c r="AJ2105">
        <v>33.21</v>
      </c>
      <c r="AK2105">
        <v>23.8</v>
      </c>
      <c r="AL2105">
        <v>-20.134194999999949</v>
      </c>
      <c r="AM2105">
        <v>-44.896421210298939</v>
      </c>
      <c r="AN2105">
        <v>-20.134194999999949</v>
      </c>
      <c r="AO2105">
        <v>-44.896421210298939</v>
      </c>
      <c r="AP2105">
        <v>-20.13401</v>
      </c>
      <c r="AQ2105">
        <v>-44.896515999999998</v>
      </c>
      <c r="AR2105">
        <v>22.853284872316269</v>
      </c>
      <c r="AS2105" t="s">
        <v>65</v>
      </c>
      <c r="AT2105">
        <v>1</v>
      </c>
      <c r="AU2105" t="s">
        <v>667</v>
      </c>
      <c r="AV2105" t="s">
        <v>668</v>
      </c>
      <c r="AW2105" t="s">
        <v>60</v>
      </c>
      <c r="AX2105" t="s">
        <v>68</v>
      </c>
      <c r="AY2105" t="s">
        <v>69</v>
      </c>
      <c r="AZ2105" t="b">
        <v>1</v>
      </c>
    </row>
    <row r="2106" spans="1:52" x14ac:dyDescent="0.3">
      <c r="A2106" t="s">
        <v>52</v>
      </c>
      <c r="B2106" t="s">
        <v>53</v>
      </c>
      <c r="C2106" t="s">
        <v>54</v>
      </c>
      <c r="D2106" t="s">
        <v>55</v>
      </c>
      <c r="E2106" t="s">
        <v>2149</v>
      </c>
      <c r="F2106" t="s">
        <v>190</v>
      </c>
      <c r="G2106" t="s">
        <v>669</v>
      </c>
      <c r="H2106" t="s">
        <v>670</v>
      </c>
      <c r="I2106" t="s">
        <v>670</v>
      </c>
      <c r="J2106" t="s">
        <v>60</v>
      </c>
      <c r="K2106" t="s">
        <v>530</v>
      </c>
      <c r="L2106" t="s">
        <v>62</v>
      </c>
      <c r="M2106" t="s">
        <v>530</v>
      </c>
      <c r="N2106" t="s">
        <v>671</v>
      </c>
      <c r="O2106" t="s">
        <v>672</v>
      </c>
      <c r="P2106">
        <v>-20.139036999999998</v>
      </c>
      <c r="Q2106">
        <v>-44.889187</v>
      </c>
      <c r="R2106" s="2" t="str">
        <f>HYPERLINK("https://www.google.com/maps?q=-20.1390370,-44.8891870","Abrir no Google Maps")</f>
        <v>Abrir no Google Maps</v>
      </c>
      <c r="S2106">
        <v>3</v>
      </c>
      <c r="T2106">
        <v>162.03713995333371</v>
      </c>
      <c r="U2106">
        <v>4</v>
      </c>
      <c r="V2106">
        <v>0.59904691475826988</v>
      </c>
      <c r="W2106">
        <v>1</v>
      </c>
      <c r="X2106">
        <v>0.59904691475826988</v>
      </c>
      <c r="Y2106">
        <v>428</v>
      </c>
      <c r="Z2106">
        <v>126.21352118044651</v>
      </c>
      <c r="AA2106">
        <v>198</v>
      </c>
      <c r="AB2106">
        <v>332</v>
      </c>
      <c r="AC2106">
        <v>536</v>
      </c>
      <c r="AD2106">
        <v>26.61</v>
      </c>
      <c r="AE2106">
        <v>542</v>
      </c>
      <c r="AF2106">
        <v>13</v>
      </c>
      <c r="AG2106">
        <v>180</v>
      </c>
      <c r="AH2106">
        <v>129</v>
      </c>
      <c r="AI2106">
        <v>2.4</v>
      </c>
      <c r="AJ2106">
        <v>33.21</v>
      </c>
      <c r="AK2106">
        <v>23.8</v>
      </c>
      <c r="AL2106">
        <v>-20.13900394999996</v>
      </c>
      <c r="AM2106">
        <v>-44.889298503583859</v>
      </c>
      <c r="AN2106">
        <v>-20.13900394999996</v>
      </c>
      <c r="AO2106">
        <v>-44.889298503583859</v>
      </c>
      <c r="AP2106">
        <v>-20.139036999999998</v>
      </c>
      <c r="AQ2106">
        <v>-44.889187</v>
      </c>
      <c r="AR2106">
        <v>12.220642731957311</v>
      </c>
      <c r="AS2106" t="s">
        <v>65</v>
      </c>
      <c r="AT2106">
        <v>1</v>
      </c>
      <c r="AU2106" t="s">
        <v>673</v>
      </c>
      <c r="AV2106" t="s">
        <v>674</v>
      </c>
      <c r="AW2106" t="s">
        <v>60</v>
      </c>
      <c r="AX2106" t="s">
        <v>68</v>
      </c>
      <c r="AY2106" t="s">
        <v>69</v>
      </c>
      <c r="AZ2106" t="b">
        <v>1</v>
      </c>
    </row>
    <row r="2107" spans="1:52" x14ac:dyDescent="0.3">
      <c r="A2107" t="s">
        <v>52</v>
      </c>
      <c r="B2107" t="s">
        <v>53</v>
      </c>
      <c r="C2107" t="s">
        <v>54</v>
      </c>
      <c r="D2107" t="s">
        <v>55</v>
      </c>
      <c r="E2107" t="s">
        <v>2149</v>
      </c>
      <c r="F2107" t="s">
        <v>190</v>
      </c>
      <c r="G2107" t="s">
        <v>675</v>
      </c>
      <c r="H2107" t="s">
        <v>676</v>
      </c>
      <c r="I2107" t="s">
        <v>676</v>
      </c>
      <c r="J2107" t="s">
        <v>60</v>
      </c>
      <c r="K2107" t="s">
        <v>530</v>
      </c>
      <c r="L2107" t="s">
        <v>62</v>
      </c>
      <c r="M2107" t="s">
        <v>530</v>
      </c>
      <c r="N2107" t="s">
        <v>677</v>
      </c>
      <c r="O2107" t="s">
        <v>678</v>
      </c>
      <c r="P2107">
        <v>-20.140103</v>
      </c>
      <c r="Q2107">
        <v>-44.887059999999998</v>
      </c>
      <c r="R2107" s="2" t="str">
        <f>HYPERLINK("https://www.google.com/maps?q=-20.1401030,-44.8870600","Abrir no Google Maps")</f>
        <v>Abrir no Google Maps</v>
      </c>
      <c r="S2107">
        <v>3</v>
      </c>
      <c r="T2107">
        <v>202.19329492684349</v>
      </c>
      <c r="U2107">
        <v>4</v>
      </c>
      <c r="V2107">
        <v>0.60846623115298093</v>
      </c>
      <c r="W2107">
        <v>1</v>
      </c>
      <c r="X2107">
        <v>0.60846623115298093</v>
      </c>
      <c r="Y2107">
        <v>428</v>
      </c>
      <c r="Z2107">
        <v>144.95603883960419</v>
      </c>
      <c r="AA2107">
        <v>198</v>
      </c>
      <c r="AB2107">
        <v>332</v>
      </c>
      <c r="AC2107">
        <v>536</v>
      </c>
      <c r="AD2107">
        <v>26.61</v>
      </c>
      <c r="AE2107">
        <v>542</v>
      </c>
      <c r="AF2107">
        <v>13</v>
      </c>
      <c r="AG2107">
        <v>180</v>
      </c>
      <c r="AH2107">
        <v>129</v>
      </c>
      <c r="AI2107">
        <v>2.4</v>
      </c>
      <c r="AJ2107">
        <v>33.21</v>
      </c>
      <c r="AK2107">
        <v>23.8</v>
      </c>
      <c r="AL2107">
        <v>-20.13997164999995</v>
      </c>
      <c r="AM2107">
        <v>-44.887075246455773</v>
      </c>
      <c r="AN2107">
        <v>-20.13997164999995</v>
      </c>
      <c r="AO2107">
        <v>-44.887075246455773</v>
      </c>
      <c r="AP2107">
        <v>-20.140103</v>
      </c>
      <c r="AQ2107">
        <v>-44.887059999999998</v>
      </c>
      <c r="AR2107">
        <v>14.7084512385181</v>
      </c>
      <c r="AS2107" t="s">
        <v>65</v>
      </c>
      <c r="AT2107">
        <v>1</v>
      </c>
      <c r="AU2107" t="s">
        <v>679</v>
      </c>
      <c r="AV2107" t="s">
        <v>680</v>
      </c>
      <c r="AW2107" t="s">
        <v>60</v>
      </c>
      <c r="AX2107" t="s">
        <v>68</v>
      </c>
      <c r="AY2107" t="s">
        <v>69</v>
      </c>
      <c r="AZ2107" t="b">
        <v>1</v>
      </c>
    </row>
    <row r="2108" spans="1:52" x14ac:dyDescent="0.3">
      <c r="A2108" t="s">
        <v>52</v>
      </c>
      <c r="B2108" t="s">
        <v>53</v>
      </c>
      <c r="C2108" t="s">
        <v>54</v>
      </c>
      <c r="D2108" t="s">
        <v>55</v>
      </c>
      <c r="E2108" t="s">
        <v>2149</v>
      </c>
      <c r="F2108" t="s">
        <v>190</v>
      </c>
      <c r="G2108" t="s">
        <v>1009</v>
      </c>
      <c r="H2108" t="s">
        <v>1010</v>
      </c>
      <c r="I2108" t="s">
        <v>1010</v>
      </c>
      <c r="J2108" t="s">
        <v>60</v>
      </c>
      <c r="K2108" t="s">
        <v>530</v>
      </c>
      <c r="L2108" t="s">
        <v>62</v>
      </c>
      <c r="M2108" t="s">
        <v>530</v>
      </c>
      <c r="N2108" t="s">
        <v>1011</v>
      </c>
      <c r="O2108" t="s">
        <v>315</v>
      </c>
      <c r="P2108">
        <v>-20.141300999999999</v>
      </c>
      <c r="Q2108">
        <v>-44.887509999999999</v>
      </c>
      <c r="R2108" s="2" t="str">
        <f>HYPERLINK("https://www.google.com/maps?q=-20.1413010,-44.8875100","Abrir no Google Maps")</f>
        <v>Abrir no Google Maps</v>
      </c>
      <c r="S2108">
        <v>3</v>
      </c>
      <c r="T2108">
        <v>351.30731383872319</v>
      </c>
      <c r="U2108">
        <v>4</v>
      </c>
      <c r="V2108">
        <v>0.59300709202088453</v>
      </c>
      <c r="W2108">
        <v>0.85</v>
      </c>
      <c r="X2108">
        <v>0.50405602821775186</v>
      </c>
      <c r="Y2108">
        <v>428</v>
      </c>
      <c r="Z2108">
        <v>285.79917278216982</v>
      </c>
      <c r="AA2108">
        <v>198</v>
      </c>
      <c r="AB2108">
        <v>332</v>
      </c>
      <c r="AC2108">
        <v>536</v>
      </c>
      <c r="AD2108">
        <v>26.61</v>
      </c>
      <c r="AE2108">
        <v>542</v>
      </c>
      <c r="AF2108">
        <v>13</v>
      </c>
      <c r="AG2108">
        <v>180</v>
      </c>
      <c r="AH2108">
        <v>129</v>
      </c>
      <c r="AI2108">
        <v>2.4</v>
      </c>
      <c r="AJ2108">
        <v>33.21</v>
      </c>
      <c r="AK2108">
        <v>23.8</v>
      </c>
      <c r="AL2108">
        <v>-20.141454249999949</v>
      </c>
      <c r="AM2108">
        <v>-44.887331612944081</v>
      </c>
      <c r="AN2108">
        <v>-20.141454249999949</v>
      </c>
      <c r="AO2108">
        <v>-44.887331612944081</v>
      </c>
      <c r="AP2108">
        <v>-20.141300999999999</v>
      </c>
      <c r="AQ2108">
        <v>-44.887509999999999</v>
      </c>
      <c r="AR2108">
        <v>25.270963110561588</v>
      </c>
      <c r="AS2108" t="s">
        <v>65</v>
      </c>
      <c r="AT2108">
        <v>1</v>
      </c>
      <c r="AU2108" t="s">
        <v>1012</v>
      </c>
      <c r="AV2108" t="s">
        <v>1013</v>
      </c>
      <c r="AW2108" t="s">
        <v>60</v>
      </c>
      <c r="AX2108" t="s">
        <v>68</v>
      </c>
      <c r="AY2108" t="s">
        <v>69</v>
      </c>
      <c r="AZ2108" t="b">
        <v>1</v>
      </c>
    </row>
    <row r="2109" spans="1:52" x14ac:dyDescent="0.3">
      <c r="A2109" t="s">
        <v>52</v>
      </c>
      <c r="B2109" t="s">
        <v>53</v>
      </c>
      <c r="C2109" t="s">
        <v>54</v>
      </c>
      <c r="D2109" t="s">
        <v>55</v>
      </c>
      <c r="E2109" t="s">
        <v>2149</v>
      </c>
      <c r="F2109" t="s">
        <v>190</v>
      </c>
      <c r="G2109" t="s">
        <v>681</v>
      </c>
      <c r="H2109" t="s">
        <v>682</v>
      </c>
      <c r="I2109" t="s">
        <v>682</v>
      </c>
      <c r="J2109" t="s">
        <v>60</v>
      </c>
      <c r="K2109" t="s">
        <v>530</v>
      </c>
      <c r="L2109" t="s">
        <v>62</v>
      </c>
      <c r="M2109" t="s">
        <v>530</v>
      </c>
      <c r="N2109" t="s">
        <v>683</v>
      </c>
      <c r="O2109" t="s">
        <v>173</v>
      </c>
      <c r="P2109">
        <v>-20.138342999999999</v>
      </c>
      <c r="Q2109">
        <v>-44.887732</v>
      </c>
      <c r="R2109" s="2" t="str">
        <f>HYPERLINK("https://www.google.com/maps?q=-20.1383430,-44.8877320","Abrir no Google Maps")</f>
        <v>Abrir no Google Maps</v>
      </c>
      <c r="S2109">
        <v>3</v>
      </c>
      <c r="T2109">
        <v>0</v>
      </c>
      <c r="U2109">
        <v>4</v>
      </c>
      <c r="V2109">
        <v>0.59563359596648813</v>
      </c>
      <c r="W2109">
        <v>1</v>
      </c>
      <c r="X2109">
        <v>0.59563359596648813</v>
      </c>
      <c r="Y2109">
        <v>428</v>
      </c>
      <c r="Z2109">
        <v>82.685534812530861</v>
      </c>
      <c r="AA2109">
        <v>198</v>
      </c>
      <c r="AB2109">
        <v>332</v>
      </c>
      <c r="AC2109">
        <v>536</v>
      </c>
      <c r="AD2109">
        <v>26.61</v>
      </c>
      <c r="AE2109">
        <v>542</v>
      </c>
      <c r="AF2109">
        <v>13</v>
      </c>
      <c r="AG2109">
        <v>180</v>
      </c>
      <c r="AH2109">
        <v>129</v>
      </c>
      <c r="AI2109">
        <v>2.4</v>
      </c>
      <c r="AJ2109">
        <v>33.21</v>
      </c>
      <c r="AK2109">
        <v>23.8</v>
      </c>
      <c r="AL2109">
        <v>-20.138329099999961</v>
      </c>
      <c r="AM2109">
        <v>-44.887922589375549</v>
      </c>
      <c r="AN2109">
        <v>-20.138329099999961</v>
      </c>
      <c r="AO2109">
        <v>-44.887922589375549</v>
      </c>
      <c r="AP2109">
        <v>-20.138342999999999</v>
      </c>
      <c r="AQ2109">
        <v>-44.887732</v>
      </c>
      <c r="AR2109">
        <v>19.979335127307191</v>
      </c>
      <c r="AS2109" t="s">
        <v>65</v>
      </c>
      <c r="AT2109">
        <v>1</v>
      </c>
      <c r="AU2109" t="s">
        <v>684</v>
      </c>
      <c r="AV2109" t="s">
        <v>685</v>
      </c>
      <c r="AW2109" t="s">
        <v>60</v>
      </c>
      <c r="AX2109" t="s">
        <v>68</v>
      </c>
      <c r="AY2109" t="s">
        <v>69</v>
      </c>
      <c r="AZ2109" t="b">
        <v>1</v>
      </c>
    </row>
    <row r="2110" spans="1:52" x14ac:dyDescent="0.3">
      <c r="A2110" t="s">
        <v>52</v>
      </c>
      <c r="B2110" t="s">
        <v>53</v>
      </c>
      <c r="C2110" t="s">
        <v>54</v>
      </c>
      <c r="D2110" t="s">
        <v>55</v>
      </c>
      <c r="E2110" t="s">
        <v>2149</v>
      </c>
      <c r="F2110" t="s">
        <v>190</v>
      </c>
      <c r="G2110" t="s">
        <v>686</v>
      </c>
      <c r="H2110" t="s">
        <v>687</v>
      </c>
      <c r="I2110" t="s">
        <v>687</v>
      </c>
      <c r="J2110" t="s">
        <v>60</v>
      </c>
      <c r="K2110" t="s">
        <v>688</v>
      </c>
      <c r="L2110" t="s">
        <v>62</v>
      </c>
      <c r="M2110" t="s">
        <v>688</v>
      </c>
      <c r="N2110" t="s">
        <v>689</v>
      </c>
      <c r="O2110" t="s">
        <v>690</v>
      </c>
      <c r="P2110">
        <v>-20.136451999999998</v>
      </c>
      <c r="Q2110">
        <v>-44.891254000000004</v>
      </c>
      <c r="R2110" s="2" t="str">
        <f>HYPERLINK("https://www.google.com/maps?q=-20.1364520,-44.8912540","Abrir no Google Maps")</f>
        <v>Abrir no Google Maps</v>
      </c>
      <c r="S2110">
        <v>3</v>
      </c>
      <c r="T2110">
        <v>397.58661308638909</v>
      </c>
      <c r="U2110">
        <v>4</v>
      </c>
      <c r="V2110">
        <v>0.60673338458896253</v>
      </c>
      <c r="W2110">
        <v>1</v>
      </c>
      <c r="X2110">
        <v>0.60673338458896253</v>
      </c>
      <c r="Y2110">
        <v>428</v>
      </c>
      <c r="Z2110">
        <v>449.62002896840892</v>
      </c>
      <c r="AA2110">
        <v>198</v>
      </c>
      <c r="AB2110">
        <v>332</v>
      </c>
      <c r="AC2110">
        <v>536</v>
      </c>
      <c r="AD2110">
        <v>26.61</v>
      </c>
      <c r="AE2110">
        <v>542</v>
      </c>
      <c r="AF2110">
        <v>13</v>
      </c>
      <c r="AG2110">
        <v>180</v>
      </c>
      <c r="AH2110">
        <v>129</v>
      </c>
      <c r="AI2110">
        <v>2.4</v>
      </c>
      <c r="AJ2110">
        <v>33.21</v>
      </c>
      <c r="AK2110">
        <v>23.8</v>
      </c>
      <c r="AL2110">
        <v>-20.136400499999951</v>
      </c>
      <c r="AM2110">
        <v>-44.891173264034883</v>
      </c>
      <c r="AN2110">
        <v>-20.136400499999951</v>
      </c>
      <c r="AO2110">
        <v>-44.891173264034883</v>
      </c>
      <c r="AP2110">
        <v>-20.136451999999998</v>
      </c>
      <c r="AQ2110">
        <v>-44.891254000000004</v>
      </c>
      <c r="AR2110">
        <v>10.20146066113916</v>
      </c>
      <c r="AS2110" t="s">
        <v>65</v>
      </c>
      <c r="AT2110">
        <v>1</v>
      </c>
      <c r="AU2110" t="s">
        <v>691</v>
      </c>
      <c r="AV2110" t="s">
        <v>692</v>
      </c>
      <c r="AW2110" t="s">
        <v>60</v>
      </c>
      <c r="AX2110" t="s">
        <v>68</v>
      </c>
      <c r="AY2110" t="s">
        <v>69</v>
      </c>
      <c r="AZ2110" t="b">
        <v>1</v>
      </c>
    </row>
    <row r="2111" spans="1:52" x14ac:dyDescent="0.3">
      <c r="A2111" t="s">
        <v>52</v>
      </c>
      <c r="B2111" t="s">
        <v>53</v>
      </c>
      <c r="C2111" t="s">
        <v>54</v>
      </c>
      <c r="D2111" t="s">
        <v>55</v>
      </c>
      <c r="E2111" t="s">
        <v>2149</v>
      </c>
      <c r="F2111" t="s">
        <v>190</v>
      </c>
      <c r="G2111" t="s">
        <v>706</v>
      </c>
      <c r="H2111" t="s">
        <v>707</v>
      </c>
      <c r="I2111" t="s">
        <v>707</v>
      </c>
      <c r="J2111" t="s">
        <v>60</v>
      </c>
      <c r="K2111" t="s">
        <v>708</v>
      </c>
      <c r="L2111" t="s">
        <v>62</v>
      </c>
      <c r="M2111" t="s">
        <v>708</v>
      </c>
      <c r="N2111" t="s">
        <v>709</v>
      </c>
      <c r="O2111" t="s">
        <v>710</v>
      </c>
      <c r="P2111">
        <v>-20.127054999999999</v>
      </c>
      <c r="Q2111">
        <v>-44.872073</v>
      </c>
      <c r="R2111" s="2" t="str">
        <f>HYPERLINK("https://www.google.com/maps?q=-20.1270550,-44.8720730","Abrir no Google Maps")</f>
        <v>Abrir no Google Maps</v>
      </c>
      <c r="S2111">
        <v>3</v>
      </c>
      <c r="T2111">
        <v>395.91108553086929</v>
      </c>
      <c r="U2111">
        <v>4</v>
      </c>
      <c r="V2111">
        <v>0.48422368468166371</v>
      </c>
      <c r="W2111">
        <v>1</v>
      </c>
      <c r="X2111">
        <v>0.48422368468166371</v>
      </c>
      <c r="Y2111">
        <v>387</v>
      </c>
      <c r="Z2111">
        <v>518.31496622382247</v>
      </c>
      <c r="AA2111">
        <v>198</v>
      </c>
      <c r="AB2111">
        <v>332</v>
      </c>
      <c r="AC2111">
        <v>536</v>
      </c>
      <c r="AD2111">
        <v>26.61</v>
      </c>
      <c r="AE2111">
        <v>542</v>
      </c>
      <c r="AF2111">
        <v>13</v>
      </c>
      <c r="AG2111">
        <v>180</v>
      </c>
      <c r="AH2111">
        <v>129</v>
      </c>
      <c r="AI2111">
        <v>2.4</v>
      </c>
      <c r="AJ2111">
        <v>33.21</v>
      </c>
      <c r="AK2111">
        <v>23.8</v>
      </c>
      <c r="AL2111">
        <v>-20.126854749999978</v>
      </c>
      <c r="AM2111">
        <v>-44.871712455027861</v>
      </c>
      <c r="AN2111">
        <v>-20.126854749999978</v>
      </c>
      <c r="AO2111">
        <v>-44.871712455027861</v>
      </c>
      <c r="AP2111">
        <v>-20.127054999999999</v>
      </c>
      <c r="AQ2111">
        <v>-44.872073</v>
      </c>
      <c r="AR2111">
        <v>43.784435535392717</v>
      </c>
      <c r="AS2111" t="s">
        <v>65</v>
      </c>
      <c r="AT2111">
        <v>1</v>
      </c>
      <c r="AU2111" t="s">
        <v>711</v>
      </c>
      <c r="AV2111" t="s">
        <v>712</v>
      </c>
      <c r="AW2111" t="s">
        <v>60</v>
      </c>
      <c r="AX2111" t="s">
        <v>68</v>
      </c>
      <c r="AY2111" t="s">
        <v>69</v>
      </c>
      <c r="AZ2111" t="b">
        <v>1</v>
      </c>
    </row>
    <row r="2112" spans="1:52" x14ac:dyDescent="0.3">
      <c r="A2112" t="s">
        <v>52</v>
      </c>
      <c r="B2112" t="s">
        <v>53</v>
      </c>
      <c r="C2112" t="s">
        <v>54</v>
      </c>
      <c r="D2112" t="s">
        <v>55</v>
      </c>
      <c r="E2112" t="s">
        <v>2149</v>
      </c>
      <c r="F2112" t="s">
        <v>190</v>
      </c>
      <c r="G2112" t="s">
        <v>713</v>
      </c>
      <c r="H2112" t="s">
        <v>714</v>
      </c>
      <c r="I2112" t="s">
        <v>714</v>
      </c>
      <c r="J2112" t="s">
        <v>60</v>
      </c>
      <c r="K2112" t="s">
        <v>708</v>
      </c>
      <c r="L2112" t="s">
        <v>62</v>
      </c>
      <c r="M2112" t="s">
        <v>708</v>
      </c>
      <c r="N2112" t="s">
        <v>715</v>
      </c>
      <c r="O2112" t="s">
        <v>604</v>
      </c>
      <c r="P2112">
        <v>-20.133372000000001</v>
      </c>
      <c r="Q2112">
        <v>-44.878864</v>
      </c>
      <c r="R2112" s="2" t="str">
        <f>HYPERLINK("https://www.google.com/maps?q=-20.1333720,-44.8788640","Abrir no Google Maps")</f>
        <v>Abrir no Google Maps</v>
      </c>
      <c r="S2112">
        <v>3</v>
      </c>
      <c r="T2112">
        <v>719.22842848296966</v>
      </c>
      <c r="U2112">
        <v>4</v>
      </c>
      <c r="V2112">
        <v>0.52979494490786105</v>
      </c>
      <c r="W2112">
        <v>1</v>
      </c>
      <c r="X2112">
        <v>0.52979494490786105</v>
      </c>
      <c r="Y2112">
        <v>387</v>
      </c>
      <c r="Z2112">
        <v>630.8628365125652</v>
      </c>
      <c r="AA2112">
        <v>198</v>
      </c>
      <c r="AB2112">
        <v>332</v>
      </c>
      <c r="AC2112">
        <v>536</v>
      </c>
      <c r="AD2112">
        <v>26.61</v>
      </c>
      <c r="AE2112">
        <v>542</v>
      </c>
      <c r="AF2112">
        <v>13</v>
      </c>
      <c r="AG2112">
        <v>180</v>
      </c>
      <c r="AH2112">
        <v>129</v>
      </c>
      <c r="AI2112">
        <v>2.4</v>
      </c>
      <c r="AJ2112">
        <v>33.21</v>
      </c>
      <c r="AK2112">
        <v>23.8</v>
      </c>
      <c r="AL2112">
        <v>-20.133312349999951</v>
      </c>
      <c r="AM2112">
        <v>-44.879452111094892</v>
      </c>
      <c r="AN2112">
        <v>-20.133312349999951</v>
      </c>
      <c r="AO2112">
        <v>-44.879452111094892</v>
      </c>
      <c r="AP2112">
        <v>-20.133372000000001</v>
      </c>
      <c r="AQ2112">
        <v>-44.878864</v>
      </c>
      <c r="AR2112">
        <v>61.825649864116713</v>
      </c>
      <c r="AS2112" t="s">
        <v>65</v>
      </c>
      <c r="AT2112">
        <v>1</v>
      </c>
      <c r="AU2112" t="s">
        <v>716</v>
      </c>
      <c r="AV2112" t="s">
        <v>717</v>
      </c>
      <c r="AW2112" t="s">
        <v>60</v>
      </c>
      <c r="AX2112" t="s">
        <v>68</v>
      </c>
      <c r="AY2112" t="s">
        <v>69</v>
      </c>
      <c r="AZ2112" t="b">
        <v>1</v>
      </c>
    </row>
    <row r="2113" spans="1:52" x14ac:dyDescent="0.3">
      <c r="A2113" t="s">
        <v>52</v>
      </c>
      <c r="B2113" t="s">
        <v>53</v>
      </c>
      <c r="C2113" t="s">
        <v>54</v>
      </c>
      <c r="D2113" t="s">
        <v>55</v>
      </c>
      <c r="E2113" t="s">
        <v>2149</v>
      </c>
      <c r="F2113" t="s">
        <v>190</v>
      </c>
      <c r="G2113" t="s">
        <v>718</v>
      </c>
      <c r="H2113" t="s">
        <v>719</v>
      </c>
      <c r="I2113" t="s">
        <v>719</v>
      </c>
      <c r="J2113" t="s">
        <v>60</v>
      </c>
      <c r="K2113" t="s">
        <v>708</v>
      </c>
      <c r="L2113" t="s">
        <v>62</v>
      </c>
      <c r="M2113" t="s">
        <v>708</v>
      </c>
      <c r="N2113" t="s">
        <v>720</v>
      </c>
      <c r="O2113" t="s">
        <v>721</v>
      </c>
      <c r="P2113">
        <v>-20.130344000000001</v>
      </c>
      <c r="Q2113">
        <v>-44.878869000000002</v>
      </c>
      <c r="R2113" s="2" t="str">
        <f>HYPERLINK("https://www.google.com/maps?q=-20.1303440,-44.8788690","Abrir no Google Maps")</f>
        <v>Abrir no Google Maps</v>
      </c>
      <c r="S2113">
        <v>3</v>
      </c>
      <c r="T2113">
        <v>556.14753541089829</v>
      </c>
      <c r="U2113">
        <v>4</v>
      </c>
      <c r="V2113">
        <v>0.56604338808694221</v>
      </c>
      <c r="W2113">
        <v>1</v>
      </c>
      <c r="X2113">
        <v>0.56604338808694221</v>
      </c>
      <c r="Y2113">
        <v>387</v>
      </c>
      <c r="Z2113">
        <v>521.53850378132177</v>
      </c>
      <c r="AA2113">
        <v>198</v>
      </c>
      <c r="AB2113">
        <v>332</v>
      </c>
      <c r="AC2113">
        <v>536</v>
      </c>
      <c r="AD2113">
        <v>26.61</v>
      </c>
      <c r="AE2113">
        <v>542</v>
      </c>
      <c r="AF2113">
        <v>13</v>
      </c>
      <c r="AG2113">
        <v>180</v>
      </c>
      <c r="AH2113">
        <v>129</v>
      </c>
      <c r="AI2113">
        <v>2.4</v>
      </c>
      <c r="AJ2113">
        <v>33.21</v>
      </c>
      <c r="AK2113">
        <v>23.8</v>
      </c>
      <c r="AL2113">
        <v>-20.13050289999995</v>
      </c>
      <c r="AM2113">
        <v>-44.878831282856943</v>
      </c>
      <c r="AN2113">
        <v>-20.13050289999995</v>
      </c>
      <c r="AO2113">
        <v>-44.878831282856943</v>
      </c>
      <c r="AP2113">
        <v>-20.130344000000001</v>
      </c>
      <c r="AQ2113">
        <v>-44.878869000000002</v>
      </c>
      <c r="AR2113">
        <v>18.122709277240279</v>
      </c>
      <c r="AS2113" t="s">
        <v>65</v>
      </c>
      <c r="AT2113">
        <v>1</v>
      </c>
      <c r="AU2113" t="s">
        <v>722</v>
      </c>
      <c r="AV2113" t="s">
        <v>723</v>
      </c>
      <c r="AW2113" t="s">
        <v>60</v>
      </c>
      <c r="AX2113" t="s">
        <v>68</v>
      </c>
      <c r="AY2113" t="s">
        <v>69</v>
      </c>
      <c r="AZ2113" t="b">
        <v>1</v>
      </c>
    </row>
    <row r="2114" spans="1:52" x14ac:dyDescent="0.3">
      <c r="A2114" t="s">
        <v>52</v>
      </c>
      <c r="B2114" t="s">
        <v>53</v>
      </c>
      <c r="C2114" t="s">
        <v>54</v>
      </c>
      <c r="D2114" t="s">
        <v>55</v>
      </c>
      <c r="E2114" t="s">
        <v>2149</v>
      </c>
      <c r="F2114" t="s">
        <v>190</v>
      </c>
      <c r="G2114" t="s">
        <v>724</v>
      </c>
      <c r="H2114" t="s">
        <v>725</v>
      </c>
      <c r="I2114" t="s">
        <v>725</v>
      </c>
      <c r="J2114" t="s">
        <v>60</v>
      </c>
      <c r="K2114" t="s">
        <v>708</v>
      </c>
      <c r="L2114" t="s">
        <v>62</v>
      </c>
      <c r="M2114" t="s">
        <v>708</v>
      </c>
      <c r="N2114" t="s">
        <v>726</v>
      </c>
      <c r="O2114" t="s">
        <v>727</v>
      </c>
      <c r="P2114">
        <v>-20.131702000000001</v>
      </c>
      <c r="Q2114">
        <v>-44.873930999999999</v>
      </c>
      <c r="R2114" s="2" t="str">
        <f>HYPERLINK("https://www.google.com/maps?q=-20.1317020,-44.8739310","Abrir no Google Maps")</f>
        <v>Abrir no Google Maps</v>
      </c>
      <c r="S2114">
        <v>3</v>
      </c>
      <c r="T2114">
        <v>207.9085436463628</v>
      </c>
      <c r="U2114">
        <v>4</v>
      </c>
      <c r="V2114">
        <v>0.50191327114783801</v>
      </c>
      <c r="W2114">
        <v>1</v>
      </c>
      <c r="X2114">
        <v>0.50191327114783801</v>
      </c>
      <c r="Y2114">
        <v>387</v>
      </c>
      <c r="Z2114">
        <v>213.98086855276571</v>
      </c>
      <c r="AA2114">
        <v>198</v>
      </c>
      <c r="AB2114">
        <v>332</v>
      </c>
      <c r="AC2114">
        <v>536</v>
      </c>
      <c r="AD2114">
        <v>26.61</v>
      </c>
      <c r="AE2114">
        <v>542</v>
      </c>
      <c r="AF2114">
        <v>13</v>
      </c>
      <c r="AG2114">
        <v>180</v>
      </c>
      <c r="AH2114">
        <v>129</v>
      </c>
      <c r="AI2114">
        <v>2.4</v>
      </c>
      <c r="AJ2114">
        <v>33.21</v>
      </c>
      <c r="AK2114">
        <v>23.8</v>
      </c>
      <c r="AL2114">
        <v>-20.131807549999959</v>
      </c>
      <c r="AM2114">
        <v>-44.874039553784442</v>
      </c>
      <c r="AN2114">
        <v>-20.131807549999959</v>
      </c>
      <c r="AO2114">
        <v>-44.874039553784442</v>
      </c>
      <c r="AP2114">
        <v>-20.131702000000001</v>
      </c>
      <c r="AQ2114">
        <v>-44.873930999999999</v>
      </c>
      <c r="AR2114">
        <v>16.333643574998401</v>
      </c>
      <c r="AS2114" t="s">
        <v>65</v>
      </c>
      <c r="AT2114">
        <v>1</v>
      </c>
      <c r="AU2114" t="s">
        <v>728</v>
      </c>
      <c r="AV2114" t="s">
        <v>729</v>
      </c>
      <c r="AW2114" t="s">
        <v>60</v>
      </c>
      <c r="AX2114" t="s">
        <v>68</v>
      </c>
      <c r="AY2114" t="s">
        <v>69</v>
      </c>
      <c r="AZ2114" t="b">
        <v>1</v>
      </c>
    </row>
    <row r="2115" spans="1:52" x14ac:dyDescent="0.3">
      <c r="A2115" t="s">
        <v>52</v>
      </c>
      <c r="B2115" t="s">
        <v>53</v>
      </c>
      <c r="C2115" t="s">
        <v>54</v>
      </c>
      <c r="D2115" t="s">
        <v>55</v>
      </c>
      <c r="E2115" t="s">
        <v>2149</v>
      </c>
      <c r="F2115" t="s">
        <v>190</v>
      </c>
      <c r="G2115" t="s">
        <v>1054</v>
      </c>
      <c r="H2115" t="s">
        <v>1055</v>
      </c>
      <c r="I2115" t="s">
        <v>1055</v>
      </c>
      <c r="J2115" t="s">
        <v>60</v>
      </c>
      <c r="K2115" t="s">
        <v>708</v>
      </c>
      <c r="L2115" t="s">
        <v>62</v>
      </c>
      <c r="M2115" t="s">
        <v>708</v>
      </c>
      <c r="N2115" t="s">
        <v>1056</v>
      </c>
      <c r="O2115" t="s">
        <v>315</v>
      </c>
      <c r="P2115">
        <v>-20.130849000000001</v>
      </c>
      <c r="Q2115">
        <v>-44.870922999999998</v>
      </c>
      <c r="R2115" s="2" t="str">
        <f>HYPERLINK("https://www.google.com/maps?q=-20.1308490,-44.8709230","Abrir no Google Maps")</f>
        <v>Abrir no Google Maps</v>
      </c>
      <c r="S2115">
        <v>3</v>
      </c>
      <c r="T2115">
        <v>288.83865075380498</v>
      </c>
      <c r="U2115">
        <v>4</v>
      </c>
      <c r="V2115">
        <v>0.54528153639720012</v>
      </c>
      <c r="W2115">
        <v>0.85</v>
      </c>
      <c r="X2115">
        <v>0.46348930593762011</v>
      </c>
      <c r="Y2115">
        <v>387</v>
      </c>
      <c r="Z2115">
        <v>347.59283577270531</v>
      </c>
      <c r="AA2115">
        <v>198</v>
      </c>
      <c r="AB2115">
        <v>332</v>
      </c>
      <c r="AC2115">
        <v>536</v>
      </c>
      <c r="AD2115">
        <v>26.61</v>
      </c>
      <c r="AE2115">
        <v>542</v>
      </c>
      <c r="AF2115">
        <v>13</v>
      </c>
      <c r="AG2115">
        <v>180</v>
      </c>
      <c r="AH2115">
        <v>129</v>
      </c>
      <c r="AI2115">
        <v>2.4</v>
      </c>
      <c r="AJ2115">
        <v>33.21</v>
      </c>
      <c r="AK2115">
        <v>23.8</v>
      </c>
      <c r="AL2115">
        <v>-20.130950899999959</v>
      </c>
      <c r="AM2115">
        <v>-44.87096892838121</v>
      </c>
      <c r="AN2115">
        <v>-20.130950899999959</v>
      </c>
      <c r="AO2115">
        <v>-44.87096892838121</v>
      </c>
      <c r="AP2115">
        <v>-20.130849000000001</v>
      </c>
      <c r="AQ2115">
        <v>-44.870922999999998</v>
      </c>
      <c r="AR2115">
        <v>12.31742795843153</v>
      </c>
      <c r="AS2115" t="s">
        <v>65</v>
      </c>
      <c r="AT2115">
        <v>1</v>
      </c>
      <c r="AU2115" t="s">
        <v>1057</v>
      </c>
      <c r="AV2115" t="s">
        <v>1058</v>
      </c>
      <c r="AW2115" t="s">
        <v>60</v>
      </c>
      <c r="AX2115" t="s">
        <v>68</v>
      </c>
      <c r="AY2115" t="s">
        <v>69</v>
      </c>
      <c r="AZ2115" t="b">
        <v>1</v>
      </c>
    </row>
    <row r="2116" spans="1:52" x14ac:dyDescent="0.3">
      <c r="A2116" t="s">
        <v>52</v>
      </c>
      <c r="B2116" t="s">
        <v>53</v>
      </c>
      <c r="C2116" t="s">
        <v>54</v>
      </c>
      <c r="D2116" t="s">
        <v>55</v>
      </c>
      <c r="E2116" t="s">
        <v>2149</v>
      </c>
      <c r="F2116" t="s">
        <v>190</v>
      </c>
      <c r="G2116" t="s">
        <v>706</v>
      </c>
      <c r="H2116" t="s">
        <v>730</v>
      </c>
      <c r="I2116" t="s">
        <v>730</v>
      </c>
      <c r="J2116" t="s">
        <v>60</v>
      </c>
      <c r="K2116" t="s">
        <v>708</v>
      </c>
      <c r="L2116" t="s">
        <v>62</v>
      </c>
      <c r="M2116" t="s">
        <v>708</v>
      </c>
      <c r="N2116" t="s">
        <v>709</v>
      </c>
      <c r="O2116" t="s">
        <v>731</v>
      </c>
      <c r="P2116">
        <v>-20.130037999999999</v>
      </c>
      <c r="Q2116">
        <v>-44.873514</v>
      </c>
      <c r="R2116" s="2" t="str">
        <f>HYPERLINK("https://www.google.com/maps?q=-20.1300380,-44.8735140","Abrir no Google Maps")</f>
        <v>Abrir no Google Maps</v>
      </c>
      <c r="S2116">
        <v>3</v>
      </c>
      <c r="T2116">
        <v>0</v>
      </c>
      <c r="U2116">
        <v>4</v>
      </c>
      <c r="V2116">
        <v>0.53174929262719561</v>
      </c>
      <c r="W2116">
        <v>1</v>
      </c>
      <c r="X2116">
        <v>0.53174929262719561</v>
      </c>
      <c r="Y2116">
        <v>387</v>
      </c>
      <c r="Z2116">
        <v>108.0014931591698</v>
      </c>
      <c r="AA2116">
        <v>198</v>
      </c>
      <c r="AB2116">
        <v>332</v>
      </c>
      <c r="AC2116">
        <v>536</v>
      </c>
      <c r="AD2116">
        <v>26.61</v>
      </c>
      <c r="AE2116">
        <v>542</v>
      </c>
      <c r="AF2116">
        <v>13</v>
      </c>
      <c r="AG2116">
        <v>180</v>
      </c>
      <c r="AH2116">
        <v>129</v>
      </c>
      <c r="AI2116">
        <v>2.4</v>
      </c>
      <c r="AJ2116">
        <v>33.21</v>
      </c>
      <c r="AK2116">
        <v>23.8</v>
      </c>
      <c r="AL2116">
        <v>-20.12998944999995</v>
      </c>
      <c r="AM2116">
        <v>-44.873538114227337</v>
      </c>
      <c r="AN2116">
        <v>-20.12998944999995</v>
      </c>
      <c r="AO2116">
        <v>-44.873538114227337</v>
      </c>
      <c r="AP2116">
        <v>-20.130037999999999</v>
      </c>
      <c r="AQ2116">
        <v>-44.873514</v>
      </c>
      <c r="AR2116">
        <v>5.9633928268280867</v>
      </c>
      <c r="AS2116" t="s">
        <v>65</v>
      </c>
      <c r="AT2116">
        <v>1</v>
      </c>
      <c r="AU2116" t="s">
        <v>732</v>
      </c>
      <c r="AV2116" t="s">
        <v>733</v>
      </c>
      <c r="AW2116" t="s">
        <v>60</v>
      </c>
      <c r="AX2116" t="s">
        <v>68</v>
      </c>
      <c r="AY2116" t="s">
        <v>69</v>
      </c>
      <c r="AZ2116" t="b">
        <v>1</v>
      </c>
    </row>
    <row r="2117" spans="1:52" x14ac:dyDescent="0.3">
      <c r="A2117" t="s">
        <v>52</v>
      </c>
      <c r="B2117" t="s">
        <v>53</v>
      </c>
      <c r="C2117" t="s">
        <v>54</v>
      </c>
      <c r="D2117" t="s">
        <v>55</v>
      </c>
      <c r="E2117" t="s">
        <v>2149</v>
      </c>
      <c r="F2117" t="s">
        <v>190</v>
      </c>
      <c r="G2117" t="s">
        <v>741</v>
      </c>
      <c r="H2117" t="s">
        <v>742</v>
      </c>
      <c r="I2117" t="s">
        <v>742</v>
      </c>
      <c r="J2117" t="s">
        <v>60</v>
      </c>
      <c r="K2117" t="s">
        <v>688</v>
      </c>
      <c r="L2117" t="s">
        <v>62</v>
      </c>
      <c r="M2117" t="s">
        <v>688</v>
      </c>
      <c r="N2117" t="s">
        <v>743</v>
      </c>
      <c r="O2117" t="s">
        <v>744</v>
      </c>
      <c r="P2117">
        <v>-20.136733</v>
      </c>
      <c r="Q2117">
        <v>-44.888140999999997</v>
      </c>
      <c r="R2117" s="2" t="str">
        <f>HYPERLINK("https://www.google.com/maps?q=-20.1367330,-44.8881410","Abrir no Google Maps")</f>
        <v>Abrir no Google Maps</v>
      </c>
      <c r="S2117">
        <v>3</v>
      </c>
      <c r="T2117">
        <v>175.84339996559589</v>
      </c>
      <c r="U2117">
        <v>4</v>
      </c>
      <c r="V2117">
        <v>0.55917859160383798</v>
      </c>
      <c r="W2117">
        <v>1</v>
      </c>
      <c r="X2117">
        <v>0.55917859160383798</v>
      </c>
      <c r="Y2117">
        <v>350</v>
      </c>
      <c r="Z2117">
        <v>171.90575296051961</v>
      </c>
      <c r="AA2117">
        <v>198</v>
      </c>
      <c r="AB2117">
        <v>332</v>
      </c>
      <c r="AC2117">
        <v>536</v>
      </c>
      <c r="AD2117">
        <v>26.61</v>
      </c>
      <c r="AE2117">
        <v>542</v>
      </c>
      <c r="AF2117">
        <v>13</v>
      </c>
      <c r="AG2117">
        <v>180</v>
      </c>
      <c r="AH2117">
        <v>129</v>
      </c>
      <c r="AI2117">
        <v>2.4</v>
      </c>
      <c r="AJ2117">
        <v>33.21</v>
      </c>
      <c r="AK2117">
        <v>23.8</v>
      </c>
      <c r="AL2117">
        <v>-20.136726099999979</v>
      </c>
      <c r="AM2117">
        <v>-44.888062077766982</v>
      </c>
      <c r="AN2117">
        <v>-20.136726099999979</v>
      </c>
      <c r="AO2117">
        <v>-44.888062077766982</v>
      </c>
      <c r="AP2117">
        <v>-20.136733</v>
      </c>
      <c r="AQ2117">
        <v>-44.888140999999997</v>
      </c>
      <c r="AR2117">
        <v>8.2842769013797852</v>
      </c>
      <c r="AS2117" t="s">
        <v>65</v>
      </c>
      <c r="AT2117">
        <v>1</v>
      </c>
      <c r="AU2117" t="s">
        <v>745</v>
      </c>
      <c r="AV2117" t="s">
        <v>746</v>
      </c>
      <c r="AW2117" t="s">
        <v>60</v>
      </c>
      <c r="AX2117" t="s">
        <v>68</v>
      </c>
      <c r="AY2117" t="s">
        <v>69</v>
      </c>
      <c r="AZ2117" t="b">
        <v>1</v>
      </c>
    </row>
    <row r="2118" spans="1:52" x14ac:dyDescent="0.3">
      <c r="A2118" t="s">
        <v>52</v>
      </c>
      <c r="B2118" t="s">
        <v>53</v>
      </c>
      <c r="C2118" t="s">
        <v>54</v>
      </c>
      <c r="D2118" t="s">
        <v>55</v>
      </c>
      <c r="E2118" t="s">
        <v>2149</v>
      </c>
      <c r="F2118" t="s">
        <v>190</v>
      </c>
      <c r="G2118" t="s">
        <v>1009</v>
      </c>
      <c r="H2118" t="s">
        <v>1073</v>
      </c>
      <c r="I2118" t="s">
        <v>1073</v>
      </c>
      <c r="J2118" t="s">
        <v>60</v>
      </c>
      <c r="K2118" t="s">
        <v>805</v>
      </c>
      <c r="L2118" t="s">
        <v>62</v>
      </c>
      <c r="M2118" t="s">
        <v>805</v>
      </c>
      <c r="N2118" t="s">
        <v>1011</v>
      </c>
      <c r="O2118" t="s">
        <v>1074</v>
      </c>
      <c r="P2118">
        <v>-20.137049000000001</v>
      </c>
      <c r="Q2118">
        <v>-44.885832000000001</v>
      </c>
      <c r="R2118" s="2" t="str">
        <f>HYPERLINK("https://www.google.com/maps?q=-20.1370490,-44.8858320","Abrir no Google Maps")</f>
        <v>Abrir no Google Maps</v>
      </c>
      <c r="S2118">
        <v>3</v>
      </c>
      <c r="T2118">
        <v>255.2207994789398</v>
      </c>
      <c r="U2118">
        <v>4</v>
      </c>
      <c r="V2118">
        <v>0.59227728585505079</v>
      </c>
      <c r="W2118">
        <v>0.85</v>
      </c>
      <c r="X2118">
        <v>0.50343569297679314</v>
      </c>
      <c r="Y2118">
        <v>350</v>
      </c>
      <c r="Z2118">
        <v>122.85075315998721</v>
      </c>
      <c r="AA2118">
        <v>198</v>
      </c>
      <c r="AB2118">
        <v>332</v>
      </c>
      <c r="AC2118">
        <v>536</v>
      </c>
      <c r="AD2118">
        <v>26.61</v>
      </c>
      <c r="AE2118">
        <v>542</v>
      </c>
      <c r="AF2118">
        <v>13</v>
      </c>
      <c r="AG2118">
        <v>180</v>
      </c>
      <c r="AH2118">
        <v>129</v>
      </c>
      <c r="AI2118">
        <v>2.4</v>
      </c>
      <c r="AJ2118">
        <v>33.21</v>
      </c>
      <c r="AK2118">
        <v>23.8</v>
      </c>
      <c r="AL2118">
        <v>-20.136876799999978</v>
      </c>
      <c r="AM2118">
        <v>-44.885908665033703</v>
      </c>
      <c r="AN2118">
        <v>-20.136876799999989</v>
      </c>
      <c r="AO2118">
        <v>-44.885908665033703</v>
      </c>
      <c r="AP2118">
        <v>-20.137049000000001</v>
      </c>
      <c r="AQ2118">
        <v>-44.885832000000001</v>
      </c>
      <c r="AR2118">
        <v>20.776552041735069</v>
      </c>
      <c r="AS2118" t="s">
        <v>65</v>
      </c>
      <c r="AT2118">
        <v>1</v>
      </c>
      <c r="AU2118" t="s">
        <v>1075</v>
      </c>
      <c r="AV2118" t="s">
        <v>1076</v>
      </c>
      <c r="AW2118" t="s">
        <v>60</v>
      </c>
      <c r="AX2118" t="s">
        <v>68</v>
      </c>
      <c r="AY2118" t="s">
        <v>69</v>
      </c>
      <c r="AZ2118" t="b">
        <v>1</v>
      </c>
    </row>
    <row r="2119" spans="1:52" x14ac:dyDescent="0.3">
      <c r="A2119" t="s">
        <v>52</v>
      </c>
      <c r="B2119" t="s">
        <v>53</v>
      </c>
      <c r="C2119" t="s">
        <v>54</v>
      </c>
      <c r="D2119" t="s">
        <v>55</v>
      </c>
      <c r="E2119" t="s">
        <v>2149</v>
      </c>
      <c r="F2119" t="s">
        <v>190</v>
      </c>
      <c r="G2119" t="s">
        <v>747</v>
      </c>
      <c r="H2119" t="s">
        <v>748</v>
      </c>
      <c r="I2119" t="s">
        <v>748</v>
      </c>
      <c r="J2119" t="s">
        <v>60</v>
      </c>
      <c r="K2119" t="s">
        <v>505</v>
      </c>
      <c r="L2119" t="s">
        <v>62</v>
      </c>
      <c r="M2119" t="s">
        <v>505</v>
      </c>
      <c r="N2119" t="s">
        <v>749</v>
      </c>
      <c r="O2119" t="s">
        <v>750</v>
      </c>
      <c r="P2119">
        <v>-20.135107000000001</v>
      </c>
      <c r="Q2119">
        <v>-44.887521</v>
      </c>
      <c r="R2119" s="2" t="str">
        <f>HYPERLINK("https://www.google.com/maps?q=-20.1351070,-44.8875210","Abrir no Google Maps")</f>
        <v>Abrir no Google Maps</v>
      </c>
      <c r="S2119">
        <v>3</v>
      </c>
      <c r="T2119">
        <v>0</v>
      </c>
      <c r="U2119">
        <v>4</v>
      </c>
      <c r="V2119">
        <v>0.50736351513844236</v>
      </c>
      <c r="W2119">
        <v>1</v>
      </c>
      <c r="X2119">
        <v>0.50736351513844236</v>
      </c>
      <c r="Y2119">
        <v>350</v>
      </c>
      <c r="Z2119">
        <v>162.3716242776689</v>
      </c>
      <c r="AA2119">
        <v>198</v>
      </c>
      <c r="AB2119">
        <v>332</v>
      </c>
      <c r="AC2119">
        <v>536</v>
      </c>
      <c r="AD2119">
        <v>26.61</v>
      </c>
      <c r="AE2119">
        <v>542</v>
      </c>
      <c r="AF2119">
        <v>13</v>
      </c>
      <c r="AG2119">
        <v>180</v>
      </c>
      <c r="AH2119">
        <v>129</v>
      </c>
      <c r="AI2119">
        <v>2.4</v>
      </c>
      <c r="AJ2119">
        <v>33.21</v>
      </c>
      <c r="AK2119">
        <v>23.8</v>
      </c>
      <c r="AL2119">
        <v>-20.13520169999995</v>
      </c>
      <c r="AM2119">
        <v>-44.887587176802917</v>
      </c>
      <c r="AN2119">
        <v>-20.13520169999995</v>
      </c>
      <c r="AO2119">
        <v>-44.887587176802931</v>
      </c>
      <c r="AP2119">
        <v>-20.135107000000001</v>
      </c>
      <c r="AQ2119">
        <v>-44.887521</v>
      </c>
      <c r="AR2119">
        <v>12.608438103029821</v>
      </c>
      <c r="AS2119" t="s">
        <v>65</v>
      </c>
      <c r="AT2119">
        <v>1</v>
      </c>
      <c r="AU2119" t="s">
        <v>751</v>
      </c>
      <c r="AV2119" t="s">
        <v>752</v>
      </c>
      <c r="AW2119" t="s">
        <v>60</v>
      </c>
      <c r="AX2119" t="s">
        <v>68</v>
      </c>
      <c r="AY2119" t="s">
        <v>69</v>
      </c>
      <c r="AZ2119" t="b">
        <v>1</v>
      </c>
    </row>
    <row r="2120" spans="1:52" x14ac:dyDescent="0.3">
      <c r="A2120" t="s">
        <v>52</v>
      </c>
      <c r="B2120" t="s">
        <v>53</v>
      </c>
      <c r="C2120" t="s">
        <v>54</v>
      </c>
      <c r="D2120" t="s">
        <v>55</v>
      </c>
      <c r="E2120" t="s">
        <v>2149</v>
      </c>
      <c r="F2120" t="s">
        <v>190</v>
      </c>
      <c r="G2120" t="s">
        <v>753</v>
      </c>
      <c r="H2120" t="s">
        <v>754</v>
      </c>
      <c r="I2120" t="s">
        <v>754</v>
      </c>
      <c r="J2120" t="s">
        <v>60</v>
      </c>
      <c r="K2120" t="s">
        <v>688</v>
      </c>
      <c r="L2120" t="s">
        <v>62</v>
      </c>
      <c r="M2120" t="s">
        <v>688</v>
      </c>
      <c r="N2120" t="s">
        <v>755</v>
      </c>
      <c r="O2120" t="s">
        <v>756</v>
      </c>
      <c r="P2120">
        <v>-20.135238000000001</v>
      </c>
      <c r="Q2120">
        <v>-44.890405999999999</v>
      </c>
      <c r="R2120" s="2" t="str">
        <f>HYPERLINK("https://www.google.com/maps?q=-20.1352380,-44.8904060","Abrir no Google Maps")</f>
        <v>Abrir no Google Maps</v>
      </c>
      <c r="S2120">
        <v>3</v>
      </c>
      <c r="T2120">
        <v>314.49904475975598</v>
      </c>
      <c r="U2120">
        <v>4</v>
      </c>
      <c r="V2120">
        <v>0.53010439591984415</v>
      </c>
      <c r="W2120">
        <v>1</v>
      </c>
      <c r="X2120">
        <v>0.53010439591984415</v>
      </c>
      <c r="Y2120">
        <v>350</v>
      </c>
      <c r="Z2120">
        <v>443.96798796176353</v>
      </c>
      <c r="AA2120">
        <v>198</v>
      </c>
      <c r="AB2120">
        <v>332</v>
      </c>
      <c r="AC2120">
        <v>536</v>
      </c>
      <c r="AD2120">
        <v>26.61</v>
      </c>
      <c r="AE2120">
        <v>542</v>
      </c>
      <c r="AF2120">
        <v>13</v>
      </c>
      <c r="AG2120">
        <v>180</v>
      </c>
      <c r="AH2120">
        <v>129</v>
      </c>
      <c r="AI2120">
        <v>2.4</v>
      </c>
      <c r="AJ2120">
        <v>33.21</v>
      </c>
      <c r="AK2120">
        <v>23.8</v>
      </c>
      <c r="AL2120">
        <v>-20.134851099999931</v>
      </c>
      <c r="AM2120">
        <v>-44.890573293408117</v>
      </c>
      <c r="AN2120">
        <v>-20.134851099999931</v>
      </c>
      <c r="AO2120">
        <v>-44.890573293408131</v>
      </c>
      <c r="AP2120">
        <v>-20.135238000000001</v>
      </c>
      <c r="AQ2120">
        <v>-44.890405999999999</v>
      </c>
      <c r="AR2120">
        <v>46.483580940434933</v>
      </c>
      <c r="AS2120" t="s">
        <v>65</v>
      </c>
      <c r="AT2120">
        <v>1</v>
      </c>
      <c r="AU2120" t="s">
        <v>757</v>
      </c>
      <c r="AV2120" t="s">
        <v>758</v>
      </c>
      <c r="AW2120" t="s">
        <v>60</v>
      </c>
      <c r="AX2120" t="s">
        <v>68</v>
      </c>
      <c r="AY2120" t="s">
        <v>69</v>
      </c>
      <c r="AZ2120" t="b">
        <v>1</v>
      </c>
    </row>
    <row r="2121" spans="1:52" x14ac:dyDescent="0.3">
      <c r="A2121" t="s">
        <v>52</v>
      </c>
      <c r="B2121" t="s">
        <v>53</v>
      </c>
      <c r="C2121" t="s">
        <v>54</v>
      </c>
      <c r="D2121" t="s">
        <v>55</v>
      </c>
      <c r="E2121" t="s">
        <v>2149</v>
      </c>
      <c r="F2121" t="s">
        <v>190</v>
      </c>
      <c r="G2121" t="s">
        <v>766</v>
      </c>
      <c r="H2121" t="s">
        <v>767</v>
      </c>
      <c r="I2121" t="s">
        <v>767</v>
      </c>
      <c r="J2121" t="s">
        <v>60</v>
      </c>
      <c r="K2121" t="s">
        <v>768</v>
      </c>
      <c r="L2121" t="s">
        <v>62</v>
      </c>
      <c r="M2121" t="s">
        <v>768</v>
      </c>
      <c r="N2121" t="s">
        <v>769</v>
      </c>
      <c r="O2121" t="s">
        <v>770</v>
      </c>
      <c r="P2121">
        <v>-20.135211000000002</v>
      </c>
      <c r="Q2121">
        <v>-44.875359000000003</v>
      </c>
      <c r="R2121" s="2" t="str">
        <f>HYPERLINK("https://www.google.com/maps?q=-20.1352110,-44.8753590","Abrir no Google Maps")</f>
        <v>Abrir no Google Maps</v>
      </c>
      <c r="S2121">
        <v>3</v>
      </c>
      <c r="T2121">
        <v>383.44405482521267</v>
      </c>
      <c r="U2121">
        <v>4</v>
      </c>
      <c r="V2121">
        <v>0.51157780254285323</v>
      </c>
      <c r="W2121">
        <v>1</v>
      </c>
      <c r="X2121">
        <v>0.51157780254285323</v>
      </c>
      <c r="Y2121">
        <v>332</v>
      </c>
      <c r="Z2121">
        <v>219.0766044611764</v>
      </c>
      <c r="AA2121">
        <v>198</v>
      </c>
      <c r="AB2121">
        <v>332</v>
      </c>
      <c r="AC2121">
        <v>536</v>
      </c>
      <c r="AD2121">
        <v>26.61</v>
      </c>
      <c r="AE2121">
        <v>542</v>
      </c>
      <c r="AF2121">
        <v>13</v>
      </c>
      <c r="AG2121">
        <v>180</v>
      </c>
      <c r="AH2121">
        <v>129</v>
      </c>
      <c r="AI2121">
        <v>2.4</v>
      </c>
      <c r="AJ2121">
        <v>33.21</v>
      </c>
      <c r="AK2121">
        <v>23.8</v>
      </c>
      <c r="AL2121">
        <v>-20.135125549999941</v>
      </c>
      <c r="AM2121">
        <v>-44.875534947489427</v>
      </c>
      <c r="AN2121">
        <v>-20.135125549999941</v>
      </c>
      <c r="AO2121">
        <v>-44.875534947489427</v>
      </c>
      <c r="AP2121">
        <v>-20.135211000000002</v>
      </c>
      <c r="AQ2121">
        <v>-44.875359000000003</v>
      </c>
      <c r="AR2121">
        <v>20.703969313709418</v>
      </c>
      <c r="AS2121" t="s">
        <v>65</v>
      </c>
      <c r="AT2121">
        <v>1</v>
      </c>
      <c r="AU2121" t="s">
        <v>771</v>
      </c>
      <c r="AV2121" t="s">
        <v>772</v>
      </c>
      <c r="AW2121" t="s">
        <v>60</v>
      </c>
      <c r="AX2121" t="s">
        <v>68</v>
      </c>
      <c r="AY2121" t="s">
        <v>69</v>
      </c>
      <c r="AZ2121" t="b">
        <v>1</v>
      </c>
    </row>
    <row r="2122" spans="1:52" x14ac:dyDescent="0.3">
      <c r="A2122" t="s">
        <v>52</v>
      </c>
      <c r="B2122" t="s">
        <v>53</v>
      </c>
      <c r="C2122" t="s">
        <v>54</v>
      </c>
      <c r="D2122" t="s">
        <v>55</v>
      </c>
      <c r="E2122" t="s">
        <v>2149</v>
      </c>
      <c r="F2122" t="s">
        <v>190</v>
      </c>
      <c r="G2122" t="s">
        <v>773</v>
      </c>
      <c r="H2122" t="s">
        <v>774</v>
      </c>
      <c r="I2122" t="s">
        <v>774</v>
      </c>
      <c r="J2122" t="s">
        <v>60</v>
      </c>
      <c r="K2122" t="s">
        <v>775</v>
      </c>
      <c r="L2122" t="s">
        <v>62</v>
      </c>
      <c r="M2122" t="s">
        <v>775</v>
      </c>
      <c r="N2122" t="s">
        <v>776</v>
      </c>
      <c r="O2122" t="s">
        <v>250</v>
      </c>
      <c r="P2122">
        <v>-20.135413</v>
      </c>
      <c r="Q2122">
        <v>-44.868969999999997</v>
      </c>
      <c r="R2122" s="2" t="str">
        <f>HYPERLINK("https://www.google.com/maps?q=-20.1354130,-44.8689700","Abrir no Google Maps")</f>
        <v>Abrir no Google Maps</v>
      </c>
      <c r="S2122">
        <v>3</v>
      </c>
      <c r="T2122">
        <v>403.5118397372845</v>
      </c>
      <c r="U2122">
        <v>4</v>
      </c>
      <c r="V2122">
        <v>0.46246599715285008</v>
      </c>
      <c r="W2122">
        <v>1</v>
      </c>
      <c r="X2122">
        <v>0.46246599715285008</v>
      </c>
      <c r="Y2122">
        <v>332</v>
      </c>
      <c r="Z2122">
        <v>455.74614750795899</v>
      </c>
      <c r="AA2122">
        <v>198</v>
      </c>
      <c r="AB2122">
        <v>332</v>
      </c>
      <c r="AC2122">
        <v>536</v>
      </c>
      <c r="AD2122">
        <v>26.61</v>
      </c>
      <c r="AE2122">
        <v>542</v>
      </c>
      <c r="AF2122">
        <v>13</v>
      </c>
      <c r="AG2122">
        <v>180</v>
      </c>
      <c r="AH2122">
        <v>129</v>
      </c>
      <c r="AI2122">
        <v>2.4</v>
      </c>
      <c r="AJ2122">
        <v>33.21</v>
      </c>
      <c r="AK2122">
        <v>23.8</v>
      </c>
      <c r="AL2122">
        <v>-20.13561149999995</v>
      </c>
      <c r="AM2122">
        <v>-44.868817260088647</v>
      </c>
      <c r="AN2122">
        <v>-20.13561149999995</v>
      </c>
      <c r="AO2122">
        <v>-44.868817260088647</v>
      </c>
      <c r="AP2122">
        <v>-20.135413</v>
      </c>
      <c r="AQ2122">
        <v>-44.868969999999997</v>
      </c>
      <c r="AR2122">
        <v>27.26024434808955</v>
      </c>
      <c r="AS2122" t="s">
        <v>65</v>
      </c>
      <c r="AT2122">
        <v>1</v>
      </c>
      <c r="AU2122" t="s">
        <v>777</v>
      </c>
      <c r="AV2122" t="s">
        <v>778</v>
      </c>
      <c r="AW2122" t="s">
        <v>60</v>
      </c>
      <c r="AX2122" t="s">
        <v>68</v>
      </c>
      <c r="AY2122" t="s">
        <v>69</v>
      </c>
      <c r="AZ2122" t="b">
        <v>1</v>
      </c>
    </row>
    <row r="2123" spans="1:52" x14ac:dyDescent="0.3">
      <c r="A2123" t="s">
        <v>52</v>
      </c>
      <c r="B2123" t="s">
        <v>53</v>
      </c>
      <c r="C2123" t="s">
        <v>54</v>
      </c>
      <c r="D2123" t="s">
        <v>55</v>
      </c>
      <c r="E2123" t="s">
        <v>2149</v>
      </c>
      <c r="F2123" t="s">
        <v>190</v>
      </c>
      <c r="G2123" t="s">
        <v>1099</v>
      </c>
      <c r="H2123" t="s">
        <v>1100</v>
      </c>
      <c r="I2123" t="s">
        <v>1100</v>
      </c>
      <c r="J2123" t="s">
        <v>60</v>
      </c>
      <c r="K2123" t="s">
        <v>781</v>
      </c>
      <c r="L2123" t="s">
        <v>62</v>
      </c>
      <c r="M2123" t="s">
        <v>781</v>
      </c>
      <c r="N2123" t="s">
        <v>1101</v>
      </c>
      <c r="O2123" t="s">
        <v>235</v>
      </c>
      <c r="P2123">
        <v>-20.136811999999999</v>
      </c>
      <c r="Q2123">
        <v>-44.872388000000001</v>
      </c>
      <c r="R2123" s="2" t="str">
        <f>HYPERLINK("https://www.google.com/maps?q=-20.1368120,-44.8723880","Abrir no Google Maps")</f>
        <v>Abrir no Google Maps</v>
      </c>
      <c r="S2123">
        <v>3</v>
      </c>
      <c r="T2123">
        <v>0</v>
      </c>
      <c r="U2123">
        <v>4</v>
      </c>
      <c r="V2123">
        <v>0.4678920955388306</v>
      </c>
      <c r="W2123">
        <v>1</v>
      </c>
      <c r="X2123">
        <v>0.4678920955388306</v>
      </c>
      <c r="Y2123">
        <v>332</v>
      </c>
      <c r="Z2123">
        <v>121.0319884418894</v>
      </c>
      <c r="AA2123">
        <v>198</v>
      </c>
      <c r="AB2123">
        <v>332</v>
      </c>
      <c r="AC2123">
        <v>536</v>
      </c>
      <c r="AD2123">
        <v>26.61</v>
      </c>
      <c r="AE2123">
        <v>542</v>
      </c>
      <c r="AF2123">
        <v>13</v>
      </c>
      <c r="AG2123">
        <v>180</v>
      </c>
      <c r="AH2123">
        <v>129</v>
      </c>
      <c r="AI2123">
        <v>2.4</v>
      </c>
      <c r="AJ2123">
        <v>33.21</v>
      </c>
      <c r="AK2123">
        <v>23.8</v>
      </c>
      <c r="AL2123">
        <v>-20.136943099999939</v>
      </c>
      <c r="AM2123">
        <v>-44.872411407897907</v>
      </c>
      <c r="AN2123">
        <v>-20.136943099999939</v>
      </c>
      <c r="AO2123">
        <v>-44.872411407897907</v>
      </c>
      <c r="AP2123">
        <v>-20.136811999999999</v>
      </c>
      <c r="AQ2123">
        <v>-44.872388000000001</v>
      </c>
      <c r="AR2123">
        <v>14.79769012694347</v>
      </c>
      <c r="AS2123" t="s">
        <v>65</v>
      </c>
      <c r="AT2123">
        <v>1</v>
      </c>
      <c r="AU2123" t="s">
        <v>1102</v>
      </c>
      <c r="AV2123" t="s">
        <v>1103</v>
      </c>
      <c r="AW2123" t="s">
        <v>60</v>
      </c>
      <c r="AX2123" t="s">
        <v>68</v>
      </c>
      <c r="AY2123" t="s">
        <v>69</v>
      </c>
      <c r="AZ2123" t="b">
        <v>1</v>
      </c>
    </row>
    <row r="2124" spans="1:52" x14ac:dyDescent="0.3">
      <c r="A2124" t="s">
        <v>52</v>
      </c>
      <c r="B2124" t="s">
        <v>53</v>
      </c>
      <c r="C2124" t="s">
        <v>54</v>
      </c>
      <c r="D2124" t="s">
        <v>55</v>
      </c>
      <c r="E2124" t="s">
        <v>2149</v>
      </c>
      <c r="F2124" t="s">
        <v>190</v>
      </c>
      <c r="G2124" t="s">
        <v>1115</v>
      </c>
      <c r="H2124" t="s">
        <v>1116</v>
      </c>
      <c r="I2124" t="s">
        <v>1116</v>
      </c>
      <c r="J2124" t="s">
        <v>60</v>
      </c>
      <c r="K2124" t="s">
        <v>1117</v>
      </c>
      <c r="L2124" t="s">
        <v>62</v>
      </c>
      <c r="M2124" t="s">
        <v>1117</v>
      </c>
      <c r="N2124" t="s">
        <v>1118</v>
      </c>
      <c r="O2124" t="s">
        <v>74</v>
      </c>
      <c r="P2124">
        <v>-20.171123000000001</v>
      </c>
      <c r="Q2124">
        <v>-44.944929999999999</v>
      </c>
      <c r="R2124" s="2" t="str">
        <f>HYPERLINK("https://www.google.com/maps?q=-20.1711230,-44.9449300","Abrir no Google Maps")</f>
        <v>Abrir no Google Maps</v>
      </c>
      <c r="S2124">
        <v>3</v>
      </c>
      <c r="T2124">
        <v>2450.5355520785151</v>
      </c>
      <c r="U2124">
        <v>4</v>
      </c>
      <c r="V2124">
        <v>0.54578719357565519</v>
      </c>
      <c r="W2124">
        <v>0.85</v>
      </c>
      <c r="X2124">
        <v>0.4639191145393069</v>
      </c>
      <c r="Y2124">
        <v>331</v>
      </c>
      <c r="Z2124">
        <v>2306.317072968428</v>
      </c>
      <c r="AA2124">
        <v>198</v>
      </c>
      <c r="AB2124">
        <v>332</v>
      </c>
      <c r="AC2124">
        <v>536</v>
      </c>
      <c r="AD2124">
        <v>26.61</v>
      </c>
      <c r="AE2124">
        <v>542</v>
      </c>
      <c r="AF2124">
        <v>13</v>
      </c>
      <c r="AG2124">
        <v>180</v>
      </c>
      <c r="AH2124">
        <v>129</v>
      </c>
      <c r="AI2124">
        <v>2.4</v>
      </c>
      <c r="AJ2124">
        <v>33.21</v>
      </c>
      <c r="AK2124">
        <v>23.8</v>
      </c>
      <c r="AL2124">
        <v>-20.170858699999972</v>
      </c>
      <c r="AM2124">
        <v>-44.945018498005382</v>
      </c>
      <c r="AN2124">
        <v>-20.170858699999972</v>
      </c>
      <c r="AO2124">
        <v>-44.945018498005382</v>
      </c>
      <c r="AP2124">
        <v>-20.171123000000001</v>
      </c>
      <c r="AQ2124">
        <v>-44.944929999999999</v>
      </c>
      <c r="AR2124">
        <v>30.840896798881371</v>
      </c>
      <c r="AS2124" t="s">
        <v>65</v>
      </c>
      <c r="AT2124">
        <v>1</v>
      </c>
      <c r="AU2124" t="s">
        <v>1119</v>
      </c>
      <c r="AV2124" t="s">
        <v>1120</v>
      </c>
      <c r="AW2124" t="s">
        <v>60</v>
      </c>
      <c r="AX2124" t="s">
        <v>68</v>
      </c>
      <c r="AY2124" t="s">
        <v>69</v>
      </c>
      <c r="AZ2124" t="b">
        <v>1</v>
      </c>
    </row>
    <row r="2125" spans="1:52" x14ac:dyDescent="0.3">
      <c r="A2125" t="s">
        <v>52</v>
      </c>
      <c r="B2125" t="s">
        <v>53</v>
      </c>
      <c r="C2125" t="s">
        <v>54</v>
      </c>
      <c r="D2125" t="s">
        <v>55</v>
      </c>
      <c r="E2125" t="s">
        <v>2149</v>
      </c>
      <c r="F2125" t="s">
        <v>190</v>
      </c>
      <c r="G2125" t="s">
        <v>803</v>
      </c>
      <c r="H2125" t="s">
        <v>804</v>
      </c>
      <c r="I2125" t="s">
        <v>804</v>
      </c>
      <c r="J2125" t="s">
        <v>60</v>
      </c>
      <c r="K2125" t="s">
        <v>805</v>
      </c>
      <c r="L2125" t="s">
        <v>62</v>
      </c>
      <c r="M2125" t="s">
        <v>805</v>
      </c>
      <c r="N2125" t="s">
        <v>806</v>
      </c>
      <c r="O2125" t="s">
        <v>807</v>
      </c>
      <c r="P2125">
        <v>-20.133293999999999</v>
      </c>
      <c r="Q2125">
        <v>-44.886302000000001</v>
      </c>
      <c r="R2125" s="2" t="str">
        <f>HYPERLINK("https://www.google.com/maps?q=-20.1332940,-44.8863020","Abrir no Google Maps")</f>
        <v>Abrir no Google Maps</v>
      </c>
      <c r="S2125">
        <v>3</v>
      </c>
      <c r="T2125">
        <v>0</v>
      </c>
      <c r="U2125">
        <v>4</v>
      </c>
      <c r="V2125">
        <v>0.4915391240691987</v>
      </c>
      <c r="W2125">
        <v>1</v>
      </c>
      <c r="X2125">
        <v>0.4915391240691987</v>
      </c>
      <c r="Y2125">
        <v>259</v>
      </c>
      <c r="Z2125">
        <v>76.358812960729097</v>
      </c>
      <c r="AA2125">
        <v>198</v>
      </c>
      <c r="AB2125">
        <v>332</v>
      </c>
      <c r="AC2125">
        <v>536</v>
      </c>
      <c r="AD2125">
        <v>26.61</v>
      </c>
      <c r="AE2125">
        <v>542</v>
      </c>
      <c r="AF2125">
        <v>13</v>
      </c>
      <c r="AG2125">
        <v>180</v>
      </c>
      <c r="AH2125">
        <v>129</v>
      </c>
      <c r="AI2125">
        <v>2.4</v>
      </c>
      <c r="AJ2125">
        <v>33.21</v>
      </c>
      <c r="AK2125">
        <v>23.8</v>
      </c>
      <c r="AL2125">
        <v>-20.133281749999949</v>
      </c>
      <c r="AM2125">
        <v>-44.886395047959027</v>
      </c>
      <c r="AN2125">
        <v>-20.133281749999949</v>
      </c>
      <c r="AO2125">
        <v>-44.886395047959027</v>
      </c>
      <c r="AP2125">
        <v>-20.133293999999999</v>
      </c>
      <c r="AQ2125">
        <v>-44.886302000000001</v>
      </c>
      <c r="AR2125">
        <v>9.8203037443031231</v>
      </c>
      <c r="AS2125" t="s">
        <v>65</v>
      </c>
      <c r="AT2125">
        <v>1</v>
      </c>
      <c r="AU2125" t="s">
        <v>808</v>
      </c>
      <c r="AV2125" t="s">
        <v>809</v>
      </c>
      <c r="AW2125" t="s">
        <v>60</v>
      </c>
      <c r="AX2125" t="s">
        <v>68</v>
      </c>
      <c r="AY2125" t="s">
        <v>69</v>
      </c>
      <c r="AZ2125" t="b">
        <v>1</v>
      </c>
    </row>
    <row r="2126" spans="1:52" x14ac:dyDescent="0.3">
      <c r="A2126" t="s">
        <v>52</v>
      </c>
      <c r="B2126" t="s">
        <v>53</v>
      </c>
      <c r="C2126" t="s">
        <v>54</v>
      </c>
      <c r="D2126" t="s">
        <v>55</v>
      </c>
      <c r="E2126" t="s">
        <v>2149</v>
      </c>
      <c r="F2126" t="s">
        <v>190</v>
      </c>
      <c r="G2126" t="s">
        <v>1182</v>
      </c>
      <c r="H2126" t="s">
        <v>1183</v>
      </c>
      <c r="I2126" t="s">
        <v>1183</v>
      </c>
      <c r="J2126" t="s">
        <v>60</v>
      </c>
      <c r="K2126" t="s">
        <v>207</v>
      </c>
      <c r="L2126" t="s">
        <v>62</v>
      </c>
      <c r="M2126" t="s">
        <v>207</v>
      </c>
      <c r="N2126" t="s">
        <v>1184</v>
      </c>
      <c r="O2126" t="s">
        <v>257</v>
      </c>
      <c r="P2126">
        <v>-20.126885000000001</v>
      </c>
      <c r="Q2126">
        <v>-44.884162000000003</v>
      </c>
      <c r="R2126" s="2" t="str">
        <f>HYPERLINK("https://www.google.com/maps?q=-20.1268850,-44.8841620","Abrir no Google Maps")</f>
        <v>Abrir no Google Maps</v>
      </c>
      <c r="S2126">
        <v>3</v>
      </c>
      <c r="T2126">
        <v>514.13587937491741</v>
      </c>
      <c r="U2126">
        <v>4</v>
      </c>
      <c r="V2126">
        <v>0.5561065790838754</v>
      </c>
      <c r="W2126">
        <v>0.85</v>
      </c>
      <c r="X2126">
        <v>0.47269059222129411</v>
      </c>
      <c r="Y2126">
        <v>259</v>
      </c>
      <c r="Z2126">
        <v>611.64962394743804</v>
      </c>
      <c r="AA2126">
        <v>198</v>
      </c>
      <c r="AB2126">
        <v>332</v>
      </c>
      <c r="AC2126">
        <v>536</v>
      </c>
      <c r="AD2126">
        <v>26.61</v>
      </c>
      <c r="AE2126">
        <v>542</v>
      </c>
      <c r="AF2126">
        <v>13</v>
      </c>
      <c r="AG2126">
        <v>180</v>
      </c>
      <c r="AH2126">
        <v>129</v>
      </c>
      <c r="AI2126">
        <v>2.4</v>
      </c>
      <c r="AJ2126">
        <v>33.21</v>
      </c>
      <c r="AK2126">
        <v>23.8</v>
      </c>
      <c r="AL2126">
        <v>-20.12682359999997</v>
      </c>
      <c r="AM2126">
        <v>-44.884056486492632</v>
      </c>
      <c r="AN2126">
        <v>-20.12682359999997</v>
      </c>
      <c r="AO2126">
        <v>-44.884056486492632</v>
      </c>
      <c r="AP2126">
        <v>-20.126885000000001</v>
      </c>
      <c r="AQ2126">
        <v>-44.884162000000003</v>
      </c>
      <c r="AR2126">
        <v>12.97479989794236</v>
      </c>
      <c r="AS2126" t="s">
        <v>65</v>
      </c>
      <c r="AT2126">
        <v>1</v>
      </c>
      <c r="AU2126" t="s">
        <v>1185</v>
      </c>
      <c r="AV2126" t="s">
        <v>1186</v>
      </c>
      <c r="AW2126" t="s">
        <v>60</v>
      </c>
      <c r="AX2126" t="s">
        <v>68</v>
      </c>
      <c r="AY2126" t="s">
        <v>69</v>
      </c>
      <c r="AZ2126" t="b">
        <v>1</v>
      </c>
    </row>
    <row r="2127" spans="1:52" x14ac:dyDescent="0.3">
      <c r="A2127" t="s">
        <v>52</v>
      </c>
      <c r="B2127" t="s">
        <v>53</v>
      </c>
      <c r="C2127" t="s">
        <v>54</v>
      </c>
      <c r="D2127" t="s">
        <v>55</v>
      </c>
      <c r="E2127" t="s">
        <v>2149</v>
      </c>
      <c r="F2127" t="s">
        <v>190</v>
      </c>
      <c r="G2127" t="s">
        <v>810</v>
      </c>
      <c r="H2127" t="s">
        <v>811</v>
      </c>
      <c r="I2127" t="s">
        <v>811</v>
      </c>
      <c r="J2127" t="s">
        <v>60</v>
      </c>
      <c r="K2127" t="s">
        <v>805</v>
      </c>
      <c r="L2127" t="s">
        <v>62</v>
      </c>
      <c r="M2127" t="s">
        <v>805</v>
      </c>
      <c r="N2127" t="s">
        <v>812</v>
      </c>
      <c r="O2127" t="s">
        <v>309</v>
      </c>
      <c r="P2127">
        <v>-20.129868999999999</v>
      </c>
      <c r="Q2127">
        <v>-44.884247999999999</v>
      </c>
      <c r="R2127" s="2" t="str">
        <f>HYPERLINK("https://www.google.com/maps?q=-20.1298690,-44.8842480","Abrir no Google Maps")</f>
        <v>Abrir no Google Maps</v>
      </c>
      <c r="S2127">
        <v>3</v>
      </c>
      <c r="T2127">
        <v>434.82198084080329</v>
      </c>
      <c r="U2127">
        <v>4</v>
      </c>
      <c r="V2127">
        <v>0.58243274435007364</v>
      </c>
      <c r="W2127">
        <v>1</v>
      </c>
      <c r="X2127">
        <v>0.58243274435007364</v>
      </c>
      <c r="Y2127">
        <v>259</v>
      </c>
      <c r="Z2127">
        <v>281.76247768049842</v>
      </c>
      <c r="AA2127">
        <v>198</v>
      </c>
      <c r="AB2127">
        <v>332</v>
      </c>
      <c r="AC2127">
        <v>536</v>
      </c>
      <c r="AD2127">
        <v>26.61</v>
      </c>
      <c r="AE2127">
        <v>542</v>
      </c>
      <c r="AF2127">
        <v>13</v>
      </c>
      <c r="AG2127">
        <v>180</v>
      </c>
      <c r="AH2127">
        <v>129</v>
      </c>
      <c r="AI2127">
        <v>2.4</v>
      </c>
      <c r="AJ2127">
        <v>33.21</v>
      </c>
      <c r="AK2127">
        <v>23.8</v>
      </c>
      <c r="AL2127">
        <v>-20.129927549999959</v>
      </c>
      <c r="AM2127">
        <v>-44.884228133573217</v>
      </c>
      <c r="AN2127">
        <v>-20.129927549999959</v>
      </c>
      <c r="AO2127">
        <v>-44.884228133573217</v>
      </c>
      <c r="AP2127">
        <v>-20.129868999999999</v>
      </c>
      <c r="AQ2127">
        <v>-44.884247999999999</v>
      </c>
      <c r="AR2127">
        <v>6.8405504803478081</v>
      </c>
      <c r="AS2127" t="s">
        <v>65</v>
      </c>
      <c r="AT2127">
        <v>1</v>
      </c>
      <c r="AU2127" t="s">
        <v>813</v>
      </c>
      <c r="AV2127" t="s">
        <v>814</v>
      </c>
      <c r="AW2127" t="s">
        <v>60</v>
      </c>
      <c r="AX2127" t="s">
        <v>68</v>
      </c>
      <c r="AY2127" t="s">
        <v>69</v>
      </c>
      <c r="AZ2127" t="b">
        <v>1</v>
      </c>
    </row>
    <row r="2128" spans="1:52" x14ac:dyDescent="0.3">
      <c r="A2128" t="s">
        <v>52</v>
      </c>
      <c r="B2128" t="s">
        <v>53</v>
      </c>
      <c r="C2128" t="s">
        <v>54</v>
      </c>
      <c r="D2128" t="s">
        <v>55</v>
      </c>
      <c r="E2128" t="s">
        <v>2149</v>
      </c>
      <c r="F2128" t="s">
        <v>190</v>
      </c>
      <c r="G2128" t="s">
        <v>815</v>
      </c>
      <c r="H2128" t="s">
        <v>816</v>
      </c>
      <c r="I2128" t="s">
        <v>816</v>
      </c>
      <c r="J2128" t="s">
        <v>60</v>
      </c>
      <c r="K2128" t="s">
        <v>805</v>
      </c>
      <c r="L2128" t="s">
        <v>62</v>
      </c>
      <c r="M2128" t="s">
        <v>805</v>
      </c>
      <c r="N2128" t="s">
        <v>817</v>
      </c>
      <c r="O2128" t="s">
        <v>818</v>
      </c>
      <c r="P2128">
        <v>-20.129894</v>
      </c>
      <c r="Q2128">
        <v>-44.886285000000001</v>
      </c>
      <c r="R2128" s="2" t="str">
        <f>HYPERLINK("https://www.google.com/maps?q=-20.1298940,-44.8862850","Abrir no Google Maps")</f>
        <v>Abrir no Google Maps</v>
      </c>
      <c r="S2128">
        <v>3</v>
      </c>
      <c r="T2128">
        <v>245.88570896460399</v>
      </c>
      <c r="U2128">
        <v>4</v>
      </c>
      <c r="V2128">
        <v>0.54917629818898939</v>
      </c>
      <c r="W2128">
        <v>1</v>
      </c>
      <c r="X2128">
        <v>0.54917629818898939</v>
      </c>
      <c r="Y2128">
        <v>259</v>
      </c>
      <c r="Z2128">
        <v>274.53833463725539</v>
      </c>
      <c r="AA2128">
        <v>198</v>
      </c>
      <c r="AB2128">
        <v>332</v>
      </c>
      <c r="AC2128">
        <v>536</v>
      </c>
      <c r="AD2128">
        <v>26.61</v>
      </c>
      <c r="AE2128">
        <v>542</v>
      </c>
      <c r="AF2128">
        <v>13</v>
      </c>
      <c r="AG2128">
        <v>180</v>
      </c>
      <c r="AH2128">
        <v>129</v>
      </c>
      <c r="AI2128">
        <v>2.4</v>
      </c>
      <c r="AJ2128">
        <v>33.21</v>
      </c>
      <c r="AK2128">
        <v>23.8</v>
      </c>
      <c r="AL2128">
        <v>-20.129900749999969</v>
      </c>
      <c r="AM2128">
        <v>-44.886258682425179</v>
      </c>
      <c r="AN2128">
        <v>-20.129900749999969</v>
      </c>
      <c r="AO2128">
        <v>-44.886258682425179</v>
      </c>
      <c r="AP2128">
        <v>-20.129894</v>
      </c>
      <c r="AQ2128">
        <v>-44.886285000000001</v>
      </c>
      <c r="AR2128">
        <v>2.851497427576585</v>
      </c>
      <c r="AS2128" t="s">
        <v>65</v>
      </c>
      <c r="AT2128">
        <v>1</v>
      </c>
      <c r="AU2128" t="s">
        <v>819</v>
      </c>
      <c r="AV2128" t="s">
        <v>814</v>
      </c>
      <c r="AW2128" t="s">
        <v>60</v>
      </c>
      <c r="AX2128" t="s">
        <v>68</v>
      </c>
      <c r="AY2128" t="s">
        <v>69</v>
      </c>
      <c r="AZ2128" t="b">
        <v>1</v>
      </c>
    </row>
    <row r="2129" spans="1:52" x14ac:dyDescent="0.3">
      <c r="A2129" t="s">
        <v>52</v>
      </c>
      <c r="B2129" t="s">
        <v>53</v>
      </c>
      <c r="C2129" t="s">
        <v>54</v>
      </c>
      <c r="D2129" t="s">
        <v>55</v>
      </c>
      <c r="E2129" t="s">
        <v>2149</v>
      </c>
      <c r="F2129" t="s">
        <v>190</v>
      </c>
      <c r="G2129" t="s">
        <v>820</v>
      </c>
      <c r="H2129" t="s">
        <v>821</v>
      </c>
      <c r="I2129" t="s">
        <v>821</v>
      </c>
      <c r="J2129" t="s">
        <v>60</v>
      </c>
      <c r="K2129" t="s">
        <v>822</v>
      </c>
      <c r="L2129" t="s">
        <v>62</v>
      </c>
      <c r="M2129" t="s">
        <v>822</v>
      </c>
      <c r="N2129" t="s">
        <v>823</v>
      </c>
      <c r="O2129" t="s">
        <v>187</v>
      </c>
      <c r="P2129">
        <v>-20.182960999999999</v>
      </c>
      <c r="Q2129">
        <v>-44.902512999999999</v>
      </c>
      <c r="R2129" s="2" t="str">
        <f>HYPERLINK("https://www.google.com/maps?q=-20.1829610,-44.9025130","Abrir no Google Maps")</f>
        <v>Abrir no Google Maps</v>
      </c>
      <c r="S2129">
        <v>3</v>
      </c>
      <c r="T2129">
        <v>908.09917748271926</v>
      </c>
      <c r="U2129">
        <v>4</v>
      </c>
      <c r="V2129">
        <v>0.55784082108921762</v>
      </c>
      <c r="W2129">
        <v>1</v>
      </c>
      <c r="X2129">
        <v>0.55784082108921762</v>
      </c>
      <c r="Y2129">
        <v>135</v>
      </c>
      <c r="Z2129">
        <v>562.42494356837676</v>
      </c>
      <c r="AA2129">
        <v>198</v>
      </c>
      <c r="AB2129">
        <v>332</v>
      </c>
      <c r="AC2129">
        <v>536</v>
      </c>
      <c r="AD2129">
        <v>26.61</v>
      </c>
      <c r="AE2129">
        <v>542</v>
      </c>
      <c r="AF2129">
        <v>13</v>
      </c>
      <c r="AG2129">
        <v>180</v>
      </c>
      <c r="AH2129">
        <v>129</v>
      </c>
      <c r="AI2129">
        <v>2.4</v>
      </c>
      <c r="AJ2129">
        <v>33.21</v>
      </c>
      <c r="AK2129">
        <v>23.8</v>
      </c>
      <c r="AL2129">
        <v>-20.18277184999997</v>
      </c>
      <c r="AM2129">
        <v>-44.902421436048833</v>
      </c>
      <c r="AN2129">
        <v>-20.18277184999997</v>
      </c>
      <c r="AO2129">
        <v>-44.902421436048833</v>
      </c>
      <c r="AP2129">
        <v>-20.182960999999999</v>
      </c>
      <c r="AQ2129">
        <v>-44.902512999999999</v>
      </c>
      <c r="AR2129">
        <v>23.127700959037089</v>
      </c>
      <c r="AS2129" t="s">
        <v>65</v>
      </c>
      <c r="AT2129">
        <v>1</v>
      </c>
      <c r="AU2129" t="s">
        <v>824</v>
      </c>
      <c r="AV2129" t="s">
        <v>825</v>
      </c>
      <c r="AW2129" t="s">
        <v>60</v>
      </c>
      <c r="AX2129" t="s">
        <v>68</v>
      </c>
      <c r="AY2129" t="s">
        <v>69</v>
      </c>
      <c r="AZ2129" t="b">
        <v>1</v>
      </c>
    </row>
    <row r="2130" spans="1:52" x14ac:dyDescent="0.3">
      <c r="A2130" t="s">
        <v>52</v>
      </c>
      <c r="B2130" t="s">
        <v>53</v>
      </c>
      <c r="C2130" t="s">
        <v>54</v>
      </c>
      <c r="D2130" t="s">
        <v>55</v>
      </c>
      <c r="E2130" t="s">
        <v>2149</v>
      </c>
      <c r="F2130" t="s">
        <v>190</v>
      </c>
      <c r="G2130" t="s">
        <v>1212</v>
      </c>
      <c r="H2130" t="s">
        <v>1213</v>
      </c>
      <c r="I2130" t="s">
        <v>1213</v>
      </c>
      <c r="J2130" t="s">
        <v>60</v>
      </c>
      <c r="K2130" t="s">
        <v>171</v>
      </c>
      <c r="L2130" t="s">
        <v>62</v>
      </c>
      <c r="M2130" t="s">
        <v>171</v>
      </c>
      <c r="N2130" t="s">
        <v>1214</v>
      </c>
      <c r="O2130" t="s">
        <v>1215</v>
      </c>
      <c r="P2130">
        <v>-20.152812999999998</v>
      </c>
      <c r="Q2130">
        <v>-44.889853000000002</v>
      </c>
      <c r="R2130" s="2" t="str">
        <f>HYPERLINK("https://www.google.com/maps?q=-20.1528130,-44.8898530","Abrir no Google Maps")</f>
        <v>Abrir no Google Maps</v>
      </c>
      <c r="S2130">
        <v>3</v>
      </c>
      <c r="T2130">
        <v>404.11054739579231</v>
      </c>
      <c r="U2130">
        <v>4</v>
      </c>
      <c r="V2130">
        <v>0.4711458528973565</v>
      </c>
      <c r="W2130">
        <v>1</v>
      </c>
      <c r="X2130">
        <v>0.4711458528973565</v>
      </c>
      <c r="Y2130">
        <v>129</v>
      </c>
      <c r="Z2130">
        <v>222.94297160630171</v>
      </c>
      <c r="AA2130">
        <v>198</v>
      </c>
      <c r="AB2130">
        <v>332</v>
      </c>
      <c r="AC2130">
        <v>536</v>
      </c>
      <c r="AD2130">
        <v>26.61</v>
      </c>
      <c r="AE2130">
        <v>542</v>
      </c>
      <c r="AF2130">
        <v>13</v>
      </c>
      <c r="AG2130">
        <v>180</v>
      </c>
      <c r="AH2130">
        <v>129</v>
      </c>
      <c r="AI2130">
        <v>2.4</v>
      </c>
      <c r="AJ2130">
        <v>33.21</v>
      </c>
      <c r="AK2130">
        <v>23.8</v>
      </c>
      <c r="AL2130">
        <v>-20.152851999999971</v>
      </c>
      <c r="AM2130">
        <v>-44.889864659228088</v>
      </c>
      <c r="AN2130">
        <v>-20.152851999999971</v>
      </c>
      <c r="AO2130">
        <v>-44.889864659228088</v>
      </c>
      <c r="AP2130">
        <v>-20.152812999999998</v>
      </c>
      <c r="AQ2130">
        <v>-44.889853000000002</v>
      </c>
      <c r="AR2130">
        <v>4.5092186597325066</v>
      </c>
      <c r="AS2130" t="s">
        <v>65</v>
      </c>
      <c r="AT2130">
        <v>1</v>
      </c>
      <c r="AU2130" t="s">
        <v>1216</v>
      </c>
      <c r="AV2130" t="s">
        <v>1217</v>
      </c>
      <c r="AW2130" t="s">
        <v>60</v>
      </c>
      <c r="AX2130" t="s">
        <v>68</v>
      </c>
      <c r="AY2130" t="s">
        <v>69</v>
      </c>
      <c r="AZ2130" t="b">
        <v>1</v>
      </c>
    </row>
    <row r="2131" spans="1:52" x14ac:dyDescent="0.3">
      <c r="A2131" t="s">
        <v>52</v>
      </c>
      <c r="B2131" t="s">
        <v>53</v>
      </c>
      <c r="C2131" t="s">
        <v>54</v>
      </c>
      <c r="D2131" t="s">
        <v>55</v>
      </c>
      <c r="E2131" t="s">
        <v>2149</v>
      </c>
      <c r="F2131" t="s">
        <v>190</v>
      </c>
      <c r="G2131" t="s">
        <v>833</v>
      </c>
      <c r="H2131" t="s">
        <v>834</v>
      </c>
      <c r="I2131" t="s">
        <v>834</v>
      </c>
      <c r="J2131" t="s">
        <v>60</v>
      </c>
      <c r="K2131" t="s">
        <v>388</v>
      </c>
      <c r="L2131" t="s">
        <v>62</v>
      </c>
      <c r="M2131" t="s">
        <v>388</v>
      </c>
      <c r="N2131" t="s">
        <v>835</v>
      </c>
      <c r="O2131" t="s">
        <v>836</v>
      </c>
      <c r="P2131">
        <v>-20.157906000000001</v>
      </c>
      <c r="Q2131">
        <v>-44.900458999999998</v>
      </c>
      <c r="R2131" s="2" t="str">
        <f>HYPERLINK("https://www.google.com/maps?q=-20.1579060,-44.9004590","Abrir no Google Maps")</f>
        <v>Abrir no Google Maps</v>
      </c>
      <c r="S2131">
        <v>3</v>
      </c>
      <c r="T2131">
        <v>0</v>
      </c>
      <c r="U2131">
        <v>3</v>
      </c>
      <c r="V2131">
        <v>0.4492346736300144</v>
      </c>
      <c r="W2131">
        <v>1</v>
      </c>
      <c r="X2131">
        <v>0.4492346736300144</v>
      </c>
      <c r="Y2131">
        <v>729</v>
      </c>
      <c r="Z2131">
        <v>203.63168486652771</v>
      </c>
      <c r="AA2131">
        <v>198</v>
      </c>
      <c r="AB2131">
        <v>332</v>
      </c>
      <c r="AC2131">
        <v>536</v>
      </c>
      <c r="AD2131">
        <v>26.61</v>
      </c>
      <c r="AE2131">
        <v>542</v>
      </c>
      <c r="AF2131">
        <v>13</v>
      </c>
      <c r="AG2131">
        <v>180</v>
      </c>
      <c r="AH2131">
        <v>129</v>
      </c>
      <c r="AI2131">
        <v>2.4</v>
      </c>
      <c r="AJ2131">
        <v>33.21</v>
      </c>
      <c r="AK2131">
        <v>23.8</v>
      </c>
      <c r="AL2131">
        <v>-20.157925749999951</v>
      </c>
      <c r="AM2131">
        <v>-44.900484707799812</v>
      </c>
      <c r="AN2131">
        <v>-20.157925749999951</v>
      </c>
      <c r="AO2131">
        <v>-44.900484707799812</v>
      </c>
      <c r="AP2131">
        <v>-20.157906000000001</v>
      </c>
      <c r="AQ2131">
        <v>-44.900458999999998</v>
      </c>
      <c r="AR2131">
        <v>3.4714515960382508</v>
      </c>
      <c r="AS2131" t="s">
        <v>65</v>
      </c>
      <c r="AT2131">
        <v>1</v>
      </c>
      <c r="AU2131" t="s">
        <v>837</v>
      </c>
      <c r="AV2131" t="s">
        <v>838</v>
      </c>
      <c r="AW2131" t="s">
        <v>60</v>
      </c>
      <c r="AX2131" t="s">
        <v>68</v>
      </c>
      <c r="AY2131" t="s">
        <v>69</v>
      </c>
      <c r="AZ2131" t="b">
        <v>1</v>
      </c>
    </row>
    <row r="2132" spans="1:52" x14ac:dyDescent="0.3">
      <c r="A2132" t="s">
        <v>52</v>
      </c>
      <c r="B2132" t="s">
        <v>53</v>
      </c>
      <c r="C2132" t="s">
        <v>54</v>
      </c>
      <c r="D2132" t="s">
        <v>55</v>
      </c>
      <c r="E2132" t="s">
        <v>2149</v>
      </c>
      <c r="F2132" t="s">
        <v>190</v>
      </c>
      <c r="G2132" t="s">
        <v>1307</v>
      </c>
      <c r="H2132" t="s">
        <v>1308</v>
      </c>
      <c r="I2132" t="s">
        <v>1308</v>
      </c>
      <c r="J2132" t="s">
        <v>60</v>
      </c>
      <c r="K2132" t="s">
        <v>1302</v>
      </c>
      <c r="L2132" t="s">
        <v>62</v>
      </c>
      <c r="M2132" t="s">
        <v>1302</v>
      </c>
      <c r="N2132" t="s">
        <v>558</v>
      </c>
      <c r="O2132" t="s">
        <v>1309</v>
      </c>
      <c r="P2132">
        <v>-20.169051</v>
      </c>
      <c r="Q2132">
        <v>-44.910093000000003</v>
      </c>
      <c r="R2132" s="2" t="str">
        <f>HYPERLINK("https://www.google.com/maps?q=-20.1690510,-44.9100930","Abrir no Google Maps")</f>
        <v>Abrir no Google Maps</v>
      </c>
      <c r="S2132">
        <v>3</v>
      </c>
      <c r="T2132">
        <v>375.90504489887479</v>
      </c>
      <c r="U2132">
        <v>3</v>
      </c>
      <c r="V2132">
        <v>0.52750764800416861</v>
      </c>
      <c r="W2132">
        <v>0.85</v>
      </c>
      <c r="X2132">
        <v>0.44838150080354328</v>
      </c>
      <c r="Y2132">
        <v>723</v>
      </c>
      <c r="Z2132">
        <v>456.19893675176831</v>
      </c>
      <c r="AA2132">
        <v>198</v>
      </c>
      <c r="AB2132">
        <v>332</v>
      </c>
      <c r="AC2132">
        <v>536</v>
      </c>
      <c r="AD2132">
        <v>26.61</v>
      </c>
      <c r="AE2132">
        <v>542</v>
      </c>
      <c r="AF2132">
        <v>13</v>
      </c>
      <c r="AG2132">
        <v>180</v>
      </c>
      <c r="AH2132">
        <v>129</v>
      </c>
      <c r="AI2132">
        <v>2.4</v>
      </c>
      <c r="AJ2132">
        <v>33.21</v>
      </c>
      <c r="AK2132">
        <v>23.8</v>
      </c>
      <c r="AL2132">
        <v>-20.168810949999941</v>
      </c>
      <c r="AM2132">
        <v>-44.910156475447927</v>
      </c>
      <c r="AN2132">
        <v>-20.168810949999941</v>
      </c>
      <c r="AO2132">
        <v>-44.910156475447927</v>
      </c>
      <c r="AP2132">
        <v>-20.169051</v>
      </c>
      <c r="AQ2132">
        <v>-44.910093000000003</v>
      </c>
      <c r="AR2132">
        <v>27.533232396417059</v>
      </c>
      <c r="AS2132" t="s">
        <v>65</v>
      </c>
      <c r="AT2132">
        <v>1</v>
      </c>
      <c r="AU2132" t="s">
        <v>1310</v>
      </c>
      <c r="AV2132" t="s">
        <v>1311</v>
      </c>
      <c r="AW2132" t="s">
        <v>60</v>
      </c>
      <c r="AX2132" t="s">
        <v>68</v>
      </c>
      <c r="AY2132" t="s">
        <v>69</v>
      </c>
      <c r="AZ2132" t="b">
        <v>1</v>
      </c>
    </row>
    <row r="2133" spans="1:52" x14ac:dyDescent="0.3">
      <c r="A2133" t="s">
        <v>52</v>
      </c>
      <c r="B2133" t="s">
        <v>53</v>
      </c>
      <c r="C2133" t="s">
        <v>54</v>
      </c>
      <c r="D2133" t="s">
        <v>55</v>
      </c>
      <c r="E2133" t="s">
        <v>2149</v>
      </c>
      <c r="F2133" t="s">
        <v>190</v>
      </c>
      <c r="G2133" t="s">
        <v>845</v>
      </c>
      <c r="H2133" t="s">
        <v>846</v>
      </c>
      <c r="I2133" t="s">
        <v>846</v>
      </c>
      <c r="J2133" t="s">
        <v>60</v>
      </c>
      <c r="K2133" t="s">
        <v>424</v>
      </c>
      <c r="L2133" t="s">
        <v>62</v>
      </c>
      <c r="M2133" t="s">
        <v>424</v>
      </c>
      <c r="N2133" t="s">
        <v>847</v>
      </c>
      <c r="O2133" t="s">
        <v>848</v>
      </c>
      <c r="P2133">
        <v>-20.175523999999999</v>
      </c>
      <c r="Q2133">
        <v>-44.918016999999999</v>
      </c>
      <c r="R2133" s="2" t="str">
        <f>HYPERLINK("https://www.google.com/maps?q=-20.1755240,-44.9180170","Abrir no Google Maps")</f>
        <v>Abrir no Google Maps</v>
      </c>
      <c r="S2133">
        <v>3</v>
      </c>
      <c r="T2133">
        <v>833.59191671824021</v>
      </c>
      <c r="U2133">
        <v>3</v>
      </c>
      <c r="V2133">
        <v>0.52178845868101065</v>
      </c>
      <c r="W2133">
        <v>0.85</v>
      </c>
      <c r="X2133">
        <v>0.44352018987885911</v>
      </c>
      <c r="Y2133">
        <v>723</v>
      </c>
      <c r="Z2133">
        <v>701.05790658871581</v>
      </c>
      <c r="AA2133">
        <v>198</v>
      </c>
      <c r="AB2133">
        <v>332</v>
      </c>
      <c r="AC2133">
        <v>536</v>
      </c>
      <c r="AD2133">
        <v>26.61</v>
      </c>
      <c r="AE2133">
        <v>542</v>
      </c>
      <c r="AF2133">
        <v>13</v>
      </c>
      <c r="AG2133">
        <v>180</v>
      </c>
      <c r="AH2133">
        <v>129</v>
      </c>
      <c r="AI2133">
        <v>2.4</v>
      </c>
      <c r="AJ2133">
        <v>33.21</v>
      </c>
      <c r="AK2133">
        <v>23.8</v>
      </c>
      <c r="AL2133">
        <v>-20.17533859999995</v>
      </c>
      <c r="AM2133">
        <v>-44.917689627873088</v>
      </c>
      <c r="AN2133">
        <v>-20.17533859999995</v>
      </c>
      <c r="AO2133">
        <v>-44.917689627873088</v>
      </c>
      <c r="AP2133">
        <v>-20.175523999999999</v>
      </c>
      <c r="AQ2133">
        <v>-44.918016999999999</v>
      </c>
      <c r="AR2133">
        <v>39.950898228213873</v>
      </c>
      <c r="AS2133" t="s">
        <v>65</v>
      </c>
      <c r="AT2133">
        <v>1</v>
      </c>
      <c r="AU2133" t="s">
        <v>849</v>
      </c>
      <c r="AV2133" t="s">
        <v>850</v>
      </c>
      <c r="AW2133" t="s">
        <v>60</v>
      </c>
      <c r="AX2133" t="s">
        <v>68</v>
      </c>
      <c r="AY2133" t="s">
        <v>69</v>
      </c>
      <c r="AZ2133" t="b">
        <v>1</v>
      </c>
    </row>
    <row r="2134" spans="1:52" x14ac:dyDescent="0.3">
      <c r="A2134" t="s">
        <v>52</v>
      </c>
      <c r="B2134" t="s">
        <v>53</v>
      </c>
      <c r="C2134" t="s">
        <v>54</v>
      </c>
      <c r="D2134" t="s">
        <v>55</v>
      </c>
      <c r="E2134" t="s">
        <v>2149</v>
      </c>
      <c r="F2134" t="s">
        <v>190</v>
      </c>
      <c r="G2134" t="s">
        <v>1328</v>
      </c>
      <c r="H2134" t="s">
        <v>1329</v>
      </c>
      <c r="I2134" t="s">
        <v>1329</v>
      </c>
      <c r="J2134" t="s">
        <v>60</v>
      </c>
      <c r="K2134" t="s">
        <v>1324</v>
      </c>
      <c r="L2134" t="s">
        <v>62</v>
      </c>
      <c r="M2134" t="s">
        <v>1324</v>
      </c>
      <c r="N2134" t="s">
        <v>1330</v>
      </c>
      <c r="O2134" t="s">
        <v>1331</v>
      </c>
      <c r="P2134">
        <v>-20.172984</v>
      </c>
      <c r="Q2134">
        <v>-44.915225999999997</v>
      </c>
      <c r="R2134" s="2" t="str">
        <f>HYPERLINK("https://www.google.com/maps?q=-20.1729840,-44.9152260","Abrir no Google Maps")</f>
        <v>Abrir no Google Maps</v>
      </c>
      <c r="S2134">
        <v>3</v>
      </c>
      <c r="T2134">
        <v>498.21203543103741</v>
      </c>
      <c r="U2134">
        <v>3</v>
      </c>
      <c r="V2134">
        <v>0.49198792652099599</v>
      </c>
      <c r="W2134">
        <v>0.85</v>
      </c>
      <c r="X2134">
        <v>0.41818973754284661</v>
      </c>
      <c r="Y2134">
        <v>723</v>
      </c>
      <c r="Z2134">
        <v>297.36167326949931</v>
      </c>
      <c r="AA2134">
        <v>198</v>
      </c>
      <c r="AB2134">
        <v>332</v>
      </c>
      <c r="AC2134">
        <v>536</v>
      </c>
      <c r="AD2134">
        <v>26.61</v>
      </c>
      <c r="AE2134">
        <v>542</v>
      </c>
      <c r="AF2134">
        <v>13</v>
      </c>
      <c r="AG2134">
        <v>180</v>
      </c>
      <c r="AH2134">
        <v>129</v>
      </c>
      <c r="AI2134">
        <v>2.4</v>
      </c>
      <c r="AJ2134">
        <v>33.21</v>
      </c>
      <c r="AK2134">
        <v>23.8</v>
      </c>
      <c r="AL2134">
        <v>-20.172838899999959</v>
      </c>
      <c r="AM2134">
        <v>-44.915158011603552</v>
      </c>
      <c r="AN2134">
        <v>-20.172838899999959</v>
      </c>
      <c r="AO2134">
        <v>-44.915158011603552</v>
      </c>
      <c r="AP2134">
        <v>-20.172984</v>
      </c>
      <c r="AQ2134">
        <v>-44.915225999999997</v>
      </c>
      <c r="AR2134">
        <v>17.645788305942119</v>
      </c>
      <c r="AS2134" t="s">
        <v>65</v>
      </c>
      <c r="AT2134">
        <v>1</v>
      </c>
      <c r="AU2134" t="s">
        <v>1332</v>
      </c>
      <c r="AV2134" t="s">
        <v>1327</v>
      </c>
      <c r="AW2134" t="s">
        <v>60</v>
      </c>
      <c r="AX2134" t="s">
        <v>68</v>
      </c>
      <c r="AY2134" t="s">
        <v>69</v>
      </c>
      <c r="AZ2134" t="b">
        <v>1</v>
      </c>
    </row>
    <row r="2135" spans="1:52" x14ac:dyDescent="0.3">
      <c r="A2135" t="s">
        <v>52</v>
      </c>
      <c r="B2135" t="s">
        <v>53</v>
      </c>
      <c r="C2135" t="s">
        <v>54</v>
      </c>
      <c r="D2135" t="s">
        <v>55</v>
      </c>
      <c r="E2135" t="s">
        <v>2149</v>
      </c>
      <c r="F2135" t="s">
        <v>190</v>
      </c>
      <c r="G2135" t="s">
        <v>479</v>
      </c>
      <c r="H2135" t="s">
        <v>1338</v>
      </c>
      <c r="I2135" t="s">
        <v>1338</v>
      </c>
      <c r="J2135" t="s">
        <v>60</v>
      </c>
      <c r="K2135" t="s">
        <v>1302</v>
      </c>
      <c r="L2135" t="s">
        <v>62</v>
      </c>
      <c r="M2135" t="s">
        <v>1302</v>
      </c>
      <c r="N2135" t="s">
        <v>481</v>
      </c>
      <c r="O2135" t="s">
        <v>1339</v>
      </c>
      <c r="P2135">
        <v>-20.165590000000002</v>
      </c>
      <c r="Q2135">
        <v>-44.907876000000002</v>
      </c>
      <c r="R2135" s="2" t="str">
        <f>HYPERLINK("https://www.google.com/maps?q=-20.1655900,-44.9078760","Abrir no Google Maps")</f>
        <v>Abrir no Google Maps</v>
      </c>
      <c r="S2135">
        <v>3</v>
      </c>
      <c r="T2135">
        <v>626.07643944893005</v>
      </c>
      <c r="U2135">
        <v>3</v>
      </c>
      <c r="V2135">
        <v>0.49531253983354628</v>
      </c>
      <c r="W2135">
        <v>0.85</v>
      </c>
      <c r="X2135">
        <v>0.42101565885851427</v>
      </c>
      <c r="Y2135">
        <v>639</v>
      </c>
      <c r="Z2135">
        <v>723.2656461789519</v>
      </c>
      <c r="AA2135">
        <v>198</v>
      </c>
      <c r="AB2135">
        <v>332</v>
      </c>
      <c r="AC2135">
        <v>536</v>
      </c>
      <c r="AD2135">
        <v>26.61</v>
      </c>
      <c r="AE2135">
        <v>542</v>
      </c>
      <c r="AF2135">
        <v>13</v>
      </c>
      <c r="AG2135">
        <v>180</v>
      </c>
      <c r="AH2135">
        <v>129</v>
      </c>
      <c r="AI2135">
        <v>2.4</v>
      </c>
      <c r="AJ2135">
        <v>33.21</v>
      </c>
      <c r="AK2135">
        <v>23.8</v>
      </c>
      <c r="AL2135">
        <v>-20.16561419999994</v>
      </c>
      <c r="AM2135">
        <v>-44.907783360572083</v>
      </c>
      <c r="AN2135">
        <v>-20.16561419999994</v>
      </c>
      <c r="AO2135">
        <v>-44.907783360572083</v>
      </c>
      <c r="AP2135">
        <v>-20.165590000000002</v>
      </c>
      <c r="AQ2135">
        <v>-44.907876000000002</v>
      </c>
      <c r="AR2135">
        <v>10.04831364257741</v>
      </c>
      <c r="AS2135" t="s">
        <v>65</v>
      </c>
      <c r="AT2135">
        <v>1</v>
      </c>
      <c r="AU2135" t="s">
        <v>1340</v>
      </c>
      <c r="AV2135" t="s">
        <v>1341</v>
      </c>
      <c r="AW2135" t="s">
        <v>60</v>
      </c>
      <c r="AX2135" t="s">
        <v>68</v>
      </c>
      <c r="AY2135" t="s">
        <v>69</v>
      </c>
      <c r="AZ2135" t="b">
        <v>1</v>
      </c>
    </row>
    <row r="2136" spans="1:52" x14ac:dyDescent="0.3">
      <c r="A2136" t="s">
        <v>52</v>
      </c>
      <c r="B2136" t="s">
        <v>53</v>
      </c>
      <c r="C2136" t="s">
        <v>54</v>
      </c>
      <c r="D2136" t="s">
        <v>55</v>
      </c>
      <c r="E2136" t="s">
        <v>2149</v>
      </c>
      <c r="F2136" t="s">
        <v>190</v>
      </c>
      <c r="G2136" t="s">
        <v>1347</v>
      </c>
      <c r="H2136" t="s">
        <v>1348</v>
      </c>
      <c r="I2136" t="s">
        <v>1348</v>
      </c>
      <c r="J2136" t="s">
        <v>60</v>
      </c>
      <c r="K2136" t="s">
        <v>1349</v>
      </c>
      <c r="L2136" t="s">
        <v>62</v>
      </c>
      <c r="M2136" t="s">
        <v>1349</v>
      </c>
      <c r="N2136" t="s">
        <v>1350</v>
      </c>
      <c r="O2136" t="s">
        <v>1351</v>
      </c>
      <c r="P2136">
        <v>-20.140426999999999</v>
      </c>
      <c r="Q2136">
        <v>-44.905327999999997</v>
      </c>
      <c r="R2136" s="2" t="str">
        <f>HYPERLINK("https://www.google.com/maps?q=-20.1404270,-44.9053280","Abrir no Google Maps")</f>
        <v>Abrir no Google Maps</v>
      </c>
      <c r="S2136">
        <v>3</v>
      </c>
      <c r="T2136">
        <v>359.5810968231857</v>
      </c>
      <c r="U2136">
        <v>3</v>
      </c>
      <c r="V2136">
        <v>0.52811916797798208</v>
      </c>
      <c r="W2136">
        <v>0.85</v>
      </c>
      <c r="X2136">
        <v>0.44890129278128482</v>
      </c>
      <c r="Y2136">
        <v>581</v>
      </c>
      <c r="Z2136">
        <v>292.370097058873</v>
      </c>
      <c r="AA2136">
        <v>198</v>
      </c>
      <c r="AB2136">
        <v>332</v>
      </c>
      <c r="AC2136">
        <v>536</v>
      </c>
      <c r="AD2136">
        <v>26.61</v>
      </c>
      <c r="AE2136">
        <v>542</v>
      </c>
      <c r="AF2136">
        <v>13</v>
      </c>
      <c r="AG2136">
        <v>180</v>
      </c>
      <c r="AH2136">
        <v>129</v>
      </c>
      <c r="AI2136">
        <v>2.4</v>
      </c>
      <c r="AJ2136">
        <v>33.21</v>
      </c>
      <c r="AK2136">
        <v>23.8</v>
      </c>
      <c r="AL2136">
        <v>-20.140465449999969</v>
      </c>
      <c r="AM2136">
        <v>-44.905317129037229</v>
      </c>
      <c r="AN2136">
        <v>-20.140465449999969</v>
      </c>
      <c r="AO2136">
        <v>-44.905317129037229</v>
      </c>
      <c r="AP2136">
        <v>-20.140426999999999</v>
      </c>
      <c r="AQ2136">
        <v>-44.905327999999997</v>
      </c>
      <c r="AR2136">
        <v>4.4284788644958706</v>
      </c>
      <c r="AS2136" t="s">
        <v>65</v>
      </c>
      <c r="AT2136">
        <v>1</v>
      </c>
      <c r="AU2136" t="s">
        <v>1352</v>
      </c>
      <c r="AV2136" t="s">
        <v>1353</v>
      </c>
      <c r="AW2136" t="s">
        <v>60</v>
      </c>
      <c r="AX2136" t="s">
        <v>68</v>
      </c>
      <c r="AY2136" t="s">
        <v>69</v>
      </c>
      <c r="AZ2136" t="b">
        <v>1</v>
      </c>
    </row>
    <row r="2137" spans="1:52" x14ac:dyDescent="0.3">
      <c r="A2137" t="s">
        <v>52</v>
      </c>
      <c r="B2137" t="s">
        <v>53</v>
      </c>
      <c r="C2137" t="s">
        <v>54</v>
      </c>
      <c r="D2137" t="s">
        <v>55</v>
      </c>
      <c r="E2137" t="s">
        <v>2149</v>
      </c>
      <c r="F2137" t="s">
        <v>190</v>
      </c>
      <c r="G2137" t="s">
        <v>851</v>
      </c>
      <c r="H2137" t="s">
        <v>852</v>
      </c>
      <c r="I2137" t="s">
        <v>852</v>
      </c>
      <c r="J2137" t="s">
        <v>60</v>
      </c>
      <c r="K2137" t="s">
        <v>853</v>
      </c>
      <c r="L2137" t="s">
        <v>62</v>
      </c>
      <c r="M2137" t="s">
        <v>853</v>
      </c>
      <c r="N2137" t="s">
        <v>854</v>
      </c>
      <c r="O2137" t="s">
        <v>855</v>
      </c>
      <c r="P2137">
        <v>-20.127835000000001</v>
      </c>
      <c r="Q2137">
        <v>-44.909329</v>
      </c>
      <c r="R2137" s="2" t="str">
        <f>HYPERLINK("https://www.google.com/maps?q=-20.1278350,-44.9093290","Abrir no Google Maps")</f>
        <v>Abrir no Google Maps</v>
      </c>
      <c r="S2137">
        <v>3</v>
      </c>
      <c r="T2137">
        <v>1173.033690896357</v>
      </c>
      <c r="U2137">
        <v>3</v>
      </c>
      <c r="V2137">
        <v>0.44014368105101009</v>
      </c>
      <c r="W2137">
        <v>1</v>
      </c>
      <c r="X2137">
        <v>0.44014368105101009</v>
      </c>
      <c r="Y2137">
        <v>581</v>
      </c>
      <c r="Z2137">
        <v>1296.5011565926129</v>
      </c>
      <c r="AA2137">
        <v>198</v>
      </c>
      <c r="AB2137">
        <v>332</v>
      </c>
      <c r="AC2137">
        <v>536</v>
      </c>
      <c r="AD2137">
        <v>26.61</v>
      </c>
      <c r="AE2137">
        <v>542</v>
      </c>
      <c r="AF2137">
        <v>13</v>
      </c>
      <c r="AG2137">
        <v>180</v>
      </c>
      <c r="AH2137">
        <v>129</v>
      </c>
      <c r="AI2137">
        <v>2.4</v>
      </c>
      <c r="AJ2137">
        <v>33.21</v>
      </c>
      <c r="AK2137">
        <v>23.8</v>
      </c>
      <c r="AL2137">
        <v>-20.127852899999969</v>
      </c>
      <c r="AM2137">
        <v>-44.909386667699948</v>
      </c>
      <c r="AN2137">
        <v>-20.127852899999969</v>
      </c>
      <c r="AO2137">
        <v>-44.909386667699948</v>
      </c>
      <c r="AP2137">
        <v>-20.127835000000001</v>
      </c>
      <c r="AQ2137">
        <v>-44.909329</v>
      </c>
      <c r="AR2137">
        <v>6.3483385067119924</v>
      </c>
      <c r="AS2137" t="s">
        <v>65</v>
      </c>
      <c r="AT2137">
        <v>1</v>
      </c>
      <c r="AU2137" t="s">
        <v>856</v>
      </c>
      <c r="AV2137" t="s">
        <v>857</v>
      </c>
      <c r="AW2137" t="s">
        <v>60</v>
      </c>
      <c r="AX2137" t="s">
        <v>68</v>
      </c>
      <c r="AY2137" t="s">
        <v>69</v>
      </c>
      <c r="AZ2137" t="b">
        <v>1</v>
      </c>
    </row>
    <row r="2138" spans="1:52" x14ac:dyDescent="0.3">
      <c r="A2138" t="s">
        <v>52</v>
      </c>
      <c r="B2138" t="s">
        <v>53</v>
      </c>
      <c r="C2138" t="s">
        <v>54</v>
      </c>
      <c r="D2138" t="s">
        <v>55</v>
      </c>
      <c r="E2138" t="s">
        <v>2149</v>
      </c>
      <c r="F2138" t="s">
        <v>190</v>
      </c>
      <c r="G2138" t="s">
        <v>1300</v>
      </c>
      <c r="H2138" t="s">
        <v>1372</v>
      </c>
      <c r="I2138" t="s">
        <v>1372</v>
      </c>
      <c r="J2138" t="s">
        <v>60</v>
      </c>
      <c r="K2138" t="s">
        <v>486</v>
      </c>
      <c r="L2138" t="s">
        <v>62</v>
      </c>
      <c r="M2138" t="s">
        <v>486</v>
      </c>
      <c r="N2138" t="s">
        <v>1303</v>
      </c>
      <c r="O2138" t="s">
        <v>1373</v>
      </c>
      <c r="P2138">
        <v>-20.170458</v>
      </c>
      <c r="Q2138">
        <v>-44.900936000000002</v>
      </c>
      <c r="R2138" s="2" t="str">
        <f>HYPERLINK("https://www.google.com/maps?q=-20.1704580,-44.9009360","Abrir no Google Maps")</f>
        <v>Abrir no Google Maps</v>
      </c>
      <c r="S2138">
        <v>3</v>
      </c>
      <c r="T2138">
        <v>470.55793133653339</v>
      </c>
      <c r="U2138">
        <v>3</v>
      </c>
      <c r="V2138">
        <v>0.50325972188055534</v>
      </c>
      <c r="W2138">
        <v>0.85</v>
      </c>
      <c r="X2138">
        <v>0.42777076359847199</v>
      </c>
      <c r="Y2138">
        <v>578</v>
      </c>
      <c r="Z2138">
        <v>645.48909402437766</v>
      </c>
      <c r="AA2138">
        <v>198</v>
      </c>
      <c r="AB2138">
        <v>332</v>
      </c>
      <c r="AC2138">
        <v>536</v>
      </c>
      <c r="AD2138">
        <v>26.61</v>
      </c>
      <c r="AE2138">
        <v>542</v>
      </c>
      <c r="AF2138">
        <v>13</v>
      </c>
      <c r="AG2138">
        <v>180</v>
      </c>
      <c r="AH2138">
        <v>129</v>
      </c>
      <c r="AI2138">
        <v>2.4</v>
      </c>
      <c r="AJ2138">
        <v>33.21</v>
      </c>
      <c r="AK2138">
        <v>23.8</v>
      </c>
      <c r="AL2138">
        <v>-20.17025029999996</v>
      </c>
      <c r="AM2138">
        <v>-44.901067235372473</v>
      </c>
      <c r="AN2138">
        <v>-20.17025029999996</v>
      </c>
      <c r="AO2138">
        <v>-44.901067235372473</v>
      </c>
      <c r="AP2138">
        <v>-20.170458</v>
      </c>
      <c r="AQ2138">
        <v>-44.900936000000002</v>
      </c>
      <c r="AR2138">
        <v>26.88195352459519</v>
      </c>
      <c r="AS2138" t="s">
        <v>65</v>
      </c>
      <c r="AT2138">
        <v>1</v>
      </c>
      <c r="AU2138" t="s">
        <v>1374</v>
      </c>
      <c r="AV2138" t="s">
        <v>1375</v>
      </c>
      <c r="AW2138" t="s">
        <v>60</v>
      </c>
      <c r="AX2138" t="s">
        <v>68</v>
      </c>
      <c r="AY2138" t="s">
        <v>69</v>
      </c>
      <c r="AZ2138" t="b">
        <v>1</v>
      </c>
    </row>
    <row r="2139" spans="1:52" x14ac:dyDescent="0.3">
      <c r="A2139" t="s">
        <v>52</v>
      </c>
      <c r="B2139" t="s">
        <v>53</v>
      </c>
      <c r="C2139" t="s">
        <v>54</v>
      </c>
      <c r="D2139" t="s">
        <v>55</v>
      </c>
      <c r="E2139" t="s">
        <v>2149</v>
      </c>
      <c r="F2139" t="s">
        <v>190</v>
      </c>
      <c r="G2139" t="s">
        <v>473</v>
      </c>
      <c r="H2139" t="s">
        <v>474</v>
      </c>
      <c r="I2139" t="s">
        <v>474</v>
      </c>
      <c r="J2139" t="s">
        <v>60</v>
      </c>
      <c r="K2139" t="s">
        <v>475</v>
      </c>
      <c r="L2139" t="s">
        <v>62</v>
      </c>
      <c r="M2139" t="s">
        <v>475</v>
      </c>
      <c r="N2139" t="s">
        <v>406</v>
      </c>
      <c r="O2139" t="s">
        <v>476</v>
      </c>
      <c r="P2139">
        <v>-20.177902</v>
      </c>
      <c r="Q2139">
        <v>-44.908504000000001</v>
      </c>
      <c r="R2139" s="2" t="str">
        <f>HYPERLINK("https://www.google.com/maps?q=-20.1779020,-44.9085040","Abrir no Google Maps")</f>
        <v>Abrir no Google Maps</v>
      </c>
      <c r="S2139">
        <v>3</v>
      </c>
      <c r="T2139">
        <v>656.92307673247149</v>
      </c>
      <c r="U2139">
        <v>3</v>
      </c>
      <c r="V2139">
        <v>0.43805576680732189</v>
      </c>
      <c r="W2139">
        <v>1</v>
      </c>
      <c r="X2139">
        <v>0.43805576680732189</v>
      </c>
      <c r="Y2139">
        <v>578</v>
      </c>
      <c r="Z2139">
        <v>635.01982153722327</v>
      </c>
      <c r="AA2139">
        <v>198</v>
      </c>
      <c r="AB2139">
        <v>332</v>
      </c>
      <c r="AC2139">
        <v>536</v>
      </c>
      <c r="AD2139">
        <v>26.61</v>
      </c>
      <c r="AE2139">
        <v>542</v>
      </c>
      <c r="AF2139">
        <v>13</v>
      </c>
      <c r="AG2139">
        <v>180</v>
      </c>
      <c r="AH2139">
        <v>129</v>
      </c>
      <c r="AI2139">
        <v>2.4</v>
      </c>
      <c r="AJ2139">
        <v>33.21</v>
      </c>
      <c r="AK2139">
        <v>23.8</v>
      </c>
      <c r="AL2139">
        <v>-20.177800399999938</v>
      </c>
      <c r="AM2139">
        <v>-44.908361879701268</v>
      </c>
      <c r="AN2139">
        <v>-20.177800399999938</v>
      </c>
      <c r="AO2139">
        <v>-44.908361879701268</v>
      </c>
      <c r="AP2139">
        <v>-20.177902</v>
      </c>
      <c r="AQ2139">
        <v>-44.908504000000001</v>
      </c>
      <c r="AR2139">
        <v>18.666463141775541</v>
      </c>
      <c r="AS2139" t="s">
        <v>65</v>
      </c>
      <c r="AT2139">
        <v>1</v>
      </c>
      <c r="AU2139" t="s">
        <v>477</v>
      </c>
      <c r="AV2139" t="s">
        <v>478</v>
      </c>
      <c r="AW2139" t="s">
        <v>60</v>
      </c>
      <c r="AX2139" t="s">
        <v>68</v>
      </c>
      <c r="AY2139" t="s">
        <v>69</v>
      </c>
      <c r="AZ2139" t="b">
        <v>1</v>
      </c>
    </row>
    <row r="2140" spans="1:52" x14ac:dyDescent="0.3">
      <c r="A2140" t="s">
        <v>52</v>
      </c>
      <c r="B2140" t="s">
        <v>53</v>
      </c>
      <c r="C2140" t="s">
        <v>54</v>
      </c>
      <c r="D2140" t="s">
        <v>55</v>
      </c>
      <c r="E2140" t="s">
        <v>2149</v>
      </c>
      <c r="F2140" t="s">
        <v>190</v>
      </c>
      <c r="G2140" t="s">
        <v>484</v>
      </c>
      <c r="H2140" t="s">
        <v>485</v>
      </c>
      <c r="I2140" t="s">
        <v>485</v>
      </c>
      <c r="J2140" t="s">
        <v>60</v>
      </c>
      <c r="K2140" t="s">
        <v>486</v>
      </c>
      <c r="L2140" t="s">
        <v>62</v>
      </c>
      <c r="M2140" t="s">
        <v>486</v>
      </c>
      <c r="N2140" t="s">
        <v>487</v>
      </c>
      <c r="O2140" t="s">
        <v>488</v>
      </c>
      <c r="P2140">
        <v>-20.173000999999999</v>
      </c>
      <c r="Q2140">
        <v>-44.901876999999999</v>
      </c>
      <c r="R2140" s="2" t="str">
        <f>HYPERLINK("https://www.google.com/maps?q=-20.1730010,-44.9018770","Abrir no Google Maps")</f>
        <v>Abrir no Google Maps</v>
      </c>
      <c r="S2140">
        <v>3</v>
      </c>
      <c r="T2140">
        <v>437.59695450783011</v>
      </c>
      <c r="U2140">
        <v>3</v>
      </c>
      <c r="V2140">
        <v>0.4578764251013287</v>
      </c>
      <c r="W2140">
        <v>1</v>
      </c>
      <c r="X2140">
        <v>0.4578764251013287</v>
      </c>
      <c r="Y2140">
        <v>578</v>
      </c>
      <c r="Z2140">
        <v>440.53629183653243</v>
      </c>
      <c r="AA2140">
        <v>198</v>
      </c>
      <c r="AB2140">
        <v>332</v>
      </c>
      <c r="AC2140">
        <v>536</v>
      </c>
      <c r="AD2140">
        <v>26.61</v>
      </c>
      <c r="AE2140">
        <v>542</v>
      </c>
      <c r="AF2140">
        <v>13</v>
      </c>
      <c r="AG2140">
        <v>180</v>
      </c>
      <c r="AH2140">
        <v>129</v>
      </c>
      <c r="AI2140">
        <v>2.4</v>
      </c>
      <c r="AJ2140">
        <v>33.21</v>
      </c>
      <c r="AK2140">
        <v>23.8</v>
      </c>
      <c r="AL2140">
        <v>-20.173065299999969</v>
      </c>
      <c r="AM2140">
        <v>-44.902052686008687</v>
      </c>
      <c r="AN2140">
        <v>-20.173065299999969</v>
      </c>
      <c r="AO2140">
        <v>-44.902052686008687</v>
      </c>
      <c r="AP2140">
        <v>-20.173000999999999</v>
      </c>
      <c r="AQ2140">
        <v>-44.901876999999999</v>
      </c>
      <c r="AR2140">
        <v>19.703745070768829</v>
      </c>
      <c r="AS2140" t="s">
        <v>65</v>
      </c>
      <c r="AT2140">
        <v>1</v>
      </c>
      <c r="AU2140" t="s">
        <v>489</v>
      </c>
      <c r="AV2140" t="s">
        <v>490</v>
      </c>
      <c r="AW2140" t="s">
        <v>60</v>
      </c>
      <c r="AX2140" t="s">
        <v>68</v>
      </c>
      <c r="AY2140" t="s">
        <v>69</v>
      </c>
      <c r="AZ2140" t="b">
        <v>1</v>
      </c>
    </row>
    <row r="2141" spans="1:52" x14ac:dyDescent="0.3">
      <c r="A2141" t="s">
        <v>52</v>
      </c>
      <c r="B2141" t="s">
        <v>53</v>
      </c>
      <c r="C2141" t="s">
        <v>54</v>
      </c>
      <c r="D2141" t="s">
        <v>55</v>
      </c>
      <c r="E2141" t="s">
        <v>2149</v>
      </c>
      <c r="F2141" t="s">
        <v>190</v>
      </c>
      <c r="G2141" t="s">
        <v>491</v>
      </c>
      <c r="H2141" t="s">
        <v>492</v>
      </c>
      <c r="I2141" t="s">
        <v>492</v>
      </c>
      <c r="J2141" t="s">
        <v>60</v>
      </c>
      <c r="K2141" t="s">
        <v>475</v>
      </c>
      <c r="L2141" t="s">
        <v>62</v>
      </c>
      <c r="M2141" t="s">
        <v>475</v>
      </c>
      <c r="N2141" t="s">
        <v>493</v>
      </c>
      <c r="O2141" t="s">
        <v>494</v>
      </c>
      <c r="P2141">
        <v>-20.175250999999999</v>
      </c>
      <c r="Q2141">
        <v>-44.897357</v>
      </c>
      <c r="R2141" s="2" t="str">
        <f>HYPERLINK("https://www.google.com/maps?q=-20.1752510,-44.8973570","Abrir no Google Maps")</f>
        <v>Abrir no Google Maps</v>
      </c>
      <c r="S2141">
        <v>3</v>
      </c>
      <c r="T2141">
        <v>992.29631678149951</v>
      </c>
      <c r="U2141">
        <v>3</v>
      </c>
      <c r="V2141">
        <v>0.44940336316071439</v>
      </c>
      <c r="W2141">
        <v>1</v>
      </c>
      <c r="X2141">
        <v>0.44940336316071439</v>
      </c>
      <c r="Y2141">
        <v>578</v>
      </c>
      <c r="Z2141">
        <v>1008.5871064168319</v>
      </c>
      <c r="AA2141">
        <v>198</v>
      </c>
      <c r="AB2141">
        <v>332</v>
      </c>
      <c r="AC2141">
        <v>536</v>
      </c>
      <c r="AD2141">
        <v>26.61</v>
      </c>
      <c r="AE2141">
        <v>542</v>
      </c>
      <c r="AF2141">
        <v>13</v>
      </c>
      <c r="AG2141">
        <v>180</v>
      </c>
      <c r="AH2141">
        <v>129</v>
      </c>
      <c r="AI2141">
        <v>2.4</v>
      </c>
      <c r="AJ2141">
        <v>33.21</v>
      </c>
      <c r="AK2141">
        <v>23.8</v>
      </c>
      <c r="AL2141">
        <v>-20.175290599999951</v>
      </c>
      <c r="AM2141">
        <v>-44.897271931010721</v>
      </c>
      <c r="AN2141">
        <v>-20.175290599999951</v>
      </c>
      <c r="AO2141">
        <v>-44.897271931010721</v>
      </c>
      <c r="AP2141">
        <v>-20.175250999999999</v>
      </c>
      <c r="AQ2141">
        <v>-44.897357</v>
      </c>
      <c r="AR2141">
        <v>9.921899108467926</v>
      </c>
      <c r="AS2141" t="s">
        <v>65</v>
      </c>
      <c r="AT2141">
        <v>1</v>
      </c>
      <c r="AU2141" t="s">
        <v>495</v>
      </c>
      <c r="AV2141" t="s">
        <v>496</v>
      </c>
      <c r="AW2141" t="s">
        <v>60</v>
      </c>
      <c r="AX2141" t="s">
        <v>68</v>
      </c>
      <c r="AY2141" t="s">
        <v>69</v>
      </c>
      <c r="AZ2141" t="b">
        <v>1</v>
      </c>
    </row>
    <row r="2142" spans="1:52" x14ac:dyDescent="0.3">
      <c r="A2142" t="s">
        <v>52</v>
      </c>
      <c r="B2142" t="s">
        <v>53</v>
      </c>
      <c r="C2142" t="s">
        <v>54</v>
      </c>
      <c r="D2142" t="s">
        <v>55</v>
      </c>
      <c r="E2142" t="s">
        <v>2149</v>
      </c>
      <c r="F2142" t="s">
        <v>190</v>
      </c>
      <c r="G2142" t="s">
        <v>497</v>
      </c>
      <c r="H2142" t="s">
        <v>875</v>
      </c>
      <c r="I2142" t="s">
        <v>875</v>
      </c>
      <c r="J2142" t="s">
        <v>60</v>
      </c>
      <c r="K2142" t="s">
        <v>475</v>
      </c>
      <c r="L2142" t="s">
        <v>62</v>
      </c>
      <c r="M2142" t="s">
        <v>475</v>
      </c>
      <c r="N2142" t="s">
        <v>499</v>
      </c>
      <c r="O2142" t="s">
        <v>876</v>
      </c>
      <c r="P2142">
        <v>-20.177212999999998</v>
      </c>
      <c r="Q2142">
        <v>-44.904026999999999</v>
      </c>
      <c r="R2142" s="2" t="str">
        <f>HYPERLINK("https://www.google.com/maps?q=-20.1772130,-44.9040270","Abrir no Google Maps")</f>
        <v>Abrir no Google Maps</v>
      </c>
      <c r="S2142">
        <v>3</v>
      </c>
      <c r="T2142">
        <v>706.4159561113795</v>
      </c>
      <c r="U2142">
        <v>3</v>
      </c>
      <c r="V2142">
        <v>0.44150116898113317</v>
      </c>
      <c r="W2142">
        <v>1</v>
      </c>
      <c r="X2142">
        <v>0.44150116898113317</v>
      </c>
      <c r="Y2142">
        <v>578</v>
      </c>
      <c r="Z2142">
        <v>588.7160518608398</v>
      </c>
      <c r="AA2142">
        <v>198</v>
      </c>
      <c r="AB2142">
        <v>332</v>
      </c>
      <c r="AC2142">
        <v>536</v>
      </c>
      <c r="AD2142">
        <v>26.61</v>
      </c>
      <c r="AE2142">
        <v>542</v>
      </c>
      <c r="AF2142">
        <v>13</v>
      </c>
      <c r="AG2142">
        <v>180</v>
      </c>
      <c r="AH2142">
        <v>129</v>
      </c>
      <c r="AI2142">
        <v>2.4</v>
      </c>
      <c r="AJ2142">
        <v>33.21</v>
      </c>
      <c r="AK2142">
        <v>23.8</v>
      </c>
      <c r="AL2142">
        <v>-20.177090199999949</v>
      </c>
      <c r="AM2142">
        <v>-44.904078820930181</v>
      </c>
      <c r="AN2142">
        <v>-20.177090199999949</v>
      </c>
      <c r="AO2142">
        <v>-44.904078820930181</v>
      </c>
      <c r="AP2142">
        <v>-20.177212999999998</v>
      </c>
      <c r="AQ2142">
        <v>-44.904026999999999</v>
      </c>
      <c r="AR2142">
        <v>14.7034129632295</v>
      </c>
      <c r="AS2142" t="s">
        <v>65</v>
      </c>
      <c r="AT2142">
        <v>1</v>
      </c>
      <c r="AU2142" t="s">
        <v>877</v>
      </c>
      <c r="AV2142" t="s">
        <v>878</v>
      </c>
      <c r="AW2142" t="s">
        <v>60</v>
      </c>
      <c r="AX2142" t="s">
        <v>68</v>
      </c>
      <c r="AY2142" t="s">
        <v>69</v>
      </c>
      <c r="AZ2142" t="b">
        <v>1</v>
      </c>
    </row>
    <row r="2143" spans="1:52" x14ac:dyDescent="0.3">
      <c r="A2143" t="s">
        <v>52</v>
      </c>
      <c r="B2143" t="s">
        <v>53</v>
      </c>
      <c r="C2143" t="s">
        <v>54</v>
      </c>
      <c r="D2143" t="s">
        <v>55</v>
      </c>
      <c r="E2143" t="s">
        <v>2149</v>
      </c>
      <c r="F2143" t="s">
        <v>190</v>
      </c>
      <c r="G2143" t="s">
        <v>815</v>
      </c>
      <c r="H2143" t="s">
        <v>1404</v>
      </c>
      <c r="I2143" t="s">
        <v>1404</v>
      </c>
      <c r="J2143" t="s">
        <v>60</v>
      </c>
      <c r="K2143" t="s">
        <v>512</v>
      </c>
      <c r="L2143" t="s">
        <v>62</v>
      </c>
      <c r="M2143" t="s">
        <v>512</v>
      </c>
      <c r="N2143" t="s">
        <v>817</v>
      </c>
      <c r="O2143" t="s">
        <v>1405</v>
      </c>
      <c r="P2143">
        <v>-20.129069999999999</v>
      </c>
      <c r="Q2143">
        <v>-44.888452000000001</v>
      </c>
      <c r="R2143" s="2" t="str">
        <f>HYPERLINK("https://www.google.com/maps?q=-20.1290700,-44.8884520","Abrir no Google Maps")</f>
        <v>Abrir no Google Maps</v>
      </c>
      <c r="S2143">
        <v>3</v>
      </c>
      <c r="T2143">
        <v>0</v>
      </c>
      <c r="U2143">
        <v>3</v>
      </c>
      <c r="V2143">
        <v>0.49457597253484298</v>
      </c>
      <c r="W2143">
        <v>0.85</v>
      </c>
      <c r="X2143">
        <v>0.42038957665461651</v>
      </c>
      <c r="Y2143">
        <v>564</v>
      </c>
      <c r="Z2143">
        <v>95.870354837220688</v>
      </c>
      <c r="AA2143">
        <v>198</v>
      </c>
      <c r="AB2143">
        <v>332</v>
      </c>
      <c r="AC2143">
        <v>536</v>
      </c>
      <c r="AD2143">
        <v>26.61</v>
      </c>
      <c r="AE2143">
        <v>542</v>
      </c>
      <c r="AF2143">
        <v>13</v>
      </c>
      <c r="AG2143">
        <v>180</v>
      </c>
      <c r="AH2143">
        <v>129</v>
      </c>
      <c r="AI2143">
        <v>2.4</v>
      </c>
      <c r="AJ2143">
        <v>33.21</v>
      </c>
      <c r="AK2143">
        <v>23.8</v>
      </c>
      <c r="AL2143">
        <v>-20.12899334999997</v>
      </c>
      <c r="AM2143">
        <v>-44.888406102471222</v>
      </c>
      <c r="AN2143">
        <v>-20.12899334999997</v>
      </c>
      <c r="AO2143">
        <v>-44.888406102471222</v>
      </c>
      <c r="AP2143">
        <v>-20.129069999999999</v>
      </c>
      <c r="AQ2143">
        <v>-44.888452000000001</v>
      </c>
      <c r="AR2143">
        <v>9.7887731150376265</v>
      </c>
      <c r="AS2143" t="s">
        <v>65</v>
      </c>
      <c r="AT2143">
        <v>1</v>
      </c>
      <c r="AU2143" t="s">
        <v>1406</v>
      </c>
      <c r="AV2143" t="s">
        <v>1407</v>
      </c>
      <c r="AW2143" t="s">
        <v>60</v>
      </c>
      <c r="AX2143" t="s">
        <v>68</v>
      </c>
      <c r="AY2143" t="s">
        <v>69</v>
      </c>
      <c r="AZ2143" t="b">
        <v>1</v>
      </c>
    </row>
    <row r="2144" spans="1:52" x14ac:dyDescent="0.3">
      <c r="A2144" t="s">
        <v>52</v>
      </c>
      <c r="B2144" t="s">
        <v>53</v>
      </c>
      <c r="C2144" t="s">
        <v>54</v>
      </c>
      <c r="D2144" t="s">
        <v>55</v>
      </c>
      <c r="E2144" t="s">
        <v>2149</v>
      </c>
      <c r="F2144" t="s">
        <v>190</v>
      </c>
      <c r="G2144" t="s">
        <v>649</v>
      </c>
      <c r="H2144" t="s">
        <v>885</v>
      </c>
      <c r="I2144" t="s">
        <v>885</v>
      </c>
      <c r="J2144" t="s">
        <v>60</v>
      </c>
      <c r="K2144" t="s">
        <v>886</v>
      </c>
      <c r="L2144" t="s">
        <v>62</v>
      </c>
      <c r="M2144" t="s">
        <v>886</v>
      </c>
      <c r="N2144" t="s">
        <v>652</v>
      </c>
      <c r="O2144" t="s">
        <v>887</v>
      </c>
      <c r="P2144">
        <v>-20.132252000000001</v>
      </c>
      <c r="Q2144">
        <v>-44.894159000000002</v>
      </c>
      <c r="R2144" s="2" t="str">
        <f>HYPERLINK("https://www.google.com/maps?q=-20.1322520,-44.8941590","Abrir no Google Maps")</f>
        <v>Abrir no Google Maps</v>
      </c>
      <c r="S2144">
        <v>3</v>
      </c>
      <c r="T2144">
        <v>699.5004749448899</v>
      </c>
      <c r="U2144">
        <v>3</v>
      </c>
      <c r="V2144">
        <v>0.53209590955284569</v>
      </c>
      <c r="W2144">
        <v>0.85</v>
      </c>
      <c r="X2144">
        <v>0.45228152311991882</v>
      </c>
      <c r="Y2144">
        <v>564</v>
      </c>
      <c r="Z2144">
        <v>522.21103586457991</v>
      </c>
      <c r="AA2144">
        <v>198</v>
      </c>
      <c r="AB2144">
        <v>332</v>
      </c>
      <c r="AC2144">
        <v>536</v>
      </c>
      <c r="AD2144">
        <v>26.61</v>
      </c>
      <c r="AE2144">
        <v>542</v>
      </c>
      <c r="AF2144">
        <v>13</v>
      </c>
      <c r="AG2144">
        <v>180</v>
      </c>
      <c r="AH2144">
        <v>129</v>
      </c>
      <c r="AI2144">
        <v>2.4</v>
      </c>
      <c r="AJ2144">
        <v>33.21</v>
      </c>
      <c r="AK2144">
        <v>23.8</v>
      </c>
      <c r="AL2144">
        <v>-20.132285999999969</v>
      </c>
      <c r="AM2144">
        <v>-44.894119001288672</v>
      </c>
      <c r="AN2144">
        <v>-20.132285999999969</v>
      </c>
      <c r="AO2144">
        <v>-44.894119001288672</v>
      </c>
      <c r="AP2144">
        <v>-20.132252000000001</v>
      </c>
      <c r="AQ2144">
        <v>-44.894159000000002</v>
      </c>
      <c r="AR2144">
        <v>5.6393921063261629</v>
      </c>
      <c r="AS2144" t="s">
        <v>65</v>
      </c>
      <c r="AT2144">
        <v>1</v>
      </c>
      <c r="AU2144" t="s">
        <v>888</v>
      </c>
      <c r="AV2144" t="s">
        <v>889</v>
      </c>
      <c r="AW2144" t="s">
        <v>60</v>
      </c>
      <c r="AX2144" t="s">
        <v>68</v>
      </c>
      <c r="AY2144" t="s">
        <v>69</v>
      </c>
      <c r="AZ2144" t="b">
        <v>1</v>
      </c>
    </row>
    <row r="2145" spans="1:52" x14ac:dyDescent="0.3">
      <c r="A2145" t="s">
        <v>52</v>
      </c>
      <c r="B2145" t="s">
        <v>53</v>
      </c>
      <c r="C2145" t="s">
        <v>54</v>
      </c>
      <c r="D2145" t="s">
        <v>55</v>
      </c>
      <c r="E2145" t="s">
        <v>2149</v>
      </c>
      <c r="F2145" t="s">
        <v>190</v>
      </c>
      <c r="G2145" t="s">
        <v>890</v>
      </c>
      <c r="H2145" t="s">
        <v>891</v>
      </c>
      <c r="I2145" t="s">
        <v>891</v>
      </c>
      <c r="J2145" t="s">
        <v>60</v>
      </c>
      <c r="K2145" t="s">
        <v>892</v>
      </c>
      <c r="L2145" t="s">
        <v>62</v>
      </c>
      <c r="M2145" t="s">
        <v>892</v>
      </c>
      <c r="N2145" t="s">
        <v>893</v>
      </c>
      <c r="O2145" t="s">
        <v>894</v>
      </c>
      <c r="P2145">
        <v>-20.152519000000002</v>
      </c>
      <c r="Q2145">
        <v>-44.899177000000002</v>
      </c>
      <c r="R2145" s="2" t="str">
        <f>HYPERLINK("https://www.google.com/maps?q=-20.1525190,-44.8991770","Abrir no Google Maps")</f>
        <v>Abrir no Google Maps</v>
      </c>
      <c r="S2145">
        <v>3</v>
      </c>
      <c r="T2145">
        <v>211.80188552994721</v>
      </c>
      <c r="U2145">
        <v>3</v>
      </c>
      <c r="V2145">
        <v>0.43389857253071851</v>
      </c>
      <c r="W2145">
        <v>1</v>
      </c>
      <c r="X2145">
        <v>0.43389857253071851</v>
      </c>
      <c r="Y2145">
        <v>556</v>
      </c>
      <c r="Z2145">
        <v>290.34804137107091</v>
      </c>
      <c r="AA2145">
        <v>198</v>
      </c>
      <c r="AB2145">
        <v>332</v>
      </c>
      <c r="AC2145">
        <v>536</v>
      </c>
      <c r="AD2145">
        <v>26.61</v>
      </c>
      <c r="AE2145">
        <v>542</v>
      </c>
      <c r="AF2145">
        <v>13</v>
      </c>
      <c r="AG2145">
        <v>180</v>
      </c>
      <c r="AH2145">
        <v>129</v>
      </c>
      <c r="AI2145">
        <v>2.4</v>
      </c>
      <c r="AJ2145">
        <v>33.21</v>
      </c>
      <c r="AK2145">
        <v>23.8</v>
      </c>
      <c r="AL2145">
        <v>-20.152516249999959</v>
      </c>
      <c r="AM2145">
        <v>-44.899310431333959</v>
      </c>
      <c r="AN2145">
        <v>-20.152516249999959</v>
      </c>
      <c r="AO2145">
        <v>-44.899310431333959</v>
      </c>
      <c r="AP2145">
        <v>-20.152519000000002</v>
      </c>
      <c r="AQ2145">
        <v>-44.899177000000002</v>
      </c>
      <c r="AR2145">
        <v>13.947583284957719</v>
      </c>
      <c r="AS2145" t="s">
        <v>65</v>
      </c>
      <c r="AT2145">
        <v>1</v>
      </c>
      <c r="AU2145" t="s">
        <v>895</v>
      </c>
      <c r="AV2145" t="s">
        <v>896</v>
      </c>
      <c r="AW2145" t="s">
        <v>60</v>
      </c>
      <c r="AX2145" t="s">
        <v>68</v>
      </c>
      <c r="AY2145" t="s">
        <v>69</v>
      </c>
      <c r="AZ2145" t="b">
        <v>1</v>
      </c>
    </row>
    <row r="2146" spans="1:52" x14ac:dyDescent="0.3">
      <c r="A2146" t="s">
        <v>52</v>
      </c>
      <c r="B2146" t="s">
        <v>53</v>
      </c>
      <c r="C2146" t="s">
        <v>54</v>
      </c>
      <c r="D2146" t="s">
        <v>55</v>
      </c>
      <c r="E2146" t="s">
        <v>2149</v>
      </c>
      <c r="F2146" t="s">
        <v>190</v>
      </c>
      <c r="G2146" t="s">
        <v>897</v>
      </c>
      <c r="H2146" t="s">
        <v>898</v>
      </c>
      <c r="I2146" t="s">
        <v>898</v>
      </c>
      <c r="J2146" t="s">
        <v>60</v>
      </c>
      <c r="K2146" t="s">
        <v>892</v>
      </c>
      <c r="L2146" t="s">
        <v>62</v>
      </c>
      <c r="M2146" t="s">
        <v>892</v>
      </c>
      <c r="N2146" t="s">
        <v>899</v>
      </c>
      <c r="O2146" t="s">
        <v>900</v>
      </c>
      <c r="P2146">
        <v>-20.154885</v>
      </c>
      <c r="Q2146">
        <v>-44.899890999999997</v>
      </c>
      <c r="R2146" s="2" t="str">
        <f>HYPERLINK("https://www.google.com/maps?q=-20.1548850,-44.8998910","Abrir no Google Maps")</f>
        <v>Abrir no Google Maps</v>
      </c>
      <c r="S2146">
        <v>3</v>
      </c>
      <c r="T2146">
        <v>314.66339661014308</v>
      </c>
      <c r="U2146">
        <v>3</v>
      </c>
      <c r="V2146">
        <v>0.44456467150821621</v>
      </c>
      <c r="W2146">
        <v>1</v>
      </c>
      <c r="X2146">
        <v>0.44456467150821621</v>
      </c>
      <c r="Y2146">
        <v>548</v>
      </c>
      <c r="Z2146">
        <v>319.02252584834253</v>
      </c>
      <c r="AA2146">
        <v>198</v>
      </c>
      <c r="AB2146">
        <v>332</v>
      </c>
      <c r="AC2146">
        <v>536</v>
      </c>
      <c r="AD2146">
        <v>26.61</v>
      </c>
      <c r="AE2146">
        <v>542</v>
      </c>
      <c r="AF2146">
        <v>13</v>
      </c>
      <c r="AG2146">
        <v>180</v>
      </c>
      <c r="AH2146">
        <v>129</v>
      </c>
      <c r="AI2146">
        <v>2.4</v>
      </c>
      <c r="AJ2146">
        <v>33.21</v>
      </c>
      <c r="AK2146">
        <v>23.8</v>
      </c>
      <c r="AL2146">
        <v>-20.154906649999951</v>
      </c>
      <c r="AM2146">
        <v>-44.899894072543653</v>
      </c>
      <c r="AN2146">
        <v>-20.154906649999951</v>
      </c>
      <c r="AO2146">
        <v>-44.899894072543653</v>
      </c>
      <c r="AP2146">
        <v>-20.154885</v>
      </c>
      <c r="AQ2146">
        <v>-44.899890999999997</v>
      </c>
      <c r="AR2146">
        <v>2.431373123904943</v>
      </c>
      <c r="AS2146" t="s">
        <v>65</v>
      </c>
      <c r="AT2146">
        <v>1</v>
      </c>
      <c r="AU2146" t="s">
        <v>901</v>
      </c>
      <c r="AV2146" t="s">
        <v>902</v>
      </c>
      <c r="AW2146" t="s">
        <v>60</v>
      </c>
      <c r="AX2146" t="s">
        <v>68</v>
      </c>
      <c r="AY2146" t="s">
        <v>69</v>
      </c>
      <c r="AZ2146" t="b">
        <v>1</v>
      </c>
    </row>
    <row r="2147" spans="1:52" x14ac:dyDescent="0.3">
      <c r="A2147" t="s">
        <v>52</v>
      </c>
      <c r="B2147" t="s">
        <v>53</v>
      </c>
      <c r="C2147" t="s">
        <v>54</v>
      </c>
      <c r="D2147" t="s">
        <v>55</v>
      </c>
      <c r="E2147" t="s">
        <v>2149</v>
      </c>
      <c r="F2147" t="s">
        <v>190</v>
      </c>
      <c r="G2147" t="s">
        <v>903</v>
      </c>
      <c r="H2147" t="s">
        <v>904</v>
      </c>
      <c r="I2147" t="s">
        <v>904</v>
      </c>
      <c r="J2147" t="s">
        <v>60</v>
      </c>
      <c r="K2147" t="s">
        <v>905</v>
      </c>
      <c r="L2147" t="s">
        <v>62</v>
      </c>
      <c r="M2147" t="s">
        <v>905</v>
      </c>
      <c r="N2147" t="s">
        <v>906</v>
      </c>
      <c r="O2147" t="s">
        <v>907</v>
      </c>
      <c r="P2147">
        <v>-20.112969</v>
      </c>
      <c r="Q2147">
        <v>-44.891264</v>
      </c>
      <c r="R2147" s="2" t="str">
        <f>HYPERLINK("https://www.google.com/maps?q=-20.1129690,-44.8912640","Abrir no Google Maps")</f>
        <v>Abrir no Google Maps</v>
      </c>
      <c r="S2147">
        <v>3</v>
      </c>
      <c r="T2147">
        <v>760.33197426397032</v>
      </c>
      <c r="U2147">
        <v>3</v>
      </c>
      <c r="V2147">
        <v>0.42002718485618917</v>
      </c>
      <c r="W2147">
        <v>1</v>
      </c>
      <c r="X2147">
        <v>0.42002718485618917</v>
      </c>
      <c r="Y2147">
        <v>536</v>
      </c>
      <c r="Z2147">
        <v>755.3791742519096</v>
      </c>
      <c r="AA2147">
        <v>198</v>
      </c>
      <c r="AB2147">
        <v>332</v>
      </c>
      <c r="AC2147">
        <v>536</v>
      </c>
      <c r="AD2147">
        <v>26.61</v>
      </c>
      <c r="AE2147">
        <v>542</v>
      </c>
      <c r="AF2147">
        <v>13</v>
      </c>
      <c r="AG2147">
        <v>180</v>
      </c>
      <c r="AH2147">
        <v>129</v>
      </c>
      <c r="AI2147">
        <v>2.4</v>
      </c>
      <c r="AJ2147">
        <v>33.21</v>
      </c>
      <c r="AK2147">
        <v>23.8</v>
      </c>
      <c r="AL2147">
        <v>-20.11260604999995</v>
      </c>
      <c r="AM2147">
        <v>-44.891480970454502</v>
      </c>
      <c r="AN2147">
        <v>-20.11260604999995</v>
      </c>
      <c r="AO2147">
        <v>-44.891480970454502</v>
      </c>
      <c r="AP2147">
        <v>-20.112969</v>
      </c>
      <c r="AQ2147">
        <v>-44.891264</v>
      </c>
      <c r="AR2147">
        <v>46.334053708506183</v>
      </c>
      <c r="AS2147" t="s">
        <v>65</v>
      </c>
      <c r="AT2147">
        <v>1</v>
      </c>
      <c r="AU2147" t="s">
        <v>908</v>
      </c>
      <c r="AV2147" t="s">
        <v>909</v>
      </c>
      <c r="AW2147" t="s">
        <v>60</v>
      </c>
      <c r="AX2147" t="s">
        <v>68</v>
      </c>
      <c r="AY2147" t="s">
        <v>69</v>
      </c>
      <c r="AZ2147" t="b">
        <v>1</v>
      </c>
    </row>
    <row r="2148" spans="1:52" x14ac:dyDescent="0.3">
      <c r="A2148" t="s">
        <v>52</v>
      </c>
      <c r="B2148" t="s">
        <v>53</v>
      </c>
      <c r="C2148" t="s">
        <v>54</v>
      </c>
      <c r="D2148" t="s">
        <v>55</v>
      </c>
      <c r="E2148" t="s">
        <v>2149</v>
      </c>
      <c r="F2148" t="s">
        <v>190</v>
      </c>
      <c r="G2148" t="s">
        <v>910</v>
      </c>
      <c r="H2148" t="s">
        <v>911</v>
      </c>
      <c r="I2148" t="s">
        <v>911</v>
      </c>
      <c r="J2148" t="s">
        <v>60</v>
      </c>
      <c r="K2148" t="s">
        <v>207</v>
      </c>
      <c r="L2148" t="s">
        <v>62</v>
      </c>
      <c r="M2148" t="s">
        <v>207</v>
      </c>
      <c r="N2148" t="s">
        <v>912</v>
      </c>
      <c r="O2148" t="s">
        <v>548</v>
      </c>
      <c r="P2148">
        <v>-20.116987000000002</v>
      </c>
      <c r="Q2148">
        <v>-44.885240000000003</v>
      </c>
      <c r="R2148" s="2" t="str">
        <f>HYPERLINK("https://www.google.com/maps?q=-20.1169870,-44.8852400","Abrir no Google Maps")</f>
        <v>Abrir no Google Maps</v>
      </c>
      <c r="S2148">
        <v>3</v>
      </c>
      <c r="T2148">
        <v>283.94804862214067</v>
      </c>
      <c r="U2148">
        <v>3</v>
      </c>
      <c r="V2148">
        <v>0.45537717864923749</v>
      </c>
      <c r="W2148">
        <v>1</v>
      </c>
      <c r="X2148">
        <v>0.45537717864923749</v>
      </c>
      <c r="Y2148">
        <v>536</v>
      </c>
      <c r="Z2148">
        <v>297.39410031170689</v>
      </c>
      <c r="AA2148">
        <v>198</v>
      </c>
      <c r="AB2148">
        <v>332</v>
      </c>
      <c r="AC2148">
        <v>536</v>
      </c>
      <c r="AD2148">
        <v>26.61</v>
      </c>
      <c r="AE2148">
        <v>542</v>
      </c>
      <c r="AF2148">
        <v>13</v>
      </c>
      <c r="AG2148">
        <v>180</v>
      </c>
      <c r="AH2148">
        <v>129</v>
      </c>
      <c r="AI2148">
        <v>2.4</v>
      </c>
      <c r="AJ2148">
        <v>33.21</v>
      </c>
      <c r="AK2148">
        <v>23.8</v>
      </c>
      <c r="AL2148">
        <v>-20.116999599999961</v>
      </c>
      <c r="AM2148">
        <v>-44.885197873315192</v>
      </c>
      <c r="AN2148">
        <v>-20.116999599999961</v>
      </c>
      <c r="AO2148">
        <v>-44.885197873315192</v>
      </c>
      <c r="AP2148">
        <v>-20.116987000000002</v>
      </c>
      <c r="AQ2148">
        <v>-44.885240000000003</v>
      </c>
      <c r="AR2148">
        <v>4.6214387870334246</v>
      </c>
      <c r="AS2148" t="s">
        <v>65</v>
      </c>
      <c r="AT2148">
        <v>1</v>
      </c>
      <c r="AU2148" t="s">
        <v>913</v>
      </c>
      <c r="AV2148" t="s">
        <v>914</v>
      </c>
      <c r="AW2148" t="s">
        <v>60</v>
      </c>
      <c r="AX2148" t="s">
        <v>68</v>
      </c>
      <c r="AY2148" t="s">
        <v>69</v>
      </c>
      <c r="AZ2148" t="b">
        <v>1</v>
      </c>
    </row>
    <row r="2149" spans="1:52" x14ac:dyDescent="0.3">
      <c r="A2149" t="s">
        <v>52</v>
      </c>
      <c r="B2149" t="s">
        <v>53</v>
      </c>
      <c r="C2149" t="s">
        <v>54</v>
      </c>
      <c r="D2149" t="s">
        <v>55</v>
      </c>
      <c r="E2149" t="s">
        <v>2149</v>
      </c>
      <c r="F2149" t="s">
        <v>190</v>
      </c>
      <c r="G2149" t="s">
        <v>2150</v>
      </c>
      <c r="H2149" t="s">
        <v>2151</v>
      </c>
      <c r="I2149" t="s">
        <v>2151</v>
      </c>
      <c r="J2149" t="s">
        <v>60</v>
      </c>
      <c r="K2149" t="s">
        <v>207</v>
      </c>
      <c r="L2149" t="s">
        <v>62</v>
      </c>
      <c r="M2149" t="s">
        <v>207</v>
      </c>
      <c r="N2149" t="s">
        <v>2152</v>
      </c>
      <c r="O2149" t="s">
        <v>325</v>
      </c>
      <c r="P2149">
        <v>-20.123899999999999</v>
      </c>
      <c r="Q2149">
        <v>-44.883932999999999</v>
      </c>
      <c r="R2149" s="2" t="str">
        <f>HYPERLINK("https://www.google.com/maps?q=-20.1239000,-44.8839330","Abrir no Google Maps")</f>
        <v>Abrir no Google Maps</v>
      </c>
      <c r="S2149">
        <v>3</v>
      </c>
      <c r="T2149">
        <v>716.43785561804941</v>
      </c>
      <c r="U2149">
        <v>3</v>
      </c>
      <c r="V2149">
        <v>0.51216866530696836</v>
      </c>
      <c r="W2149">
        <v>0.85</v>
      </c>
      <c r="X2149">
        <v>0.43534336551092312</v>
      </c>
      <c r="Y2149">
        <v>536</v>
      </c>
      <c r="Z2149">
        <v>680.78895299280759</v>
      </c>
      <c r="AA2149">
        <v>198</v>
      </c>
      <c r="AB2149">
        <v>332</v>
      </c>
      <c r="AC2149">
        <v>536</v>
      </c>
      <c r="AD2149">
        <v>26.61</v>
      </c>
      <c r="AE2149">
        <v>542</v>
      </c>
      <c r="AF2149">
        <v>13</v>
      </c>
      <c r="AG2149">
        <v>180</v>
      </c>
      <c r="AH2149">
        <v>129</v>
      </c>
      <c r="AI2149">
        <v>2.4</v>
      </c>
      <c r="AJ2149">
        <v>33.21</v>
      </c>
      <c r="AK2149">
        <v>23.8</v>
      </c>
      <c r="AL2149">
        <v>-20.12393434999996</v>
      </c>
      <c r="AM2149">
        <v>-44.884020194978177</v>
      </c>
      <c r="AN2149">
        <v>-20.12393434999996</v>
      </c>
      <c r="AO2149">
        <v>-44.884020194978177</v>
      </c>
      <c r="AP2149">
        <v>-20.123899999999999</v>
      </c>
      <c r="AQ2149">
        <v>-44.883932999999999</v>
      </c>
      <c r="AR2149">
        <v>9.8836304106829154</v>
      </c>
      <c r="AS2149" t="s">
        <v>65</v>
      </c>
      <c r="AT2149">
        <v>1</v>
      </c>
      <c r="AU2149" t="s">
        <v>2153</v>
      </c>
      <c r="AV2149" t="s">
        <v>2154</v>
      </c>
      <c r="AW2149" t="s">
        <v>60</v>
      </c>
      <c r="AX2149" t="s">
        <v>68</v>
      </c>
      <c r="AY2149" t="s">
        <v>69</v>
      </c>
      <c r="AZ2149" t="b">
        <v>1</v>
      </c>
    </row>
    <row r="2150" spans="1:52" x14ac:dyDescent="0.3">
      <c r="A2150" t="s">
        <v>52</v>
      </c>
      <c r="B2150" t="s">
        <v>53</v>
      </c>
      <c r="C2150" t="s">
        <v>54</v>
      </c>
      <c r="D2150" t="s">
        <v>55</v>
      </c>
      <c r="E2150" t="s">
        <v>2149</v>
      </c>
      <c r="F2150" t="s">
        <v>190</v>
      </c>
      <c r="G2150" t="s">
        <v>232</v>
      </c>
      <c r="H2150" t="s">
        <v>925</v>
      </c>
      <c r="I2150" t="s">
        <v>925</v>
      </c>
      <c r="J2150" t="s">
        <v>60</v>
      </c>
      <c r="K2150" t="s">
        <v>702</v>
      </c>
      <c r="L2150" t="s">
        <v>62</v>
      </c>
      <c r="M2150" t="s">
        <v>702</v>
      </c>
      <c r="N2150" t="s">
        <v>234</v>
      </c>
      <c r="O2150" t="s">
        <v>926</v>
      </c>
      <c r="P2150">
        <v>-20.165887999999999</v>
      </c>
      <c r="Q2150">
        <v>-44.865220000000001</v>
      </c>
      <c r="R2150" s="2" t="str">
        <f>HYPERLINK("https://www.google.com/maps?q=-20.1658880,-44.8652200","Abrir no Google Maps")</f>
        <v>Abrir no Google Maps</v>
      </c>
      <c r="S2150">
        <v>3</v>
      </c>
      <c r="T2150">
        <v>711.71706763776342</v>
      </c>
      <c r="U2150">
        <v>3</v>
      </c>
      <c r="V2150">
        <v>0.44760001439703961</v>
      </c>
      <c r="W2150">
        <v>1</v>
      </c>
      <c r="X2150">
        <v>0.44760001439703961</v>
      </c>
      <c r="Y2150">
        <v>518</v>
      </c>
      <c r="Z2150">
        <v>801.45781285603209</v>
      </c>
      <c r="AA2150">
        <v>198</v>
      </c>
      <c r="AB2150">
        <v>332</v>
      </c>
      <c r="AC2150">
        <v>536</v>
      </c>
      <c r="AD2150">
        <v>26.61</v>
      </c>
      <c r="AE2150">
        <v>542</v>
      </c>
      <c r="AF2150">
        <v>13</v>
      </c>
      <c r="AG2150">
        <v>180</v>
      </c>
      <c r="AH2150">
        <v>129</v>
      </c>
      <c r="AI2150">
        <v>2.4</v>
      </c>
      <c r="AJ2150">
        <v>33.21</v>
      </c>
      <c r="AK2150">
        <v>23.8</v>
      </c>
      <c r="AL2150">
        <v>-20.165865449999959</v>
      </c>
      <c r="AM2150">
        <v>-44.865240434761468</v>
      </c>
      <c r="AN2150">
        <v>-20.165865449999959</v>
      </c>
      <c r="AO2150">
        <v>-44.865240434761468</v>
      </c>
      <c r="AP2150">
        <v>-20.165887999999999</v>
      </c>
      <c r="AQ2150">
        <v>-44.865220000000001</v>
      </c>
      <c r="AR2150">
        <v>3.2956262004279409</v>
      </c>
      <c r="AS2150" t="s">
        <v>65</v>
      </c>
      <c r="AT2150">
        <v>1</v>
      </c>
      <c r="AU2150" t="s">
        <v>927</v>
      </c>
      <c r="AV2150" t="s">
        <v>928</v>
      </c>
      <c r="AW2150" t="s">
        <v>60</v>
      </c>
      <c r="AX2150" t="s">
        <v>68</v>
      </c>
      <c r="AY2150" t="s">
        <v>69</v>
      </c>
      <c r="AZ2150" t="b">
        <v>1</v>
      </c>
    </row>
    <row r="2151" spans="1:52" x14ac:dyDescent="0.3">
      <c r="A2151" t="s">
        <v>52</v>
      </c>
      <c r="B2151" t="s">
        <v>53</v>
      </c>
      <c r="C2151" t="s">
        <v>54</v>
      </c>
      <c r="D2151" t="s">
        <v>55</v>
      </c>
      <c r="E2151" t="s">
        <v>2149</v>
      </c>
      <c r="F2151" t="s">
        <v>190</v>
      </c>
      <c r="G2151" t="s">
        <v>935</v>
      </c>
      <c r="H2151" t="s">
        <v>936</v>
      </c>
      <c r="I2151" t="s">
        <v>936</v>
      </c>
      <c r="J2151" t="s">
        <v>60</v>
      </c>
      <c r="K2151" t="s">
        <v>193</v>
      </c>
      <c r="L2151" t="s">
        <v>62</v>
      </c>
      <c r="M2151" t="s">
        <v>193</v>
      </c>
      <c r="N2151" t="s">
        <v>937</v>
      </c>
      <c r="O2151" t="s">
        <v>938</v>
      </c>
      <c r="P2151">
        <v>-20.144727</v>
      </c>
      <c r="Q2151">
        <v>-44.919978999999998</v>
      </c>
      <c r="R2151" s="2" t="str">
        <f>HYPERLINK("https://www.google.com/maps?q=-20.1447270,-44.9199790","Abrir no Google Maps")</f>
        <v>Abrir no Google Maps</v>
      </c>
      <c r="S2151">
        <v>3</v>
      </c>
      <c r="T2151">
        <v>341.13992759662477</v>
      </c>
      <c r="U2151">
        <v>3</v>
      </c>
      <c r="V2151">
        <v>0.43258572113412658</v>
      </c>
      <c r="W2151">
        <v>1</v>
      </c>
      <c r="X2151">
        <v>0.43258572113412658</v>
      </c>
      <c r="Y2151">
        <v>508</v>
      </c>
      <c r="Z2151">
        <v>274.58151985101409</v>
      </c>
      <c r="AA2151">
        <v>198</v>
      </c>
      <c r="AB2151">
        <v>332</v>
      </c>
      <c r="AC2151">
        <v>536</v>
      </c>
      <c r="AD2151">
        <v>26.61</v>
      </c>
      <c r="AE2151">
        <v>542</v>
      </c>
      <c r="AF2151">
        <v>13</v>
      </c>
      <c r="AG2151">
        <v>180</v>
      </c>
      <c r="AH2151">
        <v>129</v>
      </c>
      <c r="AI2151">
        <v>2.4</v>
      </c>
      <c r="AJ2151">
        <v>33.21</v>
      </c>
      <c r="AK2151">
        <v>23.8</v>
      </c>
      <c r="AL2151">
        <v>-20.144771099999961</v>
      </c>
      <c r="AM2151">
        <v>-44.92003491095209</v>
      </c>
      <c r="AN2151">
        <v>-20.144771099999961</v>
      </c>
      <c r="AO2151">
        <v>-44.92003491095209</v>
      </c>
      <c r="AP2151">
        <v>-20.144727</v>
      </c>
      <c r="AQ2151">
        <v>-44.919978999999998</v>
      </c>
      <c r="AR2151">
        <v>7.6317760459664177</v>
      </c>
      <c r="AS2151" t="s">
        <v>65</v>
      </c>
      <c r="AT2151">
        <v>1</v>
      </c>
      <c r="AU2151" t="s">
        <v>939</v>
      </c>
      <c r="AV2151" t="s">
        <v>940</v>
      </c>
      <c r="AW2151" t="s">
        <v>60</v>
      </c>
      <c r="AX2151" t="s">
        <v>68</v>
      </c>
      <c r="AY2151" t="s">
        <v>69</v>
      </c>
      <c r="AZ2151" t="b">
        <v>1</v>
      </c>
    </row>
    <row r="2152" spans="1:52" x14ac:dyDescent="0.3">
      <c r="A2152" t="s">
        <v>52</v>
      </c>
      <c r="B2152" t="s">
        <v>53</v>
      </c>
      <c r="C2152" t="s">
        <v>54</v>
      </c>
      <c r="D2152" t="s">
        <v>55</v>
      </c>
      <c r="E2152" t="s">
        <v>2149</v>
      </c>
      <c r="F2152" t="s">
        <v>190</v>
      </c>
      <c r="G2152" t="s">
        <v>941</v>
      </c>
      <c r="H2152" t="s">
        <v>942</v>
      </c>
      <c r="I2152" t="s">
        <v>942</v>
      </c>
      <c r="J2152" t="s">
        <v>60</v>
      </c>
      <c r="K2152" t="s">
        <v>193</v>
      </c>
      <c r="L2152" t="s">
        <v>62</v>
      </c>
      <c r="M2152" t="s">
        <v>193</v>
      </c>
      <c r="N2152" t="s">
        <v>943</v>
      </c>
      <c r="O2152" t="s">
        <v>257</v>
      </c>
      <c r="P2152">
        <v>-20.142042</v>
      </c>
      <c r="Q2152">
        <v>-44.917906000000002</v>
      </c>
      <c r="R2152" s="2" t="str">
        <f>HYPERLINK("https://www.google.com/maps?q=-20.1420420,-44.9179060","Abrir no Google Maps")</f>
        <v>Abrir no Google Maps</v>
      </c>
      <c r="S2152">
        <v>3</v>
      </c>
      <c r="T2152">
        <v>373.14048213045743</v>
      </c>
      <c r="U2152">
        <v>3</v>
      </c>
      <c r="V2152">
        <v>0.4240966958972292</v>
      </c>
      <c r="W2152">
        <v>1</v>
      </c>
      <c r="X2152">
        <v>0.4240966958972292</v>
      </c>
      <c r="Y2152">
        <v>508</v>
      </c>
      <c r="Z2152">
        <v>271.52693841106122</v>
      </c>
      <c r="AA2152">
        <v>198</v>
      </c>
      <c r="AB2152">
        <v>332</v>
      </c>
      <c r="AC2152">
        <v>536</v>
      </c>
      <c r="AD2152">
        <v>26.61</v>
      </c>
      <c r="AE2152">
        <v>542</v>
      </c>
      <c r="AF2152">
        <v>13</v>
      </c>
      <c r="AG2152">
        <v>180</v>
      </c>
      <c r="AH2152">
        <v>129</v>
      </c>
      <c r="AI2152">
        <v>2.4</v>
      </c>
      <c r="AJ2152">
        <v>33.21</v>
      </c>
      <c r="AK2152">
        <v>23.8</v>
      </c>
      <c r="AL2152">
        <v>-20.14198914999994</v>
      </c>
      <c r="AM2152">
        <v>-44.918192618397512</v>
      </c>
      <c r="AN2152">
        <v>-20.14198914999994</v>
      </c>
      <c r="AO2152">
        <v>-44.918192618397512</v>
      </c>
      <c r="AP2152">
        <v>-20.142042</v>
      </c>
      <c r="AQ2152">
        <v>-44.917906000000002</v>
      </c>
      <c r="AR2152">
        <v>30.527314493281139</v>
      </c>
      <c r="AS2152" t="s">
        <v>65</v>
      </c>
      <c r="AT2152">
        <v>1</v>
      </c>
      <c r="AU2152" t="s">
        <v>944</v>
      </c>
      <c r="AV2152" t="s">
        <v>945</v>
      </c>
      <c r="AW2152" t="s">
        <v>60</v>
      </c>
      <c r="AX2152" t="s">
        <v>68</v>
      </c>
      <c r="AY2152" t="s">
        <v>69</v>
      </c>
      <c r="AZ2152" t="b">
        <v>1</v>
      </c>
    </row>
    <row r="2153" spans="1:52" x14ac:dyDescent="0.3">
      <c r="A2153" t="s">
        <v>52</v>
      </c>
      <c r="B2153" t="s">
        <v>53</v>
      </c>
      <c r="C2153" t="s">
        <v>54</v>
      </c>
      <c r="D2153" t="s">
        <v>55</v>
      </c>
      <c r="E2153" t="s">
        <v>2149</v>
      </c>
      <c r="F2153" t="s">
        <v>190</v>
      </c>
      <c r="G2153" t="s">
        <v>946</v>
      </c>
      <c r="H2153" t="s">
        <v>947</v>
      </c>
      <c r="I2153" t="s">
        <v>947</v>
      </c>
      <c r="J2153" t="s">
        <v>60</v>
      </c>
      <c r="K2153" t="s">
        <v>193</v>
      </c>
      <c r="L2153" t="s">
        <v>62</v>
      </c>
      <c r="M2153" t="s">
        <v>193</v>
      </c>
      <c r="N2153" t="s">
        <v>948</v>
      </c>
      <c r="O2153" t="s">
        <v>949</v>
      </c>
      <c r="P2153">
        <v>-20.141646000000001</v>
      </c>
      <c r="Q2153">
        <v>-44.920682999999997</v>
      </c>
      <c r="R2153" s="2" t="str">
        <f>HYPERLINK("https://www.google.com/maps?q=-20.1416460,-44.9206830","Abrir no Google Maps")</f>
        <v>Abrir no Google Maps</v>
      </c>
      <c r="S2153">
        <v>3</v>
      </c>
      <c r="T2153">
        <v>538.41742581974165</v>
      </c>
      <c r="U2153">
        <v>3</v>
      </c>
      <c r="V2153">
        <v>0.44244181253206311</v>
      </c>
      <c r="W2153">
        <v>1</v>
      </c>
      <c r="X2153">
        <v>0.44244181253206311</v>
      </c>
      <c r="Y2153">
        <v>508</v>
      </c>
      <c r="Z2153">
        <v>459.99626097363068</v>
      </c>
      <c r="AA2153">
        <v>198</v>
      </c>
      <c r="AB2153">
        <v>332</v>
      </c>
      <c r="AC2153">
        <v>536</v>
      </c>
      <c r="AD2153">
        <v>26.61</v>
      </c>
      <c r="AE2153">
        <v>542</v>
      </c>
      <c r="AF2153">
        <v>13</v>
      </c>
      <c r="AG2153">
        <v>180</v>
      </c>
      <c r="AH2153">
        <v>129</v>
      </c>
      <c r="AI2153">
        <v>2.4</v>
      </c>
      <c r="AJ2153">
        <v>33.21</v>
      </c>
      <c r="AK2153">
        <v>23.8</v>
      </c>
      <c r="AL2153">
        <v>-20.141877549999979</v>
      </c>
      <c r="AM2153">
        <v>-44.920658074778594</v>
      </c>
      <c r="AN2153">
        <v>-20.141877549999979</v>
      </c>
      <c r="AO2153">
        <v>-44.920658074778594</v>
      </c>
      <c r="AP2153">
        <v>-20.141646000000001</v>
      </c>
      <c r="AQ2153">
        <v>-44.920682999999997</v>
      </c>
      <c r="AR2153">
        <v>25.907443828287509</v>
      </c>
      <c r="AS2153" t="s">
        <v>65</v>
      </c>
      <c r="AT2153">
        <v>1</v>
      </c>
      <c r="AU2153" t="s">
        <v>950</v>
      </c>
      <c r="AV2153" t="s">
        <v>951</v>
      </c>
      <c r="AW2153" t="s">
        <v>60</v>
      </c>
      <c r="AX2153" t="s">
        <v>68</v>
      </c>
      <c r="AY2153" t="s">
        <v>69</v>
      </c>
      <c r="AZ2153" t="b">
        <v>1</v>
      </c>
    </row>
    <row r="2154" spans="1:52" x14ac:dyDescent="0.3">
      <c r="A2154" t="s">
        <v>52</v>
      </c>
      <c r="B2154" t="s">
        <v>53</v>
      </c>
      <c r="C2154" t="s">
        <v>54</v>
      </c>
      <c r="D2154" t="s">
        <v>55</v>
      </c>
      <c r="E2154" t="s">
        <v>2149</v>
      </c>
      <c r="F2154" t="s">
        <v>190</v>
      </c>
      <c r="G2154" t="s">
        <v>625</v>
      </c>
      <c r="H2154" t="s">
        <v>626</v>
      </c>
      <c r="I2154" t="s">
        <v>626</v>
      </c>
      <c r="J2154" t="s">
        <v>60</v>
      </c>
      <c r="K2154" t="s">
        <v>193</v>
      </c>
      <c r="L2154" t="s">
        <v>62</v>
      </c>
      <c r="M2154" t="s">
        <v>193</v>
      </c>
      <c r="N2154" t="s">
        <v>627</v>
      </c>
      <c r="O2154" t="s">
        <v>628</v>
      </c>
      <c r="P2154">
        <v>-20.145171999999999</v>
      </c>
      <c r="Q2154">
        <v>-44.916764000000001</v>
      </c>
      <c r="R2154" s="2" t="str">
        <f>HYPERLINK("https://www.google.com/maps?q=-20.1451720,-44.9167640","Abrir no Google Maps")</f>
        <v>Abrir no Google Maps</v>
      </c>
      <c r="S2154">
        <v>3</v>
      </c>
      <c r="T2154">
        <v>0</v>
      </c>
      <c r="U2154">
        <v>3</v>
      </c>
      <c r="V2154">
        <v>0.45824977994072219</v>
      </c>
      <c r="W2154">
        <v>1</v>
      </c>
      <c r="X2154">
        <v>0.45824977994072219</v>
      </c>
      <c r="Y2154">
        <v>508</v>
      </c>
      <c r="Z2154">
        <v>79.403393114466795</v>
      </c>
      <c r="AA2154">
        <v>198</v>
      </c>
      <c r="AB2154">
        <v>332</v>
      </c>
      <c r="AC2154">
        <v>536</v>
      </c>
      <c r="AD2154">
        <v>26.61</v>
      </c>
      <c r="AE2154">
        <v>542</v>
      </c>
      <c r="AF2154">
        <v>13</v>
      </c>
      <c r="AG2154">
        <v>180</v>
      </c>
      <c r="AH2154">
        <v>129</v>
      </c>
      <c r="AI2154">
        <v>2.4</v>
      </c>
      <c r="AJ2154">
        <v>33.21</v>
      </c>
      <c r="AK2154">
        <v>23.8</v>
      </c>
      <c r="AL2154">
        <v>-20.145089199999969</v>
      </c>
      <c r="AM2154">
        <v>-44.916788127791321</v>
      </c>
      <c r="AN2154">
        <v>-20.145089199999969</v>
      </c>
      <c r="AO2154">
        <v>-44.916788127791321</v>
      </c>
      <c r="AP2154">
        <v>-20.145171999999999</v>
      </c>
      <c r="AQ2154">
        <v>-44.916764000000001</v>
      </c>
      <c r="AR2154">
        <v>9.555991267747272</v>
      </c>
      <c r="AS2154" t="s">
        <v>65</v>
      </c>
      <c r="AT2154">
        <v>1</v>
      </c>
      <c r="AU2154" t="s">
        <v>629</v>
      </c>
      <c r="AV2154" t="s">
        <v>630</v>
      </c>
      <c r="AW2154" t="s">
        <v>60</v>
      </c>
      <c r="AX2154" t="s">
        <v>68</v>
      </c>
      <c r="AY2154" t="s">
        <v>69</v>
      </c>
      <c r="AZ2154" t="b">
        <v>1</v>
      </c>
    </row>
    <row r="2155" spans="1:52" x14ac:dyDescent="0.3">
      <c r="A2155" t="s">
        <v>52</v>
      </c>
      <c r="B2155" t="s">
        <v>53</v>
      </c>
      <c r="C2155" t="s">
        <v>54</v>
      </c>
      <c r="D2155" t="s">
        <v>55</v>
      </c>
      <c r="E2155" t="s">
        <v>2149</v>
      </c>
      <c r="F2155" t="s">
        <v>190</v>
      </c>
      <c r="G2155" t="s">
        <v>935</v>
      </c>
      <c r="H2155" t="s">
        <v>952</v>
      </c>
      <c r="I2155" t="s">
        <v>952</v>
      </c>
      <c r="J2155" t="s">
        <v>60</v>
      </c>
      <c r="K2155" t="s">
        <v>953</v>
      </c>
      <c r="L2155" t="s">
        <v>62</v>
      </c>
      <c r="M2155" t="s">
        <v>953</v>
      </c>
      <c r="N2155" t="s">
        <v>937</v>
      </c>
      <c r="O2155" t="s">
        <v>954</v>
      </c>
      <c r="P2155">
        <v>-20.147273999999999</v>
      </c>
      <c r="Q2155">
        <v>-44.920006000000001</v>
      </c>
      <c r="R2155" s="2" t="str">
        <f>HYPERLINK("https://www.google.com/maps?q=-20.1472740,-44.9200060","Abrir no Google Maps")</f>
        <v>Abrir no Google Maps</v>
      </c>
      <c r="S2155">
        <v>3</v>
      </c>
      <c r="T2155">
        <v>459.0606352701667</v>
      </c>
      <c r="U2155">
        <v>3</v>
      </c>
      <c r="V2155">
        <v>0.5069987688519545</v>
      </c>
      <c r="W2155">
        <v>0.85</v>
      </c>
      <c r="X2155">
        <v>0.43094895352416129</v>
      </c>
      <c r="Y2155">
        <v>508</v>
      </c>
      <c r="Z2155">
        <v>450.79650119449559</v>
      </c>
      <c r="AA2155">
        <v>198</v>
      </c>
      <c r="AB2155">
        <v>332</v>
      </c>
      <c r="AC2155">
        <v>536</v>
      </c>
      <c r="AD2155">
        <v>26.61</v>
      </c>
      <c r="AE2155">
        <v>542</v>
      </c>
      <c r="AF2155">
        <v>13</v>
      </c>
      <c r="AG2155">
        <v>180</v>
      </c>
      <c r="AH2155">
        <v>129</v>
      </c>
      <c r="AI2155">
        <v>2.4</v>
      </c>
      <c r="AJ2155">
        <v>33.21</v>
      </c>
      <c r="AK2155">
        <v>23.8</v>
      </c>
      <c r="AL2155">
        <v>-20.14804539999994</v>
      </c>
      <c r="AM2155">
        <v>-44.919869714952483</v>
      </c>
      <c r="AN2155">
        <v>-20.14804539999994</v>
      </c>
      <c r="AO2155">
        <v>-44.919869714952483</v>
      </c>
      <c r="AP2155">
        <v>-20.147273999999999</v>
      </c>
      <c r="AQ2155">
        <v>-44.920006000000001</v>
      </c>
      <c r="AR2155">
        <v>87.045401840517783</v>
      </c>
      <c r="AS2155" t="s">
        <v>65</v>
      </c>
      <c r="AT2155">
        <v>1</v>
      </c>
      <c r="AU2155" t="s">
        <v>955</v>
      </c>
      <c r="AV2155" t="s">
        <v>956</v>
      </c>
      <c r="AW2155" t="s">
        <v>60</v>
      </c>
      <c r="AX2155" t="s">
        <v>68</v>
      </c>
      <c r="AY2155" t="s">
        <v>69</v>
      </c>
      <c r="AZ2155" t="b">
        <v>1</v>
      </c>
    </row>
    <row r="2156" spans="1:52" x14ac:dyDescent="0.3">
      <c r="A2156" t="s">
        <v>52</v>
      </c>
      <c r="B2156" t="s">
        <v>53</v>
      </c>
      <c r="C2156" t="s">
        <v>54</v>
      </c>
      <c r="D2156" t="s">
        <v>55</v>
      </c>
      <c r="E2156" t="s">
        <v>2149</v>
      </c>
      <c r="F2156" t="s">
        <v>190</v>
      </c>
      <c r="G2156" t="s">
        <v>957</v>
      </c>
      <c r="H2156" t="s">
        <v>958</v>
      </c>
      <c r="I2156" t="s">
        <v>958</v>
      </c>
      <c r="J2156" t="s">
        <v>60</v>
      </c>
      <c r="K2156" t="s">
        <v>262</v>
      </c>
      <c r="L2156" t="s">
        <v>62</v>
      </c>
      <c r="M2156" t="s">
        <v>262</v>
      </c>
      <c r="N2156" t="s">
        <v>959</v>
      </c>
      <c r="O2156" t="s">
        <v>960</v>
      </c>
      <c r="P2156">
        <v>-20.165469999999999</v>
      </c>
      <c r="Q2156">
        <v>-44.854308000000003</v>
      </c>
      <c r="R2156" s="2" t="str">
        <f>HYPERLINK("https://www.google.com/maps?q=-20.1654700,-44.8543080","Abrir no Google Maps")</f>
        <v>Abrir no Google Maps</v>
      </c>
      <c r="S2156">
        <v>3</v>
      </c>
      <c r="T2156">
        <v>555.06043712641599</v>
      </c>
      <c r="U2156">
        <v>3</v>
      </c>
      <c r="V2156">
        <v>0.4290098258324333</v>
      </c>
      <c r="W2156">
        <v>1</v>
      </c>
      <c r="X2156">
        <v>0.4290098258324333</v>
      </c>
      <c r="Y2156">
        <v>491</v>
      </c>
      <c r="Z2156">
        <v>423.16855805320131</v>
      </c>
      <c r="AA2156">
        <v>198</v>
      </c>
      <c r="AB2156">
        <v>332</v>
      </c>
      <c r="AC2156">
        <v>536</v>
      </c>
      <c r="AD2156">
        <v>26.61</v>
      </c>
      <c r="AE2156">
        <v>542</v>
      </c>
      <c r="AF2156">
        <v>13</v>
      </c>
      <c r="AG2156">
        <v>180</v>
      </c>
      <c r="AH2156">
        <v>129</v>
      </c>
      <c r="AI2156">
        <v>2.4</v>
      </c>
      <c r="AJ2156">
        <v>33.21</v>
      </c>
      <c r="AK2156">
        <v>23.8</v>
      </c>
      <c r="AL2156">
        <v>-20.165538449999961</v>
      </c>
      <c r="AM2156">
        <v>-44.854274624633042</v>
      </c>
      <c r="AN2156">
        <v>-20.165538449999961</v>
      </c>
      <c r="AO2156">
        <v>-44.854274624633042</v>
      </c>
      <c r="AP2156">
        <v>-20.165469999999999</v>
      </c>
      <c r="AQ2156">
        <v>-44.854308000000003</v>
      </c>
      <c r="AR2156">
        <v>8.3800661572970956</v>
      </c>
      <c r="AS2156" t="s">
        <v>65</v>
      </c>
      <c r="AT2156">
        <v>1</v>
      </c>
      <c r="AU2156" t="s">
        <v>961</v>
      </c>
      <c r="AV2156" t="s">
        <v>962</v>
      </c>
      <c r="AW2156" t="s">
        <v>60</v>
      </c>
      <c r="AX2156" t="s">
        <v>68</v>
      </c>
      <c r="AY2156" t="s">
        <v>69</v>
      </c>
      <c r="AZ2156" t="b">
        <v>1</v>
      </c>
    </row>
    <row r="2157" spans="1:52" x14ac:dyDescent="0.3">
      <c r="A2157" t="s">
        <v>52</v>
      </c>
      <c r="B2157" t="s">
        <v>53</v>
      </c>
      <c r="C2157" t="s">
        <v>54</v>
      </c>
      <c r="D2157" t="s">
        <v>55</v>
      </c>
      <c r="E2157" t="s">
        <v>2149</v>
      </c>
      <c r="F2157" t="s">
        <v>190</v>
      </c>
      <c r="G2157" t="s">
        <v>957</v>
      </c>
      <c r="H2157" t="s">
        <v>1750</v>
      </c>
      <c r="I2157" t="s">
        <v>1750</v>
      </c>
      <c r="J2157" t="s">
        <v>60</v>
      </c>
      <c r="K2157" t="s">
        <v>982</v>
      </c>
      <c r="L2157" t="s">
        <v>62</v>
      </c>
      <c r="M2157" t="s">
        <v>982</v>
      </c>
      <c r="N2157" t="s">
        <v>959</v>
      </c>
      <c r="O2157" t="s">
        <v>1751</v>
      </c>
      <c r="P2157">
        <v>-20.164285</v>
      </c>
      <c r="Q2157">
        <v>-44.857562000000001</v>
      </c>
      <c r="R2157" s="2" t="str">
        <f>HYPERLINK("https://www.google.com/maps?q=-20.1642850,-44.8575620","Abrir no Google Maps")</f>
        <v>Abrir no Google Maps</v>
      </c>
      <c r="S2157">
        <v>3</v>
      </c>
      <c r="T2157">
        <v>275.89108588842112</v>
      </c>
      <c r="U2157">
        <v>3</v>
      </c>
      <c r="V2157">
        <v>0.418991545865954</v>
      </c>
      <c r="W2157">
        <v>1</v>
      </c>
      <c r="X2157">
        <v>0.418991545865954</v>
      </c>
      <c r="Y2157">
        <v>491</v>
      </c>
      <c r="Z2157">
        <v>150.50906778215881</v>
      </c>
      <c r="AA2157">
        <v>198</v>
      </c>
      <c r="AB2157">
        <v>332</v>
      </c>
      <c r="AC2157">
        <v>536</v>
      </c>
      <c r="AD2157">
        <v>26.61</v>
      </c>
      <c r="AE2157">
        <v>542</v>
      </c>
      <c r="AF2157">
        <v>13</v>
      </c>
      <c r="AG2157">
        <v>180</v>
      </c>
      <c r="AH2157">
        <v>129</v>
      </c>
      <c r="AI2157">
        <v>2.4</v>
      </c>
      <c r="AJ2157">
        <v>33.21</v>
      </c>
      <c r="AK2157">
        <v>23.8</v>
      </c>
      <c r="AL2157">
        <v>-20.164333749999969</v>
      </c>
      <c r="AM2157">
        <v>-44.857568319333943</v>
      </c>
      <c r="AN2157">
        <v>-20.164333749999969</v>
      </c>
      <c r="AO2157">
        <v>-44.857568319333943</v>
      </c>
      <c r="AP2157">
        <v>-20.164285</v>
      </c>
      <c r="AQ2157">
        <v>-44.857562000000001</v>
      </c>
      <c r="AR2157">
        <v>5.4668788625524281</v>
      </c>
      <c r="AS2157" t="s">
        <v>65</v>
      </c>
      <c r="AT2157">
        <v>1</v>
      </c>
      <c r="AU2157" t="s">
        <v>1752</v>
      </c>
      <c r="AV2157" t="s">
        <v>1753</v>
      </c>
      <c r="AW2157" t="s">
        <v>60</v>
      </c>
      <c r="AX2157" t="s">
        <v>68</v>
      </c>
      <c r="AY2157" t="s">
        <v>69</v>
      </c>
      <c r="AZ2157" t="b">
        <v>1</v>
      </c>
    </row>
    <row r="2158" spans="1:52" x14ac:dyDescent="0.3">
      <c r="A2158" t="s">
        <v>52</v>
      </c>
      <c r="B2158" t="s">
        <v>53</v>
      </c>
      <c r="C2158" t="s">
        <v>54</v>
      </c>
      <c r="D2158" t="s">
        <v>55</v>
      </c>
      <c r="E2158" t="s">
        <v>2149</v>
      </c>
      <c r="F2158" t="s">
        <v>190</v>
      </c>
      <c r="G2158" t="s">
        <v>963</v>
      </c>
      <c r="H2158" t="s">
        <v>964</v>
      </c>
      <c r="I2158" t="s">
        <v>964</v>
      </c>
      <c r="J2158" t="s">
        <v>60</v>
      </c>
      <c r="K2158" t="s">
        <v>702</v>
      </c>
      <c r="L2158" t="s">
        <v>62</v>
      </c>
      <c r="M2158" t="s">
        <v>702</v>
      </c>
      <c r="N2158" t="s">
        <v>965</v>
      </c>
      <c r="O2158" t="s">
        <v>960</v>
      </c>
      <c r="P2158">
        <v>-20.164622000000001</v>
      </c>
      <c r="Q2158">
        <v>-44.860289999999999</v>
      </c>
      <c r="R2158" s="2" t="str">
        <f>HYPERLINK("https://www.google.com/maps?q=-20.1646220,-44.8602900","Abrir no Google Maps")</f>
        <v>Abrir no Google Maps</v>
      </c>
      <c r="S2158">
        <v>3</v>
      </c>
      <c r="T2158">
        <v>393.43725605569188</v>
      </c>
      <c r="U2158">
        <v>3</v>
      </c>
      <c r="V2158">
        <v>0.44748475857308267</v>
      </c>
      <c r="W2158">
        <v>1</v>
      </c>
      <c r="X2158">
        <v>0.44748475857308267</v>
      </c>
      <c r="Y2158">
        <v>491</v>
      </c>
      <c r="Z2158">
        <v>358.96336458076678</v>
      </c>
      <c r="AA2158">
        <v>198</v>
      </c>
      <c r="AB2158">
        <v>332</v>
      </c>
      <c r="AC2158">
        <v>536</v>
      </c>
      <c r="AD2158">
        <v>26.61</v>
      </c>
      <c r="AE2158">
        <v>542</v>
      </c>
      <c r="AF2158">
        <v>13</v>
      </c>
      <c r="AG2158">
        <v>180</v>
      </c>
      <c r="AH2158">
        <v>129</v>
      </c>
      <c r="AI2158">
        <v>2.4</v>
      </c>
      <c r="AJ2158">
        <v>33.21</v>
      </c>
      <c r="AK2158">
        <v>23.8</v>
      </c>
      <c r="AL2158">
        <v>-20.164560849999951</v>
      </c>
      <c r="AM2158">
        <v>-44.860330680844072</v>
      </c>
      <c r="AN2158">
        <v>-20.164560849999951</v>
      </c>
      <c r="AO2158">
        <v>-44.860330680844072</v>
      </c>
      <c r="AP2158">
        <v>-20.164622000000001</v>
      </c>
      <c r="AQ2158">
        <v>-44.860289999999999</v>
      </c>
      <c r="AR2158">
        <v>8.0255448908437454</v>
      </c>
      <c r="AS2158" t="s">
        <v>65</v>
      </c>
      <c r="AT2158">
        <v>1</v>
      </c>
      <c r="AU2158" t="s">
        <v>966</v>
      </c>
      <c r="AV2158" t="s">
        <v>967</v>
      </c>
      <c r="AW2158" t="s">
        <v>60</v>
      </c>
      <c r="AX2158" t="s">
        <v>68</v>
      </c>
      <c r="AY2158" t="s">
        <v>69</v>
      </c>
      <c r="AZ2158" t="b">
        <v>1</v>
      </c>
    </row>
    <row r="2159" spans="1:52" x14ac:dyDescent="0.3">
      <c r="A2159" t="s">
        <v>52</v>
      </c>
      <c r="B2159" t="s">
        <v>53</v>
      </c>
      <c r="C2159" t="s">
        <v>54</v>
      </c>
      <c r="D2159" t="s">
        <v>55</v>
      </c>
      <c r="E2159" t="s">
        <v>2149</v>
      </c>
      <c r="F2159" t="s">
        <v>190</v>
      </c>
      <c r="G2159" t="s">
        <v>968</v>
      </c>
      <c r="H2159" t="s">
        <v>969</v>
      </c>
      <c r="I2159" t="s">
        <v>969</v>
      </c>
      <c r="J2159" t="s">
        <v>60</v>
      </c>
      <c r="K2159" t="s">
        <v>262</v>
      </c>
      <c r="L2159" t="s">
        <v>62</v>
      </c>
      <c r="M2159" t="s">
        <v>262</v>
      </c>
      <c r="N2159" t="s">
        <v>970</v>
      </c>
      <c r="O2159" t="s">
        <v>971</v>
      </c>
      <c r="P2159">
        <v>-20.163060999999999</v>
      </c>
      <c r="Q2159">
        <v>-44.854047000000001</v>
      </c>
      <c r="R2159" s="2" t="str">
        <f>HYPERLINK("https://www.google.com/maps?q=-20.1630610,-44.8540470","Abrir no Google Maps")</f>
        <v>Abrir no Google Maps</v>
      </c>
      <c r="S2159">
        <v>3</v>
      </c>
      <c r="T2159">
        <v>418.63868463200271</v>
      </c>
      <c r="U2159">
        <v>3</v>
      </c>
      <c r="V2159">
        <v>0.42976807889422342</v>
      </c>
      <c r="W2159">
        <v>1</v>
      </c>
      <c r="X2159">
        <v>0.42976807889422342</v>
      </c>
      <c r="Y2159">
        <v>491</v>
      </c>
      <c r="Z2159">
        <v>339.19068595447408</v>
      </c>
      <c r="AA2159">
        <v>198</v>
      </c>
      <c r="AB2159">
        <v>332</v>
      </c>
      <c r="AC2159">
        <v>536</v>
      </c>
      <c r="AD2159">
        <v>26.61</v>
      </c>
      <c r="AE2159">
        <v>542</v>
      </c>
      <c r="AF2159">
        <v>13</v>
      </c>
      <c r="AG2159">
        <v>180</v>
      </c>
      <c r="AH2159">
        <v>129</v>
      </c>
      <c r="AI2159">
        <v>2.4</v>
      </c>
      <c r="AJ2159">
        <v>33.21</v>
      </c>
      <c r="AK2159">
        <v>23.8</v>
      </c>
      <c r="AL2159">
        <v>-20.163118949999959</v>
      </c>
      <c r="AM2159">
        <v>-44.854106723889032</v>
      </c>
      <c r="AN2159">
        <v>-20.163118949999959</v>
      </c>
      <c r="AO2159">
        <v>-44.854106723889032</v>
      </c>
      <c r="AP2159">
        <v>-20.163060999999999</v>
      </c>
      <c r="AQ2159">
        <v>-44.854047000000001</v>
      </c>
      <c r="AR2159">
        <v>8.9758322935491428</v>
      </c>
      <c r="AS2159" t="s">
        <v>65</v>
      </c>
      <c r="AT2159">
        <v>1</v>
      </c>
      <c r="AU2159" t="s">
        <v>972</v>
      </c>
      <c r="AV2159" t="s">
        <v>973</v>
      </c>
      <c r="AW2159" t="s">
        <v>60</v>
      </c>
      <c r="AX2159" t="s">
        <v>68</v>
      </c>
      <c r="AY2159" t="s">
        <v>69</v>
      </c>
      <c r="AZ2159" t="b">
        <v>1</v>
      </c>
    </row>
    <row r="2160" spans="1:52" x14ac:dyDescent="0.3">
      <c r="A2160" t="s">
        <v>52</v>
      </c>
      <c r="B2160" t="s">
        <v>53</v>
      </c>
      <c r="C2160" t="s">
        <v>54</v>
      </c>
      <c r="D2160" t="s">
        <v>55</v>
      </c>
      <c r="E2160" t="s">
        <v>2149</v>
      </c>
      <c r="F2160" t="s">
        <v>190</v>
      </c>
      <c r="G2160" t="s">
        <v>974</v>
      </c>
      <c r="H2160" t="s">
        <v>975</v>
      </c>
      <c r="I2160" t="s">
        <v>975</v>
      </c>
      <c r="J2160" t="s">
        <v>60</v>
      </c>
      <c r="K2160" t="s">
        <v>702</v>
      </c>
      <c r="L2160" t="s">
        <v>62</v>
      </c>
      <c r="M2160" t="s">
        <v>702</v>
      </c>
      <c r="N2160" t="s">
        <v>976</v>
      </c>
      <c r="O2160" t="s">
        <v>977</v>
      </c>
      <c r="P2160">
        <v>-20.167021999999999</v>
      </c>
      <c r="Q2160">
        <v>-44.863095000000001</v>
      </c>
      <c r="R2160" s="2" t="str">
        <f>HYPERLINK("https://www.google.com/maps?q=-20.1670220,-44.8630950","Abrir no Google Maps")</f>
        <v>Abrir no Google Maps</v>
      </c>
      <c r="S2160">
        <v>3</v>
      </c>
      <c r="T2160">
        <v>629.02897442495839</v>
      </c>
      <c r="U2160">
        <v>3</v>
      </c>
      <c r="V2160">
        <v>0.43013049944482018</v>
      </c>
      <c r="W2160">
        <v>1</v>
      </c>
      <c r="X2160">
        <v>0.43013049944482018</v>
      </c>
      <c r="Y2160">
        <v>491</v>
      </c>
      <c r="Z2160">
        <v>693.48000708961661</v>
      </c>
      <c r="AA2160">
        <v>198</v>
      </c>
      <c r="AB2160">
        <v>332</v>
      </c>
      <c r="AC2160">
        <v>536</v>
      </c>
      <c r="AD2160">
        <v>26.61</v>
      </c>
      <c r="AE2160">
        <v>542</v>
      </c>
      <c r="AF2160">
        <v>13</v>
      </c>
      <c r="AG2160">
        <v>180</v>
      </c>
      <c r="AH2160">
        <v>129</v>
      </c>
      <c r="AI2160">
        <v>2.4</v>
      </c>
      <c r="AJ2160">
        <v>33.21</v>
      </c>
      <c r="AK2160">
        <v>23.8</v>
      </c>
      <c r="AL2160">
        <v>-20.167032199999941</v>
      </c>
      <c r="AM2160">
        <v>-44.863123980291967</v>
      </c>
      <c r="AN2160">
        <v>-20.167032199999941</v>
      </c>
      <c r="AO2160">
        <v>-44.863123980291967</v>
      </c>
      <c r="AP2160">
        <v>-20.167021999999999</v>
      </c>
      <c r="AQ2160">
        <v>-44.863095000000001</v>
      </c>
      <c r="AR2160">
        <v>3.2341734571542871</v>
      </c>
      <c r="AS2160" t="s">
        <v>65</v>
      </c>
      <c r="AT2160">
        <v>1</v>
      </c>
      <c r="AU2160" t="s">
        <v>978</v>
      </c>
      <c r="AV2160" t="s">
        <v>979</v>
      </c>
      <c r="AW2160" t="s">
        <v>60</v>
      </c>
      <c r="AX2160" t="s">
        <v>68</v>
      </c>
      <c r="AY2160" t="s">
        <v>69</v>
      </c>
      <c r="AZ2160" t="b">
        <v>1</v>
      </c>
    </row>
    <row r="2161" spans="1:52" x14ac:dyDescent="0.3">
      <c r="A2161" t="s">
        <v>52</v>
      </c>
      <c r="B2161" t="s">
        <v>53</v>
      </c>
      <c r="C2161" t="s">
        <v>54</v>
      </c>
      <c r="D2161" t="s">
        <v>55</v>
      </c>
      <c r="E2161" t="s">
        <v>2149</v>
      </c>
      <c r="F2161" t="s">
        <v>190</v>
      </c>
      <c r="G2161" t="s">
        <v>980</v>
      </c>
      <c r="H2161" t="s">
        <v>981</v>
      </c>
      <c r="I2161" t="s">
        <v>981</v>
      </c>
      <c r="J2161" t="s">
        <v>60</v>
      </c>
      <c r="K2161" t="s">
        <v>982</v>
      </c>
      <c r="L2161" t="s">
        <v>62</v>
      </c>
      <c r="M2161" t="s">
        <v>982</v>
      </c>
      <c r="N2161" t="s">
        <v>983</v>
      </c>
      <c r="O2161" t="s">
        <v>264</v>
      </c>
      <c r="P2161">
        <v>-20.166967</v>
      </c>
      <c r="Q2161">
        <v>-44.859355000000001</v>
      </c>
      <c r="R2161" s="2" t="str">
        <f>HYPERLINK("https://www.google.com/maps?q=-20.1669670,-44.8593550","Abrir no Google Maps")</f>
        <v>Abrir no Google Maps</v>
      </c>
      <c r="S2161">
        <v>3</v>
      </c>
      <c r="T2161">
        <v>577.54934865824521</v>
      </c>
      <c r="U2161">
        <v>3</v>
      </c>
      <c r="V2161">
        <v>0.4169964996051867</v>
      </c>
      <c r="W2161">
        <v>1</v>
      </c>
      <c r="X2161">
        <v>0.4169964996051867</v>
      </c>
      <c r="Y2161">
        <v>491</v>
      </c>
      <c r="Z2161">
        <v>433.59782149216659</v>
      </c>
      <c r="AA2161">
        <v>198</v>
      </c>
      <c r="AB2161">
        <v>332</v>
      </c>
      <c r="AC2161">
        <v>536</v>
      </c>
      <c r="AD2161">
        <v>26.61</v>
      </c>
      <c r="AE2161">
        <v>542</v>
      </c>
      <c r="AF2161">
        <v>13</v>
      </c>
      <c r="AG2161">
        <v>180</v>
      </c>
      <c r="AH2161">
        <v>129</v>
      </c>
      <c r="AI2161">
        <v>2.4</v>
      </c>
      <c r="AJ2161">
        <v>33.21</v>
      </c>
      <c r="AK2161">
        <v>23.8</v>
      </c>
      <c r="AL2161">
        <v>-20.16694954999997</v>
      </c>
      <c r="AM2161">
        <v>-44.859100695938046</v>
      </c>
      <c r="AN2161">
        <v>-20.16694954999997</v>
      </c>
      <c r="AO2161">
        <v>-44.859100695938046</v>
      </c>
      <c r="AP2161">
        <v>-20.166967</v>
      </c>
      <c r="AQ2161">
        <v>-44.859355000000001</v>
      </c>
      <c r="AR2161">
        <v>26.644458793923111</v>
      </c>
      <c r="AS2161" t="s">
        <v>65</v>
      </c>
      <c r="AT2161">
        <v>1</v>
      </c>
      <c r="AU2161" t="s">
        <v>984</v>
      </c>
      <c r="AV2161" t="s">
        <v>985</v>
      </c>
      <c r="AW2161" t="s">
        <v>60</v>
      </c>
      <c r="AX2161" t="s">
        <v>68</v>
      </c>
      <c r="AY2161" t="s">
        <v>69</v>
      </c>
      <c r="AZ2161" t="b">
        <v>1</v>
      </c>
    </row>
    <row r="2162" spans="1:52" x14ac:dyDescent="0.3">
      <c r="A2162" t="s">
        <v>52</v>
      </c>
      <c r="B2162" t="s">
        <v>53</v>
      </c>
      <c r="C2162" t="s">
        <v>54</v>
      </c>
      <c r="D2162" t="s">
        <v>55</v>
      </c>
      <c r="E2162" t="s">
        <v>2149</v>
      </c>
      <c r="F2162" t="s">
        <v>190</v>
      </c>
      <c r="G2162" t="s">
        <v>1014</v>
      </c>
      <c r="H2162" t="s">
        <v>1015</v>
      </c>
      <c r="I2162" t="s">
        <v>1015</v>
      </c>
      <c r="J2162" t="s">
        <v>60</v>
      </c>
      <c r="K2162" t="s">
        <v>1016</v>
      </c>
      <c r="L2162" t="s">
        <v>62</v>
      </c>
      <c r="M2162" t="s">
        <v>1016</v>
      </c>
      <c r="N2162" t="s">
        <v>1017</v>
      </c>
      <c r="O2162" t="s">
        <v>1018</v>
      </c>
      <c r="P2162">
        <v>-20.174461000000001</v>
      </c>
      <c r="Q2162">
        <v>-44.868710999999998</v>
      </c>
      <c r="R2162" s="2" t="str">
        <f>HYPERLINK("https://www.google.com/maps?q=-20.1744610,-44.8687110","Abrir no Google Maps")</f>
        <v>Abrir no Google Maps</v>
      </c>
      <c r="S2162">
        <v>3</v>
      </c>
      <c r="T2162">
        <v>435.39504742850158</v>
      </c>
      <c r="U2162">
        <v>3</v>
      </c>
      <c r="V2162">
        <v>0.41979250596822137</v>
      </c>
      <c r="W2162">
        <v>1</v>
      </c>
      <c r="X2162">
        <v>0.41979250596822137</v>
      </c>
      <c r="Y2162">
        <v>422</v>
      </c>
      <c r="Z2162">
        <v>264.99958639233438</v>
      </c>
      <c r="AA2162">
        <v>198</v>
      </c>
      <c r="AB2162">
        <v>332</v>
      </c>
      <c r="AC2162">
        <v>536</v>
      </c>
      <c r="AD2162">
        <v>26.61</v>
      </c>
      <c r="AE2162">
        <v>542</v>
      </c>
      <c r="AF2162">
        <v>13</v>
      </c>
      <c r="AG2162">
        <v>180</v>
      </c>
      <c r="AH2162">
        <v>129</v>
      </c>
      <c r="AI2162">
        <v>2.4</v>
      </c>
      <c r="AJ2162">
        <v>33.21</v>
      </c>
      <c r="AK2162">
        <v>23.8</v>
      </c>
      <c r="AL2162">
        <v>-20.174459749999951</v>
      </c>
      <c r="AM2162">
        <v>-44.868877789186897</v>
      </c>
      <c r="AN2162">
        <v>-20.174459749999951</v>
      </c>
      <c r="AO2162">
        <v>-44.868877789186897</v>
      </c>
      <c r="AP2162">
        <v>-20.174461000000001</v>
      </c>
      <c r="AQ2162">
        <v>-44.868710999999998</v>
      </c>
      <c r="AR2162">
        <v>17.42838555603738</v>
      </c>
      <c r="AS2162" t="s">
        <v>65</v>
      </c>
      <c r="AT2162">
        <v>1</v>
      </c>
      <c r="AU2162" t="s">
        <v>1019</v>
      </c>
      <c r="AV2162" t="s">
        <v>1020</v>
      </c>
      <c r="AW2162" t="s">
        <v>60</v>
      </c>
      <c r="AX2162" t="s">
        <v>68</v>
      </c>
      <c r="AY2162" t="s">
        <v>69</v>
      </c>
      <c r="AZ2162" t="b">
        <v>1</v>
      </c>
    </row>
    <row r="2163" spans="1:52" x14ac:dyDescent="0.3">
      <c r="A2163" t="s">
        <v>52</v>
      </c>
      <c r="B2163" t="s">
        <v>53</v>
      </c>
      <c r="C2163" t="s">
        <v>54</v>
      </c>
      <c r="D2163" t="s">
        <v>55</v>
      </c>
      <c r="E2163" t="s">
        <v>2149</v>
      </c>
      <c r="F2163" t="s">
        <v>190</v>
      </c>
      <c r="G2163" t="s">
        <v>1021</v>
      </c>
      <c r="H2163" t="s">
        <v>1022</v>
      </c>
      <c r="I2163" t="s">
        <v>1022</v>
      </c>
      <c r="J2163" t="s">
        <v>60</v>
      </c>
      <c r="K2163" t="s">
        <v>1023</v>
      </c>
      <c r="L2163" t="s">
        <v>62</v>
      </c>
      <c r="M2163" t="s">
        <v>1023</v>
      </c>
      <c r="N2163" t="s">
        <v>1024</v>
      </c>
      <c r="O2163" t="s">
        <v>1025</v>
      </c>
      <c r="P2163">
        <v>-20.169588999999998</v>
      </c>
      <c r="Q2163">
        <v>-44.866636</v>
      </c>
      <c r="R2163" s="2" t="str">
        <f>HYPERLINK("https://www.google.com/maps?q=-20.1695890,-44.8666360","Abrir no Google Maps")</f>
        <v>Abrir no Google Maps</v>
      </c>
      <c r="S2163">
        <v>3</v>
      </c>
      <c r="T2163">
        <v>326.02709617860302</v>
      </c>
      <c r="U2163">
        <v>3</v>
      </c>
      <c r="V2163">
        <v>0.43156534943362229</v>
      </c>
      <c r="W2163">
        <v>1</v>
      </c>
      <c r="X2163">
        <v>0.43156534943362229</v>
      </c>
      <c r="Y2163">
        <v>422</v>
      </c>
      <c r="Z2163">
        <v>333.05362278862168</v>
      </c>
      <c r="AA2163">
        <v>198</v>
      </c>
      <c r="AB2163">
        <v>332</v>
      </c>
      <c r="AC2163">
        <v>536</v>
      </c>
      <c r="AD2163">
        <v>26.61</v>
      </c>
      <c r="AE2163">
        <v>542</v>
      </c>
      <c r="AF2163">
        <v>13</v>
      </c>
      <c r="AG2163">
        <v>180</v>
      </c>
      <c r="AH2163">
        <v>129</v>
      </c>
      <c r="AI2163">
        <v>2.4</v>
      </c>
      <c r="AJ2163">
        <v>33.21</v>
      </c>
      <c r="AK2163">
        <v>23.8</v>
      </c>
      <c r="AL2163">
        <v>-20.16956104999997</v>
      </c>
      <c r="AM2163">
        <v>-44.866560528183591</v>
      </c>
      <c r="AN2163">
        <v>-20.16956104999997</v>
      </c>
      <c r="AO2163">
        <v>-44.866560528183591</v>
      </c>
      <c r="AP2163">
        <v>-20.169588999999998</v>
      </c>
      <c r="AQ2163">
        <v>-44.866636</v>
      </c>
      <c r="AR2163">
        <v>8.4778927137831293</v>
      </c>
      <c r="AS2163" t="s">
        <v>65</v>
      </c>
      <c r="AT2163">
        <v>1</v>
      </c>
      <c r="AU2163" t="s">
        <v>1026</v>
      </c>
      <c r="AV2163" t="s">
        <v>1027</v>
      </c>
      <c r="AW2163" t="s">
        <v>60</v>
      </c>
      <c r="AX2163" t="s">
        <v>68</v>
      </c>
      <c r="AY2163" t="s">
        <v>69</v>
      </c>
      <c r="AZ2163" t="b">
        <v>1</v>
      </c>
    </row>
    <row r="2164" spans="1:52" x14ac:dyDescent="0.3">
      <c r="A2164" t="s">
        <v>52</v>
      </c>
      <c r="B2164" t="s">
        <v>53</v>
      </c>
      <c r="C2164" t="s">
        <v>54</v>
      </c>
      <c r="D2164" t="s">
        <v>55</v>
      </c>
      <c r="E2164" t="s">
        <v>2149</v>
      </c>
      <c r="F2164" t="s">
        <v>190</v>
      </c>
      <c r="G2164" t="s">
        <v>1028</v>
      </c>
      <c r="H2164" t="s">
        <v>1029</v>
      </c>
      <c r="I2164" t="s">
        <v>1029</v>
      </c>
      <c r="J2164" t="s">
        <v>60</v>
      </c>
      <c r="K2164" t="s">
        <v>1016</v>
      </c>
      <c r="L2164" t="s">
        <v>62</v>
      </c>
      <c r="M2164" t="s">
        <v>1016</v>
      </c>
      <c r="N2164" t="s">
        <v>1030</v>
      </c>
      <c r="O2164" t="s">
        <v>855</v>
      </c>
      <c r="P2164">
        <v>-20.169778000000001</v>
      </c>
      <c r="Q2164">
        <v>-44.871940000000002</v>
      </c>
      <c r="R2164" s="2" t="str">
        <f>HYPERLINK("https://www.google.com/maps?q=-20.1697780,-44.8719400","Abrir no Google Maps")</f>
        <v>Abrir no Google Maps</v>
      </c>
      <c r="S2164">
        <v>3</v>
      </c>
      <c r="T2164">
        <v>730.45462447863167</v>
      </c>
      <c r="U2164">
        <v>3</v>
      </c>
      <c r="V2164">
        <v>0.44239092393405438</v>
      </c>
      <c r="W2164">
        <v>1</v>
      </c>
      <c r="X2164">
        <v>0.44239092393405438</v>
      </c>
      <c r="Y2164">
        <v>422</v>
      </c>
      <c r="Z2164">
        <v>600.74952959765801</v>
      </c>
      <c r="AA2164">
        <v>198</v>
      </c>
      <c r="AB2164">
        <v>332</v>
      </c>
      <c r="AC2164">
        <v>536</v>
      </c>
      <c r="AD2164">
        <v>26.61</v>
      </c>
      <c r="AE2164">
        <v>542</v>
      </c>
      <c r="AF2164">
        <v>13</v>
      </c>
      <c r="AG2164">
        <v>180</v>
      </c>
      <c r="AH2164">
        <v>129</v>
      </c>
      <c r="AI2164">
        <v>2.4</v>
      </c>
      <c r="AJ2164">
        <v>33.21</v>
      </c>
      <c r="AK2164">
        <v>23.8</v>
      </c>
      <c r="AL2164">
        <v>-20.169770599999961</v>
      </c>
      <c r="AM2164">
        <v>-44.871857291666629</v>
      </c>
      <c r="AN2164">
        <v>-20.169770599999961</v>
      </c>
      <c r="AO2164">
        <v>-44.871857291666629</v>
      </c>
      <c r="AP2164">
        <v>-20.169778000000001</v>
      </c>
      <c r="AQ2164">
        <v>-44.871940000000002</v>
      </c>
      <c r="AR2164">
        <v>8.6816379320830315</v>
      </c>
      <c r="AS2164" t="s">
        <v>65</v>
      </c>
      <c r="AT2164">
        <v>1</v>
      </c>
      <c r="AU2164" t="s">
        <v>1031</v>
      </c>
      <c r="AV2164" t="s">
        <v>1032</v>
      </c>
      <c r="AW2164" t="s">
        <v>60</v>
      </c>
      <c r="AX2164" t="s">
        <v>68</v>
      </c>
      <c r="AY2164" t="s">
        <v>69</v>
      </c>
      <c r="AZ2164" t="b">
        <v>1</v>
      </c>
    </row>
    <row r="2165" spans="1:52" x14ac:dyDescent="0.3">
      <c r="A2165" t="s">
        <v>52</v>
      </c>
      <c r="B2165" t="s">
        <v>53</v>
      </c>
      <c r="C2165" t="s">
        <v>54</v>
      </c>
      <c r="D2165" t="s">
        <v>55</v>
      </c>
      <c r="E2165" t="s">
        <v>2149</v>
      </c>
      <c r="F2165" t="s">
        <v>190</v>
      </c>
      <c r="G2165" t="s">
        <v>1033</v>
      </c>
      <c r="H2165" t="s">
        <v>1034</v>
      </c>
      <c r="I2165" t="s">
        <v>1034</v>
      </c>
      <c r="J2165" t="s">
        <v>60</v>
      </c>
      <c r="K2165" t="s">
        <v>1016</v>
      </c>
      <c r="L2165" t="s">
        <v>62</v>
      </c>
      <c r="M2165" t="s">
        <v>1016</v>
      </c>
      <c r="N2165" t="s">
        <v>1035</v>
      </c>
      <c r="O2165" t="s">
        <v>1036</v>
      </c>
      <c r="P2165">
        <v>-20.176404999999999</v>
      </c>
      <c r="Q2165">
        <v>-44.871102</v>
      </c>
      <c r="R2165" s="2" t="str">
        <f>HYPERLINK("https://www.google.com/maps?q=-20.1764050,-44.8711020","Abrir no Google Maps")</f>
        <v>Abrir no Google Maps</v>
      </c>
      <c r="S2165">
        <v>3</v>
      </c>
      <c r="T2165">
        <v>746.17794449655105</v>
      </c>
      <c r="U2165">
        <v>3</v>
      </c>
      <c r="V2165">
        <v>0.4238425044478249</v>
      </c>
      <c r="W2165">
        <v>1</v>
      </c>
      <c r="X2165">
        <v>0.4238425044478249</v>
      </c>
      <c r="Y2165">
        <v>422</v>
      </c>
      <c r="Z2165">
        <v>532.61564453099913</v>
      </c>
      <c r="AA2165">
        <v>198</v>
      </c>
      <c r="AB2165">
        <v>332</v>
      </c>
      <c r="AC2165">
        <v>536</v>
      </c>
      <c r="AD2165">
        <v>26.61</v>
      </c>
      <c r="AE2165">
        <v>542</v>
      </c>
      <c r="AF2165">
        <v>13</v>
      </c>
      <c r="AG2165">
        <v>180</v>
      </c>
      <c r="AH2165">
        <v>129</v>
      </c>
      <c r="AI2165">
        <v>2.4</v>
      </c>
      <c r="AJ2165">
        <v>33.21</v>
      </c>
      <c r="AK2165">
        <v>23.8</v>
      </c>
      <c r="AL2165">
        <v>-20.176464949999971</v>
      </c>
      <c r="AM2165">
        <v>-44.871010194676387</v>
      </c>
      <c r="AN2165">
        <v>-20.176464949999971</v>
      </c>
      <c r="AO2165">
        <v>-44.871010194676387</v>
      </c>
      <c r="AP2165">
        <v>-20.176404999999999</v>
      </c>
      <c r="AQ2165">
        <v>-44.871102</v>
      </c>
      <c r="AR2165">
        <v>11.68571547850415</v>
      </c>
      <c r="AS2165" t="s">
        <v>65</v>
      </c>
      <c r="AT2165">
        <v>1</v>
      </c>
      <c r="AU2165" t="s">
        <v>1037</v>
      </c>
      <c r="AV2165" t="s">
        <v>1038</v>
      </c>
      <c r="AW2165" t="s">
        <v>60</v>
      </c>
      <c r="AX2165" t="s">
        <v>68</v>
      </c>
      <c r="AY2165" t="s">
        <v>69</v>
      </c>
      <c r="AZ2165" t="b">
        <v>1</v>
      </c>
    </row>
    <row r="2166" spans="1:52" x14ac:dyDescent="0.3">
      <c r="A2166" t="s">
        <v>52</v>
      </c>
      <c r="B2166" t="s">
        <v>53</v>
      </c>
      <c r="C2166" t="s">
        <v>54</v>
      </c>
      <c r="D2166" t="s">
        <v>55</v>
      </c>
      <c r="E2166" t="s">
        <v>2149</v>
      </c>
      <c r="F2166" t="s">
        <v>190</v>
      </c>
      <c r="G2166" t="s">
        <v>693</v>
      </c>
      <c r="H2166" t="s">
        <v>694</v>
      </c>
      <c r="I2166" t="s">
        <v>694</v>
      </c>
      <c r="J2166" t="s">
        <v>60</v>
      </c>
      <c r="K2166" t="s">
        <v>695</v>
      </c>
      <c r="L2166" t="s">
        <v>62</v>
      </c>
      <c r="M2166" t="s">
        <v>695</v>
      </c>
      <c r="N2166" t="s">
        <v>696</v>
      </c>
      <c r="O2166" t="s">
        <v>697</v>
      </c>
      <c r="P2166">
        <v>-20.174917000000001</v>
      </c>
      <c r="Q2166">
        <v>-44.857677000000002</v>
      </c>
      <c r="R2166" s="2" t="str">
        <f>HYPERLINK("https://www.google.com/maps?q=-20.1749170,-44.8576770","Abrir no Google Maps")</f>
        <v>Abrir no Google Maps</v>
      </c>
      <c r="S2166">
        <v>3</v>
      </c>
      <c r="T2166">
        <v>850.52349144267646</v>
      </c>
      <c r="U2166">
        <v>3</v>
      </c>
      <c r="V2166">
        <v>0.45916617510063551</v>
      </c>
      <c r="W2166">
        <v>1</v>
      </c>
      <c r="X2166">
        <v>0.45916617510063551</v>
      </c>
      <c r="Y2166">
        <v>422</v>
      </c>
      <c r="Z2166">
        <v>1042.4685698911451</v>
      </c>
      <c r="AA2166">
        <v>198</v>
      </c>
      <c r="AB2166">
        <v>332</v>
      </c>
      <c r="AC2166">
        <v>536</v>
      </c>
      <c r="AD2166">
        <v>26.61</v>
      </c>
      <c r="AE2166">
        <v>542</v>
      </c>
      <c r="AF2166">
        <v>13</v>
      </c>
      <c r="AG2166">
        <v>180</v>
      </c>
      <c r="AH2166">
        <v>129</v>
      </c>
      <c r="AI2166">
        <v>2.4</v>
      </c>
      <c r="AJ2166">
        <v>33.21</v>
      </c>
      <c r="AK2166">
        <v>23.8</v>
      </c>
      <c r="AL2166">
        <v>-20.17483459999994</v>
      </c>
      <c r="AM2166">
        <v>-44.857715667542379</v>
      </c>
      <c r="AN2166">
        <v>-20.17483459999994</v>
      </c>
      <c r="AO2166">
        <v>-44.857715667542379</v>
      </c>
      <c r="AP2166">
        <v>-20.174917000000001</v>
      </c>
      <c r="AQ2166">
        <v>-44.857677000000002</v>
      </c>
      <c r="AR2166">
        <v>10.02318555136439</v>
      </c>
      <c r="AS2166" t="s">
        <v>65</v>
      </c>
      <c r="AT2166">
        <v>1</v>
      </c>
      <c r="AU2166" t="s">
        <v>698</v>
      </c>
      <c r="AV2166" t="s">
        <v>699</v>
      </c>
      <c r="AW2166" t="s">
        <v>60</v>
      </c>
      <c r="AX2166" t="s">
        <v>68</v>
      </c>
      <c r="AY2166" t="s">
        <v>69</v>
      </c>
      <c r="AZ2166" t="b">
        <v>1</v>
      </c>
    </row>
    <row r="2167" spans="1:52" x14ac:dyDescent="0.3">
      <c r="A2167" t="s">
        <v>52</v>
      </c>
      <c r="B2167" t="s">
        <v>53</v>
      </c>
      <c r="C2167" t="s">
        <v>54</v>
      </c>
      <c r="D2167" t="s">
        <v>55</v>
      </c>
      <c r="E2167" t="s">
        <v>2149</v>
      </c>
      <c r="F2167" t="s">
        <v>190</v>
      </c>
      <c r="G2167" t="s">
        <v>1039</v>
      </c>
      <c r="H2167" t="s">
        <v>1040</v>
      </c>
      <c r="I2167" t="s">
        <v>1040</v>
      </c>
      <c r="J2167" t="s">
        <v>60</v>
      </c>
      <c r="K2167" t="s">
        <v>1023</v>
      </c>
      <c r="L2167" t="s">
        <v>62</v>
      </c>
      <c r="M2167" t="s">
        <v>1023</v>
      </c>
      <c r="N2167" t="s">
        <v>1041</v>
      </c>
      <c r="O2167" t="s">
        <v>738</v>
      </c>
      <c r="P2167">
        <v>-20.172284000000001</v>
      </c>
      <c r="Q2167">
        <v>-44.865392999999997</v>
      </c>
      <c r="R2167" s="2" t="str">
        <f>HYPERLINK("https://www.google.com/maps?q=-20.1722840,-44.8653930","Abrir no Google Maps")</f>
        <v>Abrir no Google Maps</v>
      </c>
      <c r="S2167">
        <v>3</v>
      </c>
      <c r="T2167">
        <v>0</v>
      </c>
      <c r="U2167">
        <v>3</v>
      </c>
      <c r="V2167">
        <v>0.43082148518974128</v>
      </c>
      <c r="W2167">
        <v>1</v>
      </c>
      <c r="X2167">
        <v>0.43082148518974128</v>
      </c>
      <c r="Y2167">
        <v>422</v>
      </c>
      <c r="Z2167">
        <v>202.96804500763591</v>
      </c>
      <c r="AA2167">
        <v>198</v>
      </c>
      <c r="AB2167">
        <v>332</v>
      </c>
      <c r="AC2167">
        <v>536</v>
      </c>
      <c r="AD2167">
        <v>26.61</v>
      </c>
      <c r="AE2167">
        <v>542</v>
      </c>
      <c r="AF2167">
        <v>13</v>
      </c>
      <c r="AG2167">
        <v>180</v>
      </c>
      <c r="AH2167">
        <v>129</v>
      </c>
      <c r="AI2167">
        <v>2.4</v>
      </c>
      <c r="AJ2167">
        <v>33.21</v>
      </c>
      <c r="AK2167">
        <v>23.8</v>
      </c>
      <c r="AL2167">
        <v>-20.17229514999994</v>
      </c>
      <c r="AM2167">
        <v>-44.865398249858011</v>
      </c>
      <c r="AN2167">
        <v>-20.17229514999994</v>
      </c>
      <c r="AO2167">
        <v>-44.865398249858011</v>
      </c>
      <c r="AP2167">
        <v>-20.172284000000001</v>
      </c>
      <c r="AQ2167">
        <v>-44.865392999999997</v>
      </c>
      <c r="AR2167">
        <v>1.357036084497409</v>
      </c>
      <c r="AS2167" t="s">
        <v>65</v>
      </c>
      <c r="AT2167">
        <v>1</v>
      </c>
      <c r="AU2167" t="s">
        <v>1042</v>
      </c>
      <c r="AV2167" t="s">
        <v>1043</v>
      </c>
      <c r="AW2167" t="s">
        <v>60</v>
      </c>
      <c r="AX2167" t="s">
        <v>68</v>
      </c>
      <c r="AY2167" t="s">
        <v>69</v>
      </c>
      <c r="AZ2167" t="b">
        <v>1</v>
      </c>
    </row>
    <row r="2168" spans="1:52" x14ac:dyDescent="0.3">
      <c r="A2168" t="s">
        <v>52</v>
      </c>
      <c r="B2168" t="s">
        <v>53</v>
      </c>
      <c r="C2168" t="s">
        <v>54</v>
      </c>
      <c r="D2168" t="s">
        <v>55</v>
      </c>
      <c r="E2168" t="s">
        <v>2149</v>
      </c>
      <c r="F2168" t="s">
        <v>190</v>
      </c>
      <c r="G2168" t="s">
        <v>700</v>
      </c>
      <c r="H2168" t="s">
        <v>701</v>
      </c>
      <c r="I2168" t="s">
        <v>701</v>
      </c>
      <c r="J2168" t="s">
        <v>60</v>
      </c>
      <c r="K2168" t="s">
        <v>702</v>
      </c>
      <c r="L2168" t="s">
        <v>62</v>
      </c>
      <c r="M2168" t="s">
        <v>702</v>
      </c>
      <c r="N2168" t="s">
        <v>703</v>
      </c>
      <c r="O2168" t="s">
        <v>315</v>
      </c>
      <c r="P2168">
        <v>-20.172599000000002</v>
      </c>
      <c r="Q2168">
        <v>-44.85915</v>
      </c>
      <c r="R2168" s="2" t="str">
        <f>HYPERLINK("https://www.google.com/maps?q=-20.1725990,-44.8591500","Abrir no Google Maps")</f>
        <v>Abrir no Google Maps</v>
      </c>
      <c r="S2168">
        <v>3</v>
      </c>
      <c r="T2168">
        <v>665.1003223445598</v>
      </c>
      <c r="U2168">
        <v>3</v>
      </c>
      <c r="V2168">
        <v>0.45319462742705718</v>
      </c>
      <c r="W2168">
        <v>1</v>
      </c>
      <c r="X2168">
        <v>0.45319462742705718</v>
      </c>
      <c r="Y2168">
        <v>422</v>
      </c>
      <c r="Z2168">
        <v>843.09189615634341</v>
      </c>
      <c r="AA2168">
        <v>198</v>
      </c>
      <c r="AB2168">
        <v>332</v>
      </c>
      <c r="AC2168">
        <v>536</v>
      </c>
      <c r="AD2168">
        <v>26.61</v>
      </c>
      <c r="AE2168">
        <v>542</v>
      </c>
      <c r="AF2168">
        <v>13</v>
      </c>
      <c r="AG2168">
        <v>180</v>
      </c>
      <c r="AH2168">
        <v>129</v>
      </c>
      <c r="AI2168">
        <v>2.4</v>
      </c>
      <c r="AJ2168">
        <v>33.21</v>
      </c>
      <c r="AK2168">
        <v>23.8</v>
      </c>
      <c r="AL2168">
        <v>-20.172576899999971</v>
      </c>
      <c r="AM2168">
        <v>-44.859040110359317</v>
      </c>
      <c r="AN2168">
        <v>-20.172576899999971</v>
      </c>
      <c r="AO2168">
        <v>-44.859040110359317</v>
      </c>
      <c r="AP2168">
        <v>-20.172599000000002</v>
      </c>
      <c r="AQ2168">
        <v>-44.85915</v>
      </c>
      <c r="AR2168">
        <v>11.743118835828479</v>
      </c>
      <c r="AS2168" t="s">
        <v>65</v>
      </c>
      <c r="AT2168">
        <v>1</v>
      </c>
      <c r="AU2168" t="s">
        <v>704</v>
      </c>
      <c r="AV2168" t="s">
        <v>705</v>
      </c>
      <c r="AW2168" t="s">
        <v>60</v>
      </c>
      <c r="AX2168" t="s">
        <v>68</v>
      </c>
      <c r="AY2168" t="s">
        <v>69</v>
      </c>
      <c r="AZ2168" t="b">
        <v>1</v>
      </c>
    </row>
    <row r="2169" spans="1:52" x14ac:dyDescent="0.3">
      <c r="A2169" t="s">
        <v>52</v>
      </c>
      <c r="B2169" t="s">
        <v>53</v>
      </c>
      <c r="C2169" t="s">
        <v>54</v>
      </c>
      <c r="D2169" t="s">
        <v>55</v>
      </c>
      <c r="E2169" t="s">
        <v>2149</v>
      </c>
      <c r="F2169" t="s">
        <v>190</v>
      </c>
      <c r="G2169" t="s">
        <v>1044</v>
      </c>
      <c r="H2169" t="s">
        <v>1045</v>
      </c>
      <c r="I2169" t="s">
        <v>1045</v>
      </c>
      <c r="J2169" t="s">
        <v>60</v>
      </c>
      <c r="K2169" t="s">
        <v>702</v>
      </c>
      <c r="L2169" t="s">
        <v>62</v>
      </c>
      <c r="M2169" t="s">
        <v>702</v>
      </c>
      <c r="N2169" t="s">
        <v>983</v>
      </c>
      <c r="O2169" t="s">
        <v>1046</v>
      </c>
      <c r="P2169">
        <v>-20.172056000000001</v>
      </c>
      <c r="Q2169">
        <v>-44.861556999999998</v>
      </c>
      <c r="R2169" s="2" t="str">
        <f>HYPERLINK("https://www.google.com/maps?q=-20.1720560,-44.8615570","Abrir no Google Maps")</f>
        <v>Abrir no Google Maps</v>
      </c>
      <c r="S2169">
        <v>3</v>
      </c>
      <c r="T2169">
        <v>387.50881633442719</v>
      </c>
      <c r="U2169">
        <v>3</v>
      </c>
      <c r="V2169">
        <v>0.4404237729198362</v>
      </c>
      <c r="W2169">
        <v>1</v>
      </c>
      <c r="X2169">
        <v>0.4404237729198362</v>
      </c>
      <c r="Y2169">
        <v>422</v>
      </c>
      <c r="Z2169">
        <v>592.01060063884404</v>
      </c>
      <c r="AA2169">
        <v>198</v>
      </c>
      <c r="AB2169">
        <v>332</v>
      </c>
      <c r="AC2169">
        <v>536</v>
      </c>
      <c r="AD2169">
        <v>26.61</v>
      </c>
      <c r="AE2169">
        <v>542</v>
      </c>
      <c r="AF2169">
        <v>13</v>
      </c>
      <c r="AG2169">
        <v>180</v>
      </c>
      <c r="AH2169">
        <v>129</v>
      </c>
      <c r="AI2169">
        <v>2.4</v>
      </c>
      <c r="AJ2169">
        <v>33.21</v>
      </c>
      <c r="AK2169">
        <v>23.8</v>
      </c>
      <c r="AL2169">
        <v>-20.171880149999961</v>
      </c>
      <c r="AM2169">
        <v>-44.861715860253369</v>
      </c>
      <c r="AN2169">
        <v>-20.171880149999961</v>
      </c>
      <c r="AO2169">
        <v>-44.861715860253369</v>
      </c>
      <c r="AP2169">
        <v>-20.172056000000001</v>
      </c>
      <c r="AQ2169">
        <v>-44.861556999999998</v>
      </c>
      <c r="AR2169">
        <v>25.66616443825145</v>
      </c>
      <c r="AS2169" t="s">
        <v>65</v>
      </c>
      <c r="AT2169">
        <v>1</v>
      </c>
      <c r="AU2169" t="s">
        <v>1047</v>
      </c>
      <c r="AV2169" t="s">
        <v>705</v>
      </c>
      <c r="AW2169" t="s">
        <v>60</v>
      </c>
      <c r="AX2169" t="s">
        <v>68</v>
      </c>
      <c r="AY2169" t="s">
        <v>69</v>
      </c>
      <c r="AZ2169" t="b">
        <v>1</v>
      </c>
    </row>
    <row r="2170" spans="1:52" x14ac:dyDescent="0.3">
      <c r="A2170" t="s">
        <v>52</v>
      </c>
      <c r="B2170" t="s">
        <v>53</v>
      </c>
      <c r="C2170" t="s">
        <v>54</v>
      </c>
      <c r="D2170" t="s">
        <v>55</v>
      </c>
      <c r="E2170" t="s">
        <v>2149</v>
      </c>
      <c r="F2170" t="s">
        <v>190</v>
      </c>
      <c r="G2170" t="s">
        <v>1048</v>
      </c>
      <c r="H2170" t="s">
        <v>1049</v>
      </c>
      <c r="I2170" t="s">
        <v>1049</v>
      </c>
      <c r="J2170" t="s">
        <v>60</v>
      </c>
      <c r="K2170" t="s">
        <v>708</v>
      </c>
      <c r="L2170" t="s">
        <v>62</v>
      </c>
      <c r="M2170" t="s">
        <v>708</v>
      </c>
      <c r="N2170" t="s">
        <v>1050</v>
      </c>
      <c r="O2170" t="s">
        <v>1051</v>
      </c>
      <c r="P2170">
        <v>-20.128316000000002</v>
      </c>
      <c r="Q2170">
        <v>-44.878137000000002</v>
      </c>
      <c r="R2170" s="2" t="str">
        <f>HYPERLINK("https://www.google.com/maps?q=-20.1283160,-44.8781370","Abrir no Google Maps")</f>
        <v>Abrir no Google Maps</v>
      </c>
      <c r="S2170">
        <v>3</v>
      </c>
      <c r="T2170">
        <v>513.28053815499243</v>
      </c>
      <c r="U2170">
        <v>3</v>
      </c>
      <c r="V2170">
        <v>0.45313417140164552</v>
      </c>
      <c r="W2170">
        <v>1</v>
      </c>
      <c r="X2170">
        <v>0.45313417140164552</v>
      </c>
      <c r="Y2170">
        <v>387</v>
      </c>
      <c r="Z2170">
        <v>385.74604528561741</v>
      </c>
      <c r="AA2170">
        <v>198</v>
      </c>
      <c r="AB2170">
        <v>332</v>
      </c>
      <c r="AC2170">
        <v>536</v>
      </c>
      <c r="AD2170">
        <v>26.61</v>
      </c>
      <c r="AE2170">
        <v>542</v>
      </c>
      <c r="AF2170">
        <v>13</v>
      </c>
      <c r="AG2170">
        <v>180</v>
      </c>
      <c r="AH2170">
        <v>129</v>
      </c>
      <c r="AI2170">
        <v>2.4</v>
      </c>
      <c r="AJ2170">
        <v>33.21</v>
      </c>
      <c r="AK2170">
        <v>23.8</v>
      </c>
      <c r="AL2170">
        <v>-20.128308349999969</v>
      </c>
      <c r="AM2170">
        <v>-44.878115052779357</v>
      </c>
      <c r="AN2170">
        <v>-20.128308349999969</v>
      </c>
      <c r="AO2170">
        <v>-44.878115052779357</v>
      </c>
      <c r="AP2170">
        <v>-20.128316000000002</v>
      </c>
      <c r="AQ2170">
        <v>-44.878137000000002</v>
      </c>
      <c r="AR2170">
        <v>2.4469186172207671</v>
      </c>
      <c r="AS2170" t="s">
        <v>65</v>
      </c>
      <c r="AT2170">
        <v>1</v>
      </c>
      <c r="AU2170" t="s">
        <v>1052</v>
      </c>
      <c r="AV2170" t="s">
        <v>1053</v>
      </c>
      <c r="AW2170" t="s">
        <v>60</v>
      </c>
      <c r="AX2170" t="s">
        <v>68</v>
      </c>
      <c r="AY2170" t="s">
        <v>69</v>
      </c>
      <c r="AZ2170" t="b">
        <v>1</v>
      </c>
    </row>
    <row r="2171" spans="1:52" x14ac:dyDescent="0.3">
      <c r="A2171" t="s">
        <v>52</v>
      </c>
      <c r="B2171" t="s">
        <v>53</v>
      </c>
      <c r="C2171" t="s">
        <v>54</v>
      </c>
      <c r="D2171" t="s">
        <v>55</v>
      </c>
      <c r="E2171" t="s">
        <v>2149</v>
      </c>
      <c r="F2171" t="s">
        <v>190</v>
      </c>
      <c r="G2171" t="s">
        <v>734</v>
      </c>
      <c r="H2171" t="s">
        <v>1059</v>
      </c>
      <c r="I2171" t="s">
        <v>1059</v>
      </c>
      <c r="J2171" t="s">
        <v>60</v>
      </c>
      <c r="K2171" t="s">
        <v>736</v>
      </c>
      <c r="L2171" t="s">
        <v>62</v>
      </c>
      <c r="M2171" t="s">
        <v>736</v>
      </c>
      <c r="N2171" t="s">
        <v>1060</v>
      </c>
      <c r="O2171" t="s">
        <v>1061</v>
      </c>
      <c r="P2171">
        <v>-20.104700000000001</v>
      </c>
      <c r="Q2171">
        <v>-44.972988000000001</v>
      </c>
      <c r="R2171" s="2" t="str">
        <f>HYPERLINK("https://www.google.com/maps?q=-20.1047000,-44.9729880","Abrir no Google Maps")</f>
        <v>Abrir no Google Maps</v>
      </c>
      <c r="S2171">
        <v>3</v>
      </c>
      <c r="T2171">
        <v>0</v>
      </c>
      <c r="U2171">
        <v>3</v>
      </c>
      <c r="V2171">
        <v>0.45546988479486422</v>
      </c>
      <c r="W2171">
        <v>1</v>
      </c>
      <c r="X2171">
        <v>0.45546988479486422</v>
      </c>
      <c r="Y2171">
        <v>385</v>
      </c>
      <c r="Z2171">
        <v>130.87424695814411</v>
      </c>
      <c r="AA2171">
        <v>198</v>
      </c>
      <c r="AB2171">
        <v>332</v>
      </c>
      <c r="AC2171">
        <v>536</v>
      </c>
      <c r="AD2171">
        <v>26.61</v>
      </c>
      <c r="AE2171">
        <v>542</v>
      </c>
      <c r="AF2171">
        <v>13</v>
      </c>
      <c r="AG2171">
        <v>180</v>
      </c>
      <c r="AH2171">
        <v>129</v>
      </c>
      <c r="AI2171">
        <v>2.4</v>
      </c>
      <c r="AJ2171">
        <v>33.21</v>
      </c>
      <c r="AK2171">
        <v>23.8</v>
      </c>
      <c r="AL2171">
        <v>-20.104640449999948</v>
      </c>
      <c r="AM2171">
        <v>-44.972990283032523</v>
      </c>
      <c r="AN2171">
        <v>-20.104640449999948</v>
      </c>
      <c r="AO2171">
        <v>-44.972990283032509</v>
      </c>
      <c r="AP2171">
        <v>-20.104700000000001</v>
      </c>
      <c r="AQ2171">
        <v>-44.972988000000001</v>
      </c>
      <c r="AR2171">
        <v>6.6334007529191332</v>
      </c>
      <c r="AS2171" t="s">
        <v>65</v>
      </c>
      <c r="AT2171">
        <v>1</v>
      </c>
      <c r="AU2171" t="s">
        <v>1062</v>
      </c>
      <c r="AV2171" t="s">
        <v>1063</v>
      </c>
      <c r="AW2171" t="s">
        <v>60</v>
      </c>
      <c r="AX2171" t="s">
        <v>68</v>
      </c>
      <c r="AY2171" t="s">
        <v>69</v>
      </c>
      <c r="AZ2171" t="b">
        <v>1</v>
      </c>
    </row>
    <row r="2172" spans="1:52" x14ac:dyDescent="0.3">
      <c r="A2172" t="s">
        <v>52</v>
      </c>
      <c r="B2172" t="s">
        <v>53</v>
      </c>
      <c r="C2172" t="s">
        <v>54</v>
      </c>
      <c r="D2172" t="s">
        <v>55</v>
      </c>
      <c r="E2172" t="s">
        <v>2149</v>
      </c>
      <c r="F2172" t="s">
        <v>190</v>
      </c>
      <c r="G2172" t="s">
        <v>734</v>
      </c>
      <c r="H2172" t="s">
        <v>1064</v>
      </c>
      <c r="I2172" t="s">
        <v>1064</v>
      </c>
      <c r="J2172" t="s">
        <v>60</v>
      </c>
      <c r="K2172" t="s">
        <v>530</v>
      </c>
      <c r="L2172" t="s">
        <v>62</v>
      </c>
      <c r="M2172" t="s">
        <v>530</v>
      </c>
      <c r="N2172" t="s">
        <v>1060</v>
      </c>
      <c r="O2172" t="s">
        <v>1065</v>
      </c>
      <c r="P2172">
        <v>-20.102878</v>
      </c>
      <c r="Q2172">
        <v>-44.974297</v>
      </c>
      <c r="R2172" s="2" t="str">
        <f>HYPERLINK("https://www.google.com/maps?q=-20.1028780,-44.9742970","Abrir no Google Maps")</f>
        <v>Abrir no Google Maps</v>
      </c>
      <c r="S2172">
        <v>3</v>
      </c>
      <c r="T2172">
        <v>261.64376156647683</v>
      </c>
      <c r="U2172">
        <v>3</v>
      </c>
      <c r="V2172">
        <v>0.44119663979797369</v>
      </c>
      <c r="W2172">
        <v>1</v>
      </c>
      <c r="X2172">
        <v>0.44119663979797369</v>
      </c>
      <c r="Y2172">
        <v>385</v>
      </c>
      <c r="Z2172">
        <v>272.78931550338098</v>
      </c>
      <c r="AA2172">
        <v>198</v>
      </c>
      <c r="AB2172">
        <v>332</v>
      </c>
      <c r="AC2172">
        <v>536</v>
      </c>
      <c r="AD2172">
        <v>26.61</v>
      </c>
      <c r="AE2172">
        <v>542</v>
      </c>
      <c r="AF2172">
        <v>13</v>
      </c>
      <c r="AG2172">
        <v>180</v>
      </c>
      <c r="AH2172">
        <v>129</v>
      </c>
      <c r="AI2172">
        <v>2.4</v>
      </c>
      <c r="AJ2172">
        <v>33.21</v>
      </c>
      <c r="AK2172">
        <v>23.8</v>
      </c>
      <c r="AL2172">
        <v>-20.102914199999962</v>
      </c>
      <c r="AM2172">
        <v>-44.974700580584418</v>
      </c>
      <c r="AN2172">
        <v>-20.102914199999962</v>
      </c>
      <c r="AO2172">
        <v>-44.974700580584418</v>
      </c>
      <c r="AP2172">
        <v>-20.102878</v>
      </c>
      <c r="AQ2172">
        <v>-44.974297</v>
      </c>
      <c r="AR2172">
        <v>42.381535645626968</v>
      </c>
      <c r="AS2172" t="s">
        <v>65</v>
      </c>
      <c r="AT2172">
        <v>1</v>
      </c>
      <c r="AU2172" t="s">
        <v>1066</v>
      </c>
      <c r="AV2172" t="s">
        <v>1067</v>
      </c>
      <c r="AW2172" t="s">
        <v>60</v>
      </c>
      <c r="AX2172" t="s">
        <v>68</v>
      </c>
      <c r="AY2172" t="s">
        <v>69</v>
      </c>
      <c r="AZ2172" t="b">
        <v>1</v>
      </c>
    </row>
    <row r="2173" spans="1:52" x14ac:dyDescent="0.3">
      <c r="A2173" t="s">
        <v>52</v>
      </c>
      <c r="B2173" t="s">
        <v>53</v>
      </c>
      <c r="C2173" t="s">
        <v>54</v>
      </c>
      <c r="D2173" t="s">
        <v>55</v>
      </c>
      <c r="E2173" t="s">
        <v>2149</v>
      </c>
      <c r="F2173" t="s">
        <v>190</v>
      </c>
      <c r="G2173" t="s">
        <v>734</v>
      </c>
      <c r="H2173" t="s">
        <v>735</v>
      </c>
      <c r="I2173" t="s">
        <v>735</v>
      </c>
      <c r="J2173" t="s">
        <v>60</v>
      </c>
      <c r="K2173" t="s">
        <v>736</v>
      </c>
      <c r="L2173" t="s">
        <v>62</v>
      </c>
      <c r="M2173" t="s">
        <v>736</v>
      </c>
      <c r="N2173" t="s">
        <v>737</v>
      </c>
      <c r="O2173" t="s">
        <v>738</v>
      </c>
      <c r="P2173">
        <v>-20.113050000000001</v>
      </c>
      <c r="Q2173">
        <v>-44.977640999999998</v>
      </c>
      <c r="R2173" s="2" t="str">
        <f>HYPERLINK("https://www.google.com/maps?q=-20.1130500,-44.9776410","Abrir no Google Maps")</f>
        <v>Abrir no Google Maps</v>
      </c>
      <c r="S2173">
        <v>3</v>
      </c>
      <c r="T2173">
        <v>1057.751631532733</v>
      </c>
      <c r="U2173">
        <v>3</v>
      </c>
      <c r="V2173">
        <v>0.43369596138659799</v>
      </c>
      <c r="W2173">
        <v>1</v>
      </c>
      <c r="X2173">
        <v>0.43369596138659799</v>
      </c>
      <c r="Y2173">
        <v>385</v>
      </c>
      <c r="Z2173">
        <v>1001.029655866156</v>
      </c>
      <c r="AA2173">
        <v>198</v>
      </c>
      <c r="AB2173">
        <v>332</v>
      </c>
      <c r="AC2173">
        <v>536</v>
      </c>
      <c r="AD2173">
        <v>26.61</v>
      </c>
      <c r="AE2173">
        <v>542</v>
      </c>
      <c r="AF2173">
        <v>13</v>
      </c>
      <c r="AG2173">
        <v>180</v>
      </c>
      <c r="AH2173">
        <v>129</v>
      </c>
      <c r="AI2173">
        <v>2.4</v>
      </c>
      <c r="AJ2173">
        <v>33.21</v>
      </c>
      <c r="AK2173">
        <v>23.8</v>
      </c>
      <c r="AL2173">
        <v>-20.112977499999939</v>
      </c>
      <c r="AM2173">
        <v>-44.977939579895221</v>
      </c>
      <c r="AN2173">
        <v>-20.112977499999939</v>
      </c>
      <c r="AO2173">
        <v>-44.977939579895221</v>
      </c>
      <c r="AP2173">
        <v>-20.113050000000001</v>
      </c>
      <c r="AQ2173">
        <v>-44.977640999999998</v>
      </c>
      <c r="AR2173">
        <v>32.23754556505741</v>
      </c>
      <c r="AS2173" t="s">
        <v>65</v>
      </c>
      <c r="AT2173">
        <v>1</v>
      </c>
      <c r="AU2173" t="s">
        <v>739</v>
      </c>
      <c r="AV2173" t="s">
        <v>740</v>
      </c>
      <c r="AW2173" t="s">
        <v>60</v>
      </c>
      <c r="AX2173" t="s">
        <v>68</v>
      </c>
      <c r="AY2173" t="s">
        <v>69</v>
      </c>
      <c r="AZ2173" t="b">
        <v>1</v>
      </c>
    </row>
    <row r="2174" spans="1:52" x14ac:dyDescent="0.3">
      <c r="A2174" t="s">
        <v>52</v>
      </c>
      <c r="B2174" t="s">
        <v>53</v>
      </c>
      <c r="C2174" t="s">
        <v>54</v>
      </c>
      <c r="D2174" t="s">
        <v>55</v>
      </c>
      <c r="E2174" t="s">
        <v>2149</v>
      </c>
      <c r="F2174" t="s">
        <v>190</v>
      </c>
      <c r="G2174" t="s">
        <v>1083</v>
      </c>
      <c r="H2174" t="s">
        <v>1084</v>
      </c>
      <c r="I2174" t="s">
        <v>1084</v>
      </c>
      <c r="J2174" t="s">
        <v>60</v>
      </c>
      <c r="K2174" t="s">
        <v>761</v>
      </c>
      <c r="L2174" t="s">
        <v>62</v>
      </c>
      <c r="M2174" t="s">
        <v>761</v>
      </c>
      <c r="N2174" t="s">
        <v>1085</v>
      </c>
      <c r="O2174" t="s">
        <v>1086</v>
      </c>
      <c r="P2174">
        <v>-20.124312</v>
      </c>
      <c r="Q2174">
        <v>-44.850425000000001</v>
      </c>
      <c r="R2174" s="2" t="str">
        <f>HYPERLINK("https://www.google.com/maps?q=-20.1243120,-44.8504250","Abrir no Google Maps")</f>
        <v>Abrir no Google Maps</v>
      </c>
      <c r="S2174">
        <v>3</v>
      </c>
      <c r="T2174">
        <v>0</v>
      </c>
      <c r="U2174">
        <v>3</v>
      </c>
      <c r="V2174">
        <v>0.42041197267113339</v>
      </c>
      <c r="W2174">
        <v>1</v>
      </c>
      <c r="X2174">
        <v>0.42041197267113339</v>
      </c>
      <c r="Y2174">
        <v>350</v>
      </c>
      <c r="Z2174">
        <v>380.24040721202471</v>
      </c>
      <c r="AA2174">
        <v>198</v>
      </c>
      <c r="AB2174">
        <v>332</v>
      </c>
      <c r="AC2174">
        <v>536</v>
      </c>
      <c r="AD2174">
        <v>26.61</v>
      </c>
      <c r="AE2174">
        <v>542</v>
      </c>
      <c r="AF2174">
        <v>13</v>
      </c>
      <c r="AG2174">
        <v>180</v>
      </c>
      <c r="AH2174">
        <v>129</v>
      </c>
      <c r="AI2174">
        <v>2.4</v>
      </c>
      <c r="AJ2174">
        <v>33.21</v>
      </c>
      <c r="AK2174">
        <v>23.8</v>
      </c>
      <c r="AL2174">
        <v>-20.126267499999951</v>
      </c>
      <c r="AM2174">
        <v>-44.852460192840908</v>
      </c>
      <c r="AN2174">
        <v>-20.126267499999951</v>
      </c>
      <c r="AO2174">
        <v>-44.852460192840908</v>
      </c>
      <c r="AP2174">
        <v>-20.124312</v>
      </c>
      <c r="AQ2174">
        <v>-44.850425000000001</v>
      </c>
      <c r="AR2174">
        <v>304.36574074135672</v>
      </c>
      <c r="AS2174" t="s">
        <v>65</v>
      </c>
      <c r="AT2174">
        <v>1</v>
      </c>
      <c r="AU2174" t="s">
        <v>1087</v>
      </c>
      <c r="AV2174" t="s">
        <v>1088</v>
      </c>
      <c r="AW2174" t="s">
        <v>60</v>
      </c>
      <c r="AX2174" t="s">
        <v>68</v>
      </c>
      <c r="AY2174" t="s">
        <v>69</v>
      </c>
      <c r="AZ2174" t="b">
        <v>1</v>
      </c>
    </row>
    <row r="2175" spans="1:52" x14ac:dyDescent="0.3">
      <c r="A2175" t="s">
        <v>52</v>
      </c>
      <c r="B2175" t="s">
        <v>53</v>
      </c>
      <c r="C2175" t="s">
        <v>54</v>
      </c>
      <c r="D2175" t="s">
        <v>55</v>
      </c>
      <c r="E2175" t="s">
        <v>2149</v>
      </c>
      <c r="F2175" t="s">
        <v>190</v>
      </c>
      <c r="G2175" t="s">
        <v>1089</v>
      </c>
      <c r="H2175" t="s">
        <v>1090</v>
      </c>
      <c r="I2175" t="s">
        <v>1090</v>
      </c>
      <c r="J2175" t="s">
        <v>60</v>
      </c>
      <c r="K2175" t="s">
        <v>761</v>
      </c>
      <c r="L2175" t="s">
        <v>62</v>
      </c>
      <c r="M2175" t="s">
        <v>761</v>
      </c>
      <c r="N2175" t="s">
        <v>1091</v>
      </c>
      <c r="O2175" t="s">
        <v>86</v>
      </c>
      <c r="P2175">
        <v>-20.116182999999999</v>
      </c>
      <c r="Q2175">
        <v>-44.850524</v>
      </c>
      <c r="R2175" s="2" t="str">
        <f>HYPERLINK("https://www.google.com/maps?q=-20.1161830,-44.8505240","Abrir no Google Maps")</f>
        <v>Abrir no Google Maps</v>
      </c>
      <c r="S2175">
        <v>3</v>
      </c>
      <c r="T2175">
        <v>1142.6607426309961</v>
      </c>
      <c r="U2175">
        <v>3</v>
      </c>
      <c r="V2175">
        <v>0.4313771887907048</v>
      </c>
      <c r="W2175">
        <v>1</v>
      </c>
      <c r="X2175">
        <v>0.4313771887907048</v>
      </c>
      <c r="Y2175">
        <v>350</v>
      </c>
      <c r="Z2175">
        <v>723.44841640590141</v>
      </c>
      <c r="AA2175">
        <v>198</v>
      </c>
      <c r="AB2175">
        <v>332</v>
      </c>
      <c r="AC2175">
        <v>536</v>
      </c>
      <c r="AD2175">
        <v>26.61</v>
      </c>
      <c r="AE2175">
        <v>542</v>
      </c>
      <c r="AF2175">
        <v>13</v>
      </c>
      <c r="AG2175">
        <v>180</v>
      </c>
      <c r="AH2175">
        <v>129</v>
      </c>
      <c r="AI2175">
        <v>2.4</v>
      </c>
      <c r="AJ2175">
        <v>33.21</v>
      </c>
      <c r="AK2175">
        <v>23.8</v>
      </c>
      <c r="AL2175">
        <v>-20.11605684999995</v>
      </c>
      <c r="AM2175">
        <v>-44.850832861808193</v>
      </c>
      <c r="AN2175">
        <v>-20.11605684999995</v>
      </c>
      <c r="AO2175">
        <v>-44.850832861808193</v>
      </c>
      <c r="AP2175">
        <v>-20.116182999999999</v>
      </c>
      <c r="AQ2175">
        <v>-44.850524</v>
      </c>
      <c r="AR2175">
        <v>35.207009729928053</v>
      </c>
      <c r="AS2175" t="s">
        <v>65</v>
      </c>
      <c r="AT2175">
        <v>1</v>
      </c>
      <c r="AU2175" t="s">
        <v>1092</v>
      </c>
      <c r="AV2175" t="s">
        <v>1093</v>
      </c>
      <c r="AW2175" t="s">
        <v>60</v>
      </c>
      <c r="AX2175" t="s">
        <v>68</v>
      </c>
      <c r="AY2175" t="s">
        <v>69</v>
      </c>
      <c r="AZ2175" t="b">
        <v>1</v>
      </c>
    </row>
    <row r="2176" spans="1:52" x14ac:dyDescent="0.3">
      <c r="A2176" t="s">
        <v>52</v>
      </c>
      <c r="B2176" t="s">
        <v>53</v>
      </c>
      <c r="C2176" t="s">
        <v>54</v>
      </c>
      <c r="D2176" t="s">
        <v>55</v>
      </c>
      <c r="E2176" t="s">
        <v>2149</v>
      </c>
      <c r="F2176" t="s">
        <v>190</v>
      </c>
      <c r="G2176" t="s">
        <v>759</v>
      </c>
      <c r="H2176" t="s">
        <v>760</v>
      </c>
      <c r="I2176" t="s">
        <v>760</v>
      </c>
      <c r="J2176" t="s">
        <v>60</v>
      </c>
      <c r="K2176" t="s">
        <v>761</v>
      </c>
      <c r="L2176" t="s">
        <v>62</v>
      </c>
      <c r="M2176" t="s">
        <v>761</v>
      </c>
      <c r="N2176" t="s">
        <v>762</v>
      </c>
      <c r="O2176" t="s">
        <v>763</v>
      </c>
      <c r="P2176">
        <v>-20.118755</v>
      </c>
      <c r="Q2176">
        <v>-44.850627000000003</v>
      </c>
      <c r="R2176" s="2" t="str">
        <f>HYPERLINK("https://www.google.com/maps?q=-20.1187550,-44.8506270","Abrir no Google Maps")</f>
        <v>Abrir no Google Maps</v>
      </c>
      <c r="S2176">
        <v>3</v>
      </c>
      <c r="T2176">
        <v>848.81670834514034</v>
      </c>
      <c r="U2176">
        <v>3</v>
      </c>
      <c r="V2176">
        <v>0.4416406367041199</v>
      </c>
      <c r="W2176">
        <v>1</v>
      </c>
      <c r="X2176">
        <v>0.4416406367041199</v>
      </c>
      <c r="Y2176">
        <v>350</v>
      </c>
      <c r="Z2176">
        <v>443.51354125420028</v>
      </c>
      <c r="AA2176">
        <v>198</v>
      </c>
      <c r="AB2176">
        <v>332</v>
      </c>
      <c r="AC2176">
        <v>536</v>
      </c>
      <c r="AD2176">
        <v>26.61</v>
      </c>
      <c r="AE2176">
        <v>542</v>
      </c>
      <c r="AF2176">
        <v>13</v>
      </c>
      <c r="AG2176">
        <v>180</v>
      </c>
      <c r="AH2176">
        <v>129</v>
      </c>
      <c r="AI2176">
        <v>2.4</v>
      </c>
      <c r="AJ2176">
        <v>33.21</v>
      </c>
      <c r="AK2176">
        <v>23.8</v>
      </c>
      <c r="AL2176">
        <v>-20.11882464999994</v>
      </c>
      <c r="AM2176">
        <v>-44.850497004056017</v>
      </c>
      <c r="AN2176">
        <v>-20.11882464999994</v>
      </c>
      <c r="AO2176">
        <v>-44.850497004056017</v>
      </c>
      <c r="AP2176">
        <v>-20.118755</v>
      </c>
      <c r="AQ2176">
        <v>-44.850627000000003</v>
      </c>
      <c r="AR2176">
        <v>15.6445928866994</v>
      </c>
      <c r="AS2176" t="s">
        <v>65</v>
      </c>
      <c r="AT2176">
        <v>1</v>
      </c>
      <c r="AU2176" t="s">
        <v>764</v>
      </c>
      <c r="AV2176" t="s">
        <v>765</v>
      </c>
      <c r="AW2176" t="s">
        <v>60</v>
      </c>
      <c r="AX2176" t="s">
        <v>68</v>
      </c>
      <c r="AY2176" t="s">
        <v>69</v>
      </c>
      <c r="AZ2176" t="b">
        <v>1</v>
      </c>
    </row>
    <row r="2177" spans="1:52" x14ac:dyDescent="0.3">
      <c r="A2177" t="s">
        <v>52</v>
      </c>
      <c r="B2177" t="s">
        <v>53</v>
      </c>
      <c r="C2177" t="s">
        <v>54</v>
      </c>
      <c r="D2177" t="s">
        <v>55</v>
      </c>
      <c r="E2177" t="s">
        <v>2149</v>
      </c>
      <c r="F2177" t="s">
        <v>190</v>
      </c>
      <c r="G2177" t="s">
        <v>779</v>
      </c>
      <c r="H2177" t="s">
        <v>780</v>
      </c>
      <c r="I2177" t="s">
        <v>780</v>
      </c>
      <c r="J2177" t="s">
        <v>60</v>
      </c>
      <c r="K2177" t="s">
        <v>781</v>
      </c>
      <c r="L2177" t="s">
        <v>62</v>
      </c>
      <c r="M2177" t="s">
        <v>781</v>
      </c>
      <c r="N2177" t="s">
        <v>782</v>
      </c>
      <c r="O2177" t="s">
        <v>783</v>
      </c>
      <c r="P2177">
        <v>-20.137938999999999</v>
      </c>
      <c r="Q2177">
        <v>-44.865873000000001</v>
      </c>
      <c r="R2177" s="2" t="str">
        <f>HYPERLINK("https://www.google.com/maps?q=-20.1379390,-44.8658730","Abrir no Google Maps")</f>
        <v>Abrir no Google Maps</v>
      </c>
      <c r="S2177">
        <v>3</v>
      </c>
      <c r="T2177">
        <v>663.24596349877265</v>
      </c>
      <c r="U2177">
        <v>3</v>
      </c>
      <c r="V2177">
        <v>0.45342410729776028</v>
      </c>
      <c r="W2177">
        <v>1</v>
      </c>
      <c r="X2177">
        <v>0.45342410729776028</v>
      </c>
      <c r="Y2177">
        <v>332</v>
      </c>
      <c r="Z2177">
        <v>724.72470227972997</v>
      </c>
      <c r="AA2177">
        <v>198</v>
      </c>
      <c r="AB2177">
        <v>332</v>
      </c>
      <c r="AC2177">
        <v>536</v>
      </c>
      <c r="AD2177">
        <v>26.61</v>
      </c>
      <c r="AE2177">
        <v>542</v>
      </c>
      <c r="AF2177">
        <v>13</v>
      </c>
      <c r="AG2177">
        <v>180</v>
      </c>
      <c r="AH2177">
        <v>129</v>
      </c>
      <c r="AI2177">
        <v>2.4</v>
      </c>
      <c r="AJ2177">
        <v>33.21</v>
      </c>
      <c r="AK2177">
        <v>23.8</v>
      </c>
      <c r="AL2177">
        <v>-20.137865449999961</v>
      </c>
      <c r="AM2177">
        <v>-44.866141027847057</v>
      </c>
      <c r="AN2177">
        <v>-20.137865449999961</v>
      </c>
      <c r="AO2177">
        <v>-44.866141027847057</v>
      </c>
      <c r="AP2177">
        <v>-20.137938999999999</v>
      </c>
      <c r="AQ2177">
        <v>-44.865873000000001</v>
      </c>
      <c r="AR2177">
        <v>29.184856191831059</v>
      </c>
      <c r="AS2177" t="s">
        <v>65</v>
      </c>
      <c r="AT2177">
        <v>1</v>
      </c>
      <c r="AU2177" t="s">
        <v>784</v>
      </c>
      <c r="AV2177" t="s">
        <v>785</v>
      </c>
      <c r="AW2177" t="s">
        <v>60</v>
      </c>
      <c r="AX2177" t="s">
        <v>68</v>
      </c>
      <c r="AY2177" t="s">
        <v>69</v>
      </c>
      <c r="AZ2177" t="b">
        <v>1</v>
      </c>
    </row>
    <row r="2178" spans="1:52" x14ac:dyDescent="0.3">
      <c r="A2178" t="s">
        <v>52</v>
      </c>
      <c r="B2178" t="s">
        <v>53</v>
      </c>
      <c r="C2178" t="s">
        <v>54</v>
      </c>
      <c r="D2178" t="s">
        <v>55</v>
      </c>
      <c r="E2178" t="s">
        <v>2149</v>
      </c>
      <c r="F2178" t="s">
        <v>190</v>
      </c>
      <c r="G2178" t="s">
        <v>1104</v>
      </c>
      <c r="H2178" t="s">
        <v>1105</v>
      </c>
      <c r="I2178" t="s">
        <v>1105</v>
      </c>
      <c r="J2178" t="s">
        <v>60</v>
      </c>
      <c r="K2178" t="s">
        <v>781</v>
      </c>
      <c r="L2178" t="s">
        <v>62</v>
      </c>
      <c r="M2178" t="s">
        <v>781</v>
      </c>
      <c r="N2178" t="s">
        <v>1106</v>
      </c>
      <c r="O2178" t="s">
        <v>1080</v>
      </c>
      <c r="P2178">
        <v>-20.138683</v>
      </c>
      <c r="Q2178">
        <v>-44.868507999999999</v>
      </c>
      <c r="R2178" s="2" t="str">
        <f>HYPERLINK("https://www.google.com/maps?q=-20.1386830,-44.8685080","Abrir no Google Maps")</f>
        <v>Abrir no Google Maps</v>
      </c>
      <c r="S2178">
        <v>3</v>
      </c>
      <c r="T2178">
        <v>450.88210098833099</v>
      </c>
      <c r="U2178">
        <v>3</v>
      </c>
      <c r="V2178">
        <v>0.43722454050951959</v>
      </c>
      <c r="W2178">
        <v>1</v>
      </c>
      <c r="X2178">
        <v>0.43722454050951959</v>
      </c>
      <c r="Y2178">
        <v>332</v>
      </c>
      <c r="Z2178">
        <v>601.27669048153166</v>
      </c>
      <c r="AA2178">
        <v>198</v>
      </c>
      <c r="AB2178">
        <v>332</v>
      </c>
      <c r="AC2178">
        <v>536</v>
      </c>
      <c r="AD2178">
        <v>26.61</v>
      </c>
      <c r="AE2178">
        <v>542</v>
      </c>
      <c r="AF2178">
        <v>13</v>
      </c>
      <c r="AG2178">
        <v>180</v>
      </c>
      <c r="AH2178">
        <v>129</v>
      </c>
      <c r="AI2178">
        <v>2.4</v>
      </c>
      <c r="AJ2178">
        <v>33.21</v>
      </c>
      <c r="AK2178">
        <v>23.8</v>
      </c>
      <c r="AL2178">
        <v>-20.13870544999995</v>
      </c>
      <c r="AM2178">
        <v>-44.868521774012208</v>
      </c>
      <c r="AN2178">
        <v>-20.138705449999939</v>
      </c>
      <c r="AO2178">
        <v>-44.868521774012208</v>
      </c>
      <c r="AP2178">
        <v>-20.138683</v>
      </c>
      <c r="AQ2178">
        <v>-44.868507999999999</v>
      </c>
      <c r="AR2178">
        <v>2.8841042175322271</v>
      </c>
      <c r="AS2178" t="s">
        <v>65</v>
      </c>
      <c r="AT2178">
        <v>1</v>
      </c>
      <c r="AU2178" t="s">
        <v>1107</v>
      </c>
      <c r="AV2178" t="s">
        <v>1108</v>
      </c>
      <c r="AW2178" t="s">
        <v>60</v>
      </c>
      <c r="AX2178" t="s">
        <v>68</v>
      </c>
      <c r="AY2178" t="s">
        <v>69</v>
      </c>
      <c r="AZ2178" t="b">
        <v>1</v>
      </c>
    </row>
    <row r="2179" spans="1:52" x14ac:dyDescent="0.3">
      <c r="A2179" t="s">
        <v>52</v>
      </c>
      <c r="B2179" t="s">
        <v>53</v>
      </c>
      <c r="C2179" t="s">
        <v>54</v>
      </c>
      <c r="D2179" t="s">
        <v>55</v>
      </c>
      <c r="E2179" t="s">
        <v>2149</v>
      </c>
      <c r="F2179" t="s">
        <v>190</v>
      </c>
      <c r="G2179" t="s">
        <v>1109</v>
      </c>
      <c r="H2179" t="s">
        <v>1110</v>
      </c>
      <c r="I2179" t="s">
        <v>1110</v>
      </c>
      <c r="J2179" t="s">
        <v>60</v>
      </c>
      <c r="K2179" t="s">
        <v>768</v>
      </c>
      <c r="L2179" t="s">
        <v>62</v>
      </c>
      <c r="M2179" t="s">
        <v>768</v>
      </c>
      <c r="N2179" t="s">
        <v>1111</v>
      </c>
      <c r="O2179" t="s">
        <v>1112</v>
      </c>
      <c r="P2179">
        <v>-20.135508000000002</v>
      </c>
      <c r="Q2179">
        <v>-44.871786999999998</v>
      </c>
      <c r="R2179" s="2" t="str">
        <f>HYPERLINK("https://www.google.com/maps?q=-20.1355080,-44.8717870","Abrir no Google Maps")</f>
        <v>Abrir no Google Maps</v>
      </c>
      <c r="S2179">
        <v>3</v>
      </c>
      <c r="T2179">
        <v>167.5382405548801</v>
      </c>
      <c r="U2179">
        <v>3</v>
      </c>
      <c r="V2179">
        <v>0.4524545655127819</v>
      </c>
      <c r="W2179">
        <v>1</v>
      </c>
      <c r="X2179">
        <v>0.4524545655127819</v>
      </c>
      <c r="Y2179">
        <v>332</v>
      </c>
      <c r="Z2179">
        <v>179.76671916562941</v>
      </c>
      <c r="AA2179">
        <v>198</v>
      </c>
      <c r="AB2179">
        <v>332</v>
      </c>
      <c r="AC2179">
        <v>536</v>
      </c>
      <c r="AD2179">
        <v>26.61</v>
      </c>
      <c r="AE2179">
        <v>542</v>
      </c>
      <c r="AF2179">
        <v>13</v>
      </c>
      <c r="AG2179">
        <v>180</v>
      </c>
      <c r="AH2179">
        <v>129</v>
      </c>
      <c r="AI2179">
        <v>2.4</v>
      </c>
      <c r="AJ2179">
        <v>33.21</v>
      </c>
      <c r="AK2179">
        <v>23.8</v>
      </c>
      <c r="AL2179">
        <v>-20.135532899999959</v>
      </c>
      <c r="AM2179">
        <v>-44.871828172735903</v>
      </c>
      <c r="AN2179">
        <v>-20.135532899999959</v>
      </c>
      <c r="AO2179">
        <v>-44.871828172735903</v>
      </c>
      <c r="AP2179">
        <v>-20.135508000000002</v>
      </c>
      <c r="AQ2179">
        <v>-44.871786999999998</v>
      </c>
      <c r="AR2179">
        <v>5.1186859635787858</v>
      </c>
      <c r="AS2179" t="s">
        <v>65</v>
      </c>
      <c r="AT2179">
        <v>1</v>
      </c>
      <c r="AU2179" t="s">
        <v>1113</v>
      </c>
      <c r="AV2179" t="s">
        <v>1114</v>
      </c>
      <c r="AW2179" t="s">
        <v>60</v>
      </c>
      <c r="AX2179" t="s">
        <v>68</v>
      </c>
      <c r="AY2179" t="s">
        <v>69</v>
      </c>
      <c r="AZ2179" t="b">
        <v>1</v>
      </c>
    </row>
    <row r="2180" spans="1:52" x14ac:dyDescent="0.3">
      <c r="A2180" t="s">
        <v>52</v>
      </c>
      <c r="B2180" t="s">
        <v>53</v>
      </c>
      <c r="C2180" t="s">
        <v>54</v>
      </c>
      <c r="D2180" t="s">
        <v>55</v>
      </c>
      <c r="E2180" t="s">
        <v>2149</v>
      </c>
      <c r="F2180" t="s">
        <v>190</v>
      </c>
      <c r="G2180" t="s">
        <v>1121</v>
      </c>
      <c r="H2180" t="s">
        <v>1122</v>
      </c>
      <c r="I2180" t="s">
        <v>1122</v>
      </c>
      <c r="J2180" t="s">
        <v>60</v>
      </c>
      <c r="K2180" t="s">
        <v>1123</v>
      </c>
      <c r="L2180" t="s">
        <v>62</v>
      </c>
      <c r="M2180" t="s">
        <v>1123</v>
      </c>
      <c r="N2180" t="s">
        <v>1124</v>
      </c>
      <c r="O2180" t="s">
        <v>74</v>
      </c>
      <c r="P2180">
        <v>-20.105318</v>
      </c>
      <c r="Q2180">
        <v>-44.879216</v>
      </c>
      <c r="R2180" s="2" t="str">
        <f>HYPERLINK("https://www.google.com/maps?q=-20.1053180,-44.8792160","Abrir no Google Maps")</f>
        <v>Abrir no Google Maps</v>
      </c>
      <c r="S2180">
        <v>3</v>
      </c>
      <c r="T2180">
        <v>318.57668516180911</v>
      </c>
      <c r="U2180">
        <v>3</v>
      </c>
      <c r="V2180">
        <v>0.42066517195516939</v>
      </c>
      <c r="W2180">
        <v>1</v>
      </c>
      <c r="X2180">
        <v>0.42066517195516939</v>
      </c>
      <c r="Y2180">
        <v>314</v>
      </c>
      <c r="Z2180">
        <v>207.50829098881519</v>
      </c>
      <c r="AA2180">
        <v>198</v>
      </c>
      <c r="AB2180">
        <v>332</v>
      </c>
      <c r="AC2180">
        <v>536</v>
      </c>
      <c r="AD2180">
        <v>26.61</v>
      </c>
      <c r="AE2180">
        <v>542</v>
      </c>
      <c r="AF2180">
        <v>13</v>
      </c>
      <c r="AG2180">
        <v>180</v>
      </c>
      <c r="AH2180">
        <v>129</v>
      </c>
      <c r="AI2180">
        <v>2.4</v>
      </c>
      <c r="AJ2180">
        <v>33.21</v>
      </c>
      <c r="AK2180">
        <v>23.8</v>
      </c>
      <c r="AL2180">
        <v>-20.105361049999939</v>
      </c>
      <c r="AM2180">
        <v>-44.87924613740698</v>
      </c>
      <c r="AN2180">
        <v>-20.105361049999939</v>
      </c>
      <c r="AO2180">
        <v>-44.87924613740698</v>
      </c>
      <c r="AP2180">
        <v>-20.105318</v>
      </c>
      <c r="AQ2180">
        <v>-44.879216</v>
      </c>
      <c r="AR2180">
        <v>5.7351338374851242</v>
      </c>
      <c r="AS2180" t="s">
        <v>65</v>
      </c>
      <c r="AT2180">
        <v>1</v>
      </c>
      <c r="AU2180" t="s">
        <v>1125</v>
      </c>
      <c r="AV2180" t="s">
        <v>1126</v>
      </c>
      <c r="AW2180" t="s">
        <v>60</v>
      </c>
      <c r="AX2180" t="s">
        <v>68</v>
      </c>
      <c r="AY2180" t="s">
        <v>69</v>
      </c>
      <c r="AZ2180" t="b">
        <v>1</v>
      </c>
    </row>
    <row r="2181" spans="1:52" x14ac:dyDescent="0.3">
      <c r="A2181" t="s">
        <v>52</v>
      </c>
      <c r="B2181" t="s">
        <v>53</v>
      </c>
      <c r="C2181" t="s">
        <v>54</v>
      </c>
      <c r="D2181" t="s">
        <v>55</v>
      </c>
      <c r="E2181" t="s">
        <v>2149</v>
      </c>
      <c r="F2181" t="s">
        <v>190</v>
      </c>
      <c r="G2181" t="s">
        <v>1133</v>
      </c>
      <c r="H2181" t="s">
        <v>1134</v>
      </c>
      <c r="I2181" t="s">
        <v>1134</v>
      </c>
      <c r="J2181" t="s">
        <v>60</v>
      </c>
      <c r="K2181" t="s">
        <v>1123</v>
      </c>
      <c r="L2181" t="s">
        <v>62</v>
      </c>
      <c r="M2181" t="s">
        <v>1123</v>
      </c>
      <c r="N2181" t="s">
        <v>1135</v>
      </c>
      <c r="O2181" t="s">
        <v>138</v>
      </c>
      <c r="P2181">
        <v>-20.106113000000001</v>
      </c>
      <c r="Q2181">
        <v>-44.876035999999999</v>
      </c>
      <c r="R2181" s="2" t="str">
        <f>HYPERLINK("https://www.google.com/maps?q=-20.1061130,-44.8760360","Abrir no Google Maps")</f>
        <v>Abrir no Google Maps</v>
      </c>
      <c r="S2181">
        <v>3</v>
      </c>
      <c r="T2181">
        <v>0</v>
      </c>
      <c r="U2181">
        <v>3</v>
      </c>
      <c r="V2181">
        <v>0.4291122516073167</v>
      </c>
      <c r="W2181">
        <v>1</v>
      </c>
      <c r="X2181">
        <v>0.4291122516073167</v>
      </c>
      <c r="Y2181">
        <v>314</v>
      </c>
      <c r="Z2181">
        <v>98.504848991092999</v>
      </c>
      <c r="AA2181">
        <v>198</v>
      </c>
      <c r="AB2181">
        <v>332</v>
      </c>
      <c r="AC2181">
        <v>536</v>
      </c>
      <c r="AD2181">
        <v>26.61</v>
      </c>
      <c r="AE2181">
        <v>542</v>
      </c>
      <c r="AF2181">
        <v>13</v>
      </c>
      <c r="AG2181">
        <v>180</v>
      </c>
      <c r="AH2181">
        <v>129</v>
      </c>
      <c r="AI2181">
        <v>2.4</v>
      </c>
      <c r="AJ2181">
        <v>33.21</v>
      </c>
      <c r="AK2181">
        <v>23.8</v>
      </c>
      <c r="AL2181">
        <v>-20.106190249999941</v>
      </c>
      <c r="AM2181">
        <v>-44.876327742253288</v>
      </c>
      <c r="AN2181">
        <v>-20.106190249999941</v>
      </c>
      <c r="AO2181">
        <v>-44.876327742253288</v>
      </c>
      <c r="AP2181">
        <v>-20.106113000000001</v>
      </c>
      <c r="AQ2181">
        <v>-44.876035999999999</v>
      </c>
      <c r="AR2181">
        <v>31.686742853465731</v>
      </c>
      <c r="AS2181" t="s">
        <v>65</v>
      </c>
      <c r="AT2181">
        <v>1</v>
      </c>
      <c r="AU2181" t="s">
        <v>1136</v>
      </c>
      <c r="AV2181" t="s">
        <v>1137</v>
      </c>
      <c r="AW2181" t="s">
        <v>60</v>
      </c>
      <c r="AX2181" t="s">
        <v>68</v>
      </c>
      <c r="AY2181" t="s">
        <v>69</v>
      </c>
      <c r="AZ2181" t="b">
        <v>1</v>
      </c>
    </row>
    <row r="2182" spans="1:52" x14ac:dyDescent="0.3">
      <c r="A2182" t="s">
        <v>52</v>
      </c>
      <c r="B2182" t="s">
        <v>53</v>
      </c>
      <c r="C2182" t="s">
        <v>54</v>
      </c>
      <c r="D2182" t="s">
        <v>55</v>
      </c>
      <c r="E2182" t="s">
        <v>2149</v>
      </c>
      <c r="F2182" t="s">
        <v>190</v>
      </c>
      <c r="G2182" t="s">
        <v>1138</v>
      </c>
      <c r="H2182" t="s">
        <v>1139</v>
      </c>
      <c r="I2182" t="s">
        <v>1139</v>
      </c>
      <c r="J2182" t="s">
        <v>60</v>
      </c>
      <c r="K2182" t="s">
        <v>1140</v>
      </c>
      <c r="L2182" t="s">
        <v>62</v>
      </c>
      <c r="M2182" t="s">
        <v>1140</v>
      </c>
      <c r="N2182" t="s">
        <v>1141</v>
      </c>
      <c r="O2182" t="s">
        <v>293</v>
      </c>
      <c r="P2182">
        <v>-20.103041999999999</v>
      </c>
      <c r="Q2182">
        <v>-44.882694999999998</v>
      </c>
      <c r="R2182" s="2" t="str">
        <f>HYPERLINK("https://www.google.com/maps?q=-20.1030420,-44.8826950","Abrir no Google Maps")</f>
        <v>Abrir no Google Maps</v>
      </c>
      <c r="S2182">
        <v>3</v>
      </c>
      <c r="T2182">
        <v>764.07293048598467</v>
      </c>
      <c r="U2182">
        <v>3</v>
      </c>
      <c r="V2182">
        <v>0.4347844305293902</v>
      </c>
      <c r="W2182">
        <v>1</v>
      </c>
      <c r="X2182">
        <v>0.4347844305293902</v>
      </c>
      <c r="Y2182">
        <v>314</v>
      </c>
      <c r="Z2182">
        <v>696.03268335706969</v>
      </c>
      <c r="AA2182">
        <v>198</v>
      </c>
      <c r="AB2182">
        <v>332</v>
      </c>
      <c r="AC2182">
        <v>536</v>
      </c>
      <c r="AD2182">
        <v>26.61</v>
      </c>
      <c r="AE2182">
        <v>542</v>
      </c>
      <c r="AF2182">
        <v>13</v>
      </c>
      <c r="AG2182">
        <v>180</v>
      </c>
      <c r="AH2182">
        <v>129</v>
      </c>
      <c r="AI2182">
        <v>2.4</v>
      </c>
      <c r="AJ2182">
        <v>33.21</v>
      </c>
      <c r="AK2182">
        <v>23.8</v>
      </c>
      <c r="AL2182">
        <v>-20.10298734999995</v>
      </c>
      <c r="AM2182">
        <v>-44.882802925792483</v>
      </c>
      <c r="AN2182">
        <v>-20.10298734999995</v>
      </c>
      <c r="AO2182">
        <v>-44.882802925792483</v>
      </c>
      <c r="AP2182">
        <v>-20.103041999999999</v>
      </c>
      <c r="AQ2182">
        <v>-44.882694999999998</v>
      </c>
      <c r="AR2182">
        <v>12.8180317775525</v>
      </c>
      <c r="AS2182" t="s">
        <v>65</v>
      </c>
      <c r="AT2182">
        <v>1</v>
      </c>
      <c r="AU2182" t="s">
        <v>1142</v>
      </c>
      <c r="AV2182" t="s">
        <v>1143</v>
      </c>
      <c r="AW2182" t="s">
        <v>60</v>
      </c>
      <c r="AX2182" t="s">
        <v>68</v>
      </c>
      <c r="AY2182" t="s">
        <v>69</v>
      </c>
      <c r="AZ2182" t="b">
        <v>1</v>
      </c>
    </row>
    <row r="2183" spans="1:52" x14ac:dyDescent="0.3">
      <c r="A2183" t="s">
        <v>52</v>
      </c>
      <c r="B2183" t="s">
        <v>53</v>
      </c>
      <c r="C2183" t="s">
        <v>54</v>
      </c>
      <c r="D2183" t="s">
        <v>55</v>
      </c>
      <c r="E2183" t="s">
        <v>2149</v>
      </c>
      <c r="F2183" t="s">
        <v>190</v>
      </c>
      <c r="G2183" t="s">
        <v>607</v>
      </c>
      <c r="H2183" t="s">
        <v>786</v>
      </c>
      <c r="I2183" t="s">
        <v>786</v>
      </c>
      <c r="J2183" t="s">
        <v>60</v>
      </c>
      <c r="K2183" t="s">
        <v>609</v>
      </c>
      <c r="L2183" t="s">
        <v>62</v>
      </c>
      <c r="M2183" t="s">
        <v>609</v>
      </c>
      <c r="N2183" t="s">
        <v>610</v>
      </c>
      <c r="O2183" t="s">
        <v>315</v>
      </c>
      <c r="P2183">
        <v>-20.108561999999999</v>
      </c>
      <c r="Q2183">
        <v>-44.883811000000001</v>
      </c>
      <c r="R2183" s="2" t="str">
        <f>HYPERLINK("https://www.google.com/maps?q=-20.1085620,-44.8838110","Abrir no Google Maps")</f>
        <v>Abrir no Google Maps</v>
      </c>
      <c r="S2183">
        <v>3</v>
      </c>
      <c r="T2183">
        <v>875.82813532572072</v>
      </c>
      <c r="U2183">
        <v>3</v>
      </c>
      <c r="V2183">
        <v>0.4526802645202373</v>
      </c>
      <c r="W2183">
        <v>1</v>
      </c>
      <c r="X2183">
        <v>0.4526802645202373</v>
      </c>
      <c r="Y2183">
        <v>314</v>
      </c>
      <c r="Z2183">
        <v>824.504668554717</v>
      </c>
      <c r="AA2183">
        <v>198</v>
      </c>
      <c r="AB2183">
        <v>332</v>
      </c>
      <c r="AC2183">
        <v>536</v>
      </c>
      <c r="AD2183">
        <v>26.61</v>
      </c>
      <c r="AE2183">
        <v>542</v>
      </c>
      <c r="AF2183">
        <v>13</v>
      </c>
      <c r="AG2183">
        <v>180</v>
      </c>
      <c r="AH2183">
        <v>129</v>
      </c>
      <c r="AI2183">
        <v>2.4</v>
      </c>
      <c r="AJ2183">
        <v>33.21</v>
      </c>
      <c r="AK2183">
        <v>23.8</v>
      </c>
      <c r="AL2183">
        <v>-20.108622949999951</v>
      </c>
      <c r="AM2183">
        <v>-44.884300516660261</v>
      </c>
      <c r="AN2183">
        <v>-20.108622949999951</v>
      </c>
      <c r="AO2183">
        <v>-44.884300516660261</v>
      </c>
      <c r="AP2183">
        <v>-20.108561999999999</v>
      </c>
      <c r="AQ2183">
        <v>-44.883811000000001</v>
      </c>
      <c r="AR2183">
        <v>51.619098272465493</v>
      </c>
      <c r="AS2183" t="s">
        <v>65</v>
      </c>
      <c r="AT2183">
        <v>1</v>
      </c>
      <c r="AU2183" t="s">
        <v>787</v>
      </c>
      <c r="AV2183" t="s">
        <v>788</v>
      </c>
      <c r="AW2183" t="s">
        <v>60</v>
      </c>
      <c r="AX2183" t="s">
        <v>68</v>
      </c>
      <c r="AY2183" t="s">
        <v>69</v>
      </c>
      <c r="AZ2183" t="b">
        <v>1</v>
      </c>
    </row>
    <row r="2184" spans="1:52" x14ac:dyDescent="0.3">
      <c r="A2184" t="s">
        <v>52</v>
      </c>
      <c r="B2184" t="s">
        <v>53</v>
      </c>
      <c r="C2184" t="s">
        <v>54</v>
      </c>
      <c r="D2184" t="s">
        <v>55</v>
      </c>
      <c r="E2184" t="s">
        <v>2149</v>
      </c>
      <c r="F2184" t="s">
        <v>190</v>
      </c>
      <c r="G2184" t="s">
        <v>789</v>
      </c>
      <c r="H2184" t="s">
        <v>790</v>
      </c>
      <c r="I2184" t="s">
        <v>790</v>
      </c>
      <c r="J2184" t="s">
        <v>60</v>
      </c>
      <c r="K2184" t="s">
        <v>791</v>
      </c>
      <c r="L2184" t="s">
        <v>62</v>
      </c>
      <c r="M2184" t="s">
        <v>791</v>
      </c>
      <c r="N2184" t="s">
        <v>792</v>
      </c>
      <c r="O2184" t="s">
        <v>793</v>
      </c>
      <c r="P2184">
        <v>-20.114263000000001</v>
      </c>
      <c r="Q2184">
        <v>-44.910150000000002</v>
      </c>
      <c r="R2184" s="2" t="str">
        <f>HYPERLINK("https://www.google.com/maps?q=-20.1142630,-44.9101500","Abrir no Google Maps")</f>
        <v>Abrir no Google Maps</v>
      </c>
      <c r="S2184">
        <v>3</v>
      </c>
      <c r="T2184">
        <v>1039.6249825628629</v>
      </c>
      <c r="U2184">
        <v>3</v>
      </c>
      <c r="V2184">
        <v>0.45299398220861919</v>
      </c>
      <c r="W2184">
        <v>1</v>
      </c>
      <c r="X2184">
        <v>0.45299398220861919</v>
      </c>
      <c r="Y2184">
        <v>300</v>
      </c>
      <c r="Z2184">
        <v>1156.8405524690361</v>
      </c>
      <c r="AA2184">
        <v>198</v>
      </c>
      <c r="AB2184">
        <v>332</v>
      </c>
      <c r="AC2184">
        <v>536</v>
      </c>
      <c r="AD2184">
        <v>26.61</v>
      </c>
      <c r="AE2184">
        <v>542</v>
      </c>
      <c r="AF2184">
        <v>13</v>
      </c>
      <c r="AG2184">
        <v>180</v>
      </c>
      <c r="AH2184">
        <v>129</v>
      </c>
      <c r="AI2184">
        <v>2.4</v>
      </c>
      <c r="AJ2184">
        <v>33.21</v>
      </c>
      <c r="AK2184">
        <v>23.8</v>
      </c>
      <c r="AL2184">
        <v>-20.113823899999939</v>
      </c>
      <c r="AM2184">
        <v>-44.910704705968108</v>
      </c>
      <c r="AN2184">
        <v>-20.113823899999939</v>
      </c>
      <c r="AO2184">
        <v>-44.910704705968108</v>
      </c>
      <c r="AP2184">
        <v>-20.114263000000001</v>
      </c>
      <c r="AQ2184">
        <v>-44.910150000000002</v>
      </c>
      <c r="AR2184">
        <v>75.838236800419978</v>
      </c>
      <c r="AS2184" t="s">
        <v>65</v>
      </c>
      <c r="AT2184">
        <v>1</v>
      </c>
      <c r="AU2184" t="s">
        <v>794</v>
      </c>
      <c r="AV2184" t="s">
        <v>795</v>
      </c>
      <c r="AW2184" t="s">
        <v>60</v>
      </c>
      <c r="AX2184" t="s">
        <v>68</v>
      </c>
      <c r="AY2184" t="s">
        <v>69</v>
      </c>
      <c r="AZ2184" t="b">
        <v>1</v>
      </c>
    </row>
    <row r="2185" spans="1:52" x14ac:dyDescent="0.3">
      <c r="A2185" t="s">
        <v>52</v>
      </c>
      <c r="B2185" t="s">
        <v>53</v>
      </c>
      <c r="C2185" t="s">
        <v>54</v>
      </c>
      <c r="D2185" t="s">
        <v>55</v>
      </c>
      <c r="E2185" t="s">
        <v>2149</v>
      </c>
      <c r="F2185" t="s">
        <v>190</v>
      </c>
      <c r="G2185" t="s">
        <v>1147</v>
      </c>
      <c r="H2185" t="s">
        <v>1148</v>
      </c>
      <c r="I2185" t="s">
        <v>1148</v>
      </c>
      <c r="J2185" t="s">
        <v>60</v>
      </c>
      <c r="K2185" t="s">
        <v>798</v>
      </c>
      <c r="L2185" t="s">
        <v>62</v>
      </c>
      <c r="M2185" t="s">
        <v>798</v>
      </c>
      <c r="N2185" t="s">
        <v>1149</v>
      </c>
      <c r="O2185" t="s">
        <v>836</v>
      </c>
      <c r="P2185">
        <v>-20.112448000000001</v>
      </c>
      <c r="Q2185">
        <v>-44.904887000000002</v>
      </c>
      <c r="R2185" s="2" t="str">
        <f>HYPERLINK("https://www.google.com/maps?q=-20.1124480,-44.9048870","Abrir no Google Maps")</f>
        <v>Abrir no Google Maps</v>
      </c>
      <c r="S2185">
        <v>3</v>
      </c>
      <c r="T2185">
        <v>404.16588765758058</v>
      </c>
      <c r="U2185">
        <v>3</v>
      </c>
      <c r="V2185">
        <v>0.42384172555374422</v>
      </c>
      <c r="W2185">
        <v>1</v>
      </c>
      <c r="X2185">
        <v>0.42384172555374422</v>
      </c>
      <c r="Y2185">
        <v>300</v>
      </c>
      <c r="Z2185">
        <v>435.21165957304731</v>
      </c>
      <c r="AA2185">
        <v>198</v>
      </c>
      <c r="AB2185">
        <v>332</v>
      </c>
      <c r="AC2185">
        <v>536</v>
      </c>
      <c r="AD2185">
        <v>26.61</v>
      </c>
      <c r="AE2185">
        <v>542</v>
      </c>
      <c r="AF2185">
        <v>13</v>
      </c>
      <c r="AG2185">
        <v>180</v>
      </c>
      <c r="AH2185">
        <v>129</v>
      </c>
      <c r="AI2185">
        <v>2.4</v>
      </c>
      <c r="AJ2185">
        <v>33.21</v>
      </c>
      <c r="AK2185">
        <v>23.8</v>
      </c>
      <c r="AL2185">
        <v>-20.11243479999996</v>
      </c>
      <c r="AM2185">
        <v>-44.904803228053026</v>
      </c>
      <c r="AN2185">
        <v>-20.11243479999996</v>
      </c>
      <c r="AO2185">
        <v>-44.904803228053026</v>
      </c>
      <c r="AP2185">
        <v>-20.112448000000001</v>
      </c>
      <c r="AQ2185">
        <v>-44.904887000000002</v>
      </c>
      <c r="AR2185">
        <v>8.8792525353759544</v>
      </c>
      <c r="AS2185" t="s">
        <v>65</v>
      </c>
      <c r="AT2185">
        <v>1</v>
      </c>
      <c r="AU2185" t="s">
        <v>1150</v>
      </c>
      <c r="AV2185" t="s">
        <v>1151</v>
      </c>
      <c r="AW2185" t="s">
        <v>60</v>
      </c>
      <c r="AX2185" t="s">
        <v>68</v>
      </c>
      <c r="AY2185" t="s">
        <v>69</v>
      </c>
      <c r="AZ2185" t="b">
        <v>1</v>
      </c>
    </row>
    <row r="2186" spans="1:52" x14ac:dyDescent="0.3">
      <c r="A2186" t="s">
        <v>52</v>
      </c>
      <c r="B2186" t="s">
        <v>53</v>
      </c>
      <c r="C2186" t="s">
        <v>54</v>
      </c>
      <c r="D2186" t="s">
        <v>55</v>
      </c>
      <c r="E2186" t="s">
        <v>2149</v>
      </c>
      <c r="F2186" t="s">
        <v>190</v>
      </c>
      <c r="G2186" t="s">
        <v>1152</v>
      </c>
      <c r="H2186" t="s">
        <v>1153</v>
      </c>
      <c r="I2186" t="s">
        <v>1153</v>
      </c>
      <c r="J2186" t="s">
        <v>60</v>
      </c>
      <c r="K2186" t="s">
        <v>798</v>
      </c>
      <c r="L2186" t="s">
        <v>62</v>
      </c>
      <c r="M2186" t="s">
        <v>798</v>
      </c>
      <c r="N2186" t="s">
        <v>1154</v>
      </c>
      <c r="O2186" t="s">
        <v>293</v>
      </c>
      <c r="P2186">
        <v>-20.112477999999999</v>
      </c>
      <c r="Q2186">
        <v>-44.903066000000003</v>
      </c>
      <c r="R2186" s="2" t="str">
        <f>HYPERLINK("https://www.google.com/maps?q=-20.1124780,-44.9030660","Abrir no Google Maps")</f>
        <v>Abrir no Google Maps</v>
      </c>
      <c r="S2186">
        <v>3</v>
      </c>
      <c r="T2186">
        <v>246.8131690803576</v>
      </c>
      <c r="U2186">
        <v>3</v>
      </c>
      <c r="V2186">
        <v>0.42985196398407749</v>
      </c>
      <c r="W2186">
        <v>1</v>
      </c>
      <c r="X2186">
        <v>0.42985196398407749</v>
      </c>
      <c r="Y2186">
        <v>300</v>
      </c>
      <c r="Z2186">
        <v>335.63974056009812</v>
      </c>
      <c r="AA2186">
        <v>198</v>
      </c>
      <c r="AB2186">
        <v>332</v>
      </c>
      <c r="AC2186">
        <v>536</v>
      </c>
      <c r="AD2186">
        <v>26.61</v>
      </c>
      <c r="AE2186">
        <v>542</v>
      </c>
      <c r="AF2186">
        <v>13</v>
      </c>
      <c r="AG2186">
        <v>180</v>
      </c>
      <c r="AH2186">
        <v>129</v>
      </c>
      <c r="AI2186">
        <v>2.4</v>
      </c>
      <c r="AJ2186">
        <v>33.21</v>
      </c>
      <c r="AK2186">
        <v>23.8</v>
      </c>
      <c r="AL2186">
        <v>-20.112499949999972</v>
      </c>
      <c r="AM2186">
        <v>-44.903143791889391</v>
      </c>
      <c r="AN2186">
        <v>-20.112499949999972</v>
      </c>
      <c r="AO2186">
        <v>-44.903143791889391</v>
      </c>
      <c r="AP2186">
        <v>-20.112477999999999</v>
      </c>
      <c r="AQ2186">
        <v>-44.903066000000003</v>
      </c>
      <c r="AR2186">
        <v>8.4908959019572912</v>
      </c>
      <c r="AS2186" t="s">
        <v>65</v>
      </c>
      <c r="AT2186">
        <v>1</v>
      </c>
      <c r="AU2186" t="s">
        <v>1155</v>
      </c>
      <c r="AV2186" t="s">
        <v>1156</v>
      </c>
      <c r="AW2186" t="s">
        <v>60</v>
      </c>
      <c r="AX2186" t="s">
        <v>68</v>
      </c>
      <c r="AY2186" t="s">
        <v>69</v>
      </c>
      <c r="AZ2186" t="b">
        <v>1</v>
      </c>
    </row>
    <row r="2187" spans="1:52" x14ac:dyDescent="0.3">
      <c r="A2187" t="s">
        <v>52</v>
      </c>
      <c r="B2187" t="s">
        <v>53</v>
      </c>
      <c r="C2187" t="s">
        <v>54</v>
      </c>
      <c r="D2187" t="s">
        <v>55</v>
      </c>
      <c r="E2187" t="s">
        <v>2149</v>
      </c>
      <c r="F2187" t="s">
        <v>190</v>
      </c>
      <c r="G2187" t="s">
        <v>1769</v>
      </c>
      <c r="H2187" t="s">
        <v>1770</v>
      </c>
      <c r="I2187" t="s">
        <v>1770</v>
      </c>
      <c r="J2187" t="s">
        <v>60</v>
      </c>
      <c r="K2187" t="s">
        <v>791</v>
      </c>
      <c r="L2187" t="s">
        <v>62</v>
      </c>
      <c r="M2187" t="s">
        <v>791</v>
      </c>
      <c r="N2187" t="s">
        <v>1771</v>
      </c>
      <c r="O2187" t="s">
        <v>494</v>
      </c>
      <c r="P2187">
        <v>-20.108464999999999</v>
      </c>
      <c r="Q2187">
        <v>-44.902169000000001</v>
      </c>
      <c r="R2187" s="2" t="str">
        <f>HYPERLINK("https://www.google.com/maps?q=-20.1084650,-44.9021690","Abrir no Google Maps")</f>
        <v>Abrir no Google Maps</v>
      </c>
      <c r="S2187">
        <v>3</v>
      </c>
      <c r="T2187">
        <v>332.55452480320798</v>
      </c>
      <c r="U2187">
        <v>3</v>
      </c>
      <c r="V2187">
        <v>0.41603356956273119</v>
      </c>
      <c r="W2187">
        <v>1</v>
      </c>
      <c r="X2187">
        <v>0.41603356956273119</v>
      </c>
      <c r="Y2187">
        <v>300</v>
      </c>
      <c r="Z2187">
        <v>139.01495543278119</v>
      </c>
      <c r="AA2187">
        <v>198</v>
      </c>
      <c r="AB2187">
        <v>332</v>
      </c>
      <c r="AC2187">
        <v>536</v>
      </c>
      <c r="AD2187">
        <v>26.61</v>
      </c>
      <c r="AE2187">
        <v>542</v>
      </c>
      <c r="AF2187">
        <v>13</v>
      </c>
      <c r="AG2187">
        <v>180</v>
      </c>
      <c r="AH2187">
        <v>129</v>
      </c>
      <c r="AI2187">
        <v>2.4</v>
      </c>
      <c r="AJ2187">
        <v>33.21</v>
      </c>
      <c r="AK2187">
        <v>23.8</v>
      </c>
      <c r="AL2187">
        <v>-20.108420149999969</v>
      </c>
      <c r="AM2187">
        <v>-44.90164352007664</v>
      </c>
      <c r="AN2187">
        <v>-20.108420149999969</v>
      </c>
      <c r="AO2187">
        <v>-44.90164352007664</v>
      </c>
      <c r="AP2187">
        <v>-20.108464999999999</v>
      </c>
      <c r="AQ2187">
        <v>-44.902169000000001</v>
      </c>
      <c r="AR2187">
        <v>55.157130612493773</v>
      </c>
      <c r="AS2187" t="s">
        <v>65</v>
      </c>
      <c r="AT2187">
        <v>1</v>
      </c>
      <c r="AU2187" t="s">
        <v>1772</v>
      </c>
      <c r="AV2187" t="s">
        <v>1773</v>
      </c>
      <c r="AW2187" t="s">
        <v>60</v>
      </c>
      <c r="AX2187" t="s">
        <v>68</v>
      </c>
      <c r="AY2187" t="s">
        <v>69</v>
      </c>
      <c r="AZ2187" t="b">
        <v>1</v>
      </c>
    </row>
    <row r="2188" spans="1:52" x14ac:dyDescent="0.3">
      <c r="A2188" t="s">
        <v>52</v>
      </c>
      <c r="B2188" t="s">
        <v>53</v>
      </c>
      <c r="C2188" t="s">
        <v>54</v>
      </c>
      <c r="D2188" t="s">
        <v>55</v>
      </c>
      <c r="E2188" t="s">
        <v>2149</v>
      </c>
      <c r="F2188" t="s">
        <v>190</v>
      </c>
      <c r="G2188" t="s">
        <v>796</v>
      </c>
      <c r="H2188" t="s">
        <v>797</v>
      </c>
      <c r="I2188" t="s">
        <v>797</v>
      </c>
      <c r="J2188" t="s">
        <v>60</v>
      </c>
      <c r="K2188" t="s">
        <v>798</v>
      </c>
      <c r="L2188" t="s">
        <v>62</v>
      </c>
      <c r="M2188" t="s">
        <v>798</v>
      </c>
      <c r="N2188" t="s">
        <v>799</v>
      </c>
      <c r="O2188" t="s">
        <v>800</v>
      </c>
      <c r="P2188">
        <v>-20.105681000000001</v>
      </c>
      <c r="Q2188">
        <v>-44.902771999999999</v>
      </c>
      <c r="R2188" s="2" t="str">
        <f>HYPERLINK("https://www.google.com/maps?q=-20.1056810,-44.9027720","Abrir no Google Maps")</f>
        <v>Abrir no Google Maps</v>
      </c>
      <c r="S2188">
        <v>3</v>
      </c>
      <c r="T2188">
        <v>654.76334876090721</v>
      </c>
      <c r="U2188">
        <v>3</v>
      </c>
      <c r="V2188">
        <v>0.45159107482583399</v>
      </c>
      <c r="W2188">
        <v>1</v>
      </c>
      <c r="X2188">
        <v>0.45159107482583399</v>
      </c>
      <c r="Y2188">
        <v>300</v>
      </c>
      <c r="Z2188">
        <v>473.90209409135377</v>
      </c>
      <c r="AA2188">
        <v>198</v>
      </c>
      <c r="AB2188">
        <v>332</v>
      </c>
      <c r="AC2188">
        <v>536</v>
      </c>
      <c r="AD2188">
        <v>26.61</v>
      </c>
      <c r="AE2188">
        <v>542</v>
      </c>
      <c r="AF2188">
        <v>13</v>
      </c>
      <c r="AG2188">
        <v>180</v>
      </c>
      <c r="AH2188">
        <v>129</v>
      </c>
      <c r="AI2188">
        <v>2.4</v>
      </c>
      <c r="AJ2188">
        <v>33.21</v>
      </c>
      <c r="AK2188">
        <v>23.8</v>
      </c>
      <c r="AL2188">
        <v>-20.105710249999959</v>
      </c>
      <c r="AM2188">
        <v>-44.902887601574513</v>
      </c>
      <c r="AN2188">
        <v>-20.105710249999959</v>
      </c>
      <c r="AO2188">
        <v>-44.902887601574513</v>
      </c>
      <c r="AP2188">
        <v>-20.105681000000001</v>
      </c>
      <c r="AQ2188">
        <v>-44.902771999999999</v>
      </c>
      <c r="AR2188">
        <v>12.5155291382583</v>
      </c>
      <c r="AS2188" t="s">
        <v>65</v>
      </c>
      <c r="AT2188">
        <v>1</v>
      </c>
      <c r="AU2188" t="s">
        <v>801</v>
      </c>
      <c r="AV2188" t="s">
        <v>802</v>
      </c>
      <c r="AW2188" t="s">
        <v>60</v>
      </c>
      <c r="AX2188" t="s">
        <v>68</v>
      </c>
      <c r="AY2188" t="s">
        <v>69</v>
      </c>
      <c r="AZ2188" t="b">
        <v>1</v>
      </c>
    </row>
    <row r="2189" spans="1:52" x14ac:dyDescent="0.3">
      <c r="A2189" t="s">
        <v>52</v>
      </c>
      <c r="B2189" t="s">
        <v>53</v>
      </c>
      <c r="C2189" t="s">
        <v>54</v>
      </c>
      <c r="D2189" t="s">
        <v>55</v>
      </c>
      <c r="E2189" t="s">
        <v>2149</v>
      </c>
      <c r="F2189" t="s">
        <v>190</v>
      </c>
      <c r="G2189" t="s">
        <v>1163</v>
      </c>
      <c r="H2189" t="s">
        <v>1164</v>
      </c>
      <c r="I2189" t="s">
        <v>1164</v>
      </c>
      <c r="J2189" t="s">
        <v>60</v>
      </c>
      <c r="K2189" t="s">
        <v>1165</v>
      </c>
      <c r="L2189" t="s">
        <v>62</v>
      </c>
      <c r="M2189" t="s">
        <v>1165</v>
      </c>
      <c r="N2189" t="s">
        <v>1166</v>
      </c>
      <c r="O2189" t="s">
        <v>1167</v>
      </c>
      <c r="P2189">
        <v>-20.155543000000002</v>
      </c>
      <c r="Q2189">
        <v>-44.863444000000001</v>
      </c>
      <c r="R2189" s="2" t="str">
        <f>HYPERLINK("https://www.google.com/maps?q=-20.1555430,-44.8634440","Abrir no Google Maps")</f>
        <v>Abrir no Google Maps</v>
      </c>
      <c r="S2189">
        <v>3</v>
      </c>
      <c r="T2189">
        <v>314.02353400254742</v>
      </c>
      <c r="U2189">
        <v>3</v>
      </c>
      <c r="V2189">
        <v>0.43352147709840022</v>
      </c>
      <c r="W2189">
        <v>1</v>
      </c>
      <c r="X2189">
        <v>0.43352147709840022</v>
      </c>
      <c r="Y2189">
        <v>264</v>
      </c>
      <c r="Z2189">
        <v>282.65065866463459</v>
      </c>
      <c r="AA2189">
        <v>198</v>
      </c>
      <c r="AB2189">
        <v>332</v>
      </c>
      <c r="AC2189">
        <v>536</v>
      </c>
      <c r="AD2189">
        <v>26.61</v>
      </c>
      <c r="AE2189">
        <v>542</v>
      </c>
      <c r="AF2189">
        <v>13</v>
      </c>
      <c r="AG2189">
        <v>180</v>
      </c>
      <c r="AH2189">
        <v>129</v>
      </c>
      <c r="AI2189">
        <v>2.4</v>
      </c>
      <c r="AJ2189">
        <v>33.21</v>
      </c>
      <c r="AK2189">
        <v>23.8</v>
      </c>
      <c r="AL2189">
        <v>-20.155436449999939</v>
      </c>
      <c r="AM2189">
        <v>-44.863557722691183</v>
      </c>
      <c r="AN2189">
        <v>-20.155436449999939</v>
      </c>
      <c r="AO2189">
        <v>-44.863557722691183</v>
      </c>
      <c r="AP2189">
        <v>-20.155543000000002</v>
      </c>
      <c r="AQ2189">
        <v>-44.863444000000001</v>
      </c>
      <c r="AR2189">
        <v>16.790610674079979</v>
      </c>
      <c r="AS2189" t="s">
        <v>65</v>
      </c>
      <c r="AT2189">
        <v>1</v>
      </c>
      <c r="AU2189" t="s">
        <v>1168</v>
      </c>
      <c r="AV2189" t="s">
        <v>1169</v>
      </c>
      <c r="AW2189" t="s">
        <v>60</v>
      </c>
      <c r="AX2189" t="s">
        <v>68</v>
      </c>
      <c r="AY2189" t="s">
        <v>69</v>
      </c>
      <c r="AZ2189" t="b">
        <v>1</v>
      </c>
    </row>
    <row r="2190" spans="1:52" x14ac:dyDescent="0.3">
      <c r="A2190" t="s">
        <v>52</v>
      </c>
      <c r="B2190" t="s">
        <v>53</v>
      </c>
      <c r="C2190" t="s">
        <v>54</v>
      </c>
      <c r="D2190" t="s">
        <v>55</v>
      </c>
      <c r="E2190" t="s">
        <v>2149</v>
      </c>
      <c r="F2190" t="s">
        <v>190</v>
      </c>
      <c r="G2190" t="s">
        <v>1170</v>
      </c>
      <c r="H2190" t="s">
        <v>1171</v>
      </c>
      <c r="I2190" t="s">
        <v>1171</v>
      </c>
      <c r="J2190" t="s">
        <v>60</v>
      </c>
      <c r="K2190" t="s">
        <v>1165</v>
      </c>
      <c r="L2190" t="s">
        <v>62</v>
      </c>
      <c r="M2190" t="s">
        <v>1165</v>
      </c>
      <c r="N2190" t="s">
        <v>1172</v>
      </c>
      <c r="O2190" t="s">
        <v>1160</v>
      </c>
      <c r="P2190">
        <v>-20.158208999999999</v>
      </c>
      <c r="Q2190">
        <v>-44.865242000000002</v>
      </c>
      <c r="R2190" s="2" t="str">
        <f>HYPERLINK("https://www.google.com/maps?q=-20.1582090,-44.8652420","Abrir no Google Maps")</f>
        <v>Abrir no Google Maps</v>
      </c>
      <c r="S2190">
        <v>3</v>
      </c>
      <c r="T2190">
        <v>529.55269054560301</v>
      </c>
      <c r="U2190">
        <v>3</v>
      </c>
      <c r="V2190">
        <v>0.4251141459639024</v>
      </c>
      <c r="W2190">
        <v>1</v>
      </c>
      <c r="X2190">
        <v>0.4251141459639024</v>
      </c>
      <c r="Y2190">
        <v>264</v>
      </c>
      <c r="Z2190">
        <v>576.82525833351326</v>
      </c>
      <c r="AA2190">
        <v>198</v>
      </c>
      <c r="AB2190">
        <v>332</v>
      </c>
      <c r="AC2190">
        <v>536</v>
      </c>
      <c r="AD2190">
        <v>26.61</v>
      </c>
      <c r="AE2190">
        <v>542</v>
      </c>
      <c r="AF2190">
        <v>13</v>
      </c>
      <c r="AG2190">
        <v>180</v>
      </c>
      <c r="AH2190">
        <v>129</v>
      </c>
      <c r="AI2190">
        <v>2.4</v>
      </c>
      <c r="AJ2190">
        <v>33.21</v>
      </c>
      <c r="AK2190">
        <v>23.8</v>
      </c>
      <c r="AL2190">
        <v>-20.15813384999996</v>
      </c>
      <c r="AM2190">
        <v>-44.865189279062598</v>
      </c>
      <c r="AN2190">
        <v>-20.15813384999996</v>
      </c>
      <c r="AO2190">
        <v>-44.865189279062598</v>
      </c>
      <c r="AP2190">
        <v>-20.158208999999999</v>
      </c>
      <c r="AQ2190">
        <v>-44.865242000000002</v>
      </c>
      <c r="AR2190">
        <v>10.01690313145691</v>
      </c>
      <c r="AS2190" t="s">
        <v>65</v>
      </c>
      <c r="AT2190">
        <v>1</v>
      </c>
      <c r="AU2190" t="s">
        <v>1173</v>
      </c>
      <c r="AV2190" t="s">
        <v>1174</v>
      </c>
      <c r="AW2190" t="s">
        <v>60</v>
      </c>
      <c r="AX2190" t="s">
        <v>68</v>
      </c>
      <c r="AY2190" t="s">
        <v>69</v>
      </c>
      <c r="AZ2190" t="b">
        <v>1</v>
      </c>
    </row>
    <row r="2191" spans="1:52" x14ac:dyDescent="0.3">
      <c r="A2191" t="s">
        <v>52</v>
      </c>
      <c r="B2191" t="s">
        <v>53</v>
      </c>
      <c r="C2191" t="s">
        <v>54</v>
      </c>
      <c r="D2191" t="s">
        <v>55</v>
      </c>
      <c r="E2191" t="s">
        <v>2149</v>
      </c>
      <c r="F2191" t="s">
        <v>190</v>
      </c>
      <c r="G2191" t="s">
        <v>1175</v>
      </c>
      <c r="H2191" t="s">
        <v>1176</v>
      </c>
      <c r="I2191" t="s">
        <v>1176</v>
      </c>
      <c r="J2191" t="s">
        <v>60</v>
      </c>
      <c r="K2191" t="s">
        <v>1177</v>
      </c>
      <c r="L2191" t="s">
        <v>62</v>
      </c>
      <c r="M2191" t="s">
        <v>1177</v>
      </c>
      <c r="N2191" t="s">
        <v>1178</v>
      </c>
      <c r="O2191" t="s">
        <v>1179</v>
      </c>
      <c r="P2191">
        <v>-20.153393000000001</v>
      </c>
      <c r="Q2191">
        <v>-44.865701999999999</v>
      </c>
      <c r="R2191" s="2" t="str">
        <f>HYPERLINK("https://www.google.com/maps?q=-20.1533930,-44.8657020","Abrir no Google Maps")</f>
        <v>Abrir no Google Maps</v>
      </c>
      <c r="S2191">
        <v>3</v>
      </c>
      <c r="T2191">
        <v>0</v>
      </c>
      <c r="U2191">
        <v>3</v>
      </c>
      <c r="V2191">
        <v>0.42111756794919691</v>
      </c>
      <c r="W2191">
        <v>1</v>
      </c>
      <c r="X2191">
        <v>0.42111756794919691</v>
      </c>
      <c r="Y2191">
        <v>264</v>
      </c>
      <c r="Z2191">
        <v>187.61117597536</v>
      </c>
      <c r="AA2191">
        <v>198</v>
      </c>
      <c r="AB2191">
        <v>332</v>
      </c>
      <c r="AC2191">
        <v>536</v>
      </c>
      <c r="AD2191">
        <v>26.61</v>
      </c>
      <c r="AE2191">
        <v>542</v>
      </c>
      <c r="AF2191">
        <v>13</v>
      </c>
      <c r="AG2191">
        <v>180</v>
      </c>
      <c r="AH2191">
        <v>129</v>
      </c>
      <c r="AI2191">
        <v>2.4</v>
      </c>
      <c r="AJ2191">
        <v>33.21</v>
      </c>
      <c r="AK2191">
        <v>23.8</v>
      </c>
      <c r="AL2191">
        <v>-20.153365199999971</v>
      </c>
      <c r="AM2191">
        <v>-44.865611713780503</v>
      </c>
      <c r="AN2191">
        <v>-20.153365199999971</v>
      </c>
      <c r="AO2191">
        <v>-44.865611713780503</v>
      </c>
      <c r="AP2191">
        <v>-20.153393000000001</v>
      </c>
      <c r="AQ2191">
        <v>-44.865701999999999</v>
      </c>
      <c r="AR2191">
        <v>9.9298532940923003</v>
      </c>
      <c r="AS2191" t="s">
        <v>65</v>
      </c>
      <c r="AT2191">
        <v>1</v>
      </c>
      <c r="AU2191" t="s">
        <v>1180</v>
      </c>
      <c r="AV2191" t="s">
        <v>1181</v>
      </c>
      <c r="AW2191" t="s">
        <v>60</v>
      </c>
      <c r="AX2191" t="s">
        <v>68</v>
      </c>
      <c r="AY2191" t="s">
        <v>69</v>
      </c>
      <c r="AZ2191" t="b">
        <v>1</v>
      </c>
    </row>
    <row r="2192" spans="1:52" x14ac:dyDescent="0.3">
      <c r="A2192" t="s">
        <v>52</v>
      </c>
      <c r="B2192" t="s">
        <v>53</v>
      </c>
      <c r="C2192" t="s">
        <v>54</v>
      </c>
      <c r="D2192" t="s">
        <v>55</v>
      </c>
      <c r="E2192" t="s">
        <v>2149</v>
      </c>
      <c r="F2192" t="s">
        <v>190</v>
      </c>
      <c r="G2192" t="s">
        <v>1187</v>
      </c>
      <c r="H2192" t="s">
        <v>1188</v>
      </c>
      <c r="I2192" t="s">
        <v>1188</v>
      </c>
      <c r="J2192" t="s">
        <v>60</v>
      </c>
      <c r="K2192" t="s">
        <v>1177</v>
      </c>
      <c r="L2192" t="s">
        <v>62</v>
      </c>
      <c r="M2192" t="s">
        <v>1177</v>
      </c>
      <c r="N2192" t="s">
        <v>1189</v>
      </c>
      <c r="O2192" t="s">
        <v>1190</v>
      </c>
      <c r="P2192">
        <v>-20.151606999999998</v>
      </c>
      <c r="Q2192">
        <v>-44.870784999999998</v>
      </c>
      <c r="R2192" s="2" t="str">
        <f>HYPERLINK("https://www.google.com/maps?q=-20.1516070,-44.8707850","Abrir no Google Maps")</f>
        <v>Abrir no Google Maps</v>
      </c>
      <c r="S2192">
        <v>3</v>
      </c>
      <c r="T2192">
        <v>592.7601508996878</v>
      </c>
      <c r="U2192">
        <v>3</v>
      </c>
      <c r="V2192">
        <v>0.42405210879946909</v>
      </c>
      <c r="W2192">
        <v>1</v>
      </c>
      <c r="X2192">
        <v>0.42405210879946909</v>
      </c>
      <c r="Y2192">
        <v>198</v>
      </c>
      <c r="Z2192">
        <v>605.75141653963317</v>
      </c>
      <c r="AA2192">
        <v>198</v>
      </c>
      <c r="AB2192">
        <v>332</v>
      </c>
      <c r="AC2192">
        <v>536</v>
      </c>
      <c r="AD2192">
        <v>26.61</v>
      </c>
      <c r="AE2192">
        <v>542</v>
      </c>
      <c r="AF2192">
        <v>13</v>
      </c>
      <c r="AG2192">
        <v>180</v>
      </c>
      <c r="AH2192">
        <v>129</v>
      </c>
      <c r="AI2192">
        <v>2.4</v>
      </c>
      <c r="AJ2192">
        <v>33.21</v>
      </c>
      <c r="AK2192">
        <v>23.8</v>
      </c>
      <c r="AL2192">
        <v>-20.151457849999961</v>
      </c>
      <c r="AM2192">
        <v>-44.870912038726253</v>
      </c>
      <c r="AN2192">
        <v>-20.151457849999961</v>
      </c>
      <c r="AO2192">
        <v>-44.870912038726253</v>
      </c>
      <c r="AP2192">
        <v>-20.151606999999998</v>
      </c>
      <c r="AQ2192">
        <v>-44.870784999999998</v>
      </c>
      <c r="AR2192">
        <v>21.258671186047941</v>
      </c>
      <c r="AS2192" t="s">
        <v>65</v>
      </c>
      <c r="AT2192">
        <v>1</v>
      </c>
      <c r="AU2192" t="s">
        <v>1191</v>
      </c>
      <c r="AV2192" t="s">
        <v>1192</v>
      </c>
      <c r="AW2192" t="s">
        <v>60</v>
      </c>
      <c r="AX2192" t="s">
        <v>68</v>
      </c>
      <c r="AY2192" t="s">
        <v>69</v>
      </c>
      <c r="AZ2192" t="b">
        <v>1</v>
      </c>
    </row>
    <row r="2193" spans="1:52" x14ac:dyDescent="0.3">
      <c r="A2193" t="s">
        <v>52</v>
      </c>
      <c r="B2193" t="s">
        <v>53</v>
      </c>
      <c r="C2193" t="s">
        <v>54</v>
      </c>
      <c r="D2193" t="s">
        <v>55</v>
      </c>
      <c r="E2193" t="s">
        <v>2149</v>
      </c>
      <c r="F2193" t="s">
        <v>190</v>
      </c>
      <c r="G2193" t="s">
        <v>1193</v>
      </c>
      <c r="H2193" t="s">
        <v>1194</v>
      </c>
      <c r="I2193" t="s">
        <v>1194</v>
      </c>
      <c r="J2193" t="s">
        <v>60</v>
      </c>
      <c r="K2193" t="s">
        <v>1195</v>
      </c>
      <c r="L2193" t="s">
        <v>62</v>
      </c>
      <c r="M2193" t="s">
        <v>1195</v>
      </c>
      <c r="N2193" t="s">
        <v>1196</v>
      </c>
      <c r="O2193" t="s">
        <v>1197</v>
      </c>
      <c r="P2193">
        <v>-20.105342</v>
      </c>
      <c r="Q2193">
        <v>-44.964716000000003</v>
      </c>
      <c r="R2193" s="2" t="str">
        <f>HYPERLINK("https://www.google.com/maps?q=-20.1053420,-44.9647160","Abrir no Google Maps")</f>
        <v>Abrir no Google Maps</v>
      </c>
      <c r="S2193">
        <v>3</v>
      </c>
      <c r="T2193">
        <v>893.28710125086457</v>
      </c>
      <c r="U2193">
        <v>3</v>
      </c>
      <c r="V2193">
        <v>0.4249028860809751</v>
      </c>
      <c r="W2193">
        <v>1</v>
      </c>
      <c r="X2193">
        <v>0.4249028860809751</v>
      </c>
      <c r="Y2193">
        <v>187</v>
      </c>
      <c r="Z2193">
        <v>592.18957175243293</v>
      </c>
      <c r="AA2193">
        <v>198</v>
      </c>
      <c r="AB2193">
        <v>332</v>
      </c>
      <c r="AC2193">
        <v>536</v>
      </c>
      <c r="AD2193">
        <v>26.61</v>
      </c>
      <c r="AE2193">
        <v>542</v>
      </c>
      <c r="AF2193">
        <v>13</v>
      </c>
      <c r="AG2193">
        <v>180</v>
      </c>
      <c r="AH2193">
        <v>129</v>
      </c>
      <c r="AI2193">
        <v>2.4</v>
      </c>
      <c r="AJ2193">
        <v>33.21</v>
      </c>
      <c r="AK2193">
        <v>23.8</v>
      </c>
      <c r="AL2193">
        <v>-20.105505699999949</v>
      </c>
      <c r="AM2193">
        <v>-44.964494228377532</v>
      </c>
      <c r="AN2193">
        <v>-20.105505699999949</v>
      </c>
      <c r="AO2193">
        <v>-44.964494228377532</v>
      </c>
      <c r="AP2193">
        <v>-20.105342</v>
      </c>
      <c r="AQ2193">
        <v>-44.964716000000003</v>
      </c>
      <c r="AR2193">
        <v>29.48797728637869</v>
      </c>
      <c r="AS2193" t="s">
        <v>65</v>
      </c>
      <c r="AT2193">
        <v>1</v>
      </c>
      <c r="AU2193" t="s">
        <v>1198</v>
      </c>
      <c r="AV2193" t="s">
        <v>1199</v>
      </c>
      <c r="AW2193" t="s">
        <v>60</v>
      </c>
      <c r="AX2193" t="s">
        <v>68</v>
      </c>
      <c r="AY2193" t="s">
        <v>69</v>
      </c>
      <c r="AZ2193" t="b">
        <v>1</v>
      </c>
    </row>
    <row r="2194" spans="1:52" x14ac:dyDescent="0.3">
      <c r="A2194" t="s">
        <v>52</v>
      </c>
      <c r="B2194" t="s">
        <v>53</v>
      </c>
      <c r="C2194" t="s">
        <v>54</v>
      </c>
      <c r="D2194" t="s">
        <v>55</v>
      </c>
      <c r="E2194" t="s">
        <v>2149</v>
      </c>
      <c r="F2194" t="s">
        <v>190</v>
      </c>
      <c r="G2194" t="s">
        <v>1206</v>
      </c>
      <c r="H2194" t="s">
        <v>1207</v>
      </c>
      <c r="I2194" t="s">
        <v>1207</v>
      </c>
      <c r="J2194" t="s">
        <v>60</v>
      </c>
      <c r="K2194" t="s">
        <v>475</v>
      </c>
      <c r="L2194" t="s">
        <v>62</v>
      </c>
      <c r="M2194" t="s">
        <v>475</v>
      </c>
      <c r="N2194" t="s">
        <v>1208</v>
      </c>
      <c r="O2194" t="s">
        <v>1209</v>
      </c>
      <c r="P2194">
        <v>-20.180554999999998</v>
      </c>
      <c r="Q2194">
        <v>-44.905642999999998</v>
      </c>
      <c r="R2194" s="2" t="str">
        <f>HYPERLINK("https://www.google.com/maps?q=-20.1805550,-44.9056430","Abrir no Google Maps")</f>
        <v>Abrir no Google Maps</v>
      </c>
      <c r="S2194">
        <v>3</v>
      </c>
      <c r="T2194">
        <v>768.13826761541702</v>
      </c>
      <c r="U2194">
        <v>3</v>
      </c>
      <c r="V2194">
        <v>0.43545483160089671</v>
      </c>
      <c r="W2194">
        <v>1</v>
      </c>
      <c r="X2194">
        <v>0.43545483160089671</v>
      </c>
      <c r="Y2194">
        <v>135</v>
      </c>
      <c r="Z2194">
        <v>442.64437152702573</v>
      </c>
      <c r="AA2194">
        <v>198</v>
      </c>
      <c r="AB2194">
        <v>332</v>
      </c>
      <c r="AC2194">
        <v>536</v>
      </c>
      <c r="AD2194">
        <v>26.61</v>
      </c>
      <c r="AE2194">
        <v>542</v>
      </c>
      <c r="AF2194">
        <v>13</v>
      </c>
      <c r="AG2194">
        <v>180</v>
      </c>
      <c r="AH2194">
        <v>129</v>
      </c>
      <c r="AI2194">
        <v>2.4</v>
      </c>
      <c r="AJ2194">
        <v>33.21</v>
      </c>
      <c r="AK2194">
        <v>23.8</v>
      </c>
      <c r="AL2194">
        <v>-20.180439499999949</v>
      </c>
      <c r="AM2194">
        <v>-44.905757266135502</v>
      </c>
      <c r="AN2194">
        <v>-20.180439499999949</v>
      </c>
      <c r="AO2194">
        <v>-44.905757266135502</v>
      </c>
      <c r="AP2194">
        <v>-20.180554999999998</v>
      </c>
      <c r="AQ2194">
        <v>-44.905642999999998</v>
      </c>
      <c r="AR2194">
        <v>17.545924993698129</v>
      </c>
      <c r="AS2194" t="s">
        <v>65</v>
      </c>
      <c r="AT2194">
        <v>1</v>
      </c>
      <c r="AU2194" t="s">
        <v>1210</v>
      </c>
      <c r="AV2194" t="s">
        <v>1211</v>
      </c>
      <c r="AW2194" t="s">
        <v>60</v>
      </c>
      <c r="AX2194" t="s">
        <v>68</v>
      </c>
      <c r="AY2194" t="s">
        <v>69</v>
      </c>
      <c r="AZ2194" t="b">
        <v>1</v>
      </c>
    </row>
    <row r="2195" spans="1:52" x14ac:dyDescent="0.3">
      <c r="A2195" t="s">
        <v>52</v>
      </c>
      <c r="B2195" t="s">
        <v>53</v>
      </c>
      <c r="C2195" t="s">
        <v>54</v>
      </c>
      <c r="D2195" t="s">
        <v>55</v>
      </c>
      <c r="E2195" t="s">
        <v>2149</v>
      </c>
      <c r="F2195" t="s">
        <v>190</v>
      </c>
      <c r="G2195" t="s">
        <v>826</v>
      </c>
      <c r="H2195" t="s">
        <v>827</v>
      </c>
      <c r="I2195" t="s">
        <v>827</v>
      </c>
      <c r="J2195" t="s">
        <v>60</v>
      </c>
      <c r="K2195" t="s">
        <v>828</v>
      </c>
      <c r="L2195" t="s">
        <v>62</v>
      </c>
      <c r="M2195" t="s">
        <v>828</v>
      </c>
      <c r="N2195" t="s">
        <v>829</v>
      </c>
      <c r="O2195" t="s">
        <v>830</v>
      </c>
      <c r="P2195">
        <v>-20.128309999999999</v>
      </c>
      <c r="Q2195">
        <v>-44.8367</v>
      </c>
      <c r="R2195" s="2" t="str">
        <f>HYPERLINK("https://www.google.com/maps?q=-20.1283100,-44.8367000","Abrir no Google Maps")</f>
        <v>Abrir no Google Maps</v>
      </c>
      <c r="S2195">
        <v>3</v>
      </c>
      <c r="T2195">
        <v>0</v>
      </c>
      <c r="U2195">
        <v>3</v>
      </c>
      <c r="V2195">
        <v>0.42360263354240479</v>
      </c>
      <c r="W2195">
        <v>1</v>
      </c>
      <c r="X2195">
        <v>0.42360263354240479</v>
      </c>
      <c r="Y2195">
        <v>118</v>
      </c>
      <c r="Z2195">
        <v>65.93296364139367</v>
      </c>
      <c r="AA2195">
        <v>198</v>
      </c>
      <c r="AB2195">
        <v>332</v>
      </c>
      <c r="AC2195">
        <v>536</v>
      </c>
      <c r="AD2195">
        <v>26.61</v>
      </c>
      <c r="AE2195">
        <v>542</v>
      </c>
      <c r="AF2195">
        <v>13</v>
      </c>
      <c r="AG2195">
        <v>180</v>
      </c>
      <c r="AH2195">
        <v>129</v>
      </c>
      <c r="AI2195">
        <v>2.4</v>
      </c>
      <c r="AJ2195">
        <v>33.21</v>
      </c>
      <c r="AK2195">
        <v>23.8</v>
      </c>
      <c r="AL2195">
        <v>-20.128383649999961</v>
      </c>
      <c r="AM2195">
        <v>-44.836795615491283</v>
      </c>
      <c r="AN2195">
        <v>-20.128383649999961</v>
      </c>
      <c r="AO2195">
        <v>-44.836795615491283</v>
      </c>
      <c r="AP2195">
        <v>-20.128309999999999</v>
      </c>
      <c r="AQ2195">
        <v>-44.8367</v>
      </c>
      <c r="AR2195">
        <v>12.92654496723039</v>
      </c>
      <c r="AS2195" t="s">
        <v>65</v>
      </c>
      <c r="AT2195">
        <v>1</v>
      </c>
      <c r="AU2195" t="s">
        <v>831</v>
      </c>
      <c r="AV2195" t="s">
        <v>832</v>
      </c>
      <c r="AW2195" t="s">
        <v>60</v>
      </c>
      <c r="AX2195" t="s">
        <v>68</v>
      </c>
      <c r="AY2195" t="s">
        <v>69</v>
      </c>
      <c r="AZ2195" t="b">
        <v>1</v>
      </c>
    </row>
    <row r="2196" spans="1:52" x14ac:dyDescent="0.3">
      <c r="A2196" t="s">
        <v>52</v>
      </c>
      <c r="B2196" t="s">
        <v>53</v>
      </c>
      <c r="C2196" t="s">
        <v>54</v>
      </c>
      <c r="D2196" t="s">
        <v>55</v>
      </c>
      <c r="E2196" t="s">
        <v>2149</v>
      </c>
      <c r="F2196" t="s">
        <v>190</v>
      </c>
      <c r="G2196" t="s">
        <v>1241</v>
      </c>
      <c r="H2196" t="s">
        <v>1242</v>
      </c>
      <c r="I2196" t="s">
        <v>1242</v>
      </c>
      <c r="J2196" t="s">
        <v>60</v>
      </c>
      <c r="K2196" t="s">
        <v>1243</v>
      </c>
      <c r="L2196" t="s">
        <v>62</v>
      </c>
      <c r="M2196" t="s">
        <v>1243</v>
      </c>
      <c r="N2196" t="s">
        <v>1244</v>
      </c>
      <c r="O2196" t="s">
        <v>315</v>
      </c>
      <c r="P2196">
        <v>-20.188538000000001</v>
      </c>
      <c r="Q2196">
        <v>-44.930104</v>
      </c>
      <c r="R2196" s="2" t="str">
        <f>HYPERLINK("https://www.google.com/maps?q=-20.1885380,-44.9301040","Abrir no Google Maps")</f>
        <v>Abrir no Google Maps</v>
      </c>
      <c r="S2196">
        <v>3</v>
      </c>
      <c r="T2196">
        <v>928.27105405717066</v>
      </c>
      <c r="U2196">
        <v>3</v>
      </c>
      <c r="V2196">
        <v>0.41891171373105057</v>
      </c>
      <c r="W2196">
        <v>1</v>
      </c>
      <c r="X2196">
        <v>0.41891171373105057</v>
      </c>
      <c r="Y2196">
        <v>113</v>
      </c>
      <c r="Z2196">
        <v>1111.4269393179579</v>
      </c>
      <c r="AA2196">
        <v>198</v>
      </c>
      <c r="AB2196">
        <v>332</v>
      </c>
      <c r="AC2196">
        <v>536</v>
      </c>
      <c r="AD2196">
        <v>26.61</v>
      </c>
      <c r="AE2196">
        <v>542</v>
      </c>
      <c r="AF2196">
        <v>13</v>
      </c>
      <c r="AG2196">
        <v>180</v>
      </c>
      <c r="AH2196">
        <v>129</v>
      </c>
      <c r="AI2196">
        <v>2.4</v>
      </c>
      <c r="AJ2196">
        <v>33.21</v>
      </c>
      <c r="AK2196">
        <v>23.8</v>
      </c>
      <c r="AL2196">
        <v>-20.18852899999996</v>
      </c>
      <c r="AM2196">
        <v>-44.930083089036543</v>
      </c>
      <c r="AN2196">
        <v>-20.18852899999996</v>
      </c>
      <c r="AO2196">
        <v>-44.930083089036543</v>
      </c>
      <c r="AP2196">
        <v>-20.188538000000001</v>
      </c>
      <c r="AQ2196">
        <v>-44.930104</v>
      </c>
      <c r="AR2196">
        <v>2.4035564137158438</v>
      </c>
      <c r="AS2196" t="s">
        <v>65</v>
      </c>
      <c r="AT2196">
        <v>1</v>
      </c>
      <c r="AU2196" t="s">
        <v>1245</v>
      </c>
      <c r="AV2196" t="s">
        <v>1246</v>
      </c>
      <c r="AW2196" t="s">
        <v>60</v>
      </c>
      <c r="AX2196" t="s">
        <v>68</v>
      </c>
      <c r="AY2196" t="s">
        <v>69</v>
      </c>
      <c r="AZ2196" t="b">
        <v>1</v>
      </c>
    </row>
    <row r="2197" spans="1:52" x14ac:dyDescent="0.3">
      <c r="A2197" t="s">
        <v>52</v>
      </c>
      <c r="B2197" t="s">
        <v>53</v>
      </c>
      <c r="C2197" t="s">
        <v>54</v>
      </c>
      <c r="D2197" t="s">
        <v>55</v>
      </c>
      <c r="E2197" t="s">
        <v>2149</v>
      </c>
      <c r="F2197" t="s">
        <v>1247</v>
      </c>
      <c r="G2197" t="s">
        <v>58</v>
      </c>
      <c r="H2197" t="s">
        <v>59</v>
      </c>
      <c r="I2197" t="s">
        <v>59</v>
      </c>
      <c r="J2197" t="s">
        <v>60</v>
      </c>
      <c r="K2197" t="s">
        <v>61</v>
      </c>
      <c r="L2197" t="s">
        <v>62</v>
      </c>
      <c r="M2197" t="s">
        <v>61</v>
      </c>
      <c r="N2197" t="s">
        <v>63</v>
      </c>
      <c r="O2197" t="s">
        <v>64</v>
      </c>
      <c r="P2197">
        <v>-20.147940999999999</v>
      </c>
      <c r="Q2197">
        <v>-44.906514000000001</v>
      </c>
      <c r="R2197" s="2" t="str">
        <f>HYPERLINK("https://www.google.com/maps?q=-20.1479410,-44.9065140","Abrir no Google Maps")</f>
        <v>Abrir no Google Maps</v>
      </c>
      <c r="S2197">
        <v>4</v>
      </c>
      <c r="T2197">
        <v>308.67004994113421</v>
      </c>
      <c r="U2197">
        <v>4</v>
      </c>
      <c r="V2197">
        <v>0.51846129711457567</v>
      </c>
      <c r="W2197">
        <v>1</v>
      </c>
      <c r="X2197">
        <v>0.51846129711457567</v>
      </c>
      <c r="Y2197">
        <v>747</v>
      </c>
      <c r="Z2197">
        <v>274.71440454502522</v>
      </c>
      <c r="AA2197">
        <v>198</v>
      </c>
      <c r="AB2197">
        <v>332</v>
      </c>
      <c r="AC2197">
        <v>536</v>
      </c>
      <c r="AD2197">
        <v>26.61</v>
      </c>
      <c r="AE2197">
        <v>542</v>
      </c>
      <c r="AF2197">
        <v>13</v>
      </c>
      <c r="AG2197">
        <v>180</v>
      </c>
      <c r="AH2197">
        <v>129</v>
      </c>
      <c r="AI2197">
        <v>2.4</v>
      </c>
      <c r="AJ2197">
        <v>33.21</v>
      </c>
      <c r="AK2197">
        <v>23.8</v>
      </c>
      <c r="AL2197">
        <v>-20.147947799999969</v>
      </c>
      <c r="AM2197">
        <v>-44.906591596129203</v>
      </c>
      <c r="AN2197">
        <v>-20.147947799999969</v>
      </c>
      <c r="AO2197">
        <v>-44.906591596129203</v>
      </c>
      <c r="AP2197">
        <v>-20.147940999999999</v>
      </c>
      <c r="AQ2197">
        <v>-44.906514000000001</v>
      </c>
      <c r="AR2197">
        <v>8.1446636170570326</v>
      </c>
      <c r="AS2197" t="s">
        <v>65</v>
      </c>
      <c r="AT2197">
        <v>1</v>
      </c>
      <c r="AU2197" t="s">
        <v>66</v>
      </c>
      <c r="AV2197" t="s">
        <v>67</v>
      </c>
      <c r="AW2197" t="s">
        <v>60</v>
      </c>
      <c r="AX2197" t="s">
        <v>68</v>
      </c>
      <c r="AY2197" t="s">
        <v>69</v>
      </c>
      <c r="AZ2197" t="b">
        <v>1</v>
      </c>
    </row>
    <row r="2198" spans="1:52" x14ac:dyDescent="0.3">
      <c r="A2198" t="s">
        <v>52</v>
      </c>
      <c r="B2198" t="s">
        <v>53</v>
      </c>
      <c r="C2198" t="s">
        <v>54</v>
      </c>
      <c r="D2198" t="s">
        <v>55</v>
      </c>
      <c r="E2198" t="s">
        <v>2149</v>
      </c>
      <c r="F2198" t="s">
        <v>1247</v>
      </c>
      <c r="G2198" t="s">
        <v>70</v>
      </c>
      <c r="H2198" t="s">
        <v>71</v>
      </c>
      <c r="I2198" t="s">
        <v>71</v>
      </c>
      <c r="J2198" t="s">
        <v>60</v>
      </c>
      <c r="K2198" t="s">
        <v>72</v>
      </c>
      <c r="L2198" t="s">
        <v>62</v>
      </c>
      <c r="M2198" t="s">
        <v>72</v>
      </c>
      <c r="N2198" t="s">
        <v>73</v>
      </c>
      <c r="O2198" t="s">
        <v>74</v>
      </c>
      <c r="P2198">
        <v>-20.149349000000001</v>
      </c>
      <c r="Q2198">
        <v>-44.910784</v>
      </c>
      <c r="R2198" s="2" t="str">
        <f>HYPERLINK("https://www.google.com/maps?q=-20.1493490,-44.9107840","Abrir no Google Maps")</f>
        <v>Abrir no Google Maps</v>
      </c>
      <c r="S2198">
        <v>4</v>
      </c>
      <c r="T2198">
        <v>472.43876549769578</v>
      </c>
      <c r="U2198">
        <v>4</v>
      </c>
      <c r="V2198">
        <v>0.52747828452692158</v>
      </c>
      <c r="W2198">
        <v>1</v>
      </c>
      <c r="X2198">
        <v>0.52747828452692158</v>
      </c>
      <c r="Y2198">
        <v>747</v>
      </c>
      <c r="Z2198">
        <v>441.03921887407779</v>
      </c>
      <c r="AA2198">
        <v>198</v>
      </c>
      <c r="AB2198">
        <v>332</v>
      </c>
      <c r="AC2198">
        <v>536</v>
      </c>
      <c r="AD2198">
        <v>26.61</v>
      </c>
      <c r="AE2198">
        <v>542</v>
      </c>
      <c r="AF2198">
        <v>13</v>
      </c>
      <c r="AG2198">
        <v>180</v>
      </c>
      <c r="AH2198">
        <v>129</v>
      </c>
      <c r="AI2198">
        <v>2.4</v>
      </c>
      <c r="AJ2198">
        <v>33.21</v>
      </c>
      <c r="AK2198">
        <v>23.8</v>
      </c>
      <c r="AL2198">
        <v>-20.149403999999951</v>
      </c>
      <c r="AM2198">
        <v>-44.91080895147438</v>
      </c>
      <c r="AN2198">
        <v>-20.149403999999951</v>
      </c>
      <c r="AO2198">
        <v>-44.91080895147438</v>
      </c>
      <c r="AP2198">
        <v>-20.149349000000001</v>
      </c>
      <c r="AQ2198">
        <v>-44.910784</v>
      </c>
      <c r="AR2198">
        <v>6.6547592699416382</v>
      </c>
      <c r="AS2198" t="s">
        <v>65</v>
      </c>
      <c r="AT2198">
        <v>1</v>
      </c>
      <c r="AU2198" t="s">
        <v>75</v>
      </c>
      <c r="AV2198" t="s">
        <v>76</v>
      </c>
      <c r="AW2198" t="s">
        <v>60</v>
      </c>
      <c r="AX2198" t="s">
        <v>68</v>
      </c>
      <c r="AY2198" t="s">
        <v>69</v>
      </c>
      <c r="AZ2198" t="b">
        <v>1</v>
      </c>
    </row>
    <row r="2199" spans="1:52" x14ac:dyDescent="0.3">
      <c r="A2199" t="s">
        <v>52</v>
      </c>
      <c r="B2199" t="s">
        <v>53</v>
      </c>
      <c r="C2199" t="s">
        <v>54</v>
      </c>
      <c r="D2199" t="s">
        <v>55</v>
      </c>
      <c r="E2199" t="s">
        <v>2149</v>
      </c>
      <c r="F2199" t="s">
        <v>1247</v>
      </c>
      <c r="G2199" t="s">
        <v>77</v>
      </c>
      <c r="H2199" t="s">
        <v>78</v>
      </c>
      <c r="I2199" t="s">
        <v>78</v>
      </c>
      <c r="J2199" t="s">
        <v>60</v>
      </c>
      <c r="K2199" t="s">
        <v>72</v>
      </c>
      <c r="L2199" t="s">
        <v>62</v>
      </c>
      <c r="M2199" t="s">
        <v>72</v>
      </c>
      <c r="N2199" t="s">
        <v>79</v>
      </c>
      <c r="O2199" t="s">
        <v>80</v>
      </c>
      <c r="P2199">
        <v>-20.147821</v>
      </c>
      <c r="Q2199">
        <v>-44.908887</v>
      </c>
      <c r="R2199" s="2" t="str">
        <f>HYPERLINK("https://www.google.com/maps?q=-20.1478210,-44.9088870","Abrir no Google Maps")</f>
        <v>Abrir no Google Maps</v>
      </c>
      <c r="S2199">
        <v>4</v>
      </c>
      <c r="T2199">
        <v>232.2893841532152</v>
      </c>
      <c r="U2199">
        <v>4</v>
      </c>
      <c r="V2199">
        <v>0.56375644899277499</v>
      </c>
      <c r="W2199">
        <v>1</v>
      </c>
      <c r="X2199">
        <v>0.56375644899277499</v>
      </c>
      <c r="Y2199">
        <v>747</v>
      </c>
      <c r="Z2199">
        <v>195.3668648953757</v>
      </c>
      <c r="AA2199">
        <v>198</v>
      </c>
      <c r="AB2199">
        <v>332</v>
      </c>
      <c r="AC2199">
        <v>536</v>
      </c>
      <c r="AD2199">
        <v>26.61</v>
      </c>
      <c r="AE2199">
        <v>542</v>
      </c>
      <c r="AF2199">
        <v>13</v>
      </c>
      <c r="AG2199">
        <v>180</v>
      </c>
      <c r="AH2199">
        <v>129</v>
      </c>
      <c r="AI2199">
        <v>2.4</v>
      </c>
      <c r="AJ2199">
        <v>33.21</v>
      </c>
      <c r="AK2199">
        <v>23.8</v>
      </c>
      <c r="AL2199">
        <v>-20.147802849999952</v>
      </c>
      <c r="AM2199">
        <v>-44.908989919229477</v>
      </c>
      <c r="AN2199">
        <v>-20.147802849999952</v>
      </c>
      <c r="AO2199">
        <v>-44.908989919229491</v>
      </c>
      <c r="AP2199">
        <v>-20.147821</v>
      </c>
      <c r="AQ2199">
        <v>-44.908887</v>
      </c>
      <c r="AR2199">
        <v>10.944007761262529</v>
      </c>
      <c r="AS2199" t="s">
        <v>65</v>
      </c>
      <c r="AT2199">
        <v>1</v>
      </c>
      <c r="AU2199" t="s">
        <v>81</v>
      </c>
      <c r="AV2199" t="s">
        <v>82</v>
      </c>
      <c r="AW2199" t="s">
        <v>60</v>
      </c>
      <c r="AX2199" t="s">
        <v>68</v>
      </c>
      <c r="AY2199" t="s">
        <v>69</v>
      </c>
      <c r="AZ2199" t="b">
        <v>1</v>
      </c>
    </row>
    <row r="2200" spans="1:52" x14ac:dyDescent="0.3">
      <c r="A2200" t="s">
        <v>52</v>
      </c>
      <c r="B2200" t="s">
        <v>53</v>
      </c>
      <c r="C2200" t="s">
        <v>54</v>
      </c>
      <c r="D2200" t="s">
        <v>55</v>
      </c>
      <c r="E2200" t="s">
        <v>2149</v>
      </c>
      <c r="F2200" t="s">
        <v>1247</v>
      </c>
      <c r="G2200" t="s">
        <v>83</v>
      </c>
      <c r="H2200" t="s">
        <v>84</v>
      </c>
      <c r="I2200" t="s">
        <v>84</v>
      </c>
      <c r="J2200" t="s">
        <v>60</v>
      </c>
      <c r="K2200" t="s">
        <v>61</v>
      </c>
      <c r="L2200" t="s">
        <v>62</v>
      </c>
      <c r="M2200" t="s">
        <v>61</v>
      </c>
      <c r="N2200" t="s">
        <v>85</v>
      </c>
      <c r="O2200" t="s">
        <v>86</v>
      </c>
      <c r="P2200">
        <v>-20.149799000000002</v>
      </c>
      <c r="Q2200">
        <v>-44.906517000000001</v>
      </c>
      <c r="R2200" s="2" t="str">
        <f>HYPERLINK("https://www.google.com/maps?q=-20.1497990,-44.9065170","Abrir no Google Maps")</f>
        <v>Abrir no Google Maps</v>
      </c>
      <c r="S2200">
        <v>4</v>
      </c>
      <c r="T2200">
        <v>487.90051105537998</v>
      </c>
      <c r="U2200">
        <v>4</v>
      </c>
      <c r="V2200">
        <v>0.46815840805374959</v>
      </c>
      <c r="W2200">
        <v>1</v>
      </c>
      <c r="X2200">
        <v>0.46815840805374959</v>
      </c>
      <c r="Y2200">
        <v>747</v>
      </c>
      <c r="Z2200">
        <v>365.93785960107078</v>
      </c>
      <c r="AA2200">
        <v>198</v>
      </c>
      <c r="AB2200">
        <v>332</v>
      </c>
      <c r="AC2200">
        <v>536</v>
      </c>
      <c r="AD2200">
        <v>26.61</v>
      </c>
      <c r="AE2200">
        <v>542</v>
      </c>
      <c r="AF2200">
        <v>13</v>
      </c>
      <c r="AG2200">
        <v>180</v>
      </c>
      <c r="AH2200">
        <v>129</v>
      </c>
      <c r="AI2200">
        <v>2.4</v>
      </c>
      <c r="AJ2200">
        <v>33.21</v>
      </c>
      <c r="AK2200">
        <v>23.8</v>
      </c>
      <c r="AL2200">
        <v>-20.149879599999959</v>
      </c>
      <c r="AM2200">
        <v>-44.906746466068469</v>
      </c>
      <c r="AN2200">
        <v>-20.149879599999959</v>
      </c>
      <c r="AO2200">
        <v>-44.906746466068469</v>
      </c>
      <c r="AP2200">
        <v>-20.149799000000002</v>
      </c>
      <c r="AQ2200">
        <v>-44.906517000000001</v>
      </c>
      <c r="AR2200">
        <v>25.604276856970429</v>
      </c>
      <c r="AS2200" t="s">
        <v>65</v>
      </c>
      <c r="AT2200">
        <v>1</v>
      </c>
      <c r="AU2200" t="s">
        <v>87</v>
      </c>
      <c r="AV2200" t="s">
        <v>88</v>
      </c>
      <c r="AW2200" t="s">
        <v>60</v>
      </c>
      <c r="AX2200" t="s">
        <v>68</v>
      </c>
      <c r="AY2200" t="s">
        <v>69</v>
      </c>
      <c r="AZ2200" t="b">
        <v>1</v>
      </c>
    </row>
    <row r="2201" spans="1:52" x14ac:dyDescent="0.3">
      <c r="A2201" t="s">
        <v>52</v>
      </c>
      <c r="B2201" t="s">
        <v>53</v>
      </c>
      <c r="C2201" t="s">
        <v>54</v>
      </c>
      <c r="D2201" t="s">
        <v>55</v>
      </c>
      <c r="E2201" t="s">
        <v>2149</v>
      </c>
      <c r="F2201" t="s">
        <v>1247</v>
      </c>
      <c r="G2201" t="s">
        <v>89</v>
      </c>
      <c r="H2201" t="s">
        <v>90</v>
      </c>
      <c r="I2201" t="s">
        <v>90</v>
      </c>
      <c r="J2201" t="s">
        <v>60</v>
      </c>
      <c r="K2201" t="s">
        <v>72</v>
      </c>
      <c r="L2201" t="s">
        <v>62</v>
      </c>
      <c r="M2201" t="s">
        <v>72</v>
      </c>
      <c r="N2201" t="s">
        <v>91</v>
      </c>
      <c r="O2201" t="s">
        <v>92</v>
      </c>
      <c r="P2201">
        <v>-20.145848999999998</v>
      </c>
      <c r="Q2201">
        <v>-44.908419000000002</v>
      </c>
      <c r="R2201" s="2" t="str">
        <f>HYPERLINK("https://www.google.com/maps?q=-20.1458490,-44.9084190","Abrir no Google Maps")</f>
        <v>Abrir no Google Maps</v>
      </c>
      <c r="S2201">
        <v>4</v>
      </c>
      <c r="T2201">
        <v>0</v>
      </c>
      <c r="U2201">
        <v>4</v>
      </c>
      <c r="V2201">
        <v>0.52039991020136211</v>
      </c>
      <c r="W2201">
        <v>1</v>
      </c>
      <c r="X2201">
        <v>0.52039991020136211</v>
      </c>
      <c r="Y2201">
        <v>747</v>
      </c>
      <c r="Z2201">
        <v>136.08168502765241</v>
      </c>
      <c r="AA2201">
        <v>198</v>
      </c>
      <c r="AB2201">
        <v>332</v>
      </c>
      <c r="AC2201">
        <v>536</v>
      </c>
      <c r="AD2201">
        <v>26.61</v>
      </c>
      <c r="AE2201">
        <v>542</v>
      </c>
      <c r="AF2201">
        <v>13</v>
      </c>
      <c r="AG2201">
        <v>180</v>
      </c>
      <c r="AH2201">
        <v>129</v>
      </c>
      <c r="AI2201">
        <v>2.4</v>
      </c>
      <c r="AJ2201">
        <v>33.21</v>
      </c>
      <c r="AK2201">
        <v>23.8</v>
      </c>
      <c r="AL2201">
        <v>-20.14576979999995</v>
      </c>
      <c r="AM2201">
        <v>-44.908436775053183</v>
      </c>
      <c r="AN2201">
        <v>-20.14576979999995</v>
      </c>
      <c r="AO2201">
        <v>-44.908436775053183</v>
      </c>
      <c r="AP2201">
        <v>-20.145848999999998</v>
      </c>
      <c r="AQ2201">
        <v>-44.908419000000002</v>
      </c>
      <c r="AR2201">
        <v>9.0101247482327356</v>
      </c>
      <c r="AS2201" t="s">
        <v>65</v>
      </c>
      <c r="AT2201">
        <v>1</v>
      </c>
      <c r="AU2201" t="s">
        <v>93</v>
      </c>
      <c r="AV2201" t="s">
        <v>94</v>
      </c>
      <c r="AW2201" t="s">
        <v>60</v>
      </c>
      <c r="AX2201" t="s">
        <v>68</v>
      </c>
      <c r="AY2201" t="s">
        <v>69</v>
      </c>
      <c r="AZ2201" t="b">
        <v>1</v>
      </c>
    </row>
    <row r="2202" spans="1:52" x14ac:dyDescent="0.3">
      <c r="A2202" t="s">
        <v>52</v>
      </c>
      <c r="B2202" t="s">
        <v>53</v>
      </c>
      <c r="C2202" t="s">
        <v>54</v>
      </c>
      <c r="D2202" t="s">
        <v>55</v>
      </c>
      <c r="E2202" t="s">
        <v>2149</v>
      </c>
      <c r="F2202" t="s">
        <v>1247</v>
      </c>
      <c r="G2202" t="s">
        <v>95</v>
      </c>
      <c r="H2202" t="s">
        <v>96</v>
      </c>
      <c r="I2202" t="s">
        <v>96</v>
      </c>
      <c r="J2202" t="s">
        <v>60</v>
      </c>
      <c r="K2202" t="s">
        <v>72</v>
      </c>
      <c r="L2202" t="s">
        <v>62</v>
      </c>
      <c r="M2202" t="s">
        <v>72</v>
      </c>
      <c r="N2202" t="s">
        <v>97</v>
      </c>
      <c r="O2202" t="s">
        <v>98</v>
      </c>
      <c r="P2202">
        <v>-20.144062999999999</v>
      </c>
      <c r="Q2202">
        <v>-44.909627999999998</v>
      </c>
      <c r="R2202" s="2" t="str">
        <f>HYPERLINK("https://www.google.com/maps?q=-20.1440630,-44.9096280","Abrir no Google Maps")</f>
        <v>Abrir no Google Maps</v>
      </c>
      <c r="S2202">
        <v>4</v>
      </c>
      <c r="T2202">
        <v>205.27083326529291</v>
      </c>
      <c r="U2202">
        <v>4</v>
      </c>
      <c r="V2202">
        <v>0.50147770545138393</v>
      </c>
      <c r="W2202">
        <v>1</v>
      </c>
      <c r="X2202">
        <v>0.50147770545138393</v>
      </c>
      <c r="Y2202">
        <v>747</v>
      </c>
      <c r="Z2202">
        <v>336.75785483480968</v>
      </c>
      <c r="AA2202">
        <v>198</v>
      </c>
      <c r="AB2202">
        <v>332</v>
      </c>
      <c r="AC2202">
        <v>536</v>
      </c>
      <c r="AD2202">
        <v>26.61</v>
      </c>
      <c r="AE2202">
        <v>542</v>
      </c>
      <c r="AF2202">
        <v>13</v>
      </c>
      <c r="AG2202">
        <v>180</v>
      </c>
      <c r="AH2202">
        <v>129</v>
      </c>
      <c r="AI2202">
        <v>2.4</v>
      </c>
      <c r="AJ2202">
        <v>33.21</v>
      </c>
      <c r="AK2202">
        <v>23.8</v>
      </c>
      <c r="AL2202">
        <v>-20.144164099999951</v>
      </c>
      <c r="AM2202">
        <v>-44.909420167767642</v>
      </c>
      <c r="AN2202">
        <v>-20.144164099999951</v>
      </c>
      <c r="AO2202">
        <v>-44.909420167767642</v>
      </c>
      <c r="AP2202">
        <v>-20.144062999999999</v>
      </c>
      <c r="AQ2202">
        <v>-44.909627999999998</v>
      </c>
      <c r="AR2202">
        <v>24.46321571724976</v>
      </c>
      <c r="AS2202" t="s">
        <v>65</v>
      </c>
      <c r="AT2202">
        <v>1</v>
      </c>
      <c r="AU2202" t="s">
        <v>99</v>
      </c>
      <c r="AV2202" t="s">
        <v>94</v>
      </c>
      <c r="AW2202" t="s">
        <v>60</v>
      </c>
      <c r="AX2202" t="s">
        <v>68</v>
      </c>
      <c r="AY2202" t="s">
        <v>69</v>
      </c>
      <c r="AZ2202" t="b">
        <v>1</v>
      </c>
    </row>
    <row r="2203" spans="1:52" x14ac:dyDescent="0.3">
      <c r="A2203" t="s">
        <v>52</v>
      </c>
      <c r="B2203" t="s">
        <v>53</v>
      </c>
      <c r="C2203" t="s">
        <v>54</v>
      </c>
      <c r="D2203" t="s">
        <v>55</v>
      </c>
      <c r="E2203" t="s">
        <v>2149</v>
      </c>
      <c r="F2203" t="s">
        <v>1247</v>
      </c>
      <c r="G2203" t="s">
        <v>100</v>
      </c>
      <c r="H2203" t="s">
        <v>101</v>
      </c>
      <c r="I2203" t="s">
        <v>101</v>
      </c>
      <c r="J2203" t="s">
        <v>60</v>
      </c>
      <c r="K2203" t="s">
        <v>61</v>
      </c>
      <c r="L2203" t="s">
        <v>62</v>
      </c>
      <c r="M2203" t="s">
        <v>61</v>
      </c>
      <c r="N2203" t="s">
        <v>102</v>
      </c>
      <c r="O2203" t="s">
        <v>103</v>
      </c>
      <c r="P2203">
        <v>-20.151098999999999</v>
      </c>
      <c r="Q2203">
        <v>-44.909699000000003</v>
      </c>
      <c r="R2203" s="2" t="str">
        <f>HYPERLINK("https://www.google.com/maps?q=-20.1510990,-44.9096990","Abrir no Google Maps")</f>
        <v>Abrir no Google Maps</v>
      </c>
      <c r="S2203">
        <v>4</v>
      </c>
      <c r="T2203">
        <v>628.5023128813533</v>
      </c>
      <c r="U2203">
        <v>4</v>
      </c>
      <c r="V2203">
        <v>0.59505011729084001</v>
      </c>
      <c r="W2203">
        <v>1</v>
      </c>
      <c r="X2203">
        <v>0.59505011729084001</v>
      </c>
      <c r="Y2203">
        <v>747</v>
      </c>
      <c r="Z2203">
        <v>563.16456625265948</v>
      </c>
      <c r="AA2203">
        <v>198</v>
      </c>
      <c r="AB2203">
        <v>332</v>
      </c>
      <c r="AC2203">
        <v>536</v>
      </c>
      <c r="AD2203">
        <v>26.61</v>
      </c>
      <c r="AE2203">
        <v>542</v>
      </c>
      <c r="AF2203">
        <v>13</v>
      </c>
      <c r="AG2203">
        <v>180</v>
      </c>
      <c r="AH2203">
        <v>129</v>
      </c>
      <c r="AI2203">
        <v>2.4</v>
      </c>
      <c r="AJ2203">
        <v>33.21</v>
      </c>
      <c r="AK2203">
        <v>23.8</v>
      </c>
      <c r="AL2203">
        <v>-20.151307349999971</v>
      </c>
      <c r="AM2203">
        <v>-44.909772836123523</v>
      </c>
      <c r="AN2203">
        <v>-20.151307349999971</v>
      </c>
      <c r="AO2203">
        <v>-44.909772836123523</v>
      </c>
      <c r="AP2203">
        <v>-20.151098999999999</v>
      </c>
      <c r="AQ2203">
        <v>-44.909699000000003</v>
      </c>
      <c r="AR2203">
        <v>24.443417349564811</v>
      </c>
      <c r="AS2203" t="s">
        <v>65</v>
      </c>
      <c r="AT2203">
        <v>1</v>
      </c>
      <c r="AU2203" t="s">
        <v>104</v>
      </c>
      <c r="AV2203" t="s">
        <v>105</v>
      </c>
      <c r="AW2203" t="s">
        <v>60</v>
      </c>
      <c r="AX2203" t="s">
        <v>68</v>
      </c>
      <c r="AY2203" t="s">
        <v>69</v>
      </c>
      <c r="AZ2203" t="b">
        <v>1</v>
      </c>
    </row>
    <row r="2204" spans="1:52" x14ac:dyDescent="0.3">
      <c r="A2204" t="s">
        <v>52</v>
      </c>
      <c r="B2204" t="s">
        <v>53</v>
      </c>
      <c r="C2204" t="s">
        <v>54</v>
      </c>
      <c r="D2204" t="s">
        <v>55</v>
      </c>
      <c r="E2204" t="s">
        <v>2149</v>
      </c>
      <c r="F2204" t="s">
        <v>1247</v>
      </c>
      <c r="G2204" t="s">
        <v>100</v>
      </c>
      <c r="H2204" t="s">
        <v>106</v>
      </c>
      <c r="I2204" t="s">
        <v>106</v>
      </c>
      <c r="J2204" t="s">
        <v>60</v>
      </c>
      <c r="K2204" t="s">
        <v>61</v>
      </c>
      <c r="L2204" t="s">
        <v>62</v>
      </c>
      <c r="M2204" t="s">
        <v>61</v>
      </c>
      <c r="N2204" t="s">
        <v>102</v>
      </c>
      <c r="O2204" t="s">
        <v>103</v>
      </c>
      <c r="P2204">
        <v>-20.151107</v>
      </c>
      <c r="Q2204">
        <v>-44.908918</v>
      </c>
      <c r="R2204" s="2" t="str">
        <f>HYPERLINK("https://www.google.com/maps?q=-20.1511070,-44.9089180","Abrir no Google Maps")</f>
        <v>Abrir no Google Maps</v>
      </c>
      <c r="S2204">
        <v>4</v>
      </c>
      <c r="T2204">
        <v>615.86400245321579</v>
      </c>
      <c r="U2204">
        <v>4</v>
      </c>
      <c r="V2204">
        <v>0.6334876321389914</v>
      </c>
      <c r="W2204">
        <v>0.85</v>
      </c>
      <c r="X2204">
        <v>0.53846448731814267</v>
      </c>
      <c r="Y2204">
        <v>747</v>
      </c>
      <c r="Z2204">
        <v>535.34543763764702</v>
      </c>
      <c r="AA2204">
        <v>198</v>
      </c>
      <c r="AB2204">
        <v>332</v>
      </c>
      <c r="AC2204">
        <v>536</v>
      </c>
      <c r="AD2204">
        <v>26.61</v>
      </c>
      <c r="AE2204">
        <v>542</v>
      </c>
      <c r="AF2204">
        <v>13</v>
      </c>
      <c r="AG2204">
        <v>180</v>
      </c>
      <c r="AH2204">
        <v>129</v>
      </c>
      <c r="AI2204">
        <v>2.4</v>
      </c>
      <c r="AJ2204">
        <v>33.21</v>
      </c>
      <c r="AK2204">
        <v>23.8</v>
      </c>
      <c r="AL2204">
        <v>-20.151307349999971</v>
      </c>
      <c r="AM2204">
        <v>-44.909024234051429</v>
      </c>
      <c r="AN2204">
        <v>-20.151307349999971</v>
      </c>
      <c r="AO2204">
        <v>-44.909024234051429</v>
      </c>
      <c r="AP2204">
        <v>-20.151107</v>
      </c>
      <c r="AQ2204">
        <v>-44.908918</v>
      </c>
      <c r="AR2204">
        <v>24.91340747371116</v>
      </c>
      <c r="AS2204" t="s">
        <v>65</v>
      </c>
      <c r="AT2204">
        <v>1</v>
      </c>
      <c r="AU2204" t="s">
        <v>107</v>
      </c>
      <c r="AV2204" t="s">
        <v>105</v>
      </c>
      <c r="AW2204" t="s">
        <v>60</v>
      </c>
      <c r="AX2204" t="s">
        <v>68</v>
      </c>
      <c r="AY2204" t="s">
        <v>69</v>
      </c>
      <c r="AZ2204" t="b">
        <v>1</v>
      </c>
    </row>
    <row r="2205" spans="1:52" x14ac:dyDescent="0.3">
      <c r="A2205" t="s">
        <v>52</v>
      </c>
      <c r="B2205" t="s">
        <v>53</v>
      </c>
      <c r="C2205" t="s">
        <v>54</v>
      </c>
      <c r="D2205" t="s">
        <v>55</v>
      </c>
      <c r="E2205" t="s">
        <v>2149</v>
      </c>
      <c r="F2205" t="s">
        <v>1247</v>
      </c>
      <c r="G2205" t="s">
        <v>108</v>
      </c>
      <c r="H2205" t="s">
        <v>109</v>
      </c>
      <c r="I2205" t="s">
        <v>109</v>
      </c>
      <c r="J2205" t="s">
        <v>60</v>
      </c>
      <c r="K2205" t="s">
        <v>110</v>
      </c>
      <c r="L2205" t="s">
        <v>62</v>
      </c>
      <c r="M2205" t="s">
        <v>110</v>
      </c>
      <c r="N2205" t="s">
        <v>111</v>
      </c>
      <c r="O2205" t="s">
        <v>112</v>
      </c>
      <c r="P2205">
        <v>-20.122233999999999</v>
      </c>
      <c r="Q2205">
        <v>-44.909194999999997</v>
      </c>
      <c r="R2205" s="2" t="str">
        <f>HYPERLINK("https://www.google.com/maps?q=-20.1222340,-44.9091950","Abrir no Google Maps")</f>
        <v>Abrir no Google Maps</v>
      </c>
      <c r="S2205">
        <v>4</v>
      </c>
      <c r="T2205">
        <v>1171.396020763932</v>
      </c>
      <c r="U2205">
        <v>4</v>
      </c>
      <c r="V2205">
        <v>0.55647711595824023</v>
      </c>
      <c r="W2205">
        <v>0.85</v>
      </c>
      <c r="X2205">
        <v>0.47300554856450422</v>
      </c>
      <c r="Y2205">
        <v>567</v>
      </c>
      <c r="Z2205">
        <v>1238.711234283244</v>
      </c>
      <c r="AA2205">
        <v>198</v>
      </c>
      <c r="AB2205">
        <v>332</v>
      </c>
      <c r="AC2205">
        <v>536</v>
      </c>
      <c r="AD2205">
        <v>26.61</v>
      </c>
      <c r="AE2205">
        <v>542</v>
      </c>
      <c r="AF2205">
        <v>13</v>
      </c>
      <c r="AG2205">
        <v>180</v>
      </c>
      <c r="AH2205">
        <v>129</v>
      </c>
      <c r="AI2205">
        <v>2.4</v>
      </c>
      <c r="AJ2205">
        <v>33.21</v>
      </c>
      <c r="AK2205">
        <v>23.8</v>
      </c>
      <c r="AL2205">
        <v>-20.121881249999941</v>
      </c>
      <c r="AM2205">
        <v>-44.909273766094323</v>
      </c>
      <c r="AN2205">
        <v>-20.121881249999941</v>
      </c>
      <c r="AO2205">
        <v>-44.909273766094323</v>
      </c>
      <c r="AP2205">
        <v>-20.122233999999999</v>
      </c>
      <c r="AQ2205">
        <v>-44.909194999999997</v>
      </c>
      <c r="AR2205">
        <v>40.12192930593006</v>
      </c>
      <c r="AS2205" t="s">
        <v>65</v>
      </c>
      <c r="AT2205">
        <v>1</v>
      </c>
      <c r="AU2205" t="s">
        <v>113</v>
      </c>
      <c r="AV2205" t="s">
        <v>114</v>
      </c>
      <c r="AW2205" t="s">
        <v>60</v>
      </c>
      <c r="AX2205" t="s">
        <v>68</v>
      </c>
      <c r="AY2205" t="s">
        <v>69</v>
      </c>
      <c r="AZ2205" t="b">
        <v>1</v>
      </c>
    </row>
    <row r="2206" spans="1:52" x14ac:dyDescent="0.3">
      <c r="A2206" t="s">
        <v>52</v>
      </c>
      <c r="B2206" t="s">
        <v>53</v>
      </c>
      <c r="C2206" t="s">
        <v>54</v>
      </c>
      <c r="D2206" t="s">
        <v>55</v>
      </c>
      <c r="E2206" t="s">
        <v>2149</v>
      </c>
      <c r="F2206" t="s">
        <v>1247</v>
      </c>
      <c r="G2206" t="s">
        <v>115</v>
      </c>
      <c r="H2206" t="s">
        <v>116</v>
      </c>
      <c r="I2206" t="s">
        <v>116</v>
      </c>
      <c r="J2206" t="s">
        <v>60</v>
      </c>
      <c r="K2206" t="s">
        <v>117</v>
      </c>
      <c r="L2206" t="s">
        <v>62</v>
      </c>
      <c r="M2206" t="s">
        <v>117</v>
      </c>
      <c r="N2206" t="s">
        <v>118</v>
      </c>
      <c r="O2206" t="s">
        <v>119</v>
      </c>
      <c r="P2206">
        <v>-20.116992</v>
      </c>
      <c r="Q2206">
        <v>-44.899355</v>
      </c>
      <c r="R2206" s="2" t="str">
        <f>HYPERLINK("https://www.google.com/maps?q=-20.1169920,-44.8993550","Abrir no Google Maps")</f>
        <v>Abrir no Google Maps</v>
      </c>
      <c r="S2206">
        <v>4</v>
      </c>
      <c r="T2206">
        <v>0</v>
      </c>
      <c r="U2206">
        <v>4</v>
      </c>
      <c r="V2206">
        <v>0.47838496829552651</v>
      </c>
      <c r="W2206">
        <v>1</v>
      </c>
      <c r="X2206">
        <v>0.47838496829552651</v>
      </c>
      <c r="Y2206">
        <v>567</v>
      </c>
      <c r="Z2206">
        <v>54.913678078353321</v>
      </c>
      <c r="AA2206">
        <v>198</v>
      </c>
      <c r="AB2206">
        <v>332</v>
      </c>
      <c r="AC2206">
        <v>536</v>
      </c>
      <c r="AD2206">
        <v>26.61</v>
      </c>
      <c r="AE2206">
        <v>542</v>
      </c>
      <c r="AF2206">
        <v>13</v>
      </c>
      <c r="AG2206">
        <v>180</v>
      </c>
      <c r="AH2206">
        <v>129</v>
      </c>
      <c r="AI2206">
        <v>2.4</v>
      </c>
      <c r="AJ2206">
        <v>33.21</v>
      </c>
      <c r="AK2206">
        <v>23.8</v>
      </c>
      <c r="AL2206">
        <v>-20.117107749999949</v>
      </c>
      <c r="AM2206">
        <v>-44.899271226243108</v>
      </c>
      <c r="AN2206">
        <v>-20.117107749999949</v>
      </c>
      <c r="AO2206">
        <v>-44.899271226243108</v>
      </c>
      <c r="AP2206">
        <v>-20.116992</v>
      </c>
      <c r="AQ2206">
        <v>-44.899355</v>
      </c>
      <c r="AR2206">
        <v>15.579196044083419</v>
      </c>
      <c r="AS2206" t="s">
        <v>65</v>
      </c>
      <c r="AT2206">
        <v>1</v>
      </c>
      <c r="AU2206" t="s">
        <v>120</v>
      </c>
      <c r="AV2206" t="s">
        <v>121</v>
      </c>
      <c r="AW2206" t="s">
        <v>60</v>
      </c>
      <c r="AX2206" t="s">
        <v>68</v>
      </c>
      <c r="AY2206" t="s">
        <v>69</v>
      </c>
      <c r="AZ2206" t="b">
        <v>1</v>
      </c>
    </row>
    <row r="2207" spans="1:52" x14ac:dyDescent="0.3">
      <c r="A2207" t="s">
        <v>52</v>
      </c>
      <c r="B2207" t="s">
        <v>53</v>
      </c>
      <c r="C2207" t="s">
        <v>54</v>
      </c>
      <c r="D2207" t="s">
        <v>55</v>
      </c>
      <c r="E2207" t="s">
        <v>2149</v>
      </c>
      <c r="F2207" t="s">
        <v>1247</v>
      </c>
      <c r="G2207" t="s">
        <v>122</v>
      </c>
      <c r="H2207" t="s">
        <v>123</v>
      </c>
      <c r="I2207" t="s">
        <v>123</v>
      </c>
      <c r="J2207" t="s">
        <v>60</v>
      </c>
      <c r="K2207" t="s">
        <v>117</v>
      </c>
      <c r="L2207" t="s">
        <v>62</v>
      </c>
      <c r="M2207" t="s">
        <v>117</v>
      </c>
      <c r="N2207" t="s">
        <v>124</v>
      </c>
      <c r="O2207" t="s">
        <v>125</v>
      </c>
      <c r="P2207">
        <v>-20.11853</v>
      </c>
      <c r="Q2207">
        <v>-44.896925000000003</v>
      </c>
      <c r="R2207" s="2" t="str">
        <f>HYPERLINK("https://www.google.com/maps?q=-20.1185300,-44.8969250","Abrir no Google Maps")</f>
        <v>Abrir no Google Maps</v>
      </c>
      <c r="S2207">
        <v>4</v>
      </c>
      <c r="T2207">
        <v>325.32255721093247</v>
      </c>
      <c r="U2207">
        <v>4</v>
      </c>
      <c r="V2207">
        <v>0.48405621864056009</v>
      </c>
      <c r="W2207">
        <v>1</v>
      </c>
      <c r="X2207">
        <v>0.48405621864056009</v>
      </c>
      <c r="Y2207">
        <v>567</v>
      </c>
      <c r="Z2207">
        <v>306.04423478678871</v>
      </c>
      <c r="AA2207">
        <v>198</v>
      </c>
      <c r="AB2207">
        <v>332</v>
      </c>
      <c r="AC2207">
        <v>536</v>
      </c>
      <c r="AD2207">
        <v>26.61</v>
      </c>
      <c r="AE2207">
        <v>542</v>
      </c>
      <c r="AF2207">
        <v>13</v>
      </c>
      <c r="AG2207">
        <v>180</v>
      </c>
      <c r="AH2207">
        <v>129</v>
      </c>
      <c r="AI2207">
        <v>2.4</v>
      </c>
      <c r="AJ2207">
        <v>33.21</v>
      </c>
      <c r="AK2207">
        <v>23.8</v>
      </c>
      <c r="AL2207">
        <v>-20.118682499999949</v>
      </c>
      <c r="AM2207">
        <v>-44.896643089287927</v>
      </c>
      <c r="AN2207">
        <v>-20.118682499999949</v>
      </c>
      <c r="AO2207">
        <v>-44.896643089287927</v>
      </c>
      <c r="AP2207">
        <v>-20.11853</v>
      </c>
      <c r="AQ2207">
        <v>-44.896925000000003</v>
      </c>
      <c r="AR2207">
        <v>34.007698996886518</v>
      </c>
      <c r="AS2207" t="s">
        <v>65</v>
      </c>
      <c r="AT2207">
        <v>1</v>
      </c>
      <c r="AU2207" t="s">
        <v>126</v>
      </c>
      <c r="AV2207" t="s">
        <v>121</v>
      </c>
      <c r="AW2207" t="s">
        <v>60</v>
      </c>
      <c r="AX2207" t="s">
        <v>68</v>
      </c>
      <c r="AY2207" t="s">
        <v>69</v>
      </c>
      <c r="AZ2207" t="b">
        <v>1</v>
      </c>
    </row>
    <row r="2208" spans="1:52" x14ac:dyDescent="0.3">
      <c r="A2208" t="s">
        <v>52</v>
      </c>
      <c r="B2208" t="s">
        <v>53</v>
      </c>
      <c r="C2208" t="s">
        <v>54</v>
      </c>
      <c r="D2208" t="s">
        <v>55</v>
      </c>
      <c r="E2208" t="s">
        <v>2149</v>
      </c>
      <c r="F2208" t="s">
        <v>1247</v>
      </c>
      <c r="G2208" t="s">
        <v>191</v>
      </c>
      <c r="H2208" t="s">
        <v>192</v>
      </c>
      <c r="I2208" t="s">
        <v>192</v>
      </c>
      <c r="J2208" t="s">
        <v>60</v>
      </c>
      <c r="K2208" t="s">
        <v>193</v>
      </c>
      <c r="L2208" t="s">
        <v>62</v>
      </c>
      <c r="M2208" t="s">
        <v>193</v>
      </c>
      <c r="N2208" t="s">
        <v>194</v>
      </c>
      <c r="O2208" t="s">
        <v>195</v>
      </c>
      <c r="P2208">
        <v>-20.143266000000001</v>
      </c>
      <c r="Q2208">
        <v>-44.912075000000002</v>
      </c>
      <c r="R2208" s="2" t="str">
        <f>HYPERLINK("https://www.google.com/maps?q=-20.1432660,-44.9120750","Abrir no Google Maps")</f>
        <v>Abrir no Google Maps</v>
      </c>
      <c r="S2208">
        <v>4</v>
      </c>
      <c r="T2208">
        <v>467.04339396175408</v>
      </c>
      <c r="U2208">
        <v>3</v>
      </c>
      <c r="V2208">
        <v>0.4534668707294377</v>
      </c>
      <c r="W2208">
        <v>1</v>
      </c>
      <c r="X2208">
        <v>0.4534668707294377</v>
      </c>
      <c r="Y2208">
        <v>747</v>
      </c>
      <c r="Z2208">
        <v>585.1742452866996</v>
      </c>
      <c r="AA2208">
        <v>198</v>
      </c>
      <c r="AB2208">
        <v>332</v>
      </c>
      <c r="AC2208">
        <v>536</v>
      </c>
      <c r="AD2208">
        <v>26.61</v>
      </c>
      <c r="AE2208">
        <v>542</v>
      </c>
      <c r="AF2208">
        <v>13</v>
      </c>
      <c r="AG2208">
        <v>180</v>
      </c>
      <c r="AH2208">
        <v>129</v>
      </c>
      <c r="AI2208">
        <v>2.4</v>
      </c>
      <c r="AJ2208">
        <v>33.21</v>
      </c>
      <c r="AK2208">
        <v>23.8</v>
      </c>
      <c r="AL2208">
        <v>-20.143307949999951</v>
      </c>
      <c r="AM2208">
        <v>-44.912066629431067</v>
      </c>
      <c r="AN2208">
        <v>-20.143307949999951</v>
      </c>
      <c r="AO2208">
        <v>-44.912066629431067</v>
      </c>
      <c r="AP2208">
        <v>-20.143266000000001</v>
      </c>
      <c r="AQ2208">
        <v>-44.912075000000002</v>
      </c>
      <c r="AR2208">
        <v>4.751108024498329</v>
      </c>
      <c r="AS2208" t="s">
        <v>65</v>
      </c>
      <c r="AT2208">
        <v>1</v>
      </c>
      <c r="AU2208" t="s">
        <v>196</v>
      </c>
      <c r="AV2208" t="s">
        <v>197</v>
      </c>
      <c r="AW2208" t="s">
        <v>60</v>
      </c>
      <c r="AX2208" t="s">
        <v>68</v>
      </c>
      <c r="AY2208" t="s">
        <v>69</v>
      </c>
      <c r="AZ2208" t="b">
        <v>1</v>
      </c>
    </row>
    <row r="2209" spans="1:52" x14ac:dyDescent="0.3">
      <c r="A2209" t="s">
        <v>52</v>
      </c>
      <c r="B2209" t="s">
        <v>53</v>
      </c>
      <c r="C2209" t="s">
        <v>54</v>
      </c>
      <c r="D2209" t="s">
        <v>55</v>
      </c>
      <c r="E2209" t="s">
        <v>2149</v>
      </c>
      <c r="F2209" t="s">
        <v>1247</v>
      </c>
      <c r="G2209" t="s">
        <v>198</v>
      </c>
      <c r="H2209" t="s">
        <v>199</v>
      </c>
      <c r="I2209" t="s">
        <v>199</v>
      </c>
      <c r="J2209" t="s">
        <v>60</v>
      </c>
      <c r="K2209" t="s">
        <v>200</v>
      </c>
      <c r="L2209" t="s">
        <v>62</v>
      </c>
      <c r="M2209" t="s">
        <v>200</v>
      </c>
      <c r="N2209" t="s">
        <v>201</v>
      </c>
      <c r="O2209" t="s">
        <v>202</v>
      </c>
      <c r="P2209">
        <v>-20.122433000000001</v>
      </c>
      <c r="Q2209">
        <v>-44.897013999999999</v>
      </c>
      <c r="R2209" s="2" t="str">
        <f>HYPERLINK("https://www.google.com/maps?q=-20.1224330,-44.8970140","Abrir no Google Maps")</f>
        <v>Abrir no Google Maps</v>
      </c>
      <c r="S2209">
        <v>4</v>
      </c>
      <c r="T2209">
        <v>616.04759279207849</v>
      </c>
      <c r="U2209">
        <v>3</v>
      </c>
      <c r="V2209">
        <v>0.52759130199662851</v>
      </c>
      <c r="W2209">
        <v>0.85</v>
      </c>
      <c r="X2209">
        <v>0.44845260669713422</v>
      </c>
      <c r="Y2209">
        <v>567</v>
      </c>
      <c r="Z2209">
        <v>655.51024138861465</v>
      </c>
      <c r="AA2209">
        <v>198</v>
      </c>
      <c r="AB2209">
        <v>332</v>
      </c>
      <c r="AC2209">
        <v>536</v>
      </c>
      <c r="AD2209">
        <v>26.61</v>
      </c>
      <c r="AE2209">
        <v>542</v>
      </c>
      <c r="AF2209">
        <v>13</v>
      </c>
      <c r="AG2209">
        <v>180</v>
      </c>
      <c r="AH2209">
        <v>129</v>
      </c>
      <c r="AI2209">
        <v>2.4</v>
      </c>
      <c r="AJ2209">
        <v>33.21</v>
      </c>
      <c r="AK2209">
        <v>23.8</v>
      </c>
      <c r="AL2209">
        <v>-20.122144949999949</v>
      </c>
      <c r="AM2209">
        <v>-44.896761973125983</v>
      </c>
      <c r="AN2209">
        <v>-20.122144949999949</v>
      </c>
      <c r="AO2209">
        <v>-44.896761973125983</v>
      </c>
      <c r="AP2209">
        <v>-20.122433000000001</v>
      </c>
      <c r="AQ2209">
        <v>-44.897013999999999</v>
      </c>
      <c r="AR2209">
        <v>41.499066772735389</v>
      </c>
      <c r="AS2209" t="s">
        <v>65</v>
      </c>
      <c r="AT2209">
        <v>1</v>
      </c>
      <c r="AU2209" t="s">
        <v>203</v>
      </c>
      <c r="AV2209" t="s">
        <v>204</v>
      </c>
      <c r="AW2209" t="s">
        <v>60</v>
      </c>
      <c r="AX2209" t="s">
        <v>68</v>
      </c>
      <c r="AY2209" t="s">
        <v>69</v>
      </c>
      <c r="AZ2209" t="b">
        <v>1</v>
      </c>
    </row>
    <row r="2210" spans="1:52" x14ac:dyDescent="0.3">
      <c r="A2210" t="s">
        <v>52</v>
      </c>
      <c r="B2210" t="s">
        <v>53</v>
      </c>
      <c r="C2210" t="s">
        <v>54</v>
      </c>
      <c r="D2210" t="s">
        <v>55</v>
      </c>
      <c r="E2210" t="s">
        <v>2149</v>
      </c>
      <c r="F2210" t="s">
        <v>1247</v>
      </c>
      <c r="G2210" t="s">
        <v>205</v>
      </c>
      <c r="H2210" t="s">
        <v>206</v>
      </c>
      <c r="I2210" t="s">
        <v>206</v>
      </c>
      <c r="J2210" t="s">
        <v>60</v>
      </c>
      <c r="K2210" t="s">
        <v>207</v>
      </c>
      <c r="L2210" t="s">
        <v>62</v>
      </c>
      <c r="M2210" t="s">
        <v>207</v>
      </c>
      <c r="N2210" t="s">
        <v>208</v>
      </c>
      <c r="O2210" t="s">
        <v>209</v>
      </c>
      <c r="P2210">
        <v>-20.117533999999999</v>
      </c>
      <c r="Q2210">
        <v>-44.892943000000002</v>
      </c>
      <c r="R2210" s="2" t="str">
        <f>HYPERLINK("https://www.google.com/maps?q=-20.1175340,-44.8929430","Abrir no Google Maps")</f>
        <v>Abrir no Google Maps</v>
      </c>
      <c r="S2210">
        <v>4</v>
      </c>
      <c r="T2210">
        <v>601.98486688021592</v>
      </c>
      <c r="U2210">
        <v>3</v>
      </c>
      <c r="V2210">
        <v>0.5356697235284622</v>
      </c>
      <c r="W2210">
        <v>0.85</v>
      </c>
      <c r="X2210">
        <v>0.45531926499919279</v>
      </c>
      <c r="Y2210">
        <v>567</v>
      </c>
      <c r="Z2210">
        <v>574.59225706016446</v>
      </c>
      <c r="AA2210">
        <v>198</v>
      </c>
      <c r="AB2210">
        <v>332</v>
      </c>
      <c r="AC2210">
        <v>536</v>
      </c>
      <c r="AD2210">
        <v>26.61</v>
      </c>
      <c r="AE2210">
        <v>542</v>
      </c>
      <c r="AF2210">
        <v>13</v>
      </c>
      <c r="AG2210">
        <v>180</v>
      </c>
      <c r="AH2210">
        <v>129</v>
      </c>
      <c r="AI2210">
        <v>2.4</v>
      </c>
      <c r="AJ2210">
        <v>33.21</v>
      </c>
      <c r="AK2210">
        <v>23.8</v>
      </c>
      <c r="AL2210">
        <v>-20.11671494999996</v>
      </c>
      <c r="AM2210">
        <v>-44.89352717833448</v>
      </c>
      <c r="AN2210">
        <v>-20.11671494999996</v>
      </c>
      <c r="AO2210">
        <v>-44.89352717833448</v>
      </c>
      <c r="AP2210">
        <v>-20.117533999999999</v>
      </c>
      <c r="AQ2210">
        <v>-44.892943000000002</v>
      </c>
      <c r="AR2210">
        <v>109.7357164799156</v>
      </c>
      <c r="AS2210" t="s">
        <v>65</v>
      </c>
      <c r="AT2210">
        <v>1</v>
      </c>
      <c r="AU2210" t="s">
        <v>210</v>
      </c>
      <c r="AV2210" t="s">
        <v>211</v>
      </c>
      <c r="AW2210" t="s">
        <v>60</v>
      </c>
      <c r="AX2210" t="s">
        <v>68</v>
      </c>
      <c r="AY2210" t="s">
        <v>69</v>
      </c>
      <c r="AZ2210" t="b">
        <v>1</v>
      </c>
    </row>
    <row r="2211" spans="1:52" x14ac:dyDescent="0.3">
      <c r="A2211" t="s">
        <v>52</v>
      </c>
      <c r="B2211" t="s">
        <v>53</v>
      </c>
      <c r="C2211" t="s">
        <v>54</v>
      </c>
      <c r="D2211" t="s">
        <v>55</v>
      </c>
      <c r="E2211" t="s">
        <v>2149</v>
      </c>
      <c r="F2211" t="s">
        <v>1247</v>
      </c>
      <c r="G2211" t="s">
        <v>1248</v>
      </c>
      <c r="H2211" t="s">
        <v>1249</v>
      </c>
      <c r="I2211" t="s">
        <v>1249</v>
      </c>
      <c r="J2211" t="s">
        <v>60</v>
      </c>
      <c r="K2211" t="s">
        <v>61</v>
      </c>
      <c r="L2211" t="s">
        <v>62</v>
      </c>
      <c r="M2211" t="s">
        <v>61</v>
      </c>
      <c r="N2211" t="s">
        <v>1250</v>
      </c>
      <c r="O2211" t="s">
        <v>202</v>
      </c>
      <c r="P2211">
        <v>-20.145337999999999</v>
      </c>
      <c r="Q2211">
        <v>-44.906260000000003</v>
      </c>
      <c r="R2211" s="2" t="str">
        <f>HYPERLINK("https://www.google.com/maps?q=-20.1453380,-44.9062600","Abrir no Google Maps")</f>
        <v>Abrir no Google Maps</v>
      </c>
      <c r="S2211">
        <v>4</v>
      </c>
      <c r="T2211">
        <v>231.8105263092443</v>
      </c>
      <c r="U2211">
        <v>2</v>
      </c>
      <c r="V2211">
        <v>0.43490629404015307</v>
      </c>
      <c r="W2211">
        <v>0.85</v>
      </c>
      <c r="X2211">
        <v>0.36967034993413012</v>
      </c>
      <c r="Y2211">
        <v>747</v>
      </c>
      <c r="Z2211">
        <v>210.09098260239841</v>
      </c>
      <c r="AA2211">
        <v>198</v>
      </c>
      <c r="AB2211">
        <v>332</v>
      </c>
      <c r="AC2211">
        <v>536</v>
      </c>
      <c r="AD2211">
        <v>26.61</v>
      </c>
      <c r="AE2211">
        <v>542</v>
      </c>
      <c r="AF2211">
        <v>13</v>
      </c>
      <c r="AG2211">
        <v>180</v>
      </c>
      <c r="AH2211">
        <v>129</v>
      </c>
      <c r="AI2211">
        <v>2.4</v>
      </c>
      <c r="AJ2211">
        <v>33.21</v>
      </c>
      <c r="AK2211">
        <v>23.8</v>
      </c>
      <c r="AL2211">
        <v>-20.14545934999995</v>
      </c>
      <c r="AM2211">
        <v>-44.906243174283489</v>
      </c>
      <c r="AN2211">
        <v>-20.14545934999995</v>
      </c>
      <c r="AO2211">
        <v>-44.906243174283489</v>
      </c>
      <c r="AP2211">
        <v>-20.145337999999999</v>
      </c>
      <c r="AQ2211">
        <v>-44.906260000000003</v>
      </c>
      <c r="AR2211">
        <v>13.622651392262521</v>
      </c>
      <c r="AS2211" t="s">
        <v>65</v>
      </c>
      <c r="AT2211">
        <v>1</v>
      </c>
      <c r="AU2211" t="s">
        <v>1251</v>
      </c>
      <c r="AV2211" t="s">
        <v>1252</v>
      </c>
      <c r="AW2211" t="s">
        <v>60</v>
      </c>
      <c r="AX2211" t="s">
        <v>68</v>
      </c>
      <c r="AY2211" t="s">
        <v>69</v>
      </c>
      <c r="AZ2211" t="b">
        <v>1</v>
      </c>
    </row>
    <row r="2212" spans="1:52" x14ac:dyDescent="0.3">
      <c r="A2212" t="s">
        <v>52</v>
      </c>
      <c r="B2212" t="s">
        <v>53</v>
      </c>
      <c r="C2212" t="s">
        <v>54</v>
      </c>
      <c r="D2212" t="s">
        <v>55</v>
      </c>
      <c r="E2212" t="s">
        <v>2149</v>
      </c>
      <c r="F2212" t="s">
        <v>1247</v>
      </c>
      <c r="G2212" t="s">
        <v>83</v>
      </c>
      <c r="H2212" t="s">
        <v>1253</v>
      </c>
      <c r="I2212" t="s">
        <v>1253</v>
      </c>
      <c r="J2212" t="s">
        <v>60</v>
      </c>
      <c r="K2212" t="s">
        <v>72</v>
      </c>
      <c r="L2212" t="s">
        <v>62</v>
      </c>
      <c r="M2212" t="s">
        <v>72</v>
      </c>
      <c r="N2212" t="s">
        <v>1254</v>
      </c>
      <c r="O2212" t="s">
        <v>1255</v>
      </c>
      <c r="P2212">
        <v>-20.147164</v>
      </c>
      <c r="Q2212">
        <v>-44.905259000000001</v>
      </c>
      <c r="R2212" s="2" t="str">
        <f>HYPERLINK("https://www.google.com/maps?q=-20.1471640,-44.9052590","Abrir no Google Maps")</f>
        <v>Abrir no Google Maps</v>
      </c>
      <c r="S2212">
        <v>4</v>
      </c>
      <c r="T2212">
        <v>364.08569180502712</v>
      </c>
      <c r="U2212">
        <v>2</v>
      </c>
      <c r="V2212">
        <v>0.45896642966123963</v>
      </c>
      <c r="W2212">
        <v>0.85</v>
      </c>
      <c r="X2212">
        <v>0.39012146521205371</v>
      </c>
      <c r="Y2212">
        <v>747</v>
      </c>
      <c r="Z2212">
        <v>309.89238988435022</v>
      </c>
      <c r="AA2212">
        <v>198</v>
      </c>
      <c r="AB2212">
        <v>332</v>
      </c>
      <c r="AC2212">
        <v>536</v>
      </c>
      <c r="AD2212">
        <v>26.61</v>
      </c>
      <c r="AE2212">
        <v>542</v>
      </c>
      <c r="AF2212">
        <v>13</v>
      </c>
      <c r="AG2212">
        <v>180</v>
      </c>
      <c r="AH2212">
        <v>129</v>
      </c>
      <c r="AI2212">
        <v>2.4</v>
      </c>
      <c r="AJ2212">
        <v>33.21</v>
      </c>
      <c r="AK2212">
        <v>23.8</v>
      </c>
      <c r="AL2212">
        <v>-20.14718674999995</v>
      </c>
      <c r="AM2212">
        <v>-44.905292621565764</v>
      </c>
      <c r="AN2212">
        <v>-20.147186749999939</v>
      </c>
      <c r="AO2212">
        <v>-44.905292621565764</v>
      </c>
      <c r="AP2212">
        <v>-20.147164</v>
      </c>
      <c r="AQ2212">
        <v>-44.905259000000001</v>
      </c>
      <c r="AR2212">
        <v>4.3312880650984971</v>
      </c>
      <c r="AS2212" t="s">
        <v>65</v>
      </c>
      <c r="AT2212">
        <v>1</v>
      </c>
      <c r="AU2212" t="s">
        <v>1256</v>
      </c>
      <c r="AV2212" t="s">
        <v>1257</v>
      </c>
      <c r="AW2212" t="s">
        <v>60</v>
      </c>
      <c r="AX2212" t="s">
        <v>68</v>
      </c>
      <c r="AY2212" t="s">
        <v>69</v>
      </c>
      <c r="AZ2212" t="b">
        <v>1</v>
      </c>
    </row>
    <row r="2213" spans="1:52" x14ac:dyDescent="0.3">
      <c r="A2213" t="s">
        <v>52</v>
      </c>
      <c r="B2213" t="s">
        <v>53</v>
      </c>
      <c r="C2213" t="s">
        <v>54</v>
      </c>
      <c r="D2213" t="s">
        <v>55</v>
      </c>
      <c r="E2213" t="s">
        <v>2149</v>
      </c>
      <c r="F2213" t="s">
        <v>1247</v>
      </c>
      <c r="G2213" t="s">
        <v>1258</v>
      </c>
      <c r="H2213" t="s">
        <v>1259</v>
      </c>
      <c r="I2213" t="s">
        <v>1259</v>
      </c>
      <c r="J2213" t="s">
        <v>60</v>
      </c>
      <c r="K2213" t="s">
        <v>905</v>
      </c>
      <c r="L2213" t="s">
        <v>62</v>
      </c>
      <c r="M2213" t="s">
        <v>905</v>
      </c>
      <c r="N2213" t="s">
        <v>1260</v>
      </c>
      <c r="O2213" t="s">
        <v>628</v>
      </c>
      <c r="P2213">
        <v>-20.113569999999999</v>
      </c>
      <c r="Q2213">
        <v>-44.897216</v>
      </c>
      <c r="R2213" s="2" t="str">
        <f>HYPERLINK("https://www.google.com/maps?q=-20.1135700,-44.8972160","Abrir no Google Maps")</f>
        <v>Abrir no Google Maps</v>
      </c>
      <c r="S2213">
        <v>4</v>
      </c>
      <c r="T2213">
        <v>418.54368277643368</v>
      </c>
      <c r="U2213">
        <v>2</v>
      </c>
      <c r="V2213">
        <v>0.43505041553697149</v>
      </c>
      <c r="W2213">
        <v>0.85</v>
      </c>
      <c r="X2213">
        <v>0.36979285320642569</v>
      </c>
      <c r="Y2213">
        <v>567</v>
      </c>
      <c r="Z2213">
        <v>315.02989622191018</v>
      </c>
      <c r="AA2213">
        <v>198</v>
      </c>
      <c r="AB2213">
        <v>332</v>
      </c>
      <c r="AC2213">
        <v>536</v>
      </c>
      <c r="AD2213">
        <v>26.61</v>
      </c>
      <c r="AE2213">
        <v>542</v>
      </c>
      <c r="AF2213">
        <v>13</v>
      </c>
      <c r="AG2213">
        <v>180</v>
      </c>
      <c r="AH2213">
        <v>129</v>
      </c>
      <c r="AI2213">
        <v>2.4</v>
      </c>
      <c r="AJ2213">
        <v>33.21</v>
      </c>
      <c r="AK2213">
        <v>23.8</v>
      </c>
      <c r="AL2213">
        <v>-20.113750149999959</v>
      </c>
      <c r="AM2213">
        <v>-44.897427949999937</v>
      </c>
      <c r="AN2213">
        <v>-20.113750149999959</v>
      </c>
      <c r="AO2213">
        <v>-44.897427949999937</v>
      </c>
      <c r="AP2213">
        <v>-20.113569999999999</v>
      </c>
      <c r="AQ2213">
        <v>-44.897216</v>
      </c>
      <c r="AR2213">
        <v>29.883644534822711</v>
      </c>
      <c r="AS2213" t="s">
        <v>65</v>
      </c>
      <c r="AT2213">
        <v>1</v>
      </c>
      <c r="AU2213" t="s">
        <v>1261</v>
      </c>
      <c r="AV2213" t="s">
        <v>1262</v>
      </c>
      <c r="AW2213" t="s">
        <v>60</v>
      </c>
      <c r="AX2213" t="s">
        <v>68</v>
      </c>
      <c r="AY2213" t="s">
        <v>69</v>
      </c>
      <c r="AZ2213" t="b">
        <v>1</v>
      </c>
    </row>
    <row r="2214" spans="1:52" x14ac:dyDescent="0.3">
      <c r="A2214" t="s">
        <v>52</v>
      </c>
      <c r="B2214" t="s">
        <v>53</v>
      </c>
      <c r="C2214" t="s">
        <v>54</v>
      </c>
      <c r="D2214" t="s">
        <v>55</v>
      </c>
      <c r="E2214" t="s">
        <v>2149</v>
      </c>
      <c r="F2214" t="s">
        <v>1247</v>
      </c>
      <c r="G2214" t="s">
        <v>1263</v>
      </c>
      <c r="H2214" t="s">
        <v>1264</v>
      </c>
      <c r="I2214" t="s">
        <v>1264</v>
      </c>
      <c r="J2214" t="s">
        <v>60</v>
      </c>
      <c r="K2214" t="s">
        <v>1265</v>
      </c>
      <c r="L2214" t="s">
        <v>62</v>
      </c>
      <c r="M2214" t="s">
        <v>1265</v>
      </c>
      <c r="N2214" t="s">
        <v>1266</v>
      </c>
      <c r="O2214" t="s">
        <v>1267</v>
      </c>
      <c r="P2214">
        <v>-20.116924000000001</v>
      </c>
      <c r="Q2214">
        <v>-44.906587000000002</v>
      </c>
      <c r="R2214" s="2" t="str">
        <f>HYPERLINK("https://www.google.com/maps?q=-20.1169240,-44.9065870","Abrir no Google Maps")</f>
        <v>Abrir no Google Maps</v>
      </c>
      <c r="S2214">
        <v>4</v>
      </c>
      <c r="T2214">
        <v>745.10453961787857</v>
      </c>
      <c r="U2214">
        <v>1</v>
      </c>
      <c r="V2214">
        <v>0.41525075185594101</v>
      </c>
      <c r="W2214">
        <v>0.85</v>
      </c>
      <c r="X2214">
        <v>0.35296313907754978</v>
      </c>
      <c r="Y2214">
        <v>567</v>
      </c>
      <c r="Z2214">
        <v>816.44456345071217</v>
      </c>
      <c r="AA2214">
        <v>198</v>
      </c>
      <c r="AB2214">
        <v>332</v>
      </c>
      <c r="AC2214">
        <v>536</v>
      </c>
      <c r="AD2214">
        <v>26.61</v>
      </c>
      <c r="AE2214">
        <v>542</v>
      </c>
      <c r="AF2214">
        <v>13</v>
      </c>
      <c r="AG2214">
        <v>180</v>
      </c>
      <c r="AH2214">
        <v>129</v>
      </c>
      <c r="AI2214">
        <v>2.4</v>
      </c>
      <c r="AJ2214">
        <v>33.21</v>
      </c>
      <c r="AK2214">
        <v>23.8</v>
      </c>
      <c r="AL2214">
        <v>-20.117279149999941</v>
      </c>
      <c r="AM2214">
        <v>-44.906397211815133</v>
      </c>
      <c r="AN2214">
        <v>-20.117279149999941</v>
      </c>
      <c r="AO2214">
        <v>-44.906397211815133</v>
      </c>
      <c r="AP2214">
        <v>-20.116924000000001</v>
      </c>
      <c r="AQ2214">
        <v>-44.906587000000002</v>
      </c>
      <c r="AR2214">
        <v>44.233430660980403</v>
      </c>
      <c r="AS2214" t="s">
        <v>65</v>
      </c>
      <c r="AT2214">
        <v>1</v>
      </c>
      <c r="AU2214" t="s">
        <v>1268</v>
      </c>
      <c r="AV2214" t="s">
        <v>1269</v>
      </c>
      <c r="AW2214" t="s">
        <v>60</v>
      </c>
      <c r="AX2214" t="s">
        <v>68</v>
      </c>
      <c r="AY2214" t="s">
        <v>69</v>
      </c>
      <c r="AZ2214" t="b">
        <v>1</v>
      </c>
    </row>
    <row r="2215" spans="1:52" x14ac:dyDescent="0.3">
      <c r="A2215" t="s">
        <v>52</v>
      </c>
      <c r="B2215" t="s">
        <v>53</v>
      </c>
      <c r="C2215" t="s">
        <v>54</v>
      </c>
      <c r="D2215" t="s">
        <v>55</v>
      </c>
      <c r="E2215" t="s">
        <v>2149</v>
      </c>
      <c r="F2215" t="s">
        <v>1247</v>
      </c>
      <c r="G2215" t="s">
        <v>1127</v>
      </c>
      <c r="H2215" t="s">
        <v>1270</v>
      </c>
      <c r="I2215" t="s">
        <v>1270</v>
      </c>
      <c r="J2215" t="s">
        <v>60</v>
      </c>
      <c r="K2215" t="s">
        <v>200</v>
      </c>
      <c r="L2215" t="s">
        <v>62</v>
      </c>
      <c r="M2215" t="s">
        <v>200</v>
      </c>
      <c r="N2215" t="s">
        <v>1271</v>
      </c>
      <c r="O2215" t="s">
        <v>315</v>
      </c>
      <c r="P2215">
        <v>-20.123483</v>
      </c>
      <c r="Q2215">
        <v>-44.904159</v>
      </c>
      <c r="R2215" s="2" t="str">
        <f>HYPERLINK("https://www.google.com/maps?q=-20.1234830,-44.9041590","Abrir no Google Maps")</f>
        <v>Abrir no Google Maps</v>
      </c>
      <c r="S2215">
        <v>4</v>
      </c>
      <c r="T2215">
        <v>1046.2792913459141</v>
      </c>
      <c r="U2215">
        <v>1</v>
      </c>
      <c r="V2215">
        <v>0.16745370370370369</v>
      </c>
      <c r="W2215">
        <v>0.85</v>
      </c>
      <c r="X2215">
        <v>0.14233564814814809</v>
      </c>
      <c r="Y2215">
        <v>567</v>
      </c>
      <c r="Z2215">
        <v>1072.1273144328541</v>
      </c>
      <c r="AA2215">
        <v>198</v>
      </c>
      <c r="AB2215">
        <v>332</v>
      </c>
      <c r="AC2215">
        <v>536</v>
      </c>
      <c r="AD2215">
        <v>26.61</v>
      </c>
      <c r="AE2215">
        <v>542</v>
      </c>
      <c r="AF2215">
        <v>13</v>
      </c>
      <c r="AG2215">
        <v>180</v>
      </c>
      <c r="AH2215">
        <v>129</v>
      </c>
      <c r="AI2215">
        <v>2.4</v>
      </c>
      <c r="AJ2215">
        <v>33.21</v>
      </c>
      <c r="AK2215">
        <v>23.8</v>
      </c>
      <c r="AL2215">
        <v>-20.12548399999994</v>
      </c>
      <c r="AM2215">
        <v>-44.903913990586467</v>
      </c>
      <c r="AN2215">
        <v>-20.12548399999994</v>
      </c>
      <c r="AO2215">
        <v>-44.903913990586467</v>
      </c>
      <c r="AP2215">
        <v>-20.123483</v>
      </c>
      <c r="AQ2215">
        <v>-44.904159</v>
      </c>
      <c r="AR2215">
        <v>224.218591682908</v>
      </c>
      <c r="AS2215" t="s">
        <v>65</v>
      </c>
      <c r="AT2215">
        <v>1</v>
      </c>
      <c r="AU2215" t="s">
        <v>1272</v>
      </c>
      <c r="AV2215" t="s">
        <v>1273</v>
      </c>
      <c r="AW2215" t="s">
        <v>60</v>
      </c>
      <c r="AX2215" t="s">
        <v>68</v>
      </c>
      <c r="AY2215" t="s">
        <v>69</v>
      </c>
      <c r="AZ2215" t="b">
        <v>1</v>
      </c>
    </row>
    <row r="2216" spans="1:52" x14ac:dyDescent="0.3">
      <c r="A2216" t="s">
        <v>52</v>
      </c>
      <c r="B2216" t="s">
        <v>53</v>
      </c>
      <c r="C2216" t="s">
        <v>54</v>
      </c>
      <c r="D2216" t="s">
        <v>55</v>
      </c>
      <c r="E2216" t="s">
        <v>2149</v>
      </c>
      <c r="F2216" t="s">
        <v>1247</v>
      </c>
      <c r="G2216" t="s">
        <v>380</v>
      </c>
      <c r="H2216" t="s">
        <v>381</v>
      </c>
      <c r="I2216" t="s">
        <v>381</v>
      </c>
      <c r="J2216" t="s">
        <v>60</v>
      </c>
      <c r="K2216" t="s">
        <v>72</v>
      </c>
      <c r="L2216" t="s">
        <v>62</v>
      </c>
      <c r="M2216" t="s">
        <v>72</v>
      </c>
      <c r="N2216" t="s">
        <v>382</v>
      </c>
      <c r="O2216" t="s">
        <v>383</v>
      </c>
      <c r="P2216">
        <v>-20.147182000000001</v>
      </c>
      <c r="Q2216">
        <v>-44.912728999999999</v>
      </c>
      <c r="R2216" s="2" t="str">
        <f>HYPERLINK("https://www.google.com/maps?q=-20.1471820,-44.9127290","Abrir no Google Maps")</f>
        <v>Abrir no Google Maps</v>
      </c>
      <c r="S2216">
        <v>3</v>
      </c>
      <c r="T2216">
        <v>478.0141981540923</v>
      </c>
      <c r="U2216">
        <v>4</v>
      </c>
      <c r="V2216">
        <v>0.46353302907239508</v>
      </c>
      <c r="W2216">
        <v>1</v>
      </c>
      <c r="X2216">
        <v>0.46353302907239508</v>
      </c>
      <c r="Y2216">
        <v>747</v>
      </c>
      <c r="Z2216">
        <v>494.0254290673729</v>
      </c>
      <c r="AA2216">
        <v>198</v>
      </c>
      <c r="AB2216">
        <v>332</v>
      </c>
      <c r="AC2216">
        <v>536</v>
      </c>
      <c r="AD2216">
        <v>26.61</v>
      </c>
      <c r="AE2216">
        <v>542</v>
      </c>
      <c r="AF2216">
        <v>13</v>
      </c>
      <c r="AG2216">
        <v>180</v>
      </c>
      <c r="AH2216">
        <v>129</v>
      </c>
      <c r="AI2216">
        <v>2.4</v>
      </c>
      <c r="AJ2216">
        <v>33.21</v>
      </c>
      <c r="AK2216">
        <v>23.8</v>
      </c>
      <c r="AL2216">
        <v>-20.147375599999979</v>
      </c>
      <c r="AM2216">
        <v>-44.912907472879468</v>
      </c>
      <c r="AN2216">
        <v>-20.147375599999979</v>
      </c>
      <c r="AO2216">
        <v>-44.912907472879468</v>
      </c>
      <c r="AP2216">
        <v>-20.147182000000001</v>
      </c>
      <c r="AQ2216">
        <v>-44.912728999999999</v>
      </c>
      <c r="AR2216">
        <v>28.50197694184326</v>
      </c>
      <c r="AS2216" t="s">
        <v>65</v>
      </c>
      <c r="AT2216">
        <v>1</v>
      </c>
      <c r="AU2216" t="s">
        <v>384</v>
      </c>
      <c r="AV2216" t="s">
        <v>385</v>
      </c>
      <c r="AW2216" t="s">
        <v>60</v>
      </c>
      <c r="AX2216" t="s">
        <v>68</v>
      </c>
      <c r="AY2216" t="s">
        <v>69</v>
      </c>
      <c r="AZ2216" t="b">
        <v>1</v>
      </c>
    </row>
    <row r="2217" spans="1:52" x14ac:dyDescent="0.3">
      <c r="A2217" t="s">
        <v>52</v>
      </c>
      <c r="B2217" t="s">
        <v>53</v>
      </c>
      <c r="C2217" t="s">
        <v>54</v>
      </c>
      <c r="D2217" t="s">
        <v>55</v>
      </c>
      <c r="E2217" t="s">
        <v>2149</v>
      </c>
      <c r="F2217" t="s">
        <v>1247</v>
      </c>
      <c r="G2217" t="s">
        <v>839</v>
      </c>
      <c r="H2217" t="s">
        <v>840</v>
      </c>
      <c r="I2217" t="s">
        <v>840</v>
      </c>
      <c r="J2217" t="s">
        <v>60</v>
      </c>
      <c r="K2217" t="s">
        <v>388</v>
      </c>
      <c r="L2217" t="s">
        <v>62</v>
      </c>
      <c r="M2217" t="s">
        <v>388</v>
      </c>
      <c r="N2217" t="s">
        <v>841</v>
      </c>
      <c r="O2217" t="s">
        <v>842</v>
      </c>
      <c r="P2217">
        <v>-20.159977999999999</v>
      </c>
      <c r="Q2217">
        <v>-44.900207000000002</v>
      </c>
      <c r="R2217" s="2" t="str">
        <f>HYPERLINK("https://www.google.com/maps?q=-20.1599780,-44.9002070","Abrir no Google Maps")</f>
        <v>Abrir no Google Maps</v>
      </c>
      <c r="S2217">
        <v>3</v>
      </c>
      <c r="T2217">
        <v>213.24333517300789</v>
      </c>
      <c r="U2217">
        <v>4</v>
      </c>
      <c r="V2217">
        <v>0.46364773750165528</v>
      </c>
      <c r="W2217">
        <v>1</v>
      </c>
      <c r="X2217">
        <v>0.46364773750165528</v>
      </c>
      <c r="Y2217">
        <v>729</v>
      </c>
      <c r="Z2217">
        <v>315.47173727880028</v>
      </c>
      <c r="AA2217">
        <v>198</v>
      </c>
      <c r="AB2217">
        <v>332</v>
      </c>
      <c r="AC2217">
        <v>536</v>
      </c>
      <c r="AD2217">
        <v>26.61</v>
      </c>
      <c r="AE2217">
        <v>542</v>
      </c>
      <c r="AF2217">
        <v>13</v>
      </c>
      <c r="AG2217">
        <v>180</v>
      </c>
      <c r="AH2217">
        <v>129</v>
      </c>
      <c r="AI2217">
        <v>2.4</v>
      </c>
      <c r="AJ2217">
        <v>33.21</v>
      </c>
      <c r="AK2217">
        <v>23.8</v>
      </c>
      <c r="AL2217">
        <v>-20.159825649999959</v>
      </c>
      <c r="AM2217">
        <v>-44.900143828909613</v>
      </c>
      <c r="AN2217">
        <v>-20.159825649999959</v>
      </c>
      <c r="AO2217">
        <v>-44.900143828909613</v>
      </c>
      <c r="AP2217">
        <v>-20.159977999999999</v>
      </c>
      <c r="AQ2217">
        <v>-44.900207000000002</v>
      </c>
      <c r="AR2217">
        <v>18.199073573580371</v>
      </c>
      <c r="AS2217" t="s">
        <v>65</v>
      </c>
      <c r="AT2217">
        <v>1</v>
      </c>
      <c r="AU2217" t="s">
        <v>843</v>
      </c>
      <c r="AV2217" t="s">
        <v>844</v>
      </c>
      <c r="AW2217" t="s">
        <v>60</v>
      </c>
      <c r="AX2217" t="s">
        <v>68</v>
      </c>
      <c r="AY2217" t="s">
        <v>69</v>
      </c>
      <c r="AZ2217" t="b">
        <v>1</v>
      </c>
    </row>
    <row r="2218" spans="1:52" x14ac:dyDescent="0.3">
      <c r="A2218" t="s">
        <v>52</v>
      </c>
      <c r="B2218" t="s">
        <v>53</v>
      </c>
      <c r="C2218" t="s">
        <v>54</v>
      </c>
      <c r="D2218" t="s">
        <v>55</v>
      </c>
      <c r="E2218" t="s">
        <v>2149</v>
      </c>
      <c r="F2218" t="s">
        <v>1247</v>
      </c>
      <c r="G2218" t="s">
        <v>386</v>
      </c>
      <c r="H2218" t="s">
        <v>387</v>
      </c>
      <c r="I2218" t="s">
        <v>387</v>
      </c>
      <c r="J2218" t="s">
        <v>60</v>
      </c>
      <c r="K2218" t="s">
        <v>388</v>
      </c>
      <c r="L2218" t="s">
        <v>62</v>
      </c>
      <c r="M2218" t="s">
        <v>388</v>
      </c>
      <c r="N2218" t="s">
        <v>389</v>
      </c>
      <c r="O2218" t="s">
        <v>357</v>
      </c>
      <c r="P2218">
        <v>-20.161041999999998</v>
      </c>
      <c r="Q2218">
        <v>-44.901242000000003</v>
      </c>
      <c r="R2218" s="2" t="str">
        <f>HYPERLINK("https://www.google.com/maps?q=-20.1610420,-44.9012420","Abrir no Google Maps")</f>
        <v>Abrir no Google Maps</v>
      </c>
      <c r="S2218">
        <v>3</v>
      </c>
      <c r="T2218">
        <v>440.22183232279212</v>
      </c>
      <c r="U2218">
        <v>4</v>
      </c>
      <c r="V2218">
        <v>0.47259098820360079</v>
      </c>
      <c r="W2218">
        <v>1</v>
      </c>
      <c r="X2218">
        <v>0.47259098820360079</v>
      </c>
      <c r="Y2218">
        <v>729</v>
      </c>
      <c r="Z2218">
        <v>398.48306829302379</v>
      </c>
      <c r="AA2218">
        <v>198</v>
      </c>
      <c r="AB2218">
        <v>332</v>
      </c>
      <c r="AC2218">
        <v>536</v>
      </c>
      <c r="AD2218">
        <v>26.61</v>
      </c>
      <c r="AE2218">
        <v>542</v>
      </c>
      <c r="AF2218">
        <v>13</v>
      </c>
      <c r="AG2218">
        <v>180</v>
      </c>
      <c r="AH2218">
        <v>129</v>
      </c>
      <c r="AI2218">
        <v>2.4</v>
      </c>
      <c r="AJ2218">
        <v>33.21</v>
      </c>
      <c r="AK2218">
        <v>23.8</v>
      </c>
      <c r="AL2218">
        <v>-20.16176629999995</v>
      </c>
      <c r="AM2218">
        <v>-44.901582787827898</v>
      </c>
      <c r="AN2218">
        <v>-20.16176629999995</v>
      </c>
      <c r="AO2218">
        <v>-44.901582787827898</v>
      </c>
      <c r="AP2218">
        <v>-20.161041999999998</v>
      </c>
      <c r="AQ2218">
        <v>-44.901242000000003</v>
      </c>
      <c r="AR2218">
        <v>88.143369157892835</v>
      </c>
      <c r="AS2218" t="s">
        <v>65</v>
      </c>
      <c r="AT2218">
        <v>1</v>
      </c>
      <c r="AU2218" t="s">
        <v>390</v>
      </c>
      <c r="AV2218" t="s">
        <v>391</v>
      </c>
      <c r="AW2218" t="s">
        <v>60</v>
      </c>
      <c r="AX2218" t="s">
        <v>68</v>
      </c>
      <c r="AY2218" t="s">
        <v>69</v>
      </c>
      <c r="AZ2218" t="b">
        <v>1</v>
      </c>
    </row>
    <row r="2219" spans="1:52" x14ac:dyDescent="0.3">
      <c r="A2219" t="s">
        <v>52</v>
      </c>
      <c r="B2219" t="s">
        <v>53</v>
      </c>
      <c r="C2219" t="s">
        <v>54</v>
      </c>
      <c r="D2219" t="s">
        <v>55</v>
      </c>
      <c r="E2219" t="s">
        <v>2149</v>
      </c>
      <c r="F2219" t="s">
        <v>1247</v>
      </c>
      <c r="G2219" t="s">
        <v>392</v>
      </c>
      <c r="H2219" t="s">
        <v>393</v>
      </c>
      <c r="I2219" t="s">
        <v>393</v>
      </c>
      <c r="J2219" t="s">
        <v>60</v>
      </c>
      <c r="K2219" t="s">
        <v>388</v>
      </c>
      <c r="L2219" t="s">
        <v>62</v>
      </c>
      <c r="M2219" t="s">
        <v>388</v>
      </c>
      <c r="N2219" t="s">
        <v>394</v>
      </c>
      <c r="O2219" t="s">
        <v>395</v>
      </c>
      <c r="P2219">
        <v>-20.158066999999999</v>
      </c>
      <c r="Q2219">
        <v>-44.908164999999997</v>
      </c>
      <c r="R2219" s="2" t="str">
        <f>HYPERLINK("https://www.google.com/maps?q=-20.1580670,-44.9081650","Abrir no Google Maps")</f>
        <v>Abrir no Google Maps</v>
      </c>
      <c r="S2219">
        <v>3</v>
      </c>
      <c r="T2219">
        <v>666.74434317993041</v>
      </c>
      <c r="U2219">
        <v>4</v>
      </c>
      <c r="V2219">
        <v>0.4757125178447168</v>
      </c>
      <c r="W2219">
        <v>1</v>
      </c>
      <c r="X2219">
        <v>0.4757125178447168</v>
      </c>
      <c r="Y2219">
        <v>729</v>
      </c>
      <c r="Z2219">
        <v>612.4323328215396</v>
      </c>
      <c r="AA2219">
        <v>198</v>
      </c>
      <c r="AB2219">
        <v>332</v>
      </c>
      <c r="AC2219">
        <v>536</v>
      </c>
      <c r="AD2219">
        <v>26.61</v>
      </c>
      <c r="AE2219">
        <v>542</v>
      </c>
      <c r="AF2219">
        <v>13</v>
      </c>
      <c r="AG2219">
        <v>180</v>
      </c>
      <c r="AH2219">
        <v>129</v>
      </c>
      <c r="AI2219">
        <v>2.4</v>
      </c>
      <c r="AJ2219">
        <v>33.21</v>
      </c>
      <c r="AK2219">
        <v>23.8</v>
      </c>
      <c r="AL2219">
        <v>-20.158151449999959</v>
      </c>
      <c r="AM2219">
        <v>-44.908107718360938</v>
      </c>
      <c r="AN2219">
        <v>-20.158151449999959</v>
      </c>
      <c r="AO2219">
        <v>-44.908107718360938</v>
      </c>
      <c r="AP2219">
        <v>-20.158066999999999</v>
      </c>
      <c r="AQ2219">
        <v>-44.908164999999997</v>
      </c>
      <c r="AR2219">
        <v>11.14497345894574</v>
      </c>
      <c r="AS2219" t="s">
        <v>65</v>
      </c>
      <c r="AT2219">
        <v>1</v>
      </c>
      <c r="AU2219" t="s">
        <v>396</v>
      </c>
      <c r="AV2219" t="s">
        <v>397</v>
      </c>
      <c r="AW2219" t="s">
        <v>60</v>
      </c>
      <c r="AX2219" t="s">
        <v>68</v>
      </c>
      <c r="AY2219" t="s">
        <v>69</v>
      </c>
      <c r="AZ2219" t="b">
        <v>1</v>
      </c>
    </row>
    <row r="2220" spans="1:52" x14ac:dyDescent="0.3">
      <c r="A2220" t="s">
        <v>52</v>
      </c>
      <c r="B2220" t="s">
        <v>53</v>
      </c>
      <c r="C2220" t="s">
        <v>54</v>
      </c>
      <c r="D2220" t="s">
        <v>55</v>
      </c>
      <c r="E2220" t="s">
        <v>2149</v>
      </c>
      <c r="F2220" t="s">
        <v>1247</v>
      </c>
      <c r="G2220" t="s">
        <v>398</v>
      </c>
      <c r="H2220" t="s">
        <v>399</v>
      </c>
      <c r="I2220" t="s">
        <v>399</v>
      </c>
      <c r="J2220" t="s">
        <v>60</v>
      </c>
      <c r="K2220" t="s">
        <v>388</v>
      </c>
      <c r="L2220" t="s">
        <v>62</v>
      </c>
      <c r="M2220" t="s">
        <v>388</v>
      </c>
      <c r="N2220" t="s">
        <v>400</v>
      </c>
      <c r="O2220" t="s">
        <v>401</v>
      </c>
      <c r="P2220">
        <v>-20.160157000000002</v>
      </c>
      <c r="Q2220">
        <v>-44.904347999999999</v>
      </c>
      <c r="R2220" s="2" t="str">
        <f>HYPERLINK("https://www.google.com/maps?q=-20.1601570,-44.9043480","Abrir no Google Maps")</f>
        <v>Abrir no Google Maps</v>
      </c>
      <c r="S2220">
        <v>3</v>
      </c>
      <c r="T2220">
        <v>469.26088527154809</v>
      </c>
      <c r="U2220">
        <v>4</v>
      </c>
      <c r="V2220">
        <v>0.52178184077694678</v>
      </c>
      <c r="W2220">
        <v>1</v>
      </c>
      <c r="X2220">
        <v>0.52178184077694678</v>
      </c>
      <c r="Y2220">
        <v>729</v>
      </c>
      <c r="Z2220">
        <v>253.57832452309071</v>
      </c>
      <c r="AA2220">
        <v>198</v>
      </c>
      <c r="AB2220">
        <v>332</v>
      </c>
      <c r="AC2220">
        <v>536</v>
      </c>
      <c r="AD2220">
        <v>26.61</v>
      </c>
      <c r="AE2220">
        <v>542</v>
      </c>
      <c r="AF2220">
        <v>13</v>
      </c>
      <c r="AG2220">
        <v>180</v>
      </c>
      <c r="AH2220">
        <v>129</v>
      </c>
      <c r="AI2220">
        <v>2.4</v>
      </c>
      <c r="AJ2220">
        <v>33.21</v>
      </c>
      <c r="AK2220">
        <v>23.8</v>
      </c>
      <c r="AL2220">
        <v>-20.160007949999969</v>
      </c>
      <c r="AM2220">
        <v>-44.904396608560482</v>
      </c>
      <c r="AN2220">
        <v>-20.160007949999969</v>
      </c>
      <c r="AO2220">
        <v>-44.904396608560482</v>
      </c>
      <c r="AP2220">
        <v>-20.160157000000002</v>
      </c>
      <c r="AQ2220">
        <v>-44.904347999999999</v>
      </c>
      <c r="AR2220">
        <v>17.35237255387942</v>
      </c>
      <c r="AS2220" t="s">
        <v>65</v>
      </c>
      <c r="AT2220">
        <v>1</v>
      </c>
      <c r="AU2220" t="s">
        <v>402</v>
      </c>
      <c r="AV2220" t="s">
        <v>403</v>
      </c>
      <c r="AW2220" t="s">
        <v>60</v>
      </c>
      <c r="AX2220" t="s">
        <v>68</v>
      </c>
      <c r="AY2220" t="s">
        <v>69</v>
      </c>
      <c r="AZ2220" t="b">
        <v>1</v>
      </c>
    </row>
    <row r="2221" spans="1:52" x14ac:dyDescent="0.3">
      <c r="A2221" t="s">
        <v>52</v>
      </c>
      <c r="B2221" t="s">
        <v>53</v>
      </c>
      <c r="C2221" t="s">
        <v>54</v>
      </c>
      <c r="D2221" t="s">
        <v>55</v>
      </c>
      <c r="E2221" t="s">
        <v>2149</v>
      </c>
      <c r="F2221" t="s">
        <v>1247</v>
      </c>
      <c r="G2221" t="s">
        <v>404</v>
      </c>
      <c r="H2221" t="s">
        <v>405</v>
      </c>
      <c r="I2221" t="s">
        <v>405</v>
      </c>
      <c r="J2221" t="s">
        <v>60</v>
      </c>
      <c r="K2221" t="s">
        <v>388</v>
      </c>
      <c r="L2221" t="s">
        <v>62</v>
      </c>
      <c r="M2221" t="s">
        <v>388</v>
      </c>
      <c r="N2221" t="s">
        <v>406</v>
      </c>
      <c r="O2221" t="s">
        <v>407</v>
      </c>
      <c r="P2221">
        <v>-20.162780999999999</v>
      </c>
      <c r="Q2221">
        <v>-44.904437999999999</v>
      </c>
      <c r="R2221" s="2" t="str">
        <f>HYPERLINK("https://www.google.com/maps?q=-20.1627810,-44.9044380","Abrir no Google Maps")</f>
        <v>Abrir no Google Maps</v>
      </c>
      <c r="S2221">
        <v>3</v>
      </c>
      <c r="T2221">
        <v>681.0891377731482</v>
      </c>
      <c r="U2221">
        <v>4</v>
      </c>
      <c r="V2221">
        <v>0.52625083498091085</v>
      </c>
      <c r="W2221">
        <v>1</v>
      </c>
      <c r="X2221">
        <v>0.52625083498091085</v>
      </c>
      <c r="Y2221">
        <v>729</v>
      </c>
      <c r="Z2221">
        <v>564.17713687218622</v>
      </c>
      <c r="AA2221">
        <v>198</v>
      </c>
      <c r="AB2221">
        <v>332</v>
      </c>
      <c r="AC2221">
        <v>536</v>
      </c>
      <c r="AD2221">
        <v>26.61</v>
      </c>
      <c r="AE2221">
        <v>542</v>
      </c>
      <c r="AF2221">
        <v>13</v>
      </c>
      <c r="AG2221">
        <v>180</v>
      </c>
      <c r="AH2221">
        <v>129</v>
      </c>
      <c r="AI2221">
        <v>2.4</v>
      </c>
      <c r="AJ2221">
        <v>33.21</v>
      </c>
      <c r="AK2221">
        <v>23.8</v>
      </c>
      <c r="AL2221">
        <v>-20.16295434999995</v>
      </c>
      <c r="AM2221">
        <v>-44.904242686956152</v>
      </c>
      <c r="AN2221">
        <v>-20.16295434999995</v>
      </c>
      <c r="AO2221">
        <v>-44.904242686956152</v>
      </c>
      <c r="AP2221">
        <v>-20.162780999999999</v>
      </c>
      <c r="AQ2221">
        <v>-44.904437999999999</v>
      </c>
      <c r="AR2221">
        <v>28.088191280523411</v>
      </c>
      <c r="AS2221" t="s">
        <v>65</v>
      </c>
      <c r="AT2221">
        <v>1</v>
      </c>
      <c r="AU2221" t="s">
        <v>408</v>
      </c>
      <c r="AV2221" t="s">
        <v>409</v>
      </c>
      <c r="AW2221" t="s">
        <v>60</v>
      </c>
      <c r="AX2221" t="s">
        <v>68</v>
      </c>
      <c r="AY2221" t="s">
        <v>69</v>
      </c>
      <c r="AZ2221" t="b">
        <v>1</v>
      </c>
    </row>
    <row r="2222" spans="1:52" x14ac:dyDescent="0.3">
      <c r="A2222" t="s">
        <v>52</v>
      </c>
      <c r="B2222" t="s">
        <v>53</v>
      </c>
      <c r="C2222" t="s">
        <v>54</v>
      </c>
      <c r="D2222" t="s">
        <v>55</v>
      </c>
      <c r="E2222" t="s">
        <v>2149</v>
      </c>
      <c r="F2222" t="s">
        <v>1247</v>
      </c>
      <c r="G2222" t="s">
        <v>410</v>
      </c>
      <c r="H2222" t="s">
        <v>411</v>
      </c>
      <c r="I2222" t="s">
        <v>411</v>
      </c>
      <c r="J2222" t="s">
        <v>60</v>
      </c>
      <c r="K2222" t="s">
        <v>388</v>
      </c>
      <c r="L2222" t="s">
        <v>62</v>
      </c>
      <c r="M2222" t="s">
        <v>388</v>
      </c>
      <c r="N2222" t="s">
        <v>412</v>
      </c>
      <c r="O2222" t="s">
        <v>413</v>
      </c>
      <c r="P2222">
        <v>-20.161394000000001</v>
      </c>
      <c r="Q2222">
        <v>-44.906725999999999</v>
      </c>
      <c r="R2222" s="2" t="str">
        <f>HYPERLINK("https://www.google.com/maps?q=-20.1613940,-44.9067260","Abrir no Google Maps")</f>
        <v>Abrir no Google Maps</v>
      </c>
      <c r="S2222">
        <v>3</v>
      </c>
      <c r="T2222">
        <v>763.68157548493457</v>
      </c>
      <c r="U2222">
        <v>4</v>
      </c>
      <c r="V2222">
        <v>0.51346597749418654</v>
      </c>
      <c r="W2222">
        <v>1</v>
      </c>
      <c r="X2222">
        <v>0.51346597749418654</v>
      </c>
      <c r="Y2222">
        <v>729</v>
      </c>
      <c r="Z2222">
        <v>551.70379325948545</v>
      </c>
      <c r="AA2222">
        <v>198</v>
      </c>
      <c r="AB2222">
        <v>332</v>
      </c>
      <c r="AC2222">
        <v>536</v>
      </c>
      <c r="AD2222">
        <v>26.61</v>
      </c>
      <c r="AE2222">
        <v>542</v>
      </c>
      <c r="AF2222">
        <v>13</v>
      </c>
      <c r="AG2222">
        <v>180</v>
      </c>
      <c r="AH2222">
        <v>129</v>
      </c>
      <c r="AI2222">
        <v>2.4</v>
      </c>
      <c r="AJ2222">
        <v>33.21</v>
      </c>
      <c r="AK2222">
        <v>23.8</v>
      </c>
      <c r="AL2222">
        <v>-20.161371049999929</v>
      </c>
      <c r="AM2222">
        <v>-44.906816797310228</v>
      </c>
      <c r="AN2222">
        <v>-20.161371049999929</v>
      </c>
      <c r="AO2222">
        <v>-44.906816797310228</v>
      </c>
      <c r="AP2222">
        <v>-20.161394000000001</v>
      </c>
      <c r="AQ2222">
        <v>-44.906725999999999</v>
      </c>
      <c r="AR2222">
        <v>9.8261555662022495</v>
      </c>
      <c r="AS2222" t="s">
        <v>65</v>
      </c>
      <c r="AT2222">
        <v>1</v>
      </c>
      <c r="AU2222" t="s">
        <v>414</v>
      </c>
      <c r="AV2222" t="s">
        <v>415</v>
      </c>
      <c r="AW2222" t="s">
        <v>60</v>
      </c>
      <c r="AX2222" t="s">
        <v>68</v>
      </c>
      <c r="AY2222" t="s">
        <v>69</v>
      </c>
      <c r="AZ2222" t="b">
        <v>1</v>
      </c>
    </row>
    <row r="2223" spans="1:52" x14ac:dyDescent="0.3">
      <c r="A2223" t="s">
        <v>52</v>
      </c>
      <c r="B2223" t="s">
        <v>53</v>
      </c>
      <c r="C2223" t="s">
        <v>54</v>
      </c>
      <c r="D2223" t="s">
        <v>55</v>
      </c>
      <c r="E2223" t="s">
        <v>2149</v>
      </c>
      <c r="F2223" t="s">
        <v>1247</v>
      </c>
      <c r="G2223" t="s">
        <v>416</v>
      </c>
      <c r="H2223" t="s">
        <v>417</v>
      </c>
      <c r="I2223" t="s">
        <v>417</v>
      </c>
      <c r="J2223" t="s">
        <v>60</v>
      </c>
      <c r="K2223" t="s">
        <v>418</v>
      </c>
      <c r="L2223" t="s">
        <v>62</v>
      </c>
      <c r="M2223" t="s">
        <v>418</v>
      </c>
      <c r="N2223" t="s">
        <v>419</v>
      </c>
      <c r="O2223" t="s">
        <v>202</v>
      </c>
      <c r="P2223">
        <v>-20.169886000000002</v>
      </c>
      <c r="Q2223">
        <v>-44.913288000000001</v>
      </c>
      <c r="R2223" s="2" t="str">
        <f>HYPERLINK("https://www.google.com/maps?q=-20.1698860,-44.9132880","Abrir no Google Maps")</f>
        <v>Abrir no Google Maps</v>
      </c>
      <c r="S2223">
        <v>3</v>
      </c>
      <c r="T2223">
        <v>422.88733632898152</v>
      </c>
      <c r="U2223">
        <v>4</v>
      </c>
      <c r="V2223">
        <v>0.50917875223715359</v>
      </c>
      <c r="W2223">
        <v>1</v>
      </c>
      <c r="X2223">
        <v>0.50917875223715359</v>
      </c>
      <c r="Y2223">
        <v>723</v>
      </c>
      <c r="Z2223">
        <v>128.65003864232261</v>
      </c>
      <c r="AA2223">
        <v>198</v>
      </c>
      <c r="AB2223">
        <v>332</v>
      </c>
      <c r="AC2223">
        <v>536</v>
      </c>
      <c r="AD2223">
        <v>26.61</v>
      </c>
      <c r="AE2223">
        <v>542</v>
      </c>
      <c r="AF2223">
        <v>13</v>
      </c>
      <c r="AG2223">
        <v>180</v>
      </c>
      <c r="AH2223">
        <v>129</v>
      </c>
      <c r="AI2223">
        <v>2.4</v>
      </c>
      <c r="AJ2223">
        <v>33.21</v>
      </c>
      <c r="AK2223">
        <v>23.8</v>
      </c>
      <c r="AL2223">
        <v>-20.16970024999998</v>
      </c>
      <c r="AM2223">
        <v>-44.913502201257437</v>
      </c>
      <c r="AN2223">
        <v>-20.16970024999998</v>
      </c>
      <c r="AO2223">
        <v>-44.913502201257437</v>
      </c>
      <c r="AP2223">
        <v>-20.169886000000002</v>
      </c>
      <c r="AQ2223">
        <v>-44.913288000000001</v>
      </c>
      <c r="AR2223">
        <v>30.47208587597606</v>
      </c>
      <c r="AS2223" t="s">
        <v>65</v>
      </c>
      <c r="AT2223">
        <v>1</v>
      </c>
      <c r="AU2223" t="s">
        <v>420</v>
      </c>
      <c r="AV2223" t="s">
        <v>421</v>
      </c>
      <c r="AW2223" t="s">
        <v>60</v>
      </c>
      <c r="AX2223" t="s">
        <v>68</v>
      </c>
      <c r="AY2223" t="s">
        <v>69</v>
      </c>
      <c r="AZ2223" t="b">
        <v>1</v>
      </c>
    </row>
    <row r="2224" spans="1:52" x14ac:dyDescent="0.3">
      <c r="A2224" t="s">
        <v>52</v>
      </c>
      <c r="B2224" t="s">
        <v>53</v>
      </c>
      <c r="C2224" t="s">
        <v>54</v>
      </c>
      <c r="D2224" t="s">
        <v>55</v>
      </c>
      <c r="E2224" t="s">
        <v>2149</v>
      </c>
      <c r="F2224" t="s">
        <v>1247</v>
      </c>
      <c r="G2224" t="s">
        <v>422</v>
      </c>
      <c r="H2224" t="s">
        <v>423</v>
      </c>
      <c r="I2224" t="s">
        <v>423</v>
      </c>
      <c r="J2224" t="s">
        <v>60</v>
      </c>
      <c r="K2224" t="s">
        <v>424</v>
      </c>
      <c r="L2224" t="s">
        <v>62</v>
      </c>
      <c r="M2224" t="s">
        <v>424</v>
      </c>
      <c r="N2224" t="s">
        <v>425</v>
      </c>
      <c r="O2224" t="s">
        <v>426</v>
      </c>
      <c r="P2224">
        <v>-20.177748000000001</v>
      </c>
      <c r="Q2224">
        <v>-44.912475000000001</v>
      </c>
      <c r="R2224" s="2" t="str">
        <f>HYPERLINK("https://www.google.com/maps?q=-20.1777480,-44.9124750","Abrir no Google Maps")</f>
        <v>Abrir no Google Maps</v>
      </c>
      <c r="S2224">
        <v>3</v>
      </c>
      <c r="T2224">
        <v>657.07560140436533</v>
      </c>
      <c r="U2224">
        <v>4</v>
      </c>
      <c r="V2224">
        <v>0.4650225095672253</v>
      </c>
      <c r="W2224">
        <v>1</v>
      </c>
      <c r="X2224">
        <v>0.4650225095672253</v>
      </c>
      <c r="Y2224">
        <v>723</v>
      </c>
      <c r="Z2224">
        <v>796.94198000561175</v>
      </c>
      <c r="AA2224">
        <v>198</v>
      </c>
      <c r="AB2224">
        <v>332</v>
      </c>
      <c r="AC2224">
        <v>536</v>
      </c>
      <c r="AD2224">
        <v>26.61</v>
      </c>
      <c r="AE2224">
        <v>542</v>
      </c>
      <c r="AF2224">
        <v>13</v>
      </c>
      <c r="AG2224">
        <v>180</v>
      </c>
      <c r="AH2224">
        <v>129</v>
      </c>
      <c r="AI2224">
        <v>2.4</v>
      </c>
      <c r="AJ2224">
        <v>33.21</v>
      </c>
      <c r="AK2224">
        <v>23.8</v>
      </c>
      <c r="AL2224">
        <v>-20.177761749999949</v>
      </c>
      <c r="AM2224">
        <v>-44.91263311624418</v>
      </c>
      <c r="AN2224">
        <v>-20.177761749999949</v>
      </c>
      <c r="AO2224">
        <v>-44.91263311624418</v>
      </c>
      <c r="AP2224">
        <v>-20.177748000000001</v>
      </c>
      <c r="AQ2224">
        <v>-44.912475000000001</v>
      </c>
      <c r="AR2224">
        <v>16.591996803075372</v>
      </c>
      <c r="AS2224" t="s">
        <v>65</v>
      </c>
      <c r="AT2224">
        <v>1</v>
      </c>
      <c r="AU2224" t="s">
        <v>427</v>
      </c>
      <c r="AV2224" t="s">
        <v>428</v>
      </c>
      <c r="AW2224" t="s">
        <v>60</v>
      </c>
      <c r="AX2224" t="s">
        <v>68</v>
      </c>
      <c r="AY2224" t="s">
        <v>69</v>
      </c>
      <c r="AZ2224" t="b">
        <v>1</v>
      </c>
    </row>
    <row r="2225" spans="1:52" x14ac:dyDescent="0.3">
      <c r="A2225" t="s">
        <v>52</v>
      </c>
      <c r="B2225" t="s">
        <v>53</v>
      </c>
      <c r="C2225" t="s">
        <v>54</v>
      </c>
      <c r="D2225" t="s">
        <v>55</v>
      </c>
      <c r="E2225" t="s">
        <v>2149</v>
      </c>
      <c r="F2225" t="s">
        <v>1247</v>
      </c>
      <c r="G2225" t="s">
        <v>429</v>
      </c>
      <c r="H2225" t="s">
        <v>430</v>
      </c>
      <c r="I2225" t="s">
        <v>430</v>
      </c>
      <c r="J2225" t="s">
        <v>60</v>
      </c>
      <c r="K2225" t="s">
        <v>431</v>
      </c>
      <c r="L2225" t="s">
        <v>62</v>
      </c>
      <c r="M2225" t="s">
        <v>431</v>
      </c>
      <c r="N2225" t="s">
        <v>432</v>
      </c>
      <c r="O2225" t="s">
        <v>315</v>
      </c>
      <c r="P2225">
        <v>-20.172698</v>
      </c>
      <c r="Q2225">
        <v>-44.923842</v>
      </c>
      <c r="R2225" s="2" t="str">
        <f>HYPERLINK("https://www.google.com/maps?q=-20.1726980,-44.9238420","Abrir no Google Maps")</f>
        <v>Abrir no Google Maps</v>
      </c>
      <c r="S2225">
        <v>3</v>
      </c>
      <c r="T2225">
        <v>1376.1843173402931</v>
      </c>
      <c r="U2225">
        <v>4</v>
      </c>
      <c r="V2225">
        <v>0.60154139980866927</v>
      </c>
      <c r="W2225">
        <v>0.85</v>
      </c>
      <c r="X2225">
        <v>0.51131018983736887</v>
      </c>
      <c r="Y2225">
        <v>723</v>
      </c>
      <c r="Z2225">
        <v>1101.340635002096</v>
      </c>
      <c r="AA2225">
        <v>198</v>
      </c>
      <c r="AB2225">
        <v>332</v>
      </c>
      <c r="AC2225">
        <v>536</v>
      </c>
      <c r="AD2225">
        <v>26.61</v>
      </c>
      <c r="AE2225">
        <v>542</v>
      </c>
      <c r="AF2225">
        <v>13</v>
      </c>
      <c r="AG2225">
        <v>180</v>
      </c>
      <c r="AH2225">
        <v>129</v>
      </c>
      <c r="AI2225">
        <v>2.4</v>
      </c>
      <c r="AJ2225">
        <v>33.21</v>
      </c>
      <c r="AK2225">
        <v>23.8</v>
      </c>
      <c r="AL2225">
        <v>-20.172942799999959</v>
      </c>
      <c r="AM2225">
        <v>-44.923585372665762</v>
      </c>
      <c r="AN2225">
        <v>-20.172942799999959</v>
      </c>
      <c r="AO2225">
        <v>-44.923585372665762</v>
      </c>
      <c r="AP2225">
        <v>-20.172698</v>
      </c>
      <c r="AQ2225">
        <v>-44.923842</v>
      </c>
      <c r="AR2225">
        <v>38.231981408478958</v>
      </c>
      <c r="AS2225" t="s">
        <v>65</v>
      </c>
      <c r="AT2225">
        <v>1</v>
      </c>
      <c r="AU2225" t="s">
        <v>433</v>
      </c>
      <c r="AV2225" t="s">
        <v>434</v>
      </c>
      <c r="AW2225" t="s">
        <v>60</v>
      </c>
      <c r="AX2225" t="s">
        <v>68</v>
      </c>
      <c r="AY2225" t="s">
        <v>69</v>
      </c>
      <c r="AZ2225" t="b">
        <v>1</v>
      </c>
    </row>
    <row r="2226" spans="1:52" x14ac:dyDescent="0.3">
      <c r="A2226" t="s">
        <v>52</v>
      </c>
      <c r="B2226" t="s">
        <v>53</v>
      </c>
      <c r="C2226" t="s">
        <v>54</v>
      </c>
      <c r="D2226" t="s">
        <v>55</v>
      </c>
      <c r="E2226" t="s">
        <v>2149</v>
      </c>
      <c r="F2226" t="s">
        <v>1247</v>
      </c>
      <c r="G2226" t="s">
        <v>435</v>
      </c>
      <c r="H2226" t="s">
        <v>436</v>
      </c>
      <c r="I2226" t="s">
        <v>436</v>
      </c>
      <c r="J2226" t="s">
        <v>60</v>
      </c>
      <c r="K2226" t="s">
        <v>437</v>
      </c>
      <c r="L2226" t="s">
        <v>62</v>
      </c>
      <c r="M2226" t="s">
        <v>437</v>
      </c>
      <c r="N2226" t="s">
        <v>438</v>
      </c>
      <c r="O2226" t="s">
        <v>439</v>
      </c>
      <c r="P2226">
        <v>-20.145613000000001</v>
      </c>
      <c r="Q2226">
        <v>-44.882375000000003</v>
      </c>
      <c r="R2226" s="2" t="str">
        <f>HYPERLINK("https://www.google.com/maps?q=-20.1456130,-44.8823750","Abrir no Google Maps")</f>
        <v>Abrir no Google Maps</v>
      </c>
      <c r="S2226">
        <v>3</v>
      </c>
      <c r="T2226">
        <v>305.65092112314198</v>
      </c>
      <c r="U2226">
        <v>4</v>
      </c>
      <c r="V2226">
        <v>0.49474749733531198</v>
      </c>
      <c r="W2226">
        <v>1</v>
      </c>
      <c r="X2226">
        <v>0.49474749733531198</v>
      </c>
      <c r="Y2226">
        <v>653</v>
      </c>
      <c r="Z2226">
        <v>349.55297035282501</v>
      </c>
      <c r="AA2226">
        <v>198</v>
      </c>
      <c r="AB2226">
        <v>332</v>
      </c>
      <c r="AC2226">
        <v>536</v>
      </c>
      <c r="AD2226">
        <v>26.61</v>
      </c>
      <c r="AE2226">
        <v>542</v>
      </c>
      <c r="AF2226">
        <v>13</v>
      </c>
      <c r="AG2226">
        <v>180</v>
      </c>
      <c r="AH2226">
        <v>129</v>
      </c>
      <c r="AI2226">
        <v>2.4</v>
      </c>
      <c r="AJ2226">
        <v>33.21</v>
      </c>
      <c r="AK2226">
        <v>23.8</v>
      </c>
      <c r="AL2226">
        <v>-20.14550464999996</v>
      </c>
      <c r="AM2226">
        <v>-44.882157007077737</v>
      </c>
      <c r="AN2226">
        <v>-20.14550464999996</v>
      </c>
      <c r="AO2226">
        <v>-44.882157007077737</v>
      </c>
      <c r="AP2226">
        <v>-20.145613000000001</v>
      </c>
      <c r="AQ2226">
        <v>-44.882375000000003</v>
      </c>
      <c r="AR2226">
        <v>25.77819791856259</v>
      </c>
      <c r="AS2226" t="s">
        <v>65</v>
      </c>
      <c r="AT2226">
        <v>1</v>
      </c>
      <c r="AU2226" t="s">
        <v>440</v>
      </c>
      <c r="AV2226" t="s">
        <v>441</v>
      </c>
      <c r="AW2226" t="s">
        <v>60</v>
      </c>
      <c r="AX2226" t="s">
        <v>68</v>
      </c>
      <c r="AY2226" t="s">
        <v>69</v>
      </c>
      <c r="AZ2226" t="b">
        <v>1</v>
      </c>
    </row>
    <row r="2227" spans="1:52" x14ac:dyDescent="0.3">
      <c r="A2227" t="s">
        <v>52</v>
      </c>
      <c r="B2227" t="s">
        <v>53</v>
      </c>
      <c r="C2227" t="s">
        <v>54</v>
      </c>
      <c r="D2227" t="s">
        <v>55</v>
      </c>
      <c r="E2227" t="s">
        <v>2149</v>
      </c>
      <c r="F2227" t="s">
        <v>1247</v>
      </c>
      <c r="G2227" t="s">
        <v>442</v>
      </c>
      <c r="H2227" t="s">
        <v>443</v>
      </c>
      <c r="I2227" t="s">
        <v>443</v>
      </c>
      <c r="J2227" t="s">
        <v>60</v>
      </c>
      <c r="K2227" t="s">
        <v>437</v>
      </c>
      <c r="L2227" t="s">
        <v>62</v>
      </c>
      <c r="M2227" t="s">
        <v>437</v>
      </c>
      <c r="N2227" t="s">
        <v>444</v>
      </c>
      <c r="O2227" t="s">
        <v>445</v>
      </c>
      <c r="P2227">
        <v>-20.149744999999999</v>
      </c>
      <c r="Q2227">
        <v>-44.881385000000002</v>
      </c>
      <c r="R2227" s="2" t="str">
        <f>HYPERLINK("https://www.google.com/maps?q=-20.1497450,-44.8813850","Abrir no Google Maps")</f>
        <v>Abrir no Google Maps</v>
      </c>
      <c r="S2227">
        <v>3</v>
      </c>
      <c r="T2227">
        <v>188.80690546111239</v>
      </c>
      <c r="U2227">
        <v>4</v>
      </c>
      <c r="V2227">
        <v>0.52053538579262915</v>
      </c>
      <c r="W2227">
        <v>1</v>
      </c>
      <c r="X2227">
        <v>0.52053538579262915</v>
      </c>
      <c r="Y2227">
        <v>653</v>
      </c>
      <c r="Z2227">
        <v>86.575080390731017</v>
      </c>
      <c r="AA2227">
        <v>198</v>
      </c>
      <c r="AB2227">
        <v>332</v>
      </c>
      <c r="AC2227">
        <v>536</v>
      </c>
      <c r="AD2227">
        <v>26.61</v>
      </c>
      <c r="AE2227">
        <v>542</v>
      </c>
      <c r="AF2227">
        <v>13</v>
      </c>
      <c r="AG2227">
        <v>180</v>
      </c>
      <c r="AH2227">
        <v>129</v>
      </c>
      <c r="AI2227">
        <v>2.4</v>
      </c>
      <c r="AJ2227">
        <v>33.21</v>
      </c>
      <c r="AK2227">
        <v>23.8</v>
      </c>
      <c r="AL2227">
        <v>-20.149645149999941</v>
      </c>
      <c r="AM2227">
        <v>-44.881504585149607</v>
      </c>
      <c r="AN2227">
        <v>-20.149645149999941</v>
      </c>
      <c r="AO2227">
        <v>-44.881504585149607</v>
      </c>
      <c r="AP2227">
        <v>-20.149744999999999</v>
      </c>
      <c r="AQ2227">
        <v>-44.881385000000002</v>
      </c>
      <c r="AR2227">
        <v>16.725323110840389</v>
      </c>
      <c r="AS2227" t="s">
        <v>65</v>
      </c>
      <c r="AT2227">
        <v>1</v>
      </c>
      <c r="AU2227" t="s">
        <v>446</v>
      </c>
      <c r="AV2227" t="s">
        <v>447</v>
      </c>
      <c r="AW2227" t="s">
        <v>60</v>
      </c>
      <c r="AX2227" t="s">
        <v>68</v>
      </c>
      <c r="AY2227" t="s">
        <v>69</v>
      </c>
      <c r="AZ2227" t="b">
        <v>1</v>
      </c>
    </row>
    <row r="2228" spans="1:52" x14ac:dyDescent="0.3">
      <c r="A2228" t="s">
        <v>52</v>
      </c>
      <c r="B2228" t="s">
        <v>53</v>
      </c>
      <c r="C2228" t="s">
        <v>54</v>
      </c>
      <c r="D2228" t="s">
        <v>55</v>
      </c>
      <c r="E2228" t="s">
        <v>2149</v>
      </c>
      <c r="F2228" t="s">
        <v>1247</v>
      </c>
      <c r="G2228" t="s">
        <v>448</v>
      </c>
      <c r="H2228" t="s">
        <v>449</v>
      </c>
      <c r="I2228" t="s">
        <v>449</v>
      </c>
      <c r="J2228" t="s">
        <v>60</v>
      </c>
      <c r="K2228" t="s">
        <v>388</v>
      </c>
      <c r="L2228" t="s">
        <v>62</v>
      </c>
      <c r="M2228" t="s">
        <v>388</v>
      </c>
      <c r="N2228" t="s">
        <v>450</v>
      </c>
      <c r="O2228" t="s">
        <v>451</v>
      </c>
      <c r="P2228">
        <v>-20.163981</v>
      </c>
      <c r="Q2228">
        <v>-44.907128999999998</v>
      </c>
      <c r="R2228" s="2" t="str">
        <f>HYPERLINK("https://www.google.com/maps?q=-20.1639810,-44.9071290","Abrir no Google Maps")</f>
        <v>Abrir no Google Maps</v>
      </c>
      <c r="S2228">
        <v>3</v>
      </c>
      <c r="T2228">
        <v>782.50730806588319</v>
      </c>
      <c r="U2228">
        <v>4</v>
      </c>
      <c r="V2228">
        <v>0.5222294668204992</v>
      </c>
      <c r="W2228">
        <v>1</v>
      </c>
      <c r="X2228">
        <v>0.5222294668204992</v>
      </c>
      <c r="Y2228">
        <v>639</v>
      </c>
      <c r="Z2228">
        <v>710.90621453796166</v>
      </c>
      <c r="AA2228">
        <v>198</v>
      </c>
      <c r="AB2228">
        <v>332</v>
      </c>
      <c r="AC2228">
        <v>536</v>
      </c>
      <c r="AD2228">
        <v>26.61</v>
      </c>
      <c r="AE2228">
        <v>542</v>
      </c>
      <c r="AF2228">
        <v>13</v>
      </c>
      <c r="AG2228">
        <v>180</v>
      </c>
      <c r="AH2228">
        <v>129</v>
      </c>
      <c r="AI2228">
        <v>2.4</v>
      </c>
      <c r="AJ2228">
        <v>33.21</v>
      </c>
      <c r="AK2228">
        <v>23.8</v>
      </c>
      <c r="AL2228">
        <v>-20.163958349999969</v>
      </c>
      <c r="AM2228">
        <v>-44.907180923930973</v>
      </c>
      <c r="AN2228">
        <v>-20.163958349999969</v>
      </c>
      <c r="AO2228">
        <v>-44.907180923930973</v>
      </c>
      <c r="AP2228">
        <v>-20.163981</v>
      </c>
      <c r="AQ2228">
        <v>-44.907128999999998</v>
      </c>
      <c r="AR2228">
        <v>5.9831345092457884</v>
      </c>
      <c r="AS2228" t="s">
        <v>65</v>
      </c>
      <c r="AT2228">
        <v>1</v>
      </c>
      <c r="AU2228" t="s">
        <v>452</v>
      </c>
      <c r="AV2228" t="s">
        <v>453</v>
      </c>
      <c r="AW2228" t="s">
        <v>60</v>
      </c>
      <c r="AX2228" t="s">
        <v>68</v>
      </c>
      <c r="AY2228" t="s">
        <v>69</v>
      </c>
      <c r="AZ2228" t="b">
        <v>1</v>
      </c>
    </row>
    <row r="2229" spans="1:52" x14ac:dyDescent="0.3">
      <c r="A2229" t="s">
        <v>52</v>
      </c>
      <c r="B2229" t="s">
        <v>53</v>
      </c>
      <c r="C2229" t="s">
        <v>54</v>
      </c>
      <c r="D2229" t="s">
        <v>55</v>
      </c>
      <c r="E2229" t="s">
        <v>2149</v>
      </c>
      <c r="F2229" t="s">
        <v>1247</v>
      </c>
      <c r="G2229" t="s">
        <v>454</v>
      </c>
      <c r="H2229" t="s">
        <v>455</v>
      </c>
      <c r="I2229" t="s">
        <v>455</v>
      </c>
      <c r="J2229" t="s">
        <v>60</v>
      </c>
      <c r="K2229" t="s">
        <v>456</v>
      </c>
      <c r="L2229" t="s">
        <v>62</v>
      </c>
      <c r="M2229" t="s">
        <v>456</v>
      </c>
      <c r="N2229" t="s">
        <v>102</v>
      </c>
      <c r="O2229" t="s">
        <v>457</v>
      </c>
      <c r="P2229">
        <v>-20.138373999999999</v>
      </c>
      <c r="Q2229">
        <v>-44.903756999999999</v>
      </c>
      <c r="R2229" s="2" t="str">
        <f>HYPERLINK("https://www.google.com/maps?q=-20.1383740,-44.9037570","Abrir no Google Maps")</f>
        <v>Abrir no Google Maps</v>
      </c>
      <c r="S2229">
        <v>3</v>
      </c>
      <c r="T2229">
        <v>357.59466273594461</v>
      </c>
      <c r="U2229">
        <v>4</v>
      </c>
      <c r="V2229">
        <v>0.53706056656487489</v>
      </c>
      <c r="W2229">
        <v>1</v>
      </c>
      <c r="X2229">
        <v>0.53706056656487489</v>
      </c>
      <c r="Y2229">
        <v>581</v>
      </c>
      <c r="Z2229">
        <v>406.92482694505992</v>
      </c>
      <c r="AA2229">
        <v>198</v>
      </c>
      <c r="AB2229">
        <v>332</v>
      </c>
      <c r="AC2229">
        <v>536</v>
      </c>
      <c r="AD2229">
        <v>26.61</v>
      </c>
      <c r="AE2229">
        <v>542</v>
      </c>
      <c r="AF2229">
        <v>13</v>
      </c>
      <c r="AG2229">
        <v>180</v>
      </c>
      <c r="AH2229">
        <v>129</v>
      </c>
      <c r="AI2229">
        <v>2.4</v>
      </c>
      <c r="AJ2229">
        <v>33.21</v>
      </c>
      <c r="AK2229">
        <v>23.8</v>
      </c>
      <c r="AL2229">
        <v>-20.138338199999961</v>
      </c>
      <c r="AM2229">
        <v>-44.903768618976301</v>
      </c>
      <c r="AN2229">
        <v>-20.138338199999961</v>
      </c>
      <c r="AO2229">
        <v>-44.903768618976301</v>
      </c>
      <c r="AP2229">
        <v>-20.138373999999999</v>
      </c>
      <c r="AQ2229">
        <v>-44.903756999999999</v>
      </c>
      <c r="AR2229">
        <v>4.1661625938922704</v>
      </c>
      <c r="AS2229" t="s">
        <v>65</v>
      </c>
      <c r="AT2229">
        <v>1</v>
      </c>
      <c r="AU2229" t="s">
        <v>458</v>
      </c>
      <c r="AV2229" t="s">
        <v>459</v>
      </c>
      <c r="AW2229" t="s">
        <v>60</v>
      </c>
      <c r="AX2229" t="s">
        <v>68</v>
      </c>
      <c r="AY2229" t="s">
        <v>69</v>
      </c>
      <c r="AZ2229" t="b">
        <v>1</v>
      </c>
    </row>
    <row r="2230" spans="1:52" x14ac:dyDescent="0.3">
      <c r="A2230" t="s">
        <v>52</v>
      </c>
      <c r="B2230" t="s">
        <v>53</v>
      </c>
      <c r="C2230" t="s">
        <v>54</v>
      </c>
      <c r="D2230" t="s">
        <v>55</v>
      </c>
      <c r="E2230" t="s">
        <v>2149</v>
      </c>
      <c r="F2230" t="s">
        <v>1247</v>
      </c>
      <c r="G2230" t="s">
        <v>460</v>
      </c>
      <c r="H2230" t="s">
        <v>461</v>
      </c>
      <c r="I2230" t="s">
        <v>461</v>
      </c>
      <c r="J2230" t="s">
        <v>60</v>
      </c>
      <c r="K2230" t="s">
        <v>462</v>
      </c>
      <c r="L2230" t="s">
        <v>62</v>
      </c>
      <c r="M2230" t="s">
        <v>462</v>
      </c>
      <c r="N2230" t="s">
        <v>463</v>
      </c>
      <c r="O2230" t="s">
        <v>464</v>
      </c>
      <c r="P2230">
        <v>-20.137919</v>
      </c>
      <c r="Q2230">
        <v>-44.905591000000001</v>
      </c>
      <c r="R2230" s="2" t="str">
        <f>HYPERLINK("https://www.google.com/maps?q=-20.1379190,-44.9055910","Abrir no Google Maps")</f>
        <v>Abrir no Google Maps</v>
      </c>
      <c r="S2230">
        <v>3</v>
      </c>
      <c r="T2230">
        <v>262.01115919461103</v>
      </c>
      <c r="U2230">
        <v>4</v>
      </c>
      <c r="V2230">
        <v>0.54559041164414457</v>
      </c>
      <c r="W2230">
        <v>1</v>
      </c>
      <c r="X2230">
        <v>0.54559041164414457</v>
      </c>
      <c r="Y2230">
        <v>581</v>
      </c>
      <c r="Z2230">
        <v>318.63337303219271</v>
      </c>
      <c r="AA2230">
        <v>198</v>
      </c>
      <c r="AB2230">
        <v>332</v>
      </c>
      <c r="AC2230">
        <v>536</v>
      </c>
      <c r="AD2230">
        <v>26.61</v>
      </c>
      <c r="AE2230">
        <v>542</v>
      </c>
      <c r="AF2230">
        <v>13</v>
      </c>
      <c r="AG2230">
        <v>180</v>
      </c>
      <c r="AH2230">
        <v>129</v>
      </c>
      <c r="AI2230">
        <v>2.4</v>
      </c>
      <c r="AJ2230">
        <v>33.21</v>
      </c>
      <c r="AK2230">
        <v>23.8</v>
      </c>
      <c r="AL2230">
        <v>-20.13789079999998</v>
      </c>
      <c r="AM2230">
        <v>-44.90548593520333</v>
      </c>
      <c r="AN2230">
        <v>-20.13789079999998</v>
      </c>
      <c r="AO2230">
        <v>-44.90548593520333</v>
      </c>
      <c r="AP2230">
        <v>-20.137919</v>
      </c>
      <c r="AQ2230">
        <v>-44.905591000000001</v>
      </c>
      <c r="AR2230">
        <v>11.42072348298178</v>
      </c>
      <c r="AS2230" t="s">
        <v>65</v>
      </c>
      <c r="AT2230">
        <v>1</v>
      </c>
      <c r="AU2230" t="s">
        <v>465</v>
      </c>
      <c r="AV2230" t="s">
        <v>466</v>
      </c>
      <c r="AW2230" t="s">
        <v>60</v>
      </c>
      <c r="AX2230" t="s">
        <v>68</v>
      </c>
      <c r="AY2230" t="s">
        <v>69</v>
      </c>
      <c r="AZ2230" t="b">
        <v>1</v>
      </c>
    </row>
    <row r="2231" spans="1:52" x14ac:dyDescent="0.3">
      <c r="A2231" t="s">
        <v>52</v>
      </c>
      <c r="B2231" t="s">
        <v>53</v>
      </c>
      <c r="C2231" t="s">
        <v>54</v>
      </c>
      <c r="D2231" t="s">
        <v>55</v>
      </c>
      <c r="E2231" t="s">
        <v>2149</v>
      </c>
      <c r="F2231" t="s">
        <v>1247</v>
      </c>
      <c r="G2231" t="s">
        <v>467</v>
      </c>
      <c r="H2231" t="s">
        <v>468</v>
      </c>
      <c r="I2231" t="s">
        <v>468</v>
      </c>
      <c r="J2231" t="s">
        <v>60</v>
      </c>
      <c r="K2231" t="s">
        <v>462</v>
      </c>
      <c r="L2231" t="s">
        <v>62</v>
      </c>
      <c r="M2231" t="s">
        <v>462</v>
      </c>
      <c r="N2231" t="s">
        <v>469</v>
      </c>
      <c r="O2231" t="s">
        <v>470</v>
      </c>
      <c r="P2231">
        <v>-20.138233</v>
      </c>
      <c r="Q2231">
        <v>-44.908200000000001</v>
      </c>
      <c r="R2231" s="2" t="str">
        <f>HYPERLINK("https://www.google.com/maps?q=-20.1382330,-44.9082000","Abrir no Google Maps")</f>
        <v>Abrir no Google Maps</v>
      </c>
      <c r="S2231">
        <v>3</v>
      </c>
      <c r="T2231">
        <v>0</v>
      </c>
      <c r="U2231">
        <v>4</v>
      </c>
      <c r="V2231">
        <v>0.54041802622707036</v>
      </c>
      <c r="W2231">
        <v>1</v>
      </c>
      <c r="X2231">
        <v>0.54041802622707036</v>
      </c>
      <c r="Y2231">
        <v>581</v>
      </c>
      <c r="Z2231">
        <v>153.18688302958171</v>
      </c>
      <c r="AA2231">
        <v>198</v>
      </c>
      <c r="AB2231">
        <v>332</v>
      </c>
      <c r="AC2231">
        <v>536</v>
      </c>
      <c r="AD2231">
        <v>26.61</v>
      </c>
      <c r="AE2231">
        <v>542</v>
      </c>
      <c r="AF2231">
        <v>13</v>
      </c>
      <c r="AG2231">
        <v>180</v>
      </c>
      <c r="AH2231">
        <v>129</v>
      </c>
      <c r="AI2231">
        <v>2.4</v>
      </c>
      <c r="AJ2231">
        <v>33.21</v>
      </c>
      <c r="AK2231">
        <v>23.8</v>
      </c>
      <c r="AL2231">
        <v>-20.138364899999971</v>
      </c>
      <c r="AM2231">
        <v>-44.907942114873997</v>
      </c>
      <c r="AN2231">
        <v>-20.138364899999971</v>
      </c>
      <c r="AO2231">
        <v>-44.907942114873997</v>
      </c>
      <c r="AP2231">
        <v>-20.138233</v>
      </c>
      <c r="AQ2231">
        <v>-44.908200000000001</v>
      </c>
      <c r="AR2231">
        <v>30.692690617986941</v>
      </c>
      <c r="AS2231" t="s">
        <v>65</v>
      </c>
      <c r="AT2231">
        <v>1</v>
      </c>
      <c r="AU2231" t="s">
        <v>471</v>
      </c>
      <c r="AV2231" t="s">
        <v>472</v>
      </c>
      <c r="AW2231" t="s">
        <v>60</v>
      </c>
      <c r="AX2231" t="s">
        <v>68</v>
      </c>
      <c r="AY2231" t="s">
        <v>69</v>
      </c>
      <c r="AZ2231" t="b">
        <v>1</v>
      </c>
    </row>
    <row r="2232" spans="1:52" x14ac:dyDescent="0.3">
      <c r="A2232" t="s">
        <v>52</v>
      </c>
      <c r="B2232" t="s">
        <v>53</v>
      </c>
      <c r="C2232" t="s">
        <v>54</v>
      </c>
      <c r="D2232" t="s">
        <v>55</v>
      </c>
      <c r="E2232" t="s">
        <v>2149</v>
      </c>
      <c r="F2232" t="s">
        <v>1247</v>
      </c>
      <c r="G2232" t="s">
        <v>858</v>
      </c>
      <c r="H2232" t="s">
        <v>859</v>
      </c>
      <c r="I2232" t="s">
        <v>859</v>
      </c>
      <c r="J2232" t="s">
        <v>60</v>
      </c>
      <c r="K2232" t="s">
        <v>462</v>
      </c>
      <c r="L2232" t="s">
        <v>62</v>
      </c>
      <c r="M2232" t="s">
        <v>462</v>
      </c>
      <c r="N2232" t="s">
        <v>860</v>
      </c>
      <c r="O2232" t="s">
        <v>861</v>
      </c>
      <c r="P2232">
        <v>-20.139693999999999</v>
      </c>
      <c r="Q2232">
        <v>-44.911256000000002</v>
      </c>
      <c r="R2232" s="2" t="str">
        <f>HYPERLINK("https://www.google.com/maps?q=-20.1396940,-44.9112560","Abrir no Google Maps")</f>
        <v>Abrir no Google Maps</v>
      </c>
      <c r="S2232">
        <v>3</v>
      </c>
      <c r="T2232">
        <v>380.48036838042862</v>
      </c>
      <c r="U2232">
        <v>4</v>
      </c>
      <c r="V2232">
        <v>0.57922795581933939</v>
      </c>
      <c r="W2232">
        <v>0.85</v>
      </c>
      <c r="X2232">
        <v>0.49234376244643852</v>
      </c>
      <c r="Y2232">
        <v>581</v>
      </c>
      <c r="Z2232">
        <v>374.61146000000178</v>
      </c>
      <c r="AA2232">
        <v>198</v>
      </c>
      <c r="AB2232">
        <v>332</v>
      </c>
      <c r="AC2232">
        <v>536</v>
      </c>
      <c r="AD2232">
        <v>26.61</v>
      </c>
      <c r="AE2232">
        <v>542</v>
      </c>
      <c r="AF2232">
        <v>13</v>
      </c>
      <c r="AG2232">
        <v>180</v>
      </c>
      <c r="AH2232">
        <v>129</v>
      </c>
      <c r="AI2232">
        <v>2.4</v>
      </c>
      <c r="AJ2232">
        <v>33.21</v>
      </c>
      <c r="AK2232">
        <v>23.8</v>
      </c>
      <c r="AL2232">
        <v>-20.139768699999959</v>
      </c>
      <c r="AM2232">
        <v>-44.911265351587588</v>
      </c>
      <c r="AN2232">
        <v>-20.139768699999959</v>
      </c>
      <c r="AO2232">
        <v>-44.911265351587588</v>
      </c>
      <c r="AP2232">
        <v>-20.139693999999999</v>
      </c>
      <c r="AQ2232">
        <v>-44.911256000000002</v>
      </c>
      <c r="AR2232">
        <v>8.3728438666521061</v>
      </c>
      <c r="AS2232" t="s">
        <v>65</v>
      </c>
      <c r="AT2232">
        <v>1</v>
      </c>
      <c r="AU2232" t="s">
        <v>862</v>
      </c>
      <c r="AV2232" t="s">
        <v>863</v>
      </c>
      <c r="AW2232" t="s">
        <v>60</v>
      </c>
      <c r="AX2232" t="s">
        <v>68</v>
      </c>
      <c r="AY2232" t="s">
        <v>69</v>
      </c>
      <c r="AZ2232" t="b">
        <v>1</v>
      </c>
    </row>
    <row r="2233" spans="1:52" x14ac:dyDescent="0.3">
      <c r="A2233" t="s">
        <v>52</v>
      </c>
      <c r="B2233" t="s">
        <v>53</v>
      </c>
      <c r="C2233" t="s">
        <v>54</v>
      </c>
      <c r="D2233" t="s">
        <v>55</v>
      </c>
      <c r="E2233" t="s">
        <v>2149</v>
      </c>
      <c r="F2233" t="s">
        <v>1247</v>
      </c>
      <c r="G2233" t="s">
        <v>864</v>
      </c>
      <c r="H2233" t="s">
        <v>865</v>
      </c>
      <c r="I2233" t="s">
        <v>865</v>
      </c>
      <c r="J2233" t="s">
        <v>60</v>
      </c>
      <c r="K2233" t="s">
        <v>486</v>
      </c>
      <c r="L2233" t="s">
        <v>62</v>
      </c>
      <c r="M2233" t="s">
        <v>486</v>
      </c>
      <c r="N2233" t="s">
        <v>866</v>
      </c>
      <c r="O2233" t="s">
        <v>867</v>
      </c>
      <c r="P2233">
        <v>-20.170919000000001</v>
      </c>
      <c r="Q2233">
        <v>-44.905451999999997</v>
      </c>
      <c r="R2233" s="2" t="str">
        <f>HYPERLINK("https://www.google.com/maps?q=-20.1709190,-44.9054520","Abrir no Google Maps")</f>
        <v>Abrir no Google Maps</v>
      </c>
      <c r="S2233">
        <v>3</v>
      </c>
      <c r="T2233">
        <v>0</v>
      </c>
      <c r="U2233">
        <v>4</v>
      </c>
      <c r="V2233">
        <v>0.46369556995123917</v>
      </c>
      <c r="W2233">
        <v>1</v>
      </c>
      <c r="X2233">
        <v>0.46369556995123917</v>
      </c>
      <c r="Y2233">
        <v>578</v>
      </c>
      <c r="Z2233">
        <v>205.34598855748419</v>
      </c>
      <c r="AA2233">
        <v>198</v>
      </c>
      <c r="AB2233">
        <v>332</v>
      </c>
      <c r="AC2233">
        <v>536</v>
      </c>
      <c r="AD2233">
        <v>26.61</v>
      </c>
      <c r="AE2233">
        <v>542</v>
      </c>
      <c r="AF2233">
        <v>13</v>
      </c>
      <c r="AG2233">
        <v>180</v>
      </c>
      <c r="AH2233">
        <v>129</v>
      </c>
      <c r="AI2233">
        <v>2.4</v>
      </c>
      <c r="AJ2233">
        <v>33.21</v>
      </c>
      <c r="AK2233">
        <v>23.8</v>
      </c>
      <c r="AL2233">
        <v>-20.170854399999939</v>
      </c>
      <c r="AM2233">
        <v>-44.905524839633358</v>
      </c>
      <c r="AN2233">
        <v>-20.170854399999939</v>
      </c>
      <c r="AO2233">
        <v>-44.905524839633358</v>
      </c>
      <c r="AP2233">
        <v>-20.170919000000001</v>
      </c>
      <c r="AQ2233">
        <v>-44.905451999999997</v>
      </c>
      <c r="AR2233">
        <v>10.471140355179269</v>
      </c>
      <c r="AS2233" t="s">
        <v>65</v>
      </c>
      <c r="AT2233">
        <v>1</v>
      </c>
      <c r="AU2233" t="s">
        <v>868</v>
      </c>
      <c r="AV2233" t="s">
        <v>869</v>
      </c>
      <c r="AW2233" t="s">
        <v>60</v>
      </c>
      <c r="AX2233" t="s">
        <v>68</v>
      </c>
      <c r="AY2233" t="s">
        <v>69</v>
      </c>
      <c r="AZ2233" t="b">
        <v>1</v>
      </c>
    </row>
    <row r="2234" spans="1:52" x14ac:dyDescent="0.3">
      <c r="A2234" t="s">
        <v>52</v>
      </c>
      <c r="B2234" t="s">
        <v>53</v>
      </c>
      <c r="C2234" t="s">
        <v>54</v>
      </c>
      <c r="D2234" t="s">
        <v>55</v>
      </c>
      <c r="E2234" t="s">
        <v>2149</v>
      </c>
      <c r="F2234" t="s">
        <v>1247</v>
      </c>
      <c r="G2234" t="s">
        <v>479</v>
      </c>
      <c r="H2234" t="s">
        <v>480</v>
      </c>
      <c r="I2234" t="s">
        <v>480</v>
      </c>
      <c r="J2234" t="s">
        <v>60</v>
      </c>
      <c r="K2234" t="s">
        <v>388</v>
      </c>
      <c r="L2234" t="s">
        <v>62</v>
      </c>
      <c r="M2234" t="s">
        <v>388</v>
      </c>
      <c r="N2234" t="s">
        <v>481</v>
      </c>
      <c r="O2234" t="s">
        <v>315</v>
      </c>
      <c r="P2234">
        <v>-20.166903999999999</v>
      </c>
      <c r="Q2234">
        <v>-44.903492</v>
      </c>
      <c r="R2234" s="2" t="str">
        <f>HYPERLINK("https://www.google.com/maps?q=-20.1669040,-44.9034920","Abrir no Google Maps")</f>
        <v>Abrir no Google Maps</v>
      </c>
      <c r="S2234">
        <v>3</v>
      </c>
      <c r="T2234">
        <v>517.12253532511602</v>
      </c>
      <c r="U2234">
        <v>4</v>
      </c>
      <c r="V2234">
        <v>0.47825363491276962</v>
      </c>
      <c r="W2234">
        <v>1</v>
      </c>
      <c r="X2234">
        <v>0.47825363491276962</v>
      </c>
      <c r="Y2234">
        <v>578</v>
      </c>
      <c r="Z2234">
        <v>721.79551240050432</v>
      </c>
      <c r="AA2234">
        <v>198</v>
      </c>
      <c r="AB2234">
        <v>332</v>
      </c>
      <c r="AC2234">
        <v>536</v>
      </c>
      <c r="AD2234">
        <v>26.61</v>
      </c>
      <c r="AE2234">
        <v>542</v>
      </c>
      <c r="AF2234">
        <v>13</v>
      </c>
      <c r="AG2234">
        <v>180</v>
      </c>
      <c r="AH2234">
        <v>129</v>
      </c>
      <c r="AI2234">
        <v>2.4</v>
      </c>
      <c r="AJ2234">
        <v>33.21</v>
      </c>
      <c r="AK2234">
        <v>23.8</v>
      </c>
      <c r="AL2234">
        <v>-20.166610649999971</v>
      </c>
      <c r="AM2234">
        <v>-44.903452988928308</v>
      </c>
      <c r="AN2234">
        <v>-20.166610649999971</v>
      </c>
      <c r="AO2234">
        <v>-44.903452988928308</v>
      </c>
      <c r="AP2234">
        <v>-20.166903999999999</v>
      </c>
      <c r="AQ2234">
        <v>-44.903492</v>
      </c>
      <c r="AR2234">
        <v>32.909175876856217</v>
      </c>
      <c r="AS2234" t="s">
        <v>65</v>
      </c>
      <c r="AT2234">
        <v>1</v>
      </c>
      <c r="AU2234" t="s">
        <v>482</v>
      </c>
      <c r="AV2234" t="s">
        <v>483</v>
      </c>
      <c r="AW2234" t="s">
        <v>60</v>
      </c>
      <c r="AX2234" t="s">
        <v>68</v>
      </c>
      <c r="AY2234" t="s">
        <v>69</v>
      </c>
      <c r="AZ2234" t="b">
        <v>1</v>
      </c>
    </row>
    <row r="2235" spans="1:52" x14ac:dyDescent="0.3">
      <c r="A2235" t="s">
        <v>52</v>
      </c>
      <c r="B2235" t="s">
        <v>53</v>
      </c>
      <c r="C2235" t="s">
        <v>54</v>
      </c>
      <c r="D2235" t="s">
        <v>55</v>
      </c>
      <c r="E2235" t="s">
        <v>2149</v>
      </c>
      <c r="F2235" t="s">
        <v>1247</v>
      </c>
      <c r="G2235" t="s">
        <v>497</v>
      </c>
      <c r="H2235" t="s">
        <v>498</v>
      </c>
      <c r="I2235" t="s">
        <v>498</v>
      </c>
      <c r="J2235" t="s">
        <v>60</v>
      </c>
      <c r="K2235" t="s">
        <v>475</v>
      </c>
      <c r="L2235" t="s">
        <v>62</v>
      </c>
      <c r="M2235" t="s">
        <v>475</v>
      </c>
      <c r="N2235" t="s">
        <v>499</v>
      </c>
      <c r="O2235" t="s">
        <v>500</v>
      </c>
      <c r="P2235">
        <v>-20.175492999999999</v>
      </c>
      <c r="Q2235">
        <v>-44.900759000000001</v>
      </c>
      <c r="R2235" s="2" t="str">
        <f>HYPERLINK("https://www.google.com/maps?q=-20.1754930,-44.9007590","Abrir no Google Maps")</f>
        <v>Abrir no Google Maps</v>
      </c>
      <c r="S2235">
        <v>3</v>
      </c>
      <c r="T2235">
        <v>753.30732354720431</v>
      </c>
      <c r="U2235">
        <v>4</v>
      </c>
      <c r="V2235">
        <v>0.46089799359550121</v>
      </c>
      <c r="W2235">
        <v>1</v>
      </c>
      <c r="X2235">
        <v>0.46089799359550121</v>
      </c>
      <c r="Y2235">
        <v>578</v>
      </c>
      <c r="Z2235">
        <v>695.28903655431702</v>
      </c>
      <c r="AA2235">
        <v>198</v>
      </c>
      <c r="AB2235">
        <v>332</v>
      </c>
      <c r="AC2235">
        <v>536</v>
      </c>
      <c r="AD2235">
        <v>26.61</v>
      </c>
      <c r="AE2235">
        <v>542</v>
      </c>
      <c r="AF2235">
        <v>13</v>
      </c>
      <c r="AG2235">
        <v>180</v>
      </c>
      <c r="AH2235">
        <v>129</v>
      </c>
      <c r="AI2235">
        <v>2.4</v>
      </c>
      <c r="AJ2235">
        <v>33.21</v>
      </c>
      <c r="AK2235">
        <v>23.8</v>
      </c>
      <c r="AL2235">
        <v>-20.175825999999969</v>
      </c>
      <c r="AM2235">
        <v>-44.900600234646973</v>
      </c>
      <c r="AN2235">
        <v>-20.175825999999969</v>
      </c>
      <c r="AO2235">
        <v>-44.900600234646973</v>
      </c>
      <c r="AP2235">
        <v>-20.175492999999999</v>
      </c>
      <c r="AQ2235">
        <v>-44.900759000000001</v>
      </c>
      <c r="AR2235">
        <v>40.612267304645073</v>
      </c>
      <c r="AS2235" t="s">
        <v>65</v>
      </c>
      <c r="AT2235">
        <v>1</v>
      </c>
      <c r="AU2235" t="s">
        <v>501</v>
      </c>
      <c r="AV2235" t="s">
        <v>502</v>
      </c>
      <c r="AW2235" t="s">
        <v>60</v>
      </c>
      <c r="AX2235" t="s">
        <v>68</v>
      </c>
      <c r="AY2235" t="s">
        <v>69</v>
      </c>
      <c r="AZ2235" t="b">
        <v>1</v>
      </c>
    </row>
    <row r="2236" spans="1:52" x14ac:dyDescent="0.3">
      <c r="A2236" t="s">
        <v>52</v>
      </c>
      <c r="B2236" t="s">
        <v>53</v>
      </c>
      <c r="C2236" t="s">
        <v>54</v>
      </c>
      <c r="D2236" t="s">
        <v>55</v>
      </c>
      <c r="E2236" t="s">
        <v>2149</v>
      </c>
      <c r="F2236" t="s">
        <v>1247</v>
      </c>
      <c r="G2236" t="s">
        <v>503</v>
      </c>
      <c r="H2236" t="s">
        <v>504</v>
      </c>
      <c r="I2236" t="s">
        <v>504</v>
      </c>
      <c r="J2236" t="s">
        <v>60</v>
      </c>
      <c r="K2236" t="s">
        <v>505</v>
      </c>
      <c r="L2236" t="s">
        <v>62</v>
      </c>
      <c r="M2236" t="s">
        <v>505</v>
      </c>
      <c r="N2236" t="s">
        <v>506</v>
      </c>
      <c r="O2236" t="s">
        <v>507</v>
      </c>
      <c r="P2236">
        <v>-20.131428</v>
      </c>
      <c r="Q2236">
        <v>-44.888921000000003</v>
      </c>
      <c r="R2236" s="2" t="str">
        <f>HYPERLINK("https://www.google.com/maps?q=-20.1314280,-44.8889210","Abrir no Google Maps")</f>
        <v>Abrir no Google Maps</v>
      </c>
      <c r="S2236">
        <v>3</v>
      </c>
      <c r="T2236">
        <v>250.64150698244501</v>
      </c>
      <c r="U2236">
        <v>4</v>
      </c>
      <c r="V2236">
        <v>0.48352982360739688</v>
      </c>
      <c r="W2236">
        <v>1</v>
      </c>
      <c r="X2236">
        <v>0.48352982360739688</v>
      </c>
      <c r="Y2236">
        <v>564</v>
      </c>
      <c r="Z2236">
        <v>189.93933888952441</v>
      </c>
      <c r="AA2236">
        <v>198</v>
      </c>
      <c r="AB2236">
        <v>332</v>
      </c>
      <c r="AC2236">
        <v>536</v>
      </c>
      <c r="AD2236">
        <v>26.61</v>
      </c>
      <c r="AE2236">
        <v>542</v>
      </c>
      <c r="AF2236">
        <v>13</v>
      </c>
      <c r="AG2236">
        <v>180</v>
      </c>
      <c r="AH2236">
        <v>129</v>
      </c>
      <c r="AI2236">
        <v>2.4</v>
      </c>
      <c r="AJ2236">
        <v>33.21</v>
      </c>
      <c r="AK2236">
        <v>23.8</v>
      </c>
      <c r="AL2236">
        <v>-20.13123589999995</v>
      </c>
      <c r="AM2236">
        <v>-44.888742396501762</v>
      </c>
      <c r="AN2236">
        <v>-20.13123589999995</v>
      </c>
      <c r="AO2236">
        <v>-44.888742396501762</v>
      </c>
      <c r="AP2236">
        <v>-20.131428</v>
      </c>
      <c r="AQ2236">
        <v>-44.888921000000003</v>
      </c>
      <c r="AR2236">
        <v>28.386169462917032</v>
      </c>
      <c r="AS2236" t="s">
        <v>65</v>
      </c>
      <c r="AT2236">
        <v>1</v>
      </c>
      <c r="AU2236" t="s">
        <v>508</v>
      </c>
      <c r="AV2236" t="s">
        <v>509</v>
      </c>
      <c r="AW2236" t="s">
        <v>60</v>
      </c>
      <c r="AX2236" t="s">
        <v>68</v>
      </c>
      <c r="AY2236" t="s">
        <v>69</v>
      </c>
      <c r="AZ2236" t="b">
        <v>1</v>
      </c>
    </row>
    <row r="2237" spans="1:52" x14ac:dyDescent="0.3">
      <c r="A2237" t="s">
        <v>52</v>
      </c>
      <c r="B2237" t="s">
        <v>53</v>
      </c>
      <c r="C2237" t="s">
        <v>54</v>
      </c>
      <c r="D2237" t="s">
        <v>55</v>
      </c>
      <c r="E2237" t="s">
        <v>2149</v>
      </c>
      <c r="F2237" t="s">
        <v>1247</v>
      </c>
      <c r="G2237" t="s">
        <v>510</v>
      </c>
      <c r="H2237" t="s">
        <v>511</v>
      </c>
      <c r="I2237" t="s">
        <v>511</v>
      </c>
      <c r="J2237" t="s">
        <v>60</v>
      </c>
      <c r="K2237" t="s">
        <v>512</v>
      </c>
      <c r="L2237" t="s">
        <v>62</v>
      </c>
      <c r="M2237" t="s">
        <v>512</v>
      </c>
      <c r="N2237" t="s">
        <v>406</v>
      </c>
      <c r="O2237" t="s">
        <v>513</v>
      </c>
      <c r="P2237">
        <v>-20.127853000000002</v>
      </c>
      <c r="Q2237">
        <v>-44.891415000000002</v>
      </c>
      <c r="R2237" s="2" t="str">
        <f>HYPERLINK("https://www.google.com/maps?q=-20.1278530,-44.8914150","Abrir no Google Maps")</f>
        <v>Abrir no Google Maps</v>
      </c>
      <c r="S2237">
        <v>3</v>
      </c>
      <c r="T2237">
        <v>340.86994528233612</v>
      </c>
      <c r="U2237">
        <v>4</v>
      </c>
      <c r="V2237">
        <v>0.48295823001423849</v>
      </c>
      <c r="W2237">
        <v>1</v>
      </c>
      <c r="X2237">
        <v>0.48295823001423849</v>
      </c>
      <c r="Y2237">
        <v>564</v>
      </c>
      <c r="Z2237">
        <v>294.18108015916812</v>
      </c>
      <c r="AA2237">
        <v>198</v>
      </c>
      <c r="AB2237">
        <v>332</v>
      </c>
      <c r="AC2237">
        <v>536</v>
      </c>
      <c r="AD2237">
        <v>26.61</v>
      </c>
      <c r="AE2237">
        <v>542</v>
      </c>
      <c r="AF2237">
        <v>13</v>
      </c>
      <c r="AG2237">
        <v>180</v>
      </c>
      <c r="AH2237">
        <v>129</v>
      </c>
      <c r="AI2237">
        <v>2.4</v>
      </c>
      <c r="AJ2237">
        <v>33.21</v>
      </c>
      <c r="AK2237">
        <v>23.8</v>
      </c>
      <c r="AL2237">
        <v>-20.12777399999996</v>
      </c>
      <c r="AM2237">
        <v>-44.891400975758501</v>
      </c>
      <c r="AN2237">
        <v>-20.12777399999996</v>
      </c>
      <c r="AO2237">
        <v>-44.891400975758501</v>
      </c>
      <c r="AP2237">
        <v>-20.127853000000002</v>
      </c>
      <c r="AQ2237">
        <v>-44.891415000000002</v>
      </c>
      <c r="AR2237">
        <v>8.9156059162975616</v>
      </c>
      <c r="AS2237" t="s">
        <v>65</v>
      </c>
      <c r="AT2237">
        <v>1</v>
      </c>
      <c r="AU2237" t="s">
        <v>514</v>
      </c>
      <c r="AV2237" t="s">
        <v>515</v>
      </c>
      <c r="AW2237" t="s">
        <v>60</v>
      </c>
      <c r="AX2237" t="s">
        <v>68</v>
      </c>
      <c r="AY2237" t="s">
        <v>69</v>
      </c>
      <c r="AZ2237" t="b">
        <v>1</v>
      </c>
    </row>
    <row r="2238" spans="1:52" x14ac:dyDescent="0.3">
      <c r="A2238" t="s">
        <v>52</v>
      </c>
      <c r="B2238" t="s">
        <v>53</v>
      </c>
      <c r="C2238" t="s">
        <v>54</v>
      </c>
      <c r="D2238" t="s">
        <v>55</v>
      </c>
      <c r="E2238" t="s">
        <v>2149</v>
      </c>
      <c r="F2238" t="s">
        <v>1247</v>
      </c>
      <c r="G2238" t="s">
        <v>516</v>
      </c>
      <c r="H2238" t="s">
        <v>517</v>
      </c>
      <c r="I2238" t="s">
        <v>517</v>
      </c>
      <c r="J2238" t="s">
        <v>60</v>
      </c>
      <c r="K2238" t="s">
        <v>518</v>
      </c>
      <c r="L2238" t="s">
        <v>62</v>
      </c>
      <c r="M2238" t="s">
        <v>518</v>
      </c>
      <c r="N2238" t="s">
        <v>519</v>
      </c>
      <c r="O2238" t="s">
        <v>520</v>
      </c>
      <c r="P2238">
        <v>-20.124502</v>
      </c>
      <c r="Q2238">
        <v>-44.888424000000001</v>
      </c>
      <c r="R2238" s="2" t="str">
        <f>HYPERLINK("https://www.google.com/maps?q=-20.1245020,-44.8884240","Abrir no Google Maps")</f>
        <v>Abrir no Google Maps</v>
      </c>
      <c r="S2238">
        <v>3</v>
      </c>
      <c r="T2238">
        <v>483.42298121929559</v>
      </c>
      <c r="U2238">
        <v>4</v>
      </c>
      <c r="V2238">
        <v>0.54234896465979765</v>
      </c>
      <c r="W2238">
        <v>1</v>
      </c>
      <c r="X2238">
        <v>0.54234896465979765</v>
      </c>
      <c r="Y2238">
        <v>564</v>
      </c>
      <c r="Z2238">
        <v>565.43074237076587</v>
      </c>
      <c r="AA2238">
        <v>198</v>
      </c>
      <c r="AB2238">
        <v>332</v>
      </c>
      <c r="AC2238">
        <v>536</v>
      </c>
      <c r="AD2238">
        <v>26.61</v>
      </c>
      <c r="AE2238">
        <v>542</v>
      </c>
      <c r="AF2238">
        <v>13</v>
      </c>
      <c r="AG2238">
        <v>180</v>
      </c>
      <c r="AH2238">
        <v>129</v>
      </c>
      <c r="AI2238">
        <v>2.4</v>
      </c>
      <c r="AJ2238">
        <v>33.21</v>
      </c>
      <c r="AK2238">
        <v>23.8</v>
      </c>
      <c r="AL2238">
        <v>-20.124624949999941</v>
      </c>
      <c r="AM2238">
        <v>-44.888432821777258</v>
      </c>
      <c r="AN2238">
        <v>-20.124624949999941</v>
      </c>
      <c r="AO2238">
        <v>-44.888432821777258</v>
      </c>
      <c r="AP2238">
        <v>-20.124502</v>
      </c>
      <c r="AQ2238">
        <v>-44.888424000000001</v>
      </c>
      <c r="AR2238">
        <v>13.717819333897451</v>
      </c>
      <c r="AS2238" t="s">
        <v>65</v>
      </c>
      <c r="AT2238">
        <v>1</v>
      </c>
      <c r="AU2238" t="s">
        <v>521</v>
      </c>
      <c r="AV2238" t="s">
        <v>522</v>
      </c>
      <c r="AW2238" t="s">
        <v>60</v>
      </c>
      <c r="AX2238" t="s">
        <v>68</v>
      </c>
      <c r="AY2238" t="s">
        <v>69</v>
      </c>
      <c r="AZ2238" t="b">
        <v>1</v>
      </c>
    </row>
    <row r="2239" spans="1:52" x14ac:dyDescent="0.3">
      <c r="A2239" t="s">
        <v>52</v>
      </c>
      <c r="B2239" t="s">
        <v>53</v>
      </c>
      <c r="C2239" t="s">
        <v>54</v>
      </c>
      <c r="D2239" t="s">
        <v>55</v>
      </c>
      <c r="E2239" t="s">
        <v>2149</v>
      </c>
      <c r="F2239" t="s">
        <v>1247</v>
      </c>
      <c r="G2239" t="s">
        <v>879</v>
      </c>
      <c r="H2239" t="s">
        <v>880</v>
      </c>
      <c r="I2239" t="s">
        <v>880</v>
      </c>
      <c r="J2239" t="s">
        <v>60</v>
      </c>
      <c r="K2239" t="s">
        <v>505</v>
      </c>
      <c r="L2239" t="s">
        <v>62</v>
      </c>
      <c r="M2239" t="s">
        <v>505</v>
      </c>
      <c r="N2239" t="s">
        <v>881</v>
      </c>
      <c r="O2239" t="s">
        <v>882</v>
      </c>
      <c r="P2239">
        <v>-20.133452999999999</v>
      </c>
      <c r="Q2239">
        <v>-44.890571999999999</v>
      </c>
      <c r="R2239" s="2" t="str">
        <f>HYPERLINK("https://www.google.com/maps?q=-20.1334530,-44.8905720","Abrir no Google Maps")</f>
        <v>Abrir no Google Maps</v>
      </c>
      <c r="S2239">
        <v>3</v>
      </c>
      <c r="T2239">
        <v>373.51332104809921</v>
      </c>
      <c r="U2239">
        <v>4</v>
      </c>
      <c r="V2239">
        <v>0.4593863716110459</v>
      </c>
      <c r="W2239">
        <v>1</v>
      </c>
      <c r="X2239">
        <v>0.4593863716110459</v>
      </c>
      <c r="Y2239">
        <v>564</v>
      </c>
      <c r="Z2239">
        <v>422.34693311930448</v>
      </c>
      <c r="AA2239">
        <v>198</v>
      </c>
      <c r="AB2239">
        <v>332</v>
      </c>
      <c r="AC2239">
        <v>536</v>
      </c>
      <c r="AD2239">
        <v>26.61</v>
      </c>
      <c r="AE2239">
        <v>542</v>
      </c>
      <c r="AF2239">
        <v>13</v>
      </c>
      <c r="AG2239">
        <v>180</v>
      </c>
      <c r="AH2239">
        <v>129</v>
      </c>
      <c r="AI2239">
        <v>2.4</v>
      </c>
      <c r="AJ2239">
        <v>33.21</v>
      </c>
      <c r="AK2239">
        <v>23.8</v>
      </c>
      <c r="AL2239">
        <v>-20.133421549999952</v>
      </c>
      <c r="AM2239">
        <v>-44.890623456009052</v>
      </c>
      <c r="AN2239">
        <v>-20.133421549999952</v>
      </c>
      <c r="AO2239">
        <v>-44.890623456009052</v>
      </c>
      <c r="AP2239">
        <v>-20.133452999999999</v>
      </c>
      <c r="AQ2239">
        <v>-44.890571999999999</v>
      </c>
      <c r="AR2239">
        <v>6.4172139275452773</v>
      </c>
      <c r="AS2239" t="s">
        <v>65</v>
      </c>
      <c r="AT2239">
        <v>1</v>
      </c>
      <c r="AU2239" t="s">
        <v>883</v>
      </c>
      <c r="AV2239" t="s">
        <v>884</v>
      </c>
      <c r="AW2239" t="s">
        <v>60</v>
      </c>
      <c r="AX2239" t="s">
        <v>68</v>
      </c>
      <c r="AY2239" t="s">
        <v>69</v>
      </c>
      <c r="AZ2239" t="b">
        <v>1</v>
      </c>
    </row>
    <row r="2240" spans="1:52" x14ac:dyDescent="0.3">
      <c r="A2240" t="s">
        <v>52</v>
      </c>
      <c r="B2240" t="s">
        <v>53</v>
      </c>
      <c r="C2240" t="s">
        <v>54</v>
      </c>
      <c r="D2240" t="s">
        <v>55</v>
      </c>
      <c r="E2240" t="s">
        <v>2149</v>
      </c>
      <c r="F2240" t="s">
        <v>1247</v>
      </c>
      <c r="G2240" t="s">
        <v>523</v>
      </c>
      <c r="H2240" t="s">
        <v>524</v>
      </c>
      <c r="I2240" t="s">
        <v>524</v>
      </c>
      <c r="J2240" t="s">
        <v>60</v>
      </c>
      <c r="K2240" t="s">
        <v>518</v>
      </c>
      <c r="L2240" t="s">
        <v>62</v>
      </c>
      <c r="M2240" t="s">
        <v>518</v>
      </c>
      <c r="N2240" t="s">
        <v>525</v>
      </c>
      <c r="O2240" t="s">
        <v>331</v>
      </c>
      <c r="P2240">
        <v>-20.126553000000001</v>
      </c>
      <c r="Q2240">
        <v>-44.888599999999997</v>
      </c>
      <c r="R2240" s="2" t="str">
        <f>HYPERLINK("https://www.google.com/maps?q=-20.1265530,-44.8886000","Abrir no Google Maps")</f>
        <v>Abrir no Google Maps</v>
      </c>
      <c r="S2240">
        <v>3</v>
      </c>
      <c r="T2240">
        <v>256.34043440603853</v>
      </c>
      <c r="U2240">
        <v>4</v>
      </c>
      <c r="V2240">
        <v>0.5018809627489802</v>
      </c>
      <c r="W2240">
        <v>1</v>
      </c>
      <c r="X2240">
        <v>0.5018809627489802</v>
      </c>
      <c r="Y2240">
        <v>564</v>
      </c>
      <c r="Z2240">
        <v>325.4404273055876</v>
      </c>
      <c r="AA2240">
        <v>198</v>
      </c>
      <c r="AB2240">
        <v>332</v>
      </c>
      <c r="AC2240">
        <v>536</v>
      </c>
      <c r="AD2240">
        <v>26.61</v>
      </c>
      <c r="AE2240">
        <v>542</v>
      </c>
      <c r="AF2240">
        <v>13</v>
      </c>
      <c r="AG2240">
        <v>180</v>
      </c>
      <c r="AH2240">
        <v>129</v>
      </c>
      <c r="AI2240">
        <v>2.4</v>
      </c>
      <c r="AJ2240">
        <v>33.21</v>
      </c>
      <c r="AK2240">
        <v>23.8</v>
      </c>
      <c r="AL2240">
        <v>-20.12669049999997</v>
      </c>
      <c r="AM2240">
        <v>-44.888671289876577</v>
      </c>
      <c r="AN2240">
        <v>-20.12669049999997</v>
      </c>
      <c r="AO2240">
        <v>-44.888671289876577</v>
      </c>
      <c r="AP2240">
        <v>-20.126553000000001</v>
      </c>
      <c r="AQ2240">
        <v>-44.888599999999997</v>
      </c>
      <c r="AR2240">
        <v>17.023861591720589</v>
      </c>
      <c r="AS2240" t="s">
        <v>65</v>
      </c>
      <c r="AT2240">
        <v>1</v>
      </c>
      <c r="AU2240" t="s">
        <v>526</v>
      </c>
      <c r="AV2240" t="s">
        <v>527</v>
      </c>
      <c r="AW2240" t="s">
        <v>60</v>
      </c>
      <c r="AX2240" t="s">
        <v>68</v>
      </c>
      <c r="AY2240" t="s">
        <v>69</v>
      </c>
      <c r="AZ2240" t="b">
        <v>1</v>
      </c>
    </row>
    <row r="2241" spans="1:52" x14ac:dyDescent="0.3">
      <c r="A2241" t="s">
        <v>52</v>
      </c>
      <c r="B2241" t="s">
        <v>53</v>
      </c>
      <c r="C2241" t="s">
        <v>54</v>
      </c>
      <c r="D2241" t="s">
        <v>55</v>
      </c>
      <c r="E2241" t="s">
        <v>2149</v>
      </c>
      <c r="F2241" t="s">
        <v>1247</v>
      </c>
      <c r="G2241" t="s">
        <v>528</v>
      </c>
      <c r="H2241" t="s">
        <v>529</v>
      </c>
      <c r="I2241" t="s">
        <v>529</v>
      </c>
      <c r="J2241" t="s">
        <v>60</v>
      </c>
      <c r="K2241" t="s">
        <v>530</v>
      </c>
      <c r="L2241" t="s">
        <v>62</v>
      </c>
      <c r="M2241" t="s">
        <v>530</v>
      </c>
      <c r="N2241" t="s">
        <v>531</v>
      </c>
      <c r="O2241" t="s">
        <v>532</v>
      </c>
      <c r="P2241">
        <v>-20.142457</v>
      </c>
      <c r="Q2241">
        <v>-44.891688000000002</v>
      </c>
      <c r="R2241" s="2" t="str">
        <f>HYPERLINK("https://www.google.com/maps?q=-20.1424570,-44.8916880","Abrir no Google Maps")</f>
        <v>Abrir no Google Maps</v>
      </c>
      <c r="S2241">
        <v>3</v>
      </c>
      <c r="T2241">
        <v>0</v>
      </c>
      <c r="U2241">
        <v>4</v>
      </c>
      <c r="V2241">
        <v>0.58333710350661983</v>
      </c>
      <c r="W2241">
        <v>1</v>
      </c>
      <c r="X2241">
        <v>0.58333710350661983</v>
      </c>
      <c r="Y2241">
        <v>557</v>
      </c>
      <c r="Z2241">
        <v>42.611952255679803</v>
      </c>
      <c r="AA2241">
        <v>198</v>
      </c>
      <c r="AB2241">
        <v>332</v>
      </c>
      <c r="AC2241">
        <v>536</v>
      </c>
      <c r="AD2241">
        <v>26.61</v>
      </c>
      <c r="AE2241">
        <v>542</v>
      </c>
      <c r="AF2241">
        <v>13</v>
      </c>
      <c r="AG2241">
        <v>180</v>
      </c>
      <c r="AH2241">
        <v>129</v>
      </c>
      <c r="AI2241">
        <v>2.4</v>
      </c>
      <c r="AJ2241">
        <v>33.21</v>
      </c>
      <c r="AK2241">
        <v>23.8</v>
      </c>
      <c r="AL2241">
        <v>-20.142523099999948</v>
      </c>
      <c r="AM2241">
        <v>-44.891523817588819</v>
      </c>
      <c r="AN2241">
        <v>-20.142523099999948</v>
      </c>
      <c r="AO2241">
        <v>-44.891523817588819</v>
      </c>
      <c r="AP2241">
        <v>-20.142457</v>
      </c>
      <c r="AQ2241">
        <v>-44.891688000000002</v>
      </c>
      <c r="AR2241">
        <v>18.670129248632971</v>
      </c>
      <c r="AS2241" t="s">
        <v>65</v>
      </c>
      <c r="AT2241">
        <v>1</v>
      </c>
      <c r="AU2241" t="s">
        <v>533</v>
      </c>
      <c r="AV2241" t="s">
        <v>534</v>
      </c>
      <c r="AW2241" t="s">
        <v>60</v>
      </c>
      <c r="AX2241" t="s">
        <v>68</v>
      </c>
      <c r="AY2241" t="s">
        <v>69</v>
      </c>
      <c r="AZ2241" t="b">
        <v>1</v>
      </c>
    </row>
    <row r="2242" spans="1:52" x14ac:dyDescent="0.3">
      <c r="A2242" t="s">
        <v>52</v>
      </c>
      <c r="B2242" t="s">
        <v>53</v>
      </c>
      <c r="C2242" t="s">
        <v>54</v>
      </c>
      <c r="D2242" t="s">
        <v>55</v>
      </c>
      <c r="E2242" t="s">
        <v>2149</v>
      </c>
      <c r="F2242" t="s">
        <v>1247</v>
      </c>
      <c r="G2242" t="s">
        <v>535</v>
      </c>
      <c r="H2242" t="s">
        <v>536</v>
      </c>
      <c r="I2242" t="s">
        <v>536</v>
      </c>
      <c r="J2242" t="s">
        <v>60</v>
      </c>
      <c r="K2242" t="s">
        <v>388</v>
      </c>
      <c r="L2242" t="s">
        <v>62</v>
      </c>
      <c r="M2242" t="s">
        <v>388</v>
      </c>
      <c r="N2242" t="s">
        <v>537</v>
      </c>
      <c r="O2242" t="s">
        <v>538</v>
      </c>
      <c r="P2242">
        <v>-20.150061999999998</v>
      </c>
      <c r="Q2242">
        <v>-44.903379000000001</v>
      </c>
      <c r="R2242" s="2" t="str">
        <f>HYPERLINK("https://www.google.com/maps?q=-20.1500620,-44.9033790","Abrir no Google Maps")</f>
        <v>Abrir no Google Maps</v>
      </c>
      <c r="S2242">
        <v>3</v>
      </c>
      <c r="T2242">
        <v>286.20313674219977</v>
      </c>
      <c r="U2242">
        <v>4</v>
      </c>
      <c r="V2242">
        <v>0.52542004273479825</v>
      </c>
      <c r="W2242">
        <v>1</v>
      </c>
      <c r="X2242">
        <v>0.52542004273479825</v>
      </c>
      <c r="Y2242">
        <v>556</v>
      </c>
      <c r="Z2242">
        <v>315.81851898667401</v>
      </c>
      <c r="AA2242">
        <v>198</v>
      </c>
      <c r="AB2242">
        <v>332</v>
      </c>
      <c r="AC2242">
        <v>536</v>
      </c>
      <c r="AD2242">
        <v>26.61</v>
      </c>
      <c r="AE2242">
        <v>542</v>
      </c>
      <c r="AF2242">
        <v>13</v>
      </c>
      <c r="AG2242">
        <v>180</v>
      </c>
      <c r="AH2242">
        <v>129</v>
      </c>
      <c r="AI2242">
        <v>2.4</v>
      </c>
      <c r="AJ2242">
        <v>33.21</v>
      </c>
      <c r="AK2242">
        <v>23.8</v>
      </c>
      <c r="AL2242">
        <v>-20.150084299999971</v>
      </c>
      <c r="AM2242">
        <v>-44.903278407568479</v>
      </c>
      <c r="AN2242">
        <v>-20.150084299999971</v>
      </c>
      <c r="AO2242">
        <v>-44.903278407568479</v>
      </c>
      <c r="AP2242">
        <v>-20.150061999999998</v>
      </c>
      <c r="AQ2242">
        <v>-44.903379000000001</v>
      </c>
      <c r="AR2242">
        <v>10.801687336134639</v>
      </c>
      <c r="AS2242" t="s">
        <v>65</v>
      </c>
      <c r="AT2242">
        <v>1</v>
      </c>
      <c r="AU2242" t="s">
        <v>539</v>
      </c>
      <c r="AV2242" t="s">
        <v>540</v>
      </c>
      <c r="AW2242" t="s">
        <v>60</v>
      </c>
      <c r="AX2242" t="s">
        <v>68</v>
      </c>
      <c r="AY2242" t="s">
        <v>69</v>
      </c>
      <c r="AZ2242" t="b">
        <v>1</v>
      </c>
    </row>
    <row r="2243" spans="1:52" x14ac:dyDescent="0.3">
      <c r="A2243" t="s">
        <v>52</v>
      </c>
      <c r="B2243" t="s">
        <v>53</v>
      </c>
      <c r="C2243" t="s">
        <v>54</v>
      </c>
      <c r="D2243" t="s">
        <v>55</v>
      </c>
      <c r="E2243" t="s">
        <v>2149</v>
      </c>
      <c r="F2243" t="s">
        <v>1247</v>
      </c>
      <c r="G2243" t="s">
        <v>398</v>
      </c>
      <c r="H2243" t="s">
        <v>541</v>
      </c>
      <c r="I2243" t="s">
        <v>541</v>
      </c>
      <c r="J2243" t="s">
        <v>60</v>
      </c>
      <c r="K2243" t="s">
        <v>388</v>
      </c>
      <c r="L2243" t="s">
        <v>62</v>
      </c>
      <c r="M2243" t="s">
        <v>388</v>
      </c>
      <c r="N2243" t="s">
        <v>400</v>
      </c>
      <c r="O2243" t="s">
        <v>542</v>
      </c>
      <c r="P2243">
        <v>-20.151335</v>
      </c>
      <c r="Q2243">
        <v>-44.901041999999997</v>
      </c>
      <c r="R2243" s="2" t="str">
        <f>HYPERLINK("https://www.google.com/maps?q=-20.1513350,-44.9010420","Abrir no Google Maps")</f>
        <v>Abrir no Google Maps</v>
      </c>
      <c r="S2243">
        <v>3</v>
      </c>
      <c r="T2243">
        <v>0</v>
      </c>
      <c r="U2243">
        <v>4</v>
      </c>
      <c r="V2243">
        <v>0.48336870546341421</v>
      </c>
      <c r="W2243">
        <v>1</v>
      </c>
      <c r="X2243">
        <v>0.48336870546341421</v>
      </c>
      <c r="Y2243">
        <v>556</v>
      </c>
      <c r="Z2243">
        <v>137.71609036908939</v>
      </c>
      <c r="AA2243">
        <v>198</v>
      </c>
      <c r="AB2243">
        <v>332</v>
      </c>
      <c r="AC2243">
        <v>536</v>
      </c>
      <c r="AD2243">
        <v>26.61</v>
      </c>
      <c r="AE2243">
        <v>542</v>
      </c>
      <c r="AF2243">
        <v>13</v>
      </c>
      <c r="AG2243">
        <v>180</v>
      </c>
      <c r="AH2243">
        <v>129</v>
      </c>
      <c r="AI2243">
        <v>2.4</v>
      </c>
      <c r="AJ2243">
        <v>33.21</v>
      </c>
      <c r="AK2243">
        <v>23.8</v>
      </c>
      <c r="AL2243">
        <v>-20.15125899999995</v>
      </c>
      <c r="AM2243">
        <v>-44.900838557594433</v>
      </c>
      <c r="AN2243">
        <v>-20.15125899999995</v>
      </c>
      <c r="AO2243">
        <v>-44.900838557594433</v>
      </c>
      <c r="AP2243">
        <v>-20.151335</v>
      </c>
      <c r="AQ2243">
        <v>-44.901041999999997</v>
      </c>
      <c r="AR2243">
        <v>22.882363139483491</v>
      </c>
      <c r="AS2243" t="s">
        <v>65</v>
      </c>
      <c r="AT2243">
        <v>1</v>
      </c>
      <c r="AU2243" t="s">
        <v>543</v>
      </c>
      <c r="AV2243" t="s">
        <v>544</v>
      </c>
      <c r="AW2243" t="s">
        <v>60</v>
      </c>
      <c r="AX2243" t="s">
        <v>68</v>
      </c>
      <c r="AY2243" t="s">
        <v>69</v>
      </c>
      <c r="AZ2243" t="b">
        <v>1</v>
      </c>
    </row>
    <row r="2244" spans="1:52" x14ac:dyDescent="0.3">
      <c r="A2244" t="s">
        <v>52</v>
      </c>
      <c r="B2244" t="s">
        <v>53</v>
      </c>
      <c r="C2244" t="s">
        <v>54</v>
      </c>
      <c r="D2244" t="s">
        <v>55</v>
      </c>
      <c r="E2244" t="s">
        <v>2149</v>
      </c>
      <c r="F2244" t="s">
        <v>1247</v>
      </c>
      <c r="G2244" t="s">
        <v>545</v>
      </c>
      <c r="H2244" t="s">
        <v>546</v>
      </c>
      <c r="I2244" t="s">
        <v>546</v>
      </c>
      <c r="J2244" t="s">
        <v>60</v>
      </c>
      <c r="K2244" t="s">
        <v>388</v>
      </c>
      <c r="L2244" t="s">
        <v>62</v>
      </c>
      <c r="M2244" t="s">
        <v>388</v>
      </c>
      <c r="N2244" t="s">
        <v>547</v>
      </c>
      <c r="O2244" t="s">
        <v>548</v>
      </c>
      <c r="P2244">
        <v>-20.155839</v>
      </c>
      <c r="Q2244">
        <v>-44.905655000000003</v>
      </c>
      <c r="R2244" s="2" t="str">
        <f>HYPERLINK("https://www.google.com/maps?q=-20.1558390,-44.9056550","Abrir no Google Maps")</f>
        <v>Abrir no Google Maps</v>
      </c>
      <c r="S2244">
        <v>3</v>
      </c>
      <c r="T2244">
        <v>309.7643089121122</v>
      </c>
      <c r="U2244">
        <v>4</v>
      </c>
      <c r="V2244">
        <v>0.50792096513726614</v>
      </c>
      <c r="W2244">
        <v>1</v>
      </c>
      <c r="X2244">
        <v>0.50792096513726614</v>
      </c>
      <c r="Y2244">
        <v>548</v>
      </c>
      <c r="Z2244">
        <v>284.24281731793161</v>
      </c>
      <c r="AA2244">
        <v>198</v>
      </c>
      <c r="AB2244">
        <v>332</v>
      </c>
      <c r="AC2244">
        <v>536</v>
      </c>
      <c r="AD2244">
        <v>26.61</v>
      </c>
      <c r="AE2244">
        <v>542</v>
      </c>
      <c r="AF2244">
        <v>13</v>
      </c>
      <c r="AG2244">
        <v>180</v>
      </c>
      <c r="AH2244">
        <v>129</v>
      </c>
      <c r="AI2244">
        <v>2.4</v>
      </c>
      <c r="AJ2244">
        <v>33.21</v>
      </c>
      <c r="AK2244">
        <v>23.8</v>
      </c>
      <c r="AL2244">
        <v>-20.155913549999951</v>
      </c>
      <c r="AM2244">
        <v>-44.905554508392683</v>
      </c>
      <c r="AN2244">
        <v>-20.155913549999951</v>
      </c>
      <c r="AO2244">
        <v>-44.905554508392669</v>
      </c>
      <c r="AP2244">
        <v>-20.155839</v>
      </c>
      <c r="AQ2244">
        <v>-44.905655000000003</v>
      </c>
      <c r="AR2244">
        <v>13.384922093797449</v>
      </c>
      <c r="AS2244" t="s">
        <v>65</v>
      </c>
      <c r="AT2244">
        <v>1</v>
      </c>
      <c r="AU2244" t="s">
        <v>549</v>
      </c>
      <c r="AV2244" t="s">
        <v>550</v>
      </c>
      <c r="AW2244" t="s">
        <v>60</v>
      </c>
      <c r="AX2244" t="s">
        <v>68</v>
      </c>
      <c r="AY2244" t="s">
        <v>69</v>
      </c>
      <c r="AZ2244" t="b">
        <v>1</v>
      </c>
    </row>
    <row r="2245" spans="1:52" x14ac:dyDescent="0.3">
      <c r="A2245" t="s">
        <v>52</v>
      </c>
      <c r="B2245" t="s">
        <v>53</v>
      </c>
      <c r="C2245" t="s">
        <v>54</v>
      </c>
      <c r="D2245" t="s">
        <v>55</v>
      </c>
      <c r="E2245" t="s">
        <v>2149</v>
      </c>
      <c r="F2245" t="s">
        <v>1247</v>
      </c>
      <c r="G2245" t="s">
        <v>551</v>
      </c>
      <c r="H2245" t="s">
        <v>552</v>
      </c>
      <c r="I2245" t="s">
        <v>552</v>
      </c>
      <c r="J2245" t="s">
        <v>60</v>
      </c>
      <c r="K2245" t="s">
        <v>388</v>
      </c>
      <c r="L2245" t="s">
        <v>62</v>
      </c>
      <c r="M2245" t="s">
        <v>388</v>
      </c>
      <c r="N2245" t="s">
        <v>553</v>
      </c>
      <c r="O2245" t="s">
        <v>315</v>
      </c>
      <c r="P2245">
        <v>-20.153086999999999</v>
      </c>
      <c r="Q2245">
        <v>-44.905451999999997</v>
      </c>
      <c r="R2245" s="2" t="str">
        <f>HYPERLINK("https://www.google.com/maps?q=-20.1530870,-44.9054520","Abrir no Google Maps")</f>
        <v>Abrir no Google Maps</v>
      </c>
      <c r="S2245">
        <v>3</v>
      </c>
      <c r="T2245">
        <v>313.69387682409018</v>
      </c>
      <c r="U2245">
        <v>4</v>
      </c>
      <c r="V2245">
        <v>0.48902806078616129</v>
      </c>
      <c r="W2245">
        <v>1</v>
      </c>
      <c r="X2245">
        <v>0.48902806078616129</v>
      </c>
      <c r="Y2245">
        <v>548</v>
      </c>
      <c r="Z2245">
        <v>319.51605309906859</v>
      </c>
      <c r="AA2245">
        <v>198</v>
      </c>
      <c r="AB2245">
        <v>332</v>
      </c>
      <c r="AC2245">
        <v>536</v>
      </c>
      <c r="AD2245">
        <v>26.61</v>
      </c>
      <c r="AE2245">
        <v>542</v>
      </c>
      <c r="AF2245">
        <v>13</v>
      </c>
      <c r="AG2245">
        <v>180</v>
      </c>
      <c r="AH2245">
        <v>129</v>
      </c>
      <c r="AI2245">
        <v>2.4</v>
      </c>
      <c r="AJ2245">
        <v>33.21</v>
      </c>
      <c r="AK2245">
        <v>23.8</v>
      </c>
      <c r="AL2245">
        <v>-20.153043049999951</v>
      </c>
      <c r="AM2245">
        <v>-44.905348275899513</v>
      </c>
      <c r="AN2245">
        <v>-20.153043049999951</v>
      </c>
      <c r="AO2245">
        <v>-44.905348275899513</v>
      </c>
      <c r="AP2245">
        <v>-20.153086999999999</v>
      </c>
      <c r="AQ2245">
        <v>-44.905451999999997</v>
      </c>
      <c r="AR2245">
        <v>11.892619975648341</v>
      </c>
      <c r="AS2245" t="s">
        <v>65</v>
      </c>
      <c r="AT2245">
        <v>1</v>
      </c>
      <c r="AU2245" t="s">
        <v>554</v>
      </c>
      <c r="AV2245" t="s">
        <v>555</v>
      </c>
      <c r="AW2245" t="s">
        <v>60</v>
      </c>
      <c r="AX2245" t="s">
        <v>68</v>
      </c>
      <c r="AY2245" t="s">
        <v>69</v>
      </c>
      <c r="AZ2245" t="b">
        <v>1</v>
      </c>
    </row>
    <row r="2246" spans="1:52" x14ac:dyDescent="0.3">
      <c r="A2246" t="s">
        <v>52</v>
      </c>
      <c r="B2246" t="s">
        <v>53</v>
      </c>
      <c r="C2246" t="s">
        <v>54</v>
      </c>
      <c r="D2246" t="s">
        <v>55</v>
      </c>
      <c r="E2246" t="s">
        <v>2149</v>
      </c>
      <c r="F2246" t="s">
        <v>1247</v>
      </c>
      <c r="G2246" t="s">
        <v>556</v>
      </c>
      <c r="H2246" t="s">
        <v>557</v>
      </c>
      <c r="I2246" t="s">
        <v>557</v>
      </c>
      <c r="J2246" t="s">
        <v>60</v>
      </c>
      <c r="K2246" t="s">
        <v>388</v>
      </c>
      <c r="L2246" t="s">
        <v>62</v>
      </c>
      <c r="M2246" t="s">
        <v>388</v>
      </c>
      <c r="N2246" t="s">
        <v>558</v>
      </c>
      <c r="O2246" t="s">
        <v>559</v>
      </c>
      <c r="P2246">
        <v>-20.152670000000001</v>
      </c>
      <c r="Q2246">
        <v>-44.902557999999999</v>
      </c>
      <c r="R2246" s="2" t="str">
        <f>HYPERLINK("https://www.google.com/maps?q=-20.1526700,-44.9025580","Abrir no Google Maps")</f>
        <v>Abrir no Google Maps</v>
      </c>
      <c r="S2246">
        <v>3</v>
      </c>
      <c r="T2246">
        <v>228.56195217678911</v>
      </c>
      <c r="U2246">
        <v>4</v>
      </c>
      <c r="V2246">
        <v>0.51111989292758531</v>
      </c>
      <c r="W2246">
        <v>1</v>
      </c>
      <c r="X2246">
        <v>0.51111989292758531</v>
      </c>
      <c r="Y2246">
        <v>548</v>
      </c>
      <c r="Z2246">
        <v>250.63133895224919</v>
      </c>
      <c r="AA2246">
        <v>198</v>
      </c>
      <c r="AB2246">
        <v>332</v>
      </c>
      <c r="AC2246">
        <v>536</v>
      </c>
      <c r="AD2246">
        <v>26.61</v>
      </c>
      <c r="AE2246">
        <v>542</v>
      </c>
      <c r="AF2246">
        <v>13</v>
      </c>
      <c r="AG2246">
        <v>180</v>
      </c>
      <c r="AH2246">
        <v>129</v>
      </c>
      <c r="AI2246">
        <v>2.4</v>
      </c>
      <c r="AJ2246">
        <v>33.21</v>
      </c>
      <c r="AK2246">
        <v>23.8</v>
      </c>
      <c r="AL2246">
        <v>-20.152629799999939</v>
      </c>
      <c r="AM2246">
        <v>-44.902604744705201</v>
      </c>
      <c r="AN2246">
        <v>-20.152629799999939</v>
      </c>
      <c r="AO2246">
        <v>-44.902604744705201</v>
      </c>
      <c r="AP2246">
        <v>-20.152670000000001</v>
      </c>
      <c r="AQ2246">
        <v>-44.902557999999999</v>
      </c>
      <c r="AR2246">
        <v>6.6249428037111509</v>
      </c>
      <c r="AS2246" t="s">
        <v>65</v>
      </c>
      <c r="AT2246">
        <v>1</v>
      </c>
      <c r="AU2246" t="s">
        <v>560</v>
      </c>
      <c r="AV2246" t="s">
        <v>561</v>
      </c>
      <c r="AW2246" t="s">
        <v>60</v>
      </c>
      <c r="AX2246" t="s">
        <v>68</v>
      </c>
      <c r="AY2246" t="s">
        <v>69</v>
      </c>
      <c r="AZ2246" t="b">
        <v>1</v>
      </c>
    </row>
    <row r="2247" spans="1:52" x14ac:dyDescent="0.3">
      <c r="A2247" t="s">
        <v>52</v>
      </c>
      <c r="B2247" t="s">
        <v>53</v>
      </c>
      <c r="C2247" t="s">
        <v>54</v>
      </c>
      <c r="D2247" t="s">
        <v>55</v>
      </c>
      <c r="E2247" t="s">
        <v>2149</v>
      </c>
      <c r="F2247" t="s">
        <v>1247</v>
      </c>
      <c r="G2247" t="s">
        <v>562</v>
      </c>
      <c r="H2247" t="s">
        <v>563</v>
      </c>
      <c r="I2247" t="s">
        <v>563</v>
      </c>
      <c r="J2247" t="s">
        <v>60</v>
      </c>
      <c r="K2247" t="s">
        <v>388</v>
      </c>
      <c r="L2247" t="s">
        <v>62</v>
      </c>
      <c r="M2247" t="s">
        <v>388</v>
      </c>
      <c r="N2247" t="s">
        <v>564</v>
      </c>
      <c r="O2247" t="s">
        <v>565</v>
      </c>
      <c r="P2247">
        <v>-20.154432</v>
      </c>
      <c r="Q2247">
        <v>-44.902977999999997</v>
      </c>
      <c r="R2247" s="2" t="str">
        <f>HYPERLINK("https://www.google.com/maps?q=-20.1544320,-44.9029780","Abrir no Google Maps")</f>
        <v>Abrir no Google Maps</v>
      </c>
      <c r="S2247">
        <v>3</v>
      </c>
      <c r="T2247">
        <v>0</v>
      </c>
      <c r="U2247">
        <v>4</v>
      </c>
      <c r="V2247">
        <v>0.51824478277439823</v>
      </c>
      <c r="W2247">
        <v>1</v>
      </c>
      <c r="X2247">
        <v>0.51824478277439823</v>
      </c>
      <c r="Y2247">
        <v>548</v>
      </c>
      <c r="Z2247">
        <v>29.424211042533759</v>
      </c>
      <c r="AA2247">
        <v>198</v>
      </c>
      <c r="AB2247">
        <v>332</v>
      </c>
      <c r="AC2247">
        <v>536</v>
      </c>
      <c r="AD2247">
        <v>26.61</v>
      </c>
      <c r="AE2247">
        <v>542</v>
      </c>
      <c r="AF2247">
        <v>13</v>
      </c>
      <c r="AG2247">
        <v>180</v>
      </c>
      <c r="AH2247">
        <v>129</v>
      </c>
      <c r="AI2247">
        <v>2.4</v>
      </c>
      <c r="AJ2247">
        <v>33.21</v>
      </c>
      <c r="AK2247">
        <v>23.8</v>
      </c>
      <c r="AL2247">
        <v>-20.15467689999997</v>
      </c>
      <c r="AM2247">
        <v>-44.902895281771222</v>
      </c>
      <c r="AN2247">
        <v>-20.15467689999997</v>
      </c>
      <c r="AO2247">
        <v>-44.902895281771222</v>
      </c>
      <c r="AP2247">
        <v>-20.154432</v>
      </c>
      <c r="AQ2247">
        <v>-44.902977999999997</v>
      </c>
      <c r="AR2247">
        <v>28.5999270636025</v>
      </c>
      <c r="AS2247" t="s">
        <v>65</v>
      </c>
      <c r="AT2247">
        <v>1</v>
      </c>
      <c r="AU2247" t="s">
        <v>566</v>
      </c>
      <c r="AV2247" t="s">
        <v>567</v>
      </c>
      <c r="AW2247" t="s">
        <v>60</v>
      </c>
      <c r="AX2247" t="s">
        <v>68</v>
      </c>
      <c r="AY2247" t="s">
        <v>69</v>
      </c>
      <c r="AZ2247" t="b">
        <v>1</v>
      </c>
    </row>
    <row r="2248" spans="1:52" x14ac:dyDescent="0.3">
      <c r="A2248" t="s">
        <v>52</v>
      </c>
      <c r="B2248" t="s">
        <v>53</v>
      </c>
      <c r="C2248" t="s">
        <v>54</v>
      </c>
      <c r="D2248" t="s">
        <v>55</v>
      </c>
      <c r="E2248" t="s">
        <v>2149</v>
      </c>
      <c r="F2248" t="s">
        <v>1247</v>
      </c>
      <c r="G2248" t="s">
        <v>568</v>
      </c>
      <c r="H2248" t="s">
        <v>569</v>
      </c>
      <c r="I2248" t="s">
        <v>569</v>
      </c>
      <c r="J2248" t="s">
        <v>60</v>
      </c>
      <c r="K2248" t="s">
        <v>61</v>
      </c>
      <c r="L2248" t="s">
        <v>62</v>
      </c>
      <c r="M2248" t="s">
        <v>61</v>
      </c>
      <c r="N2248" t="s">
        <v>570</v>
      </c>
      <c r="O2248" t="s">
        <v>548</v>
      </c>
      <c r="P2248">
        <v>-20.151508</v>
      </c>
      <c r="Q2248">
        <v>-44.907826</v>
      </c>
      <c r="R2248" s="2" t="str">
        <f>HYPERLINK("https://www.google.com/maps?q=-20.1515080,-44.9078260","Abrir no Google Maps")</f>
        <v>Abrir no Google Maps</v>
      </c>
      <c r="S2248">
        <v>3</v>
      </c>
      <c r="T2248">
        <v>567.15905416240514</v>
      </c>
      <c r="U2248">
        <v>4</v>
      </c>
      <c r="V2248">
        <v>0.6277828106479435</v>
      </c>
      <c r="W2248">
        <v>0.85</v>
      </c>
      <c r="X2248">
        <v>0.53361538905075201</v>
      </c>
      <c r="Y2248">
        <v>548</v>
      </c>
      <c r="Z2248">
        <v>560.49158010771464</v>
      </c>
      <c r="AA2248">
        <v>198</v>
      </c>
      <c r="AB2248">
        <v>332</v>
      </c>
      <c r="AC2248">
        <v>536</v>
      </c>
      <c r="AD2248">
        <v>26.61</v>
      </c>
      <c r="AE2248">
        <v>542</v>
      </c>
      <c r="AF2248">
        <v>13</v>
      </c>
      <c r="AG2248">
        <v>180</v>
      </c>
      <c r="AH2248">
        <v>129</v>
      </c>
      <c r="AI2248">
        <v>2.4</v>
      </c>
      <c r="AJ2248">
        <v>33.21</v>
      </c>
      <c r="AK2248">
        <v>23.8</v>
      </c>
      <c r="AL2248">
        <v>-20.15211779999996</v>
      </c>
      <c r="AM2248">
        <v>-44.907597469593128</v>
      </c>
      <c r="AN2248">
        <v>-20.15211779999996</v>
      </c>
      <c r="AO2248">
        <v>-44.907597469593128</v>
      </c>
      <c r="AP2248">
        <v>-20.151508</v>
      </c>
      <c r="AQ2248">
        <v>-44.907826</v>
      </c>
      <c r="AR2248">
        <v>71.961597929314735</v>
      </c>
      <c r="AS2248" t="s">
        <v>65</v>
      </c>
      <c r="AT2248">
        <v>1</v>
      </c>
      <c r="AU2248" t="s">
        <v>571</v>
      </c>
      <c r="AV2248" t="s">
        <v>572</v>
      </c>
      <c r="AW2248" t="s">
        <v>60</v>
      </c>
      <c r="AX2248" t="s">
        <v>68</v>
      </c>
      <c r="AY2248" t="s">
        <v>69</v>
      </c>
      <c r="AZ2248" t="b">
        <v>1</v>
      </c>
    </row>
    <row r="2249" spans="1:52" x14ac:dyDescent="0.3">
      <c r="A2249" t="s">
        <v>52</v>
      </c>
      <c r="B2249" t="s">
        <v>53</v>
      </c>
      <c r="C2249" t="s">
        <v>54</v>
      </c>
      <c r="D2249" t="s">
        <v>55</v>
      </c>
      <c r="E2249" t="s">
        <v>2149</v>
      </c>
      <c r="F2249" t="s">
        <v>1247</v>
      </c>
      <c r="G2249" t="s">
        <v>833</v>
      </c>
      <c r="H2249" t="s">
        <v>834</v>
      </c>
      <c r="I2249" t="s">
        <v>834</v>
      </c>
      <c r="J2249" t="s">
        <v>60</v>
      </c>
      <c r="K2249" t="s">
        <v>388</v>
      </c>
      <c r="L2249" t="s">
        <v>62</v>
      </c>
      <c r="M2249" t="s">
        <v>388</v>
      </c>
      <c r="N2249" t="s">
        <v>835</v>
      </c>
      <c r="O2249" t="s">
        <v>836</v>
      </c>
      <c r="P2249">
        <v>-20.157906000000001</v>
      </c>
      <c r="Q2249">
        <v>-44.900458999999998</v>
      </c>
      <c r="R2249" s="2" t="str">
        <f>HYPERLINK("https://www.google.com/maps?q=-20.1579060,-44.9004590","Abrir no Google Maps")</f>
        <v>Abrir no Google Maps</v>
      </c>
      <c r="S2249">
        <v>3</v>
      </c>
      <c r="T2249">
        <v>0</v>
      </c>
      <c r="U2249">
        <v>3</v>
      </c>
      <c r="V2249">
        <v>0.4492346736300144</v>
      </c>
      <c r="W2249">
        <v>1</v>
      </c>
      <c r="X2249">
        <v>0.4492346736300144</v>
      </c>
      <c r="Y2249">
        <v>729</v>
      </c>
      <c r="Z2249">
        <v>203.63168486652771</v>
      </c>
      <c r="AA2249">
        <v>198</v>
      </c>
      <c r="AB2249">
        <v>332</v>
      </c>
      <c r="AC2249">
        <v>536</v>
      </c>
      <c r="AD2249">
        <v>26.61</v>
      </c>
      <c r="AE2249">
        <v>542</v>
      </c>
      <c r="AF2249">
        <v>13</v>
      </c>
      <c r="AG2249">
        <v>180</v>
      </c>
      <c r="AH2249">
        <v>129</v>
      </c>
      <c r="AI2249">
        <v>2.4</v>
      </c>
      <c r="AJ2249">
        <v>33.21</v>
      </c>
      <c r="AK2249">
        <v>23.8</v>
      </c>
      <c r="AL2249">
        <v>-20.157925749999951</v>
      </c>
      <c r="AM2249">
        <v>-44.900484707799812</v>
      </c>
      <c r="AN2249">
        <v>-20.157925749999951</v>
      </c>
      <c r="AO2249">
        <v>-44.900484707799812</v>
      </c>
      <c r="AP2249">
        <v>-20.157906000000001</v>
      </c>
      <c r="AQ2249">
        <v>-44.900458999999998</v>
      </c>
      <c r="AR2249">
        <v>3.4714515960382508</v>
      </c>
      <c r="AS2249" t="s">
        <v>65</v>
      </c>
      <c r="AT2249">
        <v>1</v>
      </c>
      <c r="AU2249" t="s">
        <v>837</v>
      </c>
      <c r="AV2249" t="s">
        <v>838</v>
      </c>
      <c r="AW2249" t="s">
        <v>60</v>
      </c>
      <c r="AX2249" t="s">
        <v>68</v>
      </c>
      <c r="AY2249" t="s">
        <v>69</v>
      </c>
      <c r="AZ2249" t="b">
        <v>1</v>
      </c>
    </row>
    <row r="2250" spans="1:52" x14ac:dyDescent="0.3">
      <c r="A2250" t="s">
        <v>52</v>
      </c>
      <c r="B2250" t="s">
        <v>53</v>
      </c>
      <c r="C2250" t="s">
        <v>54</v>
      </c>
      <c r="D2250" t="s">
        <v>55</v>
      </c>
      <c r="E2250" t="s">
        <v>2149</v>
      </c>
      <c r="F2250" t="s">
        <v>1247</v>
      </c>
      <c r="G2250" t="s">
        <v>1307</v>
      </c>
      <c r="H2250" t="s">
        <v>1308</v>
      </c>
      <c r="I2250" t="s">
        <v>1308</v>
      </c>
      <c r="J2250" t="s">
        <v>60</v>
      </c>
      <c r="K2250" t="s">
        <v>1302</v>
      </c>
      <c r="L2250" t="s">
        <v>62</v>
      </c>
      <c r="M2250" t="s">
        <v>1302</v>
      </c>
      <c r="N2250" t="s">
        <v>558</v>
      </c>
      <c r="O2250" t="s">
        <v>1309</v>
      </c>
      <c r="P2250">
        <v>-20.169051</v>
      </c>
      <c r="Q2250">
        <v>-44.910093000000003</v>
      </c>
      <c r="R2250" s="2" t="str">
        <f>HYPERLINK("https://www.google.com/maps?q=-20.1690510,-44.9100930","Abrir no Google Maps")</f>
        <v>Abrir no Google Maps</v>
      </c>
      <c r="S2250">
        <v>3</v>
      </c>
      <c r="T2250">
        <v>375.90504489887479</v>
      </c>
      <c r="U2250">
        <v>3</v>
      </c>
      <c r="V2250">
        <v>0.52750764800416861</v>
      </c>
      <c r="W2250">
        <v>0.85</v>
      </c>
      <c r="X2250">
        <v>0.44838150080354328</v>
      </c>
      <c r="Y2250">
        <v>723</v>
      </c>
      <c r="Z2250">
        <v>456.19893675176831</v>
      </c>
      <c r="AA2250">
        <v>198</v>
      </c>
      <c r="AB2250">
        <v>332</v>
      </c>
      <c r="AC2250">
        <v>536</v>
      </c>
      <c r="AD2250">
        <v>26.61</v>
      </c>
      <c r="AE2250">
        <v>542</v>
      </c>
      <c r="AF2250">
        <v>13</v>
      </c>
      <c r="AG2250">
        <v>180</v>
      </c>
      <c r="AH2250">
        <v>129</v>
      </c>
      <c r="AI2250">
        <v>2.4</v>
      </c>
      <c r="AJ2250">
        <v>33.21</v>
      </c>
      <c r="AK2250">
        <v>23.8</v>
      </c>
      <c r="AL2250">
        <v>-20.168810949999941</v>
      </c>
      <c r="AM2250">
        <v>-44.910156475447927</v>
      </c>
      <c r="AN2250">
        <v>-20.168810949999941</v>
      </c>
      <c r="AO2250">
        <v>-44.910156475447927</v>
      </c>
      <c r="AP2250">
        <v>-20.169051</v>
      </c>
      <c r="AQ2250">
        <v>-44.910093000000003</v>
      </c>
      <c r="AR2250">
        <v>27.533232396417059</v>
      </c>
      <c r="AS2250" t="s">
        <v>65</v>
      </c>
      <c r="AT2250">
        <v>1</v>
      </c>
      <c r="AU2250" t="s">
        <v>1310</v>
      </c>
      <c r="AV2250" t="s">
        <v>1311</v>
      </c>
      <c r="AW2250" t="s">
        <v>60</v>
      </c>
      <c r="AX2250" t="s">
        <v>68</v>
      </c>
      <c r="AY2250" t="s">
        <v>69</v>
      </c>
      <c r="AZ2250" t="b">
        <v>1</v>
      </c>
    </row>
    <row r="2251" spans="1:52" x14ac:dyDescent="0.3">
      <c r="A2251" t="s">
        <v>52</v>
      </c>
      <c r="B2251" t="s">
        <v>53</v>
      </c>
      <c r="C2251" t="s">
        <v>54</v>
      </c>
      <c r="D2251" t="s">
        <v>55</v>
      </c>
      <c r="E2251" t="s">
        <v>2149</v>
      </c>
      <c r="F2251" t="s">
        <v>1247</v>
      </c>
      <c r="G2251" t="s">
        <v>845</v>
      </c>
      <c r="H2251" t="s">
        <v>846</v>
      </c>
      <c r="I2251" t="s">
        <v>846</v>
      </c>
      <c r="J2251" t="s">
        <v>60</v>
      </c>
      <c r="K2251" t="s">
        <v>424</v>
      </c>
      <c r="L2251" t="s">
        <v>62</v>
      </c>
      <c r="M2251" t="s">
        <v>424</v>
      </c>
      <c r="N2251" t="s">
        <v>847</v>
      </c>
      <c r="O2251" t="s">
        <v>848</v>
      </c>
      <c r="P2251">
        <v>-20.175523999999999</v>
      </c>
      <c r="Q2251">
        <v>-44.918016999999999</v>
      </c>
      <c r="R2251" s="2" t="str">
        <f>HYPERLINK("https://www.google.com/maps?q=-20.1755240,-44.9180170","Abrir no Google Maps")</f>
        <v>Abrir no Google Maps</v>
      </c>
      <c r="S2251">
        <v>3</v>
      </c>
      <c r="T2251">
        <v>833.59191671824021</v>
      </c>
      <c r="U2251">
        <v>3</v>
      </c>
      <c r="V2251">
        <v>0.52178845868101065</v>
      </c>
      <c r="W2251">
        <v>0.85</v>
      </c>
      <c r="X2251">
        <v>0.44352018987885911</v>
      </c>
      <c r="Y2251">
        <v>723</v>
      </c>
      <c r="Z2251">
        <v>701.05790658871581</v>
      </c>
      <c r="AA2251">
        <v>198</v>
      </c>
      <c r="AB2251">
        <v>332</v>
      </c>
      <c r="AC2251">
        <v>536</v>
      </c>
      <c r="AD2251">
        <v>26.61</v>
      </c>
      <c r="AE2251">
        <v>542</v>
      </c>
      <c r="AF2251">
        <v>13</v>
      </c>
      <c r="AG2251">
        <v>180</v>
      </c>
      <c r="AH2251">
        <v>129</v>
      </c>
      <c r="AI2251">
        <v>2.4</v>
      </c>
      <c r="AJ2251">
        <v>33.21</v>
      </c>
      <c r="AK2251">
        <v>23.8</v>
      </c>
      <c r="AL2251">
        <v>-20.17533859999995</v>
      </c>
      <c r="AM2251">
        <v>-44.917689627873088</v>
      </c>
      <c r="AN2251">
        <v>-20.17533859999995</v>
      </c>
      <c r="AO2251">
        <v>-44.917689627873088</v>
      </c>
      <c r="AP2251">
        <v>-20.175523999999999</v>
      </c>
      <c r="AQ2251">
        <v>-44.918016999999999</v>
      </c>
      <c r="AR2251">
        <v>39.950898228213873</v>
      </c>
      <c r="AS2251" t="s">
        <v>65</v>
      </c>
      <c r="AT2251">
        <v>1</v>
      </c>
      <c r="AU2251" t="s">
        <v>849</v>
      </c>
      <c r="AV2251" t="s">
        <v>850</v>
      </c>
      <c r="AW2251" t="s">
        <v>60</v>
      </c>
      <c r="AX2251" t="s">
        <v>68</v>
      </c>
      <c r="AY2251" t="s">
        <v>69</v>
      </c>
      <c r="AZ2251" t="b">
        <v>1</v>
      </c>
    </row>
    <row r="2252" spans="1:52" x14ac:dyDescent="0.3">
      <c r="A2252" t="s">
        <v>52</v>
      </c>
      <c r="B2252" t="s">
        <v>53</v>
      </c>
      <c r="C2252" t="s">
        <v>54</v>
      </c>
      <c r="D2252" t="s">
        <v>55</v>
      </c>
      <c r="E2252" t="s">
        <v>2149</v>
      </c>
      <c r="F2252" t="s">
        <v>1247</v>
      </c>
      <c r="G2252" t="s">
        <v>1328</v>
      </c>
      <c r="H2252" t="s">
        <v>1329</v>
      </c>
      <c r="I2252" t="s">
        <v>1329</v>
      </c>
      <c r="J2252" t="s">
        <v>60</v>
      </c>
      <c r="K2252" t="s">
        <v>1324</v>
      </c>
      <c r="L2252" t="s">
        <v>62</v>
      </c>
      <c r="M2252" t="s">
        <v>1324</v>
      </c>
      <c r="N2252" t="s">
        <v>1330</v>
      </c>
      <c r="O2252" t="s">
        <v>1331</v>
      </c>
      <c r="P2252">
        <v>-20.172984</v>
      </c>
      <c r="Q2252">
        <v>-44.915225999999997</v>
      </c>
      <c r="R2252" s="2" t="str">
        <f>HYPERLINK("https://www.google.com/maps?q=-20.1729840,-44.9152260","Abrir no Google Maps")</f>
        <v>Abrir no Google Maps</v>
      </c>
      <c r="S2252">
        <v>3</v>
      </c>
      <c r="T2252">
        <v>498.21203543103741</v>
      </c>
      <c r="U2252">
        <v>3</v>
      </c>
      <c r="V2252">
        <v>0.49198792652099599</v>
      </c>
      <c r="W2252">
        <v>0.85</v>
      </c>
      <c r="X2252">
        <v>0.41818973754284661</v>
      </c>
      <c r="Y2252">
        <v>723</v>
      </c>
      <c r="Z2252">
        <v>297.36167326949931</v>
      </c>
      <c r="AA2252">
        <v>198</v>
      </c>
      <c r="AB2252">
        <v>332</v>
      </c>
      <c r="AC2252">
        <v>536</v>
      </c>
      <c r="AD2252">
        <v>26.61</v>
      </c>
      <c r="AE2252">
        <v>542</v>
      </c>
      <c r="AF2252">
        <v>13</v>
      </c>
      <c r="AG2252">
        <v>180</v>
      </c>
      <c r="AH2252">
        <v>129</v>
      </c>
      <c r="AI2252">
        <v>2.4</v>
      </c>
      <c r="AJ2252">
        <v>33.21</v>
      </c>
      <c r="AK2252">
        <v>23.8</v>
      </c>
      <c r="AL2252">
        <v>-20.172838899999959</v>
      </c>
      <c r="AM2252">
        <v>-44.915158011603552</v>
      </c>
      <c r="AN2252">
        <v>-20.172838899999959</v>
      </c>
      <c r="AO2252">
        <v>-44.915158011603552</v>
      </c>
      <c r="AP2252">
        <v>-20.172984</v>
      </c>
      <c r="AQ2252">
        <v>-44.915225999999997</v>
      </c>
      <c r="AR2252">
        <v>17.645788305942119</v>
      </c>
      <c r="AS2252" t="s">
        <v>65</v>
      </c>
      <c r="AT2252">
        <v>1</v>
      </c>
      <c r="AU2252" t="s">
        <v>1332</v>
      </c>
      <c r="AV2252" t="s">
        <v>1327</v>
      </c>
      <c r="AW2252" t="s">
        <v>60</v>
      </c>
      <c r="AX2252" t="s">
        <v>68</v>
      </c>
      <c r="AY2252" t="s">
        <v>69</v>
      </c>
      <c r="AZ2252" t="b">
        <v>1</v>
      </c>
    </row>
    <row r="2253" spans="1:52" x14ac:dyDescent="0.3">
      <c r="A2253" t="s">
        <v>52</v>
      </c>
      <c r="B2253" t="s">
        <v>53</v>
      </c>
      <c r="C2253" t="s">
        <v>54</v>
      </c>
      <c r="D2253" t="s">
        <v>55</v>
      </c>
      <c r="E2253" t="s">
        <v>2149</v>
      </c>
      <c r="F2253" t="s">
        <v>1247</v>
      </c>
      <c r="G2253" t="s">
        <v>479</v>
      </c>
      <c r="H2253" t="s">
        <v>1338</v>
      </c>
      <c r="I2253" t="s">
        <v>1338</v>
      </c>
      <c r="J2253" t="s">
        <v>60</v>
      </c>
      <c r="K2253" t="s">
        <v>1302</v>
      </c>
      <c r="L2253" t="s">
        <v>62</v>
      </c>
      <c r="M2253" t="s">
        <v>1302</v>
      </c>
      <c r="N2253" t="s">
        <v>481</v>
      </c>
      <c r="O2253" t="s">
        <v>1339</v>
      </c>
      <c r="P2253">
        <v>-20.165590000000002</v>
      </c>
      <c r="Q2253">
        <v>-44.907876000000002</v>
      </c>
      <c r="R2253" s="2" t="str">
        <f>HYPERLINK("https://www.google.com/maps?q=-20.1655900,-44.9078760","Abrir no Google Maps")</f>
        <v>Abrir no Google Maps</v>
      </c>
      <c r="S2253">
        <v>3</v>
      </c>
      <c r="T2253">
        <v>626.07643944893005</v>
      </c>
      <c r="U2253">
        <v>3</v>
      </c>
      <c r="V2253">
        <v>0.49531253983354628</v>
      </c>
      <c r="W2253">
        <v>0.85</v>
      </c>
      <c r="X2253">
        <v>0.42101565885851427</v>
      </c>
      <c r="Y2253">
        <v>639</v>
      </c>
      <c r="Z2253">
        <v>723.2656461789519</v>
      </c>
      <c r="AA2253">
        <v>198</v>
      </c>
      <c r="AB2253">
        <v>332</v>
      </c>
      <c r="AC2253">
        <v>536</v>
      </c>
      <c r="AD2253">
        <v>26.61</v>
      </c>
      <c r="AE2253">
        <v>542</v>
      </c>
      <c r="AF2253">
        <v>13</v>
      </c>
      <c r="AG2253">
        <v>180</v>
      </c>
      <c r="AH2253">
        <v>129</v>
      </c>
      <c r="AI2253">
        <v>2.4</v>
      </c>
      <c r="AJ2253">
        <v>33.21</v>
      </c>
      <c r="AK2253">
        <v>23.8</v>
      </c>
      <c r="AL2253">
        <v>-20.16561419999994</v>
      </c>
      <c r="AM2253">
        <v>-44.907783360572083</v>
      </c>
      <c r="AN2253">
        <v>-20.16561419999994</v>
      </c>
      <c r="AO2253">
        <v>-44.907783360572083</v>
      </c>
      <c r="AP2253">
        <v>-20.165590000000002</v>
      </c>
      <c r="AQ2253">
        <v>-44.907876000000002</v>
      </c>
      <c r="AR2253">
        <v>10.04831364257741</v>
      </c>
      <c r="AS2253" t="s">
        <v>65</v>
      </c>
      <c r="AT2253">
        <v>1</v>
      </c>
      <c r="AU2253" t="s">
        <v>1340</v>
      </c>
      <c r="AV2253" t="s">
        <v>1341</v>
      </c>
      <c r="AW2253" t="s">
        <v>60</v>
      </c>
      <c r="AX2253" t="s">
        <v>68</v>
      </c>
      <c r="AY2253" t="s">
        <v>69</v>
      </c>
      <c r="AZ2253" t="b">
        <v>1</v>
      </c>
    </row>
    <row r="2254" spans="1:52" x14ac:dyDescent="0.3">
      <c r="A2254" t="s">
        <v>52</v>
      </c>
      <c r="B2254" t="s">
        <v>53</v>
      </c>
      <c r="C2254" t="s">
        <v>54</v>
      </c>
      <c r="D2254" t="s">
        <v>55</v>
      </c>
      <c r="E2254" t="s">
        <v>2149</v>
      </c>
      <c r="F2254" t="s">
        <v>1247</v>
      </c>
      <c r="G2254" t="s">
        <v>1347</v>
      </c>
      <c r="H2254" t="s">
        <v>1348</v>
      </c>
      <c r="I2254" t="s">
        <v>1348</v>
      </c>
      <c r="J2254" t="s">
        <v>60</v>
      </c>
      <c r="K2254" t="s">
        <v>1349</v>
      </c>
      <c r="L2254" t="s">
        <v>62</v>
      </c>
      <c r="M2254" t="s">
        <v>1349</v>
      </c>
      <c r="N2254" t="s">
        <v>1350</v>
      </c>
      <c r="O2254" t="s">
        <v>1351</v>
      </c>
      <c r="P2254">
        <v>-20.140426999999999</v>
      </c>
      <c r="Q2254">
        <v>-44.905327999999997</v>
      </c>
      <c r="R2254" s="2" t="str">
        <f>HYPERLINK("https://www.google.com/maps?q=-20.1404270,-44.9053280","Abrir no Google Maps")</f>
        <v>Abrir no Google Maps</v>
      </c>
      <c r="S2254">
        <v>3</v>
      </c>
      <c r="T2254">
        <v>359.5810968231857</v>
      </c>
      <c r="U2254">
        <v>3</v>
      </c>
      <c r="V2254">
        <v>0.52811916797798208</v>
      </c>
      <c r="W2254">
        <v>0.85</v>
      </c>
      <c r="X2254">
        <v>0.44890129278128482</v>
      </c>
      <c r="Y2254">
        <v>581</v>
      </c>
      <c r="Z2254">
        <v>292.370097058873</v>
      </c>
      <c r="AA2254">
        <v>198</v>
      </c>
      <c r="AB2254">
        <v>332</v>
      </c>
      <c r="AC2254">
        <v>536</v>
      </c>
      <c r="AD2254">
        <v>26.61</v>
      </c>
      <c r="AE2254">
        <v>542</v>
      </c>
      <c r="AF2254">
        <v>13</v>
      </c>
      <c r="AG2254">
        <v>180</v>
      </c>
      <c r="AH2254">
        <v>129</v>
      </c>
      <c r="AI2254">
        <v>2.4</v>
      </c>
      <c r="AJ2254">
        <v>33.21</v>
      </c>
      <c r="AK2254">
        <v>23.8</v>
      </c>
      <c r="AL2254">
        <v>-20.140465449999969</v>
      </c>
      <c r="AM2254">
        <v>-44.905317129037229</v>
      </c>
      <c r="AN2254">
        <v>-20.140465449999969</v>
      </c>
      <c r="AO2254">
        <v>-44.905317129037229</v>
      </c>
      <c r="AP2254">
        <v>-20.140426999999999</v>
      </c>
      <c r="AQ2254">
        <v>-44.905327999999997</v>
      </c>
      <c r="AR2254">
        <v>4.4284788644958706</v>
      </c>
      <c r="AS2254" t="s">
        <v>65</v>
      </c>
      <c r="AT2254">
        <v>1</v>
      </c>
      <c r="AU2254" t="s">
        <v>1352</v>
      </c>
      <c r="AV2254" t="s">
        <v>1353</v>
      </c>
      <c r="AW2254" t="s">
        <v>60</v>
      </c>
      <c r="AX2254" t="s">
        <v>68</v>
      </c>
      <c r="AY2254" t="s">
        <v>69</v>
      </c>
      <c r="AZ2254" t="b">
        <v>1</v>
      </c>
    </row>
    <row r="2255" spans="1:52" x14ac:dyDescent="0.3">
      <c r="A2255" t="s">
        <v>52</v>
      </c>
      <c r="B2255" t="s">
        <v>53</v>
      </c>
      <c r="C2255" t="s">
        <v>54</v>
      </c>
      <c r="D2255" t="s">
        <v>55</v>
      </c>
      <c r="E2255" t="s">
        <v>2149</v>
      </c>
      <c r="F2255" t="s">
        <v>1247</v>
      </c>
      <c r="G2255" t="s">
        <v>851</v>
      </c>
      <c r="H2255" t="s">
        <v>852</v>
      </c>
      <c r="I2255" t="s">
        <v>852</v>
      </c>
      <c r="J2255" t="s">
        <v>60</v>
      </c>
      <c r="K2255" t="s">
        <v>853</v>
      </c>
      <c r="L2255" t="s">
        <v>62</v>
      </c>
      <c r="M2255" t="s">
        <v>853</v>
      </c>
      <c r="N2255" t="s">
        <v>854</v>
      </c>
      <c r="O2255" t="s">
        <v>855</v>
      </c>
      <c r="P2255">
        <v>-20.127835000000001</v>
      </c>
      <c r="Q2255">
        <v>-44.909329</v>
      </c>
      <c r="R2255" s="2" t="str">
        <f>HYPERLINK("https://www.google.com/maps?q=-20.1278350,-44.9093290","Abrir no Google Maps")</f>
        <v>Abrir no Google Maps</v>
      </c>
      <c r="S2255">
        <v>3</v>
      </c>
      <c r="T2255">
        <v>1173.033690896357</v>
      </c>
      <c r="U2255">
        <v>3</v>
      </c>
      <c r="V2255">
        <v>0.44014368105101009</v>
      </c>
      <c r="W2255">
        <v>1</v>
      </c>
      <c r="X2255">
        <v>0.44014368105101009</v>
      </c>
      <c r="Y2255">
        <v>581</v>
      </c>
      <c r="Z2255">
        <v>1296.5011565926129</v>
      </c>
      <c r="AA2255">
        <v>198</v>
      </c>
      <c r="AB2255">
        <v>332</v>
      </c>
      <c r="AC2255">
        <v>536</v>
      </c>
      <c r="AD2255">
        <v>26.61</v>
      </c>
      <c r="AE2255">
        <v>542</v>
      </c>
      <c r="AF2255">
        <v>13</v>
      </c>
      <c r="AG2255">
        <v>180</v>
      </c>
      <c r="AH2255">
        <v>129</v>
      </c>
      <c r="AI2255">
        <v>2.4</v>
      </c>
      <c r="AJ2255">
        <v>33.21</v>
      </c>
      <c r="AK2255">
        <v>23.8</v>
      </c>
      <c r="AL2255">
        <v>-20.127852899999969</v>
      </c>
      <c r="AM2255">
        <v>-44.909386667699948</v>
      </c>
      <c r="AN2255">
        <v>-20.127852899999969</v>
      </c>
      <c r="AO2255">
        <v>-44.909386667699948</v>
      </c>
      <c r="AP2255">
        <v>-20.127835000000001</v>
      </c>
      <c r="AQ2255">
        <v>-44.909329</v>
      </c>
      <c r="AR2255">
        <v>6.3483385067119924</v>
      </c>
      <c r="AS2255" t="s">
        <v>65</v>
      </c>
      <c r="AT2255">
        <v>1</v>
      </c>
      <c r="AU2255" t="s">
        <v>856</v>
      </c>
      <c r="AV2255" t="s">
        <v>857</v>
      </c>
      <c r="AW2255" t="s">
        <v>60</v>
      </c>
      <c r="AX2255" t="s">
        <v>68</v>
      </c>
      <c r="AY2255" t="s">
        <v>69</v>
      </c>
      <c r="AZ2255" t="b">
        <v>1</v>
      </c>
    </row>
    <row r="2256" spans="1:52" x14ac:dyDescent="0.3">
      <c r="A2256" t="s">
        <v>52</v>
      </c>
      <c r="B2256" t="s">
        <v>53</v>
      </c>
      <c r="C2256" t="s">
        <v>54</v>
      </c>
      <c r="D2256" t="s">
        <v>55</v>
      </c>
      <c r="E2256" t="s">
        <v>2149</v>
      </c>
      <c r="F2256" t="s">
        <v>1247</v>
      </c>
      <c r="G2256" t="s">
        <v>1300</v>
      </c>
      <c r="H2256" t="s">
        <v>1372</v>
      </c>
      <c r="I2256" t="s">
        <v>1372</v>
      </c>
      <c r="J2256" t="s">
        <v>60</v>
      </c>
      <c r="K2256" t="s">
        <v>486</v>
      </c>
      <c r="L2256" t="s">
        <v>62</v>
      </c>
      <c r="M2256" t="s">
        <v>486</v>
      </c>
      <c r="N2256" t="s">
        <v>1303</v>
      </c>
      <c r="O2256" t="s">
        <v>1373</v>
      </c>
      <c r="P2256">
        <v>-20.170458</v>
      </c>
      <c r="Q2256">
        <v>-44.900936000000002</v>
      </c>
      <c r="R2256" s="2" t="str">
        <f>HYPERLINK("https://www.google.com/maps?q=-20.1704580,-44.9009360","Abrir no Google Maps")</f>
        <v>Abrir no Google Maps</v>
      </c>
      <c r="S2256">
        <v>3</v>
      </c>
      <c r="T2256">
        <v>470.55793133653339</v>
      </c>
      <c r="U2256">
        <v>3</v>
      </c>
      <c r="V2256">
        <v>0.50325972188055534</v>
      </c>
      <c r="W2256">
        <v>0.85</v>
      </c>
      <c r="X2256">
        <v>0.42777076359847199</v>
      </c>
      <c r="Y2256">
        <v>578</v>
      </c>
      <c r="Z2256">
        <v>645.48909402437766</v>
      </c>
      <c r="AA2256">
        <v>198</v>
      </c>
      <c r="AB2256">
        <v>332</v>
      </c>
      <c r="AC2256">
        <v>536</v>
      </c>
      <c r="AD2256">
        <v>26.61</v>
      </c>
      <c r="AE2256">
        <v>542</v>
      </c>
      <c r="AF2256">
        <v>13</v>
      </c>
      <c r="AG2256">
        <v>180</v>
      </c>
      <c r="AH2256">
        <v>129</v>
      </c>
      <c r="AI2256">
        <v>2.4</v>
      </c>
      <c r="AJ2256">
        <v>33.21</v>
      </c>
      <c r="AK2256">
        <v>23.8</v>
      </c>
      <c r="AL2256">
        <v>-20.17025029999996</v>
      </c>
      <c r="AM2256">
        <v>-44.901067235372473</v>
      </c>
      <c r="AN2256">
        <v>-20.17025029999996</v>
      </c>
      <c r="AO2256">
        <v>-44.901067235372473</v>
      </c>
      <c r="AP2256">
        <v>-20.170458</v>
      </c>
      <c r="AQ2256">
        <v>-44.900936000000002</v>
      </c>
      <c r="AR2256">
        <v>26.88195352459519</v>
      </c>
      <c r="AS2256" t="s">
        <v>65</v>
      </c>
      <c r="AT2256">
        <v>1</v>
      </c>
      <c r="AU2256" t="s">
        <v>1374</v>
      </c>
      <c r="AV2256" t="s">
        <v>1375</v>
      </c>
      <c r="AW2256" t="s">
        <v>60</v>
      </c>
      <c r="AX2256" t="s">
        <v>68</v>
      </c>
      <c r="AY2256" t="s">
        <v>69</v>
      </c>
      <c r="AZ2256" t="b">
        <v>1</v>
      </c>
    </row>
    <row r="2257" spans="1:52" x14ac:dyDescent="0.3">
      <c r="A2257" t="s">
        <v>52</v>
      </c>
      <c r="B2257" t="s">
        <v>53</v>
      </c>
      <c r="C2257" t="s">
        <v>54</v>
      </c>
      <c r="D2257" t="s">
        <v>55</v>
      </c>
      <c r="E2257" t="s">
        <v>2149</v>
      </c>
      <c r="F2257" t="s">
        <v>1247</v>
      </c>
      <c r="G2257" t="s">
        <v>473</v>
      </c>
      <c r="H2257" t="s">
        <v>474</v>
      </c>
      <c r="I2257" t="s">
        <v>474</v>
      </c>
      <c r="J2257" t="s">
        <v>60</v>
      </c>
      <c r="K2257" t="s">
        <v>475</v>
      </c>
      <c r="L2257" t="s">
        <v>62</v>
      </c>
      <c r="M2257" t="s">
        <v>475</v>
      </c>
      <c r="N2257" t="s">
        <v>406</v>
      </c>
      <c r="O2257" t="s">
        <v>476</v>
      </c>
      <c r="P2257">
        <v>-20.177902</v>
      </c>
      <c r="Q2257">
        <v>-44.908504000000001</v>
      </c>
      <c r="R2257" s="2" t="str">
        <f>HYPERLINK("https://www.google.com/maps?q=-20.1779020,-44.9085040","Abrir no Google Maps")</f>
        <v>Abrir no Google Maps</v>
      </c>
      <c r="S2257">
        <v>3</v>
      </c>
      <c r="T2257">
        <v>656.92307673247149</v>
      </c>
      <c r="U2257">
        <v>3</v>
      </c>
      <c r="V2257">
        <v>0.43805576680732189</v>
      </c>
      <c r="W2257">
        <v>1</v>
      </c>
      <c r="X2257">
        <v>0.43805576680732189</v>
      </c>
      <c r="Y2257">
        <v>578</v>
      </c>
      <c r="Z2257">
        <v>635.01982153722327</v>
      </c>
      <c r="AA2257">
        <v>198</v>
      </c>
      <c r="AB2257">
        <v>332</v>
      </c>
      <c r="AC2257">
        <v>536</v>
      </c>
      <c r="AD2257">
        <v>26.61</v>
      </c>
      <c r="AE2257">
        <v>542</v>
      </c>
      <c r="AF2257">
        <v>13</v>
      </c>
      <c r="AG2257">
        <v>180</v>
      </c>
      <c r="AH2257">
        <v>129</v>
      </c>
      <c r="AI2257">
        <v>2.4</v>
      </c>
      <c r="AJ2257">
        <v>33.21</v>
      </c>
      <c r="AK2257">
        <v>23.8</v>
      </c>
      <c r="AL2257">
        <v>-20.177800399999938</v>
      </c>
      <c r="AM2257">
        <v>-44.908361879701268</v>
      </c>
      <c r="AN2257">
        <v>-20.177800399999938</v>
      </c>
      <c r="AO2257">
        <v>-44.908361879701268</v>
      </c>
      <c r="AP2257">
        <v>-20.177902</v>
      </c>
      <c r="AQ2257">
        <v>-44.908504000000001</v>
      </c>
      <c r="AR2257">
        <v>18.666463141775541</v>
      </c>
      <c r="AS2257" t="s">
        <v>65</v>
      </c>
      <c r="AT2257">
        <v>1</v>
      </c>
      <c r="AU2257" t="s">
        <v>477</v>
      </c>
      <c r="AV2257" t="s">
        <v>478</v>
      </c>
      <c r="AW2257" t="s">
        <v>60</v>
      </c>
      <c r="AX2257" t="s">
        <v>68</v>
      </c>
      <c r="AY2257" t="s">
        <v>69</v>
      </c>
      <c r="AZ2257" t="b">
        <v>1</v>
      </c>
    </row>
    <row r="2258" spans="1:52" x14ac:dyDescent="0.3">
      <c r="A2258" t="s">
        <v>52</v>
      </c>
      <c r="B2258" t="s">
        <v>53</v>
      </c>
      <c r="C2258" t="s">
        <v>54</v>
      </c>
      <c r="D2258" t="s">
        <v>55</v>
      </c>
      <c r="E2258" t="s">
        <v>2149</v>
      </c>
      <c r="F2258" t="s">
        <v>1247</v>
      </c>
      <c r="G2258" t="s">
        <v>484</v>
      </c>
      <c r="H2258" t="s">
        <v>485</v>
      </c>
      <c r="I2258" t="s">
        <v>485</v>
      </c>
      <c r="J2258" t="s">
        <v>60</v>
      </c>
      <c r="K2258" t="s">
        <v>486</v>
      </c>
      <c r="L2258" t="s">
        <v>62</v>
      </c>
      <c r="M2258" t="s">
        <v>486</v>
      </c>
      <c r="N2258" t="s">
        <v>487</v>
      </c>
      <c r="O2258" t="s">
        <v>488</v>
      </c>
      <c r="P2258">
        <v>-20.173000999999999</v>
      </c>
      <c r="Q2258">
        <v>-44.901876999999999</v>
      </c>
      <c r="R2258" s="2" t="str">
        <f>HYPERLINK("https://www.google.com/maps?q=-20.1730010,-44.9018770","Abrir no Google Maps")</f>
        <v>Abrir no Google Maps</v>
      </c>
      <c r="S2258">
        <v>3</v>
      </c>
      <c r="T2258">
        <v>437.59695450783011</v>
      </c>
      <c r="U2258">
        <v>3</v>
      </c>
      <c r="V2258">
        <v>0.4578764251013287</v>
      </c>
      <c r="W2258">
        <v>1</v>
      </c>
      <c r="X2258">
        <v>0.4578764251013287</v>
      </c>
      <c r="Y2258">
        <v>578</v>
      </c>
      <c r="Z2258">
        <v>440.53629183653243</v>
      </c>
      <c r="AA2258">
        <v>198</v>
      </c>
      <c r="AB2258">
        <v>332</v>
      </c>
      <c r="AC2258">
        <v>536</v>
      </c>
      <c r="AD2258">
        <v>26.61</v>
      </c>
      <c r="AE2258">
        <v>542</v>
      </c>
      <c r="AF2258">
        <v>13</v>
      </c>
      <c r="AG2258">
        <v>180</v>
      </c>
      <c r="AH2258">
        <v>129</v>
      </c>
      <c r="AI2258">
        <v>2.4</v>
      </c>
      <c r="AJ2258">
        <v>33.21</v>
      </c>
      <c r="AK2258">
        <v>23.8</v>
      </c>
      <c r="AL2258">
        <v>-20.173065299999969</v>
      </c>
      <c r="AM2258">
        <v>-44.902052686008687</v>
      </c>
      <c r="AN2258">
        <v>-20.173065299999969</v>
      </c>
      <c r="AO2258">
        <v>-44.902052686008687</v>
      </c>
      <c r="AP2258">
        <v>-20.173000999999999</v>
      </c>
      <c r="AQ2258">
        <v>-44.901876999999999</v>
      </c>
      <c r="AR2258">
        <v>19.703745070768829</v>
      </c>
      <c r="AS2258" t="s">
        <v>65</v>
      </c>
      <c r="AT2258">
        <v>1</v>
      </c>
      <c r="AU2258" t="s">
        <v>489</v>
      </c>
      <c r="AV2258" t="s">
        <v>490</v>
      </c>
      <c r="AW2258" t="s">
        <v>60</v>
      </c>
      <c r="AX2258" t="s">
        <v>68</v>
      </c>
      <c r="AY2258" t="s">
        <v>69</v>
      </c>
      <c r="AZ2258" t="b">
        <v>1</v>
      </c>
    </row>
    <row r="2259" spans="1:52" x14ac:dyDescent="0.3">
      <c r="A2259" t="s">
        <v>52</v>
      </c>
      <c r="B2259" t="s">
        <v>53</v>
      </c>
      <c r="C2259" t="s">
        <v>54</v>
      </c>
      <c r="D2259" t="s">
        <v>55</v>
      </c>
      <c r="E2259" t="s">
        <v>2149</v>
      </c>
      <c r="F2259" t="s">
        <v>1247</v>
      </c>
      <c r="G2259" t="s">
        <v>491</v>
      </c>
      <c r="H2259" t="s">
        <v>492</v>
      </c>
      <c r="I2259" t="s">
        <v>492</v>
      </c>
      <c r="J2259" t="s">
        <v>60</v>
      </c>
      <c r="K2259" t="s">
        <v>475</v>
      </c>
      <c r="L2259" t="s">
        <v>62</v>
      </c>
      <c r="M2259" t="s">
        <v>475</v>
      </c>
      <c r="N2259" t="s">
        <v>493</v>
      </c>
      <c r="O2259" t="s">
        <v>494</v>
      </c>
      <c r="P2259">
        <v>-20.175250999999999</v>
      </c>
      <c r="Q2259">
        <v>-44.897357</v>
      </c>
      <c r="R2259" s="2" t="str">
        <f>HYPERLINK("https://www.google.com/maps?q=-20.1752510,-44.8973570","Abrir no Google Maps")</f>
        <v>Abrir no Google Maps</v>
      </c>
      <c r="S2259">
        <v>3</v>
      </c>
      <c r="T2259">
        <v>992.29631678149951</v>
      </c>
      <c r="U2259">
        <v>3</v>
      </c>
      <c r="V2259">
        <v>0.44940336316071439</v>
      </c>
      <c r="W2259">
        <v>1</v>
      </c>
      <c r="X2259">
        <v>0.44940336316071439</v>
      </c>
      <c r="Y2259">
        <v>578</v>
      </c>
      <c r="Z2259">
        <v>1008.5871064168319</v>
      </c>
      <c r="AA2259">
        <v>198</v>
      </c>
      <c r="AB2259">
        <v>332</v>
      </c>
      <c r="AC2259">
        <v>536</v>
      </c>
      <c r="AD2259">
        <v>26.61</v>
      </c>
      <c r="AE2259">
        <v>542</v>
      </c>
      <c r="AF2259">
        <v>13</v>
      </c>
      <c r="AG2259">
        <v>180</v>
      </c>
      <c r="AH2259">
        <v>129</v>
      </c>
      <c r="AI2259">
        <v>2.4</v>
      </c>
      <c r="AJ2259">
        <v>33.21</v>
      </c>
      <c r="AK2259">
        <v>23.8</v>
      </c>
      <c r="AL2259">
        <v>-20.175290599999951</v>
      </c>
      <c r="AM2259">
        <v>-44.897271931010721</v>
      </c>
      <c r="AN2259">
        <v>-20.175290599999951</v>
      </c>
      <c r="AO2259">
        <v>-44.897271931010721</v>
      </c>
      <c r="AP2259">
        <v>-20.175250999999999</v>
      </c>
      <c r="AQ2259">
        <v>-44.897357</v>
      </c>
      <c r="AR2259">
        <v>9.921899108467926</v>
      </c>
      <c r="AS2259" t="s">
        <v>65</v>
      </c>
      <c r="AT2259">
        <v>1</v>
      </c>
      <c r="AU2259" t="s">
        <v>495</v>
      </c>
      <c r="AV2259" t="s">
        <v>496</v>
      </c>
      <c r="AW2259" t="s">
        <v>60</v>
      </c>
      <c r="AX2259" t="s">
        <v>68</v>
      </c>
      <c r="AY2259" t="s">
        <v>69</v>
      </c>
      <c r="AZ2259" t="b">
        <v>1</v>
      </c>
    </row>
    <row r="2260" spans="1:52" x14ac:dyDescent="0.3">
      <c r="A2260" t="s">
        <v>52</v>
      </c>
      <c r="B2260" t="s">
        <v>53</v>
      </c>
      <c r="C2260" t="s">
        <v>54</v>
      </c>
      <c r="D2260" t="s">
        <v>55</v>
      </c>
      <c r="E2260" t="s">
        <v>2149</v>
      </c>
      <c r="F2260" t="s">
        <v>1247</v>
      </c>
      <c r="G2260" t="s">
        <v>497</v>
      </c>
      <c r="H2260" t="s">
        <v>875</v>
      </c>
      <c r="I2260" t="s">
        <v>875</v>
      </c>
      <c r="J2260" t="s">
        <v>60</v>
      </c>
      <c r="K2260" t="s">
        <v>475</v>
      </c>
      <c r="L2260" t="s">
        <v>62</v>
      </c>
      <c r="M2260" t="s">
        <v>475</v>
      </c>
      <c r="N2260" t="s">
        <v>499</v>
      </c>
      <c r="O2260" t="s">
        <v>876</v>
      </c>
      <c r="P2260">
        <v>-20.177212999999998</v>
      </c>
      <c r="Q2260">
        <v>-44.904026999999999</v>
      </c>
      <c r="R2260" s="2" t="str">
        <f>HYPERLINK("https://www.google.com/maps?q=-20.1772130,-44.9040270","Abrir no Google Maps")</f>
        <v>Abrir no Google Maps</v>
      </c>
      <c r="S2260">
        <v>3</v>
      </c>
      <c r="T2260">
        <v>706.4159561113795</v>
      </c>
      <c r="U2260">
        <v>3</v>
      </c>
      <c r="V2260">
        <v>0.44150116898113317</v>
      </c>
      <c r="W2260">
        <v>1</v>
      </c>
      <c r="X2260">
        <v>0.44150116898113317</v>
      </c>
      <c r="Y2260">
        <v>578</v>
      </c>
      <c r="Z2260">
        <v>588.7160518608398</v>
      </c>
      <c r="AA2260">
        <v>198</v>
      </c>
      <c r="AB2260">
        <v>332</v>
      </c>
      <c r="AC2260">
        <v>536</v>
      </c>
      <c r="AD2260">
        <v>26.61</v>
      </c>
      <c r="AE2260">
        <v>542</v>
      </c>
      <c r="AF2260">
        <v>13</v>
      </c>
      <c r="AG2260">
        <v>180</v>
      </c>
      <c r="AH2260">
        <v>129</v>
      </c>
      <c r="AI2260">
        <v>2.4</v>
      </c>
      <c r="AJ2260">
        <v>33.21</v>
      </c>
      <c r="AK2260">
        <v>23.8</v>
      </c>
      <c r="AL2260">
        <v>-20.177090199999949</v>
      </c>
      <c r="AM2260">
        <v>-44.904078820930181</v>
      </c>
      <c r="AN2260">
        <v>-20.177090199999949</v>
      </c>
      <c r="AO2260">
        <v>-44.904078820930181</v>
      </c>
      <c r="AP2260">
        <v>-20.177212999999998</v>
      </c>
      <c r="AQ2260">
        <v>-44.904026999999999</v>
      </c>
      <c r="AR2260">
        <v>14.7034129632295</v>
      </c>
      <c r="AS2260" t="s">
        <v>65</v>
      </c>
      <c r="AT2260">
        <v>1</v>
      </c>
      <c r="AU2260" t="s">
        <v>877</v>
      </c>
      <c r="AV2260" t="s">
        <v>878</v>
      </c>
      <c r="AW2260" t="s">
        <v>60</v>
      </c>
      <c r="AX2260" t="s">
        <v>68</v>
      </c>
      <c r="AY2260" t="s">
        <v>69</v>
      </c>
      <c r="AZ2260" t="b">
        <v>1</v>
      </c>
    </row>
    <row r="2261" spans="1:52" x14ac:dyDescent="0.3">
      <c r="A2261" t="s">
        <v>52</v>
      </c>
      <c r="B2261" t="s">
        <v>53</v>
      </c>
      <c r="C2261" t="s">
        <v>54</v>
      </c>
      <c r="D2261" t="s">
        <v>55</v>
      </c>
      <c r="E2261" t="s">
        <v>2149</v>
      </c>
      <c r="F2261" t="s">
        <v>1247</v>
      </c>
      <c r="G2261" t="s">
        <v>815</v>
      </c>
      <c r="H2261" t="s">
        <v>1404</v>
      </c>
      <c r="I2261" t="s">
        <v>1404</v>
      </c>
      <c r="J2261" t="s">
        <v>60</v>
      </c>
      <c r="K2261" t="s">
        <v>512</v>
      </c>
      <c r="L2261" t="s">
        <v>62</v>
      </c>
      <c r="M2261" t="s">
        <v>512</v>
      </c>
      <c r="N2261" t="s">
        <v>817</v>
      </c>
      <c r="O2261" t="s">
        <v>1405</v>
      </c>
      <c r="P2261">
        <v>-20.129069999999999</v>
      </c>
      <c r="Q2261">
        <v>-44.888452000000001</v>
      </c>
      <c r="R2261" s="2" t="str">
        <f>HYPERLINK("https://www.google.com/maps?q=-20.1290700,-44.8884520","Abrir no Google Maps")</f>
        <v>Abrir no Google Maps</v>
      </c>
      <c r="S2261">
        <v>3</v>
      </c>
      <c r="T2261">
        <v>0</v>
      </c>
      <c r="U2261">
        <v>3</v>
      </c>
      <c r="V2261">
        <v>0.49457597253484298</v>
      </c>
      <c r="W2261">
        <v>0.85</v>
      </c>
      <c r="X2261">
        <v>0.42038957665461651</v>
      </c>
      <c r="Y2261">
        <v>564</v>
      </c>
      <c r="Z2261">
        <v>95.870354837220688</v>
      </c>
      <c r="AA2261">
        <v>198</v>
      </c>
      <c r="AB2261">
        <v>332</v>
      </c>
      <c r="AC2261">
        <v>536</v>
      </c>
      <c r="AD2261">
        <v>26.61</v>
      </c>
      <c r="AE2261">
        <v>542</v>
      </c>
      <c r="AF2261">
        <v>13</v>
      </c>
      <c r="AG2261">
        <v>180</v>
      </c>
      <c r="AH2261">
        <v>129</v>
      </c>
      <c r="AI2261">
        <v>2.4</v>
      </c>
      <c r="AJ2261">
        <v>33.21</v>
      </c>
      <c r="AK2261">
        <v>23.8</v>
      </c>
      <c r="AL2261">
        <v>-20.12899334999997</v>
      </c>
      <c r="AM2261">
        <v>-44.888406102471222</v>
      </c>
      <c r="AN2261">
        <v>-20.12899334999997</v>
      </c>
      <c r="AO2261">
        <v>-44.888406102471222</v>
      </c>
      <c r="AP2261">
        <v>-20.129069999999999</v>
      </c>
      <c r="AQ2261">
        <v>-44.888452000000001</v>
      </c>
      <c r="AR2261">
        <v>9.7887731150376265</v>
      </c>
      <c r="AS2261" t="s">
        <v>65</v>
      </c>
      <c r="AT2261">
        <v>1</v>
      </c>
      <c r="AU2261" t="s">
        <v>1406</v>
      </c>
      <c r="AV2261" t="s">
        <v>1407</v>
      </c>
      <c r="AW2261" t="s">
        <v>60</v>
      </c>
      <c r="AX2261" t="s">
        <v>68</v>
      </c>
      <c r="AY2261" t="s">
        <v>69</v>
      </c>
      <c r="AZ2261" t="b">
        <v>1</v>
      </c>
    </row>
    <row r="2262" spans="1:52" x14ac:dyDescent="0.3">
      <c r="A2262" t="s">
        <v>52</v>
      </c>
      <c r="B2262" t="s">
        <v>53</v>
      </c>
      <c r="C2262" t="s">
        <v>54</v>
      </c>
      <c r="D2262" t="s">
        <v>55</v>
      </c>
      <c r="E2262" t="s">
        <v>2149</v>
      </c>
      <c r="F2262" t="s">
        <v>1247</v>
      </c>
      <c r="G2262" t="s">
        <v>649</v>
      </c>
      <c r="H2262" t="s">
        <v>885</v>
      </c>
      <c r="I2262" t="s">
        <v>885</v>
      </c>
      <c r="J2262" t="s">
        <v>60</v>
      </c>
      <c r="K2262" t="s">
        <v>886</v>
      </c>
      <c r="L2262" t="s">
        <v>62</v>
      </c>
      <c r="M2262" t="s">
        <v>886</v>
      </c>
      <c r="N2262" t="s">
        <v>652</v>
      </c>
      <c r="O2262" t="s">
        <v>887</v>
      </c>
      <c r="P2262">
        <v>-20.132252000000001</v>
      </c>
      <c r="Q2262">
        <v>-44.894159000000002</v>
      </c>
      <c r="R2262" s="2" t="str">
        <f>HYPERLINK("https://www.google.com/maps?q=-20.1322520,-44.8941590","Abrir no Google Maps")</f>
        <v>Abrir no Google Maps</v>
      </c>
      <c r="S2262">
        <v>3</v>
      </c>
      <c r="T2262">
        <v>699.5004749448899</v>
      </c>
      <c r="U2262">
        <v>3</v>
      </c>
      <c r="V2262">
        <v>0.53209590955284569</v>
      </c>
      <c r="W2262">
        <v>0.85</v>
      </c>
      <c r="X2262">
        <v>0.45228152311991882</v>
      </c>
      <c r="Y2262">
        <v>564</v>
      </c>
      <c r="Z2262">
        <v>522.21103586457991</v>
      </c>
      <c r="AA2262">
        <v>198</v>
      </c>
      <c r="AB2262">
        <v>332</v>
      </c>
      <c r="AC2262">
        <v>536</v>
      </c>
      <c r="AD2262">
        <v>26.61</v>
      </c>
      <c r="AE2262">
        <v>542</v>
      </c>
      <c r="AF2262">
        <v>13</v>
      </c>
      <c r="AG2262">
        <v>180</v>
      </c>
      <c r="AH2262">
        <v>129</v>
      </c>
      <c r="AI2262">
        <v>2.4</v>
      </c>
      <c r="AJ2262">
        <v>33.21</v>
      </c>
      <c r="AK2262">
        <v>23.8</v>
      </c>
      <c r="AL2262">
        <v>-20.132285999999969</v>
      </c>
      <c r="AM2262">
        <v>-44.894119001288672</v>
      </c>
      <c r="AN2262">
        <v>-20.132285999999969</v>
      </c>
      <c r="AO2262">
        <v>-44.894119001288672</v>
      </c>
      <c r="AP2262">
        <v>-20.132252000000001</v>
      </c>
      <c r="AQ2262">
        <v>-44.894159000000002</v>
      </c>
      <c r="AR2262">
        <v>5.6393921063261629</v>
      </c>
      <c r="AS2262" t="s">
        <v>65</v>
      </c>
      <c r="AT2262">
        <v>1</v>
      </c>
      <c r="AU2262" t="s">
        <v>888</v>
      </c>
      <c r="AV2262" t="s">
        <v>889</v>
      </c>
      <c r="AW2262" t="s">
        <v>60</v>
      </c>
      <c r="AX2262" t="s">
        <v>68</v>
      </c>
      <c r="AY2262" t="s">
        <v>69</v>
      </c>
      <c r="AZ2262" t="b">
        <v>1</v>
      </c>
    </row>
    <row r="2263" spans="1:52" x14ac:dyDescent="0.3">
      <c r="A2263" t="s">
        <v>52</v>
      </c>
      <c r="B2263" t="s">
        <v>53</v>
      </c>
      <c r="C2263" t="s">
        <v>54</v>
      </c>
      <c r="D2263" t="s">
        <v>55</v>
      </c>
      <c r="E2263" t="s">
        <v>2149</v>
      </c>
      <c r="F2263" t="s">
        <v>1247</v>
      </c>
      <c r="G2263" t="s">
        <v>890</v>
      </c>
      <c r="H2263" t="s">
        <v>891</v>
      </c>
      <c r="I2263" t="s">
        <v>891</v>
      </c>
      <c r="J2263" t="s">
        <v>60</v>
      </c>
      <c r="K2263" t="s">
        <v>892</v>
      </c>
      <c r="L2263" t="s">
        <v>62</v>
      </c>
      <c r="M2263" t="s">
        <v>892</v>
      </c>
      <c r="N2263" t="s">
        <v>893</v>
      </c>
      <c r="O2263" t="s">
        <v>894</v>
      </c>
      <c r="P2263">
        <v>-20.152519000000002</v>
      </c>
      <c r="Q2263">
        <v>-44.899177000000002</v>
      </c>
      <c r="R2263" s="2" t="str">
        <f>HYPERLINK("https://www.google.com/maps?q=-20.1525190,-44.8991770","Abrir no Google Maps")</f>
        <v>Abrir no Google Maps</v>
      </c>
      <c r="S2263">
        <v>3</v>
      </c>
      <c r="T2263">
        <v>211.80188552994721</v>
      </c>
      <c r="U2263">
        <v>3</v>
      </c>
      <c r="V2263">
        <v>0.43389857253071851</v>
      </c>
      <c r="W2263">
        <v>1</v>
      </c>
      <c r="X2263">
        <v>0.43389857253071851</v>
      </c>
      <c r="Y2263">
        <v>556</v>
      </c>
      <c r="Z2263">
        <v>290.34804137107091</v>
      </c>
      <c r="AA2263">
        <v>198</v>
      </c>
      <c r="AB2263">
        <v>332</v>
      </c>
      <c r="AC2263">
        <v>536</v>
      </c>
      <c r="AD2263">
        <v>26.61</v>
      </c>
      <c r="AE2263">
        <v>542</v>
      </c>
      <c r="AF2263">
        <v>13</v>
      </c>
      <c r="AG2263">
        <v>180</v>
      </c>
      <c r="AH2263">
        <v>129</v>
      </c>
      <c r="AI2263">
        <v>2.4</v>
      </c>
      <c r="AJ2263">
        <v>33.21</v>
      </c>
      <c r="AK2263">
        <v>23.8</v>
      </c>
      <c r="AL2263">
        <v>-20.152516249999959</v>
      </c>
      <c r="AM2263">
        <v>-44.899310431333959</v>
      </c>
      <c r="AN2263">
        <v>-20.152516249999959</v>
      </c>
      <c r="AO2263">
        <v>-44.899310431333959</v>
      </c>
      <c r="AP2263">
        <v>-20.152519000000002</v>
      </c>
      <c r="AQ2263">
        <v>-44.899177000000002</v>
      </c>
      <c r="AR2263">
        <v>13.947583284957719</v>
      </c>
      <c r="AS2263" t="s">
        <v>65</v>
      </c>
      <c r="AT2263">
        <v>1</v>
      </c>
      <c r="AU2263" t="s">
        <v>895</v>
      </c>
      <c r="AV2263" t="s">
        <v>896</v>
      </c>
      <c r="AW2263" t="s">
        <v>60</v>
      </c>
      <c r="AX2263" t="s">
        <v>68</v>
      </c>
      <c r="AY2263" t="s">
        <v>69</v>
      </c>
      <c r="AZ2263" t="b">
        <v>1</v>
      </c>
    </row>
    <row r="2264" spans="1:52" x14ac:dyDescent="0.3">
      <c r="A2264" t="s">
        <v>52</v>
      </c>
      <c r="B2264" t="s">
        <v>53</v>
      </c>
      <c r="C2264" t="s">
        <v>54</v>
      </c>
      <c r="D2264" t="s">
        <v>55</v>
      </c>
      <c r="E2264" t="s">
        <v>2149</v>
      </c>
      <c r="F2264" t="s">
        <v>1247</v>
      </c>
      <c r="G2264" t="s">
        <v>897</v>
      </c>
      <c r="H2264" t="s">
        <v>898</v>
      </c>
      <c r="I2264" t="s">
        <v>898</v>
      </c>
      <c r="J2264" t="s">
        <v>60</v>
      </c>
      <c r="K2264" t="s">
        <v>892</v>
      </c>
      <c r="L2264" t="s">
        <v>62</v>
      </c>
      <c r="M2264" t="s">
        <v>892</v>
      </c>
      <c r="N2264" t="s">
        <v>899</v>
      </c>
      <c r="O2264" t="s">
        <v>900</v>
      </c>
      <c r="P2264">
        <v>-20.154885</v>
      </c>
      <c r="Q2264">
        <v>-44.899890999999997</v>
      </c>
      <c r="R2264" s="2" t="str">
        <f>HYPERLINK("https://www.google.com/maps?q=-20.1548850,-44.8998910","Abrir no Google Maps")</f>
        <v>Abrir no Google Maps</v>
      </c>
      <c r="S2264">
        <v>3</v>
      </c>
      <c r="T2264">
        <v>314.66339661014308</v>
      </c>
      <c r="U2264">
        <v>3</v>
      </c>
      <c r="V2264">
        <v>0.44456467150821621</v>
      </c>
      <c r="W2264">
        <v>1</v>
      </c>
      <c r="X2264">
        <v>0.44456467150821621</v>
      </c>
      <c r="Y2264">
        <v>548</v>
      </c>
      <c r="Z2264">
        <v>319.02252584834253</v>
      </c>
      <c r="AA2264">
        <v>198</v>
      </c>
      <c r="AB2264">
        <v>332</v>
      </c>
      <c r="AC2264">
        <v>536</v>
      </c>
      <c r="AD2264">
        <v>26.61</v>
      </c>
      <c r="AE2264">
        <v>542</v>
      </c>
      <c r="AF2264">
        <v>13</v>
      </c>
      <c r="AG2264">
        <v>180</v>
      </c>
      <c r="AH2264">
        <v>129</v>
      </c>
      <c r="AI2264">
        <v>2.4</v>
      </c>
      <c r="AJ2264">
        <v>33.21</v>
      </c>
      <c r="AK2264">
        <v>23.8</v>
      </c>
      <c r="AL2264">
        <v>-20.154906649999951</v>
      </c>
      <c r="AM2264">
        <v>-44.899894072543653</v>
      </c>
      <c r="AN2264">
        <v>-20.154906649999951</v>
      </c>
      <c r="AO2264">
        <v>-44.899894072543653</v>
      </c>
      <c r="AP2264">
        <v>-20.154885</v>
      </c>
      <c r="AQ2264">
        <v>-44.899890999999997</v>
      </c>
      <c r="AR2264">
        <v>2.431373123904943</v>
      </c>
      <c r="AS2264" t="s">
        <v>65</v>
      </c>
      <c r="AT2264">
        <v>1</v>
      </c>
      <c r="AU2264" t="s">
        <v>901</v>
      </c>
      <c r="AV2264" t="s">
        <v>902</v>
      </c>
      <c r="AW2264" t="s">
        <v>60</v>
      </c>
      <c r="AX2264" t="s">
        <v>68</v>
      </c>
      <c r="AY2264" t="s">
        <v>69</v>
      </c>
      <c r="AZ2264" t="b">
        <v>1</v>
      </c>
    </row>
    <row r="2265" spans="1:52" x14ac:dyDescent="0.3">
      <c r="A2265" t="s">
        <v>52</v>
      </c>
      <c r="B2265" t="s">
        <v>53</v>
      </c>
      <c r="C2265" t="s">
        <v>54</v>
      </c>
      <c r="D2265" t="s">
        <v>55</v>
      </c>
      <c r="E2265" t="s">
        <v>2149</v>
      </c>
      <c r="F2265" t="s">
        <v>1247</v>
      </c>
      <c r="G2265" t="s">
        <v>839</v>
      </c>
      <c r="H2265" t="s">
        <v>1274</v>
      </c>
      <c r="I2265" t="s">
        <v>1274</v>
      </c>
      <c r="J2265" t="s">
        <v>60</v>
      </c>
      <c r="K2265" t="s">
        <v>388</v>
      </c>
      <c r="L2265" t="s">
        <v>62</v>
      </c>
      <c r="M2265" t="s">
        <v>388</v>
      </c>
      <c r="N2265" t="s">
        <v>841</v>
      </c>
      <c r="O2265" t="s">
        <v>1275</v>
      </c>
      <c r="P2265">
        <v>-20.157979999999998</v>
      </c>
      <c r="Q2265">
        <v>-44.906365999999998</v>
      </c>
      <c r="R2265" s="2" t="str">
        <f>HYPERLINK("https://www.google.com/maps?q=-20.1579800,-44.9063660","Abrir no Google Maps")</f>
        <v>Abrir no Google Maps</v>
      </c>
      <c r="S2265">
        <v>3</v>
      </c>
      <c r="T2265">
        <v>519.48953004348823</v>
      </c>
      <c r="U2265">
        <v>2</v>
      </c>
      <c r="V2265">
        <v>0.47433302452533221</v>
      </c>
      <c r="W2265">
        <v>0.85</v>
      </c>
      <c r="X2265">
        <v>0.40318307084653238</v>
      </c>
      <c r="Y2265">
        <v>729</v>
      </c>
      <c r="Z2265">
        <v>393.22938248316768</v>
      </c>
      <c r="AA2265">
        <v>198</v>
      </c>
      <c r="AB2265">
        <v>332</v>
      </c>
      <c r="AC2265">
        <v>536</v>
      </c>
      <c r="AD2265">
        <v>26.61</v>
      </c>
      <c r="AE2265">
        <v>542</v>
      </c>
      <c r="AF2265">
        <v>13</v>
      </c>
      <c r="AG2265">
        <v>180</v>
      </c>
      <c r="AH2265">
        <v>129</v>
      </c>
      <c r="AI2265">
        <v>2.4</v>
      </c>
      <c r="AJ2265">
        <v>33.21</v>
      </c>
      <c r="AK2265">
        <v>23.8</v>
      </c>
      <c r="AL2265">
        <v>-20.157977799999941</v>
      </c>
      <c r="AM2265">
        <v>-44.906429896327573</v>
      </c>
      <c r="AN2265">
        <v>-20.157977799999941</v>
      </c>
      <c r="AO2265">
        <v>-44.906429896327573</v>
      </c>
      <c r="AP2265">
        <v>-20.157979999999998</v>
      </c>
      <c r="AQ2265">
        <v>-44.906365999999998</v>
      </c>
      <c r="AR2265">
        <v>6.6817330699236734</v>
      </c>
      <c r="AS2265" t="s">
        <v>65</v>
      </c>
      <c r="AT2265">
        <v>1</v>
      </c>
      <c r="AU2265" t="s">
        <v>1276</v>
      </c>
      <c r="AV2265" t="s">
        <v>1277</v>
      </c>
      <c r="AW2265" t="s">
        <v>60</v>
      </c>
      <c r="AX2265" t="s">
        <v>68</v>
      </c>
      <c r="AY2265" t="s">
        <v>69</v>
      </c>
      <c r="AZ2265" t="b">
        <v>1</v>
      </c>
    </row>
    <row r="2266" spans="1:52" x14ac:dyDescent="0.3">
      <c r="A2266" t="s">
        <v>52</v>
      </c>
      <c r="B2266" t="s">
        <v>53</v>
      </c>
      <c r="C2266" t="s">
        <v>54</v>
      </c>
      <c r="D2266" t="s">
        <v>55</v>
      </c>
      <c r="E2266" t="s">
        <v>2149</v>
      </c>
      <c r="F2266" t="s">
        <v>1247</v>
      </c>
      <c r="G2266" t="s">
        <v>1278</v>
      </c>
      <c r="H2266" t="s">
        <v>1279</v>
      </c>
      <c r="I2266" t="s">
        <v>1279</v>
      </c>
      <c r="J2266" t="s">
        <v>60</v>
      </c>
      <c r="K2266" t="s">
        <v>388</v>
      </c>
      <c r="L2266" t="s">
        <v>62</v>
      </c>
      <c r="M2266" t="s">
        <v>388</v>
      </c>
      <c r="N2266" t="s">
        <v>1280</v>
      </c>
      <c r="O2266" t="s">
        <v>216</v>
      </c>
      <c r="P2266">
        <v>-20.15681</v>
      </c>
      <c r="Q2266">
        <v>-44.899290999999998</v>
      </c>
      <c r="R2266" s="2" t="str">
        <f>HYPERLINK("https://www.google.com/maps?q=-20.1568100,-44.8992910","Abrir no Google Maps")</f>
        <v>Abrir no Google Maps</v>
      </c>
      <c r="S2266">
        <v>3</v>
      </c>
      <c r="T2266">
        <v>180.10162979749811</v>
      </c>
      <c r="U2266">
        <v>2</v>
      </c>
      <c r="V2266">
        <v>0.44689275781463289</v>
      </c>
      <c r="W2266">
        <v>0.85</v>
      </c>
      <c r="X2266">
        <v>0.37985884414243792</v>
      </c>
      <c r="Y2266">
        <v>729</v>
      </c>
      <c r="Z2266">
        <v>368.06065118133841</v>
      </c>
      <c r="AA2266">
        <v>198</v>
      </c>
      <c r="AB2266">
        <v>332</v>
      </c>
      <c r="AC2266">
        <v>536</v>
      </c>
      <c r="AD2266">
        <v>26.61</v>
      </c>
      <c r="AE2266">
        <v>542</v>
      </c>
      <c r="AF2266">
        <v>13</v>
      </c>
      <c r="AG2266">
        <v>180</v>
      </c>
      <c r="AH2266">
        <v>129</v>
      </c>
      <c r="AI2266">
        <v>2.4</v>
      </c>
      <c r="AJ2266">
        <v>33.21</v>
      </c>
      <c r="AK2266">
        <v>23.8</v>
      </c>
      <c r="AL2266">
        <v>-20.156785649999961</v>
      </c>
      <c r="AM2266">
        <v>-44.899254812291332</v>
      </c>
      <c r="AN2266">
        <v>-20.156785649999961</v>
      </c>
      <c r="AO2266">
        <v>-44.899254812291332</v>
      </c>
      <c r="AP2266">
        <v>-20.15681</v>
      </c>
      <c r="AQ2266">
        <v>-44.899290999999998</v>
      </c>
      <c r="AR2266">
        <v>4.6528211992813118</v>
      </c>
      <c r="AS2266" t="s">
        <v>65</v>
      </c>
      <c r="AT2266">
        <v>1</v>
      </c>
      <c r="AU2266" t="s">
        <v>1281</v>
      </c>
      <c r="AV2266" t="s">
        <v>1282</v>
      </c>
      <c r="AW2266" t="s">
        <v>60</v>
      </c>
      <c r="AX2266" t="s">
        <v>68</v>
      </c>
      <c r="AY2266" t="s">
        <v>69</v>
      </c>
      <c r="AZ2266" t="b">
        <v>1</v>
      </c>
    </row>
    <row r="2267" spans="1:52" x14ac:dyDescent="0.3">
      <c r="A2267" t="s">
        <v>52</v>
      </c>
      <c r="B2267" t="s">
        <v>53</v>
      </c>
      <c r="C2267" t="s">
        <v>54</v>
      </c>
      <c r="D2267" t="s">
        <v>55</v>
      </c>
      <c r="E2267" t="s">
        <v>2149</v>
      </c>
      <c r="F2267" t="s">
        <v>1247</v>
      </c>
      <c r="G2267" t="s">
        <v>1283</v>
      </c>
      <c r="H2267" t="s">
        <v>1284</v>
      </c>
      <c r="I2267" t="s">
        <v>1284</v>
      </c>
      <c r="J2267" t="s">
        <v>60</v>
      </c>
      <c r="K2267" t="s">
        <v>388</v>
      </c>
      <c r="L2267" t="s">
        <v>62</v>
      </c>
      <c r="M2267" t="s">
        <v>388</v>
      </c>
      <c r="N2267" t="s">
        <v>400</v>
      </c>
      <c r="O2267" t="s">
        <v>1285</v>
      </c>
      <c r="P2267">
        <v>-20.156977999999999</v>
      </c>
      <c r="Q2267">
        <v>-44.90325</v>
      </c>
      <c r="R2267" s="2" t="str">
        <f>HYPERLINK("https://www.google.com/maps?q=-20.1569780,-44.9032500","Abrir no Google Maps")</f>
        <v>Abrir no Google Maps</v>
      </c>
      <c r="S2267">
        <v>3</v>
      </c>
      <c r="T2267">
        <v>256.05633739092571</v>
      </c>
      <c r="U2267">
        <v>2</v>
      </c>
      <c r="V2267">
        <v>0.46140232133842851</v>
      </c>
      <c r="W2267">
        <v>0.85</v>
      </c>
      <c r="X2267">
        <v>0.39219197313766418</v>
      </c>
      <c r="Y2267">
        <v>729</v>
      </c>
      <c r="Z2267">
        <v>162.99447055889971</v>
      </c>
      <c r="AA2267">
        <v>198</v>
      </c>
      <c r="AB2267">
        <v>332</v>
      </c>
      <c r="AC2267">
        <v>536</v>
      </c>
      <c r="AD2267">
        <v>26.61</v>
      </c>
      <c r="AE2267">
        <v>542</v>
      </c>
      <c r="AF2267">
        <v>13</v>
      </c>
      <c r="AG2267">
        <v>180</v>
      </c>
      <c r="AH2267">
        <v>129</v>
      </c>
      <c r="AI2267">
        <v>2.4</v>
      </c>
      <c r="AJ2267">
        <v>33.21</v>
      </c>
      <c r="AK2267">
        <v>23.8</v>
      </c>
      <c r="AL2267">
        <v>-20.15696524999996</v>
      </c>
      <c r="AM2267">
        <v>-44.903258102626708</v>
      </c>
      <c r="AN2267">
        <v>-20.15696524999996</v>
      </c>
      <c r="AO2267">
        <v>-44.903258102626708</v>
      </c>
      <c r="AP2267">
        <v>-20.156977999999999</v>
      </c>
      <c r="AQ2267">
        <v>-44.90325</v>
      </c>
      <c r="AR2267">
        <v>1.6527147033629741</v>
      </c>
      <c r="AS2267" t="s">
        <v>65</v>
      </c>
      <c r="AT2267">
        <v>1</v>
      </c>
      <c r="AU2267" t="s">
        <v>1286</v>
      </c>
      <c r="AV2267" t="s">
        <v>1287</v>
      </c>
      <c r="AW2267" t="s">
        <v>60</v>
      </c>
      <c r="AX2267" t="s">
        <v>68</v>
      </c>
      <c r="AY2267" t="s">
        <v>69</v>
      </c>
      <c r="AZ2267" t="b">
        <v>1</v>
      </c>
    </row>
    <row r="2268" spans="1:52" x14ac:dyDescent="0.3">
      <c r="A2268" t="s">
        <v>52</v>
      </c>
      <c r="B2268" t="s">
        <v>53</v>
      </c>
      <c r="C2268" t="s">
        <v>54</v>
      </c>
      <c r="D2268" t="s">
        <v>55</v>
      </c>
      <c r="E2268" t="s">
        <v>2149</v>
      </c>
      <c r="F2268" t="s">
        <v>1247</v>
      </c>
      <c r="G2268" t="s">
        <v>1288</v>
      </c>
      <c r="H2268" t="s">
        <v>1289</v>
      </c>
      <c r="I2268" t="s">
        <v>1289</v>
      </c>
      <c r="J2268" t="s">
        <v>60</v>
      </c>
      <c r="K2268" t="s">
        <v>1290</v>
      </c>
      <c r="L2268" t="s">
        <v>62</v>
      </c>
      <c r="M2268" t="s">
        <v>1290</v>
      </c>
      <c r="N2268" t="s">
        <v>1291</v>
      </c>
      <c r="O2268" t="s">
        <v>315</v>
      </c>
      <c r="P2268">
        <v>-20.171008</v>
      </c>
      <c r="Q2268">
        <v>-44.918908999999999</v>
      </c>
      <c r="R2268" s="2" t="str">
        <f>HYPERLINK("https://www.google.com/maps?q=-20.1710080,-44.9189090","Abrir no Google Maps")</f>
        <v>Abrir no Google Maps</v>
      </c>
      <c r="S2268">
        <v>3</v>
      </c>
      <c r="T2268">
        <v>972.86786700299888</v>
      </c>
      <c r="U2268">
        <v>2</v>
      </c>
      <c r="V2268">
        <v>0.48070747422123727</v>
      </c>
      <c r="W2268">
        <v>0.85</v>
      </c>
      <c r="X2268">
        <v>0.40860135308805168</v>
      </c>
      <c r="Y2268">
        <v>723</v>
      </c>
      <c r="Z2268">
        <v>690.55600110253613</v>
      </c>
      <c r="AA2268">
        <v>198</v>
      </c>
      <c r="AB2268">
        <v>332</v>
      </c>
      <c r="AC2268">
        <v>536</v>
      </c>
      <c r="AD2268">
        <v>26.61</v>
      </c>
      <c r="AE2268">
        <v>542</v>
      </c>
      <c r="AF2268">
        <v>13</v>
      </c>
      <c r="AG2268">
        <v>180</v>
      </c>
      <c r="AH2268">
        <v>129</v>
      </c>
      <c r="AI2268">
        <v>2.4</v>
      </c>
      <c r="AJ2268">
        <v>33.21</v>
      </c>
      <c r="AK2268">
        <v>23.8</v>
      </c>
      <c r="AL2268">
        <v>-20.171738249999979</v>
      </c>
      <c r="AM2268">
        <v>-44.919736490382917</v>
      </c>
      <c r="AN2268">
        <v>-20.171738249999979</v>
      </c>
      <c r="AO2268">
        <v>-44.919736490382931</v>
      </c>
      <c r="AP2268">
        <v>-20.171008</v>
      </c>
      <c r="AQ2268">
        <v>-44.918908999999999</v>
      </c>
      <c r="AR2268">
        <v>118.678920061485</v>
      </c>
      <c r="AS2268" t="s">
        <v>65</v>
      </c>
      <c r="AT2268">
        <v>1</v>
      </c>
      <c r="AU2268" t="s">
        <v>1292</v>
      </c>
      <c r="AV2268" t="s">
        <v>1293</v>
      </c>
      <c r="AW2268" t="s">
        <v>60</v>
      </c>
      <c r="AX2268" t="s">
        <v>68</v>
      </c>
      <c r="AY2268" t="s">
        <v>69</v>
      </c>
      <c r="AZ2268" t="b">
        <v>1</v>
      </c>
    </row>
    <row r="2269" spans="1:52" x14ac:dyDescent="0.3">
      <c r="A2269" t="s">
        <v>52</v>
      </c>
      <c r="B2269" t="s">
        <v>53</v>
      </c>
      <c r="C2269" t="s">
        <v>54</v>
      </c>
      <c r="D2269" t="s">
        <v>55</v>
      </c>
      <c r="E2269" t="s">
        <v>2149</v>
      </c>
      <c r="F2269" t="s">
        <v>1247</v>
      </c>
      <c r="G2269" t="s">
        <v>1294</v>
      </c>
      <c r="H2269" t="s">
        <v>1295</v>
      </c>
      <c r="I2269" t="s">
        <v>1295</v>
      </c>
      <c r="J2269" t="s">
        <v>60</v>
      </c>
      <c r="K2269" t="s">
        <v>418</v>
      </c>
      <c r="L2269" t="s">
        <v>62</v>
      </c>
      <c r="M2269" t="s">
        <v>418</v>
      </c>
      <c r="N2269" t="s">
        <v>1296</v>
      </c>
      <c r="O2269" t="s">
        <v>1297</v>
      </c>
      <c r="P2269">
        <v>-20.169899999999998</v>
      </c>
      <c r="Q2269">
        <v>-44.916176999999998</v>
      </c>
      <c r="R2269" s="2" t="str">
        <f>HYPERLINK("https://www.google.com/maps?q=-20.1699000,-44.9161770","Abrir no Google Maps")</f>
        <v>Abrir no Google Maps</v>
      </c>
      <c r="S2269">
        <v>3</v>
      </c>
      <c r="T2269">
        <v>658.15251036568407</v>
      </c>
      <c r="U2269">
        <v>2</v>
      </c>
      <c r="V2269">
        <v>0.47062885191870091</v>
      </c>
      <c r="W2269">
        <v>0.85</v>
      </c>
      <c r="X2269">
        <v>0.40003452413089569</v>
      </c>
      <c r="Y2269">
        <v>723</v>
      </c>
      <c r="Z2269">
        <v>400.39092274559039</v>
      </c>
      <c r="AA2269">
        <v>198</v>
      </c>
      <c r="AB2269">
        <v>332</v>
      </c>
      <c r="AC2269">
        <v>536</v>
      </c>
      <c r="AD2269">
        <v>26.61</v>
      </c>
      <c r="AE2269">
        <v>542</v>
      </c>
      <c r="AF2269">
        <v>13</v>
      </c>
      <c r="AG2269">
        <v>180</v>
      </c>
      <c r="AH2269">
        <v>129</v>
      </c>
      <c r="AI2269">
        <v>2.4</v>
      </c>
      <c r="AJ2269">
        <v>33.21</v>
      </c>
      <c r="AK2269">
        <v>23.8</v>
      </c>
      <c r="AL2269">
        <v>-20.169898399999941</v>
      </c>
      <c r="AM2269">
        <v>-44.916247682868359</v>
      </c>
      <c r="AN2269">
        <v>-20.169898399999941</v>
      </c>
      <c r="AO2269">
        <v>-44.916247682868359</v>
      </c>
      <c r="AP2269">
        <v>-20.169899999999998</v>
      </c>
      <c r="AQ2269">
        <v>-44.916176999999998</v>
      </c>
      <c r="AR2269">
        <v>7.388028048308902</v>
      </c>
      <c r="AS2269" t="s">
        <v>65</v>
      </c>
      <c r="AT2269">
        <v>1</v>
      </c>
      <c r="AU2269" t="s">
        <v>1298</v>
      </c>
      <c r="AV2269" t="s">
        <v>1299</v>
      </c>
      <c r="AW2269" t="s">
        <v>60</v>
      </c>
      <c r="AX2269" t="s">
        <v>68</v>
      </c>
      <c r="AY2269" t="s">
        <v>69</v>
      </c>
      <c r="AZ2269" t="b">
        <v>1</v>
      </c>
    </row>
    <row r="2270" spans="1:52" x14ac:dyDescent="0.3">
      <c r="A2270" t="s">
        <v>52</v>
      </c>
      <c r="B2270" t="s">
        <v>53</v>
      </c>
      <c r="C2270" t="s">
        <v>54</v>
      </c>
      <c r="D2270" t="s">
        <v>55</v>
      </c>
      <c r="E2270" t="s">
        <v>2149</v>
      </c>
      <c r="F2270" t="s">
        <v>1247</v>
      </c>
      <c r="G2270" t="s">
        <v>1300</v>
      </c>
      <c r="H2270" t="s">
        <v>1301</v>
      </c>
      <c r="I2270" t="s">
        <v>1301</v>
      </c>
      <c r="J2270" t="s">
        <v>60</v>
      </c>
      <c r="K2270" t="s">
        <v>1302</v>
      </c>
      <c r="L2270" t="s">
        <v>62</v>
      </c>
      <c r="M2270" t="s">
        <v>1302</v>
      </c>
      <c r="N2270" t="s">
        <v>1303</v>
      </c>
      <c r="O2270" t="s">
        <v>1304</v>
      </c>
      <c r="P2270">
        <v>-20.166618</v>
      </c>
      <c r="Q2270">
        <v>-44.912920999999997</v>
      </c>
      <c r="R2270" s="2" t="str">
        <f>HYPERLINK("https://www.google.com/maps?q=-20.1666180,-44.9129210","Abrir no Google Maps")</f>
        <v>Abrir no Google Maps</v>
      </c>
      <c r="S2270">
        <v>3</v>
      </c>
      <c r="T2270">
        <v>636.32880156364706</v>
      </c>
      <c r="U2270">
        <v>2</v>
      </c>
      <c r="V2270">
        <v>0.46686922597207309</v>
      </c>
      <c r="W2270">
        <v>0.85</v>
      </c>
      <c r="X2270">
        <v>0.39683884207626208</v>
      </c>
      <c r="Y2270">
        <v>723</v>
      </c>
      <c r="Z2270">
        <v>407.62145176971592</v>
      </c>
      <c r="AA2270">
        <v>198</v>
      </c>
      <c r="AB2270">
        <v>332</v>
      </c>
      <c r="AC2270">
        <v>536</v>
      </c>
      <c r="AD2270">
        <v>26.61</v>
      </c>
      <c r="AE2270">
        <v>542</v>
      </c>
      <c r="AF2270">
        <v>13</v>
      </c>
      <c r="AG2270">
        <v>180</v>
      </c>
      <c r="AH2270">
        <v>129</v>
      </c>
      <c r="AI2270">
        <v>2.4</v>
      </c>
      <c r="AJ2270">
        <v>33.21</v>
      </c>
      <c r="AK2270">
        <v>23.8</v>
      </c>
      <c r="AL2270">
        <v>-20.166924799999951</v>
      </c>
      <c r="AM2270">
        <v>-44.912868681724092</v>
      </c>
      <c r="AN2270">
        <v>-20.166924799999951</v>
      </c>
      <c r="AO2270">
        <v>-44.912868681724092</v>
      </c>
      <c r="AP2270">
        <v>-20.166618</v>
      </c>
      <c r="AQ2270">
        <v>-44.912920999999997</v>
      </c>
      <c r="AR2270">
        <v>34.587771860198139</v>
      </c>
      <c r="AS2270" t="s">
        <v>65</v>
      </c>
      <c r="AT2270">
        <v>1</v>
      </c>
      <c r="AU2270" t="s">
        <v>1305</v>
      </c>
      <c r="AV2270" t="s">
        <v>1306</v>
      </c>
      <c r="AW2270" t="s">
        <v>60</v>
      </c>
      <c r="AX2270" t="s">
        <v>68</v>
      </c>
      <c r="AY2270" t="s">
        <v>69</v>
      </c>
      <c r="AZ2270" t="b">
        <v>1</v>
      </c>
    </row>
    <row r="2271" spans="1:52" x14ac:dyDescent="0.3">
      <c r="A2271" t="s">
        <v>52</v>
      </c>
      <c r="B2271" t="s">
        <v>53</v>
      </c>
      <c r="C2271" t="s">
        <v>54</v>
      </c>
      <c r="D2271" t="s">
        <v>55</v>
      </c>
      <c r="E2271" t="s">
        <v>2149</v>
      </c>
      <c r="F2271" t="s">
        <v>1247</v>
      </c>
      <c r="G2271" t="s">
        <v>1312</v>
      </c>
      <c r="H2271" t="s">
        <v>1313</v>
      </c>
      <c r="I2271" t="s">
        <v>1313</v>
      </c>
      <c r="J2271" t="s">
        <v>60</v>
      </c>
      <c r="K2271" t="s">
        <v>1314</v>
      </c>
      <c r="L2271" t="s">
        <v>62</v>
      </c>
      <c r="M2271" t="s">
        <v>1314</v>
      </c>
      <c r="N2271" t="s">
        <v>1315</v>
      </c>
      <c r="O2271" t="s">
        <v>315</v>
      </c>
      <c r="P2271">
        <v>-20.179649999999999</v>
      </c>
      <c r="Q2271">
        <v>-44.927177</v>
      </c>
      <c r="R2271" s="2" t="str">
        <f>HYPERLINK("https://www.google.com/maps?q=-20.1796500,-44.9271770","Abrir no Google Maps")</f>
        <v>Abrir no Google Maps</v>
      </c>
      <c r="S2271">
        <v>3</v>
      </c>
      <c r="T2271">
        <v>1742.181438658615</v>
      </c>
      <c r="U2271">
        <v>2</v>
      </c>
      <c r="V2271">
        <v>0.44112897742797219</v>
      </c>
      <c r="W2271">
        <v>0.85</v>
      </c>
      <c r="X2271">
        <v>0.37495963081377642</v>
      </c>
      <c r="Y2271">
        <v>723</v>
      </c>
      <c r="Z2271">
        <v>1801.262037027635</v>
      </c>
      <c r="AA2271">
        <v>198</v>
      </c>
      <c r="AB2271">
        <v>332</v>
      </c>
      <c r="AC2271">
        <v>536</v>
      </c>
      <c r="AD2271">
        <v>26.61</v>
      </c>
      <c r="AE2271">
        <v>542</v>
      </c>
      <c r="AF2271">
        <v>13</v>
      </c>
      <c r="AG2271">
        <v>180</v>
      </c>
      <c r="AH2271">
        <v>129</v>
      </c>
      <c r="AI2271">
        <v>2.4</v>
      </c>
      <c r="AJ2271">
        <v>33.21</v>
      </c>
      <c r="AK2271">
        <v>23.8</v>
      </c>
      <c r="AL2271">
        <v>-20.18058599999998</v>
      </c>
      <c r="AM2271">
        <v>-44.926708474999977</v>
      </c>
      <c r="AN2271">
        <v>-20.18058599999998</v>
      </c>
      <c r="AO2271">
        <v>-44.926708474999977</v>
      </c>
      <c r="AP2271">
        <v>-20.179649999999999</v>
      </c>
      <c r="AQ2271">
        <v>-44.927177</v>
      </c>
      <c r="AR2271">
        <v>115.1226868075416</v>
      </c>
      <c r="AS2271" t="s">
        <v>65</v>
      </c>
      <c r="AT2271">
        <v>1</v>
      </c>
      <c r="AU2271" t="s">
        <v>1316</v>
      </c>
      <c r="AV2271" t="s">
        <v>1317</v>
      </c>
      <c r="AW2271" t="s">
        <v>60</v>
      </c>
      <c r="AX2271" t="s">
        <v>68</v>
      </c>
      <c r="AY2271" t="s">
        <v>69</v>
      </c>
      <c r="AZ2271" t="b">
        <v>1</v>
      </c>
    </row>
    <row r="2272" spans="1:52" x14ac:dyDescent="0.3">
      <c r="A2272" t="s">
        <v>52</v>
      </c>
      <c r="B2272" t="s">
        <v>53</v>
      </c>
      <c r="C2272" t="s">
        <v>54</v>
      </c>
      <c r="D2272" t="s">
        <v>55</v>
      </c>
      <c r="E2272" t="s">
        <v>2149</v>
      </c>
      <c r="F2272" t="s">
        <v>1247</v>
      </c>
      <c r="G2272" t="s">
        <v>1318</v>
      </c>
      <c r="H2272" t="s">
        <v>1319</v>
      </c>
      <c r="I2272" t="s">
        <v>1319</v>
      </c>
      <c r="J2272" t="s">
        <v>60</v>
      </c>
      <c r="K2272" t="s">
        <v>1314</v>
      </c>
      <c r="L2272" t="s">
        <v>62</v>
      </c>
      <c r="M2272" t="s">
        <v>1314</v>
      </c>
      <c r="N2272" t="s">
        <v>1320</v>
      </c>
      <c r="O2272" t="s">
        <v>1321</v>
      </c>
      <c r="P2272">
        <v>-20.178615000000001</v>
      </c>
      <c r="Q2272">
        <v>-44.924697999999999</v>
      </c>
      <c r="R2272" s="2" t="str">
        <f>HYPERLINK("https://www.google.com/maps?q=-20.1786150,-44.9246980","Abrir no Google Maps")</f>
        <v>Abrir no Google Maps</v>
      </c>
      <c r="S2272">
        <v>3</v>
      </c>
      <c r="T2272">
        <v>1583.462557226148</v>
      </c>
      <c r="U2272">
        <v>2</v>
      </c>
      <c r="V2272">
        <v>0.428056468630793</v>
      </c>
      <c r="W2272">
        <v>0.85</v>
      </c>
      <c r="X2272">
        <v>0.36384799833617398</v>
      </c>
      <c r="Y2272">
        <v>723</v>
      </c>
      <c r="Z2272">
        <v>1414.1542726995031</v>
      </c>
      <c r="AA2272">
        <v>198</v>
      </c>
      <c r="AB2272">
        <v>332</v>
      </c>
      <c r="AC2272">
        <v>536</v>
      </c>
      <c r="AD2272">
        <v>26.61</v>
      </c>
      <c r="AE2272">
        <v>542</v>
      </c>
      <c r="AF2272">
        <v>13</v>
      </c>
      <c r="AG2272">
        <v>180</v>
      </c>
      <c r="AH2272">
        <v>129</v>
      </c>
      <c r="AI2272">
        <v>2.4</v>
      </c>
      <c r="AJ2272">
        <v>33.21</v>
      </c>
      <c r="AK2272">
        <v>23.8</v>
      </c>
      <c r="AL2272">
        <v>-20.17821329999995</v>
      </c>
      <c r="AM2272">
        <v>-44.924188563452951</v>
      </c>
      <c r="AN2272">
        <v>-20.17821329999995</v>
      </c>
      <c r="AO2272">
        <v>-44.924188563452951</v>
      </c>
      <c r="AP2272">
        <v>-20.178615000000001</v>
      </c>
      <c r="AQ2272">
        <v>-44.924697999999999</v>
      </c>
      <c r="AR2272">
        <v>69.520116290580319</v>
      </c>
      <c r="AS2272" t="s">
        <v>65</v>
      </c>
      <c r="AT2272">
        <v>1</v>
      </c>
      <c r="AU2272" t="s">
        <v>1322</v>
      </c>
      <c r="AV2272" t="s">
        <v>1317</v>
      </c>
      <c r="AW2272" t="s">
        <v>60</v>
      </c>
      <c r="AX2272" t="s">
        <v>68</v>
      </c>
      <c r="AY2272" t="s">
        <v>69</v>
      </c>
      <c r="AZ2272" t="b">
        <v>1</v>
      </c>
    </row>
    <row r="2273" spans="1:52" x14ac:dyDescent="0.3">
      <c r="A2273" t="s">
        <v>52</v>
      </c>
      <c r="B2273" t="s">
        <v>53</v>
      </c>
      <c r="C2273" t="s">
        <v>54</v>
      </c>
      <c r="D2273" t="s">
        <v>55</v>
      </c>
      <c r="E2273" t="s">
        <v>2149</v>
      </c>
      <c r="F2273" t="s">
        <v>1247</v>
      </c>
      <c r="G2273" t="s">
        <v>422</v>
      </c>
      <c r="H2273" t="s">
        <v>1323</v>
      </c>
      <c r="I2273" t="s">
        <v>1323</v>
      </c>
      <c r="J2273" t="s">
        <v>60</v>
      </c>
      <c r="K2273" t="s">
        <v>1324</v>
      </c>
      <c r="L2273" t="s">
        <v>62</v>
      </c>
      <c r="M2273" t="s">
        <v>1324</v>
      </c>
      <c r="N2273" t="s">
        <v>425</v>
      </c>
      <c r="O2273" t="s">
        <v>1325</v>
      </c>
      <c r="P2273">
        <v>-20.175142000000001</v>
      </c>
      <c r="Q2273">
        <v>-44.913783000000002</v>
      </c>
      <c r="R2273" s="2" t="str">
        <f>HYPERLINK("https://www.google.com/maps?q=-20.1751420,-44.9137830","Abrir no Google Maps")</f>
        <v>Abrir no Google Maps</v>
      </c>
      <c r="S2273">
        <v>3</v>
      </c>
      <c r="T2273">
        <v>495.73888273066677</v>
      </c>
      <c r="U2273">
        <v>2</v>
      </c>
      <c r="V2273">
        <v>0.47986280525705238</v>
      </c>
      <c r="W2273">
        <v>0.85</v>
      </c>
      <c r="X2273">
        <v>0.40788338446849448</v>
      </c>
      <c r="Y2273">
        <v>723</v>
      </c>
      <c r="Z2273">
        <v>488.51574748236328</v>
      </c>
      <c r="AA2273">
        <v>198</v>
      </c>
      <c r="AB2273">
        <v>332</v>
      </c>
      <c r="AC2273">
        <v>536</v>
      </c>
      <c r="AD2273">
        <v>26.61</v>
      </c>
      <c r="AE2273">
        <v>542</v>
      </c>
      <c r="AF2273">
        <v>13</v>
      </c>
      <c r="AG2273">
        <v>180</v>
      </c>
      <c r="AH2273">
        <v>129</v>
      </c>
      <c r="AI2273">
        <v>2.4</v>
      </c>
      <c r="AJ2273">
        <v>33.21</v>
      </c>
      <c r="AK2273">
        <v>23.8</v>
      </c>
      <c r="AL2273">
        <v>-20.175195199999958</v>
      </c>
      <c r="AM2273">
        <v>-44.913964122548052</v>
      </c>
      <c r="AN2273">
        <v>-20.175195199999958</v>
      </c>
      <c r="AO2273">
        <v>-44.913964122548052</v>
      </c>
      <c r="AP2273">
        <v>-20.175142000000001</v>
      </c>
      <c r="AQ2273">
        <v>-44.913783000000002</v>
      </c>
      <c r="AR2273">
        <v>19.830402633152101</v>
      </c>
      <c r="AS2273" t="s">
        <v>65</v>
      </c>
      <c r="AT2273">
        <v>1</v>
      </c>
      <c r="AU2273" t="s">
        <v>1326</v>
      </c>
      <c r="AV2273" t="s">
        <v>1327</v>
      </c>
      <c r="AW2273" t="s">
        <v>60</v>
      </c>
      <c r="AX2273" t="s">
        <v>68</v>
      </c>
      <c r="AY2273" t="s">
        <v>69</v>
      </c>
      <c r="AZ2273" t="b">
        <v>1</v>
      </c>
    </row>
    <row r="2274" spans="1:52" x14ac:dyDescent="0.3">
      <c r="A2274" t="s">
        <v>52</v>
      </c>
      <c r="B2274" t="s">
        <v>53</v>
      </c>
      <c r="C2274" t="s">
        <v>54</v>
      </c>
      <c r="D2274" t="s">
        <v>55</v>
      </c>
      <c r="E2274" t="s">
        <v>2149</v>
      </c>
      <c r="F2274" t="s">
        <v>1247</v>
      </c>
      <c r="G2274" t="s">
        <v>1333</v>
      </c>
      <c r="H2274" t="s">
        <v>1334</v>
      </c>
      <c r="I2274" t="s">
        <v>1334</v>
      </c>
      <c r="J2274" t="s">
        <v>60</v>
      </c>
      <c r="K2274" t="s">
        <v>437</v>
      </c>
      <c r="L2274" t="s">
        <v>62</v>
      </c>
      <c r="M2274" t="s">
        <v>437</v>
      </c>
      <c r="N2274" t="s">
        <v>1335</v>
      </c>
      <c r="O2274" t="s">
        <v>807</v>
      </c>
      <c r="P2274">
        <v>-20.148</v>
      </c>
      <c r="Q2274">
        <v>-44.880944999999997</v>
      </c>
      <c r="R2274" s="2" t="str">
        <f>HYPERLINK("https://www.google.com/maps?q=-20.1480000,-44.8809450","Abrir no Google Maps")</f>
        <v>Abrir no Google Maps</v>
      </c>
      <c r="S2274">
        <v>3</v>
      </c>
      <c r="T2274">
        <v>0</v>
      </c>
      <c r="U2274">
        <v>2</v>
      </c>
      <c r="V2274">
        <v>0.47007125503401559</v>
      </c>
      <c r="W2274">
        <v>0.85</v>
      </c>
      <c r="X2274">
        <v>0.39956056677891322</v>
      </c>
      <c r="Y2274">
        <v>653</v>
      </c>
      <c r="Z2274">
        <v>108.2792411420544</v>
      </c>
      <c r="AA2274">
        <v>198</v>
      </c>
      <c r="AB2274">
        <v>332</v>
      </c>
      <c r="AC2274">
        <v>536</v>
      </c>
      <c r="AD2274">
        <v>26.61</v>
      </c>
      <c r="AE2274">
        <v>542</v>
      </c>
      <c r="AF2274">
        <v>13</v>
      </c>
      <c r="AG2274">
        <v>180</v>
      </c>
      <c r="AH2274">
        <v>129</v>
      </c>
      <c r="AI2274">
        <v>2.4</v>
      </c>
      <c r="AJ2274">
        <v>33.21</v>
      </c>
      <c r="AK2274">
        <v>23.8</v>
      </c>
      <c r="AL2274">
        <v>-20.14802099999994</v>
      </c>
      <c r="AM2274">
        <v>-44.880951206225959</v>
      </c>
      <c r="AN2274">
        <v>-20.14802099999994</v>
      </c>
      <c r="AO2274">
        <v>-44.880951206225959</v>
      </c>
      <c r="AP2274">
        <v>-20.148</v>
      </c>
      <c r="AQ2274">
        <v>-44.880944999999997</v>
      </c>
      <c r="AR2274">
        <v>2.4260288619737169</v>
      </c>
      <c r="AS2274" t="s">
        <v>65</v>
      </c>
      <c r="AT2274">
        <v>1</v>
      </c>
      <c r="AU2274" t="s">
        <v>1336</v>
      </c>
      <c r="AV2274" t="s">
        <v>1337</v>
      </c>
      <c r="AW2274" t="s">
        <v>60</v>
      </c>
      <c r="AX2274" t="s">
        <v>68</v>
      </c>
      <c r="AY2274" t="s">
        <v>69</v>
      </c>
      <c r="AZ2274" t="b">
        <v>1</v>
      </c>
    </row>
    <row r="2275" spans="1:52" x14ac:dyDescent="0.3">
      <c r="A2275" t="s">
        <v>52</v>
      </c>
      <c r="B2275" t="s">
        <v>53</v>
      </c>
      <c r="C2275" t="s">
        <v>54</v>
      </c>
      <c r="D2275" t="s">
        <v>55</v>
      </c>
      <c r="E2275" t="s">
        <v>2149</v>
      </c>
      <c r="F2275" t="s">
        <v>1247</v>
      </c>
      <c r="G2275" t="s">
        <v>1342</v>
      </c>
      <c r="H2275" t="s">
        <v>1343</v>
      </c>
      <c r="I2275" t="s">
        <v>1343</v>
      </c>
      <c r="J2275" t="s">
        <v>60</v>
      </c>
      <c r="K2275" t="s">
        <v>462</v>
      </c>
      <c r="L2275" t="s">
        <v>62</v>
      </c>
      <c r="M2275" t="s">
        <v>462</v>
      </c>
      <c r="N2275" t="s">
        <v>921</v>
      </c>
      <c r="O2275" t="s">
        <v>1344</v>
      </c>
      <c r="P2275">
        <v>-20.137526000000001</v>
      </c>
      <c r="Q2275">
        <v>-44.912452999999999</v>
      </c>
      <c r="R2275" s="2" t="str">
        <f>HYPERLINK("https://www.google.com/maps?q=-20.1375260,-44.9124530","Abrir no Google Maps")</f>
        <v>Abrir no Google Maps</v>
      </c>
      <c r="S2275">
        <v>3</v>
      </c>
      <c r="T2275">
        <v>446.95091416730708</v>
      </c>
      <c r="U2275">
        <v>2</v>
      </c>
      <c r="V2275">
        <v>0.48808280859465669</v>
      </c>
      <c r="W2275">
        <v>0.85</v>
      </c>
      <c r="X2275">
        <v>0.41487038730545822</v>
      </c>
      <c r="Y2275">
        <v>581</v>
      </c>
      <c r="Z2275">
        <v>507.4747778269288</v>
      </c>
      <c r="AA2275">
        <v>198</v>
      </c>
      <c r="AB2275">
        <v>332</v>
      </c>
      <c r="AC2275">
        <v>536</v>
      </c>
      <c r="AD2275">
        <v>26.61</v>
      </c>
      <c r="AE2275">
        <v>542</v>
      </c>
      <c r="AF2275">
        <v>13</v>
      </c>
      <c r="AG2275">
        <v>180</v>
      </c>
      <c r="AH2275">
        <v>129</v>
      </c>
      <c r="AI2275">
        <v>2.4</v>
      </c>
      <c r="AJ2275">
        <v>33.21</v>
      </c>
      <c r="AK2275">
        <v>23.8</v>
      </c>
      <c r="AL2275">
        <v>-20.136672649999959</v>
      </c>
      <c r="AM2275">
        <v>-44.911825104396357</v>
      </c>
      <c r="AN2275">
        <v>-20.136672649999959</v>
      </c>
      <c r="AO2275">
        <v>-44.911825104396357</v>
      </c>
      <c r="AP2275">
        <v>-20.137526000000001</v>
      </c>
      <c r="AQ2275">
        <v>-44.912452999999999</v>
      </c>
      <c r="AR2275">
        <v>115.45843265992529</v>
      </c>
      <c r="AS2275" t="s">
        <v>65</v>
      </c>
      <c r="AT2275">
        <v>1</v>
      </c>
      <c r="AU2275" t="s">
        <v>1345</v>
      </c>
      <c r="AV2275" t="s">
        <v>1346</v>
      </c>
      <c r="AW2275" t="s">
        <v>60</v>
      </c>
      <c r="AX2275" t="s">
        <v>68</v>
      </c>
      <c r="AY2275" t="s">
        <v>69</v>
      </c>
      <c r="AZ2275" t="b">
        <v>1</v>
      </c>
    </row>
    <row r="2276" spans="1:52" x14ac:dyDescent="0.3">
      <c r="A2276" t="s">
        <v>52</v>
      </c>
      <c r="B2276" t="s">
        <v>53</v>
      </c>
      <c r="C2276" t="s">
        <v>54</v>
      </c>
      <c r="D2276" t="s">
        <v>55</v>
      </c>
      <c r="E2276" t="s">
        <v>2149</v>
      </c>
      <c r="F2276" t="s">
        <v>1247</v>
      </c>
      <c r="G2276" t="s">
        <v>1354</v>
      </c>
      <c r="H2276" t="s">
        <v>1355</v>
      </c>
      <c r="I2276" t="s">
        <v>1355</v>
      </c>
      <c r="J2276" t="s">
        <v>60</v>
      </c>
      <c r="K2276" t="s">
        <v>1356</v>
      </c>
      <c r="L2276" t="s">
        <v>62</v>
      </c>
      <c r="M2276" t="s">
        <v>1356</v>
      </c>
      <c r="N2276" t="s">
        <v>1357</v>
      </c>
      <c r="O2276" t="s">
        <v>315</v>
      </c>
      <c r="P2276">
        <v>-20.132080999999999</v>
      </c>
      <c r="Q2276">
        <v>-44.908614</v>
      </c>
      <c r="R2276" s="2" t="str">
        <f>HYPERLINK("https://www.google.com/maps?q=-20.1320810,-44.9086140","Abrir no Google Maps")</f>
        <v>Abrir no Google Maps</v>
      </c>
      <c r="S2276">
        <v>3</v>
      </c>
      <c r="T2276">
        <v>701.02570959373259</v>
      </c>
      <c r="U2276">
        <v>2</v>
      </c>
      <c r="V2276">
        <v>0.44162366447844548</v>
      </c>
      <c r="W2276">
        <v>0.85</v>
      </c>
      <c r="X2276">
        <v>0.37538011480667871</v>
      </c>
      <c r="Y2276">
        <v>581</v>
      </c>
      <c r="Z2276">
        <v>811.38061352229215</v>
      </c>
      <c r="AA2276">
        <v>198</v>
      </c>
      <c r="AB2276">
        <v>332</v>
      </c>
      <c r="AC2276">
        <v>536</v>
      </c>
      <c r="AD2276">
        <v>26.61</v>
      </c>
      <c r="AE2276">
        <v>542</v>
      </c>
      <c r="AF2276">
        <v>13</v>
      </c>
      <c r="AG2276">
        <v>180</v>
      </c>
      <c r="AH2276">
        <v>129</v>
      </c>
      <c r="AI2276">
        <v>2.4</v>
      </c>
      <c r="AJ2276">
        <v>33.21</v>
      </c>
      <c r="AK2276">
        <v>23.8</v>
      </c>
      <c r="AL2276">
        <v>-20.132063499999951</v>
      </c>
      <c r="AM2276">
        <v>-44.908630454878519</v>
      </c>
      <c r="AN2276">
        <v>-20.132063499999951</v>
      </c>
      <c r="AO2276">
        <v>-44.908630454878519</v>
      </c>
      <c r="AP2276">
        <v>-20.132080999999999</v>
      </c>
      <c r="AQ2276">
        <v>-44.908614</v>
      </c>
      <c r="AR2276">
        <v>2.5986425761911551</v>
      </c>
      <c r="AS2276" t="s">
        <v>65</v>
      </c>
      <c r="AT2276">
        <v>1</v>
      </c>
      <c r="AU2276" t="s">
        <v>1358</v>
      </c>
      <c r="AV2276" t="s">
        <v>1359</v>
      </c>
      <c r="AW2276" t="s">
        <v>60</v>
      </c>
      <c r="AX2276" t="s">
        <v>68</v>
      </c>
      <c r="AY2276" t="s">
        <v>69</v>
      </c>
      <c r="AZ2276" t="b">
        <v>1</v>
      </c>
    </row>
    <row r="2277" spans="1:52" x14ac:dyDescent="0.3">
      <c r="A2277" t="s">
        <v>52</v>
      </c>
      <c r="B2277" t="s">
        <v>53</v>
      </c>
      <c r="C2277" t="s">
        <v>54</v>
      </c>
      <c r="D2277" t="s">
        <v>55</v>
      </c>
      <c r="E2277" t="s">
        <v>2149</v>
      </c>
      <c r="F2277" t="s">
        <v>1247</v>
      </c>
      <c r="G2277" t="s">
        <v>858</v>
      </c>
      <c r="H2277" t="s">
        <v>1360</v>
      </c>
      <c r="I2277" t="s">
        <v>1360</v>
      </c>
      <c r="J2277" t="s">
        <v>60</v>
      </c>
      <c r="K2277" t="s">
        <v>1356</v>
      </c>
      <c r="L2277" t="s">
        <v>62</v>
      </c>
      <c r="M2277" t="s">
        <v>1356</v>
      </c>
      <c r="N2277" t="s">
        <v>860</v>
      </c>
      <c r="O2277" t="s">
        <v>1361</v>
      </c>
      <c r="P2277">
        <v>-20.134969000000002</v>
      </c>
      <c r="Q2277">
        <v>-44.909384000000003</v>
      </c>
      <c r="R2277" s="2" t="str">
        <f>HYPERLINK("https://www.google.com/maps?q=-20.1349690,-44.9093840","Abrir no Google Maps")</f>
        <v>Abrir no Google Maps</v>
      </c>
      <c r="S2277">
        <v>3</v>
      </c>
      <c r="T2277">
        <v>413.6655911675532</v>
      </c>
      <c r="U2277">
        <v>2</v>
      </c>
      <c r="V2277">
        <v>0.48766639041207138</v>
      </c>
      <c r="W2277">
        <v>0.85</v>
      </c>
      <c r="X2277">
        <v>0.41451643185026071</v>
      </c>
      <c r="Y2277">
        <v>581</v>
      </c>
      <c r="Z2277">
        <v>555.30228470489919</v>
      </c>
      <c r="AA2277">
        <v>198</v>
      </c>
      <c r="AB2277">
        <v>332</v>
      </c>
      <c r="AC2277">
        <v>536</v>
      </c>
      <c r="AD2277">
        <v>26.61</v>
      </c>
      <c r="AE2277">
        <v>542</v>
      </c>
      <c r="AF2277">
        <v>13</v>
      </c>
      <c r="AG2277">
        <v>180</v>
      </c>
      <c r="AH2277">
        <v>129</v>
      </c>
      <c r="AI2277">
        <v>2.4</v>
      </c>
      <c r="AJ2277">
        <v>33.21</v>
      </c>
      <c r="AK2277">
        <v>23.8</v>
      </c>
      <c r="AL2277">
        <v>-20.134922099999951</v>
      </c>
      <c r="AM2277">
        <v>-44.909483975879112</v>
      </c>
      <c r="AN2277">
        <v>-20.134922099999951</v>
      </c>
      <c r="AO2277">
        <v>-44.909483975879112</v>
      </c>
      <c r="AP2277">
        <v>-20.134969000000002</v>
      </c>
      <c r="AQ2277">
        <v>-44.909384000000003</v>
      </c>
      <c r="AR2277">
        <v>11.68085867639515</v>
      </c>
      <c r="AS2277" t="s">
        <v>65</v>
      </c>
      <c r="AT2277">
        <v>1</v>
      </c>
      <c r="AU2277" t="s">
        <v>1362</v>
      </c>
      <c r="AV2277" t="s">
        <v>1363</v>
      </c>
      <c r="AW2277" t="s">
        <v>60</v>
      </c>
      <c r="AX2277" t="s">
        <v>68</v>
      </c>
      <c r="AY2277" t="s">
        <v>69</v>
      </c>
      <c r="AZ2277" t="b">
        <v>1</v>
      </c>
    </row>
    <row r="2278" spans="1:52" x14ac:dyDescent="0.3">
      <c r="A2278" t="s">
        <v>52</v>
      </c>
      <c r="B2278" t="s">
        <v>53</v>
      </c>
      <c r="C2278" t="s">
        <v>54</v>
      </c>
      <c r="D2278" t="s">
        <v>55</v>
      </c>
      <c r="E2278" t="s">
        <v>2149</v>
      </c>
      <c r="F2278" t="s">
        <v>1247</v>
      </c>
      <c r="G2278" t="s">
        <v>1364</v>
      </c>
      <c r="H2278" t="s">
        <v>1365</v>
      </c>
      <c r="I2278" t="s">
        <v>1365</v>
      </c>
      <c r="J2278" t="s">
        <v>60</v>
      </c>
      <c r="K2278" t="s">
        <v>1356</v>
      </c>
      <c r="L2278" t="s">
        <v>62</v>
      </c>
      <c r="M2278" t="s">
        <v>1356</v>
      </c>
      <c r="N2278" t="s">
        <v>1366</v>
      </c>
      <c r="O2278" t="s">
        <v>548</v>
      </c>
      <c r="P2278">
        <v>-20.131240999999999</v>
      </c>
      <c r="Q2278">
        <v>-44.910567999999998</v>
      </c>
      <c r="R2278" s="2" t="str">
        <f>HYPERLINK("https://www.google.com/maps?q=-20.1312410,-44.9105680","Abrir no Google Maps")</f>
        <v>Abrir no Google Maps</v>
      </c>
      <c r="S2278">
        <v>3</v>
      </c>
      <c r="T2278">
        <v>822.61354861726704</v>
      </c>
      <c r="U2278">
        <v>2</v>
      </c>
      <c r="V2278">
        <v>0.45137059946985952</v>
      </c>
      <c r="W2278">
        <v>0.85</v>
      </c>
      <c r="X2278">
        <v>0.3836650095493806</v>
      </c>
      <c r="Y2278">
        <v>581</v>
      </c>
      <c r="Z2278">
        <v>982.3990834787046</v>
      </c>
      <c r="AA2278">
        <v>198</v>
      </c>
      <c r="AB2278">
        <v>332</v>
      </c>
      <c r="AC2278">
        <v>536</v>
      </c>
      <c r="AD2278">
        <v>26.61</v>
      </c>
      <c r="AE2278">
        <v>542</v>
      </c>
      <c r="AF2278">
        <v>13</v>
      </c>
      <c r="AG2278">
        <v>180</v>
      </c>
      <c r="AH2278">
        <v>129</v>
      </c>
      <c r="AI2278">
        <v>2.4</v>
      </c>
      <c r="AJ2278">
        <v>33.21</v>
      </c>
      <c r="AK2278">
        <v>23.8</v>
      </c>
      <c r="AL2278">
        <v>-20.131367099999981</v>
      </c>
      <c r="AM2278">
        <v>-44.910597350758543</v>
      </c>
      <c r="AN2278">
        <v>-20.131367099999981</v>
      </c>
      <c r="AO2278">
        <v>-44.910597350758543</v>
      </c>
      <c r="AP2278">
        <v>-20.131240999999999</v>
      </c>
      <c r="AQ2278">
        <v>-44.910567999999998</v>
      </c>
      <c r="AR2278">
        <v>14.36874794070623</v>
      </c>
      <c r="AS2278" t="s">
        <v>65</v>
      </c>
      <c r="AT2278">
        <v>1</v>
      </c>
      <c r="AU2278" t="s">
        <v>1367</v>
      </c>
      <c r="AV2278" t="s">
        <v>1368</v>
      </c>
      <c r="AW2278" t="s">
        <v>60</v>
      </c>
      <c r="AX2278" t="s">
        <v>68</v>
      </c>
      <c r="AY2278" t="s">
        <v>69</v>
      </c>
      <c r="AZ2278" t="b">
        <v>1</v>
      </c>
    </row>
    <row r="2279" spans="1:52" x14ac:dyDescent="0.3">
      <c r="A2279" t="s">
        <v>52</v>
      </c>
      <c r="B2279" t="s">
        <v>53</v>
      </c>
      <c r="C2279" t="s">
        <v>54</v>
      </c>
      <c r="D2279" t="s">
        <v>55</v>
      </c>
      <c r="E2279" t="s">
        <v>2149</v>
      </c>
      <c r="F2279" t="s">
        <v>1247</v>
      </c>
      <c r="G2279" t="s">
        <v>1364</v>
      </c>
      <c r="H2279" t="s">
        <v>1369</v>
      </c>
      <c r="I2279" t="s">
        <v>1369</v>
      </c>
      <c r="J2279" t="s">
        <v>60</v>
      </c>
      <c r="K2279" t="s">
        <v>1370</v>
      </c>
      <c r="L2279" t="s">
        <v>62</v>
      </c>
      <c r="M2279" t="s">
        <v>1370</v>
      </c>
      <c r="N2279" t="s">
        <v>1366</v>
      </c>
      <c r="O2279" t="s">
        <v>989</v>
      </c>
      <c r="P2279">
        <v>-20.141185</v>
      </c>
      <c r="Q2279">
        <v>-44.914200999999998</v>
      </c>
      <c r="R2279" s="2" t="str">
        <f>HYPERLINK("https://www.google.com/maps?q=-20.1411850,-44.9142010","Abrir no Google Maps")</f>
        <v>Abrir no Google Maps</v>
      </c>
      <c r="S2279">
        <v>3</v>
      </c>
      <c r="T2279">
        <v>512.52588459346453</v>
      </c>
      <c r="U2279">
        <v>2</v>
      </c>
      <c r="V2279">
        <v>0.46818967414339191</v>
      </c>
      <c r="W2279">
        <v>0.85</v>
      </c>
      <c r="X2279">
        <v>0.39796122302188308</v>
      </c>
      <c r="Y2279">
        <v>581</v>
      </c>
      <c r="Z2279">
        <v>473.10673043319349</v>
      </c>
      <c r="AA2279">
        <v>198</v>
      </c>
      <c r="AB2279">
        <v>332</v>
      </c>
      <c r="AC2279">
        <v>536</v>
      </c>
      <c r="AD2279">
        <v>26.61</v>
      </c>
      <c r="AE2279">
        <v>542</v>
      </c>
      <c r="AF2279">
        <v>13</v>
      </c>
      <c r="AG2279">
        <v>180</v>
      </c>
      <c r="AH2279">
        <v>129</v>
      </c>
      <c r="AI2279">
        <v>2.4</v>
      </c>
      <c r="AJ2279">
        <v>33.21</v>
      </c>
      <c r="AK2279">
        <v>23.8</v>
      </c>
      <c r="AL2279">
        <v>-20.14133909999995</v>
      </c>
      <c r="AM2279">
        <v>-44.913910219286038</v>
      </c>
      <c r="AN2279">
        <v>-20.14133909999995</v>
      </c>
      <c r="AO2279">
        <v>-44.913910219286038</v>
      </c>
      <c r="AP2279">
        <v>-20.141185</v>
      </c>
      <c r="AQ2279">
        <v>-44.914200999999998</v>
      </c>
      <c r="AR2279">
        <v>34.897514361429593</v>
      </c>
      <c r="AS2279" t="s">
        <v>65</v>
      </c>
      <c r="AT2279">
        <v>1</v>
      </c>
      <c r="AU2279" t="s">
        <v>1371</v>
      </c>
      <c r="AV2279" t="s">
        <v>863</v>
      </c>
      <c r="AW2279" t="s">
        <v>60</v>
      </c>
      <c r="AX2279" t="s">
        <v>68</v>
      </c>
      <c r="AY2279" t="s">
        <v>69</v>
      </c>
      <c r="AZ2279" t="b">
        <v>1</v>
      </c>
    </row>
    <row r="2280" spans="1:52" x14ac:dyDescent="0.3">
      <c r="A2280" t="s">
        <v>52</v>
      </c>
      <c r="B2280" t="s">
        <v>53</v>
      </c>
      <c r="C2280" t="s">
        <v>54</v>
      </c>
      <c r="D2280" t="s">
        <v>55</v>
      </c>
      <c r="E2280" t="s">
        <v>2149</v>
      </c>
      <c r="F2280" t="s">
        <v>1247</v>
      </c>
      <c r="G2280" t="s">
        <v>1376</v>
      </c>
      <c r="H2280" t="s">
        <v>1377</v>
      </c>
      <c r="I2280" t="s">
        <v>1377</v>
      </c>
      <c r="J2280" t="s">
        <v>60</v>
      </c>
      <c r="K2280" t="s">
        <v>475</v>
      </c>
      <c r="L2280" t="s">
        <v>62</v>
      </c>
      <c r="M2280" t="s">
        <v>475</v>
      </c>
      <c r="N2280" t="s">
        <v>1378</v>
      </c>
      <c r="O2280" t="s">
        <v>1379</v>
      </c>
      <c r="P2280">
        <v>-20.175298000000002</v>
      </c>
      <c r="Q2280">
        <v>-44.904794000000003</v>
      </c>
      <c r="R2280" s="2" t="str">
        <f>HYPERLINK("https://www.google.com/maps?q=-20.1752980,-44.9047940","Abrir no Google Maps")</f>
        <v>Abrir no Google Maps</v>
      </c>
      <c r="S2280">
        <v>3</v>
      </c>
      <c r="T2280">
        <v>497.7557906927301</v>
      </c>
      <c r="U2280">
        <v>2</v>
      </c>
      <c r="V2280">
        <v>0.42991103446643258</v>
      </c>
      <c r="W2280">
        <v>0.85</v>
      </c>
      <c r="X2280">
        <v>0.36542437929646771</v>
      </c>
      <c r="Y2280">
        <v>578</v>
      </c>
      <c r="Z2280">
        <v>363.80816567363502</v>
      </c>
      <c r="AA2280">
        <v>198</v>
      </c>
      <c r="AB2280">
        <v>332</v>
      </c>
      <c r="AC2280">
        <v>536</v>
      </c>
      <c r="AD2280">
        <v>26.61</v>
      </c>
      <c r="AE2280">
        <v>542</v>
      </c>
      <c r="AF2280">
        <v>13</v>
      </c>
      <c r="AG2280">
        <v>180</v>
      </c>
      <c r="AH2280">
        <v>129</v>
      </c>
      <c r="AI2280">
        <v>2.4</v>
      </c>
      <c r="AJ2280">
        <v>33.21</v>
      </c>
      <c r="AK2280">
        <v>23.8</v>
      </c>
      <c r="AL2280">
        <v>-20.17530484999995</v>
      </c>
      <c r="AM2280">
        <v>-44.904834224351781</v>
      </c>
      <c r="AN2280">
        <v>-20.17530484999995</v>
      </c>
      <c r="AO2280">
        <v>-44.904834224351781</v>
      </c>
      <c r="AP2280">
        <v>-20.175298000000002</v>
      </c>
      <c r="AQ2280">
        <v>-44.904794000000003</v>
      </c>
      <c r="AR2280">
        <v>4.2716392411563806</v>
      </c>
      <c r="AS2280" t="s">
        <v>65</v>
      </c>
      <c r="AT2280">
        <v>1</v>
      </c>
      <c r="AU2280" t="s">
        <v>1380</v>
      </c>
      <c r="AV2280" t="s">
        <v>1381</v>
      </c>
      <c r="AW2280" t="s">
        <v>60</v>
      </c>
      <c r="AX2280" t="s">
        <v>68</v>
      </c>
      <c r="AY2280" t="s">
        <v>69</v>
      </c>
      <c r="AZ2280" t="b">
        <v>1</v>
      </c>
    </row>
    <row r="2281" spans="1:52" x14ac:dyDescent="0.3">
      <c r="A2281" t="s">
        <v>52</v>
      </c>
      <c r="B2281" t="s">
        <v>53</v>
      </c>
      <c r="C2281" t="s">
        <v>54</v>
      </c>
      <c r="D2281" t="s">
        <v>55</v>
      </c>
      <c r="E2281" t="s">
        <v>2149</v>
      </c>
      <c r="F2281" t="s">
        <v>1247</v>
      </c>
      <c r="G2281" t="s">
        <v>870</v>
      </c>
      <c r="H2281" t="s">
        <v>871</v>
      </c>
      <c r="I2281" t="s">
        <v>871</v>
      </c>
      <c r="J2281" t="s">
        <v>60</v>
      </c>
      <c r="K2281" t="s">
        <v>475</v>
      </c>
      <c r="L2281" t="s">
        <v>62</v>
      </c>
      <c r="M2281" t="s">
        <v>475</v>
      </c>
      <c r="N2281" t="s">
        <v>872</v>
      </c>
      <c r="O2281" t="s">
        <v>507</v>
      </c>
      <c r="P2281">
        <v>-20.176269999999999</v>
      </c>
      <c r="Q2281">
        <v>-44.909323999999998</v>
      </c>
      <c r="R2281" s="2" t="str">
        <f>HYPERLINK("https://www.google.com/maps?q=-20.1762700,-44.9093240","Abrir no Google Maps")</f>
        <v>Abrir no Google Maps</v>
      </c>
      <c r="S2281">
        <v>3</v>
      </c>
      <c r="T2281">
        <v>472.42731136821368</v>
      </c>
      <c r="U2281">
        <v>2</v>
      </c>
      <c r="V2281">
        <v>0.41537513134259541</v>
      </c>
      <c r="W2281">
        <v>1</v>
      </c>
      <c r="X2281">
        <v>0.41537513134259541</v>
      </c>
      <c r="Y2281">
        <v>578</v>
      </c>
      <c r="Z2281">
        <v>495.19726726344601</v>
      </c>
      <c r="AA2281">
        <v>198</v>
      </c>
      <c r="AB2281">
        <v>332</v>
      </c>
      <c r="AC2281">
        <v>536</v>
      </c>
      <c r="AD2281">
        <v>26.61</v>
      </c>
      <c r="AE2281">
        <v>542</v>
      </c>
      <c r="AF2281">
        <v>13</v>
      </c>
      <c r="AG2281">
        <v>180</v>
      </c>
      <c r="AH2281">
        <v>129</v>
      </c>
      <c r="AI2281">
        <v>2.4</v>
      </c>
      <c r="AJ2281">
        <v>33.21</v>
      </c>
      <c r="AK2281">
        <v>23.8</v>
      </c>
      <c r="AL2281">
        <v>-20.17630284999996</v>
      </c>
      <c r="AM2281">
        <v>-44.909199064318948</v>
      </c>
      <c r="AN2281">
        <v>-20.17630284999996</v>
      </c>
      <c r="AO2281">
        <v>-44.909199064318948</v>
      </c>
      <c r="AP2281">
        <v>-20.176269999999999</v>
      </c>
      <c r="AQ2281">
        <v>-44.909323999999998</v>
      </c>
      <c r="AR2281">
        <v>13.55691308737447</v>
      </c>
      <c r="AS2281" t="s">
        <v>65</v>
      </c>
      <c r="AT2281">
        <v>1</v>
      </c>
      <c r="AU2281" t="s">
        <v>873</v>
      </c>
      <c r="AV2281" t="s">
        <v>874</v>
      </c>
      <c r="AW2281" t="s">
        <v>60</v>
      </c>
      <c r="AX2281" t="s">
        <v>68</v>
      </c>
      <c r="AY2281" t="s">
        <v>69</v>
      </c>
      <c r="AZ2281" t="b">
        <v>1</v>
      </c>
    </row>
    <row r="2282" spans="1:52" x14ac:dyDescent="0.3">
      <c r="A2282" t="s">
        <v>52</v>
      </c>
      <c r="B2282" t="s">
        <v>53</v>
      </c>
      <c r="C2282" t="s">
        <v>54</v>
      </c>
      <c r="D2282" t="s">
        <v>55</v>
      </c>
      <c r="E2282" t="s">
        <v>2149</v>
      </c>
      <c r="F2282" t="s">
        <v>1247</v>
      </c>
      <c r="G2282" t="s">
        <v>1382</v>
      </c>
      <c r="H2282" t="s">
        <v>1383</v>
      </c>
      <c r="I2282" t="s">
        <v>1383</v>
      </c>
      <c r="J2282" t="s">
        <v>60</v>
      </c>
      <c r="K2282" t="s">
        <v>1384</v>
      </c>
      <c r="L2282" t="s">
        <v>62</v>
      </c>
      <c r="M2282" t="s">
        <v>1384</v>
      </c>
      <c r="N2282" t="s">
        <v>1385</v>
      </c>
      <c r="O2282" t="s">
        <v>1379</v>
      </c>
      <c r="P2282">
        <v>-20.168914999999998</v>
      </c>
      <c r="Q2282">
        <v>-44.897015000000003</v>
      </c>
      <c r="R2282" s="2" t="str">
        <f>HYPERLINK("https://www.google.com/maps?q=-20.1689150,-44.8970150","Abrir no Google Maps")</f>
        <v>Abrir no Google Maps</v>
      </c>
      <c r="S2282">
        <v>3</v>
      </c>
      <c r="T2282">
        <v>1082.4313448281291</v>
      </c>
      <c r="U2282">
        <v>2</v>
      </c>
      <c r="V2282">
        <v>0.45139323931224351</v>
      </c>
      <c r="W2282">
        <v>0.85</v>
      </c>
      <c r="X2282">
        <v>0.38368425341540702</v>
      </c>
      <c r="Y2282">
        <v>578</v>
      </c>
      <c r="Z2282">
        <v>1085.6751638476369</v>
      </c>
      <c r="AA2282">
        <v>198</v>
      </c>
      <c r="AB2282">
        <v>332</v>
      </c>
      <c r="AC2282">
        <v>536</v>
      </c>
      <c r="AD2282">
        <v>26.61</v>
      </c>
      <c r="AE2282">
        <v>542</v>
      </c>
      <c r="AF2282">
        <v>13</v>
      </c>
      <c r="AG2282">
        <v>180</v>
      </c>
      <c r="AH2282">
        <v>129</v>
      </c>
      <c r="AI2282">
        <v>2.4</v>
      </c>
      <c r="AJ2282">
        <v>33.21</v>
      </c>
      <c r="AK2282">
        <v>23.8</v>
      </c>
      <c r="AL2282">
        <v>-20.168195549999979</v>
      </c>
      <c r="AM2282">
        <v>-44.895555997240763</v>
      </c>
      <c r="AN2282">
        <v>-20.168195549999979</v>
      </c>
      <c r="AO2282">
        <v>-44.895555997240763</v>
      </c>
      <c r="AP2282">
        <v>-20.168914999999998</v>
      </c>
      <c r="AQ2282">
        <v>-44.897015000000003</v>
      </c>
      <c r="AR2282">
        <v>172.21377736735809</v>
      </c>
      <c r="AS2282" t="s">
        <v>65</v>
      </c>
      <c r="AT2282">
        <v>1</v>
      </c>
      <c r="AU2282" t="s">
        <v>1386</v>
      </c>
      <c r="AV2282" t="s">
        <v>1387</v>
      </c>
      <c r="AW2282" t="s">
        <v>60</v>
      </c>
      <c r="AX2282" t="s">
        <v>68</v>
      </c>
      <c r="AY2282" t="s">
        <v>69</v>
      </c>
      <c r="AZ2282" t="b">
        <v>1</v>
      </c>
    </row>
    <row r="2283" spans="1:52" x14ac:dyDescent="0.3">
      <c r="A2283" t="s">
        <v>52</v>
      </c>
      <c r="B2283" t="s">
        <v>53</v>
      </c>
      <c r="C2283" t="s">
        <v>54</v>
      </c>
      <c r="D2283" t="s">
        <v>55</v>
      </c>
      <c r="E2283" t="s">
        <v>2149</v>
      </c>
      <c r="F2283" t="s">
        <v>1247</v>
      </c>
      <c r="G2283" t="s">
        <v>1388</v>
      </c>
      <c r="H2283" t="s">
        <v>1389</v>
      </c>
      <c r="I2283" t="s">
        <v>1389</v>
      </c>
      <c r="J2283" t="s">
        <v>60</v>
      </c>
      <c r="K2283" t="s">
        <v>475</v>
      </c>
      <c r="L2283" t="s">
        <v>62</v>
      </c>
      <c r="M2283" t="s">
        <v>475</v>
      </c>
      <c r="N2283" t="s">
        <v>1390</v>
      </c>
      <c r="O2283" t="s">
        <v>855</v>
      </c>
      <c r="P2283">
        <v>-20.173748</v>
      </c>
      <c r="Q2283">
        <v>-44.894596999999997</v>
      </c>
      <c r="R2283" s="2" t="str">
        <f>HYPERLINK("https://www.google.com/maps?q=-20.1737480,-44.8945970","Abrir no Google Maps")</f>
        <v>Abrir no Google Maps</v>
      </c>
      <c r="S2283">
        <v>3</v>
      </c>
      <c r="T2283">
        <v>1217.388518792701</v>
      </c>
      <c r="U2283">
        <v>2</v>
      </c>
      <c r="V2283">
        <v>0.45942266164140438</v>
      </c>
      <c r="W2283">
        <v>0.85</v>
      </c>
      <c r="X2283">
        <v>0.39050926239519368</v>
      </c>
      <c r="Y2283">
        <v>578</v>
      </c>
      <c r="Z2283">
        <v>1268.0048337091989</v>
      </c>
      <c r="AA2283">
        <v>198</v>
      </c>
      <c r="AB2283">
        <v>332</v>
      </c>
      <c r="AC2283">
        <v>536</v>
      </c>
      <c r="AD2283">
        <v>26.61</v>
      </c>
      <c r="AE2283">
        <v>542</v>
      </c>
      <c r="AF2283">
        <v>13</v>
      </c>
      <c r="AG2283">
        <v>180</v>
      </c>
      <c r="AH2283">
        <v>129</v>
      </c>
      <c r="AI2283">
        <v>2.4</v>
      </c>
      <c r="AJ2283">
        <v>33.21</v>
      </c>
      <c r="AK2283">
        <v>23.8</v>
      </c>
      <c r="AL2283">
        <v>-20.173821999999941</v>
      </c>
      <c r="AM2283">
        <v>-44.894306105833543</v>
      </c>
      <c r="AN2283">
        <v>-20.173821999999941</v>
      </c>
      <c r="AO2283">
        <v>-44.894306105833543</v>
      </c>
      <c r="AP2283">
        <v>-20.173748</v>
      </c>
      <c r="AQ2283">
        <v>-44.894596999999997</v>
      </c>
      <c r="AR2283">
        <v>31.492193006406161</v>
      </c>
      <c r="AS2283" t="s">
        <v>65</v>
      </c>
      <c r="AT2283">
        <v>1</v>
      </c>
      <c r="AU2283" t="s">
        <v>1391</v>
      </c>
      <c r="AV2283" t="s">
        <v>1392</v>
      </c>
      <c r="AW2283" t="s">
        <v>60</v>
      </c>
      <c r="AX2283" t="s">
        <v>68</v>
      </c>
      <c r="AY2283" t="s">
        <v>69</v>
      </c>
      <c r="AZ2283" t="b">
        <v>1</v>
      </c>
    </row>
    <row r="2284" spans="1:52" x14ac:dyDescent="0.3">
      <c r="A2284" t="s">
        <v>52</v>
      </c>
      <c r="B2284" t="s">
        <v>53</v>
      </c>
      <c r="C2284" t="s">
        <v>54</v>
      </c>
      <c r="D2284" t="s">
        <v>55</v>
      </c>
      <c r="E2284" t="s">
        <v>2149</v>
      </c>
      <c r="F2284" t="s">
        <v>1247</v>
      </c>
      <c r="G2284" t="s">
        <v>1393</v>
      </c>
      <c r="H2284" t="s">
        <v>1394</v>
      </c>
      <c r="I2284" t="s">
        <v>1394</v>
      </c>
      <c r="J2284" t="s">
        <v>60</v>
      </c>
      <c r="K2284" t="s">
        <v>388</v>
      </c>
      <c r="L2284" t="s">
        <v>62</v>
      </c>
      <c r="M2284" t="s">
        <v>388</v>
      </c>
      <c r="N2284" t="s">
        <v>1395</v>
      </c>
      <c r="O2284" t="s">
        <v>1396</v>
      </c>
      <c r="P2284">
        <v>-20.167425000000001</v>
      </c>
      <c r="Q2284">
        <v>-44.907733999999998</v>
      </c>
      <c r="R2284" s="2" t="str">
        <f>HYPERLINK("https://www.google.com/maps?q=-20.1674250,-44.9077340","Abrir no Google Maps")</f>
        <v>Abrir no Google Maps</v>
      </c>
      <c r="S2284">
        <v>3</v>
      </c>
      <c r="T2284">
        <v>424.62372109792739</v>
      </c>
      <c r="U2284">
        <v>2</v>
      </c>
      <c r="V2284">
        <v>0.48716979140078381</v>
      </c>
      <c r="W2284">
        <v>0.85</v>
      </c>
      <c r="X2284">
        <v>0.41409432269066621</v>
      </c>
      <c r="Y2284">
        <v>578</v>
      </c>
      <c r="Z2284">
        <v>559.08337206965382</v>
      </c>
      <c r="AA2284">
        <v>198</v>
      </c>
      <c r="AB2284">
        <v>332</v>
      </c>
      <c r="AC2284">
        <v>536</v>
      </c>
      <c r="AD2284">
        <v>26.61</v>
      </c>
      <c r="AE2284">
        <v>542</v>
      </c>
      <c r="AF2284">
        <v>13</v>
      </c>
      <c r="AG2284">
        <v>180</v>
      </c>
      <c r="AH2284">
        <v>129</v>
      </c>
      <c r="AI2284">
        <v>2.4</v>
      </c>
      <c r="AJ2284">
        <v>33.21</v>
      </c>
      <c r="AK2284">
        <v>23.8</v>
      </c>
      <c r="AL2284">
        <v>-20.167592099999951</v>
      </c>
      <c r="AM2284">
        <v>-44.907664214502859</v>
      </c>
      <c r="AN2284">
        <v>-20.167592099999951</v>
      </c>
      <c r="AO2284">
        <v>-44.907664214502859</v>
      </c>
      <c r="AP2284">
        <v>-20.167425000000001</v>
      </c>
      <c r="AQ2284">
        <v>-44.907733999999998</v>
      </c>
      <c r="AR2284">
        <v>19.979863459652229</v>
      </c>
      <c r="AS2284" t="s">
        <v>65</v>
      </c>
      <c r="AT2284">
        <v>1</v>
      </c>
      <c r="AU2284" t="s">
        <v>1397</v>
      </c>
      <c r="AV2284" t="s">
        <v>1398</v>
      </c>
      <c r="AW2284" t="s">
        <v>60</v>
      </c>
      <c r="AX2284" t="s">
        <v>68</v>
      </c>
      <c r="AY2284" t="s">
        <v>69</v>
      </c>
      <c r="AZ2284" t="b">
        <v>1</v>
      </c>
    </row>
    <row r="2285" spans="1:52" x14ac:dyDescent="0.3">
      <c r="A2285" t="s">
        <v>52</v>
      </c>
      <c r="B2285" t="s">
        <v>53</v>
      </c>
      <c r="C2285" t="s">
        <v>54</v>
      </c>
      <c r="D2285" t="s">
        <v>55</v>
      </c>
      <c r="E2285" t="s">
        <v>2149</v>
      </c>
      <c r="F2285" t="s">
        <v>1247</v>
      </c>
      <c r="G2285" t="s">
        <v>1399</v>
      </c>
      <c r="H2285" t="s">
        <v>1400</v>
      </c>
      <c r="I2285" t="s">
        <v>1400</v>
      </c>
      <c r="J2285" t="s">
        <v>60</v>
      </c>
      <c r="K2285" t="s">
        <v>475</v>
      </c>
      <c r="L2285" t="s">
        <v>62</v>
      </c>
      <c r="M2285" t="s">
        <v>475</v>
      </c>
      <c r="N2285" t="s">
        <v>1401</v>
      </c>
      <c r="O2285" t="s">
        <v>1080</v>
      </c>
      <c r="P2285">
        <v>-20.178809000000001</v>
      </c>
      <c r="Q2285">
        <v>-44.900204000000002</v>
      </c>
      <c r="R2285" s="2" t="str">
        <f>HYPERLINK("https://www.google.com/maps?q=-20.1788090,-44.9002040","Abrir no Google Maps")</f>
        <v>Abrir no Google Maps</v>
      </c>
      <c r="S2285">
        <v>3</v>
      </c>
      <c r="T2285">
        <v>1015.86498565614</v>
      </c>
      <c r="U2285">
        <v>2</v>
      </c>
      <c r="V2285">
        <v>0.43867000403362899</v>
      </c>
      <c r="W2285">
        <v>0.85</v>
      </c>
      <c r="X2285">
        <v>0.37286950342858471</v>
      </c>
      <c r="Y2285">
        <v>578</v>
      </c>
      <c r="Z2285">
        <v>954.77111474428102</v>
      </c>
      <c r="AA2285">
        <v>198</v>
      </c>
      <c r="AB2285">
        <v>332</v>
      </c>
      <c r="AC2285">
        <v>536</v>
      </c>
      <c r="AD2285">
        <v>26.61</v>
      </c>
      <c r="AE2285">
        <v>542</v>
      </c>
      <c r="AF2285">
        <v>13</v>
      </c>
      <c r="AG2285">
        <v>180</v>
      </c>
      <c r="AH2285">
        <v>129</v>
      </c>
      <c r="AI2285">
        <v>2.4</v>
      </c>
      <c r="AJ2285">
        <v>33.21</v>
      </c>
      <c r="AK2285">
        <v>23.8</v>
      </c>
      <c r="AL2285">
        <v>-20.178590099999951</v>
      </c>
      <c r="AM2285">
        <v>-44.90029029928732</v>
      </c>
      <c r="AN2285">
        <v>-20.178590099999951</v>
      </c>
      <c r="AO2285">
        <v>-44.90029029928732</v>
      </c>
      <c r="AP2285">
        <v>-20.178809000000001</v>
      </c>
      <c r="AQ2285">
        <v>-44.900204000000002</v>
      </c>
      <c r="AR2285">
        <v>25.982812999798391</v>
      </c>
      <c r="AS2285" t="s">
        <v>65</v>
      </c>
      <c r="AT2285">
        <v>1</v>
      </c>
      <c r="AU2285" t="s">
        <v>1402</v>
      </c>
      <c r="AV2285" t="s">
        <v>1403</v>
      </c>
      <c r="AW2285" t="s">
        <v>60</v>
      </c>
      <c r="AX2285" t="s">
        <v>68</v>
      </c>
      <c r="AY2285" t="s">
        <v>69</v>
      </c>
      <c r="AZ2285" t="b">
        <v>1</v>
      </c>
    </row>
    <row r="2286" spans="1:52" x14ac:dyDescent="0.3">
      <c r="A2286" t="s">
        <v>52</v>
      </c>
      <c r="B2286" t="s">
        <v>53</v>
      </c>
      <c r="C2286" t="s">
        <v>54</v>
      </c>
      <c r="D2286" t="s">
        <v>55</v>
      </c>
      <c r="E2286" t="s">
        <v>2149</v>
      </c>
      <c r="F2286" t="s">
        <v>1247</v>
      </c>
      <c r="G2286" t="s">
        <v>503</v>
      </c>
      <c r="H2286" t="s">
        <v>1441</v>
      </c>
      <c r="I2286" t="s">
        <v>1441</v>
      </c>
      <c r="J2286" t="s">
        <v>60</v>
      </c>
      <c r="K2286" t="s">
        <v>512</v>
      </c>
      <c r="L2286" t="s">
        <v>62</v>
      </c>
      <c r="M2286" t="s">
        <v>512</v>
      </c>
      <c r="N2286" t="s">
        <v>506</v>
      </c>
      <c r="O2286" t="s">
        <v>1442</v>
      </c>
      <c r="P2286">
        <v>-20.13036</v>
      </c>
      <c r="Q2286">
        <v>-44.891019</v>
      </c>
      <c r="R2286" s="2" t="str">
        <f>HYPERLINK("https://www.google.com/maps?q=-20.1303600,-44.8910190","Abrir no Google Maps")</f>
        <v>Abrir no Google Maps</v>
      </c>
      <c r="S2286">
        <v>3</v>
      </c>
      <c r="T2286">
        <v>313.17410616307359</v>
      </c>
      <c r="U2286">
        <v>2</v>
      </c>
      <c r="V2286">
        <v>0.42711681869533508</v>
      </c>
      <c r="W2286">
        <v>0.85</v>
      </c>
      <c r="X2286">
        <v>0.3630492958910348</v>
      </c>
      <c r="Y2286">
        <v>564</v>
      </c>
      <c r="Z2286">
        <v>208.43159293494489</v>
      </c>
      <c r="AA2286">
        <v>198</v>
      </c>
      <c r="AB2286">
        <v>332</v>
      </c>
      <c r="AC2286">
        <v>536</v>
      </c>
      <c r="AD2286">
        <v>26.61</v>
      </c>
      <c r="AE2286">
        <v>542</v>
      </c>
      <c r="AF2286">
        <v>13</v>
      </c>
      <c r="AG2286">
        <v>180</v>
      </c>
      <c r="AH2286">
        <v>129</v>
      </c>
      <c r="AI2286">
        <v>2.4</v>
      </c>
      <c r="AJ2286">
        <v>33.21</v>
      </c>
      <c r="AK2286">
        <v>23.8</v>
      </c>
      <c r="AL2286">
        <v>-20.130100449999961</v>
      </c>
      <c r="AM2286">
        <v>-44.891163633475301</v>
      </c>
      <c r="AN2286">
        <v>-20.130100449999961</v>
      </c>
      <c r="AO2286">
        <v>-44.891163633475301</v>
      </c>
      <c r="AP2286">
        <v>-20.13036</v>
      </c>
      <c r="AQ2286">
        <v>-44.891019</v>
      </c>
      <c r="AR2286">
        <v>32.608854575381159</v>
      </c>
      <c r="AS2286" t="s">
        <v>65</v>
      </c>
      <c r="AT2286">
        <v>1</v>
      </c>
      <c r="AU2286" t="s">
        <v>1443</v>
      </c>
      <c r="AV2286" t="s">
        <v>1444</v>
      </c>
      <c r="AW2286" t="s">
        <v>60</v>
      </c>
      <c r="AX2286" t="s">
        <v>68</v>
      </c>
      <c r="AY2286" t="s">
        <v>69</v>
      </c>
      <c r="AZ2286" t="b">
        <v>1</v>
      </c>
    </row>
    <row r="2287" spans="1:52" x14ac:dyDescent="0.3">
      <c r="A2287" t="s">
        <v>52</v>
      </c>
      <c r="B2287" t="s">
        <v>53</v>
      </c>
      <c r="C2287" t="s">
        <v>54</v>
      </c>
      <c r="D2287" t="s">
        <v>55</v>
      </c>
      <c r="E2287" t="s">
        <v>2149</v>
      </c>
      <c r="F2287" t="s">
        <v>1247</v>
      </c>
      <c r="G2287" t="s">
        <v>1408</v>
      </c>
      <c r="H2287" t="s">
        <v>1409</v>
      </c>
      <c r="I2287" t="s">
        <v>1409</v>
      </c>
      <c r="J2287" t="s">
        <v>60</v>
      </c>
      <c r="K2287" t="s">
        <v>200</v>
      </c>
      <c r="L2287" t="s">
        <v>62</v>
      </c>
      <c r="M2287" t="s">
        <v>200</v>
      </c>
      <c r="N2287" t="s">
        <v>1410</v>
      </c>
      <c r="O2287" t="s">
        <v>1001</v>
      </c>
      <c r="P2287">
        <v>-20.126062999999998</v>
      </c>
      <c r="Q2287">
        <v>-44.894936999999999</v>
      </c>
      <c r="R2287" s="2" t="str">
        <f>HYPERLINK("https://www.google.com/maps?q=-20.1260630,-44.8949370","Abrir no Google Maps")</f>
        <v>Abrir no Google Maps</v>
      </c>
      <c r="S2287">
        <v>3</v>
      </c>
      <c r="T2287">
        <v>747.3122077966558</v>
      </c>
      <c r="U2287">
        <v>2</v>
      </c>
      <c r="V2287">
        <v>0.44656777833912009</v>
      </c>
      <c r="W2287">
        <v>0.85</v>
      </c>
      <c r="X2287">
        <v>0.37958261158825207</v>
      </c>
      <c r="Y2287">
        <v>564</v>
      </c>
      <c r="Z2287">
        <v>693.80888866206885</v>
      </c>
      <c r="AA2287">
        <v>198</v>
      </c>
      <c r="AB2287">
        <v>332</v>
      </c>
      <c r="AC2287">
        <v>536</v>
      </c>
      <c r="AD2287">
        <v>26.61</v>
      </c>
      <c r="AE2287">
        <v>542</v>
      </c>
      <c r="AF2287">
        <v>13</v>
      </c>
      <c r="AG2287">
        <v>180</v>
      </c>
      <c r="AH2287">
        <v>129</v>
      </c>
      <c r="AI2287">
        <v>2.4</v>
      </c>
      <c r="AJ2287">
        <v>33.21</v>
      </c>
      <c r="AK2287">
        <v>23.8</v>
      </c>
      <c r="AL2287">
        <v>-20.126099149999959</v>
      </c>
      <c r="AM2287">
        <v>-44.894866076436763</v>
      </c>
      <c r="AN2287">
        <v>-20.126099149999959</v>
      </c>
      <c r="AO2287">
        <v>-44.894866076436749</v>
      </c>
      <c r="AP2287">
        <v>-20.126062999999998</v>
      </c>
      <c r="AQ2287">
        <v>-44.894936999999999</v>
      </c>
      <c r="AR2287">
        <v>8.4349593682699737</v>
      </c>
      <c r="AS2287" t="s">
        <v>65</v>
      </c>
      <c r="AT2287">
        <v>1</v>
      </c>
      <c r="AU2287" t="s">
        <v>1411</v>
      </c>
      <c r="AV2287" t="s">
        <v>1003</v>
      </c>
      <c r="AW2287" t="s">
        <v>60</v>
      </c>
      <c r="AX2287" t="s">
        <v>68</v>
      </c>
      <c r="AY2287" t="s">
        <v>69</v>
      </c>
      <c r="AZ2287" t="b">
        <v>1</v>
      </c>
    </row>
    <row r="2288" spans="1:52" x14ac:dyDescent="0.3">
      <c r="A2288" t="s">
        <v>52</v>
      </c>
      <c r="B2288" t="s">
        <v>53</v>
      </c>
      <c r="C2288" t="s">
        <v>54</v>
      </c>
      <c r="D2288" t="s">
        <v>55</v>
      </c>
      <c r="E2288" t="s">
        <v>2149</v>
      </c>
      <c r="F2288" t="s">
        <v>1247</v>
      </c>
      <c r="G2288" t="s">
        <v>1412</v>
      </c>
      <c r="H2288" t="s">
        <v>1413</v>
      </c>
      <c r="I2288" t="s">
        <v>1413</v>
      </c>
      <c r="J2288" t="s">
        <v>60</v>
      </c>
      <c r="K2288" t="s">
        <v>892</v>
      </c>
      <c r="L2288" t="s">
        <v>62</v>
      </c>
      <c r="M2288" t="s">
        <v>892</v>
      </c>
      <c r="N2288" t="s">
        <v>1414</v>
      </c>
      <c r="O2288" t="s">
        <v>293</v>
      </c>
      <c r="P2288">
        <v>-20.150780999999998</v>
      </c>
      <c r="Q2288">
        <v>-44.897972000000003</v>
      </c>
      <c r="R2288" s="2" t="str">
        <f>HYPERLINK("https://www.google.com/maps?q=-20.1507810,-44.8979720","Abrir no Google Maps")</f>
        <v>Abrir no Google Maps</v>
      </c>
      <c r="S2288">
        <v>3</v>
      </c>
      <c r="T2288">
        <v>306.36394634674508</v>
      </c>
      <c r="U2288">
        <v>2</v>
      </c>
      <c r="V2288">
        <v>0.43887621103091101</v>
      </c>
      <c r="W2288">
        <v>0.85</v>
      </c>
      <c r="X2288">
        <v>0.37304477937627428</v>
      </c>
      <c r="Y2288">
        <v>556</v>
      </c>
      <c r="Z2288">
        <v>233.85692443628571</v>
      </c>
      <c r="AA2288">
        <v>198</v>
      </c>
      <c r="AB2288">
        <v>332</v>
      </c>
      <c r="AC2288">
        <v>536</v>
      </c>
      <c r="AD2288">
        <v>26.61</v>
      </c>
      <c r="AE2288">
        <v>542</v>
      </c>
      <c r="AF2288">
        <v>13</v>
      </c>
      <c r="AG2288">
        <v>180</v>
      </c>
      <c r="AH2288">
        <v>129</v>
      </c>
      <c r="AI2288">
        <v>2.4</v>
      </c>
      <c r="AJ2288">
        <v>33.21</v>
      </c>
      <c r="AK2288">
        <v>23.8</v>
      </c>
      <c r="AL2288">
        <v>-20.15074609999996</v>
      </c>
      <c r="AM2288">
        <v>-44.89795774234689</v>
      </c>
      <c r="AN2288">
        <v>-20.15074609999996</v>
      </c>
      <c r="AO2288">
        <v>-44.89795774234689</v>
      </c>
      <c r="AP2288">
        <v>-20.150780999999998</v>
      </c>
      <c r="AQ2288">
        <v>-44.897972000000003</v>
      </c>
      <c r="AR2288">
        <v>4.160995809097348</v>
      </c>
      <c r="AS2288" t="s">
        <v>65</v>
      </c>
      <c r="AT2288">
        <v>1</v>
      </c>
      <c r="AU2288" t="s">
        <v>1415</v>
      </c>
      <c r="AV2288" t="s">
        <v>1416</v>
      </c>
      <c r="AW2288" t="s">
        <v>60</v>
      </c>
      <c r="AX2288" t="s">
        <v>68</v>
      </c>
      <c r="AY2288" t="s">
        <v>69</v>
      </c>
      <c r="AZ2288" t="b">
        <v>1</v>
      </c>
    </row>
    <row r="2289" spans="1:52" x14ac:dyDescent="0.3">
      <c r="A2289" t="s">
        <v>52</v>
      </c>
      <c r="B2289" t="s">
        <v>53</v>
      </c>
      <c r="C2289" t="s">
        <v>54</v>
      </c>
      <c r="D2289" t="s">
        <v>55</v>
      </c>
      <c r="E2289" t="s">
        <v>2149</v>
      </c>
      <c r="F2289" t="s">
        <v>1247</v>
      </c>
      <c r="G2289" t="s">
        <v>1127</v>
      </c>
      <c r="H2289" t="s">
        <v>1449</v>
      </c>
      <c r="I2289" t="s">
        <v>1449</v>
      </c>
      <c r="J2289" t="s">
        <v>60</v>
      </c>
      <c r="K2289" t="s">
        <v>1450</v>
      </c>
      <c r="L2289" t="s">
        <v>62</v>
      </c>
      <c r="M2289" t="s">
        <v>1450</v>
      </c>
      <c r="N2289" t="s">
        <v>1451</v>
      </c>
      <c r="O2289" t="s">
        <v>1452</v>
      </c>
      <c r="P2289">
        <v>-20.152612000000001</v>
      </c>
      <c r="Q2289">
        <v>-44.897098</v>
      </c>
      <c r="R2289" s="2" t="str">
        <f>HYPERLINK("https://www.google.com/maps?q=-20.1526120,-44.8970980","Abrir no Google Maps")</f>
        <v>Abrir no Google Maps</v>
      </c>
      <c r="S2289">
        <v>3</v>
      </c>
      <c r="T2289">
        <v>418.6283592063233</v>
      </c>
      <c r="U2289">
        <v>2</v>
      </c>
      <c r="V2289">
        <v>0.42577972314739798</v>
      </c>
      <c r="W2289">
        <v>0.85</v>
      </c>
      <c r="X2289">
        <v>0.36191276467528832</v>
      </c>
      <c r="Y2289">
        <v>556</v>
      </c>
      <c r="Z2289">
        <v>387.16462225830952</v>
      </c>
      <c r="AA2289">
        <v>198</v>
      </c>
      <c r="AB2289">
        <v>332</v>
      </c>
      <c r="AC2289">
        <v>536</v>
      </c>
      <c r="AD2289">
        <v>26.61</v>
      </c>
      <c r="AE2289">
        <v>542</v>
      </c>
      <c r="AF2289">
        <v>13</v>
      </c>
      <c r="AG2289">
        <v>180</v>
      </c>
      <c r="AH2289">
        <v>129</v>
      </c>
      <c r="AI2289">
        <v>2.4</v>
      </c>
      <c r="AJ2289">
        <v>33.21</v>
      </c>
      <c r="AK2289">
        <v>23.8</v>
      </c>
      <c r="AL2289">
        <v>-20.15253669999996</v>
      </c>
      <c r="AM2289">
        <v>-44.897068126936119</v>
      </c>
      <c r="AN2289">
        <v>-20.15253669999996</v>
      </c>
      <c r="AO2289">
        <v>-44.897068126936119</v>
      </c>
      <c r="AP2289">
        <v>-20.152612000000001</v>
      </c>
      <c r="AQ2289">
        <v>-44.897098</v>
      </c>
      <c r="AR2289">
        <v>8.9448699164987104</v>
      </c>
      <c r="AS2289" t="s">
        <v>65</v>
      </c>
      <c r="AT2289">
        <v>1</v>
      </c>
      <c r="AU2289" t="s">
        <v>1453</v>
      </c>
      <c r="AV2289" t="s">
        <v>1454</v>
      </c>
      <c r="AW2289" t="s">
        <v>60</v>
      </c>
      <c r="AX2289" t="s">
        <v>68</v>
      </c>
      <c r="AY2289" t="s">
        <v>69</v>
      </c>
      <c r="AZ2289" t="b">
        <v>1</v>
      </c>
    </row>
    <row r="2290" spans="1:52" x14ac:dyDescent="0.3">
      <c r="A2290" t="s">
        <v>52</v>
      </c>
      <c r="B2290" t="s">
        <v>53</v>
      </c>
      <c r="C2290" t="s">
        <v>54</v>
      </c>
      <c r="D2290" t="s">
        <v>55</v>
      </c>
      <c r="E2290" t="s">
        <v>2149</v>
      </c>
      <c r="F2290" t="s">
        <v>1247</v>
      </c>
      <c r="G2290" t="s">
        <v>1417</v>
      </c>
      <c r="H2290" t="s">
        <v>1418</v>
      </c>
      <c r="I2290" t="s">
        <v>1418</v>
      </c>
      <c r="J2290" t="s">
        <v>60</v>
      </c>
      <c r="K2290" t="s">
        <v>1419</v>
      </c>
      <c r="L2290" t="s">
        <v>62</v>
      </c>
      <c r="M2290" t="s">
        <v>1419</v>
      </c>
      <c r="N2290" t="s">
        <v>1420</v>
      </c>
      <c r="O2290" t="s">
        <v>1421</v>
      </c>
      <c r="P2290">
        <v>-20.159427000000001</v>
      </c>
      <c r="Q2290">
        <v>-44.897143</v>
      </c>
      <c r="R2290" s="2" t="str">
        <f>HYPERLINK("https://www.google.com/maps?q=-20.1594270,-44.8971430","Abrir no Google Maps")</f>
        <v>Abrir no Google Maps</v>
      </c>
      <c r="S2290">
        <v>3</v>
      </c>
      <c r="T2290">
        <v>392.64349875646298</v>
      </c>
      <c r="U2290">
        <v>1</v>
      </c>
      <c r="V2290">
        <v>0.4186720420093305</v>
      </c>
      <c r="W2290">
        <v>0.85</v>
      </c>
      <c r="X2290">
        <v>0.35587123570793089</v>
      </c>
      <c r="Y2290">
        <v>729</v>
      </c>
      <c r="Z2290">
        <v>550.20062797366995</v>
      </c>
      <c r="AA2290">
        <v>198</v>
      </c>
      <c r="AB2290">
        <v>332</v>
      </c>
      <c r="AC2290">
        <v>536</v>
      </c>
      <c r="AD2290">
        <v>26.61</v>
      </c>
      <c r="AE2290">
        <v>542</v>
      </c>
      <c r="AF2290">
        <v>13</v>
      </c>
      <c r="AG2290">
        <v>180</v>
      </c>
      <c r="AH2290">
        <v>129</v>
      </c>
      <c r="AI2290">
        <v>2.4</v>
      </c>
      <c r="AJ2290">
        <v>33.21</v>
      </c>
      <c r="AK2290">
        <v>23.8</v>
      </c>
      <c r="AL2290">
        <v>-20.15946549999995</v>
      </c>
      <c r="AM2290">
        <v>-44.89709959354267</v>
      </c>
      <c r="AN2290">
        <v>-20.15946549999995</v>
      </c>
      <c r="AO2290">
        <v>-44.89709959354267</v>
      </c>
      <c r="AP2290">
        <v>-20.159427000000001</v>
      </c>
      <c r="AQ2290">
        <v>-44.897143</v>
      </c>
      <c r="AR2290">
        <v>6.2404649979039286</v>
      </c>
      <c r="AS2290" t="s">
        <v>65</v>
      </c>
      <c r="AT2290">
        <v>1</v>
      </c>
      <c r="AU2290" t="s">
        <v>1422</v>
      </c>
      <c r="AV2290" t="s">
        <v>1423</v>
      </c>
      <c r="AW2290" t="s">
        <v>60</v>
      </c>
      <c r="AX2290" t="s">
        <v>68</v>
      </c>
      <c r="AY2290" t="s">
        <v>69</v>
      </c>
      <c r="AZ2290" t="b">
        <v>1</v>
      </c>
    </row>
    <row r="2291" spans="1:52" x14ac:dyDescent="0.3">
      <c r="A2291" t="s">
        <v>52</v>
      </c>
      <c r="B2291" t="s">
        <v>53</v>
      </c>
      <c r="C2291" t="s">
        <v>54</v>
      </c>
      <c r="D2291" t="s">
        <v>55</v>
      </c>
      <c r="E2291" t="s">
        <v>2149</v>
      </c>
      <c r="F2291" t="s">
        <v>1247</v>
      </c>
      <c r="G2291" t="s">
        <v>1424</v>
      </c>
      <c r="H2291" t="s">
        <v>1425</v>
      </c>
      <c r="I2291" t="s">
        <v>1425</v>
      </c>
      <c r="J2291" t="s">
        <v>60</v>
      </c>
      <c r="K2291" t="s">
        <v>1324</v>
      </c>
      <c r="L2291" t="s">
        <v>62</v>
      </c>
      <c r="M2291" t="s">
        <v>1324</v>
      </c>
      <c r="N2291" t="s">
        <v>1426</v>
      </c>
      <c r="O2291" t="s">
        <v>938</v>
      </c>
      <c r="P2291">
        <v>-20.172844999999999</v>
      </c>
      <c r="Q2291">
        <v>-44.909215000000003</v>
      </c>
      <c r="R2291" s="2" t="str">
        <f>HYPERLINK("https://www.google.com/maps?q=-20.1728450,-44.9092150","Abrir no Google Maps")</f>
        <v>Abrir no Google Maps</v>
      </c>
      <c r="S2291">
        <v>3</v>
      </c>
      <c r="T2291">
        <v>0</v>
      </c>
      <c r="U2291">
        <v>1</v>
      </c>
      <c r="V2291">
        <v>0.39911342592592591</v>
      </c>
      <c r="W2291">
        <v>0.85</v>
      </c>
      <c r="X2291">
        <v>0.33924641203703698</v>
      </c>
      <c r="Y2291">
        <v>578</v>
      </c>
      <c r="Z2291">
        <v>365.56549317689053</v>
      </c>
      <c r="AA2291">
        <v>198</v>
      </c>
      <c r="AB2291">
        <v>332</v>
      </c>
      <c r="AC2291">
        <v>536</v>
      </c>
      <c r="AD2291">
        <v>26.61</v>
      </c>
      <c r="AE2291">
        <v>542</v>
      </c>
      <c r="AF2291">
        <v>13</v>
      </c>
      <c r="AG2291">
        <v>180</v>
      </c>
      <c r="AH2291">
        <v>129</v>
      </c>
      <c r="AI2291">
        <v>2.4</v>
      </c>
      <c r="AJ2291">
        <v>33.21</v>
      </c>
      <c r="AK2291">
        <v>23.8</v>
      </c>
      <c r="AL2291">
        <v>-20.172197349999941</v>
      </c>
      <c r="AM2291">
        <v>-44.910438675762883</v>
      </c>
      <c r="AN2291">
        <v>-20.172197349999941</v>
      </c>
      <c r="AO2291">
        <v>-44.910438675762883</v>
      </c>
      <c r="AP2291">
        <v>-20.172844999999999</v>
      </c>
      <c r="AQ2291">
        <v>-44.909215000000003</v>
      </c>
      <c r="AR2291">
        <v>146.78922919749749</v>
      </c>
      <c r="AS2291" t="s">
        <v>65</v>
      </c>
      <c r="AT2291">
        <v>1</v>
      </c>
      <c r="AU2291" t="s">
        <v>1427</v>
      </c>
      <c r="AV2291" t="s">
        <v>1428</v>
      </c>
      <c r="AW2291" t="s">
        <v>60</v>
      </c>
      <c r="AX2291" t="s">
        <v>68</v>
      </c>
      <c r="AY2291" t="s">
        <v>69</v>
      </c>
      <c r="AZ2291" t="b">
        <v>1</v>
      </c>
    </row>
    <row r="2292" spans="1:52" x14ac:dyDescent="0.3">
      <c r="A2292" t="s">
        <v>52</v>
      </c>
      <c r="B2292" t="s">
        <v>53</v>
      </c>
      <c r="C2292" t="s">
        <v>54</v>
      </c>
      <c r="D2292" t="s">
        <v>55</v>
      </c>
      <c r="E2292" t="s">
        <v>2149</v>
      </c>
      <c r="F2292" t="s">
        <v>1247</v>
      </c>
      <c r="G2292" t="s">
        <v>1429</v>
      </c>
      <c r="H2292" t="s">
        <v>1430</v>
      </c>
      <c r="I2292" t="s">
        <v>1430</v>
      </c>
      <c r="J2292" t="s">
        <v>60</v>
      </c>
      <c r="K2292" t="s">
        <v>505</v>
      </c>
      <c r="L2292" t="s">
        <v>62</v>
      </c>
      <c r="M2292" t="s">
        <v>505</v>
      </c>
      <c r="N2292" t="s">
        <v>1431</v>
      </c>
      <c r="O2292" t="s">
        <v>1432</v>
      </c>
      <c r="P2292">
        <v>-20.132069000000001</v>
      </c>
      <c r="Q2292">
        <v>-44.891694000000001</v>
      </c>
      <c r="R2292" s="2" t="str">
        <f>HYPERLINK("https://www.google.com/maps?q=-20.1320690,-44.8916940","Abrir no Google Maps")</f>
        <v>Abrir no Google Maps</v>
      </c>
      <c r="S2292">
        <v>3</v>
      </c>
      <c r="T2292">
        <v>463.84477613866852</v>
      </c>
      <c r="U2292">
        <v>1</v>
      </c>
      <c r="V2292">
        <v>0.41690307720912778</v>
      </c>
      <c r="W2292">
        <v>0.85</v>
      </c>
      <c r="X2292">
        <v>0.35436761562775859</v>
      </c>
      <c r="Y2292">
        <v>564</v>
      </c>
      <c r="Z2292">
        <v>349.6044774510159</v>
      </c>
      <c r="AA2292">
        <v>198</v>
      </c>
      <c r="AB2292">
        <v>332</v>
      </c>
      <c r="AC2292">
        <v>536</v>
      </c>
      <c r="AD2292">
        <v>26.61</v>
      </c>
      <c r="AE2292">
        <v>542</v>
      </c>
      <c r="AF2292">
        <v>13</v>
      </c>
      <c r="AG2292">
        <v>180</v>
      </c>
      <c r="AH2292">
        <v>129</v>
      </c>
      <c r="AI2292">
        <v>2.4</v>
      </c>
      <c r="AJ2292">
        <v>33.21</v>
      </c>
      <c r="AK2292">
        <v>23.8</v>
      </c>
      <c r="AL2292">
        <v>-20.131860799999941</v>
      </c>
      <c r="AM2292">
        <v>-44.891643045551348</v>
      </c>
      <c r="AN2292">
        <v>-20.131860799999941</v>
      </c>
      <c r="AO2292">
        <v>-44.891643045551348</v>
      </c>
      <c r="AP2292">
        <v>-20.132069000000001</v>
      </c>
      <c r="AQ2292">
        <v>-44.891694000000001</v>
      </c>
      <c r="AR2292">
        <v>23.780836080569209</v>
      </c>
      <c r="AS2292" t="s">
        <v>65</v>
      </c>
      <c r="AT2292">
        <v>1</v>
      </c>
      <c r="AU2292" t="s">
        <v>1433</v>
      </c>
      <c r="AV2292" t="s">
        <v>1434</v>
      </c>
      <c r="AW2292" t="s">
        <v>60</v>
      </c>
      <c r="AX2292" t="s">
        <v>68</v>
      </c>
      <c r="AY2292" t="s">
        <v>69</v>
      </c>
      <c r="AZ2292" t="b">
        <v>1</v>
      </c>
    </row>
    <row r="2293" spans="1:52" x14ac:dyDescent="0.3">
      <c r="A2293" t="s">
        <v>52</v>
      </c>
      <c r="B2293" t="s">
        <v>53</v>
      </c>
      <c r="C2293" t="s">
        <v>54</v>
      </c>
      <c r="D2293" t="s">
        <v>55</v>
      </c>
      <c r="E2293" t="s">
        <v>2149</v>
      </c>
      <c r="F2293" t="s">
        <v>1247</v>
      </c>
      <c r="G2293" t="s">
        <v>1435</v>
      </c>
      <c r="H2293" t="s">
        <v>1436</v>
      </c>
      <c r="I2293" t="s">
        <v>1436</v>
      </c>
      <c r="J2293" t="s">
        <v>60</v>
      </c>
      <c r="K2293" t="s">
        <v>886</v>
      </c>
      <c r="L2293" t="s">
        <v>62</v>
      </c>
      <c r="M2293" t="s">
        <v>886</v>
      </c>
      <c r="N2293" t="s">
        <v>1437</v>
      </c>
      <c r="O2293" t="s">
        <v>1438</v>
      </c>
      <c r="P2293">
        <v>-20.131108000000001</v>
      </c>
      <c r="Q2293">
        <v>-44.893228000000001</v>
      </c>
      <c r="R2293" s="2" t="str">
        <f>HYPERLINK("https://www.google.com/maps?q=-20.1311080,-44.8932280","Abrir no Google Maps")</f>
        <v>Abrir no Google Maps</v>
      </c>
      <c r="S2293">
        <v>3</v>
      </c>
      <c r="T2293">
        <v>548.07497919430136</v>
      </c>
      <c r="U2293">
        <v>1</v>
      </c>
      <c r="V2293">
        <v>0.3886089591626482</v>
      </c>
      <c r="W2293">
        <v>0.85</v>
      </c>
      <c r="X2293">
        <v>0.33031761528825099</v>
      </c>
      <c r="Y2293">
        <v>564</v>
      </c>
      <c r="Z2293">
        <v>369.17139216388432</v>
      </c>
      <c r="AA2293">
        <v>198</v>
      </c>
      <c r="AB2293">
        <v>332</v>
      </c>
      <c r="AC2293">
        <v>536</v>
      </c>
      <c r="AD2293">
        <v>26.61</v>
      </c>
      <c r="AE2293">
        <v>542</v>
      </c>
      <c r="AF2293">
        <v>13</v>
      </c>
      <c r="AG2293">
        <v>180</v>
      </c>
      <c r="AH2293">
        <v>129</v>
      </c>
      <c r="AI2293">
        <v>2.4</v>
      </c>
      <c r="AJ2293">
        <v>33.21</v>
      </c>
      <c r="AK2293">
        <v>23.8</v>
      </c>
      <c r="AL2293">
        <v>-20.13103294999997</v>
      </c>
      <c r="AM2293">
        <v>-44.89318457893738</v>
      </c>
      <c r="AN2293">
        <v>-20.13103294999997</v>
      </c>
      <c r="AO2293">
        <v>-44.89318457893738</v>
      </c>
      <c r="AP2293">
        <v>-20.131108000000001</v>
      </c>
      <c r="AQ2293">
        <v>-44.893228000000001</v>
      </c>
      <c r="AR2293">
        <v>9.5076426885244203</v>
      </c>
      <c r="AS2293" t="s">
        <v>65</v>
      </c>
      <c r="AT2293">
        <v>1</v>
      </c>
      <c r="AU2293" t="s">
        <v>1439</v>
      </c>
      <c r="AV2293" t="s">
        <v>1440</v>
      </c>
      <c r="AW2293" t="s">
        <v>60</v>
      </c>
      <c r="AX2293" t="s">
        <v>68</v>
      </c>
      <c r="AY2293" t="s">
        <v>69</v>
      </c>
      <c r="AZ2293" t="b">
        <v>1</v>
      </c>
    </row>
    <row r="2294" spans="1:52" x14ac:dyDescent="0.3">
      <c r="A2294" t="s">
        <v>52</v>
      </c>
      <c r="B2294" t="s">
        <v>53</v>
      </c>
      <c r="C2294" t="s">
        <v>54</v>
      </c>
      <c r="D2294" t="s">
        <v>55</v>
      </c>
      <c r="E2294" t="s">
        <v>2149</v>
      </c>
      <c r="F2294" t="s">
        <v>1247</v>
      </c>
      <c r="G2294" t="s">
        <v>473</v>
      </c>
      <c r="H2294" t="s">
        <v>1445</v>
      </c>
      <c r="I2294" t="s">
        <v>1445</v>
      </c>
      <c r="J2294" t="s">
        <v>60</v>
      </c>
      <c r="K2294" t="s">
        <v>892</v>
      </c>
      <c r="L2294" t="s">
        <v>62</v>
      </c>
      <c r="M2294" t="s">
        <v>892</v>
      </c>
      <c r="N2294" t="s">
        <v>406</v>
      </c>
      <c r="O2294" t="s">
        <v>1446</v>
      </c>
      <c r="P2294">
        <v>-20.14941</v>
      </c>
      <c r="Q2294">
        <v>-44.899535</v>
      </c>
      <c r="R2294" s="2" t="str">
        <f>HYPERLINK("https://www.google.com/maps?q=-20.1494100,-44.8995350","Abrir no Google Maps")</f>
        <v>Abrir no Google Maps</v>
      </c>
      <c r="S2294">
        <v>3</v>
      </c>
      <c r="T2294">
        <v>249.83945591849931</v>
      </c>
      <c r="U2294">
        <v>1</v>
      </c>
      <c r="V2294">
        <v>0.41107336776105319</v>
      </c>
      <c r="W2294">
        <v>0.85</v>
      </c>
      <c r="X2294">
        <v>0.34941236259689518</v>
      </c>
      <c r="Y2294">
        <v>556</v>
      </c>
      <c r="Z2294">
        <v>156.62360082488701</v>
      </c>
      <c r="AA2294">
        <v>198</v>
      </c>
      <c r="AB2294">
        <v>332</v>
      </c>
      <c r="AC2294">
        <v>536</v>
      </c>
      <c r="AD2294">
        <v>26.61</v>
      </c>
      <c r="AE2294">
        <v>542</v>
      </c>
      <c r="AF2294">
        <v>13</v>
      </c>
      <c r="AG2294">
        <v>180</v>
      </c>
      <c r="AH2294">
        <v>129</v>
      </c>
      <c r="AI2294">
        <v>2.4</v>
      </c>
      <c r="AJ2294">
        <v>33.21</v>
      </c>
      <c r="AK2294">
        <v>23.8</v>
      </c>
      <c r="AL2294">
        <v>-20.149341899999939</v>
      </c>
      <c r="AM2294">
        <v>-44.899575902083967</v>
      </c>
      <c r="AN2294">
        <v>-20.149341899999939</v>
      </c>
      <c r="AO2294">
        <v>-44.899575902083967</v>
      </c>
      <c r="AP2294">
        <v>-20.14941</v>
      </c>
      <c r="AQ2294">
        <v>-44.899535</v>
      </c>
      <c r="AR2294">
        <v>8.7029725999778709</v>
      </c>
      <c r="AS2294" t="s">
        <v>65</v>
      </c>
      <c r="AT2294">
        <v>1</v>
      </c>
      <c r="AU2294" t="s">
        <v>1447</v>
      </c>
      <c r="AV2294" t="s">
        <v>1448</v>
      </c>
      <c r="AW2294" t="s">
        <v>60</v>
      </c>
      <c r="AX2294" t="s">
        <v>68</v>
      </c>
      <c r="AY2294" t="s">
        <v>69</v>
      </c>
      <c r="AZ2294" t="b">
        <v>1</v>
      </c>
    </row>
    <row r="2295" spans="1:52" x14ac:dyDescent="0.3">
      <c r="A2295" t="s">
        <v>52</v>
      </c>
      <c r="B2295" t="s">
        <v>53</v>
      </c>
      <c r="C2295" t="s">
        <v>54</v>
      </c>
      <c r="D2295" t="s">
        <v>55</v>
      </c>
      <c r="E2295" t="s">
        <v>2149</v>
      </c>
      <c r="F2295" t="s">
        <v>1247</v>
      </c>
      <c r="G2295" t="s">
        <v>1127</v>
      </c>
      <c r="H2295" t="s">
        <v>1455</v>
      </c>
      <c r="I2295" t="s">
        <v>1455</v>
      </c>
      <c r="J2295" t="s">
        <v>60</v>
      </c>
      <c r="K2295" t="s">
        <v>431</v>
      </c>
      <c r="L2295" t="s">
        <v>62</v>
      </c>
      <c r="M2295" t="s">
        <v>431</v>
      </c>
      <c r="N2295" t="s">
        <v>1456</v>
      </c>
      <c r="O2295" t="s">
        <v>1001</v>
      </c>
      <c r="P2295">
        <v>-20.168237999999999</v>
      </c>
      <c r="Q2295">
        <v>-44.924250999999998</v>
      </c>
      <c r="R2295" s="2" t="str">
        <f>HYPERLINK("https://www.google.com/maps?q=-20.1682380,-44.9242510","Abrir no Google Maps")</f>
        <v>Abrir no Google Maps</v>
      </c>
      <c r="S2295">
        <v>2</v>
      </c>
      <c r="T2295">
        <v>1220.188820430971</v>
      </c>
      <c r="U2295">
        <v>4</v>
      </c>
      <c r="V2295">
        <v>0.64157014812153157</v>
      </c>
      <c r="W2295">
        <v>0.85</v>
      </c>
      <c r="X2295">
        <v>0.54533462590330184</v>
      </c>
      <c r="Y2295">
        <v>723</v>
      </c>
      <c r="Z2295">
        <v>1092.4377883150901</v>
      </c>
      <c r="AA2295">
        <v>198</v>
      </c>
      <c r="AB2295">
        <v>332</v>
      </c>
      <c r="AC2295">
        <v>536</v>
      </c>
      <c r="AD2295">
        <v>26.61</v>
      </c>
      <c r="AE2295">
        <v>542</v>
      </c>
      <c r="AF2295">
        <v>13</v>
      </c>
      <c r="AG2295">
        <v>180</v>
      </c>
      <c r="AH2295">
        <v>129</v>
      </c>
      <c r="AI2295">
        <v>2.4</v>
      </c>
      <c r="AJ2295">
        <v>33.21</v>
      </c>
      <c r="AK2295">
        <v>23.8</v>
      </c>
      <c r="AL2295">
        <v>-20.168394999999951</v>
      </c>
      <c r="AM2295">
        <v>-44.923548168580673</v>
      </c>
      <c r="AN2295">
        <v>-20.168394999999951</v>
      </c>
      <c r="AO2295">
        <v>-44.923548168580673</v>
      </c>
      <c r="AP2295">
        <v>-20.168237999999999</v>
      </c>
      <c r="AQ2295">
        <v>-44.924250999999998</v>
      </c>
      <c r="AR2295">
        <v>75.492755104934275</v>
      </c>
      <c r="AS2295" t="s">
        <v>65</v>
      </c>
      <c r="AT2295">
        <v>1</v>
      </c>
      <c r="AU2295" t="s">
        <v>1457</v>
      </c>
      <c r="AV2295" t="s">
        <v>1458</v>
      </c>
      <c r="AW2295" t="s">
        <v>60</v>
      </c>
      <c r="AX2295" t="s">
        <v>68</v>
      </c>
      <c r="AY2295" t="s">
        <v>69</v>
      </c>
      <c r="AZ2295" t="b">
        <v>1</v>
      </c>
    </row>
    <row r="2296" spans="1:52" x14ac:dyDescent="0.3">
      <c r="A2296" t="s">
        <v>52</v>
      </c>
      <c r="B2296" t="s">
        <v>53</v>
      </c>
      <c r="C2296" t="s">
        <v>54</v>
      </c>
      <c r="D2296" t="s">
        <v>55</v>
      </c>
      <c r="E2296" t="s">
        <v>2149</v>
      </c>
      <c r="F2296" t="s">
        <v>1247</v>
      </c>
      <c r="G2296" t="s">
        <v>1459</v>
      </c>
      <c r="H2296" t="s">
        <v>1460</v>
      </c>
      <c r="I2296" t="s">
        <v>1460</v>
      </c>
      <c r="J2296" t="s">
        <v>60</v>
      </c>
      <c r="K2296" t="s">
        <v>431</v>
      </c>
      <c r="L2296" t="s">
        <v>62</v>
      </c>
      <c r="M2296" t="s">
        <v>431</v>
      </c>
      <c r="N2296" t="s">
        <v>1461</v>
      </c>
      <c r="O2296" t="s">
        <v>1462</v>
      </c>
      <c r="P2296">
        <v>-20.170182</v>
      </c>
      <c r="Q2296">
        <v>-44.922556999999998</v>
      </c>
      <c r="R2296" s="2" t="str">
        <f>HYPERLINK("https://www.google.com/maps?q=-20.1701820,-44.9225570","Abrir no Google Maps")</f>
        <v>Abrir no Google Maps</v>
      </c>
      <c r="S2296">
        <v>2</v>
      </c>
      <c r="T2296">
        <v>1189.3885679843149</v>
      </c>
      <c r="U2296">
        <v>4</v>
      </c>
      <c r="V2296">
        <v>0.6216870310173771</v>
      </c>
      <c r="W2296">
        <v>0.85</v>
      </c>
      <c r="X2296">
        <v>0.52843397636477052</v>
      </c>
      <c r="Y2296">
        <v>723</v>
      </c>
      <c r="Z2296">
        <v>961.89164604479117</v>
      </c>
      <c r="AA2296">
        <v>198</v>
      </c>
      <c r="AB2296">
        <v>332</v>
      </c>
      <c r="AC2296">
        <v>536</v>
      </c>
      <c r="AD2296">
        <v>26.61</v>
      </c>
      <c r="AE2296">
        <v>542</v>
      </c>
      <c r="AF2296">
        <v>13</v>
      </c>
      <c r="AG2296">
        <v>180</v>
      </c>
      <c r="AH2296">
        <v>129</v>
      </c>
      <c r="AI2296">
        <v>2.4</v>
      </c>
      <c r="AJ2296">
        <v>33.21</v>
      </c>
      <c r="AK2296">
        <v>23.8</v>
      </c>
      <c r="AL2296">
        <v>-20.169385449999961</v>
      </c>
      <c r="AM2296">
        <v>-44.922107101898007</v>
      </c>
      <c r="AN2296">
        <v>-20.169385449999961</v>
      </c>
      <c r="AO2296">
        <v>-44.922107101898007</v>
      </c>
      <c r="AP2296">
        <v>-20.170182</v>
      </c>
      <c r="AQ2296">
        <v>-44.922556999999998</v>
      </c>
      <c r="AR2296">
        <v>100.36329580049031</v>
      </c>
      <c r="AS2296" t="s">
        <v>65</v>
      </c>
      <c r="AT2296">
        <v>1</v>
      </c>
      <c r="AU2296" t="s">
        <v>1463</v>
      </c>
      <c r="AV2296" t="s">
        <v>1458</v>
      </c>
      <c r="AW2296" t="s">
        <v>60</v>
      </c>
      <c r="AX2296" t="s">
        <v>68</v>
      </c>
      <c r="AY2296" t="s">
        <v>69</v>
      </c>
      <c r="AZ2296" t="b">
        <v>1</v>
      </c>
    </row>
    <row r="2297" spans="1:52" x14ac:dyDescent="0.3">
      <c r="A2297" t="s">
        <v>52</v>
      </c>
      <c r="B2297" t="s">
        <v>53</v>
      </c>
      <c r="C2297" t="s">
        <v>54</v>
      </c>
      <c r="D2297" t="s">
        <v>55</v>
      </c>
      <c r="E2297" t="s">
        <v>2149</v>
      </c>
      <c r="F2297" t="s">
        <v>1247</v>
      </c>
      <c r="G2297" t="s">
        <v>1464</v>
      </c>
      <c r="H2297" t="s">
        <v>1465</v>
      </c>
      <c r="I2297" t="s">
        <v>1465</v>
      </c>
      <c r="J2297" t="s">
        <v>60</v>
      </c>
      <c r="K2297" t="s">
        <v>1466</v>
      </c>
      <c r="L2297" t="s">
        <v>62</v>
      </c>
      <c r="M2297" t="s">
        <v>1466</v>
      </c>
      <c r="N2297" t="s">
        <v>1467</v>
      </c>
      <c r="O2297" t="s">
        <v>145</v>
      </c>
      <c r="P2297">
        <v>-20.160509999999999</v>
      </c>
      <c r="Q2297">
        <v>-44.884123000000002</v>
      </c>
      <c r="R2297" s="2" t="str">
        <f>HYPERLINK("https://www.google.com/maps?q=-20.1605100,-44.8841230","Abrir no Google Maps")</f>
        <v>Abrir no Google Maps</v>
      </c>
      <c r="S2297">
        <v>2</v>
      </c>
      <c r="T2297">
        <v>650.04961276595373</v>
      </c>
      <c r="U2297">
        <v>4</v>
      </c>
      <c r="V2297">
        <v>0.47701892591647271</v>
      </c>
      <c r="W2297">
        <v>1</v>
      </c>
      <c r="X2297">
        <v>0.47701892591647271</v>
      </c>
      <c r="Y2297">
        <v>671</v>
      </c>
      <c r="Z2297">
        <v>591.49066685698506</v>
      </c>
      <c r="AA2297">
        <v>198</v>
      </c>
      <c r="AB2297">
        <v>332</v>
      </c>
      <c r="AC2297">
        <v>536</v>
      </c>
      <c r="AD2297">
        <v>26.61</v>
      </c>
      <c r="AE2297">
        <v>542</v>
      </c>
      <c r="AF2297">
        <v>13</v>
      </c>
      <c r="AG2297">
        <v>180</v>
      </c>
      <c r="AH2297">
        <v>129</v>
      </c>
      <c r="AI2297">
        <v>2.4</v>
      </c>
      <c r="AJ2297">
        <v>33.21</v>
      </c>
      <c r="AK2297">
        <v>23.8</v>
      </c>
      <c r="AL2297">
        <v>-20.16056479999995</v>
      </c>
      <c r="AM2297">
        <v>-44.88424978393428</v>
      </c>
      <c r="AN2297">
        <v>-20.160564799999939</v>
      </c>
      <c r="AO2297">
        <v>-44.88424978393428</v>
      </c>
      <c r="AP2297">
        <v>-20.160509999999999</v>
      </c>
      <c r="AQ2297">
        <v>-44.884123000000002</v>
      </c>
      <c r="AR2297">
        <v>14.585823463739541</v>
      </c>
      <c r="AS2297" t="s">
        <v>65</v>
      </c>
      <c r="AT2297">
        <v>1</v>
      </c>
      <c r="AU2297" t="s">
        <v>1468</v>
      </c>
      <c r="AV2297" t="s">
        <v>1469</v>
      </c>
      <c r="AW2297" t="s">
        <v>60</v>
      </c>
      <c r="AX2297" t="s">
        <v>68</v>
      </c>
      <c r="AY2297" t="s">
        <v>69</v>
      </c>
      <c r="AZ2297" t="b">
        <v>1</v>
      </c>
    </row>
    <row r="2298" spans="1:52" x14ac:dyDescent="0.3">
      <c r="A2298" t="s">
        <v>52</v>
      </c>
      <c r="B2298" t="s">
        <v>53</v>
      </c>
      <c r="C2298" t="s">
        <v>54</v>
      </c>
      <c r="D2298" t="s">
        <v>55</v>
      </c>
      <c r="E2298" t="s">
        <v>2149</v>
      </c>
      <c r="F2298" t="s">
        <v>1247</v>
      </c>
      <c r="G2298" t="s">
        <v>1333</v>
      </c>
      <c r="H2298" t="s">
        <v>1470</v>
      </c>
      <c r="I2298" t="s">
        <v>1470</v>
      </c>
      <c r="J2298" t="s">
        <v>60</v>
      </c>
      <c r="K2298" t="s">
        <v>437</v>
      </c>
      <c r="L2298" t="s">
        <v>62</v>
      </c>
      <c r="M2298" t="s">
        <v>437</v>
      </c>
      <c r="N2298" t="s">
        <v>1335</v>
      </c>
      <c r="O2298" t="s">
        <v>900</v>
      </c>
      <c r="P2298">
        <v>-20.147047000000001</v>
      </c>
      <c r="Q2298">
        <v>-44.883921999999998</v>
      </c>
      <c r="R2298" s="2" t="str">
        <f>HYPERLINK("https://www.google.com/maps?q=-20.1470470,-44.8839220","Abrir no Google Maps")</f>
        <v>Abrir no Google Maps</v>
      </c>
      <c r="S2298">
        <v>2</v>
      </c>
      <c r="T2298">
        <v>296.4098018832658</v>
      </c>
      <c r="U2298">
        <v>4</v>
      </c>
      <c r="V2298">
        <v>0.51677946603531955</v>
      </c>
      <c r="W2298">
        <v>1</v>
      </c>
      <c r="X2298">
        <v>0.51677946603531955</v>
      </c>
      <c r="Y2298">
        <v>653</v>
      </c>
      <c r="Z2298">
        <v>299.72271006042178</v>
      </c>
      <c r="AA2298">
        <v>198</v>
      </c>
      <c r="AB2298">
        <v>332</v>
      </c>
      <c r="AC2298">
        <v>536</v>
      </c>
      <c r="AD2298">
        <v>26.61</v>
      </c>
      <c r="AE2298">
        <v>542</v>
      </c>
      <c r="AF2298">
        <v>13</v>
      </c>
      <c r="AG2298">
        <v>180</v>
      </c>
      <c r="AH2298">
        <v>129</v>
      </c>
      <c r="AI2298">
        <v>2.4</v>
      </c>
      <c r="AJ2298">
        <v>33.21</v>
      </c>
      <c r="AK2298">
        <v>23.8</v>
      </c>
      <c r="AL2298">
        <v>-20.147074949999929</v>
      </c>
      <c r="AM2298">
        <v>-44.883796511502347</v>
      </c>
      <c r="AN2298">
        <v>-20.147074949999929</v>
      </c>
      <c r="AO2298">
        <v>-44.883796511502347</v>
      </c>
      <c r="AP2298">
        <v>-20.147047000000001</v>
      </c>
      <c r="AQ2298">
        <v>-44.883921999999998</v>
      </c>
      <c r="AR2298">
        <v>13.47864632994</v>
      </c>
      <c r="AS2298" t="s">
        <v>65</v>
      </c>
      <c r="AT2298">
        <v>1</v>
      </c>
      <c r="AU2298" t="s">
        <v>1471</v>
      </c>
      <c r="AV2298" t="s">
        <v>1472</v>
      </c>
      <c r="AW2298" t="s">
        <v>60</v>
      </c>
      <c r="AX2298" t="s">
        <v>68</v>
      </c>
      <c r="AY2298" t="s">
        <v>69</v>
      </c>
      <c r="AZ2298" t="b">
        <v>1</v>
      </c>
    </row>
    <row r="2299" spans="1:52" x14ac:dyDescent="0.3">
      <c r="A2299" t="s">
        <v>52</v>
      </c>
      <c r="B2299" t="s">
        <v>53</v>
      </c>
      <c r="C2299" t="s">
        <v>54</v>
      </c>
      <c r="D2299" t="s">
        <v>55</v>
      </c>
      <c r="E2299" t="s">
        <v>2149</v>
      </c>
      <c r="F2299" t="s">
        <v>1247</v>
      </c>
      <c r="G2299" t="s">
        <v>1473</v>
      </c>
      <c r="H2299" t="s">
        <v>1474</v>
      </c>
      <c r="I2299" t="s">
        <v>1474</v>
      </c>
      <c r="J2299" t="s">
        <v>60</v>
      </c>
      <c r="K2299" t="s">
        <v>1302</v>
      </c>
      <c r="L2299" t="s">
        <v>62</v>
      </c>
      <c r="M2299" t="s">
        <v>1302</v>
      </c>
      <c r="N2299" t="s">
        <v>1475</v>
      </c>
      <c r="O2299" t="s">
        <v>1476</v>
      </c>
      <c r="P2299">
        <v>-20.161372</v>
      </c>
      <c r="Q2299">
        <v>-44.914636999999999</v>
      </c>
      <c r="R2299" s="2" t="str">
        <f>HYPERLINK("https://www.google.com/maps?q=-20.1613720,-44.9146370","Abrir no Google Maps")</f>
        <v>Abrir no Google Maps</v>
      </c>
      <c r="S2299">
        <v>2</v>
      </c>
      <c r="T2299">
        <v>0</v>
      </c>
      <c r="U2299">
        <v>4</v>
      </c>
      <c r="V2299">
        <v>0.51260574377480272</v>
      </c>
      <c r="W2299">
        <v>1</v>
      </c>
      <c r="X2299">
        <v>0.51260574377480272</v>
      </c>
      <c r="Y2299">
        <v>639</v>
      </c>
      <c r="Z2299">
        <v>81.742669907651447</v>
      </c>
      <c r="AA2299">
        <v>198</v>
      </c>
      <c r="AB2299">
        <v>332</v>
      </c>
      <c r="AC2299">
        <v>536</v>
      </c>
      <c r="AD2299">
        <v>26.61</v>
      </c>
      <c r="AE2299">
        <v>542</v>
      </c>
      <c r="AF2299">
        <v>13</v>
      </c>
      <c r="AG2299">
        <v>180</v>
      </c>
      <c r="AH2299">
        <v>129</v>
      </c>
      <c r="AI2299">
        <v>2.4</v>
      </c>
      <c r="AJ2299">
        <v>33.21</v>
      </c>
      <c r="AK2299">
        <v>23.8</v>
      </c>
      <c r="AL2299">
        <v>-20.161294499999961</v>
      </c>
      <c r="AM2299">
        <v>-44.914614684493202</v>
      </c>
      <c r="AN2299">
        <v>-20.161294499999961</v>
      </c>
      <c r="AO2299">
        <v>-44.914614684493202</v>
      </c>
      <c r="AP2299">
        <v>-20.161372</v>
      </c>
      <c r="AQ2299">
        <v>-44.914636999999999</v>
      </c>
      <c r="AR2299">
        <v>8.9369058443944862</v>
      </c>
      <c r="AS2299" t="s">
        <v>65</v>
      </c>
      <c r="AT2299">
        <v>1</v>
      </c>
      <c r="AU2299" t="s">
        <v>1477</v>
      </c>
      <c r="AV2299" t="s">
        <v>1478</v>
      </c>
      <c r="AW2299" t="s">
        <v>60</v>
      </c>
      <c r="AX2299" t="s">
        <v>68</v>
      </c>
      <c r="AY2299" t="s">
        <v>69</v>
      </c>
      <c r="AZ2299" t="b">
        <v>1</v>
      </c>
    </row>
    <row r="2300" spans="1:52" x14ac:dyDescent="0.3">
      <c r="A2300" t="s">
        <v>52</v>
      </c>
      <c r="B2300" t="s">
        <v>53</v>
      </c>
      <c r="C2300" t="s">
        <v>54</v>
      </c>
      <c r="D2300" t="s">
        <v>55</v>
      </c>
      <c r="E2300" t="s">
        <v>2149</v>
      </c>
      <c r="F2300" t="s">
        <v>1247</v>
      </c>
      <c r="G2300" t="s">
        <v>1479</v>
      </c>
      <c r="H2300" t="s">
        <v>1480</v>
      </c>
      <c r="I2300" t="s">
        <v>1480</v>
      </c>
      <c r="J2300" t="s">
        <v>60</v>
      </c>
      <c r="K2300" t="s">
        <v>1302</v>
      </c>
      <c r="L2300" t="s">
        <v>62</v>
      </c>
      <c r="M2300" t="s">
        <v>1302</v>
      </c>
      <c r="N2300" t="s">
        <v>1481</v>
      </c>
      <c r="O2300" t="s">
        <v>1482</v>
      </c>
      <c r="P2300">
        <v>-20.164655</v>
      </c>
      <c r="Q2300">
        <v>-44.912697000000001</v>
      </c>
      <c r="R2300" s="2" t="str">
        <f>HYPERLINK("https://www.google.com/maps?q=-20.1646550,-44.9126970","Abrir no Google Maps")</f>
        <v>Abrir no Google Maps</v>
      </c>
      <c r="S2300">
        <v>2</v>
      </c>
      <c r="T2300">
        <v>441.50274004930441</v>
      </c>
      <c r="U2300">
        <v>4</v>
      </c>
      <c r="V2300">
        <v>0.4860420733504171</v>
      </c>
      <c r="W2300">
        <v>1</v>
      </c>
      <c r="X2300">
        <v>0.4860420733504171</v>
      </c>
      <c r="Y2300">
        <v>639</v>
      </c>
      <c r="Z2300">
        <v>311.03317029936522</v>
      </c>
      <c r="AA2300">
        <v>198</v>
      </c>
      <c r="AB2300">
        <v>332</v>
      </c>
      <c r="AC2300">
        <v>536</v>
      </c>
      <c r="AD2300">
        <v>26.61</v>
      </c>
      <c r="AE2300">
        <v>542</v>
      </c>
      <c r="AF2300">
        <v>13</v>
      </c>
      <c r="AG2300">
        <v>180</v>
      </c>
      <c r="AH2300">
        <v>129</v>
      </c>
      <c r="AI2300">
        <v>2.4</v>
      </c>
      <c r="AJ2300">
        <v>33.21</v>
      </c>
      <c r="AK2300">
        <v>23.8</v>
      </c>
      <c r="AL2300">
        <v>-20.164702999999971</v>
      </c>
      <c r="AM2300">
        <v>-44.912418857911163</v>
      </c>
      <c r="AN2300">
        <v>-20.164702999999971</v>
      </c>
      <c r="AO2300">
        <v>-44.912418857911163</v>
      </c>
      <c r="AP2300">
        <v>-20.164655</v>
      </c>
      <c r="AQ2300">
        <v>-44.912697000000001</v>
      </c>
      <c r="AR2300">
        <v>29.552017409892429</v>
      </c>
      <c r="AS2300" t="s">
        <v>65</v>
      </c>
      <c r="AT2300">
        <v>1</v>
      </c>
      <c r="AU2300" t="s">
        <v>1483</v>
      </c>
      <c r="AV2300" t="s">
        <v>1484</v>
      </c>
      <c r="AW2300" t="s">
        <v>60</v>
      </c>
      <c r="AX2300" t="s">
        <v>68</v>
      </c>
      <c r="AY2300" t="s">
        <v>69</v>
      </c>
      <c r="AZ2300" t="b">
        <v>1</v>
      </c>
    </row>
    <row r="2301" spans="1:52" x14ac:dyDescent="0.3">
      <c r="A2301" t="s">
        <v>52</v>
      </c>
      <c r="B2301" t="s">
        <v>53</v>
      </c>
      <c r="C2301" t="s">
        <v>54</v>
      </c>
      <c r="D2301" t="s">
        <v>55</v>
      </c>
      <c r="E2301" t="s">
        <v>2149</v>
      </c>
      <c r="F2301" t="s">
        <v>1247</v>
      </c>
      <c r="G2301" t="s">
        <v>1518</v>
      </c>
      <c r="H2301" t="s">
        <v>1519</v>
      </c>
      <c r="I2301" t="s">
        <v>1519</v>
      </c>
      <c r="J2301" t="s">
        <v>60</v>
      </c>
      <c r="K2301" t="s">
        <v>1302</v>
      </c>
      <c r="L2301" t="s">
        <v>62</v>
      </c>
      <c r="M2301" t="s">
        <v>1302</v>
      </c>
      <c r="N2301" t="s">
        <v>1520</v>
      </c>
      <c r="O2301" t="s">
        <v>1521</v>
      </c>
      <c r="P2301">
        <v>-20.16263</v>
      </c>
      <c r="Q2301">
        <v>-44.910342999999997</v>
      </c>
      <c r="R2301" s="2" t="str">
        <f>HYPERLINK("https://www.google.com/maps?q=-20.1626300,-44.9103430","Abrir no Google Maps")</f>
        <v>Abrir no Google Maps</v>
      </c>
      <c r="S2301">
        <v>2</v>
      </c>
      <c r="T2301">
        <v>492.63980270666781</v>
      </c>
      <c r="U2301">
        <v>4</v>
      </c>
      <c r="V2301">
        <v>0.4731644696819185</v>
      </c>
      <c r="W2301">
        <v>1</v>
      </c>
      <c r="X2301">
        <v>0.4731644696819185</v>
      </c>
      <c r="Y2301">
        <v>639</v>
      </c>
      <c r="Z2301">
        <v>412.49960371731271</v>
      </c>
      <c r="AA2301">
        <v>198</v>
      </c>
      <c r="AB2301">
        <v>332</v>
      </c>
      <c r="AC2301">
        <v>536</v>
      </c>
      <c r="AD2301">
        <v>26.61</v>
      </c>
      <c r="AE2301">
        <v>542</v>
      </c>
      <c r="AF2301">
        <v>13</v>
      </c>
      <c r="AG2301">
        <v>180</v>
      </c>
      <c r="AH2301">
        <v>129</v>
      </c>
      <c r="AI2301">
        <v>2.4</v>
      </c>
      <c r="AJ2301">
        <v>33.21</v>
      </c>
      <c r="AK2301">
        <v>23.8</v>
      </c>
      <c r="AL2301">
        <v>-20.162579949999952</v>
      </c>
      <c r="AM2301">
        <v>-44.910101148008863</v>
      </c>
      <c r="AN2301">
        <v>-20.162579949999952</v>
      </c>
      <c r="AO2301">
        <v>-44.910101148008863</v>
      </c>
      <c r="AP2301">
        <v>-20.16263</v>
      </c>
      <c r="AQ2301">
        <v>-44.910342999999997</v>
      </c>
      <c r="AR2301">
        <v>25.879932474893501</v>
      </c>
      <c r="AS2301" t="s">
        <v>65</v>
      </c>
      <c r="AT2301">
        <v>1</v>
      </c>
      <c r="AU2301" t="s">
        <v>1522</v>
      </c>
      <c r="AV2301" t="s">
        <v>1523</v>
      </c>
      <c r="AW2301" t="s">
        <v>60</v>
      </c>
      <c r="AX2301" t="s">
        <v>68</v>
      </c>
      <c r="AY2301" t="s">
        <v>69</v>
      </c>
      <c r="AZ2301" t="b">
        <v>1</v>
      </c>
    </row>
    <row r="2302" spans="1:52" x14ac:dyDescent="0.3">
      <c r="A2302" t="s">
        <v>52</v>
      </c>
      <c r="B2302" t="s">
        <v>53</v>
      </c>
      <c r="C2302" t="s">
        <v>54</v>
      </c>
      <c r="D2302" t="s">
        <v>55</v>
      </c>
      <c r="E2302" t="s">
        <v>2149</v>
      </c>
      <c r="F2302" t="s">
        <v>1247</v>
      </c>
      <c r="G2302" t="s">
        <v>1464</v>
      </c>
      <c r="H2302" t="s">
        <v>1485</v>
      </c>
      <c r="I2302" t="s">
        <v>1485</v>
      </c>
      <c r="J2302" t="s">
        <v>60</v>
      </c>
      <c r="K2302" t="s">
        <v>1486</v>
      </c>
      <c r="L2302" t="s">
        <v>62</v>
      </c>
      <c r="M2302" t="s">
        <v>1486</v>
      </c>
      <c r="N2302" t="s">
        <v>1467</v>
      </c>
      <c r="O2302" t="s">
        <v>1487</v>
      </c>
      <c r="P2302">
        <v>-20.162842000000001</v>
      </c>
      <c r="Q2302">
        <v>-44.883769999999998</v>
      </c>
      <c r="R2302" s="2" t="str">
        <f>HYPERLINK("https://www.google.com/maps?q=-20.1628420,-44.8837700","Abrir no Google Maps")</f>
        <v>Abrir no Google Maps</v>
      </c>
      <c r="S2302">
        <v>2</v>
      </c>
      <c r="T2302">
        <v>659.67909450906006</v>
      </c>
      <c r="U2302">
        <v>3</v>
      </c>
      <c r="V2302">
        <v>0.42559786249806142</v>
      </c>
      <c r="W2302">
        <v>1</v>
      </c>
      <c r="X2302">
        <v>0.42559786249806142</v>
      </c>
      <c r="Y2302">
        <v>671</v>
      </c>
      <c r="Z2302">
        <v>566.23107864368092</v>
      </c>
      <c r="AA2302">
        <v>198</v>
      </c>
      <c r="AB2302">
        <v>332</v>
      </c>
      <c r="AC2302">
        <v>536</v>
      </c>
      <c r="AD2302">
        <v>26.61</v>
      </c>
      <c r="AE2302">
        <v>542</v>
      </c>
      <c r="AF2302">
        <v>13</v>
      </c>
      <c r="AG2302">
        <v>180</v>
      </c>
      <c r="AH2302">
        <v>129</v>
      </c>
      <c r="AI2302">
        <v>2.4</v>
      </c>
      <c r="AJ2302">
        <v>33.21</v>
      </c>
      <c r="AK2302">
        <v>23.8</v>
      </c>
      <c r="AL2302">
        <v>-20.162791299999949</v>
      </c>
      <c r="AM2302">
        <v>-44.883966852092939</v>
      </c>
      <c r="AN2302">
        <v>-20.162791299999949</v>
      </c>
      <c r="AO2302">
        <v>-44.883966852092939</v>
      </c>
      <c r="AP2302">
        <v>-20.162842000000001</v>
      </c>
      <c r="AQ2302">
        <v>-44.883769999999998</v>
      </c>
      <c r="AR2302">
        <v>21.33085532825611</v>
      </c>
      <c r="AS2302" t="s">
        <v>65</v>
      </c>
      <c r="AT2302">
        <v>1</v>
      </c>
      <c r="AU2302" t="s">
        <v>1488</v>
      </c>
      <c r="AV2302" t="s">
        <v>1489</v>
      </c>
      <c r="AW2302" t="s">
        <v>60</v>
      </c>
      <c r="AX2302" t="s">
        <v>68</v>
      </c>
      <c r="AY2302" t="s">
        <v>69</v>
      </c>
      <c r="AZ2302" t="b">
        <v>1</v>
      </c>
    </row>
    <row r="2303" spans="1:52" x14ac:dyDescent="0.3">
      <c r="A2303" t="s">
        <v>52</v>
      </c>
      <c r="B2303" t="s">
        <v>53</v>
      </c>
      <c r="C2303" t="s">
        <v>54</v>
      </c>
      <c r="D2303" t="s">
        <v>55</v>
      </c>
      <c r="E2303" t="s">
        <v>2149</v>
      </c>
      <c r="F2303" t="s">
        <v>1247</v>
      </c>
      <c r="G2303" t="s">
        <v>1490</v>
      </c>
      <c r="H2303" t="s">
        <v>1491</v>
      </c>
      <c r="I2303" t="s">
        <v>1491</v>
      </c>
      <c r="J2303" t="s">
        <v>60</v>
      </c>
      <c r="K2303" t="s">
        <v>336</v>
      </c>
      <c r="L2303" t="s">
        <v>62</v>
      </c>
      <c r="M2303" t="s">
        <v>336</v>
      </c>
      <c r="N2303" t="s">
        <v>1492</v>
      </c>
      <c r="O2303" t="s">
        <v>842</v>
      </c>
      <c r="P2303">
        <v>-20.164228999999999</v>
      </c>
      <c r="Q2303">
        <v>-44.876455999999997</v>
      </c>
      <c r="R2303" s="2" t="str">
        <f>HYPERLINK("https://www.google.com/maps?q=-20.1642290,-44.8764560","Abrir no Google Maps")</f>
        <v>Abrir no Google Maps</v>
      </c>
      <c r="S2303">
        <v>2</v>
      </c>
      <c r="T2303">
        <v>420.00990411628987</v>
      </c>
      <c r="U2303">
        <v>3</v>
      </c>
      <c r="V2303">
        <v>0.43254677190826152</v>
      </c>
      <c r="W2303">
        <v>1</v>
      </c>
      <c r="X2303">
        <v>0.43254677190826152</v>
      </c>
      <c r="Y2303">
        <v>671</v>
      </c>
      <c r="Z2303">
        <v>375.90194920648611</v>
      </c>
      <c r="AA2303">
        <v>198</v>
      </c>
      <c r="AB2303">
        <v>332</v>
      </c>
      <c r="AC2303">
        <v>536</v>
      </c>
      <c r="AD2303">
        <v>26.61</v>
      </c>
      <c r="AE2303">
        <v>542</v>
      </c>
      <c r="AF2303">
        <v>13</v>
      </c>
      <c r="AG2303">
        <v>180</v>
      </c>
      <c r="AH2303">
        <v>129</v>
      </c>
      <c r="AI2303">
        <v>2.4</v>
      </c>
      <c r="AJ2303">
        <v>33.21</v>
      </c>
      <c r="AK2303">
        <v>23.8</v>
      </c>
      <c r="AL2303">
        <v>-20.164255749999938</v>
      </c>
      <c r="AM2303">
        <v>-44.876471676086922</v>
      </c>
      <c r="AN2303">
        <v>-20.164255749999938</v>
      </c>
      <c r="AO2303">
        <v>-44.876471676086922</v>
      </c>
      <c r="AP2303">
        <v>-20.164228999999999</v>
      </c>
      <c r="AQ2303">
        <v>-44.876455999999997</v>
      </c>
      <c r="AR2303">
        <v>3.3986375813953771</v>
      </c>
      <c r="AS2303" t="s">
        <v>65</v>
      </c>
      <c r="AT2303">
        <v>1</v>
      </c>
      <c r="AU2303" t="s">
        <v>1493</v>
      </c>
      <c r="AV2303" t="s">
        <v>1494</v>
      </c>
      <c r="AW2303" t="s">
        <v>60</v>
      </c>
      <c r="AX2303" t="s">
        <v>68</v>
      </c>
      <c r="AY2303" t="s">
        <v>69</v>
      </c>
      <c r="AZ2303" t="b">
        <v>1</v>
      </c>
    </row>
    <row r="2304" spans="1:52" x14ac:dyDescent="0.3">
      <c r="A2304" t="s">
        <v>52</v>
      </c>
      <c r="B2304" t="s">
        <v>53</v>
      </c>
      <c r="C2304" t="s">
        <v>54</v>
      </c>
      <c r="D2304" t="s">
        <v>55</v>
      </c>
      <c r="E2304" t="s">
        <v>2149</v>
      </c>
      <c r="F2304" t="s">
        <v>1247</v>
      </c>
      <c r="G2304" t="s">
        <v>1495</v>
      </c>
      <c r="H2304" t="s">
        <v>1496</v>
      </c>
      <c r="I2304" t="s">
        <v>1496</v>
      </c>
      <c r="J2304" t="s">
        <v>60</v>
      </c>
      <c r="K2304" t="s">
        <v>1466</v>
      </c>
      <c r="L2304" t="s">
        <v>62</v>
      </c>
      <c r="M2304" t="s">
        <v>1466</v>
      </c>
      <c r="N2304" t="s">
        <v>1497</v>
      </c>
      <c r="O2304" t="s">
        <v>1498</v>
      </c>
      <c r="P2304">
        <v>-20.163160999999999</v>
      </c>
      <c r="Q2304">
        <v>-44.880460999999997</v>
      </c>
      <c r="R2304" s="2" t="str">
        <f>HYPERLINK("https://www.google.com/maps?q=-20.1631610,-44.8804610","Abrir no Google Maps")</f>
        <v>Abrir no Google Maps</v>
      </c>
      <c r="S2304">
        <v>2</v>
      </c>
      <c r="T2304">
        <v>372.63783804650222</v>
      </c>
      <c r="U2304">
        <v>3</v>
      </c>
      <c r="V2304">
        <v>0.4380138453975585</v>
      </c>
      <c r="W2304">
        <v>1</v>
      </c>
      <c r="X2304">
        <v>0.4380138453975585</v>
      </c>
      <c r="Y2304">
        <v>671</v>
      </c>
      <c r="Z2304">
        <v>250.43144487082299</v>
      </c>
      <c r="AA2304">
        <v>198</v>
      </c>
      <c r="AB2304">
        <v>332</v>
      </c>
      <c r="AC2304">
        <v>536</v>
      </c>
      <c r="AD2304">
        <v>26.61</v>
      </c>
      <c r="AE2304">
        <v>542</v>
      </c>
      <c r="AF2304">
        <v>13</v>
      </c>
      <c r="AG2304">
        <v>180</v>
      </c>
      <c r="AH2304">
        <v>129</v>
      </c>
      <c r="AI2304">
        <v>2.4</v>
      </c>
      <c r="AJ2304">
        <v>33.21</v>
      </c>
      <c r="AK2304">
        <v>23.8</v>
      </c>
      <c r="AL2304">
        <v>-20.163296749999969</v>
      </c>
      <c r="AM2304">
        <v>-44.88037544059182</v>
      </c>
      <c r="AN2304">
        <v>-20.163296749999969</v>
      </c>
      <c r="AO2304">
        <v>-44.88037544059182</v>
      </c>
      <c r="AP2304">
        <v>-20.163160999999999</v>
      </c>
      <c r="AQ2304">
        <v>-44.880460999999997</v>
      </c>
      <c r="AR2304">
        <v>17.558482416121191</v>
      </c>
      <c r="AS2304" t="s">
        <v>65</v>
      </c>
      <c r="AT2304">
        <v>1</v>
      </c>
      <c r="AU2304" t="s">
        <v>1499</v>
      </c>
      <c r="AV2304" t="s">
        <v>1500</v>
      </c>
      <c r="AW2304" t="s">
        <v>60</v>
      </c>
      <c r="AX2304" t="s">
        <v>68</v>
      </c>
      <c r="AY2304" t="s">
        <v>69</v>
      </c>
      <c r="AZ2304" t="b">
        <v>1</v>
      </c>
    </row>
    <row r="2305" spans="1:52" x14ac:dyDescent="0.3">
      <c r="A2305" t="s">
        <v>52</v>
      </c>
      <c r="B2305" t="s">
        <v>53</v>
      </c>
      <c r="C2305" t="s">
        <v>54</v>
      </c>
      <c r="D2305" t="s">
        <v>55</v>
      </c>
      <c r="E2305" t="s">
        <v>2149</v>
      </c>
      <c r="F2305" t="s">
        <v>1247</v>
      </c>
      <c r="G2305" t="s">
        <v>1501</v>
      </c>
      <c r="H2305" t="s">
        <v>1502</v>
      </c>
      <c r="I2305" t="s">
        <v>1502</v>
      </c>
      <c r="J2305" t="s">
        <v>60</v>
      </c>
      <c r="K2305" t="s">
        <v>1466</v>
      </c>
      <c r="L2305" t="s">
        <v>62</v>
      </c>
      <c r="M2305" t="s">
        <v>1466</v>
      </c>
      <c r="N2305" t="s">
        <v>1503</v>
      </c>
      <c r="O2305" t="s">
        <v>1504</v>
      </c>
      <c r="P2305">
        <v>-20.159618999999999</v>
      </c>
      <c r="Q2305">
        <v>-44.880065000000002</v>
      </c>
      <c r="R2305" s="2" t="str">
        <f>HYPERLINK("https://www.google.com/maps?q=-20.1596190,-44.8800650","Abrir no Google Maps")</f>
        <v>Abrir no Google Maps</v>
      </c>
      <c r="S2305">
        <v>2</v>
      </c>
      <c r="T2305">
        <v>243.9950282285559</v>
      </c>
      <c r="U2305">
        <v>3</v>
      </c>
      <c r="V2305">
        <v>0.4403633036952645</v>
      </c>
      <c r="W2305">
        <v>1</v>
      </c>
      <c r="X2305">
        <v>0.4403633036952645</v>
      </c>
      <c r="Y2305">
        <v>671</v>
      </c>
      <c r="Z2305">
        <v>265.31354384517681</v>
      </c>
      <c r="AA2305">
        <v>198</v>
      </c>
      <c r="AB2305">
        <v>332</v>
      </c>
      <c r="AC2305">
        <v>536</v>
      </c>
      <c r="AD2305">
        <v>26.61</v>
      </c>
      <c r="AE2305">
        <v>542</v>
      </c>
      <c r="AF2305">
        <v>13</v>
      </c>
      <c r="AG2305">
        <v>180</v>
      </c>
      <c r="AH2305">
        <v>129</v>
      </c>
      <c r="AI2305">
        <v>2.4</v>
      </c>
      <c r="AJ2305">
        <v>33.21</v>
      </c>
      <c r="AK2305">
        <v>23.8</v>
      </c>
      <c r="AL2305">
        <v>-20.159689949999969</v>
      </c>
      <c r="AM2305">
        <v>-44.880075072344489</v>
      </c>
      <c r="AN2305">
        <v>-20.159689949999969</v>
      </c>
      <c r="AO2305">
        <v>-44.880075072344489</v>
      </c>
      <c r="AP2305">
        <v>-20.159618999999999</v>
      </c>
      <c r="AQ2305">
        <v>-44.880065000000002</v>
      </c>
      <c r="AR2305">
        <v>7.9679809486040876</v>
      </c>
      <c r="AS2305" t="s">
        <v>65</v>
      </c>
      <c r="AT2305">
        <v>1</v>
      </c>
      <c r="AU2305" t="s">
        <v>1505</v>
      </c>
      <c r="AV2305" t="s">
        <v>1506</v>
      </c>
      <c r="AW2305" t="s">
        <v>60</v>
      </c>
      <c r="AX2305" t="s">
        <v>68</v>
      </c>
      <c r="AY2305" t="s">
        <v>69</v>
      </c>
      <c r="AZ2305" t="b">
        <v>1</v>
      </c>
    </row>
    <row r="2306" spans="1:52" x14ac:dyDescent="0.3">
      <c r="A2306" t="s">
        <v>52</v>
      </c>
      <c r="B2306" t="s">
        <v>53</v>
      </c>
      <c r="C2306" t="s">
        <v>54</v>
      </c>
      <c r="D2306" t="s">
        <v>55</v>
      </c>
      <c r="E2306" t="s">
        <v>2149</v>
      </c>
      <c r="F2306" t="s">
        <v>1247</v>
      </c>
      <c r="G2306" t="s">
        <v>1507</v>
      </c>
      <c r="H2306" t="s">
        <v>1508</v>
      </c>
      <c r="I2306" t="s">
        <v>1508</v>
      </c>
      <c r="J2306" t="s">
        <v>60</v>
      </c>
      <c r="K2306" t="s">
        <v>1466</v>
      </c>
      <c r="L2306" t="s">
        <v>62</v>
      </c>
      <c r="M2306" t="s">
        <v>1466</v>
      </c>
      <c r="N2306" t="s">
        <v>1509</v>
      </c>
      <c r="O2306" t="s">
        <v>270</v>
      </c>
      <c r="P2306">
        <v>-20.164501999999999</v>
      </c>
      <c r="Q2306">
        <v>-44.883226999999998</v>
      </c>
      <c r="R2306" s="2" t="str">
        <f>HYPERLINK("https://www.google.com/maps?q=-20.1645020,-44.8832270","Abrir no Google Maps")</f>
        <v>Abrir no Google Maps</v>
      </c>
      <c r="S2306">
        <v>2</v>
      </c>
      <c r="T2306">
        <v>691.62667420887726</v>
      </c>
      <c r="U2306">
        <v>3</v>
      </c>
      <c r="V2306">
        <v>0.43880720899068998</v>
      </c>
      <c r="W2306">
        <v>1</v>
      </c>
      <c r="X2306">
        <v>0.43880720899068998</v>
      </c>
      <c r="Y2306">
        <v>671</v>
      </c>
      <c r="Z2306">
        <v>591.13935302436732</v>
      </c>
      <c r="AA2306">
        <v>198</v>
      </c>
      <c r="AB2306">
        <v>332</v>
      </c>
      <c r="AC2306">
        <v>536</v>
      </c>
      <c r="AD2306">
        <v>26.61</v>
      </c>
      <c r="AE2306">
        <v>542</v>
      </c>
      <c r="AF2306">
        <v>13</v>
      </c>
      <c r="AG2306">
        <v>180</v>
      </c>
      <c r="AH2306">
        <v>129</v>
      </c>
      <c r="AI2306">
        <v>2.4</v>
      </c>
      <c r="AJ2306">
        <v>33.21</v>
      </c>
      <c r="AK2306">
        <v>23.8</v>
      </c>
      <c r="AL2306">
        <v>-20.164470149999939</v>
      </c>
      <c r="AM2306">
        <v>-44.883357321672527</v>
      </c>
      <c r="AN2306">
        <v>-20.164470149999939</v>
      </c>
      <c r="AO2306">
        <v>-44.883357321672527</v>
      </c>
      <c r="AP2306">
        <v>-20.164501999999999</v>
      </c>
      <c r="AQ2306">
        <v>-44.883226999999998</v>
      </c>
      <c r="AR2306">
        <v>14.072184947340521</v>
      </c>
      <c r="AS2306" t="s">
        <v>65</v>
      </c>
      <c r="AT2306">
        <v>1</v>
      </c>
      <c r="AU2306" t="s">
        <v>1510</v>
      </c>
      <c r="AV2306" t="s">
        <v>1511</v>
      </c>
      <c r="AW2306" t="s">
        <v>60</v>
      </c>
      <c r="AX2306" t="s">
        <v>68</v>
      </c>
      <c r="AY2306" t="s">
        <v>69</v>
      </c>
      <c r="AZ2306" t="b">
        <v>1</v>
      </c>
    </row>
    <row r="2307" spans="1:52" x14ac:dyDescent="0.3">
      <c r="A2307" t="s">
        <v>52</v>
      </c>
      <c r="B2307" t="s">
        <v>53</v>
      </c>
      <c r="C2307" t="s">
        <v>54</v>
      </c>
      <c r="D2307" t="s">
        <v>55</v>
      </c>
      <c r="E2307" t="s">
        <v>2149</v>
      </c>
      <c r="F2307" t="s">
        <v>1247</v>
      </c>
      <c r="G2307" t="s">
        <v>1512</v>
      </c>
      <c r="H2307" t="s">
        <v>1513</v>
      </c>
      <c r="I2307" t="s">
        <v>1513</v>
      </c>
      <c r="J2307" t="s">
        <v>60</v>
      </c>
      <c r="K2307" t="s">
        <v>1302</v>
      </c>
      <c r="L2307" t="s">
        <v>62</v>
      </c>
      <c r="M2307" t="s">
        <v>1302</v>
      </c>
      <c r="N2307" t="s">
        <v>1514</v>
      </c>
      <c r="O2307" t="s">
        <v>1515</v>
      </c>
      <c r="P2307">
        <v>-20.163709000000001</v>
      </c>
      <c r="Q2307">
        <v>-44.916074999999999</v>
      </c>
      <c r="R2307" s="2" t="str">
        <f>HYPERLINK("https://www.google.com/maps?q=-20.1637090,-44.9160750","Abrir no Google Maps")</f>
        <v>Abrir no Google Maps</v>
      </c>
      <c r="S2307">
        <v>2</v>
      </c>
      <c r="T2307">
        <v>305.09593452131332</v>
      </c>
      <c r="U2307">
        <v>3</v>
      </c>
      <c r="V2307">
        <v>0.4300261731955855</v>
      </c>
      <c r="W2307">
        <v>1</v>
      </c>
      <c r="X2307">
        <v>0.4300261731955855</v>
      </c>
      <c r="Y2307">
        <v>639</v>
      </c>
      <c r="Z2307">
        <v>289.37841230131949</v>
      </c>
      <c r="AA2307">
        <v>198</v>
      </c>
      <c r="AB2307">
        <v>332</v>
      </c>
      <c r="AC2307">
        <v>536</v>
      </c>
      <c r="AD2307">
        <v>26.61</v>
      </c>
      <c r="AE2307">
        <v>542</v>
      </c>
      <c r="AF2307">
        <v>13</v>
      </c>
      <c r="AG2307">
        <v>180</v>
      </c>
      <c r="AH2307">
        <v>129</v>
      </c>
      <c r="AI2307">
        <v>2.4</v>
      </c>
      <c r="AJ2307">
        <v>33.21</v>
      </c>
      <c r="AK2307">
        <v>23.8</v>
      </c>
      <c r="AL2307">
        <v>-20.163666449999969</v>
      </c>
      <c r="AM2307">
        <v>-44.916102906827042</v>
      </c>
      <c r="AN2307">
        <v>-20.163666449999969</v>
      </c>
      <c r="AO2307">
        <v>-44.916102906827042</v>
      </c>
      <c r="AP2307">
        <v>-20.163709000000001</v>
      </c>
      <c r="AQ2307">
        <v>-44.916074999999999</v>
      </c>
      <c r="AR2307">
        <v>5.5623892025550603</v>
      </c>
      <c r="AS2307" t="s">
        <v>65</v>
      </c>
      <c r="AT2307">
        <v>1</v>
      </c>
      <c r="AU2307" t="s">
        <v>1516</v>
      </c>
      <c r="AV2307" t="s">
        <v>1517</v>
      </c>
      <c r="AW2307" t="s">
        <v>60</v>
      </c>
      <c r="AX2307" t="s">
        <v>68</v>
      </c>
      <c r="AY2307" t="s">
        <v>69</v>
      </c>
      <c r="AZ2307" t="b">
        <v>1</v>
      </c>
    </row>
    <row r="2308" spans="1:52" x14ac:dyDescent="0.3">
      <c r="A2308" t="s">
        <v>52</v>
      </c>
      <c r="B2308" t="s">
        <v>53</v>
      </c>
      <c r="C2308" t="s">
        <v>54</v>
      </c>
      <c r="D2308" t="s">
        <v>55</v>
      </c>
      <c r="E2308" t="s">
        <v>2149</v>
      </c>
      <c r="F2308" t="s">
        <v>1247</v>
      </c>
      <c r="G2308" t="s">
        <v>1524</v>
      </c>
      <c r="H2308" t="s">
        <v>1525</v>
      </c>
      <c r="I2308" t="s">
        <v>1525</v>
      </c>
      <c r="J2308" t="s">
        <v>60</v>
      </c>
      <c r="K2308" t="s">
        <v>1302</v>
      </c>
      <c r="L2308" t="s">
        <v>62</v>
      </c>
      <c r="M2308" t="s">
        <v>1302</v>
      </c>
      <c r="N2308" t="s">
        <v>1526</v>
      </c>
      <c r="O2308" t="s">
        <v>303</v>
      </c>
      <c r="P2308">
        <v>-20.159873000000001</v>
      </c>
      <c r="Q2308">
        <v>-44.911431999999998</v>
      </c>
      <c r="R2308" s="2" t="str">
        <f>HYPERLINK("https://www.google.com/maps?q=-20.1598730,-44.9114320","Abrir no Google Maps")</f>
        <v>Abrir no Google Maps</v>
      </c>
      <c r="S2308">
        <v>2</v>
      </c>
      <c r="T2308">
        <v>359.34785817593553</v>
      </c>
      <c r="U2308">
        <v>3</v>
      </c>
      <c r="V2308">
        <v>0.44937065904092027</v>
      </c>
      <c r="W2308">
        <v>1</v>
      </c>
      <c r="X2308">
        <v>0.44937065904092027</v>
      </c>
      <c r="Y2308">
        <v>639</v>
      </c>
      <c r="Z2308">
        <v>388.13505700247691</v>
      </c>
      <c r="AA2308">
        <v>198</v>
      </c>
      <c r="AB2308">
        <v>332</v>
      </c>
      <c r="AC2308">
        <v>536</v>
      </c>
      <c r="AD2308">
        <v>26.61</v>
      </c>
      <c r="AE2308">
        <v>542</v>
      </c>
      <c r="AF2308">
        <v>13</v>
      </c>
      <c r="AG2308">
        <v>180</v>
      </c>
      <c r="AH2308">
        <v>129</v>
      </c>
      <c r="AI2308">
        <v>2.4</v>
      </c>
      <c r="AJ2308">
        <v>33.21</v>
      </c>
      <c r="AK2308">
        <v>23.8</v>
      </c>
      <c r="AL2308">
        <v>-20.159583599999969</v>
      </c>
      <c r="AM2308">
        <v>-44.911691929105316</v>
      </c>
      <c r="AN2308">
        <v>-20.159583599999969</v>
      </c>
      <c r="AO2308">
        <v>-44.911691929105316</v>
      </c>
      <c r="AP2308">
        <v>-20.159873000000001</v>
      </c>
      <c r="AQ2308">
        <v>-44.911431999999998</v>
      </c>
      <c r="AR2308">
        <v>42.138811218570019</v>
      </c>
      <c r="AS2308" t="s">
        <v>65</v>
      </c>
      <c r="AT2308">
        <v>1</v>
      </c>
      <c r="AU2308" t="s">
        <v>1527</v>
      </c>
      <c r="AV2308" t="s">
        <v>1528</v>
      </c>
      <c r="AW2308" t="s">
        <v>60</v>
      </c>
      <c r="AX2308" t="s">
        <v>68</v>
      </c>
      <c r="AY2308" t="s">
        <v>69</v>
      </c>
      <c r="AZ2308" t="b">
        <v>1</v>
      </c>
    </row>
    <row r="2309" spans="1:52" x14ac:dyDescent="0.3">
      <c r="A2309" t="s">
        <v>52</v>
      </c>
      <c r="B2309" t="s">
        <v>53</v>
      </c>
      <c r="C2309" t="s">
        <v>54</v>
      </c>
      <c r="D2309" t="s">
        <v>55</v>
      </c>
      <c r="E2309" t="s">
        <v>2149</v>
      </c>
      <c r="F2309" t="s">
        <v>1247</v>
      </c>
      <c r="G2309" t="s">
        <v>1529</v>
      </c>
      <c r="H2309" t="s">
        <v>1530</v>
      </c>
      <c r="I2309" t="s">
        <v>1530</v>
      </c>
      <c r="J2309" t="s">
        <v>60</v>
      </c>
      <c r="K2309" t="s">
        <v>1466</v>
      </c>
      <c r="L2309" t="s">
        <v>62</v>
      </c>
      <c r="M2309" t="s">
        <v>1466</v>
      </c>
      <c r="N2309" t="s">
        <v>1531</v>
      </c>
      <c r="O2309" t="s">
        <v>145</v>
      </c>
      <c r="P2309">
        <v>-20.162952000000001</v>
      </c>
      <c r="Q2309">
        <v>-44.877612999999997</v>
      </c>
      <c r="R2309" s="2" t="str">
        <f>HYPERLINK("https://www.google.com/maps?q=-20.1629520,-44.8776130","Abrir no Google Maps")</f>
        <v>Abrir no Google Maps</v>
      </c>
      <c r="S2309">
        <v>2</v>
      </c>
      <c r="T2309">
        <v>229.91388913695721</v>
      </c>
      <c r="U2309">
        <v>2</v>
      </c>
      <c r="V2309">
        <v>0.45813416451674033</v>
      </c>
      <c r="W2309">
        <v>0.85</v>
      </c>
      <c r="X2309">
        <v>0.38941403983922929</v>
      </c>
      <c r="Y2309">
        <v>671</v>
      </c>
      <c r="Z2309">
        <v>157.6775523644973</v>
      </c>
      <c r="AA2309">
        <v>198</v>
      </c>
      <c r="AB2309">
        <v>332</v>
      </c>
      <c r="AC2309">
        <v>536</v>
      </c>
      <c r="AD2309">
        <v>26.61</v>
      </c>
      <c r="AE2309">
        <v>542</v>
      </c>
      <c r="AF2309">
        <v>13</v>
      </c>
      <c r="AG2309">
        <v>180</v>
      </c>
      <c r="AH2309">
        <v>129</v>
      </c>
      <c r="AI2309">
        <v>2.4</v>
      </c>
      <c r="AJ2309">
        <v>33.21</v>
      </c>
      <c r="AK2309">
        <v>23.8</v>
      </c>
      <c r="AL2309">
        <v>-20.16278829999996</v>
      </c>
      <c r="AM2309">
        <v>-44.877564655204168</v>
      </c>
      <c r="AN2309">
        <v>-20.16278829999996</v>
      </c>
      <c r="AO2309">
        <v>-44.877564655204168</v>
      </c>
      <c r="AP2309">
        <v>-20.162952000000001</v>
      </c>
      <c r="AQ2309">
        <v>-44.877612999999997</v>
      </c>
      <c r="AR2309">
        <v>18.91038935762678</v>
      </c>
      <c r="AS2309" t="s">
        <v>65</v>
      </c>
      <c r="AT2309">
        <v>1</v>
      </c>
      <c r="AU2309" t="s">
        <v>1532</v>
      </c>
      <c r="AV2309" t="s">
        <v>1533</v>
      </c>
      <c r="AW2309" t="s">
        <v>60</v>
      </c>
      <c r="AX2309" t="s">
        <v>68</v>
      </c>
      <c r="AY2309" t="s">
        <v>69</v>
      </c>
      <c r="AZ2309" t="b">
        <v>1</v>
      </c>
    </row>
    <row r="2310" spans="1:52" x14ac:dyDescent="0.3">
      <c r="A2310" t="s">
        <v>52</v>
      </c>
      <c r="B2310" t="s">
        <v>53</v>
      </c>
      <c r="C2310" t="s">
        <v>54</v>
      </c>
      <c r="D2310" t="s">
        <v>55</v>
      </c>
      <c r="E2310" t="s">
        <v>2149</v>
      </c>
      <c r="F2310" t="s">
        <v>1247</v>
      </c>
      <c r="G2310" t="s">
        <v>1534</v>
      </c>
      <c r="H2310" t="s">
        <v>1535</v>
      </c>
      <c r="I2310" t="s">
        <v>1535</v>
      </c>
      <c r="J2310" t="s">
        <v>60</v>
      </c>
      <c r="K2310" t="s">
        <v>1536</v>
      </c>
      <c r="L2310" t="s">
        <v>62</v>
      </c>
      <c r="M2310" t="s">
        <v>1536</v>
      </c>
      <c r="N2310" t="s">
        <v>1537</v>
      </c>
      <c r="O2310" t="s">
        <v>1538</v>
      </c>
      <c r="P2310">
        <v>-20.164618999999998</v>
      </c>
      <c r="Q2310">
        <v>-44.921776999999999</v>
      </c>
      <c r="R2310" s="2" t="str">
        <f>HYPERLINK("https://www.google.com/maps?q=-20.1646190,-44.9217770","Abrir no Google Maps")</f>
        <v>Abrir no Google Maps</v>
      </c>
      <c r="S2310">
        <v>2</v>
      </c>
      <c r="T2310">
        <v>835.70698013544222</v>
      </c>
      <c r="U2310">
        <v>2</v>
      </c>
      <c r="V2310">
        <v>0.43953378188763959</v>
      </c>
      <c r="W2310">
        <v>0.85</v>
      </c>
      <c r="X2310">
        <v>0.37360371460449371</v>
      </c>
      <c r="Y2310">
        <v>639</v>
      </c>
      <c r="Z2310">
        <v>821.59880323911125</v>
      </c>
      <c r="AA2310">
        <v>198</v>
      </c>
      <c r="AB2310">
        <v>332</v>
      </c>
      <c r="AC2310">
        <v>536</v>
      </c>
      <c r="AD2310">
        <v>26.61</v>
      </c>
      <c r="AE2310">
        <v>542</v>
      </c>
      <c r="AF2310">
        <v>13</v>
      </c>
      <c r="AG2310">
        <v>180</v>
      </c>
      <c r="AH2310">
        <v>129</v>
      </c>
      <c r="AI2310">
        <v>2.4</v>
      </c>
      <c r="AJ2310">
        <v>33.21</v>
      </c>
      <c r="AK2310">
        <v>23.8</v>
      </c>
      <c r="AL2310">
        <v>-20.164312499999969</v>
      </c>
      <c r="AM2310">
        <v>-44.921945691824099</v>
      </c>
      <c r="AN2310">
        <v>-20.164312499999969</v>
      </c>
      <c r="AO2310">
        <v>-44.921945691824099</v>
      </c>
      <c r="AP2310">
        <v>-20.164618999999998</v>
      </c>
      <c r="AQ2310">
        <v>-44.921776999999999</v>
      </c>
      <c r="AR2310">
        <v>38.404224975746608</v>
      </c>
      <c r="AS2310" t="s">
        <v>65</v>
      </c>
      <c r="AT2310">
        <v>1</v>
      </c>
      <c r="AU2310" t="s">
        <v>1539</v>
      </c>
      <c r="AV2310" t="s">
        <v>1540</v>
      </c>
      <c r="AW2310" t="s">
        <v>60</v>
      </c>
      <c r="AX2310" t="s">
        <v>68</v>
      </c>
      <c r="AY2310" t="s">
        <v>69</v>
      </c>
      <c r="AZ2310" t="b">
        <v>1</v>
      </c>
    </row>
    <row r="2311" spans="1:52" x14ac:dyDescent="0.3">
      <c r="A2311" t="s">
        <v>52</v>
      </c>
      <c r="B2311" t="s">
        <v>53</v>
      </c>
      <c r="C2311" t="s">
        <v>54</v>
      </c>
      <c r="D2311" t="s">
        <v>55</v>
      </c>
      <c r="E2311" t="s">
        <v>2149</v>
      </c>
      <c r="F2311" t="s">
        <v>1247</v>
      </c>
      <c r="G2311" t="s">
        <v>1541</v>
      </c>
      <c r="H2311" t="s">
        <v>1542</v>
      </c>
      <c r="I2311" t="s">
        <v>1542</v>
      </c>
      <c r="J2311" t="s">
        <v>60</v>
      </c>
      <c r="K2311" t="s">
        <v>1302</v>
      </c>
      <c r="L2311" t="s">
        <v>62</v>
      </c>
      <c r="M2311" t="s">
        <v>1302</v>
      </c>
      <c r="N2311" t="s">
        <v>1543</v>
      </c>
      <c r="O2311" t="s">
        <v>1544</v>
      </c>
      <c r="P2311">
        <v>-20.166267999999999</v>
      </c>
      <c r="Q2311">
        <v>-44.916902</v>
      </c>
      <c r="R2311" s="2" t="str">
        <f>HYPERLINK("https://www.google.com/maps?q=-20.1662680,-44.9169020","Abrir no Google Maps")</f>
        <v>Abrir no Google Maps</v>
      </c>
      <c r="S2311">
        <v>2</v>
      </c>
      <c r="T2311">
        <v>580.14556008922216</v>
      </c>
      <c r="U2311">
        <v>2</v>
      </c>
      <c r="V2311">
        <v>0.4457269103702402</v>
      </c>
      <c r="W2311">
        <v>0.85</v>
      </c>
      <c r="X2311">
        <v>0.37886787381470421</v>
      </c>
      <c r="Y2311">
        <v>639</v>
      </c>
      <c r="Z2311">
        <v>590.87477783185614</v>
      </c>
      <c r="AA2311">
        <v>198</v>
      </c>
      <c r="AB2311">
        <v>332</v>
      </c>
      <c r="AC2311">
        <v>536</v>
      </c>
      <c r="AD2311">
        <v>26.61</v>
      </c>
      <c r="AE2311">
        <v>542</v>
      </c>
      <c r="AF2311">
        <v>13</v>
      </c>
      <c r="AG2311">
        <v>180</v>
      </c>
      <c r="AH2311">
        <v>129</v>
      </c>
      <c r="AI2311">
        <v>2.4</v>
      </c>
      <c r="AJ2311">
        <v>33.21</v>
      </c>
      <c r="AK2311">
        <v>23.8</v>
      </c>
      <c r="AL2311">
        <v>-20.165891749999961</v>
      </c>
      <c r="AM2311">
        <v>-44.917283075074913</v>
      </c>
      <c r="AN2311">
        <v>-20.165891749999961</v>
      </c>
      <c r="AO2311">
        <v>-44.917283075074913</v>
      </c>
      <c r="AP2311">
        <v>-20.166267999999999</v>
      </c>
      <c r="AQ2311">
        <v>-44.916902</v>
      </c>
      <c r="AR2311">
        <v>57.792534087281872</v>
      </c>
      <c r="AS2311" t="s">
        <v>65</v>
      </c>
      <c r="AT2311">
        <v>1</v>
      </c>
      <c r="AU2311" t="s">
        <v>1545</v>
      </c>
      <c r="AV2311" t="s">
        <v>1546</v>
      </c>
      <c r="AW2311" t="s">
        <v>60</v>
      </c>
      <c r="AX2311" t="s">
        <v>68</v>
      </c>
      <c r="AY2311" t="s">
        <v>69</v>
      </c>
      <c r="AZ2311" t="b">
        <v>1</v>
      </c>
    </row>
    <row r="2312" spans="1:52" x14ac:dyDescent="0.3">
      <c r="A2312" t="s">
        <v>52</v>
      </c>
      <c r="B2312" t="s">
        <v>53</v>
      </c>
      <c r="C2312" t="s">
        <v>54</v>
      </c>
      <c r="D2312" t="s">
        <v>55</v>
      </c>
      <c r="E2312" t="s">
        <v>2149</v>
      </c>
      <c r="F2312" t="s">
        <v>1247</v>
      </c>
      <c r="G2312" t="s">
        <v>1547</v>
      </c>
      <c r="H2312" t="s">
        <v>1548</v>
      </c>
      <c r="I2312" t="s">
        <v>1548</v>
      </c>
      <c r="J2312" t="s">
        <v>60</v>
      </c>
      <c r="K2312" t="s">
        <v>1549</v>
      </c>
      <c r="L2312" t="s">
        <v>62</v>
      </c>
      <c r="M2312" t="s">
        <v>1549</v>
      </c>
      <c r="N2312" t="s">
        <v>1550</v>
      </c>
      <c r="O2312" t="s">
        <v>1551</v>
      </c>
      <c r="P2312">
        <v>-20.173258000000001</v>
      </c>
      <c r="Q2312">
        <v>-44.930354000000001</v>
      </c>
      <c r="R2312" s="2" t="str">
        <f>HYPERLINK("https://www.google.com/maps?q=-20.1732580,-44.9303540","Abrir no Google Maps")</f>
        <v>Abrir no Google Maps</v>
      </c>
      <c r="S2312">
        <v>2</v>
      </c>
      <c r="T2312">
        <v>2023.802197028052</v>
      </c>
      <c r="U2312">
        <v>1</v>
      </c>
      <c r="V2312">
        <v>0.40174755788336031</v>
      </c>
      <c r="W2312">
        <v>0.85</v>
      </c>
      <c r="X2312">
        <v>0.34148542420085631</v>
      </c>
      <c r="Y2312">
        <v>723</v>
      </c>
      <c r="Z2312">
        <v>1727.7445576555911</v>
      </c>
      <c r="AA2312">
        <v>198</v>
      </c>
      <c r="AB2312">
        <v>332</v>
      </c>
      <c r="AC2312">
        <v>536</v>
      </c>
      <c r="AD2312">
        <v>26.61</v>
      </c>
      <c r="AE2312">
        <v>542</v>
      </c>
      <c r="AF2312">
        <v>13</v>
      </c>
      <c r="AG2312">
        <v>180</v>
      </c>
      <c r="AH2312">
        <v>129</v>
      </c>
      <c r="AI2312">
        <v>2.4</v>
      </c>
      <c r="AJ2312">
        <v>33.21</v>
      </c>
      <c r="AK2312">
        <v>23.8</v>
      </c>
      <c r="AL2312">
        <v>-20.172996449999939</v>
      </c>
      <c r="AM2312">
        <v>-44.930058436825973</v>
      </c>
      <c r="AN2312">
        <v>-20.172996449999939</v>
      </c>
      <c r="AO2312">
        <v>-44.930058436825973</v>
      </c>
      <c r="AP2312">
        <v>-20.173258000000001</v>
      </c>
      <c r="AQ2312">
        <v>-44.930354000000001</v>
      </c>
      <c r="AR2312">
        <v>42.444455141884362</v>
      </c>
      <c r="AS2312" t="s">
        <v>65</v>
      </c>
      <c r="AT2312">
        <v>1</v>
      </c>
      <c r="AU2312" t="s">
        <v>1552</v>
      </c>
      <c r="AV2312" t="s">
        <v>1553</v>
      </c>
      <c r="AW2312" t="s">
        <v>60</v>
      </c>
      <c r="AX2312" t="s">
        <v>68</v>
      </c>
      <c r="AY2312" t="s">
        <v>69</v>
      </c>
      <c r="AZ2312" t="b">
        <v>1</v>
      </c>
    </row>
    <row r="2313" spans="1:52" x14ac:dyDescent="0.3">
      <c r="A2313" t="s">
        <v>52</v>
      </c>
      <c r="B2313" t="s">
        <v>53</v>
      </c>
      <c r="C2313" t="s">
        <v>54</v>
      </c>
      <c r="D2313" t="s">
        <v>55</v>
      </c>
      <c r="E2313" t="s">
        <v>2149</v>
      </c>
      <c r="F2313" t="s">
        <v>1247</v>
      </c>
      <c r="G2313" t="s">
        <v>1554</v>
      </c>
      <c r="H2313" t="s">
        <v>1555</v>
      </c>
      <c r="I2313" t="s">
        <v>1555</v>
      </c>
      <c r="J2313" t="s">
        <v>60</v>
      </c>
      <c r="K2313" t="s">
        <v>1466</v>
      </c>
      <c r="L2313" t="s">
        <v>62</v>
      </c>
      <c r="M2313" t="s">
        <v>1466</v>
      </c>
      <c r="N2313" t="s">
        <v>1556</v>
      </c>
      <c r="O2313" t="s">
        <v>989</v>
      </c>
      <c r="P2313">
        <v>-20.160997999999999</v>
      </c>
      <c r="Q2313">
        <v>-44.878385999999999</v>
      </c>
      <c r="R2313" s="2" t="str">
        <f>HYPERLINK("https://www.google.com/maps?q=-20.1609980,-44.8783860","Abrir no Google Maps")</f>
        <v>Abrir no Google Maps</v>
      </c>
      <c r="S2313">
        <v>2</v>
      </c>
      <c r="T2313">
        <v>0</v>
      </c>
      <c r="U2313">
        <v>1</v>
      </c>
      <c r="V2313">
        <v>0.41625379413564162</v>
      </c>
      <c r="W2313">
        <v>0.85</v>
      </c>
      <c r="X2313">
        <v>0.35381572501529529</v>
      </c>
      <c r="Y2313">
        <v>671</v>
      </c>
      <c r="Z2313">
        <v>74.014802531188664</v>
      </c>
      <c r="AA2313">
        <v>198</v>
      </c>
      <c r="AB2313">
        <v>332</v>
      </c>
      <c r="AC2313">
        <v>536</v>
      </c>
      <c r="AD2313">
        <v>26.61</v>
      </c>
      <c r="AE2313">
        <v>542</v>
      </c>
      <c r="AF2313">
        <v>13</v>
      </c>
      <c r="AG2313">
        <v>180</v>
      </c>
      <c r="AH2313">
        <v>129</v>
      </c>
      <c r="AI2313">
        <v>2.4</v>
      </c>
      <c r="AJ2313">
        <v>33.21</v>
      </c>
      <c r="AK2313">
        <v>23.8</v>
      </c>
      <c r="AL2313">
        <v>-20.160758199999979</v>
      </c>
      <c r="AM2313">
        <v>-44.878032519747983</v>
      </c>
      <c r="AN2313">
        <v>-20.160758199999979</v>
      </c>
      <c r="AO2313">
        <v>-44.878032519747983</v>
      </c>
      <c r="AP2313">
        <v>-20.160997999999999</v>
      </c>
      <c r="AQ2313">
        <v>-44.878385999999999</v>
      </c>
      <c r="AR2313">
        <v>45.574638830261883</v>
      </c>
      <c r="AS2313" t="s">
        <v>65</v>
      </c>
      <c r="AT2313">
        <v>1</v>
      </c>
      <c r="AU2313" t="s">
        <v>1557</v>
      </c>
      <c r="AV2313" t="s">
        <v>1558</v>
      </c>
      <c r="AW2313" t="s">
        <v>60</v>
      </c>
      <c r="AX2313" t="s">
        <v>68</v>
      </c>
      <c r="AY2313" t="s">
        <v>69</v>
      </c>
      <c r="AZ2313" t="b">
        <v>1</v>
      </c>
    </row>
    <row r="2314" spans="1:52" x14ac:dyDescent="0.3">
      <c r="A2314" t="s">
        <v>52</v>
      </c>
      <c r="B2314" t="s">
        <v>53</v>
      </c>
      <c r="C2314" t="s">
        <v>54</v>
      </c>
      <c r="D2314" t="s">
        <v>55</v>
      </c>
      <c r="E2314" t="s">
        <v>2149</v>
      </c>
      <c r="F2314" t="s">
        <v>1247</v>
      </c>
      <c r="G2314" t="s">
        <v>1559</v>
      </c>
      <c r="H2314" t="s">
        <v>1560</v>
      </c>
      <c r="I2314" t="s">
        <v>1560</v>
      </c>
      <c r="J2314" t="s">
        <v>60</v>
      </c>
      <c r="K2314" t="s">
        <v>61</v>
      </c>
      <c r="L2314" t="s">
        <v>62</v>
      </c>
      <c r="M2314" t="s">
        <v>61</v>
      </c>
      <c r="N2314" t="s">
        <v>1561</v>
      </c>
      <c r="O2314" t="s">
        <v>1562</v>
      </c>
      <c r="P2314">
        <v>-20.154959000000002</v>
      </c>
      <c r="Q2314">
        <v>-44.91525</v>
      </c>
      <c r="R2314" s="2" t="str">
        <f>HYPERLINK("https://www.google.com/maps?q=-20.1549590,-44.9152500","Abrir no Google Maps")</f>
        <v>Abrir no Google Maps</v>
      </c>
      <c r="S2314">
        <v>2</v>
      </c>
      <c r="T2314">
        <v>738.36411213380245</v>
      </c>
      <c r="U2314">
        <v>1</v>
      </c>
      <c r="V2314">
        <v>0</v>
      </c>
      <c r="W2314">
        <v>0.85</v>
      </c>
      <c r="X2314">
        <v>0</v>
      </c>
      <c r="Y2314">
        <v>639</v>
      </c>
      <c r="Z2314">
        <v>860.82840850294542</v>
      </c>
      <c r="AA2314">
        <v>198</v>
      </c>
      <c r="AB2314">
        <v>332</v>
      </c>
      <c r="AC2314">
        <v>536</v>
      </c>
      <c r="AD2314">
        <v>26.61</v>
      </c>
      <c r="AE2314">
        <v>542</v>
      </c>
      <c r="AF2314">
        <v>13</v>
      </c>
      <c r="AG2314">
        <v>180</v>
      </c>
      <c r="AH2314">
        <v>129</v>
      </c>
      <c r="AI2314">
        <v>2.4</v>
      </c>
      <c r="AJ2314">
        <v>33.21</v>
      </c>
      <c r="AK2314">
        <v>23.8</v>
      </c>
      <c r="AL2314">
        <v>-20.154629849999939</v>
      </c>
      <c r="AM2314">
        <v>-44.914951620624052</v>
      </c>
      <c r="AN2314">
        <v>-20.154629849999939</v>
      </c>
      <c r="AO2314">
        <v>-44.914951620624052</v>
      </c>
      <c r="AP2314">
        <v>-20.154959000000002</v>
      </c>
      <c r="AQ2314">
        <v>-44.91525</v>
      </c>
      <c r="AR2314">
        <v>48.11297170616912</v>
      </c>
      <c r="AS2314" t="s">
        <v>65</v>
      </c>
      <c r="AT2314">
        <v>1</v>
      </c>
      <c r="AU2314" t="s">
        <v>1563</v>
      </c>
      <c r="AV2314" t="s">
        <v>1564</v>
      </c>
      <c r="AW2314" t="s">
        <v>60</v>
      </c>
      <c r="AX2314" t="s">
        <v>68</v>
      </c>
      <c r="AY2314" t="s">
        <v>69</v>
      </c>
      <c r="AZ2314" t="b">
        <v>1</v>
      </c>
    </row>
    <row r="2315" spans="1:52" x14ac:dyDescent="0.3">
      <c r="A2315" t="s">
        <v>52</v>
      </c>
      <c r="B2315" t="s">
        <v>53</v>
      </c>
      <c r="C2315" t="s">
        <v>54</v>
      </c>
      <c r="D2315" t="s">
        <v>55</v>
      </c>
      <c r="E2315" t="s">
        <v>2149</v>
      </c>
      <c r="F2315" t="s">
        <v>1247</v>
      </c>
      <c r="G2315" t="s">
        <v>631</v>
      </c>
      <c r="H2315" t="s">
        <v>1565</v>
      </c>
      <c r="I2315" t="s">
        <v>1565</v>
      </c>
      <c r="J2315" t="s">
        <v>60</v>
      </c>
      <c r="K2315" t="s">
        <v>530</v>
      </c>
      <c r="L2315" t="s">
        <v>62</v>
      </c>
      <c r="M2315" t="s">
        <v>530</v>
      </c>
      <c r="N2315" t="s">
        <v>633</v>
      </c>
      <c r="O2315" t="s">
        <v>1566</v>
      </c>
      <c r="P2315">
        <v>-20.143915</v>
      </c>
      <c r="Q2315">
        <v>-44.8947</v>
      </c>
      <c r="R2315" s="2" t="str">
        <f>HYPERLINK("https://www.google.com/maps?q=-20.1439150,-44.8947000","Abrir no Google Maps")</f>
        <v>Abrir no Google Maps</v>
      </c>
      <c r="S2315">
        <v>1</v>
      </c>
      <c r="T2315">
        <v>327.74435325417051</v>
      </c>
      <c r="U2315">
        <v>4</v>
      </c>
      <c r="V2315">
        <v>0.59737982887951258</v>
      </c>
      <c r="W2315">
        <v>1</v>
      </c>
      <c r="X2315">
        <v>0.59737982887951258</v>
      </c>
      <c r="Y2315">
        <v>602</v>
      </c>
      <c r="Z2315">
        <v>236.41345279429891</v>
      </c>
      <c r="AA2315">
        <v>198</v>
      </c>
      <c r="AB2315">
        <v>332</v>
      </c>
      <c r="AC2315">
        <v>536</v>
      </c>
      <c r="AD2315">
        <v>26.61</v>
      </c>
      <c r="AE2315">
        <v>542</v>
      </c>
      <c r="AF2315">
        <v>13</v>
      </c>
      <c r="AG2315">
        <v>180</v>
      </c>
      <c r="AH2315">
        <v>129</v>
      </c>
      <c r="AI2315">
        <v>2.4</v>
      </c>
      <c r="AJ2315">
        <v>33.21</v>
      </c>
      <c r="AK2315">
        <v>23.8</v>
      </c>
      <c r="AL2315">
        <v>-20.143900549999959</v>
      </c>
      <c r="AM2315">
        <v>-44.894835636584318</v>
      </c>
      <c r="AN2315">
        <v>-20.143900549999959</v>
      </c>
      <c r="AO2315">
        <v>-44.894835636584318</v>
      </c>
      <c r="AP2315">
        <v>-20.143915</v>
      </c>
      <c r="AQ2315">
        <v>-44.8947</v>
      </c>
      <c r="AR2315">
        <v>14.266440053785869</v>
      </c>
      <c r="AS2315" t="s">
        <v>65</v>
      </c>
      <c r="AT2315">
        <v>1</v>
      </c>
      <c r="AU2315" t="s">
        <v>1567</v>
      </c>
      <c r="AV2315" t="s">
        <v>1568</v>
      </c>
      <c r="AW2315" t="s">
        <v>60</v>
      </c>
      <c r="AX2315" t="s">
        <v>68</v>
      </c>
      <c r="AY2315" t="s">
        <v>69</v>
      </c>
      <c r="AZ2315" t="b">
        <v>1</v>
      </c>
    </row>
    <row r="2316" spans="1:52" x14ac:dyDescent="0.3">
      <c r="A2316" t="s">
        <v>52</v>
      </c>
      <c r="B2316" t="s">
        <v>53</v>
      </c>
      <c r="C2316" t="s">
        <v>54</v>
      </c>
      <c r="D2316" t="s">
        <v>55</v>
      </c>
      <c r="E2316" t="s">
        <v>2149</v>
      </c>
      <c r="F2316" t="s">
        <v>1247</v>
      </c>
      <c r="G2316" t="s">
        <v>1569</v>
      </c>
      <c r="H2316" t="s">
        <v>1570</v>
      </c>
      <c r="I2316" t="s">
        <v>1570</v>
      </c>
      <c r="J2316" t="s">
        <v>60</v>
      </c>
      <c r="K2316" t="s">
        <v>530</v>
      </c>
      <c r="L2316" t="s">
        <v>62</v>
      </c>
      <c r="M2316" t="s">
        <v>530</v>
      </c>
      <c r="N2316" t="s">
        <v>1571</v>
      </c>
      <c r="O2316" t="s">
        <v>598</v>
      </c>
      <c r="P2316">
        <v>-20.146418000000001</v>
      </c>
      <c r="Q2316">
        <v>-44.893861999999999</v>
      </c>
      <c r="R2316" s="2" t="str">
        <f>HYPERLINK("https://www.google.com/maps?q=-20.1464180,-44.8938620","Abrir no Google Maps")</f>
        <v>Abrir no Google Maps</v>
      </c>
      <c r="S2316">
        <v>1</v>
      </c>
      <c r="T2316">
        <v>0</v>
      </c>
      <c r="U2316">
        <v>4</v>
      </c>
      <c r="V2316">
        <v>0.609862546490608</v>
      </c>
      <c r="W2316">
        <v>0.85</v>
      </c>
      <c r="X2316">
        <v>0.51838316451701683</v>
      </c>
      <c r="Y2316">
        <v>602</v>
      </c>
      <c r="Z2316">
        <v>124.5475134899211</v>
      </c>
      <c r="AA2316">
        <v>198</v>
      </c>
      <c r="AB2316">
        <v>332</v>
      </c>
      <c r="AC2316">
        <v>536</v>
      </c>
      <c r="AD2316">
        <v>26.61</v>
      </c>
      <c r="AE2316">
        <v>542</v>
      </c>
      <c r="AF2316">
        <v>13</v>
      </c>
      <c r="AG2316">
        <v>180</v>
      </c>
      <c r="AH2316">
        <v>129</v>
      </c>
      <c r="AI2316">
        <v>2.4</v>
      </c>
      <c r="AJ2316">
        <v>33.21</v>
      </c>
      <c r="AK2316">
        <v>23.8</v>
      </c>
      <c r="AL2316">
        <v>-20.146753399999941</v>
      </c>
      <c r="AM2316">
        <v>-44.893993355901941</v>
      </c>
      <c r="AN2316">
        <v>-20.146753399999941</v>
      </c>
      <c r="AO2316">
        <v>-44.893993355901941</v>
      </c>
      <c r="AP2316">
        <v>-20.146418000000001</v>
      </c>
      <c r="AQ2316">
        <v>-44.893861999999999</v>
      </c>
      <c r="AR2316">
        <v>39.780457157851913</v>
      </c>
      <c r="AS2316" t="s">
        <v>65</v>
      </c>
      <c r="AT2316">
        <v>1</v>
      </c>
      <c r="AU2316" t="s">
        <v>1572</v>
      </c>
      <c r="AV2316" t="s">
        <v>1573</v>
      </c>
      <c r="AW2316" t="s">
        <v>60</v>
      </c>
      <c r="AX2316" t="s">
        <v>68</v>
      </c>
      <c r="AY2316" t="s">
        <v>69</v>
      </c>
      <c r="AZ2316" t="b">
        <v>1</v>
      </c>
    </row>
    <row r="2317" spans="1:52" x14ac:dyDescent="0.3">
      <c r="A2317" t="s">
        <v>52</v>
      </c>
      <c r="B2317" t="s">
        <v>53</v>
      </c>
      <c r="C2317" t="s">
        <v>54</v>
      </c>
      <c r="D2317" t="s">
        <v>55</v>
      </c>
      <c r="E2317" t="s">
        <v>2149</v>
      </c>
      <c r="F2317" t="s">
        <v>1247</v>
      </c>
      <c r="G2317" t="s">
        <v>1569</v>
      </c>
      <c r="H2317" t="s">
        <v>1574</v>
      </c>
      <c r="I2317" t="s">
        <v>1574</v>
      </c>
      <c r="J2317" t="s">
        <v>60</v>
      </c>
      <c r="K2317" t="s">
        <v>530</v>
      </c>
      <c r="L2317" t="s">
        <v>62</v>
      </c>
      <c r="M2317" t="s">
        <v>530</v>
      </c>
      <c r="N2317" t="s">
        <v>1571</v>
      </c>
      <c r="O2317" t="s">
        <v>1575</v>
      </c>
      <c r="P2317">
        <v>-20.14554</v>
      </c>
      <c r="Q2317">
        <v>-44.895606000000001</v>
      </c>
      <c r="R2317" s="2" t="str">
        <f>HYPERLINK("https://www.google.com/maps?q=-20.1455400,-44.8956060","Abrir no Google Maps")</f>
        <v>Abrir no Google Maps</v>
      </c>
      <c r="S2317">
        <v>1</v>
      </c>
      <c r="T2317">
        <v>218.66647838959381</v>
      </c>
      <c r="U2317">
        <v>4</v>
      </c>
      <c r="V2317">
        <v>0.58807653955730887</v>
      </c>
      <c r="W2317">
        <v>1</v>
      </c>
      <c r="X2317">
        <v>0.58807653955730887</v>
      </c>
      <c r="Y2317">
        <v>602</v>
      </c>
      <c r="Z2317">
        <v>263.6501043391637</v>
      </c>
      <c r="AA2317">
        <v>198</v>
      </c>
      <c r="AB2317">
        <v>332</v>
      </c>
      <c r="AC2317">
        <v>536</v>
      </c>
      <c r="AD2317">
        <v>26.61</v>
      </c>
      <c r="AE2317">
        <v>542</v>
      </c>
      <c r="AF2317">
        <v>13</v>
      </c>
      <c r="AG2317">
        <v>180</v>
      </c>
      <c r="AH2317">
        <v>129</v>
      </c>
      <c r="AI2317">
        <v>2.4</v>
      </c>
      <c r="AJ2317">
        <v>33.21</v>
      </c>
      <c r="AK2317">
        <v>23.8</v>
      </c>
      <c r="AL2317">
        <v>-20.145504749999962</v>
      </c>
      <c r="AM2317">
        <v>-44.89561499588882</v>
      </c>
      <c r="AN2317">
        <v>-20.145504749999962</v>
      </c>
      <c r="AO2317">
        <v>-44.89561499588882</v>
      </c>
      <c r="AP2317">
        <v>-20.14554</v>
      </c>
      <c r="AQ2317">
        <v>-44.895606000000001</v>
      </c>
      <c r="AR2317">
        <v>4.0350843151508604</v>
      </c>
      <c r="AS2317" t="s">
        <v>65</v>
      </c>
      <c r="AT2317">
        <v>1</v>
      </c>
      <c r="AU2317" t="s">
        <v>1576</v>
      </c>
      <c r="AV2317" t="s">
        <v>1577</v>
      </c>
      <c r="AW2317" t="s">
        <v>60</v>
      </c>
      <c r="AX2317" t="s">
        <v>68</v>
      </c>
      <c r="AY2317" t="s">
        <v>69</v>
      </c>
      <c r="AZ2317" t="b">
        <v>1</v>
      </c>
    </row>
    <row r="2318" spans="1:52" x14ac:dyDescent="0.3">
      <c r="A2318" t="s">
        <v>52</v>
      </c>
      <c r="B2318" t="s">
        <v>53</v>
      </c>
      <c r="C2318" t="s">
        <v>54</v>
      </c>
      <c r="D2318" t="s">
        <v>55</v>
      </c>
      <c r="E2318" t="s">
        <v>2149</v>
      </c>
      <c r="F2318" t="s">
        <v>1247</v>
      </c>
      <c r="G2318" t="s">
        <v>1578</v>
      </c>
      <c r="H2318" t="s">
        <v>1579</v>
      </c>
      <c r="I2318" t="s">
        <v>1579</v>
      </c>
      <c r="J2318" t="s">
        <v>60</v>
      </c>
      <c r="K2318" t="s">
        <v>530</v>
      </c>
      <c r="L2318" t="s">
        <v>62</v>
      </c>
      <c r="M2318" t="s">
        <v>530</v>
      </c>
      <c r="N2318" t="s">
        <v>1580</v>
      </c>
      <c r="O2318" t="s">
        <v>1581</v>
      </c>
      <c r="P2318">
        <v>-20.143713999999999</v>
      </c>
      <c r="Q2318">
        <v>-44.897387999999999</v>
      </c>
      <c r="R2318" s="2" t="str">
        <f>HYPERLINK("https://www.google.com/maps?q=-20.1437140,-44.8973880","Abrir no Google Maps")</f>
        <v>Abrir no Google Maps</v>
      </c>
      <c r="S2318">
        <v>1</v>
      </c>
      <c r="T2318">
        <v>354.74438118735611</v>
      </c>
      <c r="U2318">
        <v>4</v>
      </c>
      <c r="V2318">
        <v>0.61985370238382487</v>
      </c>
      <c r="W2318">
        <v>1</v>
      </c>
      <c r="X2318">
        <v>0.61985370238382487</v>
      </c>
      <c r="Y2318">
        <v>588</v>
      </c>
      <c r="Z2318">
        <v>336.29881064197872</v>
      </c>
      <c r="AA2318">
        <v>198</v>
      </c>
      <c r="AB2318">
        <v>332</v>
      </c>
      <c r="AC2318">
        <v>536</v>
      </c>
      <c r="AD2318">
        <v>26.61</v>
      </c>
      <c r="AE2318">
        <v>542</v>
      </c>
      <c r="AF2318">
        <v>13</v>
      </c>
      <c r="AG2318">
        <v>180</v>
      </c>
      <c r="AH2318">
        <v>129</v>
      </c>
      <c r="AI2318">
        <v>2.4</v>
      </c>
      <c r="AJ2318">
        <v>33.21</v>
      </c>
      <c r="AK2318">
        <v>23.8</v>
      </c>
      <c r="AL2318">
        <v>-20.14371329999997</v>
      </c>
      <c r="AM2318">
        <v>-44.897384604125257</v>
      </c>
      <c r="AN2318">
        <v>-20.14371329999997</v>
      </c>
      <c r="AO2318">
        <v>-44.897384604125257</v>
      </c>
      <c r="AP2318">
        <v>-20.143713999999999</v>
      </c>
      <c r="AQ2318">
        <v>-44.897387999999999</v>
      </c>
      <c r="AR2318">
        <v>0.36335934693921551</v>
      </c>
      <c r="AS2318" t="s">
        <v>65</v>
      </c>
      <c r="AT2318">
        <v>1</v>
      </c>
      <c r="AU2318" t="s">
        <v>1582</v>
      </c>
      <c r="AV2318" t="s">
        <v>1583</v>
      </c>
      <c r="AW2318" t="s">
        <v>60</v>
      </c>
      <c r="AX2318" t="s">
        <v>68</v>
      </c>
      <c r="AY2318" t="s">
        <v>69</v>
      </c>
      <c r="AZ2318" t="b">
        <v>1</v>
      </c>
    </row>
    <row r="2319" spans="1:52" x14ac:dyDescent="0.3">
      <c r="A2319" t="s">
        <v>52</v>
      </c>
      <c r="B2319" t="s">
        <v>53</v>
      </c>
      <c r="C2319" t="s">
        <v>54</v>
      </c>
      <c r="D2319" t="s">
        <v>55</v>
      </c>
      <c r="E2319" t="s">
        <v>2149</v>
      </c>
      <c r="F2319" t="s">
        <v>1247</v>
      </c>
      <c r="G2319" t="s">
        <v>1584</v>
      </c>
      <c r="H2319" t="s">
        <v>1585</v>
      </c>
      <c r="I2319" t="s">
        <v>1585</v>
      </c>
      <c r="J2319" t="s">
        <v>60</v>
      </c>
      <c r="K2319" t="s">
        <v>530</v>
      </c>
      <c r="L2319" t="s">
        <v>62</v>
      </c>
      <c r="M2319" t="s">
        <v>530</v>
      </c>
      <c r="N2319" t="s">
        <v>406</v>
      </c>
      <c r="O2319" t="s">
        <v>1586</v>
      </c>
      <c r="P2319">
        <v>-20.141316</v>
      </c>
      <c r="Q2319">
        <v>-44.896424000000003</v>
      </c>
      <c r="R2319" s="2" t="str">
        <f>HYPERLINK("https://www.google.com/maps?q=-20.1413160,-44.8964240","Abrir no Google Maps")</f>
        <v>Abrir no Google Maps</v>
      </c>
      <c r="S2319">
        <v>1</v>
      </c>
      <c r="T2319">
        <v>236.6687095166524</v>
      </c>
      <c r="U2319">
        <v>4</v>
      </c>
      <c r="V2319">
        <v>0.59240977861903121</v>
      </c>
      <c r="W2319">
        <v>1</v>
      </c>
      <c r="X2319">
        <v>0.59240977861903121</v>
      </c>
      <c r="Y2319">
        <v>588</v>
      </c>
      <c r="Z2319">
        <v>255.50729797374251</v>
      </c>
      <c r="AA2319">
        <v>198</v>
      </c>
      <c r="AB2319">
        <v>332</v>
      </c>
      <c r="AC2319">
        <v>536</v>
      </c>
      <c r="AD2319">
        <v>26.61</v>
      </c>
      <c r="AE2319">
        <v>542</v>
      </c>
      <c r="AF2319">
        <v>13</v>
      </c>
      <c r="AG2319">
        <v>180</v>
      </c>
      <c r="AH2319">
        <v>129</v>
      </c>
      <c r="AI2319">
        <v>2.4</v>
      </c>
      <c r="AJ2319">
        <v>33.21</v>
      </c>
      <c r="AK2319">
        <v>23.8</v>
      </c>
      <c r="AL2319">
        <v>-20.141468299999961</v>
      </c>
      <c r="AM2319">
        <v>-44.896566678331098</v>
      </c>
      <c r="AN2319">
        <v>-20.141468299999961</v>
      </c>
      <c r="AO2319">
        <v>-44.896566678331098</v>
      </c>
      <c r="AP2319">
        <v>-20.141316</v>
      </c>
      <c r="AQ2319">
        <v>-44.896424000000003</v>
      </c>
      <c r="AR2319">
        <v>22.578666373759301</v>
      </c>
      <c r="AS2319" t="s">
        <v>65</v>
      </c>
      <c r="AT2319">
        <v>1</v>
      </c>
      <c r="AU2319" t="s">
        <v>1587</v>
      </c>
      <c r="AV2319" t="s">
        <v>1588</v>
      </c>
      <c r="AW2319" t="s">
        <v>60</v>
      </c>
      <c r="AX2319" t="s">
        <v>68</v>
      </c>
      <c r="AY2319" t="s">
        <v>69</v>
      </c>
      <c r="AZ2319" t="b">
        <v>1</v>
      </c>
    </row>
    <row r="2320" spans="1:52" x14ac:dyDescent="0.3">
      <c r="A2320" t="s">
        <v>52</v>
      </c>
      <c r="B2320" t="s">
        <v>53</v>
      </c>
      <c r="C2320" t="s">
        <v>54</v>
      </c>
      <c r="D2320" t="s">
        <v>55</v>
      </c>
      <c r="E2320" t="s">
        <v>2149</v>
      </c>
      <c r="F2320" t="s">
        <v>1247</v>
      </c>
      <c r="G2320" t="s">
        <v>1589</v>
      </c>
      <c r="H2320" t="s">
        <v>1590</v>
      </c>
      <c r="I2320" t="s">
        <v>1590</v>
      </c>
      <c r="J2320" t="s">
        <v>60</v>
      </c>
      <c r="K2320" t="s">
        <v>1591</v>
      </c>
      <c r="L2320" t="s">
        <v>62</v>
      </c>
      <c r="M2320" t="s">
        <v>1591</v>
      </c>
      <c r="N2320" t="s">
        <v>1592</v>
      </c>
      <c r="O2320" t="s">
        <v>659</v>
      </c>
      <c r="P2320">
        <v>-20.140789000000002</v>
      </c>
      <c r="Q2320">
        <v>-44.898631000000002</v>
      </c>
      <c r="R2320" s="2" t="str">
        <f>HYPERLINK("https://www.google.com/maps?q=-20.1407890,-44.8986310","Abrir no Google Maps")</f>
        <v>Abrir no Google Maps</v>
      </c>
      <c r="S2320">
        <v>1</v>
      </c>
      <c r="T2320">
        <v>0</v>
      </c>
      <c r="U2320">
        <v>4</v>
      </c>
      <c r="V2320">
        <v>0.53741757115218347</v>
      </c>
      <c r="W2320">
        <v>1</v>
      </c>
      <c r="X2320">
        <v>0.53741757115218347</v>
      </c>
      <c r="Y2320">
        <v>588</v>
      </c>
      <c r="Z2320">
        <v>51.152636251897107</v>
      </c>
      <c r="AA2320">
        <v>198</v>
      </c>
      <c r="AB2320">
        <v>332</v>
      </c>
      <c r="AC2320">
        <v>536</v>
      </c>
      <c r="AD2320">
        <v>26.61</v>
      </c>
      <c r="AE2320">
        <v>542</v>
      </c>
      <c r="AF2320">
        <v>13</v>
      </c>
      <c r="AG2320">
        <v>180</v>
      </c>
      <c r="AH2320">
        <v>129</v>
      </c>
      <c r="AI2320">
        <v>2.4</v>
      </c>
      <c r="AJ2320">
        <v>33.21</v>
      </c>
      <c r="AK2320">
        <v>23.8</v>
      </c>
      <c r="AL2320">
        <v>-20.140759399999951</v>
      </c>
      <c r="AM2320">
        <v>-44.898703172474903</v>
      </c>
      <c r="AN2320">
        <v>-20.140759399999951</v>
      </c>
      <c r="AO2320">
        <v>-44.898703172474903</v>
      </c>
      <c r="AP2320">
        <v>-20.140789000000002</v>
      </c>
      <c r="AQ2320">
        <v>-44.898631000000002</v>
      </c>
      <c r="AR2320">
        <v>8.2312502179962053</v>
      </c>
      <c r="AS2320" t="s">
        <v>65</v>
      </c>
      <c r="AT2320">
        <v>1</v>
      </c>
      <c r="AU2320" t="s">
        <v>1593</v>
      </c>
      <c r="AV2320" t="s">
        <v>1594</v>
      </c>
      <c r="AW2320" t="s">
        <v>60</v>
      </c>
      <c r="AX2320" t="s">
        <v>68</v>
      </c>
      <c r="AY2320" t="s">
        <v>69</v>
      </c>
      <c r="AZ2320" t="b">
        <v>1</v>
      </c>
    </row>
    <row r="2321" spans="1:52" x14ac:dyDescent="0.3">
      <c r="A2321" t="s">
        <v>52</v>
      </c>
      <c r="B2321" t="s">
        <v>53</v>
      </c>
      <c r="C2321" t="s">
        <v>54</v>
      </c>
      <c r="D2321" t="s">
        <v>55</v>
      </c>
      <c r="E2321" t="s">
        <v>2149</v>
      </c>
      <c r="F2321" t="s">
        <v>1247</v>
      </c>
      <c r="G2321" t="s">
        <v>1595</v>
      </c>
      <c r="H2321" t="s">
        <v>1596</v>
      </c>
      <c r="I2321" t="s">
        <v>1596</v>
      </c>
      <c r="J2321" t="s">
        <v>60</v>
      </c>
      <c r="K2321" t="s">
        <v>530</v>
      </c>
      <c r="L2321" t="s">
        <v>62</v>
      </c>
      <c r="M2321" t="s">
        <v>530</v>
      </c>
      <c r="N2321" t="s">
        <v>1006</v>
      </c>
      <c r="O2321" t="s">
        <v>1597</v>
      </c>
      <c r="P2321">
        <v>-20.139135</v>
      </c>
      <c r="Q2321">
        <v>-44.895907000000001</v>
      </c>
      <c r="R2321" s="2" t="str">
        <f>HYPERLINK("https://www.google.com/maps?q=-20.1391350,-44.8959070","Abrir no Google Maps")</f>
        <v>Abrir no Google Maps</v>
      </c>
      <c r="S2321">
        <v>1</v>
      </c>
      <c r="T2321">
        <v>324.98342996447241</v>
      </c>
      <c r="U2321">
        <v>4</v>
      </c>
      <c r="V2321">
        <v>0.57504215143942783</v>
      </c>
      <c r="W2321">
        <v>1</v>
      </c>
      <c r="X2321">
        <v>0.57504215143942783</v>
      </c>
      <c r="Y2321">
        <v>588</v>
      </c>
      <c r="Z2321">
        <v>411.69998599301618</v>
      </c>
      <c r="AA2321">
        <v>198</v>
      </c>
      <c r="AB2321">
        <v>332</v>
      </c>
      <c r="AC2321">
        <v>536</v>
      </c>
      <c r="AD2321">
        <v>26.61</v>
      </c>
      <c r="AE2321">
        <v>542</v>
      </c>
      <c r="AF2321">
        <v>13</v>
      </c>
      <c r="AG2321">
        <v>180</v>
      </c>
      <c r="AH2321">
        <v>129</v>
      </c>
      <c r="AI2321">
        <v>2.4</v>
      </c>
      <c r="AJ2321">
        <v>33.21</v>
      </c>
      <c r="AK2321">
        <v>23.8</v>
      </c>
      <c r="AL2321">
        <v>-20.139299649999941</v>
      </c>
      <c r="AM2321">
        <v>-44.896005009217312</v>
      </c>
      <c r="AN2321">
        <v>-20.139299649999941</v>
      </c>
      <c r="AO2321">
        <v>-44.896005009217312</v>
      </c>
      <c r="AP2321">
        <v>-20.139135</v>
      </c>
      <c r="AQ2321">
        <v>-44.895907000000001</v>
      </c>
      <c r="AR2321">
        <v>20.996943428875841</v>
      </c>
      <c r="AS2321" t="s">
        <v>65</v>
      </c>
      <c r="AT2321">
        <v>1</v>
      </c>
      <c r="AU2321" t="s">
        <v>1598</v>
      </c>
      <c r="AV2321" t="s">
        <v>1599</v>
      </c>
      <c r="AW2321" t="s">
        <v>60</v>
      </c>
      <c r="AX2321" t="s">
        <v>68</v>
      </c>
      <c r="AY2321" t="s">
        <v>69</v>
      </c>
      <c r="AZ2321" t="b">
        <v>1</v>
      </c>
    </row>
    <row r="2322" spans="1:52" x14ac:dyDescent="0.3">
      <c r="A2322" t="s">
        <v>52</v>
      </c>
      <c r="B2322" t="s">
        <v>53</v>
      </c>
      <c r="C2322" t="s">
        <v>54</v>
      </c>
      <c r="D2322" t="s">
        <v>55</v>
      </c>
      <c r="E2322" t="s">
        <v>2149</v>
      </c>
      <c r="F2322" t="s">
        <v>1247</v>
      </c>
      <c r="G2322" t="s">
        <v>1342</v>
      </c>
      <c r="H2322" t="s">
        <v>1600</v>
      </c>
      <c r="I2322" t="s">
        <v>1600</v>
      </c>
      <c r="J2322" t="s">
        <v>60</v>
      </c>
      <c r="K2322" t="s">
        <v>462</v>
      </c>
      <c r="L2322" t="s">
        <v>62</v>
      </c>
      <c r="M2322" t="s">
        <v>462</v>
      </c>
      <c r="N2322" t="s">
        <v>921</v>
      </c>
      <c r="O2322" t="s">
        <v>1601</v>
      </c>
      <c r="P2322">
        <v>-20.140741999999999</v>
      </c>
      <c r="Q2322">
        <v>-44.902729000000001</v>
      </c>
      <c r="R2322" s="2" t="str">
        <f>HYPERLINK("https://www.google.com/maps?q=-20.1407420,-44.9027290","Abrir no Google Maps")</f>
        <v>Abrir no Google Maps</v>
      </c>
      <c r="S2322">
        <v>1</v>
      </c>
      <c r="T2322">
        <v>373.97936588503438</v>
      </c>
      <c r="U2322">
        <v>4</v>
      </c>
      <c r="V2322">
        <v>0.53553642981333172</v>
      </c>
      <c r="W2322">
        <v>1</v>
      </c>
      <c r="X2322">
        <v>0.53553642981333172</v>
      </c>
      <c r="Y2322">
        <v>588</v>
      </c>
      <c r="Z2322">
        <v>427.55758539734131</v>
      </c>
      <c r="AA2322">
        <v>198</v>
      </c>
      <c r="AB2322">
        <v>332</v>
      </c>
      <c r="AC2322">
        <v>536</v>
      </c>
      <c r="AD2322">
        <v>26.61</v>
      </c>
      <c r="AE2322">
        <v>542</v>
      </c>
      <c r="AF2322">
        <v>13</v>
      </c>
      <c r="AG2322">
        <v>180</v>
      </c>
      <c r="AH2322">
        <v>129</v>
      </c>
      <c r="AI2322">
        <v>2.4</v>
      </c>
      <c r="AJ2322">
        <v>33.21</v>
      </c>
      <c r="AK2322">
        <v>23.8</v>
      </c>
      <c r="AL2322">
        <v>-20.140729549999971</v>
      </c>
      <c r="AM2322">
        <v>-44.902779454814521</v>
      </c>
      <c r="AN2322">
        <v>-20.140729549999971</v>
      </c>
      <c r="AO2322">
        <v>-44.902779454814521</v>
      </c>
      <c r="AP2322">
        <v>-20.140741999999999</v>
      </c>
      <c r="AQ2322">
        <v>-44.902729000000001</v>
      </c>
      <c r="AR2322">
        <v>5.4522610212697993</v>
      </c>
      <c r="AS2322" t="s">
        <v>65</v>
      </c>
      <c r="AT2322">
        <v>1</v>
      </c>
      <c r="AU2322" t="s">
        <v>1602</v>
      </c>
      <c r="AV2322" t="s">
        <v>1603</v>
      </c>
      <c r="AW2322" t="s">
        <v>60</v>
      </c>
      <c r="AX2322" t="s">
        <v>68</v>
      </c>
      <c r="AY2322" t="s">
        <v>69</v>
      </c>
      <c r="AZ2322" t="b">
        <v>1</v>
      </c>
    </row>
    <row r="2323" spans="1:52" x14ac:dyDescent="0.3">
      <c r="A2323" t="s">
        <v>52</v>
      </c>
      <c r="B2323" t="s">
        <v>53</v>
      </c>
      <c r="C2323" t="s">
        <v>54</v>
      </c>
      <c r="D2323" t="s">
        <v>55</v>
      </c>
      <c r="E2323" t="s">
        <v>2149</v>
      </c>
      <c r="F2323" t="s">
        <v>1247</v>
      </c>
      <c r="G2323" t="s">
        <v>1612</v>
      </c>
      <c r="H2323" t="s">
        <v>1613</v>
      </c>
      <c r="I2323" t="s">
        <v>1613</v>
      </c>
      <c r="J2323" t="s">
        <v>60</v>
      </c>
      <c r="K2323" t="s">
        <v>1349</v>
      </c>
      <c r="L2323" t="s">
        <v>62</v>
      </c>
      <c r="M2323" t="s">
        <v>1349</v>
      </c>
      <c r="N2323" t="s">
        <v>1614</v>
      </c>
      <c r="O2323" t="s">
        <v>710</v>
      </c>
      <c r="P2323">
        <v>-20.141335999999999</v>
      </c>
      <c r="Q2323">
        <v>-44.901133000000002</v>
      </c>
      <c r="R2323" s="2" t="str">
        <f>HYPERLINK("https://www.google.com/maps?q=-20.1413360,-44.9011330","Abrir no Google Maps")</f>
        <v>Abrir no Google Maps</v>
      </c>
      <c r="S2323">
        <v>1</v>
      </c>
      <c r="T2323">
        <v>257.92927430829218</v>
      </c>
      <c r="U2323">
        <v>4</v>
      </c>
      <c r="V2323">
        <v>0.55712570719254417</v>
      </c>
      <c r="W2323">
        <v>0.85</v>
      </c>
      <c r="X2323">
        <v>0.47355685111366252</v>
      </c>
      <c r="Y2323">
        <v>588</v>
      </c>
      <c r="Z2323">
        <v>252.62617475231269</v>
      </c>
      <c r="AA2323">
        <v>198</v>
      </c>
      <c r="AB2323">
        <v>332</v>
      </c>
      <c r="AC2323">
        <v>536</v>
      </c>
      <c r="AD2323">
        <v>26.61</v>
      </c>
      <c r="AE2323">
        <v>542</v>
      </c>
      <c r="AF2323">
        <v>13</v>
      </c>
      <c r="AG2323">
        <v>180</v>
      </c>
      <c r="AH2323">
        <v>129</v>
      </c>
      <c r="AI2323">
        <v>2.4</v>
      </c>
      <c r="AJ2323">
        <v>33.21</v>
      </c>
      <c r="AK2323">
        <v>23.8</v>
      </c>
      <c r="AL2323">
        <v>-20.141297649999959</v>
      </c>
      <c r="AM2323">
        <v>-44.901104406351408</v>
      </c>
      <c r="AN2323">
        <v>-20.141297649999959</v>
      </c>
      <c r="AO2323">
        <v>-44.901104406351408</v>
      </c>
      <c r="AP2323">
        <v>-20.141335999999999</v>
      </c>
      <c r="AQ2323">
        <v>-44.901133000000002</v>
      </c>
      <c r="AR2323">
        <v>5.211130154459668</v>
      </c>
      <c r="AS2323" t="s">
        <v>65</v>
      </c>
      <c r="AT2323">
        <v>1</v>
      </c>
      <c r="AU2323" t="s">
        <v>1615</v>
      </c>
      <c r="AV2323" t="s">
        <v>1616</v>
      </c>
      <c r="AW2323" t="s">
        <v>60</v>
      </c>
      <c r="AX2323" t="s">
        <v>68</v>
      </c>
      <c r="AY2323" t="s">
        <v>69</v>
      </c>
      <c r="AZ2323" t="b">
        <v>1</v>
      </c>
    </row>
    <row r="2324" spans="1:52" x14ac:dyDescent="0.3">
      <c r="A2324" t="s">
        <v>52</v>
      </c>
      <c r="B2324" t="s">
        <v>53</v>
      </c>
      <c r="C2324" t="s">
        <v>54</v>
      </c>
      <c r="D2324" t="s">
        <v>55</v>
      </c>
      <c r="E2324" t="s">
        <v>2149</v>
      </c>
      <c r="F2324" t="s">
        <v>1247</v>
      </c>
      <c r="G2324" t="s">
        <v>1584</v>
      </c>
      <c r="H2324" t="s">
        <v>1604</v>
      </c>
      <c r="I2324" t="s">
        <v>1604</v>
      </c>
      <c r="J2324" t="s">
        <v>60</v>
      </c>
      <c r="K2324" t="s">
        <v>530</v>
      </c>
      <c r="L2324" t="s">
        <v>62</v>
      </c>
      <c r="M2324" t="s">
        <v>530</v>
      </c>
      <c r="N2324" t="s">
        <v>406</v>
      </c>
      <c r="O2324" t="s">
        <v>1267</v>
      </c>
      <c r="P2324">
        <v>-20.147068000000001</v>
      </c>
      <c r="Q2324">
        <v>-44.898629999999997</v>
      </c>
      <c r="R2324" s="2" t="str">
        <f>HYPERLINK("https://www.google.com/maps?q=-20.1470680,-44.8986300","Abrir no Google Maps")</f>
        <v>Abrir no Google Maps</v>
      </c>
      <c r="S2324">
        <v>1</v>
      </c>
      <c r="T2324">
        <v>468.5580266389448</v>
      </c>
      <c r="U2324">
        <v>4</v>
      </c>
      <c r="V2324">
        <v>0.54802683872701263</v>
      </c>
      <c r="W2324">
        <v>1</v>
      </c>
      <c r="X2324">
        <v>0.54802683872701263</v>
      </c>
      <c r="Y2324">
        <v>556</v>
      </c>
      <c r="Z2324">
        <v>447.77738134922419</v>
      </c>
      <c r="AA2324">
        <v>198</v>
      </c>
      <c r="AB2324">
        <v>332</v>
      </c>
      <c r="AC2324">
        <v>536</v>
      </c>
      <c r="AD2324">
        <v>26.61</v>
      </c>
      <c r="AE2324">
        <v>542</v>
      </c>
      <c r="AF2324">
        <v>13</v>
      </c>
      <c r="AG2324">
        <v>180</v>
      </c>
      <c r="AH2324">
        <v>129</v>
      </c>
      <c r="AI2324">
        <v>2.4</v>
      </c>
      <c r="AJ2324">
        <v>33.21</v>
      </c>
      <c r="AK2324">
        <v>23.8</v>
      </c>
      <c r="AL2324">
        <v>-20.14701759999997</v>
      </c>
      <c r="AM2324">
        <v>-44.898633710342303</v>
      </c>
      <c r="AN2324">
        <v>-20.14701759999997</v>
      </c>
      <c r="AO2324">
        <v>-44.898633710342303</v>
      </c>
      <c r="AP2324">
        <v>-20.147068000000001</v>
      </c>
      <c r="AQ2324">
        <v>-44.898629999999997</v>
      </c>
      <c r="AR2324">
        <v>5.6239118246064832</v>
      </c>
      <c r="AS2324" t="s">
        <v>65</v>
      </c>
      <c r="AT2324">
        <v>1</v>
      </c>
      <c r="AU2324" t="s">
        <v>1605</v>
      </c>
      <c r="AV2324" t="s">
        <v>1606</v>
      </c>
      <c r="AW2324" t="s">
        <v>60</v>
      </c>
      <c r="AX2324" t="s">
        <v>68</v>
      </c>
      <c r="AY2324" t="s">
        <v>69</v>
      </c>
      <c r="AZ2324" t="b">
        <v>1</v>
      </c>
    </row>
    <row r="2325" spans="1:52" x14ac:dyDescent="0.3">
      <c r="A2325" t="s">
        <v>52</v>
      </c>
      <c r="B2325" t="s">
        <v>53</v>
      </c>
      <c r="C2325" t="s">
        <v>54</v>
      </c>
      <c r="D2325" t="s">
        <v>55</v>
      </c>
      <c r="E2325" t="s">
        <v>2149</v>
      </c>
      <c r="F2325" t="s">
        <v>1247</v>
      </c>
      <c r="G2325" t="s">
        <v>1607</v>
      </c>
      <c r="H2325" t="s">
        <v>1608</v>
      </c>
      <c r="I2325" t="s">
        <v>1608</v>
      </c>
      <c r="J2325" t="s">
        <v>60</v>
      </c>
      <c r="K2325" t="s">
        <v>1486</v>
      </c>
      <c r="L2325" t="s">
        <v>62</v>
      </c>
      <c r="M2325" t="s">
        <v>1486</v>
      </c>
      <c r="N2325" t="s">
        <v>1609</v>
      </c>
      <c r="O2325" t="s">
        <v>1255</v>
      </c>
      <c r="P2325">
        <v>-20.157689000000001</v>
      </c>
      <c r="Q2325">
        <v>-44.883887000000001</v>
      </c>
      <c r="R2325" s="2" t="str">
        <f>HYPERLINK("https://www.google.com/maps?q=-20.1576890,-44.8838870","Abrir no Google Maps")</f>
        <v>Abrir no Google Maps</v>
      </c>
      <c r="S2325">
        <v>1</v>
      </c>
      <c r="T2325">
        <v>603.38424821205774</v>
      </c>
      <c r="U2325">
        <v>3</v>
      </c>
      <c r="V2325">
        <v>0.43472328747965411</v>
      </c>
      <c r="W2325">
        <v>1</v>
      </c>
      <c r="X2325">
        <v>0.43472328747965411</v>
      </c>
      <c r="Y2325">
        <v>671</v>
      </c>
      <c r="Z2325">
        <v>682.48636898467089</v>
      </c>
      <c r="AA2325">
        <v>198</v>
      </c>
      <c r="AB2325">
        <v>332</v>
      </c>
      <c r="AC2325">
        <v>536</v>
      </c>
      <c r="AD2325">
        <v>26.61</v>
      </c>
      <c r="AE2325">
        <v>542</v>
      </c>
      <c r="AF2325">
        <v>13</v>
      </c>
      <c r="AG2325">
        <v>180</v>
      </c>
      <c r="AH2325">
        <v>129</v>
      </c>
      <c r="AI2325">
        <v>2.4</v>
      </c>
      <c r="AJ2325">
        <v>33.21</v>
      </c>
      <c r="AK2325">
        <v>23.8</v>
      </c>
      <c r="AL2325">
        <v>-20.157732249999949</v>
      </c>
      <c r="AM2325">
        <v>-44.883829923283272</v>
      </c>
      <c r="AN2325">
        <v>-20.157732249999949</v>
      </c>
      <c r="AO2325">
        <v>-44.883829923283272</v>
      </c>
      <c r="AP2325">
        <v>-20.157689000000001</v>
      </c>
      <c r="AQ2325">
        <v>-44.883887000000001</v>
      </c>
      <c r="AR2325">
        <v>7.6652901074925257</v>
      </c>
      <c r="AS2325" t="s">
        <v>65</v>
      </c>
      <c r="AT2325">
        <v>1</v>
      </c>
      <c r="AU2325" t="s">
        <v>1610</v>
      </c>
      <c r="AV2325" t="s">
        <v>1611</v>
      </c>
      <c r="AW2325" t="s">
        <v>60</v>
      </c>
      <c r="AX2325" t="s">
        <v>68</v>
      </c>
      <c r="AY2325" t="s">
        <v>69</v>
      </c>
      <c r="AZ2325" t="b">
        <v>1</v>
      </c>
    </row>
    <row r="2326" spans="1:52" x14ac:dyDescent="0.3">
      <c r="A2326" t="s">
        <v>52</v>
      </c>
      <c r="B2326" t="s">
        <v>53</v>
      </c>
      <c r="C2326" t="s">
        <v>54</v>
      </c>
      <c r="D2326" t="s">
        <v>55</v>
      </c>
      <c r="E2326" t="s">
        <v>2155</v>
      </c>
      <c r="F2326" t="s">
        <v>57</v>
      </c>
      <c r="G2326" t="s">
        <v>70</v>
      </c>
      <c r="H2326" t="s">
        <v>71</v>
      </c>
      <c r="I2326" t="s">
        <v>71</v>
      </c>
      <c r="J2326" t="s">
        <v>60</v>
      </c>
      <c r="K2326" t="s">
        <v>72</v>
      </c>
      <c r="L2326" t="s">
        <v>62</v>
      </c>
      <c r="M2326" t="s">
        <v>72</v>
      </c>
      <c r="N2326" t="s">
        <v>73</v>
      </c>
      <c r="O2326" t="s">
        <v>74</v>
      </c>
      <c r="P2326">
        <v>-20.149349000000001</v>
      </c>
      <c r="Q2326">
        <v>-44.910784</v>
      </c>
      <c r="R2326" s="2" t="str">
        <f>HYPERLINK("https://www.google.com/maps?q=-20.1493490,-44.9107840","Abrir no Google Maps")</f>
        <v>Abrir no Google Maps</v>
      </c>
      <c r="S2326">
        <v>4</v>
      </c>
      <c r="T2326">
        <v>472.43876549769578</v>
      </c>
      <c r="U2326">
        <v>4</v>
      </c>
      <c r="V2326">
        <v>0.4351990471576227</v>
      </c>
      <c r="W2326">
        <v>1</v>
      </c>
      <c r="X2326">
        <v>0.4351990471576227</v>
      </c>
      <c r="Y2326">
        <v>747</v>
      </c>
      <c r="Z2326">
        <v>441.03921887407779</v>
      </c>
      <c r="AA2326">
        <v>198</v>
      </c>
      <c r="AB2326">
        <v>332</v>
      </c>
      <c r="AC2326">
        <v>536</v>
      </c>
      <c r="AD2326">
        <v>29.96</v>
      </c>
      <c r="AE2326">
        <v>542</v>
      </c>
      <c r="AF2326">
        <v>29</v>
      </c>
      <c r="AG2326">
        <v>174</v>
      </c>
      <c r="AH2326">
        <v>129</v>
      </c>
      <c r="AI2326">
        <v>5.35</v>
      </c>
      <c r="AJ2326">
        <v>32.1</v>
      </c>
      <c r="AK2326">
        <v>23.8</v>
      </c>
      <c r="AL2326">
        <v>-20.149403999999951</v>
      </c>
      <c r="AM2326">
        <v>-44.91080895147438</v>
      </c>
      <c r="AN2326">
        <v>-20.149403999999951</v>
      </c>
      <c r="AO2326">
        <v>-44.91080895147438</v>
      </c>
      <c r="AP2326">
        <v>-20.149349000000001</v>
      </c>
      <c r="AQ2326">
        <v>-44.910784</v>
      </c>
      <c r="AR2326">
        <v>6.6547592699416382</v>
      </c>
      <c r="AS2326" t="s">
        <v>65</v>
      </c>
      <c r="AT2326">
        <v>1</v>
      </c>
      <c r="AU2326" t="s">
        <v>75</v>
      </c>
      <c r="AV2326" t="s">
        <v>76</v>
      </c>
      <c r="AW2326" t="s">
        <v>60</v>
      </c>
      <c r="AX2326" t="s">
        <v>68</v>
      </c>
      <c r="AY2326" t="s">
        <v>69</v>
      </c>
      <c r="AZ2326" t="b">
        <v>1</v>
      </c>
    </row>
    <row r="2327" spans="1:52" x14ac:dyDescent="0.3">
      <c r="A2327" t="s">
        <v>52</v>
      </c>
      <c r="B2327" t="s">
        <v>53</v>
      </c>
      <c r="C2327" t="s">
        <v>54</v>
      </c>
      <c r="D2327" t="s">
        <v>55</v>
      </c>
      <c r="E2327" t="s">
        <v>2155</v>
      </c>
      <c r="F2327" t="s">
        <v>57</v>
      </c>
      <c r="G2327" t="s">
        <v>77</v>
      </c>
      <c r="H2327" t="s">
        <v>78</v>
      </c>
      <c r="I2327" t="s">
        <v>78</v>
      </c>
      <c r="J2327" t="s">
        <v>60</v>
      </c>
      <c r="K2327" t="s">
        <v>72</v>
      </c>
      <c r="L2327" t="s">
        <v>62</v>
      </c>
      <c r="M2327" t="s">
        <v>72</v>
      </c>
      <c r="N2327" t="s">
        <v>79</v>
      </c>
      <c r="O2327" t="s">
        <v>80</v>
      </c>
      <c r="P2327">
        <v>-20.147821</v>
      </c>
      <c r="Q2327">
        <v>-44.908887</v>
      </c>
      <c r="R2327" s="2" t="str">
        <f>HYPERLINK("https://www.google.com/maps?q=-20.1478210,-44.9088870","Abrir no Google Maps")</f>
        <v>Abrir no Google Maps</v>
      </c>
      <c r="S2327">
        <v>4</v>
      </c>
      <c r="T2327">
        <v>232.2893841532152</v>
      </c>
      <c r="U2327">
        <v>4</v>
      </c>
      <c r="V2327">
        <v>0.43706154247592321</v>
      </c>
      <c r="W2327">
        <v>1</v>
      </c>
      <c r="X2327">
        <v>0.43706154247592321</v>
      </c>
      <c r="Y2327">
        <v>747</v>
      </c>
      <c r="Z2327">
        <v>195.3668648953757</v>
      </c>
      <c r="AA2327">
        <v>198</v>
      </c>
      <c r="AB2327">
        <v>332</v>
      </c>
      <c r="AC2327">
        <v>536</v>
      </c>
      <c r="AD2327">
        <v>29.96</v>
      </c>
      <c r="AE2327">
        <v>542</v>
      </c>
      <c r="AF2327">
        <v>29</v>
      </c>
      <c r="AG2327">
        <v>174</v>
      </c>
      <c r="AH2327">
        <v>129</v>
      </c>
      <c r="AI2327">
        <v>5.35</v>
      </c>
      <c r="AJ2327">
        <v>32.1</v>
      </c>
      <c r="AK2327">
        <v>23.8</v>
      </c>
      <c r="AL2327">
        <v>-20.147802849999952</v>
      </c>
      <c r="AM2327">
        <v>-44.908989919229477</v>
      </c>
      <c r="AN2327">
        <v>-20.147802849999952</v>
      </c>
      <c r="AO2327">
        <v>-44.908989919229491</v>
      </c>
      <c r="AP2327">
        <v>-20.147821</v>
      </c>
      <c r="AQ2327">
        <v>-44.908887</v>
      </c>
      <c r="AR2327">
        <v>10.944007761262529</v>
      </c>
      <c r="AS2327" t="s">
        <v>65</v>
      </c>
      <c r="AT2327">
        <v>1</v>
      </c>
      <c r="AU2327" t="s">
        <v>81</v>
      </c>
      <c r="AV2327" t="s">
        <v>82</v>
      </c>
      <c r="AW2327" t="s">
        <v>60</v>
      </c>
      <c r="AX2327" t="s">
        <v>68</v>
      </c>
      <c r="AY2327" t="s">
        <v>69</v>
      </c>
      <c r="AZ2327" t="b">
        <v>1</v>
      </c>
    </row>
    <row r="2328" spans="1:52" x14ac:dyDescent="0.3">
      <c r="A2328" t="s">
        <v>52</v>
      </c>
      <c r="B2328" t="s">
        <v>53</v>
      </c>
      <c r="C2328" t="s">
        <v>54</v>
      </c>
      <c r="D2328" t="s">
        <v>55</v>
      </c>
      <c r="E2328" t="s">
        <v>2155</v>
      </c>
      <c r="F2328" t="s">
        <v>57</v>
      </c>
      <c r="G2328" t="s">
        <v>89</v>
      </c>
      <c r="H2328" t="s">
        <v>90</v>
      </c>
      <c r="I2328" t="s">
        <v>90</v>
      </c>
      <c r="J2328" t="s">
        <v>60</v>
      </c>
      <c r="K2328" t="s">
        <v>72</v>
      </c>
      <c r="L2328" t="s">
        <v>62</v>
      </c>
      <c r="M2328" t="s">
        <v>72</v>
      </c>
      <c r="N2328" t="s">
        <v>91</v>
      </c>
      <c r="O2328" t="s">
        <v>92</v>
      </c>
      <c r="P2328">
        <v>-20.145848999999998</v>
      </c>
      <c r="Q2328">
        <v>-44.908419000000002</v>
      </c>
      <c r="R2328" s="2" t="str">
        <f>HYPERLINK("https://www.google.com/maps?q=-20.1458490,-44.9084190","Abrir no Google Maps")</f>
        <v>Abrir no Google Maps</v>
      </c>
      <c r="S2328">
        <v>4</v>
      </c>
      <c r="T2328">
        <v>0</v>
      </c>
      <c r="U2328">
        <v>4</v>
      </c>
      <c r="V2328">
        <v>0.4375156008895344</v>
      </c>
      <c r="W2328">
        <v>1</v>
      </c>
      <c r="X2328">
        <v>0.4375156008895344</v>
      </c>
      <c r="Y2328">
        <v>747</v>
      </c>
      <c r="Z2328">
        <v>136.08168502765241</v>
      </c>
      <c r="AA2328">
        <v>198</v>
      </c>
      <c r="AB2328">
        <v>332</v>
      </c>
      <c r="AC2328">
        <v>536</v>
      </c>
      <c r="AD2328">
        <v>29.96</v>
      </c>
      <c r="AE2328">
        <v>542</v>
      </c>
      <c r="AF2328">
        <v>29</v>
      </c>
      <c r="AG2328">
        <v>174</v>
      </c>
      <c r="AH2328">
        <v>129</v>
      </c>
      <c r="AI2328">
        <v>5.35</v>
      </c>
      <c r="AJ2328">
        <v>32.1</v>
      </c>
      <c r="AK2328">
        <v>23.8</v>
      </c>
      <c r="AL2328">
        <v>-20.14576979999995</v>
      </c>
      <c r="AM2328">
        <v>-44.908436775053183</v>
      </c>
      <c r="AN2328">
        <v>-20.14576979999995</v>
      </c>
      <c r="AO2328">
        <v>-44.908436775053183</v>
      </c>
      <c r="AP2328">
        <v>-20.145848999999998</v>
      </c>
      <c r="AQ2328">
        <v>-44.908419000000002</v>
      </c>
      <c r="AR2328">
        <v>9.0101247482327356</v>
      </c>
      <c r="AS2328" t="s">
        <v>65</v>
      </c>
      <c r="AT2328">
        <v>1</v>
      </c>
      <c r="AU2328" t="s">
        <v>93</v>
      </c>
      <c r="AV2328" t="s">
        <v>94</v>
      </c>
      <c r="AW2328" t="s">
        <v>60</v>
      </c>
      <c r="AX2328" t="s">
        <v>68</v>
      </c>
      <c r="AY2328" t="s">
        <v>69</v>
      </c>
      <c r="AZ2328" t="b">
        <v>1</v>
      </c>
    </row>
    <row r="2329" spans="1:52" x14ac:dyDescent="0.3">
      <c r="A2329" t="s">
        <v>52</v>
      </c>
      <c r="B2329" t="s">
        <v>53</v>
      </c>
      <c r="C2329" t="s">
        <v>54</v>
      </c>
      <c r="D2329" t="s">
        <v>55</v>
      </c>
      <c r="E2329" t="s">
        <v>2155</v>
      </c>
      <c r="F2329" t="s">
        <v>57</v>
      </c>
      <c r="G2329" t="s">
        <v>95</v>
      </c>
      <c r="H2329" t="s">
        <v>96</v>
      </c>
      <c r="I2329" t="s">
        <v>96</v>
      </c>
      <c r="J2329" t="s">
        <v>60</v>
      </c>
      <c r="K2329" t="s">
        <v>72</v>
      </c>
      <c r="L2329" t="s">
        <v>62</v>
      </c>
      <c r="M2329" t="s">
        <v>72</v>
      </c>
      <c r="N2329" t="s">
        <v>97</v>
      </c>
      <c r="O2329" t="s">
        <v>98</v>
      </c>
      <c r="P2329">
        <v>-20.144062999999999</v>
      </c>
      <c r="Q2329">
        <v>-44.909627999999998</v>
      </c>
      <c r="R2329" s="2" t="str">
        <f>HYPERLINK("https://www.google.com/maps?q=-20.1440630,-44.9096280","Abrir no Google Maps")</f>
        <v>Abrir no Google Maps</v>
      </c>
      <c r="S2329">
        <v>4</v>
      </c>
      <c r="T2329">
        <v>205.27083326529291</v>
      </c>
      <c r="U2329">
        <v>4</v>
      </c>
      <c r="V2329">
        <v>0.42134699106424428</v>
      </c>
      <c r="W2329">
        <v>1</v>
      </c>
      <c r="X2329">
        <v>0.42134699106424428</v>
      </c>
      <c r="Y2329">
        <v>747</v>
      </c>
      <c r="Z2329">
        <v>336.75785483480968</v>
      </c>
      <c r="AA2329">
        <v>198</v>
      </c>
      <c r="AB2329">
        <v>332</v>
      </c>
      <c r="AC2329">
        <v>536</v>
      </c>
      <c r="AD2329">
        <v>29.96</v>
      </c>
      <c r="AE2329">
        <v>542</v>
      </c>
      <c r="AF2329">
        <v>29</v>
      </c>
      <c r="AG2329">
        <v>174</v>
      </c>
      <c r="AH2329">
        <v>129</v>
      </c>
      <c r="AI2329">
        <v>5.35</v>
      </c>
      <c r="AJ2329">
        <v>32.1</v>
      </c>
      <c r="AK2329">
        <v>23.8</v>
      </c>
      <c r="AL2329">
        <v>-20.144164099999951</v>
      </c>
      <c r="AM2329">
        <v>-44.909420167767642</v>
      </c>
      <c r="AN2329">
        <v>-20.144164099999951</v>
      </c>
      <c r="AO2329">
        <v>-44.909420167767642</v>
      </c>
      <c r="AP2329">
        <v>-20.144062999999999</v>
      </c>
      <c r="AQ2329">
        <v>-44.909627999999998</v>
      </c>
      <c r="AR2329">
        <v>24.46321571724976</v>
      </c>
      <c r="AS2329" t="s">
        <v>65</v>
      </c>
      <c r="AT2329">
        <v>1</v>
      </c>
      <c r="AU2329" t="s">
        <v>99</v>
      </c>
      <c r="AV2329" t="s">
        <v>94</v>
      </c>
      <c r="AW2329" t="s">
        <v>60</v>
      </c>
      <c r="AX2329" t="s">
        <v>68</v>
      </c>
      <c r="AY2329" t="s">
        <v>69</v>
      </c>
      <c r="AZ2329" t="b">
        <v>1</v>
      </c>
    </row>
    <row r="2330" spans="1:52" x14ac:dyDescent="0.3">
      <c r="A2330" t="s">
        <v>52</v>
      </c>
      <c r="B2330" t="s">
        <v>53</v>
      </c>
      <c r="C2330" t="s">
        <v>54</v>
      </c>
      <c r="D2330" t="s">
        <v>55</v>
      </c>
      <c r="E2330" t="s">
        <v>2155</v>
      </c>
      <c r="F2330" t="s">
        <v>57</v>
      </c>
      <c r="G2330" t="s">
        <v>100</v>
      </c>
      <c r="H2330" t="s">
        <v>101</v>
      </c>
      <c r="I2330" t="s">
        <v>101</v>
      </c>
      <c r="J2330" t="s">
        <v>60</v>
      </c>
      <c r="K2330" t="s">
        <v>61</v>
      </c>
      <c r="L2330" t="s">
        <v>62</v>
      </c>
      <c r="M2330" t="s">
        <v>61</v>
      </c>
      <c r="N2330" t="s">
        <v>102</v>
      </c>
      <c r="O2330" t="s">
        <v>103</v>
      </c>
      <c r="P2330">
        <v>-20.151098999999999</v>
      </c>
      <c r="Q2330">
        <v>-44.909699000000003</v>
      </c>
      <c r="R2330" s="2" t="str">
        <f>HYPERLINK("https://www.google.com/maps?q=-20.1510990,-44.9096990","Abrir no Google Maps")</f>
        <v>Abrir no Google Maps</v>
      </c>
      <c r="S2330">
        <v>4</v>
      </c>
      <c r="T2330">
        <v>628.5023128813533</v>
      </c>
      <c r="U2330">
        <v>4</v>
      </c>
      <c r="V2330">
        <v>0.50573232886904773</v>
      </c>
      <c r="W2330">
        <v>1</v>
      </c>
      <c r="X2330">
        <v>0.50573232886904773</v>
      </c>
      <c r="Y2330">
        <v>747</v>
      </c>
      <c r="Z2330">
        <v>563.16456625265948</v>
      </c>
      <c r="AA2330">
        <v>198</v>
      </c>
      <c r="AB2330">
        <v>332</v>
      </c>
      <c r="AC2330">
        <v>536</v>
      </c>
      <c r="AD2330">
        <v>29.96</v>
      </c>
      <c r="AE2330">
        <v>542</v>
      </c>
      <c r="AF2330">
        <v>29</v>
      </c>
      <c r="AG2330">
        <v>174</v>
      </c>
      <c r="AH2330">
        <v>129</v>
      </c>
      <c r="AI2330">
        <v>5.35</v>
      </c>
      <c r="AJ2330">
        <v>32.1</v>
      </c>
      <c r="AK2330">
        <v>23.8</v>
      </c>
      <c r="AL2330">
        <v>-20.151307349999971</v>
      </c>
      <c r="AM2330">
        <v>-44.909772836123523</v>
      </c>
      <c r="AN2330">
        <v>-20.151307349999971</v>
      </c>
      <c r="AO2330">
        <v>-44.909772836123523</v>
      </c>
      <c r="AP2330">
        <v>-20.151098999999999</v>
      </c>
      <c r="AQ2330">
        <v>-44.909699000000003</v>
      </c>
      <c r="AR2330">
        <v>24.443417349564811</v>
      </c>
      <c r="AS2330" t="s">
        <v>65</v>
      </c>
      <c r="AT2330">
        <v>1</v>
      </c>
      <c r="AU2330" t="s">
        <v>104</v>
      </c>
      <c r="AV2330" t="s">
        <v>105</v>
      </c>
      <c r="AW2330" t="s">
        <v>60</v>
      </c>
      <c r="AX2330" t="s">
        <v>68</v>
      </c>
      <c r="AY2330" t="s">
        <v>69</v>
      </c>
      <c r="AZ2330" t="b">
        <v>1</v>
      </c>
    </row>
    <row r="2331" spans="1:52" x14ac:dyDescent="0.3">
      <c r="A2331" t="s">
        <v>52</v>
      </c>
      <c r="B2331" t="s">
        <v>53</v>
      </c>
      <c r="C2331" t="s">
        <v>54</v>
      </c>
      <c r="D2331" t="s">
        <v>55</v>
      </c>
      <c r="E2331" t="s">
        <v>2155</v>
      </c>
      <c r="F2331" t="s">
        <v>57</v>
      </c>
      <c r="G2331" t="s">
        <v>100</v>
      </c>
      <c r="H2331" t="s">
        <v>106</v>
      </c>
      <c r="I2331" t="s">
        <v>106</v>
      </c>
      <c r="J2331" t="s">
        <v>60</v>
      </c>
      <c r="K2331" t="s">
        <v>61</v>
      </c>
      <c r="L2331" t="s">
        <v>62</v>
      </c>
      <c r="M2331" t="s">
        <v>61</v>
      </c>
      <c r="N2331" t="s">
        <v>102</v>
      </c>
      <c r="O2331" t="s">
        <v>103</v>
      </c>
      <c r="P2331">
        <v>-20.151107</v>
      </c>
      <c r="Q2331">
        <v>-44.908918</v>
      </c>
      <c r="R2331" s="2" t="str">
        <f>HYPERLINK("https://www.google.com/maps?q=-20.1511070,-44.9089180","Abrir no Google Maps")</f>
        <v>Abrir no Google Maps</v>
      </c>
      <c r="S2331">
        <v>4</v>
      </c>
      <c r="T2331">
        <v>615.86400245321579</v>
      </c>
      <c r="U2331">
        <v>4</v>
      </c>
      <c r="V2331">
        <v>0.49716078047985668</v>
      </c>
      <c r="W2331">
        <v>0.85</v>
      </c>
      <c r="X2331">
        <v>0.42258666340787809</v>
      </c>
      <c r="Y2331">
        <v>747</v>
      </c>
      <c r="Z2331">
        <v>535.34543763764702</v>
      </c>
      <c r="AA2331">
        <v>198</v>
      </c>
      <c r="AB2331">
        <v>332</v>
      </c>
      <c r="AC2331">
        <v>536</v>
      </c>
      <c r="AD2331">
        <v>29.96</v>
      </c>
      <c r="AE2331">
        <v>542</v>
      </c>
      <c r="AF2331">
        <v>29</v>
      </c>
      <c r="AG2331">
        <v>174</v>
      </c>
      <c r="AH2331">
        <v>129</v>
      </c>
      <c r="AI2331">
        <v>5.35</v>
      </c>
      <c r="AJ2331">
        <v>32.1</v>
      </c>
      <c r="AK2331">
        <v>23.8</v>
      </c>
      <c r="AL2331">
        <v>-20.151307349999971</v>
      </c>
      <c r="AM2331">
        <v>-44.909024234051429</v>
      </c>
      <c r="AN2331">
        <v>-20.151307349999971</v>
      </c>
      <c r="AO2331">
        <v>-44.909024234051429</v>
      </c>
      <c r="AP2331">
        <v>-20.151107</v>
      </c>
      <c r="AQ2331">
        <v>-44.908918</v>
      </c>
      <c r="AR2331">
        <v>24.91340747371116</v>
      </c>
      <c r="AS2331" t="s">
        <v>65</v>
      </c>
      <c r="AT2331">
        <v>1</v>
      </c>
      <c r="AU2331" t="s">
        <v>107</v>
      </c>
      <c r="AV2331" t="s">
        <v>105</v>
      </c>
      <c r="AW2331" t="s">
        <v>60</v>
      </c>
      <c r="AX2331" t="s">
        <v>68</v>
      </c>
      <c r="AY2331" t="s">
        <v>69</v>
      </c>
      <c r="AZ2331" t="b">
        <v>1</v>
      </c>
    </row>
    <row r="2332" spans="1:52" x14ac:dyDescent="0.3">
      <c r="A2332" t="s">
        <v>52</v>
      </c>
      <c r="B2332" t="s">
        <v>53</v>
      </c>
      <c r="C2332" t="s">
        <v>54</v>
      </c>
      <c r="D2332" t="s">
        <v>55</v>
      </c>
      <c r="E2332" t="s">
        <v>2155</v>
      </c>
      <c r="F2332" t="s">
        <v>57</v>
      </c>
      <c r="G2332" t="s">
        <v>219</v>
      </c>
      <c r="H2332" t="s">
        <v>2129</v>
      </c>
      <c r="I2332" t="s">
        <v>2129</v>
      </c>
      <c r="J2332" t="s">
        <v>60</v>
      </c>
      <c r="K2332" t="s">
        <v>1165</v>
      </c>
      <c r="L2332" t="s">
        <v>62</v>
      </c>
      <c r="M2332" t="s">
        <v>1165</v>
      </c>
      <c r="N2332" t="s">
        <v>221</v>
      </c>
      <c r="O2332" t="s">
        <v>2130</v>
      </c>
      <c r="P2332">
        <v>-20.156721000000001</v>
      </c>
      <c r="Q2332">
        <v>-44.862000000000002</v>
      </c>
      <c r="R2332" s="2" t="str">
        <f>HYPERLINK("https://www.google.com/maps?q=-20.1567210,-44.8620000","Abrir no Google Maps")</f>
        <v>Abrir no Google Maps</v>
      </c>
      <c r="S2332">
        <v>4</v>
      </c>
      <c r="T2332">
        <v>471.61852854830028</v>
      </c>
      <c r="U2332">
        <v>4</v>
      </c>
      <c r="V2332">
        <v>0.49603835978835981</v>
      </c>
      <c r="W2332">
        <v>0.85</v>
      </c>
      <c r="X2332">
        <v>0.42163260582010581</v>
      </c>
      <c r="Y2332">
        <v>518</v>
      </c>
      <c r="Z2332">
        <v>453.51649447198128</v>
      </c>
      <c r="AA2332">
        <v>198</v>
      </c>
      <c r="AB2332">
        <v>332</v>
      </c>
      <c r="AC2332">
        <v>536</v>
      </c>
      <c r="AD2332">
        <v>29.96</v>
      </c>
      <c r="AE2332">
        <v>542</v>
      </c>
      <c r="AF2332">
        <v>29</v>
      </c>
      <c r="AG2332">
        <v>174</v>
      </c>
      <c r="AH2332">
        <v>129</v>
      </c>
      <c r="AI2332">
        <v>5.35</v>
      </c>
      <c r="AJ2332">
        <v>32.1</v>
      </c>
      <c r="AK2332">
        <v>23.8</v>
      </c>
      <c r="AL2332">
        <v>-20.156574899999949</v>
      </c>
      <c r="AM2332">
        <v>-44.861856840496699</v>
      </c>
      <c r="AN2332">
        <v>-20.156574899999949</v>
      </c>
      <c r="AO2332">
        <v>-44.861856840496699</v>
      </c>
      <c r="AP2332">
        <v>-20.156721000000001</v>
      </c>
      <c r="AQ2332">
        <v>-44.862000000000002</v>
      </c>
      <c r="AR2332">
        <v>22.09816067181935</v>
      </c>
      <c r="AS2332" t="s">
        <v>65</v>
      </c>
      <c r="AT2332">
        <v>1</v>
      </c>
      <c r="AU2332" t="s">
        <v>2131</v>
      </c>
      <c r="AV2332" t="s">
        <v>2132</v>
      </c>
      <c r="AW2332" t="s">
        <v>60</v>
      </c>
      <c r="AX2332" t="s">
        <v>68</v>
      </c>
      <c r="AY2332" t="s">
        <v>69</v>
      </c>
      <c r="AZ2332" t="b">
        <v>1</v>
      </c>
    </row>
    <row r="2333" spans="1:52" x14ac:dyDescent="0.3">
      <c r="A2333" t="s">
        <v>52</v>
      </c>
      <c r="B2333" t="s">
        <v>53</v>
      </c>
      <c r="C2333" t="s">
        <v>54</v>
      </c>
      <c r="D2333" t="s">
        <v>55</v>
      </c>
      <c r="E2333" t="s">
        <v>2155</v>
      </c>
      <c r="F2333" t="s">
        <v>57</v>
      </c>
      <c r="G2333" t="s">
        <v>238</v>
      </c>
      <c r="H2333" t="s">
        <v>239</v>
      </c>
      <c r="I2333" t="s">
        <v>239</v>
      </c>
      <c r="J2333" t="s">
        <v>60</v>
      </c>
      <c r="K2333" t="s">
        <v>227</v>
      </c>
      <c r="L2333" t="s">
        <v>62</v>
      </c>
      <c r="M2333" t="s">
        <v>227</v>
      </c>
      <c r="N2333" t="s">
        <v>240</v>
      </c>
      <c r="O2333" t="s">
        <v>202</v>
      </c>
      <c r="P2333">
        <v>-20.155833999999999</v>
      </c>
      <c r="Q2333">
        <v>-44.859437999999997</v>
      </c>
      <c r="R2333" s="2" t="str">
        <f>HYPERLINK("https://www.google.com/maps?q=-20.1558340,-44.8594380","Abrir no Google Maps")</f>
        <v>Abrir no Google Maps</v>
      </c>
      <c r="S2333">
        <v>4</v>
      </c>
      <c r="T2333">
        <v>381.00646482339403</v>
      </c>
      <c r="U2333">
        <v>4</v>
      </c>
      <c r="V2333">
        <v>0.43003294346978549</v>
      </c>
      <c r="W2333">
        <v>1</v>
      </c>
      <c r="X2333">
        <v>0.43003294346978549</v>
      </c>
      <c r="Y2333">
        <v>518</v>
      </c>
      <c r="Z2333">
        <v>484.9275363207239</v>
      </c>
      <c r="AA2333">
        <v>198</v>
      </c>
      <c r="AB2333">
        <v>332</v>
      </c>
      <c r="AC2333">
        <v>536</v>
      </c>
      <c r="AD2333">
        <v>29.96</v>
      </c>
      <c r="AE2333">
        <v>542</v>
      </c>
      <c r="AF2333">
        <v>29</v>
      </c>
      <c r="AG2333">
        <v>174</v>
      </c>
      <c r="AH2333">
        <v>129</v>
      </c>
      <c r="AI2333">
        <v>5.35</v>
      </c>
      <c r="AJ2333">
        <v>32.1</v>
      </c>
      <c r="AK2333">
        <v>23.8</v>
      </c>
      <c r="AL2333">
        <v>-20.155935399999979</v>
      </c>
      <c r="AM2333">
        <v>-44.859367525422847</v>
      </c>
      <c r="AN2333">
        <v>-20.155935399999979</v>
      </c>
      <c r="AO2333">
        <v>-44.859367525422847</v>
      </c>
      <c r="AP2333">
        <v>-20.155833999999999</v>
      </c>
      <c r="AQ2333">
        <v>-44.859437999999997</v>
      </c>
      <c r="AR2333">
        <v>13.477960508152201</v>
      </c>
      <c r="AS2333" t="s">
        <v>65</v>
      </c>
      <c r="AT2333">
        <v>1</v>
      </c>
      <c r="AU2333" t="s">
        <v>241</v>
      </c>
      <c r="AV2333" t="s">
        <v>242</v>
      </c>
      <c r="AW2333" t="s">
        <v>60</v>
      </c>
      <c r="AX2333" t="s">
        <v>68</v>
      </c>
      <c r="AY2333" t="s">
        <v>69</v>
      </c>
      <c r="AZ2333" t="b">
        <v>1</v>
      </c>
    </row>
    <row r="2334" spans="1:52" x14ac:dyDescent="0.3">
      <c r="A2334" t="s">
        <v>52</v>
      </c>
      <c r="B2334" t="s">
        <v>53</v>
      </c>
      <c r="C2334" t="s">
        <v>54</v>
      </c>
      <c r="D2334" t="s">
        <v>55</v>
      </c>
      <c r="E2334" t="s">
        <v>2155</v>
      </c>
      <c r="F2334" t="s">
        <v>57</v>
      </c>
      <c r="G2334" t="s">
        <v>1618</v>
      </c>
      <c r="H2334" t="s">
        <v>1619</v>
      </c>
      <c r="I2334" t="s">
        <v>1619</v>
      </c>
      <c r="J2334" t="s">
        <v>60</v>
      </c>
      <c r="K2334" t="s">
        <v>227</v>
      </c>
      <c r="L2334" t="s">
        <v>62</v>
      </c>
      <c r="M2334" t="s">
        <v>227</v>
      </c>
      <c r="N2334" t="s">
        <v>228</v>
      </c>
      <c r="O2334" t="s">
        <v>1620</v>
      </c>
      <c r="P2334">
        <v>-20.159497999999999</v>
      </c>
      <c r="Q2334">
        <v>-44.852925999999997</v>
      </c>
      <c r="R2334" s="2" t="str">
        <f>HYPERLINK("https://www.google.com/maps?q=-20.1594980,-44.8529260","Abrir no Google Maps")</f>
        <v>Abrir no Google Maps</v>
      </c>
      <c r="S2334">
        <v>4</v>
      </c>
      <c r="T2334">
        <v>560.11627509727657</v>
      </c>
      <c r="U2334">
        <v>4</v>
      </c>
      <c r="V2334">
        <v>0.42316412252842939</v>
      </c>
      <c r="W2334">
        <v>1</v>
      </c>
      <c r="X2334">
        <v>0.42316412252842939</v>
      </c>
      <c r="Y2334">
        <v>491</v>
      </c>
      <c r="Z2334">
        <v>609.25494989442086</v>
      </c>
      <c r="AA2334">
        <v>198</v>
      </c>
      <c r="AB2334">
        <v>332</v>
      </c>
      <c r="AC2334">
        <v>536</v>
      </c>
      <c r="AD2334">
        <v>29.96</v>
      </c>
      <c r="AE2334">
        <v>542</v>
      </c>
      <c r="AF2334">
        <v>29</v>
      </c>
      <c r="AG2334">
        <v>174</v>
      </c>
      <c r="AH2334">
        <v>129</v>
      </c>
      <c r="AI2334">
        <v>5.35</v>
      </c>
      <c r="AJ2334">
        <v>32.1</v>
      </c>
      <c r="AK2334">
        <v>23.8</v>
      </c>
      <c r="AL2334">
        <v>-20.159495399999969</v>
      </c>
      <c r="AM2334">
        <v>-44.85297928977559</v>
      </c>
      <c r="AN2334">
        <v>-20.159495399999969</v>
      </c>
      <c r="AO2334">
        <v>-44.85297928977559</v>
      </c>
      <c r="AP2334">
        <v>-20.159497999999999</v>
      </c>
      <c r="AQ2334">
        <v>-44.852925999999997</v>
      </c>
      <c r="AR2334">
        <v>5.5763081103260701</v>
      </c>
      <c r="AS2334" t="s">
        <v>65</v>
      </c>
      <c r="AT2334">
        <v>1</v>
      </c>
      <c r="AU2334" t="s">
        <v>1621</v>
      </c>
      <c r="AV2334" t="s">
        <v>1622</v>
      </c>
      <c r="AW2334" t="s">
        <v>60</v>
      </c>
      <c r="AX2334" t="s">
        <v>68</v>
      </c>
      <c r="AY2334" t="s">
        <v>69</v>
      </c>
      <c r="AZ2334" t="b">
        <v>1</v>
      </c>
    </row>
    <row r="2335" spans="1:52" x14ac:dyDescent="0.3">
      <c r="A2335" t="s">
        <v>52</v>
      </c>
      <c r="B2335" t="s">
        <v>53</v>
      </c>
      <c r="C2335" t="s">
        <v>54</v>
      </c>
      <c r="D2335" t="s">
        <v>55</v>
      </c>
      <c r="E2335" t="s">
        <v>2155</v>
      </c>
      <c r="F2335" t="s">
        <v>57</v>
      </c>
      <c r="G2335" t="s">
        <v>127</v>
      </c>
      <c r="H2335" t="s">
        <v>128</v>
      </c>
      <c r="I2335" t="s">
        <v>128</v>
      </c>
      <c r="J2335" t="s">
        <v>60</v>
      </c>
      <c r="K2335" t="s">
        <v>129</v>
      </c>
      <c r="L2335" t="s">
        <v>62</v>
      </c>
      <c r="M2335" t="s">
        <v>129</v>
      </c>
      <c r="N2335" t="s">
        <v>130</v>
      </c>
      <c r="O2335" t="s">
        <v>131</v>
      </c>
      <c r="P2335">
        <v>-20.130752000000001</v>
      </c>
      <c r="Q2335">
        <v>-44.865676999999998</v>
      </c>
      <c r="R2335" s="2" t="str">
        <f>HYPERLINK("https://www.google.com/maps?q=-20.1307520,-44.8656770","Abrir no Google Maps")</f>
        <v>Abrir no Google Maps</v>
      </c>
      <c r="S2335">
        <v>4</v>
      </c>
      <c r="T2335">
        <v>666.25741128624747</v>
      </c>
      <c r="U2335">
        <v>4</v>
      </c>
      <c r="V2335">
        <v>0.42480697361135211</v>
      </c>
      <c r="W2335">
        <v>1</v>
      </c>
      <c r="X2335">
        <v>0.42480697361135211</v>
      </c>
      <c r="Y2335">
        <v>387</v>
      </c>
      <c r="Z2335">
        <v>838.7193965949632</v>
      </c>
      <c r="AA2335">
        <v>198</v>
      </c>
      <c r="AB2335">
        <v>332</v>
      </c>
      <c r="AC2335">
        <v>536</v>
      </c>
      <c r="AD2335">
        <v>29.96</v>
      </c>
      <c r="AE2335">
        <v>542</v>
      </c>
      <c r="AF2335">
        <v>29</v>
      </c>
      <c r="AG2335">
        <v>174</v>
      </c>
      <c r="AH2335">
        <v>129</v>
      </c>
      <c r="AI2335">
        <v>5.35</v>
      </c>
      <c r="AJ2335">
        <v>32.1</v>
      </c>
      <c r="AK2335">
        <v>23.8</v>
      </c>
      <c r="AL2335">
        <v>-20.130734049999969</v>
      </c>
      <c r="AM2335">
        <v>-44.86564904282416</v>
      </c>
      <c r="AN2335">
        <v>-20.130734049999969</v>
      </c>
      <c r="AO2335">
        <v>-44.86564904282416</v>
      </c>
      <c r="AP2335">
        <v>-20.130752000000001</v>
      </c>
      <c r="AQ2335">
        <v>-44.865676999999998</v>
      </c>
      <c r="AR2335">
        <v>3.539952280780454</v>
      </c>
      <c r="AS2335" t="s">
        <v>65</v>
      </c>
      <c r="AT2335">
        <v>1</v>
      </c>
      <c r="AU2335" t="s">
        <v>132</v>
      </c>
      <c r="AV2335" t="s">
        <v>133</v>
      </c>
      <c r="AW2335" t="s">
        <v>60</v>
      </c>
      <c r="AX2335" t="s">
        <v>68</v>
      </c>
      <c r="AY2335" t="s">
        <v>69</v>
      </c>
      <c r="AZ2335" t="b">
        <v>1</v>
      </c>
    </row>
    <row r="2336" spans="1:52" x14ac:dyDescent="0.3">
      <c r="A2336" t="s">
        <v>52</v>
      </c>
      <c r="B2336" t="s">
        <v>53</v>
      </c>
      <c r="C2336" t="s">
        <v>54</v>
      </c>
      <c r="D2336" t="s">
        <v>55</v>
      </c>
      <c r="E2336" t="s">
        <v>2155</v>
      </c>
      <c r="F2336" t="s">
        <v>57</v>
      </c>
      <c r="G2336" t="s">
        <v>253</v>
      </c>
      <c r="H2336" t="s">
        <v>254</v>
      </c>
      <c r="I2336" t="s">
        <v>254</v>
      </c>
      <c r="J2336" t="s">
        <v>60</v>
      </c>
      <c r="K2336" t="s">
        <v>255</v>
      </c>
      <c r="L2336" t="s">
        <v>62</v>
      </c>
      <c r="M2336" t="s">
        <v>255</v>
      </c>
      <c r="N2336" t="s">
        <v>256</v>
      </c>
      <c r="O2336" t="s">
        <v>257</v>
      </c>
      <c r="P2336">
        <v>-20.159638000000001</v>
      </c>
      <c r="Q2336">
        <v>-44.849030999999997</v>
      </c>
      <c r="R2336" s="2" t="str">
        <f>HYPERLINK("https://www.google.com/maps?q=-20.1596380,-44.8490310","Abrir no Google Maps")</f>
        <v>Abrir no Google Maps</v>
      </c>
      <c r="S2336">
        <v>4</v>
      </c>
      <c r="T2336">
        <v>691.81173220845892</v>
      </c>
      <c r="U2336">
        <v>4</v>
      </c>
      <c r="V2336">
        <v>0.4228934790143164</v>
      </c>
      <c r="W2336">
        <v>1</v>
      </c>
      <c r="X2336">
        <v>0.4228934790143164</v>
      </c>
      <c r="Y2336">
        <v>292</v>
      </c>
      <c r="Z2336">
        <v>678.56824923431736</v>
      </c>
      <c r="AA2336">
        <v>198</v>
      </c>
      <c r="AB2336">
        <v>332</v>
      </c>
      <c r="AC2336">
        <v>536</v>
      </c>
      <c r="AD2336">
        <v>29.96</v>
      </c>
      <c r="AE2336">
        <v>542</v>
      </c>
      <c r="AF2336">
        <v>29</v>
      </c>
      <c r="AG2336">
        <v>174</v>
      </c>
      <c r="AH2336">
        <v>129</v>
      </c>
      <c r="AI2336">
        <v>5.35</v>
      </c>
      <c r="AJ2336">
        <v>32.1</v>
      </c>
      <c r="AK2336">
        <v>23.8</v>
      </c>
      <c r="AL2336">
        <v>-20.159590049999959</v>
      </c>
      <c r="AM2336">
        <v>-44.849181856774607</v>
      </c>
      <c r="AN2336">
        <v>-20.159590049999959</v>
      </c>
      <c r="AO2336">
        <v>-44.849181856774607</v>
      </c>
      <c r="AP2336">
        <v>-20.159638000000001</v>
      </c>
      <c r="AQ2336">
        <v>-44.849030999999997</v>
      </c>
      <c r="AR2336">
        <v>16.643712040087191</v>
      </c>
      <c r="AS2336" t="s">
        <v>65</v>
      </c>
      <c r="AT2336">
        <v>1</v>
      </c>
      <c r="AU2336" t="s">
        <v>258</v>
      </c>
      <c r="AV2336" t="s">
        <v>259</v>
      </c>
      <c r="AW2336" t="s">
        <v>60</v>
      </c>
      <c r="AX2336" t="s">
        <v>68</v>
      </c>
      <c r="AY2336" t="s">
        <v>69</v>
      </c>
      <c r="AZ2336" t="b">
        <v>1</v>
      </c>
    </row>
    <row r="2337" spans="1:52" x14ac:dyDescent="0.3">
      <c r="A2337" t="s">
        <v>52</v>
      </c>
      <c r="B2337" t="s">
        <v>53</v>
      </c>
      <c r="C2337" t="s">
        <v>54</v>
      </c>
      <c r="D2337" t="s">
        <v>55</v>
      </c>
      <c r="E2337" t="s">
        <v>2155</v>
      </c>
      <c r="F2337" t="s">
        <v>57</v>
      </c>
      <c r="G2337" t="s">
        <v>260</v>
      </c>
      <c r="H2337" t="s">
        <v>261</v>
      </c>
      <c r="I2337" t="s">
        <v>261</v>
      </c>
      <c r="J2337" t="s">
        <v>60</v>
      </c>
      <c r="K2337" t="s">
        <v>262</v>
      </c>
      <c r="L2337" t="s">
        <v>62</v>
      </c>
      <c r="M2337" t="s">
        <v>262</v>
      </c>
      <c r="N2337" t="s">
        <v>263</v>
      </c>
      <c r="O2337" t="s">
        <v>264</v>
      </c>
      <c r="P2337">
        <v>-20.162230000000001</v>
      </c>
      <c r="Q2337">
        <v>-44.850189</v>
      </c>
      <c r="R2337" s="2" t="str">
        <f>HYPERLINK("https://www.google.com/maps?q=-20.1622300,-44.8501890","Abrir no Google Maps")</f>
        <v>Abrir no Google Maps</v>
      </c>
      <c r="S2337">
        <v>4</v>
      </c>
      <c r="T2337">
        <v>485.03737650296068</v>
      </c>
      <c r="U2337">
        <v>4</v>
      </c>
      <c r="V2337">
        <v>0.42539386311878219</v>
      </c>
      <c r="W2337">
        <v>1</v>
      </c>
      <c r="X2337">
        <v>0.42539386311878219</v>
      </c>
      <c r="Y2337">
        <v>292</v>
      </c>
      <c r="Z2337">
        <v>461.03925198673232</v>
      </c>
      <c r="AA2337">
        <v>198</v>
      </c>
      <c r="AB2337">
        <v>332</v>
      </c>
      <c r="AC2337">
        <v>536</v>
      </c>
      <c r="AD2337">
        <v>29.96</v>
      </c>
      <c r="AE2337">
        <v>542</v>
      </c>
      <c r="AF2337">
        <v>29</v>
      </c>
      <c r="AG2337">
        <v>174</v>
      </c>
      <c r="AH2337">
        <v>129</v>
      </c>
      <c r="AI2337">
        <v>5.35</v>
      </c>
      <c r="AJ2337">
        <v>32.1</v>
      </c>
      <c r="AK2337">
        <v>23.8</v>
      </c>
      <c r="AL2337">
        <v>-20.162067849999971</v>
      </c>
      <c r="AM2337">
        <v>-44.850230909322903</v>
      </c>
      <c r="AN2337">
        <v>-20.162067849999971</v>
      </c>
      <c r="AO2337">
        <v>-44.850230909322903</v>
      </c>
      <c r="AP2337">
        <v>-20.162230000000001</v>
      </c>
      <c r="AQ2337">
        <v>-44.850189</v>
      </c>
      <c r="AR2337">
        <v>18.574218491036259</v>
      </c>
      <c r="AS2337" t="s">
        <v>65</v>
      </c>
      <c r="AT2337">
        <v>1</v>
      </c>
      <c r="AU2337" t="s">
        <v>265</v>
      </c>
      <c r="AV2337" t="s">
        <v>266</v>
      </c>
      <c r="AW2337" t="s">
        <v>60</v>
      </c>
      <c r="AX2337" t="s">
        <v>68</v>
      </c>
      <c r="AY2337" t="s">
        <v>69</v>
      </c>
      <c r="AZ2337" t="b">
        <v>1</v>
      </c>
    </row>
    <row r="2338" spans="1:52" x14ac:dyDescent="0.3">
      <c r="A2338" t="s">
        <v>52</v>
      </c>
      <c r="B2338" t="s">
        <v>53</v>
      </c>
      <c r="C2338" t="s">
        <v>54</v>
      </c>
      <c r="D2338" t="s">
        <v>55</v>
      </c>
      <c r="E2338" t="s">
        <v>2155</v>
      </c>
      <c r="F2338" t="s">
        <v>57</v>
      </c>
      <c r="G2338" t="s">
        <v>134</v>
      </c>
      <c r="H2338" t="s">
        <v>135</v>
      </c>
      <c r="I2338" t="s">
        <v>135</v>
      </c>
      <c r="J2338" t="s">
        <v>60</v>
      </c>
      <c r="K2338" t="s">
        <v>136</v>
      </c>
      <c r="L2338" t="s">
        <v>62</v>
      </c>
      <c r="M2338" t="s">
        <v>136</v>
      </c>
      <c r="N2338" t="s">
        <v>137</v>
      </c>
      <c r="O2338" t="s">
        <v>138</v>
      </c>
      <c r="P2338">
        <v>-20.165773000000002</v>
      </c>
      <c r="Q2338">
        <v>-44.847566999999998</v>
      </c>
      <c r="R2338" s="2" t="str">
        <f>HYPERLINK("https://www.google.com/maps?q=-20.1657730,-44.8475670","Abrir no Google Maps")</f>
        <v>Abrir no Google Maps</v>
      </c>
      <c r="S2338">
        <v>4</v>
      </c>
      <c r="T2338">
        <v>0</v>
      </c>
      <c r="U2338">
        <v>4</v>
      </c>
      <c r="V2338">
        <v>0.43018465381344101</v>
      </c>
      <c r="W2338">
        <v>1</v>
      </c>
      <c r="X2338">
        <v>0.43018465381344101</v>
      </c>
      <c r="Y2338">
        <v>292</v>
      </c>
      <c r="Z2338">
        <v>98.987346341524855</v>
      </c>
      <c r="AA2338">
        <v>198</v>
      </c>
      <c r="AB2338">
        <v>332</v>
      </c>
      <c r="AC2338">
        <v>536</v>
      </c>
      <c r="AD2338">
        <v>29.96</v>
      </c>
      <c r="AE2338">
        <v>542</v>
      </c>
      <c r="AF2338">
        <v>29</v>
      </c>
      <c r="AG2338">
        <v>174</v>
      </c>
      <c r="AH2338">
        <v>129</v>
      </c>
      <c r="AI2338">
        <v>5.35</v>
      </c>
      <c r="AJ2338">
        <v>32.1</v>
      </c>
      <c r="AK2338">
        <v>23.8</v>
      </c>
      <c r="AL2338">
        <v>-20.16565029999995</v>
      </c>
      <c r="AM2338">
        <v>-44.847556627666897</v>
      </c>
      <c r="AN2338">
        <v>-20.16565029999995</v>
      </c>
      <c r="AO2338">
        <v>-44.847556627666897</v>
      </c>
      <c r="AP2338">
        <v>-20.165773000000002</v>
      </c>
      <c r="AQ2338">
        <v>-44.847566999999998</v>
      </c>
      <c r="AR2338">
        <v>13.701900146251189</v>
      </c>
      <c r="AS2338" t="s">
        <v>65</v>
      </c>
      <c r="AT2338">
        <v>1</v>
      </c>
      <c r="AU2338" t="s">
        <v>139</v>
      </c>
      <c r="AV2338" t="s">
        <v>140</v>
      </c>
      <c r="AW2338" t="s">
        <v>60</v>
      </c>
      <c r="AX2338" t="s">
        <v>68</v>
      </c>
      <c r="AY2338" t="s">
        <v>69</v>
      </c>
      <c r="AZ2338" t="b">
        <v>1</v>
      </c>
    </row>
    <row r="2339" spans="1:52" x14ac:dyDescent="0.3">
      <c r="A2339" t="s">
        <v>52</v>
      </c>
      <c r="B2339" t="s">
        <v>53</v>
      </c>
      <c r="C2339" t="s">
        <v>54</v>
      </c>
      <c r="D2339" t="s">
        <v>55</v>
      </c>
      <c r="E2339" t="s">
        <v>2155</v>
      </c>
      <c r="F2339" t="s">
        <v>57</v>
      </c>
      <c r="G2339" t="s">
        <v>253</v>
      </c>
      <c r="H2339" t="s">
        <v>286</v>
      </c>
      <c r="I2339" t="s">
        <v>286</v>
      </c>
      <c r="J2339" t="s">
        <v>60</v>
      </c>
      <c r="K2339" t="s">
        <v>136</v>
      </c>
      <c r="L2339" t="s">
        <v>62</v>
      </c>
      <c r="M2339" t="s">
        <v>136</v>
      </c>
      <c r="N2339" t="s">
        <v>256</v>
      </c>
      <c r="O2339" t="s">
        <v>287</v>
      </c>
      <c r="P2339">
        <v>-20.165067000000001</v>
      </c>
      <c r="Q2339">
        <v>-44.851146999999997</v>
      </c>
      <c r="R2339" s="2" t="str">
        <f>HYPERLINK("https://www.google.com/maps?q=-20.1650670,-44.8511470","Abrir no Google Maps")</f>
        <v>Abrir no Google Maps</v>
      </c>
      <c r="S2339">
        <v>4</v>
      </c>
      <c r="T2339">
        <v>374.14945573570043</v>
      </c>
      <c r="U2339">
        <v>4</v>
      </c>
      <c r="V2339">
        <v>0.4256728091390462</v>
      </c>
      <c r="W2339">
        <v>1</v>
      </c>
      <c r="X2339">
        <v>0.4256728091390462</v>
      </c>
      <c r="Y2339">
        <v>292</v>
      </c>
      <c r="Z2339">
        <v>295.9878686859272</v>
      </c>
      <c r="AA2339">
        <v>198</v>
      </c>
      <c r="AB2339">
        <v>332</v>
      </c>
      <c r="AC2339">
        <v>536</v>
      </c>
      <c r="AD2339">
        <v>29.96</v>
      </c>
      <c r="AE2339">
        <v>542</v>
      </c>
      <c r="AF2339">
        <v>29</v>
      </c>
      <c r="AG2339">
        <v>174</v>
      </c>
      <c r="AH2339">
        <v>129</v>
      </c>
      <c r="AI2339">
        <v>5.35</v>
      </c>
      <c r="AJ2339">
        <v>32.1</v>
      </c>
      <c r="AK2339">
        <v>23.8</v>
      </c>
      <c r="AL2339">
        <v>-20.164961799999961</v>
      </c>
      <c r="AM2339">
        <v>-44.851062119796737</v>
      </c>
      <c r="AN2339">
        <v>-20.164961799999961</v>
      </c>
      <c r="AO2339">
        <v>-44.851062119796737</v>
      </c>
      <c r="AP2339">
        <v>-20.165067000000001</v>
      </c>
      <c r="AQ2339">
        <v>-44.851146999999997</v>
      </c>
      <c r="AR2339">
        <v>14.690666366415</v>
      </c>
      <c r="AS2339" t="s">
        <v>65</v>
      </c>
      <c r="AT2339">
        <v>1</v>
      </c>
      <c r="AU2339" t="s">
        <v>288</v>
      </c>
      <c r="AV2339" t="s">
        <v>289</v>
      </c>
      <c r="AW2339" t="s">
        <v>60</v>
      </c>
      <c r="AX2339" t="s">
        <v>68</v>
      </c>
      <c r="AY2339" t="s">
        <v>69</v>
      </c>
      <c r="AZ2339" t="b">
        <v>1</v>
      </c>
    </row>
    <row r="2340" spans="1:52" x14ac:dyDescent="0.3">
      <c r="A2340" t="s">
        <v>52</v>
      </c>
      <c r="B2340" t="s">
        <v>53</v>
      </c>
      <c r="C2340" t="s">
        <v>54</v>
      </c>
      <c r="D2340" t="s">
        <v>55</v>
      </c>
      <c r="E2340" t="s">
        <v>2155</v>
      </c>
      <c r="F2340" t="s">
        <v>57</v>
      </c>
      <c r="G2340" t="s">
        <v>141</v>
      </c>
      <c r="H2340" t="s">
        <v>142</v>
      </c>
      <c r="I2340" t="s">
        <v>142</v>
      </c>
      <c r="J2340" t="s">
        <v>60</v>
      </c>
      <c r="K2340" t="s">
        <v>143</v>
      </c>
      <c r="L2340" t="s">
        <v>62</v>
      </c>
      <c r="M2340" t="s">
        <v>143</v>
      </c>
      <c r="N2340" t="s">
        <v>144</v>
      </c>
      <c r="O2340" t="s">
        <v>145</v>
      </c>
      <c r="P2340">
        <v>-20.163377000000001</v>
      </c>
      <c r="Q2340">
        <v>-44.843598</v>
      </c>
      <c r="R2340" s="2" t="str">
        <f>HYPERLINK("https://www.google.com/maps?q=-20.1633770,-44.8435980","Abrir no Google Maps")</f>
        <v>Abrir no Google Maps</v>
      </c>
      <c r="S2340">
        <v>4</v>
      </c>
      <c r="T2340">
        <v>481.58374128635978</v>
      </c>
      <c r="U2340">
        <v>4</v>
      </c>
      <c r="V2340">
        <v>0.43663130927935861</v>
      </c>
      <c r="W2340">
        <v>1</v>
      </c>
      <c r="X2340">
        <v>0.43663130927935861</v>
      </c>
      <c r="Y2340">
        <v>292</v>
      </c>
      <c r="Z2340">
        <v>575.44522663909652</v>
      </c>
      <c r="AA2340">
        <v>198</v>
      </c>
      <c r="AB2340">
        <v>332</v>
      </c>
      <c r="AC2340">
        <v>536</v>
      </c>
      <c r="AD2340">
        <v>29.96</v>
      </c>
      <c r="AE2340">
        <v>542</v>
      </c>
      <c r="AF2340">
        <v>29</v>
      </c>
      <c r="AG2340">
        <v>174</v>
      </c>
      <c r="AH2340">
        <v>129</v>
      </c>
      <c r="AI2340">
        <v>5.35</v>
      </c>
      <c r="AJ2340">
        <v>32.1</v>
      </c>
      <c r="AK2340">
        <v>23.8</v>
      </c>
      <c r="AL2340">
        <v>-20.16343344999996</v>
      </c>
      <c r="AM2340">
        <v>-44.843590796247732</v>
      </c>
      <c r="AN2340">
        <v>-20.16343344999996</v>
      </c>
      <c r="AO2340">
        <v>-44.843590796247732</v>
      </c>
      <c r="AP2340">
        <v>-20.163377000000001</v>
      </c>
      <c r="AQ2340">
        <v>-44.843598</v>
      </c>
      <c r="AR2340">
        <v>6.3289415646640057</v>
      </c>
      <c r="AS2340" t="s">
        <v>65</v>
      </c>
      <c r="AT2340">
        <v>1</v>
      </c>
      <c r="AU2340" t="s">
        <v>146</v>
      </c>
      <c r="AV2340" t="s">
        <v>147</v>
      </c>
      <c r="AW2340" t="s">
        <v>60</v>
      </c>
      <c r="AX2340" t="s">
        <v>68</v>
      </c>
      <c r="AY2340" t="s">
        <v>69</v>
      </c>
      <c r="AZ2340" t="b">
        <v>1</v>
      </c>
    </row>
    <row r="2341" spans="1:52" x14ac:dyDescent="0.3">
      <c r="A2341" t="s">
        <v>52</v>
      </c>
      <c r="B2341" t="s">
        <v>53</v>
      </c>
      <c r="C2341" t="s">
        <v>54</v>
      </c>
      <c r="D2341" t="s">
        <v>55</v>
      </c>
      <c r="E2341" t="s">
        <v>2155</v>
      </c>
      <c r="F2341" t="s">
        <v>57</v>
      </c>
      <c r="G2341" t="s">
        <v>290</v>
      </c>
      <c r="H2341" t="s">
        <v>291</v>
      </c>
      <c r="I2341" t="s">
        <v>291</v>
      </c>
      <c r="J2341" t="s">
        <v>60</v>
      </c>
      <c r="K2341" t="s">
        <v>143</v>
      </c>
      <c r="L2341" t="s">
        <v>62</v>
      </c>
      <c r="M2341" t="s">
        <v>143</v>
      </c>
      <c r="N2341" t="s">
        <v>292</v>
      </c>
      <c r="O2341" t="s">
        <v>293</v>
      </c>
      <c r="P2341">
        <v>-20.164380999999999</v>
      </c>
      <c r="Q2341">
        <v>-44.841638000000003</v>
      </c>
      <c r="R2341" s="2" t="str">
        <f>HYPERLINK("https://www.google.com/maps?q=-20.1643810,-44.8416380","Abrir no Google Maps")</f>
        <v>Abrir no Google Maps</v>
      </c>
      <c r="S2341">
        <v>4</v>
      </c>
      <c r="T2341">
        <v>653.87342410001406</v>
      </c>
      <c r="U2341">
        <v>4</v>
      </c>
      <c r="V2341">
        <v>0.42207267799950721</v>
      </c>
      <c r="W2341">
        <v>1</v>
      </c>
      <c r="X2341">
        <v>0.42207267799950721</v>
      </c>
      <c r="Y2341">
        <v>292</v>
      </c>
      <c r="Z2341">
        <v>761.66023684754805</v>
      </c>
      <c r="AA2341">
        <v>198</v>
      </c>
      <c r="AB2341">
        <v>332</v>
      </c>
      <c r="AC2341">
        <v>536</v>
      </c>
      <c r="AD2341">
        <v>29.96</v>
      </c>
      <c r="AE2341">
        <v>542</v>
      </c>
      <c r="AF2341">
        <v>29</v>
      </c>
      <c r="AG2341">
        <v>174</v>
      </c>
      <c r="AH2341">
        <v>129</v>
      </c>
      <c r="AI2341">
        <v>5.35</v>
      </c>
      <c r="AJ2341">
        <v>32.1</v>
      </c>
      <c r="AK2341">
        <v>23.8</v>
      </c>
      <c r="AL2341">
        <v>-20.16420624999995</v>
      </c>
      <c r="AM2341">
        <v>-44.841488984995642</v>
      </c>
      <c r="AN2341">
        <v>-20.16420624999995</v>
      </c>
      <c r="AO2341">
        <v>-44.841488984995642</v>
      </c>
      <c r="AP2341">
        <v>-20.164380999999999</v>
      </c>
      <c r="AQ2341">
        <v>-44.841638000000003</v>
      </c>
      <c r="AR2341">
        <v>24.91789254993785</v>
      </c>
      <c r="AS2341" t="s">
        <v>65</v>
      </c>
      <c r="AT2341">
        <v>1</v>
      </c>
      <c r="AU2341" t="s">
        <v>294</v>
      </c>
      <c r="AV2341" t="s">
        <v>295</v>
      </c>
      <c r="AW2341" t="s">
        <v>60</v>
      </c>
      <c r="AX2341" t="s">
        <v>68</v>
      </c>
      <c r="AY2341" t="s">
        <v>69</v>
      </c>
      <c r="AZ2341" t="b">
        <v>1</v>
      </c>
    </row>
    <row r="2342" spans="1:52" x14ac:dyDescent="0.3">
      <c r="A2342" t="s">
        <v>52</v>
      </c>
      <c r="B2342" t="s">
        <v>53</v>
      </c>
      <c r="C2342" t="s">
        <v>54</v>
      </c>
      <c r="D2342" t="s">
        <v>55</v>
      </c>
      <c r="E2342" t="s">
        <v>2155</v>
      </c>
      <c r="F2342" t="s">
        <v>57</v>
      </c>
      <c r="G2342" t="s">
        <v>253</v>
      </c>
      <c r="H2342" t="s">
        <v>296</v>
      </c>
      <c r="I2342" t="s">
        <v>296</v>
      </c>
      <c r="J2342" t="s">
        <v>60</v>
      </c>
      <c r="K2342" t="s">
        <v>136</v>
      </c>
      <c r="L2342" t="s">
        <v>62</v>
      </c>
      <c r="M2342" t="s">
        <v>136</v>
      </c>
      <c r="N2342" t="s">
        <v>256</v>
      </c>
      <c r="O2342" t="s">
        <v>297</v>
      </c>
      <c r="P2342">
        <v>-20.168476999999999</v>
      </c>
      <c r="Q2342">
        <v>-44.852528</v>
      </c>
      <c r="R2342" s="2" t="str">
        <f>HYPERLINK("https://www.google.com/maps?q=-20.1684770,-44.8525280","Abrir no Google Maps")</f>
        <v>Abrir no Google Maps</v>
      </c>
      <c r="S2342">
        <v>4</v>
      </c>
      <c r="T2342">
        <v>587.16898087421623</v>
      </c>
      <c r="U2342">
        <v>4</v>
      </c>
      <c r="V2342">
        <v>0.42205191537288111</v>
      </c>
      <c r="W2342">
        <v>1</v>
      </c>
      <c r="X2342">
        <v>0.42205191537288111</v>
      </c>
      <c r="Y2342">
        <v>292</v>
      </c>
      <c r="Z2342">
        <v>471.75619463337938</v>
      </c>
      <c r="AA2342">
        <v>198</v>
      </c>
      <c r="AB2342">
        <v>332</v>
      </c>
      <c r="AC2342">
        <v>536</v>
      </c>
      <c r="AD2342">
        <v>29.96</v>
      </c>
      <c r="AE2342">
        <v>542</v>
      </c>
      <c r="AF2342">
        <v>29</v>
      </c>
      <c r="AG2342">
        <v>174</v>
      </c>
      <c r="AH2342">
        <v>129</v>
      </c>
      <c r="AI2342">
        <v>5.35</v>
      </c>
      <c r="AJ2342">
        <v>32.1</v>
      </c>
      <c r="AK2342">
        <v>23.8</v>
      </c>
      <c r="AL2342">
        <v>-20.16846514999995</v>
      </c>
      <c r="AM2342">
        <v>-44.852319844682007</v>
      </c>
      <c r="AN2342">
        <v>-20.168465149999939</v>
      </c>
      <c r="AO2342">
        <v>-44.852319844682007</v>
      </c>
      <c r="AP2342">
        <v>-20.168476999999999</v>
      </c>
      <c r="AQ2342">
        <v>-44.852528</v>
      </c>
      <c r="AR2342">
        <v>21.790984536052999</v>
      </c>
      <c r="AS2342" t="s">
        <v>65</v>
      </c>
      <c r="AT2342">
        <v>1</v>
      </c>
      <c r="AU2342" t="s">
        <v>298</v>
      </c>
      <c r="AV2342" t="s">
        <v>299</v>
      </c>
      <c r="AW2342" t="s">
        <v>60</v>
      </c>
      <c r="AX2342" t="s">
        <v>68</v>
      </c>
      <c r="AY2342" t="s">
        <v>69</v>
      </c>
      <c r="AZ2342" t="b">
        <v>1</v>
      </c>
    </row>
    <row r="2343" spans="1:52" x14ac:dyDescent="0.3">
      <c r="A2343" t="s">
        <v>52</v>
      </c>
      <c r="B2343" t="s">
        <v>53</v>
      </c>
      <c r="C2343" t="s">
        <v>54</v>
      </c>
      <c r="D2343" t="s">
        <v>55</v>
      </c>
      <c r="E2343" t="s">
        <v>2155</v>
      </c>
      <c r="F2343" t="s">
        <v>57</v>
      </c>
      <c r="G2343" t="s">
        <v>148</v>
      </c>
      <c r="H2343" t="s">
        <v>149</v>
      </c>
      <c r="I2343" t="s">
        <v>149</v>
      </c>
      <c r="J2343" t="s">
        <v>60</v>
      </c>
      <c r="K2343" t="s">
        <v>150</v>
      </c>
      <c r="L2343" t="s">
        <v>62</v>
      </c>
      <c r="M2343" t="s">
        <v>150</v>
      </c>
      <c r="N2343" t="s">
        <v>151</v>
      </c>
      <c r="O2343" t="s">
        <v>152</v>
      </c>
      <c r="P2343">
        <v>-20.174192999999999</v>
      </c>
      <c r="Q2343">
        <v>-44.850782000000002</v>
      </c>
      <c r="R2343" s="2" t="str">
        <f>HYPERLINK("https://www.google.com/maps?q=-20.1741930,-44.8507820","Abrir no Google Maps")</f>
        <v>Abrir no Google Maps</v>
      </c>
      <c r="S2343">
        <v>4</v>
      </c>
      <c r="T2343">
        <v>994.93657848632188</v>
      </c>
      <c r="U2343">
        <v>4</v>
      </c>
      <c r="V2343">
        <v>0.42931122406186573</v>
      </c>
      <c r="W2343">
        <v>1</v>
      </c>
      <c r="X2343">
        <v>0.42931122406186573</v>
      </c>
      <c r="Y2343">
        <v>292</v>
      </c>
      <c r="Z2343">
        <v>948.95851793804729</v>
      </c>
      <c r="AA2343">
        <v>198</v>
      </c>
      <c r="AB2343">
        <v>332</v>
      </c>
      <c r="AC2343">
        <v>536</v>
      </c>
      <c r="AD2343">
        <v>29.96</v>
      </c>
      <c r="AE2343">
        <v>542</v>
      </c>
      <c r="AF2343">
        <v>29</v>
      </c>
      <c r="AG2343">
        <v>174</v>
      </c>
      <c r="AH2343">
        <v>129</v>
      </c>
      <c r="AI2343">
        <v>5.35</v>
      </c>
      <c r="AJ2343">
        <v>32.1</v>
      </c>
      <c r="AK2343">
        <v>23.8</v>
      </c>
      <c r="AL2343">
        <v>-20.174122099999941</v>
      </c>
      <c r="AM2343">
        <v>-44.850744657037339</v>
      </c>
      <c r="AN2343">
        <v>-20.174122099999941</v>
      </c>
      <c r="AO2343">
        <v>-44.850744657037339</v>
      </c>
      <c r="AP2343">
        <v>-20.174192999999999</v>
      </c>
      <c r="AQ2343">
        <v>-44.850782000000002</v>
      </c>
      <c r="AR2343">
        <v>8.8044534253701947</v>
      </c>
      <c r="AS2343" t="s">
        <v>65</v>
      </c>
      <c r="AT2343">
        <v>1</v>
      </c>
      <c r="AU2343" t="s">
        <v>153</v>
      </c>
      <c r="AV2343" t="s">
        <v>154</v>
      </c>
      <c r="AW2343" t="s">
        <v>60</v>
      </c>
      <c r="AX2343" t="s">
        <v>68</v>
      </c>
      <c r="AY2343" t="s">
        <v>69</v>
      </c>
      <c r="AZ2343" t="b">
        <v>1</v>
      </c>
    </row>
    <row r="2344" spans="1:52" x14ac:dyDescent="0.3">
      <c r="A2344" t="s">
        <v>52</v>
      </c>
      <c r="B2344" t="s">
        <v>53</v>
      </c>
      <c r="C2344" t="s">
        <v>54</v>
      </c>
      <c r="D2344" t="s">
        <v>55</v>
      </c>
      <c r="E2344" t="s">
        <v>2155</v>
      </c>
      <c r="F2344" t="s">
        <v>57</v>
      </c>
      <c r="G2344" t="s">
        <v>300</v>
      </c>
      <c r="H2344" t="s">
        <v>301</v>
      </c>
      <c r="I2344" t="s">
        <v>301</v>
      </c>
      <c r="J2344" t="s">
        <v>60</v>
      </c>
      <c r="K2344" t="s">
        <v>150</v>
      </c>
      <c r="L2344" t="s">
        <v>62</v>
      </c>
      <c r="M2344" t="s">
        <v>150</v>
      </c>
      <c r="N2344" t="s">
        <v>302</v>
      </c>
      <c r="O2344" t="s">
        <v>303</v>
      </c>
      <c r="P2344">
        <v>-20.172993000000002</v>
      </c>
      <c r="Q2344">
        <v>-44.853588999999999</v>
      </c>
      <c r="R2344" s="2" t="str">
        <f>HYPERLINK("https://www.google.com/maps?q=-20.1729930,-44.8535890","Abrir no Google Maps")</f>
        <v>Abrir no Google Maps</v>
      </c>
      <c r="S2344">
        <v>4</v>
      </c>
      <c r="T2344">
        <v>1041.446216907221</v>
      </c>
      <c r="U2344">
        <v>4</v>
      </c>
      <c r="V2344">
        <v>0.4365854272688719</v>
      </c>
      <c r="W2344">
        <v>1</v>
      </c>
      <c r="X2344">
        <v>0.4365854272688719</v>
      </c>
      <c r="Y2344">
        <v>292</v>
      </c>
      <c r="Z2344">
        <v>978.86270909763937</v>
      </c>
      <c r="AA2344">
        <v>198</v>
      </c>
      <c r="AB2344">
        <v>332</v>
      </c>
      <c r="AC2344">
        <v>536</v>
      </c>
      <c r="AD2344">
        <v>29.96</v>
      </c>
      <c r="AE2344">
        <v>542</v>
      </c>
      <c r="AF2344">
        <v>29</v>
      </c>
      <c r="AG2344">
        <v>174</v>
      </c>
      <c r="AH2344">
        <v>129</v>
      </c>
      <c r="AI2344">
        <v>5.35</v>
      </c>
      <c r="AJ2344">
        <v>32.1</v>
      </c>
      <c r="AK2344">
        <v>23.8</v>
      </c>
      <c r="AL2344">
        <v>-20.173142449999968</v>
      </c>
      <c r="AM2344">
        <v>-44.853588035903172</v>
      </c>
      <c r="AN2344">
        <v>-20.173142449999968</v>
      </c>
      <c r="AO2344">
        <v>-44.853588035903172</v>
      </c>
      <c r="AP2344">
        <v>-20.172993000000002</v>
      </c>
      <c r="AQ2344">
        <v>-44.853588999999999</v>
      </c>
      <c r="AR2344">
        <v>16.637078994259841</v>
      </c>
      <c r="AS2344" t="s">
        <v>65</v>
      </c>
      <c r="AT2344">
        <v>1</v>
      </c>
      <c r="AU2344" t="s">
        <v>304</v>
      </c>
      <c r="AV2344" t="s">
        <v>305</v>
      </c>
      <c r="AW2344" t="s">
        <v>60</v>
      </c>
      <c r="AX2344" t="s">
        <v>68</v>
      </c>
      <c r="AY2344" t="s">
        <v>69</v>
      </c>
      <c r="AZ2344" t="b">
        <v>1</v>
      </c>
    </row>
    <row r="2345" spans="1:52" x14ac:dyDescent="0.3">
      <c r="A2345" t="s">
        <v>52</v>
      </c>
      <c r="B2345" t="s">
        <v>53</v>
      </c>
      <c r="C2345" t="s">
        <v>54</v>
      </c>
      <c r="D2345" t="s">
        <v>55</v>
      </c>
      <c r="E2345" t="s">
        <v>2155</v>
      </c>
      <c r="F2345" t="s">
        <v>57</v>
      </c>
      <c r="G2345" t="s">
        <v>306</v>
      </c>
      <c r="H2345" t="s">
        <v>307</v>
      </c>
      <c r="I2345" t="s">
        <v>307</v>
      </c>
      <c r="J2345" t="s">
        <v>60</v>
      </c>
      <c r="K2345" t="s">
        <v>143</v>
      </c>
      <c r="L2345" t="s">
        <v>62</v>
      </c>
      <c r="M2345" t="s">
        <v>143</v>
      </c>
      <c r="N2345" t="s">
        <v>308</v>
      </c>
      <c r="O2345" t="s">
        <v>309</v>
      </c>
      <c r="P2345">
        <v>-20.167071</v>
      </c>
      <c r="Q2345">
        <v>-44.842730000000003</v>
      </c>
      <c r="R2345" s="2" t="str">
        <f>HYPERLINK("https://www.google.com/maps?q=-20.1670710,-44.8427300","Abrir no Google Maps")</f>
        <v>Abrir no Google Maps</v>
      </c>
      <c r="S2345">
        <v>4</v>
      </c>
      <c r="T2345">
        <v>535.14780070571521</v>
      </c>
      <c r="U2345">
        <v>4</v>
      </c>
      <c r="V2345">
        <v>0.42754778899007301</v>
      </c>
      <c r="W2345">
        <v>1</v>
      </c>
      <c r="X2345">
        <v>0.42754778899007301</v>
      </c>
      <c r="Y2345">
        <v>292</v>
      </c>
      <c r="Z2345">
        <v>582.78942050501109</v>
      </c>
      <c r="AA2345">
        <v>198</v>
      </c>
      <c r="AB2345">
        <v>332</v>
      </c>
      <c r="AC2345">
        <v>536</v>
      </c>
      <c r="AD2345">
        <v>29.96</v>
      </c>
      <c r="AE2345">
        <v>542</v>
      </c>
      <c r="AF2345">
        <v>29</v>
      </c>
      <c r="AG2345">
        <v>174</v>
      </c>
      <c r="AH2345">
        <v>129</v>
      </c>
      <c r="AI2345">
        <v>5.35</v>
      </c>
      <c r="AJ2345">
        <v>32.1</v>
      </c>
      <c r="AK2345">
        <v>23.8</v>
      </c>
      <c r="AL2345">
        <v>-20.167006799999971</v>
      </c>
      <c r="AM2345">
        <v>-44.842640974693197</v>
      </c>
      <c r="AN2345">
        <v>-20.167006799999971</v>
      </c>
      <c r="AO2345">
        <v>-44.842640974693197</v>
      </c>
      <c r="AP2345">
        <v>-20.167071</v>
      </c>
      <c r="AQ2345">
        <v>-44.842730000000003</v>
      </c>
      <c r="AR2345">
        <v>11.73100304278117</v>
      </c>
      <c r="AS2345" t="s">
        <v>65</v>
      </c>
      <c r="AT2345">
        <v>1</v>
      </c>
      <c r="AU2345" t="s">
        <v>310</v>
      </c>
      <c r="AV2345" t="s">
        <v>311</v>
      </c>
      <c r="AW2345" t="s">
        <v>60</v>
      </c>
      <c r="AX2345" t="s">
        <v>68</v>
      </c>
      <c r="AY2345" t="s">
        <v>69</v>
      </c>
      <c r="AZ2345" t="b">
        <v>1</v>
      </c>
    </row>
    <row r="2346" spans="1:52" x14ac:dyDescent="0.3">
      <c r="A2346" t="s">
        <v>52</v>
      </c>
      <c r="B2346" t="s">
        <v>53</v>
      </c>
      <c r="C2346" t="s">
        <v>54</v>
      </c>
      <c r="D2346" t="s">
        <v>55</v>
      </c>
      <c r="E2346" t="s">
        <v>2155</v>
      </c>
      <c r="F2346" t="s">
        <v>57</v>
      </c>
      <c r="G2346" t="s">
        <v>312</v>
      </c>
      <c r="H2346" t="s">
        <v>313</v>
      </c>
      <c r="I2346" t="s">
        <v>313</v>
      </c>
      <c r="J2346" t="s">
        <v>60</v>
      </c>
      <c r="K2346" t="s">
        <v>143</v>
      </c>
      <c r="L2346" t="s">
        <v>62</v>
      </c>
      <c r="M2346" t="s">
        <v>143</v>
      </c>
      <c r="N2346" t="s">
        <v>314</v>
      </c>
      <c r="O2346" t="s">
        <v>315</v>
      </c>
      <c r="P2346">
        <v>-20.168939000000002</v>
      </c>
      <c r="Q2346">
        <v>-44.843286999999997</v>
      </c>
      <c r="R2346" s="2" t="str">
        <f>HYPERLINK("https://www.google.com/maps?q=-20.1689390,-44.8432870","Abrir no Google Maps")</f>
        <v>Abrir no Google Maps</v>
      </c>
      <c r="S2346">
        <v>4</v>
      </c>
      <c r="T2346">
        <v>582.22902758915586</v>
      </c>
      <c r="U2346">
        <v>4</v>
      </c>
      <c r="V2346">
        <v>0.44085778652618651</v>
      </c>
      <c r="W2346">
        <v>1</v>
      </c>
      <c r="X2346">
        <v>0.44085778652618651</v>
      </c>
      <c r="Y2346">
        <v>292</v>
      </c>
      <c r="Z2346">
        <v>628.29035609472794</v>
      </c>
      <c r="AA2346">
        <v>198</v>
      </c>
      <c r="AB2346">
        <v>332</v>
      </c>
      <c r="AC2346">
        <v>536</v>
      </c>
      <c r="AD2346">
        <v>29.96</v>
      </c>
      <c r="AE2346">
        <v>542</v>
      </c>
      <c r="AF2346">
        <v>29</v>
      </c>
      <c r="AG2346">
        <v>174</v>
      </c>
      <c r="AH2346">
        <v>129</v>
      </c>
      <c r="AI2346">
        <v>5.35</v>
      </c>
      <c r="AJ2346">
        <v>32.1</v>
      </c>
      <c r="AK2346">
        <v>23.8</v>
      </c>
      <c r="AL2346">
        <v>-20.16917709999996</v>
      </c>
      <c r="AM2346">
        <v>-44.84342194427667</v>
      </c>
      <c r="AN2346">
        <v>-20.16917709999996</v>
      </c>
      <c r="AO2346">
        <v>-44.84342194427667</v>
      </c>
      <c r="AP2346">
        <v>-20.168939000000002</v>
      </c>
      <c r="AQ2346">
        <v>-44.843286999999997</v>
      </c>
      <c r="AR2346">
        <v>30.02272213565665</v>
      </c>
      <c r="AS2346" t="s">
        <v>65</v>
      </c>
      <c r="AT2346">
        <v>1</v>
      </c>
      <c r="AU2346" t="s">
        <v>316</v>
      </c>
      <c r="AV2346" t="s">
        <v>311</v>
      </c>
      <c r="AW2346" t="s">
        <v>60</v>
      </c>
      <c r="AX2346" t="s">
        <v>68</v>
      </c>
      <c r="AY2346" t="s">
        <v>69</v>
      </c>
      <c r="AZ2346" t="b">
        <v>1</v>
      </c>
    </row>
    <row r="2347" spans="1:52" x14ac:dyDescent="0.3">
      <c r="A2347" t="s">
        <v>52</v>
      </c>
      <c r="B2347" t="s">
        <v>53</v>
      </c>
      <c r="C2347" t="s">
        <v>54</v>
      </c>
      <c r="D2347" t="s">
        <v>55</v>
      </c>
      <c r="E2347" t="s">
        <v>2155</v>
      </c>
      <c r="F2347" t="s">
        <v>57</v>
      </c>
      <c r="G2347" t="s">
        <v>260</v>
      </c>
      <c r="H2347" t="s">
        <v>317</v>
      </c>
      <c r="I2347" t="s">
        <v>317</v>
      </c>
      <c r="J2347" t="s">
        <v>60</v>
      </c>
      <c r="K2347" t="s">
        <v>255</v>
      </c>
      <c r="L2347" t="s">
        <v>62</v>
      </c>
      <c r="M2347" t="s">
        <v>255</v>
      </c>
      <c r="N2347" t="s">
        <v>263</v>
      </c>
      <c r="O2347" t="s">
        <v>318</v>
      </c>
      <c r="P2347">
        <v>-20.163532</v>
      </c>
      <c r="Q2347">
        <v>-44.846910999999999</v>
      </c>
      <c r="R2347" s="2" t="str">
        <f>HYPERLINK("https://www.google.com/maps?q=-20.1635320,-44.8469110","Abrir no Google Maps")</f>
        <v>Abrir no Google Maps</v>
      </c>
      <c r="S2347">
        <v>4</v>
      </c>
      <c r="T2347">
        <v>259.92389401636012</v>
      </c>
      <c r="U2347">
        <v>4</v>
      </c>
      <c r="V2347">
        <v>0.42451473897389741</v>
      </c>
      <c r="W2347">
        <v>1</v>
      </c>
      <c r="X2347">
        <v>0.42451473897389741</v>
      </c>
      <c r="Y2347">
        <v>292</v>
      </c>
      <c r="Z2347">
        <v>316.26738966059708</v>
      </c>
      <c r="AA2347">
        <v>198</v>
      </c>
      <c r="AB2347">
        <v>332</v>
      </c>
      <c r="AC2347">
        <v>536</v>
      </c>
      <c r="AD2347">
        <v>29.96</v>
      </c>
      <c r="AE2347">
        <v>542</v>
      </c>
      <c r="AF2347">
        <v>29</v>
      </c>
      <c r="AG2347">
        <v>174</v>
      </c>
      <c r="AH2347">
        <v>129</v>
      </c>
      <c r="AI2347">
        <v>5.35</v>
      </c>
      <c r="AJ2347">
        <v>32.1</v>
      </c>
      <c r="AK2347">
        <v>23.8</v>
      </c>
      <c r="AL2347">
        <v>-20.16343344999996</v>
      </c>
      <c r="AM2347">
        <v>-44.846734659744428</v>
      </c>
      <c r="AN2347">
        <v>-20.16343344999996</v>
      </c>
      <c r="AO2347">
        <v>-44.846734659744428</v>
      </c>
      <c r="AP2347">
        <v>-20.163532</v>
      </c>
      <c r="AQ2347">
        <v>-44.846910999999999</v>
      </c>
      <c r="AR2347">
        <v>21.445575432006599</v>
      </c>
      <c r="AS2347" t="s">
        <v>65</v>
      </c>
      <c r="AT2347">
        <v>1</v>
      </c>
      <c r="AU2347" t="s">
        <v>319</v>
      </c>
      <c r="AV2347" t="s">
        <v>320</v>
      </c>
      <c r="AW2347" t="s">
        <v>60</v>
      </c>
      <c r="AX2347" t="s">
        <v>68</v>
      </c>
      <c r="AY2347" t="s">
        <v>69</v>
      </c>
      <c r="AZ2347" t="b">
        <v>1</v>
      </c>
    </row>
    <row r="2348" spans="1:52" x14ac:dyDescent="0.3">
      <c r="A2348" t="s">
        <v>52</v>
      </c>
      <c r="B2348" t="s">
        <v>53</v>
      </c>
      <c r="C2348" t="s">
        <v>54</v>
      </c>
      <c r="D2348" t="s">
        <v>55</v>
      </c>
      <c r="E2348" t="s">
        <v>2155</v>
      </c>
      <c r="F2348" t="s">
        <v>57</v>
      </c>
      <c r="G2348" t="s">
        <v>328</v>
      </c>
      <c r="H2348" t="s">
        <v>329</v>
      </c>
      <c r="I2348" t="s">
        <v>329</v>
      </c>
      <c r="J2348" t="s">
        <v>60</v>
      </c>
      <c r="K2348" t="s">
        <v>157</v>
      </c>
      <c r="L2348" t="s">
        <v>62</v>
      </c>
      <c r="M2348" t="s">
        <v>157</v>
      </c>
      <c r="N2348" t="s">
        <v>330</v>
      </c>
      <c r="O2348" t="s">
        <v>331</v>
      </c>
      <c r="P2348">
        <v>-20.167981999999999</v>
      </c>
      <c r="Q2348">
        <v>-44.885706999999996</v>
      </c>
      <c r="R2348" s="2" t="str">
        <f>HYPERLINK("https://www.google.com/maps?q=-20.1679820,-44.8857070","Abrir no Google Maps")</f>
        <v>Abrir no Google Maps</v>
      </c>
      <c r="S2348">
        <v>4</v>
      </c>
      <c r="T2348">
        <v>594.70112534633722</v>
      </c>
      <c r="U2348">
        <v>4</v>
      </c>
      <c r="V2348">
        <v>0.43661420525278899</v>
      </c>
      <c r="W2348">
        <v>1</v>
      </c>
      <c r="X2348">
        <v>0.43661420525278899</v>
      </c>
      <c r="Y2348">
        <v>232</v>
      </c>
      <c r="Z2348">
        <v>560.38516624860983</v>
      </c>
      <c r="AA2348">
        <v>198</v>
      </c>
      <c r="AB2348">
        <v>332</v>
      </c>
      <c r="AC2348">
        <v>536</v>
      </c>
      <c r="AD2348">
        <v>29.96</v>
      </c>
      <c r="AE2348">
        <v>542</v>
      </c>
      <c r="AF2348">
        <v>29</v>
      </c>
      <c r="AG2348">
        <v>174</v>
      </c>
      <c r="AH2348">
        <v>129</v>
      </c>
      <c r="AI2348">
        <v>5.35</v>
      </c>
      <c r="AJ2348">
        <v>32.1</v>
      </c>
      <c r="AK2348">
        <v>23.8</v>
      </c>
      <c r="AL2348">
        <v>-20.167931149999959</v>
      </c>
      <c r="AM2348">
        <v>-44.885606821741909</v>
      </c>
      <c r="AN2348">
        <v>-20.167931149999959</v>
      </c>
      <c r="AO2348">
        <v>-44.885606821741909</v>
      </c>
      <c r="AP2348">
        <v>-20.167981999999999</v>
      </c>
      <c r="AQ2348">
        <v>-44.885706999999996</v>
      </c>
      <c r="AR2348">
        <v>11.90056149590643</v>
      </c>
      <c r="AS2348" t="s">
        <v>65</v>
      </c>
      <c r="AT2348">
        <v>1</v>
      </c>
      <c r="AU2348" t="s">
        <v>332</v>
      </c>
      <c r="AV2348" t="s">
        <v>333</v>
      </c>
      <c r="AW2348" t="s">
        <v>60</v>
      </c>
      <c r="AX2348" t="s">
        <v>68</v>
      </c>
      <c r="AY2348" t="s">
        <v>69</v>
      </c>
      <c r="AZ2348" t="b">
        <v>1</v>
      </c>
    </row>
    <row r="2349" spans="1:52" x14ac:dyDescent="0.3">
      <c r="A2349" t="s">
        <v>52</v>
      </c>
      <c r="B2349" t="s">
        <v>53</v>
      </c>
      <c r="C2349" t="s">
        <v>54</v>
      </c>
      <c r="D2349" t="s">
        <v>55</v>
      </c>
      <c r="E2349" t="s">
        <v>2155</v>
      </c>
      <c r="F2349" t="s">
        <v>57</v>
      </c>
      <c r="G2349" t="s">
        <v>155</v>
      </c>
      <c r="H2349" t="s">
        <v>156</v>
      </c>
      <c r="I2349" t="s">
        <v>156</v>
      </c>
      <c r="J2349" t="s">
        <v>60</v>
      </c>
      <c r="K2349" t="s">
        <v>157</v>
      </c>
      <c r="L2349" t="s">
        <v>62</v>
      </c>
      <c r="M2349" t="s">
        <v>157</v>
      </c>
      <c r="N2349" t="s">
        <v>158</v>
      </c>
      <c r="O2349" t="s">
        <v>159</v>
      </c>
      <c r="P2349">
        <v>-20.166302999999999</v>
      </c>
      <c r="Q2349">
        <v>-44.880659999999999</v>
      </c>
      <c r="R2349" s="2" t="str">
        <f>HYPERLINK("https://www.google.com/maps?q=-20.1663030,-44.8806600","Abrir no Google Maps")</f>
        <v>Abrir no Google Maps</v>
      </c>
      <c r="S2349">
        <v>4</v>
      </c>
      <c r="T2349">
        <v>504.41812426451338</v>
      </c>
      <c r="U2349">
        <v>4</v>
      </c>
      <c r="V2349">
        <v>0.43448444102958123</v>
      </c>
      <c r="W2349">
        <v>1</v>
      </c>
      <c r="X2349">
        <v>0.43448444102958123</v>
      </c>
      <c r="Y2349">
        <v>232</v>
      </c>
      <c r="Z2349">
        <v>279.57571553948952</v>
      </c>
      <c r="AA2349">
        <v>198</v>
      </c>
      <c r="AB2349">
        <v>332</v>
      </c>
      <c r="AC2349">
        <v>536</v>
      </c>
      <c r="AD2349">
        <v>29.96</v>
      </c>
      <c r="AE2349">
        <v>542</v>
      </c>
      <c r="AF2349">
        <v>29</v>
      </c>
      <c r="AG2349">
        <v>174</v>
      </c>
      <c r="AH2349">
        <v>129</v>
      </c>
      <c r="AI2349">
        <v>5.35</v>
      </c>
      <c r="AJ2349">
        <v>32.1</v>
      </c>
      <c r="AK2349">
        <v>23.8</v>
      </c>
      <c r="AL2349">
        <v>-20.166700449999951</v>
      </c>
      <c r="AM2349">
        <v>-44.880573341714289</v>
      </c>
      <c r="AN2349">
        <v>-20.166700449999951</v>
      </c>
      <c r="AO2349">
        <v>-44.880573341714289</v>
      </c>
      <c r="AP2349">
        <v>-20.166302999999999</v>
      </c>
      <c r="AQ2349">
        <v>-44.880659999999999</v>
      </c>
      <c r="AR2349">
        <v>45.161304979350312</v>
      </c>
      <c r="AS2349" t="s">
        <v>65</v>
      </c>
      <c r="AT2349">
        <v>1</v>
      </c>
      <c r="AU2349" t="s">
        <v>160</v>
      </c>
      <c r="AV2349" t="s">
        <v>161</v>
      </c>
      <c r="AW2349" t="s">
        <v>60</v>
      </c>
      <c r="AX2349" t="s">
        <v>68</v>
      </c>
      <c r="AY2349" t="s">
        <v>69</v>
      </c>
      <c r="AZ2349" t="b">
        <v>1</v>
      </c>
    </row>
    <row r="2350" spans="1:52" x14ac:dyDescent="0.3">
      <c r="A2350" t="s">
        <v>52</v>
      </c>
      <c r="B2350" t="s">
        <v>53</v>
      </c>
      <c r="C2350" t="s">
        <v>54</v>
      </c>
      <c r="D2350" t="s">
        <v>55</v>
      </c>
      <c r="E2350" t="s">
        <v>2155</v>
      </c>
      <c r="F2350" t="s">
        <v>57</v>
      </c>
      <c r="G2350" t="s">
        <v>162</v>
      </c>
      <c r="H2350" t="s">
        <v>163</v>
      </c>
      <c r="I2350" t="s">
        <v>163</v>
      </c>
      <c r="J2350" t="s">
        <v>60</v>
      </c>
      <c r="K2350" t="s">
        <v>164</v>
      </c>
      <c r="L2350" t="s">
        <v>62</v>
      </c>
      <c r="M2350" t="s">
        <v>164</v>
      </c>
      <c r="N2350" t="s">
        <v>165</v>
      </c>
      <c r="O2350" t="s">
        <v>166</v>
      </c>
      <c r="P2350">
        <v>-20.175967</v>
      </c>
      <c r="Q2350">
        <v>-44.876730000000002</v>
      </c>
      <c r="R2350" s="2" t="str">
        <f>HYPERLINK("https://www.google.com/maps?q=-20.1759670,-44.8767300","Abrir no Google Maps")</f>
        <v>Abrir no Google Maps</v>
      </c>
      <c r="S2350">
        <v>4</v>
      </c>
      <c r="T2350">
        <v>692.5753730151132</v>
      </c>
      <c r="U2350">
        <v>4</v>
      </c>
      <c r="V2350">
        <v>0.4381277458979646</v>
      </c>
      <c r="W2350">
        <v>1</v>
      </c>
      <c r="X2350">
        <v>0.4381277458979646</v>
      </c>
      <c r="Y2350">
        <v>232</v>
      </c>
      <c r="Z2350">
        <v>686.15054949166824</v>
      </c>
      <c r="AA2350">
        <v>198</v>
      </c>
      <c r="AB2350">
        <v>332</v>
      </c>
      <c r="AC2350">
        <v>536</v>
      </c>
      <c r="AD2350">
        <v>29.96</v>
      </c>
      <c r="AE2350">
        <v>542</v>
      </c>
      <c r="AF2350">
        <v>29</v>
      </c>
      <c r="AG2350">
        <v>174</v>
      </c>
      <c r="AH2350">
        <v>129</v>
      </c>
      <c r="AI2350">
        <v>5.35</v>
      </c>
      <c r="AJ2350">
        <v>32.1</v>
      </c>
      <c r="AK2350">
        <v>23.8</v>
      </c>
      <c r="AL2350">
        <v>-20.17598664999997</v>
      </c>
      <c r="AM2350">
        <v>-44.876806510253203</v>
      </c>
      <c r="AN2350">
        <v>-20.17598664999997</v>
      </c>
      <c r="AO2350">
        <v>-44.876806510253203</v>
      </c>
      <c r="AP2350">
        <v>-20.175967</v>
      </c>
      <c r="AQ2350">
        <v>-44.876730000000002</v>
      </c>
      <c r="AR2350">
        <v>8.2883514287440097</v>
      </c>
      <c r="AS2350" t="s">
        <v>65</v>
      </c>
      <c r="AT2350">
        <v>1</v>
      </c>
      <c r="AU2350" t="s">
        <v>167</v>
      </c>
      <c r="AV2350" t="s">
        <v>168</v>
      </c>
      <c r="AW2350" t="s">
        <v>60</v>
      </c>
      <c r="AX2350" t="s">
        <v>68</v>
      </c>
      <c r="AY2350" t="s">
        <v>69</v>
      </c>
      <c r="AZ2350" t="b">
        <v>1</v>
      </c>
    </row>
    <row r="2351" spans="1:52" x14ac:dyDescent="0.3">
      <c r="A2351" t="s">
        <v>52</v>
      </c>
      <c r="B2351" t="s">
        <v>53</v>
      </c>
      <c r="C2351" t="s">
        <v>54</v>
      </c>
      <c r="D2351" t="s">
        <v>55</v>
      </c>
      <c r="E2351" t="s">
        <v>2155</v>
      </c>
      <c r="F2351" t="s">
        <v>57</v>
      </c>
      <c r="G2351" t="s">
        <v>347</v>
      </c>
      <c r="H2351" t="s">
        <v>348</v>
      </c>
      <c r="I2351" t="s">
        <v>348</v>
      </c>
      <c r="J2351" t="s">
        <v>60</v>
      </c>
      <c r="K2351" t="s">
        <v>157</v>
      </c>
      <c r="L2351" t="s">
        <v>62</v>
      </c>
      <c r="M2351" t="s">
        <v>157</v>
      </c>
      <c r="N2351" t="s">
        <v>349</v>
      </c>
      <c r="O2351" t="s">
        <v>350</v>
      </c>
      <c r="P2351">
        <v>-20.171206999999999</v>
      </c>
      <c r="Q2351">
        <v>-44.881143999999999</v>
      </c>
      <c r="R2351" s="2" t="str">
        <f>HYPERLINK("https://www.google.com/maps?q=-20.1712070,-44.8811440","Abrir no Google Maps")</f>
        <v>Abrir no Google Maps</v>
      </c>
      <c r="S2351">
        <v>4</v>
      </c>
      <c r="T2351">
        <v>0</v>
      </c>
      <c r="U2351">
        <v>4</v>
      </c>
      <c r="V2351">
        <v>0.42901949317738791</v>
      </c>
      <c r="W2351">
        <v>1</v>
      </c>
      <c r="X2351">
        <v>0.42901949317738791</v>
      </c>
      <c r="Y2351">
        <v>232</v>
      </c>
      <c r="Z2351">
        <v>184.81719774496389</v>
      </c>
      <c r="AA2351">
        <v>198</v>
      </c>
      <c r="AB2351">
        <v>332</v>
      </c>
      <c r="AC2351">
        <v>536</v>
      </c>
      <c r="AD2351">
        <v>29.96</v>
      </c>
      <c r="AE2351">
        <v>542</v>
      </c>
      <c r="AF2351">
        <v>29</v>
      </c>
      <c r="AG2351">
        <v>174</v>
      </c>
      <c r="AH2351">
        <v>129</v>
      </c>
      <c r="AI2351">
        <v>5.35</v>
      </c>
      <c r="AJ2351">
        <v>32.1</v>
      </c>
      <c r="AK2351">
        <v>23.8</v>
      </c>
      <c r="AL2351">
        <v>-20.171229949999969</v>
      </c>
      <c r="AM2351">
        <v>-44.881113944480241</v>
      </c>
      <c r="AN2351">
        <v>-20.171229949999969</v>
      </c>
      <c r="AO2351">
        <v>-44.881113944480241</v>
      </c>
      <c r="AP2351">
        <v>-20.171206999999999</v>
      </c>
      <c r="AQ2351">
        <v>-44.881143999999999</v>
      </c>
      <c r="AR2351">
        <v>4.0484763362859333</v>
      </c>
      <c r="AS2351" t="s">
        <v>65</v>
      </c>
      <c r="AT2351">
        <v>1</v>
      </c>
      <c r="AU2351" t="s">
        <v>351</v>
      </c>
      <c r="AV2351" t="s">
        <v>352</v>
      </c>
      <c r="AW2351" t="s">
        <v>60</v>
      </c>
      <c r="AX2351" t="s">
        <v>68</v>
      </c>
      <c r="AY2351" t="s">
        <v>69</v>
      </c>
      <c r="AZ2351" t="b">
        <v>1</v>
      </c>
    </row>
    <row r="2352" spans="1:52" x14ac:dyDescent="0.3">
      <c r="A2352" t="s">
        <v>52</v>
      </c>
      <c r="B2352" t="s">
        <v>53</v>
      </c>
      <c r="C2352" t="s">
        <v>54</v>
      </c>
      <c r="D2352" t="s">
        <v>55</v>
      </c>
      <c r="E2352" t="s">
        <v>2155</v>
      </c>
      <c r="F2352" t="s">
        <v>57</v>
      </c>
      <c r="G2352" t="s">
        <v>353</v>
      </c>
      <c r="H2352" t="s">
        <v>354</v>
      </c>
      <c r="I2352" t="s">
        <v>354</v>
      </c>
      <c r="J2352" t="s">
        <v>60</v>
      </c>
      <c r="K2352" t="s">
        <v>355</v>
      </c>
      <c r="L2352" t="s">
        <v>62</v>
      </c>
      <c r="M2352" t="s">
        <v>355</v>
      </c>
      <c r="N2352" t="s">
        <v>356</v>
      </c>
      <c r="O2352" t="s">
        <v>357</v>
      </c>
      <c r="P2352">
        <v>-20.147373999999999</v>
      </c>
      <c r="Q2352">
        <v>-44.875141999999997</v>
      </c>
      <c r="R2352" s="2" t="str">
        <f>HYPERLINK("https://www.google.com/maps?q=-20.1473740,-44.8751420","Abrir no Google Maps")</f>
        <v>Abrir no Google Maps</v>
      </c>
      <c r="S2352">
        <v>4</v>
      </c>
      <c r="T2352">
        <v>394.29708169591709</v>
      </c>
      <c r="U2352">
        <v>4</v>
      </c>
      <c r="V2352">
        <v>0.42328529686769528</v>
      </c>
      <c r="W2352">
        <v>1</v>
      </c>
      <c r="X2352">
        <v>0.42328529686769528</v>
      </c>
      <c r="Y2352">
        <v>209</v>
      </c>
      <c r="Z2352">
        <v>326.95034461828868</v>
      </c>
      <c r="AA2352">
        <v>198</v>
      </c>
      <c r="AB2352">
        <v>332</v>
      </c>
      <c r="AC2352">
        <v>536</v>
      </c>
      <c r="AD2352">
        <v>29.96</v>
      </c>
      <c r="AE2352">
        <v>542</v>
      </c>
      <c r="AF2352">
        <v>29</v>
      </c>
      <c r="AG2352">
        <v>174</v>
      </c>
      <c r="AH2352">
        <v>129</v>
      </c>
      <c r="AI2352">
        <v>5.35</v>
      </c>
      <c r="AJ2352">
        <v>32.1</v>
      </c>
      <c r="AK2352">
        <v>23.8</v>
      </c>
      <c r="AL2352">
        <v>-20.147207999999949</v>
      </c>
      <c r="AM2352">
        <v>-44.875152120336942</v>
      </c>
      <c r="AN2352">
        <v>-20.147207999999949</v>
      </c>
      <c r="AO2352">
        <v>-44.875152120336942</v>
      </c>
      <c r="AP2352">
        <v>-20.147373999999999</v>
      </c>
      <c r="AQ2352">
        <v>-44.875141999999997</v>
      </c>
      <c r="AR2352">
        <v>18.509363081081169</v>
      </c>
      <c r="AS2352" t="s">
        <v>65</v>
      </c>
      <c r="AT2352">
        <v>1</v>
      </c>
      <c r="AU2352" t="s">
        <v>358</v>
      </c>
      <c r="AV2352" t="s">
        <v>359</v>
      </c>
      <c r="AW2352" t="s">
        <v>60</v>
      </c>
      <c r="AX2352" t="s">
        <v>68</v>
      </c>
      <c r="AY2352" t="s">
        <v>69</v>
      </c>
      <c r="AZ2352" t="b">
        <v>1</v>
      </c>
    </row>
    <row r="2353" spans="1:52" x14ac:dyDescent="0.3">
      <c r="A2353" t="s">
        <v>52</v>
      </c>
      <c r="B2353" t="s">
        <v>53</v>
      </c>
      <c r="C2353" t="s">
        <v>54</v>
      </c>
      <c r="D2353" t="s">
        <v>55</v>
      </c>
      <c r="E2353" t="s">
        <v>2155</v>
      </c>
      <c r="F2353" t="s">
        <v>57</v>
      </c>
      <c r="G2353" t="s">
        <v>176</v>
      </c>
      <c r="H2353" t="s">
        <v>177</v>
      </c>
      <c r="I2353" t="s">
        <v>177</v>
      </c>
      <c r="J2353" t="s">
        <v>60</v>
      </c>
      <c r="K2353" t="s">
        <v>178</v>
      </c>
      <c r="L2353" t="s">
        <v>62</v>
      </c>
      <c r="M2353" t="s">
        <v>178</v>
      </c>
      <c r="N2353" t="s">
        <v>179</v>
      </c>
      <c r="O2353" t="s">
        <v>180</v>
      </c>
      <c r="P2353">
        <v>-20.129152999999999</v>
      </c>
      <c r="Q2353">
        <v>-44.859299</v>
      </c>
      <c r="R2353" s="2" t="str">
        <f>HYPERLINK("https://www.google.com/maps?q=-20.1291530,-44.8592990","Abrir no Google Maps")</f>
        <v>Abrir no Google Maps</v>
      </c>
      <c r="S2353">
        <v>4</v>
      </c>
      <c r="T2353">
        <v>0</v>
      </c>
      <c r="U2353">
        <v>4</v>
      </c>
      <c r="V2353">
        <v>0.42918017754617582</v>
      </c>
      <c r="W2353">
        <v>1</v>
      </c>
      <c r="X2353">
        <v>0.42918017754617582</v>
      </c>
      <c r="Y2353">
        <v>95</v>
      </c>
      <c r="Z2353">
        <v>323.58963420291411</v>
      </c>
      <c r="AA2353">
        <v>198</v>
      </c>
      <c r="AB2353">
        <v>332</v>
      </c>
      <c r="AC2353">
        <v>536</v>
      </c>
      <c r="AD2353">
        <v>29.96</v>
      </c>
      <c r="AE2353">
        <v>542</v>
      </c>
      <c r="AF2353">
        <v>29</v>
      </c>
      <c r="AG2353">
        <v>174</v>
      </c>
      <c r="AH2353">
        <v>129</v>
      </c>
      <c r="AI2353">
        <v>5.35</v>
      </c>
      <c r="AJ2353">
        <v>32.1</v>
      </c>
      <c r="AK2353">
        <v>23.8</v>
      </c>
      <c r="AL2353">
        <v>-20.129260799999969</v>
      </c>
      <c r="AM2353">
        <v>-44.859468344955843</v>
      </c>
      <c r="AN2353">
        <v>-20.129260799999969</v>
      </c>
      <c r="AO2353">
        <v>-44.859468344955843</v>
      </c>
      <c r="AP2353">
        <v>-20.129152999999999</v>
      </c>
      <c r="AQ2353">
        <v>-44.859299</v>
      </c>
      <c r="AR2353">
        <v>21.38451122307773</v>
      </c>
      <c r="AS2353" t="s">
        <v>65</v>
      </c>
      <c r="AT2353">
        <v>1</v>
      </c>
      <c r="AU2353" t="s">
        <v>181</v>
      </c>
      <c r="AV2353" t="s">
        <v>182</v>
      </c>
      <c r="AW2353" t="s">
        <v>60</v>
      </c>
      <c r="AX2353" t="s">
        <v>68</v>
      </c>
      <c r="AY2353" t="s">
        <v>69</v>
      </c>
      <c r="AZ2353" t="b">
        <v>1</v>
      </c>
    </row>
    <row r="2354" spans="1:52" x14ac:dyDescent="0.3">
      <c r="A2354" t="s">
        <v>52</v>
      </c>
      <c r="B2354" t="s">
        <v>53</v>
      </c>
      <c r="C2354" t="s">
        <v>54</v>
      </c>
      <c r="D2354" t="s">
        <v>55</v>
      </c>
      <c r="E2354" t="s">
        <v>2155</v>
      </c>
      <c r="F2354" t="s">
        <v>57</v>
      </c>
      <c r="G2354" t="s">
        <v>183</v>
      </c>
      <c r="H2354" t="s">
        <v>184</v>
      </c>
      <c r="I2354" t="s">
        <v>184</v>
      </c>
      <c r="J2354" t="s">
        <v>60</v>
      </c>
      <c r="K2354" t="s">
        <v>185</v>
      </c>
      <c r="L2354" t="s">
        <v>62</v>
      </c>
      <c r="M2354" t="s">
        <v>185</v>
      </c>
      <c r="N2354" t="s">
        <v>186</v>
      </c>
      <c r="O2354" t="s">
        <v>187</v>
      </c>
      <c r="P2354">
        <v>-20.134855000000002</v>
      </c>
      <c r="Q2354">
        <v>-44.860174000000001</v>
      </c>
      <c r="R2354" s="2" t="str">
        <f>HYPERLINK("https://www.google.com/maps?q=-20.1348550,-44.8601740","Abrir no Google Maps")</f>
        <v>Abrir no Google Maps</v>
      </c>
      <c r="S2354">
        <v>4</v>
      </c>
      <c r="T2354">
        <v>625.96998974571841</v>
      </c>
      <c r="U2354">
        <v>4</v>
      </c>
      <c r="V2354">
        <v>0.44216801644243731</v>
      </c>
      <c r="W2354">
        <v>1</v>
      </c>
      <c r="X2354">
        <v>0.44216801644243731</v>
      </c>
      <c r="Y2354">
        <v>95</v>
      </c>
      <c r="Z2354">
        <v>257.67818504656498</v>
      </c>
      <c r="AA2354">
        <v>198</v>
      </c>
      <c r="AB2354">
        <v>332</v>
      </c>
      <c r="AC2354">
        <v>536</v>
      </c>
      <c r="AD2354">
        <v>29.96</v>
      </c>
      <c r="AE2354">
        <v>542</v>
      </c>
      <c r="AF2354">
        <v>29</v>
      </c>
      <c r="AG2354">
        <v>174</v>
      </c>
      <c r="AH2354">
        <v>129</v>
      </c>
      <c r="AI2354">
        <v>5.35</v>
      </c>
      <c r="AJ2354">
        <v>32.1</v>
      </c>
      <c r="AK2354">
        <v>23.8</v>
      </c>
      <c r="AL2354">
        <v>-20.134903999999981</v>
      </c>
      <c r="AM2354">
        <v>-44.859880285335962</v>
      </c>
      <c r="AN2354">
        <v>-20.134903999999981</v>
      </c>
      <c r="AO2354">
        <v>-44.859880285335962</v>
      </c>
      <c r="AP2354">
        <v>-20.134855000000002</v>
      </c>
      <c r="AQ2354">
        <v>-44.860174000000001</v>
      </c>
      <c r="AR2354">
        <v>31.178921696823132</v>
      </c>
      <c r="AS2354" t="s">
        <v>65</v>
      </c>
      <c r="AT2354">
        <v>1</v>
      </c>
      <c r="AU2354" t="s">
        <v>188</v>
      </c>
      <c r="AV2354" t="s">
        <v>189</v>
      </c>
      <c r="AW2354" t="s">
        <v>60</v>
      </c>
      <c r="AX2354" t="s">
        <v>68</v>
      </c>
      <c r="AY2354" t="s">
        <v>69</v>
      </c>
      <c r="AZ2354" t="b">
        <v>1</v>
      </c>
    </row>
    <row r="2355" spans="1:52" x14ac:dyDescent="0.3">
      <c r="A2355" t="s">
        <v>52</v>
      </c>
      <c r="B2355" t="s">
        <v>53</v>
      </c>
      <c r="C2355" t="s">
        <v>54</v>
      </c>
      <c r="D2355" t="s">
        <v>55</v>
      </c>
      <c r="E2355" t="s">
        <v>2155</v>
      </c>
      <c r="F2355" t="s">
        <v>190</v>
      </c>
      <c r="G2355" t="s">
        <v>58</v>
      </c>
      <c r="H2355" t="s">
        <v>59</v>
      </c>
      <c r="I2355" t="s">
        <v>59</v>
      </c>
      <c r="J2355" t="s">
        <v>60</v>
      </c>
      <c r="K2355" t="s">
        <v>61</v>
      </c>
      <c r="L2355" t="s">
        <v>62</v>
      </c>
      <c r="M2355" t="s">
        <v>61</v>
      </c>
      <c r="N2355" t="s">
        <v>63</v>
      </c>
      <c r="O2355" t="s">
        <v>64</v>
      </c>
      <c r="P2355">
        <v>-20.147940999999999</v>
      </c>
      <c r="Q2355">
        <v>-44.906514000000001</v>
      </c>
      <c r="R2355" s="2" t="str">
        <f>HYPERLINK("https://www.google.com/maps?q=-20.1479410,-44.9065140","Abrir no Google Maps")</f>
        <v>Abrir no Google Maps</v>
      </c>
      <c r="S2355">
        <v>4</v>
      </c>
      <c r="T2355">
        <v>308.67004994113421</v>
      </c>
      <c r="U2355">
        <v>3</v>
      </c>
      <c r="V2355">
        <v>0.41449352834180347</v>
      </c>
      <c r="W2355">
        <v>1</v>
      </c>
      <c r="X2355">
        <v>0.41449352834180347</v>
      </c>
      <c r="Y2355">
        <v>747</v>
      </c>
      <c r="Z2355">
        <v>274.71440454502522</v>
      </c>
      <c r="AA2355">
        <v>198</v>
      </c>
      <c r="AB2355">
        <v>332</v>
      </c>
      <c r="AC2355">
        <v>536</v>
      </c>
      <c r="AD2355">
        <v>29.96</v>
      </c>
      <c r="AE2355">
        <v>542</v>
      </c>
      <c r="AF2355">
        <v>29</v>
      </c>
      <c r="AG2355">
        <v>174</v>
      </c>
      <c r="AH2355">
        <v>129</v>
      </c>
      <c r="AI2355">
        <v>5.35</v>
      </c>
      <c r="AJ2355">
        <v>32.1</v>
      </c>
      <c r="AK2355">
        <v>23.8</v>
      </c>
      <c r="AL2355">
        <v>-20.147947799999969</v>
      </c>
      <c r="AM2355">
        <v>-44.906591596129203</v>
      </c>
      <c r="AN2355">
        <v>-20.147947799999969</v>
      </c>
      <c r="AO2355">
        <v>-44.906591596129203</v>
      </c>
      <c r="AP2355">
        <v>-20.147940999999999</v>
      </c>
      <c r="AQ2355">
        <v>-44.906514000000001</v>
      </c>
      <c r="AR2355">
        <v>8.1446636170570326</v>
      </c>
      <c r="AS2355" t="s">
        <v>65</v>
      </c>
      <c r="AT2355">
        <v>1</v>
      </c>
      <c r="AU2355" t="s">
        <v>66</v>
      </c>
      <c r="AV2355" t="s">
        <v>67</v>
      </c>
      <c r="AW2355" t="s">
        <v>60</v>
      </c>
      <c r="AX2355" t="s">
        <v>68</v>
      </c>
      <c r="AY2355" t="s">
        <v>69</v>
      </c>
      <c r="AZ2355" t="b">
        <v>1</v>
      </c>
    </row>
    <row r="2356" spans="1:52" x14ac:dyDescent="0.3">
      <c r="A2356" t="s">
        <v>52</v>
      </c>
      <c r="B2356" t="s">
        <v>53</v>
      </c>
      <c r="C2356" t="s">
        <v>54</v>
      </c>
      <c r="D2356" t="s">
        <v>55</v>
      </c>
      <c r="E2356" t="s">
        <v>2155</v>
      </c>
      <c r="F2356" t="s">
        <v>190</v>
      </c>
      <c r="G2356" t="s">
        <v>191</v>
      </c>
      <c r="H2356" t="s">
        <v>192</v>
      </c>
      <c r="I2356" t="s">
        <v>192</v>
      </c>
      <c r="J2356" t="s">
        <v>60</v>
      </c>
      <c r="K2356" t="s">
        <v>193</v>
      </c>
      <c r="L2356" t="s">
        <v>62</v>
      </c>
      <c r="M2356" t="s">
        <v>193</v>
      </c>
      <c r="N2356" t="s">
        <v>194</v>
      </c>
      <c r="O2356" t="s">
        <v>195</v>
      </c>
      <c r="P2356">
        <v>-20.143266000000001</v>
      </c>
      <c r="Q2356">
        <v>-44.912075000000002</v>
      </c>
      <c r="R2356" s="2" t="str">
        <f>HYPERLINK("https://www.google.com/maps?q=-20.1432660,-44.9120750","Abrir no Google Maps")</f>
        <v>Abrir no Google Maps</v>
      </c>
      <c r="S2356">
        <v>4</v>
      </c>
      <c r="T2356">
        <v>467.04339396175408</v>
      </c>
      <c r="U2356">
        <v>3</v>
      </c>
      <c r="V2356">
        <v>0.42051864309052472</v>
      </c>
      <c r="W2356">
        <v>1</v>
      </c>
      <c r="X2356">
        <v>0.42051864309052472</v>
      </c>
      <c r="Y2356">
        <v>747</v>
      </c>
      <c r="Z2356">
        <v>585.1742452866996</v>
      </c>
      <c r="AA2356">
        <v>198</v>
      </c>
      <c r="AB2356">
        <v>332</v>
      </c>
      <c r="AC2356">
        <v>536</v>
      </c>
      <c r="AD2356">
        <v>29.96</v>
      </c>
      <c r="AE2356">
        <v>542</v>
      </c>
      <c r="AF2356">
        <v>29</v>
      </c>
      <c r="AG2356">
        <v>174</v>
      </c>
      <c r="AH2356">
        <v>129</v>
      </c>
      <c r="AI2356">
        <v>5.35</v>
      </c>
      <c r="AJ2356">
        <v>32.1</v>
      </c>
      <c r="AK2356">
        <v>23.8</v>
      </c>
      <c r="AL2356">
        <v>-20.143307949999951</v>
      </c>
      <c r="AM2356">
        <v>-44.912066629431067</v>
      </c>
      <c r="AN2356">
        <v>-20.143307949999951</v>
      </c>
      <c r="AO2356">
        <v>-44.912066629431067</v>
      </c>
      <c r="AP2356">
        <v>-20.143266000000001</v>
      </c>
      <c r="AQ2356">
        <v>-44.912075000000002</v>
      </c>
      <c r="AR2356">
        <v>4.751108024498329</v>
      </c>
      <c r="AS2356" t="s">
        <v>65</v>
      </c>
      <c r="AT2356">
        <v>1</v>
      </c>
      <c r="AU2356" t="s">
        <v>196</v>
      </c>
      <c r="AV2356" t="s">
        <v>197</v>
      </c>
      <c r="AW2356" t="s">
        <v>60</v>
      </c>
      <c r="AX2356" t="s">
        <v>68</v>
      </c>
      <c r="AY2356" t="s">
        <v>69</v>
      </c>
      <c r="AZ2356" t="b">
        <v>1</v>
      </c>
    </row>
    <row r="2357" spans="1:52" x14ac:dyDescent="0.3">
      <c r="A2357" t="s">
        <v>52</v>
      </c>
      <c r="B2357" t="s">
        <v>53</v>
      </c>
      <c r="C2357" t="s">
        <v>54</v>
      </c>
      <c r="D2357" t="s">
        <v>55</v>
      </c>
      <c r="E2357" t="s">
        <v>2155</v>
      </c>
      <c r="F2357" t="s">
        <v>190</v>
      </c>
      <c r="G2357" t="s">
        <v>83</v>
      </c>
      <c r="H2357" t="s">
        <v>84</v>
      </c>
      <c r="I2357" t="s">
        <v>84</v>
      </c>
      <c r="J2357" t="s">
        <v>60</v>
      </c>
      <c r="K2357" t="s">
        <v>61</v>
      </c>
      <c r="L2357" t="s">
        <v>62</v>
      </c>
      <c r="M2357" t="s">
        <v>61</v>
      </c>
      <c r="N2357" t="s">
        <v>85</v>
      </c>
      <c r="O2357" t="s">
        <v>86</v>
      </c>
      <c r="P2357">
        <v>-20.149799000000002</v>
      </c>
      <c r="Q2357">
        <v>-44.906517000000001</v>
      </c>
      <c r="R2357" s="2" t="str">
        <f>HYPERLINK("https://www.google.com/maps?q=-20.1497990,-44.9065170","Abrir no Google Maps")</f>
        <v>Abrir no Google Maps</v>
      </c>
      <c r="S2357">
        <v>4</v>
      </c>
      <c r="T2357">
        <v>487.90051105537998</v>
      </c>
      <c r="U2357">
        <v>3</v>
      </c>
      <c r="V2357">
        <v>0.4072574587582129</v>
      </c>
      <c r="W2357">
        <v>1</v>
      </c>
      <c r="X2357">
        <v>0.4072574587582129</v>
      </c>
      <c r="Y2357">
        <v>747</v>
      </c>
      <c r="Z2357">
        <v>365.93785960107078</v>
      </c>
      <c r="AA2357">
        <v>198</v>
      </c>
      <c r="AB2357">
        <v>332</v>
      </c>
      <c r="AC2357">
        <v>536</v>
      </c>
      <c r="AD2357">
        <v>29.96</v>
      </c>
      <c r="AE2357">
        <v>542</v>
      </c>
      <c r="AF2357">
        <v>29</v>
      </c>
      <c r="AG2357">
        <v>174</v>
      </c>
      <c r="AH2357">
        <v>129</v>
      </c>
      <c r="AI2357">
        <v>5.35</v>
      </c>
      <c r="AJ2357">
        <v>32.1</v>
      </c>
      <c r="AK2357">
        <v>23.8</v>
      </c>
      <c r="AL2357">
        <v>-20.149879599999959</v>
      </c>
      <c r="AM2357">
        <v>-44.906746466068469</v>
      </c>
      <c r="AN2357">
        <v>-20.149879599999959</v>
      </c>
      <c r="AO2357">
        <v>-44.906746466068469</v>
      </c>
      <c r="AP2357">
        <v>-20.149799000000002</v>
      </c>
      <c r="AQ2357">
        <v>-44.906517000000001</v>
      </c>
      <c r="AR2357">
        <v>25.604276856970429</v>
      </c>
      <c r="AS2357" t="s">
        <v>65</v>
      </c>
      <c r="AT2357">
        <v>1</v>
      </c>
      <c r="AU2357" t="s">
        <v>87</v>
      </c>
      <c r="AV2357" t="s">
        <v>88</v>
      </c>
      <c r="AW2357" t="s">
        <v>60</v>
      </c>
      <c r="AX2357" t="s">
        <v>68</v>
      </c>
      <c r="AY2357" t="s">
        <v>69</v>
      </c>
      <c r="AZ2357" t="b">
        <v>1</v>
      </c>
    </row>
    <row r="2358" spans="1:52" x14ac:dyDescent="0.3">
      <c r="A2358" t="s">
        <v>52</v>
      </c>
      <c r="B2358" t="s">
        <v>53</v>
      </c>
      <c r="C2358" t="s">
        <v>54</v>
      </c>
      <c r="D2358" t="s">
        <v>55</v>
      </c>
      <c r="E2358" t="s">
        <v>2155</v>
      </c>
      <c r="F2358" t="s">
        <v>190</v>
      </c>
      <c r="G2358" t="s">
        <v>115</v>
      </c>
      <c r="H2358" t="s">
        <v>116</v>
      </c>
      <c r="I2358" t="s">
        <v>116</v>
      </c>
      <c r="J2358" t="s">
        <v>60</v>
      </c>
      <c r="K2358" t="s">
        <v>117</v>
      </c>
      <c r="L2358" t="s">
        <v>62</v>
      </c>
      <c r="M2358" t="s">
        <v>117</v>
      </c>
      <c r="N2358" t="s">
        <v>118</v>
      </c>
      <c r="O2358" t="s">
        <v>119</v>
      </c>
      <c r="P2358">
        <v>-20.116992</v>
      </c>
      <c r="Q2358">
        <v>-44.899355</v>
      </c>
      <c r="R2358" s="2" t="str">
        <f>HYPERLINK("https://www.google.com/maps?q=-20.1169920,-44.8993550","Abrir no Google Maps")</f>
        <v>Abrir no Google Maps</v>
      </c>
      <c r="S2358">
        <v>4</v>
      </c>
      <c r="T2358">
        <v>0</v>
      </c>
      <c r="U2358">
        <v>3</v>
      </c>
      <c r="V2358">
        <v>0.41290298556572719</v>
      </c>
      <c r="W2358">
        <v>1</v>
      </c>
      <c r="X2358">
        <v>0.41290298556572719</v>
      </c>
      <c r="Y2358">
        <v>567</v>
      </c>
      <c r="Z2358">
        <v>54.913678078353321</v>
      </c>
      <c r="AA2358">
        <v>198</v>
      </c>
      <c r="AB2358">
        <v>332</v>
      </c>
      <c r="AC2358">
        <v>536</v>
      </c>
      <c r="AD2358">
        <v>29.96</v>
      </c>
      <c r="AE2358">
        <v>542</v>
      </c>
      <c r="AF2358">
        <v>29</v>
      </c>
      <c r="AG2358">
        <v>174</v>
      </c>
      <c r="AH2358">
        <v>129</v>
      </c>
      <c r="AI2358">
        <v>5.35</v>
      </c>
      <c r="AJ2358">
        <v>32.1</v>
      </c>
      <c r="AK2358">
        <v>23.8</v>
      </c>
      <c r="AL2358">
        <v>-20.117107749999949</v>
      </c>
      <c r="AM2358">
        <v>-44.899271226243108</v>
      </c>
      <c r="AN2358">
        <v>-20.117107749999949</v>
      </c>
      <c r="AO2358">
        <v>-44.899271226243108</v>
      </c>
      <c r="AP2358">
        <v>-20.116992</v>
      </c>
      <c r="AQ2358">
        <v>-44.899355</v>
      </c>
      <c r="AR2358">
        <v>15.579196044083419</v>
      </c>
      <c r="AS2358" t="s">
        <v>65</v>
      </c>
      <c r="AT2358">
        <v>1</v>
      </c>
      <c r="AU2358" t="s">
        <v>120</v>
      </c>
      <c r="AV2358" t="s">
        <v>121</v>
      </c>
      <c r="AW2358" t="s">
        <v>60</v>
      </c>
      <c r="AX2358" t="s">
        <v>68</v>
      </c>
      <c r="AY2358" t="s">
        <v>69</v>
      </c>
      <c r="AZ2358" t="b">
        <v>1</v>
      </c>
    </row>
    <row r="2359" spans="1:52" x14ac:dyDescent="0.3">
      <c r="A2359" t="s">
        <v>52</v>
      </c>
      <c r="B2359" t="s">
        <v>53</v>
      </c>
      <c r="C2359" t="s">
        <v>54</v>
      </c>
      <c r="D2359" t="s">
        <v>55</v>
      </c>
      <c r="E2359" t="s">
        <v>2155</v>
      </c>
      <c r="F2359" t="s">
        <v>190</v>
      </c>
      <c r="G2359" t="s">
        <v>122</v>
      </c>
      <c r="H2359" t="s">
        <v>123</v>
      </c>
      <c r="I2359" t="s">
        <v>123</v>
      </c>
      <c r="J2359" t="s">
        <v>60</v>
      </c>
      <c r="K2359" t="s">
        <v>117</v>
      </c>
      <c r="L2359" t="s">
        <v>62</v>
      </c>
      <c r="M2359" t="s">
        <v>117</v>
      </c>
      <c r="N2359" t="s">
        <v>124</v>
      </c>
      <c r="O2359" t="s">
        <v>125</v>
      </c>
      <c r="P2359">
        <v>-20.11853</v>
      </c>
      <c r="Q2359">
        <v>-44.896925000000003</v>
      </c>
      <c r="R2359" s="2" t="str">
        <f>HYPERLINK("https://www.google.com/maps?q=-20.1185300,-44.8969250","Abrir no Google Maps")</f>
        <v>Abrir no Google Maps</v>
      </c>
      <c r="S2359">
        <v>4</v>
      </c>
      <c r="T2359">
        <v>325.32255721093247</v>
      </c>
      <c r="U2359">
        <v>3</v>
      </c>
      <c r="V2359">
        <v>0.4153702379060033</v>
      </c>
      <c r="W2359">
        <v>1</v>
      </c>
      <c r="X2359">
        <v>0.4153702379060033</v>
      </c>
      <c r="Y2359">
        <v>567</v>
      </c>
      <c r="Z2359">
        <v>306.04423478678871</v>
      </c>
      <c r="AA2359">
        <v>198</v>
      </c>
      <c r="AB2359">
        <v>332</v>
      </c>
      <c r="AC2359">
        <v>536</v>
      </c>
      <c r="AD2359">
        <v>29.96</v>
      </c>
      <c r="AE2359">
        <v>542</v>
      </c>
      <c r="AF2359">
        <v>29</v>
      </c>
      <c r="AG2359">
        <v>174</v>
      </c>
      <c r="AH2359">
        <v>129</v>
      </c>
      <c r="AI2359">
        <v>5.35</v>
      </c>
      <c r="AJ2359">
        <v>32.1</v>
      </c>
      <c r="AK2359">
        <v>23.8</v>
      </c>
      <c r="AL2359">
        <v>-20.118682499999949</v>
      </c>
      <c r="AM2359">
        <v>-44.896643089287927</v>
      </c>
      <c r="AN2359">
        <v>-20.118682499999949</v>
      </c>
      <c r="AO2359">
        <v>-44.896643089287927</v>
      </c>
      <c r="AP2359">
        <v>-20.11853</v>
      </c>
      <c r="AQ2359">
        <v>-44.896925000000003</v>
      </c>
      <c r="AR2359">
        <v>34.007698996886518</v>
      </c>
      <c r="AS2359" t="s">
        <v>65</v>
      </c>
      <c r="AT2359">
        <v>1</v>
      </c>
      <c r="AU2359" t="s">
        <v>126</v>
      </c>
      <c r="AV2359" t="s">
        <v>121</v>
      </c>
      <c r="AW2359" t="s">
        <v>60</v>
      </c>
      <c r="AX2359" t="s">
        <v>68</v>
      </c>
      <c r="AY2359" t="s">
        <v>69</v>
      </c>
      <c r="AZ2359" t="b">
        <v>1</v>
      </c>
    </row>
    <row r="2360" spans="1:52" x14ac:dyDescent="0.3">
      <c r="A2360" t="s">
        <v>52</v>
      </c>
      <c r="B2360" t="s">
        <v>53</v>
      </c>
      <c r="C2360" t="s">
        <v>54</v>
      </c>
      <c r="D2360" t="s">
        <v>55</v>
      </c>
      <c r="E2360" t="s">
        <v>2155</v>
      </c>
      <c r="F2360" t="s">
        <v>190</v>
      </c>
      <c r="G2360" t="s">
        <v>212</v>
      </c>
      <c r="H2360" t="s">
        <v>213</v>
      </c>
      <c r="I2360" t="s">
        <v>213</v>
      </c>
      <c r="J2360" t="s">
        <v>60</v>
      </c>
      <c r="K2360" t="s">
        <v>214</v>
      </c>
      <c r="L2360" t="s">
        <v>62</v>
      </c>
      <c r="M2360" t="s">
        <v>214</v>
      </c>
      <c r="N2360" t="s">
        <v>215</v>
      </c>
      <c r="O2360" t="s">
        <v>216</v>
      </c>
      <c r="P2360">
        <v>-20.158149000000002</v>
      </c>
      <c r="Q2360">
        <v>-44.872593000000002</v>
      </c>
      <c r="R2360" s="2" t="str">
        <f>HYPERLINK("https://www.google.com/maps?q=-20.1581490,-44.8725930","Abrir no Google Maps")</f>
        <v>Abrir no Google Maps</v>
      </c>
      <c r="S2360">
        <v>4</v>
      </c>
      <c r="T2360">
        <v>0</v>
      </c>
      <c r="U2360">
        <v>3</v>
      </c>
      <c r="V2360">
        <v>0.4005653897587011</v>
      </c>
      <c r="W2360">
        <v>1</v>
      </c>
      <c r="X2360">
        <v>0.4005653897587011</v>
      </c>
      <c r="Y2360">
        <v>531</v>
      </c>
      <c r="Z2360">
        <v>127.8805352974544</v>
      </c>
      <c r="AA2360">
        <v>198</v>
      </c>
      <c r="AB2360">
        <v>332</v>
      </c>
      <c r="AC2360">
        <v>536</v>
      </c>
      <c r="AD2360">
        <v>29.96</v>
      </c>
      <c r="AE2360">
        <v>542</v>
      </c>
      <c r="AF2360">
        <v>29</v>
      </c>
      <c r="AG2360">
        <v>174</v>
      </c>
      <c r="AH2360">
        <v>129</v>
      </c>
      <c r="AI2360">
        <v>5.35</v>
      </c>
      <c r="AJ2360">
        <v>32.1</v>
      </c>
      <c r="AK2360">
        <v>23.8</v>
      </c>
      <c r="AL2360">
        <v>-20.158114249999951</v>
      </c>
      <c r="AM2360">
        <v>-44.872583123264782</v>
      </c>
      <c r="AN2360">
        <v>-20.158114249999951</v>
      </c>
      <c r="AO2360">
        <v>-44.872583123264782</v>
      </c>
      <c r="AP2360">
        <v>-20.158149000000002</v>
      </c>
      <c r="AQ2360">
        <v>-44.872593000000002</v>
      </c>
      <c r="AR2360">
        <v>4.0036956087599238</v>
      </c>
      <c r="AS2360" t="s">
        <v>65</v>
      </c>
      <c r="AT2360">
        <v>1</v>
      </c>
      <c r="AU2360" t="s">
        <v>217</v>
      </c>
      <c r="AV2360" t="s">
        <v>218</v>
      </c>
      <c r="AW2360" t="s">
        <v>60</v>
      </c>
      <c r="AX2360" t="s">
        <v>68</v>
      </c>
      <c r="AY2360" t="s">
        <v>69</v>
      </c>
      <c r="AZ2360" t="b">
        <v>1</v>
      </c>
    </row>
    <row r="2361" spans="1:52" x14ac:dyDescent="0.3">
      <c r="A2361" t="s">
        <v>52</v>
      </c>
      <c r="B2361" t="s">
        <v>53</v>
      </c>
      <c r="C2361" t="s">
        <v>54</v>
      </c>
      <c r="D2361" t="s">
        <v>55</v>
      </c>
      <c r="E2361" t="s">
        <v>2155</v>
      </c>
      <c r="F2361" t="s">
        <v>190</v>
      </c>
      <c r="G2361" t="s">
        <v>219</v>
      </c>
      <c r="H2361" t="s">
        <v>220</v>
      </c>
      <c r="I2361" t="s">
        <v>220</v>
      </c>
      <c r="J2361" t="s">
        <v>60</v>
      </c>
      <c r="K2361" t="s">
        <v>214</v>
      </c>
      <c r="L2361" t="s">
        <v>62</v>
      </c>
      <c r="M2361" t="s">
        <v>214</v>
      </c>
      <c r="N2361" t="s">
        <v>221</v>
      </c>
      <c r="O2361" t="s">
        <v>222</v>
      </c>
      <c r="P2361">
        <v>-20.158049999999999</v>
      </c>
      <c r="Q2361">
        <v>-44.868823999999996</v>
      </c>
      <c r="R2361" s="2" t="str">
        <f>HYPERLINK("https://www.google.com/maps?q=-20.1580500,-44.8688240","Abrir no Google Maps")</f>
        <v>Abrir no Google Maps</v>
      </c>
      <c r="S2361">
        <v>4</v>
      </c>
      <c r="T2361">
        <v>400.85705002223079</v>
      </c>
      <c r="U2361">
        <v>3</v>
      </c>
      <c r="V2361">
        <v>0.4049372536269143</v>
      </c>
      <c r="W2361">
        <v>1</v>
      </c>
      <c r="X2361">
        <v>0.4049372536269143</v>
      </c>
      <c r="Y2361">
        <v>531</v>
      </c>
      <c r="Z2361">
        <v>493.98501624607121</v>
      </c>
      <c r="AA2361">
        <v>198</v>
      </c>
      <c r="AB2361">
        <v>332</v>
      </c>
      <c r="AC2361">
        <v>536</v>
      </c>
      <c r="AD2361">
        <v>29.96</v>
      </c>
      <c r="AE2361">
        <v>542</v>
      </c>
      <c r="AF2361">
        <v>29</v>
      </c>
      <c r="AG2361">
        <v>174</v>
      </c>
      <c r="AH2361">
        <v>129</v>
      </c>
      <c r="AI2361">
        <v>5.35</v>
      </c>
      <c r="AJ2361">
        <v>32.1</v>
      </c>
      <c r="AK2361">
        <v>23.8</v>
      </c>
      <c r="AL2361">
        <v>-20.158020649999969</v>
      </c>
      <c r="AM2361">
        <v>-44.868748475381317</v>
      </c>
      <c r="AN2361">
        <v>-20.158020649999969</v>
      </c>
      <c r="AO2361">
        <v>-44.868748475381331</v>
      </c>
      <c r="AP2361">
        <v>-20.158049999999999</v>
      </c>
      <c r="AQ2361">
        <v>-44.868823999999996</v>
      </c>
      <c r="AR2361">
        <v>8.5419571471718818</v>
      </c>
      <c r="AS2361" t="s">
        <v>65</v>
      </c>
      <c r="AT2361">
        <v>1</v>
      </c>
      <c r="AU2361" t="s">
        <v>223</v>
      </c>
      <c r="AV2361" t="s">
        <v>224</v>
      </c>
      <c r="AW2361" t="s">
        <v>60</v>
      </c>
      <c r="AX2361" t="s">
        <v>68</v>
      </c>
      <c r="AY2361" t="s">
        <v>69</v>
      </c>
      <c r="AZ2361" t="b">
        <v>1</v>
      </c>
    </row>
    <row r="2362" spans="1:52" x14ac:dyDescent="0.3">
      <c r="A2362" t="s">
        <v>52</v>
      </c>
      <c r="B2362" t="s">
        <v>53</v>
      </c>
      <c r="C2362" t="s">
        <v>54</v>
      </c>
      <c r="D2362" t="s">
        <v>55</v>
      </c>
      <c r="E2362" t="s">
        <v>2155</v>
      </c>
      <c r="F2362" t="s">
        <v>190</v>
      </c>
      <c r="G2362" t="s">
        <v>225</v>
      </c>
      <c r="H2362" t="s">
        <v>226</v>
      </c>
      <c r="I2362" t="s">
        <v>226</v>
      </c>
      <c r="J2362" t="s">
        <v>60</v>
      </c>
      <c r="K2362" t="s">
        <v>227</v>
      </c>
      <c r="L2362" t="s">
        <v>62</v>
      </c>
      <c r="M2362" t="s">
        <v>227</v>
      </c>
      <c r="N2362" t="s">
        <v>228</v>
      </c>
      <c r="O2362" t="s">
        <v>229</v>
      </c>
      <c r="P2362">
        <v>-20.156986</v>
      </c>
      <c r="Q2362">
        <v>-44.857474000000003</v>
      </c>
      <c r="R2362" s="2" t="str">
        <f>HYPERLINK("https://www.google.com/maps?q=-20.1569860,-44.8574740","Abrir no Google Maps")</f>
        <v>Abrir no Google Maps</v>
      </c>
      <c r="S2362">
        <v>4</v>
      </c>
      <c r="T2362">
        <v>270.52797591847911</v>
      </c>
      <c r="U2362">
        <v>3</v>
      </c>
      <c r="V2362">
        <v>0.4094901448109412</v>
      </c>
      <c r="W2362">
        <v>1</v>
      </c>
      <c r="X2362">
        <v>0.4094901448109412</v>
      </c>
      <c r="Y2362">
        <v>518</v>
      </c>
      <c r="Z2362">
        <v>441.86584449256071</v>
      </c>
      <c r="AA2362">
        <v>198</v>
      </c>
      <c r="AB2362">
        <v>332</v>
      </c>
      <c r="AC2362">
        <v>536</v>
      </c>
      <c r="AD2362">
        <v>29.96</v>
      </c>
      <c r="AE2362">
        <v>542</v>
      </c>
      <c r="AF2362">
        <v>29</v>
      </c>
      <c r="AG2362">
        <v>174</v>
      </c>
      <c r="AH2362">
        <v>129</v>
      </c>
      <c r="AI2362">
        <v>5.35</v>
      </c>
      <c r="AJ2362">
        <v>32.1</v>
      </c>
      <c r="AK2362">
        <v>23.8</v>
      </c>
      <c r="AL2362">
        <v>-20.156957249999952</v>
      </c>
      <c r="AM2362">
        <v>-44.857396682659299</v>
      </c>
      <c r="AN2362">
        <v>-20.156957249999952</v>
      </c>
      <c r="AO2362">
        <v>-44.857396682659299</v>
      </c>
      <c r="AP2362">
        <v>-20.156986</v>
      </c>
      <c r="AQ2362">
        <v>-44.857474000000003</v>
      </c>
      <c r="AR2362">
        <v>8.6905800579264607</v>
      </c>
      <c r="AS2362" t="s">
        <v>65</v>
      </c>
      <c r="AT2362">
        <v>1</v>
      </c>
      <c r="AU2362" t="s">
        <v>230</v>
      </c>
      <c r="AV2362" t="s">
        <v>231</v>
      </c>
      <c r="AW2362" t="s">
        <v>60</v>
      </c>
      <c r="AX2362" t="s">
        <v>68</v>
      </c>
      <c r="AY2362" t="s">
        <v>69</v>
      </c>
      <c r="AZ2362" t="b">
        <v>1</v>
      </c>
    </row>
    <row r="2363" spans="1:52" x14ac:dyDescent="0.3">
      <c r="A2363" t="s">
        <v>52</v>
      </c>
      <c r="B2363" t="s">
        <v>53</v>
      </c>
      <c r="C2363" t="s">
        <v>54</v>
      </c>
      <c r="D2363" t="s">
        <v>55</v>
      </c>
      <c r="E2363" t="s">
        <v>2155</v>
      </c>
      <c r="F2363" t="s">
        <v>190</v>
      </c>
      <c r="G2363" t="s">
        <v>232</v>
      </c>
      <c r="H2363" t="s">
        <v>233</v>
      </c>
      <c r="I2363" t="s">
        <v>233</v>
      </c>
      <c r="J2363" t="s">
        <v>60</v>
      </c>
      <c r="K2363" t="s">
        <v>227</v>
      </c>
      <c r="L2363" t="s">
        <v>62</v>
      </c>
      <c r="M2363" t="s">
        <v>227</v>
      </c>
      <c r="N2363" t="s">
        <v>234</v>
      </c>
      <c r="O2363" t="s">
        <v>235</v>
      </c>
      <c r="P2363">
        <v>-20.158666</v>
      </c>
      <c r="Q2363">
        <v>-44.861398999999999</v>
      </c>
      <c r="R2363" s="2" t="str">
        <f>HYPERLINK("https://www.google.com/maps?q=-20.1586660,-44.8613990","Abrir no Google Maps")</f>
        <v>Abrir no Google Maps</v>
      </c>
      <c r="S2363">
        <v>4</v>
      </c>
      <c r="T2363">
        <v>330.01505397941582</v>
      </c>
      <c r="U2363">
        <v>3</v>
      </c>
      <c r="V2363">
        <v>0.41507699918269031</v>
      </c>
      <c r="W2363">
        <v>1</v>
      </c>
      <c r="X2363">
        <v>0.41507699918269031</v>
      </c>
      <c r="Y2363">
        <v>518</v>
      </c>
      <c r="Z2363">
        <v>251.8092920281106</v>
      </c>
      <c r="AA2363">
        <v>198</v>
      </c>
      <c r="AB2363">
        <v>332</v>
      </c>
      <c r="AC2363">
        <v>536</v>
      </c>
      <c r="AD2363">
        <v>29.96</v>
      </c>
      <c r="AE2363">
        <v>542</v>
      </c>
      <c r="AF2363">
        <v>29</v>
      </c>
      <c r="AG2363">
        <v>174</v>
      </c>
      <c r="AH2363">
        <v>129</v>
      </c>
      <c r="AI2363">
        <v>5.35</v>
      </c>
      <c r="AJ2363">
        <v>32.1</v>
      </c>
      <c r="AK2363">
        <v>23.8</v>
      </c>
      <c r="AL2363">
        <v>-20.158631449999969</v>
      </c>
      <c r="AM2363">
        <v>-44.861424574758061</v>
      </c>
      <c r="AN2363">
        <v>-20.158631449999969</v>
      </c>
      <c r="AO2363">
        <v>-44.861424574758061</v>
      </c>
      <c r="AP2363">
        <v>-20.158666</v>
      </c>
      <c r="AQ2363">
        <v>-44.861398999999999</v>
      </c>
      <c r="AR2363">
        <v>4.6835056709567411</v>
      </c>
      <c r="AS2363" t="s">
        <v>65</v>
      </c>
      <c r="AT2363">
        <v>1</v>
      </c>
      <c r="AU2363" t="s">
        <v>236</v>
      </c>
      <c r="AV2363" t="s">
        <v>237</v>
      </c>
      <c r="AW2363" t="s">
        <v>60</v>
      </c>
      <c r="AX2363" t="s">
        <v>68</v>
      </c>
      <c r="AY2363" t="s">
        <v>69</v>
      </c>
      <c r="AZ2363" t="b">
        <v>1</v>
      </c>
    </row>
    <row r="2364" spans="1:52" x14ac:dyDescent="0.3">
      <c r="A2364" t="s">
        <v>52</v>
      </c>
      <c r="B2364" t="s">
        <v>53</v>
      </c>
      <c r="C2364" t="s">
        <v>54</v>
      </c>
      <c r="D2364" t="s">
        <v>55</v>
      </c>
      <c r="E2364" t="s">
        <v>2155</v>
      </c>
      <c r="F2364" t="s">
        <v>190</v>
      </c>
      <c r="G2364" t="s">
        <v>243</v>
      </c>
      <c r="H2364" t="s">
        <v>244</v>
      </c>
      <c r="I2364" t="s">
        <v>244</v>
      </c>
      <c r="J2364" t="s">
        <v>60</v>
      </c>
      <c r="K2364" t="s">
        <v>214</v>
      </c>
      <c r="L2364" t="s">
        <v>62</v>
      </c>
      <c r="M2364" t="s">
        <v>214</v>
      </c>
      <c r="N2364" t="s">
        <v>245</v>
      </c>
      <c r="O2364" t="s">
        <v>246</v>
      </c>
      <c r="P2364">
        <v>-20.156296999999999</v>
      </c>
      <c r="Q2364">
        <v>-44.873035999999999</v>
      </c>
      <c r="R2364" s="2" t="str">
        <f>HYPERLINK("https://www.google.com/maps?q=-20.1562970,-44.8730360","Abrir no Google Maps")</f>
        <v>Abrir no Google Maps</v>
      </c>
      <c r="S2364">
        <v>4</v>
      </c>
      <c r="T2364">
        <v>198.04479306725889</v>
      </c>
      <c r="U2364">
        <v>3</v>
      </c>
      <c r="V2364">
        <v>0.41023433223864259</v>
      </c>
      <c r="W2364">
        <v>1</v>
      </c>
      <c r="X2364">
        <v>0.41023433223864259</v>
      </c>
      <c r="Y2364">
        <v>305</v>
      </c>
      <c r="Z2364">
        <v>267.7765515134916</v>
      </c>
      <c r="AA2364">
        <v>198</v>
      </c>
      <c r="AB2364">
        <v>332</v>
      </c>
      <c r="AC2364">
        <v>536</v>
      </c>
      <c r="AD2364">
        <v>29.96</v>
      </c>
      <c r="AE2364">
        <v>542</v>
      </c>
      <c r="AF2364">
        <v>29</v>
      </c>
      <c r="AG2364">
        <v>174</v>
      </c>
      <c r="AH2364">
        <v>129</v>
      </c>
      <c r="AI2364">
        <v>5.35</v>
      </c>
      <c r="AJ2364">
        <v>32.1</v>
      </c>
      <c r="AK2364">
        <v>23.8</v>
      </c>
      <c r="AL2364">
        <v>-20.156361349999941</v>
      </c>
      <c r="AM2364">
        <v>-44.87296512500793</v>
      </c>
      <c r="AN2364">
        <v>-20.156361349999941</v>
      </c>
      <c r="AO2364">
        <v>-44.87296512500793</v>
      </c>
      <c r="AP2364">
        <v>-20.156296999999999</v>
      </c>
      <c r="AQ2364">
        <v>-44.873035999999999</v>
      </c>
      <c r="AR2364">
        <v>10.304009356726979</v>
      </c>
      <c r="AS2364" t="s">
        <v>65</v>
      </c>
      <c r="AT2364">
        <v>1</v>
      </c>
      <c r="AU2364" t="s">
        <v>247</v>
      </c>
      <c r="AV2364" t="s">
        <v>248</v>
      </c>
      <c r="AW2364" t="s">
        <v>60</v>
      </c>
      <c r="AX2364" t="s">
        <v>68</v>
      </c>
      <c r="AY2364" t="s">
        <v>69</v>
      </c>
      <c r="AZ2364" t="b">
        <v>1</v>
      </c>
    </row>
    <row r="2365" spans="1:52" x14ac:dyDescent="0.3">
      <c r="A2365" t="s">
        <v>52</v>
      </c>
      <c r="B2365" t="s">
        <v>53</v>
      </c>
      <c r="C2365" t="s">
        <v>54</v>
      </c>
      <c r="D2365" t="s">
        <v>55</v>
      </c>
      <c r="E2365" t="s">
        <v>2155</v>
      </c>
      <c r="F2365" t="s">
        <v>190</v>
      </c>
      <c r="G2365" t="s">
        <v>212</v>
      </c>
      <c r="H2365" t="s">
        <v>249</v>
      </c>
      <c r="I2365" t="s">
        <v>249</v>
      </c>
      <c r="J2365" t="s">
        <v>60</v>
      </c>
      <c r="K2365" t="s">
        <v>214</v>
      </c>
      <c r="L2365" t="s">
        <v>62</v>
      </c>
      <c r="M2365" t="s">
        <v>214</v>
      </c>
      <c r="N2365" t="s">
        <v>215</v>
      </c>
      <c r="O2365" t="s">
        <v>250</v>
      </c>
      <c r="P2365">
        <v>-20.153901000000001</v>
      </c>
      <c r="Q2365">
        <v>-44.873201000000002</v>
      </c>
      <c r="R2365" s="2" t="str">
        <f>HYPERLINK("https://www.google.com/maps?q=-20.1539010,-44.8732010","Abrir no Google Maps")</f>
        <v>Abrir no Google Maps</v>
      </c>
      <c r="S2365">
        <v>4</v>
      </c>
      <c r="T2365">
        <v>478.23282142593177</v>
      </c>
      <c r="U2365">
        <v>3</v>
      </c>
      <c r="V2365">
        <v>0.40893036393036392</v>
      </c>
      <c r="W2365">
        <v>1</v>
      </c>
      <c r="X2365">
        <v>0.40893036393036392</v>
      </c>
      <c r="Y2365">
        <v>305</v>
      </c>
      <c r="Z2365">
        <v>392.82025973713081</v>
      </c>
      <c r="AA2365">
        <v>198</v>
      </c>
      <c r="AB2365">
        <v>332</v>
      </c>
      <c r="AC2365">
        <v>536</v>
      </c>
      <c r="AD2365">
        <v>29.96</v>
      </c>
      <c r="AE2365">
        <v>542</v>
      </c>
      <c r="AF2365">
        <v>29</v>
      </c>
      <c r="AG2365">
        <v>174</v>
      </c>
      <c r="AH2365">
        <v>129</v>
      </c>
      <c r="AI2365">
        <v>5.35</v>
      </c>
      <c r="AJ2365">
        <v>32.1</v>
      </c>
      <c r="AK2365">
        <v>23.8</v>
      </c>
      <c r="AL2365">
        <v>-20.153814849999971</v>
      </c>
      <c r="AM2365">
        <v>-44.87304592111829</v>
      </c>
      <c r="AN2365">
        <v>-20.153814849999971</v>
      </c>
      <c r="AO2365">
        <v>-44.87304592111829</v>
      </c>
      <c r="AP2365">
        <v>-20.153901000000001</v>
      </c>
      <c r="AQ2365">
        <v>-44.873201000000002</v>
      </c>
      <c r="AR2365">
        <v>18.831316146831309</v>
      </c>
      <c r="AS2365" t="s">
        <v>65</v>
      </c>
      <c r="AT2365">
        <v>1</v>
      </c>
      <c r="AU2365" t="s">
        <v>251</v>
      </c>
      <c r="AV2365" t="s">
        <v>252</v>
      </c>
      <c r="AW2365" t="s">
        <v>60</v>
      </c>
      <c r="AX2365" t="s">
        <v>68</v>
      </c>
      <c r="AY2365" t="s">
        <v>69</v>
      </c>
      <c r="AZ2365" t="b">
        <v>1</v>
      </c>
    </row>
    <row r="2366" spans="1:52" x14ac:dyDescent="0.3">
      <c r="A2366" t="s">
        <v>52</v>
      </c>
      <c r="B2366" t="s">
        <v>53</v>
      </c>
      <c r="C2366" t="s">
        <v>54</v>
      </c>
      <c r="D2366" t="s">
        <v>55</v>
      </c>
      <c r="E2366" t="s">
        <v>2155</v>
      </c>
      <c r="F2366" t="s">
        <v>190</v>
      </c>
      <c r="G2366" t="s">
        <v>1623</v>
      </c>
      <c r="H2366" t="s">
        <v>1624</v>
      </c>
      <c r="I2366" t="s">
        <v>1624</v>
      </c>
      <c r="J2366" t="s">
        <v>60</v>
      </c>
      <c r="K2366" t="s">
        <v>281</v>
      </c>
      <c r="L2366" t="s">
        <v>62</v>
      </c>
      <c r="M2366" t="s">
        <v>281</v>
      </c>
      <c r="N2366" t="s">
        <v>1625</v>
      </c>
      <c r="O2366" t="s">
        <v>1538</v>
      </c>
      <c r="P2366">
        <v>-20.177247000000001</v>
      </c>
      <c r="Q2366">
        <v>-44.848650999999997</v>
      </c>
      <c r="R2366" s="2" t="str">
        <f>HYPERLINK("https://www.google.com/maps?q=-20.1772470,-44.8486510","Abrir no Google Maps")</f>
        <v>Abrir no Google Maps</v>
      </c>
      <c r="S2366">
        <v>4</v>
      </c>
      <c r="T2366">
        <v>1293.074917502197</v>
      </c>
      <c r="U2366">
        <v>3</v>
      </c>
      <c r="V2366">
        <v>0.39964617424943388</v>
      </c>
      <c r="W2366">
        <v>1</v>
      </c>
      <c r="X2366">
        <v>0.39964617424943388</v>
      </c>
      <c r="Y2366">
        <v>292</v>
      </c>
      <c r="Z2366">
        <v>1225.3954943545491</v>
      </c>
      <c r="AA2366">
        <v>198</v>
      </c>
      <c r="AB2366">
        <v>332</v>
      </c>
      <c r="AC2366">
        <v>536</v>
      </c>
      <c r="AD2366">
        <v>29.96</v>
      </c>
      <c r="AE2366">
        <v>542</v>
      </c>
      <c r="AF2366">
        <v>29</v>
      </c>
      <c r="AG2366">
        <v>174</v>
      </c>
      <c r="AH2366">
        <v>129</v>
      </c>
      <c r="AI2366">
        <v>5.35</v>
      </c>
      <c r="AJ2366">
        <v>32.1</v>
      </c>
      <c r="AK2366">
        <v>23.8</v>
      </c>
      <c r="AL2366">
        <v>-20.17729789999996</v>
      </c>
      <c r="AM2366">
        <v>-44.848543982702637</v>
      </c>
      <c r="AN2366">
        <v>-20.17729789999996</v>
      </c>
      <c r="AO2366">
        <v>-44.848543982702637</v>
      </c>
      <c r="AP2366">
        <v>-20.177247000000001</v>
      </c>
      <c r="AQ2366">
        <v>-44.848650999999997</v>
      </c>
      <c r="AR2366">
        <v>12.53570773213052</v>
      </c>
      <c r="AS2366" t="s">
        <v>65</v>
      </c>
      <c r="AT2366">
        <v>1</v>
      </c>
      <c r="AU2366" t="s">
        <v>1626</v>
      </c>
      <c r="AV2366" t="s">
        <v>1627</v>
      </c>
      <c r="AW2366" t="s">
        <v>60</v>
      </c>
      <c r="AX2366" t="s">
        <v>68</v>
      </c>
      <c r="AY2366" t="s">
        <v>69</v>
      </c>
      <c r="AZ2366" t="b">
        <v>1</v>
      </c>
    </row>
    <row r="2367" spans="1:52" x14ac:dyDescent="0.3">
      <c r="A2367" t="s">
        <v>52</v>
      </c>
      <c r="B2367" t="s">
        <v>53</v>
      </c>
      <c r="C2367" t="s">
        <v>54</v>
      </c>
      <c r="D2367" t="s">
        <v>55</v>
      </c>
      <c r="E2367" t="s">
        <v>2155</v>
      </c>
      <c r="F2367" t="s">
        <v>190</v>
      </c>
      <c r="G2367" t="s">
        <v>1628</v>
      </c>
      <c r="H2367" t="s">
        <v>1629</v>
      </c>
      <c r="I2367" t="s">
        <v>1629</v>
      </c>
      <c r="J2367" t="s">
        <v>60</v>
      </c>
      <c r="K2367" t="s">
        <v>136</v>
      </c>
      <c r="L2367" t="s">
        <v>62</v>
      </c>
      <c r="M2367" t="s">
        <v>136</v>
      </c>
      <c r="N2367" t="s">
        <v>1630</v>
      </c>
      <c r="O2367" t="s">
        <v>103</v>
      </c>
      <c r="P2367">
        <v>-20.169488999999999</v>
      </c>
      <c r="Q2367">
        <v>-44.848812000000002</v>
      </c>
      <c r="R2367" s="2" t="str">
        <f>HYPERLINK("https://www.google.com/maps?q=-20.1694890,-44.8488120","Abrir no Google Maps")</f>
        <v>Abrir no Google Maps</v>
      </c>
      <c r="S2367">
        <v>4</v>
      </c>
      <c r="T2367">
        <v>426.92881761579793</v>
      </c>
      <c r="U2367">
        <v>3</v>
      </c>
      <c r="V2367">
        <v>0.40932695103975358</v>
      </c>
      <c r="W2367">
        <v>1</v>
      </c>
      <c r="X2367">
        <v>0.40932695103975358</v>
      </c>
      <c r="Y2367">
        <v>292</v>
      </c>
      <c r="Z2367">
        <v>345.01829288722871</v>
      </c>
      <c r="AA2367">
        <v>198</v>
      </c>
      <c r="AB2367">
        <v>332</v>
      </c>
      <c r="AC2367">
        <v>536</v>
      </c>
      <c r="AD2367">
        <v>29.96</v>
      </c>
      <c r="AE2367">
        <v>542</v>
      </c>
      <c r="AF2367">
        <v>29</v>
      </c>
      <c r="AG2367">
        <v>174</v>
      </c>
      <c r="AH2367">
        <v>129</v>
      </c>
      <c r="AI2367">
        <v>5.35</v>
      </c>
      <c r="AJ2367">
        <v>32.1</v>
      </c>
      <c r="AK2367">
        <v>23.8</v>
      </c>
      <c r="AL2367">
        <v>-20.169293749999959</v>
      </c>
      <c r="AM2367">
        <v>-44.848899945665508</v>
      </c>
      <c r="AN2367">
        <v>-20.169293749999959</v>
      </c>
      <c r="AO2367">
        <v>-44.848899945665508</v>
      </c>
      <c r="AP2367">
        <v>-20.169488999999999</v>
      </c>
      <c r="AQ2367">
        <v>-44.848812000000002</v>
      </c>
      <c r="AR2367">
        <v>23.598134321543789</v>
      </c>
      <c r="AS2367" t="s">
        <v>65</v>
      </c>
      <c r="AT2367">
        <v>1</v>
      </c>
      <c r="AU2367" t="s">
        <v>1631</v>
      </c>
      <c r="AV2367" t="s">
        <v>1632</v>
      </c>
      <c r="AW2367" t="s">
        <v>60</v>
      </c>
      <c r="AX2367" t="s">
        <v>68</v>
      </c>
      <c r="AY2367" t="s">
        <v>69</v>
      </c>
      <c r="AZ2367" t="b">
        <v>1</v>
      </c>
    </row>
    <row r="2368" spans="1:52" x14ac:dyDescent="0.3">
      <c r="A2368" t="s">
        <v>52</v>
      </c>
      <c r="B2368" t="s">
        <v>53</v>
      </c>
      <c r="C2368" t="s">
        <v>54</v>
      </c>
      <c r="D2368" t="s">
        <v>55</v>
      </c>
      <c r="E2368" t="s">
        <v>2155</v>
      </c>
      <c r="F2368" t="s">
        <v>190</v>
      </c>
      <c r="G2368" t="s">
        <v>267</v>
      </c>
      <c r="H2368" t="s">
        <v>268</v>
      </c>
      <c r="I2368" t="s">
        <v>268</v>
      </c>
      <c r="J2368" t="s">
        <v>60</v>
      </c>
      <c r="K2368" t="s">
        <v>150</v>
      </c>
      <c r="L2368" t="s">
        <v>62</v>
      </c>
      <c r="M2368" t="s">
        <v>150</v>
      </c>
      <c r="N2368" t="s">
        <v>269</v>
      </c>
      <c r="O2368" t="s">
        <v>270</v>
      </c>
      <c r="P2368">
        <v>-20.172367999999999</v>
      </c>
      <c r="Q2368">
        <v>-44.848661</v>
      </c>
      <c r="R2368" s="2" t="str">
        <f>HYPERLINK("https://www.google.com/maps?q=-20.1723680,-44.8486610","Abrir no Google Maps")</f>
        <v>Abrir no Google Maps</v>
      </c>
      <c r="S2368">
        <v>4</v>
      </c>
      <c r="T2368">
        <v>759.75892180950234</v>
      </c>
      <c r="U2368">
        <v>3</v>
      </c>
      <c r="V2368">
        <v>0.41891204841829799</v>
      </c>
      <c r="W2368">
        <v>1</v>
      </c>
      <c r="X2368">
        <v>0.41891204841829799</v>
      </c>
      <c r="Y2368">
        <v>292</v>
      </c>
      <c r="Z2368">
        <v>735.80511761487242</v>
      </c>
      <c r="AA2368">
        <v>198</v>
      </c>
      <c r="AB2368">
        <v>332</v>
      </c>
      <c r="AC2368">
        <v>536</v>
      </c>
      <c r="AD2368">
        <v>29.96</v>
      </c>
      <c r="AE2368">
        <v>542</v>
      </c>
      <c r="AF2368">
        <v>29</v>
      </c>
      <c r="AG2368">
        <v>174</v>
      </c>
      <c r="AH2368">
        <v>129</v>
      </c>
      <c r="AI2368">
        <v>5.35</v>
      </c>
      <c r="AJ2368">
        <v>32.1</v>
      </c>
      <c r="AK2368">
        <v>23.8</v>
      </c>
      <c r="AL2368">
        <v>-20.172435999999951</v>
      </c>
      <c r="AM2368">
        <v>-44.84866233556005</v>
      </c>
      <c r="AN2368">
        <v>-20.172435999999951</v>
      </c>
      <c r="AO2368">
        <v>-44.84866233556005</v>
      </c>
      <c r="AP2368">
        <v>-20.172367999999999</v>
      </c>
      <c r="AQ2368">
        <v>-44.848661</v>
      </c>
      <c r="AR2368">
        <v>7.5710462874877198</v>
      </c>
      <c r="AS2368" t="s">
        <v>65</v>
      </c>
      <c r="AT2368">
        <v>1</v>
      </c>
      <c r="AU2368" t="s">
        <v>271</v>
      </c>
      <c r="AV2368" t="s">
        <v>272</v>
      </c>
      <c r="AW2368" t="s">
        <v>60</v>
      </c>
      <c r="AX2368" t="s">
        <v>68</v>
      </c>
      <c r="AY2368" t="s">
        <v>69</v>
      </c>
      <c r="AZ2368" t="b">
        <v>1</v>
      </c>
    </row>
    <row r="2369" spans="1:52" x14ac:dyDescent="0.3">
      <c r="A2369" t="s">
        <v>52</v>
      </c>
      <c r="B2369" t="s">
        <v>53</v>
      </c>
      <c r="C2369" t="s">
        <v>54</v>
      </c>
      <c r="D2369" t="s">
        <v>55</v>
      </c>
      <c r="E2369" t="s">
        <v>2155</v>
      </c>
      <c r="F2369" t="s">
        <v>190</v>
      </c>
      <c r="G2369" t="s">
        <v>273</v>
      </c>
      <c r="H2369" t="s">
        <v>274</v>
      </c>
      <c r="I2369" t="s">
        <v>274</v>
      </c>
      <c r="J2369" t="s">
        <v>60</v>
      </c>
      <c r="K2369" t="s">
        <v>143</v>
      </c>
      <c r="L2369" t="s">
        <v>62</v>
      </c>
      <c r="M2369" t="s">
        <v>143</v>
      </c>
      <c r="N2369" t="s">
        <v>275</v>
      </c>
      <c r="O2369" t="s">
        <v>276</v>
      </c>
      <c r="P2369">
        <v>-20.171367</v>
      </c>
      <c r="Q2369">
        <v>-44.844709999999999</v>
      </c>
      <c r="R2369" s="2" t="str">
        <f>HYPERLINK("https://www.google.com/maps?q=-20.1713670,-44.8447100","Abrir no Google Maps")</f>
        <v>Abrir no Google Maps</v>
      </c>
      <c r="S2369">
        <v>4</v>
      </c>
      <c r="T2369">
        <v>700.36715126879801</v>
      </c>
      <c r="U2369">
        <v>3</v>
      </c>
      <c r="V2369">
        <v>0.40927486155707571</v>
      </c>
      <c r="W2369">
        <v>1</v>
      </c>
      <c r="X2369">
        <v>0.40927486155707571</v>
      </c>
      <c r="Y2369">
        <v>292</v>
      </c>
      <c r="Z2369">
        <v>767.70201658334747</v>
      </c>
      <c r="AA2369">
        <v>198</v>
      </c>
      <c r="AB2369">
        <v>332</v>
      </c>
      <c r="AC2369">
        <v>536</v>
      </c>
      <c r="AD2369">
        <v>29.96</v>
      </c>
      <c r="AE2369">
        <v>542</v>
      </c>
      <c r="AF2369">
        <v>29</v>
      </c>
      <c r="AG2369">
        <v>174</v>
      </c>
      <c r="AH2369">
        <v>129</v>
      </c>
      <c r="AI2369">
        <v>5.35</v>
      </c>
      <c r="AJ2369">
        <v>32.1</v>
      </c>
      <c r="AK2369">
        <v>23.8</v>
      </c>
      <c r="AL2369">
        <v>-20.17140124999997</v>
      </c>
      <c r="AM2369">
        <v>-44.844758486699448</v>
      </c>
      <c r="AN2369">
        <v>-20.171401249999981</v>
      </c>
      <c r="AO2369">
        <v>-44.844758486699448</v>
      </c>
      <c r="AP2369">
        <v>-20.171367</v>
      </c>
      <c r="AQ2369">
        <v>-44.844709999999999</v>
      </c>
      <c r="AR2369">
        <v>6.3408204899540994</v>
      </c>
      <c r="AS2369" t="s">
        <v>65</v>
      </c>
      <c r="AT2369">
        <v>1</v>
      </c>
      <c r="AU2369" t="s">
        <v>277</v>
      </c>
      <c r="AV2369" t="s">
        <v>278</v>
      </c>
      <c r="AW2369" t="s">
        <v>60</v>
      </c>
      <c r="AX2369" t="s">
        <v>68</v>
      </c>
      <c r="AY2369" t="s">
        <v>69</v>
      </c>
      <c r="AZ2369" t="b">
        <v>1</v>
      </c>
    </row>
    <row r="2370" spans="1:52" x14ac:dyDescent="0.3">
      <c r="A2370" t="s">
        <v>52</v>
      </c>
      <c r="B2370" t="s">
        <v>53</v>
      </c>
      <c r="C2370" t="s">
        <v>54</v>
      </c>
      <c r="D2370" t="s">
        <v>55</v>
      </c>
      <c r="E2370" t="s">
        <v>2155</v>
      </c>
      <c r="F2370" t="s">
        <v>190</v>
      </c>
      <c r="G2370" t="s">
        <v>279</v>
      </c>
      <c r="H2370" t="s">
        <v>280</v>
      </c>
      <c r="I2370" t="s">
        <v>280</v>
      </c>
      <c r="J2370" t="s">
        <v>60</v>
      </c>
      <c r="K2370" t="s">
        <v>281</v>
      </c>
      <c r="L2370" t="s">
        <v>62</v>
      </c>
      <c r="M2370" t="s">
        <v>281</v>
      </c>
      <c r="N2370" t="s">
        <v>282</v>
      </c>
      <c r="O2370" t="s">
        <v>283</v>
      </c>
      <c r="P2370">
        <v>-20.175312999999999</v>
      </c>
      <c r="Q2370">
        <v>-44.848562999999999</v>
      </c>
      <c r="R2370" s="2" t="str">
        <f>HYPERLINK("https://www.google.com/maps?q=-20.1753130,-44.8485630","Abrir no Google Maps")</f>
        <v>Abrir no Google Maps</v>
      </c>
      <c r="S2370">
        <v>4</v>
      </c>
      <c r="T2370">
        <v>1076.9164078034139</v>
      </c>
      <c r="U2370">
        <v>3</v>
      </c>
      <c r="V2370">
        <v>0.40651217954397778</v>
      </c>
      <c r="W2370">
        <v>1</v>
      </c>
      <c r="X2370">
        <v>0.40651217954397778</v>
      </c>
      <c r="Y2370">
        <v>292</v>
      </c>
      <c r="Z2370">
        <v>1035.650579259463</v>
      </c>
      <c r="AA2370">
        <v>198</v>
      </c>
      <c r="AB2370">
        <v>332</v>
      </c>
      <c r="AC2370">
        <v>536</v>
      </c>
      <c r="AD2370">
        <v>29.96</v>
      </c>
      <c r="AE2370">
        <v>542</v>
      </c>
      <c r="AF2370">
        <v>29</v>
      </c>
      <c r="AG2370">
        <v>174</v>
      </c>
      <c r="AH2370">
        <v>129</v>
      </c>
      <c r="AI2370">
        <v>5.35</v>
      </c>
      <c r="AJ2370">
        <v>32.1</v>
      </c>
      <c r="AK2370">
        <v>23.8</v>
      </c>
      <c r="AL2370">
        <v>-20.175338949999961</v>
      </c>
      <c r="AM2370">
        <v>-44.848523168324952</v>
      </c>
      <c r="AN2370">
        <v>-20.175338949999961</v>
      </c>
      <c r="AO2370">
        <v>-44.848523168324952</v>
      </c>
      <c r="AP2370">
        <v>-20.175312999999999</v>
      </c>
      <c r="AQ2370">
        <v>-44.848562999999999</v>
      </c>
      <c r="AR2370">
        <v>5.0662709576519056</v>
      </c>
      <c r="AS2370" t="s">
        <v>65</v>
      </c>
      <c r="AT2370">
        <v>1</v>
      </c>
      <c r="AU2370" t="s">
        <v>284</v>
      </c>
      <c r="AV2370" t="s">
        <v>285</v>
      </c>
      <c r="AW2370" t="s">
        <v>60</v>
      </c>
      <c r="AX2370" t="s">
        <v>68</v>
      </c>
      <c r="AY2370" t="s">
        <v>69</v>
      </c>
      <c r="AZ2370" t="b">
        <v>1</v>
      </c>
    </row>
    <row r="2371" spans="1:52" x14ac:dyDescent="0.3">
      <c r="A2371" t="s">
        <v>52</v>
      </c>
      <c r="B2371" t="s">
        <v>53</v>
      </c>
      <c r="C2371" t="s">
        <v>54</v>
      </c>
      <c r="D2371" t="s">
        <v>55</v>
      </c>
      <c r="E2371" t="s">
        <v>2155</v>
      </c>
      <c r="F2371" t="s">
        <v>190</v>
      </c>
      <c r="G2371" t="s">
        <v>253</v>
      </c>
      <c r="H2371" t="s">
        <v>1633</v>
      </c>
      <c r="I2371" t="s">
        <v>1633</v>
      </c>
      <c r="J2371" t="s">
        <v>60</v>
      </c>
      <c r="K2371" t="s">
        <v>982</v>
      </c>
      <c r="L2371" t="s">
        <v>62</v>
      </c>
      <c r="M2371" t="s">
        <v>982</v>
      </c>
      <c r="N2371" t="s">
        <v>256</v>
      </c>
      <c r="O2371" t="s">
        <v>1634</v>
      </c>
      <c r="P2371">
        <v>-20.170407000000001</v>
      </c>
      <c r="Q2371">
        <v>-44.853330999999997</v>
      </c>
      <c r="R2371" s="2" t="str">
        <f>HYPERLINK("https://www.google.com/maps?q=-20.1704070,-44.8533310","Abrir no Google Maps")</f>
        <v>Abrir no Google Maps</v>
      </c>
      <c r="S2371">
        <v>4</v>
      </c>
      <c r="T2371">
        <v>801.41180076523165</v>
      </c>
      <c r="U2371">
        <v>3</v>
      </c>
      <c r="V2371">
        <v>0.41346272935779821</v>
      </c>
      <c r="W2371">
        <v>1</v>
      </c>
      <c r="X2371">
        <v>0.41346272935779821</v>
      </c>
      <c r="Y2371">
        <v>292</v>
      </c>
      <c r="Z2371">
        <v>726.46828777213966</v>
      </c>
      <c r="AA2371">
        <v>198</v>
      </c>
      <c r="AB2371">
        <v>332</v>
      </c>
      <c r="AC2371">
        <v>536</v>
      </c>
      <c r="AD2371">
        <v>29.96</v>
      </c>
      <c r="AE2371">
        <v>542</v>
      </c>
      <c r="AF2371">
        <v>29</v>
      </c>
      <c r="AG2371">
        <v>174</v>
      </c>
      <c r="AH2371">
        <v>129</v>
      </c>
      <c r="AI2371">
        <v>5.35</v>
      </c>
      <c r="AJ2371">
        <v>32.1</v>
      </c>
      <c r="AK2371">
        <v>23.8</v>
      </c>
      <c r="AL2371">
        <v>-20.170412849999959</v>
      </c>
      <c r="AM2371">
        <v>-44.853334311192633</v>
      </c>
      <c r="AN2371">
        <v>-20.170412849999959</v>
      </c>
      <c r="AO2371">
        <v>-44.853334311192633</v>
      </c>
      <c r="AP2371">
        <v>-20.170407000000001</v>
      </c>
      <c r="AQ2371">
        <v>-44.853330999999997</v>
      </c>
      <c r="AR2371">
        <v>0.73743023728700929</v>
      </c>
      <c r="AS2371" t="s">
        <v>65</v>
      </c>
      <c r="AT2371">
        <v>1</v>
      </c>
      <c r="AU2371" t="s">
        <v>1635</v>
      </c>
      <c r="AV2371" t="s">
        <v>1636</v>
      </c>
      <c r="AW2371" t="s">
        <v>60</v>
      </c>
      <c r="AX2371" t="s">
        <v>68</v>
      </c>
      <c r="AY2371" t="s">
        <v>69</v>
      </c>
      <c r="AZ2371" t="b">
        <v>1</v>
      </c>
    </row>
    <row r="2372" spans="1:52" x14ac:dyDescent="0.3">
      <c r="A2372" t="s">
        <v>52</v>
      </c>
      <c r="B2372" t="s">
        <v>53</v>
      </c>
      <c r="C2372" t="s">
        <v>54</v>
      </c>
      <c r="D2372" t="s">
        <v>55</v>
      </c>
      <c r="E2372" t="s">
        <v>2155</v>
      </c>
      <c r="F2372" t="s">
        <v>190</v>
      </c>
      <c r="G2372" t="s">
        <v>321</v>
      </c>
      <c r="H2372" t="s">
        <v>322</v>
      </c>
      <c r="I2372" t="s">
        <v>322</v>
      </c>
      <c r="J2372" t="s">
        <v>60</v>
      </c>
      <c r="K2372" t="s">
        <v>323</v>
      </c>
      <c r="L2372" t="s">
        <v>62</v>
      </c>
      <c r="M2372" t="s">
        <v>323</v>
      </c>
      <c r="N2372" t="s">
        <v>324</v>
      </c>
      <c r="O2372" t="s">
        <v>325</v>
      </c>
      <c r="P2372">
        <v>-20.151437999999999</v>
      </c>
      <c r="Q2372">
        <v>-44.855761000000001</v>
      </c>
      <c r="R2372" s="2" t="str">
        <f>HYPERLINK("https://www.google.com/maps?q=-20.1514380,-44.8557610","Abrir no Google Maps")</f>
        <v>Abrir no Google Maps</v>
      </c>
      <c r="S2372">
        <v>4</v>
      </c>
      <c r="T2372">
        <v>970.69989262042009</v>
      </c>
      <c r="U2372">
        <v>3</v>
      </c>
      <c r="V2372">
        <v>0.41146404525001162</v>
      </c>
      <c r="W2372">
        <v>1</v>
      </c>
      <c r="X2372">
        <v>0.41146404525001162</v>
      </c>
      <c r="Y2372">
        <v>264</v>
      </c>
      <c r="Z2372">
        <v>1041.0105988261671</v>
      </c>
      <c r="AA2372">
        <v>198</v>
      </c>
      <c r="AB2372">
        <v>332</v>
      </c>
      <c r="AC2372">
        <v>536</v>
      </c>
      <c r="AD2372">
        <v>29.96</v>
      </c>
      <c r="AE2372">
        <v>542</v>
      </c>
      <c r="AF2372">
        <v>29</v>
      </c>
      <c r="AG2372">
        <v>174</v>
      </c>
      <c r="AH2372">
        <v>129</v>
      </c>
      <c r="AI2372">
        <v>5.35</v>
      </c>
      <c r="AJ2372">
        <v>32.1</v>
      </c>
      <c r="AK2372">
        <v>23.8</v>
      </c>
      <c r="AL2372">
        <v>-20.15142824999996</v>
      </c>
      <c r="AM2372">
        <v>-44.854100160898767</v>
      </c>
      <c r="AN2372">
        <v>-20.15142824999996</v>
      </c>
      <c r="AO2372">
        <v>-44.854100160898767</v>
      </c>
      <c r="AP2372">
        <v>-20.151437999999999</v>
      </c>
      <c r="AQ2372">
        <v>-44.855761000000001</v>
      </c>
      <c r="AR2372">
        <v>173.57036632351381</v>
      </c>
      <c r="AS2372" t="s">
        <v>65</v>
      </c>
      <c r="AT2372">
        <v>1</v>
      </c>
      <c r="AU2372" t="s">
        <v>326</v>
      </c>
      <c r="AV2372" t="s">
        <v>327</v>
      </c>
      <c r="AW2372" t="s">
        <v>60</v>
      </c>
      <c r="AX2372" t="s">
        <v>68</v>
      </c>
      <c r="AY2372" t="s">
        <v>69</v>
      </c>
      <c r="AZ2372" t="b">
        <v>1</v>
      </c>
    </row>
    <row r="2373" spans="1:52" x14ac:dyDescent="0.3">
      <c r="A2373" t="s">
        <v>52</v>
      </c>
      <c r="B2373" t="s">
        <v>53</v>
      </c>
      <c r="C2373" t="s">
        <v>54</v>
      </c>
      <c r="D2373" t="s">
        <v>55</v>
      </c>
      <c r="E2373" t="s">
        <v>2155</v>
      </c>
      <c r="F2373" t="s">
        <v>190</v>
      </c>
      <c r="G2373" t="s">
        <v>334</v>
      </c>
      <c r="H2373" t="s">
        <v>335</v>
      </c>
      <c r="I2373" t="s">
        <v>335</v>
      </c>
      <c r="J2373" t="s">
        <v>60</v>
      </c>
      <c r="K2373" t="s">
        <v>336</v>
      </c>
      <c r="L2373" t="s">
        <v>62</v>
      </c>
      <c r="M2373" t="s">
        <v>336</v>
      </c>
      <c r="N2373" t="s">
        <v>337</v>
      </c>
      <c r="O2373" t="s">
        <v>338</v>
      </c>
      <c r="P2373">
        <v>-20.168142</v>
      </c>
      <c r="Q2373">
        <v>-44.875697000000002</v>
      </c>
      <c r="R2373" s="2" t="str">
        <f>HYPERLINK("https://www.google.com/maps?q=-20.1681420,-44.8756970","Abrir no Google Maps")</f>
        <v>Abrir no Google Maps</v>
      </c>
      <c r="S2373">
        <v>4</v>
      </c>
      <c r="T2373">
        <v>678.04878367834192</v>
      </c>
      <c r="U2373">
        <v>3</v>
      </c>
      <c r="V2373">
        <v>0.42004229722745462</v>
      </c>
      <c r="W2373">
        <v>1</v>
      </c>
      <c r="X2373">
        <v>0.42004229722745462</v>
      </c>
      <c r="Y2373">
        <v>232</v>
      </c>
      <c r="Z2373">
        <v>595.98467532792097</v>
      </c>
      <c r="AA2373">
        <v>198</v>
      </c>
      <c r="AB2373">
        <v>332</v>
      </c>
      <c r="AC2373">
        <v>536</v>
      </c>
      <c r="AD2373">
        <v>29.96</v>
      </c>
      <c r="AE2373">
        <v>542</v>
      </c>
      <c r="AF2373">
        <v>29</v>
      </c>
      <c r="AG2373">
        <v>174</v>
      </c>
      <c r="AH2373">
        <v>129</v>
      </c>
      <c r="AI2373">
        <v>5.35</v>
      </c>
      <c r="AJ2373">
        <v>32.1</v>
      </c>
      <c r="AK2373">
        <v>23.8</v>
      </c>
      <c r="AL2373">
        <v>-20.16787839999995</v>
      </c>
      <c r="AM2373">
        <v>-44.875681825945229</v>
      </c>
      <c r="AN2373">
        <v>-20.16787839999995</v>
      </c>
      <c r="AO2373">
        <v>-44.875681825945229</v>
      </c>
      <c r="AP2373">
        <v>-20.168142</v>
      </c>
      <c r="AQ2373">
        <v>-44.875697000000002</v>
      </c>
      <c r="AR2373">
        <v>29.386760063894371</v>
      </c>
      <c r="AS2373" t="s">
        <v>65</v>
      </c>
      <c r="AT2373">
        <v>1</v>
      </c>
      <c r="AU2373" t="s">
        <v>339</v>
      </c>
      <c r="AV2373" t="s">
        <v>340</v>
      </c>
      <c r="AW2373" t="s">
        <v>60</v>
      </c>
      <c r="AX2373" t="s">
        <v>68</v>
      </c>
      <c r="AY2373" t="s">
        <v>69</v>
      </c>
      <c r="AZ2373" t="b">
        <v>1</v>
      </c>
    </row>
    <row r="2374" spans="1:52" x14ac:dyDescent="0.3">
      <c r="A2374" t="s">
        <v>52</v>
      </c>
      <c r="B2374" t="s">
        <v>53</v>
      </c>
      <c r="C2374" t="s">
        <v>54</v>
      </c>
      <c r="D2374" t="s">
        <v>55</v>
      </c>
      <c r="E2374" t="s">
        <v>2155</v>
      </c>
      <c r="F2374" t="s">
        <v>190</v>
      </c>
      <c r="G2374" t="s">
        <v>2156</v>
      </c>
      <c r="H2374" t="s">
        <v>2157</v>
      </c>
      <c r="I2374" t="s">
        <v>2157</v>
      </c>
      <c r="J2374" t="s">
        <v>60</v>
      </c>
      <c r="K2374" t="s">
        <v>2158</v>
      </c>
      <c r="L2374" t="s">
        <v>62</v>
      </c>
      <c r="M2374" t="s">
        <v>2158</v>
      </c>
      <c r="N2374" t="s">
        <v>2159</v>
      </c>
      <c r="O2374" t="s">
        <v>187</v>
      </c>
      <c r="P2374">
        <v>-20.171506000000001</v>
      </c>
      <c r="Q2374">
        <v>-44.878230000000002</v>
      </c>
      <c r="R2374" s="2" t="str">
        <f>HYPERLINK("https://www.google.com/maps?q=-20.1715060,-44.8782300","Abrir no Google Maps")</f>
        <v>Abrir no Google Maps</v>
      </c>
      <c r="S2374">
        <v>4</v>
      </c>
      <c r="T2374">
        <v>307.59690837600931</v>
      </c>
      <c r="U2374">
        <v>3</v>
      </c>
      <c r="V2374">
        <v>0.47282938505148669</v>
      </c>
      <c r="W2374">
        <v>0.85</v>
      </c>
      <c r="X2374">
        <v>0.40190497729376368</v>
      </c>
      <c r="Y2374">
        <v>232</v>
      </c>
      <c r="Z2374">
        <v>301.4195311492478</v>
      </c>
      <c r="AA2374">
        <v>198</v>
      </c>
      <c r="AB2374">
        <v>332</v>
      </c>
      <c r="AC2374">
        <v>536</v>
      </c>
      <c r="AD2374">
        <v>29.96</v>
      </c>
      <c r="AE2374">
        <v>542</v>
      </c>
      <c r="AF2374">
        <v>29</v>
      </c>
      <c r="AG2374">
        <v>174</v>
      </c>
      <c r="AH2374">
        <v>129</v>
      </c>
      <c r="AI2374">
        <v>5.35</v>
      </c>
      <c r="AJ2374">
        <v>32.1</v>
      </c>
      <c r="AK2374">
        <v>23.8</v>
      </c>
      <c r="AL2374">
        <v>-20.171600449999939</v>
      </c>
      <c r="AM2374">
        <v>-44.878196468375279</v>
      </c>
      <c r="AN2374">
        <v>-20.171600449999939</v>
      </c>
      <c r="AO2374">
        <v>-44.878196468375279</v>
      </c>
      <c r="AP2374">
        <v>-20.171506000000001</v>
      </c>
      <c r="AQ2374">
        <v>-44.878230000000002</v>
      </c>
      <c r="AR2374">
        <v>11.08261676485602</v>
      </c>
      <c r="AS2374" t="s">
        <v>65</v>
      </c>
      <c r="AT2374">
        <v>1</v>
      </c>
      <c r="AU2374" t="s">
        <v>2160</v>
      </c>
      <c r="AV2374" t="s">
        <v>2161</v>
      </c>
      <c r="AW2374" t="s">
        <v>60</v>
      </c>
      <c r="AX2374" t="s">
        <v>68</v>
      </c>
      <c r="AY2374" t="s">
        <v>69</v>
      </c>
      <c r="AZ2374" t="b">
        <v>1</v>
      </c>
    </row>
    <row r="2375" spans="1:52" x14ac:dyDescent="0.3">
      <c r="A2375" t="s">
        <v>52</v>
      </c>
      <c r="B2375" t="s">
        <v>53</v>
      </c>
      <c r="C2375" t="s">
        <v>54</v>
      </c>
      <c r="D2375" t="s">
        <v>55</v>
      </c>
      <c r="E2375" t="s">
        <v>2155</v>
      </c>
      <c r="F2375" t="s">
        <v>190</v>
      </c>
      <c r="G2375" t="s">
        <v>341</v>
      </c>
      <c r="H2375" t="s">
        <v>342</v>
      </c>
      <c r="I2375" t="s">
        <v>342</v>
      </c>
      <c r="J2375" t="s">
        <v>60</v>
      </c>
      <c r="K2375" t="s">
        <v>164</v>
      </c>
      <c r="L2375" t="s">
        <v>62</v>
      </c>
      <c r="M2375" t="s">
        <v>164</v>
      </c>
      <c r="N2375" t="s">
        <v>343</v>
      </c>
      <c r="O2375" t="s">
        <v>344</v>
      </c>
      <c r="P2375">
        <v>-20.17606</v>
      </c>
      <c r="Q2375">
        <v>-44.880409999999998</v>
      </c>
      <c r="R2375" s="2" t="str">
        <f>HYPERLINK("https://www.google.com/maps?q=-20.1760600,-44.8804100","Abrir no Google Maps")</f>
        <v>Abrir no Google Maps</v>
      </c>
      <c r="S2375">
        <v>4</v>
      </c>
      <c r="T2375">
        <v>556.35468246023754</v>
      </c>
      <c r="U2375">
        <v>3</v>
      </c>
      <c r="V2375">
        <v>0.41666251810105281</v>
      </c>
      <c r="W2375">
        <v>1</v>
      </c>
      <c r="X2375">
        <v>0.41666251810105281</v>
      </c>
      <c r="Y2375">
        <v>232</v>
      </c>
      <c r="Z2375">
        <v>674.22003156100322</v>
      </c>
      <c r="AA2375">
        <v>198</v>
      </c>
      <c r="AB2375">
        <v>332</v>
      </c>
      <c r="AC2375">
        <v>536</v>
      </c>
      <c r="AD2375">
        <v>29.96</v>
      </c>
      <c r="AE2375">
        <v>542</v>
      </c>
      <c r="AF2375">
        <v>29</v>
      </c>
      <c r="AG2375">
        <v>174</v>
      </c>
      <c r="AH2375">
        <v>129</v>
      </c>
      <c r="AI2375">
        <v>5.35</v>
      </c>
      <c r="AJ2375">
        <v>32.1</v>
      </c>
      <c r="AK2375">
        <v>23.8</v>
      </c>
      <c r="AL2375">
        <v>-20.176226899999961</v>
      </c>
      <c r="AM2375">
        <v>-44.880527903427911</v>
      </c>
      <c r="AN2375">
        <v>-20.176226899999961</v>
      </c>
      <c r="AO2375">
        <v>-44.880527903427911</v>
      </c>
      <c r="AP2375">
        <v>-20.17606</v>
      </c>
      <c r="AQ2375">
        <v>-44.880409999999998</v>
      </c>
      <c r="AR2375">
        <v>22.292677247804349</v>
      </c>
      <c r="AS2375" t="s">
        <v>65</v>
      </c>
      <c r="AT2375">
        <v>1</v>
      </c>
      <c r="AU2375" t="s">
        <v>345</v>
      </c>
      <c r="AV2375" t="s">
        <v>346</v>
      </c>
      <c r="AW2375" t="s">
        <v>60</v>
      </c>
      <c r="AX2375" t="s">
        <v>68</v>
      </c>
      <c r="AY2375" t="s">
        <v>69</v>
      </c>
      <c r="AZ2375" t="b">
        <v>1</v>
      </c>
    </row>
    <row r="2376" spans="1:52" x14ac:dyDescent="0.3">
      <c r="A2376" t="s">
        <v>52</v>
      </c>
      <c r="B2376" t="s">
        <v>53</v>
      </c>
      <c r="C2376" t="s">
        <v>54</v>
      </c>
      <c r="D2376" t="s">
        <v>55</v>
      </c>
      <c r="E2376" t="s">
        <v>2155</v>
      </c>
      <c r="F2376" t="s">
        <v>190</v>
      </c>
      <c r="G2376" t="s">
        <v>360</v>
      </c>
      <c r="H2376" t="s">
        <v>361</v>
      </c>
      <c r="I2376" t="s">
        <v>361</v>
      </c>
      <c r="J2376" t="s">
        <v>60</v>
      </c>
      <c r="K2376" t="s">
        <v>362</v>
      </c>
      <c r="L2376" t="s">
        <v>62</v>
      </c>
      <c r="M2376" t="s">
        <v>362</v>
      </c>
      <c r="N2376" t="s">
        <v>363</v>
      </c>
      <c r="O2376" t="s">
        <v>235</v>
      </c>
      <c r="P2376">
        <v>-20.143716999999999</v>
      </c>
      <c r="Q2376">
        <v>-44.875278000000002</v>
      </c>
      <c r="R2376" s="2" t="str">
        <f>HYPERLINK("https://www.google.com/maps?q=-20.1437170,-44.8752780","Abrir no Google Maps")</f>
        <v>Abrir no Google Maps</v>
      </c>
      <c r="S2376">
        <v>4</v>
      </c>
      <c r="T2376">
        <v>0</v>
      </c>
      <c r="U2376">
        <v>3</v>
      </c>
      <c r="V2376">
        <v>0.41731477914740628</v>
      </c>
      <c r="W2376">
        <v>1</v>
      </c>
      <c r="X2376">
        <v>0.41731477914740628</v>
      </c>
      <c r="Y2376">
        <v>209</v>
      </c>
      <c r="Z2376">
        <v>121.8438559354383</v>
      </c>
      <c r="AA2376">
        <v>198</v>
      </c>
      <c r="AB2376">
        <v>332</v>
      </c>
      <c r="AC2376">
        <v>536</v>
      </c>
      <c r="AD2376">
        <v>29.96</v>
      </c>
      <c r="AE2376">
        <v>542</v>
      </c>
      <c r="AF2376">
        <v>29</v>
      </c>
      <c r="AG2376">
        <v>174</v>
      </c>
      <c r="AH2376">
        <v>129</v>
      </c>
      <c r="AI2376">
        <v>5.35</v>
      </c>
      <c r="AJ2376">
        <v>32.1</v>
      </c>
      <c r="AK2376">
        <v>23.8</v>
      </c>
      <c r="AL2376">
        <v>-20.143665999999961</v>
      </c>
      <c r="AM2376">
        <v>-44.875561853046079</v>
      </c>
      <c r="AN2376">
        <v>-20.143665999999961</v>
      </c>
      <c r="AO2376">
        <v>-44.875561853046079</v>
      </c>
      <c r="AP2376">
        <v>-20.143716999999999</v>
      </c>
      <c r="AQ2376">
        <v>-44.875278000000002</v>
      </c>
      <c r="AR2376">
        <v>30.20407282671313</v>
      </c>
      <c r="AS2376" t="s">
        <v>65</v>
      </c>
      <c r="AT2376">
        <v>1</v>
      </c>
      <c r="AU2376" t="s">
        <v>364</v>
      </c>
      <c r="AV2376" t="s">
        <v>365</v>
      </c>
      <c r="AW2376" t="s">
        <v>60</v>
      </c>
      <c r="AX2376" t="s">
        <v>68</v>
      </c>
      <c r="AY2376" t="s">
        <v>69</v>
      </c>
      <c r="AZ2376" t="b">
        <v>1</v>
      </c>
    </row>
    <row r="2377" spans="1:52" x14ac:dyDescent="0.3">
      <c r="A2377" t="s">
        <v>52</v>
      </c>
      <c r="B2377" t="s">
        <v>53</v>
      </c>
      <c r="C2377" t="s">
        <v>54</v>
      </c>
      <c r="D2377" t="s">
        <v>55</v>
      </c>
      <c r="E2377" t="s">
        <v>2155</v>
      </c>
      <c r="F2377" t="s">
        <v>190</v>
      </c>
      <c r="G2377" t="s">
        <v>366</v>
      </c>
      <c r="H2377" t="s">
        <v>367</v>
      </c>
      <c r="I2377" t="s">
        <v>367</v>
      </c>
      <c r="J2377" t="s">
        <v>60</v>
      </c>
      <c r="K2377" t="s">
        <v>368</v>
      </c>
      <c r="L2377" t="s">
        <v>62</v>
      </c>
      <c r="M2377" t="s">
        <v>368</v>
      </c>
      <c r="N2377" t="s">
        <v>369</v>
      </c>
      <c r="O2377" t="s">
        <v>370</v>
      </c>
      <c r="P2377">
        <v>-20.144553999999999</v>
      </c>
      <c r="Q2377">
        <v>-44.868183000000002</v>
      </c>
      <c r="R2377" s="2" t="str">
        <f>HYPERLINK("https://www.google.com/maps?q=-20.1445540,-44.8681830","Abrir no Google Maps")</f>
        <v>Abrir no Google Maps</v>
      </c>
      <c r="S2377">
        <v>4</v>
      </c>
      <c r="T2377">
        <v>783.87848835431373</v>
      </c>
      <c r="U2377">
        <v>3</v>
      </c>
      <c r="V2377">
        <v>0.40898755509463308</v>
      </c>
      <c r="W2377">
        <v>1</v>
      </c>
      <c r="X2377">
        <v>0.40898755509463308</v>
      </c>
      <c r="Y2377">
        <v>198</v>
      </c>
      <c r="Z2377">
        <v>360.68413994394842</v>
      </c>
      <c r="AA2377">
        <v>198</v>
      </c>
      <c r="AB2377">
        <v>332</v>
      </c>
      <c r="AC2377">
        <v>536</v>
      </c>
      <c r="AD2377">
        <v>29.96</v>
      </c>
      <c r="AE2377">
        <v>542</v>
      </c>
      <c r="AF2377">
        <v>29</v>
      </c>
      <c r="AG2377">
        <v>174</v>
      </c>
      <c r="AH2377">
        <v>129</v>
      </c>
      <c r="AI2377">
        <v>5.35</v>
      </c>
      <c r="AJ2377">
        <v>32.1</v>
      </c>
      <c r="AK2377">
        <v>23.8</v>
      </c>
      <c r="AL2377">
        <v>-20.144487399999949</v>
      </c>
      <c r="AM2377">
        <v>-44.868111936674481</v>
      </c>
      <c r="AN2377">
        <v>-20.144487399999939</v>
      </c>
      <c r="AO2377">
        <v>-44.868111936674481</v>
      </c>
      <c r="AP2377">
        <v>-20.144553999999999</v>
      </c>
      <c r="AQ2377">
        <v>-44.868183000000002</v>
      </c>
      <c r="AR2377">
        <v>10.49400387332288</v>
      </c>
      <c r="AS2377" t="s">
        <v>65</v>
      </c>
      <c r="AT2377">
        <v>1</v>
      </c>
      <c r="AU2377" t="s">
        <v>371</v>
      </c>
      <c r="AV2377" t="s">
        <v>372</v>
      </c>
      <c r="AW2377" t="s">
        <v>60</v>
      </c>
      <c r="AX2377" t="s">
        <v>68</v>
      </c>
      <c r="AY2377" t="s">
        <v>69</v>
      </c>
      <c r="AZ2377" t="b">
        <v>1</v>
      </c>
    </row>
    <row r="2378" spans="1:52" x14ac:dyDescent="0.3">
      <c r="A2378" t="s">
        <v>52</v>
      </c>
      <c r="B2378" t="s">
        <v>53</v>
      </c>
      <c r="C2378" t="s">
        <v>54</v>
      </c>
      <c r="D2378" t="s">
        <v>55</v>
      </c>
      <c r="E2378" t="s">
        <v>2155</v>
      </c>
      <c r="F2378" t="s">
        <v>190</v>
      </c>
      <c r="G2378" t="s">
        <v>1654</v>
      </c>
      <c r="H2378" t="s">
        <v>1655</v>
      </c>
      <c r="I2378" t="s">
        <v>1655</v>
      </c>
      <c r="J2378" t="s">
        <v>60</v>
      </c>
      <c r="K2378" t="s">
        <v>368</v>
      </c>
      <c r="L2378" t="s">
        <v>62</v>
      </c>
      <c r="M2378" t="s">
        <v>368</v>
      </c>
      <c r="N2378" t="s">
        <v>1656</v>
      </c>
      <c r="O2378" t="s">
        <v>1657</v>
      </c>
      <c r="P2378">
        <v>-20.143647999999999</v>
      </c>
      <c r="Q2378">
        <v>-44.870466</v>
      </c>
      <c r="R2378" s="2" t="str">
        <f>HYPERLINK("https://www.google.com/maps?q=-20.1436480,-44.8704660","Abrir no Google Maps")</f>
        <v>Abrir no Google Maps</v>
      </c>
      <c r="S2378">
        <v>4</v>
      </c>
      <c r="T2378">
        <v>545.81556277505979</v>
      </c>
      <c r="U2378">
        <v>3</v>
      </c>
      <c r="V2378">
        <v>0.40863849951162851</v>
      </c>
      <c r="W2378">
        <v>1</v>
      </c>
      <c r="X2378">
        <v>0.40863849951162851</v>
      </c>
      <c r="Y2378">
        <v>198</v>
      </c>
      <c r="Z2378">
        <v>258.83396188518708</v>
      </c>
      <c r="AA2378">
        <v>198</v>
      </c>
      <c r="AB2378">
        <v>332</v>
      </c>
      <c r="AC2378">
        <v>536</v>
      </c>
      <c r="AD2378">
        <v>29.96</v>
      </c>
      <c r="AE2378">
        <v>542</v>
      </c>
      <c r="AF2378">
        <v>29</v>
      </c>
      <c r="AG2378">
        <v>174</v>
      </c>
      <c r="AH2378">
        <v>129</v>
      </c>
      <c r="AI2378">
        <v>5.35</v>
      </c>
      <c r="AJ2378">
        <v>32.1</v>
      </c>
      <c r="AK2378">
        <v>23.8</v>
      </c>
      <c r="AL2378">
        <v>-20.143704099999951</v>
      </c>
      <c r="AM2378">
        <v>-44.870339403868741</v>
      </c>
      <c r="AN2378">
        <v>-20.143704099999951</v>
      </c>
      <c r="AO2378">
        <v>-44.870339403868741</v>
      </c>
      <c r="AP2378">
        <v>-20.143647999999999</v>
      </c>
      <c r="AQ2378">
        <v>-44.870466</v>
      </c>
      <c r="AR2378">
        <v>14.63048136060379</v>
      </c>
      <c r="AS2378" t="s">
        <v>65</v>
      </c>
      <c r="AT2378">
        <v>1</v>
      </c>
      <c r="AU2378" t="s">
        <v>1658</v>
      </c>
      <c r="AV2378" t="s">
        <v>1659</v>
      </c>
      <c r="AW2378" t="s">
        <v>60</v>
      </c>
      <c r="AX2378" t="s">
        <v>68</v>
      </c>
      <c r="AY2378" t="s">
        <v>69</v>
      </c>
      <c r="AZ2378" t="b">
        <v>1</v>
      </c>
    </row>
    <row r="2379" spans="1:52" x14ac:dyDescent="0.3">
      <c r="A2379" t="s">
        <v>52</v>
      </c>
      <c r="B2379" t="s">
        <v>53</v>
      </c>
      <c r="C2379" t="s">
        <v>54</v>
      </c>
      <c r="D2379" t="s">
        <v>55</v>
      </c>
      <c r="E2379" t="s">
        <v>2155</v>
      </c>
      <c r="F2379" t="s">
        <v>190</v>
      </c>
      <c r="G2379" t="s">
        <v>169</v>
      </c>
      <c r="H2379" t="s">
        <v>170</v>
      </c>
      <c r="I2379" t="s">
        <v>170</v>
      </c>
      <c r="J2379" t="s">
        <v>60</v>
      </c>
      <c r="K2379" t="s">
        <v>171</v>
      </c>
      <c r="L2379" t="s">
        <v>62</v>
      </c>
      <c r="M2379" t="s">
        <v>171</v>
      </c>
      <c r="N2379" t="s">
        <v>172</v>
      </c>
      <c r="O2379" t="s">
        <v>173</v>
      </c>
      <c r="P2379">
        <v>-20.15334</v>
      </c>
      <c r="Q2379">
        <v>-44.891691000000002</v>
      </c>
      <c r="R2379" s="2" t="str">
        <f>HYPERLINK("https://www.google.com/maps?q=-20.1533400,-44.8916910","Abrir no Google Maps")</f>
        <v>Abrir no Google Maps</v>
      </c>
      <c r="S2379">
        <v>4</v>
      </c>
      <c r="T2379">
        <v>263.82013116084107</v>
      </c>
      <c r="U2379">
        <v>3</v>
      </c>
      <c r="V2379">
        <v>0.39971347622567138</v>
      </c>
      <c r="W2379">
        <v>1</v>
      </c>
      <c r="X2379">
        <v>0.39971347622567138</v>
      </c>
      <c r="Y2379">
        <v>129</v>
      </c>
      <c r="Z2379">
        <v>72.771047355993247</v>
      </c>
      <c r="AA2379">
        <v>198</v>
      </c>
      <c r="AB2379">
        <v>332</v>
      </c>
      <c r="AC2379">
        <v>536</v>
      </c>
      <c r="AD2379">
        <v>29.96</v>
      </c>
      <c r="AE2379">
        <v>542</v>
      </c>
      <c r="AF2379">
        <v>29</v>
      </c>
      <c r="AG2379">
        <v>174</v>
      </c>
      <c r="AH2379">
        <v>129</v>
      </c>
      <c r="AI2379">
        <v>5.35</v>
      </c>
      <c r="AJ2379">
        <v>32.1</v>
      </c>
      <c r="AK2379">
        <v>23.8</v>
      </c>
      <c r="AL2379">
        <v>-20.153531799999971</v>
      </c>
      <c r="AM2379">
        <v>-44.89196779651779</v>
      </c>
      <c r="AN2379">
        <v>-20.153531799999971</v>
      </c>
      <c r="AO2379">
        <v>-44.89196779651779</v>
      </c>
      <c r="AP2379">
        <v>-20.15334</v>
      </c>
      <c r="AQ2379">
        <v>-44.891691000000002</v>
      </c>
      <c r="AR2379">
        <v>35.952871813310509</v>
      </c>
      <c r="AS2379" t="s">
        <v>65</v>
      </c>
      <c r="AT2379">
        <v>1</v>
      </c>
      <c r="AU2379" t="s">
        <v>174</v>
      </c>
      <c r="AV2379" t="s">
        <v>175</v>
      </c>
      <c r="AW2379" t="s">
        <v>60</v>
      </c>
      <c r="AX2379" t="s">
        <v>68</v>
      </c>
      <c r="AY2379" t="s">
        <v>69</v>
      </c>
      <c r="AZ2379" t="b">
        <v>1</v>
      </c>
    </row>
    <row r="2380" spans="1:52" x14ac:dyDescent="0.3">
      <c r="A2380" t="s">
        <v>52</v>
      </c>
      <c r="B2380" t="s">
        <v>53</v>
      </c>
      <c r="C2380" t="s">
        <v>54</v>
      </c>
      <c r="D2380" t="s">
        <v>55</v>
      </c>
      <c r="E2380" t="s">
        <v>2155</v>
      </c>
      <c r="F2380" t="s">
        <v>190</v>
      </c>
      <c r="G2380" t="s">
        <v>1660</v>
      </c>
      <c r="H2380" t="s">
        <v>1661</v>
      </c>
      <c r="I2380" t="s">
        <v>1661</v>
      </c>
      <c r="J2380" t="s">
        <v>60</v>
      </c>
      <c r="K2380" t="s">
        <v>164</v>
      </c>
      <c r="L2380" t="s">
        <v>62</v>
      </c>
      <c r="M2380" t="s">
        <v>164</v>
      </c>
      <c r="N2380" t="s">
        <v>1662</v>
      </c>
      <c r="O2380" t="s">
        <v>1663</v>
      </c>
      <c r="P2380">
        <v>-20.181692000000002</v>
      </c>
      <c r="Q2380">
        <v>-44.877276000000002</v>
      </c>
      <c r="R2380" s="2" t="str">
        <f>HYPERLINK("https://www.google.com/maps?q=-20.1816920,-44.8772760","Abrir no Google Maps")</f>
        <v>Abrir no Google Maps</v>
      </c>
      <c r="S2380">
        <v>4</v>
      </c>
      <c r="T2380">
        <v>630.49689192580956</v>
      </c>
      <c r="U2380">
        <v>3</v>
      </c>
      <c r="V2380">
        <v>0.40566911863046839</v>
      </c>
      <c r="W2380">
        <v>1</v>
      </c>
      <c r="X2380">
        <v>0.40566911863046839</v>
      </c>
      <c r="Y2380">
        <v>101</v>
      </c>
      <c r="Z2380">
        <v>732.81472992851411</v>
      </c>
      <c r="AA2380">
        <v>198</v>
      </c>
      <c r="AB2380">
        <v>332</v>
      </c>
      <c r="AC2380">
        <v>536</v>
      </c>
      <c r="AD2380">
        <v>29.96</v>
      </c>
      <c r="AE2380">
        <v>542</v>
      </c>
      <c r="AF2380">
        <v>29</v>
      </c>
      <c r="AG2380">
        <v>174</v>
      </c>
      <c r="AH2380">
        <v>129</v>
      </c>
      <c r="AI2380">
        <v>5.35</v>
      </c>
      <c r="AJ2380">
        <v>32.1</v>
      </c>
      <c r="AK2380">
        <v>23.8</v>
      </c>
      <c r="AL2380">
        <v>-20.181644349999971</v>
      </c>
      <c r="AM2380">
        <v>-44.876890970787557</v>
      </c>
      <c r="AN2380">
        <v>-20.181644349999971</v>
      </c>
      <c r="AO2380">
        <v>-44.876890970787557</v>
      </c>
      <c r="AP2380">
        <v>-20.181692000000002</v>
      </c>
      <c r="AQ2380">
        <v>-44.877276000000002</v>
      </c>
      <c r="AR2380">
        <v>40.578104107908509</v>
      </c>
      <c r="AS2380" t="s">
        <v>65</v>
      </c>
      <c r="AT2380">
        <v>1</v>
      </c>
      <c r="AU2380" t="s">
        <v>1664</v>
      </c>
      <c r="AV2380" t="s">
        <v>1665</v>
      </c>
      <c r="AW2380" t="s">
        <v>60</v>
      </c>
      <c r="AX2380" t="s">
        <v>68</v>
      </c>
      <c r="AY2380" t="s">
        <v>69</v>
      </c>
      <c r="AZ2380" t="b">
        <v>1</v>
      </c>
    </row>
    <row r="2381" spans="1:52" x14ac:dyDescent="0.3">
      <c r="A2381" t="s">
        <v>52</v>
      </c>
      <c r="B2381" t="s">
        <v>53</v>
      </c>
      <c r="C2381" t="s">
        <v>54</v>
      </c>
      <c r="D2381" t="s">
        <v>55</v>
      </c>
      <c r="E2381" t="s">
        <v>2155</v>
      </c>
      <c r="F2381" t="s">
        <v>190</v>
      </c>
      <c r="G2381" t="s">
        <v>373</v>
      </c>
      <c r="H2381" t="s">
        <v>374</v>
      </c>
      <c r="I2381" t="s">
        <v>374</v>
      </c>
      <c r="J2381" t="s">
        <v>60</v>
      </c>
      <c r="K2381" t="s">
        <v>375</v>
      </c>
      <c r="L2381" t="s">
        <v>62</v>
      </c>
      <c r="M2381" t="s">
        <v>375</v>
      </c>
      <c r="N2381" t="s">
        <v>376</v>
      </c>
      <c r="O2381" t="s">
        <v>377</v>
      </c>
      <c r="P2381">
        <v>-20.178172</v>
      </c>
      <c r="Q2381">
        <v>-44.882871999999999</v>
      </c>
      <c r="R2381" s="2" t="str">
        <f>HYPERLINK("https://www.google.com/maps?q=-20.1781720,-44.8828720","Abrir no Google Maps")</f>
        <v>Abrir no Google Maps</v>
      </c>
      <c r="S2381">
        <v>4</v>
      </c>
      <c r="T2381">
        <v>817.23317190190858</v>
      </c>
      <c r="U2381">
        <v>3</v>
      </c>
      <c r="V2381">
        <v>0.40256162280701752</v>
      </c>
      <c r="W2381">
        <v>1</v>
      </c>
      <c r="X2381">
        <v>0.40256162280701752</v>
      </c>
      <c r="Y2381">
        <v>101</v>
      </c>
      <c r="Z2381">
        <v>845.03006728789421</v>
      </c>
      <c r="AA2381">
        <v>198</v>
      </c>
      <c r="AB2381">
        <v>332</v>
      </c>
      <c r="AC2381">
        <v>536</v>
      </c>
      <c r="AD2381">
        <v>29.96</v>
      </c>
      <c r="AE2381">
        <v>542</v>
      </c>
      <c r="AF2381">
        <v>29</v>
      </c>
      <c r="AG2381">
        <v>174</v>
      </c>
      <c r="AH2381">
        <v>129</v>
      </c>
      <c r="AI2381">
        <v>5.35</v>
      </c>
      <c r="AJ2381">
        <v>32.1</v>
      </c>
      <c r="AK2381">
        <v>23.8</v>
      </c>
      <c r="AL2381">
        <v>-20.178380049999959</v>
      </c>
      <c r="AM2381">
        <v>-44.883070555357122</v>
      </c>
      <c r="AN2381">
        <v>-20.178380049999959</v>
      </c>
      <c r="AO2381">
        <v>-44.883070555357122</v>
      </c>
      <c r="AP2381">
        <v>-20.178172</v>
      </c>
      <c r="AQ2381">
        <v>-44.882871999999999</v>
      </c>
      <c r="AR2381">
        <v>31.093588149250511</v>
      </c>
      <c r="AS2381" t="s">
        <v>65</v>
      </c>
      <c r="AT2381">
        <v>1</v>
      </c>
      <c r="AU2381" t="s">
        <v>378</v>
      </c>
      <c r="AV2381" t="s">
        <v>379</v>
      </c>
      <c r="AW2381" t="s">
        <v>60</v>
      </c>
      <c r="AX2381" t="s">
        <v>68</v>
      </c>
      <c r="AY2381" t="s">
        <v>69</v>
      </c>
      <c r="AZ2381" t="b">
        <v>1</v>
      </c>
    </row>
    <row r="2382" spans="1:52" x14ac:dyDescent="0.3">
      <c r="A2382" t="s">
        <v>52</v>
      </c>
      <c r="B2382" t="s">
        <v>53</v>
      </c>
      <c r="C2382" t="s">
        <v>54</v>
      </c>
      <c r="D2382" t="s">
        <v>55</v>
      </c>
      <c r="E2382" t="s">
        <v>2155</v>
      </c>
      <c r="F2382" t="s">
        <v>190</v>
      </c>
      <c r="G2382" t="s">
        <v>1671</v>
      </c>
      <c r="H2382" t="s">
        <v>1672</v>
      </c>
      <c r="I2382" t="s">
        <v>1672</v>
      </c>
      <c r="J2382" t="s">
        <v>60</v>
      </c>
      <c r="K2382" t="s">
        <v>375</v>
      </c>
      <c r="L2382" t="s">
        <v>62</v>
      </c>
      <c r="M2382" t="s">
        <v>375</v>
      </c>
      <c r="N2382" t="s">
        <v>1673</v>
      </c>
      <c r="O2382" t="s">
        <v>370</v>
      </c>
      <c r="P2382">
        <v>-20.180724000000001</v>
      </c>
      <c r="Q2382">
        <v>-44.886913999999997</v>
      </c>
      <c r="R2382" s="2" t="str">
        <f>HYPERLINK("https://www.google.com/maps?q=-20.1807240,-44.8869140","Abrir no Google Maps")</f>
        <v>Abrir no Google Maps</v>
      </c>
      <c r="S2382">
        <v>4</v>
      </c>
      <c r="T2382">
        <v>814.7424073839951</v>
      </c>
      <c r="U2382">
        <v>3</v>
      </c>
      <c r="V2382">
        <v>0.4126891826625122</v>
      </c>
      <c r="W2382">
        <v>1</v>
      </c>
      <c r="X2382">
        <v>0.4126891826625122</v>
      </c>
      <c r="Y2382">
        <v>101</v>
      </c>
      <c r="Z2382">
        <v>808.23656795472721</v>
      </c>
      <c r="AA2382">
        <v>198</v>
      </c>
      <c r="AB2382">
        <v>332</v>
      </c>
      <c r="AC2382">
        <v>536</v>
      </c>
      <c r="AD2382">
        <v>29.96</v>
      </c>
      <c r="AE2382">
        <v>542</v>
      </c>
      <c r="AF2382">
        <v>29</v>
      </c>
      <c r="AG2382">
        <v>174</v>
      </c>
      <c r="AH2382">
        <v>129</v>
      </c>
      <c r="AI2382">
        <v>5.35</v>
      </c>
      <c r="AJ2382">
        <v>32.1</v>
      </c>
      <c r="AK2382">
        <v>23.8</v>
      </c>
      <c r="AL2382">
        <v>-20.18071869999994</v>
      </c>
      <c r="AM2382">
        <v>-44.886927989725393</v>
      </c>
      <c r="AN2382">
        <v>-20.18071869999994</v>
      </c>
      <c r="AO2382">
        <v>-44.886927989725393</v>
      </c>
      <c r="AP2382">
        <v>-20.180724000000001</v>
      </c>
      <c r="AQ2382">
        <v>-44.886913999999997</v>
      </c>
      <c r="AR2382">
        <v>1.5763090046691759</v>
      </c>
      <c r="AS2382" t="s">
        <v>65</v>
      </c>
      <c r="AT2382">
        <v>1</v>
      </c>
      <c r="AU2382" t="s">
        <v>1674</v>
      </c>
      <c r="AV2382" t="s">
        <v>1642</v>
      </c>
      <c r="AW2382" t="s">
        <v>60</v>
      </c>
      <c r="AX2382" t="s">
        <v>68</v>
      </c>
      <c r="AY2382" t="s">
        <v>69</v>
      </c>
      <c r="AZ2382" t="b">
        <v>1</v>
      </c>
    </row>
    <row r="2383" spans="1:52" x14ac:dyDescent="0.3">
      <c r="A2383" t="s">
        <v>52</v>
      </c>
      <c r="B2383" t="s">
        <v>53</v>
      </c>
      <c r="C2383" t="s">
        <v>54</v>
      </c>
      <c r="D2383" t="s">
        <v>55</v>
      </c>
      <c r="E2383" t="s">
        <v>2155</v>
      </c>
      <c r="F2383" t="s">
        <v>190</v>
      </c>
      <c r="G2383" t="s">
        <v>1679</v>
      </c>
      <c r="H2383" t="s">
        <v>1680</v>
      </c>
      <c r="I2383" t="s">
        <v>1680</v>
      </c>
      <c r="J2383" t="s">
        <v>60</v>
      </c>
      <c r="K2383" t="s">
        <v>1681</v>
      </c>
      <c r="L2383" t="s">
        <v>62</v>
      </c>
      <c r="M2383" t="s">
        <v>1681</v>
      </c>
      <c r="N2383" t="s">
        <v>1682</v>
      </c>
      <c r="O2383" t="s">
        <v>315</v>
      </c>
      <c r="P2383">
        <v>-20.136075999999999</v>
      </c>
      <c r="Q2383">
        <v>-44.854410999999999</v>
      </c>
      <c r="R2383" s="2" t="str">
        <f>HYPERLINK("https://www.google.com/maps?q=-20.1360760,-44.8544110","Abrir no Google Maps")</f>
        <v>Abrir no Google Maps</v>
      </c>
      <c r="S2383">
        <v>4</v>
      </c>
      <c r="T2383">
        <v>923.14535705095284</v>
      </c>
      <c r="U2383">
        <v>3</v>
      </c>
      <c r="V2383">
        <v>0.41737003831577618</v>
      </c>
      <c r="W2383">
        <v>1</v>
      </c>
      <c r="X2383">
        <v>0.41737003831577618</v>
      </c>
      <c r="Y2383">
        <v>95</v>
      </c>
      <c r="Z2383">
        <v>512.25410822465881</v>
      </c>
      <c r="AA2383">
        <v>198</v>
      </c>
      <c r="AB2383">
        <v>332</v>
      </c>
      <c r="AC2383">
        <v>536</v>
      </c>
      <c r="AD2383">
        <v>29.96</v>
      </c>
      <c r="AE2383">
        <v>542</v>
      </c>
      <c r="AF2383">
        <v>29</v>
      </c>
      <c r="AG2383">
        <v>174</v>
      </c>
      <c r="AH2383">
        <v>129</v>
      </c>
      <c r="AI2383">
        <v>5.35</v>
      </c>
      <c r="AJ2383">
        <v>32.1</v>
      </c>
      <c r="AK2383">
        <v>23.8</v>
      </c>
      <c r="AL2383">
        <v>-20.13612434999996</v>
      </c>
      <c r="AM2383">
        <v>-44.854448179058288</v>
      </c>
      <c r="AN2383">
        <v>-20.13612434999996</v>
      </c>
      <c r="AO2383">
        <v>-44.854448179058288</v>
      </c>
      <c r="AP2383">
        <v>-20.136075999999999</v>
      </c>
      <c r="AQ2383">
        <v>-44.854410999999999</v>
      </c>
      <c r="AR2383">
        <v>6.6384360450222868</v>
      </c>
      <c r="AS2383" t="s">
        <v>65</v>
      </c>
      <c r="AT2383">
        <v>1</v>
      </c>
      <c r="AU2383" t="s">
        <v>1683</v>
      </c>
      <c r="AV2383" t="s">
        <v>1684</v>
      </c>
      <c r="AW2383" t="s">
        <v>60</v>
      </c>
      <c r="AX2383" t="s">
        <v>68</v>
      </c>
      <c r="AY2383" t="s">
        <v>69</v>
      </c>
      <c r="AZ2383" t="b">
        <v>1</v>
      </c>
    </row>
    <row r="2384" spans="1:52" x14ac:dyDescent="0.3">
      <c r="A2384" t="s">
        <v>52</v>
      </c>
      <c r="B2384" t="s">
        <v>53</v>
      </c>
      <c r="C2384" t="s">
        <v>54</v>
      </c>
      <c r="D2384" t="s">
        <v>55</v>
      </c>
      <c r="E2384" t="s">
        <v>2155</v>
      </c>
      <c r="F2384" t="s">
        <v>190</v>
      </c>
      <c r="G2384" t="s">
        <v>404</v>
      </c>
      <c r="H2384" t="s">
        <v>405</v>
      </c>
      <c r="I2384" t="s">
        <v>405</v>
      </c>
      <c r="J2384" t="s">
        <v>60</v>
      </c>
      <c r="K2384" t="s">
        <v>388</v>
      </c>
      <c r="L2384" t="s">
        <v>62</v>
      </c>
      <c r="M2384" t="s">
        <v>388</v>
      </c>
      <c r="N2384" t="s">
        <v>406</v>
      </c>
      <c r="O2384" t="s">
        <v>407</v>
      </c>
      <c r="P2384">
        <v>-20.162780999999999</v>
      </c>
      <c r="Q2384">
        <v>-44.904437999999999</v>
      </c>
      <c r="R2384" s="2" t="str">
        <f>HYPERLINK("https://www.google.com/maps?q=-20.1627810,-44.9044380","Abrir no Google Maps")</f>
        <v>Abrir no Google Maps</v>
      </c>
      <c r="S2384">
        <v>3</v>
      </c>
      <c r="T2384">
        <v>681.0891377731482</v>
      </c>
      <c r="U2384">
        <v>4</v>
      </c>
      <c r="V2384">
        <v>0.43630569556779852</v>
      </c>
      <c r="W2384">
        <v>1</v>
      </c>
      <c r="X2384">
        <v>0.43630569556779852</v>
      </c>
      <c r="Y2384">
        <v>729</v>
      </c>
      <c r="Z2384">
        <v>564.17713687218622</v>
      </c>
      <c r="AA2384">
        <v>198</v>
      </c>
      <c r="AB2384">
        <v>332</v>
      </c>
      <c r="AC2384">
        <v>536</v>
      </c>
      <c r="AD2384">
        <v>29.96</v>
      </c>
      <c r="AE2384">
        <v>542</v>
      </c>
      <c r="AF2384">
        <v>29</v>
      </c>
      <c r="AG2384">
        <v>174</v>
      </c>
      <c r="AH2384">
        <v>129</v>
      </c>
      <c r="AI2384">
        <v>5.35</v>
      </c>
      <c r="AJ2384">
        <v>32.1</v>
      </c>
      <c r="AK2384">
        <v>23.8</v>
      </c>
      <c r="AL2384">
        <v>-20.16295434999995</v>
      </c>
      <c r="AM2384">
        <v>-44.904242686956152</v>
      </c>
      <c r="AN2384">
        <v>-20.16295434999995</v>
      </c>
      <c r="AO2384">
        <v>-44.904242686956152</v>
      </c>
      <c r="AP2384">
        <v>-20.162780999999999</v>
      </c>
      <c r="AQ2384">
        <v>-44.904437999999999</v>
      </c>
      <c r="AR2384">
        <v>28.088191280523411</v>
      </c>
      <c r="AS2384" t="s">
        <v>65</v>
      </c>
      <c r="AT2384">
        <v>1</v>
      </c>
      <c r="AU2384" t="s">
        <v>408</v>
      </c>
      <c r="AV2384" t="s">
        <v>409</v>
      </c>
      <c r="AW2384" t="s">
        <v>60</v>
      </c>
      <c r="AX2384" t="s">
        <v>68</v>
      </c>
      <c r="AY2384" t="s">
        <v>69</v>
      </c>
      <c r="AZ2384" t="b">
        <v>1</v>
      </c>
    </row>
    <row r="2385" spans="1:52" x14ac:dyDescent="0.3">
      <c r="A2385" t="s">
        <v>52</v>
      </c>
      <c r="B2385" t="s">
        <v>53</v>
      </c>
      <c r="C2385" t="s">
        <v>54</v>
      </c>
      <c r="D2385" t="s">
        <v>55</v>
      </c>
      <c r="E2385" t="s">
        <v>2155</v>
      </c>
      <c r="F2385" t="s">
        <v>190</v>
      </c>
      <c r="G2385" t="s">
        <v>410</v>
      </c>
      <c r="H2385" t="s">
        <v>411</v>
      </c>
      <c r="I2385" t="s">
        <v>411</v>
      </c>
      <c r="J2385" t="s">
        <v>60</v>
      </c>
      <c r="K2385" t="s">
        <v>388</v>
      </c>
      <c r="L2385" t="s">
        <v>62</v>
      </c>
      <c r="M2385" t="s">
        <v>388</v>
      </c>
      <c r="N2385" t="s">
        <v>412</v>
      </c>
      <c r="O2385" t="s">
        <v>413</v>
      </c>
      <c r="P2385">
        <v>-20.161394000000001</v>
      </c>
      <c r="Q2385">
        <v>-44.906725999999999</v>
      </c>
      <c r="R2385" s="2" t="str">
        <f>HYPERLINK("https://www.google.com/maps?q=-20.1613940,-44.9067260","Abrir no Google Maps")</f>
        <v>Abrir no Google Maps</v>
      </c>
      <c r="S2385">
        <v>3</v>
      </c>
      <c r="T2385">
        <v>763.68157548493457</v>
      </c>
      <c r="U2385">
        <v>4</v>
      </c>
      <c r="V2385">
        <v>0.42543343025088259</v>
      </c>
      <c r="W2385">
        <v>1</v>
      </c>
      <c r="X2385">
        <v>0.42543343025088259</v>
      </c>
      <c r="Y2385">
        <v>729</v>
      </c>
      <c r="Z2385">
        <v>551.70379325948545</v>
      </c>
      <c r="AA2385">
        <v>198</v>
      </c>
      <c r="AB2385">
        <v>332</v>
      </c>
      <c r="AC2385">
        <v>536</v>
      </c>
      <c r="AD2385">
        <v>29.96</v>
      </c>
      <c r="AE2385">
        <v>542</v>
      </c>
      <c r="AF2385">
        <v>29</v>
      </c>
      <c r="AG2385">
        <v>174</v>
      </c>
      <c r="AH2385">
        <v>129</v>
      </c>
      <c r="AI2385">
        <v>5.35</v>
      </c>
      <c r="AJ2385">
        <v>32.1</v>
      </c>
      <c r="AK2385">
        <v>23.8</v>
      </c>
      <c r="AL2385">
        <v>-20.161371049999929</v>
      </c>
      <c r="AM2385">
        <v>-44.906816797310228</v>
      </c>
      <c r="AN2385">
        <v>-20.161371049999929</v>
      </c>
      <c r="AO2385">
        <v>-44.906816797310228</v>
      </c>
      <c r="AP2385">
        <v>-20.161394000000001</v>
      </c>
      <c r="AQ2385">
        <v>-44.906725999999999</v>
      </c>
      <c r="AR2385">
        <v>9.8261555662022495</v>
      </c>
      <c r="AS2385" t="s">
        <v>65</v>
      </c>
      <c r="AT2385">
        <v>1</v>
      </c>
      <c r="AU2385" t="s">
        <v>414</v>
      </c>
      <c r="AV2385" t="s">
        <v>415</v>
      </c>
      <c r="AW2385" t="s">
        <v>60</v>
      </c>
      <c r="AX2385" t="s">
        <v>68</v>
      </c>
      <c r="AY2385" t="s">
        <v>69</v>
      </c>
      <c r="AZ2385" t="b">
        <v>1</v>
      </c>
    </row>
    <row r="2386" spans="1:52" x14ac:dyDescent="0.3">
      <c r="A2386" t="s">
        <v>52</v>
      </c>
      <c r="B2386" t="s">
        <v>53</v>
      </c>
      <c r="C2386" t="s">
        <v>54</v>
      </c>
      <c r="D2386" t="s">
        <v>55</v>
      </c>
      <c r="E2386" t="s">
        <v>2155</v>
      </c>
      <c r="F2386" t="s">
        <v>190</v>
      </c>
      <c r="G2386" t="s">
        <v>422</v>
      </c>
      <c r="H2386" t="s">
        <v>423</v>
      </c>
      <c r="I2386" t="s">
        <v>423</v>
      </c>
      <c r="J2386" t="s">
        <v>60</v>
      </c>
      <c r="K2386" t="s">
        <v>424</v>
      </c>
      <c r="L2386" t="s">
        <v>62</v>
      </c>
      <c r="M2386" t="s">
        <v>424</v>
      </c>
      <c r="N2386" t="s">
        <v>425</v>
      </c>
      <c r="O2386" t="s">
        <v>426</v>
      </c>
      <c r="P2386">
        <v>-20.177748000000001</v>
      </c>
      <c r="Q2386">
        <v>-44.912475000000001</v>
      </c>
      <c r="R2386" s="2" t="str">
        <f>HYPERLINK("https://www.google.com/maps?q=-20.1777480,-44.9124750","Abrir no Google Maps")</f>
        <v>Abrir no Google Maps</v>
      </c>
      <c r="S2386">
        <v>3</v>
      </c>
      <c r="T2386">
        <v>657.07560140436533</v>
      </c>
      <c r="U2386">
        <v>4</v>
      </c>
      <c r="V2386">
        <v>0.43180751224902231</v>
      </c>
      <c r="W2386">
        <v>1</v>
      </c>
      <c r="X2386">
        <v>0.43180751224902231</v>
      </c>
      <c r="Y2386">
        <v>723</v>
      </c>
      <c r="Z2386">
        <v>796.94198000561175</v>
      </c>
      <c r="AA2386">
        <v>198</v>
      </c>
      <c r="AB2386">
        <v>332</v>
      </c>
      <c r="AC2386">
        <v>536</v>
      </c>
      <c r="AD2386">
        <v>29.96</v>
      </c>
      <c r="AE2386">
        <v>542</v>
      </c>
      <c r="AF2386">
        <v>29</v>
      </c>
      <c r="AG2386">
        <v>174</v>
      </c>
      <c r="AH2386">
        <v>129</v>
      </c>
      <c r="AI2386">
        <v>5.35</v>
      </c>
      <c r="AJ2386">
        <v>32.1</v>
      </c>
      <c r="AK2386">
        <v>23.8</v>
      </c>
      <c r="AL2386">
        <v>-20.177761749999949</v>
      </c>
      <c r="AM2386">
        <v>-44.91263311624418</v>
      </c>
      <c r="AN2386">
        <v>-20.177761749999949</v>
      </c>
      <c r="AO2386">
        <v>-44.91263311624418</v>
      </c>
      <c r="AP2386">
        <v>-20.177748000000001</v>
      </c>
      <c r="AQ2386">
        <v>-44.912475000000001</v>
      </c>
      <c r="AR2386">
        <v>16.591996803075372</v>
      </c>
      <c r="AS2386" t="s">
        <v>65</v>
      </c>
      <c r="AT2386">
        <v>1</v>
      </c>
      <c r="AU2386" t="s">
        <v>427</v>
      </c>
      <c r="AV2386" t="s">
        <v>428</v>
      </c>
      <c r="AW2386" t="s">
        <v>60</v>
      </c>
      <c r="AX2386" t="s">
        <v>68</v>
      </c>
      <c r="AY2386" t="s">
        <v>69</v>
      </c>
      <c r="AZ2386" t="b">
        <v>1</v>
      </c>
    </row>
    <row r="2387" spans="1:52" x14ac:dyDescent="0.3">
      <c r="A2387" t="s">
        <v>52</v>
      </c>
      <c r="B2387" t="s">
        <v>53</v>
      </c>
      <c r="C2387" t="s">
        <v>54</v>
      </c>
      <c r="D2387" t="s">
        <v>55</v>
      </c>
      <c r="E2387" t="s">
        <v>2155</v>
      </c>
      <c r="F2387" t="s">
        <v>190</v>
      </c>
      <c r="G2387" t="s">
        <v>454</v>
      </c>
      <c r="H2387" t="s">
        <v>455</v>
      </c>
      <c r="I2387" t="s">
        <v>455</v>
      </c>
      <c r="J2387" t="s">
        <v>60</v>
      </c>
      <c r="K2387" t="s">
        <v>456</v>
      </c>
      <c r="L2387" t="s">
        <v>62</v>
      </c>
      <c r="M2387" t="s">
        <v>456</v>
      </c>
      <c r="N2387" t="s">
        <v>102</v>
      </c>
      <c r="O2387" t="s">
        <v>457</v>
      </c>
      <c r="P2387">
        <v>-20.138373999999999</v>
      </c>
      <c r="Q2387">
        <v>-44.903756999999999</v>
      </c>
      <c r="R2387" s="2" t="str">
        <f>HYPERLINK("https://www.google.com/maps?q=-20.1383740,-44.9037570","Abrir no Google Maps")</f>
        <v>Abrir no Google Maps</v>
      </c>
      <c r="S2387">
        <v>3</v>
      </c>
      <c r="T2387">
        <v>357.59466273594461</v>
      </c>
      <c r="U2387">
        <v>4</v>
      </c>
      <c r="V2387">
        <v>0.43361783509700169</v>
      </c>
      <c r="W2387">
        <v>1</v>
      </c>
      <c r="X2387">
        <v>0.43361783509700169</v>
      </c>
      <c r="Y2387">
        <v>581</v>
      </c>
      <c r="Z2387">
        <v>406.92482694505992</v>
      </c>
      <c r="AA2387">
        <v>198</v>
      </c>
      <c r="AB2387">
        <v>332</v>
      </c>
      <c r="AC2387">
        <v>536</v>
      </c>
      <c r="AD2387">
        <v>29.96</v>
      </c>
      <c r="AE2387">
        <v>542</v>
      </c>
      <c r="AF2387">
        <v>29</v>
      </c>
      <c r="AG2387">
        <v>174</v>
      </c>
      <c r="AH2387">
        <v>129</v>
      </c>
      <c r="AI2387">
        <v>5.35</v>
      </c>
      <c r="AJ2387">
        <v>32.1</v>
      </c>
      <c r="AK2387">
        <v>23.8</v>
      </c>
      <c r="AL2387">
        <v>-20.138338199999961</v>
      </c>
      <c r="AM2387">
        <v>-44.903768618976301</v>
      </c>
      <c r="AN2387">
        <v>-20.138338199999961</v>
      </c>
      <c r="AO2387">
        <v>-44.903768618976301</v>
      </c>
      <c r="AP2387">
        <v>-20.138373999999999</v>
      </c>
      <c r="AQ2387">
        <v>-44.903756999999999</v>
      </c>
      <c r="AR2387">
        <v>4.1661625938922704</v>
      </c>
      <c r="AS2387" t="s">
        <v>65</v>
      </c>
      <c r="AT2387">
        <v>1</v>
      </c>
      <c r="AU2387" t="s">
        <v>458</v>
      </c>
      <c r="AV2387" t="s">
        <v>459</v>
      </c>
      <c r="AW2387" t="s">
        <v>60</v>
      </c>
      <c r="AX2387" t="s">
        <v>68</v>
      </c>
      <c r="AY2387" t="s">
        <v>69</v>
      </c>
      <c r="AZ2387" t="b">
        <v>1</v>
      </c>
    </row>
    <row r="2388" spans="1:52" x14ac:dyDescent="0.3">
      <c r="A2388" t="s">
        <v>52</v>
      </c>
      <c r="B2388" t="s">
        <v>53</v>
      </c>
      <c r="C2388" t="s">
        <v>54</v>
      </c>
      <c r="D2388" t="s">
        <v>55</v>
      </c>
      <c r="E2388" t="s">
        <v>2155</v>
      </c>
      <c r="F2388" t="s">
        <v>190</v>
      </c>
      <c r="G2388" t="s">
        <v>460</v>
      </c>
      <c r="H2388" t="s">
        <v>461</v>
      </c>
      <c r="I2388" t="s">
        <v>461</v>
      </c>
      <c r="J2388" t="s">
        <v>60</v>
      </c>
      <c r="K2388" t="s">
        <v>462</v>
      </c>
      <c r="L2388" t="s">
        <v>62</v>
      </c>
      <c r="M2388" t="s">
        <v>462</v>
      </c>
      <c r="N2388" t="s">
        <v>463</v>
      </c>
      <c r="O2388" t="s">
        <v>464</v>
      </c>
      <c r="P2388">
        <v>-20.137919</v>
      </c>
      <c r="Q2388">
        <v>-44.905591000000001</v>
      </c>
      <c r="R2388" s="2" t="str">
        <f>HYPERLINK("https://www.google.com/maps?q=-20.1379190,-44.9055910","Abrir no Google Maps")</f>
        <v>Abrir no Google Maps</v>
      </c>
      <c r="S2388">
        <v>3</v>
      </c>
      <c r="T2388">
        <v>262.01115919461103</v>
      </c>
      <c r="U2388">
        <v>4</v>
      </c>
      <c r="V2388">
        <v>0.434557994452626</v>
      </c>
      <c r="W2388">
        <v>1</v>
      </c>
      <c r="X2388">
        <v>0.434557994452626</v>
      </c>
      <c r="Y2388">
        <v>581</v>
      </c>
      <c r="Z2388">
        <v>318.63337303219271</v>
      </c>
      <c r="AA2388">
        <v>198</v>
      </c>
      <c r="AB2388">
        <v>332</v>
      </c>
      <c r="AC2388">
        <v>536</v>
      </c>
      <c r="AD2388">
        <v>29.96</v>
      </c>
      <c r="AE2388">
        <v>542</v>
      </c>
      <c r="AF2388">
        <v>29</v>
      </c>
      <c r="AG2388">
        <v>174</v>
      </c>
      <c r="AH2388">
        <v>129</v>
      </c>
      <c r="AI2388">
        <v>5.35</v>
      </c>
      <c r="AJ2388">
        <v>32.1</v>
      </c>
      <c r="AK2388">
        <v>23.8</v>
      </c>
      <c r="AL2388">
        <v>-20.13789079999998</v>
      </c>
      <c r="AM2388">
        <v>-44.90548593520333</v>
      </c>
      <c r="AN2388">
        <v>-20.13789079999998</v>
      </c>
      <c r="AO2388">
        <v>-44.90548593520333</v>
      </c>
      <c r="AP2388">
        <v>-20.137919</v>
      </c>
      <c r="AQ2388">
        <v>-44.905591000000001</v>
      </c>
      <c r="AR2388">
        <v>11.42072348298178</v>
      </c>
      <c r="AS2388" t="s">
        <v>65</v>
      </c>
      <c r="AT2388">
        <v>1</v>
      </c>
      <c r="AU2388" t="s">
        <v>465</v>
      </c>
      <c r="AV2388" t="s">
        <v>466</v>
      </c>
      <c r="AW2388" t="s">
        <v>60</v>
      </c>
      <c r="AX2388" t="s">
        <v>68</v>
      </c>
      <c r="AY2388" t="s">
        <v>69</v>
      </c>
      <c r="AZ2388" t="b">
        <v>1</v>
      </c>
    </row>
    <row r="2389" spans="1:52" x14ac:dyDescent="0.3">
      <c r="A2389" t="s">
        <v>52</v>
      </c>
      <c r="B2389" t="s">
        <v>53</v>
      </c>
      <c r="C2389" t="s">
        <v>54</v>
      </c>
      <c r="D2389" t="s">
        <v>55</v>
      </c>
      <c r="E2389" t="s">
        <v>2155</v>
      </c>
      <c r="F2389" t="s">
        <v>190</v>
      </c>
      <c r="G2389" t="s">
        <v>467</v>
      </c>
      <c r="H2389" t="s">
        <v>468</v>
      </c>
      <c r="I2389" t="s">
        <v>468</v>
      </c>
      <c r="J2389" t="s">
        <v>60</v>
      </c>
      <c r="K2389" t="s">
        <v>462</v>
      </c>
      <c r="L2389" t="s">
        <v>62</v>
      </c>
      <c r="M2389" t="s">
        <v>462</v>
      </c>
      <c r="N2389" t="s">
        <v>469</v>
      </c>
      <c r="O2389" t="s">
        <v>470</v>
      </c>
      <c r="P2389">
        <v>-20.138233</v>
      </c>
      <c r="Q2389">
        <v>-44.908200000000001</v>
      </c>
      <c r="R2389" s="2" t="str">
        <f>HYPERLINK("https://www.google.com/maps?q=-20.1382330,-44.9082000","Abrir no Google Maps")</f>
        <v>Abrir no Google Maps</v>
      </c>
      <c r="S2389">
        <v>3</v>
      </c>
      <c r="T2389">
        <v>0</v>
      </c>
      <c r="U2389">
        <v>4</v>
      </c>
      <c r="V2389">
        <v>0.43627537478495948</v>
      </c>
      <c r="W2389">
        <v>1</v>
      </c>
      <c r="X2389">
        <v>0.43627537478495948</v>
      </c>
      <c r="Y2389">
        <v>581</v>
      </c>
      <c r="Z2389">
        <v>153.18688302958171</v>
      </c>
      <c r="AA2389">
        <v>198</v>
      </c>
      <c r="AB2389">
        <v>332</v>
      </c>
      <c r="AC2389">
        <v>536</v>
      </c>
      <c r="AD2389">
        <v>29.96</v>
      </c>
      <c r="AE2389">
        <v>542</v>
      </c>
      <c r="AF2389">
        <v>29</v>
      </c>
      <c r="AG2389">
        <v>174</v>
      </c>
      <c r="AH2389">
        <v>129</v>
      </c>
      <c r="AI2389">
        <v>5.35</v>
      </c>
      <c r="AJ2389">
        <v>32.1</v>
      </c>
      <c r="AK2389">
        <v>23.8</v>
      </c>
      <c r="AL2389">
        <v>-20.138364899999971</v>
      </c>
      <c r="AM2389">
        <v>-44.907942114873997</v>
      </c>
      <c r="AN2389">
        <v>-20.138364899999971</v>
      </c>
      <c r="AO2389">
        <v>-44.907942114873997</v>
      </c>
      <c r="AP2389">
        <v>-20.138233</v>
      </c>
      <c r="AQ2389">
        <v>-44.908200000000001</v>
      </c>
      <c r="AR2389">
        <v>30.692690617986941</v>
      </c>
      <c r="AS2389" t="s">
        <v>65</v>
      </c>
      <c r="AT2389">
        <v>1</v>
      </c>
      <c r="AU2389" t="s">
        <v>471</v>
      </c>
      <c r="AV2389" t="s">
        <v>472</v>
      </c>
      <c r="AW2389" t="s">
        <v>60</v>
      </c>
      <c r="AX2389" t="s">
        <v>68</v>
      </c>
      <c r="AY2389" t="s">
        <v>69</v>
      </c>
      <c r="AZ2389" t="b">
        <v>1</v>
      </c>
    </row>
    <row r="2390" spans="1:52" x14ac:dyDescent="0.3">
      <c r="A2390" t="s">
        <v>52</v>
      </c>
      <c r="B2390" t="s">
        <v>53</v>
      </c>
      <c r="C2390" t="s">
        <v>54</v>
      </c>
      <c r="D2390" t="s">
        <v>55</v>
      </c>
      <c r="E2390" t="s">
        <v>2155</v>
      </c>
      <c r="F2390" t="s">
        <v>190</v>
      </c>
      <c r="G2390" t="s">
        <v>851</v>
      </c>
      <c r="H2390" t="s">
        <v>852</v>
      </c>
      <c r="I2390" t="s">
        <v>852</v>
      </c>
      <c r="J2390" t="s">
        <v>60</v>
      </c>
      <c r="K2390" t="s">
        <v>853</v>
      </c>
      <c r="L2390" t="s">
        <v>62</v>
      </c>
      <c r="M2390" t="s">
        <v>853</v>
      </c>
      <c r="N2390" t="s">
        <v>854</v>
      </c>
      <c r="O2390" t="s">
        <v>855</v>
      </c>
      <c r="P2390">
        <v>-20.127835000000001</v>
      </c>
      <c r="Q2390">
        <v>-44.909329</v>
      </c>
      <c r="R2390" s="2" t="str">
        <f>HYPERLINK("https://www.google.com/maps?q=-20.1278350,-44.9093290","Abrir no Google Maps")</f>
        <v>Abrir no Google Maps</v>
      </c>
      <c r="S2390">
        <v>3</v>
      </c>
      <c r="T2390">
        <v>1173.033690896357</v>
      </c>
      <c r="U2390">
        <v>4</v>
      </c>
      <c r="V2390">
        <v>0.425999032551787</v>
      </c>
      <c r="W2390">
        <v>1</v>
      </c>
      <c r="X2390">
        <v>0.425999032551787</v>
      </c>
      <c r="Y2390">
        <v>581</v>
      </c>
      <c r="Z2390">
        <v>1296.5011565926129</v>
      </c>
      <c r="AA2390">
        <v>198</v>
      </c>
      <c r="AB2390">
        <v>332</v>
      </c>
      <c r="AC2390">
        <v>536</v>
      </c>
      <c r="AD2390">
        <v>29.96</v>
      </c>
      <c r="AE2390">
        <v>542</v>
      </c>
      <c r="AF2390">
        <v>29</v>
      </c>
      <c r="AG2390">
        <v>174</v>
      </c>
      <c r="AH2390">
        <v>129</v>
      </c>
      <c r="AI2390">
        <v>5.35</v>
      </c>
      <c r="AJ2390">
        <v>32.1</v>
      </c>
      <c r="AK2390">
        <v>23.8</v>
      </c>
      <c r="AL2390">
        <v>-20.127852899999969</v>
      </c>
      <c r="AM2390">
        <v>-44.909386667699948</v>
      </c>
      <c r="AN2390">
        <v>-20.127852899999969</v>
      </c>
      <c r="AO2390">
        <v>-44.909386667699948</v>
      </c>
      <c r="AP2390">
        <v>-20.127835000000001</v>
      </c>
      <c r="AQ2390">
        <v>-44.909329</v>
      </c>
      <c r="AR2390">
        <v>6.3483385067119924</v>
      </c>
      <c r="AS2390" t="s">
        <v>65</v>
      </c>
      <c r="AT2390">
        <v>1</v>
      </c>
      <c r="AU2390" t="s">
        <v>856</v>
      </c>
      <c r="AV2390" t="s">
        <v>857</v>
      </c>
      <c r="AW2390" t="s">
        <v>60</v>
      </c>
      <c r="AX2390" t="s">
        <v>68</v>
      </c>
      <c r="AY2390" t="s">
        <v>69</v>
      </c>
      <c r="AZ2390" t="b">
        <v>1</v>
      </c>
    </row>
    <row r="2391" spans="1:52" x14ac:dyDescent="0.3">
      <c r="A2391" t="s">
        <v>52</v>
      </c>
      <c r="B2391" t="s">
        <v>53</v>
      </c>
      <c r="C2391" t="s">
        <v>54</v>
      </c>
      <c r="D2391" t="s">
        <v>55</v>
      </c>
      <c r="E2391" t="s">
        <v>2155</v>
      </c>
      <c r="F2391" t="s">
        <v>190</v>
      </c>
      <c r="G2391" t="s">
        <v>473</v>
      </c>
      <c r="H2391" t="s">
        <v>474</v>
      </c>
      <c r="I2391" t="s">
        <v>474</v>
      </c>
      <c r="J2391" t="s">
        <v>60</v>
      </c>
      <c r="K2391" t="s">
        <v>475</v>
      </c>
      <c r="L2391" t="s">
        <v>62</v>
      </c>
      <c r="M2391" t="s">
        <v>475</v>
      </c>
      <c r="N2391" t="s">
        <v>406</v>
      </c>
      <c r="O2391" t="s">
        <v>476</v>
      </c>
      <c r="P2391">
        <v>-20.177902</v>
      </c>
      <c r="Q2391">
        <v>-44.908504000000001</v>
      </c>
      <c r="R2391" s="2" t="str">
        <f>HYPERLINK("https://www.google.com/maps?q=-20.1779020,-44.9085040","Abrir no Google Maps")</f>
        <v>Abrir no Google Maps</v>
      </c>
      <c r="S2391">
        <v>3</v>
      </c>
      <c r="T2391">
        <v>656.92307673247149</v>
      </c>
      <c r="U2391">
        <v>4</v>
      </c>
      <c r="V2391">
        <v>0.4253671209171534</v>
      </c>
      <c r="W2391">
        <v>1</v>
      </c>
      <c r="X2391">
        <v>0.4253671209171534</v>
      </c>
      <c r="Y2391">
        <v>578</v>
      </c>
      <c r="Z2391">
        <v>635.01982153722327</v>
      </c>
      <c r="AA2391">
        <v>198</v>
      </c>
      <c r="AB2391">
        <v>332</v>
      </c>
      <c r="AC2391">
        <v>536</v>
      </c>
      <c r="AD2391">
        <v>29.96</v>
      </c>
      <c r="AE2391">
        <v>542</v>
      </c>
      <c r="AF2391">
        <v>29</v>
      </c>
      <c r="AG2391">
        <v>174</v>
      </c>
      <c r="AH2391">
        <v>129</v>
      </c>
      <c r="AI2391">
        <v>5.35</v>
      </c>
      <c r="AJ2391">
        <v>32.1</v>
      </c>
      <c r="AK2391">
        <v>23.8</v>
      </c>
      <c r="AL2391">
        <v>-20.177800399999938</v>
      </c>
      <c r="AM2391">
        <v>-44.908361879701268</v>
      </c>
      <c r="AN2391">
        <v>-20.177800399999938</v>
      </c>
      <c r="AO2391">
        <v>-44.908361879701268</v>
      </c>
      <c r="AP2391">
        <v>-20.177902</v>
      </c>
      <c r="AQ2391">
        <v>-44.908504000000001</v>
      </c>
      <c r="AR2391">
        <v>18.666463141775541</v>
      </c>
      <c r="AS2391" t="s">
        <v>65</v>
      </c>
      <c r="AT2391">
        <v>1</v>
      </c>
      <c r="AU2391" t="s">
        <v>477</v>
      </c>
      <c r="AV2391" t="s">
        <v>478</v>
      </c>
      <c r="AW2391" t="s">
        <v>60</v>
      </c>
      <c r="AX2391" t="s">
        <v>68</v>
      </c>
      <c r="AY2391" t="s">
        <v>69</v>
      </c>
      <c r="AZ2391" t="b">
        <v>1</v>
      </c>
    </row>
    <row r="2392" spans="1:52" x14ac:dyDescent="0.3">
      <c r="A2392" t="s">
        <v>52</v>
      </c>
      <c r="B2392" t="s">
        <v>53</v>
      </c>
      <c r="C2392" t="s">
        <v>54</v>
      </c>
      <c r="D2392" t="s">
        <v>55</v>
      </c>
      <c r="E2392" t="s">
        <v>2155</v>
      </c>
      <c r="F2392" t="s">
        <v>190</v>
      </c>
      <c r="G2392" t="s">
        <v>479</v>
      </c>
      <c r="H2392" t="s">
        <v>480</v>
      </c>
      <c r="I2392" t="s">
        <v>480</v>
      </c>
      <c r="J2392" t="s">
        <v>60</v>
      </c>
      <c r="K2392" t="s">
        <v>388</v>
      </c>
      <c r="L2392" t="s">
        <v>62</v>
      </c>
      <c r="M2392" t="s">
        <v>388</v>
      </c>
      <c r="N2392" t="s">
        <v>481</v>
      </c>
      <c r="O2392" t="s">
        <v>315</v>
      </c>
      <c r="P2392">
        <v>-20.166903999999999</v>
      </c>
      <c r="Q2392">
        <v>-44.903492</v>
      </c>
      <c r="R2392" s="2" t="str">
        <f>HYPERLINK("https://www.google.com/maps?q=-20.1669040,-44.9034920","Abrir no Google Maps")</f>
        <v>Abrir no Google Maps</v>
      </c>
      <c r="S2392">
        <v>3</v>
      </c>
      <c r="T2392">
        <v>517.12253532511602</v>
      </c>
      <c r="U2392">
        <v>4</v>
      </c>
      <c r="V2392">
        <v>0.43275216087648488</v>
      </c>
      <c r="W2392">
        <v>1</v>
      </c>
      <c r="X2392">
        <v>0.43275216087648488</v>
      </c>
      <c r="Y2392">
        <v>578</v>
      </c>
      <c r="Z2392">
        <v>721.79551240050432</v>
      </c>
      <c r="AA2392">
        <v>198</v>
      </c>
      <c r="AB2392">
        <v>332</v>
      </c>
      <c r="AC2392">
        <v>536</v>
      </c>
      <c r="AD2392">
        <v>29.96</v>
      </c>
      <c r="AE2392">
        <v>542</v>
      </c>
      <c r="AF2392">
        <v>29</v>
      </c>
      <c r="AG2392">
        <v>174</v>
      </c>
      <c r="AH2392">
        <v>129</v>
      </c>
      <c r="AI2392">
        <v>5.35</v>
      </c>
      <c r="AJ2392">
        <v>32.1</v>
      </c>
      <c r="AK2392">
        <v>23.8</v>
      </c>
      <c r="AL2392">
        <v>-20.166610649999971</v>
      </c>
      <c r="AM2392">
        <v>-44.903452988928308</v>
      </c>
      <c r="AN2392">
        <v>-20.166610649999971</v>
      </c>
      <c r="AO2392">
        <v>-44.903452988928308</v>
      </c>
      <c r="AP2392">
        <v>-20.166903999999999</v>
      </c>
      <c r="AQ2392">
        <v>-44.903492</v>
      </c>
      <c r="AR2392">
        <v>32.909175876856217</v>
      </c>
      <c r="AS2392" t="s">
        <v>65</v>
      </c>
      <c r="AT2392">
        <v>1</v>
      </c>
      <c r="AU2392" t="s">
        <v>482</v>
      </c>
      <c r="AV2392" t="s">
        <v>483</v>
      </c>
      <c r="AW2392" t="s">
        <v>60</v>
      </c>
      <c r="AX2392" t="s">
        <v>68</v>
      </c>
      <c r="AY2392" t="s">
        <v>69</v>
      </c>
      <c r="AZ2392" t="b">
        <v>1</v>
      </c>
    </row>
    <row r="2393" spans="1:52" x14ac:dyDescent="0.3">
      <c r="A2393" t="s">
        <v>52</v>
      </c>
      <c r="B2393" t="s">
        <v>53</v>
      </c>
      <c r="C2393" t="s">
        <v>54</v>
      </c>
      <c r="D2393" t="s">
        <v>55</v>
      </c>
      <c r="E2393" t="s">
        <v>2155</v>
      </c>
      <c r="F2393" t="s">
        <v>190</v>
      </c>
      <c r="G2393" t="s">
        <v>484</v>
      </c>
      <c r="H2393" t="s">
        <v>485</v>
      </c>
      <c r="I2393" t="s">
        <v>485</v>
      </c>
      <c r="J2393" t="s">
        <v>60</v>
      </c>
      <c r="K2393" t="s">
        <v>486</v>
      </c>
      <c r="L2393" t="s">
        <v>62</v>
      </c>
      <c r="M2393" t="s">
        <v>486</v>
      </c>
      <c r="N2393" t="s">
        <v>487</v>
      </c>
      <c r="O2393" t="s">
        <v>488</v>
      </c>
      <c r="P2393">
        <v>-20.173000999999999</v>
      </c>
      <c r="Q2393">
        <v>-44.901876999999999</v>
      </c>
      <c r="R2393" s="2" t="str">
        <f>HYPERLINK("https://www.google.com/maps?q=-20.1730010,-44.9018770","Abrir no Google Maps")</f>
        <v>Abrir no Google Maps</v>
      </c>
      <c r="S2393">
        <v>3</v>
      </c>
      <c r="T2393">
        <v>437.59695450783011</v>
      </c>
      <c r="U2393">
        <v>4</v>
      </c>
      <c r="V2393">
        <v>0.42496912729055591</v>
      </c>
      <c r="W2393">
        <v>1</v>
      </c>
      <c r="X2393">
        <v>0.42496912729055591</v>
      </c>
      <c r="Y2393">
        <v>578</v>
      </c>
      <c r="Z2393">
        <v>440.53629183653243</v>
      </c>
      <c r="AA2393">
        <v>198</v>
      </c>
      <c r="AB2393">
        <v>332</v>
      </c>
      <c r="AC2393">
        <v>536</v>
      </c>
      <c r="AD2393">
        <v>29.96</v>
      </c>
      <c r="AE2393">
        <v>542</v>
      </c>
      <c r="AF2393">
        <v>29</v>
      </c>
      <c r="AG2393">
        <v>174</v>
      </c>
      <c r="AH2393">
        <v>129</v>
      </c>
      <c r="AI2393">
        <v>5.35</v>
      </c>
      <c r="AJ2393">
        <v>32.1</v>
      </c>
      <c r="AK2393">
        <v>23.8</v>
      </c>
      <c r="AL2393">
        <v>-20.173065299999969</v>
      </c>
      <c r="AM2393">
        <v>-44.902052686008687</v>
      </c>
      <c r="AN2393">
        <v>-20.173065299999969</v>
      </c>
      <c r="AO2393">
        <v>-44.902052686008687</v>
      </c>
      <c r="AP2393">
        <v>-20.173000999999999</v>
      </c>
      <c r="AQ2393">
        <v>-44.901876999999999</v>
      </c>
      <c r="AR2393">
        <v>19.703745070768829</v>
      </c>
      <c r="AS2393" t="s">
        <v>65</v>
      </c>
      <c r="AT2393">
        <v>1</v>
      </c>
      <c r="AU2393" t="s">
        <v>489</v>
      </c>
      <c r="AV2393" t="s">
        <v>490</v>
      </c>
      <c r="AW2393" t="s">
        <v>60</v>
      </c>
      <c r="AX2393" t="s">
        <v>68</v>
      </c>
      <c r="AY2393" t="s">
        <v>69</v>
      </c>
      <c r="AZ2393" t="b">
        <v>1</v>
      </c>
    </row>
    <row r="2394" spans="1:52" x14ac:dyDescent="0.3">
      <c r="A2394" t="s">
        <v>52</v>
      </c>
      <c r="B2394" t="s">
        <v>53</v>
      </c>
      <c r="C2394" t="s">
        <v>54</v>
      </c>
      <c r="D2394" t="s">
        <v>55</v>
      </c>
      <c r="E2394" t="s">
        <v>2155</v>
      </c>
      <c r="F2394" t="s">
        <v>190</v>
      </c>
      <c r="G2394" t="s">
        <v>491</v>
      </c>
      <c r="H2394" t="s">
        <v>492</v>
      </c>
      <c r="I2394" t="s">
        <v>492</v>
      </c>
      <c r="J2394" t="s">
        <v>60</v>
      </c>
      <c r="K2394" t="s">
        <v>475</v>
      </c>
      <c r="L2394" t="s">
        <v>62</v>
      </c>
      <c r="M2394" t="s">
        <v>475</v>
      </c>
      <c r="N2394" t="s">
        <v>493</v>
      </c>
      <c r="O2394" t="s">
        <v>494</v>
      </c>
      <c r="P2394">
        <v>-20.175250999999999</v>
      </c>
      <c r="Q2394">
        <v>-44.897357</v>
      </c>
      <c r="R2394" s="2" t="str">
        <f>HYPERLINK("https://www.google.com/maps?q=-20.1752510,-44.8973570","Abrir no Google Maps")</f>
        <v>Abrir no Google Maps</v>
      </c>
      <c r="S2394">
        <v>3</v>
      </c>
      <c r="T2394">
        <v>992.29631678149951</v>
      </c>
      <c r="U2394">
        <v>4</v>
      </c>
      <c r="V2394">
        <v>0.42436985100788788</v>
      </c>
      <c r="W2394">
        <v>1</v>
      </c>
      <c r="X2394">
        <v>0.42436985100788788</v>
      </c>
      <c r="Y2394">
        <v>578</v>
      </c>
      <c r="Z2394">
        <v>1008.5871064168319</v>
      </c>
      <c r="AA2394">
        <v>198</v>
      </c>
      <c r="AB2394">
        <v>332</v>
      </c>
      <c r="AC2394">
        <v>536</v>
      </c>
      <c r="AD2394">
        <v>29.96</v>
      </c>
      <c r="AE2394">
        <v>542</v>
      </c>
      <c r="AF2394">
        <v>29</v>
      </c>
      <c r="AG2394">
        <v>174</v>
      </c>
      <c r="AH2394">
        <v>129</v>
      </c>
      <c r="AI2394">
        <v>5.35</v>
      </c>
      <c r="AJ2394">
        <v>32.1</v>
      </c>
      <c r="AK2394">
        <v>23.8</v>
      </c>
      <c r="AL2394">
        <v>-20.175290599999951</v>
      </c>
      <c r="AM2394">
        <v>-44.897271931010721</v>
      </c>
      <c r="AN2394">
        <v>-20.175290599999951</v>
      </c>
      <c r="AO2394">
        <v>-44.897271931010721</v>
      </c>
      <c r="AP2394">
        <v>-20.175250999999999</v>
      </c>
      <c r="AQ2394">
        <v>-44.897357</v>
      </c>
      <c r="AR2394">
        <v>9.921899108467926</v>
      </c>
      <c r="AS2394" t="s">
        <v>65</v>
      </c>
      <c r="AT2394">
        <v>1</v>
      </c>
      <c r="AU2394" t="s">
        <v>495</v>
      </c>
      <c r="AV2394" t="s">
        <v>496</v>
      </c>
      <c r="AW2394" t="s">
        <v>60</v>
      </c>
      <c r="AX2394" t="s">
        <v>68</v>
      </c>
      <c r="AY2394" t="s">
        <v>69</v>
      </c>
      <c r="AZ2394" t="b">
        <v>1</v>
      </c>
    </row>
    <row r="2395" spans="1:52" x14ac:dyDescent="0.3">
      <c r="A2395" t="s">
        <v>52</v>
      </c>
      <c r="B2395" t="s">
        <v>53</v>
      </c>
      <c r="C2395" t="s">
        <v>54</v>
      </c>
      <c r="D2395" t="s">
        <v>55</v>
      </c>
      <c r="E2395" t="s">
        <v>2155</v>
      </c>
      <c r="F2395" t="s">
        <v>190</v>
      </c>
      <c r="G2395" t="s">
        <v>497</v>
      </c>
      <c r="H2395" t="s">
        <v>875</v>
      </c>
      <c r="I2395" t="s">
        <v>875</v>
      </c>
      <c r="J2395" t="s">
        <v>60</v>
      </c>
      <c r="K2395" t="s">
        <v>475</v>
      </c>
      <c r="L2395" t="s">
        <v>62</v>
      </c>
      <c r="M2395" t="s">
        <v>475</v>
      </c>
      <c r="N2395" t="s">
        <v>499</v>
      </c>
      <c r="O2395" t="s">
        <v>876</v>
      </c>
      <c r="P2395">
        <v>-20.177212999999998</v>
      </c>
      <c r="Q2395">
        <v>-44.904026999999999</v>
      </c>
      <c r="R2395" s="2" t="str">
        <f>HYPERLINK("https://www.google.com/maps?q=-20.1772130,-44.9040270","Abrir no Google Maps")</f>
        <v>Abrir no Google Maps</v>
      </c>
      <c r="S2395">
        <v>3</v>
      </c>
      <c r="T2395">
        <v>706.4159561113795</v>
      </c>
      <c r="U2395">
        <v>4</v>
      </c>
      <c r="V2395">
        <v>0.42535620091740411</v>
      </c>
      <c r="W2395">
        <v>1</v>
      </c>
      <c r="X2395">
        <v>0.42535620091740411</v>
      </c>
      <c r="Y2395">
        <v>578</v>
      </c>
      <c r="Z2395">
        <v>588.7160518608398</v>
      </c>
      <c r="AA2395">
        <v>198</v>
      </c>
      <c r="AB2395">
        <v>332</v>
      </c>
      <c r="AC2395">
        <v>536</v>
      </c>
      <c r="AD2395">
        <v>29.96</v>
      </c>
      <c r="AE2395">
        <v>542</v>
      </c>
      <c r="AF2395">
        <v>29</v>
      </c>
      <c r="AG2395">
        <v>174</v>
      </c>
      <c r="AH2395">
        <v>129</v>
      </c>
      <c r="AI2395">
        <v>5.35</v>
      </c>
      <c r="AJ2395">
        <v>32.1</v>
      </c>
      <c r="AK2395">
        <v>23.8</v>
      </c>
      <c r="AL2395">
        <v>-20.177090199999949</v>
      </c>
      <c r="AM2395">
        <v>-44.904078820930181</v>
      </c>
      <c r="AN2395">
        <v>-20.177090199999949</v>
      </c>
      <c r="AO2395">
        <v>-44.904078820930181</v>
      </c>
      <c r="AP2395">
        <v>-20.177212999999998</v>
      </c>
      <c r="AQ2395">
        <v>-44.904026999999999</v>
      </c>
      <c r="AR2395">
        <v>14.7034129632295</v>
      </c>
      <c r="AS2395" t="s">
        <v>65</v>
      </c>
      <c r="AT2395">
        <v>1</v>
      </c>
      <c r="AU2395" t="s">
        <v>877</v>
      </c>
      <c r="AV2395" t="s">
        <v>878</v>
      </c>
      <c r="AW2395" t="s">
        <v>60</v>
      </c>
      <c r="AX2395" t="s">
        <v>68</v>
      </c>
      <c r="AY2395" t="s">
        <v>69</v>
      </c>
      <c r="AZ2395" t="b">
        <v>1</v>
      </c>
    </row>
    <row r="2396" spans="1:52" x14ac:dyDescent="0.3">
      <c r="A2396" t="s">
        <v>52</v>
      </c>
      <c r="B2396" t="s">
        <v>53</v>
      </c>
      <c r="C2396" t="s">
        <v>54</v>
      </c>
      <c r="D2396" t="s">
        <v>55</v>
      </c>
      <c r="E2396" t="s">
        <v>2155</v>
      </c>
      <c r="F2396" t="s">
        <v>190</v>
      </c>
      <c r="G2396" t="s">
        <v>497</v>
      </c>
      <c r="H2396" t="s">
        <v>498</v>
      </c>
      <c r="I2396" t="s">
        <v>498</v>
      </c>
      <c r="J2396" t="s">
        <v>60</v>
      </c>
      <c r="K2396" t="s">
        <v>475</v>
      </c>
      <c r="L2396" t="s">
        <v>62</v>
      </c>
      <c r="M2396" t="s">
        <v>475</v>
      </c>
      <c r="N2396" t="s">
        <v>499</v>
      </c>
      <c r="O2396" t="s">
        <v>500</v>
      </c>
      <c r="P2396">
        <v>-20.175492999999999</v>
      </c>
      <c r="Q2396">
        <v>-44.900759000000001</v>
      </c>
      <c r="R2396" s="2" t="str">
        <f>HYPERLINK("https://www.google.com/maps?q=-20.1754930,-44.9007590","Abrir no Google Maps")</f>
        <v>Abrir no Google Maps</v>
      </c>
      <c r="S2396">
        <v>3</v>
      </c>
      <c r="T2396">
        <v>753.30732354720431</v>
      </c>
      <c r="U2396">
        <v>4</v>
      </c>
      <c r="V2396">
        <v>0.42800254564606738</v>
      </c>
      <c r="W2396">
        <v>1</v>
      </c>
      <c r="X2396">
        <v>0.42800254564606738</v>
      </c>
      <c r="Y2396">
        <v>578</v>
      </c>
      <c r="Z2396">
        <v>695.28903655431702</v>
      </c>
      <c r="AA2396">
        <v>198</v>
      </c>
      <c r="AB2396">
        <v>332</v>
      </c>
      <c r="AC2396">
        <v>536</v>
      </c>
      <c r="AD2396">
        <v>29.96</v>
      </c>
      <c r="AE2396">
        <v>542</v>
      </c>
      <c r="AF2396">
        <v>29</v>
      </c>
      <c r="AG2396">
        <v>174</v>
      </c>
      <c r="AH2396">
        <v>129</v>
      </c>
      <c r="AI2396">
        <v>5.35</v>
      </c>
      <c r="AJ2396">
        <v>32.1</v>
      </c>
      <c r="AK2396">
        <v>23.8</v>
      </c>
      <c r="AL2396">
        <v>-20.175825999999969</v>
      </c>
      <c r="AM2396">
        <v>-44.900600234646973</v>
      </c>
      <c r="AN2396">
        <v>-20.175825999999969</v>
      </c>
      <c r="AO2396">
        <v>-44.900600234646973</v>
      </c>
      <c r="AP2396">
        <v>-20.175492999999999</v>
      </c>
      <c r="AQ2396">
        <v>-44.900759000000001</v>
      </c>
      <c r="AR2396">
        <v>40.612267304645073</v>
      </c>
      <c r="AS2396" t="s">
        <v>65</v>
      </c>
      <c r="AT2396">
        <v>1</v>
      </c>
      <c r="AU2396" t="s">
        <v>501</v>
      </c>
      <c r="AV2396" t="s">
        <v>502</v>
      </c>
      <c r="AW2396" t="s">
        <v>60</v>
      </c>
      <c r="AX2396" t="s">
        <v>68</v>
      </c>
      <c r="AY2396" t="s">
        <v>69</v>
      </c>
      <c r="AZ2396" t="b">
        <v>1</v>
      </c>
    </row>
    <row r="2397" spans="1:52" x14ac:dyDescent="0.3">
      <c r="A2397" t="s">
        <v>52</v>
      </c>
      <c r="B2397" t="s">
        <v>53</v>
      </c>
      <c r="C2397" t="s">
        <v>54</v>
      </c>
      <c r="D2397" t="s">
        <v>55</v>
      </c>
      <c r="E2397" t="s">
        <v>2155</v>
      </c>
      <c r="F2397" t="s">
        <v>190</v>
      </c>
      <c r="G2397" t="s">
        <v>516</v>
      </c>
      <c r="H2397" t="s">
        <v>517</v>
      </c>
      <c r="I2397" t="s">
        <v>517</v>
      </c>
      <c r="J2397" t="s">
        <v>60</v>
      </c>
      <c r="K2397" t="s">
        <v>518</v>
      </c>
      <c r="L2397" t="s">
        <v>62</v>
      </c>
      <c r="M2397" t="s">
        <v>518</v>
      </c>
      <c r="N2397" t="s">
        <v>519</v>
      </c>
      <c r="O2397" t="s">
        <v>520</v>
      </c>
      <c r="P2397">
        <v>-20.124502</v>
      </c>
      <c r="Q2397">
        <v>-44.888424000000001</v>
      </c>
      <c r="R2397" s="2" t="str">
        <f>HYPERLINK("https://www.google.com/maps?q=-20.1245020,-44.8884240","Abrir no Google Maps")</f>
        <v>Abrir no Google Maps</v>
      </c>
      <c r="S2397">
        <v>3</v>
      </c>
      <c r="T2397">
        <v>483.42298121929559</v>
      </c>
      <c r="U2397">
        <v>4</v>
      </c>
      <c r="V2397">
        <v>0.44321200780138109</v>
      </c>
      <c r="W2397">
        <v>1</v>
      </c>
      <c r="X2397">
        <v>0.44321200780138109</v>
      </c>
      <c r="Y2397">
        <v>564</v>
      </c>
      <c r="Z2397">
        <v>565.43074237076587</v>
      </c>
      <c r="AA2397">
        <v>198</v>
      </c>
      <c r="AB2397">
        <v>332</v>
      </c>
      <c r="AC2397">
        <v>536</v>
      </c>
      <c r="AD2397">
        <v>29.96</v>
      </c>
      <c r="AE2397">
        <v>542</v>
      </c>
      <c r="AF2397">
        <v>29</v>
      </c>
      <c r="AG2397">
        <v>174</v>
      </c>
      <c r="AH2397">
        <v>129</v>
      </c>
      <c r="AI2397">
        <v>5.35</v>
      </c>
      <c r="AJ2397">
        <v>32.1</v>
      </c>
      <c r="AK2397">
        <v>23.8</v>
      </c>
      <c r="AL2397">
        <v>-20.124624949999941</v>
      </c>
      <c r="AM2397">
        <v>-44.888432821777258</v>
      </c>
      <c r="AN2397">
        <v>-20.124624949999941</v>
      </c>
      <c r="AO2397">
        <v>-44.888432821777258</v>
      </c>
      <c r="AP2397">
        <v>-20.124502</v>
      </c>
      <c r="AQ2397">
        <v>-44.888424000000001</v>
      </c>
      <c r="AR2397">
        <v>13.717819333897451</v>
      </c>
      <c r="AS2397" t="s">
        <v>65</v>
      </c>
      <c r="AT2397">
        <v>1</v>
      </c>
      <c r="AU2397" t="s">
        <v>521</v>
      </c>
      <c r="AV2397" t="s">
        <v>522</v>
      </c>
      <c r="AW2397" t="s">
        <v>60</v>
      </c>
      <c r="AX2397" t="s">
        <v>68</v>
      </c>
      <c r="AY2397" t="s">
        <v>69</v>
      </c>
      <c r="AZ2397" t="b">
        <v>1</v>
      </c>
    </row>
    <row r="2398" spans="1:52" x14ac:dyDescent="0.3">
      <c r="A2398" t="s">
        <v>52</v>
      </c>
      <c r="B2398" t="s">
        <v>53</v>
      </c>
      <c r="C2398" t="s">
        <v>54</v>
      </c>
      <c r="D2398" t="s">
        <v>55</v>
      </c>
      <c r="E2398" t="s">
        <v>2155</v>
      </c>
      <c r="F2398" t="s">
        <v>190</v>
      </c>
      <c r="G2398" t="s">
        <v>879</v>
      </c>
      <c r="H2398" t="s">
        <v>880</v>
      </c>
      <c r="I2398" t="s">
        <v>880</v>
      </c>
      <c r="J2398" t="s">
        <v>60</v>
      </c>
      <c r="K2398" t="s">
        <v>505</v>
      </c>
      <c r="L2398" t="s">
        <v>62</v>
      </c>
      <c r="M2398" t="s">
        <v>505</v>
      </c>
      <c r="N2398" t="s">
        <v>881</v>
      </c>
      <c r="O2398" t="s">
        <v>882</v>
      </c>
      <c r="P2398">
        <v>-20.133452999999999</v>
      </c>
      <c r="Q2398">
        <v>-44.890571999999999</v>
      </c>
      <c r="R2398" s="2" t="str">
        <f>HYPERLINK("https://www.google.com/maps?q=-20.1334530,-44.8905720","Abrir no Google Maps")</f>
        <v>Abrir no Google Maps</v>
      </c>
      <c r="S2398">
        <v>3</v>
      </c>
      <c r="T2398">
        <v>373.51332104809921</v>
      </c>
      <c r="U2398">
        <v>4</v>
      </c>
      <c r="V2398">
        <v>0.42402348675914248</v>
      </c>
      <c r="W2398">
        <v>1</v>
      </c>
      <c r="X2398">
        <v>0.42402348675914248</v>
      </c>
      <c r="Y2398">
        <v>564</v>
      </c>
      <c r="Z2398">
        <v>422.34693311930448</v>
      </c>
      <c r="AA2398">
        <v>198</v>
      </c>
      <c r="AB2398">
        <v>332</v>
      </c>
      <c r="AC2398">
        <v>536</v>
      </c>
      <c r="AD2398">
        <v>29.96</v>
      </c>
      <c r="AE2398">
        <v>542</v>
      </c>
      <c r="AF2398">
        <v>29</v>
      </c>
      <c r="AG2398">
        <v>174</v>
      </c>
      <c r="AH2398">
        <v>129</v>
      </c>
      <c r="AI2398">
        <v>5.35</v>
      </c>
      <c r="AJ2398">
        <v>32.1</v>
      </c>
      <c r="AK2398">
        <v>23.8</v>
      </c>
      <c r="AL2398">
        <v>-20.133421549999952</v>
      </c>
      <c r="AM2398">
        <v>-44.890623456009052</v>
      </c>
      <c r="AN2398">
        <v>-20.133421549999952</v>
      </c>
      <c r="AO2398">
        <v>-44.890623456009052</v>
      </c>
      <c r="AP2398">
        <v>-20.133452999999999</v>
      </c>
      <c r="AQ2398">
        <v>-44.890571999999999</v>
      </c>
      <c r="AR2398">
        <v>6.4172139275452773</v>
      </c>
      <c r="AS2398" t="s">
        <v>65</v>
      </c>
      <c r="AT2398">
        <v>1</v>
      </c>
      <c r="AU2398" t="s">
        <v>883</v>
      </c>
      <c r="AV2398" t="s">
        <v>884</v>
      </c>
      <c r="AW2398" t="s">
        <v>60</v>
      </c>
      <c r="AX2398" t="s">
        <v>68</v>
      </c>
      <c r="AY2398" t="s">
        <v>69</v>
      </c>
      <c r="AZ2398" t="b">
        <v>1</v>
      </c>
    </row>
    <row r="2399" spans="1:52" x14ac:dyDescent="0.3">
      <c r="A2399" t="s">
        <v>52</v>
      </c>
      <c r="B2399" t="s">
        <v>53</v>
      </c>
      <c r="C2399" t="s">
        <v>54</v>
      </c>
      <c r="D2399" t="s">
        <v>55</v>
      </c>
      <c r="E2399" t="s">
        <v>2155</v>
      </c>
      <c r="F2399" t="s">
        <v>190</v>
      </c>
      <c r="G2399" t="s">
        <v>523</v>
      </c>
      <c r="H2399" t="s">
        <v>524</v>
      </c>
      <c r="I2399" t="s">
        <v>524</v>
      </c>
      <c r="J2399" t="s">
        <v>60</v>
      </c>
      <c r="K2399" t="s">
        <v>518</v>
      </c>
      <c r="L2399" t="s">
        <v>62</v>
      </c>
      <c r="M2399" t="s">
        <v>518</v>
      </c>
      <c r="N2399" t="s">
        <v>525</v>
      </c>
      <c r="O2399" t="s">
        <v>331</v>
      </c>
      <c r="P2399">
        <v>-20.126553000000001</v>
      </c>
      <c r="Q2399">
        <v>-44.888599999999997</v>
      </c>
      <c r="R2399" s="2" t="str">
        <f>HYPERLINK("https://www.google.com/maps?q=-20.1265530,-44.8886000","Abrir no Google Maps")</f>
        <v>Abrir no Google Maps</v>
      </c>
      <c r="S2399">
        <v>3</v>
      </c>
      <c r="T2399">
        <v>256.34043440603853</v>
      </c>
      <c r="U2399">
        <v>4</v>
      </c>
      <c r="V2399">
        <v>0.42357670891849258</v>
      </c>
      <c r="W2399">
        <v>1</v>
      </c>
      <c r="X2399">
        <v>0.42357670891849258</v>
      </c>
      <c r="Y2399">
        <v>564</v>
      </c>
      <c r="Z2399">
        <v>325.4404273055876</v>
      </c>
      <c r="AA2399">
        <v>198</v>
      </c>
      <c r="AB2399">
        <v>332</v>
      </c>
      <c r="AC2399">
        <v>536</v>
      </c>
      <c r="AD2399">
        <v>29.96</v>
      </c>
      <c r="AE2399">
        <v>542</v>
      </c>
      <c r="AF2399">
        <v>29</v>
      </c>
      <c r="AG2399">
        <v>174</v>
      </c>
      <c r="AH2399">
        <v>129</v>
      </c>
      <c r="AI2399">
        <v>5.35</v>
      </c>
      <c r="AJ2399">
        <v>32.1</v>
      </c>
      <c r="AK2399">
        <v>23.8</v>
      </c>
      <c r="AL2399">
        <v>-20.12669049999997</v>
      </c>
      <c r="AM2399">
        <v>-44.888671289876577</v>
      </c>
      <c r="AN2399">
        <v>-20.12669049999997</v>
      </c>
      <c r="AO2399">
        <v>-44.888671289876577</v>
      </c>
      <c r="AP2399">
        <v>-20.126553000000001</v>
      </c>
      <c r="AQ2399">
        <v>-44.888599999999997</v>
      </c>
      <c r="AR2399">
        <v>17.023861591720589</v>
      </c>
      <c r="AS2399" t="s">
        <v>65</v>
      </c>
      <c r="AT2399">
        <v>1</v>
      </c>
      <c r="AU2399" t="s">
        <v>526</v>
      </c>
      <c r="AV2399" t="s">
        <v>527</v>
      </c>
      <c r="AW2399" t="s">
        <v>60</v>
      </c>
      <c r="AX2399" t="s">
        <v>68</v>
      </c>
      <c r="AY2399" t="s">
        <v>69</v>
      </c>
      <c r="AZ2399" t="b">
        <v>1</v>
      </c>
    </row>
    <row r="2400" spans="1:52" x14ac:dyDescent="0.3">
      <c r="A2400" t="s">
        <v>52</v>
      </c>
      <c r="B2400" t="s">
        <v>53</v>
      </c>
      <c r="C2400" t="s">
        <v>54</v>
      </c>
      <c r="D2400" t="s">
        <v>55</v>
      </c>
      <c r="E2400" t="s">
        <v>2155</v>
      </c>
      <c r="F2400" t="s">
        <v>190</v>
      </c>
      <c r="G2400" t="s">
        <v>528</v>
      </c>
      <c r="H2400" t="s">
        <v>529</v>
      </c>
      <c r="I2400" t="s">
        <v>529</v>
      </c>
      <c r="J2400" t="s">
        <v>60</v>
      </c>
      <c r="K2400" t="s">
        <v>530</v>
      </c>
      <c r="L2400" t="s">
        <v>62</v>
      </c>
      <c r="M2400" t="s">
        <v>530</v>
      </c>
      <c r="N2400" t="s">
        <v>531</v>
      </c>
      <c r="O2400" t="s">
        <v>532</v>
      </c>
      <c r="P2400">
        <v>-20.142457</v>
      </c>
      <c r="Q2400">
        <v>-44.891688000000002</v>
      </c>
      <c r="R2400" s="2" t="str">
        <f>HYPERLINK("https://www.google.com/maps?q=-20.1424570,-44.8916880","Abrir no Google Maps")</f>
        <v>Abrir no Google Maps</v>
      </c>
      <c r="S2400">
        <v>3</v>
      </c>
      <c r="T2400">
        <v>0</v>
      </c>
      <c r="U2400">
        <v>4</v>
      </c>
      <c r="V2400">
        <v>0.4275345767764821</v>
      </c>
      <c r="W2400">
        <v>1</v>
      </c>
      <c r="X2400">
        <v>0.4275345767764821</v>
      </c>
      <c r="Y2400">
        <v>557</v>
      </c>
      <c r="Z2400">
        <v>42.611952255679803</v>
      </c>
      <c r="AA2400">
        <v>198</v>
      </c>
      <c r="AB2400">
        <v>332</v>
      </c>
      <c r="AC2400">
        <v>536</v>
      </c>
      <c r="AD2400">
        <v>29.96</v>
      </c>
      <c r="AE2400">
        <v>542</v>
      </c>
      <c r="AF2400">
        <v>29</v>
      </c>
      <c r="AG2400">
        <v>174</v>
      </c>
      <c r="AH2400">
        <v>129</v>
      </c>
      <c r="AI2400">
        <v>5.35</v>
      </c>
      <c r="AJ2400">
        <v>32.1</v>
      </c>
      <c r="AK2400">
        <v>23.8</v>
      </c>
      <c r="AL2400">
        <v>-20.142523099999948</v>
      </c>
      <c r="AM2400">
        <v>-44.891523817588819</v>
      </c>
      <c r="AN2400">
        <v>-20.142523099999948</v>
      </c>
      <c r="AO2400">
        <v>-44.891523817588819</v>
      </c>
      <c r="AP2400">
        <v>-20.142457</v>
      </c>
      <c r="AQ2400">
        <v>-44.891688000000002</v>
      </c>
      <c r="AR2400">
        <v>18.670129248632971</v>
      </c>
      <c r="AS2400" t="s">
        <v>65</v>
      </c>
      <c r="AT2400">
        <v>1</v>
      </c>
      <c r="AU2400" t="s">
        <v>533</v>
      </c>
      <c r="AV2400" t="s">
        <v>534</v>
      </c>
      <c r="AW2400" t="s">
        <v>60</v>
      </c>
      <c r="AX2400" t="s">
        <v>68</v>
      </c>
      <c r="AY2400" t="s">
        <v>69</v>
      </c>
      <c r="AZ2400" t="b">
        <v>1</v>
      </c>
    </row>
    <row r="2401" spans="1:52" x14ac:dyDescent="0.3">
      <c r="A2401" t="s">
        <v>52</v>
      </c>
      <c r="B2401" t="s">
        <v>53</v>
      </c>
      <c r="C2401" t="s">
        <v>54</v>
      </c>
      <c r="D2401" t="s">
        <v>55</v>
      </c>
      <c r="E2401" t="s">
        <v>2155</v>
      </c>
      <c r="F2401" t="s">
        <v>190</v>
      </c>
      <c r="G2401" t="s">
        <v>535</v>
      </c>
      <c r="H2401" t="s">
        <v>536</v>
      </c>
      <c r="I2401" t="s">
        <v>536</v>
      </c>
      <c r="J2401" t="s">
        <v>60</v>
      </c>
      <c r="K2401" t="s">
        <v>388</v>
      </c>
      <c r="L2401" t="s">
        <v>62</v>
      </c>
      <c r="M2401" t="s">
        <v>388</v>
      </c>
      <c r="N2401" t="s">
        <v>537</v>
      </c>
      <c r="O2401" t="s">
        <v>538</v>
      </c>
      <c r="P2401">
        <v>-20.150061999999998</v>
      </c>
      <c r="Q2401">
        <v>-44.903379000000001</v>
      </c>
      <c r="R2401" s="2" t="str">
        <f>HYPERLINK("https://www.google.com/maps?q=-20.1500620,-44.9033790","Abrir no Google Maps")</f>
        <v>Abrir no Google Maps</v>
      </c>
      <c r="S2401">
        <v>3</v>
      </c>
      <c r="T2401">
        <v>286.20313674219977</v>
      </c>
      <c r="U2401">
        <v>4</v>
      </c>
      <c r="V2401">
        <v>0.42345216450480572</v>
      </c>
      <c r="W2401">
        <v>1</v>
      </c>
      <c r="X2401">
        <v>0.42345216450480572</v>
      </c>
      <c r="Y2401">
        <v>556</v>
      </c>
      <c r="Z2401">
        <v>315.81851898667401</v>
      </c>
      <c r="AA2401">
        <v>198</v>
      </c>
      <c r="AB2401">
        <v>332</v>
      </c>
      <c r="AC2401">
        <v>536</v>
      </c>
      <c r="AD2401">
        <v>29.96</v>
      </c>
      <c r="AE2401">
        <v>542</v>
      </c>
      <c r="AF2401">
        <v>29</v>
      </c>
      <c r="AG2401">
        <v>174</v>
      </c>
      <c r="AH2401">
        <v>129</v>
      </c>
      <c r="AI2401">
        <v>5.35</v>
      </c>
      <c r="AJ2401">
        <v>32.1</v>
      </c>
      <c r="AK2401">
        <v>23.8</v>
      </c>
      <c r="AL2401">
        <v>-20.150084299999971</v>
      </c>
      <c r="AM2401">
        <v>-44.903278407568479</v>
      </c>
      <c r="AN2401">
        <v>-20.150084299999971</v>
      </c>
      <c r="AO2401">
        <v>-44.903278407568479</v>
      </c>
      <c r="AP2401">
        <v>-20.150061999999998</v>
      </c>
      <c r="AQ2401">
        <v>-44.903379000000001</v>
      </c>
      <c r="AR2401">
        <v>10.801687336134639</v>
      </c>
      <c r="AS2401" t="s">
        <v>65</v>
      </c>
      <c r="AT2401">
        <v>1</v>
      </c>
      <c r="AU2401" t="s">
        <v>539</v>
      </c>
      <c r="AV2401" t="s">
        <v>540</v>
      </c>
      <c r="AW2401" t="s">
        <v>60</v>
      </c>
      <c r="AX2401" t="s">
        <v>68</v>
      </c>
      <c r="AY2401" t="s">
        <v>69</v>
      </c>
      <c r="AZ2401" t="b">
        <v>1</v>
      </c>
    </row>
    <row r="2402" spans="1:52" x14ac:dyDescent="0.3">
      <c r="A2402" t="s">
        <v>52</v>
      </c>
      <c r="B2402" t="s">
        <v>53</v>
      </c>
      <c r="C2402" t="s">
        <v>54</v>
      </c>
      <c r="D2402" t="s">
        <v>55</v>
      </c>
      <c r="E2402" t="s">
        <v>2155</v>
      </c>
      <c r="F2402" t="s">
        <v>190</v>
      </c>
      <c r="G2402" t="s">
        <v>551</v>
      </c>
      <c r="H2402" t="s">
        <v>552</v>
      </c>
      <c r="I2402" t="s">
        <v>552</v>
      </c>
      <c r="J2402" t="s">
        <v>60</v>
      </c>
      <c r="K2402" t="s">
        <v>388</v>
      </c>
      <c r="L2402" t="s">
        <v>62</v>
      </c>
      <c r="M2402" t="s">
        <v>388</v>
      </c>
      <c r="N2402" t="s">
        <v>553</v>
      </c>
      <c r="O2402" t="s">
        <v>315</v>
      </c>
      <c r="P2402">
        <v>-20.153086999999999</v>
      </c>
      <c r="Q2402">
        <v>-44.905451999999997</v>
      </c>
      <c r="R2402" s="2" t="str">
        <f>HYPERLINK("https://www.google.com/maps?q=-20.1530870,-44.9054520","Abrir no Google Maps")</f>
        <v>Abrir no Google Maps</v>
      </c>
      <c r="S2402">
        <v>3</v>
      </c>
      <c r="T2402">
        <v>313.69387682409018</v>
      </c>
      <c r="U2402">
        <v>4</v>
      </c>
      <c r="V2402">
        <v>0.42367602545095129</v>
      </c>
      <c r="W2402">
        <v>1</v>
      </c>
      <c r="X2402">
        <v>0.42367602545095129</v>
      </c>
      <c r="Y2402">
        <v>548</v>
      </c>
      <c r="Z2402">
        <v>319.51605309906859</v>
      </c>
      <c r="AA2402">
        <v>198</v>
      </c>
      <c r="AB2402">
        <v>332</v>
      </c>
      <c r="AC2402">
        <v>536</v>
      </c>
      <c r="AD2402">
        <v>29.96</v>
      </c>
      <c r="AE2402">
        <v>542</v>
      </c>
      <c r="AF2402">
        <v>29</v>
      </c>
      <c r="AG2402">
        <v>174</v>
      </c>
      <c r="AH2402">
        <v>129</v>
      </c>
      <c r="AI2402">
        <v>5.35</v>
      </c>
      <c r="AJ2402">
        <v>32.1</v>
      </c>
      <c r="AK2402">
        <v>23.8</v>
      </c>
      <c r="AL2402">
        <v>-20.153043049999951</v>
      </c>
      <c r="AM2402">
        <v>-44.905348275899513</v>
      </c>
      <c r="AN2402">
        <v>-20.153043049999951</v>
      </c>
      <c r="AO2402">
        <v>-44.905348275899513</v>
      </c>
      <c r="AP2402">
        <v>-20.153086999999999</v>
      </c>
      <c r="AQ2402">
        <v>-44.905451999999997</v>
      </c>
      <c r="AR2402">
        <v>11.892619975648341</v>
      </c>
      <c r="AS2402" t="s">
        <v>65</v>
      </c>
      <c r="AT2402">
        <v>1</v>
      </c>
      <c r="AU2402" t="s">
        <v>554</v>
      </c>
      <c r="AV2402" t="s">
        <v>555</v>
      </c>
      <c r="AW2402" t="s">
        <v>60</v>
      </c>
      <c r="AX2402" t="s">
        <v>68</v>
      </c>
      <c r="AY2402" t="s">
        <v>69</v>
      </c>
      <c r="AZ2402" t="b">
        <v>1</v>
      </c>
    </row>
    <row r="2403" spans="1:52" x14ac:dyDescent="0.3">
      <c r="A2403" t="s">
        <v>52</v>
      </c>
      <c r="B2403" t="s">
        <v>53</v>
      </c>
      <c r="C2403" t="s">
        <v>54</v>
      </c>
      <c r="D2403" t="s">
        <v>55</v>
      </c>
      <c r="E2403" t="s">
        <v>2155</v>
      </c>
      <c r="F2403" t="s">
        <v>190</v>
      </c>
      <c r="G2403" t="s">
        <v>568</v>
      </c>
      <c r="H2403" t="s">
        <v>569</v>
      </c>
      <c r="I2403" t="s">
        <v>569</v>
      </c>
      <c r="J2403" t="s">
        <v>60</v>
      </c>
      <c r="K2403" t="s">
        <v>61</v>
      </c>
      <c r="L2403" t="s">
        <v>62</v>
      </c>
      <c r="M2403" t="s">
        <v>61</v>
      </c>
      <c r="N2403" t="s">
        <v>570</v>
      </c>
      <c r="O2403" t="s">
        <v>548</v>
      </c>
      <c r="P2403">
        <v>-20.151508</v>
      </c>
      <c r="Q2403">
        <v>-44.907826</v>
      </c>
      <c r="R2403" s="2" t="str">
        <f>HYPERLINK("https://www.google.com/maps?q=-20.1515080,-44.9078260","Abrir no Google Maps")</f>
        <v>Abrir no Google Maps</v>
      </c>
      <c r="S2403">
        <v>3</v>
      </c>
      <c r="T2403">
        <v>567.15905416240514</v>
      </c>
      <c r="U2403">
        <v>4</v>
      </c>
      <c r="V2403">
        <v>0.50065974560419013</v>
      </c>
      <c r="W2403">
        <v>0.85</v>
      </c>
      <c r="X2403">
        <v>0.4255607837635616</v>
      </c>
      <c r="Y2403">
        <v>548</v>
      </c>
      <c r="Z2403">
        <v>560.49158010771464</v>
      </c>
      <c r="AA2403">
        <v>198</v>
      </c>
      <c r="AB2403">
        <v>332</v>
      </c>
      <c r="AC2403">
        <v>536</v>
      </c>
      <c r="AD2403">
        <v>29.96</v>
      </c>
      <c r="AE2403">
        <v>542</v>
      </c>
      <c r="AF2403">
        <v>29</v>
      </c>
      <c r="AG2403">
        <v>174</v>
      </c>
      <c r="AH2403">
        <v>129</v>
      </c>
      <c r="AI2403">
        <v>5.35</v>
      </c>
      <c r="AJ2403">
        <v>32.1</v>
      </c>
      <c r="AK2403">
        <v>23.8</v>
      </c>
      <c r="AL2403">
        <v>-20.15211779999996</v>
      </c>
      <c r="AM2403">
        <v>-44.907597469593128</v>
      </c>
      <c r="AN2403">
        <v>-20.15211779999996</v>
      </c>
      <c r="AO2403">
        <v>-44.907597469593128</v>
      </c>
      <c r="AP2403">
        <v>-20.151508</v>
      </c>
      <c r="AQ2403">
        <v>-44.907826</v>
      </c>
      <c r="AR2403">
        <v>71.961597929314735</v>
      </c>
      <c r="AS2403" t="s">
        <v>65</v>
      </c>
      <c r="AT2403">
        <v>1</v>
      </c>
      <c r="AU2403" t="s">
        <v>571</v>
      </c>
      <c r="AV2403" t="s">
        <v>572</v>
      </c>
      <c r="AW2403" t="s">
        <v>60</v>
      </c>
      <c r="AX2403" t="s">
        <v>68</v>
      </c>
      <c r="AY2403" t="s">
        <v>69</v>
      </c>
      <c r="AZ2403" t="b">
        <v>1</v>
      </c>
    </row>
    <row r="2404" spans="1:52" x14ac:dyDescent="0.3">
      <c r="A2404" t="s">
        <v>52</v>
      </c>
      <c r="B2404" t="s">
        <v>53</v>
      </c>
      <c r="C2404" t="s">
        <v>54</v>
      </c>
      <c r="D2404" t="s">
        <v>55</v>
      </c>
      <c r="E2404" t="s">
        <v>2155</v>
      </c>
      <c r="F2404" t="s">
        <v>190</v>
      </c>
      <c r="G2404" t="s">
        <v>573</v>
      </c>
      <c r="H2404" t="s">
        <v>574</v>
      </c>
      <c r="I2404" t="s">
        <v>574</v>
      </c>
      <c r="J2404" t="s">
        <v>60</v>
      </c>
      <c r="K2404" t="s">
        <v>207</v>
      </c>
      <c r="L2404" t="s">
        <v>62</v>
      </c>
      <c r="M2404" t="s">
        <v>207</v>
      </c>
      <c r="N2404" t="s">
        <v>575</v>
      </c>
      <c r="O2404" t="s">
        <v>576</v>
      </c>
      <c r="P2404">
        <v>-20.121252999999999</v>
      </c>
      <c r="Q2404">
        <v>-44.887988999999997</v>
      </c>
      <c r="R2404" s="2" t="str">
        <f>HYPERLINK("https://www.google.com/maps?q=-20.1212530,-44.8879890","Abrir no Google Maps")</f>
        <v>Abrir no Google Maps</v>
      </c>
      <c r="S2404">
        <v>3</v>
      </c>
      <c r="T2404">
        <v>310.5511884274041</v>
      </c>
      <c r="U2404">
        <v>4</v>
      </c>
      <c r="V2404">
        <v>0.43677194940476199</v>
      </c>
      <c r="W2404">
        <v>1</v>
      </c>
      <c r="X2404">
        <v>0.43677194940476199</v>
      </c>
      <c r="Y2404">
        <v>536</v>
      </c>
      <c r="Z2404">
        <v>292.13362593122162</v>
      </c>
      <c r="AA2404">
        <v>198</v>
      </c>
      <c r="AB2404">
        <v>332</v>
      </c>
      <c r="AC2404">
        <v>536</v>
      </c>
      <c r="AD2404">
        <v>29.96</v>
      </c>
      <c r="AE2404">
        <v>542</v>
      </c>
      <c r="AF2404">
        <v>29</v>
      </c>
      <c r="AG2404">
        <v>174</v>
      </c>
      <c r="AH2404">
        <v>129</v>
      </c>
      <c r="AI2404">
        <v>5.35</v>
      </c>
      <c r="AJ2404">
        <v>32.1</v>
      </c>
      <c r="AK2404">
        <v>23.8</v>
      </c>
      <c r="AL2404">
        <v>-20.121103699999939</v>
      </c>
      <c r="AM2404">
        <v>-44.888116617806723</v>
      </c>
      <c r="AN2404">
        <v>-20.121103699999939</v>
      </c>
      <c r="AO2404">
        <v>-44.888116617806723</v>
      </c>
      <c r="AP2404">
        <v>-20.121252999999999</v>
      </c>
      <c r="AQ2404">
        <v>-44.887988999999997</v>
      </c>
      <c r="AR2404">
        <v>21.311159673382519</v>
      </c>
      <c r="AS2404" t="s">
        <v>65</v>
      </c>
      <c r="AT2404">
        <v>1</v>
      </c>
      <c r="AU2404" t="s">
        <v>577</v>
      </c>
      <c r="AV2404" t="s">
        <v>578</v>
      </c>
      <c r="AW2404" t="s">
        <v>60</v>
      </c>
      <c r="AX2404" t="s">
        <v>68</v>
      </c>
      <c r="AY2404" t="s">
        <v>69</v>
      </c>
      <c r="AZ2404" t="b">
        <v>1</v>
      </c>
    </row>
    <row r="2405" spans="1:52" x14ac:dyDescent="0.3">
      <c r="A2405" t="s">
        <v>52</v>
      </c>
      <c r="B2405" t="s">
        <v>53</v>
      </c>
      <c r="C2405" t="s">
        <v>54</v>
      </c>
      <c r="D2405" t="s">
        <v>55</v>
      </c>
      <c r="E2405" t="s">
        <v>2155</v>
      </c>
      <c r="F2405" t="s">
        <v>190</v>
      </c>
      <c r="G2405" t="s">
        <v>910</v>
      </c>
      <c r="H2405" t="s">
        <v>911</v>
      </c>
      <c r="I2405" t="s">
        <v>911</v>
      </c>
      <c r="J2405" t="s">
        <v>60</v>
      </c>
      <c r="K2405" t="s">
        <v>207</v>
      </c>
      <c r="L2405" t="s">
        <v>62</v>
      </c>
      <c r="M2405" t="s">
        <v>207</v>
      </c>
      <c r="N2405" t="s">
        <v>912</v>
      </c>
      <c r="O2405" t="s">
        <v>548</v>
      </c>
      <c r="P2405">
        <v>-20.116987000000002</v>
      </c>
      <c r="Q2405">
        <v>-44.885240000000003</v>
      </c>
      <c r="R2405" s="2" t="str">
        <f>HYPERLINK("https://www.google.com/maps?q=-20.1169870,-44.8852400","Abrir no Google Maps")</f>
        <v>Abrir no Google Maps</v>
      </c>
      <c r="S2405">
        <v>3</v>
      </c>
      <c r="T2405">
        <v>283.94804862214067</v>
      </c>
      <c r="U2405">
        <v>4</v>
      </c>
      <c r="V2405">
        <v>0.4247984749455338</v>
      </c>
      <c r="W2405">
        <v>1</v>
      </c>
      <c r="X2405">
        <v>0.4247984749455338</v>
      </c>
      <c r="Y2405">
        <v>536</v>
      </c>
      <c r="Z2405">
        <v>297.39410031170689</v>
      </c>
      <c r="AA2405">
        <v>198</v>
      </c>
      <c r="AB2405">
        <v>332</v>
      </c>
      <c r="AC2405">
        <v>536</v>
      </c>
      <c r="AD2405">
        <v>29.96</v>
      </c>
      <c r="AE2405">
        <v>542</v>
      </c>
      <c r="AF2405">
        <v>29</v>
      </c>
      <c r="AG2405">
        <v>174</v>
      </c>
      <c r="AH2405">
        <v>129</v>
      </c>
      <c r="AI2405">
        <v>5.35</v>
      </c>
      <c r="AJ2405">
        <v>32.1</v>
      </c>
      <c r="AK2405">
        <v>23.8</v>
      </c>
      <c r="AL2405">
        <v>-20.116999599999961</v>
      </c>
      <c r="AM2405">
        <v>-44.885197873315192</v>
      </c>
      <c r="AN2405">
        <v>-20.116999599999961</v>
      </c>
      <c r="AO2405">
        <v>-44.885197873315192</v>
      </c>
      <c r="AP2405">
        <v>-20.116987000000002</v>
      </c>
      <c r="AQ2405">
        <v>-44.885240000000003</v>
      </c>
      <c r="AR2405">
        <v>4.6214387870334246</v>
      </c>
      <c r="AS2405" t="s">
        <v>65</v>
      </c>
      <c r="AT2405">
        <v>1</v>
      </c>
      <c r="AU2405" t="s">
        <v>913</v>
      </c>
      <c r="AV2405" t="s">
        <v>914</v>
      </c>
      <c r="AW2405" t="s">
        <v>60</v>
      </c>
      <c r="AX2405" t="s">
        <v>68</v>
      </c>
      <c r="AY2405" t="s">
        <v>69</v>
      </c>
      <c r="AZ2405" t="b">
        <v>1</v>
      </c>
    </row>
    <row r="2406" spans="1:52" x14ac:dyDescent="0.3">
      <c r="A2406" t="s">
        <v>52</v>
      </c>
      <c r="B2406" t="s">
        <v>53</v>
      </c>
      <c r="C2406" t="s">
        <v>54</v>
      </c>
      <c r="D2406" t="s">
        <v>55</v>
      </c>
      <c r="E2406" t="s">
        <v>2155</v>
      </c>
      <c r="F2406" t="s">
        <v>190</v>
      </c>
      <c r="G2406" t="s">
        <v>584</v>
      </c>
      <c r="H2406" t="s">
        <v>585</v>
      </c>
      <c r="I2406" t="s">
        <v>585</v>
      </c>
      <c r="J2406" t="s">
        <v>60</v>
      </c>
      <c r="K2406" t="s">
        <v>207</v>
      </c>
      <c r="L2406" t="s">
        <v>62</v>
      </c>
      <c r="M2406" t="s">
        <v>207</v>
      </c>
      <c r="N2406" t="s">
        <v>586</v>
      </c>
      <c r="O2406" t="s">
        <v>587</v>
      </c>
      <c r="P2406">
        <v>-20.122596999999999</v>
      </c>
      <c r="Q2406">
        <v>-44.889994999999999</v>
      </c>
      <c r="R2406" s="2" t="str">
        <f>HYPERLINK("https://www.google.com/maps?q=-20.1225970,-44.8899950","Abrir no Google Maps")</f>
        <v>Abrir no Google Maps</v>
      </c>
      <c r="S2406">
        <v>3</v>
      </c>
      <c r="T2406">
        <v>548.23336486960989</v>
      </c>
      <c r="U2406">
        <v>4</v>
      </c>
      <c r="V2406">
        <v>0.423567397188015</v>
      </c>
      <c r="W2406">
        <v>1</v>
      </c>
      <c r="X2406">
        <v>0.423567397188015</v>
      </c>
      <c r="Y2406">
        <v>536</v>
      </c>
      <c r="Z2406">
        <v>547.28307523929982</v>
      </c>
      <c r="AA2406">
        <v>198</v>
      </c>
      <c r="AB2406">
        <v>332</v>
      </c>
      <c r="AC2406">
        <v>536</v>
      </c>
      <c r="AD2406">
        <v>29.96</v>
      </c>
      <c r="AE2406">
        <v>542</v>
      </c>
      <c r="AF2406">
        <v>29</v>
      </c>
      <c r="AG2406">
        <v>174</v>
      </c>
      <c r="AH2406">
        <v>129</v>
      </c>
      <c r="AI2406">
        <v>5.35</v>
      </c>
      <c r="AJ2406">
        <v>32.1</v>
      </c>
      <c r="AK2406">
        <v>23.8</v>
      </c>
      <c r="AL2406">
        <v>-20.122693899999941</v>
      </c>
      <c r="AM2406">
        <v>-44.890039706276887</v>
      </c>
      <c r="AN2406">
        <v>-20.122693899999941</v>
      </c>
      <c r="AO2406">
        <v>-44.890039706276887</v>
      </c>
      <c r="AP2406">
        <v>-20.122596999999999</v>
      </c>
      <c r="AQ2406">
        <v>-44.889994999999999</v>
      </c>
      <c r="AR2406">
        <v>11.75557400261394</v>
      </c>
      <c r="AS2406" t="s">
        <v>65</v>
      </c>
      <c r="AT2406">
        <v>1</v>
      </c>
      <c r="AU2406" t="s">
        <v>588</v>
      </c>
      <c r="AV2406" t="s">
        <v>589</v>
      </c>
      <c r="AW2406" t="s">
        <v>60</v>
      </c>
      <c r="AX2406" t="s">
        <v>68</v>
      </c>
      <c r="AY2406" t="s">
        <v>69</v>
      </c>
      <c r="AZ2406" t="b">
        <v>1</v>
      </c>
    </row>
    <row r="2407" spans="1:52" x14ac:dyDescent="0.3">
      <c r="A2407" t="s">
        <v>52</v>
      </c>
      <c r="B2407" t="s">
        <v>53</v>
      </c>
      <c r="C2407" t="s">
        <v>54</v>
      </c>
      <c r="D2407" t="s">
        <v>55</v>
      </c>
      <c r="E2407" t="s">
        <v>2155</v>
      </c>
      <c r="F2407" t="s">
        <v>190</v>
      </c>
      <c r="G2407" t="s">
        <v>601</v>
      </c>
      <c r="H2407" t="s">
        <v>602</v>
      </c>
      <c r="I2407" t="s">
        <v>602</v>
      </c>
      <c r="J2407" t="s">
        <v>60</v>
      </c>
      <c r="K2407" t="s">
        <v>117</v>
      </c>
      <c r="L2407" t="s">
        <v>62</v>
      </c>
      <c r="M2407" t="s">
        <v>117</v>
      </c>
      <c r="N2407" t="s">
        <v>603</v>
      </c>
      <c r="O2407" t="s">
        <v>604</v>
      </c>
      <c r="P2407">
        <v>-20.122198999999998</v>
      </c>
      <c r="Q2407">
        <v>-44.893118999999999</v>
      </c>
      <c r="R2407" s="2" t="str">
        <f>HYPERLINK("https://www.google.com/maps?q=-20.1221990,-44.8931190","Abrir no Google Maps")</f>
        <v>Abrir no Google Maps</v>
      </c>
      <c r="S2407">
        <v>3</v>
      </c>
      <c r="T2407">
        <v>737.41475740297403</v>
      </c>
      <c r="U2407">
        <v>4</v>
      </c>
      <c r="V2407">
        <v>0.43698103458090848</v>
      </c>
      <c r="W2407">
        <v>1</v>
      </c>
      <c r="X2407">
        <v>0.43698103458090848</v>
      </c>
      <c r="Y2407">
        <v>536</v>
      </c>
      <c r="Z2407">
        <v>753.81321098979549</v>
      </c>
      <c r="AA2407">
        <v>198</v>
      </c>
      <c r="AB2407">
        <v>332</v>
      </c>
      <c r="AC2407">
        <v>536</v>
      </c>
      <c r="AD2407">
        <v>29.96</v>
      </c>
      <c r="AE2407">
        <v>542</v>
      </c>
      <c r="AF2407">
        <v>29</v>
      </c>
      <c r="AG2407">
        <v>174</v>
      </c>
      <c r="AH2407">
        <v>129</v>
      </c>
      <c r="AI2407">
        <v>5.35</v>
      </c>
      <c r="AJ2407">
        <v>32.1</v>
      </c>
      <c r="AK2407">
        <v>23.8</v>
      </c>
      <c r="AL2407">
        <v>-20.122192249999959</v>
      </c>
      <c r="AM2407">
        <v>-44.893272469204263</v>
      </c>
      <c r="AN2407">
        <v>-20.122192249999959</v>
      </c>
      <c r="AO2407">
        <v>-44.893272469204263</v>
      </c>
      <c r="AP2407">
        <v>-20.122198999999998</v>
      </c>
      <c r="AQ2407">
        <v>-44.893118999999999</v>
      </c>
      <c r="AR2407">
        <v>16.058980187178161</v>
      </c>
      <c r="AS2407" t="s">
        <v>65</v>
      </c>
      <c r="AT2407">
        <v>1</v>
      </c>
      <c r="AU2407" t="s">
        <v>605</v>
      </c>
      <c r="AV2407" t="s">
        <v>606</v>
      </c>
      <c r="AW2407" t="s">
        <v>60</v>
      </c>
      <c r="AX2407" t="s">
        <v>68</v>
      </c>
      <c r="AY2407" t="s">
        <v>69</v>
      </c>
      <c r="AZ2407" t="b">
        <v>1</v>
      </c>
    </row>
    <row r="2408" spans="1:52" x14ac:dyDescent="0.3">
      <c r="A2408" t="s">
        <v>52</v>
      </c>
      <c r="B2408" t="s">
        <v>53</v>
      </c>
      <c r="C2408" t="s">
        <v>54</v>
      </c>
      <c r="D2408" t="s">
        <v>55</v>
      </c>
      <c r="E2408" t="s">
        <v>2155</v>
      </c>
      <c r="F2408" t="s">
        <v>190</v>
      </c>
      <c r="G2408" t="s">
        <v>607</v>
      </c>
      <c r="H2408" t="s">
        <v>608</v>
      </c>
      <c r="I2408" t="s">
        <v>608</v>
      </c>
      <c r="J2408" t="s">
        <v>60</v>
      </c>
      <c r="K2408" t="s">
        <v>609</v>
      </c>
      <c r="L2408" t="s">
        <v>62</v>
      </c>
      <c r="M2408" t="s">
        <v>609</v>
      </c>
      <c r="N2408" t="s">
        <v>610</v>
      </c>
      <c r="O2408" t="s">
        <v>611</v>
      </c>
      <c r="P2408">
        <v>-20.110476999999999</v>
      </c>
      <c r="Q2408">
        <v>-44.887531000000003</v>
      </c>
      <c r="R2408" s="2" t="str">
        <f>HYPERLINK("https://www.google.com/maps?q=-20.1104770,-44.8875310","Abrir no Google Maps")</f>
        <v>Abrir no Google Maps</v>
      </c>
      <c r="S2408">
        <v>3</v>
      </c>
      <c r="T2408">
        <v>862.67854008986569</v>
      </c>
      <c r="U2408">
        <v>4</v>
      </c>
      <c r="V2408">
        <v>0.44433862106234939</v>
      </c>
      <c r="W2408">
        <v>1</v>
      </c>
      <c r="X2408">
        <v>0.44433862106234939</v>
      </c>
      <c r="Y2408">
        <v>536</v>
      </c>
      <c r="Z2408">
        <v>797.51469292431113</v>
      </c>
      <c r="AA2408">
        <v>198</v>
      </c>
      <c r="AB2408">
        <v>332</v>
      </c>
      <c r="AC2408">
        <v>536</v>
      </c>
      <c r="AD2408">
        <v>29.96</v>
      </c>
      <c r="AE2408">
        <v>542</v>
      </c>
      <c r="AF2408">
        <v>29</v>
      </c>
      <c r="AG2408">
        <v>174</v>
      </c>
      <c r="AH2408">
        <v>129</v>
      </c>
      <c r="AI2408">
        <v>5.35</v>
      </c>
      <c r="AJ2408">
        <v>32.1</v>
      </c>
      <c r="AK2408">
        <v>23.8</v>
      </c>
      <c r="AL2408">
        <v>-20.11057859999994</v>
      </c>
      <c r="AM2408">
        <v>-44.888034950185293</v>
      </c>
      <c r="AN2408">
        <v>-20.11057859999994</v>
      </c>
      <c r="AO2408">
        <v>-44.888034950185293</v>
      </c>
      <c r="AP2408">
        <v>-20.110476999999999</v>
      </c>
      <c r="AQ2408">
        <v>-44.887531000000003</v>
      </c>
      <c r="AR2408">
        <v>53.879824494602957</v>
      </c>
      <c r="AS2408" t="s">
        <v>65</v>
      </c>
      <c r="AT2408">
        <v>1</v>
      </c>
      <c r="AU2408" t="s">
        <v>612</v>
      </c>
      <c r="AV2408" t="s">
        <v>613</v>
      </c>
      <c r="AW2408" t="s">
        <v>60</v>
      </c>
      <c r="AX2408" t="s">
        <v>68</v>
      </c>
      <c r="AY2408" t="s">
        <v>69</v>
      </c>
      <c r="AZ2408" t="b">
        <v>1</v>
      </c>
    </row>
    <row r="2409" spans="1:52" x14ac:dyDescent="0.3">
      <c r="A2409" t="s">
        <v>52</v>
      </c>
      <c r="B2409" t="s">
        <v>53</v>
      </c>
      <c r="C2409" t="s">
        <v>54</v>
      </c>
      <c r="D2409" t="s">
        <v>55</v>
      </c>
      <c r="E2409" t="s">
        <v>2155</v>
      </c>
      <c r="F2409" t="s">
        <v>190</v>
      </c>
      <c r="G2409" t="s">
        <v>614</v>
      </c>
      <c r="H2409" t="s">
        <v>615</v>
      </c>
      <c r="I2409" t="s">
        <v>615</v>
      </c>
      <c r="J2409" t="s">
        <v>60</v>
      </c>
      <c r="K2409" t="s">
        <v>207</v>
      </c>
      <c r="L2409" t="s">
        <v>62</v>
      </c>
      <c r="M2409" t="s">
        <v>207</v>
      </c>
      <c r="N2409" t="s">
        <v>616</v>
      </c>
      <c r="O2409" t="s">
        <v>617</v>
      </c>
      <c r="P2409">
        <v>-20.123118999999999</v>
      </c>
      <c r="Q2409">
        <v>-44.886259000000003</v>
      </c>
      <c r="R2409" s="2" t="str">
        <f>HYPERLINK("https://www.google.com/maps?q=-20.1231190,-44.8862590","Abrir no Google Maps")</f>
        <v>Abrir no Google Maps</v>
      </c>
      <c r="S2409">
        <v>3</v>
      </c>
      <c r="T2409">
        <v>534.91642326845545</v>
      </c>
      <c r="U2409">
        <v>4</v>
      </c>
      <c r="V2409">
        <v>0.4414622314622314</v>
      </c>
      <c r="W2409">
        <v>1</v>
      </c>
      <c r="X2409">
        <v>0.4414622314622314</v>
      </c>
      <c r="Y2409">
        <v>536</v>
      </c>
      <c r="Z2409">
        <v>478.9192959851456</v>
      </c>
      <c r="AA2409">
        <v>198</v>
      </c>
      <c r="AB2409">
        <v>332</v>
      </c>
      <c r="AC2409">
        <v>536</v>
      </c>
      <c r="AD2409">
        <v>29.96</v>
      </c>
      <c r="AE2409">
        <v>542</v>
      </c>
      <c r="AF2409">
        <v>29</v>
      </c>
      <c r="AG2409">
        <v>174</v>
      </c>
      <c r="AH2409">
        <v>129</v>
      </c>
      <c r="AI2409">
        <v>5.35</v>
      </c>
      <c r="AJ2409">
        <v>32.1</v>
      </c>
      <c r="AK2409">
        <v>23.8</v>
      </c>
      <c r="AL2409">
        <v>-20.12305974999995</v>
      </c>
      <c r="AM2409">
        <v>-44.886314469108633</v>
      </c>
      <c r="AN2409">
        <v>-20.12305974999995</v>
      </c>
      <c r="AO2409">
        <v>-44.886314469108633</v>
      </c>
      <c r="AP2409">
        <v>-20.123118999999999</v>
      </c>
      <c r="AQ2409">
        <v>-44.886259000000003</v>
      </c>
      <c r="AR2409">
        <v>8.7817342078334093</v>
      </c>
      <c r="AS2409" t="s">
        <v>65</v>
      </c>
      <c r="AT2409">
        <v>1</v>
      </c>
      <c r="AU2409" t="s">
        <v>618</v>
      </c>
      <c r="AV2409" t="s">
        <v>619</v>
      </c>
      <c r="AW2409" t="s">
        <v>60</v>
      </c>
      <c r="AX2409" t="s">
        <v>68</v>
      </c>
      <c r="AY2409" t="s">
        <v>69</v>
      </c>
      <c r="AZ2409" t="b">
        <v>1</v>
      </c>
    </row>
    <row r="2410" spans="1:52" x14ac:dyDescent="0.3">
      <c r="A2410" t="s">
        <v>52</v>
      </c>
      <c r="B2410" t="s">
        <v>53</v>
      </c>
      <c r="C2410" t="s">
        <v>54</v>
      </c>
      <c r="D2410" t="s">
        <v>55</v>
      </c>
      <c r="E2410" t="s">
        <v>2155</v>
      </c>
      <c r="F2410" t="s">
        <v>190</v>
      </c>
      <c r="G2410" t="s">
        <v>620</v>
      </c>
      <c r="H2410" t="s">
        <v>621</v>
      </c>
      <c r="I2410" t="s">
        <v>621</v>
      </c>
      <c r="J2410" t="s">
        <v>60</v>
      </c>
      <c r="K2410" t="s">
        <v>207</v>
      </c>
      <c r="L2410" t="s">
        <v>62</v>
      </c>
      <c r="M2410" t="s">
        <v>207</v>
      </c>
      <c r="N2410" t="s">
        <v>622</v>
      </c>
      <c r="O2410" t="s">
        <v>623</v>
      </c>
      <c r="P2410">
        <v>-20.120775999999999</v>
      </c>
      <c r="Q2410">
        <v>-44.885562999999998</v>
      </c>
      <c r="R2410" s="2" t="str">
        <f>HYPERLINK("https://www.google.com/maps?q=-20.1207760,-44.8855630","Abrir no Google Maps")</f>
        <v>Abrir no Google Maps</v>
      </c>
      <c r="S2410">
        <v>3</v>
      </c>
      <c r="T2410">
        <v>332.24231777761912</v>
      </c>
      <c r="U2410">
        <v>4</v>
      </c>
      <c r="V2410">
        <v>0.44145069768609152</v>
      </c>
      <c r="W2410">
        <v>1</v>
      </c>
      <c r="X2410">
        <v>0.44145069768609152</v>
      </c>
      <c r="Y2410">
        <v>536</v>
      </c>
      <c r="Z2410">
        <v>255.48165096313261</v>
      </c>
      <c r="AA2410">
        <v>198</v>
      </c>
      <c r="AB2410">
        <v>332</v>
      </c>
      <c r="AC2410">
        <v>536</v>
      </c>
      <c r="AD2410">
        <v>29.96</v>
      </c>
      <c r="AE2410">
        <v>542</v>
      </c>
      <c r="AF2410">
        <v>29</v>
      </c>
      <c r="AG2410">
        <v>174</v>
      </c>
      <c r="AH2410">
        <v>129</v>
      </c>
      <c r="AI2410">
        <v>5.35</v>
      </c>
      <c r="AJ2410">
        <v>32.1</v>
      </c>
      <c r="AK2410">
        <v>23.8</v>
      </c>
      <c r="AL2410">
        <v>-20.120783799999941</v>
      </c>
      <c r="AM2410">
        <v>-44.885629603396453</v>
      </c>
      <c r="AN2410">
        <v>-20.120783799999941</v>
      </c>
      <c r="AO2410">
        <v>-44.885629603396453</v>
      </c>
      <c r="AP2410">
        <v>-20.120775999999999</v>
      </c>
      <c r="AQ2410">
        <v>-44.885562999999998</v>
      </c>
      <c r="AR2410">
        <v>7.0157317818911196</v>
      </c>
      <c r="AS2410" t="s">
        <v>65</v>
      </c>
      <c r="AT2410">
        <v>1</v>
      </c>
      <c r="AU2410" t="s">
        <v>624</v>
      </c>
      <c r="AV2410" t="s">
        <v>619</v>
      </c>
      <c r="AW2410" t="s">
        <v>60</v>
      </c>
      <c r="AX2410" t="s">
        <v>68</v>
      </c>
      <c r="AY2410" t="s">
        <v>69</v>
      </c>
      <c r="AZ2410" t="b">
        <v>1</v>
      </c>
    </row>
    <row r="2411" spans="1:52" x14ac:dyDescent="0.3">
      <c r="A2411" t="s">
        <v>52</v>
      </c>
      <c r="B2411" t="s">
        <v>53</v>
      </c>
      <c r="C2411" t="s">
        <v>54</v>
      </c>
      <c r="D2411" t="s">
        <v>55</v>
      </c>
      <c r="E2411" t="s">
        <v>2155</v>
      </c>
      <c r="F2411" t="s">
        <v>190</v>
      </c>
      <c r="G2411" t="s">
        <v>232</v>
      </c>
      <c r="H2411" t="s">
        <v>925</v>
      </c>
      <c r="I2411" t="s">
        <v>925</v>
      </c>
      <c r="J2411" t="s">
        <v>60</v>
      </c>
      <c r="K2411" t="s">
        <v>702</v>
      </c>
      <c r="L2411" t="s">
        <v>62</v>
      </c>
      <c r="M2411" t="s">
        <v>702</v>
      </c>
      <c r="N2411" t="s">
        <v>234</v>
      </c>
      <c r="O2411" t="s">
        <v>926</v>
      </c>
      <c r="P2411">
        <v>-20.165887999999999</v>
      </c>
      <c r="Q2411">
        <v>-44.865220000000001</v>
      </c>
      <c r="R2411" s="2" t="str">
        <f>HYPERLINK("https://www.google.com/maps?q=-20.1658880,-44.8652200","Abrir no Google Maps")</f>
        <v>Abrir no Google Maps</v>
      </c>
      <c r="S2411">
        <v>3</v>
      </c>
      <c r="T2411">
        <v>711.71706763776342</v>
      </c>
      <c r="U2411">
        <v>4</v>
      </c>
      <c r="V2411">
        <v>0.42445575869537527</v>
      </c>
      <c r="W2411">
        <v>1</v>
      </c>
      <c r="X2411">
        <v>0.42445575869537527</v>
      </c>
      <c r="Y2411">
        <v>518</v>
      </c>
      <c r="Z2411">
        <v>801.45781285603209</v>
      </c>
      <c r="AA2411">
        <v>198</v>
      </c>
      <c r="AB2411">
        <v>332</v>
      </c>
      <c r="AC2411">
        <v>536</v>
      </c>
      <c r="AD2411">
        <v>29.96</v>
      </c>
      <c r="AE2411">
        <v>542</v>
      </c>
      <c r="AF2411">
        <v>29</v>
      </c>
      <c r="AG2411">
        <v>174</v>
      </c>
      <c r="AH2411">
        <v>129</v>
      </c>
      <c r="AI2411">
        <v>5.35</v>
      </c>
      <c r="AJ2411">
        <v>32.1</v>
      </c>
      <c r="AK2411">
        <v>23.8</v>
      </c>
      <c r="AL2411">
        <v>-20.165865449999959</v>
      </c>
      <c r="AM2411">
        <v>-44.865240434761468</v>
      </c>
      <c r="AN2411">
        <v>-20.165865449999959</v>
      </c>
      <c r="AO2411">
        <v>-44.865240434761468</v>
      </c>
      <c r="AP2411">
        <v>-20.165887999999999</v>
      </c>
      <c r="AQ2411">
        <v>-44.865220000000001</v>
      </c>
      <c r="AR2411">
        <v>3.2956262004279409</v>
      </c>
      <c r="AS2411" t="s">
        <v>65</v>
      </c>
      <c r="AT2411">
        <v>1</v>
      </c>
      <c r="AU2411" t="s">
        <v>927</v>
      </c>
      <c r="AV2411" t="s">
        <v>928</v>
      </c>
      <c r="AW2411" t="s">
        <v>60</v>
      </c>
      <c r="AX2411" t="s">
        <v>68</v>
      </c>
      <c r="AY2411" t="s">
        <v>69</v>
      </c>
      <c r="AZ2411" t="b">
        <v>1</v>
      </c>
    </row>
    <row r="2412" spans="1:52" x14ac:dyDescent="0.3">
      <c r="A2412" t="s">
        <v>52</v>
      </c>
      <c r="B2412" t="s">
        <v>53</v>
      </c>
      <c r="C2412" t="s">
        <v>54</v>
      </c>
      <c r="D2412" t="s">
        <v>55</v>
      </c>
      <c r="E2412" t="s">
        <v>2155</v>
      </c>
      <c r="F2412" t="s">
        <v>190</v>
      </c>
      <c r="G2412" t="s">
        <v>625</v>
      </c>
      <c r="H2412" t="s">
        <v>626</v>
      </c>
      <c r="I2412" t="s">
        <v>626</v>
      </c>
      <c r="J2412" t="s">
        <v>60</v>
      </c>
      <c r="K2412" t="s">
        <v>193</v>
      </c>
      <c r="L2412" t="s">
        <v>62</v>
      </c>
      <c r="M2412" t="s">
        <v>193</v>
      </c>
      <c r="N2412" t="s">
        <v>627</v>
      </c>
      <c r="O2412" t="s">
        <v>628</v>
      </c>
      <c r="P2412">
        <v>-20.145171999999999</v>
      </c>
      <c r="Q2412">
        <v>-44.916764000000001</v>
      </c>
      <c r="R2412" s="2" t="str">
        <f>HYPERLINK("https://www.google.com/maps?q=-20.1451720,-44.9167640","Abrir no Google Maps")</f>
        <v>Abrir no Google Maps</v>
      </c>
      <c r="S2412">
        <v>3</v>
      </c>
      <c r="T2412">
        <v>0</v>
      </c>
      <c r="U2412">
        <v>4</v>
      </c>
      <c r="V2412">
        <v>0.42902763902763907</v>
      </c>
      <c r="W2412">
        <v>1</v>
      </c>
      <c r="X2412">
        <v>0.42902763902763907</v>
      </c>
      <c r="Y2412">
        <v>508</v>
      </c>
      <c r="Z2412">
        <v>79.403393114466795</v>
      </c>
      <c r="AA2412">
        <v>198</v>
      </c>
      <c r="AB2412">
        <v>332</v>
      </c>
      <c r="AC2412">
        <v>536</v>
      </c>
      <c r="AD2412">
        <v>29.96</v>
      </c>
      <c r="AE2412">
        <v>542</v>
      </c>
      <c r="AF2412">
        <v>29</v>
      </c>
      <c r="AG2412">
        <v>174</v>
      </c>
      <c r="AH2412">
        <v>129</v>
      </c>
      <c r="AI2412">
        <v>5.35</v>
      </c>
      <c r="AJ2412">
        <v>32.1</v>
      </c>
      <c r="AK2412">
        <v>23.8</v>
      </c>
      <c r="AL2412">
        <v>-20.145089199999969</v>
      </c>
      <c r="AM2412">
        <v>-44.916788127791321</v>
      </c>
      <c r="AN2412">
        <v>-20.145089199999969</v>
      </c>
      <c r="AO2412">
        <v>-44.916788127791321</v>
      </c>
      <c r="AP2412">
        <v>-20.145171999999999</v>
      </c>
      <c r="AQ2412">
        <v>-44.916764000000001</v>
      </c>
      <c r="AR2412">
        <v>9.555991267747272</v>
      </c>
      <c r="AS2412" t="s">
        <v>65</v>
      </c>
      <c r="AT2412">
        <v>1</v>
      </c>
      <c r="AU2412" t="s">
        <v>629</v>
      </c>
      <c r="AV2412" t="s">
        <v>630</v>
      </c>
      <c r="AW2412" t="s">
        <v>60</v>
      </c>
      <c r="AX2412" t="s">
        <v>68</v>
      </c>
      <c r="AY2412" t="s">
        <v>69</v>
      </c>
      <c r="AZ2412" t="b">
        <v>1</v>
      </c>
    </row>
    <row r="2413" spans="1:52" x14ac:dyDescent="0.3">
      <c r="A2413" t="s">
        <v>52</v>
      </c>
      <c r="B2413" t="s">
        <v>53</v>
      </c>
      <c r="C2413" t="s">
        <v>54</v>
      </c>
      <c r="D2413" t="s">
        <v>55</v>
      </c>
      <c r="E2413" t="s">
        <v>2155</v>
      </c>
      <c r="F2413" t="s">
        <v>190</v>
      </c>
      <c r="G2413" t="s">
        <v>631</v>
      </c>
      <c r="H2413" t="s">
        <v>632</v>
      </c>
      <c r="I2413" t="s">
        <v>632</v>
      </c>
      <c r="J2413" t="s">
        <v>60</v>
      </c>
      <c r="K2413" t="s">
        <v>530</v>
      </c>
      <c r="L2413" t="s">
        <v>62</v>
      </c>
      <c r="M2413" t="s">
        <v>530</v>
      </c>
      <c r="N2413" t="s">
        <v>633</v>
      </c>
      <c r="O2413" t="s">
        <v>634</v>
      </c>
      <c r="P2413">
        <v>-20.142136000000001</v>
      </c>
      <c r="Q2413">
        <v>-44.893895999999998</v>
      </c>
      <c r="R2413" s="2" t="str">
        <f>HYPERLINK("https://www.google.com/maps?q=-20.1421360,-44.8938960","Abrir no Google Maps")</f>
        <v>Abrir no Google Maps</v>
      </c>
      <c r="S2413">
        <v>3</v>
      </c>
      <c r="T2413">
        <v>252.77776243958951</v>
      </c>
      <c r="U2413">
        <v>4</v>
      </c>
      <c r="V2413">
        <v>0.43645607736607023</v>
      </c>
      <c r="W2413">
        <v>1</v>
      </c>
      <c r="X2413">
        <v>0.43645607736607023</v>
      </c>
      <c r="Y2413">
        <v>505</v>
      </c>
      <c r="Z2413">
        <v>331.79497003706751</v>
      </c>
      <c r="AA2413">
        <v>198</v>
      </c>
      <c r="AB2413">
        <v>332</v>
      </c>
      <c r="AC2413">
        <v>536</v>
      </c>
      <c r="AD2413">
        <v>29.96</v>
      </c>
      <c r="AE2413">
        <v>542</v>
      </c>
      <c r="AF2413">
        <v>29</v>
      </c>
      <c r="AG2413">
        <v>174</v>
      </c>
      <c r="AH2413">
        <v>129</v>
      </c>
      <c r="AI2413">
        <v>5.35</v>
      </c>
      <c r="AJ2413">
        <v>32.1</v>
      </c>
      <c r="AK2413">
        <v>23.8</v>
      </c>
      <c r="AL2413">
        <v>-20.142209999999949</v>
      </c>
      <c r="AM2413">
        <v>-44.893919659400702</v>
      </c>
      <c r="AN2413">
        <v>-20.142209999999949</v>
      </c>
      <c r="AO2413">
        <v>-44.893919659400702</v>
      </c>
      <c r="AP2413">
        <v>-20.142136000000001</v>
      </c>
      <c r="AQ2413">
        <v>-44.893895999999998</v>
      </c>
      <c r="AR2413">
        <v>8.6007875127343159</v>
      </c>
      <c r="AS2413" t="s">
        <v>65</v>
      </c>
      <c r="AT2413">
        <v>1</v>
      </c>
      <c r="AU2413" t="s">
        <v>635</v>
      </c>
      <c r="AV2413" t="s">
        <v>636</v>
      </c>
      <c r="AW2413" t="s">
        <v>60</v>
      </c>
      <c r="AX2413" t="s">
        <v>68</v>
      </c>
      <c r="AY2413" t="s">
        <v>69</v>
      </c>
      <c r="AZ2413" t="b">
        <v>1</v>
      </c>
    </row>
    <row r="2414" spans="1:52" x14ac:dyDescent="0.3">
      <c r="A2414" t="s">
        <v>52</v>
      </c>
      <c r="B2414" t="s">
        <v>53</v>
      </c>
      <c r="C2414" t="s">
        <v>54</v>
      </c>
      <c r="D2414" t="s">
        <v>55</v>
      </c>
      <c r="E2414" t="s">
        <v>2155</v>
      </c>
      <c r="F2414" t="s">
        <v>190</v>
      </c>
      <c r="G2414" t="s">
        <v>957</v>
      </c>
      <c r="H2414" t="s">
        <v>958</v>
      </c>
      <c r="I2414" t="s">
        <v>958</v>
      </c>
      <c r="J2414" t="s">
        <v>60</v>
      </c>
      <c r="K2414" t="s">
        <v>262</v>
      </c>
      <c r="L2414" t="s">
        <v>62</v>
      </c>
      <c r="M2414" t="s">
        <v>262</v>
      </c>
      <c r="N2414" t="s">
        <v>959</v>
      </c>
      <c r="O2414" t="s">
        <v>960</v>
      </c>
      <c r="P2414">
        <v>-20.165469999999999</v>
      </c>
      <c r="Q2414">
        <v>-44.854308000000003</v>
      </c>
      <c r="R2414" s="2" t="str">
        <f>HYPERLINK("https://www.google.com/maps?q=-20.1654700,-44.8543080","Abrir no Google Maps")</f>
        <v>Abrir no Google Maps</v>
      </c>
      <c r="S2414">
        <v>3</v>
      </c>
      <c r="T2414">
        <v>555.06043712641599</v>
      </c>
      <c r="U2414">
        <v>4</v>
      </c>
      <c r="V2414">
        <v>0.42379442614424412</v>
      </c>
      <c r="W2414">
        <v>1</v>
      </c>
      <c r="X2414">
        <v>0.42379442614424412</v>
      </c>
      <c r="Y2414">
        <v>491</v>
      </c>
      <c r="Z2414">
        <v>423.16855805320131</v>
      </c>
      <c r="AA2414">
        <v>198</v>
      </c>
      <c r="AB2414">
        <v>332</v>
      </c>
      <c r="AC2414">
        <v>536</v>
      </c>
      <c r="AD2414">
        <v>29.96</v>
      </c>
      <c r="AE2414">
        <v>542</v>
      </c>
      <c r="AF2414">
        <v>29</v>
      </c>
      <c r="AG2414">
        <v>174</v>
      </c>
      <c r="AH2414">
        <v>129</v>
      </c>
      <c r="AI2414">
        <v>5.35</v>
      </c>
      <c r="AJ2414">
        <v>32.1</v>
      </c>
      <c r="AK2414">
        <v>23.8</v>
      </c>
      <c r="AL2414">
        <v>-20.165538449999961</v>
      </c>
      <c r="AM2414">
        <v>-44.854274624633042</v>
      </c>
      <c r="AN2414">
        <v>-20.165538449999961</v>
      </c>
      <c r="AO2414">
        <v>-44.854274624633042</v>
      </c>
      <c r="AP2414">
        <v>-20.165469999999999</v>
      </c>
      <c r="AQ2414">
        <v>-44.854308000000003</v>
      </c>
      <c r="AR2414">
        <v>8.3800661572970956</v>
      </c>
      <c r="AS2414" t="s">
        <v>65</v>
      </c>
      <c r="AT2414">
        <v>1</v>
      </c>
      <c r="AU2414" t="s">
        <v>961</v>
      </c>
      <c r="AV2414" t="s">
        <v>962</v>
      </c>
      <c r="AW2414" t="s">
        <v>60</v>
      </c>
      <c r="AX2414" t="s">
        <v>68</v>
      </c>
      <c r="AY2414" t="s">
        <v>69</v>
      </c>
      <c r="AZ2414" t="b">
        <v>1</v>
      </c>
    </row>
    <row r="2415" spans="1:52" x14ac:dyDescent="0.3">
      <c r="A2415" t="s">
        <v>52</v>
      </c>
      <c r="B2415" t="s">
        <v>53</v>
      </c>
      <c r="C2415" t="s">
        <v>54</v>
      </c>
      <c r="D2415" t="s">
        <v>55</v>
      </c>
      <c r="E2415" t="s">
        <v>2155</v>
      </c>
      <c r="F2415" t="s">
        <v>190</v>
      </c>
      <c r="G2415" t="s">
        <v>963</v>
      </c>
      <c r="H2415" t="s">
        <v>964</v>
      </c>
      <c r="I2415" t="s">
        <v>964</v>
      </c>
      <c r="J2415" t="s">
        <v>60</v>
      </c>
      <c r="K2415" t="s">
        <v>702</v>
      </c>
      <c r="L2415" t="s">
        <v>62</v>
      </c>
      <c r="M2415" t="s">
        <v>702</v>
      </c>
      <c r="N2415" t="s">
        <v>965</v>
      </c>
      <c r="O2415" t="s">
        <v>960</v>
      </c>
      <c r="P2415">
        <v>-20.164622000000001</v>
      </c>
      <c r="Q2415">
        <v>-44.860289999999999</v>
      </c>
      <c r="R2415" s="2" t="str">
        <f>HYPERLINK("https://www.google.com/maps?q=-20.1646220,-44.8602900","Abrir no Google Maps")</f>
        <v>Abrir no Google Maps</v>
      </c>
      <c r="S2415">
        <v>3</v>
      </c>
      <c r="T2415">
        <v>393.43725605569188</v>
      </c>
      <c r="U2415">
        <v>4</v>
      </c>
      <c r="V2415">
        <v>0.4231786733001659</v>
      </c>
      <c r="W2415">
        <v>1</v>
      </c>
      <c r="X2415">
        <v>0.4231786733001659</v>
      </c>
      <c r="Y2415">
        <v>491</v>
      </c>
      <c r="Z2415">
        <v>358.96336458076678</v>
      </c>
      <c r="AA2415">
        <v>198</v>
      </c>
      <c r="AB2415">
        <v>332</v>
      </c>
      <c r="AC2415">
        <v>536</v>
      </c>
      <c r="AD2415">
        <v>29.96</v>
      </c>
      <c r="AE2415">
        <v>542</v>
      </c>
      <c r="AF2415">
        <v>29</v>
      </c>
      <c r="AG2415">
        <v>174</v>
      </c>
      <c r="AH2415">
        <v>129</v>
      </c>
      <c r="AI2415">
        <v>5.35</v>
      </c>
      <c r="AJ2415">
        <v>32.1</v>
      </c>
      <c r="AK2415">
        <v>23.8</v>
      </c>
      <c r="AL2415">
        <v>-20.164560849999951</v>
      </c>
      <c r="AM2415">
        <v>-44.860330680844072</v>
      </c>
      <c r="AN2415">
        <v>-20.164560849999951</v>
      </c>
      <c r="AO2415">
        <v>-44.860330680844072</v>
      </c>
      <c r="AP2415">
        <v>-20.164622000000001</v>
      </c>
      <c r="AQ2415">
        <v>-44.860289999999999</v>
      </c>
      <c r="AR2415">
        <v>8.0255448908437454</v>
      </c>
      <c r="AS2415" t="s">
        <v>65</v>
      </c>
      <c r="AT2415">
        <v>1</v>
      </c>
      <c r="AU2415" t="s">
        <v>966</v>
      </c>
      <c r="AV2415" t="s">
        <v>967</v>
      </c>
      <c r="AW2415" t="s">
        <v>60</v>
      </c>
      <c r="AX2415" t="s">
        <v>68</v>
      </c>
      <c r="AY2415" t="s">
        <v>69</v>
      </c>
      <c r="AZ2415" t="b">
        <v>1</v>
      </c>
    </row>
    <row r="2416" spans="1:52" x14ac:dyDescent="0.3">
      <c r="A2416" t="s">
        <v>52</v>
      </c>
      <c r="B2416" t="s">
        <v>53</v>
      </c>
      <c r="C2416" t="s">
        <v>54</v>
      </c>
      <c r="D2416" t="s">
        <v>55</v>
      </c>
      <c r="E2416" t="s">
        <v>2155</v>
      </c>
      <c r="F2416" t="s">
        <v>190</v>
      </c>
      <c r="G2416" t="s">
        <v>974</v>
      </c>
      <c r="H2416" t="s">
        <v>975</v>
      </c>
      <c r="I2416" t="s">
        <v>975</v>
      </c>
      <c r="J2416" t="s">
        <v>60</v>
      </c>
      <c r="K2416" t="s">
        <v>702</v>
      </c>
      <c r="L2416" t="s">
        <v>62</v>
      </c>
      <c r="M2416" t="s">
        <v>702</v>
      </c>
      <c r="N2416" t="s">
        <v>976</v>
      </c>
      <c r="O2416" t="s">
        <v>977</v>
      </c>
      <c r="P2416">
        <v>-20.167021999999999</v>
      </c>
      <c r="Q2416">
        <v>-44.863095000000001</v>
      </c>
      <c r="R2416" s="2" t="str">
        <f>HYPERLINK("https://www.google.com/maps?q=-20.1670220,-44.8630950","Abrir no Google Maps")</f>
        <v>Abrir no Google Maps</v>
      </c>
      <c r="S2416">
        <v>3</v>
      </c>
      <c r="T2416">
        <v>629.02897442495839</v>
      </c>
      <c r="U2416">
        <v>4</v>
      </c>
      <c r="V2416">
        <v>0.4339729146502071</v>
      </c>
      <c r="W2416">
        <v>1</v>
      </c>
      <c r="X2416">
        <v>0.4339729146502071</v>
      </c>
      <c r="Y2416">
        <v>491</v>
      </c>
      <c r="Z2416">
        <v>693.48000708961661</v>
      </c>
      <c r="AA2416">
        <v>198</v>
      </c>
      <c r="AB2416">
        <v>332</v>
      </c>
      <c r="AC2416">
        <v>536</v>
      </c>
      <c r="AD2416">
        <v>29.96</v>
      </c>
      <c r="AE2416">
        <v>542</v>
      </c>
      <c r="AF2416">
        <v>29</v>
      </c>
      <c r="AG2416">
        <v>174</v>
      </c>
      <c r="AH2416">
        <v>129</v>
      </c>
      <c r="AI2416">
        <v>5.35</v>
      </c>
      <c r="AJ2416">
        <v>32.1</v>
      </c>
      <c r="AK2416">
        <v>23.8</v>
      </c>
      <c r="AL2416">
        <v>-20.167032199999941</v>
      </c>
      <c r="AM2416">
        <v>-44.863123980291967</v>
      </c>
      <c r="AN2416">
        <v>-20.167032199999941</v>
      </c>
      <c r="AO2416">
        <v>-44.863123980291967</v>
      </c>
      <c r="AP2416">
        <v>-20.167021999999999</v>
      </c>
      <c r="AQ2416">
        <v>-44.863095000000001</v>
      </c>
      <c r="AR2416">
        <v>3.2341734571542871</v>
      </c>
      <c r="AS2416" t="s">
        <v>65</v>
      </c>
      <c r="AT2416">
        <v>1</v>
      </c>
      <c r="AU2416" t="s">
        <v>978</v>
      </c>
      <c r="AV2416" t="s">
        <v>979</v>
      </c>
      <c r="AW2416" t="s">
        <v>60</v>
      </c>
      <c r="AX2416" t="s">
        <v>68</v>
      </c>
      <c r="AY2416" t="s">
        <v>69</v>
      </c>
      <c r="AZ2416" t="b">
        <v>1</v>
      </c>
    </row>
    <row r="2417" spans="1:52" x14ac:dyDescent="0.3">
      <c r="A2417" t="s">
        <v>52</v>
      </c>
      <c r="B2417" t="s">
        <v>53</v>
      </c>
      <c r="C2417" t="s">
        <v>54</v>
      </c>
      <c r="D2417" t="s">
        <v>55</v>
      </c>
      <c r="E2417" t="s">
        <v>2155</v>
      </c>
      <c r="F2417" t="s">
        <v>190</v>
      </c>
      <c r="G2417" t="s">
        <v>986</v>
      </c>
      <c r="H2417" t="s">
        <v>987</v>
      </c>
      <c r="I2417" t="s">
        <v>987</v>
      </c>
      <c r="J2417" t="s">
        <v>60</v>
      </c>
      <c r="K2417" t="s">
        <v>702</v>
      </c>
      <c r="L2417" t="s">
        <v>62</v>
      </c>
      <c r="M2417" t="s">
        <v>702</v>
      </c>
      <c r="N2417" t="s">
        <v>988</v>
      </c>
      <c r="O2417" t="s">
        <v>989</v>
      </c>
      <c r="P2417">
        <v>-20.1691</v>
      </c>
      <c r="Q2417">
        <v>-44.860813999999998</v>
      </c>
      <c r="R2417" s="2" t="str">
        <f>HYPERLINK("https://www.google.com/maps?q=-20.1691000,-44.8608140","Abrir no Google Maps")</f>
        <v>Abrir no Google Maps</v>
      </c>
      <c r="S2417">
        <v>3</v>
      </c>
      <c r="T2417">
        <v>596.11124105675003</v>
      </c>
      <c r="U2417">
        <v>4</v>
      </c>
      <c r="V2417">
        <v>0.42640211458023058</v>
      </c>
      <c r="W2417">
        <v>1</v>
      </c>
      <c r="X2417">
        <v>0.42640211458023058</v>
      </c>
      <c r="Y2417">
        <v>491</v>
      </c>
      <c r="Z2417">
        <v>741.65354053819078</v>
      </c>
      <c r="AA2417">
        <v>198</v>
      </c>
      <c r="AB2417">
        <v>332</v>
      </c>
      <c r="AC2417">
        <v>536</v>
      </c>
      <c r="AD2417">
        <v>29.96</v>
      </c>
      <c r="AE2417">
        <v>542</v>
      </c>
      <c r="AF2417">
        <v>29</v>
      </c>
      <c r="AG2417">
        <v>174</v>
      </c>
      <c r="AH2417">
        <v>129</v>
      </c>
      <c r="AI2417">
        <v>5.35</v>
      </c>
      <c r="AJ2417">
        <v>32.1</v>
      </c>
      <c r="AK2417">
        <v>23.8</v>
      </c>
      <c r="AL2417">
        <v>-20.168995449999951</v>
      </c>
      <c r="AM2417">
        <v>-44.86088900357106</v>
      </c>
      <c r="AN2417">
        <v>-20.168995449999951</v>
      </c>
      <c r="AO2417">
        <v>-44.86088900357106</v>
      </c>
      <c r="AP2417">
        <v>-20.1691</v>
      </c>
      <c r="AQ2417">
        <v>-44.860813999999998</v>
      </c>
      <c r="AR2417">
        <v>14.03138702725616</v>
      </c>
      <c r="AS2417" t="s">
        <v>65</v>
      </c>
      <c r="AT2417">
        <v>1</v>
      </c>
      <c r="AU2417" t="s">
        <v>990</v>
      </c>
      <c r="AV2417" t="s">
        <v>991</v>
      </c>
      <c r="AW2417" t="s">
        <v>60</v>
      </c>
      <c r="AX2417" t="s">
        <v>68</v>
      </c>
      <c r="AY2417" t="s">
        <v>69</v>
      </c>
      <c r="AZ2417" t="b">
        <v>1</v>
      </c>
    </row>
    <row r="2418" spans="1:52" x14ac:dyDescent="0.3">
      <c r="A2418" t="s">
        <v>52</v>
      </c>
      <c r="B2418" t="s">
        <v>53</v>
      </c>
      <c r="C2418" t="s">
        <v>54</v>
      </c>
      <c r="D2418" t="s">
        <v>55</v>
      </c>
      <c r="E2418" t="s">
        <v>2155</v>
      </c>
      <c r="F2418" t="s">
        <v>190</v>
      </c>
      <c r="G2418" t="s">
        <v>643</v>
      </c>
      <c r="H2418" t="s">
        <v>644</v>
      </c>
      <c r="I2418" t="s">
        <v>644</v>
      </c>
      <c r="J2418" t="s">
        <v>60</v>
      </c>
      <c r="K2418" t="s">
        <v>462</v>
      </c>
      <c r="L2418" t="s">
        <v>62</v>
      </c>
      <c r="M2418" t="s">
        <v>462</v>
      </c>
      <c r="N2418" t="s">
        <v>645</v>
      </c>
      <c r="O2418" t="s">
        <v>646</v>
      </c>
      <c r="P2418">
        <v>-20.138680000000001</v>
      </c>
      <c r="Q2418">
        <v>-44.901313000000002</v>
      </c>
      <c r="R2418" s="2" t="str">
        <f>HYPERLINK("https://www.google.com/maps?q=-20.1386800,-44.9013130","Abrir no Google Maps")</f>
        <v>Abrir no Google Maps</v>
      </c>
      <c r="S2418">
        <v>3</v>
      </c>
      <c r="T2418">
        <v>322.91859681380862</v>
      </c>
      <c r="U2418">
        <v>4</v>
      </c>
      <c r="V2418">
        <v>0.43310539053691538</v>
      </c>
      <c r="W2418">
        <v>1</v>
      </c>
      <c r="X2418">
        <v>0.43310539053691538</v>
      </c>
      <c r="Y2418">
        <v>435</v>
      </c>
      <c r="Z2418">
        <v>299.891766434874</v>
      </c>
      <c r="AA2418">
        <v>198</v>
      </c>
      <c r="AB2418">
        <v>332</v>
      </c>
      <c r="AC2418">
        <v>536</v>
      </c>
      <c r="AD2418">
        <v>29.96</v>
      </c>
      <c r="AE2418">
        <v>542</v>
      </c>
      <c r="AF2418">
        <v>29</v>
      </c>
      <c r="AG2418">
        <v>174</v>
      </c>
      <c r="AH2418">
        <v>129</v>
      </c>
      <c r="AI2418">
        <v>5.35</v>
      </c>
      <c r="AJ2418">
        <v>32.1</v>
      </c>
      <c r="AK2418">
        <v>23.8</v>
      </c>
      <c r="AL2418">
        <v>-20.13865734999996</v>
      </c>
      <c r="AM2418">
        <v>-44.901255803238627</v>
      </c>
      <c r="AN2418">
        <v>-20.13865734999996</v>
      </c>
      <c r="AO2418">
        <v>-44.901255803238627</v>
      </c>
      <c r="AP2418">
        <v>-20.138680000000001</v>
      </c>
      <c r="AQ2418">
        <v>-44.901313000000002</v>
      </c>
      <c r="AR2418">
        <v>6.4878640135702481</v>
      </c>
      <c r="AS2418" t="s">
        <v>65</v>
      </c>
      <c r="AT2418">
        <v>1</v>
      </c>
      <c r="AU2418" t="s">
        <v>647</v>
      </c>
      <c r="AV2418" t="s">
        <v>648</v>
      </c>
      <c r="AW2418" t="s">
        <v>60</v>
      </c>
      <c r="AX2418" t="s">
        <v>68</v>
      </c>
      <c r="AY2418" t="s">
        <v>69</v>
      </c>
      <c r="AZ2418" t="b">
        <v>1</v>
      </c>
    </row>
    <row r="2419" spans="1:52" x14ac:dyDescent="0.3">
      <c r="A2419" t="s">
        <v>52</v>
      </c>
      <c r="B2419" t="s">
        <v>53</v>
      </c>
      <c r="C2419" t="s">
        <v>54</v>
      </c>
      <c r="D2419" t="s">
        <v>55</v>
      </c>
      <c r="E2419" t="s">
        <v>2155</v>
      </c>
      <c r="F2419" t="s">
        <v>190</v>
      </c>
      <c r="G2419" t="s">
        <v>649</v>
      </c>
      <c r="H2419" t="s">
        <v>650</v>
      </c>
      <c r="I2419" t="s">
        <v>650</v>
      </c>
      <c r="J2419" t="s">
        <v>60</v>
      </c>
      <c r="K2419" t="s">
        <v>651</v>
      </c>
      <c r="L2419" t="s">
        <v>62</v>
      </c>
      <c r="M2419" t="s">
        <v>651</v>
      </c>
      <c r="N2419" t="s">
        <v>652</v>
      </c>
      <c r="O2419" t="s">
        <v>653</v>
      </c>
      <c r="P2419">
        <v>-20.134566</v>
      </c>
      <c r="Q2419">
        <v>-44.894970999999998</v>
      </c>
      <c r="R2419" s="2" t="str">
        <f>HYPERLINK("https://www.google.com/maps?q=-20.1345660,-44.8949710","Abrir no Google Maps")</f>
        <v>Abrir no Google Maps</v>
      </c>
      <c r="S2419">
        <v>3</v>
      </c>
      <c r="T2419">
        <v>722.088947634291</v>
      </c>
      <c r="U2419">
        <v>4</v>
      </c>
      <c r="V2419">
        <v>0.43445223499361429</v>
      </c>
      <c r="W2419">
        <v>1</v>
      </c>
      <c r="X2419">
        <v>0.43445223499361429</v>
      </c>
      <c r="Y2419">
        <v>435</v>
      </c>
      <c r="Z2419">
        <v>510.93480096112631</v>
      </c>
      <c r="AA2419">
        <v>198</v>
      </c>
      <c r="AB2419">
        <v>332</v>
      </c>
      <c r="AC2419">
        <v>536</v>
      </c>
      <c r="AD2419">
        <v>29.96</v>
      </c>
      <c r="AE2419">
        <v>542</v>
      </c>
      <c r="AF2419">
        <v>29</v>
      </c>
      <c r="AG2419">
        <v>174</v>
      </c>
      <c r="AH2419">
        <v>129</v>
      </c>
      <c r="AI2419">
        <v>5.35</v>
      </c>
      <c r="AJ2419">
        <v>32.1</v>
      </c>
      <c r="AK2419">
        <v>23.8</v>
      </c>
      <c r="AL2419">
        <v>-20.134477649999951</v>
      </c>
      <c r="AM2419">
        <v>-44.894921468906077</v>
      </c>
      <c r="AN2419">
        <v>-20.134477649999951</v>
      </c>
      <c r="AO2419">
        <v>-44.894921468906077</v>
      </c>
      <c r="AP2419">
        <v>-20.134566</v>
      </c>
      <c r="AQ2419">
        <v>-44.894970999999998</v>
      </c>
      <c r="AR2419">
        <v>11.114372522967921</v>
      </c>
      <c r="AS2419" t="s">
        <v>65</v>
      </c>
      <c r="AT2419">
        <v>1</v>
      </c>
      <c r="AU2419" t="s">
        <v>654</v>
      </c>
      <c r="AV2419" t="s">
        <v>655</v>
      </c>
      <c r="AW2419" t="s">
        <v>60</v>
      </c>
      <c r="AX2419" t="s">
        <v>68</v>
      </c>
      <c r="AY2419" t="s">
        <v>69</v>
      </c>
      <c r="AZ2419" t="b">
        <v>1</v>
      </c>
    </row>
    <row r="2420" spans="1:52" x14ac:dyDescent="0.3">
      <c r="A2420" t="s">
        <v>52</v>
      </c>
      <c r="B2420" t="s">
        <v>53</v>
      </c>
      <c r="C2420" t="s">
        <v>54</v>
      </c>
      <c r="D2420" t="s">
        <v>55</v>
      </c>
      <c r="E2420" t="s">
        <v>2155</v>
      </c>
      <c r="F2420" t="s">
        <v>190</v>
      </c>
      <c r="G2420" t="s">
        <v>656</v>
      </c>
      <c r="H2420" t="s">
        <v>657</v>
      </c>
      <c r="I2420" t="s">
        <v>657</v>
      </c>
      <c r="J2420" t="s">
        <v>60</v>
      </c>
      <c r="K2420" t="s">
        <v>651</v>
      </c>
      <c r="L2420" t="s">
        <v>62</v>
      </c>
      <c r="M2420" t="s">
        <v>651</v>
      </c>
      <c r="N2420" t="s">
        <v>658</v>
      </c>
      <c r="O2420" t="s">
        <v>659</v>
      </c>
      <c r="P2420">
        <v>-20.134922</v>
      </c>
      <c r="Q2420">
        <v>-44.893098000000002</v>
      </c>
      <c r="R2420" s="2" t="str">
        <f>HYPERLINK("https://www.google.com/maps?q=-20.1349220,-44.8930980","Abrir no Google Maps")</f>
        <v>Abrir no Google Maps</v>
      </c>
      <c r="S2420">
        <v>3</v>
      </c>
      <c r="T2420">
        <v>589.83980259734562</v>
      </c>
      <c r="U2420">
        <v>4</v>
      </c>
      <c r="V2420">
        <v>0.45648347611546047</v>
      </c>
      <c r="W2420">
        <v>1</v>
      </c>
      <c r="X2420">
        <v>0.45648347611546047</v>
      </c>
      <c r="Y2420">
        <v>435</v>
      </c>
      <c r="Z2420">
        <v>663.80986080131709</v>
      </c>
      <c r="AA2420">
        <v>198</v>
      </c>
      <c r="AB2420">
        <v>332</v>
      </c>
      <c r="AC2420">
        <v>536</v>
      </c>
      <c r="AD2420">
        <v>29.96</v>
      </c>
      <c r="AE2420">
        <v>542</v>
      </c>
      <c r="AF2420">
        <v>29</v>
      </c>
      <c r="AG2420">
        <v>174</v>
      </c>
      <c r="AH2420">
        <v>129</v>
      </c>
      <c r="AI2420">
        <v>5.35</v>
      </c>
      <c r="AJ2420">
        <v>32.1</v>
      </c>
      <c r="AK2420">
        <v>23.8</v>
      </c>
      <c r="AL2420">
        <v>-20.135021049999949</v>
      </c>
      <c r="AM2420">
        <v>-44.893227478208203</v>
      </c>
      <c r="AN2420">
        <v>-20.135021049999949</v>
      </c>
      <c r="AO2420">
        <v>-44.893227478208203</v>
      </c>
      <c r="AP2420">
        <v>-20.134922</v>
      </c>
      <c r="AQ2420">
        <v>-44.893098000000002</v>
      </c>
      <c r="AR2420">
        <v>17.455940349902249</v>
      </c>
      <c r="AS2420" t="s">
        <v>65</v>
      </c>
      <c r="AT2420">
        <v>1</v>
      </c>
      <c r="AU2420" t="s">
        <v>660</v>
      </c>
      <c r="AV2420" t="s">
        <v>661</v>
      </c>
      <c r="AW2420" t="s">
        <v>60</v>
      </c>
      <c r="AX2420" t="s">
        <v>68</v>
      </c>
      <c r="AY2420" t="s">
        <v>69</v>
      </c>
      <c r="AZ2420" t="b">
        <v>1</v>
      </c>
    </row>
    <row r="2421" spans="1:52" x14ac:dyDescent="0.3">
      <c r="A2421" t="s">
        <v>52</v>
      </c>
      <c r="B2421" t="s">
        <v>53</v>
      </c>
      <c r="C2421" t="s">
        <v>54</v>
      </c>
      <c r="D2421" t="s">
        <v>55</v>
      </c>
      <c r="E2421" t="s">
        <v>2155</v>
      </c>
      <c r="F2421" t="s">
        <v>190</v>
      </c>
      <c r="G2421" t="s">
        <v>669</v>
      </c>
      <c r="H2421" t="s">
        <v>670</v>
      </c>
      <c r="I2421" t="s">
        <v>670</v>
      </c>
      <c r="J2421" t="s">
        <v>60</v>
      </c>
      <c r="K2421" t="s">
        <v>530</v>
      </c>
      <c r="L2421" t="s">
        <v>62</v>
      </c>
      <c r="M2421" t="s">
        <v>530</v>
      </c>
      <c r="N2421" t="s">
        <v>671</v>
      </c>
      <c r="O2421" t="s">
        <v>672</v>
      </c>
      <c r="P2421">
        <v>-20.139036999999998</v>
      </c>
      <c r="Q2421">
        <v>-44.889187</v>
      </c>
      <c r="R2421" s="2" t="str">
        <f>HYPERLINK("https://www.google.com/maps?q=-20.1390370,-44.8891870","Abrir no Google Maps")</f>
        <v>Abrir no Google Maps</v>
      </c>
      <c r="S2421">
        <v>3</v>
      </c>
      <c r="T2421">
        <v>162.03713995333371</v>
      </c>
      <c r="U2421">
        <v>4</v>
      </c>
      <c r="V2421">
        <v>0.44078065990357568</v>
      </c>
      <c r="W2421">
        <v>1</v>
      </c>
      <c r="X2421">
        <v>0.44078065990357568</v>
      </c>
      <c r="Y2421">
        <v>428</v>
      </c>
      <c r="Z2421">
        <v>126.21352118044651</v>
      </c>
      <c r="AA2421">
        <v>198</v>
      </c>
      <c r="AB2421">
        <v>332</v>
      </c>
      <c r="AC2421">
        <v>536</v>
      </c>
      <c r="AD2421">
        <v>29.96</v>
      </c>
      <c r="AE2421">
        <v>542</v>
      </c>
      <c r="AF2421">
        <v>29</v>
      </c>
      <c r="AG2421">
        <v>174</v>
      </c>
      <c r="AH2421">
        <v>129</v>
      </c>
      <c r="AI2421">
        <v>5.35</v>
      </c>
      <c r="AJ2421">
        <v>32.1</v>
      </c>
      <c r="AK2421">
        <v>23.8</v>
      </c>
      <c r="AL2421">
        <v>-20.13900394999996</v>
      </c>
      <c r="AM2421">
        <v>-44.889298503583859</v>
      </c>
      <c r="AN2421">
        <v>-20.13900394999996</v>
      </c>
      <c r="AO2421">
        <v>-44.889298503583859</v>
      </c>
      <c r="AP2421">
        <v>-20.139036999999998</v>
      </c>
      <c r="AQ2421">
        <v>-44.889187</v>
      </c>
      <c r="AR2421">
        <v>12.220642731957311</v>
      </c>
      <c r="AS2421" t="s">
        <v>65</v>
      </c>
      <c r="AT2421">
        <v>1</v>
      </c>
      <c r="AU2421" t="s">
        <v>673</v>
      </c>
      <c r="AV2421" t="s">
        <v>674</v>
      </c>
      <c r="AW2421" t="s">
        <v>60</v>
      </c>
      <c r="AX2421" t="s">
        <v>68</v>
      </c>
      <c r="AY2421" t="s">
        <v>69</v>
      </c>
      <c r="AZ2421" t="b">
        <v>1</v>
      </c>
    </row>
    <row r="2422" spans="1:52" x14ac:dyDescent="0.3">
      <c r="A2422" t="s">
        <v>52</v>
      </c>
      <c r="B2422" t="s">
        <v>53</v>
      </c>
      <c r="C2422" t="s">
        <v>54</v>
      </c>
      <c r="D2422" t="s">
        <v>55</v>
      </c>
      <c r="E2422" t="s">
        <v>2155</v>
      </c>
      <c r="F2422" t="s">
        <v>190</v>
      </c>
      <c r="G2422" t="s">
        <v>675</v>
      </c>
      <c r="H2422" t="s">
        <v>676</v>
      </c>
      <c r="I2422" t="s">
        <v>676</v>
      </c>
      <c r="J2422" t="s">
        <v>60</v>
      </c>
      <c r="K2422" t="s">
        <v>530</v>
      </c>
      <c r="L2422" t="s">
        <v>62</v>
      </c>
      <c r="M2422" t="s">
        <v>530</v>
      </c>
      <c r="N2422" t="s">
        <v>677</v>
      </c>
      <c r="O2422" t="s">
        <v>678</v>
      </c>
      <c r="P2422">
        <v>-20.140103</v>
      </c>
      <c r="Q2422">
        <v>-44.887059999999998</v>
      </c>
      <c r="R2422" s="2" t="str">
        <f>HYPERLINK("https://www.google.com/maps?q=-20.1401030,-44.8870600","Abrir no Google Maps")</f>
        <v>Abrir no Google Maps</v>
      </c>
      <c r="S2422">
        <v>3</v>
      </c>
      <c r="T2422">
        <v>202.19329492684349</v>
      </c>
      <c r="U2422">
        <v>4</v>
      </c>
      <c r="V2422">
        <v>0.4363465856640304</v>
      </c>
      <c r="W2422">
        <v>1</v>
      </c>
      <c r="X2422">
        <v>0.4363465856640304</v>
      </c>
      <c r="Y2422">
        <v>428</v>
      </c>
      <c r="Z2422">
        <v>144.95603883960419</v>
      </c>
      <c r="AA2422">
        <v>198</v>
      </c>
      <c r="AB2422">
        <v>332</v>
      </c>
      <c r="AC2422">
        <v>536</v>
      </c>
      <c r="AD2422">
        <v>29.96</v>
      </c>
      <c r="AE2422">
        <v>542</v>
      </c>
      <c r="AF2422">
        <v>29</v>
      </c>
      <c r="AG2422">
        <v>174</v>
      </c>
      <c r="AH2422">
        <v>129</v>
      </c>
      <c r="AI2422">
        <v>5.35</v>
      </c>
      <c r="AJ2422">
        <v>32.1</v>
      </c>
      <c r="AK2422">
        <v>23.8</v>
      </c>
      <c r="AL2422">
        <v>-20.13997164999995</v>
      </c>
      <c r="AM2422">
        <v>-44.887075246455773</v>
      </c>
      <c r="AN2422">
        <v>-20.13997164999995</v>
      </c>
      <c r="AO2422">
        <v>-44.887075246455773</v>
      </c>
      <c r="AP2422">
        <v>-20.140103</v>
      </c>
      <c r="AQ2422">
        <v>-44.887059999999998</v>
      </c>
      <c r="AR2422">
        <v>14.7084512385181</v>
      </c>
      <c r="AS2422" t="s">
        <v>65</v>
      </c>
      <c r="AT2422">
        <v>1</v>
      </c>
      <c r="AU2422" t="s">
        <v>679</v>
      </c>
      <c r="AV2422" t="s">
        <v>680</v>
      </c>
      <c r="AW2422" t="s">
        <v>60</v>
      </c>
      <c r="AX2422" t="s">
        <v>68</v>
      </c>
      <c r="AY2422" t="s">
        <v>69</v>
      </c>
      <c r="AZ2422" t="b">
        <v>1</v>
      </c>
    </row>
    <row r="2423" spans="1:52" x14ac:dyDescent="0.3">
      <c r="A2423" t="s">
        <v>52</v>
      </c>
      <c r="B2423" t="s">
        <v>53</v>
      </c>
      <c r="C2423" t="s">
        <v>54</v>
      </c>
      <c r="D2423" t="s">
        <v>55</v>
      </c>
      <c r="E2423" t="s">
        <v>2155</v>
      </c>
      <c r="F2423" t="s">
        <v>190</v>
      </c>
      <c r="G2423" t="s">
        <v>681</v>
      </c>
      <c r="H2423" t="s">
        <v>682</v>
      </c>
      <c r="I2423" t="s">
        <v>682</v>
      </c>
      <c r="J2423" t="s">
        <v>60</v>
      </c>
      <c r="K2423" t="s">
        <v>530</v>
      </c>
      <c r="L2423" t="s">
        <v>62</v>
      </c>
      <c r="M2423" t="s">
        <v>530</v>
      </c>
      <c r="N2423" t="s">
        <v>683</v>
      </c>
      <c r="O2423" t="s">
        <v>173</v>
      </c>
      <c r="P2423">
        <v>-20.138342999999999</v>
      </c>
      <c r="Q2423">
        <v>-44.887732</v>
      </c>
      <c r="R2423" s="2" t="str">
        <f>HYPERLINK("https://www.google.com/maps?q=-20.1383430,-44.8877320","Abrir no Google Maps")</f>
        <v>Abrir no Google Maps</v>
      </c>
      <c r="S2423">
        <v>3</v>
      </c>
      <c r="T2423">
        <v>0</v>
      </c>
      <c r="U2423">
        <v>4</v>
      </c>
      <c r="V2423">
        <v>0.43193616743598201</v>
      </c>
      <c r="W2423">
        <v>1</v>
      </c>
      <c r="X2423">
        <v>0.43193616743598201</v>
      </c>
      <c r="Y2423">
        <v>428</v>
      </c>
      <c r="Z2423">
        <v>82.685534812530861</v>
      </c>
      <c r="AA2423">
        <v>198</v>
      </c>
      <c r="AB2423">
        <v>332</v>
      </c>
      <c r="AC2423">
        <v>536</v>
      </c>
      <c r="AD2423">
        <v>29.96</v>
      </c>
      <c r="AE2423">
        <v>542</v>
      </c>
      <c r="AF2423">
        <v>29</v>
      </c>
      <c r="AG2423">
        <v>174</v>
      </c>
      <c r="AH2423">
        <v>129</v>
      </c>
      <c r="AI2423">
        <v>5.35</v>
      </c>
      <c r="AJ2423">
        <v>32.1</v>
      </c>
      <c r="AK2423">
        <v>23.8</v>
      </c>
      <c r="AL2423">
        <v>-20.138329099999961</v>
      </c>
      <c r="AM2423">
        <v>-44.887922589375549</v>
      </c>
      <c r="AN2423">
        <v>-20.138329099999961</v>
      </c>
      <c r="AO2423">
        <v>-44.887922589375549</v>
      </c>
      <c r="AP2423">
        <v>-20.138342999999999</v>
      </c>
      <c r="AQ2423">
        <v>-44.887732</v>
      </c>
      <c r="AR2423">
        <v>19.979335127307191</v>
      </c>
      <c r="AS2423" t="s">
        <v>65</v>
      </c>
      <c r="AT2423">
        <v>1</v>
      </c>
      <c r="AU2423" t="s">
        <v>684</v>
      </c>
      <c r="AV2423" t="s">
        <v>685</v>
      </c>
      <c r="AW2423" t="s">
        <v>60</v>
      </c>
      <c r="AX2423" t="s">
        <v>68</v>
      </c>
      <c r="AY2423" t="s">
        <v>69</v>
      </c>
      <c r="AZ2423" t="b">
        <v>1</v>
      </c>
    </row>
    <row r="2424" spans="1:52" x14ac:dyDescent="0.3">
      <c r="A2424" t="s">
        <v>52</v>
      </c>
      <c r="B2424" t="s">
        <v>53</v>
      </c>
      <c r="C2424" t="s">
        <v>54</v>
      </c>
      <c r="D2424" t="s">
        <v>55</v>
      </c>
      <c r="E2424" t="s">
        <v>2155</v>
      </c>
      <c r="F2424" t="s">
        <v>190</v>
      </c>
      <c r="G2424" t="s">
        <v>686</v>
      </c>
      <c r="H2424" t="s">
        <v>687</v>
      </c>
      <c r="I2424" t="s">
        <v>687</v>
      </c>
      <c r="J2424" t="s">
        <v>60</v>
      </c>
      <c r="K2424" t="s">
        <v>688</v>
      </c>
      <c r="L2424" t="s">
        <v>62</v>
      </c>
      <c r="M2424" t="s">
        <v>688</v>
      </c>
      <c r="N2424" t="s">
        <v>689</v>
      </c>
      <c r="O2424" t="s">
        <v>690</v>
      </c>
      <c r="P2424">
        <v>-20.136451999999998</v>
      </c>
      <c r="Q2424">
        <v>-44.891254000000004</v>
      </c>
      <c r="R2424" s="2" t="str">
        <f>HYPERLINK("https://www.google.com/maps?q=-20.1364520,-44.8912540","Abrir no Google Maps")</f>
        <v>Abrir no Google Maps</v>
      </c>
      <c r="S2424">
        <v>3</v>
      </c>
      <c r="T2424">
        <v>397.58661308638909</v>
      </c>
      <c r="U2424">
        <v>4</v>
      </c>
      <c r="V2424">
        <v>0.45903442855271459</v>
      </c>
      <c r="W2424">
        <v>1</v>
      </c>
      <c r="X2424">
        <v>0.45903442855271459</v>
      </c>
      <c r="Y2424">
        <v>428</v>
      </c>
      <c r="Z2424">
        <v>449.62002896840892</v>
      </c>
      <c r="AA2424">
        <v>198</v>
      </c>
      <c r="AB2424">
        <v>332</v>
      </c>
      <c r="AC2424">
        <v>536</v>
      </c>
      <c r="AD2424">
        <v>29.96</v>
      </c>
      <c r="AE2424">
        <v>542</v>
      </c>
      <c r="AF2424">
        <v>29</v>
      </c>
      <c r="AG2424">
        <v>174</v>
      </c>
      <c r="AH2424">
        <v>129</v>
      </c>
      <c r="AI2424">
        <v>5.35</v>
      </c>
      <c r="AJ2424">
        <v>32.1</v>
      </c>
      <c r="AK2424">
        <v>23.8</v>
      </c>
      <c r="AL2424">
        <v>-20.136400499999951</v>
      </c>
      <c r="AM2424">
        <v>-44.891173264034883</v>
      </c>
      <c r="AN2424">
        <v>-20.136400499999951</v>
      </c>
      <c r="AO2424">
        <v>-44.891173264034883</v>
      </c>
      <c r="AP2424">
        <v>-20.136451999999998</v>
      </c>
      <c r="AQ2424">
        <v>-44.891254000000004</v>
      </c>
      <c r="AR2424">
        <v>10.20146066113916</v>
      </c>
      <c r="AS2424" t="s">
        <v>65</v>
      </c>
      <c r="AT2424">
        <v>1</v>
      </c>
      <c r="AU2424" t="s">
        <v>691</v>
      </c>
      <c r="AV2424" t="s">
        <v>692</v>
      </c>
      <c r="AW2424" t="s">
        <v>60</v>
      </c>
      <c r="AX2424" t="s">
        <v>68</v>
      </c>
      <c r="AY2424" t="s">
        <v>69</v>
      </c>
      <c r="AZ2424" t="b">
        <v>1</v>
      </c>
    </row>
    <row r="2425" spans="1:52" x14ac:dyDescent="0.3">
      <c r="A2425" t="s">
        <v>52</v>
      </c>
      <c r="B2425" t="s">
        <v>53</v>
      </c>
      <c r="C2425" t="s">
        <v>54</v>
      </c>
      <c r="D2425" t="s">
        <v>55</v>
      </c>
      <c r="E2425" t="s">
        <v>2155</v>
      </c>
      <c r="F2425" t="s">
        <v>190</v>
      </c>
      <c r="G2425" t="s">
        <v>1021</v>
      </c>
      <c r="H2425" t="s">
        <v>1022</v>
      </c>
      <c r="I2425" t="s">
        <v>1022</v>
      </c>
      <c r="J2425" t="s">
        <v>60</v>
      </c>
      <c r="K2425" t="s">
        <v>1023</v>
      </c>
      <c r="L2425" t="s">
        <v>62</v>
      </c>
      <c r="M2425" t="s">
        <v>1023</v>
      </c>
      <c r="N2425" t="s">
        <v>1024</v>
      </c>
      <c r="O2425" t="s">
        <v>1025</v>
      </c>
      <c r="P2425">
        <v>-20.169588999999998</v>
      </c>
      <c r="Q2425">
        <v>-44.866636</v>
      </c>
      <c r="R2425" s="2" t="str">
        <f>HYPERLINK("https://www.google.com/maps?q=-20.1695890,-44.8666360","Abrir no Google Maps")</f>
        <v>Abrir no Google Maps</v>
      </c>
      <c r="S2425">
        <v>3</v>
      </c>
      <c r="T2425">
        <v>326.02709617860302</v>
      </c>
      <c r="U2425">
        <v>4</v>
      </c>
      <c r="V2425">
        <v>0.42262841588277678</v>
      </c>
      <c r="W2425">
        <v>1</v>
      </c>
      <c r="X2425">
        <v>0.42262841588277678</v>
      </c>
      <c r="Y2425">
        <v>422</v>
      </c>
      <c r="Z2425">
        <v>333.05362278862168</v>
      </c>
      <c r="AA2425">
        <v>198</v>
      </c>
      <c r="AB2425">
        <v>332</v>
      </c>
      <c r="AC2425">
        <v>536</v>
      </c>
      <c r="AD2425">
        <v>29.96</v>
      </c>
      <c r="AE2425">
        <v>542</v>
      </c>
      <c r="AF2425">
        <v>29</v>
      </c>
      <c r="AG2425">
        <v>174</v>
      </c>
      <c r="AH2425">
        <v>129</v>
      </c>
      <c r="AI2425">
        <v>5.35</v>
      </c>
      <c r="AJ2425">
        <v>32.1</v>
      </c>
      <c r="AK2425">
        <v>23.8</v>
      </c>
      <c r="AL2425">
        <v>-20.16956104999997</v>
      </c>
      <c r="AM2425">
        <v>-44.866560528183591</v>
      </c>
      <c r="AN2425">
        <v>-20.16956104999997</v>
      </c>
      <c r="AO2425">
        <v>-44.866560528183591</v>
      </c>
      <c r="AP2425">
        <v>-20.169588999999998</v>
      </c>
      <c r="AQ2425">
        <v>-44.866636</v>
      </c>
      <c r="AR2425">
        <v>8.4778927137831293</v>
      </c>
      <c r="AS2425" t="s">
        <v>65</v>
      </c>
      <c r="AT2425">
        <v>1</v>
      </c>
      <c r="AU2425" t="s">
        <v>1026</v>
      </c>
      <c r="AV2425" t="s">
        <v>1027</v>
      </c>
      <c r="AW2425" t="s">
        <v>60</v>
      </c>
      <c r="AX2425" t="s">
        <v>68</v>
      </c>
      <c r="AY2425" t="s">
        <v>69</v>
      </c>
      <c r="AZ2425" t="b">
        <v>1</v>
      </c>
    </row>
    <row r="2426" spans="1:52" x14ac:dyDescent="0.3">
      <c r="A2426" t="s">
        <v>52</v>
      </c>
      <c r="B2426" t="s">
        <v>53</v>
      </c>
      <c r="C2426" t="s">
        <v>54</v>
      </c>
      <c r="D2426" t="s">
        <v>55</v>
      </c>
      <c r="E2426" t="s">
        <v>2155</v>
      </c>
      <c r="F2426" t="s">
        <v>190</v>
      </c>
      <c r="G2426" t="s">
        <v>1028</v>
      </c>
      <c r="H2426" t="s">
        <v>1029</v>
      </c>
      <c r="I2426" t="s">
        <v>1029</v>
      </c>
      <c r="J2426" t="s">
        <v>60</v>
      </c>
      <c r="K2426" t="s">
        <v>1016</v>
      </c>
      <c r="L2426" t="s">
        <v>62</v>
      </c>
      <c r="M2426" t="s">
        <v>1016</v>
      </c>
      <c r="N2426" t="s">
        <v>1030</v>
      </c>
      <c r="O2426" t="s">
        <v>855</v>
      </c>
      <c r="P2426">
        <v>-20.169778000000001</v>
      </c>
      <c r="Q2426">
        <v>-44.871940000000002</v>
      </c>
      <c r="R2426" s="2" t="str">
        <f>HYPERLINK("https://www.google.com/maps?q=-20.1697780,-44.8719400","Abrir no Google Maps")</f>
        <v>Abrir no Google Maps</v>
      </c>
      <c r="S2426">
        <v>3</v>
      </c>
      <c r="T2426">
        <v>730.45462447863167</v>
      </c>
      <c r="U2426">
        <v>4</v>
      </c>
      <c r="V2426">
        <v>0.4358361415779155</v>
      </c>
      <c r="W2426">
        <v>1</v>
      </c>
      <c r="X2426">
        <v>0.4358361415779155</v>
      </c>
      <c r="Y2426">
        <v>422</v>
      </c>
      <c r="Z2426">
        <v>600.74952959765801</v>
      </c>
      <c r="AA2426">
        <v>198</v>
      </c>
      <c r="AB2426">
        <v>332</v>
      </c>
      <c r="AC2426">
        <v>536</v>
      </c>
      <c r="AD2426">
        <v>29.96</v>
      </c>
      <c r="AE2426">
        <v>542</v>
      </c>
      <c r="AF2426">
        <v>29</v>
      </c>
      <c r="AG2426">
        <v>174</v>
      </c>
      <c r="AH2426">
        <v>129</v>
      </c>
      <c r="AI2426">
        <v>5.35</v>
      </c>
      <c r="AJ2426">
        <v>32.1</v>
      </c>
      <c r="AK2426">
        <v>23.8</v>
      </c>
      <c r="AL2426">
        <v>-20.169770599999961</v>
      </c>
      <c r="AM2426">
        <v>-44.871857291666629</v>
      </c>
      <c r="AN2426">
        <v>-20.169770599999961</v>
      </c>
      <c r="AO2426">
        <v>-44.871857291666629</v>
      </c>
      <c r="AP2426">
        <v>-20.169778000000001</v>
      </c>
      <c r="AQ2426">
        <v>-44.871940000000002</v>
      </c>
      <c r="AR2426">
        <v>8.6816379320830315</v>
      </c>
      <c r="AS2426" t="s">
        <v>65</v>
      </c>
      <c r="AT2426">
        <v>1</v>
      </c>
      <c r="AU2426" t="s">
        <v>1031</v>
      </c>
      <c r="AV2426" t="s">
        <v>1032</v>
      </c>
      <c r="AW2426" t="s">
        <v>60</v>
      </c>
      <c r="AX2426" t="s">
        <v>68</v>
      </c>
      <c r="AY2426" t="s">
        <v>69</v>
      </c>
      <c r="AZ2426" t="b">
        <v>1</v>
      </c>
    </row>
    <row r="2427" spans="1:52" x14ac:dyDescent="0.3">
      <c r="A2427" t="s">
        <v>52</v>
      </c>
      <c r="B2427" t="s">
        <v>53</v>
      </c>
      <c r="C2427" t="s">
        <v>54</v>
      </c>
      <c r="D2427" t="s">
        <v>55</v>
      </c>
      <c r="E2427" t="s">
        <v>2155</v>
      </c>
      <c r="F2427" t="s">
        <v>190</v>
      </c>
      <c r="G2427" t="s">
        <v>1033</v>
      </c>
      <c r="H2427" t="s">
        <v>1034</v>
      </c>
      <c r="I2427" t="s">
        <v>1034</v>
      </c>
      <c r="J2427" t="s">
        <v>60</v>
      </c>
      <c r="K2427" t="s">
        <v>1016</v>
      </c>
      <c r="L2427" t="s">
        <v>62</v>
      </c>
      <c r="M2427" t="s">
        <v>1016</v>
      </c>
      <c r="N2427" t="s">
        <v>1035</v>
      </c>
      <c r="O2427" t="s">
        <v>1036</v>
      </c>
      <c r="P2427">
        <v>-20.176404999999999</v>
      </c>
      <c r="Q2427">
        <v>-44.871102</v>
      </c>
      <c r="R2427" s="2" t="str">
        <f>HYPERLINK("https://www.google.com/maps?q=-20.1764050,-44.8711020","Abrir no Google Maps")</f>
        <v>Abrir no Google Maps</v>
      </c>
      <c r="S2427">
        <v>3</v>
      </c>
      <c r="T2427">
        <v>746.17794449655105</v>
      </c>
      <c r="U2427">
        <v>4</v>
      </c>
      <c r="V2427">
        <v>0.43764330682612412</v>
      </c>
      <c r="W2427">
        <v>1</v>
      </c>
      <c r="X2427">
        <v>0.43764330682612412</v>
      </c>
      <c r="Y2427">
        <v>422</v>
      </c>
      <c r="Z2427">
        <v>532.61564453099913</v>
      </c>
      <c r="AA2427">
        <v>198</v>
      </c>
      <c r="AB2427">
        <v>332</v>
      </c>
      <c r="AC2427">
        <v>536</v>
      </c>
      <c r="AD2427">
        <v>29.96</v>
      </c>
      <c r="AE2427">
        <v>542</v>
      </c>
      <c r="AF2427">
        <v>29</v>
      </c>
      <c r="AG2427">
        <v>174</v>
      </c>
      <c r="AH2427">
        <v>129</v>
      </c>
      <c r="AI2427">
        <v>5.35</v>
      </c>
      <c r="AJ2427">
        <v>32.1</v>
      </c>
      <c r="AK2427">
        <v>23.8</v>
      </c>
      <c r="AL2427">
        <v>-20.176464949999971</v>
      </c>
      <c r="AM2427">
        <v>-44.871010194676387</v>
      </c>
      <c r="AN2427">
        <v>-20.176464949999971</v>
      </c>
      <c r="AO2427">
        <v>-44.871010194676387</v>
      </c>
      <c r="AP2427">
        <v>-20.176404999999999</v>
      </c>
      <c r="AQ2427">
        <v>-44.871102</v>
      </c>
      <c r="AR2427">
        <v>11.68571547850415</v>
      </c>
      <c r="AS2427" t="s">
        <v>65</v>
      </c>
      <c r="AT2427">
        <v>1</v>
      </c>
      <c r="AU2427" t="s">
        <v>1037</v>
      </c>
      <c r="AV2427" t="s">
        <v>1038</v>
      </c>
      <c r="AW2427" t="s">
        <v>60</v>
      </c>
      <c r="AX2427" t="s">
        <v>68</v>
      </c>
      <c r="AY2427" t="s">
        <v>69</v>
      </c>
      <c r="AZ2427" t="b">
        <v>1</v>
      </c>
    </row>
    <row r="2428" spans="1:52" x14ac:dyDescent="0.3">
      <c r="A2428" t="s">
        <v>52</v>
      </c>
      <c r="B2428" t="s">
        <v>53</v>
      </c>
      <c r="C2428" t="s">
        <v>54</v>
      </c>
      <c r="D2428" t="s">
        <v>55</v>
      </c>
      <c r="E2428" t="s">
        <v>2155</v>
      </c>
      <c r="F2428" t="s">
        <v>190</v>
      </c>
      <c r="G2428" t="s">
        <v>693</v>
      </c>
      <c r="H2428" t="s">
        <v>694</v>
      </c>
      <c r="I2428" t="s">
        <v>694</v>
      </c>
      <c r="J2428" t="s">
        <v>60</v>
      </c>
      <c r="K2428" t="s">
        <v>695</v>
      </c>
      <c r="L2428" t="s">
        <v>62</v>
      </c>
      <c r="M2428" t="s">
        <v>695</v>
      </c>
      <c r="N2428" t="s">
        <v>696</v>
      </c>
      <c r="O2428" t="s">
        <v>697</v>
      </c>
      <c r="P2428">
        <v>-20.174917000000001</v>
      </c>
      <c r="Q2428">
        <v>-44.857677000000002</v>
      </c>
      <c r="R2428" s="2" t="str">
        <f>HYPERLINK("https://www.google.com/maps?q=-20.1749170,-44.8576770","Abrir no Google Maps")</f>
        <v>Abrir no Google Maps</v>
      </c>
      <c r="S2428">
        <v>3</v>
      </c>
      <c r="T2428">
        <v>850.52349144267646</v>
      </c>
      <c r="U2428">
        <v>4</v>
      </c>
      <c r="V2428">
        <v>0.45248494458175942</v>
      </c>
      <c r="W2428">
        <v>1</v>
      </c>
      <c r="X2428">
        <v>0.45248494458175942</v>
      </c>
      <c r="Y2428">
        <v>422</v>
      </c>
      <c r="Z2428">
        <v>1042.4685698911451</v>
      </c>
      <c r="AA2428">
        <v>198</v>
      </c>
      <c r="AB2428">
        <v>332</v>
      </c>
      <c r="AC2428">
        <v>536</v>
      </c>
      <c r="AD2428">
        <v>29.96</v>
      </c>
      <c r="AE2428">
        <v>542</v>
      </c>
      <c r="AF2428">
        <v>29</v>
      </c>
      <c r="AG2428">
        <v>174</v>
      </c>
      <c r="AH2428">
        <v>129</v>
      </c>
      <c r="AI2428">
        <v>5.35</v>
      </c>
      <c r="AJ2428">
        <v>32.1</v>
      </c>
      <c r="AK2428">
        <v>23.8</v>
      </c>
      <c r="AL2428">
        <v>-20.17483459999994</v>
      </c>
      <c r="AM2428">
        <v>-44.857715667542379</v>
      </c>
      <c r="AN2428">
        <v>-20.17483459999994</v>
      </c>
      <c r="AO2428">
        <v>-44.857715667542379</v>
      </c>
      <c r="AP2428">
        <v>-20.174917000000001</v>
      </c>
      <c r="AQ2428">
        <v>-44.857677000000002</v>
      </c>
      <c r="AR2428">
        <v>10.02318555136439</v>
      </c>
      <c r="AS2428" t="s">
        <v>65</v>
      </c>
      <c r="AT2428">
        <v>1</v>
      </c>
      <c r="AU2428" t="s">
        <v>698</v>
      </c>
      <c r="AV2428" t="s">
        <v>699</v>
      </c>
      <c r="AW2428" t="s">
        <v>60</v>
      </c>
      <c r="AX2428" t="s">
        <v>68</v>
      </c>
      <c r="AY2428" t="s">
        <v>69</v>
      </c>
      <c r="AZ2428" t="b">
        <v>1</v>
      </c>
    </row>
    <row r="2429" spans="1:52" x14ac:dyDescent="0.3">
      <c r="A2429" t="s">
        <v>52</v>
      </c>
      <c r="B2429" t="s">
        <v>53</v>
      </c>
      <c r="C2429" t="s">
        <v>54</v>
      </c>
      <c r="D2429" t="s">
        <v>55</v>
      </c>
      <c r="E2429" t="s">
        <v>2155</v>
      </c>
      <c r="F2429" t="s">
        <v>190</v>
      </c>
      <c r="G2429" t="s">
        <v>700</v>
      </c>
      <c r="H2429" t="s">
        <v>701</v>
      </c>
      <c r="I2429" t="s">
        <v>701</v>
      </c>
      <c r="J2429" t="s">
        <v>60</v>
      </c>
      <c r="K2429" t="s">
        <v>702</v>
      </c>
      <c r="L2429" t="s">
        <v>62</v>
      </c>
      <c r="M2429" t="s">
        <v>702</v>
      </c>
      <c r="N2429" t="s">
        <v>703</v>
      </c>
      <c r="O2429" t="s">
        <v>315</v>
      </c>
      <c r="P2429">
        <v>-20.172599000000002</v>
      </c>
      <c r="Q2429">
        <v>-44.85915</v>
      </c>
      <c r="R2429" s="2" t="str">
        <f>HYPERLINK("https://www.google.com/maps?q=-20.1725990,-44.8591500","Abrir no Google Maps")</f>
        <v>Abrir no Google Maps</v>
      </c>
      <c r="S2429">
        <v>3</v>
      </c>
      <c r="T2429">
        <v>665.1003223445598</v>
      </c>
      <c r="U2429">
        <v>4</v>
      </c>
      <c r="V2429">
        <v>0.44155068998525132</v>
      </c>
      <c r="W2429">
        <v>1</v>
      </c>
      <c r="X2429">
        <v>0.44155068998525132</v>
      </c>
      <c r="Y2429">
        <v>422</v>
      </c>
      <c r="Z2429">
        <v>843.09189615634341</v>
      </c>
      <c r="AA2429">
        <v>198</v>
      </c>
      <c r="AB2429">
        <v>332</v>
      </c>
      <c r="AC2429">
        <v>536</v>
      </c>
      <c r="AD2429">
        <v>29.96</v>
      </c>
      <c r="AE2429">
        <v>542</v>
      </c>
      <c r="AF2429">
        <v>29</v>
      </c>
      <c r="AG2429">
        <v>174</v>
      </c>
      <c r="AH2429">
        <v>129</v>
      </c>
      <c r="AI2429">
        <v>5.35</v>
      </c>
      <c r="AJ2429">
        <v>32.1</v>
      </c>
      <c r="AK2429">
        <v>23.8</v>
      </c>
      <c r="AL2429">
        <v>-20.172576899999971</v>
      </c>
      <c r="AM2429">
        <v>-44.859040110359317</v>
      </c>
      <c r="AN2429">
        <v>-20.172576899999971</v>
      </c>
      <c r="AO2429">
        <v>-44.859040110359317</v>
      </c>
      <c r="AP2429">
        <v>-20.172599000000002</v>
      </c>
      <c r="AQ2429">
        <v>-44.85915</v>
      </c>
      <c r="AR2429">
        <v>11.743118835828479</v>
      </c>
      <c r="AS2429" t="s">
        <v>65</v>
      </c>
      <c r="AT2429">
        <v>1</v>
      </c>
      <c r="AU2429" t="s">
        <v>704</v>
      </c>
      <c r="AV2429" t="s">
        <v>705</v>
      </c>
      <c r="AW2429" t="s">
        <v>60</v>
      </c>
      <c r="AX2429" t="s">
        <v>68</v>
      </c>
      <c r="AY2429" t="s">
        <v>69</v>
      </c>
      <c r="AZ2429" t="b">
        <v>1</v>
      </c>
    </row>
    <row r="2430" spans="1:52" x14ac:dyDescent="0.3">
      <c r="A2430" t="s">
        <v>52</v>
      </c>
      <c r="B2430" t="s">
        <v>53</v>
      </c>
      <c r="C2430" t="s">
        <v>54</v>
      </c>
      <c r="D2430" t="s">
        <v>55</v>
      </c>
      <c r="E2430" t="s">
        <v>2155</v>
      </c>
      <c r="F2430" t="s">
        <v>190</v>
      </c>
      <c r="G2430" t="s">
        <v>1044</v>
      </c>
      <c r="H2430" t="s">
        <v>1045</v>
      </c>
      <c r="I2430" t="s">
        <v>1045</v>
      </c>
      <c r="J2430" t="s">
        <v>60</v>
      </c>
      <c r="K2430" t="s">
        <v>702</v>
      </c>
      <c r="L2430" t="s">
        <v>62</v>
      </c>
      <c r="M2430" t="s">
        <v>702</v>
      </c>
      <c r="N2430" t="s">
        <v>983</v>
      </c>
      <c r="O2430" t="s">
        <v>1046</v>
      </c>
      <c r="P2430">
        <v>-20.172056000000001</v>
      </c>
      <c r="Q2430">
        <v>-44.861556999999998</v>
      </c>
      <c r="R2430" s="2" t="str">
        <f>HYPERLINK("https://www.google.com/maps?q=-20.1720560,-44.8615570","Abrir no Google Maps")</f>
        <v>Abrir no Google Maps</v>
      </c>
      <c r="S2430">
        <v>3</v>
      </c>
      <c r="T2430">
        <v>387.50881633442719</v>
      </c>
      <c r="U2430">
        <v>4</v>
      </c>
      <c r="V2430">
        <v>0.42921397827423652</v>
      </c>
      <c r="W2430">
        <v>1</v>
      </c>
      <c r="X2430">
        <v>0.42921397827423652</v>
      </c>
      <c r="Y2430">
        <v>422</v>
      </c>
      <c r="Z2430">
        <v>592.01060063884404</v>
      </c>
      <c r="AA2430">
        <v>198</v>
      </c>
      <c r="AB2430">
        <v>332</v>
      </c>
      <c r="AC2430">
        <v>536</v>
      </c>
      <c r="AD2430">
        <v>29.96</v>
      </c>
      <c r="AE2430">
        <v>542</v>
      </c>
      <c r="AF2430">
        <v>29</v>
      </c>
      <c r="AG2430">
        <v>174</v>
      </c>
      <c r="AH2430">
        <v>129</v>
      </c>
      <c r="AI2430">
        <v>5.35</v>
      </c>
      <c r="AJ2430">
        <v>32.1</v>
      </c>
      <c r="AK2430">
        <v>23.8</v>
      </c>
      <c r="AL2430">
        <v>-20.171880149999961</v>
      </c>
      <c r="AM2430">
        <v>-44.861715860253369</v>
      </c>
      <c r="AN2430">
        <v>-20.171880149999961</v>
      </c>
      <c r="AO2430">
        <v>-44.861715860253369</v>
      </c>
      <c r="AP2430">
        <v>-20.172056000000001</v>
      </c>
      <c r="AQ2430">
        <v>-44.861556999999998</v>
      </c>
      <c r="AR2430">
        <v>25.66616443825145</v>
      </c>
      <c r="AS2430" t="s">
        <v>65</v>
      </c>
      <c r="AT2430">
        <v>1</v>
      </c>
      <c r="AU2430" t="s">
        <v>1047</v>
      </c>
      <c r="AV2430" t="s">
        <v>705</v>
      </c>
      <c r="AW2430" t="s">
        <v>60</v>
      </c>
      <c r="AX2430" t="s">
        <v>68</v>
      </c>
      <c r="AY2430" t="s">
        <v>69</v>
      </c>
      <c r="AZ2430" t="b">
        <v>1</v>
      </c>
    </row>
    <row r="2431" spans="1:52" x14ac:dyDescent="0.3">
      <c r="A2431" t="s">
        <v>52</v>
      </c>
      <c r="B2431" t="s">
        <v>53</v>
      </c>
      <c r="C2431" t="s">
        <v>54</v>
      </c>
      <c r="D2431" t="s">
        <v>55</v>
      </c>
      <c r="E2431" t="s">
        <v>2155</v>
      </c>
      <c r="F2431" t="s">
        <v>190</v>
      </c>
      <c r="G2431" t="s">
        <v>1048</v>
      </c>
      <c r="H2431" t="s">
        <v>1049</v>
      </c>
      <c r="I2431" t="s">
        <v>1049</v>
      </c>
      <c r="J2431" t="s">
        <v>60</v>
      </c>
      <c r="K2431" t="s">
        <v>708</v>
      </c>
      <c r="L2431" t="s">
        <v>62</v>
      </c>
      <c r="M2431" t="s">
        <v>708</v>
      </c>
      <c r="N2431" t="s">
        <v>1050</v>
      </c>
      <c r="O2431" t="s">
        <v>1051</v>
      </c>
      <c r="P2431">
        <v>-20.128316000000002</v>
      </c>
      <c r="Q2431">
        <v>-44.878137000000002</v>
      </c>
      <c r="R2431" s="2" t="str">
        <f>HYPERLINK("https://www.google.com/maps?q=-20.1283160,-44.8781370","Abrir no Google Maps")</f>
        <v>Abrir no Google Maps</v>
      </c>
      <c r="S2431">
        <v>3</v>
      </c>
      <c r="T2431">
        <v>513.28053815499243</v>
      </c>
      <c r="U2431">
        <v>4</v>
      </c>
      <c r="V2431">
        <v>0.42703690977948811</v>
      </c>
      <c r="W2431">
        <v>1</v>
      </c>
      <c r="X2431">
        <v>0.42703690977948811</v>
      </c>
      <c r="Y2431">
        <v>387</v>
      </c>
      <c r="Z2431">
        <v>385.74604528561741</v>
      </c>
      <c r="AA2431">
        <v>198</v>
      </c>
      <c r="AB2431">
        <v>332</v>
      </c>
      <c r="AC2431">
        <v>536</v>
      </c>
      <c r="AD2431">
        <v>29.96</v>
      </c>
      <c r="AE2431">
        <v>542</v>
      </c>
      <c r="AF2431">
        <v>29</v>
      </c>
      <c r="AG2431">
        <v>174</v>
      </c>
      <c r="AH2431">
        <v>129</v>
      </c>
      <c r="AI2431">
        <v>5.35</v>
      </c>
      <c r="AJ2431">
        <v>32.1</v>
      </c>
      <c r="AK2431">
        <v>23.8</v>
      </c>
      <c r="AL2431">
        <v>-20.128308349999969</v>
      </c>
      <c r="AM2431">
        <v>-44.878115052779357</v>
      </c>
      <c r="AN2431">
        <v>-20.128308349999969</v>
      </c>
      <c r="AO2431">
        <v>-44.878115052779357</v>
      </c>
      <c r="AP2431">
        <v>-20.128316000000002</v>
      </c>
      <c r="AQ2431">
        <v>-44.878137000000002</v>
      </c>
      <c r="AR2431">
        <v>2.4469186172207671</v>
      </c>
      <c r="AS2431" t="s">
        <v>65</v>
      </c>
      <c r="AT2431">
        <v>1</v>
      </c>
      <c r="AU2431" t="s">
        <v>1052</v>
      </c>
      <c r="AV2431" t="s">
        <v>1053</v>
      </c>
      <c r="AW2431" t="s">
        <v>60</v>
      </c>
      <c r="AX2431" t="s">
        <v>68</v>
      </c>
      <c r="AY2431" t="s">
        <v>69</v>
      </c>
      <c r="AZ2431" t="b">
        <v>1</v>
      </c>
    </row>
    <row r="2432" spans="1:52" x14ac:dyDescent="0.3">
      <c r="A2432" t="s">
        <v>52</v>
      </c>
      <c r="B2432" t="s">
        <v>53</v>
      </c>
      <c r="C2432" t="s">
        <v>54</v>
      </c>
      <c r="D2432" t="s">
        <v>55</v>
      </c>
      <c r="E2432" t="s">
        <v>2155</v>
      </c>
      <c r="F2432" t="s">
        <v>190</v>
      </c>
      <c r="G2432" t="s">
        <v>706</v>
      </c>
      <c r="H2432" t="s">
        <v>707</v>
      </c>
      <c r="I2432" t="s">
        <v>707</v>
      </c>
      <c r="J2432" t="s">
        <v>60</v>
      </c>
      <c r="K2432" t="s">
        <v>708</v>
      </c>
      <c r="L2432" t="s">
        <v>62</v>
      </c>
      <c r="M2432" t="s">
        <v>708</v>
      </c>
      <c r="N2432" t="s">
        <v>709</v>
      </c>
      <c r="O2432" t="s">
        <v>710</v>
      </c>
      <c r="P2432">
        <v>-20.127054999999999</v>
      </c>
      <c r="Q2432">
        <v>-44.872073</v>
      </c>
      <c r="R2432" s="2" t="str">
        <f>HYPERLINK("https://www.google.com/maps?q=-20.1270550,-44.8720730","Abrir no Google Maps")</f>
        <v>Abrir no Google Maps</v>
      </c>
      <c r="S2432">
        <v>3</v>
      </c>
      <c r="T2432">
        <v>395.91108553086929</v>
      </c>
      <c r="U2432">
        <v>4</v>
      </c>
      <c r="V2432">
        <v>0.42976817822763119</v>
      </c>
      <c r="W2432">
        <v>1</v>
      </c>
      <c r="X2432">
        <v>0.42976817822763119</v>
      </c>
      <c r="Y2432">
        <v>387</v>
      </c>
      <c r="Z2432">
        <v>518.31496622382247</v>
      </c>
      <c r="AA2432">
        <v>198</v>
      </c>
      <c r="AB2432">
        <v>332</v>
      </c>
      <c r="AC2432">
        <v>536</v>
      </c>
      <c r="AD2432">
        <v>29.96</v>
      </c>
      <c r="AE2432">
        <v>542</v>
      </c>
      <c r="AF2432">
        <v>29</v>
      </c>
      <c r="AG2432">
        <v>174</v>
      </c>
      <c r="AH2432">
        <v>129</v>
      </c>
      <c r="AI2432">
        <v>5.35</v>
      </c>
      <c r="AJ2432">
        <v>32.1</v>
      </c>
      <c r="AK2432">
        <v>23.8</v>
      </c>
      <c r="AL2432">
        <v>-20.126854749999978</v>
      </c>
      <c r="AM2432">
        <v>-44.871712455027861</v>
      </c>
      <c r="AN2432">
        <v>-20.126854749999978</v>
      </c>
      <c r="AO2432">
        <v>-44.871712455027861</v>
      </c>
      <c r="AP2432">
        <v>-20.127054999999999</v>
      </c>
      <c r="AQ2432">
        <v>-44.872073</v>
      </c>
      <c r="AR2432">
        <v>43.784435535392717</v>
      </c>
      <c r="AS2432" t="s">
        <v>65</v>
      </c>
      <c r="AT2432">
        <v>1</v>
      </c>
      <c r="AU2432" t="s">
        <v>711</v>
      </c>
      <c r="AV2432" t="s">
        <v>712</v>
      </c>
      <c r="AW2432" t="s">
        <v>60</v>
      </c>
      <c r="AX2432" t="s">
        <v>68</v>
      </c>
      <c r="AY2432" t="s">
        <v>69</v>
      </c>
      <c r="AZ2432" t="b">
        <v>1</v>
      </c>
    </row>
    <row r="2433" spans="1:52" x14ac:dyDescent="0.3">
      <c r="A2433" t="s">
        <v>52</v>
      </c>
      <c r="B2433" t="s">
        <v>53</v>
      </c>
      <c r="C2433" t="s">
        <v>54</v>
      </c>
      <c r="D2433" t="s">
        <v>55</v>
      </c>
      <c r="E2433" t="s">
        <v>2155</v>
      </c>
      <c r="F2433" t="s">
        <v>190</v>
      </c>
      <c r="G2433" t="s">
        <v>713</v>
      </c>
      <c r="H2433" t="s">
        <v>714</v>
      </c>
      <c r="I2433" t="s">
        <v>714</v>
      </c>
      <c r="J2433" t="s">
        <v>60</v>
      </c>
      <c r="K2433" t="s">
        <v>708</v>
      </c>
      <c r="L2433" t="s">
        <v>62</v>
      </c>
      <c r="M2433" t="s">
        <v>708</v>
      </c>
      <c r="N2433" t="s">
        <v>715</v>
      </c>
      <c r="O2433" t="s">
        <v>604</v>
      </c>
      <c r="P2433">
        <v>-20.133372000000001</v>
      </c>
      <c r="Q2433">
        <v>-44.878864</v>
      </c>
      <c r="R2433" s="2" t="str">
        <f>HYPERLINK("https://www.google.com/maps?q=-20.1333720,-44.8788640","Abrir no Google Maps")</f>
        <v>Abrir no Google Maps</v>
      </c>
      <c r="S2433">
        <v>3</v>
      </c>
      <c r="T2433">
        <v>719.22842848296966</v>
      </c>
      <c r="U2433">
        <v>4</v>
      </c>
      <c r="V2433">
        <v>0.44823307488934439</v>
      </c>
      <c r="W2433">
        <v>1</v>
      </c>
      <c r="X2433">
        <v>0.44823307488934439</v>
      </c>
      <c r="Y2433">
        <v>387</v>
      </c>
      <c r="Z2433">
        <v>630.8628365125652</v>
      </c>
      <c r="AA2433">
        <v>198</v>
      </c>
      <c r="AB2433">
        <v>332</v>
      </c>
      <c r="AC2433">
        <v>536</v>
      </c>
      <c r="AD2433">
        <v>29.96</v>
      </c>
      <c r="AE2433">
        <v>542</v>
      </c>
      <c r="AF2433">
        <v>29</v>
      </c>
      <c r="AG2433">
        <v>174</v>
      </c>
      <c r="AH2433">
        <v>129</v>
      </c>
      <c r="AI2433">
        <v>5.35</v>
      </c>
      <c r="AJ2433">
        <v>32.1</v>
      </c>
      <c r="AK2433">
        <v>23.8</v>
      </c>
      <c r="AL2433">
        <v>-20.133312349999951</v>
      </c>
      <c r="AM2433">
        <v>-44.879452111094892</v>
      </c>
      <c r="AN2433">
        <v>-20.133312349999951</v>
      </c>
      <c r="AO2433">
        <v>-44.879452111094892</v>
      </c>
      <c r="AP2433">
        <v>-20.133372000000001</v>
      </c>
      <c r="AQ2433">
        <v>-44.878864</v>
      </c>
      <c r="AR2433">
        <v>61.825649864116713</v>
      </c>
      <c r="AS2433" t="s">
        <v>65</v>
      </c>
      <c r="AT2433">
        <v>1</v>
      </c>
      <c r="AU2433" t="s">
        <v>716</v>
      </c>
      <c r="AV2433" t="s">
        <v>717</v>
      </c>
      <c r="AW2433" t="s">
        <v>60</v>
      </c>
      <c r="AX2433" t="s">
        <v>68</v>
      </c>
      <c r="AY2433" t="s">
        <v>69</v>
      </c>
      <c r="AZ2433" t="b">
        <v>1</v>
      </c>
    </row>
    <row r="2434" spans="1:52" x14ac:dyDescent="0.3">
      <c r="A2434" t="s">
        <v>52</v>
      </c>
      <c r="B2434" t="s">
        <v>53</v>
      </c>
      <c r="C2434" t="s">
        <v>54</v>
      </c>
      <c r="D2434" t="s">
        <v>55</v>
      </c>
      <c r="E2434" t="s">
        <v>2155</v>
      </c>
      <c r="F2434" t="s">
        <v>190</v>
      </c>
      <c r="G2434" t="s">
        <v>718</v>
      </c>
      <c r="H2434" t="s">
        <v>719</v>
      </c>
      <c r="I2434" t="s">
        <v>719</v>
      </c>
      <c r="J2434" t="s">
        <v>60</v>
      </c>
      <c r="K2434" t="s">
        <v>708</v>
      </c>
      <c r="L2434" t="s">
        <v>62</v>
      </c>
      <c r="M2434" t="s">
        <v>708</v>
      </c>
      <c r="N2434" t="s">
        <v>720</v>
      </c>
      <c r="O2434" t="s">
        <v>721</v>
      </c>
      <c r="P2434">
        <v>-20.130344000000001</v>
      </c>
      <c r="Q2434">
        <v>-44.878869000000002</v>
      </c>
      <c r="R2434" s="2" t="str">
        <f>HYPERLINK("https://www.google.com/maps?q=-20.1303440,-44.8788690","Abrir no Google Maps")</f>
        <v>Abrir no Google Maps</v>
      </c>
      <c r="S2434">
        <v>3</v>
      </c>
      <c r="T2434">
        <v>556.14753541089829</v>
      </c>
      <c r="U2434">
        <v>4</v>
      </c>
      <c r="V2434">
        <v>0.46002903600464579</v>
      </c>
      <c r="W2434">
        <v>1</v>
      </c>
      <c r="X2434">
        <v>0.46002903600464579</v>
      </c>
      <c r="Y2434">
        <v>387</v>
      </c>
      <c r="Z2434">
        <v>521.53850378132177</v>
      </c>
      <c r="AA2434">
        <v>198</v>
      </c>
      <c r="AB2434">
        <v>332</v>
      </c>
      <c r="AC2434">
        <v>536</v>
      </c>
      <c r="AD2434">
        <v>29.96</v>
      </c>
      <c r="AE2434">
        <v>542</v>
      </c>
      <c r="AF2434">
        <v>29</v>
      </c>
      <c r="AG2434">
        <v>174</v>
      </c>
      <c r="AH2434">
        <v>129</v>
      </c>
      <c r="AI2434">
        <v>5.35</v>
      </c>
      <c r="AJ2434">
        <v>32.1</v>
      </c>
      <c r="AK2434">
        <v>23.8</v>
      </c>
      <c r="AL2434">
        <v>-20.13050289999995</v>
      </c>
      <c r="AM2434">
        <v>-44.878831282856943</v>
      </c>
      <c r="AN2434">
        <v>-20.13050289999995</v>
      </c>
      <c r="AO2434">
        <v>-44.878831282856943</v>
      </c>
      <c r="AP2434">
        <v>-20.130344000000001</v>
      </c>
      <c r="AQ2434">
        <v>-44.878869000000002</v>
      </c>
      <c r="AR2434">
        <v>18.122709277240279</v>
      </c>
      <c r="AS2434" t="s">
        <v>65</v>
      </c>
      <c r="AT2434">
        <v>1</v>
      </c>
      <c r="AU2434" t="s">
        <v>722</v>
      </c>
      <c r="AV2434" t="s">
        <v>723</v>
      </c>
      <c r="AW2434" t="s">
        <v>60</v>
      </c>
      <c r="AX2434" t="s">
        <v>68</v>
      </c>
      <c r="AY2434" t="s">
        <v>69</v>
      </c>
      <c r="AZ2434" t="b">
        <v>1</v>
      </c>
    </row>
    <row r="2435" spans="1:52" x14ac:dyDescent="0.3">
      <c r="A2435" t="s">
        <v>52</v>
      </c>
      <c r="B2435" t="s">
        <v>53</v>
      </c>
      <c r="C2435" t="s">
        <v>54</v>
      </c>
      <c r="D2435" t="s">
        <v>55</v>
      </c>
      <c r="E2435" t="s">
        <v>2155</v>
      </c>
      <c r="F2435" t="s">
        <v>190</v>
      </c>
      <c r="G2435" t="s">
        <v>724</v>
      </c>
      <c r="H2435" t="s">
        <v>725</v>
      </c>
      <c r="I2435" t="s">
        <v>725</v>
      </c>
      <c r="J2435" t="s">
        <v>60</v>
      </c>
      <c r="K2435" t="s">
        <v>708</v>
      </c>
      <c r="L2435" t="s">
        <v>62</v>
      </c>
      <c r="M2435" t="s">
        <v>708</v>
      </c>
      <c r="N2435" t="s">
        <v>726</v>
      </c>
      <c r="O2435" t="s">
        <v>727</v>
      </c>
      <c r="P2435">
        <v>-20.131702000000001</v>
      </c>
      <c r="Q2435">
        <v>-44.873930999999999</v>
      </c>
      <c r="R2435" s="2" t="str">
        <f>HYPERLINK("https://www.google.com/maps?q=-20.1317020,-44.8739310","Abrir no Google Maps")</f>
        <v>Abrir no Google Maps</v>
      </c>
      <c r="S2435">
        <v>3</v>
      </c>
      <c r="T2435">
        <v>207.9085436463628</v>
      </c>
      <c r="U2435">
        <v>4</v>
      </c>
      <c r="V2435">
        <v>0.43518211951187902</v>
      </c>
      <c r="W2435">
        <v>1</v>
      </c>
      <c r="X2435">
        <v>0.43518211951187902</v>
      </c>
      <c r="Y2435">
        <v>387</v>
      </c>
      <c r="Z2435">
        <v>213.98086855276571</v>
      </c>
      <c r="AA2435">
        <v>198</v>
      </c>
      <c r="AB2435">
        <v>332</v>
      </c>
      <c r="AC2435">
        <v>536</v>
      </c>
      <c r="AD2435">
        <v>29.96</v>
      </c>
      <c r="AE2435">
        <v>542</v>
      </c>
      <c r="AF2435">
        <v>29</v>
      </c>
      <c r="AG2435">
        <v>174</v>
      </c>
      <c r="AH2435">
        <v>129</v>
      </c>
      <c r="AI2435">
        <v>5.35</v>
      </c>
      <c r="AJ2435">
        <v>32.1</v>
      </c>
      <c r="AK2435">
        <v>23.8</v>
      </c>
      <c r="AL2435">
        <v>-20.131807549999959</v>
      </c>
      <c r="AM2435">
        <v>-44.874039553784442</v>
      </c>
      <c r="AN2435">
        <v>-20.131807549999959</v>
      </c>
      <c r="AO2435">
        <v>-44.874039553784442</v>
      </c>
      <c r="AP2435">
        <v>-20.131702000000001</v>
      </c>
      <c r="AQ2435">
        <v>-44.873930999999999</v>
      </c>
      <c r="AR2435">
        <v>16.333643574998401</v>
      </c>
      <c r="AS2435" t="s">
        <v>65</v>
      </c>
      <c r="AT2435">
        <v>1</v>
      </c>
      <c r="AU2435" t="s">
        <v>728</v>
      </c>
      <c r="AV2435" t="s">
        <v>729</v>
      </c>
      <c r="AW2435" t="s">
        <v>60</v>
      </c>
      <c r="AX2435" t="s">
        <v>68</v>
      </c>
      <c r="AY2435" t="s">
        <v>69</v>
      </c>
      <c r="AZ2435" t="b">
        <v>1</v>
      </c>
    </row>
    <row r="2436" spans="1:52" x14ac:dyDescent="0.3">
      <c r="A2436" t="s">
        <v>52</v>
      </c>
      <c r="B2436" t="s">
        <v>53</v>
      </c>
      <c r="C2436" t="s">
        <v>54</v>
      </c>
      <c r="D2436" t="s">
        <v>55</v>
      </c>
      <c r="E2436" t="s">
        <v>2155</v>
      </c>
      <c r="F2436" t="s">
        <v>190</v>
      </c>
      <c r="G2436" t="s">
        <v>706</v>
      </c>
      <c r="H2436" t="s">
        <v>730</v>
      </c>
      <c r="I2436" t="s">
        <v>730</v>
      </c>
      <c r="J2436" t="s">
        <v>60</v>
      </c>
      <c r="K2436" t="s">
        <v>708</v>
      </c>
      <c r="L2436" t="s">
        <v>62</v>
      </c>
      <c r="M2436" t="s">
        <v>708</v>
      </c>
      <c r="N2436" t="s">
        <v>709</v>
      </c>
      <c r="O2436" t="s">
        <v>731</v>
      </c>
      <c r="P2436">
        <v>-20.130037999999999</v>
      </c>
      <c r="Q2436">
        <v>-44.873514</v>
      </c>
      <c r="R2436" s="2" t="str">
        <f>HYPERLINK("https://www.google.com/maps?q=-20.1300380,-44.8735140","Abrir no Google Maps")</f>
        <v>Abrir no Google Maps</v>
      </c>
      <c r="S2436">
        <v>3</v>
      </c>
      <c r="T2436">
        <v>0</v>
      </c>
      <c r="U2436">
        <v>4</v>
      </c>
      <c r="V2436">
        <v>0.44001979750737419</v>
      </c>
      <c r="W2436">
        <v>1</v>
      </c>
      <c r="X2436">
        <v>0.44001979750737419</v>
      </c>
      <c r="Y2436">
        <v>387</v>
      </c>
      <c r="Z2436">
        <v>108.0014931591698</v>
      </c>
      <c r="AA2436">
        <v>198</v>
      </c>
      <c r="AB2436">
        <v>332</v>
      </c>
      <c r="AC2436">
        <v>536</v>
      </c>
      <c r="AD2436">
        <v>29.96</v>
      </c>
      <c r="AE2436">
        <v>542</v>
      </c>
      <c r="AF2436">
        <v>29</v>
      </c>
      <c r="AG2436">
        <v>174</v>
      </c>
      <c r="AH2436">
        <v>129</v>
      </c>
      <c r="AI2436">
        <v>5.35</v>
      </c>
      <c r="AJ2436">
        <v>32.1</v>
      </c>
      <c r="AK2436">
        <v>23.8</v>
      </c>
      <c r="AL2436">
        <v>-20.12998944999995</v>
      </c>
      <c r="AM2436">
        <v>-44.873538114227337</v>
      </c>
      <c r="AN2436">
        <v>-20.12998944999995</v>
      </c>
      <c r="AO2436">
        <v>-44.873538114227337</v>
      </c>
      <c r="AP2436">
        <v>-20.130037999999999</v>
      </c>
      <c r="AQ2436">
        <v>-44.873514</v>
      </c>
      <c r="AR2436">
        <v>5.9633928268280867</v>
      </c>
      <c r="AS2436" t="s">
        <v>65</v>
      </c>
      <c r="AT2436">
        <v>1</v>
      </c>
      <c r="AU2436" t="s">
        <v>732</v>
      </c>
      <c r="AV2436" t="s">
        <v>733</v>
      </c>
      <c r="AW2436" t="s">
        <v>60</v>
      </c>
      <c r="AX2436" t="s">
        <v>68</v>
      </c>
      <c r="AY2436" t="s">
        <v>69</v>
      </c>
      <c r="AZ2436" t="b">
        <v>1</v>
      </c>
    </row>
    <row r="2437" spans="1:52" x14ac:dyDescent="0.3">
      <c r="A2437" t="s">
        <v>52</v>
      </c>
      <c r="B2437" t="s">
        <v>53</v>
      </c>
      <c r="C2437" t="s">
        <v>54</v>
      </c>
      <c r="D2437" t="s">
        <v>55</v>
      </c>
      <c r="E2437" t="s">
        <v>2155</v>
      </c>
      <c r="F2437" t="s">
        <v>190</v>
      </c>
      <c r="G2437" t="s">
        <v>741</v>
      </c>
      <c r="H2437" t="s">
        <v>742</v>
      </c>
      <c r="I2437" t="s">
        <v>742</v>
      </c>
      <c r="J2437" t="s">
        <v>60</v>
      </c>
      <c r="K2437" t="s">
        <v>688</v>
      </c>
      <c r="L2437" t="s">
        <v>62</v>
      </c>
      <c r="M2437" t="s">
        <v>688</v>
      </c>
      <c r="N2437" t="s">
        <v>743</v>
      </c>
      <c r="O2437" t="s">
        <v>744</v>
      </c>
      <c r="P2437">
        <v>-20.136733</v>
      </c>
      <c r="Q2437">
        <v>-44.888140999999997</v>
      </c>
      <c r="R2437" s="2" t="str">
        <f>HYPERLINK("https://www.google.com/maps?q=-20.1367330,-44.8881410","Abrir no Google Maps")</f>
        <v>Abrir no Google Maps</v>
      </c>
      <c r="S2437">
        <v>3</v>
      </c>
      <c r="T2437">
        <v>175.84339996559589</v>
      </c>
      <c r="U2437">
        <v>4</v>
      </c>
      <c r="V2437">
        <v>0.43525034762388848</v>
      </c>
      <c r="W2437">
        <v>1</v>
      </c>
      <c r="X2437">
        <v>0.43525034762388848</v>
      </c>
      <c r="Y2437">
        <v>350</v>
      </c>
      <c r="Z2437">
        <v>171.90575296051961</v>
      </c>
      <c r="AA2437">
        <v>198</v>
      </c>
      <c r="AB2437">
        <v>332</v>
      </c>
      <c r="AC2437">
        <v>536</v>
      </c>
      <c r="AD2437">
        <v>29.96</v>
      </c>
      <c r="AE2437">
        <v>542</v>
      </c>
      <c r="AF2437">
        <v>29</v>
      </c>
      <c r="AG2437">
        <v>174</v>
      </c>
      <c r="AH2437">
        <v>129</v>
      </c>
      <c r="AI2437">
        <v>5.35</v>
      </c>
      <c r="AJ2437">
        <v>32.1</v>
      </c>
      <c r="AK2437">
        <v>23.8</v>
      </c>
      <c r="AL2437">
        <v>-20.136726099999979</v>
      </c>
      <c r="AM2437">
        <v>-44.888062077766982</v>
      </c>
      <c r="AN2437">
        <v>-20.136726099999979</v>
      </c>
      <c r="AO2437">
        <v>-44.888062077766982</v>
      </c>
      <c r="AP2437">
        <v>-20.136733</v>
      </c>
      <c r="AQ2437">
        <v>-44.888140999999997</v>
      </c>
      <c r="AR2437">
        <v>8.2842769013797852</v>
      </c>
      <c r="AS2437" t="s">
        <v>65</v>
      </c>
      <c r="AT2437">
        <v>1</v>
      </c>
      <c r="AU2437" t="s">
        <v>745</v>
      </c>
      <c r="AV2437" t="s">
        <v>746</v>
      </c>
      <c r="AW2437" t="s">
        <v>60</v>
      </c>
      <c r="AX2437" t="s">
        <v>68</v>
      </c>
      <c r="AY2437" t="s">
        <v>69</v>
      </c>
      <c r="AZ2437" t="b">
        <v>1</v>
      </c>
    </row>
    <row r="2438" spans="1:52" x14ac:dyDescent="0.3">
      <c r="A2438" t="s">
        <v>52</v>
      </c>
      <c r="B2438" t="s">
        <v>53</v>
      </c>
      <c r="C2438" t="s">
        <v>54</v>
      </c>
      <c r="D2438" t="s">
        <v>55</v>
      </c>
      <c r="E2438" t="s">
        <v>2155</v>
      </c>
      <c r="F2438" t="s">
        <v>190</v>
      </c>
      <c r="G2438" t="s">
        <v>747</v>
      </c>
      <c r="H2438" t="s">
        <v>748</v>
      </c>
      <c r="I2438" t="s">
        <v>748</v>
      </c>
      <c r="J2438" t="s">
        <v>60</v>
      </c>
      <c r="K2438" t="s">
        <v>505</v>
      </c>
      <c r="L2438" t="s">
        <v>62</v>
      </c>
      <c r="M2438" t="s">
        <v>505</v>
      </c>
      <c r="N2438" t="s">
        <v>749</v>
      </c>
      <c r="O2438" t="s">
        <v>750</v>
      </c>
      <c r="P2438">
        <v>-20.135107000000001</v>
      </c>
      <c r="Q2438">
        <v>-44.887521</v>
      </c>
      <c r="R2438" s="2" t="str">
        <f>HYPERLINK("https://www.google.com/maps?q=-20.1351070,-44.8875210","Abrir no Google Maps")</f>
        <v>Abrir no Google Maps</v>
      </c>
      <c r="S2438">
        <v>3</v>
      </c>
      <c r="T2438">
        <v>0</v>
      </c>
      <c r="U2438">
        <v>4</v>
      </c>
      <c r="V2438">
        <v>0.4259238791057825</v>
      </c>
      <c r="W2438">
        <v>1</v>
      </c>
      <c r="X2438">
        <v>0.4259238791057825</v>
      </c>
      <c r="Y2438">
        <v>350</v>
      </c>
      <c r="Z2438">
        <v>162.3716242776689</v>
      </c>
      <c r="AA2438">
        <v>198</v>
      </c>
      <c r="AB2438">
        <v>332</v>
      </c>
      <c r="AC2438">
        <v>536</v>
      </c>
      <c r="AD2438">
        <v>29.96</v>
      </c>
      <c r="AE2438">
        <v>542</v>
      </c>
      <c r="AF2438">
        <v>29</v>
      </c>
      <c r="AG2438">
        <v>174</v>
      </c>
      <c r="AH2438">
        <v>129</v>
      </c>
      <c r="AI2438">
        <v>5.35</v>
      </c>
      <c r="AJ2438">
        <v>32.1</v>
      </c>
      <c r="AK2438">
        <v>23.8</v>
      </c>
      <c r="AL2438">
        <v>-20.13520169999995</v>
      </c>
      <c r="AM2438">
        <v>-44.887587176802917</v>
      </c>
      <c r="AN2438">
        <v>-20.13520169999995</v>
      </c>
      <c r="AO2438">
        <v>-44.887587176802931</v>
      </c>
      <c r="AP2438">
        <v>-20.135107000000001</v>
      </c>
      <c r="AQ2438">
        <v>-44.887521</v>
      </c>
      <c r="AR2438">
        <v>12.608438103029821</v>
      </c>
      <c r="AS2438" t="s">
        <v>65</v>
      </c>
      <c r="AT2438">
        <v>1</v>
      </c>
      <c r="AU2438" t="s">
        <v>751</v>
      </c>
      <c r="AV2438" t="s">
        <v>752</v>
      </c>
      <c r="AW2438" t="s">
        <v>60</v>
      </c>
      <c r="AX2438" t="s">
        <v>68</v>
      </c>
      <c r="AY2438" t="s">
        <v>69</v>
      </c>
      <c r="AZ2438" t="b">
        <v>1</v>
      </c>
    </row>
    <row r="2439" spans="1:52" x14ac:dyDescent="0.3">
      <c r="A2439" t="s">
        <v>52</v>
      </c>
      <c r="B2439" t="s">
        <v>53</v>
      </c>
      <c r="C2439" t="s">
        <v>54</v>
      </c>
      <c r="D2439" t="s">
        <v>55</v>
      </c>
      <c r="E2439" t="s">
        <v>2155</v>
      </c>
      <c r="F2439" t="s">
        <v>190</v>
      </c>
      <c r="G2439" t="s">
        <v>1083</v>
      </c>
      <c r="H2439" t="s">
        <v>1084</v>
      </c>
      <c r="I2439" t="s">
        <v>1084</v>
      </c>
      <c r="J2439" t="s">
        <v>60</v>
      </c>
      <c r="K2439" t="s">
        <v>761</v>
      </c>
      <c r="L2439" t="s">
        <v>62</v>
      </c>
      <c r="M2439" t="s">
        <v>761</v>
      </c>
      <c r="N2439" t="s">
        <v>1085</v>
      </c>
      <c r="O2439" t="s">
        <v>1086</v>
      </c>
      <c r="P2439">
        <v>-20.124312</v>
      </c>
      <c r="Q2439">
        <v>-44.850425000000001</v>
      </c>
      <c r="R2439" s="2" t="str">
        <f>HYPERLINK("https://www.google.com/maps?q=-20.1243120,-44.8504250","Abrir no Google Maps")</f>
        <v>Abrir no Google Maps</v>
      </c>
      <c r="S2439">
        <v>3</v>
      </c>
      <c r="T2439">
        <v>0</v>
      </c>
      <c r="U2439">
        <v>4</v>
      </c>
      <c r="V2439">
        <v>0.42507968817142022</v>
      </c>
      <c r="W2439">
        <v>1</v>
      </c>
      <c r="X2439">
        <v>0.42507968817142022</v>
      </c>
      <c r="Y2439">
        <v>350</v>
      </c>
      <c r="Z2439">
        <v>380.24040721202471</v>
      </c>
      <c r="AA2439">
        <v>198</v>
      </c>
      <c r="AB2439">
        <v>332</v>
      </c>
      <c r="AC2439">
        <v>536</v>
      </c>
      <c r="AD2439">
        <v>29.96</v>
      </c>
      <c r="AE2439">
        <v>542</v>
      </c>
      <c r="AF2439">
        <v>29</v>
      </c>
      <c r="AG2439">
        <v>174</v>
      </c>
      <c r="AH2439">
        <v>129</v>
      </c>
      <c r="AI2439">
        <v>5.35</v>
      </c>
      <c r="AJ2439">
        <v>32.1</v>
      </c>
      <c r="AK2439">
        <v>23.8</v>
      </c>
      <c r="AL2439">
        <v>-20.126267499999951</v>
      </c>
      <c r="AM2439">
        <v>-44.852460192840908</v>
      </c>
      <c r="AN2439">
        <v>-20.126267499999951</v>
      </c>
      <c r="AO2439">
        <v>-44.852460192840908</v>
      </c>
      <c r="AP2439">
        <v>-20.124312</v>
      </c>
      <c r="AQ2439">
        <v>-44.850425000000001</v>
      </c>
      <c r="AR2439">
        <v>304.36574074135672</v>
      </c>
      <c r="AS2439" t="s">
        <v>65</v>
      </c>
      <c r="AT2439">
        <v>1</v>
      </c>
      <c r="AU2439" t="s">
        <v>1087</v>
      </c>
      <c r="AV2439" t="s">
        <v>1088</v>
      </c>
      <c r="AW2439" t="s">
        <v>60</v>
      </c>
      <c r="AX2439" t="s">
        <v>68</v>
      </c>
      <c r="AY2439" t="s">
        <v>69</v>
      </c>
      <c r="AZ2439" t="b">
        <v>1</v>
      </c>
    </row>
    <row r="2440" spans="1:52" x14ac:dyDescent="0.3">
      <c r="A2440" t="s">
        <v>52</v>
      </c>
      <c r="B2440" t="s">
        <v>53</v>
      </c>
      <c r="C2440" t="s">
        <v>54</v>
      </c>
      <c r="D2440" t="s">
        <v>55</v>
      </c>
      <c r="E2440" t="s">
        <v>2155</v>
      </c>
      <c r="F2440" t="s">
        <v>190</v>
      </c>
      <c r="G2440" t="s">
        <v>753</v>
      </c>
      <c r="H2440" t="s">
        <v>754</v>
      </c>
      <c r="I2440" t="s">
        <v>754</v>
      </c>
      <c r="J2440" t="s">
        <v>60</v>
      </c>
      <c r="K2440" t="s">
        <v>688</v>
      </c>
      <c r="L2440" t="s">
        <v>62</v>
      </c>
      <c r="M2440" t="s">
        <v>688</v>
      </c>
      <c r="N2440" t="s">
        <v>755</v>
      </c>
      <c r="O2440" t="s">
        <v>756</v>
      </c>
      <c r="P2440">
        <v>-20.135238000000001</v>
      </c>
      <c r="Q2440">
        <v>-44.890405999999999</v>
      </c>
      <c r="R2440" s="2" t="str">
        <f>HYPERLINK("https://www.google.com/maps?q=-20.1352380,-44.8904060","Abrir no Google Maps")</f>
        <v>Abrir no Google Maps</v>
      </c>
      <c r="S2440">
        <v>3</v>
      </c>
      <c r="T2440">
        <v>314.49904475975598</v>
      </c>
      <c r="U2440">
        <v>4</v>
      </c>
      <c r="V2440">
        <v>0.43176247178682819</v>
      </c>
      <c r="W2440">
        <v>1</v>
      </c>
      <c r="X2440">
        <v>0.43176247178682819</v>
      </c>
      <c r="Y2440">
        <v>350</v>
      </c>
      <c r="Z2440">
        <v>443.96798796176353</v>
      </c>
      <c r="AA2440">
        <v>198</v>
      </c>
      <c r="AB2440">
        <v>332</v>
      </c>
      <c r="AC2440">
        <v>536</v>
      </c>
      <c r="AD2440">
        <v>29.96</v>
      </c>
      <c r="AE2440">
        <v>542</v>
      </c>
      <c r="AF2440">
        <v>29</v>
      </c>
      <c r="AG2440">
        <v>174</v>
      </c>
      <c r="AH2440">
        <v>129</v>
      </c>
      <c r="AI2440">
        <v>5.35</v>
      </c>
      <c r="AJ2440">
        <v>32.1</v>
      </c>
      <c r="AK2440">
        <v>23.8</v>
      </c>
      <c r="AL2440">
        <v>-20.134851099999931</v>
      </c>
      <c r="AM2440">
        <v>-44.890573293408117</v>
      </c>
      <c r="AN2440">
        <v>-20.134851099999931</v>
      </c>
      <c r="AO2440">
        <v>-44.890573293408131</v>
      </c>
      <c r="AP2440">
        <v>-20.135238000000001</v>
      </c>
      <c r="AQ2440">
        <v>-44.890405999999999</v>
      </c>
      <c r="AR2440">
        <v>46.483580940434933</v>
      </c>
      <c r="AS2440" t="s">
        <v>65</v>
      </c>
      <c r="AT2440">
        <v>1</v>
      </c>
      <c r="AU2440" t="s">
        <v>757</v>
      </c>
      <c r="AV2440" t="s">
        <v>758</v>
      </c>
      <c r="AW2440" t="s">
        <v>60</v>
      </c>
      <c r="AX2440" t="s">
        <v>68</v>
      </c>
      <c r="AY2440" t="s">
        <v>69</v>
      </c>
      <c r="AZ2440" t="b">
        <v>1</v>
      </c>
    </row>
    <row r="2441" spans="1:52" x14ac:dyDescent="0.3">
      <c r="A2441" t="s">
        <v>52</v>
      </c>
      <c r="B2441" t="s">
        <v>53</v>
      </c>
      <c r="C2441" t="s">
        <v>54</v>
      </c>
      <c r="D2441" t="s">
        <v>55</v>
      </c>
      <c r="E2441" t="s">
        <v>2155</v>
      </c>
      <c r="F2441" t="s">
        <v>190</v>
      </c>
      <c r="G2441" t="s">
        <v>1089</v>
      </c>
      <c r="H2441" t="s">
        <v>1090</v>
      </c>
      <c r="I2441" t="s">
        <v>1090</v>
      </c>
      <c r="J2441" t="s">
        <v>60</v>
      </c>
      <c r="K2441" t="s">
        <v>761</v>
      </c>
      <c r="L2441" t="s">
        <v>62</v>
      </c>
      <c r="M2441" t="s">
        <v>761</v>
      </c>
      <c r="N2441" t="s">
        <v>1091</v>
      </c>
      <c r="O2441" t="s">
        <v>86</v>
      </c>
      <c r="P2441">
        <v>-20.116182999999999</v>
      </c>
      <c r="Q2441">
        <v>-44.850524</v>
      </c>
      <c r="R2441" s="2" t="str">
        <f>HYPERLINK("https://www.google.com/maps?q=-20.1161830,-44.8505240","Abrir no Google Maps")</f>
        <v>Abrir no Google Maps</v>
      </c>
      <c r="S2441">
        <v>3</v>
      </c>
      <c r="T2441">
        <v>1142.6607426309961</v>
      </c>
      <c r="U2441">
        <v>4</v>
      </c>
      <c r="V2441">
        <v>0.42705910890829468</v>
      </c>
      <c r="W2441">
        <v>1</v>
      </c>
      <c r="X2441">
        <v>0.42705910890829468</v>
      </c>
      <c r="Y2441">
        <v>350</v>
      </c>
      <c r="Z2441">
        <v>723.44841640590141</v>
      </c>
      <c r="AA2441">
        <v>198</v>
      </c>
      <c r="AB2441">
        <v>332</v>
      </c>
      <c r="AC2441">
        <v>536</v>
      </c>
      <c r="AD2441">
        <v>29.96</v>
      </c>
      <c r="AE2441">
        <v>542</v>
      </c>
      <c r="AF2441">
        <v>29</v>
      </c>
      <c r="AG2441">
        <v>174</v>
      </c>
      <c r="AH2441">
        <v>129</v>
      </c>
      <c r="AI2441">
        <v>5.35</v>
      </c>
      <c r="AJ2441">
        <v>32.1</v>
      </c>
      <c r="AK2441">
        <v>23.8</v>
      </c>
      <c r="AL2441">
        <v>-20.11605684999995</v>
      </c>
      <c r="AM2441">
        <v>-44.850832861808193</v>
      </c>
      <c r="AN2441">
        <v>-20.11605684999995</v>
      </c>
      <c r="AO2441">
        <v>-44.850832861808193</v>
      </c>
      <c r="AP2441">
        <v>-20.116182999999999</v>
      </c>
      <c r="AQ2441">
        <v>-44.850524</v>
      </c>
      <c r="AR2441">
        <v>35.207009729928053</v>
      </c>
      <c r="AS2441" t="s">
        <v>65</v>
      </c>
      <c r="AT2441">
        <v>1</v>
      </c>
      <c r="AU2441" t="s">
        <v>1092</v>
      </c>
      <c r="AV2441" t="s">
        <v>1093</v>
      </c>
      <c r="AW2441" t="s">
        <v>60</v>
      </c>
      <c r="AX2441" t="s">
        <v>68</v>
      </c>
      <c r="AY2441" t="s">
        <v>69</v>
      </c>
      <c r="AZ2441" t="b">
        <v>1</v>
      </c>
    </row>
    <row r="2442" spans="1:52" x14ac:dyDescent="0.3">
      <c r="A2442" t="s">
        <v>52</v>
      </c>
      <c r="B2442" t="s">
        <v>53</v>
      </c>
      <c r="C2442" t="s">
        <v>54</v>
      </c>
      <c r="D2442" t="s">
        <v>55</v>
      </c>
      <c r="E2442" t="s">
        <v>2155</v>
      </c>
      <c r="F2442" t="s">
        <v>190</v>
      </c>
      <c r="G2442" t="s">
        <v>759</v>
      </c>
      <c r="H2442" t="s">
        <v>760</v>
      </c>
      <c r="I2442" t="s">
        <v>760</v>
      </c>
      <c r="J2442" t="s">
        <v>60</v>
      </c>
      <c r="K2442" t="s">
        <v>761</v>
      </c>
      <c r="L2442" t="s">
        <v>62</v>
      </c>
      <c r="M2442" t="s">
        <v>761</v>
      </c>
      <c r="N2442" t="s">
        <v>762</v>
      </c>
      <c r="O2442" t="s">
        <v>763</v>
      </c>
      <c r="P2442">
        <v>-20.118755</v>
      </c>
      <c r="Q2442">
        <v>-44.850627000000003</v>
      </c>
      <c r="R2442" s="2" t="str">
        <f>HYPERLINK("https://www.google.com/maps?q=-20.1187550,-44.8506270","Abrir no Google Maps")</f>
        <v>Abrir no Google Maps</v>
      </c>
      <c r="S2442">
        <v>3</v>
      </c>
      <c r="T2442">
        <v>848.81670834514034</v>
      </c>
      <c r="U2442">
        <v>4</v>
      </c>
      <c r="V2442">
        <v>0.43324897003745327</v>
      </c>
      <c r="W2442">
        <v>1</v>
      </c>
      <c r="X2442">
        <v>0.43324897003745327</v>
      </c>
      <c r="Y2442">
        <v>350</v>
      </c>
      <c r="Z2442">
        <v>443.51354125420028</v>
      </c>
      <c r="AA2442">
        <v>198</v>
      </c>
      <c r="AB2442">
        <v>332</v>
      </c>
      <c r="AC2442">
        <v>536</v>
      </c>
      <c r="AD2442">
        <v>29.96</v>
      </c>
      <c r="AE2442">
        <v>542</v>
      </c>
      <c r="AF2442">
        <v>29</v>
      </c>
      <c r="AG2442">
        <v>174</v>
      </c>
      <c r="AH2442">
        <v>129</v>
      </c>
      <c r="AI2442">
        <v>5.35</v>
      </c>
      <c r="AJ2442">
        <v>32.1</v>
      </c>
      <c r="AK2442">
        <v>23.8</v>
      </c>
      <c r="AL2442">
        <v>-20.11882464999994</v>
      </c>
      <c r="AM2442">
        <v>-44.850497004056017</v>
      </c>
      <c r="AN2442">
        <v>-20.11882464999994</v>
      </c>
      <c r="AO2442">
        <v>-44.850497004056017</v>
      </c>
      <c r="AP2442">
        <v>-20.118755</v>
      </c>
      <c r="AQ2442">
        <v>-44.850627000000003</v>
      </c>
      <c r="AR2442">
        <v>15.6445928866994</v>
      </c>
      <c r="AS2442" t="s">
        <v>65</v>
      </c>
      <c r="AT2442">
        <v>1</v>
      </c>
      <c r="AU2442" t="s">
        <v>764</v>
      </c>
      <c r="AV2442" t="s">
        <v>765</v>
      </c>
      <c r="AW2442" t="s">
        <v>60</v>
      </c>
      <c r="AX2442" t="s">
        <v>68</v>
      </c>
      <c r="AY2442" t="s">
        <v>69</v>
      </c>
      <c r="AZ2442" t="b">
        <v>1</v>
      </c>
    </row>
    <row r="2443" spans="1:52" x14ac:dyDescent="0.3">
      <c r="A2443" t="s">
        <v>52</v>
      </c>
      <c r="B2443" t="s">
        <v>53</v>
      </c>
      <c r="C2443" t="s">
        <v>54</v>
      </c>
      <c r="D2443" t="s">
        <v>55</v>
      </c>
      <c r="E2443" t="s">
        <v>2155</v>
      </c>
      <c r="F2443" t="s">
        <v>190</v>
      </c>
      <c r="G2443" t="s">
        <v>766</v>
      </c>
      <c r="H2443" t="s">
        <v>767</v>
      </c>
      <c r="I2443" t="s">
        <v>767</v>
      </c>
      <c r="J2443" t="s">
        <v>60</v>
      </c>
      <c r="K2443" t="s">
        <v>768</v>
      </c>
      <c r="L2443" t="s">
        <v>62</v>
      </c>
      <c r="M2443" t="s">
        <v>768</v>
      </c>
      <c r="N2443" t="s">
        <v>769</v>
      </c>
      <c r="O2443" t="s">
        <v>770</v>
      </c>
      <c r="P2443">
        <v>-20.135211000000002</v>
      </c>
      <c r="Q2443">
        <v>-44.875359000000003</v>
      </c>
      <c r="R2443" s="2" t="str">
        <f>HYPERLINK("https://www.google.com/maps?q=-20.1352110,-44.8753590","Abrir no Google Maps")</f>
        <v>Abrir no Google Maps</v>
      </c>
      <c r="S2443">
        <v>3</v>
      </c>
      <c r="T2443">
        <v>383.44405482521267</v>
      </c>
      <c r="U2443">
        <v>4</v>
      </c>
      <c r="V2443">
        <v>0.42795734828584903</v>
      </c>
      <c r="W2443">
        <v>1</v>
      </c>
      <c r="X2443">
        <v>0.42795734828584903</v>
      </c>
      <c r="Y2443">
        <v>332</v>
      </c>
      <c r="Z2443">
        <v>219.0766044611764</v>
      </c>
      <c r="AA2443">
        <v>198</v>
      </c>
      <c r="AB2443">
        <v>332</v>
      </c>
      <c r="AC2443">
        <v>536</v>
      </c>
      <c r="AD2443">
        <v>29.96</v>
      </c>
      <c r="AE2443">
        <v>542</v>
      </c>
      <c r="AF2443">
        <v>29</v>
      </c>
      <c r="AG2443">
        <v>174</v>
      </c>
      <c r="AH2443">
        <v>129</v>
      </c>
      <c r="AI2443">
        <v>5.35</v>
      </c>
      <c r="AJ2443">
        <v>32.1</v>
      </c>
      <c r="AK2443">
        <v>23.8</v>
      </c>
      <c r="AL2443">
        <v>-20.135125549999941</v>
      </c>
      <c r="AM2443">
        <v>-44.875534947489427</v>
      </c>
      <c r="AN2443">
        <v>-20.135125549999941</v>
      </c>
      <c r="AO2443">
        <v>-44.875534947489427</v>
      </c>
      <c r="AP2443">
        <v>-20.135211000000002</v>
      </c>
      <c r="AQ2443">
        <v>-44.875359000000003</v>
      </c>
      <c r="AR2443">
        <v>20.703969313709418</v>
      </c>
      <c r="AS2443" t="s">
        <v>65</v>
      </c>
      <c r="AT2443">
        <v>1</v>
      </c>
      <c r="AU2443" t="s">
        <v>771</v>
      </c>
      <c r="AV2443" t="s">
        <v>772</v>
      </c>
      <c r="AW2443" t="s">
        <v>60</v>
      </c>
      <c r="AX2443" t="s">
        <v>68</v>
      </c>
      <c r="AY2443" t="s">
        <v>69</v>
      </c>
      <c r="AZ2443" t="b">
        <v>1</v>
      </c>
    </row>
    <row r="2444" spans="1:52" x14ac:dyDescent="0.3">
      <c r="A2444" t="s">
        <v>52</v>
      </c>
      <c r="B2444" t="s">
        <v>53</v>
      </c>
      <c r="C2444" t="s">
        <v>54</v>
      </c>
      <c r="D2444" t="s">
        <v>55</v>
      </c>
      <c r="E2444" t="s">
        <v>2155</v>
      </c>
      <c r="F2444" t="s">
        <v>190</v>
      </c>
      <c r="G2444" t="s">
        <v>779</v>
      </c>
      <c r="H2444" t="s">
        <v>780</v>
      </c>
      <c r="I2444" t="s">
        <v>780</v>
      </c>
      <c r="J2444" t="s">
        <v>60</v>
      </c>
      <c r="K2444" t="s">
        <v>781</v>
      </c>
      <c r="L2444" t="s">
        <v>62</v>
      </c>
      <c r="M2444" t="s">
        <v>781</v>
      </c>
      <c r="N2444" t="s">
        <v>782</v>
      </c>
      <c r="O2444" t="s">
        <v>783</v>
      </c>
      <c r="P2444">
        <v>-20.137938999999999</v>
      </c>
      <c r="Q2444">
        <v>-44.865873000000001</v>
      </c>
      <c r="R2444" s="2" t="str">
        <f>HYPERLINK("https://www.google.com/maps?q=-20.1379390,-44.8658730","Abrir no Google Maps")</f>
        <v>Abrir no Google Maps</v>
      </c>
      <c r="S2444">
        <v>3</v>
      </c>
      <c r="T2444">
        <v>663.24596349877265</v>
      </c>
      <c r="U2444">
        <v>4</v>
      </c>
      <c r="V2444">
        <v>0.42986841971156298</v>
      </c>
      <c r="W2444">
        <v>1</v>
      </c>
      <c r="X2444">
        <v>0.42986841971156298</v>
      </c>
      <c r="Y2444">
        <v>332</v>
      </c>
      <c r="Z2444">
        <v>724.72470227972997</v>
      </c>
      <c r="AA2444">
        <v>198</v>
      </c>
      <c r="AB2444">
        <v>332</v>
      </c>
      <c r="AC2444">
        <v>536</v>
      </c>
      <c r="AD2444">
        <v>29.96</v>
      </c>
      <c r="AE2444">
        <v>542</v>
      </c>
      <c r="AF2444">
        <v>29</v>
      </c>
      <c r="AG2444">
        <v>174</v>
      </c>
      <c r="AH2444">
        <v>129</v>
      </c>
      <c r="AI2444">
        <v>5.35</v>
      </c>
      <c r="AJ2444">
        <v>32.1</v>
      </c>
      <c r="AK2444">
        <v>23.8</v>
      </c>
      <c r="AL2444">
        <v>-20.137865449999961</v>
      </c>
      <c r="AM2444">
        <v>-44.866141027847057</v>
      </c>
      <c r="AN2444">
        <v>-20.137865449999961</v>
      </c>
      <c r="AO2444">
        <v>-44.866141027847057</v>
      </c>
      <c r="AP2444">
        <v>-20.137938999999999</v>
      </c>
      <c r="AQ2444">
        <v>-44.865873000000001</v>
      </c>
      <c r="AR2444">
        <v>29.184856191831059</v>
      </c>
      <c r="AS2444" t="s">
        <v>65</v>
      </c>
      <c r="AT2444">
        <v>1</v>
      </c>
      <c r="AU2444" t="s">
        <v>784</v>
      </c>
      <c r="AV2444" t="s">
        <v>785</v>
      </c>
      <c r="AW2444" t="s">
        <v>60</v>
      </c>
      <c r="AX2444" t="s">
        <v>68</v>
      </c>
      <c r="AY2444" t="s">
        <v>69</v>
      </c>
      <c r="AZ2444" t="b">
        <v>1</v>
      </c>
    </row>
    <row r="2445" spans="1:52" x14ac:dyDescent="0.3">
      <c r="A2445" t="s">
        <v>52</v>
      </c>
      <c r="B2445" t="s">
        <v>53</v>
      </c>
      <c r="C2445" t="s">
        <v>54</v>
      </c>
      <c r="D2445" t="s">
        <v>55</v>
      </c>
      <c r="E2445" t="s">
        <v>2155</v>
      </c>
      <c r="F2445" t="s">
        <v>190</v>
      </c>
      <c r="G2445" t="s">
        <v>1127</v>
      </c>
      <c r="H2445" t="s">
        <v>1128</v>
      </c>
      <c r="I2445" t="s">
        <v>1128</v>
      </c>
      <c r="J2445" t="s">
        <v>60</v>
      </c>
      <c r="K2445" t="s">
        <v>1129</v>
      </c>
      <c r="L2445" t="s">
        <v>62</v>
      </c>
      <c r="M2445" t="s">
        <v>1129</v>
      </c>
      <c r="N2445" t="s">
        <v>1130</v>
      </c>
      <c r="O2445" t="s">
        <v>357</v>
      </c>
      <c r="P2445">
        <v>-20.106638</v>
      </c>
      <c r="Q2445">
        <v>-44.883538000000001</v>
      </c>
      <c r="R2445" s="2" t="str">
        <f>HYPERLINK("https://www.google.com/maps?q=-20.1066380,-44.8835380","Abrir no Google Maps")</f>
        <v>Abrir no Google Maps</v>
      </c>
      <c r="S2445">
        <v>3</v>
      </c>
      <c r="T2445">
        <v>754.03514396665969</v>
      </c>
      <c r="U2445">
        <v>4</v>
      </c>
      <c r="V2445">
        <v>0.42519571747907448</v>
      </c>
      <c r="W2445">
        <v>1</v>
      </c>
      <c r="X2445">
        <v>0.42519571747907448</v>
      </c>
      <c r="Y2445">
        <v>314</v>
      </c>
      <c r="Z2445">
        <v>584.1161650721092</v>
      </c>
      <c r="AA2445">
        <v>198</v>
      </c>
      <c r="AB2445">
        <v>332</v>
      </c>
      <c r="AC2445">
        <v>536</v>
      </c>
      <c r="AD2445">
        <v>29.96</v>
      </c>
      <c r="AE2445">
        <v>542</v>
      </c>
      <c r="AF2445">
        <v>29</v>
      </c>
      <c r="AG2445">
        <v>174</v>
      </c>
      <c r="AH2445">
        <v>129</v>
      </c>
      <c r="AI2445">
        <v>5.35</v>
      </c>
      <c r="AJ2445">
        <v>32.1</v>
      </c>
      <c r="AK2445">
        <v>23.8</v>
      </c>
      <c r="AL2445">
        <v>-20.106599599999949</v>
      </c>
      <c r="AM2445">
        <v>-44.883527947279568</v>
      </c>
      <c r="AN2445">
        <v>-20.106599599999949</v>
      </c>
      <c r="AO2445">
        <v>-44.883527947279568</v>
      </c>
      <c r="AP2445">
        <v>-20.106638</v>
      </c>
      <c r="AQ2445">
        <v>-44.883538000000001</v>
      </c>
      <c r="AR2445">
        <v>4.4019630384815924</v>
      </c>
      <c r="AS2445" t="s">
        <v>65</v>
      </c>
      <c r="AT2445">
        <v>1</v>
      </c>
      <c r="AU2445" t="s">
        <v>1131</v>
      </c>
      <c r="AV2445" t="s">
        <v>1132</v>
      </c>
      <c r="AW2445" t="s">
        <v>60</v>
      </c>
      <c r="AX2445" t="s">
        <v>68</v>
      </c>
      <c r="AY2445" t="s">
        <v>69</v>
      </c>
      <c r="AZ2445" t="b">
        <v>1</v>
      </c>
    </row>
    <row r="2446" spans="1:52" x14ac:dyDescent="0.3">
      <c r="A2446" t="s">
        <v>52</v>
      </c>
      <c r="B2446" t="s">
        <v>53</v>
      </c>
      <c r="C2446" t="s">
        <v>54</v>
      </c>
      <c r="D2446" t="s">
        <v>55</v>
      </c>
      <c r="E2446" t="s">
        <v>2155</v>
      </c>
      <c r="F2446" t="s">
        <v>190</v>
      </c>
      <c r="G2446" t="s">
        <v>1133</v>
      </c>
      <c r="H2446" t="s">
        <v>1134</v>
      </c>
      <c r="I2446" t="s">
        <v>1134</v>
      </c>
      <c r="J2446" t="s">
        <v>60</v>
      </c>
      <c r="K2446" t="s">
        <v>1123</v>
      </c>
      <c r="L2446" t="s">
        <v>62</v>
      </c>
      <c r="M2446" t="s">
        <v>1123</v>
      </c>
      <c r="N2446" t="s">
        <v>1135</v>
      </c>
      <c r="O2446" t="s">
        <v>138</v>
      </c>
      <c r="P2446">
        <v>-20.106113000000001</v>
      </c>
      <c r="Q2446">
        <v>-44.876035999999999</v>
      </c>
      <c r="R2446" s="2" t="str">
        <f>HYPERLINK("https://www.google.com/maps?q=-20.1061130,-44.8760360","Abrir no Google Maps")</f>
        <v>Abrir no Google Maps</v>
      </c>
      <c r="S2446">
        <v>3</v>
      </c>
      <c r="T2446">
        <v>0</v>
      </c>
      <c r="U2446">
        <v>4</v>
      </c>
      <c r="V2446">
        <v>0.42283109202481978</v>
      </c>
      <c r="W2446">
        <v>1</v>
      </c>
      <c r="X2446">
        <v>0.42283109202481978</v>
      </c>
      <c r="Y2446">
        <v>314</v>
      </c>
      <c r="Z2446">
        <v>98.504848991092999</v>
      </c>
      <c r="AA2446">
        <v>198</v>
      </c>
      <c r="AB2446">
        <v>332</v>
      </c>
      <c r="AC2446">
        <v>536</v>
      </c>
      <c r="AD2446">
        <v>29.96</v>
      </c>
      <c r="AE2446">
        <v>542</v>
      </c>
      <c r="AF2446">
        <v>29</v>
      </c>
      <c r="AG2446">
        <v>174</v>
      </c>
      <c r="AH2446">
        <v>129</v>
      </c>
      <c r="AI2446">
        <v>5.35</v>
      </c>
      <c r="AJ2446">
        <v>32.1</v>
      </c>
      <c r="AK2446">
        <v>23.8</v>
      </c>
      <c r="AL2446">
        <v>-20.106190249999941</v>
      </c>
      <c r="AM2446">
        <v>-44.876327742253288</v>
      </c>
      <c r="AN2446">
        <v>-20.106190249999941</v>
      </c>
      <c r="AO2446">
        <v>-44.876327742253288</v>
      </c>
      <c r="AP2446">
        <v>-20.106113000000001</v>
      </c>
      <c r="AQ2446">
        <v>-44.876035999999999</v>
      </c>
      <c r="AR2446">
        <v>31.686742853465731</v>
      </c>
      <c r="AS2446" t="s">
        <v>65</v>
      </c>
      <c r="AT2446">
        <v>1</v>
      </c>
      <c r="AU2446" t="s">
        <v>1136</v>
      </c>
      <c r="AV2446" t="s">
        <v>1137</v>
      </c>
      <c r="AW2446" t="s">
        <v>60</v>
      </c>
      <c r="AX2446" t="s">
        <v>68</v>
      </c>
      <c r="AY2446" t="s">
        <v>69</v>
      </c>
      <c r="AZ2446" t="b">
        <v>1</v>
      </c>
    </row>
    <row r="2447" spans="1:52" x14ac:dyDescent="0.3">
      <c r="A2447" t="s">
        <v>52</v>
      </c>
      <c r="B2447" t="s">
        <v>53</v>
      </c>
      <c r="C2447" t="s">
        <v>54</v>
      </c>
      <c r="D2447" t="s">
        <v>55</v>
      </c>
      <c r="E2447" t="s">
        <v>2155</v>
      </c>
      <c r="F2447" t="s">
        <v>190</v>
      </c>
      <c r="G2447" t="s">
        <v>1138</v>
      </c>
      <c r="H2447" t="s">
        <v>1139</v>
      </c>
      <c r="I2447" t="s">
        <v>1139</v>
      </c>
      <c r="J2447" t="s">
        <v>60</v>
      </c>
      <c r="K2447" t="s">
        <v>1140</v>
      </c>
      <c r="L2447" t="s">
        <v>62</v>
      </c>
      <c r="M2447" t="s">
        <v>1140</v>
      </c>
      <c r="N2447" t="s">
        <v>1141</v>
      </c>
      <c r="O2447" t="s">
        <v>293</v>
      </c>
      <c r="P2447">
        <v>-20.103041999999999</v>
      </c>
      <c r="Q2447">
        <v>-44.882694999999998</v>
      </c>
      <c r="R2447" s="2" t="str">
        <f>HYPERLINK("https://www.google.com/maps?q=-20.1030420,-44.8826950","Abrir no Google Maps")</f>
        <v>Abrir no Google Maps</v>
      </c>
      <c r="S2447">
        <v>3</v>
      </c>
      <c r="T2447">
        <v>764.07293048598467</v>
      </c>
      <c r="U2447">
        <v>4</v>
      </c>
      <c r="V2447">
        <v>0.43492268559914199</v>
      </c>
      <c r="W2447">
        <v>1</v>
      </c>
      <c r="X2447">
        <v>0.43492268559914199</v>
      </c>
      <c r="Y2447">
        <v>314</v>
      </c>
      <c r="Z2447">
        <v>696.03268335706969</v>
      </c>
      <c r="AA2447">
        <v>198</v>
      </c>
      <c r="AB2447">
        <v>332</v>
      </c>
      <c r="AC2447">
        <v>536</v>
      </c>
      <c r="AD2447">
        <v>29.96</v>
      </c>
      <c r="AE2447">
        <v>542</v>
      </c>
      <c r="AF2447">
        <v>29</v>
      </c>
      <c r="AG2447">
        <v>174</v>
      </c>
      <c r="AH2447">
        <v>129</v>
      </c>
      <c r="AI2447">
        <v>5.35</v>
      </c>
      <c r="AJ2447">
        <v>32.1</v>
      </c>
      <c r="AK2447">
        <v>23.8</v>
      </c>
      <c r="AL2447">
        <v>-20.10298734999995</v>
      </c>
      <c r="AM2447">
        <v>-44.882802925792483</v>
      </c>
      <c r="AN2447">
        <v>-20.10298734999995</v>
      </c>
      <c r="AO2447">
        <v>-44.882802925792483</v>
      </c>
      <c r="AP2447">
        <v>-20.103041999999999</v>
      </c>
      <c r="AQ2447">
        <v>-44.882694999999998</v>
      </c>
      <c r="AR2447">
        <v>12.8180317775525</v>
      </c>
      <c r="AS2447" t="s">
        <v>65</v>
      </c>
      <c r="AT2447">
        <v>1</v>
      </c>
      <c r="AU2447" t="s">
        <v>1142</v>
      </c>
      <c r="AV2447" t="s">
        <v>1143</v>
      </c>
      <c r="AW2447" t="s">
        <v>60</v>
      </c>
      <c r="AX2447" t="s">
        <v>68</v>
      </c>
      <c r="AY2447" t="s">
        <v>69</v>
      </c>
      <c r="AZ2447" t="b">
        <v>1</v>
      </c>
    </row>
    <row r="2448" spans="1:52" x14ac:dyDescent="0.3">
      <c r="A2448" t="s">
        <v>52</v>
      </c>
      <c r="B2448" t="s">
        <v>53</v>
      </c>
      <c r="C2448" t="s">
        <v>54</v>
      </c>
      <c r="D2448" t="s">
        <v>55</v>
      </c>
      <c r="E2448" t="s">
        <v>2155</v>
      </c>
      <c r="F2448" t="s">
        <v>190</v>
      </c>
      <c r="G2448" t="s">
        <v>607</v>
      </c>
      <c r="H2448" t="s">
        <v>786</v>
      </c>
      <c r="I2448" t="s">
        <v>786</v>
      </c>
      <c r="J2448" t="s">
        <v>60</v>
      </c>
      <c r="K2448" t="s">
        <v>609</v>
      </c>
      <c r="L2448" t="s">
        <v>62</v>
      </c>
      <c r="M2448" t="s">
        <v>609</v>
      </c>
      <c r="N2448" t="s">
        <v>610</v>
      </c>
      <c r="O2448" t="s">
        <v>315</v>
      </c>
      <c r="P2448">
        <v>-20.108561999999999</v>
      </c>
      <c r="Q2448">
        <v>-44.883811000000001</v>
      </c>
      <c r="R2448" s="2" t="str">
        <f>HYPERLINK("https://www.google.com/maps?q=-20.1085620,-44.8838110","Abrir no Google Maps")</f>
        <v>Abrir no Google Maps</v>
      </c>
      <c r="S2448">
        <v>3</v>
      </c>
      <c r="T2448">
        <v>875.82813532572072</v>
      </c>
      <c r="U2448">
        <v>4</v>
      </c>
      <c r="V2448">
        <v>0.45092152493350091</v>
      </c>
      <c r="W2448">
        <v>1</v>
      </c>
      <c r="X2448">
        <v>0.45092152493350091</v>
      </c>
      <c r="Y2448">
        <v>314</v>
      </c>
      <c r="Z2448">
        <v>824.504668554717</v>
      </c>
      <c r="AA2448">
        <v>198</v>
      </c>
      <c r="AB2448">
        <v>332</v>
      </c>
      <c r="AC2448">
        <v>536</v>
      </c>
      <c r="AD2448">
        <v>29.96</v>
      </c>
      <c r="AE2448">
        <v>542</v>
      </c>
      <c r="AF2448">
        <v>29</v>
      </c>
      <c r="AG2448">
        <v>174</v>
      </c>
      <c r="AH2448">
        <v>129</v>
      </c>
      <c r="AI2448">
        <v>5.35</v>
      </c>
      <c r="AJ2448">
        <v>32.1</v>
      </c>
      <c r="AK2448">
        <v>23.8</v>
      </c>
      <c r="AL2448">
        <v>-20.108622949999951</v>
      </c>
      <c r="AM2448">
        <v>-44.884300516660261</v>
      </c>
      <c r="AN2448">
        <v>-20.108622949999951</v>
      </c>
      <c r="AO2448">
        <v>-44.884300516660261</v>
      </c>
      <c r="AP2448">
        <v>-20.108561999999999</v>
      </c>
      <c r="AQ2448">
        <v>-44.883811000000001</v>
      </c>
      <c r="AR2448">
        <v>51.619098272465493</v>
      </c>
      <c r="AS2448" t="s">
        <v>65</v>
      </c>
      <c r="AT2448">
        <v>1</v>
      </c>
      <c r="AU2448" t="s">
        <v>787</v>
      </c>
      <c r="AV2448" t="s">
        <v>788</v>
      </c>
      <c r="AW2448" t="s">
        <v>60</v>
      </c>
      <c r="AX2448" t="s">
        <v>68</v>
      </c>
      <c r="AY2448" t="s">
        <v>69</v>
      </c>
      <c r="AZ2448" t="b">
        <v>1</v>
      </c>
    </row>
    <row r="2449" spans="1:52" x14ac:dyDescent="0.3">
      <c r="A2449" t="s">
        <v>52</v>
      </c>
      <c r="B2449" t="s">
        <v>53</v>
      </c>
      <c r="C2449" t="s">
        <v>54</v>
      </c>
      <c r="D2449" t="s">
        <v>55</v>
      </c>
      <c r="E2449" t="s">
        <v>2155</v>
      </c>
      <c r="F2449" t="s">
        <v>190</v>
      </c>
      <c r="G2449" t="s">
        <v>789</v>
      </c>
      <c r="H2449" t="s">
        <v>790</v>
      </c>
      <c r="I2449" t="s">
        <v>790</v>
      </c>
      <c r="J2449" t="s">
        <v>60</v>
      </c>
      <c r="K2449" t="s">
        <v>791</v>
      </c>
      <c r="L2449" t="s">
        <v>62</v>
      </c>
      <c r="M2449" t="s">
        <v>791</v>
      </c>
      <c r="N2449" t="s">
        <v>792</v>
      </c>
      <c r="O2449" t="s">
        <v>793</v>
      </c>
      <c r="P2449">
        <v>-20.114263000000001</v>
      </c>
      <c r="Q2449">
        <v>-44.910150000000002</v>
      </c>
      <c r="R2449" s="2" t="str">
        <f>HYPERLINK("https://www.google.com/maps?q=-20.1142630,-44.9101500","Abrir no Google Maps")</f>
        <v>Abrir no Google Maps</v>
      </c>
      <c r="S2449">
        <v>3</v>
      </c>
      <c r="T2449">
        <v>1039.6249825628629</v>
      </c>
      <c r="U2449">
        <v>4</v>
      </c>
      <c r="V2449">
        <v>0.44929666090659959</v>
      </c>
      <c r="W2449">
        <v>1</v>
      </c>
      <c r="X2449">
        <v>0.44929666090659959</v>
      </c>
      <c r="Y2449">
        <v>300</v>
      </c>
      <c r="Z2449">
        <v>1156.8405524690361</v>
      </c>
      <c r="AA2449">
        <v>198</v>
      </c>
      <c r="AB2449">
        <v>332</v>
      </c>
      <c r="AC2449">
        <v>536</v>
      </c>
      <c r="AD2449">
        <v>29.96</v>
      </c>
      <c r="AE2449">
        <v>542</v>
      </c>
      <c r="AF2449">
        <v>29</v>
      </c>
      <c r="AG2449">
        <v>174</v>
      </c>
      <c r="AH2449">
        <v>129</v>
      </c>
      <c r="AI2449">
        <v>5.35</v>
      </c>
      <c r="AJ2449">
        <v>32.1</v>
      </c>
      <c r="AK2449">
        <v>23.8</v>
      </c>
      <c r="AL2449">
        <v>-20.113823899999939</v>
      </c>
      <c r="AM2449">
        <v>-44.910704705968108</v>
      </c>
      <c r="AN2449">
        <v>-20.113823899999939</v>
      </c>
      <c r="AO2449">
        <v>-44.910704705968108</v>
      </c>
      <c r="AP2449">
        <v>-20.114263000000001</v>
      </c>
      <c r="AQ2449">
        <v>-44.910150000000002</v>
      </c>
      <c r="AR2449">
        <v>75.838236800419978</v>
      </c>
      <c r="AS2449" t="s">
        <v>65</v>
      </c>
      <c r="AT2449">
        <v>1</v>
      </c>
      <c r="AU2449" t="s">
        <v>794</v>
      </c>
      <c r="AV2449" t="s">
        <v>795</v>
      </c>
      <c r="AW2449" t="s">
        <v>60</v>
      </c>
      <c r="AX2449" t="s">
        <v>68</v>
      </c>
      <c r="AY2449" t="s">
        <v>69</v>
      </c>
      <c r="AZ2449" t="b">
        <v>1</v>
      </c>
    </row>
    <row r="2450" spans="1:52" x14ac:dyDescent="0.3">
      <c r="A2450" t="s">
        <v>52</v>
      </c>
      <c r="B2450" t="s">
        <v>53</v>
      </c>
      <c r="C2450" t="s">
        <v>54</v>
      </c>
      <c r="D2450" t="s">
        <v>55</v>
      </c>
      <c r="E2450" t="s">
        <v>2155</v>
      </c>
      <c r="F2450" t="s">
        <v>190</v>
      </c>
      <c r="G2450" t="s">
        <v>1147</v>
      </c>
      <c r="H2450" t="s">
        <v>1148</v>
      </c>
      <c r="I2450" t="s">
        <v>1148</v>
      </c>
      <c r="J2450" t="s">
        <v>60</v>
      </c>
      <c r="K2450" t="s">
        <v>798</v>
      </c>
      <c r="L2450" t="s">
        <v>62</v>
      </c>
      <c r="M2450" t="s">
        <v>798</v>
      </c>
      <c r="N2450" t="s">
        <v>1149</v>
      </c>
      <c r="O2450" t="s">
        <v>836</v>
      </c>
      <c r="P2450">
        <v>-20.112448000000001</v>
      </c>
      <c r="Q2450">
        <v>-44.904887000000002</v>
      </c>
      <c r="R2450" s="2" t="str">
        <f>HYPERLINK("https://www.google.com/maps?q=-20.1124480,-44.9048870","Abrir no Google Maps")</f>
        <v>Abrir no Google Maps</v>
      </c>
      <c r="S2450">
        <v>3</v>
      </c>
      <c r="T2450">
        <v>404.16588765758058</v>
      </c>
      <c r="U2450">
        <v>4</v>
      </c>
      <c r="V2450">
        <v>0.42932355879379552</v>
      </c>
      <c r="W2450">
        <v>1</v>
      </c>
      <c r="X2450">
        <v>0.42932355879379552</v>
      </c>
      <c r="Y2450">
        <v>300</v>
      </c>
      <c r="Z2450">
        <v>435.21165957304731</v>
      </c>
      <c r="AA2450">
        <v>198</v>
      </c>
      <c r="AB2450">
        <v>332</v>
      </c>
      <c r="AC2450">
        <v>536</v>
      </c>
      <c r="AD2450">
        <v>29.96</v>
      </c>
      <c r="AE2450">
        <v>542</v>
      </c>
      <c r="AF2450">
        <v>29</v>
      </c>
      <c r="AG2450">
        <v>174</v>
      </c>
      <c r="AH2450">
        <v>129</v>
      </c>
      <c r="AI2450">
        <v>5.35</v>
      </c>
      <c r="AJ2450">
        <v>32.1</v>
      </c>
      <c r="AK2450">
        <v>23.8</v>
      </c>
      <c r="AL2450">
        <v>-20.11243479999996</v>
      </c>
      <c r="AM2450">
        <v>-44.904803228053026</v>
      </c>
      <c r="AN2450">
        <v>-20.11243479999996</v>
      </c>
      <c r="AO2450">
        <v>-44.904803228053026</v>
      </c>
      <c r="AP2450">
        <v>-20.112448000000001</v>
      </c>
      <c r="AQ2450">
        <v>-44.904887000000002</v>
      </c>
      <c r="AR2450">
        <v>8.8792525353759544</v>
      </c>
      <c r="AS2450" t="s">
        <v>65</v>
      </c>
      <c r="AT2450">
        <v>1</v>
      </c>
      <c r="AU2450" t="s">
        <v>1150</v>
      </c>
      <c r="AV2450" t="s">
        <v>1151</v>
      </c>
      <c r="AW2450" t="s">
        <v>60</v>
      </c>
      <c r="AX2450" t="s">
        <v>68</v>
      </c>
      <c r="AY2450" t="s">
        <v>69</v>
      </c>
      <c r="AZ2450" t="b">
        <v>1</v>
      </c>
    </row>
    <row r="2451" spans="1:52" x14ac:dyDescent="0.3">
      <c r="A2451" t="s">
        <v>52</v>
      </c>
      <c r="B2451" t="s">
        <v>53</v>
      </c>
      <c r="C2451" t="s">
        <v>54</v>
      </c>
      <c r="D2451" t="s">
        <v>55</v>
      </c>
      <c r="E2451" t="s">
        <v>2155</v>
      </c>
      <c r="F2451" t="s">
        <v>190</v>
      </c>
      <c r="G2451" t="s">
        <v>1152</v>
      </c>
      <c r="H2451" t="s">
        <v>1153</v>
      </c>
      <c r="I2451" t="s">
        <v>1153</v>
      </c>
      <c r="J2451" t="s">
        <v>60</v>
      </c>
      <c r="K2451" t="s">
        <v>798</v>
      </c>
      <c r="L2451" t="s">
        <v>62</v>
      </c>
      <c r="M2451" t="s">
        <v>798</v>
      </c>
      <c r="N2451" t="s">
        <v>1154</v>
      </c>
      <c r="O2451" t="s">
        <v>293</v>
      </c>
      <c r="P2451">
        <v>-20.112477999999999</v>
      </c>
      <c r="Q2451">
        <v>-44.903066000000003</v>
      </c>
      <c r="R2451" s="2" t="str">
        <f>HYPERLINK("https://www.google.com/maps?q=-20.1124780,-44.9030660","Abrir no Google Maps")</f>
        <v>Abrir no Google Maps</v>
      </c>
      <c r="S2451">
        <v>3</v>
      </c>
      <c r="T2451">
        <v>246.8131690803576</v>
      </c>
      <c r="U2451">
        <v>4</v>
      </c>
      <c r="V2451">
        <v>0.42545523406680769</v>
      </c>
      <c r="W2451">
        <v>1</v>
      </c>
      <c r="X2451">
        <v>0.42545523406680769</v>
      </c>
      <c r="Y2451">
        <v>300</v>
      </c>
      <c r="Z2451">
        <v>335.63974056009812</v>
      </c>
      <c r="AA2451">
        <v>198</v>
      </c>
      <c r="AB2451">
        <v>332</v>
      </c>
      <c r="AC2451">
        <v>536</v>
      </c>
      <c r="AD2451">
        <v>29.96</v>
      </c>
      <c r="AE2451">
        <v>542</v>
      </c>
      <c r="AF2451">
        <v>29</v>
      </c>
      <c r="AG2451">
        <v>174</v>
      </c>
      <c r="AH2451">
        <v>129</v>
      </c>
      <c r="AI2451">
        <v>5.35</v>
      </c>
      <c r="AJ2451">
        <v>32.1</v>
      </c>
      <c r="AK2451">
        <v>23.8</v>
      </c>
      <c r="AL2451">
        <v>-20.112499949999972</v>
      </c>
      <c r="AM2451">
        <v>-44.903143791889391</v>
      </c>
      <c r="AN2451">
        <v>-20.112499949999972</v>
      </c>
      <c r="AO2451">
        <v>-44.903143791889391</v>
      </c>
      <c r="AP2451">
        <v>-20.112477999999999</v>
      </c>
      <c r="AQ2451">
        <v>-44.903066000000003</v>
      </c>
      <c r="AR2451">
        <v>8.4908959019572912</v>
      </c>
      <c r="AS2451" t="s">
        <v>65</v>
      </c>
      <c r="AT2451">
        <v>1</v>
      </c>
      <c r="AU2451" t="s">
        <v>1155</v>
      </c>
      <c r="AV2451" t="s">
        <v>1156</v>
      </c>
      <c r="AW2451" t="s">
        <v>60</v>
      </c>
      <c r="AX2451" t="s">
        <v>68</v>
      </c>
      <c r="AY2451" t="s">
        <v>69</v>
      </c>
      <c r="AZ2451" t="b">
        <v>1</v>
      </c>
    </row>
    <row r="2452" spans="1:52" x14ac:dyDescent="0.3">
      <c r="A2452" t="s">
        <v>52</v>
      </c>
      <c r="B2452" t="s">
        <v>53</v>
      </c>
      <c r="C2452" t="s">
        <v>54</v>
      </c>
      <c r="D2452" t="s">
        <v>55</v>
      </c>
      <c r="E2452" t="s">
        <v>2155</v>
      </c>
      <c r="F2452" t="s">
        <v>190</v>
      </c>
      <c r="G2452" t="s">
        <v>796</v>
      </c>
      <c r="H2452" t="s">
        <v>797</v>
      </c>
      <c r="I2452" t="s">
        <v>797</v>
      </c>
      <c r="J2452" t="s">
        <v>60</v>
      </c>
      <c r="K2452" t="s">
        <v>798</v>
      </c>
      <c r="L2452" t="s">
        <v>62</v>
      </c>
      <c r="M2452" t="s">
        <v>798</v>
      </c>
      <c r="N2452" t="s">
        <v>799</v>
      </c>
      <c r="O2452" t="s">
        <v>800</v>
      </c>
      <c r="P2452">
        <v>-20.105681000000001</v>
      </c>
      <c r="Q2452">
        <v>-44.902771999999999</v>
      </c>
      <c r="R2452" s="2" t="str">
        <f>HYPERLINK("https://www.google.com/maps?q=-20.1056810,-44.9027720","Abrir no Google Maps")</f>
        <v>Abrir no Google Maps</v>
      </c>
      <c r="S2452">
        <v>3</v>
      </c>
      <c r="T2452">
        <v>654.76334876090721</v>
      </c>
      <c r="U2452">
        <v>4</v>
      </c>
      <c r="V2452">
        <v>0.44931936798455713</v>
      </c>
      <c r="W2452">
        <v>1</v>
      </c>
      <c r="X2452">
        <v>0.44931936798455713</v>
      </c>
      <c r="Y2452">
        <v>300</v>
      </c>
      <c r="Z2452">
        <v>473.90209409135377</v>
      </c>
      <c r="AA2452">
        <v>198</v>
      </c>
      <c r="AB2452">
        <v>332</v>
      </c>
      <c r="AC2452">
        <v>536</v>
      </c>
      <c r="AD2452">
        <v>29.96</v>
      </c>
      <c r="AE2452">
        <v>542</v>
      </c>
      <c r="AF2452">
        <v>29</v>
      </c>
      <c r="AG2452">
        <v>174</v>
      </c>
      <c r="AH2452">
        <v>129</v>
      </c>
      <c r="AI2452">
        <v>5.35</v>
      </c>
      <c r="AJ2452">
        <v>32.1</v>
      </c>
      <c r="AK2452">
        <v>23.8</v>
      </c>
      <c r="AL2452">
        <v>-20.105710249999959</v>
      </c>
      <c r="AM2452">
        <v>-44.902887601574513</v>
      </c>
      <c r="AN2452">
        <v>-20.105710249999959</v>
      </c>
      <c r="AO2452">
        <v>-44.902887601574513</v>
      </c>
      <c r="AP2452">
        <v>-20.105681000000001</v>
      </c>
      <c r="AQ2452">
        <v>-44.902771999999999</v>
      </c>
      <c r="AR2452">
        <v>12.5155291382583</v>
      </c>
      <c r="AS2452" t="s">
        <v>65</v>
      </c>
      <c r="AT2452">
        <v>1</v>
      </c>
      <c r="AU2452" t="s">
        <v>801</v>
      </c>
      <c r="AV2452" t="s">
        <v>802</v>
      </c>
      <c r="AW2452" t="s">
        <v>60</v>
      </c>
      <c r="AX2452" t="s">
        <v>68</v>
      </c>
      <c r="AY2452" t="s">
        <v>69</v>
      </c>
      <c r="AZ2452" t="b">
        <v>1</v>
      </c>
    </row>
    <row r="2453" spans="1:52" x14ac:dyDescent="0.3">
      <c r="A2453" t="s">
        <v>52</v>
      </c>
      <c r="B2453" t="s">
        <v>53</v>
      </c>
      <c r="C2453" t="s">
        <v>54</v>
      </c>
      <c r="D2453" t="s">
        <v>55</v>
      </c>
      <c r="E2453" t="s">
        <v>2155</v>
      </c>
      <c r="F2453" t="s">
        <v>190</v>
      </c>
      <c r="G2453" t="s">
        <v>1157</v>
      </c>
      <c r="H2453" t="s">
        <v>1158</v>
      </c>
      <c r="I2453" t="s">
        <v>1158</v>
      </c>
      <c r="J2453" t="s">
        <v>60</v>
      </c>
      <c r="K2453" t="s">
        <v>791</v>
      </c>
      <c r="L2453" t="s">
        <v>62</v>
      </c>
      <c r="M2453" t="s">
        <v>791</v>
      </c>
      <c r="N2453" t="s">
        <v>1159</v>
      </c>
      <c r="O2453" t="s">
        <v>1160</v>
      </c>
      <c r="P2453">
        <v>-20.108114</v>
      </c>
      <c r="Q2453">
        <v>-44.905804000000003</v>
      </c>
      <c r="R2453" s="2" t="str">
        <f>HYPERLINK("https://www.google.com/maps?q=-20.1081140,-44.9058040","Abrir no Google Maps")</f>
        <v>Abrir no Google Maps</v>
      </c>
      <c r="S2453">
        <v>3</v>
      </c>
      <c r="T2453">
        <v>603.1428230097074</v>
      </c>
      <c r="U2453">
        <v>4</v>
      </c>
      <c r="V2453">
        <v>0.42757120805615789</v>
      </c>
      <c r="W2453">
        <v>1</v>
      </c>
      <c r="X2453">
        <v>0.42757120805615789</v>
      </c>
      <c r="Y2453">
        <v>300</v>
      </c>
      <c r="Z2453">
        <v>444.71482981499793</v>
      </c>
      <c r="AA2453">
        <v>198</v>
      </c>
      <c r="AB2453">
        <v>332</v>
      </c>
      <c r="AC2453">
        <v>536</v>
      </c>
      <c r="AD2453">
        <v>29.96</v>
      </c>
      <c r="AE2453">
        <v>542</v>
      </c>
      <c r="AF2453">
        <v>29</v>
      </c>
      <c r="AG2453">
        <v>174</v>
      </c>
      <c r="AH2453">
        <v>129</v>
      </c>
      <c r="AI2453">
        <v>5.35</v>
      </c>
      <c r="AJ2453">
        <v>32.1</v>
      </c>
      <c r="AK2453">
        <v>23.8</v>
      </c>
      <c r="AL2453">
        <v>-20.108146549999962</v>
      </c>
      <c r="AM2453">
        <v>-44.905744943453513</v>
      </c>
      <c r="AN2453">
        <v>-20.108146549999962</v>
      </c>
      <c r="AO2453">
        <v>-44.905744943453513</v>
      </c>
      <c r="AP2453">
        <v>-20.108114</v>
      </c>
      <c r="AQ2453">
        <v>-44.905804000000003</v>
      </c>
      <c r="AR2453">
        <v>7.1582799138071884</v>
      </c>
      <c r="AS2453" t="s">
        <v>65</v>
      </c>
      <c r="AT2453">
        <v>1</v>
      </c>
      <c r="AU2453" t="s">
        <v>1161</v>
      </c>
      <c r="AV2453" t="s">
        <v>1162</v>
      </c>
      <c r="AW2453" t="s">
        <v>60</v>
      </c>
      <c r="AX2453" t="s">
        <v>68</v>
      </c>
      <c r="AY2453" t="s">
        <v>69</v>
      </c>
      <c r="AZ2453" t="b">
        <v>1</v>
      </c>
    </row>
    <row r="2454" spans="1:52" x14ac:dyDescent="0.3">
      <c r="A2454" t="s">
        <v>52</v>
      </c>
      <c r="B2454" t="s">
        <v>53</v>
      </c>
      <c r="C2454" t="s">
        <v>54</v>
      </c>
      <c r="D2454" t="s">
        <v>55</v>
      </c>
      <c r="E2454" t="s">
        <v>2155</v>
      </c>
      <c r="F2454" t="s">
        <v>190</v>
      </c>
      <c r="G2454" t="s">
        <v>810</v>
      </c>
      <c r="H2454" t="s">
        <v>811</v>
      </c>
      <c r="I2454" t="s">
        <v>811</v>
      </c>
      <c r="J2454" t="s">
        <v>60</v>
      </c>
      <c r="K2454" t="s">
        <v>805</v>
      </c>
      <c r="L2454" t="s">
        <v>62</v>
      </c>
      <c r="M2454" t="s">
        <v>805</v>
      </c>
      <c r="N2454" t="s">
        <v>812</v>
      </c>
      <c r="O2454" t="s">
        <v>309</v>
      </c>
      <c r="P2454">
        <v>-20.129868999999999</v>
      </c>
      <c r="Q2454">
        <v>-44.884247999999999</v>
      </c>
      <c r="R2454" s="2" t="str">
        <f>HYPERLINK("https://www.google.com/maps?q=-20.1298690,-44.8842480","Abrir no Google Maps")</f>
        <v>Abrir no Google Maps</v>
      </c>
      <c r="S2454">
        <v>3</v>
      </c>
      <c r="T2454">
        <v>434.82198084080329</v>
      </c>
      <c r="U2454">
        <v>4</v>
      </c>
      <c r="V2454">
        <v>0.4442603583976133</v>
      </c>
      <c r="W2454">
        <v>1</v>
      </c>
      <c r="X2454">
        <v>0.4442603583976133</v>
      </c>
      <c r="Y2454">
        <v>259</v>
      </c>
      <c r="Z2454">
        <v>281.76247768049842</v>
      </c>
      <c r="AA2454">
        <v>198</v>
      </c>
      <c r="AB2454">
        <v>332</v>
      </c>
      <c r="AC2454">
        <v>536</v>
      </c>
      <c r="AD2454">
        <v>29.96</v>
      </c>
      <c r="AE2454">
        <v>542</v>
      </c>
      <c r="AF2454">
        <v>29</v>
      </c>
      <c r="AG2454">
        <v>174</v>
      </c>
      <c r="AH2454">
        <v>129</v>
      </c>
      <c r="AI2454">
        <v>5.35</v>
      </c>
      <c r="AJ2454">
        <v>32.1</v>
      </c>
      <c r="AK2454">
        <v>23.8</v>
      </c>
      <c r="AL2454">
        <v>-20.129927549999959</v>
      </c>
      <c r="AM2454">
        <v>-44.884228133573217</v>
      </c>
      <c r="AN2454">
        <v>-20.129927549999959</v>
      </c>
      <c r="AO2454">
        <v>-44.884228133573217</v>
      </c>
      <c r="AP2454">
        <v>-20.129868999999999</v>
      </c>
      <c r="AQ2454">
        <v>-44.884247999999999</v>
      </c>
      <c r="AR2454">
        <v>6.8405504803478081</v>
      </c>
      <c r="AS2454" t="s">
        <v>65</v>
      </c>
      <c r="AT2454">
        <v>1</v>
      </c>
      <c r="AU2454" t="s">
        <v>813</v>
      </c>
      <c r="AV2454" t="s">
        <v>814</v>
      </c>
      <c r="AW2454" t="s">
        <v>60</v>
      </c>
      <c r="AX2454" t="s">
        <v>68</v>
      </c>
      <c r="AY2454" t="s">
        <v>69</v>
      </c>
      <c r="AZ2454" t="b">
        <v>1</v>
      </c>
    </row>
    <row r="2455" spans="1:52" x14ac:dyDescent="0.3">
      <c r="A2455" t="s">
        <v>52</v>
      </c>
      <c r="B2455" t="s">
        <v>53</v>
      </c>
      <c r="C2455" t="s">
        <v>54</v>
      </c>
      <c r="D2455" t="s">
        <v>55</v>
      </c>
      <c r="E2455" t="s">
        <v>2155</v>
      </c>
      <c r="F2455" t="s">
        <v>190</v>
      </c>
      <c r="G2455" t="s">
        <v>815</v>
      </c>
      <c r="H2455" t="s">
        <v>816</v>
      </c>
      <c r="I2455" t="s">
        <v>816</v>
      </c>
      <c r="J2455" t="s">
        <v>60</v>
      </c>
      <c r="K2455" t="s">
        <v>805</v>
      </c>
      <c r="L2455" t="s">
        <v>62</v>
      </c>
      <c r="M2455" t="s">
        <v>805</v>
      </c>
      <c r="N2455" t="s">
        <v>817</v>
      </c>
      <c r="O2455" t="s">
        <v>818</v>
      </c>
      <c r="P2455">
        <v>-20.129894</v>
      </c>
      <c r="Q2455">
        <v>-44.886285000000001</v>
      </c>
      <c r="R2455" s="2" t="str">
        <f>HYPERLINK("https://www.google.com/maps?q=-20.1298940,-44.8862850","Abrir no Google Maps")</f>
        <v>Abrir no Google Maps</v>
      </c>
      <c r="S2455">
        <v>3</v>
      </c>
      <c r="T2455">
        <v>245.88570896460399</v>
      </c>
      <c r="U2455">
        <v>4</v>
      </c>
      <c r="V2455">
        <v>0.44429378145973158</v>
      </c>
      <c r="W2455">
        <v>1</v>
      </c>
      <c r="X2455">
        <v>0.44429378145973158</v>
      </c>
      <c r="Y2455">
        <v>259</v>
      </c>
      <c r="Z2455">
        <v>274.53833463725539</v>
      </c>
      <c r="AA2455">
        <v>198</v>
      </c>
      <c r="AB2455">
        <v>332</v>
      </c>
      <c r="AC2455">
        <v>536</v>
      </c>
      <c r="AD2455">
        <v>29.96</v>
      </c>
      <c r="AE2455">
        <v>542</v>
      </c>
      <c r="AF2455">
        <v>29</v>
      </c>
      <c r="AG2455">
        <v>174</v>
      </c>
      <c r="AH2455">
        <v>129</v>
      </c>
      <c r="AI2455">
        <v>5.35</v>
      </c>
      <c r="AJ2455">
        <v>32.1</v>
      </c>
      <c r="AK2455">
        <v>23.8</v>
      </c>
      <c r="AL2455">
        <v>-20.129900749999969</v>
      </c>
      <c r="AM2455">
        <v>-44.886258682425179</v>
      </c>
      <c r="AN2455">
        <v>-20.129900749999969</v>
      </c>
      <c r="AO2455">
        <v>-44.886258682425179</v>
      </c>
      <c r="AP2455">
        <v>-20.129894</v>
      </c>
      <c r="AQ2455">
        <v>-44.886285000000001</v>
      </c>
      <c r="AR2455">
        <v>2.851497427576585</v>
      </c>
      <c r="AS2455" t="s">
        <v>65</v>
      </c>
      <c r="AT2455">
        <v>1</v>
      </c>
      <c r="AU2455" t="s">
        <v>819</v>
      </c>
      <c r="AV2455" t="s">
        <v>814</v>
      </c>
      <c r="AW2455" t="s">
        <v>60</v>
      </c>
      <c r="AX2455" t="s">
        <v>68</v>
      </c>
      <c r="AY2455" t="s">
        <v>69</v>
      </c>
      <c r="AZ2455" t="b">
        <v>1</v>
      </c>
    </row>
    <row r="2456" spans="1:52" x14ac:dyDescent="0.3">
      <c r="A2456" t="s">
        <v>52</v>
      </c>
      <c r="B2456" t="s">
        <v>53</v>
      </c>
      <c r="C2456" t="s">
        <v>54</v>
      </c>
      <c r="D2456" t="s">
        <v>55</v>
      </c>
      <c r="E2456" t="s">
        <v>2155</v>
      </c>
      <c r="F2456" t="s">
        <v>190</v>
      </c>
      <c r="G2456" t="s">
        <v>820</v>
      </c>
      <c r="H2456" t="s">
        <v>821</v>
      </c>
      <c r="I2456" t="s">
        <v>821</v>
      </c>
      <c r="J2456" t="s">
        <v>60</v>
      </c>
      <c r="K2456" t="s">
        <v>822</v>
      </c>
      <c r="L2456" t="s">
        <v>62</v>
      </c>
      <c r="M2456" t="s">
        <v>822</v>
      </c>
      <c r="N2456" t="s">
        <v>823</v>
      </c>
      <c r="O2456" t="s">
        <v>187</v>
      </c>
      <c r="P2456">
        <v>-20.182960999999999</v>
      </c>
      <c r="Q2456">
        <v>-44.902512999999999</v>
      </c>
      <c r="R2456" s="2" t="str">
        <f>HYPERLINK("https://www.google.com/maps?q=-20.1829610,-44.9025130","Abrir no Google Maps")</f>
        <v>Abrir no Google Maps</v>
      </c>
      <c r="S2456">
        <v>3</v>
      </c>
      <c r="T2456">
        <v>908.09917748271926</v>
      </c>
      <c r="U2456">
        <v>4</v>
      </c>
      <c r="V2456">
        <v>0.49416957620496449</v>
      </c>
      <c r="W2456">
        <v>1</v>
      </c>
      <c r="X2456">
        <v>0.49416957620496449</v>
      </c>
      <c r="Y2456">
        <v>135</v>
      </c>
      <c r="Z2456">
        <v>562.42494356837676</v>
      </c>
      <c r="AA2456">
        <v>198</v>
      </c>
      <c r="AB2456">
        <v>332</v>
      </c>
      <c r="AC2456">
        <v>536</v>
      </c>
      <c r="AD2456">
        <v>29.96</v>
      </c>
      <c r="AE2456">
        <v>542</v>
      </c>
      <c r="AF2456">
        <v>29</v>
      </c>
      <c r="AG2456">
        <v>174</v>
      </c>
      <c r="AH2456">
        <v>129</v>
      </c>
      <c r="AI2456">
        <v>5.35</v>
      </c>
      <c r="AJ2456">
        <v>32.1</v>
      </c>
      <c r="AK2456">
        <v>23.8</v>
      </c>
      <c r="AL2456">
        <v>-20.18277184999997</v>
      </c>
      <c r="AM2456">
        <v>-44.902421436048833</v>
      </c>
      <c r="AN2456">
        <v>-20.18277184999997</v>
      </c>
      <c r="AO2456">
        <v>-44.902421436048833</v>
      </c>
      <c r="AP2456">
        <v>-20.182960999999999</v>
      </c>
      <c r="AQ2456">
        <v>-44.902512999999999</v>
      </c>
      <c r="AR2456">
        <v>23.127700959037089</v>
      </c>
      <c r="AS2456" t="s">
        <v>65</v>
      </c>
      <c r="AT2456">
        <v>1</v>
      </c>
      <c r="AU2456" t="s">
        <v>824</v>
      </c>
      <c r="AV2456" t="s">
        <v>825</v>
      </c>
      <c r="AW2456" t="s">
        <v>60</v>
      </c>
      <c r="AX2456" t="s">
        <v>68</v>
      </c>
      <c r="AY2456" t="s">
        <v>69</v>
      </c>
      <c r="AZ2456" t="b">
        <v>1</v>
      </c>
    </row>
    <row r="2457" spans="1:52" x14ac:dyDescent="0.3">
      <c r="A2457" t="s">
        <v>52</v>
      </c>
      <c r="B2457" t="s">
        <v>53</v>
      </c>
      <c r="C2457" t="s">
        <v>54</v>
      </c>
      <c r="D2457" t="s">
        <v>55</v>
      </c>
      <c r="E2457" t="s">
        <v>2155</v>
      </c>
      <c r="F2457" t="s">
        <v>190</v>
      </c>
      <c r="G2457" t="s">
        <v>1224</v>
      </c>
      <c r="H2457" t="s">
        <v>1230</v>
      </c>
      <c r="I2457" t="s">
        <v>1230</v>
      </c>
      <c r="J2457" t="s">
        <v>60</v>
      </c>
      <c r="K2457" t="s">
        <v>828</v>
      </c>
      <c r="L2457" t="s">
        <v>62</v>
      </c>
      <c r="M2457" t="s">
        <v>828</v>
      </c>
      <c r="N2457" t="s">
        <v>1231</v>
      </c>
      <c r="O2457" t="s">
        <v>1232</v>
      </c>
      <c r="P2457">
        <v>-20.136106000000002</v>
      </c>
      <c r="Q2457">
        <v>-44.838470999999998</v>
      </c>
      <c r="R2457" s="2" t="str">
        <f>HYPERLINK("https://www.google.com/maps?q=-20.1361060,-44.8384710","Abrir no Google Maps")</f>
        <v>Abrir no Google Maps</v>
      </c>
      <c r="S2457">
        <v>3</v>
      </c>
      <c r="T2457">
        <v>910.01690137237858</v>
      </c>
      <c r="U2457">
        <v>4</v>
      </c>
      <c r="V2457">
        <v>0.42548671670173621</v>
      </c>
      <c r="W2457">
        <v>1</v>
      </c>
      <c r="X2457">
        <v>0.42548671670173621</v>
      </c>
      <c r="Y2457">
        <v>118</v>
      </c>
      <c r="Z2457">
        <v>892.76979321439796</v>
      </c>
      <c r="AA2457">
        <v>198</v>
      </c>
      <c r="AB2457">
        <v>332</v>
      </c>
      <c r="AC2457">
        <v>536</v>
      </c>
      <c r="AD2457">
        <v>29.96</v>
      </c>
      <c r="AE2457">
        <v>542</v>
      </c>
      <c r="AF2457">
        <v>29</v>
      </c>
      <c r="AG2457">
        <v>174</v>
      </c>
      <c r="AH2457">
        <v>129</v>
      </c>
      <c r="AI2457">
        <v>5.35</v>
      </c>
      <c r="AJ2457">
        <v>32.1</v>
      </c>
      <c r="AK2457">
        <v>23.8</v>
      </c>
      <c r="AL2457">
        <v>-20.136356149999951</v>
      </c>
      <c r="AM2457">
        <v>-44.838929886373997</v>
      </c>
      <c r="AN2457">
        <v>-20.136356149999951</v>
      </c>
      <c r="AO2457">
        <v>-44.838929886373997</v>
      </c>
      <c r="AP2457">
        <v>-20.136106000000002</v>
      </c>
      <c r="AQ2457">
        <v>-44.838470999999998</v>
      </c>
      <c r="AR2457">
        <v>55.458802856549369</v>
      </c>
      <c r="AS2457" t="s">
        <v>65</v>
      </c>
      <c r="AT2457">
        <v>1</v>
      </c>
      <c r="AU2457" t="s">
        <v>1233</v>
      </c>
      <c r="AV2457" t="s">
        <v>1234</v>
      </c>
      <c r="AW2457" t="s">
        <v>60</v>
      </c>
      <c r="AX2457" t="s">
        <v>68</v>
      </c>
      <c r="AY2457" t="s">
        <v>69</v>
      </c>
      <c r="AZ2457" t="b">
        <v>1</v>
      </c>
    </row>
    <row r="2458" spans="1:52" x14ac:dyDescent="0.3">
      <c r="A2458" t="s">
        <v>52</v>
      </c>
      <c r="B2458" t="s">
        <v>53</v>
      </c>
      <c r="C2458" t="s">
        <v>54</v>
      </c>
      <c r="D2458" t="s">
        <v>55</v>
      </c>
      <c r="E2458" t="s">
        <v>2155</v>
      </c>
      <c r="F2458" t="s">
        <v>190</v>
      </c>
      <c r="G2458" t="s">
        <v>1842</v>
      </c>
      <c r="H2458" t="s">
        <v>1843</v>
      </c>
      <c r="I2458" t="s">
        <v>1843</v>
      </c>
      <c r="J2458" t="s">
        <v>60</v>
      </c>
      <c r="K2458" t="s">
        <v>1243</v>
      </c>
      <c r="L2458" t="s">
        <v>62</v>
      </c>
      <c r="M2458" t="s">
        <v>1243</v>
      </c>
      <c r="N2458" t="s">
        <v>1844</v>
      </c>
      <c r="O2458" t="s">
        <v>598</v>
      </c>
      <c r="P2458">
        <v>-20.191507999999999</v>
      </c>
      <c r="Q2458">
        <v>-44.942765000000001</v>
      </c>
      <c r="R2458" s="2" t="str">
        <f>HYPERLINK("https://www.google.com/maps?q=-20.1915080,-44.9427650","Abrir no Google Maps")</f>
        <v>Abrir no Google Maps</v>
      </c>
      <c r="S2458">
        <v>3</v>
      </c>
      <c r="T2458">
        <v>481.65843439031818</v>
      </c>
      <c r="U2458">
        <v>4</v>
      </c>
      <c r="V2458">
        <v>0.42558408295852068</v>
      </c>
      <c r="W2458">
        <v>1</v>
      </c>
      <c r="X2458">
        <v>0.42558408295852068</v>
      </c>
      <c r="Y2458">
        <v>113</v>
      </c>
      <c r="Z2458">
        <v>403.01657911729887</v>
      </c>
      <c r="AA2458">
        <v>198</v>
      </c>
      <c r="AB2458">
        <v>332</v>
      </c>
      <c r="AC2458">
        <v>536</v>
      </c>
      <c r="AD2458">
        <v>29.96</v>
      </c>
      <c r="AE2458">
        <v>542</v>
      </c>
      <c r="AF2458">
        <v>29</v>
      </c>
      <c r="AG2458">
        <v>174</v>
      </c>
      <c r="AH2458">
        <v>129</v>
      </c>
      <c r="AI2458">
        <v>5.35</v>
      </c>
      <c r="AJ2458">
        <v>32.1</v>
      </c>
      <c r="AK2458">
        <v>23.8</v>
      </c>
      <c r="AL2458">
        <v>-20.19144764999993</v>
      </c>
      <c r="AM2458">
        <v>-44.942723431709183</v>
      </c>
      <c r="AN2458">
        <v>-20.19144764999993</v>
      </c>
      <c r="AO2458">
        <v>-44.942723431709183</v>
      </c>
      <c r="AP2458">
        <v>-20.191507999999999</v>
      </c>
      <c r="AQ2458">
        <v>-44.942765000000001</v>
      </c>
      <c r="AR2458">
        <v>7.9997116897974587</v>
      </c>
      <c r="AS2458" t="s">
        <v>65</v>
      </c>
      <c r="AT2458">
        <v>1</v>
      </c>
      <c r="AU2458" t="s">
        <v>1845</v>
      </c>
      <c r="AV2458" t="s">
        <v>1846</v>
      </c>
      <c r="AW2458" t="s">
        <v>60</v>
      </c>
      <c r="AX2458" t="s">
        <v>68</v>
      </c>
      <c r="AY2458" t="s">
        <v>69</v>
      </c>
      <c r="AZ2458" t="b">
        <v>1</v>
      </c>
    </row>
    <row r="2459" spans="1:52" x14ac:dyDescent="0.3">
      <c r="A2459" t="s">
        <v>52</v>
      </c>
      <c r="B2459" t="s">
        <v>53</v>
      </c>
      <c r="C2459" t="s">
        <v>54</v>
      </c>
      <c r="D2459" t="s">
        <v>55</v>
      </c>
      <c r="E2459" t="s">
        <v>2155</v>
      </c>
      <c r="F2459" t="s">
        <v>190</v>
      </c>
      <c r="G2459" t="s">
        <v>1241</v>
      </c>
      <c r="H2459" t="s">
        <v>1242</v>
      </c>
      <c r="I2459" t="s">
        <v>1242</v>
      </c>
      <c r="J2459" t="s">
        <v>60</v>
      </c>
      <c r="K2459" t="s">
        <v>1243</v>
      </c>
      <c r="L2459" t="s">
        <v>62</v>
      </c>
      <c r="M2459" t="s">
        <v>1243</v>
      </c>
      <c r="N2459" t="s">
        <v>1244</v>
      </c>
      <c r="O2459" t="s">
        <v>315</v>
      </c>
      <c r="P2459">
        <v>-20.188538000000001</v>
      </c>
      <c r="Q2459">
        <v>-44.930104</v>
      </c>
      <c r="R2459" s="2" t="str">
        <f>HYPERLINK("https://www.google.com/maps?q=-20.1885380,-44.9301040","Abrir no Google Maps")</f>
        <v>Abrir no Google Maps</v>
      </c>
      <c r="S2459">
        <v>3</v>
      </c>
      <c r="T2459">
        <v>928.27105405717066</v>
      </c>
      <c r="U2459">
        <v>4</v>
      </c>
      <c r="V2459">
        <v>0.4434170856547538</v>
      </c>
      <c r="W2459">
        <v>1</v>
      </c>
      <c r="X2459">
        <v>0.4434170856547538</v>
      </c>
      <c r="Y2459">
        <v>113</v>
      </c>
      <c r="Z2459">
        <v>1111.4269393179579</v>
      </c>
      <c r="AA2459">
        <v>198</v>
      </c>
      <c r="AB2459">
        <v>332</v>
      </c>
      <c r="AC2459">
        <v>536</v>
      </c>
      <c r="AD2459">
        <v>29.96</v>
      </c>
      <c r="AE2459">
        <v>542</v>
      </c>
      <c r="AF2459">
        <v>29</v>
      </c>
      <c r="AG2459">
        <v>174</v>
      </c>
      <c r="AH2459">
        <v>129</v>
      </c>
      <c r="AI2459">
        <v>5.35</v>
      </c>
      <c r="AJ2459">
        <v>32.1</v>
      </c>
      <c r="AK2459">
        <v>23.8</v>
      </c>
      <c r="AL2459">
        <v>-20.18852899999996</v>
      </c>
      <c r="AM2459">
        <v>-44.930083089036543</v>
      </c>
      <c r="AN2459">
        <v>-20.18852899999996</v>
      </c>
      <c r="AO2459">
        <v>-44.930083089036543</v>
      </c>
      <c r="AP2459">
        <v>-20.188538000000001</v>
      </c>
      <c r="AQ2459">
        <v>-44.930104</v>
      </c>
      <c r="AR2459">
        <v>2.4035564137158438</v>
      </c>
      <c r="AS2459" t="s">
        <v>65</v>
      </c>
      <c r="AT2459">
        <v>1</v>
      </c>
      <c r="AU2459" t="s">
        <v>1245</v>
      </c>
      <c r="AV2459" t="s">
        <v>1246</v>
      </c>
      <c r="AW2459" t="s">
        <v>60</v>
      </c>
      <c r="AX2459" t="s">
        <v>68</v>
      </c>
      <c r="AY2459" t="s">
        <v>69</v>
      </c>
      <c r="AZ2459" t="b">
        <v>1</v>
      </c>
    </row>
    <row r="2460" spans="1:52" x14ac:dyDescent="0.3">
      <c r="A2460" t="s">
        <v>52</v>
      </c>
      <c r="B2460" t="s">
        <v>53</v>
      </c>
      <c r="C2460" t="s">
        <v>54</v>
      </c>
      <c r="D2460" t="s">
        <v>55</v>
      </c>
      <c r="E2460" t="s">
        <v>2155</v>
      </c>
      <c r="F2460" t="s">
        <v>190</v>
      </c>
      <c r="G2460" t="s">
        <v>380</v>
      </c>
      <c r="H2460" t="s">
        <v>381</v>
      </c>
      <c r="I2460" t="s">
        <v>381</v>
      </c>
      <c r="J2460" t="s">
        <v>60</v>
      </c>
      <c r="K2460" t="s">
        <v>72</v>
      </c>
      <c r="L2460" t="s">
        <v>62</v>
      </c>
      <c r="M2460" t="s">
        <v>72</v>
      </c>
      <c r="N2460" t="s">
        <v>382</v>
      </c>
      <c r="O2460" t="s">
        <v>383</v>
      </c>
      <c r="P2460">
        <v>-20.147182000000001</v>
      </c>
      <c r="Q2460">
        <v>-44.912728999999999</v>
      </c>
      <c r="R2460" s="2" t="str">
        <f>HYPERLINK("https://www.google.com/maps?q=-20.1471820,-44.9127290","Abrir no Google Maps")</f>
        <v>Abrir no Google Maps</v>
      </c>
      <c r="S2460">
        <v>3</v>
      </c>
      <c r="T2460">
        <v>478.0141981540923</v>
      </c>
      <c r="U2460">
        <v>3</v>
      </c>
      <c r="V2460">
        <v>0.414391493072993</v>
      </c>
      <c r="W2460">
        <v>1</v>
      </c>
      <c r="X2460">
        <v>0.414391493072993</v>
      </c>
      <c r="Y2460">
        <v>747</v>
      </c>
      <c r="Z2460">
        <v>494.0254290673729</v>
      </c>
      <c r="AA2460">
        <v>198</v>
      </c>
      <c r="AB2460">
        <v>332</v>
      </c>
      <c r="AC2460">
        <v>536</v>
      </c>
      <c r="AD2460">
        <v>29.96</v>
      </c>
      <c r="AE2460">
        <v>542</v>
      </c>
      <c r="AF2460">
        <v>29</v>
      </c>
      <c r="AG2460">
        <v>174</v>
      </c>
      <c r="AH2460">
        <v>129</v>
      </c>
      <c r="AI2460">
        <v>5.35</v>
      </c>
      <c r="AJ2460">
        <v>32.1</v>
      </c>
      <c r="AK2460">
        <v>23.8</v>
      </c>
      <c r="AL2460">
        <v>-20.147375599999979</v>
      </c>
      <c r="AM2460">
        <v>-44.912907472879468</v>
      </c>
      <c r="AN2460">
        <v>-20.147375599999979</v>
      </c>
      <c r="AO2460">
        <v>-44.912907472879468</v>
      </c>
      <c r="AP2460">
        <v>-20.147182000000001</v>
      </c>
      <c r="AQ2460">
        <v>-44.912728999999999</v>
      </c>
      <c r="AR2460">
        <v>28.50197694184326</v>
      </c>
      <c r="AS2460" t="s">
        <v>65</v>
      </c>
      <c r="AT2460">
        <v>1</v>
      </c>
      <c r="AU2460" t="s">
        <v>384</v>
      </c>
      <c r="AV2460" t="s">
        <v>385</v>
      </c>
      <c r="AW2460" t="s">
        <v>60</v>
      </c>
      <c r="AX2460" t="s">
        <v>68</v>
      </c>
      <c r="AY2460" t="s">
        <v>69</v>
      </c>
      <c r="AZ2460" t="b">
        <v>1</v>
      </c>
    </row>
    <row r="2461" spans="1:52" x14ac:dyDescent="0.3">
      <c r="A2461" t="s">
        <v>52</v>
      </c>
      <c r="B2461" t="s">
        <v>53</v>
      </c>
      <c r="C2461" t="s">
        <v>54</v>
      </c>
      <c r="D2461" t="s">
        <v>55</v>
      </c>
      <c r="E2461" t="s">
        <v>2155</v>
      </c>
      <c r="F2461" t="s">
        <v>190</v>
      </c>
      <c r="G2461" t="s">
        <v>833</v>
      </c>
      <c r="H2461" t="s">
        <v>834</v>
      </c>
      <c r="I2461" t="s">
        <v>834</v>
      </c>
      <c r="J2461" t="s">
        <v>60</v>
      </c>
      <c r="K2461" t="s">
        <v>388</v>
      </c>
      <c r="L2461" t="s">
        <v>62</v>
      </c>
      <c r="M2461" t="s">
        <v>388</v>
      </c>
      <c r="N2461" t="s">
        <v>835</v>
      </c>
      <c r="O2461" t="s">
        <v>836</v>
      </c>
      <c r="P2461">
        <v>-20.157906000000001</v>
      </c>
      <c r="Q2461">
        <v>-44.900458999999998</v>
      </c>
      <c r="R2461" s="2" t="str">
        <f>HYPERLINK("https://www.google.com/maps?q=-20.1579060,-44.9004590","Abrir no Google Maps")</f>
        <v>Abrir no Google Maps</v>
      </c>
      <c r="S2461">
        <v>3</v>
      </c>
      <c r="T2461">
        <v>0</v>
      </c>
      <c r="U2461">
        <v>3</v>
      </c>
      <c r="V2461">
        <v>0.4077845302555333</v>
      </c>
      <c r="W2461">
        <v>1</v>
      </c>
      <c r="X2461">
        <v>0.4077845302555333</v>
      </c>
      <c r="Y2461">
        <v>729</v>
      </c>
      <c r="Z2461">
        <v>203.63168486652771</v>
      </c>
      <c r="AA2461">
        <v>198</v>
      </c>
      <c r="AB2461">
        <v>332</v>
      </c>
      <c r="AC2461">
        <v>536</v>
      </c>
      <c r="AD2461">
        <v>29.96</v>
      </c>
      <c r="AE2461">
        <v>542</v>
      </c>
      <c r="AF2461">
        <v>29</v>
      </c>
      <c r="AG2461">
        <v>174</v>
      </c>
      <c r="AH2461">
        <v>129</v>
      </c>
      <c r="AI2461">
        <v>5.35</v>
      </c>
      <c r="AJ2461">
        <v>32.1</v>
      </c>
      <c r="AK2461">
        <v>23.8</v>
      </c>
      <c r="AL2461">
        <v>-20.157925749999951</v>
      </c>
      <c r="AM2461">
        <v>-44.900484707799812</v>
      </c>
      <c r="AN2461">
        <v>-20.157925749999951</v>
      </c>
      <c r="AO2461">
        <v>-44.900484707799812</v>
      </c>
      <c r="AP2461">
        <v>-20.157906000000001</v>
      </c>
      <c r="AQ2461">
        <v>-44.900458999999998</v>
      </c>
      <c r="AR2461">
        <v>3.4714515960382508</v>
      </c>
      <c r="AS2461" t="s">
        <v>65</v>
      </c>
      <c r="AT2461">
        <v>1</v>
      </c>
      <c r="AU2461" t="s">
        <v>837</v>
      </c>
      <c r="AV2461" t="s">
        <v>838</v>
      </c>
      <c r="AW2461" t="s">
        <v>60</v>
      </c>
      <c r="AX2461" t="s">
        <v>68</v>
      </c>
      <c r="AY2461" t="s">
        <v>69</v>
      </c>
      <c r="AZ2461" t="b">
        <v>1</v>
      </c>
    </row>
    <row r="2462" spans="1:52" x14ac:dyDescent="0.3">
      <c r="A2462" t="s">
        <v>52</v>
      </c>
      <c r="B2462" t="s">
        <v>53</v>
      </c>
      <c r="C2462" t="s">
        <v>54</v>
      </c>
      <c r="D2462" t="s">
        <v>55</v>
      </c>
      <c r="E2462" t="s">
        <v>2155</v>
      </c>
      <c r="F2462" t="s">
        <v>190</v>
      </c>
      <c r="G2462" t="s">
        <v>839</v>
      </c>
      <c r="H2462" t="s">
        <v>840</v>
      </c>
      <c r="I2462" t="s">
        <v>840</v>
      </c>
      <c r="J2462" t="s">
        <v>60</v>
      </c>
      <c r="K2462" t="s">
        <v>388</v>
      </c>
      <c r="L2462" t="s">
        <v>62</v>
      </c>
      <c r="M2462" t="s">
        <v>388</v>
      </c>
      <c r="N2462" t="s">
        <v>841</v>
      </c>
      <c r="O2462" t="s">
        <v>842</v>
      </c>
      <c r="P2462">
        <v>-20.159977999999999</v>
      </c>
      <c r="Q2462">
        <v>-44.900207000000002</v>
      </c>
      <c r="R2462" s="2" t="str">
        <f>HYPERLINK("https://www.google.com/maps?q=-20.1599780,-44.9002070","Abrir no Google Maps")</f>
        <v>Abrir no Google Maps</v>
      </c>
      <c r="S2462">
        <v>3</v>
      </c>
      <c r="T2462">
        <v>213.24333517300789</v>
      </c>
      <c r="U2462">
        <v>3</v>
      </c>
      <c r="V2462">
        <v>0.41384535754100971</v>
      </c>
      <c r="W2462">
        <v>1</v>
      </c>
      <c r="X2462">
        <v>0.41384535754100971</v>
      </c>
      <c r="Y2462">
        <v>729</v>
      </c>
      <c r="Z2462">
        <v>315.47173727880028</v>
      </c>
      <c r="AA2462">
        <v>198</v>
      </c>
      <c r="AB2462">
        <v>332</v>
      </c>
      <c r="AC2462">
        <v>536</v>
      </c>
      <c r="AD2462">
        <v>29.96</v>
      </c>
      <c r="AE2462">
        <v>542</v>
      </c>
      <c r="AF2462">
        <v>29</v>
      </c>
      <c r="AG2462">
        <v>174</v>
      </c>
      <c r="AH2462">
        <v>129</v>
      </c>
      <c r="AI2462">
        <v>5.35</v>
      </c>
      <c r="AJ2462">
        <v>32.1</v>
      </c>
      <c r="AK2462">
        <v>23.8</v>
      </c>
      <c r="AL2462">
        <v>-20.159825649999959</v>
      </c>
      <c r="AM2462">
        <v>-44.900143828909613</v>
      </c>
      <c r="AN2462">
        <v>-20.159825649999959</v>
      </c>
      <c r="AO2462">
        <v>-44.900143828909613</v>
      </c>
      <c r="AP2462">
        <v>-20.159977999999999</v>
      </c>
      <c r="AQ2462">
        <v>-44.900207000000002</v>
      </c>
      <c r="AR2462">
        <v>18.199073573580371</v>
      </c>
      <c r="AS2462" t="s">
        <v>65</v>
      </c>
      <c r="AT2462">
        <v>1</v>
      </c>
      <c r="AU2462" t="s">
        <v>843</v>
      </c>
      <c r="AV2462" t="s">
        <v>844</v>
      </c>
      <c r="AW2462" t="s">
        <v>60</v>
      </c>
      <c r="AX2462" t="s">
        <v>68</v>
      </c>
      <c r="AY2462" t="s">
        <v>69</v>
      </c>
      <c r="AZ2462" t="b">
        <v>1</v>
      </c>
    </row>
    <row r="2463" spans="1:52" x14ac:dyDescent="0.3">
      <c r="A2463" t="s">
        <v>52</v>
      </c>
      <c r="B2463" t="s">
        <v>53</v>
      </c>
      <c r="C2463" t="s">
        <v>54</v>
      </c>
      <c r="D2463" t="s">
        <v>55</v>
      </c>
      <c r="E2463" t="s">
        <v>2155</v>
      </c>
      <c r="F2463" t="s">
        <v>190</v>
      </c>
      <c r="G2463" t="s">
        <v>386</v>
      </c>
      <c r="H2463" t="s">
        <v>387</v>
      </c>
      <c r="I2463" t="s">
        <v>387</v>
      </c>
      <c r="J2463" t="s">
        <v>60</v>
      </c>
      <c r="K2463" t="s">
        <v>388</v>
      </c>
      <c r="L2463" t="s">
        <v>62</v>
      </c>
      <c r="M2463" t="s">
        <v>388</v>
      </c>
      <c r="N2463" t="s">
        <v>389</v>
      </c>
      <c r="O2463" t="s">
        <v>357</v>
      </c>
      <c r="P2463">
        <v>-20.161041999999998</v>
      </c>
      <c r="Q2463">
        <v>-44.901242000000003</v>
      </c>
      <c r="R2463" s="2" t="str">
        <f>HYPERLINK("https://www.google.com/maps?q=-20.1610420,-44.9012420","Abrir no Google Maps")</f>
        <v>Abrir no Google Maps</v>
      </c>
      <c r="S2463">
        <v>3</v>
      </c>
      <c r="T2463">
        <v>440.22183232279212</v>
      </c>
      <c r="U2463">
        <v>3</v>
      </c>
      <c r="V2463">
        <v>0.41738911638911641</v>
      </c>
      <c r="W2463">
        <v>1</v>
      </c>
      <c r="X2463">
        <v>0.41738911638911641</v>
      </c>
      <c r="Y2463">
        <v>729</v>
      </c>
      <c r="Z2463">
        <v>398.48306829302379</v>
      </c>
      <c r="AA2463">
        <v>198</v>
      </c>
      <c r="AB2463">
        <v>332</v>
      </c>
      <c r="AC2463">
        <v>536</v>
      </c>
      <c r="AD2463">
        <v>29.96</v>
      </c>
      <c r="AE2463">
        <v>542</v>
      </c>
      <c r="AF2463">
        <v>29</v>
      </c>
      <c r="AG2463">
        <v>174</v>
      </c>
      <c r="AH2463">
        <v>129</v>
      </c>
      <c r="AI2463">
        <v>5.35</v>
      </c>
      <c r="AJ2463">
        <v>32.1</v>
      </c>
      <c r="AK2463">
        <v>23.8</v>
      </c>
      <c r="AL2463">
        <v>-20.16176629999995</v>
      </c>
      <c r="AM2463">
        <v>-44.901582787827898</v>
      </c>
      <c r="AN2463">
        <v>-20.16176629999995</v>
      </c>
      <c r="AO2463">
        <v>-44.901582787827898</v>
      </c>
      <c r="AP2463">
        <v>-20.161041999999998</v>
      </c>
      <c r="AQ2463">
        <v>-44.901242000000003</v>
      </c>
      <c r="AR2463">
        <v>88.143369157892835</v>
      </c>
      <c r="AS2463" t="s">
        <v>65</v>
      </c>
      <c r="AT2463">
        <v>1</v>
      </c>
      <c r="AU2463" t="s">
        <v>390</v>
      </c>
      <c r="AV2463" t="s">
        <v>391</v>
      </c>
      <c r="AW2463" t="s">
        <v>60</v>
      </c>
      <c r="AX2463" t="s">
        <v>68</v>
      </c>
      <c r="AY2463" t="s">
        <v>69</v>
      </c>
      <c r="AZ2463" t="b">
        <v>1</v>
      </c>
    </row>
    <row r="2464" spans="1:52" x14ac:dyDescent="0.3">
      <c r="A2464" t="s">
        <v>52</v>
      </c>
      <c r="B2464" t="s">
        <v>53</v>
      </c>
      <c r="C2464" t="s">
        <v>54</v>
      </c>
      <c r="D2464" t="s">
        <v>55</v>
      </c>
      <c r="E2464" t="s">
        <v>2155</v>
      </c>
      <c r="F2464" t="s">
        <v>190</v>
      </c>
      <c r="G2464" t="s">
        <v>392</v>
      </c>
      <c r="H2464" t="s">
        <v>393</v>
      </c>
      <c r="I2464" t="s">
        <v>393</v>
      </c>
      <c r="J2464" t="s">
        <v>60</v>
      </c>
      <c r="K2464" t="s">
        <v>388</v>
      </c>
      <c r="L2464" t="s">
        <v>62</v>
      </c>
      <c r="M2464" t="s">
        <v>388</v>
      </c>
      <c r="N2464" t="s">
        <v>394</v>
      </c>
      <c r="O2464" t="s">
        <v>395</v>
      </c>
      <c r="P2464">
        <v>-20.158066999999999</v>
      </c>
      <c r="Q2464">
        <v>-44.908164999999997</v>
      </c>
      <c r="R2464" s="2" t="str">
        <f>HYPERLINK("https://www.google.com/maps?q=-20.1580670,-44.9081650","Abrir no Google Maps")</f>
        <v>Abrir no Google Maps</v>
      </c>
      <c r="S2464">
        <v>3</v>
      </c>
      <c r="T2464">
        <v>666.74434317993041</v>
      </c>
      <c r="U2464">
        <v>3</v>
      </c>
      <c r="V2464">
        <v>0.41719692330481001</v>
      </c>
      <c r="W2464">
        <v>1</v>
      </c>
      <c r="X2464">
        <v>0.41719692330481001</v>
      </c>
      <c r="Y2464">
        <v>729</v>
      </c>
      <c r="Z2464">
        <v>612.4323328215396</v>
      </c>
      <c r="AA2464">
        <v>198</v>
      </c>
      <c r="AB2464">
        <v>332</v>
      </c>
      <c r="AC2464">
        <v>536</v>
      </c>
      <c r="AD2464">
        <v>29.96</v>
      </c>
      <c r="AE2464">
        <v>542</v>
      </c>
      <c r="AF2464">
        <v>29</v>
      </c>
      <c r="AG2464">
        <v>174</v>
      </c>
      <c r="AH2464">
        <v>129</v>
      </c>
      <c r="AI2464">
        <v>5.35</v>
      </c>
      <c r="AJ2464">
        <v>32.1</v>
      </c>
      <c r="AK2464">
        <v>23.8</v>
      </c>
      <c r="AL2464">
        <v>-20.158151449999959</v>
      </c>
      <c r="AM2464">
        <v>-44.908107718360938</v>
      </c>
      <c r="AN2464">
        <v>-20.158151449999959</v>
      </c>
      <c r="AO2464">
        <v>-44.908107718360938</v>
      </c>
      <c r="AP2464">
        <v>-20.158066999999999</v>
      </c>
      <c r="AQ2464">
        <v>-44.908164999999997</v>
      </c>
      <c r="AR2464">
        <v>11.14497345894574</v>
      </c>
      <c r="AS2464" t="s">
        <v>65</v>
      </c>
      <c r="AT2464">
        <v>1</v>
      </c>
      <c r="AU2464" t="s">
        <v>396</v>
      </c>
      <c r="AV2464" t="s">
        <v>397</v>
      </c>
      <c r="AW2464" t="s">
        <v>60</v>
      </c>
      <c r="AX2464" t="s">
        <v>68</v>
      </c>
      <c r="AY2464" t="s">
        <v>69</v>
      </c>
      <c r="AZ2464" t="b">
        <v>1</v>
      </c>
    </row>
    <row r="2465" spans="1:52" x14ac:dyDescent="0.3">
      <c r="A2465" t="s">
        <v>52</v>
      </c>
      <c r="B2465" t="s">
        <v>53</v>
      </c>
      <c r="C2465" t="s">
        <v>54</v>
      </c>
      <c r="D2465" t="s">
        <v>55</v>
      </c>
      <c r="E2465" t="s">
        <v>2155</v>
      </c>
      <c r="F2465" t="s">
        <v>190</v>
      </c>
      <c r="G2465" t="s">
        <v>398</v>
      </c>
      <c r="H2465" t="s">
        <v>399</v>
      </c>
      <c r="I2465" t="s">
        <v>399</v>
      </c>
      <c r="J2465" t="s">
        <v>60</v>
      </c>
      <c r="K2465" t="s">
        <v>388</v>
      </c>
      <c r="L2465" t="s">
        <v>62</v>
      </c>
      <c r="M2465" t="s">
        <v>388</v>
      </c>
      <c r="N2465" t="s">
        <v>400</v>
      </c>
      <c r="O2465" t="s">
        <v>401</v>
      </c>
      <c r="P2465">
        <v>-20.160157000000002</v>
      </c>
      <c r="Q2465">
        <v>-44.904347999999999</v>
      </c>
      <c r="R2465" s="2" t="str">
        <f>HYPERLINK("https://www.google.com/maps?q=-20.1601570,-44.9043480","Abrir no Google Maps")</f>
        <v>Abrir no Google Maps</v>
      </c>
      <c r="S2465">
        <v>3</v>
      </c>
      <c r="T2465">
        <v>469.26088527154809</v>
      </c>
      <c r="U2465">
        <v>3</v>
      </c>
      <c r="V2465">
        <v>0.41491476087267931</v>
      </c>
      <c r="W2465">
        <v>1</v>
      </c>
      <c r="X2465">
        <v>0.41491476087267931</v>
      </c>
      <c r="Y2465">
        <v>729</v>
      </c>
      <c r="Z2465">
        <v>253.57832452309071</v>
      </c>
      <c r="AA2465">
        <v>198</v>
      </c>
      <c r="AB2465">
        <v>332</v>
      </c>
      <c r="AC2465">
        <v>536</v>
      </c>
      <c r="AD2465">
        <v>29.96</v>
      </c>
      <c r="AE2465">
        <v>542</v>
      </c>
      <c r="AF2465">
        <v>29</v>
      </c>
      <c r="AG2465">
        <v>174</v>
      </c>
      <c r="AH2465">
        <v>129</v>
      </c>
      <c r="AI2465">
        <v>5.35</v>
      </c>
      <c r="AJ2465">
        <v>32.1</v>
      </c>
      <c r="AK2465">
        <v>23.8</v>
      </c>
      <c r="AL2465">
        <v>-20.160007949999969</v>
      </c>
      <c r="AM2465">
        <v>-44.904396608560482</v>
      </c>
      <c r="AN2465">
        <v>-20.160007949999969</v>
      </c>
      <c r="AO2465">
        <v>-44.904396608560482</v>
      </c>
      <c r="AP2465">
        <v>-20.160157000000002</v>
      </c>
      <c r="AQ2465">
        <v>-44.904347999999999</v>
      </c>
      <c r="AR2465">
        <v>17.35237255387942</v>
      </c>
      <c r="AS2465" t="s">
        <v>65</v>
      </c>
      <c r="AT2465">
        <v>1</v>
      </c>
      <c r="AU2465" t="s">
        <v>402</v>
      </c>
      <c r="AV2465" t="s">
        <v>403</v>
      </c>
      <c r="AW2465" t="s">
        <v>60</v>
      </c>
      <c r="AX2465" t="s">
        <v>68</v>
      </c>
      <c r="AY2465" t="s">
        <v>69</v>
      </c>
      <c r="AZ2465" t="b">
        <v>1</v>
      </c>
    </row>
    <row r="2466" spans="1:52" x14ac:dyDescent="0.3">
      <c r="A2466" t="s">
        <v>52</v>
      </c>
      <c r="B2466" t="s">
        <v>53</v>
      </c>
      <c r="C2466" t="s">
        <v>54</v>
      </c>
      <c r="D2466" t="s">
        <v>55</v>
      </c>
      <c r="E2466" t="s">
        <v>2155</v>
      </c>
      <c r="F2466" t="s">
        <v>190</v>
      </c>
      <c r="G2466" t="s">
        <v>416</v>
      </c>
      <c r="H2466" t="s">
        <v>417</v>
      </c>
      <c r="I2466" t="s">
        <v>417</v>
      </c>
      <c r="J2466" t="s">
        <v>60</v>
      </c>
      <c r="K2466" t="s">
        <v>418</v>
      </c>
      <c r="L2466" t="s">
        <v>62</v>
      </c>
      <c r="M2466" t="s">
        <v>418</v>
      </c>
      <c r="N2466" t="s">
        <v>419</v>
      </c>
      <c r="O2466" t="s">
        <v>202</v>
      </c>
      <c r="P2466">
        <v>-20.169886000000002</v>
      </c>
      <c r="Q2466">
        <v>-44.913288000000001</v>
      </c>
      <c r="R2466" s="2" t="str">
        <f>HYPERLINK("https://www.google.com/maps?q=-20.1698860,-44.9132880","Abrir no Google Maps")</f>
        <v>Abrir no Google Maps</v>
      </c>
      <c r="S2466">
        <v>3</v>
      </c>
      <c r="T2466">
        <v>422.88733632898152</v>
      </c>
      <c r="U2466">
        <v>3</v>
      </c>
      <c r="V2466">
        <v>0.41926679445415538</v>
      </c>
      <c r="W2466">
        <v>1</v>
      </c>
      <c r="X2466">
        <v>0.41926679445415538</v>
      </c>
      <c r="Y2466">
        <v>723</v>
      </c>
      <c r="Z2466">
        <v>128.65003864232261</v>
      </c>
      <c r="AA2466">
        <v>198</v>
      </c>
      <c r="AB2466">
        <v>332</v>
      </c>
      <c r="AC2466">
        <v>536</v>
      </c>
      <c r="AD2466">
        <v>29.96</v>
      </c>
      <c r="AE2466">
        <v>542</v>
      </c>
      <c r="AF2466">
        <v>29</v>
      </c>
      <c r="AG2466">
        <v>174</v>
      </c>
      <c r="AH2466">
        <v>129</v>
      </c>
      <c r="AI2466">
        <v>5.35</v>
      </c>
      <c r="AJ2466">
        <v>32.1</v>
      </c>
      <c r="AK2466">
        <v>23.8</v>
      </c>
      <c r="AL2466">
        <v>-20.16970024999998</v>
      </c>
      <c r="AM2466">
        <v>-44.913502201257437</v>
      </c>
      <c r="AN2466">
        <v>-20.16970024999998</v>
      </c>
      <c r="AO2466">
        <v>-44.913502201257437</v>
      </c>
      <c r="AP2466">
        <v>-20.169886000000002</v>
      </c>
      <c r="AQ2466">
        <v>-44.913288000000001</v>
      </c>
      <c r="AR2466">
        <v>30.47208587597606</v>
      </c>
      <c r="AS2466" t="s">
        <v>65</v>
      </c>
      <c r="AT2466">
        <v>1</v>
      </c>
      <c r="AU2466" t="s">
        <v>420</v>
      </c>
      <c r="AV2466" t="s">
        <v>421</v>
      </c>
      <c r="AW2466" t="s">
        <v>60</v>
      </c>
      <c r="AX2466" t="s">
        <v>68</v>
      </c>
      <c r="AY2466" t="s">
        <v>69</v>
      </c>
      <c r="AZ2466" t="b">
        <v>1</v>
      </c>
    </row>
    <row r="2467" spans="1:52" x14ac:dyDescent="0.3">
      <c r="A2467" t="s">
        <v>52</v>
      </c>
      <c r="B2467" t="s">
        <v>53</v>
      </c>
      <c r="C2467" t="s">
        <v>54</v>
      </c>
      <c r="D2467" t="s">
        <v>55</v>
      </c>
      <c r="E2467" t="s">
        <v>2155</v>
      </c>
      <c r="F2467" t="s">
        <v>190</v>
      </c>
      <c r="G2467" t="s">
        <v>429</v>
      </c>
      <c r="H2467" t="s">
        <v>430</v>
      </c>
      <c r="I2467" t="s">
        <v>430</v>
      </c>
      <c r="J2467" t="s">
        <v>60</v>
      </c>
      <c r="K2467" t="s">
        <v>431</v>
      </c>
      <c r="L2467" t="s">
        <v>62</v>
      </c>
      <c r="M2467" t="s">
        <v>431</v>
      </c>
      <c r="N2467" t="s">
        <v>432</v>
      </c>
      <c r="O2467" t="s">
        <v>315</v>
      </c>
      <c r="P2467">
        <v>-20.172698</v>
      </c>
      <c r="Q2467">
        <v>-44.923842</v>
      </c>
      <c r="R2467" s="2" t="str">
        <f>HYPERLINK("https://www.google.com/maps?q=-20.1726980,-44.9238420","Abrir no Google Maps")</f>
        <v>Abrir no Google Maps</v>
      </c>
      <c r="S2467">
        <v>3</v>
      </c>
      <c r="T2467">
        <v>1376.1843173402931</v>
      </c>
      <c r="U2467">
        <v>3</v>
      </c>
      <c r="V2467">
        <v>0.4801967239376827</v>
      </c>
      <c r="W2467">
        <v>0.85</v>
      </c>
      <c r="X2467">
        <v>0.40816721534703032</v>
      </c>
      <c r="Y2467">
        <v>723</v>
      </c>
      <c r="Z2467">
        <v>1101.340635002096</v>
      </c>
      <c r="AA2467">
        <v>198</v>
      </c>
      <c r="AB2467">
        <v>332</v>
      </c>
      <c r="AC2467">
        <v>536</v>
      </c>
      <c r="AD2467">
        <v>29.96</v>
      </c>
      <c r="AE2467">
        <v>542</v>
      </c>
      <c r="AF2467">
        <v>29</v>
      </c>
      <c r="AG2467">
        <v>174</v>
      </c>
      <c r="AH2467">
        <v>129</v>
      </c>
      <c r="AI2467">
        <v>5.35</v>
      </c>
      <c r="AJ2467">
        <v>32.1</v>
      </c>
      <c r="AK2467">
        <v>23.8</v>
      </c>
      <c r="AL2467">
        <v>-20.172942799999959</v>
      </c>
      <c r="AM2467">
        <v>-44.923585372665762</v>
      </c>
      <c r="AN2467">
        <v>-20.172942799999959</v>
      </c>
      <c r="AO2467">
        <v>-44.923585372665762</v>
      </c>
      <c r="AP2467">
        <v>-20.172698</v>
      </c>
      <c r="AQ2467">
        <v>-44.923842</v>
      </c>
      <c r="AR2467">
        <v>38.231981408478958</v>
      </c>
      <c r="AS2467" t="s">
        <v>65</v>
      </c>
      <c r="AT2467">
        <v>1</v>
      </c>
      <c r="AU2467" t="s">
        <v>433</v>
      </c>
      <c r="AV2467" t="s">
        <v>434</v>
      </c>
      <c r="AW2467" t="s">
        <v>60</v>
      </c>
      <c r="AX2467" t="s">
        <v>68</v>
      </c>
      <c r="AY2467" t="s">
        <v>69</v>
      </c>
      <c r="AZ2467" t="b">
        <v>1</v>
      </c>
    </row>
    <row r="2468" spans="1:52" x14ac:dyDescent="0.3">
      <c r="A2468" t="s">
        <v>52</v>
      </c>
      <c r="B2468" t="s">
        <v>53</v>
      </c>
      <c r="C2468" t="s">
        <v>54</v>
      </c>
      <c r="D2468" t="s">
        <v>55</v>
      </c>
      <c r="E2468" t="s">
        <v>2155</v>
      </c>
      <c r="F2468" t="s">
        <v>190</v>
      </c>
      <c r="G2468" t="s">
        <v>435</v>
      </c>
      <c r="H2468" t="s">
        <v>436</v>
      </c>
      <c r="I2468" t="s">
        <v>436</v>
      </c>
      <c r="J2468" t="s">
        <v>60</v>
      </c>
      <c r="K2468" t="s">
        <v>437</v>
      </c>
      <c r="L2468" t="s">
        <v>62</v>
      </c>
      <c r="M2468" t="s">
        <v>437</v>
      </c>
      <c r="N2468" t="s">
        <v>438</v>
      </c>
      <c r="O2468" t="s">
        <v>439</v>
      </c>
      <c r="P2468">
        <v>-20.145613000000001</v>
      </c>
      <c r="Q2468">
        <v>-44.882375000000003</v>
      </c>
      <c r="R2468" s="2" t="str">
        <f>HYPERLINK("https://www.google.com/maps?q=-20.1456130,-44.8823750","Abrir no Google Maps")</f>
        <v>Abrir no Google Maps</v>
      </c>
      <c r="S2468">
        <v>3</v>
      </c>
      <c r="T2468">
        <v>305.65092112314198</v>
      </c>
      <c r="U2468">
        <v>3</v>
      </c>
      <c r="V2468">
        <v>0.4170857874382104</v>
      </c>
      <c r="W2468">
        <v>1</v>
      </c>
      <c r="X2468">
        <v>0.4170857874382104</v>
      </c>
      <c r="Y2468">
        <v>653</v>
      </c>
      <c r="Z2468">
        <v>349.55297035282501</v>
      </c>
      <c r="AA2468">
        <v>198</v>
      </c>
      <c r="AB2468">
        <v>332</v>
      </c>
      <c r="AC2468">
        <v>536</v>
      </c>
      <c r="AD2468">
        <v>29.96</v>
      </c>
      <c r="AE2468">
        <v>542</v>
      </c>
      <c r="AF2468">
        <v>29</v>
      </c>
      <c r="AG2468">
        <v>174</v>
      </c>
      <c r="AH2468">
        <v>129</v>
      </c>
      <c r="AI2468">
        <v>5.35</v>
      </c>
      <c r="AJ2468">
        <v>32.1</v>
      </c>
      <c r="AK2468">
        <v>23.8</v>
      </c>
      <c r="AL2468">
        <v>-20.14550464999996</v>
      </c>
      <c r="AM2468">
        <v>-44.882157007077737</v>
      </c>
      <c r="AN2468">
        <v>-20.14550464999996</v>
      </c>
      <c r="AO2468">
        <v>-44.882157007077737</v>
      </c>
      <c r="AP2468">
        <v>-20.145613000000001</v>
      </c>
      <c r="AQ2468">
        <v>-44.882375000000003</v>
      </c>
      <c r="AR2468">
        <v>25.77819791856259</v>
      </c>
      <c r="AS2468" t="s">
        <v>65</v>
      </c>
      <c r="AT2468">
        <v>1</v>
      </c>
      <c r="AU2468" t="s">
        <v>440</v>
      </c>
      <c r="AV2468" t="s">
        <v>441</v>
      </c>
      <c r="AW2468" t="s">
        <v>60</v>
      </c>
      <c r="AX2468" t="s">
        <v>68</v>
      </c>
      <c r="AY2468" t="s">
        <v>69</v>
      </c>
      <c r="AZ2468" t="b">
        <v>1</v>
      </c>
    </row>
    <row r="2469" spans="1:52" x14ac:dyDescent="0.3">
      <c r="A2469" t="s">
        <v>52</v>
      </c>
      <c r="B2469" t="s">
        <v>53</v>
      </c>
      <c r="C2469" t="s">
        <v>54</v>
      </c>
      <c r="D2469" t="s">
        <v>55</v>
      </c>
      <c r="E2469" t="s">
        <v>2155</v>
      </c>
      <c r="F2469" t="s">
        <v>190</v>
      </c>
      <c r="G2469" t="s">
        <v>442</v>
      </c>
      <c r="H2469" t="s">
        <v>443</v>
      </c>
      <c r="I2469" t="s">
        <v>443</v>
      </c>
      <c r="J2469" t="s">
        <v>60</v>
      </c>
      <c r="K2469" t="s">
        <v>437</v>
      </c>
      <c r="L2469" t="s">
        <v>62</v>
      </c>
      <c r="M2469" t="s">
        <v>437</v>
      </c>
      <c r="N2469" t="s">
        <v>444</v>
      </c>
      <c r="O2469" t="s">
        <v>445</v>
      </c>
      <c r="P2469">
        <v>-20.149744999999999</v>
      </c>
      <c r="Q2469">
        <v>-44.881385000000002</v>
      </c>
      <c r="R2469" s="2" t="str">
        <f>HYPERLINK("https://www.google.com/maps?q=-20.1497450,-44.8813850","Abrir no Google Maps")</f>
        <v>Abrir no Google Maps</v>
      </c>
      <c r="S2469">
        <v>3</v>
      </c>
      <c r="T2469">
        <v>188.80690546111239</v>
      </c>
      <c r="U2469">
        <v>3</v>
      </c>
      <c r="V2469">
        <v>0.41584001146349969</v>
      </c>
      <c r="W2469">
        <v>1</v>
      </c>
      <c r="X2469">
        <v>0.41584001146349969</v>
      </c>
      <c r="Y2469">
        <v>653</v>
      </c>
      <c r="Z2469">
        <v>86.575080390731017</v>
      </c>
      <c r="AA2469">
        <v>198</v>
      </c>
      <c r="AB2469">
        <v>332</v>
      </c>
      <c r="AC2469">
        <v>536</v>
      </c>
      <c r="AD2469">
        <v>29.96</v>
      </c>
      <c r="AE2469">
        <v>542</v>
      </c>
      <c r="AF2469">
        <v>29</v>
      </c>
      <c r="AG2469">
        <v>174</v>
      </c>
      <c r="AH2469">
        <v>129</v>
      </c>
      <c r="AI2469">
        <v>5.35</v>
      </c>
      <c r="AJ2469">
        <v>32.1</v>
      </c>
      <c r="AK2469">
        <v>23.8</v>
      </c>
      <c r="AL2469">
        <v>-20.149645149999941</v>
      </c>
      <c r="AM2469">
        <v>-44.881504585149607</v>
      </c>
      <c r="AN2469">
        <v>-20.149645149999941</v>
      </c>
      <c r="AO2469">
        <v>-44.881504585149607</v>
      </c>
      <c r="AP2469">
        <v>-20.149744999999999</v>
      </c>
      <c r="AQ2469">
        <v>-44.881385000000002</v>
      </c>
      <c r="AR2469">
        <v>16.725323110840389</v>
      </c>
      <c r="AS2469" t="s">
        <v>65</v>
      </c>
      <c r="AT2469">
        <v>1</v>
      </c>
      <c r="AU2469" t="s">
        <v>446</v>
      </c>
      <c r="AV2469" t="s">
        <v>447</v>
      </c>
      <c r="AW2469" t="s">
        <v>60</v>
      </c>
      <c r="AX2469" t="s">
        <v>68</v>
      </c>
      <c r="AY2469" t="s">
        <v>69</v>
      </c>
      <c r="AZ2469" t="b">
        <v>1</v>
      </c>
    </row>
    <row r="2470" spans="1:52" x14ac:dyDescent="0.3">
      <c r="A2470" t="s">
        <v>52</v>
      </c>
      <c r="B2470" t="s">
        <v>53</v>
      </c>
      <c r="C2470" t="s">
        <v>54</v>
      </c>
      <c r="D2470" t="s">
        <v>55</v>
      </c>
      <c r="E2470" t="s">
        <v>2155</v>
      </c>
      <c r="F2470" t="s">
        <v>190</v>
      </c>
      <c r="G2470" t="s">
        <v>448</v>
      </c>
      <c r="H2470" t="s">
        <v>449</v>
      </c>
      <c r="I2470" t="s">
        <v>449</v>
      </c>
      <c r="J2470" t="s">
        <v>60</v>
      </c>
      <c r="K2470" t="s">
        <v>388</v>
      </c>
      <c r="L2470" t="s">
        <v>62</v>
      </c>
      <c r="M2470" t="s">
        <v>388</v>
      </c>
      <c r="N2470" t="s">
        <v>450</v>
      </c>
      <c r="O2470" t="s">
        <v>451</v>
      </c>
      <c r="P2470">
        <v>-20.163981</v>
      </c>
      <c r="Q2470">
        <v>-44.907128999999998</v>
      </c>
      <c r="R2470" s="2" t="str">
        <f>HYPERLINK("https://www.google.com/maps?q=-20.1639810,-44.9071290","Abrir no Google Maps")</f>
        <v>Abrir no Google Maps</v>
      </c>
      <c r="S2470">
        <v>3</v>
      </c>
      <c r="T2470">
        <v>782.50730806588319</v>
      </c>
      <c r="U2470">
        <v>3</v>
      </c>
      <c r="V2470">
        <v>0.41676373119046312</v>
      </c>
      <c r="W2470">
        <v>1</v>
      </c>
      <c r="X2470">
        <v>0.41676373119046312</v>
      </c>
      <c r="Y2470">
        <v>639</v>
      </c>
      <c r="Z2470">
        <v>710.90621453796166</v>
      </c>
      <c r="AA2470">
        <v>198</v>
      </c>
      <c r="AB2470">
        <v>332</v>
      </c>
      <c r="AC2470">
        <v>536</v>
      </c>
      <c r="AD2470">
        <v>29.96</v>
      </c>
      <c r="AE2470">
        <v>542</v>
      </c>
      <c r="AF2470">
        <v>29</v>
      </c>
      <c r="AG2470">
        <v>174</v>
      </c>
      <c r="AH2470">
        <v>129</v>
      </c>
      <c r="AI2470">
        <v>5.35</v>
      </c>
      <c r="AJ2470">
        <v>32.1</v>
      </c>
      <c r="AK2470">
        <v>23.8</v>
      </c>
      <c r="AL2470">
        <v>-20.163958349999969</v>
      </c>
      <c r="AM2470">
        <v>-44.907180923930973</v>
      </c>
      <c r="AN2470">
        <v>-20.163958349999969</v>
      </c>
      <c r="AO2470">
        <v>-44.907180923930973</v>
      </c>
      <c r="AP2470">
        <v>-20.163981</v>
      </c>
      <c r="AQ2470">
        <v>-44.907128999999998</v>
      </c>
      <c r="AR2470">
        <v>5.9831345092457884</v>
      </c>
      <c r="AS2470" t="s">
        <v>65</v>
      </c>
      <c r="AT2470">
        <v>1</v>
      </c>
      <c r="AU2470" t="s">
        <v>452</v>
      </c>
      <c r="AV2470" t="s">
        <v>453</v>
      </c>
      <c r="AW2470" t="s">
        <v>60</v>
      </c>
      <c r="AX2470" t="s">
        <v>68</v>
      </c>
      <c r="AY2470" t="s">
        <v>69</v>
      </c>
      <c r="AZ2470" t="b">
        <v>1</v>
      </c>
    </row>
    <row r="2471" spans="1:52" x14ac:dyDescent="0.3">
      <c r="A2471" t="s">
        <v>52</v>
      </c>
      <c r="B2471" t="s">
        <v>53</v>
      </c>
      <c r="C2471" t="s">
        <v>54</v>
      </c>
      <c r="D2471" t="s">
        <v>55</v>
      </c>
      <c r="E2471" t="s">
        <v>2155</v>
      </c>
      <c r="F2471" t="s">
        <v>190</v>
      </c>
      <c r="G2471" t="s">
        <v>864</v>
      </c>
      <c r="H2471" t="s">
        <v>865</v>
      </c>
      <c r="I2471" t="s">
        <v>865</v>
      </c>
      <c r="J2471" t="s">
        <v>60</v>
      </c>
      <c r="K2471" t="s">
        <v>486</v>
      </c>
      <c r="L2471" t="s">
        <v>62</v>
      </c>
      <c r="M2471" t="s">
        <v>486</v>
      </c>
      <c r="N2471" t="s">
        <v>866</v>
      </c>
      <c r="O2471" t="s">
        <v>867</v>
      </c>
      <c r="P2471">
        <v>-20.170919000000001</v>
      </c>
      <c r="Q2471">
        <v>-44.905451999999997</v>
      </c>
      <c r="R2471" s="2" t="str">
        <f>HYPERLINK("https://www.google.com/maps?q=-20.1709190,-44.9054520","Abrir no Google Maps")</f>
        <v>Abrir no Google Maps</v>
      </c>
      <c r="S2471">
        <v>3</v>
      </c>
      <c r="T2471">
        <v>0</v>
      </c>
      <c r="U2471">
        <v>3</v>
      </c>
      <c r="V2471">
        <v>0.41373943188353668</v>
      </c>
      <c r="W2471">
        <v>1</v>
      </c>
      <c r="X2471">
        <v>0.41373943188353668</v>
      </c>
      <c r="Y2471">
        <v>578</v>
      </c>
      <c r="Z2471">
        <v>205.34598855748419</v>
      </c>
      <c r="AA2471">
        <v>198</v>
      </c>
      <c r="AB2471">
        <v>332</v>
      </c>
      <c r="AC2471">
        <v>536</v>
      </c>
      <c r="AD2471">
        <v>29.96</v>
      </c>
      <c r="AE2471">
        <v>542</v>
      </c>
      <c r="AF2471">
        <v>29</v>
      </c>
      <c r="AG2471">
        <v>174</v>
      </c>
      <c r="AH2471">
        <v>129</v>
      </c>
      <c r="AI2471">
        <v>5.35</v>
      </c>
      <c r="AJ2471">
        <v>32.1</v>
      </c>
      <c r="AK2471">
        <v>23.8</v>
      </c>
      <c r="AL2471">
        <v>-20.170854399999939</v>
      </c>
      <c r="AM2471">
        <v>-44.905524839633358</v>
      </c>
      <c r="AN2471">
        <v>-20.170854399999939</v>
      </c>
      <c r="AO2471">
        <v>-44.905524839633358</v>
      </c>
      <c r="AP2471">
        <v>-20.170919000000001</v>
      </c>
      <c r="AQ2471">
        <v>-44.905451999999997</v>
      </c>
      <c r="AR2471">
        <v>10.471140355179269</v>
      </c>
      <c r="AS2471" t="s">
        <v>65</v>
      </c>
      <c r="AT2471">
        <v>1</v>
      </c>
      <c r="AU2471" t="s">
        <v>868</v>
      </c>
      <c r="AV2471" t="s">
        <v>869</v>
      </c>
      <c r="AW2471" t="s">
        <v>60</v>
      </c>
      <c r="AX2471" t="s">
        <v>68</v>
      </c>
      <c r="AY2471" t="s">
        <v>69</v>
      </c>
      <c r="AZ2471" t="b">
        <v>1</v>
      </c>
    </row>
    <row r="2472" spans="1:52" x14ac:dyDescent="0.3">
      <c r="A2472" t="s">
        <v>52</v>
      </c>
      <c r="B2472" t="s">
        <v>53</v>
      </c>
      <c r="C2472" t="s">
        <v>54</v>
      </c>
      <c r="D2472" t="s">
        <v>55</v>
      </c>
      <c r="E2472" t="s">
        <v>2155</v>
      </c>
      <c r="F2472" t="s">
        <v>190</v>
      </c>
      <c r="G2472" t="s">
        <v>870</v>
      </c>
      <c r="H2472" t="s">
        <v>871</v>
      </c>
      <c r="I2472" t="s">
        <v>871</v>
      </c>
      <c r="J2472" t="s">
        <v>60</v>
      </c>
      <c r="K2472" t="s">
        <v>475</v>
      </c>
      <c r="L2472" t="s">
        <v>62</v>
      </c>
      <c r="M2472" t="s">
        <v>475</v>
      </c>
      <c r="N2472" t="s">
        <v>872</v>
      </c>
      <c r="O2472" t="s">
        <v>507</v>
      </c>
      <c r="P2472">
        <v>-20.176269999999999</v>
      </c>
      <c r="Q2472">
        <v>-44.909323999999998</v>
      </c>
      <c r="R2472" s="2" t="str">
        <f>HYPERLINK("https://www.google.com/maps?q=-20.1762700,-44.9093240","Abrir no Google Maps")</f>
        <v>Abrir no Google Maps</v>
      </c>
      <c r="S2472">
        <v>3</v>
      </c>
      <c r="T2472">
        <v>472.42731136821368</v>
      </c>
      <c r="U2472">
        <v>3</v>
      </c>
      <c r="V2472">
        <v>0.40729836691933202</v>
      </c>
      <c r="W2472">
        <v>1</v>
      </c>
      <c r="X2472">
        <v>0.40729836691933202</v>
      </c>
      <c r="Y2472">
        <v>578</v>
      </c>
      <c r="Z2472">
        <v>495.19726726344601</v>
      </c>
      <c r="AA2472">
        <v>198</v>
      </c>
      <c r="AB2472">
        <v>332</v>
      </c>
      <c r="AC2472">
        <v>536</v>
      </c>
      <c r="AD2472">
        <v>29.96</v>
      </c>
      <c r="AE2472">
        <v>542</v>
      </c>
      <c r="AF2472">
        <v>29</v>
      </c>
      <c r="AG2472">
        <v>174</v>
      </c>
      <c r="AH2472">
        <v>129</v>
      </c>
      <c r="AI2472">
        <v>5.35</v>
      </c>
      <c r="AJ2472">
        <v>32.1</v>
      </c>
      <c r="AK2472">
        <v>23.8</v>
      </c>
      <c r="AL2472">
        <v>-20.17630284999996</v>
      </c>
      <c r="AM2472">
        <v>-44.909199064318948</v>
      </c>
      <c r="AN2472">
        <v>-20.17630284999996</v>
      </c>
      <c r="AO2472">
        <v>-44.909199064318948</v>
      </c>
      <c r="AP2472">
        <v>-20.176269999999999</v>
      </c>
      <c r="AQ2472">
        <v>-44.909323999999998</v>
      </c>
      <c r="AR2472">
        <v>13.55691308737447</v>
      </c>
      <c r="AS2472" t="s">
        <v>65</v>
      </c>
      <c r="AT2472">
        <v>1</v>
      </c>
      <c r="AU2472" t="s">
        <v>873</v>
      </c>
      <c r="AV2472" t="s">
        <v>874</v>
      </c>
      <c r="AW2472" t="s">
        <v>60</v>
      </c>
      <c r="AX2472" t="s">
        <v>68</v>
      </c>
      <c r="AY2472" t="s">
        <v>69</v>
      </c>
      <c r="AZ2472" t="b">
        <v>1</v>
      </c>
    </row>
    <row r="2473" spans="1:52" x14ac:dyDescent="0.3">
      <c r="A2473" t="s">
        <v>52</v>
      </c>
      <c r="B2473" t="s">
        <v>53</v>
      </c>
      <c r="C2473" t="s">
        <v>54</v>
      </c>
      <c r="D2473" t="s">
        <v>55</v>
      </c>
      <c r="E2473" t="s">
        <v>2155</v>
      </c>
      <c r="F2473" t="s">
        <v>190</v>
      </c>
      <c r="G2473" t="s">
        <v>503</v>
      </c>
      <c r="H2473" t="s">
        <v>504</v>
      </c>
      <c r="I2473" t="s">
        <v>504</v>
      </c>
      <c r="J2473" t="s">
        <v>60</v>
      </c>
      <c r="K2473" t="s">
        <v>505</v>
      </c>
      <c r="L2473" t="s">
        <v>62</v>
      </c>
      <c r="M2473" t="s">
        <v>505</v>
      </c>
      <c r="N2473" t="s">
        <v>506</v>
      </c>
      <c r="O2473" t="s">
        <v>507</v>
      </c>
      <c r="P2473">
        <v>-20.131428</v>
      </c>
      <c r="Q2473">
        <v>-44.888921000000003</v>
      </c>
      <c r="R2473" s="2" t="str">
        <f>HYPERLINK("https://www.google.com/maps?q=-20.1314280,-44.8889210","Abrir no Google Maps")</f>
        <v>Abrir no Google Maps</v>
      </c>
      <c r="S2473">
        <v>3</v>
      </c>
      <c r="T2473">
        <v>250.64150698244501</v>
      </c>
      <c r="U2473">
        <v>3</v>
      </c>
      <c r="V2473">
        <v>0.40944539322018658</v>
      </c>
      <c r="W2473">
        <v>1</v>
      </c>
      <c r="X2473">
        <v>0.40944539322018658</v>
      </c>
      <c r="Y2473">
        <v>564</v>
      </c>
      <c r="Z2473">
        <v>189.93933888952441</v>
      </c>
      <c r="AA2473">
        <v>198</v>
      </c>
      <c r="AB2473">
        <v>332</v>
      </c>
      <c r="AC2473">
        <v>536</v>
      </c>
      <c r="AD2473">
        <v>29.96</v>
      </c>
      <c r="AE2473">
        <v>542</v>
      </c>
      <c r="AF2473">
        <v>29</v>
      </c>
      <c r="AG2473">
        <v>174</v>
      </c>
      <c r="AH2473">
        <v>129</v>
      </c>
      <c r="AI2473">
        <v>5.35</v>
      </c>
      <c r="AJ2473">
        <v>32.1</v>
      </c>
      <c r="AK2473">
        <v>23.8</v>
      </c>
      <c r="AL2473">
        <v>-20.13123589999995</v>
      </c>
      <c r="AM2473">
        <v>-44.888742396501762</v>
      </c>
      <c r="AN2473">
        <v>-20.13123589999995</v>
      </c>
      <c r="AO2473">
        <v>-44.888742396501762</v>
      </c>
      <c r="AP2473">
        <v>-20.131428</v>
      </c>
      <c r="AQ2473">
        <v>-44.888921000000003</v>
      </c>
      <c r="AR2473">
        <v>28.386169462917032</v>
      </c>
      <c r="AS2473" t="s">
        <v>65</v>
      </c>
      <c r="AT2473">
        <v>1</v>
      </c>
      <c r="AU2473" t="s">
        <v>508</v>
      </c>
      <c r="AV2473" t="s">
        <v>509</v>
      </c>
      <c r="AW2473" t="s">
        <v>60</v>
      </c>
      <c r="AX2473" t="s">
        <v>68</v>
      </c>
      <c r="AY2473" t="s">
        <v>69</v>
      </c>
      <c r="AZ2473" t="b">
        <v>1</v>
      </c>
    </row>
    <row r="2474" spans="1:52" x14ac:dyDescent="0.3">
      <c r="A2474" t="s">
        <v>52</v>
      </c>
      <c r="B2474" t="s">
        <v>53</v>
      </c>
      <c r="C2474" t="s">
        <v>54</v>
      </c>
      <c r="D2474" t="s">
        <v>55</v>
      </c>
      <c r="E2474" t="s">
        <v>2155</v>
      </c>
      <c r="F2474" t="s">
        <v>190</v>
      </c>
      <c r="G2474" t="s">
        <v>510</v>
      </c>
      <c r="H2474" t="s">
        <v>511</v>
      </c>
      <c r="I2474" t="s">
        <v>511</v>
      </c>
      <c r="J2474" t="s">
        <v>60</v>
      </c>
      <c r="K2474" t="s">
        <v>512</v>
      </c>
      <c r="L2474" t="s">
        <v>62</v>
      </c>
      <c r="M2474" t="s">
        <v>512</v>
      </c>
      <c r="N2474" t="s">
        <v>406</v>
      </c>
      <c r="O2474" t="s">
        <v>513</v>
      </c>
      <c r="P2474">
        <v>-20.127853000000002</v>
      </c>
      <c r="Q2474">
        <v>-44.891415000000002</v>
      </c>
      <c r="R2474" s="2" t="str">
        <f>HYPERLINK("https://www.google.com/maps?q=-20.1278530,-44.8914150","Abrir no Google Maps")</f>
        <v>Abrir no Google Maps</v>
      </c>
      <c r="S2474">
        <v>3</v>
      </c>
      <c r="T2474">
        <v>340.86994528233612</v>
      </c>
      <c r="U2474">
        <v>3</v>
      </c>
      <c r="V2474">
        <v>0.42076718756154241</v>
      </c>
      <c r="W2474">
        <v>1</v>
      </c>
      <c r="X2474">
        <v>0.42076718756154241</v>
      </c>
      <c r="Y2474">
        <v>564</v>
      </c>
      <c r="Z2474">
        <v>294.18108015916812</v>
      </c>
      <c r="AA2474">
        <v>198</v>
      </c>
      <c r="AB2474">
        <v>332</v>
      </c>
      <c r="AC2474">
        <v>536</v>
      </c>
      <c r="AD2474">
        <v>29.96</v>
      </c>
      <c r="AE2474">
        <v>542</v>
      </c>
      <c r="AF2474">
        <v>29</v>
      </c>
      <c r="AG2474">
        <v>174</v>
      </c>
      <c r="AH2474">
        <v>129</v>
      </c>
      <c r="AI2474">
        <v>5.35</v>
      </c>
      <c r="AJ2474">
        <v>32.1</v>
      </c>
      <c r="AK2474">
        <v>23.8</v>
      </c>
      <c r="AL2474">
        <v>-20.12777399999996</v>
      </c>
      <c r="AM2474">
        <v>-44.891400975758501</v>
      </c>
      <c r="AN2474">
        <v>-20.12777399999996</v>
      </c>
      <c r="AO2474">
        <v>-44.891400975758501</v>
      </c>
      <c r="AP2474">
        <v>-20.127853000000002</v>
      </c>
      <c r="AQ2474">
        <v>-44.891415000000002</v>
      </c>
      <c r="AR2474">
        <v>8.9156059162975616</v>
      </c>
      <c r="AS2474" t="s">
        <v>65</v>
      </c>
      <c r="AT2474">
        <v>1</v>
      </c>
      <c r="AU2474" t="s">
        <v>514</v>
      </c>
      <c r="AV2474" t="s">
        <v>515</v>
      </c>
      <c r="AW2474" t="s">
        <v>60</v>
      </c>
      <c r="AX2474" t="s">
        <v>68</v>
      </c>
      <c r="AY2474" t="s">
        <v>69</v>
      </c>
      <c r="AZ2474" t="b">
        <v>1</v>
      </c>
    </row>
    <row r="2475" spans="1:52" x14ac:dyDescent="0.3">
      <c r="A2475" t="s">
        <v>52</v>
      </c>
      <c r="B2475" t="s">
        <v>53</v>
      </c>
      <c r="C2475" t="s">
        <v>54</v>
      </c>
      <c r="D2475" t="s">
        <v>55</v>
      </c>
      <c r="E2475" t="s">
        <v>2155</v>
      </c>
      <c r="F2475" t="s">
        <v>190</v>
      </c>
      <c r="G2475" t="s">
        <v>1408</v>
      </c>
      <c r="H2475" t="s">
        <v>1409</v>
      </c>
      <c r="I2475" t="s">
        <v>1409</v>
      </c>
      <c r="J2475" t="s">
        <v>60</v>
      </c>
      <c r="K2475" t="s">
        <v>200</v>
      </c>
      <c r="L2475" t="s">
        <v>62</v>
      </c>
      <c r="M2475" t="s">
        <v>200</v>
      </c>
      <c r="N2475" t="s">
        <v>1410</v>
      </c>
      <c r="O2475" t="s">
        <v>1001</v>
      </c>
      <c r="P2475">
        <v>-20.126062999999998</v>
      </c>
      <c r="Q2475">
        <v>-44.894936999999999</v>
      </c>
      <c r="R2475" s="2" t="str">
        <f>HYPERLINK("https://www.google.com/maps?q=-20.1260630,-44.8949370","Abrir no Google Maps")</f>
        <v>Abrir no Google Maps</v>
      </c>
      <c r="S2475">
        <v>3</v>
      </c>
      <c r="T2475">
        <v>747.3122077966558</v>
      </c>
      <c r="U2475">
        <v>3</v>
      </c>
      <c r="V2475">
        <v>0.47802387188951068</v>
      </c>
      <c r="W2475">
        <v>0.85</v>
      </c>
      <c r="X2475">
        <v>0.40632029110608409</v>
      </c>
      <c r="Y2475">
        <v>564</v>
      </c>
      <c r="Z2475">
        <v>693.80888866206885</v>
      </c>
      <c r="AA2475">
        <v>198</v>
      </c>
      <c r="AB2475">
        <v>332</v>
      </c>
      <c r="AC2475">
        <v>536</v>
      </c>
      <c r="AD2475">
        <v>29.96</v>
      </c>
      <c r="AE2475">
        <v>542</v>
      </c>
      <c r="AF2475">
        <v>29</v>
      </c>
      <c r="AG2475">
        <v>174</v>
      </c>
      <c r="AH2475">
        <v>129</v>
      </c>
      <c r="AI2475">
        <v>5.35</v>
      </c>
      <c r="AJ2475">
        <v>32.1</v>
      </c>
      <c r="AK2475">
        <v>23.8</v>
      </c>
      <c r="AL2475">
        <v>-20.126099149999959</v>
      </c>
      <c r="AM2475">
        <v>-44.894866076436763</v>
      </c>
      <c r="AN2475">
        <v>-20.126099149999959</v>
      </c>
      <c r="AO2475">
        <v>-44.894866076436749</v>
      </c>
      <c r="AP2475">
        <v>-20.126062999999998</v>
      </c>
      <c r="AQ2475">
        <v>-44.894936999999999</v>
      </c>
      <c r="AR2475">
        <v>8.4349593682699737</v>
      </c>
      <c r="AS2475" t="s">
        <v>65</v>
      </c>
      <c r="AT2475">
        <v>1</v>
      </c>
      <c r="AU2475" t="s">
        <v>1411</v>
      </c>
      <c r="AV2475" t="s">
        <v>1003</v>
      </c>
      <c r="AW2475" t="s">
        <v>60</v>
      </c>
      <c r="AX2475" t="s">
        <v>68</v>
      </c>
      <c r="AY2475" t="s">
        <v>69</v>
      </c>
      <c r="AZ2475" t="b">
        <v>1</v>
      </c>
    </row>
    <row r="2476" spans="1:52" x14ac:dyDescent="0.3">
      <c r="A2476" t="s">
        <v>52</v>
      </c>
      <c r="B2476" t="s">
        <v>53</v>
      </c>
      <c r="C2476" t="s">
        <v>54</v>
      </c>
      <c r="D2476" t="s">
        <v>55</v>
      </c>
      <c r="E2476" t="s">
        <v>2155</v>
      </c>
      <c r="F2476" t="s">
        <v>190</v>
      </c>
      <c r="G2476" t="s">
        <v>398</v>
      </c>
      <c r="H2476" t="s">
        <v>541</v>
      </c>
      <c r="I2476" t="s">
        <v>541</v>
      </c>
      <c r="J2476" t="s">
        <v>60</v>
      </c>
      <c r="K2476" t="s">
        <v>388</v>
      </c>
      <c r="L2476" t="s">
        <v>62</v>
      </c>
      <c r="M2476" t="s">
        <v>388</v>
      </c>
      <c r="N2476" t="s">
        <v>400</v>
      </c>
      <c r="O2476" t="s">
        <v>542</v>
      </c>
      <c r="P2476">
        <v>-20.151335</v>
      </c>
      <c r="Q2476">
        <v>-44.901041999999997</v>
      </c>
      <c r="R2476" s="2" t="str">
        <f>HYPERLINK("https://www.google.com/maps?q=-20.1513350,-44.9010420","Abrir no Google Maps")</f>
        <v>Abrir no Google Maps</v>
      </c>
      <c r="S2476">
        <v>3</v>
      </c>
      <c r="T2476">
        <v>0</v>
      </c>
      <c r="U2476">
        <v>3</v>
      </c>
      <c r="V2476">
        <v>0.4145894958916278</v>
      </c>
      <c r="W2476">
        <v>1</v>
      </c>
      <c r="X2476">
        <v>0.4145894958916278</v>
      </c>
      <c r="Y2476">
        <v>556</v>
      </c>
      <c r="Z2476">
        <v>137.71609036908939</v>
      </c>
      <c r="AA2476">
        <v>198</v>
      </c>
      <c r="AB2476">
        <v>332</v>
      </c>
      <c r="AC2476">
        <v>536</v>
      </c>
      <c r="AD2476">
        <v>29.96</v>
      </c>
      <c r="AE2476">
        <v>542</v>
      </c>
      <c r="AF2476">
        <v>29</v>
      </c>
      <c r="AG2476">
        <v>174</v>
      </c>
      <c r="AH2476">
        <v>129</v>
      </c>
      <c r="AI2476">
        <v>5.35</v>
      </c>
      <c r="AJ2476">
        <v>32.1</v>
      </c>
      <c r="AK2476">
        <v>23.8</v>
      </c>
      <c r="AL2476">
        <v>-20.15125899999995</v>
      </c>
      <c r="AM2476">
        <v>-44.900838557594433</v>
      </c>
      <c r="AN2476">
        <v>-20.15125899999995</v>
      </c>
      <c r="AO2476">
        <v>-44.900838557594433</v>
      </c>
      <c r="AP2476">
        <v>-20.151335</v>
      </c>
      <c r="AQ2476">
        <v>-44.901041999999997</v>
      </c>
      <c r="AR2476">
        <v>22.882363139483491</v>
      </c>
      <c r="AS2476" t="s">
        <v>65</v>
      </c>
      <c r="AT2476">
        <v>1</v>
      </c>
      <c r="AU2476" t="s">
        <v>543</v>
      </c>
      <c r="AV2476" t="s">
        <v>544</v>
      </c>
      <c r="AW2476" t="s">
        <v>60</v>
      </c>
      <c r="AX2476" t="s">
        <v>68</v>
      </c>
      <c r="AY2476" t="s">
        <v>69</v>
      </c>
      <c r="AZ2476" t="b">
        <v>1</v>
      </c>
    </row>
    <row r="2477" spans="1:52" x14ac:dyDescent="0.3">
      <c r="A2477" t="s">
        <v>52</v>
      </c>
      <c r="B2477" t="s">
        <v>53</v>
      </c>
      <c r="C2477" t="s">
        <v>54</v>
      </c>
      <c r="D2477" t="s">
        <v>55</v>
      </c>
      <c r="E2477" t="s">
        <v>2155</v>
      </c>
      <c r="F2477" t="s">
        <v>190</v>
      </c>
      <c r="G2477" t="s">
        <v>897</v>
      </c>
      <c r="H2477" t="s">
        <v>898</v>
      </c>
      <c r="I2477" t="s">
        <v>898</v>
      </c>
      <c r="J2477" t="s">
        <v>60</v>
      </c>
      <c r="K2477" t="s">
        <v>892</v>
      </c>
      <c r="L2477" t="s">
        <v>62</v>
      </c>
      <c r="M2477" t="s">
        <v>892</v>
      </c>
      <c r="N2477" t="s">
        <v>899</v>
      </c>
      <c r="O2477" t="s">
        <v>900</v>
      </c>
      <c r="P2477">
        <v>-20.154885</v>
      </c>
      <c r="Q2477">
        <v>-44.899890999999997</v>
      </c>
      <c r="R2477" s="2" t="str">
        <f>HYPERLINK("https://www.google.com/maps?q=-20.1548850,-44.8998910","Abrir no Google Maps")</f>
        <v>Abrir no Google Maps</v>
      </c>
      <c r="S2477">
        <v>3</v>
      </c>
      <c r="T2477">
        <v>314.66339661014308</v>
      </c>
      <c r="U2477">
        <v>3</v>
      </c>
      <c r="V2477">
        <v>0.400239587638334</v>
      </c>
      <c r="W2477">
        <v>1</v>
      </c>
      <c r="X2477">
        <v>0.400239587638334</v>
      </c>
      <c r="Y2477">
        <v>548</v>
      </c>
      <c r="Z2477">
        <v>319.02252584834253</v>
      </c>
      <c r="AA2477">
        <v>198</v>
      </c>
      <c r="AB2477">
        <v>332</v>
      </c>
      <c r="AC2477">
        <v>536</v>
      </c>
      <c r="AD2477">
        <v>29.96</v>
      </c>
      <c r="AE2477">
        <v>542</v>
      </c>
      <c r="AF2477">
        <v>29</v>
      </c>
      <c r="AG2477">
        <v>174</v>
      </c>
      <c r="AH2477">
        <v>129</v>
      </c>
      <c r="AI2477">
        <v>5.35</v>
      </c>
      <c r="AJ2477">
        <v>32.1</v>
      </c>
      <c r="AK2477">
        <v>23.8</v>
      </c>
      <c r="AL2477">
        <v>-20.154906649999951</v>
      </c>
      <c r="AM2477">
        <v>-44.899894072543653</v>
      </c>
      <c r="AN2477">
        <v>-20.154906649999951</v>
      </c>
      <c r="AO2477">
        <v>-44.899894072543653</v>
      </c>
      <c r="AP2477">
        <v>-20.154885</v>
      </c>
      <c r="AQ2477">
        <v>-44.899890999999997</v>
      </c>
      <c r="AR2477">
        <v>2.431373123904943</v>
      </c>
      <c r="AS2477" t="s">
        <v>65</v>
      </c>
      <c r="AT2477">
        <v>1</v>
      </c>
      <c r="AU2477" t="s">
        <v>901</v>
      </c>
      <c r="AV2477" t="s">
        <v>902</v>
      </c>
      <c r="AW2477" t="s">
        <v>60</v>
      </c>
      <c r="AX2477" t="s">
        <v>68</v>
      </c>
      <c r="AY2477" t="s">
        <v>69</v>
      </c>
      <c r="AZ2477" t="b">
        <v>1</v>
      </c>
    </row>
    <row r="2478" spans="1:52" x14ac:dyDescent="0.3">
      <c r="A2478" t="s">
        <v>52</v>
      </c>
      <c r="B2478" t="s">
        <v>53</v>
      </c>
      <c r="C2478" t="s">
        <v>54</v>
      </c>
      <c r="D2478" t="s">
        <v>55</v>
      </c>
      <c r="E2478" t="s">
        <v>2155</v>
      </c>
      <c r="F2478" t="s">
        <v>190</v>
      </c>
      <c r="G2478" t="s">
        <v>545</v>
      </c>
      <c r="H2478" t="s">
        <v>546</v>
      </c>
      <c r="I2478" t="s">
        <v>546</v>
      </c>
      <c r="J2478" t="s">
        <v>60</v>
      </c>
      <c r="K2478" t="s">
        <v>388</v>
      </c>
      <c r="L2478" t="s">
        <v>62</v>
      </c>
      <c r="M2478" t="s">
        <v>388</v>
      </c>
      <c r="N2478" t="s">
        <v>547</v>
      </c>
      <c r="O2478" t="s">
        <v>548</v>
      </c>
      <c r="P2478">
        <v>-20.155839</v>
      </c>
      <c r="Q2478">
        <v>-44.905655000000003</v>
      </c>
      <c r="R2478" s="2" t="str">
        <f>HYPERLINK("https://www.google.com/maps?q=-20.1558390,-44.9056550","Abrir no Google Maps")</f>
        <v>Abrir no Google Maps</v>
      </c>
      <c r="S2478">
        <v>3</v>
      </c>
      <c r="T2478">
        <v>309.7643089121122</v>
      </c>
      <c r="U2478">
        <v>3</v>
      </c>
      <c r="V2478">
        <v>0.4121580459770115</v>
      </c>
      <c r="W2478">
        <v>1</v>
      </c>
      <c r="X2478">
        <v>0.4121580459770115</v>
      </c>
      <c r="Y2478">
        <v>548</v>
      </c>
      <c r="Z2478">
        <v>284.24281731793161</v>
      </c>
      <c r="AA2478">
        <v>198</v>
      </c>
      <c r="AB2478">
        <v>332</v>
      </c>
      <c r="AC2478">
        <v>536</v>
      </c>
      <c r="AD2478">
        <v>29.96</v>
      </c>
      <c r="AE2478">
        <v>542</v>
      </c>
      <c r="AF2478">
        <v>29</v>
      </c>
      <c r="AG2478">
        <v>174</v>
      </c>
      <c r="AH2478">
        <v>129</v>
      </c>
      <c r="AI2478">
        <v>5.35</v>
      </c>
      <c r="AJ2478">
        <v>32.1</v>
      </c>
      <c r="AK2478">
        <v>23.8</v>
      </c>
      <c r="AL2478">
        <v>-20.155913549999951</v>
      </c>
      <c r="AM2478">
        <v>-44.905554508392683</v>
      </c>
      <c r="AN2478">
        <v>-20.155913549999951</v>
      </c>
      <c r="AO2478">
        <v>-44.905554508392669</v>
      </c>
      <c r="AP2478">
        <v>-20.155839</v>
      </c>
      <c r="AQ2478">
        <v>-44.905655000000003</v>
      </c>
      <c r="AR2478">
        <v>13.384922093797449</v>
      </c>
      <c r="AS2478" t="s">
        <v>65</v>
      </c>
      <c r="AT2478">
        <v>1</v>
      </c>
      <c r="AU2478" t="s">
        <v>549</v>
      </c>
      <c r="AV2478" t="s">
        <v>550</v>
      </c>
      <c r="AW2478" t="s">
        <v>60</v>
      </c>
      <c r="AX2478" t="s">
        <v>68</v>
      </c>
      <c r="AY2478" t="s">
        <v>69</v>
      </c>
      <c r="AZ2478" t="b">
        <v>1</v>
      </c>
    </row>
    <row r="2479" spans="1:52" x14ac:dyDescent="0.3">
      <c r="A2479" t="s">
        <v>52</v>
      </c>
      <c r="B2479" t="s">
        <v>53</v>
      </c>
      <c r="C2479" t="s">
        <v>54</v>
      </c>
      <c r="D2479" t="s">
        <v>55</v>
      </c>
      <c r="E2479" t="s">
        <v>2155</v>
      </c>
      <c r="F2479" t="s">
        <v>190</v>
      </c>
      <c r="G2479" t="s">
        <v>556</v>
      </c>
      <c r="H2479" t="s">
        <v>557</v>
      </c>
      <c r="I2479" t="s">
        <v>557</v>
      </c>
      <c r="J2479" t="s">
        <v>60</v>
      </c>
      <c r="K2479" t="s">
        <v>388</v>
      </c>
      <c r="L2479" t="s">
        <v>62</v>
      </c>
      <c r="M2479" t="s">
        <v>388</v>
      </c>
      <c r="N2479" t="s">
        <v>558</v>
      </c>
      <c r="O2479" t="s">
        <v>559</v>
      </c>
      <c r="P2479">
        <v>-20.152670000000001</v>
      </c>
      <c r="Q2479">
        <v>-44.902557999999999</v>
      </c>
      <c r="R2479" s="2" t="str">
        <f>HYPERLINK("https://www.google.com/maps?q=-20.1526700,-44.9025580","Abrir no Google Maps")</f>
        <v>Abrir no Google Maps</v>
      </c>
      <c r="S2479">
        <v>3</v>
      </c>
      <c r="T2479">
        <v>228.56195217678911</v>
      </c>
      <c r="U2479">
        <v>3</v>
      </c>
      <c r="V2479">
        <v>0.4119247049247049</v>
      </c>
      <c r="W2479">
        <v>1</v>
      </c>
      <c r="X2479">
        <v>0.4119247049247049</v>
      </c>
      <c r="Y2479">
        <v>548</v>
      </c>
      <c r="Z2479">
        <v>250.63133895224919</v>
      </c>
      <c r="AA2479">
        <v>198</v>
      </c>
      <c r="AB2479">
        <v>332</v>
      </c>
      <c r="AC2479">
        <v>536</v>
      </c>
      <c r="AD2479">
        <v>29.96</v>
      </c>
      <c r="AE2479">
        <v>542</v>
      </c>
      <c r="AF2479">
        <v>29</v>
      </c>
      <c r="AG2479">
        <v>174</v>
      </c>
      <c r="AH2479">
        <v>129</v>
      </c>
      <c r="AI2479">
        <v>5.35</v>
      </c>
      <c r="AJ2479">
        <v>32.1</v>
      </c>
      <c r="AK2479">
        <v>23.8</v>
      </c>
      <c r="AL2479">
        <v>-20.152629799999939</v>
      </c>
      <c r="AM2479">
        <v>-44.902604744705201</v>
      </c>
      <c r="AN2479">
        <v>-20.152629799999939</v>
      </c>
      <c r="AO2479">
        <v>-44.902604744705201</v>
      </c>
      <c r="AP2479">
        <v>-20.152670000000001</v>
      </c>
      <c r="AQ2479">
        <v>-44.902557999999999</v>
      </c>
      <c r="AR2479">
        <v>6.6249428037111509</v>
      </c>
      <c r="AS2479" t="s">
        <v>65</v>
      </c>
      <c r="AT2479">
        <v>1</v>
      </c>
      <c r="AU2479" t="s">
        <v>560</v>
      </c>
      <c r="AV2479" t="s">
        <v>561</v>
      </c>
      <c r="AW2479" t="s">
        <v>60</v>
      </c>
      <c r="AX2479" t="s">
        <v>68</v>
      </c>
      <c r="AY2479" t="s">
        <v>69</v>
      </c>
      <c r="AZ2479" t="b">
        <v>1</v>
      </c>
    </row>
    <row r="2480" spans="1:52" x14ac:dyDescent="0.3">
      <c r="A2480" t="s">
        <v>52</v>
      </c>
      <c r="B2480" t="s">
        <v>53</v>
      </c>
      <c r="C2480" t="s">
        <v>54</v>
      </c>
      <c r="D2480" t="s">
        <v>55</v>
      </c>
      <c r="E2480" t="s">
        <v>2155</v>
      </c>
      <c r="F2480" t="s">
        <v>190</v>
      </c>
      <c r="G2480" t="s">
        <v>562</v>
      </c>
      <c r="H2480" t="s">
        <v>563</v>
      </c>
      <c r="I2480" t="s">
        <v>563</v>
      </c>
      <c r="J2480" t="s">
        <v>60</v>
      </c>
      <c r="K2480" t="s">
        <v>388</v>
      </c>
      <c r="L2480" t="s">
        <v>62</v>
      </c>
      <c r="M2480" t="s">
        <v>388</v>
      </c>
      <c r="N2480" t="s">
        <v>564</v>
      </c>
      <c r="O2480" t="s">
        <v>565</v>
      </c>
      <c r="P2480">
        <v>-20.154432</v>
      </c>
      <c r="Q2480">
        <v>-44.902977999999997</v>
      </c>
      <c r="R2480" s="2" t="str">
        <f>HYPERLINK("https://www.google.com/maps?q=-20.1544320,-44.9029780","Abrir no Google Maps")</f>
        <v>Abrir no Google Maps</v>
      </c>
      <c r="S2480">
        <v>3</v>
      </c>
      <c r="T2480">
        <v>0</v>
      </c>
      <c r="U2480">
        <v>3</v>
      </c>
      <c r="V2480">
        <v>0.40947547370866411</v>
      </c>
      <c r="W2480">
        <v>1</v>
      </c>
      <c r="X2480">
        <v>0.40947547370866411</v>
      </c>
      <c r="Y2480">
        <v>548</v>
      </c>
      <c r="Z2480">
        <v>29.424211042533759</v>
      </c>
      <c r="AA2480">
        <v>198</v>
      </c>
      <c r="AB2480">
        <v>332</v>
      </c>
      <c r="AC2480">
        <v>536</v>
      </c>
      <c r="AD2480">
        <v>29.96</v>
      </c>
      <c r="AE2480">
        <v>542</v>
      </c>
      <c r="AF2480">
        <v>29</v>
      </c>
      <c r="AG2480">
        <v>174</v>
      </c>
      <c r="AH2480">
        <v>129</v>
      </c>
      <c r="AI2480">
        <v>5.35</v>
      </c>
      <c r="AJ2480">
        <v>32.1</v>
      </c>
      <c r="AK2480">
        <v>23.8</v>
      </c>
      <c r="AL2480">
        <v>-20.15467689999997</v>
      </c>
      <c r="AM2480">
        <v>-44.902895281771222</v>
      </c>
      <c r="AN2480">
        <v>-20.15467689999997</v>
      </c>
      <c r="AO2480">
        <v>-44.902895281771222</v>
      </c>
      <c r="AP2480">
        <v>-20.154432</v>
      </c>
      <c r="AQ2480">
        <v>-44.902977999999997</v>
      </c>
      <c r="AR2480">
        <v>28.5999270636025</v>
      </c>
      <c r="AS2480" t="s">
        <v>65</v>
      </c>
      <c r="AT2480">
        <v>1</v>
      </c>
      <c r="AU2480" t="s">
        <v>566</v>
      </c>
      <c r="AV2480" t="s">
        <v>567</v>
      </c>
      <c r="AW2480" t="s">
        <v>60</v>
      </c>
      <c r="AX2480" t="s">
        <v>68</v>
      </c>
      <c r="AY2480" t="s">
        <v>69</v>
      </c>
      <c r="AZ2480" t="b">
        <v>1</v>
      </c>
    </row>
    <row r="2481" spans="1:52" x14ac:dyDescent="0.3">
      <c r="A2481" t="s">
        <v>52</v>
      </c>
      <c r="B2481" t="s">
        <v>53</v>
      </c>
      <c r="C2481" t="s">
        <v>54</v>
      </c>
      <c r="D2481" t="s">
        <v>55</v>
      </c>
      <c r="E2481" t="s">
        <v>2155</v>
      </c>
      <c r="F2481" t="s">
        <v>190</v>
      </c>
      <c r="G2481" t="s">
        <v>903</v>
      </c>
      <c r="H2481" t="s">
        <v>904</v>
      </c>
      <c r="I2481" t="s">
        <v>904</v>
      </c>
      <c r="J2481" t="s">
        <v>60</v>
      </c>
      <c r="K2481" t="s">
        <v>905</v>
      </c>
      <c r="L2481" t="s">
        <v>62</v>
      </c>
      <c r="M2481" t="s">
        <v>905</v>
      </c>
      <c r="N2481" t="s">
        <v>906</v>
      </c>
      <c r="O2481" t="s">
        <v>907</v>
      </c>
      <c r="P2481">
        <v>-20.112969</v>
      </c>
      <c r="Q2481">
        <v>-44.891264</v>
      </c>
      <c r="R2481" s="2" t="str">
        <f>HYPERLINK("https://www.google.com/maps?q=-20.1129690,-44.8912640","Abrir no Google Maps")</f>
        <v>Abrir no Google Maps</v>
      </c>
      <c r="S2481">
        <v>3</v>
      </c>
      <c r="T2481">
        <v>760.33197426397032</v>
      </c>
      <c r="U2481">
        <v>3</v>
      </c>
      <c r="V2481">
        <v>0.41101357733175919</v>
      </c>
      <c r="W2481">
        <v>1</v>
      </c>
      <c r="X2481">
        <v>0.41101357733175919</v>
      </c>
      <c r="Y2481">
        <v>536</v>
      </c>
      <c r="Z2481">
        <v>755.3791742519096</v>
      </c>
      <c r="AA2481">
        <v>198</v>
      </c>
      <c r="AB2481">
        <v>332</v>
      </c>
      <c r="AC2481">
        <v>536</v>
      </c>
      <c r="AD2481">
        <v>29.96</v>
      </c>
      <c r="AE2481">
        <v>542</v>
      </c>
      <c r="AF2481">
        <v>29</v>
      </c>
      <c r="AG2481">
        <v>174</v>
      </c>
      <c r="AH2481">
        <v>129</v>
      </c>
      <c r="AI2481">
        <v>5.35</v>
      </c>
      <c r="AJ2481">
        <v>32.1</v>
      </c>
      <c r="AK2481">
        <v>23.8</v>
      </c>
      <c r="AL2481">
        <v>-20.11260604999995</v>
      </c>
      <c r="AM2481">
        <v>-44.891480970454502</v>
      </c>
      <c r="AN2481">
        <v>-20.11260604999995</v>
      </c>
      <c r="AO2481">
        <v>-44.891480970454502</v>
      </c>
      <c r="AP2481">
        <v>-20.112969</v>
      </c>
      <c r="AQ2481">
        <v>-44.891264</v>
      </c>
      <c r="AR2481">
        <v>46.334053708506183</v>
      </c>
      <c r="AS2481" t="s">
        <v>65</v>
      </c>
      <c r="AT2481">
        <v>1</v>
      </c>
      <c r="AU2481" t="s">
        <v>908</v>
      </c>
      <c r="AV2481" t="s">
        <v>909</v>
      </c>
      <c r="AW2481" t="s">
        <v>60</v>
      </c>
      <c r="AX2481" t="s">
        <v>68</v>
      </c>
      <c r="AY2481" t="s">
        <v>69</v>
      </c>
      <c r="AZ2481" t="b">
        <v>1</v>
      </c>
    </row>
    <row r="2482" spans="1:52" x14ac:dyDescent="0.3">
      <c r="A2482" t="s">
        <v>52</v>
      </c>
      <c r="B2482" t="s">
        <v>53</v>
      </c>
      <c r="C2482" t="s">
        <v>54</v>
      </c>
      <c r="D2482" t="s">
        <v>55</v>
      </c>
      <c r="E2482" t="s">
        <v>2155</v>
      </c>
      <c r="F2482" t="s">
        <v>190</v>
      </c>
      <c r="G2482" t="s">
        <v>579</v>
      </c>
      <c r="H2482" t="s">
        <v>580</v>
      </c>
      <c r="I2482" t="s">
        <v>580</v>
      </c>
      <c r="J2482" t="s">
        <v>60</v>
      </c>
      <c r="K2482" t="s">
        <v>117</v>
      </c>
      <c r="L2482" t="s">
        <v>62</v>
      </c>
      <c r="M2482" t="s">
        <v>117</v>
      </c>
      <c r="N2482" t="s">
        <v>581</v>
      </c>
      <c r="O2482" t="s">
        <v>338</v>
      </c>
      <c r="P2482">
        <v>-20.119333000000001</v>
      </c>
      <c r="Q2482">
        <v>-44.892454999999998</v>
      </c>
      <c r="R2482" s="2" t="str">
        <f>HYPERLINK("https://www.google.com/maps?q=-20.1193330,-44.8924550","Abrir no Google Maps")</f>
        <v>Abrir no Google Maps</v>
      </c>
      <c r="S2482">
        <v>3</v>
      </c>
      <c r="T2482">
        <v>545.06582215852734</v>
      </c>
      <c r="U2482">
        <v>3</v>
      </c>
      <c r="V2482">
        <v>0.41580794701986762</v>
      </c>
      <c r="W2482">
        <v>1</v>
      </c>
      <c r="X2482">
        <v>0.41580794701986762</v>
      </c>
      <c r="Y2482">
        <v>536</v>
      </c>
      <c r="Z2482">
        <v>583.72689769042404</v>
      </c>
      <c r="AA2482">
        <v>198</v>
      </c>
      <c r="AB2482">
        <v>332</v>
      </c>
      <c r="AC2482">
        <v>536</v>
      </c>
      <c r="AD2482">
        <v>29.96</v>
      </c>
      <c r="AE2482">
        <v>542</v>
      </c>
      <c r="AF2482">
        <v>29</v>
      </c>
      <c r="AG2482">
        <v>174</v>
      </c>
      <c r="AH2482">
        <v>129</v>
      </c>
      <c r="AI2482">
        <v>5.35</v>
      </c>
      <c r="AJ2482">
        <v>32.1</v>
      </c>
      <c r="AK2482">
        <v>23.8</v>
      </c>
      <c r="AL2482">
        <v>-20.11966729999995</v>
      </c>
      <c r="AM2482">
        <v>-44.892529474102908</v>
      </c>
      <c r="AN2482">
        <v>-20.119667299999939</v>
      </c>
      <c r="AO2482">
        <v>-44.892529474102908</v>
      </c>
      <c r="AP2482">
        <v>-20.119333000000001</v>
      </c>
      <c r="AQ2482">
        <v>-44.892454999999998</v>
      </c>
      <c r="AR2482">
        <v>38.019750592693072</v>
      </c>
      <c r="AS2482" t="s">
        <v>65</v>
      </c>
      <c r="AT2482">
        <v>1</v>
      </c>
      <c r="AU2482" t="s">
        <v>582</v>
      </c>
      <c r="AV2482" t="s">
        <v>583</v>
      </c>
      <c r="AW2482" t="s">
        <v>60</v>
      </c>
      <c r="AX2482" t="s">
        <v>68</v>
      </c>
      <c r="AY2482" t="s">
        <v>69</v>
      </c>
      <c r="AZ2482" t="b">
        <v>1</v>
      </c>
    </row>
    <row r="2483" spans="1:52" x14ac:dyDescent="0.3">
      <c r="A2483" t="s">
        <v>52</v>
      </c>
      <c r="B2483" t="s">
        <v>53</v>
      </c>
      <c r="C2483" t="s">
        <v>54</v>
      </c>
      <c r="D2483" t="s">
        <v>55</v>
      </c>
      <c r="E2483" t="s">
        <v>2155</v>
      </c>
      <c r="F2483" t="s">
        <v>190</v>
      </c>
      <c r="G2483" t="s">
        <v>590</v>
      </c>
      <c r="H2483" t="s">
        <v>591</v>
      </c>
      <c r="I2483" t="s">
        <v>591</v>
      </c>
      <c r="J2483" t="s">
        <v>60</v>
      </c>
      <c r="K2483" t="s">
        <v>207</v>
      </c>
      <c r="L2483" t="s">
        <v>62</v>
      </c>
      <c r="M2483" t="s">
        <v>207</v>
      </c>
      <c r="N2483" t="s">
        <v>592</v>
      </c>
      <c r="O2483" t="s">
        <v>565</v>
      </c>
      <c r="P2483">
        <v>-20.118652000000001</v>
      </c>
      <c r="Q2483">
        <v>-44.890574999999998</v>
      </c>
      <c r="R2483" s="2" t="str">
        <f>HYPERLINK("https://www.google.com/maps?q=-20.1186520,-44.8905750","Abrir no Google Maps")</f>
        <v>Abrir no Google Maps</v>
      </c>
      <c r="S2483">
        <v>3</v>
      </c>
      <c r="T2483">
        <v>305.97870753615422</v>
      </c>
      <c r="U2483">
        <v>3</v>
      </c>
      <c r="V2483">
        <v>0.41783085750675819</v>
      </c>
      <c r="W2483">
        <v>1</v>
      </c>
      <c r="X2483">
        <v>0.41783085750675819</v>
      </c>
      <c r="Y2483">
        <v>536</v>
      </c>
      <c r="Z2483">
        <v>368.07356795447242</v>
      </c>
      <c r="AA2483">
        <v>198</v>
      </c>
      <c r="AB2483">
        <v>332</v>
      </c>
      <c r="AC2483">
        <v>536</v>
      </c>
      <c r="AD2483">
        <v>29.96</v>
      </c>
      <c r="AE2483">
        <v>542</v>
      </c>
      <c r="AF2483">
        <v>29</v>
      </c>
      <c r="AG2483">
        <v>174</v>
      </c>
      <c r="AH2483">
        <v>129</v>
      </c>
      <c r="AI2483">
        <v>5.35</v>
      </c>
      <c r="AJ2483">
        <v>32.1</v>
      </c>
      <c r="AK2483">
        <v>23.8</v>
      </c>
      <c r="AL2483">
        <v>-20.118589699999941</v>
      </c>
      <c r="AM2483">
        <v>-44.890419442196389</v>
      </c>
      <c r="AN2483">
        <v>-20.118589699999941</v>
      </c>
      <c r="AO2483">
        <v>-44.890419442196389</v>
      </c>
      <c r="AP2483">
        <v>-20.118652000000001</v>
      </c>
      <c r="AQ2483">
        <v>-44.890574999999998</v>
      </c>
      <c r="AR2483">
        <v>17.67731866347437</v>
      </c>
      <c r="AS2483" t="s">
        <v>65</v>
      </c>
      <c r="AT2483">
        <v>1</v>
      </c>
      <c r="AU2483" t="s">
        <v>593</v>
      </c>
      <c r="AV2483" t="s">
        <v>594</v>
      </c>
      <c r="AW2483" t="s">
        <v>60</v>
      </c>
      <c r="AX2483" t="s">
        <v>68</v>
      </c>
      <c r="AY2483" t="s">
        <v>69</v>
      </c>
      <c r="AZ2483" t="b">
        <v>1</v>
      </c>
    </row>
    <row r="2484" spans="1:52" x14ac:dyDescent="0.3">
      <c r="A2484" t="s">
        <v>52</v>
      </c>
      <c r="B2484" t="s">
        <v>53</v>
      </c>
      <c r="C2484" t="s">
        <v>54</v>
      </c>
      <c r="D2484" t="s">
        <v>55</v>
      </c>
      <c r="E2484" t="s">
        <v>2155</v>
      </c>
      <c r="F2484" t="s">
        <v>190</v>
      </c>
      <c r="G2484" t="s">
        <v>595</v>
      </c>
      <c r="H2484" t="s">
        <v>596</v>
      </c>
      <c r="I2484" t="s">
        <v>596</v>
      </c>
      <c r="J2484" t="s">
        <v>60</v>
      </c>
      <c r="K2484" t="s">
        <v>207</v>
      </c>
      <c r="L2484" t="s">
        <v>62</v>
      </c>
      <c r="M2484" t="s">
        <v>207</v>
      </c>
      <c r="N2484" t="s">
        <v>597</v>
      </c>
      <c r="O2484" t="s">
        <v>598</v>
      </c>
      <c r="P2484">
        <v>-20.118335999999999</v>
      </c>
      <c r="Q2484">
        <v>-44.887441000000003</v>
      </c>
      <c r="R2484" s="2" t="str">
        <f>HYPERLINK("https://www.google.com/maps?q=-20.1183360,-44.8874410","Abrir no Google Maps")</f>
        <v>Abrir no Google Maps</v>
      </c>
      <c r="S2484">
        <v>3</v>
      </c>
      <c r="T2484">
        <v>0</v>
      </c>
      <c r="U2484">
        <v>3</v>
      </c>
      <c r="V2484">
        <v>0.42078084638716512</v>
      </c>
      <c r="W2484">
        <v>1</v>
      </c>
      <c r="X2484">
        <v>0.42078084638716512</v>
      </c>
      <c r="Y2484">
        <v>536</v>
      </c>
      <c r="Z2484">
        <v>70.729031566967279</v>
      </c>
      <c r="AA2484">
        <v>198</v>
      </c>
      <c r="AB2484">
        <v>332</v>
      </c>
      <c r="AC2484">
        <v>536</v>
      </c>
      <c r="AD2484">
        <v>29.96</v>
      </c>
      <c r="AE2484">
        <v>542</v>
      </c>
      <c r="AF2484">
        <v>29</v>
      </c>
      <c r="AG2484">
        <v>174</v>
      </c>
      <c r="AH2484">
        <v>129</v>
      </c>
      <c r="AI2484">
        <v>5.35</v>
      </c>
      <c r="AJ2484">
        <v>32.1</v>
      </c>
      <c r="AK2484">
        <v>23.8</v>
      </c>
      <c r="AL2484">
        <v>-20.118357999999969</v>
      </c>
      <c r="AM2484">
        <v>-44.88750246616479</v>
      </c>
      <c r="AN2484">
        <v>-20.118357999999969</v>
      </c>
      <c r="AO2484">
        <v>-44.88750246616479</v>
      </c>
      <c r="AP2484">
        <v>-20.118335999999999</v>
      </c>
      <c r="AQ2484">
        <v>-44.887441000000003</v>
      </c>
      <c r="AR2484">
        <v>6.875853437004074</v>
      </c>
      <c r="AS2484" t="s">
        <v>65</v>
      </c>
      <c r="AT2484">
        <v>1</v>
      </c>
      <c r="AU2484" t="s">
        <v>599</v>
      </c>
      <c r="AV2484" t="s">
        <v>600</v>
      </c>
      <c r="AW2484" t="s">
        <v>60</v>
      </c>
      <c r="AX2484" t="s">
        <v>68</v>
      </c>
      <c r="AY2484" t="s">
        <v>69</v>
      </c>
      <c r="AZ2484" t="b">
        <v>1</v>
      </c>
    </row>
    <row r="2485" spans="1:52" x14ac:dyDescent="0.3">
      <c r="A2485" t="s">
        <v>52</v>
      </c>
      <c r="B2485" t="s">
        <v>53</v>
      </c>
      <c r="C2485" t="s">
        <v>54</v>
      </c>
      <c r="D2485" t="s">
        <v>55</v>
      </c>
      <c r="E2485" t="s">
        <v>2155</v>
      </c>
      <c r="F2485" t="s">
        <v>190</v>
      </c>
      <c r="G2485" t="s">
        <v>929</v>
      </c>
      <c r="H2485" t="s">
        <v>930</v>
      </c>
      <c r="I2485" t="s">
        <v>930</v>
      </c>
      <c r="J2485" t="s">
        <v>60</v>
      </c>
      <c r="K2485" t="s">
        <v>72</v>
      </c>
      <c r="L2485" t="s">
        <v>62</v>
      </c>
      <c r="M2485" t="s">
        <v>72</v>
      </c>
      <c r="N2485" t="s">
        <v>931</v>
      </c>
      <c r="O2485" t="s">
        <v>932</v>
      </c>
      <c r="P2485">
        <v>-20.144780999999998</v>
      </c>
      <c r="Q2485">
        <v>-44.914259000000001</v>
      </c>
      <c r="R2485" s="2" t="str">
        <f>HYPERLINK("https://www.google.com/maps?q=-20.1447810,-44.9142590","Abrir no Google Maps")</f>
        <v>Abrir no Google Maps</v>
      </c>
      <c r="S2485">
        <v>3</v>
      </c>
      <c r="T2485">
        <v>256.09363485874093</v>
      </c>
      <c r="U2485">
        <v>3</v>
      </c>
      <c r="V2485">
        <v>0.40189009585945462</v>
      </c>
      <c r="W2485">
        <v>1</v>
      </c>
      <c r="X2485">
        <v>0.40189009585945462</v>
      </c>
      <c r="Y2485">
        <v>508</v>
      </c>
      <c r="Z2485">
        <v>318.29766547935321</v>
      </c>
      <c r="AA2485">
        <v>198</v>
      </c>
      <c r="AB2485">
        <v>332</v>
      </c>
      <c r="AC2485">
        <v>536</v>
      </c>
      <c r="AD2485">
        <v>29.96</v>
      </c>
      <c r="AE2485">
        <v>542</v>
      </c>
      <c r="AF2485">
        <v>29</v>
      </c>
      <c r="AG2485">
        <v>174</v>
      </c>
      <c r="AH2485">
        <v>129</v>
      </c>
      <c r="AI2485">
        <v>5.35</v>
      </c>
      <c r="AJ2485">
        <v>32.1</v>
      </c>
      <c r="AK2485">
        <v>23.8</v>
      </c>
      <c r="AL2485">
        <v>-20.144721899999951</v>
      </c>
      <c r="AM2485">
        <v>-44.914368749511411</v>
      </c>
      <c r="AN2485">
        <v>-20.144721899999951</v>
      </c>
      <c r="AO2485">
        <v>-44.914368749511411</v>
      </c>
      <c r="AP2485">
        <v>-20.144780999999998</v>
      </c>
      <c r="AQ2485">
        <v>-44.914259000000001</v>
      </c>
      <c r="AR2485">
        <v>13.22280973360979</v>
      </c>
      <c r="AS2485" t="s">
        <v>65</v>
      </c>
      <c r="AT2485">
        <v>1</v>
      </c>
      <c r="AU2485" t="s">
        <v>933</v>
      </c>
      <c r="AV2485" t="s">
        <v>934</v>
      </c>
      <c r="AW2485" t="s">
        <v>60</v>
      </c>
      <c r="AX2485" t="s">
        <v>68</v>
      </c>
      <c r="AY2485" t="s">
        <v>69</v>
      </c>
      <c r="AZ2485" t="b">
        <v>1</v>
      </c>
    </row>
    <row r="2486" spans="1:52" x14ac:dyDescent="0.3">
      <c r="A2486" t="s">
        <v>52</v>
      </c>
      <c r="B2486" t="s">
        <v>53</v>
      </c>
      <c r="C2486" t="s">
        <v>54</v>
      </c>
      <c r="D2486" t="s">
        <v>55</v>
      </c>
      <c r="E2486" t="s">
        <v>2155</v>
      </c>
      <c r="F2486" t="s">
        <v>190</v>
      </c>
      <c r="G2486" t="s">
        <v>935</v>
      </c>
      <c r="H2486" t="s">
        <v>936</v>
      </c>
      <c r="I2486" t="s">
        <v>936</v>
      </c>
      <c r="J2486" t="s">
        <v>60</v>
      </c>
      <c r="K2486" t="s">
        <v>193</v>
      </c>
      <c r="L2486" t="s">
        <v>62</v>
      </c>
      <c r="M2486" t="s">
        <v>193</v>
      </c>
      <c r="N2486" t="s">
        <v>937</v>
      </c>
      <c r="O2486" t="s">
        <v>938</v>
      </c>
      <c r="P2486">
        <v>-20.144727</v>
      </c>
      <c r="Q2486">
        <v>-44.919978999999998</v>
      </c>
      <c r="R2486" s="2" t="str">
        <f>HYPERLINK("https://www.google.com/maps?q=-20.1447270,-44.9199790","Abrir no Google Maps")</f>
        <v>Abrir no Google Maps</v>
      </c>
      <c r="S2486">
        <v>3</v>
      </c>
      <c r="T2486">
        <v>341.13992759662477</v>
      </c>
      <c r="U2486">
        <v>3</v>
      </c>
      <c r="V2486">
        <v>0.40945716288137529</v>
      </c>
      <c r="W2486">
        <v>1</v>
      </c>
      <c r="X2486">
        <v>0.40945716288137529</v>
      </c>
      <c r="Y2486">
        <v>508</v>
      </c>
      <c r="Z2486">
        <v>274.58151985101409</v>
      </c>
      <c r="AA2486">
        <v>198</v>
      </c>
      <c r="AB2486">
        <v>332</v>
      </c>
      <c r="AC2486">
        <v>536</v>
      </c>
      <c r="AD2486">
        <v>29.96</v>
      </c>
      <c r="AE2486">
        <v>542</v>
      </c>
      <c r="AF2486">
        <v>29</v>
      </c>
      <c r="AG2486">
        <v>174</v>
      </c>
      <c r="AH2486">
        <v>129</v>
      </c>
      <c r="AI2486">
        <v>5.35</v>
      </c>
      <c r="AJ2486">
        <v>32.1</v>
      </c>
      <c r="AK2486">
        <v>23.8</v>
      </c>
      <c r="AL2486">
        <v>-20.144771099999961</v>
      </c>
      <c r="AM2486">
        <v>-44.92003491095209</v>
      </c>
      <c r="AN2486">
        <v>-20.144771099999961</v>
      </c>
      <c r="AO2486">
        <v>-44.92003491095209</v>
      </c>
      <c r="AP2486">
        <v>-20.144727</v>
      </c>
      <c r="AQ2486">
        <v>-44.919978999999998</v>
      </c>
      <c r="AR2486">
        <v>7.6317760459664177</v>
      </c>
      <c r="AS2486" t="s">
        <v>65</v>
      </c>
      <c r="AT2486">
        <v>1</v>
      </c>
      <c r="AU2486" t="s">
        <v>939</v>
      </c>
      <c r="AV2486" t="s">
        <v>940</v>
      </c>
      <c r="AW2486" t="s">
        <v>60</v>
      </c>
      <c r="AX2486" t="s">
        <v>68</v>
      </c>
      <c r="AY2486" t="s">
        <v>69</v>
      </c>
      <c r="AZ2486" t="b">
        <v>1</v>
      </c>
    </row>
    <row r="2487" spans="1:52" x14ac:dyDescent="0.3">
      <c r="A2487" t="s">
        <v>52</v>
      </c>
      <c r="B2487" t="s">
        <v>53</v>
      </c>
      <c r="C2487" t="s">
        <v>54</v>
      </c>
      <c r="D2487" t="s">
        <v>55</v>
      </c>
      <c r="E2487" t="s">
        <v>2155</v>
      </c>
      <c r="F2487" t="s">
        <v>190</v>
      </c>
      <c r="G2487" t="s">
        <v>941</v>
      </c>
      <c r="H2487" t="s">
        <v>942</v>
      </c>
      <c r="I2487" t="s">
        <v>942</v>
      </c>
      <c r="J2487" t="s">
        <v>60</v>
      </c>
      <c r="K2487" t="s">
        <v>193</v>
      </c>
      <c r="L2487" t="s">
        <v>62</v>
      </c>
      <c r="M2487" t="s">
        <v>193</v>
      </c>
      <c r="N2487" t="s">
        <v>943</v>
      </c>
      <c r="O2487" t="s">
        <v>257</v>
      </c>
      <c r="P2487">
        <v>-20.142042</v>
      </c>
      <c r="Q2487">
        <v>-44.917906000000002</v>
      </c>
      <c r="R2487" s="2" t="str">
        <f>HYPERLINK("https://www.google.com/maps?q=-20.1420420,-44.9179060","Abrir no Google Maps")</f>
        <v>Abrir no Google Maps</v>
      </c>
      <c r="S2487">
        <v>3</v>
      </c>
      <c r="T2487">
        <v>373.14048213045743</v>
      </c>
      <c r="U2487">
        <v>3</v>
      </c>
      <c r="V2487">
        <v>0.40519739029255319</v>
      </c>
      <c r="W2487">
        <v>1</v>
      </c>
      <c r="X2487">
        <v>0.40519739029255319</v>
      </c>
      <c r="Y2487">
        <v>508</v>
      </c>
      <c r="Z2487">
        <v>271.52693841106122</v>
      </c>
      <c r="AA2487">
        <v>198</v>
      </c>
      <c r="AB2487">
        <v>332</v>
      </c>
      <c r="AC2487">
        <v>536</v>
      </c>
      <c r="AD2487">
        <v>29.96</v>
      </c>
      <c r="AE2487">
        <v>542</v>
      </c>
      <c r="AF2487">
        <v>29</v>
      </c>
      <c r="AG2487">
        <v>174</v>
      </c>
      <c r="AH2487">
        <v>129</v>
      </c>
      <c r="AI2487">
        <v>5.35</v>
      </c>
      <c r="AJ2487">
        <v>32.1</v>
      </c>
      <c r="AK2487">
        <v>23.8</v>
      </c>
      <c r="AL2487">
        <v>-20.14198914999994</v>
      </c>
      <c r="AM2487">
        <v>-44.918192618397512</v>
      </c>
      <c r="AN2487">
        <v>-20.14198914999994</v>
      </c>
      <c r="AO2487">
        <v>-44.918192618397512</v>
      </c>
      <c r="AP2487">
        <v>-20.142042</v>
      </c>
      <c r="AQ2487">
        <v>-44.917906000000002</v>
      </c>
      <c r="AR2487">
        <v>30.527314493281139</v>
      </c>
      <c r="AS2487" t="s">
        <v>65</v>
      </c>
      <c r="AT2487">
        <v>1</v>
      </c>
      <c r="AU2487" t="s">
        <v>944</v>
      </c>
      <c r="AV2487" t="s">
        <v>945</v>
      </c>
      <c r="AW2487" t="s">
        <v>60</v>
      </c>
      <c r="AX2487" t="s">
        <v>68</v>
      </c>
      <c r="AY2487" t="s">
        <v>69</v>
      </c>
      <c r="AZ2487" t="b">
        <v>1</v>
      </c>
    </row>
    <row r="2488" spans="1:52" x14ac:dyDescent="0.3">
      <c r="A2488" t="s">
        <v>52</v>
      </c>
      <c r="B2488" t="s">
        <v>53</v>
      </c>
      <c r="C2488" t="s">
        <v>54</v>
      </c>
      <c r="D2488" t="s">
        <v>55</v>
      </c>
      <c r="E2488" t="s">
        <v>2155</v>
      </c>
      <c r="F2488" t="s">
        <v>190</v>
      </c>
      <c r="G2488" t="s">
        <v>946</v>
      </c>
      <c r="H2488" t="s">
        <v>947</v>
      </c>
      <c r="I2488" t="s">
        <v>947</v>
      </c>
      <c r="J2488" t="s">
        <v>60</v>
      </c>
      <c r="K2488" t="s">
        <v>193</v>
      </c>
      <c r="L2488" t="s">
        <v>62</v>
      </c>
      <c r="M2488" t="s">
        <v>193</v>
      </c>
      <c r="N2488" t="s">
        <v>948</v>
      </c>
      <c r="O2488" t="s">
        <v>949</v>
      </c>
      <c r="P2488">
        <v>-20.141646000000001</v>
      </c>
      <c r="Q2488">
        <v>-44.920682999999997</v>
      </c>
      <c r="R2488" s="2" t="str">
        <f>HYPERLINK("https://www.google.com/maps?q=-20.1416460,-44.9206830","Abrir no Google Maps")</f>
        <v>Abrir no Google Maps</v>
      </c>
      <c r="S2488">
        <v>3</v>
      </c>
      <c r="T2488">
        <v>538.41742581974165</v>
      </c>
      <c r="U2488">
        <v>3</v>
      </c>
      <c r="V2488">
        <v>0.41342575691728239</v>
      </c>
      <c r="W2488">
        <v>1</v>
      </c>
      <c r="X2488">
        <v>0.41342575691728239</v>
      </c>
      <c r="Y2488">
        <v>508</v>
      </c>
      <c r="Z2488">
        <v>459.99626097363068</v>
      </c>
      <c r="AA2488">
        <v>198</v>
      </c>
      <c r="AB2488">
        <v>332</v>
      </c>
      <c r="AC2488">
        <v>536</v>
      </c>
      <c r="AD2488">
        <v>29.96</v>
      </c>
      <c r="AE2488">
        <v>542</v>
      </c>
      <c r="AF2488">
        <v>29</v>
      </c>
      <c r="AG2488">
        <v>174</v>
      </c>
      <c r="AH2488">
        <v>129</v>
      </c>
      <c r="AI2488">
        <v>5.35</v>
      </c>
      <c r="AJ2488">
        <v>32.1</v>
      </c>
      <c r="AK2488">
        <v>23.8</v>
      </c>
      <c r="AL2488">
        <v>-20.141877549999979</v>
      </c>
      <c r="AM2488">
        <v>-44.920658074778594</v>
      </c>
      <c r="AN2488">
        <v>-20.141877549999979</v>
      </c>
      <c r="AO2488">
        <v>-44.920658074778594</v>
      </c>
      <c r="AP2488">
        <v>-20.141646000000001</v>
      </c>
      <c r="AQ2488">
        <v>-44.920682999999997</v>
      </c>
      <c r="AR2488">
        <v>25.907443828287509</v>
      </c>
      <c r="AS2488" t="s">
        <v>65</v>
      </c>
      <c r="AT2488">
        <v>1</v>
      </c>
      <c r="AU2488" t="s">
        <v>950</v>
      </c>
      <c r="AV2488" t="s">
        <v>951</v>
      </c>
      <c r="AW2488" t="s">
        <v>60</v>
      </c>
      <c r="AX2488" t="s">
        <v>68</v>
      </c>
      <c r="AY2488" t="s">
        <v>69</v>
      </c>
      <c r="AZ2488" t="b">
        <v>1</v>
      </c>
    </row>
    <row r="2489" spans="1:52" x14ac:dyDescent="0.3">
      <c r="A2489" t="s">
        <v>52</v>
      </c>
      <c r="B2489" t="s">
        <v>53</v>
      </c>
      <c r="C2489" t="s">
        <v>54</v>
      </c>
      <c r="D2489" t="s">
        <v>55</v>
      </c>
      <c r="E2489" t="s">
        <v>2155</v>
      </c>
      <c r="F2489" t="s">
        <v>190</v>
      </c>
      <c r="G2489" t="s">
        <v>957</v>
      </c>
      <c r="H2489" t="s">
        <v>1750</v>
      </c>
      <c r="I2489" t="s">
        <v>1750</v>
      </c>
      <c r="J2489" t="s">
        <v>60</v>
      </c>
      <c r="K2489" t="s">
        <v>982</v>
      </c>
      <c r="L2489" t="s">
        <v>62</v>
      </c>
      <c r="M2489" t="s">
        <v>982</v>
      </c>
      <c r="N2489" t="s">
        <v>959</v>
      </c>
      <c r="O2489" t="s">
        <v>1751</v>
      </c>
      <c r="P2489">
        <v>-20.164285</v>
      </c>
      <c r="Q2489">
        <v>-44.857562000000001</v>
      </c>
      <c r="R2489" s="2" t="str">
        <f>HYPERLINK("https://www.google.com/maps?q=-20.1642850,-44.8575620","Abrir no Google Maps")</f>
        <v>Abrir no Google Maps</v>
      </c>
      <c r="S2489">
        <v>3</v>
      </c>
      <c r="T2489">
        <v>275.89108588842112</v>
      </c>
      <c r="U2489">
        <v>3</v>
      </c>
      <c r="V2489">
        <v>0.404950064965095</v>
      </c>
      <c r="W2489">
        <v>1</v>
      </c>
      <c r="X2489">
        <v>0.404950064965095</v>
      </c>
      <c r="Y2489">
        <v>491</v>
      </c>
      <c r="Z2489">
        <v>150.50906778215881</v>
      </c>
      <c r="AA2489">
        <v>198</v>
      </c>
      <c r="AB2489">
        <v>332</v>
      </c>
      <c r="AC2489">
        <v>536</v>
      </c>
      <c r="AD2489">
        <v>29.96</v>
      </c>
      <c r="AE2489">
        <v>542</v>
      </c>
      <c r="AF2489">
        <v>29</v>
      </c>
      <c r="AG2489">
        <v>174</v>
      </c>
      <c r="AH2489">
        <v>129</v>
      </c>
      <c r="AI2489">
        <v>5.35</v>
      </c>
      <c r="AJ2489">
        <v>32.1</v>
      </c>
      <c r="AK2489">
        <v>23.8</v>
      </c>
      <c r="AL2489">
        <v>-20.164333749999969</v>
      </c>
      <c r="AM2489">
        <v>-44.857568319333943</v>
      </c>
      <c r="AN2489">
        <v>-20.164333749999969</v>
      </c>
      <c r="AO2489">
        <v>-44.857568319333943</v>
      </c>
      <c r="AP2489">
        <v>-20.164285</v>
      </c>
      <c r="AQ2489">
        <v>-44.857562000000001</v>
      </c>
      <c r="AR2489">
        <v>5.4668788625524281</v>
      </c>
      <c r="AS2489" t="s">
        <v>65</v>
      </c>
      <c r="AT2489">
        <v>1</v>
      </c>
      <c r="AU2489" t="s">
        <v>1752</v>
      </c>
      <c r="AV2489" t="s">
        <v>1753</v>
      </c>
      <c r="AW2489" t="s">
        <v>60</v>
      </c>
      <c r="AX2489" t="s">
        <v>68</v>
      </c>
      <c r="AY2489" t="s">
        <v>69</v>
      </c>
      <c r="AZ2489" t="b">
        <v>1</v>
      </c>
    </row>
    <row r="2490" spans="1:52" x14ac:dyDescent="0.3">
      <c r="A2490" t="s">
        <v>52</v>
      </c>
      <c r="B2490" t="s">
        <v>53</v>
      </c>
      <c r="C2490" t="s">
        <v>54</v>
      </c>
      <c r="D2490" t="s">
        <v>55</v>
      </c>
      <c r="E2490" t="s">
        <v>2155</v>
      </c>
      <c r="F2490" t="s">
        <v>190</v>
      </c>
      <c r="G2490" t="s">
        <v>968</v>
      </c>
      <c r="H2490" t="s">
        <v>969</v>
      </c>
      <c r="I2490" t="s">
        <v>969</v>
      </c>
      <c r="J2490" t="s">
        <v>60</v>
      </c>
      <c r="K2490" t="s">
        <v>262</v>
      </c>
      <c r="L2490" t="s">
        <v>62</v>
      </c>
      <c r="M2490" t="s">
        <v>262</v>
      </c>
      <c r="N2490" t="s">
        <v>970</v>
      </c>
      <c r="O2490" t="s">
        <v>971</v>
      </c>
      <c r="P2490">
        <v>-20.163060999999999</v>
      </c>
      <c r="Q2490">
        <v>-44.854047000000001</v>
      </c>
      <c r="R2490" s="2" t="str">
        <f>HYPERLINK("https://www.google.com/maps?q=-20.1630610,-44.8540470","Abrir no Google Maps")</f>
        <v>Abrir no Google Maps</v>
      </c>
      <c r="S2490">
        <v>3</v>
      </c>
      <c r="T2490">
        <v>418.63868463200271</v>
      </c>
      <c r="U2490">
        <v>3</v>
      </c>
      <c r="V2490">
        <v>0.41709444444444449</v>
      </c>
      <c r="W2490">
        <v>1</v>
      </c>
      <c r="X2490">
        <v>0.41709444444444449</v>
      </c>
      <c r="Y2490">
        <v>491</v>
      </c>
      <c r="Z2490">
        <v>339.19068595447408</v>
      </c>
      <c r="AA2490">
        <v>198</v>
      </c>
      <c r="AB2490">
        <v>332</v>
      </c>
      <c r="AC2490">
        <v>536</v>
      </c>
      <c r="AD2490">
        <v>29.96</v>
      </c>
      <c r="AE2490">
        <v>542</v>
      </c>
      <c r="AF2490">
        <v>29</v>
      </c>
      <c r="AG2490">
        <v>174</v>
      </c>
      <c r="AH2490">
        <v>129</v>
      </c>
      <c r="AI2490">
        <v>5.35</v>
      </c>
      <c r="AJ2490">
        <v>32.1</v>
      </c>
      <c r="AK2490">
        <v>23.8</v>
      </c>
      <c r="AL2490">
        <v>-20.163118949999959</v>
      </c>
      <c r="AM2490">
        <v>-44.854106723889032</v>
      </c>
      <c r="AN2490">
        <v>-20.163118949999959</v>
      </c>
      <c r="AO2490">
        <v>-44.854106723889032</v>
      </c>
      <c r="AP2490">
        <v>-20.163060999999999</v>
      </c>
      <c r="AQ2490">
        <v>-44.854047000000001</v>
      </c>
      <c r="AR2490">
        <v>8.9758322935491428</v>
      </c>
      <c r="AS2490" t="s">
        <v>65</v>
      </c>
      <c r="AT2490">
        <v>1</v>
      </c>
      <c r="AU2490" t="s">
        <v>972</v>
      </c>
      <c r="AV2490" t="s">
        <v>973</v>
      </c>
      <c r="AW2490" t="s">
        <v>60</v>
      </c>
      <c r="AX2490" t="s">
        <v>68</v>
      </c>
      <c r="AY2490" t="s">
        <v>69</v>
      </c>
      <c r="AZ2490" t="b">
        <v>1</v>
      </c>
    </row>
    <row r="2491" spans="1:52" x14ac:dyDescent="0.3">
      <c r="A2491" t="s">
        <v>52</v>
      </c>
      <c r="B2491" t="s">
        <v>53</v>
      </c>
      <c r="C2491" t="s">
        <v>54</v>
      </c>
      <c r="D2491" t="s">
        <v>55</v>
      </c>
      <c r="E2491" t="s">
        <v>2155</v>
      </c>
      <c r="F2491" t="s">
        <v>190</v>
      </c>
      <c r="G2491" t="s">
        <v>968</v>
      </c>
      <c r="H2491" t="s">
        <v>1754</v>
      </c>
      <c r="I2491" t="s">
        <v>1754</v>
      </c>
      <c r="J2491" t="s">
        <v>60</v>
      </c>
      <c r="K2491" t="s">
        <v>262</v>
      </c>
      <c r="L2491" t="s">
        <v>62</v>
      </c>
      <c r="M2491" t="s">
        <v>262</v>
      </c>
      <c r="N2491" t="s">
        <v>970</v>
      </c>
      <c r="O2491" t="s">
        <v>1331</v>
      </c>
      <c r="P2491">
        <v>-20.161989999999999</v>
      </c>
      <c r="Q2491">
        <v>-44.857933000000003</v>
      </c>
      <c r="R2491" s="2" t="str">
        <f>HYPERLINK("https://www.google.com/maps?q=-20.1619900,-44.8579330","Abrir no Google Maps")</f>
        <v>Abrir no Google Maps</v>
      </c>
      <c r="S2491">
        <v>3</v>
      </c>
      <c r="T2491">
        <v>0</v>
      </c>
      <c r="U2491">
        <v>3</v>
      </c>
      <c r="V2491">
        <v>0.40247047374706951</v>
      </c>
      <c r="W2491">
        <v>1</v>
      </c>
      <c r="X2491">
        <v>0.40247047374706951</v>
      </c>
      <c r="Y2491">
        <v>491</v>
      </c>
      <c r="Z2491">
        <v>131.1697533741382</v>
      </c>
      <c r="AA2491">
        <v>198</v>
      </c>
      <c r="AB2491">
        <v>332</v>
      </c>
      <c r="AC2491">
        <v>536</v>
      </c>
      <c r="AD2491">
        <v>29.96</v>
      </c>
      <c r="AE2491">
        <v>542</v>
      </c>
      <c r="AF2491">
        <v>29</v>
      </c>
      <c r="AG2491">
        <v>174</v>
      </c>
      <c r="AH2491">
        <v>129</v>
      </c>
      <c r="AI2491">
        <v>5.35</v>
      </c>
      <c r="AJ2491">
        <v>32.1</v>
      </c>
      <c r="AK2491">
        <v>23.8</v>
      </c>
      <c r="AL2491">
        <v>-20.161858549999948</v>
      </c>
      <c r="AM2491">
        <v>-44.857884031071968</v>
      </c>
      <c r="AN2491">
        <v>-20.161858549999948</v>
      </c>
      <c r="AO2491">
        <v>-44.857884031071968</v>
      </c>
      <c r="AP2491">
        <v>-20.161989999999999</v>
      </c>
      <c r="AQ2491">
        <v>-44.857933000000003</v>
      </c>
      <c r="AR2491">
        <v>15.501957281614381</v>
      </c>
      <c r="AS2491" t="s">
        <v>65</v>
      </c>
      <c r="AT2491">
        <v>1</v>
      </c>
      <c r="AU2491" t="s">
        <v>1755</v>
      </c>
      <c r="AV2491" t="s">
        <v>1756</v>
      </c>
      <c r="AW2491" t="s">
        <v>60</v>
      </c>
      <c r="AX2491" t="s">
        <v>68</v>
      </c>
      <c r="AY2491" t="s">
        <v>69</v>
      </c>
      <c r="AZ2491" t="b">
        <v>1</v>
      </c>
    </row>
    <row r="2492" spans="1:52" x14ac:dyDescent="0.3">
      <c r="A2492" t="s">
        <v>52</v>
      </c>
      <c r="B2492" t="s">
        <v>53</v>
      </c>
      <c r="C2492" t="s">
        <v>54</v>
      </c>
      <c r="D2492" t="s">
        <v>55</v>
      </c>
      <c r="E2492" t="s">
        <v>2155</v>
      </c>
      <c r="F2492" t="s">
        <v>190</v>
      </c>
      <c r="G2492" t="s">
        <v>980</v>
      </c>
      <c r="H2492" t="s">
        <v>981</v>
      </c>
      <c r="I2492" t="s">
        <v>981</v>
      </c>
      <c r="J2492" t="s">
        <v>60</v>
      </c>
      <c r="K2492" t="s">
        <v>982</v>
      </c>
      <c r="L2492" t="s">
        <v>62</v>
      </c>
      <c r="M2492" t="s">
        <v>982</v>
      </c>
      <c r="N2492" t="s">
        <v>983</v>
      </c>
      <c r="O2492" t="s">
        <v>264</v>
      </c>
      <c r="P2492">
        <v>-20.166967</v>
      </c>
      <c r="Q2492">
        <v>-44.859355000000001</v>
      </c>
      <c r="R2492" s="2" t="str">
        <f>HYPERLINK("https://www.google.com/maps?q=-20.1669670,-44.8593550","Abrir no Google Maps")</f>
        <v>Abrir no Google Maps</v>
      </c>
      <c r="S2492">
        <v>3</v>
      </c>
      <c r="T2492">
        <v>577.54934865824521</v>
      </c>
      <c r="U2492">
        <v>3</v>
      </c>
      <c r="V2492">
        <v>0.41747339323116112</v>
      </c>
      <c r="W2492">
        <v>1</v>
      </c>
      <c r="X2492">
        <v>0.41747339323116112</v>
      </c>
      <c r="Y2492">
        <v>491</v>
      </c>
      <c r="Z2492">
        <v>433.59782149216659</v>
      </c>
      <c r="AA2492">
        <v>198</v>
      </c>
      <c r="AB2492">
        <v>332</v>
      </c>
      <c r="AC2492">
        <v>536</v>
      </c>
      <c r="AD2492">
        <v>29.96</v>
      </c>
      <c r="AE2492">
        <v>542</v>
      </c>
      <c r="AF2492">
        <v>29</v>
      </c>
      <c r="AG2492">
        <v>174</v>
      </c>
      <c r="AH2492">
        <v>129</v>
      </c>
      <c r="AI2492">
        <v>5.35</v>
      </c>
      <c r="AJ2492">
        <v>32.1</v>
      </c>
      <c r="AK2492">
        <v>23.8</v>
      </c>
      <c r="AL2492">
        <v>-20.16694954999997</v>
      </c>
      <c r="AM2492">
        <v>-44.859100695938046</v>
      </c>
      <c r="AN2492">
        <v>-20.16694954999997</v>
      </c>
      <c r="AO2492">
        <v>-44.859100695938046</v>
      </c>
      <c r="AP2492">
        <v>-20.166967</v>
      </c>
      <c r="AQ2492">
        <v>-44.859355000000001</v>
      </c>
      <c r="AR2492">
        <v>26.644458793923111</v>
      </c>
      <c r="AS2492" t="s">
        <v>65</v>
      </c>
      <c r="AT2492">
        <v>1</v>
      </c>
      <c r="AU2492" t="s">
        <v>984</v>
      </c>
      <c r="AV2492" t="s">
        <v>985</v>
      </c>
      <c r="AW2492" t="s">
        <v>60</v>
      </c>
      <c r="AX2492" t="s">
        <v>68</v>
      </c>
      <c r="AY2492" t="s">
        <v>69</v>
      </c>
      <c r="AZ2492" t="b">
        <v>1</v>
      </c>
    </row>
    <row r="2493" spans="1:52" x14ac:dyDescent="0.3">
      <c r="A2493" t="s">
        <v>52</v>
      </c>
      <c r="B2493" t="s">
        <v>53</v>
      </c>
      <c r="C2493" t="s">
        <v>54</v>
      </c>
      <c r="D2493" t="s">
        <v>55</v>
      </c>
      <c r="E2493" t="s">
        <v>2155</v>
      </c>
      <c r="F2493" t="s">
        <v>190</v>
      </c>
      <c r="G2493" t="s">
        <v>637</v>
      </c>
      <c r="H2493" t="s">
        <v>638</v>
      </c>
      <c r="I2493" t="s">
        <v>638</v>
      </c>
      <c r="J2493" t="s">
        <v>60</v>
      </c>
      <c r="K2493" t="s">
        <v>530</v>
      </c>
      <c r="L2493" t="s">
        <v>62</v>
      </c>
      <c r="M2493" t="s">
        <v>530</v>
      </c>
      <c r="N2493" t="s">
        <v>639</v>
      </c>
      <c r="O2493" t="s">
        <v>640</v>
      </c>
      <c r="P2493">
        <v>-20.143090000000001</v>
      </c>
      <c r="Q2493">
        <v>-44.888948999999997</v>
      </c>
      <c r="R2493" s="2" t="str">
        <f>HYPERLINK("https://www.google.com/maps?q=-20.1430900,-44.8889490","Abrir no Google Maps")</f>
        <v>Abrir no Google Maps</v>
      </c>
      <c r="S2493">
        <v>3</v>
      </c>
      <c r="T2493">
        <v>264.88903234377068</v>
      </c>
      <c r="U2493">
        <v>3</v>
      </c>
      <c r="V2493">
        <v>0.40970688585607939</v>
      </c>
      <c r="W2493">
        <v>1</v>
      </c>
      <c r="X2493">
        <v>0.40970688585607939</v>
      </c>
      <c r="Y2493">
        <v>478</v>
      </c>
      <c r="Z2493">
        <v>216.60886577490871</v>
      </c>
      <c r="AA2493">
        <v>198</v>
      </c>
      <c r="AB2493">
        <v>332</v>
      </c>
      <c r="AC2493">
        <v>536</v>
      </c>
      <c r="AD2493">
        <v>29.96</v>
      </c>
      <c r="AE2493">
        <v>542</v>
      </c>
      <c r="AF2493">
        <v>29</v>
      </c>
      <c r="AG2493">
        <v>174</v>
      </c>
      <c r="AH2493">
        <v>129</v>
      </c>
      <c r="AI2493">
        <v>5.35</v>
      </c>
      <c r="AJ2493">
        <v>32.1</v>
      </c>
      <c r="AK2493">
        <v>23.8</v>
      </c>
      <c r="AL2493">
        <v>-20.14306029999997</v>
      </c>
      <c r="AM2493">
        <v>-44.889053908028878</v>
      </c>
      <c r="AN2493">
        <v>-20.14306029999997</v>
      </c>
      <c r="AO2493">
        <v>-44.889053908028878</v>
      </c>
      <c r="AP2493">
        <v>-20.143090000000001</v>
      </c>
      <c r="AQ2493">
        <v>-44.888948999999997</v>
      </c>
      <c r="AR2493">
        <v>11.451710102611671</v>
      </c>
      <c r="AS2493" t="s">
        <v>65</v>
      </c>
      <c r="AT2493">
        <v>1</v>
      </c>
      <c r="AU2493" t="s">
        <v>641</v>
      </c>
      <c r="AV2493" t="s">
        <v>642</v>
      </c>
      <c r="AW2493" t="s">
        <v>60</v>
      </c>
      <c r="AX2493" t="s">
        <v>68</v>
      </c>
      <c r="AY2493" t="s">
        <v>69</v>
      </c>
      <c r="AZ2493" t="b">
        <v>1</v>
      </c>
    </row>
    <row r="2494" spans="1:52" x14ac:dyDescent="0.3">
      <c r="A2494" t="s">
        <v>52</v>
      </c>
      <c r="B2494" t="s">
        <v>53</v>
      </c>
      <c r="C2494" t="s">
        <v>54</v>
      </c>
      <c r="D2494" t="s">
        <v>55</v>
      </c>
      <c r="E2494" t="s">
        <v>2155</v>
      </c>
      <c r="F2494" t="s">
        <v>190</v>
      </c>
      <c r="G2494" t="s">
        <v>998</v>
      </c>
      <c r="H2494" t="s">
        <v>999</v>
      </c>
      <c r="I2494" t="s">
        <v>999</v>
      </c>
      <c r="J2494" t="s">
        <v>60</v>
      </c>
      <c r="K2494" t="s">
        <v>200</v>
      </c>
      <c r="L2494" t="s">
        <v>62</v>
      </c>
      <c r="M2494" t="s">
        <v>200</v>
      </c>
      <c r="N2494" t="s">
        <v>1000</v>
      </c>
      <c r="O2494" t="s">
        <v>1001</v>
      </c>
      <c r="P2494">
        <v>-20.128198000000001</v>
      </c>
      <c r="Q2494">
        <v>-44.897989000000003</v>
      </c>
      <c r="R2494" s="2" t="str">
        <f>HYPERLINK("https://www.google.com/maps?q=-20.1281980,-44.8979890","Abrir no Google Maps")</f>
        <v>Abrir no Google Maps</v>
      </c>
      <c r="S2494">
        <v>3</v>
      </c>
      <c r="T2494">
        <v>764.99274209740315</v>
      </c>
      <c r="U2494">
        <v>3</v>
      </c>
      <c r="V2494">
        <v>0.47290358744394628</v>
      </c>
      <c r="W2494">
        <v>0.85</v>
      </c>
      <c r="X2494">
        <v>0.4019680493273543</v>
      </c>
      <c r="Y2494">
        <v>435</v>
      </c>
      <c r="Z2494">
        <v>666.56370235056943</v>
      </c>
      <c r="AA2494">
        <v>198</v>
      </c>
      <c r="AB2494">
        <v>332</v>
      </c>
      <c r="AC2494">
        <v>536</v>
      </c>
      <c r="AD2494">
        <v>29.96</v>
      </c>
      <c r="AE2494">
        <v>542</v>
      </c>
      <c r="AF2494">
        <v>29</v>
      </c>
      <c r="AG2494">
        <v>174</v>
      </c>
      <c r="AH2494">
        <v>129</v>
      </c>
      <c r="AI2494">
        <v>5.35</v>
      </c>
      <c r="AJ2494">
        <v>32.1</v>
      </c>
      <c r="AK2494">
        <v>23.8</v>
      </c>
      <c r="AL2494">
        <v>-20.129869449999941</v>
      </c>
      <c r="AM2494">
        <v>-44.897878269453869</v>
      </c>
      <c r="AN2494">
        <v>-20.129869449999941</v>
      </c>
      <c r="AO2494">
        <v>-44.897878269453869</v>
      </c>
      <c r="AP2494">
        <v>-20.128198000000001</v>
      </c>
      <c r="AQ2494">
        <v>-44.897989000000003</v>
      </c>
      <c r="AR2494">
        <v>186.42541239811899</v>
      </c>
      <c r="AS2494" t="s">
        <v>65</v>
      </c>
      <c r="AT2494">
        <v>1</v>
      </c>
      <c r="AU2494" t="s">
        <v>1002</v>
      </c>
      <c r="AV2494" t="s">
        <v>1003</v>
      </c>
      <c r="AW2494" t="s">
        <v>60</v>
      </c>
      <c r="AX2494" t="s">
        <v>68</v>
      </c>
      <c r="AY2494" t="s">
        <v>69</v>
      </c>
      <c r="AZ2494" t="b">
        <v>1</v>
      </c>
    </row>
    <row r="2495" spans="1:52" x14ac:dyDescent="0.3">
      <c r="A2495" t="s">
        <v>52</v>
      </c>
      <c r="B2495" t="s">
        <v>53</v>
      </c>
      <c r="C2495" t="s">
        <v>54</v>
      </c>
      <c r="D2495" t="s">
        <v>55</v>
      </c>
      <c r="E2495" t="s">
        <v>2155</v>
      </c>
      <c r="F2495" t="s">
        <v>190</v>
      </c>
      <c r="G2495" t="s">
        <v>1014</v>
      </c>
      <c r="H2495" t="s">
        <v>1015</v>
      </c>
      <c r="I2495" t="s">
        <v>1015</v>
      </c>
      <c r="J2495" t="s">
        <v>60</v>
      </c>
      <c r="K2495" t="s">
        <v>1016</v>
      </c>
      <c r="L2495" t="s">
        <v>62</v>
      </c>
      <c r="M2495" t="s">
        <v>1016</v>
      </c>
      <c r="N2495" t="s">
        <v>1017</v>
      </c>
      <c r="O2495" t="s">
        <v>1018</v>
      </c>
      <c r="P2495">
        <v>-20.174461000000001</v>
      </c>
      <c r="Q2495">
        <v>-44.868710999999998</v>
      </c>
      <c r="R2495" s="2" t="str">
        <f>HYPERLINK("https://www.google.com/maps?q=-20.1744610,-44.8687110","Abrir no Google Maps")</f>
        <v>Abrir no Google Maps</v>
      </c>
      <c r="S2495">
        <v>3</v>
      </c>
      <c r="T2495">
        <v>435.39504742850158</v>
      </c>
      <c r="U2495">
        <v>3</v>
      </c>
      <c r="V2495">
        <v>0.42003941449837229</v>
      </c>
      <c r="W2495">
        <v>1</v>
      </c>
      <c r="X2495">
        <v>0.42003941449837229</v>
      </c>
      <c r="Y2495">
        <v>422</v>
      </c>
      <c r="Z2495">
        <v>264.99958639233438</v>
      </c>
      <c r="AA2495">
        <v>198</v>
      </c>
      <c r="AB2495">
        <v>332</v>
      </c>
      <c r="AC2495">
        <v>536</v>
      </c>
      <c r="AD2495">
        <v>29.96</v>
      </c>
      <c r="AE2495">
        <v>542</v>
      </c>
      <c r="AF2495">
        <v>29</v>
      </c>
      <c r="AG2495">
        <v>174</v>
      </c>
      <c r="AH2495">
        <v>129</v>
      </c>
      <c r="AI2495">
        <v>5.35</v>
      </c>
      <c r="AJ2495">
        <v>32.1</v>
      </c>
      <c r="AK2495">
        <v>23.8</v>
      </c>
      <c r="AL2495">
        <v>-20.174459749999951</v>
      </c>
      <c r="AM2495">
        <v>-44.868877789186897</v>
      </c>
      <c r="AN2495">
        <v>-20.174459749999951</v>
      </c>
      <c r="AO2495">
        <v>-44.868877789186897</v>
      </c>
      <c r="AP2495">
        <v>-20.174461000000001</v>
      </c>
      <c r="AQ2495">
        <v>-44.868710999999998</v>
      </c>
      <c r="AR2495">
        <v>17.42838555603738</v>
      </c>
      <c r="AS2495" t="s">
        <v>65</v>
      </c>
      <c r="AT2495">
        <v>1</v>
      </c>
      <c r="AU2495" t="s">
        <v>1019</v>
      </c>
      <c r="AV2495" t="s">
        <v>1020</v>
      </c>
      <c r="AW2495" t="s">
        <v>60</v>
      </c>
      <c r="AX2495" t="s">
        <v>68</v>
      </c>
      <c r="AY2495" t="s">
        <v>69</v>
      </c>
      <c r="AZ2495" t="b">
        <v>1</v>
      </c>
    </row>
    <row r="2496" spans="1:52" x14ac:dyDescent="0.3">
      <c r="A2496" t="s">
        <v>52</v>
      </c>
      <c r="B2496" t="s">
        <v>53</v>
      </c>
      <c r="C2496" t="s">
        <v>54</v>
      </c>
      <c r="D2496" t="s">
        <v>55</v>
      </c>
      <c r="E2496" t="s">
        <v>2155</v>
      </c>
      <c r="F2496" t="s">
        <v>190</v>
      </c>
      <c r="G2496" t="s">
        <v>1039</v>
      </c>
      <c r="H2496" t="s">
        <v>1040</v>
      </c>
      <c r="I2496" t="s">
        <v>1040</v>
      </c>
      <c r="J2496" t="s">
        <v>60</v>
      </c>
      <c r="K2496" t="s">
        <v>1023</v>
      </c>
      <c r="L2496" t="s">
        <v>62</v>
      </c>
      <c r="M2496" t="s">
        <v>1023</v>
      </c>
      <c r="N2496" t="s">
        <v>1041</v>
      </c>
      <c r="O2496" t="s">
        <v>738</v>
      </c>
      <c r="P2496">
        <v>-20.172284000000001</v>
      </c>
      <c r="Q2496">
        <v>-44.865392999999997</v>
      </c>
      <c r="R2496" s="2" t="str">
        <f>HYPERLINK("https://www.google.com/maps?q=-20.1722840,-44.8653930","Abrir no Google Maps")</f>
        <v>Abrir no Google Maps</v>
      </c>
      <c r="S2496">
        <v>3</v>
      </c>
      <c r="T2496">
        <v>0</v>
      </c>
      <c r="U2496">
        <v>3</v>
      </c>
      <c r="V2496">
        <v>0.41833392085767351</v>
      </c>
      <c r="W2496">
        <v>1</v>
      </c>
      <c r="X2496">
        <v>0.41833392085767351</v>
      </c>
      <c r="Y2496">
        <v>422</v>
      </c>
      <c r="Z2496">
        <v>202.96804500763591</v>
      </c>
      <c r="AA2496">
        <v>198</v>
      </c>
      <c r="AB2496">
        <v>332</v>
      </c>
      <c r="AC2496">
        <v>536</v>
      </c>
      <c r="AD2496">
        <v>29.96</v>
      </c>
      <c r="AE2496">
        <v>542</v>
      </c>
      <c r="AF2496">
        <v>29</v>
      </c>
      <c r="AG2496">
        <v>174</v>
      </c>
      <c r="AH2496">
        <v>129</v>
      </c>
      <c r="AI2496">
        <v>5.35</v>
      </c>
      <c r="AJ2496">
        <v>32.1</v>
      </c>
      <c r="AK2496">
        <v>23.8</v>
      </c>
      <c r="AL2496">
        <v>-20.17229514999994</v>
      </c>
      <c r="AM2496">
        <v>-44.865398249858011</v>
      </c>
      <c r="AN2496">
        <v>-20.17229514999994</v>
      </c>
      <c r="AO2496">
        <v>-44.865398249858011</v>
      </c>
      <c r="AP2496">
        <v>-20.172284000000001</v>
      </c>
      <c r="AQ2496">
        <v>-44.865392999999997</v>
      </c>
      <c r="AR2496">
        <v>1.357036084497409</v>
      </c>
      <c r="AS2496" t="s">
        <v>65</v>
      </c>
      <c r="AT2496">
        <v>1</v>
      </c>
      <c r="AU2496" t="s">
        <v>1042</v>
      </c>
      <c r="AV2496" t="s">
        <v>1043</v>
      </c>
      <c r="AW2496" t="s">
        <v>60</v>
      </c>
      <c r="AX2496" t="s">
        <v>68</v>
      </c>
      <c r="AY2496" t="s">
        <v>69</v>
      </c>
      <c r="AZ2496" t="b">
        <v>1</v>
      </c>
    </row>
    <row r="2497" spans="1:52" x14ac:dyDescent="0.3">
      <c r="A2497" t="s">
        <v>52</v>
      </c>
      <c r="B2497" t="s">
        <v>53</v>
      </c>
      <c r="C2497" t="s">
        <v>54</v>
      </c>
      <c r="D2497" t="s">
        <v>55</v>
      </c>
      <c r="E2497" t="s">
        <v>2155</v>
      </c>
      <c r="F2497" t="s">
        <v>190</v>
      </c>
      <c r="G2497" t="s">
        <v>734</v>
      </c>
      <c r="H2497" t="s">
        <v>1059</v>
      </c>
      <c r="I2497" t="s">
        <v>1059</v>
      </c>
      <c r="J2497" t="s">
        <v>60</v>
      </c>
      <c r="K2497" t="s">
        <v>736</v>
      </c>
      <c r="L2497" t="s">
        <v>62</v>
      </c>
      <c r="M2497" t="s">
        <v>736</v>
      </c>
      <c r="N2497" t="s">
        <v>1060</v>
      </c>
      <c r="O2497" t="s">
        <v>1061</v>
      </c>
      <c r="P2497">
        <v>-20.104700000000001</v>
      </c>
      <c r="Q2497">
        <v>-44.972988000000001</v>
      </c>
      <c r="R2497" s="2" t="str">
        <f>HYPERLINK("https://www.google.com/maps?q=-20.1047000,-44.9729880","Abrir no Google Maps")</f>
        <v>Abrir no Google Maps</v>
      </c>
      <c r="S2497">
        <v>3</v>
      </c>
      <c r="T2497">
        <v>0</v>
      </c>
      <c r="U2497">
        <v>3</v>
      </c>
      <c r="V2497">
        <v>0.40644930948718222</v>
      </c>
      <c r="W2497">
        <v>1</v>
      </c>
      <c r="X2497">
        <v>0.40644930948718222</v>
      </c>
      <c r="Y2497">
        <v>385</v>
      </c>
      <c r="Z2497">
        <v>130.87424695814411</v>
      </c>
      <c r="AA2497">
        <v>198</v>
      </c>
      <c r="AB2497">
        <v>332</v>
      </c>
      <c r="AC2497">
        <v>536</v>
      </c>
      <c r="AD2497">
        <v>29.96</v>
      </c>
      <c r="AE2497">
        <v>542</v>
      </c>
      <c r="AF2497">
        <v>29</v>
      </c>
      <c r="AG2497">
        <v>174</v>
      </c>
      <c r="AH2497">
        <v>129</v>
      </c>
      <c r="AI2497">
        <v>5.35</v>
      </c>
      <c r="AJ2497">
        <v>32.1</v>
      </c>
      <c r="AK2497">
        <v>23.8</v>
      </c>
      <c r="AL2497">
        <v>-20.104640449999948</v>
      </c>
      <c r="AM2497">
        <v>-44.972990283032523</v>
      </c>
      <c r="AN2497">
        <v>-20.104640449999948</v>
      </c>
      <c r="AO2497">
        <v>-44.972990283032509</v>
      </c>
      <c r="AP2497">
        <v>-20.104700000000001</v>
      </c>
      <c r="AQ2497">
        <v>-44.972988000000001</v>
      </c>
      <c r="AR2497">
        <v>6.6334007529191332</v>
      </c>
      <c r="AS2497" t="s">
        <v>65</v>
      </c>
      <c r="AT2497">
        <v>1</v>
      </c>
      <c r="AU2497" t="s">
        <v>1062</v>
      </c>
      <c r="AV2497" t="s">
        <v>1063</v>
      </c>
      <c r="AW2497" t="s">
        <v>60</v>
      </c>
      <c r="AX2497" t="s">
        <v>68</v>
      </c>
      <c r="AY2497" t="s">
        <v>69</v>
      </c>
      <c r="AZ2497" t="b">
        <v>1</v>
      </c>
    </row>
    <row r="2498" spans="1:52" x14ac:dyDescent="0.3">
      <c r="A2498" t="s">
        <v>52</v>
      </c>
      <c r="B2498" t="s">
        <v>53</v>
      </c>
      <c r="C2498" t="s">
        <v>54</v>
      </c>
      <c r="D2498" t="s">
        <v>55</v>
      </c>
      <c r="E2498" t="s">
        <v>2155</v>
      </c>
      <c r="F2498" t="s">
        <v>190</v>
      </c>
      <c r="G2498" t="s">
        <v>734</v>
      </c>
      <c r="H2498" t="s">
        <v>1064</v>
      </c>
      <c r="I2498" t="s">
        <v>1064</v>
      </c>
      <c r="J2498" t="s">
        <v>60</v>
      </c>
      <c r="K2498" t="s">
        <v>530</v>
      </c>
      <c r="L2498" t="s">
        <v>62</v>
      </c>
      <c r="M2498" t="s">
        <v>530</v>
      </c>
      <c r="N2498" t="s">
        <v>1060</v>
      </c>
      <c r="O2498" t="s">
        <v>1065</v>
      </c>
      <c r="P2498">
        <v>-20.102878</v>
      </c>
      <c r="Q2498">
        <v>-44.974297</v>
      </c>
      <c r="R2498" s="2" t="str">
        <f>HYPERLINK("https://www.google.com/maps?q=-20.1028780,-44.9742970","Abrir no Google Maps")</f>
        <v>Abrir no Google Maps</v>
      </c>
      <c r="S2498">
        <v>3</v>
      </c>
      <c r="T2498">
        <v>261.64376156647683</v>
      </c>
      <c r="U2498">
        <v>3</v>
      </c>
      <c r="V2498">
        <v>0.40583189295076771</v>
      </c>
      <c r="W2498">
        <v>1</v>
      </c>
      <c r="X2498">
        <v>0.40583189295076771</v>
      </c>
      <c r="Y2498">
        <v>385</v>
      </c>
      <c r="Z2498">
        <v>272.78931550338098</v>
      </c>
      <c r="AA2498">
        <v>198</v>
      </c>
      <c r="AB2498">
        <v>332</v>
      </c>
      <c r="AC2498">
        <v>536</v>
      </c>
      <c r="AD2498">
        <v>29.96</v>
      </c>
      <c r="AE2498">
        <v>542</v>
      </c>
      <c r="AF2498">
        <v>29</v>
      </c>
      <c r="AG2498">
        <v>174</v>
      </c>
      <c r="AH2498">
        <v>129</v>
      </c>
      <c r="AI2498">
        <v>5.35</v>
      </c>
      <c r="AJ2498">
        <v>32.1</v>
      </c>
      <c r="AK2498">
        <v>23.8</v>
      </c>
      <c r="AL2498">
        <v>-20.102914199999962</v>
      </c>
      <c r="AM2498">
        <v>-44.974700580584418</v>
      </c>
      <c r="AN2498">
        <v>-20.102914199999962</v>
      </c>
      <c r="AO2498">
        <v>-44.974700580584418</v>
      </c>
      <c r="AP2498">
        <v>-20.102878</v>
      </c>
      <c r="AQ2498">
        <v>-44.974297</v>
      </c>
      <c r="AR2498">
        <v>42.381535645626968</v>
      </c>
      <c r="AS2498" t="s">
        <v>65</v>
      </c>
      <c r="AT2498">
        <v>1</v>
      </c>
      <c r="AU2498" t="s">
        <v>1066</v>
      </c>
      <c r="AV2498" t="s">
        <v>1067</v>
      </c>
      <c r="AW2498" t="s">
        <v>60</v>
      </c>
      <c r="AX2498" t="s">
        <v>68</v>
      </c>
      <c r="AY2498" t="s">
        <v>69</v>
      </c>
      <c r="AZ2498" t="b">
        <v>1</v>
      </c>
    </row>
    <row r="2499" spans="1:52" x14ac:dyDescent="0.3">
      <c r="A2499" t="s">
        <v>52</v>
      </c>
      <c r="B2499" t="s">
        <v>53</v>
      </c>
      <c r="C2499" t="s">
        <v>54</v>
      </c>
      <c r="D2499" t="s">
        <v>55</v>
      </c>
      <c r="E2499" t="s">
        <v>2155</v>
      </c>
      <c r="F2499" t="s">
        <v>190</v>
      </c>
      <c r="G2499" t="s">
        <v>734</v>
      </c>
      <c r="H2499" t="s">
        <v>735</v>
      </c>
      <c r="I2499" t="s">
        <v>735</v>
      </c>
      <c r="J2499" t="s">
        <v>60</v>
      </c>
      <c r="K2499" t="s">
        <v>736</v>
      </c>
      <c r="L2499" t="s">
        <v>62</v>
      </c>
      <c r="M2499" t="s">
        <v>736</v>
      </c>
      <c r="N2499" t="s">
        <v>737</v>
      </c>
      <c r="O2499" t="s">
        <v>738</v>
      </c>
      <c r="P2499">
        <v>-20.113050000000001</v>
      </c>
      <c r="Q2499">
        <v>-44.977640999999998</v>
      </c>
      <c r="R2499" s="2" t="str">
        <f>HYPERLINK("https://www.google.com/maps?q=-20.1130500,-44.9776410","Abrir no Google Maps")</f>
        <v>Abrir no Google Maps</v>
      </c>
      <c r="S2499">
        <v>3</v>
      </c>
      <c r="T2499">
        <v>1057.751631532733</v>
      </c>
      <c r="U2499">
        <v>3</v>
      </c>
      <c r="V2499">
        <v>0.41239669793283401</v>
      </c>
      <c r="W2499">
        <v>1</v>
      </c>
      <c r="X2499">
        <v>0.41239669793283401</v>
      </c>
      <c r="Y2499">
        <v>385</v>
      </c>
      <c r="Z2499">
        <v>1001.029655866156</v>
      </c>
      <c r="AA2499">
        <v>198</v>
      </c>
      <c r="AB2499">
        <v>332</v>
      </c>
      <c r="AC2499">
        <v>536</v>
      </c>
      <c r="AD2499">
        <v>29.96</v>
      </c>
      <c r="AE2499">
        <v>542</v>
      </c>
      <c r="AF2499">
        <v>29</v>
      </c>
      <c r="AG2499">
        <v>174</v>
      </c>
      <c r="AH2499">
        <v>129</v>
      </c>
      <c r="AI2499">
        <v>5.35</v>
      </c>
      <c r="AJ2499">
        <v>32.1</v>
      </c>
      <c r="AK2499">
        <v>23.8</v>
      </c>
      <c r="AL2499">
        <v>-20.112977499999939</v>
      </c>
      <c r="AM2499">
        <v>-44.977939579895221</v>
      </c>
      <c r="AN2499">
        <v>-20.112977499999939</v>
      </c>
      <c r="AO2499">
        <v>-44.977939579895221</v>
      </c>
      <c r="AP2499">
        <v>-20.113050000000001</v>
      </c>
      <c r="AQ2499">
        <v>-44.977640999999998</v>
      </c>
      <c r="AR2499">
        <v>32.23754556505741</v>
      </c>
      <c r="AS2499" t="s">
        <v>65</v>
      </c>
      <c r="AT2499">
        <v>1</v>
      </c>
      <c r="AU2499" t="s">
        <v>739</v>
      </c>
      <c r="AV2499" t="s">
        <v>740</v>
      </c>
      <c r="AW2499" t="s">
        <v>60</v>
      </c>
      <c r="AX2499" t="s">
        <v>68</v>
      </c>
      <c r="AY2499" t="s">
        <v>69</v>
      </c>
      <c r="AZ2499" t="b">
        <v>1</v>
      </c>
    </row>
    <row r="2500" spans="1:52" x14ac:dyDescent="0.3">
      <c r="A2500" t="s">
        <v>52</v>
      </c>
      <c r="B2500" t="s">
        <v>53</v>
      </c>
      <c r="C2500" t="s">
        <v>54</v>
      </c>
      <c r="D2500" t="s">
        <v>55</v>
      </c>
      <c r="E2500" t="s">
        <v>2155</v>
      </c>
      <c r="F2500" t="s">
        <v>190</v>
      </c>
      <c r="G2500" t="s">
        <v>734</v>
      </c>
      <c r="H2500" t="s">
        <v>1068</v>
      </c>
      <c r="I2500" t="s">
        <v>1068</v>
      </c>
      <c r="J2500" t="s">
        <v>60</v>
      </c>
      <c r="K2500" t="s">
        <v>736</v>
      </c>
      <c r="L2500" t="s">
        <v>62</v>
      </c>
      <c r="M2500" t="s">
        <v>736</v>
      </c>
      <c r="N2500" t="s">
        <v>1069</v>
      </c>
      <c r="O2500" t="s">
        <v>1070</v>
      </c>
      <c r="P2500">
        <v>-20.110289999999999</v>
      </c>
      <c r="Q2500">
        <v>-44.981574000000002</v>
      </c>
      <c r="R2500" s="2" t="str">
        <f>HYPERLINK("https://www.google.com/maps?q=-20.1102900,-44.9815740","Abrir no Google Maps")</f>
        <v>Abrir no Google Maps</v>
      </c>
      <c r="S2500">
        <v>3</v>
      </c>
      <c r="T2500">
        <v>1081.8012210194311</v>
      </c>
      <c r="U2500">
        <v>3</v>
      </c>
      <c r="V2500">
        <v>0.41962821357562308</v>
      </c>
      <c r="W2500">
        <v>1</v>
      </c>
      <c r="X2500">
        <v>0.41962821357562308</v>
      </c>
      <c r="Y2500">
        <v>385</v>
      </c>
      <c r="Z2500">
        <v>1009.915869278438</v>
      </c>
      <c r="AA2500">
        <v>198</v>
      </c>
      <c r="AB2500">
        <v>332</v>
      </c>
      <c r="AC2500">
        <v>536</v>
      </c>
      <c r="AD2500">
        <v>29.96</v>
      </c>
      <c r="AE2500">
        <v>542</v>
      </c>
      <c r="AF2500">
        <v>29</v>
      </c>
      <c r="AG2500">
        <v>174</v>
      </c>
      <c r="AH2500">
        <v>129</v>
      </c>
      <c r="AI2500">
        <v>5.35</v>
      </c>
      <c r="AJ2500">
        <v>32.1</v>
      </c>
      <c r="AK2500">
        <v>23.8</v>
      </c>
      <c r="AL2500">
        <v>-20.110281699999941</v>
      </c>
      <c r="AM2500">
        <v>-44.98144213076452</v>
      </c>
      <c r="AN2500">
        <v>-20.110281699999941</v>
      </c>
      <c r="AO2500">
        <v>-44.98144213076452</v>
      </c>
      <c r="AP2500">
        <v>-20.110289999999999</v>
      </c>
      <c r="AQ2500">
        <v>-44.981574000000002</v>
      </c>
      <c r="AR2500">
        <v>13.815631287504781</v>
      </c>
      <c r="AS2500" t="s">
        <v>65</v>
      </c>
      <c r="AT2500">
        <v>1</v>
      </c>
      <c r="AU2500" t="s">
        <v>1071</v>
      </c>
      <c r="AV2500" t="s">
        <v>1072</v>
      </c>
      <c r="AW2500" t="s">
        <v>60</v>
      </c>
      <c r="AX2500" t="s">
        <v>68</v>
      </c>
      <c r="AY2500" t="s">
        <v>69</v>
      </c>
      <c r="AZ2500" t="b">
        <v>1</v>
      </c>
    </row>
    <row r="2501" spans="1:52" x14ac:dyDescent="0.3">
      <c r="A2501" t="s">
        <v>52</v>
      </c>
      <c r="B2501" t="s">
        <v>53</v>
      </c>
      <c r="C2501" t="s">
        <v>54</v>
      </c>
      <c r="D2501" t="s">
        <v>55</v>
      </c>
      <c r="E2501" t="s">
        <v>2155</v>
      </c>
      <c r="F2501" t="s">
        <v>190</v>
      </c>
      <c r="G2501" t="s">
        <v>1077</v>
      </c>
      <c r="H2501" t="s">
        <v>1078</v>
      </c>
      <c r="I2501" t="s">
        <v>1078</v>
      </c>
      <c r="J2501" t="s">
        <v>60</v>
      </c>
      <c r="K2501" t="s">
        <v>761</v>
      </c>
      <c r="L2501" t="s">
        <v>62</v>
      </c>
      <c r="M2501" t="s">
        <v>761</v>
      </c>
      <c r="N2501" t="s">
        <v>1079</v>
      </c>
      <c r="O2501" t="s">
        <v>1080</v>
      </c>
      <c r="P2501">
        <v>-20.119579999999999</v>
      </c>
      <c r="Q2501">
        <v>-44.855030999999997</v>
      </c>
      <c r="R2501" s="2" t="str">
        <f>HYPERLINK("https://www.google.com/maps?q=-20.1195800,-44.8550310","Abrir no Google Maps")</f>
        <v>Abrir no Google Maps</v>
      </c>
      <c r="S2501">
        <v>3</v>
      </c>
      <c r="T2501">
        <v>800.32085104254202</v>
      </c>
      <c r="U2501">
        <v>3</v>
      </c>
      <c r="V2501">
        <v>0.42054419066534271</v>
      </c>
      <c r="W2501">
        <v>1</v>
      </c>
      <c r="X2501">
        <v>0.42054419066534271</v>
      </c>
      <c r="Y2501">
        <v>350</v>
      </c>
      <c r="Z2501">
        <v>431.56201899267722</v>
      </c>
      <c r="AA2501">
        <v>198</v>
      </c>
      <c r="AB2501">
        <v>332</v>
      </c>
      <c r="AC2501">
        <v>536</v>
      </c>
      <c r="AD2501">
        <v>29.96</v>
      </c>
      <c r="AE2501">
        <v>542</v>
      </c>
      <c r="AF2501">
        <v>29</v>
      </c>
      <c r="AG2501">
        <v>174</v>
      </c>
      <c r="AH2501">
        <v>129</v>
      </c>
      <c r="AI2501">
        <v>5.35</v>
      </c>
      <c r="AJ2501">
        <v>32.1</v>
      </c>
      <c r="AK2501">
        <v>23.8</v>
      </c>
      <c r="AL2501">
        <v>-20.119806999999948</v>
      </c>
      <c r="AM2501">
        <v>-44.855901548391778</v>
      </c>
      <c r="AN2501">
        <v>-20.119806999999948</v>
      </c>
      <c r="AO2501">
        <v>-44.855901548391778</v>
      </c>
      <c r="AP2501">
        <v>-20.119579999999999</v>
      </c>
      <c r="AQ2501">
        <v>-44.855030999999997</v>
      </c>
      <c r="AR2501">
        <v>94.439141250965164</v>
      </c>
      <c r="AS2501" t="s">
        <v>65</v>
      </c>
      <c r="AT2501">
        <v>1</v>
      </c>
      <c r="AU2501" t="s">
        <v>1081</v>
      </c>
      <c r="AV2501" t="s">
        <v>1082</v>
      </c>
      <c r="AW2501" t="s">
        <v>60</v>
      </c>
      <c r="AX2501" t="s">
        <v>68</v>
      </c>
      <c r="AY2501" t="s">
        <v>69</v>
      </c>
      <c r="AZ2501" t="b">
        <v>1</v>
      </c>
    </row>
    <row r="2502" spans="1:52" x14ac:dyDescent="0.3">
      <c r="A2502" t="s">
        <v>52</v>
      </c>
      <c r="B2502" t="s">
        <v>53</v>
      </c>
      <c r="C2502" t="s">
        <v>54</v>
      </c>
      <c r="D2502" t="s">
        <v>55</v>
      </c>
      <c r="E2502" t="s">
        <v>2155</v>
      </c>
      <c r="F2502" t="s">
        <v>190</v>
      </c>
      <c r="G2502" t="s">
        <v>1094</v>
      </c>
      <c r="H2502" t="s">
        <v>1095</v>
      </c>
      <c r="I2502" t="s">
        <v>1095</v>
      </c>
      <c r="J2502" t="s">
        <v>60</v>
      </c>
      <c r="K2502" t="s">
        <v>761</v>
      </c>
      <c r="L2502" t="s">
        <v>62</v>
      </c>
      <c r="M2502" t="s">
        <v>761</v>
      </c>
      <c r="N2502" t="s">
        <v>1096</v>
      </c>
      <c r="O2502" t="s">
        <v>1070</v>
      </c>
      <c r="P2502">
        <v>-20.122955999999999</v>
      </c>
      <c r="Q2502">
        <v>-44.847842</v>
      </c>
      <c r="R2502" s="2" t="str">
        <f>HYPERLINK("https://www.google.com/maps?q=-20.1229560,-44.8478420","Abrir no Google Maps")</f>
        <v>Abrir no Google Maps</v>
      </c>
      <c r="S2502">
        <v>3</v>
      </c>
      <c r="T2502">
        <v>611.23533866709147</v>
      </c>
      <c r="U2502">
        <v>3</v>
      </c>
      <c r="V2502">
        <v>0.4076124705222211</v>
      </c>
      <c r="W2502">
        <v>1</v>
      </c>
      <c r="X2502">
        <v>0.4076124705222211</v>
      </c>
      <c r="Y2502">
        <v>350</v>
      </c>
      <c r="Z2502">
        <v>567.3129443637539</v>
      </c>
      <c r="AA2502">
        <v>198</v>
      </c>
      <c r="AB2502">
        <v>332</v>
      </c>
      <c r="AC2502">
        <v>536</v>
      </c>
      <c r="AD2502">
        <v>29.96</v>
      </c>
      <c r="AE2502">
        <v>542</v>
      </c>
      <c r="AF2502">
        <v>29</v>
      </c>
      <c r="AG2502">
        <v>174</v>
      </c>
      <c r="AH2502">
        <v>129</v>
      </c>
      <c r="AI2502">
        <v>5.35</v>
      </c>
      <c r="AJ2502">
        <v>32.1</v>
      </c>
      <c r="AK2502">
        <v>23.8</v>
      </c>
      <c r="AL2502">
        <v>-20.122854299999972</v>
      </c>
      <c r="AM2502">
        <v>-44.847862495675152</v>
      </c>
      <c r="AN2502">
        <v>-20.122854299999972</v>
      </c>
      <c r="AO2502">
        <v>-44.847862495675152</v>
      </c>
      <c r="AP2502">
        <v>-20.122955999999999</v>
      </c>
      <c r="AQ2502">
        <v>-44.847842</v>
      </c>
      <c r="AR2502">
        <v>11.522154044835331</v>
      </c>
      <c r="AS2502" t="s">
        <v>65</v>
      </c>
      <c r="AT2502">
        <v>1</v>
      </c>
      <c r="AU2502" t="s">
        <v>1097</v>
      </c>
      <c r="AV2502" t="s">
        <v>1098</v>
      </c>
      <c r="AW2502" t="s">
        <v>60</v>
      </c>
      <c r="AX2502" t="s">
        <v>68</v>
      </c>
      <c r="AY2502" t="s">
        <v>69</v>
      </c>
      <c r="AZ2502" t="b">
        <v>1</v>
      </c>
    </row>
    <row r="2503" spans="1:52" x14ac:dyDescent="0.3">
      <c r="A2503" t="s">
        <v>52</v>
      </c>
      <c r="B2503" t="s">
        <v>53</v>
      </c>
      <c r="C2503" t="s">
        <v>54</v>
      </c>
      <c r="D2503" t="s">
        <v>55</v>
      </c>
      <c r="E2503" t="s">
        <v>2155</v>
      </c>
      <c r="F2503" t="s">
        <v>190</v>
      </c>
      <c r="G2503" t="s">
        <v>773</v>
      </c>
      <c r="H2503" t="s">
        <v>774</v>
      </c>
      <c r="I2503" t="s">
        <v>774</v>
      </c>
      <c r="J2503" t="s">
        <v>60</v>
      </c>
      <c r="K2503" t="s">
        <v>775</v>
      </c>
      <c r="L2503" t="s">
        <v>62</v>
      </c>
      <c r="M2503" t="s">
        <v>775</v>
      </c>
      <c r="N2503" t="s">
        <v>776</v>
      </c>
      <c r="O2503" t="s">
        <v>250</v>
      </c>
      <c r="P2503">
        <v>-20.135413</v>
      </c>
      <c r="Q2503">
        <v>-44.868969999999997</v>
      </c>
      <c r="R2503" s="2" t="str">
        <f>HYPERLINK("https://www.google.com/maps?q=-20.1354130,-44.8689700","Abrir no Google Maps")</f>
        <v>Abrir no Google Maps</v>
      </c>
      <c r="S2503">
        <v>3</v>
      </c>
      <c r="T2503">
        <v>403.5118397372845</v>
      </c>
      <c r="U2503">
        <v>3</v>
      </c>
      <c r="V2503">
        <v>0.41707534562211979</v>
      </c>
      <c r="W2503">
        <v>1</v>
      </c>
      <c r="X2503">
        <v>0.41707534562211979</v>
      </c>
      <c r="Y2503">
        <v>332</v>
      </c>
      <c r="Z2503">
        <v>455.74614750795899</v>
      </c>
      <c r="AA2503">
        <v>198</v>
      </c>
      <c r="AB2503">
        <v>332</v>
      </c>
      <c r="AC2503">
        <v>536</v>
      </c>
      <c r="AD2503">
        <v>29.96</v>
      </c>
      <c r="AE2503">
        <v>542</v>
      </c>
      <c r="AF2503">
        <v>29</v>
      </c>
      <c r="AG2503">
        <v>174</v>
      </c>
      <c r="AH2503">
        <v>129</v>
      </c>
      <c r="AI2503">
        <v>5.35</v>
      </c>
      <c r="AJ2503">
        <v>32.1</v>
      </c>
      <c r="AK2503">
        <v>23.8</v>
      </c>
      <c r="AL2503">
        <v>-20.13561149999995</v>
      </c>
      <c r="AM2503">
        <v>-44.868817260088647</v>
      </c>
      <c r="AN2503">
        <v>-20.13561149999995</v>
      </c>
      <c r="AO2503">
        <v>-44.868817260088647</v>
      </c>
      <c r="AP2503">
        <v>-20.135413</v>
      </c>
      <c r="AQ2503">
        <v>-44.868969999999997</v>
      </c>
      <c r="AR2503">
        <v>27.26024434808955</v>
      </c>
      <c r="AS2503" t="s">
        <v>65</v>
      </c>
      <c r="AT2503">
        <v>1</v>
      </c>
      <c r="AU2503" t="s">
        <v>777</v>
      </c>
      <c r="AV2503" t="s">
        <v>778</v>
      </c>
      <c r="AW2503" t="s">
        <v>60</v>
      </c>
      <c r="AX2503" t="s">
        <v>68</v>
      </c>
      <c r="AY2503" t="s">
        <v>69</v>
      </c>
      <c r="AZ2503" t="b">
        <v>1</v>
      </c>
    </row>
    <row r="2504" spans="1:52" x14ac:dyDescent="0.3">
      <c r="A2504" t="s">
        <v>52</v>
      </c>
      <c r="B2504" t="s">
        <v>53</v>
      </c>
      <c r="C2504" t="s">
        <v>54</v>
      </c>
      <c r="D2504" t="s">
        <v>55</v>
      </c>
      <c r="E2504" t="s">
        <v>2155</v>
      </c>
      <c r="F2504" t="s">
        <v>190</v>
      </c>
      <c r="G2504" t="s">
        <v>1099</v>
      </c>
      <c r="H2504" t="s">
        <v>1100</v>
      </c>
      <c r="I2504" t="s">
        <v>1100</v>
      </c>
      <c r="J2504" t="s">
        <v>60</v>
      </c>
      <c r="K2504" t="s">
        <v>781</v>
      </c>
      <c r="L2504" t="s">
        <v>62</v>
      </c>
      <c r="M2504" t="s">
        <v>781</v>
      </c>
      <c r="N2504" t="s">
        <v>1101</v>
      </c>
      <c r="O2504" t="s">
        <v>235</v>
      </c>
      <c r="P2504">
        <v>-20.136811999999999</v>
      </c>
      <c r="Q2504">
        <v>-44.872388000000001</v>
      </c>
      <c r="R2504" s="2" t="str">
        <f>HYPERLINK("https://www.google.com/maps?q=-20.1368120,-44.8723880","Abrir no Google Maps")</f>
        <v>Abrir no Google Maps</v>
      </c>
      <c r="S2504">
        <v>3</v>
      </c>
      <c r="T2504">
        <v>0</v>
      </c>
      <c r="U2504">
        <v>3</v>
      </c>
      <c r="V2504">
        <v>0.4101645300769341</v>
      </c>
      <c r="W2504">
        <v>1</v>
      </c>
      <c r="X2504">
        <v>0.4101645300769341</v>
      </c>
      <c r="Y2504">
        <v>332</v>
      </c>
      <c r="Z2504">
        <v>121.0319884418894</v>
      </c>
      <c r="AA2504">
        <v>198</v>
      </c>
      <c r="AB2504">
        <v>332</v>
      </c>
      <c r="AC2504">
        <v>536</v>
      </c>
      <c r="AD2504">
        <v>29.96</v>
      </c>
      <c r="AE2504">
        <v>542</v>
      </c>
      <c r="AF2504">
        <v>29</v>
      </c>
      <c r="AG2504">
        <v>174</v>
      </c>
      <c r="AH2504">
        <v>129</v>
      </c>
      <c r="AI2504">
        <v>5.35</v>
      </c>
      <c r="AJ2504">
        <v>32.1</v>
      </c>
      <c r="AK2504">
        <v>23.8</v>
      </c>
      <c r="AL2504">
        <v>-20.136943099999939</v>
      </c>
      <c r="AM2504">
        <v>-44.872411407897907</v>
      </c>
      <c r="AN2504">
        <v>-20.136943099999939</v>
      </c>
      <c r="AO2504">
        <v>-44.872411407897907</v>
      </c>
      <c r="AP2504">
        <v>-20.136811999999999</v>
      </c>
      <c r="AQ2504">
        <v>-44.872388000000001</v>
      </c>
      <c r="AR2504">
        <v>14.79769012694347</v>
      </c>
      <c r="AS2504" t="s">
        <v>65</v>
      </c>
      <c r="AT2504">
        <v>1</v>
      </c>
      <c r="AU2504" t="s">
        <v>1102</v>
      </c>
      <c r="AV2504" t="s">
        <v>1103</v>
      </c>
      <c r="AW2504" t="s">
        <v>60</v>
      </c>
      <c r="AX2504" t="s">
        <v>68</v>
      </c>
      <c r="AY2504" t="s">
        <v>69</v>
      </c>
      <c r="AZ2504" t="b">
        <v>1</v>
      </c>
    </row>
    <row r="2505" spans="1:52" x14ac:dyDescent="0.3">
      <c r="A2505" t="s">
        <v>52</v>
      </c>
      <c r="B2505" t="s">
        <v>53</v>
      </c>
      <c r="C2505" t="s">
        <v>54</v>
      </c>
      <c r="D2505" t="s">
        <v>55</v>
      </c>
      <c r="E2505" t="s">
        <v>2155</v>
      </c>
      <c r="F2505" t="s">
        <v>190</v>
      </c>
      <c r="G2505" t="s">
        <v>1104</v>
      </c>
      <c r="H2505" t="s">
        <v>1105</v>
      </c>
      <c r="I2505" t="s">
        <v>1105</v>
      </c>
      <c r="J2505" t="s">
        <v>60</v>
      </c>
      <c r="K2505" t="s">
        <v>781</v>
      </c>
      <c r="L2505" t="s">
        <v>62</v>
      </c>
      <c r="M2505" t="s">
        <v>781</v>
      </c>
      <c r="N2505" t="s">
        <v>1106</v>
      </c>
      <c r="O2505" t="s">
        <v>1080</v>
      </c>
      <c r="P2505">
        <v>-20.138683</v>
      </c>
      <c r="Q2505">
        <v>-44.868507999999999</v>
      </c>
      <c r="R2505" s="2" t="str">
        <f>HYPERLINK("https://www.google.com/maps?q=-20.1386830,-44.8685080","Abrir no Google Maps")</f>
        <v>Abrir no Google Maps</v>
      </c>
      <c r="S2505">
        <v>3</v>
      </c>
      <c r="T2505">
        <v>450.88210098833099</v>
      </c>
      <c r="U2505">
        <v>3</v>
      </c>
      <c r="V2505">
        <v>0.40998236809355948</v>
      </c>
      <c r="W2505">
        <v>1</v>
      </c>
      <c r="X2505">
        <v>0.40998236809355948</v>
      </c>
      <c r="Y2505">
        <v>332</v>
      </c>
      <c r="Z2505">
        <v>601.27669048153166</v>
      </c>
      <c r="AA2505">
        <v>198</v>
      </c>
      <c r="AB2505">
        <v>332</v>
      </c>
      <c r="AC2505">
        <v>536</v>
      </c>
      <c r="AD2505">
        <v>29.96</v>
      </c>
      <c r="AE2505">
        <v>542</v>
      </c>
      <c r="AF2505">
        <v>29</v>
      </c>
      <c r="AG2505">
        <v>174</v>
      </c>
      <c r="AH2505">
        <v>129</v>
      </c>
      <c r="AI2505">
        <v>5.35</v>
      </c>
      <c r="AJ2505">
        <v>32.1</v>
      </c>
      <c r="AK2505">
        <v>23.8</v>
      </c>
      <c r="AL2505">
        <v>-20.13870544999995</v>
      </c>
      <c r="AM2505">
        <v>-44.868521774012208</v>
      </c>
      <c r="AN2505">
        <v>-20.138705449999939</v>
      </c>
      <c r="AO2505">
        <v>-44.868521774012208</v>
      </c>
      <c r="AP2505">
        <v>-20.138683</v>
      </c>
      <c r="AQ2505">
        <v>-44.868507999999999</v>
      </c>
      <c r="AR2505">
        <v>2.8841042175322271</v>
      </c>
      <c r="AS2505" t="s">
        <v>65</v>
      </c>
      <c r="AT2505">
        <v>1</v>
      </c>
      <c r="AU2505" t="s">
        <v>1107</v>
      </c>
      <c r="AV2505" t="s">
        <v>1108</v>
      </c>
      <c r="AW2505" t="s">
        <v>60</v>
      </c>
      <c r="AX2505" t="s">
        <v>68</v>
      </c>
      <c r="AY2505" t="s">
        <v>69</v>
      </c>
      <c r="AZ2505" t="b">
        <v>1</v>
      </c>
    </row>
    <row r="2506" spans="1:52" x14ac:dyDescent="0.3">
      <c r="A2506" t="s">
        <v>52</v>
      </c>
      <c r="B2506" t="s">
        <v>53</v>
      </c>
      <c r="C2506" t="s">
        <v>54</v>
      </c>
      <c r="D2506" t="s">
        <v>55</v>
      </c>
      <c r="E2506" t="s">
        <v>2155</v>
      </c>
      <c r="F2506" t="s">
        <v>190</v>
      </c>
      <c r="G2506" t="s">
        <v>1109</v>
      </c>
      <c r="H2506" t="s">
        <v>1110</v>
      </c>
      <c r="I2506" t="s">
        <v>1110</v>
      </c>
      <c r="J2506" t="s">
        <v>60</v>
      </c>
      <c r="K2506" t="s">
        <v>768</v>
      </c>
      <c r="L2506" t="s">
        <v>62</v>
      </c>
      <c r="M2506" t="s">
        <v>768</v>
      </c>
      <c r="N2506" t="s">
        <v>1111</v>
      </c>
      <c r="O2506" t="s">
        <v>1112</v>
      </c>
      <c r="P2506">
        <v>-20.135508000000002</v>
      </c>
      <c r="Q2506">
        <v>-44.871786999999998</v>
      </c>
      <c r="R2506" s="2" t="str">
        <f>HYPERLINK("https://www.google.com/maps?q=-20.1355080,-44.8717870","Abrir no Google Maps")</f>
        <v>Abrir no Google Maps</v>
      </c>
      <c r="S2506">
        <v>3</v>
      </c>
      <c r="T2506">
        <v>167.5382405548801</v>
      </c>
      <c r="U2506">
        <v>3</v>
      </c>
      <c r="V2506">
        <v>0.40180218368657677</v>
      </c>
      <c r="W2506">
        <v>1</v>
      </c>
      <c r="X2506">
        <v>0.40180218368657677</v>
      </c>
      <c r="Y2506">
        <v>332</v>
      </c>
      <c r="Z2506">
        <v>179.76671916562941</v>
      </c>
      <c r="AA2506">
        <v>198</v>
      </c>
      <c r="AB2506">
        <v>332</v>
      </c>
      <c r="AC2506">
        <v>536</v>
      </c>
      <c r="AD2506">
        <v>29.96</v>
      </c>
      <c r="AE2506">
        <v>542</v>
      </c>
      <c r="AF2506">
        <v>29</v>
      </c>
      <c r="AG2506">
        <v>174</v>
      </c>
      <c r="AH2506">
        <v>129</v>
      </c>
      <c r="AI2506">
        <v>5.35</v>
      </c>
      <c r="AJ2506">
        <v>32.1</v>
      </c>
      <c r="AK2506">
        <v>23.8</v>
      </c>
      <c r="AL2506">
        <v>-20.135532899999959</v>
      </c>
      <c r="AM2506">
        <v>-44.871828172735903</v>
      </c>
      <c r="AN2506">
        <v>-20.135532899999959</v>
      </c>
      <c r="AO2506">
        <v>-44.871828172735903</v>
      </c>
      <c r="AP2506">
        <v>-20.135508000000002</v>
      </c>
      <c r="AQ2506">
        <v>-44.871786999999998</v>
      </c>
      <c r="AR2506">
        <v>5.1186859635787858</v>
      </c>
      <c r="AS2506" t="s">
        <v>65</v>
      </c>
      <c r="AT2506">
        <v>1</v>
      </c>
      <c r="AU2506" t="s">
        <v>1113</v>
      </c>
      <c r="AV2506" t="s">
        <v>1114</v>
      </c>
      <c r="AW2506" t="s">
        <v>60</v>
      </c>
      <c r="AX2506" t="s">
        <v>68</v>
      </c>
      <c r="AY2506" t="s">
        <v>69</v>
      </c>
      <c r="AZ2506" t="b">
        <v>1</v>
      </c>
    </row>
    <row r="2507" spans="1:52" x14ac:dyDescent="0.3">
      <c r="A2507" t="s">
        <v>52</v>
      </c>
      <c r="B2507" t="s">
        <v>53</v>
      </c>
      <c r="C2507" t="s">
        <v>54</v>
      </c>
      <c r="D2507" t="s">
        <v>55</v>
      </c>
      <c r="E2507" t="s">
        <v>2155</v>
      </c>
      <c r="F2507" t="s">
        <v>190</v>
      </c>
      <c r="G2507" t="s">
        <v>1121</v>
      </c>
      <c r="H2507" t="s">
        <v>1122</v>
      </c>
      <c r="I2507" t="s">
        <v>1122</v>
      </c>
      <c r="J2507" t="s">
        <v>60</v>
      </c>
      <c r="K2507" t="s">
        <v>1123</v>
      </c>
      <c r="L2507" t="s">
        <v>62</v>
      </c>
      <c r="M2507" t="s">
        <v>1123</v>
      </c>
      <c r="N2507" t="s">
        <v>1124</v>
      </c>
      <c r="O2507" t="s">
        <v>74</v>
      </c>
      <c r="P2507">
        <v>-20.105318</v>
      </c>
      <c r="Q2507">
        <v>-44.879216</v>
      </c>
      <c r="R2507" s="2" t="str">
        <f>HYPERLINK("https://www.google.com/maps?q=-20.1053180,-44.8792160","Abrir no Google Maps")</f>
        <v>Abrir no Google Maps</v>
      </c>
      <c r="S2507">
        <v>3</v>
      </c>
      <c r="T2507">
        <v>318.57668516180911</v>
      </c>
      <c r="U2507">
        <v>3</v>
      </c>
      <c r="V2507">
        <v>0.42104873644464569</v>
      </c>
      <c r="W2507">
        <v>1</v>
      </c>
      <c r="X2507">
        <v>0.42104873644464569</v>
      </c>
      <c r="Y2507">
        <v>314</v>
      </c>
      <c r="Z2507">
        <v>207.50829098881519</v>
      </c>
      <c r="AA2507">
        <v>198</v>
      </c>
      <c r="AB2507">
        <v>332</v>
      </c>
      <c r="AC2507">
        <v>536</v>
      </c>
      <c r="AD2507">
        <v>29.96</v>
      </c>
      <c r="AE2507">
        <v>542</v>
      </c>
      <c r="AF2507">
        <v>29</v>
      </c>
      <c r="AG2507">
        <v>174</v>
      </c>
      <c r="AH2507">
        <v>129</v>
      </c>
      <c r="AI2507">
        <v>5.35</v>
      </c>
      <c r="AJ2507">
        <v>32.1</v>
      </c>
      <c r="AK2507">
        <v>23.8</v>
      </c>
      <c r="AL2507">
        <v>-20.105361049999939</v>
      </c>
      <c r="AM2507">
        <v>-44.87924613740698</v>
      </c>
      <c r="AN2507">
        <v>-20.105361049999939</v>
      </c>
      <c r="AO2507">
        <v>-44.87924613740698</v>
      </c>
      <c r="AP2507">
        <v>-20.105318</v>
      </c>
      <c r="AQ2507">
        <v>-44.879216</v>
      </c>
      <c r="AR2507">
        <v>5.7351338374851242</v>
      </c>
      <c r="AS2507" t="s">
        <v>65</v>
      </c>
      <c r="AT2507">
        <v>1</v>
      </c>
      <c r="AU2507" t="s">
        <v>1125</v>
      </c>
      <c r="AV2507" t="s">
        <v>1126</v>
      </c>
      <c r="AW2507" t="s">
        <v>60</v>
      </c>
      <c r="AX2507" t="s">
        <v>68</v>
      </c>
      <c r="AY2507" t="s">
        <v>69</v>
      </c>
      <c r="AZ2507" t="b">
        <v>1</v>
      </c>
    </row>
    <row r="2508" spans="1:52" x14ac:dyDescent="0.3">
      <c r="A2508" t="s">
        <v>52</v>
      </c>
      <c r="B2508" t="s">
        <v>53</v>
      </c>
      <c r="C2508" t="s">
        <v>54</v>
      </c>
      <c r="D2508" t="s">
        <v>55</v>
      </c>
      <c r="E2508" t="s">
        <v>2155</v>
      </c>
      <c r="F2508" t="s">
        <v>190</v>
      </c>
      <c r="G2508" t="s">
        <v>1133</v>
      </c>
      <c r="H2508" t="s">
        <v>1144</v>
      </c>
      <c r="I2508" t="s">
        <v>1144</v>
      </c>
      <c r="J2508" t="s">
        <v>60</v>
      </c>
      <c r="K2508" t="s">
        <v>1123</v>
      </c>
      <c r="L2508" t="s">
        <v>62</v>
      </c>
      <c r="M2508" t="s">
        <v>1123</v>
      </c>
      <c r="N2508" t="s">
        <v>1135</v>
      </c>
      <c r="O2508" t="s">
        <v>907</v>
      </c>
      <c r="P2508">
        <v>-20.100351</v>
      </c>
      <c r="Q2508">
        <v>-44.878037999999997</v>
      </c>
      <c r="R2508" s="2" t="str">
        <f>HYPERLINK("https://www.google.com/maps?q=-20.1003510,-44.8780380","Abrir no Google Maps")</f>
        <v>Abrir no Google Maps</v>
      </c>
      <c r="S2508">
        <v>3</v>
      </c>
      <c r="T2508">
        <v>665.56785712469116</v>
      </c>
      <c r="U2508">
        <v>3</v>
      </c>
      <c r="V2508">
        <v>0.41871255339672042</v>
      </c>
      <c r="W2508">
        <v>1</v>
      </c>
      <c r="X2508">
        <v>0.41871255339672042</v>
      </c>
      <c r="Y2508">
        <v>314</v>
      </c>
      <c r="Z2508">
        <v>584.8532299266725</v>
      </c>
      <c r="AA2508">
        <v>198</v>
      </c>
      <c r="AB2508">
        <v>332</v>
      </c>
      <c r="AC2508">
        <v>536</v>
      </c>
      <c r="AD2508">
        <v>29.96</v>
      </c>
      <c r="AE2508">
        <v>542</v>
      </c>
      <c r="AF2508">
        <v>29</v>
      </c>
      <c r="AG2508">
        <v>174</v>
      </c>
      <c r="AH2508">
        <v>129</v>
      </c>
      <c r="AI2508">
        <v>5.35</v>
      </c>
      <c r="AJ2508">
        <v>32.1</v>
      </c>
      <c r="AK2508">
        <v>23.8</v>
      </c>
      <c r="AL2508">
        <v>-20.100420499999959</v>
      </c>
      <c r="AM2508">
        <v>-44.878125332575927</v>
      </c>
      <c r="AN2508">
        <v>-20.100420499999959</v>
      </c>
      <c r="AO2508">
        <v>-44.878125332575927</v>
      </c>
      <c r="AP2508">
        <v>-20.100351</v>
      </c>
      <c r="AQ2508">
        <v>-44.878037999999997</v>
      </c>
      <c r="AR2508">
        <v>11.966993892024719</v>
      </c>
      <c r="AS2508" t="s">
        <v>65</v>
      </c>
      <c r="AT2508">
        <v>1</v>
      </c>
      <c r="AU2508" t="s">
        <v>1145</v>
      </c>
      <c r="AV2508" t="s">
        <v>1146</v>
      </c>
      <c r="AW2508" t="s">
        <v>60</v>
      </c>
      <c r="AX2508" t="s">
        <v>68</v>
      </c>
      <c r="AY2508" t="s">
        <v>69</v>
      </c>
      <c r="AZ2508" t="b">
        <v>1</v>
      </c>
    </row>
    <row r="2509" spans="1:52" x14ac:dyDescent="0.3">
      <c r="A2509" t="s">
        <v>52</v>
      </c>
      <c r="B2509" t="s">
        <v>53</v>
      </c>
      <c r="C2509" t="s">
        <v>54</v>
      </c>
      <c r="D2509" t="s">
        <v>55</v>
      </c>
      <c r="E2509" t="s">
        <v>2155</v>
      </c>
      <c r="F2509" t="s">
        <v>190</v>
      </c>
      <c r="G2509" t="s">
        <v>1763</v>
      </c>
      <c r="H2509" t="s">
        <v>1764</v>
      </c>
      <c r="I2509" t="s">
        <v>1764</v>
      </c>
      <c r="J2509" t="s">
        <v>60</v>
      </c>
      <c r="K2509" t="s">
        <v>798</v>
      </c>
      <c r="L2509" t="s">
        <v>62</v>
      </c>
      <c r="M2509" t="s">
        <v>798</v>
      </c>
      <c r="N2509" t="s">
        <v>1765</v>
      </c>
      <c r="O2509" t="s">
        <v>1766</v>
      </c>
      <c r="P2509">
        <v>-20.111158</v>
      </c>
      <c r="Q2509">
        <v>-44.901231000000003</v>
      </c>
      <c r="R2509" s="2" t="str">
        <f>HYPERLINK("https://www.google.com/maps?q=-20.1111580,-44.9012310","Abrir no Google Maps")</f>
        <v>Abrir no Google Maps</v>
      </c>
      <c r="S2509">
        <v>3</v>
      </c>
      <c r="T2509">
        <v>0</v>
      </c>
      <c r="U2509">
        <v>3</v>
      </c>
      <c r="V2509">
        <v>0.40733081516095532</v>
      </c>
      <c r="W2509">
        <v>1</v>
      </c>
      <c r="X2509">
        <v>0.40733081516095532</v>
      </c>
      <c r="Y2509">
        <v>300</v>
      </c>
      <c r="Z2509">
        <v>159.5707781627477</v>
      </c>
      <c r="AA2509">
        <v>198</v>
      </c>
      <c r="AB2509">
        <v>332</v>
      </c>
      <c r="AC2509">
        <v>536</v>
      </c>
      <c r="AD2509">
        <v>29.96</v>
      </c>
      <c r="AE2509">
        <v>542</v>
      </c>
      <c r="AF2509">
        <v>29</v>
      </c>
      <c r="AG2509">
        <v>174</v>
      </c>
      <c r="AH2509">
        <v>129</v>
      </c>
      <c r="AI2509">
        <v>5.35</v>
      </c>
      <c r="AJ2509">
        <v>32.1</v>
      </c>
      <c r="AK2509">
        <v>23.8</v>
      </c>
      <c r="AL2509">
        <v>-20.111381299999941</v>
      </c>
      <c r="AM2509">
        <v>-44.90110111260114</v>
      </c>
      <c r="AN2509">
        <v>-20.111381299999941</v>
      </c>
      <c r="AO2509">
        <v>-44.90110111260114</v>
      </c>
      <c r="AP2509">
        <v>-20.111158</v>
      </c>
      <c r="AQ2509">
        <v>-44.901231000000003</v>
      </c>
      <c r="AR2509">
        <v>28.32410367036935</v>
      </c>
      <c r="AS2509" t="s">
        <v>65</v>
      </c>
      <c r="AT2509">
        <v>1</v>
      </c>
      <c r="AU2509" t="s">
        <v>1767</v>
      </c>
      <c r="AV2509" t="s">
        <v>1768</v>
      </c>
      <c r="AW2509" t="s">
        <v>60</v>
      </c>
      <c r="AX2509" t="s">
        <v>68</v>
      </c>
      <c r="AY2509" t="s">
        <v>69</v>
      </c>
      <c r="AZ2509" t="b">
        <v>1</v>
      </c>
    </row>
    <row r="2510" spans="1:52" x14ac:dyDescent="0.3">
      <c r="A2510" t="s">
        <v>52</v>
      </c>
      <c r="B2510" t="s">
        <v>53</v>
      </c>
      <c r="C2510" t="s">
        <v>54</v>
      </c>
      <c r="D2510" t="s">
        <v>55</v>
      </c>
      <c r="E2510" t="s">
        <v>2155</v>
      </c>
      <c r="F2510" t="s">
        <v>190</v>
      </c>
      <c r="G2510" t="s">
        <v>1769</v>
      </c>
      <c r="H2510" t="s">
        <v>1770</v>
      </c>
      <c r="I2510" t="s">
        <v>1770</v>
      </c>
      <c r="J2510" t="s">
        <v>60</v>
      </c>
      <c r="K2510" t="s">
        <v>791</v>
      </c>
      <c r="L2510" t="s">
        <v>62</v>
      </c>
      <c r="M2510" t="s">
        <v>791</v>
      </c>
      <c r="N2510" t="s">
        <v>1771</v>
      </c>
      <c r="O2510" t="s">
        <v>494</v>
      </c>
      <c r="P2510">
        <v>-20.108464999999999</v>
      </c>
      <c r="Q2510">
        <v>-44.902169000000001</v>
      </c>
      <c r="R2510" s="2" t="str">
        <f>HYPERLINK("https://www.google.com/maps?q=-20.1084650,-44.9021690","Abrir no Google Maps")</f>
        <v>Abrir no Google Maps</v>
      </c>
      <c r="S2510">
        <v>3</v>
      </c>
      <c r="T2510">
        <v>332.55452480320798</v>
      </c>
      <c r="U2510">
        <v>3</v>
      </c>
      <c r="V2510">
        <v>0.4187565964261018</v>
      </c>
      <c r="W2510">
        <v>1</v>
      </c>
      <c r="X2510">
        <v>0.4187565964261018</v>
      </c>
      <c r="Y2510">
        <v>300</v>
      </c>
      <c r="Z2510">
        <v>139.01495543278119</v>
      </c>
      <c r="AA2510">
        <v>198</v>
      </c>
      <c r="AB2510">
        <v>332</v>
      </c>
      <c r="AC2510">
        <v>536</v>
      </c>
      <c r="AD2510">
        <v>29.96</v>
      </c>
      <c r="AE2510">
        <v>542</v>
      </c>
      <c r="AF2510">
        <v>29</v>
      </c>
      <c r="AG2510">
        <v>174</v>
      </c>
      <c r="AH2510">
        <v>129</v>
      </c>
      <c r="AI2510">
        <v>5.35</v>
      </c>
      <c r="AJ2510">
        <v>32.1</v>
      </c>
      <c r="AK2510">
        <v>23.8</v>
      </c>
      <c r="AL2510">
        <v>-20.108420149999969</v>
      </c>
      <c r="AM2510">
        <v>-44.90164352007664</v>
      </c>
      <c r="AN2510">
        <v>-20.108420149999969</v>
      </c>
      <c r="AO2510">
        <v>-44.90164352007664</v>
      </c>
      <c r="AP2510">
        <v>-20.108464999999999</v>
      </c>
      <c r="AQ2510">
        <v>-44.902169000000001</v>
      </c>
      <c r="AR2510">
        <v>55.157130612493773</v>
      </c>
      <c r="AS2510" t="s">
        <v>65</v>
      </c>
      <c r="AT2510">
        <v>1</v>
      </c>
      <c r="AU2510" t="s">
        <v>1772</v>
      </c>
      <c r="AV2510" t="s">
        <v>1773</v>
      </c>
      <c r="AW2510" t="s">
        <v>60</v>
      </c>
      <c r="AX2510" t="s">
        <v>68</v>
      </c>
      <c r="AY2510" t="s">
        <v>69</v>
      </c>
      <c r="AZ2510" t="b">
        <v>1</v>
      </c>
    </row>
    <row r="2511" spans="1:52" x14ac:dyDescent="0.3">
      <c r="A2511" t="s">
        <v>52</v>
      </c>
      <c r="B2511" t="s">
        <v>53</v>
      </c>
      <c r="C2511" t="s">
        <v>54</v>
      </c>
      <c r="D2511" t="s">
        <v>55</v>
      </c>
      <c r="E2511" t="s">
        <v>2155</v>
      </c>
      <c r="F2511" t="s">
        <v>190</v>
      </c>
      <c r="G2511" t="s">
        <v>1163</v>
      </c>
      <c r="H2511" t="s">
        <v>1164</v>
      </c>
      <c r="I2511" t="s">
        <v>1164</v>
      </c>
      <c r="J2511" t="s">
        <v>60</v>
      </c>
      <c r="K2511" t="s">
        <v>1165</v>
      </c>
      <c r="L2511" t="s">
        <v>62</v>
      </c>
      <c r="M2511" t="s">
        <v>1165</v>
      </c>
      <c r="N2511" t="s">
        <v>1166</v>
      </c>
      <c r="O2511" t="s">
        <v>1167</v>
      </c>
      <c r="P2511">
        <v>-20.155543000000002</v>
      </c>
      <c r="Q2511">
        <v>-44.863444000000001</v>
      </c>
      <c r="R2511" s="2" t="str">
        <f>HYPERLINK("https://www.google.com/maps?q=-20.1555430,-44.8634440","Abrir no Google Maps")</f>
        <v>Abrir no Google Maps</v>
      </c>
      <c r="S2511">
        <v>3</v>
      </c>
      <c r="T2511">
        <v>314.02353400254742</v>
      </c>
      <c r="U2511">
        <v>3</v>
      </c>
      <c r="V2511">
        <v>0.41556013986013979</v>
      </c>
      <c r="W2511">
        <v>1</v>
      </c>
      <c r="X2511">
        <v>0.41556013986013979</v>
      </c>
      <c r="Y2511">
        <v>264</v>
      </c>
      <c r="Z2511">
        <v>282.65065866463459</v>
      </c>
      <c r="AA2511">
        <v>198</v>
      </c>
      <c r="AB2511">
        <v>332</v>
      </c>
      <c r="AC2511">
        <v>536</v>
      </c>
      <c r="AD2511">
        <v>29.96</v>
      </c>
      <c r="AE2511">
        <v>542</v>
      </c>
      <c r="AF2511">
        <v>29</v>
      </c>
      <c r="AG2511">
        <v>174</v>
      </c>
      <c r="AH2511">
        <v>129</v>
      </c>
      <c r="AI2511">
        <v>5.35</v>
      </c>
      <c r="AJ2511">
        <v>32.1</v>
      </c>
      <c r="AK2511">
        <v>23.8</v>
      </c>
      <c r="AL2511">
        <v>-20.155436449999939</v>
      </c>
      <c r="AM2511">
        <v>-44.863557722691183</v>
      </c>
      <c r="AN2511">
        <v>-20.155436449999939</v>
      </c>
      <c r="AO2511">
        <v>-44.863557722691183</v>
      </c>
      <c r="AP2511">
        <v>-20.155543000000002</v>
      </c>
      <c r="AQ2511">
        <v>-44.863444000000001</v>
      </c>
      <c r="AR2511">
        <v>16.790610674079979</v>
      </c>
      <c r="AS2511" t="s">
        <v>65</v>
      </c>
      <c r="AT2511">
        <v>1</v>
      </c>
      <c r="AU2511" t="s">
        <v>1168</v>
      </c>
      <c r="AV2511" t="s">
        <v>1169</v>
      </c>
      <c r="AW2511" t="s">
        <v>60</v>
      </c>
      <c r="AX2511" t="s">
        <v>68</v>
      </c>
      <c r="AY2511" t="s">
        <v>69</v>
      </c>
      <c r="AZ2511" t="b">
        <v>1</v>
      </c>
    </row>
    <row r="2512" spans="1:52" x14ac:dyDescent="0.3">
      <c r="A2512" t="s">
        <v>52</v>
      </c>
      <c r="B2512" t="s">
        <v>53</v>
      </c>
      <c r="C2512" t="s">
        <v>54</v>
      </c>
      <c r="D2512" t="s">
        <v>55</v>
      </c>
      <c r="E2512" t="s">
        <v>2155</v>
      </c>
      <c r="F2512" t="s">
        <v>190</v>
      </c>
      <c r="G2512" t="s">
        <v>1785</v>
      </c>
      <c r="H2512" t="s">
        <v>1786</v>
      </c>
      <c r="I2512" t="s">
        <v>1786</v>
      </c>
      <c r="J2512" t="s">
        <v>60</v>
      </c>
      <c r="K2512" t="s">
        <v>323</v>
      </c>
      <c r="L2512" t="s">
        <v>62</v>
      </c>
      <c r="M2512" t="s">
        <v>323</v>
      </c>
      <c r="N2512" t="s">
        <v>1787</v>
      </c>
      <c r="O2512" t="s">
        <v>166</v>
      </c>
      <c r="P2512">
        <v>-20.150456999999999</v>
      </c>
      <c r="Q2512">
        <v>-44.859959000000003</v>
      </c>
      <c r="R2512" s="2" t="str">
        <f>HYPERLINK("https://www.google.com/maps?q=-20.1504570,-44.8599590","Abrir no Google Maps")</f>
        <v>Abrir no Google Maps</v>
      </c>
      <c r="S2512">
        <v>3</v>
      </c>
      <c r="T2512">
        <v>658.64381182775185</v>
      </c>
      <c r="U2512">
        <v>3</v>
      </c>
      <c r="V2512">
        <v>0.4165462962962963</v>
      </c>
      <c r="W2512">
        <v>1</v>
      </c>
      <c r="X2512">
        <v>0.4165462962962963</v>
      </c>
      <c r="Y2512">
        <v>264</v>
      </c>
      <c r="Z2512">
        <v>516.83560872131818</v>
      </c>
      <c r="AA2512">
        <v>198</v>
      </c>
      <c r="AB2512">
        <v>332</v>
      </c>
      <c r="AC2512">
        <v>536</v>
      </c>
      <c r="AD2512">
        <v>29.96</v>
      </c>
      <c r="AE2512">
        <v>542</v>
      </c>
      <c r="AF2512">
        <v>29</v>
      </c>
      <c r="AG2512">
        <v>174</v>
      </c>
      <c r="AH2512">
        <v>129</v>
      </c>
      <c r="AI2512">
        <v>5.35</v>
      </c>
      <c r="AJ2512">
        <v>32.1</v>
      </c>
      <c r="AK2512">
        <v>23.8</v>
      </c>
      <c r="AL2512">
        <v>-20.150445899999969</v>
      </c>
      <c r="AM2512">
        <v>-44.860119388819953</v>
      </c>
      <c r="AN2512">
        <v>-20.150445899999969</v>
      </c>
      <c r="AO2512">
        <v>-44.860119388819953</v>
      </c>
      <c r="AP2512">
        <v>-20.150456999999999</v>
      </c>
      <c r="AQ2512">
        <v>-44.859959000000003</v>
      </c>
      <c r="AR2512">
        <v>16.807117810283469</v>
      </c>
      <c r="AS2512" t="s">
        <v>65</v>
      </c>
      <c r="AT2512">
        <v>1</v>
      </c>
      <c r="AU2512" t="s">
        <v>1788</v>
      </c>
      <c r="AV2512" t="s">
        <v>1789</v>
      </c>
      <c r="AW2512" t="s">
        <v>60</v>
      </c>
      <c r="AX2512" t="s">
        <v>68</v>
      </c>
      <c r="AY2512" t="s">
        <v>69</v>
      </c>
      <c r="AZ2512" t="b">
        <v>1</v>
      </c>
    </row>
    <row r="2513" spans="1:52" x14ac:dyDescent="0.3">
      <c r="A2513" t="s">
        <v>52</v>
      </c>
      <c r="B2513" t="s">
        <v>53</v>
      </c>
      <c r="C2513" t="s">
        <v>54</v>
      </c>
      <c r="D2513" t="s">
        <v>55</v>
      </c>
      <c r="E2513" t="s">
        <v>2155</v>
      </c>
      <c r="F2513" t="s">
        <v>190</v>
      </c>
      <c r="G2513" t="s">
        <v>1170</v>
      </c>
      <c r="H2513" t="s">
        <v>1171</v>
      </c>
      <c r="I2513" t="s">
        <v>1171</v>
      </c>
      <c r="J2513" t="s">
        <v>60</v>
      </c>
      <c r="K2513" t="s">
        <v>1165</v>
      </c>
      <c r="L2513" t="s">
        <v>62</v>
      </c>
      <c r="M2513" t="s">
        <v>1165</v>
      </c>
      <c r="N2513" t="s">
        <v>1172</v>
      </c>
      <c r="O2513" t="s">
        <v>1160</v>
      </c>
      <c r="P2513">
        <v>-20.158208999999999</v>
      </c>
      <c r="Q2513">
        <v>-44.865242000000002</v>
      </c>
      <c r="R2513" s="2" t="str">
        <f>HYPERLINK("https://www.google.com/maps?q=-20.1582090,-44.8652420","Abrir no Google Maps")</f>
        <v>Abrir no Google Maps</v>
      </c>
      <c r="S2513">
        <v>3</v>
      </c>
      <c r="T2513">
        <v>529.55269054560301</v>
      </c>
      <c r="U2513">
        <v>3</v>
      </c>
      <c r="V2513">
        <v>0.40768021414046401</v>
      </c>
      <c r="W2513">
        <v>1</v>
      </c>
      <c r="X2513">
        <v>0.40768021414046401</v>
      </c>
      <c r="Y2513">
        <v>264</v>
      </c>
      <c r="Z2513">
        <v>576.82525833351326</v>
      </c>
      <c r="AA2513">
        <v>198</v>
      </c>
      <c r="AB2513">
        <v>332</v>
      </c>
      <c r="AC2513">
        <v>536</v>
      </c>
      <c r="AD2513">
        <v>29.96</v>
      </c>
      <c r="AE2513">
        <v>542</v>
      </c>
      <c r="AF2513">
        <v>29</v>
      </c>
      <c r="AG2513">
        <v>174</v>
      </c>
      <c r="AH2513">
        <v>129</v>
      </c>
      <c r="AI2513">
        <v>5.35</v>
      </c>
      <c r="AJ2513">
        <v>32.1</v>
      </c>
      <c r="AK2513">
        <v>23.8</v>
      </c>
      <c r="AL2513">
        <v>-20.15813384999996</v>
      </c>
      <c r="AM2513">
        <v>-44.865189279062598</v>
      </c>
      <c r="AN2513">
        <v>-20.15813384999996</v>
      </c>
      <c r="AO2513">
        <v>-44.865189279062598</v>
      </c>
      <c r="AP2513">
        <v>-20.158208999999999</v>
      </c>
      <c r="AQ2513">
        <v>-44.865242000000002</v>
      </c>
      <c r="AR2513">
        <v>10.01690313145691</v>
      </c>
      <c r="AS2513" t="s">
        <v>65</v>
      </c>
      <c r="AT2513">
        <v>1</v>
      </c>
      <c r="AU2513" t="s">
        <v>1173</v>
      </c>
      <c r="AV2513" t="s">
        <v>1174</v>
      </c>
      <c r="AW2513" t="s">
        <v>60</v>
      </c>
      <c r="AX2513" t="s">
        <v>68</v>
      </c>
      <c r="AY2513" t="s">
        <v>69</v>
      </c>
      <c r="AZ2513" t="b">
        <v>1</v>
      </c>
    </row>
    <row r="2514" spans="1:52" x14ac:dyDescent="0.3">
      <c r="A2514" t="s">
        <v>52</v>
      </c>
      <c r="B2514" t="s">
        <v>53</v>
      </c>
      <c r="C2514" t="s">
        <v>54</v>
      </c>
      <c r="D2514" t="s">
        <v>55</v>
      </c>
      <c r="E2514" t="s">
        <v>2155</v>
      </c>
      <c r="F2514" t="s">
        <v>190</v>
      </c>
      <c r="G2514" t="s">
        <v>1175</v>
      </c>
      <c r="H2514" t="s">
        <v>1176</v>
      </c>
      <c r="I2514" t="s">
        <v>1176</v>
      </c>
      <c r="J2514" t="s">
        <v>60</v>
      </c>
      <c r="K2514" t="s">
        <v>1177</v>
      </c>
      <c r="L2514" t="s">
        <v>62</v>
      </c>
      <c r="M2514" t="s">
        <v>1177</v>
      </c>
      <c r="N2514" t="s">
        <v>1178</v>
      </c>
      <c r="O2514" t="s">
        <v>1179</v>
      </c>
      <c r="P2514">
        <v>-20.153393000000001</v>
      </c>
      <c r="Q2514">
        <v>-44.865701999999999</v>
      </c>
      <c r="R2514" s="2" t="str">
        <f>HYPERLINK("https://www.google.com/maps?q=-20.1533930,-44.8657020","Abrir no Google Maps")</f>
        <v>Abrir no Google Maps</v>
      </c>
      <c r="S2514">
        <v>3</v>
      </c>
      <c r="T2514">
        <v>0</v>
      </c>
      <c r="U2514">
        <v>3</v>
      </c>
      <c r="V2514">
        <v>0.41807650743392061</v>
      </c>
      <c r="W2514">
        <v>1</v>
      </c>
      <c r="X2514">
        <v>0.41807650743392061</v>
      </c>
      <c r="Y2514">
        <v>264</v>
      </c>
      <c r="Z2514">
        <v>187.61117597536</v>
      </c>
      <c r="AA2514">
        <v>198</v>
      </c>
      <c r="AB2514">
        <v>332</v>
      </c>
      <c r="AC2514">
        <v>536</v>
      </c>
      <c r="AD2514">
        <v>29.96</v>
      </c>
      <c r="AE2514">
        <v>542</v>
      </c>
      <c r="AF2514">
        <v>29</v>
      </c>
      <c r="AG2514">
        <v>174</v>
      </c>
      <c r="AH2514">
        <v>129</v>
      </c>
      <c r="AI2514">
        <v>5.35</v>
      </c>
      <c r="AJ2514">
        <v>32.1</v>
      </c>
      <c r="AK2514">
        <v>23.8</v>
      </c>
      <c r="AL2514">
        <v>-20.153365199999971</v>
      </c>
      <c r="AM2514">
        <v>-44.865611713780503</v>
      </c>
      <c r="AN2514">
        <v>-20.153365199999971</v>
      </c>
      <c r="AO2514">
        <v>-44.865611713780503</v>
      </c>
      <c r="AP2514">
        <v>-20.153393000000001</v>
      </c>
      <c r="AQ2514">
        <v>-44.865701999999999</v>
      </c>
      <c r="AR2514">
        <v>9.9298532940923003</v>
      </c>
      <c r="AS2514" t="s">
        <v>65</v>
      </c>
      <c r="AT2514">
        <v>1</v>
      </c>
      <c r="AU2514" t="s">
        <v>1180</v>
      </c>
      <c r="AV2514" t="s">
        <v>1181</v>
      </c>
      <c r="AW2514" t="s">
        <v>60</v>
      </c>
      <c r="AX2514" t="s">
        <v>68</v>
      </c>
      <c r="AY2514" t="s">
        <v>69</v>
      </c>
      <c r="AZ2514" t="b">
        <v>1</v>
      </c>
    </row>
    <row r="2515" spans="1:52" x14ac:dyDescent="0.3">
      <c r="A2515" t="s">
        <v>52</v>
      </c>
      <c r="B2515" t="s">
        <v>53</v>
      </c>
      <c r="C2515" t="s">
        <v>54</v>
      </c>
      <c r="D2515" t="s">
        <v>55</v>
      </c>
      <c r="E2515" t="s">
        <v>2155</v>
      </c>
      <c r="F2515" t="s">
        <v>190</v>
      </c>
      <c r="G2515" t="s">
        <v>803</v>
      </c>
      <c r="H2515" t="s">
        <v>804</v>
      </c>
      <c r="I2515" t="s">
        <v>804</v>
      </c>
      <c r="J2515" t="s">
        <v>60</v>
      </c>
      <c r="K2515" t="s">
        <v>805</v>
      </c>
      <c r="L2515" t="s">
        <v>62</v>
      </c>
      <c r="M2515" t="s">
        <v>805</v>
      </c>
      <c r="N2515" t="s">
        <v>806</v>
      </c>
      <c r="O2515" t="s">
        <v>807</v>
      </c>
      <c r="P2515">
        <v>-20.133293999999999</v>
      </c>
      <c r="Q2515">
        <v>-44.886302000000001</v>
      </c>
      <c r="R2515" s="2" t="str">
        <f>HYPERLINK("https://www.google.com/maps?q=-20.1332940,-44.8863020","Abrir no Google Maps")</f>
        <v>Abrir no Google Maps</v>
      </c>
      <c r="S2515">
        <v>3</v>
      </c>
      <c r="T2515">
        <v>0</v>
      </c>
      <c r="U2515">
        <v>3</v>
      </c>
      <c r="V2515">
        <v>0.41295016755148911</v>
      </c>
      <c r="W2515">
        <v>1</v>
      </c>
      <c r="X2515">
        <v>0.41295016755148911</v>
      </c>
      <c r="Y2515">
        <v>259</v>
      </c>
      <c r="Z2515">
        <v>76.358812960729097</v>
      </c>
      <c r="AA2515">
        <v>198</v>
      </c>
      <c r="AB2515">
        <v>332</v>
      </c>
      <c r="AC2515">
        <v>536</v>
      </c>
      <c r="AD2515">
        <v>29.96</v>
      </c>
      <c r="AE2515">
        <v>542</v>
      </c>
      <c r="AF2515">
        <v>29</v>
      </c>
      <c r="AG2515">
        <v>174</v>
      </c>
      <c r="AH2515">
        <v>129</v>
      </c>
      <c r="AI2515">
        <v>5.35</v>
      </c>
      <c r="AJ2515">
        <v>32.1</v>
      </c>
      <c r="AK2515">
        <v>23.8</v>
      </c>
      <c r="AL2515">
        <v>-20.133281749999949</v>
      </c>
      <c r="AM2515">
        <v>-44.886395047959027</v>
      </c>
      <c r="AN2515">
        <v>-20.133281749999949</v>
      </c>
      <c r="AO2515">
        <v>-44.886395047959027</v>
      </c>
      <c r="AP2515">
        <v>-20.133293999999999</v>
      </c>
      <c r="AQ2515">
        <v>-44.886302000000001</v>
      </c>
      <c r="AR2515">
        <v>9.8203037443031231</v>
      </c>
      <c r="AS2515" t="s">
        <v>65</v>
      </c>
      <c r="AT2515">
        <v>1</v>
      </c>
      <c r="AU2515" t="s">
        <v>808</v>
      </c>
      <c r="AV2515" t="s">
        <v>809</v>
      </c>
      <c r="AW2515" t="s">
        <v>60</v>
      </c>
      <c r="AX2515" t="s">
        <v>68</v>
      </c>
      <c r="AY2515" t="s">
        <v>69</v>
      </c>
      <c r="AZ2515" t="b">
        <v>1</v>
      </c>
    </row>
    <row r="2516" spans="1:52" x14ac:dyDescent="0.3">
      <c r="A2516" t="s">
        <v>52</v>
      </c>
      <c r="B2516" t="s">
        <v>53</v>
      </c>
      <c r="C2516" t="s">
        <v>54</v>
      </c>
      <c r="D2516" t="s">
        <v>55</v>
      </c>
      <c r="E2516" t="s">
        <v>2155</v>
      </c>
      <c r="F2516" t="s">
        <v>190</v>
      </c>
      <c r="G2516" t="s">
        <v>1187</v>
      </c>
      <c r="H2516" t="s">
        <v>1188</v>
      </c>
      <c r="I2516" t="s">
        <v>1188</v>
      </c>
      <c r="J2516" t="s">
        <v>60</v>
      </c>
      <c r="K2516" t="s">
        <v>1177</v>
      </c>
      <c r="L2516" t="s">
        <v>62</v>
      </c>
      <c r="M2516" t="s">
        <v>1177</v>
      </c>
      <c r="N2516" t="s">
        <v>1189</v>
      </c>
      <c r="O2516" t="s">
        <v>1190</v>
      </c>
      <c r="P2516">
        <v>-20.151606999999998</v>
      </c>
      <c r="Q2516">
        <v>-44.870784999999998</v>
      </c>
      <c r="R2516" s="2" t="str">
        <f>HYPERLINK("https://www.google.com/maps?q=-20.1516070,-44.8707850","Abrir no Google Maps")</f>
        <v>Abrir no Google Maps</v>
      </c>
      <c r="S2516">
        <v>3</v>
      </c>
      <c r="T2516">
        <v>592.7601508996878</v>
      </c>
      <c r="U2516">
        <v>3</v>
      </c>
      <c r="V2516">
        <v>0.40714090297126648</v>
      </c>
      <c r="W2516">
        <v>1</v>
      </c>
      <c r="X2516">
        <v>0.40714090297126648</v>
      </c>
      <c r="Y2516">
        <v>198</v>
      </c>
      <c r="Z2516">
        <v>605.75141653963317</v>
      </c>
      <c r="AA2516">
        <v>198</v>
      </c>
      <c r="AB2516">
        <v>332</v>
      </c>
      <c r="AC2516">
        <v>536</v>
      </c>
      <c r="AD2516">
        <v>29.96</v>
      </c>
      <c r="AE2516">
        <v>542</v>
      </c>
      <c r="AF2516">
        <v>29</v>
      </c>
      <c r="AG2516">
        <v>174</v>
      </c>
      <c r="AH2516">
        <v>129</v>
      </c>
      <c r="AI2516">
        <v>5.35</v>
      </c>
      <c r="AJ2516">
        <v>32.1</v>
      </c>
      <c r="AK2516">
        <v>23.8</v>
      </c>
      <c r="AL2516">
        <v>-20.151457849999961</v>
      </c>
      <c r="AM2516">
        <v>-44.870912038726253</v>
      </c>
      <c r="AN2516">
        <v>-20.151457849999961</v>
      </c>
      <c r="AO2516">
        <v>-44.870912038726253</v>
      </c>
      <c r="AP2516">
        <v>-20.151606999999998</v>
      </c>
      <c r="AQ2516">
        <v>-44.870784999999998</v>
      </c>
      <c r="AR2516">
        <v>21.258671186047941</v>
      </c>
      <c r="AS2516" t="s">
        <v>65</v>
      </c>
      <c r="AT2516">
        <v>1</v>
      </c>
      <c r="AU2516" t="s">
        <v>1191</v>
      </c>
      <c r="AV2516" t="s">
        <v>1192</v>
      </c>
      <c r="AW2516" t="s">
        <v>60</v>
      </c>
      <c r="AX2516" t="s">
        <v>68</v>
      </c>
      <c r="AY2516" t="s">
        <v>69</v>
      </c>
      <c r="AZ2516" t="b">
        <v>1</v>
      </c>
    </row>
    <row r="2517" spans="1:52" x14ac:dyDescent="0.3">
      <c r="A2517" t="s">
        <v>52</v>
      </c>
      <c r="B2517" t="s">
        <v>53</v>
      </c>
      <c r="C2517" t="s">
        <v>54</v>
      </c>
      <c r="D2517" t="s">
        <v>55</v>
      </c>
      <c r="E2517" t="s">
        <v>2155</v>
      </c>
      <c r="F2517" t="s">
        <v>190</v>
      </c>
      <c r="G2517" t="s">
        <v>1790</v>
      </c>
      <c r="H2517" t="s">
        <v>1791</v>
      </c>
      <c r="I2517" t="s">
        <v>1791</v>
      </c>
      <c r="J2517" t="s">
        <v>60</v>
      </c>
      <c r="K2517" t="s">
        <v>781</v>
      </c>
      <c r="L2517" t="s">
        <v>62</v>
      </c>
      <c r="M2517" t="s">
        <v>781</v>
      </c>
      <c r="N2517" t="s">
        <v>1792</v>
      </c>
      <c r="O2517" t="s">
        <v>1438</v>
      </c>
      <c r="P2517">
        <v>-20.140640999999999</v>
      </c>
      <c r="Q2517">
        <v>-44.865606999999997</v>
      </c>
      <c r="R2517" s="2" t="str">
        <f>HYPERLINK("https://www.google.com/maps?q=-20.1406410,-44.8656070","Abrir no Google Maps")</f>
        <v>Abrir no Google Maps</v>
      </c>
      <c r="S2517">
        <v>3</v>
      </c>
      <c r="T2517">
        <v>718.83674500124857</v>
      </c>
      <c r="U2517">
        <v>3</v>
      </c>
      <c r="V2517">
        <v>0.4049507009958071</v>
      </c>
      <c r="W2517">
        <v>1</v>
      </c>
      <c r="X2517">
        <v>0.4049507009958071</v>
      </c>
      <c r="Y2517">
        <v>198</v>
      </c>
      <c r="Z2517">
        <v>796.27455839490824</v>
      </c>
      <c r="AA2517">
        <v>198</v>
      </c>
      <c r="AB2517">
        <v>332</v>
      </c>
      <c r="AC2517">
        <v>536</v>
      </c>
      <c r="AD2517">
        <v>29.96</v>
      </c>
      <c r="AE2517">
        <v>542</v>
      </c>
      <c r="AF2517">
        <v>29</v>
      </c>
      <c r="AG2517">
        <v>174</v>
      </c>
      <c r="AH2517">
        <v>129</v>
      </c>
      <c r="AI2517">
        <v>5.35</v>
      </c>
      <c r="AJ2517">
        <v>32.1</v>
      </c>
      <c r="AK2517">
        <v>23.8</v>
      </c>
      <c r="AL2517">
        <v>-20.14068544999995</v>
      </c>
      <c r="AM2517">
        <v>-44.865682971258813</v>
      </c>
      <c r="AN2517">
        <v>-20.140685449999939</v>
      </c>
      <c r="AO2517">
        <v>-44.865682971258813</v>
      </c>
      <c r="AP2517">
        <v>-20.140640999999999</v>
      </c>
      <c r="AQ2517">
        <v>-44.865606999999997</v>
      </c>
      <c r="AR2517">
        <v>9.3556137916774258</v>
      </c>
      <c r="AS2517" t="s">
        <v>65</v>
      </c>
      <c r="AT2517">
        <v>1</v>
      </c>
      <c r="AU2517" t="s">
        <v>1793</v>
      </c>
      <c r="AV2517" t="s">
        <v>1794</v>
      </c>
      <c r="AW2517" t="s">
        <v>60</v>
      </c>
      <c r="AX2517" t="s">
        <v>68</v>
      </c>
      <c r="AY2517" t="s">
        <v>69</v>
      </c>
      <c r="AZ2517" t="b">
        <v>1</v>
      </c>
    </row>
    <row r="2518" spans="1:52" x14ac:dyDescent="0.3">
      <c r="A2518" t="s">
        <v>52</v>
      </c>
      <c r="B2518" t="s">
        <v>53</v>
      </c>
      <c r="C2518" t="s">
        <v>54</v>
      </c>
      <c r="D2518" t="s">
        <v>55</v>
      </c>
      <c r="E2518" t="s">
        <v>2155</v>
      </c>
      <c r="F2518" t="s">
        <v>190</v>
      </c>
      <c r="G2518" t="s">
        <v>1193</v>
      </c>
      <c r="H2518" t="s">
        <v>1194</v>
      </c>
      <c r="I2518" t="s">
        <v>1194</v>
      </c>
      <c r="J2518" t="s">
        <v>60</v>
      </c>
      <c r="K2518" t="s">
        <v>1195</v>
      </c>
      <c r="L2518" t="s">
        <v>62</v>
      </c>
      <c r="M2518" t="s">
        <v>1195</v>
      </c>
      <c r="N2518" t="s">
        <v>1196</v>
      </c>
      <c r="O2518" t="s">
        <v>1197</v>
      </c>
      <c r="P2518">
        <v>-20.105342</v>
      </c>
      <c r="Q2518">
        <v>-44.964716000000003</v>
      </c>
      <c r="R2518" s="2" t="str">
        <f>HYPERLINK("https://www.google.com/maps?q=-20.1053420,-44.9647160","Abrir no Google Maps")</f>
        <v>Abrir no Google Maps</v>
      </c>
      <c r="S2518">
        <v>3</v>
      </c>
      <c r="T2518">
        <v>893.28710125086457</v>
      </c>
      <c r="U2518">
        <v>3</v>
      </c>
      <c r="V2518">
        <v>0.4187583562387594</v>
      </c>
      <c r="W2518">
        <v>1</v>
      </c>
      <c r="X2518">
        <v>0.4187583562387594</v>
      </c>
      <c r="Y2518">
        <v>187</v>
      </c>
      <c r="Z2518">
        <v>592.18957175243293</v>
      </c>
      <c r="AA2518">
        <v>198</v>
      </c>
      <c r="AB2518">
        <v>332</v>
      </c>
      <c r="AC2518">
        <v>536</v>
      </c>
      <c r="AD2518">
        <v>29.96</v>
      </c>
      <c r="AE2518">
        <v>542</v>
      </c>
      <c r="AF2518">
        <v>29</v>
      </c>
      <c r="AG2518">
        <v>174</v>
      </c>
      <c r="AH2518">
        <v>129</v>
      </c>
      <c r="AI2518">
        <v>5.35</v>
      </c>
      <c r="AJ2518">
        <v>32.1</v>
      </c>
      <c r="AK2518">
        <v>23.8</v>
      </c>
      <c r="AL2518">
        <v>-20.105505699999949</v>
      </c>
      <c r="AM2518">
        <v>-44.964494228377532</v>
      </c>
      <c r="AN2518">
        <v>-20.105505699999949</v>
      </c>
      <c r="AO2518">
        <v>-44.964494228377532</v>
      </c>
      <c r="AP2518">
        <v>-20.105342</v>
      </c>
      <c r="AQ2518">
        <v>-44.964716000000003</v>
      </c>
      <c r="AR2518">
        <v>29.48797728637869</v>
      </c>
      <c r="AS2518" t="s">
        <v>65</v>
      </c>
      <c r="AT2518">
        <v>1</v>
      </c>
      <c r="AU2518" t="s">
        <v>1198</v>
      </c>
      <c r="AV2518" t="s">
        <v>1199</v>
      </c>
      <c r="AW2518" t="s">
        <v>60</v>
      </c>
      <c r="AX2518" t="s">
        <v>68</v>
      </c>
      <c r="AY2518" t="s">
        <v>69</v>
      </c>
      <c r="AZ2518" t="b">
        <v>1</v>
      </c>
    </row>
    <row r="2519" spans="1:52" x14ac:dyDescent="0.3">
      <c r="A2519" t="s">
        <v>52</v>
      </c>
      <c r="B2519" t="s">
        <v>53</v>
      </c>
      <c r="C2519" t="s">
        <v>54</v>
      </c>
      <c r="D2519" t="s">
        <v>55</v>
      </c>
      <c r="E2519" t="s">
        <v>2155</v>
      </c>
      <c r="F2519" t="s">
        <v>190</v>
      </c>
      <c r="G2519" t="s">
        <v>1200</v>
      </c>
      <c r="H2519" t="s">
        <v>1201</v>
      </c>
      <c r="I2519" t="s">
        <v>1201</v>
      </c>
      <c r="J2519" t="s">
        <v>60</v>
      </c>
      <c r="K2519" t="s">
        <v>1202</v>
      </c>
      <c r="L2519" t="s">
        <v>62</v>
      </c>
      <c r="M2519" t="s">
        <v>1202</v>
      </c>
      <c r="N2519" t="s">
        <v>1203</v>
      </c>
      <c r="O2519" t="s">
        <v>710</v>
      </c>
      <c r="P2519">
        <v>-20.191745999999998</v>
      </c>
      <c r="Q2519">
        <v>-44.904957000000003</v>
      </c>
      <c r="R2519" s="2" t="str">
        <f>HYPERLINK("https://www.google.com/maps?q=-20.1917460,-44.9049570","Abrir no Google Maps")</f>
        <v>Abrir no Google Maps</v>
      </c>
      <c r="S2519">
        <v>3</v>
      </c>
      <c r="T2519">
        <v>882.9384716293963</v>
      </c>
      <c r="U2519">
        <v>3</v>
      </c>
      <c r="V2519">
        <v>0.41452685364281111</v>
      </c>
      <c r="W2519">
        <v>1</v>
      </c>
      <c r="X2519">
        <v>0.41452685364281111</v>
      </c>
      <c r="Y2519">
        <v>135</v>
      </c>
      <c r="Z2519">
        <v>802.45927673397398</v>
      </c>
      <c r="AA2519">
        <v>198</v>
      </c>
      <c r="AB2519">
        <v>332</v>
      </c>
      <c r="AC2519">
        <v>536</v>
      </c>
      <c r="AD2519">
        <v>29.96</v>
      </c>
      <c r="AE2519">
        <v>542</v>
      </c>
      <c r="AF2519">
        <v>29</v>
      </c>
      <c r="AG2519">
        <v>174</v>
      </c>
      <c r="AH2519">
        <v>129</v>
      </c>
      <c r="AI2519">
        <v>5.35</v>
      </c>
      <c r="AJ2519">
        <v>32.1</v>
      </c>
      <c r="AK2519">
        <v>23.8</v>
      </c>
      <c r="AL2519">
        <v>-20.19172654999997</v>
      </c>
      <c r="AM2519">
        <v>-44.904976932073851</v>
      </c>
      <c r="AN2519">
        <v>-20.19172654999997</v>
      </c>
      <c r="AO2519">
        <v>-44.904976932073851</v>
      </c>
      <c r="AP2519">
        <v>-20.191745999999998</v>
      </c>
      <c r="AQ2519">
        <v>-44.904957000000003</v>
      </c>
      <c r="AR2519">
        <v>3.004110632807953</v>
      </c>
      <c r="AS2519" t="s">
        <v>65</v>
      </c>
      <c r="AT2519">
        <v>1</v>
      </c>
      <c r="AU2519" t="s">
        <v>1204</v>
      </c>
      <c r="AV2519" t="s">
        <v>1205</v>
      </c>
      <c r="AW2519" t="s">
        <v>60</v>
      </c>
      <c r="AX2519" t="s">
        <v>68</v>
      </c>
      <c r="AY2519" t="s">
        <v>69</v>
      </c>
      <c r="AZ2519" t="b">
        <v>1</v>
      </c>
    </row>
    <row r="2520" spans="1:52" x14ac:dyDescent="0.3">
      <c r="A2520" t="s">
        <v>52</v>
      </c>
      <c r="B2520" t="s">
        <v>53</v>
      </c>
      <c r="C2520" t="s">
        <v>54</v>
      </c>
      <c r="D2520" t="s">
        <v>55</v>
      </c>
      <c r="E2520" t="s">
        <v>2155</v>
      </c>
      <c r="F2520" t="s">
        <v>190</v>
      </c>
      <c r="G2520" t="s">
        <v>1206</v>
      </c>
      <c r="H2520" t="s">
        <v>1207</v>
      </c>
      <c r="I2520" t="s">
        <v>1207</v>
      </c>
      <c r="J2520" t="s">
        <v>60</v>
      </c>
      <c r="K2520" t="s">
        <v>475</v>
      </c>
      <c r="L2520" t="s">
        <v>62</v>
      </c>
      <c r="M2520" t="s">
        <v>475</v>
      </c>
      <c r="N2520" t="s">
        <v>1208</v>
      </c>
      <c r="O2520" t="s">
        <v>1209</v>
      </c>
      <c r="P2520">
        <v>-20.180554999999998</v>
      </c>
      <c r="Q2520">
        <v>-44.905642999999998</v>
      </c>
      <c r="R2520" s="2" t="str">
        <f>HYPERLINK("https://www.google.com/maps?q=-20.1805550,-44.9056430","Abrir no Google Maps")</f>
        <v>Abrir no Google Maps</v>
      </c>
      <c r="S2520">
        <v>3</v>
      </c>
      <c r="T2520">
        <v>768.13826761541702</v>
      </c>
      <c r="U2520">
        <v>3</v>
      </c>
      <c r="V2520">
        <v>0.41643180163262178</v>
      </c>
      <c r="W2520">
        <v>1</v>
      </c>
      <c r="X2520">
        <v>0.41643180163262178</v>
      </c>
      <c r="Y2520">
        <v>135</v>
      </c>
      <c r="Z2520">
        <v>442.64437152702573</v>
      </c>
      <c r="AA2520">
        <v>198</v>
      </c>
      <c r="AB2520">
        <v>332</v>
      </c>
      <c r="AC2520">
        <v>536</v>
      </c>
      <c r="AD2520">
        <v>29.96</v>
      </c>
      <c r="AE2520">
        <v>542</v>
      </c>
      <c r="AF2520">
        <v>29</v>
      </c>
      <c r="AG2520">
        <v>174</v>
      </c>
      <c r="AH2520">
        <v>129</v>
      </c>
      <c r="AI2520">
        <v>5.35</v>
      </c>
      <c r="AJ2520">
        <v>32.1</v>
      </c>
      <c r="AK2520">
        <v>23.8</v>
      </c>
      <c r="AL2520">
        <v>-20.180439499999949</v>
      </c>
      <c r="AM2520">
        <v>-44.905757266135502</v>
      </c>
      <c r="AN2520">
        <v>-20.180439499999949</v>
      </c>
      <c r="AO2520">
        <v>-44.905757266135502</v>
      </c>
      <c r="AP2520">
        <v>-20.180554999999998</v>
      </c>
      <c r="AQ2520">
        <v>-44.905642999999998</v>
      </c>
      <c r="AR2520">
        <v>17.545924993698129</v>
      </c>
      <c r="AS2520" t="s">
        <v>65</v>
      </c>
      <c r="AT2520">
        <v>1</v>
      </c>
      <c r="AU2520" t="s">
        <v>1210</v>
      </c>
      <c r="AV2520" t="s">
        <v>1211</v>
      </c>
      <c r="AW2520" t="s">
        <v>60</v>
      </c>
      <c r="AX2520" t="s">
        <v>68</v>
      </c>
      <c r="AY2520" t="s">
        <v>69</v>
      </c>
      <c r="AZ2520" t="b">
        <v>1</v>
      </c>
    </row>
    <row r="2521" spans="1:52" x14ac:dyDescent="0.3">
      <c r="A2521" t="s">
        <v>52</v>
      </c>
      <c r="B2521" t="s">
        <v>53</v>
      </c>
      <c r="C2521" t="s">
        <v>54</v>
      </c>
      <c r="D2521" t="s">
        <v>55</v>
      </c>
      <c r="E2521" t="s">
        <v>2155</v>
      </c>
      <c r="F2521" t="s">
        <v>190</v>
      </c>
      <c r="G2521" t="s">
        <v>1212</v>
      </c>
      <c r="H2521" t="s">
        <v>1213</v>
      </c>
      <c r="I2521" t="s">
        <v>1213</v>
      </c>
      <c r="J2521" t="s">
        <v>60</v>
      </c>
      <c r="K2521" t="s">
        <v>171</v>
      </c>
      <c r="L2521" t="s">
        <v>62</v>
      </c>
      <c r="M2521" t="s">
        <v>171</v>
      </c>
      <c r="N2521" t="s">
        <v>1214</v>
      </c>
      <c r="O2521" t="s">
        <v>1215</v>
      </c>
      <c r="P2521">
        <v>-20.152812999999998</v>
      </c>
      <c r="Q2521">
        <v>-44.889853000000002</v>
      </c>
      <c r="R2521" s="2" t="str">
        <f>HYPERLINK("https://www.google.com/maps?q=-20.1528130,-44.8898530","Abrir no Google Maps")</f>
        <v>Abrir no Google Maps</v>
      </c>
      <c r="S2521">
        <v>3</v>
      </c>
      <c r="T2521">
        <v>404.11054739579231</v>
      </c>
      <c r="U2521">
        <v>3</v>
      </c>
      <c r="V2521">
        <v>0.42052856229626018</v>
      </c>
      <c r="W2521">
        <v>1</v>
      </c>
      <c r="X2521">
        <v>0.42052856229626018</v>
      </c>
      <c r="Y2521">
        <v>129</v>
      </c>
      <c r="Z2521">
        <v>222.94297160630171</v>
      </c>
      <c r="AA2521">
        <v>198</v>
      </c>
      <c r="AB2521">
        <v>332</v>
      </c>
      <c r="AC2521">
        <v>536</v>
      </c>
      <c r="AD2521">
        <v>29.96</v>
      </c>
      <c r="AE2521">
        <v>542</v>
      </c>
      <c r="AF2521">
        <v>29</v>
      </c>
      <c r="AG2521">
        <v>174</v>
      </c>
      <c r="AH2521">
        <v>129</v>
      </c>
      <c r="AI2521">
        <v>5.35</v>
      </c>
      <c r="AJ2521">
        <v>32.1</v>
      </c>
      <c r="AK2521">
        <v>23.8</v>
      </c>
      <c r="AL2521">
        <v>-20.152851999999971</v>
      </c>
      <c r="AM2521">
        <v>-44.889864659228088</v>
      </c>
      <c r="AN2521">
        <v>-20.152851999999971</v>
      </c>
      <c r="AO2521">
        <v>-44.889864659228088</v>
      </c>
      <c r="AP2521">
        <v>-20.152812999999998</v>
      </c>
      <c r="AQ2521">
        <v>-44.889853000000002</v>
      </c>
      <c r="AR2521">
        <v>4.5092186597325066</v>
      </c>
      <c r="AS2521" t="s">
        <v>65</v>
      </c>
      <c r="AT2521">
        <v>1</v>
      </c>
      <c r="AU2521" t="s">
        <v>1216</v>
      </c>
      <c r="AV2521" t="s">
        <v>1217</v>
      </c>
      <c r="AW2521" t="s">
        <v>60</v>
      </c>
      <c r="AX2521" t="s">
        <v>68</v>
      </c>
      <c r="AY2521" t="s">
        <v>69</v>
      </c>
      <c r="AZ2521" t="b">
        <v>1</v>
      </c>
    </row>
    <row r="2522" spans="1:52" x14ac:dyDescent="0.3">
      <c r="A2522" t="s">
        <v>52</v>
      </c>
      <c r="B2522" t="s">
        <v>53</v>
      </c>
      <c r="C2522" t="s">
        <v>54</v>
      </c>
      <c r="D2522" t="s">
        <v>55</v>
      </c>
      <c r="E2522" t="s">
        <v>2155</v>
      </c>
      <c r="F2522" t="s">
        <v>190</v>
      </c>
      <c r="G2522" t="s">
        <v>1801</v>
      </c>
      <c r="H2522" t="s">
        <v>1802</v>
      </c>
      <c r="I2522" t="s">
        <v>1802</v>
      </c>
      <c r="J2522" t="s">
        <v>60</v>
      </c>
      <c r="K2522" t="s">
        <v>1803</v>
      </c>
      <c r="L2522" t="s">
        <v>62</v>
      </c>
      <c r="M2522" t="s">
        <v>1803</v>
      </c>
      <c r="N2522" t="s">
        <v>1804</v>
      </c>
      <c r="O2522" t="s">
        <v>1805</v>
      </c>
      <c r="P2522">
        <v>-20.131599000000001</v>
      </c>
      <c r="Q2522">
        <v>-44.839945</v>
      </c>
      <c r="R2522" s="2" t="str">
        <f>HYPERLINK("https://www.google.com/maps?q=-20.1315990,-44.8399450","Abrir no Google Maps")</f>
        <v>Abrir no Google Maps</v>
      </c>
      <c r="S2522">
        <v>3</v>
      </c>
      <c r="T2522">
        <v>480.67866935083049</v>
      </c>
      <c r="U2522">
        <v>3</v>
      </c>
      <c r="V2522">
        <v>0.41456602744507709</v>
      </c>
      <c r="W2522">
        <v>1</v>
      </c>
      <c r="X2522">
        <v>0.41456602744507709</v>
      </c>
      <c r="Y2522">
        <v>118</v>
      </c>
      <c r="Z2522">
        <v>505.26312452494989</v>
      </c>
      <c r="AA2522">
        <v>198</v>
      </c>
      <c r="AB2522">
        <v>332</v>
      </c>
      <c r="AC2522">
        <v>536</v>
      </c>
      <c r="AD2522">
        <v>29.96</v>
      </c>
      <c r="AE2522">
        <v>542</v>
      </c>
      <c r="AF2522">
        <v>29</v>
      </c>
      <c r="AG2522">
        <v>174</v>
      </c>
      <c r="AH2522">
        <v>129</v>
      </c>
      <c r="AI2522">
        <v>5.35</v>
      </c>
      <c r="AJ2522">
        <v>32.1</v>
      </c>
      <c r="AK2522">
        <v>23.8</v>
      </c>
      <c r="AL2522">
        <v>-20.131561999999949</v>
      </c>
      <c r="AM2522">
        <v>-44.839930272274998</v>
      </c>
      <c r="AN2522">
        <v>-20.131561999999949</v>
      </c>
      <c r="AO2522">
        <v>-44.839930272274998</v>
      </c>
      <c r="AP2522">
        <v>-20.131599000000001</v>
      </c>
      <c r="AQ2522">
        <v>-44.839945</v>
      </c>
      <c r="AR2522">
        <v>4.3970860299791923</v>
      </c>
      <c r="AS2522" t="s">
        <v>65</v>
      </c>
      <c r="AT2522">
        <v>1</v>
      </c>
      <c r="AU2522" t="s">
        <v>1806</v>
      </c>
      <c r="AV2522" t="s">
        <v>1807</v>
      </c>
      <c r="AW2522" t="s">
        <v>60</v>
      </c>
      <c r="AX2522" t="s">
        <v>68</v>
      </c>
      <c r="AY2522" t="s">
        <v>69</v>
      </c>
      <c r="AZ2522" t="b">
        <v>1</v>
      </c>
    </row>
    <row r="2523" spans="1:52" x14ac:dyDescent="0.3">
      <c r="A2523" t="s">
        <v>52</v>
      </c>
      <c r="B2523" t="s">
        <v>53</v>
      </c>
      <c r="C2523" t="s">
        <v>54</v>
      </c>
      <c r="D2523" t="s">
        <v>55</v>
      </c>
      <c r="E2523" t="s">
        <v>2155</v>
      </c>
      <c r="F2523" t="s">
        <v>190</v>
      </c>
      <c r="G2523" t="s">
        <v>826</v>
      </c>
      <c r="H2523" t="s">
        <v>827</v>
      </c>
      <c r="I2523" t="s">
        <v>827</v>
      </c>
      <c r="J2523" t="s">
        <v>60</v>
      </c>
      <c r="K2523" t="s">
        <v>828</v>
      </c>
      <c r="L2523" t="s">
        <v>62</v>
      </c>
      <c r="M2523" t="s">
        <v>828</v>
      </c>
      <c r="N2523" t="s">
        <v>829</v>
      </c>
      <c r="O2523" t="s">
        <v>830</v>
      </c>
      <c r="P2523">
        <v>-20.128309999999999</v>
      </c>
      <c r="Q2523">
        <v>-44.8367</v>
      </c>
      <c r="R2523" s="2" t="str">
        <f>HYPERLINK("https://www.google.com/maps?q=-20.1283100,-44.8367000","Abrir no Google Maps")</f>
        <v>Abrir no Google Maps</v>
      </c>
      <c r="S2523">
        <v>3</v>
      </c>
      <c r="T2523">
        <v>0</v>
      </c>
      <c r="U2523">
        <v>3</v>
      </c>
      <c r="V2523">
        <v>0.4197225753295668</v>
      </c>
      <c r="W2523">
        <v>1</v>
      </c>
      <c r="X2523">
        <v>0.4197225753295668</v>
      </c>
      <c r="Y2523">
        <v>118</v>
      </c>
      <c r="Z2523">
        <v>65.93296364139367</v>
      </c>
      <c r="AA2523">
        <v>198</v>
      </c>
      <c r="AB2523">
        <v>332</v>
      </c>
      <c r="AC2523">
        <v>536</v>
      </c>
      <c r="AD2523">
        <v>29.96</v>
      </c>
      <c r="AE2523">
        <v>542</v>
      </c>
      <c r="AF2523">
        <v>29</v>
      </c>
      <c r="AG2523">
        <v>174</v>
      </c>
      <c r="AH2523">
        <v>129</v>
      </c>
      <c r="AI2523">
        <v>5.35</v>
      </c>
      <c r="AJ2523">
        <v>32.1</v>
      </c>
      <c r="AK2523">
        <v>23.8</v>
      </c>
      <c r="AL2523">
        <v>-20.128383649999961</v>
      </c>
      <c r="AM2523">
        <v>-44.836795615491283</v>
      </c>
      <c r="AN2523">
        <v>-20.128383649999961</v>
      </c>
      <c r="AO2523">
        <v>-44.836795615491283</v>
      </c>
      <c r="AP2523">
        <v>-20.128309999999999</v>
      </c>
      <c r="AQ2523">
        <v>-44.8367</v>
      </c>
      <c r="AR2523">
        <v>12.92654496723039</v>
      </c>
      <c r="AS2523" t="s">
        <v>65</v>
      </c>
      <c r="AT2523">
        <v>1</v>
      </c>
      <c r="AU2523" t="s">
        <v>831</v>
      </c>
      <c r="AV2523" t="s">
        <v>832</v>
      </c>
      <c r="AW2523" t="s">
        <v>60</v>
      </c>
      <c r="AX2523" t="s">
        <v>68</v>
      </c>
      <c r="AY2523" t="s">
        <v>69</v>
      </c>
      <c r="AZ2523" t="b">
        <v>1</v>
      </c>
    </row>
    <row r="2524" spans="1:52" x14ac:dyDescent="0.3">
      <c r="A2524" t="s">
        <v>52</v>
      </c>
      <c r="B2524" t="s">
        <v>53</v>
      </c>
      <c r="C2524" t="s">
        <v>54</v>
      </c>
      <c r="D2524" t="s">
        <v>55</v>
      </c>
      <c r="E2524" t="s">
        <v>2155</v>
      </c>
      <c r="F2524" t="s">
        <v>190</v>
      </c>
      <c r="G2524" t="s">
        <v>1830</v>
      </c>
      <c r="H2524" t="s">
        <v>1831</v>
      </c>
      <c r="I2524" t="s">
        <v>1831</v>
      </c>
      <c r="J2524" t="s">
        <v>60</v>
      </c>
      <c r="K2524" t="s">
        <v>1243</v>
      </c>
      <c r="L2524" t="s">
        <v>62</v>
      </c>
      <c r="M2524" t="s">
        <v>1243</v>
      </c>
      <c r="N2524" t="s">
        <v>1832</v>
      </c>
      <c r="O2524" t="s">
        <v>1833</v>
      </c>
      <c r="P2524">
        <v>-20.196815999999998</v>
      </c>
      <c r="Q2524">
        <v>-44.940482000000003</v>
      </c>
      <c r="R2524" s="2" t="str">
        <f>HYPERLINK("https://www.google.com/maps?q=-20.1968160,-44.9404820","Abrir no Google Maps")</f>
        <v>Abrir no Google Maps</v>
      </c>
      <c r="S2524">
        <v>3</v>
      </c>
      <c r="T2524">
        <v>536.34378309151361</v>
      </c>
      <c r="U2524">
        <v>3</v>
      </c>
      <c r="V2524">
        <v>0.42035029498525078</v>
      </c>
      <c r="W2524">
        <v>1</v>
      </c>
      <c r="X2524">
        <v>0.42035029498525078</v>
      </c>
      <c r="Y2524">
        <v>113</v>
      </c>
      <c r="Z2524">
        <v>376.90325621866373</v>
      </c>
      <c r="AA2524">
        <v>198</v>
      </c>
      <c r="AB2524">
        <v>332</v>
      </c>
      <c r="AC2524">
        <v>536</v>
      </c>
      <c r="AD2524">
        <v>29.96</v>
      </c>
      <c r="AE2524">
        <v>542</v>
      </c>
      <c r="AF2524">
        <v>29</v>
      </c>
      <c r="AG2524">
        <v>174</v>
      </c>
      <c r="AH2524">
        <v>129</v>
      </c>
      <c r="AI2524">
        <v>5.35</v>
      </c>
      <c r="AJ2524">
        <v>32.1</v>
      </c>
      <c r="AK2524">
        <v>23.8</v>
      </c>
      <c r="AL2524">
        <v>-20.196517149999949</v>
      </c>
      <c r="AM2524">
        <v>-44.94010487355537</v>
      </c>
      <c r="AN2524">
        <v>-20.196517149999949</v>
      </c>
      <c r="AO2524">
        <v>-44.94010487355537</v>
      </c>
      <c r="AP2524">
        <v>-20.196815999999998</v>
      </c>
      <c r="AQ2524">
        <v>-44.940482000000003</v>
      </c>
      <c r="AR2524">
        <v>51.566969969189948</v>
      </c>
      <c r="AS2524" t="s">
        <v>65</v>
      </c>
      <c r="AT2524">
        <v>1</v>
      </c>
      <c r="AU2524" t="s">
        <v>1834</v>
      </c>
      <c r="AV2524" t="s">
        <v>1835</v>
      </c>
      <c r="AW2524" t="s">
        <v>60</v>
      </c>
      <c r="AX2524" t="s">
        <v>68</v>
      </c>
      <c r="AY2524" t="s">
        <v>69</v>
      </c>
      <c r="AZ2524" t="b">
        <v>1</v>
      </c>
    </row>
    <row r="2525" spans="1:52" x14ac:dyDescent="0.3">
      <c r="A2525" t="s">
        <v>52</v>
      </c>
      <c r="B2525" t="s">
        <v>53</v>
      </c>
      <c r="C2525" t="s">
        <v>54</v>
      </c>
      <c r="D2525" t="s">
        <v>55</v>
      </c>
      <c r="E2525" t="s">
        <v>2155</v>
      </c>
      <c r="F2525" t="s">
        <v>190</v>
      </c>
      <c r="G2525" t="s">
        <v>1836</v>
      </c>
      <c r="H2525" t="s">
        <v>1837</v>
      </c>
      <c r="I2525" t="s">
        <v>1837</v>
      </c>
      <c r="J2525" t="s">
        <v>60</v>
      </c>
      <c r="K2525" t="s">
        <v>1243</v>
      </c>
      <c r="L2525" t="s">
        <v>62</v>
      </c>
      <c r="M2525" t="s">
        <v>1243</v>
      </c>
      <c r="N2525" t="s">
        <v>1838</v>
      </c>
      <c r="O2525" t="s">
        <v>1839</v>
      </c>
      <c r="P2525">
        <v>-20.194417999999999</v>
      </c>
      <c r="Q2525">
        <v>-44.943080999999999</v>
      </c>
      <c r="R2525" s="2" t="str">
        <f>HYPERLINK("https://www.google.com/maps?q=-20.1944180,-44.9430810","Abrir no Google Maps")</f>
        <v>Abrir no Google Maps</v>
      </c>
      <c r="S2525">
        <v>3</v>
      </c>
      <c r="T2525">
        <v>570.3426559957137</v>
      </c>
      <c r="U2525">
        <v>3</v>
      </c>
      <c r="V2525">
        <v>0.4057240333858137</v>
      </c>
      <c r="W2525">
        <v>1</v>
      </c>
      <c r="X2525">
        <v>0.4057240333858137</v>
      </c>
      <c r="Y2525">
        <v>113</v>
      </c>
      <c r="Z2525">
        <v>342.73864025959449</v>
      </c>
      <c r="AA2525">
        <v>198</v>
      </c>
      <c r="AB2525">
        <v>332</v>
      </c>
      <c r="AC2525">
        <v>536</v>
      </c>
      <c r="AD2525">
        <v>29.96</v>
      </c>
      <c r="AE2525">
        <v>542</v>
      </c>
      <c r="AF2525">
        <v>29</v>
      </c>
      <c r="AG2525">
        <v>174</v>
      </c>
      <c r="AH2525">
        <v>129</v>
      </c>
      <c r="AI2525">
        <v>5.35</v>
      </c>
      <c r="AJ2525">
        <v>32.1</v>
      </c>
      <c r="AK2525">
        <v>23.8</v>
      </c>
      <c r="AL2525">
        <v>-20.194494749999929</v>
      </c>
      <c r="AM2525">
        <v>-44.942951635393733</v>
      </c>
      <c r="AN2525">
        <v>-20.194494749999929</v>
      </c>
      <c r="AO2525">
        <v>-44.942951635393733</v>
      </c>
      <c r="AP2525">
        <v>-20.194417999999999</v>
      </c>
      <c r="AQ2525">
        <v>-44.943080999999999</v>
      </c>
      <c r="AR2525">
        <v>15.9896188813922</v>
      </c>
      <c r="AS2525" t="s">
        <v>65</v>
      </c>
      <c r="AT2525">
        <v>1</v>
      </c>
      <c r="AU2525" t="s">
        <v>1840</v>
      </c>
      <c r="AV2525" t="s">
        <v>1841</v>
      </c>
      <c r="AW2525" t="s">
        <v>60</v>
      </c>
      <c r="AX2525" t="s">
        <v>68</v>
      </c>
      <c r="AY2525" t="s">
        <v>69</v>
      </c>
      <c r="AZ2525" t="b">
        <v>1</v>
      </c>
    </row>
    <row r="2526" spans="1:52" x14ac:dyDescent="0.3">
      <c r="A2526" t="s">
        <v>52</v>
      </c>
      <c r="B2526" t="s">
        <v>53</v>
      </c>
      <c r="C2526" t="s">
        <v>54</v>
      </c>
      <c r="D2526" t="s">
        <v>55</v>
      </c>
      <c r="E2526" t="s">
        <v>2155</v>
      </c>
      <c r="F2526" t="s">
        <v>190</v>
      </c>
      <c r="G2526" t="s">
        <v>1235</v>
      </c>
      <c r="H2526" t="s">
        <v>1236</v>
      </c>
      <c r="I2526" t="s">
        <v>1236</v>
      </c>
      <c r="J2526" t="s">
        <v>60</v>
      </c>
      <c r="K2526" t="s">
        <v>1237</v>
      </c>
      <c r="L2526" t="s">
        <v>62</v>
      </c>
      <c r="M2526" t="s">
        <v>1237</v>
      </c>
      <c r="N2526" t="s">
        <v>1238</v>
      </c>
      <c r="O2526" t="s">
        <v>315</v>
      </c>
      <c r="P2526">
        <v>-20.199687000000001</v>
      </c>
      <c r="Q2526">
        <v>-44.941882999999997</v>
      </c>
      <c r="R2526" s="2" t="str">
        <f>HYPERLINK("https://www.google.com/maps?q=-20.1996870,-44.9418830","Abrir no Google Maps")</f>
        <v>Abrir no Google Maps</v>
      </c>
      <c r="S2526">
        <v>3</v>
      </c>
      <c r="T2526">
        <v>928.80393950893483</v>
      </c>
      <c r="U2526">
        <v>3</v>
      </c>
      <c r="V2526">
        <v>0.41438312574313391</v>
      </c>
      <c r="W2526">
        <v>1</v>
      </c>
      <c r="X2526">
        <v>0.41438312574313391</v>
      </c>
      <c r="Y2526">
        <v>113</v>
      </c>
      <c r="Z2526">
        <v>798.11967422937732</v>
      </c>
      <c r="AA2526">
        <v>198</v>
      </c>
      <c r="AB2526">
        <v>332</v>
      </c>
      <c r="AC2526">
        <v>536</v>
      </c>
      <c r="AD2526">
        <v>29.96</v>
      </c>
      <c r="AE2526">
        <v>542</v>
      </c>
      <c r="AF2526">
        <v>29</v>
      </c>
      <c r="AG2526">
        <v>174</v>
      </c>
      <c r="AH2526">
        <v>129</v>
      </c>
      <c r="AI2526">
        <v>5.35</v>
      </c>
      <c r="AJ2526">
        <v>32.1</v>
      </c>
      <c r="AK2526">
        <v>23.8</v>
      </c>
      <c r="AL2526">
        <v>-20.199663899999958</v>
      </c>
      <c r="AM2526">
        <v>-44.941858448694838</v>
      </c>
      <c r="AN2526">
        <v>-20.199663899999958</v>
      </c>
      <c r="AO2526">
        <v>-44.941858448694838</v>
      </c>
      <c r="AP2526">
        <v>-20.199687000000001</v>
      </c>
      <c r="AQ2526">
        <v>-44.941882999999997</v>
      </c>
      <c r="AR2526">
        <v>3.632019521873886</v>
      </c>
      <c r="AS2526" t="s">
        <v>65</v>
      </c>
      <c r="AT2526">
        <v>1</v>
      </c>
      <c r="AU2526" t="s">
        <v>1239</v>
      </c>
      <c r="AV2526" t="s">
        <v>1240</v>
      </c>
      <c r="AW2526" t="s">
        <v>60</v>
      </c>
      <c r="AX2526" t="s">
        <v>68</v>
      </c>
      <c r="AY2526" t="s">
        <v>69</v>
      </c>
      <c r="AZ2526" t="b">
        <v>1</v>
      </c>
    </row>
    <row r="2527" spans="1:52" x14ac:dyDescent="0.3">
      <c r="A2527" t="s">
        <v>52</v>
      </c>
      <c r="B2527" t="s">
        <v>53</v>
      </c>
      <c r="C2527" t="s">
        <v>54</v>
      </c>
      <c r="D2527" t="s">
        <v>55</v>
      </c>
      <c r="E2527" t="s">
        <v>2155</v>
      </c>
      <c r="F2527" t="s">
        <v>190</v>
      </c>
      <c r="G2527" t="s">
        <v>1235</v>
      </c>
      <c r="H2527" t="s">
        <v>1847</v>
      </c>
      <c r="I2527" t="s">
        <v>1847</v>
      </c>
      <c r="J2527" t="s">
        <v>60</v>
      </c>
      <c r="K2527" t="s">
        <v>1243</v>
      </c>
      <c r="L2527" t="s">
        <v>62</v>
      </c>
      <c r="M2527" t="s">
        <v>1243</v>
      </c>
      <c r="N2527" t="s">
        <v>1238</v>
      </c>
      <c r="O2527" t="s">
        <v>1351</v>
      </c>
      <c r="P2527">
        <v>-20.194087</v>
      </c>
      <c r="Q2527">
        <v>-44.936889999999998</v>
      </c>
      <c r="R2527" s="2" t="str">
        <f>HYPERLINK("https://www.google.com/maps?q=-20.1940870,-44.9368900","Abrir no Google Maps")</f>
        <v>Abrir no Google Maps</v>
      </c>
      <c r="S2527">
        <v>3</v>
      </c>
      <c r="T2527">
        <v>257.18642318734362</v>
      </c>
      <c r="U2527">
        <v>3</v>
      </c>
      <c r="V2527">
        <v>0.41509182840558678</v>
      </c>
      <c r="W2527">
        <v>1</v>
      </c>
      <c r="X2527">
        <v>0.41509182840558678</v>
      </c>
      <c r="Y2527">
        <v>113</v>
      </c>
      <c r="Z2527">
        <v>339.77652558311001</v>
      </c>
      <c r="AA2527">
        <v>198</v>
      </c>
      <c r="AB2527">
        <v>332</v>
      </c>
      <c r="AC2527">
        <v>536</v>
      </c>
      <c r="AD2527">
        <v>29.96</v>
      </c>
      <c r="AE2527">
        <v>542</v>
      </c>
      <c r="AF2527">
        <v>29</v>
      </c>
      <c r="AG2527">
        <v>174</v>
      </c>
      <c r="AH2527">
        <v>129</v>
      </c>
      <c r="AI2527">
        <v>5.35</v>
      </c>
      <c r="AJ2527">
        <v>32.1</v>
      </c>
      <c r="AK2527">
        <v>23.8</v>
      </c>
      <c r="AL2527">
        <v>-20.19405954999996</v>
      </c>
      <c r="AM2527">
        <v>-44.936949074015281</v>
      </c>
      <c r="AN2527">
        <v>-20.19405954999996</v>
      </c>
      <c r="AO2527">
        <v>-44.936949074015281</v>
      </c>
      <c r="AP2527">
        <v>-20.194087</v>
      </c>
      <c r="AQ2527">
        <v>-44.936889999999998</v>
      </c>
      <c r="AR2527">
        <v>6.8869138825619167</v>
      </c>
      <c r="AS2527" t="s">
        <v>65</v>
      </c>
      <c r="AT2527">
        <v>1</v>
      </c>
      <c r="AU2527" t="s">
        <v>1848</v>
      </c>
      <c r="AV2527" t="s">
        <v>1849</v>
      </c>
      <c r="AW2527" t="s">
        <v>60</v>
      </c>
      <c r="AX2527" t="s">
        <v>68</v>
      </c>
      <c r="AY2527" t="s">
        <v>69</v>
      </c>
      <c r="AZ2527" t="b">
        <v>1</v>
      </c>
    </row>
    <row r="2528" spans="1:52" x14ac:dyDescent="0.3">
      <c r="A2528" t="s">
        <v>52</v>
      </c>
      <c r="B2528" t="s">
        <v>53</v>
      </c>
      <c r="C2528" t="s">
        <v>54</v>
      </c>
      <c r="D2528" t="s">
        <v>55</v>
      </c>
      <c r="E2528" t="s">
        <v>2155</v>
      </c>
      <c r="F2528" t="s">
        <v>190</v>
      </c>
      <c r="G2528" t="s">
        <v>1850</v>
      </c>
      <c r="H2528" t="s">
        <v>1851</v>
      </c>
      <c r="I2528" t="s">
        <v>1851</v>
      </c>
      <c r="J2528" t="s">
        <v>60</v>
      </c>
      <c r="K2528" t="s">
        <v>1681</v>
      </c>
      <c r="L2528" t="s">
        <v>62</v>
      </c>
      <c r="M2528" t="s">
        <v>1681</v>
      </c>
      <c r="N2528" t="s">
        <v>1852</v>
      </c>
      <c r="O2528" t="s">
        <v>1853</v>
      </c>
      <c r="P2528">
        <v>-20.139354000000001</v>
      </c>
      <c r="Q2528">
        <v>-44.855398999999998</v>
      </c>
      <c r="R2528" s="2" t="str">
        <f>HYPERLINK("https://www.google.com/maps?q=-20.1393540,-44.8553990","Abrir no Google Maps")</f>
        <v>Abrir no Google Maps</v>
      </c>
      <c r="S2528">
        <v>3</v>
      </c>
      <c r="T2528">
        <v>694.41696355871329</v>
      </c>
      <c r="U2528">
        <v>3</v>
      </c>
      <c r="V2528">
        <v>0.40980195475985443</v>
      </c>
      <c r="W2528">
        <v>1</v>
      </c>
      <c r="X2528">
        <v>0.40980195475985443</v>
      </c>
      <c r="Y2528">
        <v>95</v>
      </c>
      <c r="Z2528">
        <v>790.58507878435637</v>
      </c>
      <c r="AA2528">
        <v>198</v>
      </c>
      <c r="AB2528">
        <v>332</v>
      </c>
      <c r="AC2528">
        <v>536</v>
      </c>
      <c r="AD2528">
        <v>29.96</v>
      </c>
      <c r="AE2528">
        <v>542</v>
      </c>
      <c r="AF2528">
        <v>29</v>
      </c>
      <c r="AG2528">
        <v>174</v>
      </c>
      <c r="AH2528">
        <v>129</v>
      </c>
      <c r="AI2528">
        <v>5.35</v>
      </c>
      <c r="AJ2528">
        <v>32.1</v>
      </c>
      <c r="AK2528">
        <v>23.8</v>
      </c>
      <c r="AL2528">
        <v>-20.139412599999961</v>
      </c>
      <c r="AM2528">
        <v>-44.855150404999961</v>
      </c>
      <c r="AN2528">
        <v>-20.139412599999961</v>
      </c>
      <c r="AO2528">
        <v>-44.855150404999961</v>
      </c>
      <c r="AP2528">
        <v>-20.139354000000001</v>
      </c>
      <c r="AQ2528">
        <v>-44.855398999999998</v>
      </c>
      <c r="AR2528">
        <v>26.787980665123101</v>
      </c>
      <c r="AS2528" t="s">
        <v>65</v>
      </c>
      <c r="AT2528">
        <v>1</v>
      </c>
      <c r="AU2528" t="s">
        <v>1854</v>
      </c>
      <c r="AV2528" t="s">
        <v>1855</v>
      </c>
      <c r="AW2528" t="s">
        <v>60</v>
      </c>
      <c r="AX2528" t="s">
        <v>68</v>
      </c>
      <c r="AY2528" t="s">
        <v>69</v>
      </c>
      <c r="AZ2528" t="b">
        <v>1</v>
      </c>
    </row>
    <row r="2529" spans="1:52" x14ac:dyDescent="0.3">
      <c r="A2529" t="s">
        <v>52</v>
      </c>
      <c r="B2529" t="s">
        <v>53</v>
      </c>
      <c r="C2529" t="s">
        <v>54</v>
      </c>
      <c r="D2529" t="s">
        <v>55</v>
      </c>
      <c r="E2529" t="s">
        <v>2155</v>
      </c>
      <c r="F2529" t="s">
        <v>1247</v>
      </c>
      <c r="G2529" t="s">
        <v>70</v>
      </c>
      <c r="H2529" t="s">
        <v>71</v>
      </c>
      <c r="I2529" t="s">
        <v>71</v>
      </c>
      <c r="J2529" t="s">
        <v>60</v>
      </c>
      <c r="K2529" t="s">
        <v>72</v>
      </c>
      <c r="L2529" t="s">
        <v>62</v>
      </c>
      <c r="M2529" t="s">
        <v>72</v>
      </c>
      <c r="N2529" t="s">
        <v>73</v>
      </c>
      <c r="O2529" t="s">
        <v>74</v>
      </c>
      <c r="P2529">
        <v>-20.149349000000001</v>
      </c>
      <c r="Q2529">
        <v>-44.910784</v>
      </c>
      <c r="R2529" s="2" t="str">
        <f>HYPERLINK("https://www.google.com/maps?q=-20.1493490,-44.9107840","Abrir no Google Maps")</f>
        <v>Abrir no Google Maps</v>
      </c>
      <c r="S2529">
        <v>4</v>
      </c>
      <c r="T2529">
        <v>472.43876549769578</v>
      </c>
      <c r="U2529">
        <v>4</v>
      </c>
      <c r="V2529">
        <v>0.4351990471576227</v>
      </c>
      <c r="W2529">
        <v>1</v>
      </c>
      <c r="X2529">
        <v>0.4351990471576227</v>
      </c>
      <c r="Y2529">
        <v>747</v>
      </c>
      <c r="Z2529">
        <v>441.03921887407779</v>
      </c>
      <c r="AA2529">
        <v>198</v>
      </c>
      <c r="AB2529">
        <v>332</v>
      </c>
      <c r="AC2529">
        <v>536</v>
      </c>
      <c r="AD2529">
        <v>29.96</v>
      </c>
      <c r="AE2529">
        <v>542</v>
      </c>
      <c r="AF2529">
        <v>29</v>
      </c>
      <c r="AG2529">
        <v>174</v>
      </c>
      <c r="AH2529">
        <v>129</v>
      </c>
      <c r="AI2529">
        <v>5.35</v>
      </c>
      <c r="AJ2529">
        <v>32.1</v>
      </c>
      <c r="AK2529">
        <v>23.8</v>
      </c>
      <c r="AL2529">
        <v>-20.149403999999951</v>
      </c>
      <c r="AM2529">
        <v>-44.91080895147438</v>
      </c>
      <c r="AN2529">
        <v>-20.149403999999951</v>
      </c>
      <c r="AO2529">
        <v>-44.91080895147438</v>
      </c>
      <c r="AP2529">
        <v>-20.149349000000001</v>
      </c>
      <c r="AQ2529">
        <v>-44.910784</v>
      </c>
      <c r="AR2529">
        <v>6.6547592699416382</v>
      </c>
      <c r="AS2529" t="s">
        <v>65</v>
      </c>
      <c r="AT2529">
        <v>1</v>
      </c>
      <c r="AU2529" t="s">
        <v>75</v>
      </c>
      <c r="AV2529" t="s">
        <v>76</v>
      </c>
      <c r="AW2529" t="s">
        <v>60</v>
      </c>
      <c r="AX2529" t="s">
        <v>68</v>
      </c>
      <c r="AY2529" t="s">
        <v>69</v>
      </c>
      <c r="AZ2529" t="b">
        <v>1</v>
      </c>
    </row>
    <row r="2530" spans="1:52" x14ac:dyDescent="0.3">
      <c r="A2530" t="s">
        <v>52</v>
      </c>
      <c r="B2530" t="s">
        <v>53</v>
      </c>
      <c r="C2530" t="s">
        <v>54</v>
      </c>
      <c r="D2530" t="s">
        <v>55</v>
      </c>
      <c r="E2530" t="s">
        <v>2155</v>
      </c>
      <c r="F2530" t="s">
        <v>1247</v>
      </c>
      <c r="G2530" t="s">
        <v>77</v>
      </c>
      <c r="H2530" t="s">
        <v>78</v>
      </c>
      <c r="I2530" t="s">
        <v>78</v>
      </c>
      <c r="J2530" t="s">
        <v>60</v>
      </c>
      <c r="K2530" t="s">
        <v>72</v>
      </c>
      <c r="L2530" t="s">
        <v>62</v>
      </c>
      <c r="M2530" t="s">
        <v>72</v>
      </c>
      <c r="N2530" t="s">
        <v>79</v>
      </c>
      <c r="O2530" t="s">
        <v>80</v>
      </c>
      <c r="P2530">
        <v>-20.147821</v>
      </c>
      <c r="Q2530">
        <v>-44.908887</v>
      </c>
      <c r="R2530" s="2" t="str">
        <f>HYPERLINK("https://www.google.com/maps?q=-20.1478210,-44.9088870","Abrir no Google Maps")</f>
        <v>Abrir no Google Maps</v>
      </c>
      <c r="S2530">
        <v>4</v>
      </c>
      <c r="T2530">
        <v>232.2893841532152</v>
      </c>
      <c r="U2530">
        <v>4</v>
      </c>
      <c r="V2530">
        <v>0.43706154247592321</v>
      </c>
      <c r="W2530">
        <v>1</v>
      </c>
      <c r="X2530">
        <v>0.43706154247592321</v>
      </c>
      <c r="Y2530">
        <v>747</v>
      </c>
      <c r="Z2530">
        <v>195.3668648953757</v>
      </c>
      <c r="AA2530">
        <v>198</v>
      </c>
      <c r="AB2530">
        <v>332</v>
      </c>
      <c r="AC2530">
        <v>536</v>
      </c>
      <c r="AD2530">
        <v>29.96</v>
      </c>
      <c r="AE2530">
        <v>542</v>
      </c>
      <c r="AF2530">
        <v>29</v>
      </c>
      <c r="AG2530">
        <v>174</v>
      </c>
      <c r="AH2530">
        <v>129</v>
      </c>
      <c r="AI2530">
        <v>5.35</v>
      </c>
      <c r="AJ2530">
        <v>32.1</v>
      </c>
      <c r="AK2530">
        <v>23.8</v>
      </c>
      <c r="AL2530">
        <v>-20.147802849999952</v>
      </c>
      <c r="AM2530">
        <v>-44.908989919229477</v>
      </c>
      <c r="AN2530">
        <v>-20.147802849999952</v>
      </c>
      <c r="AO2530">
        <v>-44.908989919229491</v>
      </c>
      <c r="AP2530">
        <v>-20.147821</v>
      </c>
      <c r="AQ2530">
        <v>-44.908887</v>
      </c>
      <c r="AR2530">
        <v>10.944007761262529</v>
      </c>
      <c r="AS2530" t="s">
        <v>65</v>
      </c>
      <c r="AT2530">
        <v>1</v>
      </c>
      <c r="AU2530" t="s">
        <v>81</v>
      </c>
      <c r="AV2530" t="s">
        <v>82</v>
      </c>
      <c r="AW2530" t="s">
        <v>60</v>
      </c>
      <c r="AX2530" t="s">
        <v>68</v>
      </c>
      <c r="AY2530" t="s">
        <v>69</v>
      </c>
      <c r="AZ2530" t="b">
        <v>1</v>
      </c>
    </row>
    <row r="2531" spans="1:52" x14ac:dyDescent="0.3">
      <c r="A2531" t="s">
        <v>52</v>
      </c>
      <c r="B2531" t="s">
        <v>53</v>
      </c>
      <c r="C2531" t="s">
        <v>54</v>
      </c>
      <c r="D2531" t="s">
        <v>55</v>
      </c>
      <c r="E2531" t="s">
        <v>2155</v>
      </c>
      <c r="F2531" t="s">
        <v>1247</v>
      </c>
      <c r="G2531" t="s">
        <v>89</v>
      </c>
      <c r="H2531" t="s">
        <v>90</v>
      </c>
      <c r="I2531" t="s">
        <v>90</v>
      </c>
      <c r="J2531" t="s">
        <v>60</v>
      </c>
      <c r="K2531" t="s">
        <v>72</v>
      </c>
      <c r="L2531" t="s">
        <v>62</v>
      </c>
      <c r="M2531" t="s">
        <v>72</v>
      </c>
      <c r="N2531" t="s">
        <v>91</v>
      </c>
      <c r="O2531" t="s">
        <v>92</v>
      </c>
      <c r="P2531">
        <v>-20.145848999999998</v>
      </c>
      <c r="Q2531">
        <v>-44.908419000000002</v>
      </c>
      <c r="R2531" s="2" t="str">
        <f>HYPERLINK("https://www.google.com/maps?q=-20.1458490,-44.9084190","Abrir no Google Maps")</f>
        <v>Abrir no Google Maps</v>
      </c>
      <c r="S2531">
        <v>4</v>
      </c>
      <c r="T2531">
        <v>0</v>
      </c>
      <c r="U2531">
        <v>4</v>
      </c>
      <c r="V2531">
        <v>0.4375156008895344</v>
      </c>
      <c r="W2531">
        <v>1</v>
      </c>
      <c r="X2531">
        <v>0.4375156008895344</v>
      </c>
      <c r="Y2531">
        <v>747</v>
      </c>
      <c r="Z2531">
        <v>136.08168502765241</v>
      </c>
      <c r="AA2531">
        <v>198</v>
      </c>
      <c r="AB2531">
        <v>332</v>
      </c>
      <c r="AC2531">
        <v>536</v>
      </c>
      <c r="AD2531">
        <v>29.96</v>
      </c>
      <c r="AE2531">
        <v>542</v>
      </c>
      <c r="AF2531">
        <v>29</v>
      </c>
      <c r="AG2531">
        <v>174</v>
      </c>
      <c r="AH2531">
        <v>129</v>
      </c>
      <c r="AI2531">
        <v>5.35</v>
      </c>
      <c r="AJ2531">
        <v>32.1</v>
      </c>
      <c r="AK2531">
        <v>23.8</v>
      </c>
      <c r="AL2531">
        <v>-20.14576979999995</v>
      </c>
      <c r="AM2531">
        <v>-44.908436775053183</v>
      </c>
      <c r="AN2531">
        <v>-20.14576979999995</v>
      </c>
      <c r="AO2531">
        <v>-44.908436775053183</v>
      </c>
      <c r="AP2531">
        <v>-20.145848999999998</v>
      </c>
      <c r="AQ2531">
        <v>-44.908419000000002</v>
      </c>
      <c r="AR2531">
        <v>9.0101247482327356</v>
      </c>
      <c r="AS2531" t="s">
        <v>65</v>
      </c>
      <c r="AT2531">
        <v>1</v>
      </c>
      <c r="AU2531" t="s">
        <v>93</v>
      </c>
      <c r="AV2531" t="s">
        <v>94</v>
      </c>
      <c r="AW2531" t="s">
        <v>60</v>
      </c>
      <c r="AX2531" t="s">
        <v>68</v>
      </c>
      <c r="AY2531" t="s">
        <v>69</v>
      </c>
      <c r="AZ2531" t="b">
        <v>1</v>
      </c>
    </row>
    <row r="2532" spans="1:52" x14ac:dyDescent="0.3">
      <c r="A2532" t="s">
        <v>52</v>
      </c>
      <c r="B2532" t="s">
        <v>53</v>
      </c>
      <c r="C2532" t="s">
        <v>54</v>
      </c>
      <c r="D2532" t="s">
        <v>55</v>
      </c>
      <c r="E2532" t="s">
        <v>2155</v>
      </c>
      <c r="F2532" t="s">
        <v>1247</v>
      </c>
      <c r="G2532" t="s">
        <v>95</v>
      </c>
      <c r="H2532" t="s">
        <v>96</v>
      </c>
      <c r="I2532" t="s">
        <v>96</v>
      </c>
      <c r="J2532" t="s">
        <v>60</v>
      </c>
      <c r="K2532" t="s">
        <v>72</v>
      </c>
      <c r="L2532" t="s">
        <v>62</v>
      </c>
      <c r="M2532" t="s">
        <v>72</v>
      </c>
      <c r="N2532" t="s">
        <v>97</v>
      </c>
      <c r="O2532" t="s">
        <v>98</v>
      </c>
      <c r="P2532">
        <v>-20.144062999999999</v>
      </c>
      <c r="Q2532">
        <v>-44.909627999999998</v>
      </c>
      <c r="R2532" s="2" t="str">
        <f>HYPERLINK("https://www.google.com/maps?q=-20.1440630,-44.9096280","Abrir no Google Maps")</f>
        <v>Abrir no Google Maps</v>
      </c>
      <c r="S2532">
        <v>4</v>
      </c>
      <c r="T2532">
        <v>205.27083326529291</v>
      </c>
      <c r="U2532">
        <v>4</v>
      </c>
      <c r="V2532">
        <v>0.42134699106424428</v>
      </c>
      <c r="W2532">
        <v>1</v>
      </c>
      <c r="X2532">
        <v>0.42134699106424428</v>
      </c>
      <c r="Y2532">
        <v>747</v>
      </c>
      <c r="Z2532">
        <v>336.75785483480968</v>
      </c>
      <c r="AA2532">
        <v>198</v>
      </c>
      <c r="AB2532">
        <v>332</v>
      </c>
      <c r="AC2532">
        <v>536</v>
      </c>
      <c r="AD2532">
        <v>29.96</v>
      </c>
      <c r="AE2532">
        <v>542</v>
      </c>
      <c r="AF2532">
        <v>29</v>
      </c>
      <c r="AG2532">
        <v>174</v>
      </c>
      <c r="AH2532">
        <v>129</v>
      </c>
      <c r="AI2532">
        <v>5.35</v>
      </c>
      <c r="AJ2532">
        <v>32.1</v>
      </c>
      <c r="AK2532">
        <v>23.8</v>
      </c>
      <c r="AL2532">
        <v>-20.144164099999951</v>
      </c>
      <c r="AM2532">
        <v>-44.909420167767642</v>
      </c>
      <c r="AN2532">
        <v>-20.144164099999951</v>
      </c>
      <c r="AO2532">
        <v>-44.909420167767642</v>
      </c>
      <c r="AP2532">
        <v>-20.144062999999999</v>
      </c>
      <c r="AQ2532">
        <v>-44.909627999999998</v>
      </c>
      <c r="AR2532">
        <v>24.46321571724976</v>
      </c>
      <c r="AS2532" t="s">
        <v>65</v>
      </c>
      <c r="AT2532">
        <v>1</v>
      </c>
      <c r="AU2532" t="s">
        <v>99</v>
      </c>
      <c r="AV2532" t="s">
        <v>94</v>
      </c>
      <c r="AW2532" t="s">
        <v>60</v>
      </c>
      <c r="AX2532" t="s">
        <v>68</v>
      </c>
      <c r="AY2532" t="s">
        <v>69</v>
      </c>
      <c r="AZ2532" t="b">
        <v>1</v>
      </c>
    </row>
    <row r="2533" spans="1:52" x14ac:dyDescent="0.3">
      <c r="A2533" t="s">
        <v>52</v>
      </c>
      <c r="B2533" t="s">
        <v>53</v>
      </c>
      <c r="C2533" t="s">
        <v>54</v>
      </c>
      <c r="D2533" t="s">
        <v>55</v>
      </c>
      <c r="E2533" t="s">
        <v>2155</v>
      </c>
      <c r="F2533" t="s">
        <v>1247</v>
      </c>
      <c r="G2533" t="s">
        <v>100</v>
      </c>
      <c r="H2533" t="s">
        <v>101</v>
      </c>
      <c r="I2533" t="s">
        <v>101</v>
      </c>
      <c r="J2533" t="s">
        <v>60</v>
      </c>
      <c r="K2533" t="s">
        <v>61</v>
      </c>
      <c r="L2533" t="s">
        <v>62</v>
      </c>
      <c r="M2533" t="s">
        <v>61</v>
      </c>
      <c r="N2533" t="s">
        <v>102</v>
      </c>
      <c r="O2533" t="s">
        <v>103</v>
      </c>
      <c r="P2533">
        <v>-20.151098999999999</v>
      </c>
      <c r="Q2533">
        <v>-44.909699000000003</v>
      </c>
      <c r="R2533" s="2" t="str">
        <f>HYPERLINK("https://www.google.com/maps?q=-20.1510990,-44.9096990","Abrir no Google Maps")</f>
        <v>Abrir no Google Maps</v>
      </c>
      <c r="S2533">
        <v>4</v>
      </c>
      <c r="T2533">
        <v>628.5023128813533</v>
      </c>
      <c r="U2533">
        <v>4</v>
      </c>
      <c r="V2533">
        <v>0.50573232886904773</v>
      </c>
      <c r="W2533">
        <v>1</v>
      </c>
      <c r="X2533">
        <v>0.50573232886904773</v>
      </c>
      <c r="Y2533">
        <v>747</v>
      </c>
      <c r="Z2533">
        <v>563.16456625265948</v>
      </c>
      <c r="AA2533">
        <v>198</v>
      </c>
      <c r="AB2533">
        <v>332</v>
      </c>
      <c r="AC2533">
        <v>536</v>
      </c>
      <c r="AD2533">
        <v>29.96</v>
      </c>
      <c r="AE2533">
        <v>542</v>
      </c>
      <c r="AF2533">
        <v>29</v>
      </c>
      <c r="AG2533">
        <v>174</v>
      </c>
      <c r="AH2533">
        <v>129</v>
      </c>
      <c r="AI2533">
        <v>5.35</v>
      </c>
      <c r="AJ2533">
        <v>32.1</v>
      </c>
      <c r="AK2533">
        <v>23.8</v>
      </c>
      <c r="AL2533">
        <v>-20.151307349999971</v>
      </c>
      <c r="AM2533">
        <v>-44.909772836123523</v>
      </c>
      <c r="AN2533">
        <v>-20.151307349999971</v>
      </c>
      <c r="AO2533">
        <v>-44.909772836123523</v>
      </c>
      <c r="AP2533">
        <v>-20.151098999999999</v>
      </c>
      <c r="AQ2533">
        <v>-44.909699000000003</v>
      </c>
      <c r="AR2533">
        <v>24.443417349564811</v>
      </c>
      <c r="AS2533" t="s">
        <v>65</v>
      </c>
      <c r="AT2533">
        <v>1</v>
      </c>
      <c r="AU2533" t="s">
        <v>104</v>
      </c>
      <c r="AV2533" t="s">
        <v>105</v>
      </c>
      <c r="AW2533" t="s">
        <v>60</v>
      </c>
      <c r="AX2533" t="s">
        <v>68</v>
      </c>
      <c r="AY2533" t="s">
        <v>69</v>
      </c>
      <c r="AZ2533" t="b">
        <v>1</v>
      </c>
    </row>
    <row r="2534" spans="1:52" x14ac:dyDescent="0.3">
      <c r="A2534" t="s">
        <v>52</v>
      </c>
      <c r="B2534" t="s">
        <v>53</v>
      </c>
      <c r="C2534" t="s">
        <v>54</v>
      </c>
      <c r="D2534" t="s">
        <v>55</v>
      </c>
      <c r="E2534" t="s">
        <v>2155</v>
      </c>
      <c r="F2534" t="s">
        <v>1247</v>
      </c>
      <c r="G2534" t="s">
        <v>100</v>
      </c>
      <c r="H2534" t="s">
        <v>106</v>
      </c>
      <c r="I2534" t="s">
        <v>106</v>
      </c>
      <c r="J2534" t="s">
        <v>60</v>
      </c>
      <c r="K2534" t="s">
        <v>61</v>
      </c>
      <c r="L2534" t="s">
        <v>62</v>
      </c>
      <c r="M2534" t="s">
        <v>61</v>
      </c>
      <c r="N2534" t="s">
        <v>102</v>
      </c>
      <c r="O2534" t="s">
        <v>103</v>
      </c>
      <c r="P2534">
        <v>-20.151107</v>
      </c>
      <c r="Q2534">
        <v>-44.908918</v>
      </c>
      <c r="R2534" s="2" t="str">
        <f>HYPERLINK("https://www.google.com/maps?q=-20.1511070,-44.9089180","Abrir no Google Maps")</f>
        <v>Abrir no Google Maps</v>
      </c>
      <c r="S2534">
        <v>4</v>
      </c>
      <c r="T2534">
        <v>615.86400245321579</v>
      </c>
      <c r="U2534">
        <v>4</v>
      </c>
      <c r="V2534">
        <v>0.49716078047985668</v>
      </c>
      <c r="W2534">
        <v>0.85</v>
      </c>
      <c r="X2534">
        <v>0.42258666340787809</v>
      </c>
      <c r="Y2534">
        <v>747</v>
      </c>
      <c r="Z2534">
        <v>535.34543763764702</v>
      </c>
      <c r="AA2534">
        <v>198</v>
      </c>
      <c r="AB2534">
        <v>332</v>
      </c>
      <c r="AC2534">
        <v>536</v>
      </c>
      <c r="AD2534">
        <v>29.96</v>
      </c>
      <c r="AE2534">
        <v>542</v>
      </c>
      <c r="AF2534">
        <v>29</v>
      </c>
      <c r="AG2534">
        <v>174</v>
      </c>
      <c r="AH2534">
        <v>129</v>
      </c>
      <c r="AI2534">
        <v>5.35</v>
      </c>
      <c r="AJ2534">
        <v>32.1</v>
      </c>
      <c r="AK2534">
        <v>23.8</v>
      </c>
      <c r="AL2534">
        <v>-20.151307349999971</v>
      </c>
      <c r="AM2534">
        <v>-44.909024234051429</v>
      </c>
      <c r="AN2534">
        <v>-20.151307349999971</v>
      </c>
      <c r="AO2534">
        <v>-44.909024234051429</v>
      </c>
      <c r="AP2534">
        <v>-20.151107</v>
      </c>
      <c r="AQ2534">
        <v>-44.908918</v>
      </c>
      <c r="AR2534">
        <v>24.91340747371116</v>
      </c>
      <c r="AS2534" t="s">
        <v>65</v>
      </c>
      <c r="AT2534">
        <v>1</v>
      </c>
      <c r="AU2534" t="s">
        <v>107</v>
      </c>
      <c r="AV2534" t="s">
        <v>105</v>
      </c>
      <c r="AW2534" t="s">
        <v>60</v>
      </c>
      <c r="AX2534" t="s">
        <v>68</v>
      </c>
      <c r="AY2534" t="s">
        <v>69</v>
      </c>
      <c r="AZ2534" t="b">
        <v>1</v>
      </c>
    </row>
    <row r="2535" spans="1:52" x14ac:dyDescent="0.3">
      <c r="A2535" t="s">
        <v>52</v>
      </c>
      <c r="B2535" t="s">
        <v>53</v>
      </c>
      <c r="C2535" t="s">
        <v>54</v>
      </c>
      <c r="D2535" t="s">
        <v>55</v>
      </c>
      <c r="E2535" t="s">
        <v>2155</v>
      </c>
      <c r="F2535" t="s">
        <v>1247</v>
      </c>
      <c r="G2535" t="s">
        <v>58</v>
      </c>
      <c r="H2535" t="s">
        <v>59</v>
      </c>
      <c r="I2535" t="s">
        <v>59</v>
      </c>
      <c r="J2535" t="s">
        <v>60</v>
      </c>
      <c r="K2535" t="s">
        <v>61</v>
      </c>
      <c r="L2535" t="s">
        <v>62</v>
      </c>
      <c r="M2535" t="s">
        <v>61</v>
      </c>
      <c r="N2535" t="s">
        <v>63</v>
      </c>
      <c r="O2535" t="s">
        <v>64</v>
      </c>
      <c r="P2535">
        <v>-20.147940999999999</v>
      </c>
      <c r="Q2535">
        <v>-44.906514000000001</v>
      </c>
      <c r="R2535" s="2" t="str">
        <f>HYPERLINK("https://www.google.com/maps?q=-20.1479410,-44.9065140","Abrir no Google Maps")</f>
        <v>Abrir no Google Maps</v>
      </c>
      <c r="S2535">
        <v>4</v>
      </c>
      <c r="T2535">
        <v>308.67004994113421</v>
      </c>
      <c r="U2535">
        <v>3</v>
      </c>
      <c r="V2535">
        <v>0.41449352834180347</v>
      </c>
      <c r="W2535">
        <v>1</v>
      </c>
      <c r="X2535">
        <v>0.41449352834180347</v>
      </c>
      <c r="Y2535">
        <v>747</v>
      </c>
      <c r="Z2535">
        <v>274.71440454502522</v>
      </c>
      <c r="AA2535">
        <v>198</v>
      </c>
      <c r="AB2535">
        <v>332</v>
      </c>
      <c r="AC2535">
        <v>536</v>
      </c>
      <c r="AD2535">
        <v>29.96</v>
      </c>
      <c r="AE2535">
        <v>542</v>
      </c>
      <c r="AF2535">
        <v>29</v>
      </c>
      <c r="AG2535">
        <v>174</v>
      </c>
      <c r="AH2535">
        <v>129</v>
      </c>
      <c r="AI2535">
        <v>5.35</v>
      </c>
      <c r="AJ2535">
        <v>32.1</v>
      </c>
      <c r="AK2535">
        <v>23.8</v>
      </c>
      <c r="AL2535">
        <v>-20.147947799999969</v>
      </c>
      <c r="AM2535">
        <v>-44.906591596129203</v>
      </c>
      <c r="AN2535">
        <v>-20.147947799999969</v>
      </c>
      <c r="AO2535">
        <v>-44.906591596129203</v>
      </c>
      <c r="AP2535">
        <v>-20.147940999999999</v>
      </c>
      <c r="AQ2535">
        <v>-44.906514000000001</v>
      </c>
      <c r="AR2535">
        <v>8.1446636170570326</v>
      </c>
      <c r="AS2535" t="s">
        <v>65</v>
      </c>
      <c r="AT2535">
        <v>1</v>
      </c>
      <c r="AU2535" t="s">
        <v>66</v>
      </c>
      <c r="AV2535" t="s">
        <v>67</v>
      </c>
      <c r="AW2535" t="s">
        <v>60</v>
      </c>
      <c r="AX2535" t="s">
        <v>68</v>
      </c>
      <c r="AY2535" t="s">
        <v>69</v>
      </c>
      <c r="AZ2535" t="b">
        <v>1</v>
      </c>
    </row>
    <row r="2536" spans="1:52" x14ac:dyDescent="0.3">
      <c r="A2536" t="s">
        <v>52</v>
      </c>
      <c r="B2536" t="s">
        <v>53</v>
      </c>
      <c r="C2536" t="s">
        <v>54</v>
      </c>
      <c r="D2536" t="s">
        <v>55</v>
      </c>
      <c r="E2536" t="s">
        <v>2155</v>
      </c>
      <c r="F2536" t="s">
        <v>1247</v>
      </c>
      <c r="G2536" t="s">
        <v>191</v>
      </c>
      <c r="H2536" t="s">
        <v>192</v>
      </c>
      <c r="I2536" t="s">
        <v>192</v>
      </c>
      <c r="J2536" t="s">
        <v>60</v>
      </c>
      <c r="K2536" t="s">
        <v>193</v>
      </c>
      <c r="L2536" t="s">
        <v>62</v>
      </c>
      <c r="M2536" t="s">
        <v>193</v>
      </c>
      <c r="N2536" t="s">
        <v>194</v>
      </c>
      <c r="O2536" t="s">
        <v>195</v>
      </c>
      <c r="P2536">
        <v>-20.143266000000001</v>
      </c>
      <c r="Q2536">
        <v>-44.912075000000002</v>
      </c>
      <c r="R2536" s="2" t="str">
        <f>HYPERLINK("https://www.google.com/maps?q=-20.1432660,-44.9120750","Abrir no Google Maps")</f>
        <v>Abrir no Google Maps</v>
      </c>
      <c r="S2536">
        <v>4</v>
      </c>
      <c r="T2536">
        <v>467.04339396175408</v>
      </c>
      <c r="U2536">
        <v>3</v>
      </c>
      <c r="V2536">
        <v>0.42051864309052472</v>
      </c>
      <c r="W2536">
        <v>1</v>
      </c>
      <c r="X2536">
        <v>0.42051864309052472</v>
      </c>
      <c r="Y2536">
        <v>747</v>
      </c>
      <c r="Z2536">
        <v>585.1742452866996</v>
      </c>
      <c r="AA2536">
        <v>198</v>
      </c>
      <c r="AB2536">
        <v>332</v>
      </c>
      <c r="AC2536">
        <v>536</v>
      </c>
      <c r="AD2536">
        <v>29.96</v>
      </c>
      <c r="AE2536">
        <v>542</v>
      </c>
      <c r="AF2536">
        <v>29</v>
      </c>
      <c r="AG2536">
        <v>174</v>
      </c>
      <c r="AH2536">
        <v>129</v>
      </c>
      <c r="AI2536">
        <v>5.35</v>
      </c>
      <c r="AJ2536">
        <v>32.1</v>
      </c>
      <c r="AK2536">
        <v>23.8</v>
      </c>
      <c r="AL2536">
        <v>-20.143307949999951</v>
      </c>
      <c r="AM2536">
        <v>-44.912066629431067</v>
      </c>
      <c r="AN2536">
        <v>-20.143307949999951</v>
      </c>
      <c r="AO2536">
        <v>-44.912066629431067</v>
      </c>
      <c r="AP2536">
        <v>-20.143266000000001</v>
      </c>
      <c r="AQ2536">
        <v>-44.912075000000002</v>
      </c>
      <c r="AR2536">
        <v>4.751108024498329</v>
      </c>
      <c r="AS2536" t="s">
        <v>65</v>
      </c>
      <c r="AT2536">
        <v>1</v>
      </c>
      <c r="AU2536" t="s">
        <v>196</v>
      </c>
      <c r="AV2536" t="s">
        <v>197</v>
      </c>
      <c r="AW2536" t="s">
        <v>60</v>
      </c>
      <c r="AX2536" t="s">
        <v>68</v>
      </c>
      <c r="AY2536" t="s">
        <v>69</v>
      </c>
      <c r="AZ2536" t="b">
        <v>1</v>
      </c>
    </row>
    <row r="2537" spans="1:52" x14ac:dyDescent="0.3">
      <c r="A2537" t="s">
        <v>52</v>
      </c>
      <c r="B2537" t="s">
        <v>53</v>
      </c>
      <c r="C2537" t="s">
        <v>54</v>
      </c>
      <c r="D2537" t="s">
        <v>55</v>
      </c>
      <c r="E2537" t="s">
        <v>2155</v>
      </c>
      <c r="F2537" t="s">
        <v>1247</v>
      </c>
      <c r="G2537" t="s">
        <v>83</v>
      </c>
      <c r="H2537" t="s">
        <v>84</v>
      </c>
      <c r="I2537" t="s">
        <v>84</v>
      </c>
      <c r="J2537" t="s">
        <v>60</v>
      </c>
      <c r="K2537" t="s">
        <v>61</v>
      </c>
      <c r="L2537" t="s">
        <v>62</v>
      </c>
      <c r="M2537" t="s">
        <v>61</v>
      </c>
      <c r="N2537" t="s">
        <v>85</v>
      </c>
      <c r="O2537" t="s">
        <v>86</v>
      </c>
      <c r="P2537">
        <v>-20.149799000000002</v>
      </c>
      <c r="Q2537">
        <v>-44.906517000000001</v>
      </c>
      <c r="R2537" s="2" t="str">
        <f>HYPERLINK("https://www.google.com/maps?q=-20.1497990,-44.9065170","Abrir no Google Maps")</f>
        <v>Abrir no Google Maps</v>
      </c>
      <c r="S2537">
        <v>4</v>
      </c>
      <c r="T2537">
        <v>487.90051105537998</v>
      </c>
      <c r="U2537">
        <v>3</v>
      </c>
      <c r="V2537">
        <v>0.4072574587582129</v>
      </c>
      <c r="W2537">
        <v>1</v>
      </c>
      <c r="X2537">
        <v>0.4072574587582129</v>
      </c>
      <c r="Y2537">
        <v>747</v>
      </c>
      <c r="Z2537">
        <v>365.93785960107078</v>
      </c>
      <c r="AA2537">
        <v>198</v>
      </c>
      <c r="AB2537">
        <v>332</v>
      </c>
      <c r="AC2537">
        <v>536</v>
      </c>
      <c r="AD2537">
        <v>29.96</v>
      </c>
      <c r="AE2537">
        <v>542</v>
      </c>
      <c r="AF2537">
        <v>29</v>
      </c>
      <c r="AG2537">
        <v>174</v>
      </c>
      <c r="AH2537">
        <v>129</v>
      </c>
      <c r="AI2537">
        <v>5.35</v>
      </c>
      <c r="AJ2537">
        <v>32.1</v>
      </c>
      <c r="AK2537">
        <v>23.8</v>
      </c>
      <c r="AL2537">
        <v>-20.149879599999959</v>
      </c>
      <c r="AM2537">
        <v>-44.906746466068469</v>
      </c>
      <c r="AN2537">
        <v>-20.149879599999959</v>
      </c>
      <c r="AO2537">
        <v>-44.906746466068469</v>
      </c>
      <c r="AP2537">
        <v>-20.149799000000002</v>
      </c>
      <c r="AQ2537">
        <v>-44.906517000000001</v>
      </c>
      <c r="AR2537">
        <v>25.604276856970429</v>
      </c>
      <c r="AS2537" t="s">
        <v>65</v>
      </c>
      <c r="AT2537">
        <v>1</v>
      </c>
      <c r="AU2537" t="s">
        <v>87</v>
      </c>
      <c r="AV2537" t="s">
        <v>88</v>
      </c>
      <c r="AW2537" t="s">
        <v>60</v>
      </c>
      <c r="AX2537" t="s">
        <v>68</v>
      </c>
      <c r="AY2537" t="s">
        <v>69</v>
      </c>
      <c r="AZ2537" t="b">
        <v>1</v>
      </c>
    </row>
    <row r="2538" spans="1:52" x14ac:dyDescent="0.3">
      <c r="A2538" t="s">
        <v>52</v>
      </c>
      <c r="B2538" t="s">
        <v>53</v>
      </c>
      <c r="C2538" t="s">
        <v>54</v>
      </c>
      <c r="D2538" t="s">
        <v>55</v>
      </c>
      <c r="E2538" t="s">
        <v>2155</v>
      </c>
      <c r="F2538" t="s">
        <v>1247</v>
      </c>
      <c r="G2538" t="s">
        <v>115</v>
      </c>
      <c r="H2538" t="s">
        <v>116</v>
      </c>
      <c r="I2538" t="s">
        <v>116</v>
      </c>
      <c r="J2538" t="s">
        <v>60</v>
      </c>
      <c r="K2538" t="s">
        <v>117</v>
      </c>
      <c r="L2538" t="s">
        <v>62</v>
      </c>
      <c r="M2538" t="s">
        <v>117</v>
      </c>
      <c r="N2538" t="s">
        <v>118</v>
      </c>
      <c r="O2538" t="s">
        <v>119</v>
      </c>
      <c r="P2538">
        <v>-20.116992</v>
      </c>
      <c r="Q2538">
        <v>-44.899355</v>
      </c>
      <c r="R2538" s="2" t="str">
        <f>HYPERLINK("https://www.google.com/maps?q=-20.1169920,-44.8993550","Abrir no Google Maps")</f>
        <v>Abrir no Google Maps</v>
      </c>
      <c r="S2538">
        <v>4</v>
      </c>
      <c r="T2538">
        <v>0</v>
      </c>
      <c r="U2538">
        <v>3</v>
      </c>
      <c r="V2538">
        <v>0.41290298556572719</v>
      </c>
      <c r="W2538">
        <v>1</v>
      </c>
      <c r="X2538">
        <v>0.41290298556572719</v>
      </c>
      <c r="Y2538">
        <v>567</v>
      </c>
      <c r="Z2538">
        <v>54.913678078353321</v>
      </c>
      <c r="AA2538">
        <v>198</v>
      </c>
      <c r="AB2538">
        <v>332</v>
      </c>
      <c r="AC2538">
        <v>536</v>
      </c>
      <c r="AD2538">
        <v>29.96</v>
      </c>
      <c r="AE2538">
        <v>542</v>
      </c>
      <c r="AF2538">
        <v>29</v>
      </c>
      <c r="AG2538">
        <v>174</v>
      </c>
      <c r="AH2538">
        <v>129</v>
      </c>
      <c r="AI2538">
        <v>5.35</v>
      </c>
      <c r="AJ2538">
        <v>32.1</v>
      </c>
      <c r="AK2538">
        <v>23.8</v>
      </c>
      <c r="AL2538">
        <v>-20.117107749999949</v>
      </c>
      <c r="AM2538">
        <v>-44.899271226243108</v>
      </c>
      <c r="AN2538">
        <v>-20.117107749999949</v>
      </c>
      <c r="AO2538">
        <v>-44.899271226243108</v>
      </c>
      <c r="AP2538">
        <v>-20.116992</v>
      </c>
      <c r="AQ2538">
        <v>-44.899355</v>
      </c>
      <c r="AR2538">
        <v>15.579196044083419</v>
      </c>
      <c r="AS2538" t="s">
        <v>65</v>
      </c>
      <c r="AT2538">
        <v>1</v>
      </c>
      <c r="AU2538" t="s">
        <v>120</v>
      </c>
      <c r="AV2538" t="s">
        <v>121</v>
      </c>
      <c r="AW2538" t="s">
        <v>60</v>
      </c>
      <c r="AX2538" t="s">
        <v>68</v>
      </c>
      <c r="AY2538" t="s">
        <v>69</v>
      </c>
      <c r="AZ2538" t="b">
        <v>1</v>
      </c>
    </row>
    <row r="2539" spans="1:52" x14ac:dyDescent="0.3">
      <c r="A2539" t="s">
        <v>52</v>
      </c>
      <c r="B2539" t="s">
        <v>53</v>
      </c>
      <c r="C2539" t="s">
        <v>54</v>
      </c>
      <c r="D2539" t="s">
        <v>55</v>
      </c>
      <c r="E2539" t="s">
        <v>2155</v>
      </c>
      <c r="F2539" t="s">
        <v>1247</v>
      </c>
      <c r="G2539" t="s">
        <v>122</v>
      </c>
      <c r="H2539" t="s">
        <v>123</v>
      </c>
      <c r="I2539" t="s">
        <v>123</v>
      </c>
      <c r="J2539" t="s">
        <v>60</v>
      </c>
      <c r="K2539" t="s">
        <v>117</v>
      </c>
      <c r="L2539" t="s">
        <v>62</v>
      </c>
      <c r="M2539" t="s">
        <v>117</v>
      </c>
      <c r="N2539" t="s">
        <v>124</v>
      </c>
      <c r="O2539" t="s">
        <v>125</v>
      </c>
      <c r="P2539">
        <v>-20.11853</v>
      </c>
      <c r="Q2539">
        <v>-44.896925000000003</v>
      </c>
      <c r="R2539" s="2" t="str">
        <f>HYPERLINK("https://www.google.com/maps?q=-20.1185300,-44.8969250","Abrir no Google Maps")</f>
        <v>Abrir no Google Maps</v>
      </c>
      <c r="S2539">
        <v>4</v>
      </c>
      <c r="T2539">
        <v>325.32255721093247</v>
      </c>
      <c r="U2539">
        <v>3</v>
      </c>
      <c r="V2539">
        <v>0.4153702379060033</v>
      </c>
      <c r="W2539">
        <v>1</v>
      </c>
      <c r="X2539">
        <v>0.4153702379060033</v>
      </c>
      <c r="Y2539">
        <v>567</v>
      </c>
      <c r="Z2539">
        <v>306.04423478678871</v>
      </c>
      <c r="AA2539">
        <v>198</v>
      </c>
      <c r="AB2539">
        <v>332</v>
      </c>
      <c r="AC2539">
        <v>536</v>
      </c>
      <c r="AD2539">
        <v>29.96</v>
      </c>
      <c r="AE2539">
        <v>542</v>
      </c>
      <c r="AF2539">
        <v>29</v>
      </c>
      <c r="AG2539">
        <v>174</v>
      </c>
      <c r="AH2539">
        <v>129</v>
      </c>
      <c r="AI2539">
        <v>5.35</v>
      </c>
      <c r="AJ2539">
        <v>32.1</v>
      </c>
      <c r="AK2539">
        <v>23.8</v>
      </c>
      <c r="AL2539">
        <v>-20.118682499999949</v>
      </c>
      <c r="AM2539">
        <v>-44.896643089287927</v>
      </c>
      <c r="AN2539">
        <v>-20.118682499999949</v>
      </c>
      <c r="AO2539">
        <v>-44.896643089287927</v>
      </c>
      <c r="AP2539">
        <v>-20.11853</v>
      </c>
      <c r="AQ2539">
        <v>-44.896925000000003</v>
      </c>
      <c r="AR2539">
        <v>34.007698996886518</v>
      </c>
      <c r="AS2539" t="s">
        <v>65</v>
      </c>
      <c r="AT2539">
        <v>1</v>
      </c>
      <c r="AU2539" t="s">
        <v>126</v>
      </c>
      <c r="AV2539" t="s">
        <v>121</v>
      </c>
      <c r="AW2539" t="s">
        <v>60</v>
      </c>
      <c r="AX2539" t="s">
        <v>68</v>
      </c>
      <c r="AY2539" t="s">
        <v>69</v>
      </c>
      <c r="AZ2539" t="b">
        <v>1</v>
      </c>
    </row>
    <row r="2540" spans="1:52" x14ac:dyDescent="0.3">
      <c r="A2540" t="s">
        <v>52</v>
      </c>
      <c r="B2540" t="s">
        <v>53</v>
      </c>
      <c r="C2540" t="s">
        <v>54</v>
      </c>
      <c r="D2540" t="s">
        <v>55</v>
      </c>
      <c r="E2540" t="s">
        <v>2155</v>
      </c>
      <c r="F2540" t="s">
        <v>1247</v>
      </c>
      <c r="G2540" t="s">
        <v>1248</v>
      </c>
      <c r="H2540" t="s">
        <v>1249</v>
      </c>
      <c r="I2540" t="s">
        <v>1249</v>
      </c>
      <c r="J2540" t="s">
        <v>60</v>
      </c>
      <c r="K2540" t="s">
        <v>61</v>
      </c>
      <c r="L2540" t="s">
        <v>62</v>
      </c>
      <c r="M2540" t="s">
        <v>61</v>
      </c>
      <c r="N2540" t="s">
        <v>1250</v>
      </c>
      <c r="O2540" t="s">
        <v>202</v>
      </c>
      <c r="P2540">
        <v>-20.145337999999999</v>
      </c>
      <c r="Q2540">
        <v>-44.906260000000003</v>
      </c>
      <c r="R2540" s="2" t="str">
        <f>HYPERLINK("https://www.google.com/maps?q=-20.1453380,-44.9062600","Abrir no Google Maps")</f>
        <v>Abrir no Google Maps</v>
      </c>
      <c r="S2540">
        <v>4</v>
      </c>
      <c r="T2540">
        <v>231.8105263092443</v>
      </c>
      <c r="U2540">
        <v>2</v>
      </c>
      <c r="V2540">
        <v>0.41632286007928349</v>
      </c>
      <c r="W2540">
        <v>0.85</v>
      </c>
      <c r="X2540">
        <v>0.35387443106739103</v>
      </c>
      <c r="Y2540">
        <v>747</v>
      </c>
      <c r="Z2540">
        <v>210.09098260239841</v>
      </c>
      <c r="AA2540">
        <v>198</v>
      </c>
      <c r="AB2540">
        <v>332</v>
      </c>
      <c r="AC2540">
        <v>536</v>
      </c>
      <c r="AD2540">
        <v>29.96</v>
      </c>
      <c r="AE2540">
        <v>542</v>
      </c>
      <c r="AF2540">
        <v>29</v>
      </c>
      <c r="AG2540">
        <v>174</v>
      </c>
      <c r="AH2540">
        <v>129</v>
      </c>
      <c r="AI2540">
        <v>5.35</v>
      </c>
      <c r="AJ2540">
        <v>32.1</v>
      </c>
      <c r="AK2540">
        <v>23.8</v>
      </c>
      <c r="AL2540">
        <v>-20.14545934999995</v>
      </c>
      <c r="AM2540">
        <v>-44.906243174283489</v>
      </c>
      <c r="AN2540">
        <v>-20.14545934999995</v>
      </c>
      <c r="AO2540">
        <v>-44.906243174283489</v>
      </c>
      <c r="AP2540">
        <v>-20.145337999999999</v>
      </c>
      <c r="AQ2540">
        <v>-44.906260000000003</v>
      </c>
      <c r="AR2540">
        <v>13.622651392262521</v>
      </c>
      <c r="AS2540" t="s">
        <v>65</v>
      </c>
      <c r="AT2540">
        <v>1</v>
      </c>
      <c r="AU2540" t="s">
        <v>1251</v>
      </c>
      <c r="AV2540" t="s">
        <v>1252</v>
      </c>
      <c r="AW2540" t="s">
        <v>60</v>
      </c>
      <c r="AX2540" t="s">
        <v>68</v>
      </c>
      <c r="AY2540" t="s">
        <v>69</v>
      </c>
      <c r="AZ2540" t="b">
        <v>1</v>
      </c>
    </row>
    <row r="2541" spans="1:52" x14ac:dyDescent="0.3">
      <c r="A2541" t="s">
        <v>52</v>
      </c>
      <c r="B2541" t="s">
        <v>53</v>
      </c>
      <c r="C2541" t="s">
        <v>54</v>
      </c>
      <c r="D2541" t="s">
        <v>55</v>
      </c>
      <c r="E2541" t="s">
        <v>2155</v>
      </c>
      <c r="F2541" t="s">
        <v>1247</v>
      </c>
      <c r="G2541" t="s">
        <v>108</v>
      </c>
      <c r="H2541" t="s">
        <v>109</v>
      </c>
      <c r="I2541" t="s">
        <v>109</v>
      </c>
      <c r="J2541" t="s">
        <v>60</v>
      </c>
      <c r="K2541" t="s">
        <v>110</v>
      </c>
      <c r="L2541" t="s">
        <v>62</v>
      </c>
      <c r="M2541" t="s">
        <v>110</v>
      </c>
      <c r="N2541" t="s">
        <v>111</v>
      </c>
      <c r="O2541" t="s">
        <v>112</v>
      </c>
      <c r="P2541">
        <v>-20.122233999999999</v>
      </c>
      <c r="Q2541">
        <v>-44.909194999999997</v>
      </c>
      <c r="R2541" s="2" t="str">
        <f>HYPERLINK("https://www.google.com/maps?q=-20.1222340,-44.9091950","Abrir no Google Maps")</f>
        <v>Abrir no Google Maps</v>
      </c>
      <c r="S2541">
        <v>4</v>
      </c>
      <c r="T2541">
        <v>1171.396020763932</v>
      </c>
      <c r="U2541">
        <v>2</v>
      </c>
      <c r="V2541">
        <v>0.45925699105145418</v>
      </c>
      <c r="W2541">
        <v>0.85</v>
      </c>
      <c r="X2541">
        <v>0.39036844239373603</v>
      </c>
      <c r="Y2541">
        <v>567</v>
      </c>
      <c r="Z2541">
        <v>1238.711234283244</v>
      </c>
      <c r="AA2541">
        <v>198</v>
      </c>
      <c r="AB2541">
        <v>332</v>
      </c>
      <c r="AC2541">
        <v>536</v>
      </c>
      <c r="AD2541">
        <v>29.96</v>
      </c>
      <c r="AE2541">
        <v>542</v>
      </c>
      <c r="AF2541">
        <v>29</v>
      </c>
      <c r="AG2541">
        <v>174</v>
      </c>
      <c r="AH2541">
        <v>129</v>
      </c>
      <c r="AI2541">
        <v>5.35</v>
      </c>
      <c r="AJ2541">
        <v>32.1</v>
      </c>
      <c r="AK2541">
        <v>23.8</v>
      </c>
      <c r="AL2541">
        <v>-20.121881249999941</v>
      </c>
      <c r="AM2541">
        <v>-44.909273766094323</v>
      </c>
      <c r="AN2541">
        <v>-20.121881249999941</v>
      </c>
      <c r="AO2541">
        <v>-44.909273766094323</v>
      </c>
      <c r="AP2541">
        <v>-20.122233999999999</v>
      </c>
      <c r="AQ2541">
        <v>-44.909194999999997</v>
      </c>
      <c r="AR2541">
        <v>40.12192930593006</v>
      </c>
      <c r="AS2541" t="s">
        <v>65</v>
      </c>
      <c r="AT2541">
        <v>1</v>
      </c>
      <c r="AU2541" t="s">
        <v>113</v>
      </c>
      <c r="AV2541" t="s">
        <v>114</v>
      </c>
      <c r="AW2541" t="s">
        <v>60</v>
      </c>
      <c r="AX2541" t="s">
        <v>68</v>
      </c>
      <c r="AY2541" t="s">
        <v>69</v>
      </c>
      <c r="AZ2541" t="b">
        <v>1</v>
      </c>
    </row>
    <row r="2542" spans="1:52" x14ac:dyDescent="0.3">
      <c r="A2542" t="s">
        <v>52</v>
      </c>
      <c r="B2542" t="s">
        <v>53</v>
      </c>
      <c r="C2542" t="s">
        <v>54</v>
      </c>
      <c r="D2542" t="s">
        <v>55</v>
      </c>
      <c r="E2542" t="s">
        <v>2155</v>
      </c>
      <c r="F2542" t="s">
        <v>1247</v>
      </c>
      <c r="G2542" t="s">
        <v>1258</v>
      </c>
      <c r="H2542" t="s">
        <v>1259</v>
      </c>
      <c r="I2542" t="s">
        <v>1259</v>
      </c>
      <c r="J2542" t="s">
        <v>60</v>
      </c>
      <c r="K2542" t="s">
        <v>905</v>
      </c>
      <c r="L2542" t="s">
        <v>62</v>
      </c>
      <c r="M2542" t="s">
        <v>905</v>
      </c>
      <c r="N2542" t="s">
        <v>1260</v>
      </c>
      <c r="O2542" t="s">
        <v>628</v>
      </c>
      <c r="P2542">
        <v>-20.113569999999999</v>
      </c>
      <c r="Q2542">
        <v>-44.897216</v>
      </c>
      <c r="R2542" s="2" t="str">
        <f>HYPERLINK("https://www.google.com/maps?q=-20.1135700,-44.8972160","Abrir no Google Maps")</f>
        <v>Abrir no Google Maps</v>
      </c>
      <c r="S2542">
        <v>4</v>
      </c>
      <c r="T2542">
        <v>418.54368277643368</v>
      </c>
      <c r="U2542">
        <v>2</v>
      </c>
      <c r="V2542">
        <v>0.41218156985750459</v>
      </c>
      <c r="W2542">
        <v>0.85</v>
      </c>
      <c r="X2542">
        <v>0.35035433437887892</v>
      </c>
      <c r="Y2542">
        <v>567</v>
      </c>
      <c r="Z2542">
        <v>315.02989622191018</v>
      </c>
      <c r="AA2542">
        <v>198</v>
      </c>
      <c r="AB2542">
        <v>332</v>
      </c>
      <c r="AC2542">
        <v>536</v>
      </c>
      <c r="AD2542">
        <v>29.96</v>
      </c>
      <c r="AE2542">
        <v>542</v>
      </c>
      <c r="AF2542">
        <v>29</v>
      </c>
      <c r="AG2542">
        <v>174</v>
      </c>
      <c r="AH2542">
        <v>129</v>
      </c>
      <c r="AI2542">
        <v>5.35</v>
      </c>
      <c r="AJ2542">
        <v>32.1</v>
      </c>
      <c r="AK2542">
        <v>23.8</v>
      </c>
      <c r="AL2542">
        <v>-20.113750149999959</v>
      </c>
      <c r="AM2542">
        <v>-44.897427949999937</v>
      </c>
      <c r="AN2542">
        <v>-20.113750149999959</v>
      </c>
      <c r="AO2542">
        <v>-44.897427949999937</v>
      </c>
      <c r="AP2542">
        <v>-20.113569999999999</v>
      </c>
      <c r="AQ2542">
        <v>-44.897216</v>
      </c>
      <c r="AR2542">
        <v>29.883644534822711</v>
      </c>
      <c r="AS2542" t="s">
        <v>65</v>
      </c>
      <c r="AT2542">
        <v>1</v>
      </c>
      <c r="AU2542" t="s">
        <v>1261</v>
      </c>
      <c r="AV2542" t="s">
        <v>1262</v>
      </c>
      <c r="AW2542" t="s">
        <v>60</v>
      </c>
      <c r="AX2542" t="s">
        <v>68</v>
      </c>
      <c r="AY2542" t="s">
        <v>69</v>
      </c>
      <c r="AZ2542" t="b">
        <v>1</v>
      </c>
    </row>
    <row r="2543" spans="1:52" x14ac:dyDescent="0.3">
      <c r="A2543" t="s">
        <v>52</v>
      </c>
      <c r="B2543" t="s">
        <v>53</v>
      </c>
      <c r="C2543" t="s">
        <v>54</v>
      </c>
      <c r="D2543" t="s">
        <v>55</v>
      </c>
      <c r="E2543" t="s">
        <v>2155</v>
      </c>
      <c r="F2543" t="s">
        <v>1247</v>
      </c>
      <c r="G2543" t="s">
        <v>198</v>
      </c>
      <c r="H2543" t="s">
        <v>199</v>
      </c>
      <c r="I2543" t="s">
        <v>199</v>
      </c>
      <c r="J2543" t="s">
        <v>60</v>
      </c>
      <c r="K2543" t="s">
        <v>200</v>
      </c>
      <c r="L2543" t="s">
        <v>62</v>
      </c>
      <c r="M2543" t="s">
        <v>200</v>
      </c>
      <c r="N2543" t="s">
        <v>201</v>
      </c>
      <c r="O2543" t="s">
        <v>202</v>
      </c>
      <c r="P2543">
        <v>-20.122433000000001</v>
      </c>
      <c r="Q2543">
        <v>-44.897013999999999</v>
      </c>
      <c r="R2543" s="2" t="str">
        <f>HYPERLINK("https://www.google.com/maps?q=-20.1224330,-44.8970140","Abrir no Google Maps")</f>
        <v>Abrir no Google Maps</v>
      </c>
      <c r="S2543">
        <v>4</v>
      </c>
      <c r="T2543">
        <v>616.04759279207849</v>
      </c>
      <c r="U2543">
        <v>2</v>
      </c>
      <c r="V2543">
        <v>0.44019289529735828</v>
      </c>
      <c r="W2543">
        <v>0.85</v>
      </c>
      <c r="X2543">
        <v>0.37416396100275451</v>
      </c>
      <c r="Y2543">
        <v>567</v>
      </c>
      <c r="Z2543">
        <v>655.51024138861465</v>
      </c>
      <c r="AA2543">
        <v>198</v>
      </c>
      <c r="AB2543">
        <v>332</v>
      </c>
      <c r="AC2543">
        <v>536</v>
      </c>
      <c r="AD2543">
        <v>29.96</v>
      </c>
      <c r="AE2543">
        <v>542</v>
      </c>
      <c r="AF2543">
        <v>29</v>
      </c>
      <c r="AG2543">
        <v>174</v>
      </c>
      <c r="AH2543">
        <v>129</v>
      </c>
      <c r="AI2543">
        <v>5.35</v>
      </c>
      <c r="AJ2543">
        <v>32.1</v>
      </c>
      <c r="AK2543">
        <v>23.8</v>
      </c>
      <c r="AL2543">
        <v>-20.122144949999949</v>
      </c>
      <c r="AM2543">
        <v>-44.896761973125983</v>
      </c>
      <c r="AN2543">
        <v>-20.122144949999949</v>
      </c>
      <c r="AO2543">
        <v>-44.896761973125983</v>
      </c>
      <c r="AP2543">
        <v>-20.122433000000001</v>
      </c>
      <c r="AQ2543">
        <v>-44.897013999999999</v>
      </c>
      <c r="AR2543">
        <v>41.499066772735389</v>
      </c>
      <c r="AS2543" t="s">
        <v>65</v>
      </c>
      <c r="AT2543">
        <v>1</v>
      </c>
      <c r="AU2543" t="s">
        <v>203</v>
      </c>
      <c r="AV2543" t="s">
        <v>204</v>
      </c>
      <c r="AW2543" t="s">
        <v>60</v>
      </c>
      <c r="AX2543" t="s">
        <v>68</v>
      </c>
      <c r="AY2543" t="s">
        <v>69</v>
      </c>
      <c r="AZ2543" t="b">
        <v>1</v>
      </c>
    </row>
    <row r="2544" spans="1:52" x14ac:dyDescent="0.3">
      <c r="A2544" t="s">
        <v>52</v>
      </c>
      <c r="B2544" t="s">
        <v>53</v>
      </c>
      <c r="C2544" t="s">
        <v>54</v>
      </c>
      <c r="D2544" t="s">
        <v>55</v>
      </c>
      <c r="E2544" t="s">
        <v>2155</v>
      </c>
      <c r="F2544" t="s">
        <v>1247</v>
      </c>
      <c r="G2544" t="s">
        <v>1263</v>
      </c>
      <c r="H2544" t="s">
        <v>1264</v>
      </c>
      <c r="I2544" t="s">
        <v>1264</v>
      </c>
      <c r="J2544" t="s">
        <v>60</v>
      </c>
      <c r="K2544" t="s">
        <v>1265</v>
      </c>
      <c r="L2544" t="s">
        <v>62</v>
      </c>
      <c r="M2544" t="s">
        <v>1265</v>
      </c>
      <c r="N2544" t="s">
        <v>1266</v>
      </c>
      <c r="O2544" t="s">
        <v>1267</v>
      </c>
      <c r="P2544">
        <v>-20.116924000000001</v>
      </c>
      <c r="Q2544">
        <v>-44.906587000000002</v>
      </c>
      <c r="R2544" s="2" t="str">
        <f>HYPERLINK("https://www.google.com/maps?q=-20.1169240,-44.9065870","Abrir no Google Maps")</f>
        <v>Abrir no Google Maps</v>
      </c>
      <c r="S2544">
        <v>4</v>
      </c>
      <c r="T2544">
        <v>745.10453961787857</v>
      </c>
      <c r="U2544">
        <v>2</v>
      </c>
      <c r="V2544">
        <v>0.4250436615477266</v>
      </c>
      <c r="W2544">
        <v>0.85</v>
      </c>
      <c r="X2544">
        <v>0.36128711231556759</v>
      </c>
      <c r="Y2544">
        <v>567</v>
      </c>
      <c r="Z2544">
        <v>816.44456345071217</v>
      </c>
      <c r="AA2544">
        <v>198</v>
      </c>
      <c r="AB2544">
        <v>332</v>
      </c>
      <c r="AC2544">
        <v>536</v>
      </c>
      <c r="AD2544">
        <v>29.96</v>
      </c>
      <c r="AE2544">
        <v>542</v>
      </c>
      <c r="AF2544">
        <v>29</v>
      </c>
      <c r="AG2544">
        <v>174</v>
      </c>
      <c r="AH2544">
        <v>129</v>
      </c>
      <c r="AI2544">
        <v>5.35</v>
      </c>
      <c r="AJ2544">
        <v>32.1</v>
      </c>
      <c r="AK2544">
        <v>23.8</v>
      </c>
      <c r="AL2544">
        <v>-20.117279149999941</v>
      </c>
      <c r="AM2544">
        <v>-44.906397211815133</v>
      </c>
      <c r="AN2544">
        <v>-20.117279149999941</v>
      </c>
      <c r="AO2544">
        <v>-44.906397211815133</v>
      </c>
      <c r="AP2544">
        <v>-20.116924000000001</v>
      </c>
      <c r="AQ2544">
        <v>-44.906587000000002</v>
      </c>
      <c r="AR2544">
        <v>44.233430660980403</v>
      </c>
      <c r="AS2544" t="s">
        <v>65</v>
      </c>
      <c r="AT2544">
        <v>1</v>
      </c>
      <c r="AU2544" t="s">
        <v>1268</v>
      </c>
      <c r="AV2544" t="s">
        <v>1269</v>
      </c>
      <c r="AW2544" t="s">
        <v>60</v>
      </c>
      <c r="AX2544" t="s">
        <v>68</v>
      </c>
      <c r="AY2544" t="s">
        <v>69</v>
      </c>
      <c r="AZ2544" t="b">
        <v>1</v>
      </c>
    </row>
    <row r="2545" spans="1:52" x14ac:dyDescent="0.3">
      <c r="A2545" t="s">
        <v>52</v>
      </c>
      <c r="B2545" t="s">
        <v>53</v>
      </c>
      <c r="C2545" t="s">
        <v>54</v>
      </c>
      <c r="D2545" t="s">
        <v>55</v>
      </c>
      <c r="E2545" t="s">
        <v>2155</v>
      </c>
      <c r="F2545" t="s">
        <v>1247</v>
      </c>
      <c r="G2545" t="s">
        <v>205</v>
      </c>
      <c r="H2545" t="s">
        <v>206</v>
      </c>
      <c r="I2545" t="s">
        <v>206</v>
      </c>
      <c r="J2545" t="s">
        <v>60</v>
      </c>
      <c r="K2545" t="s">
        <v>207</v>
      </c>
      <c r="L2545" t="s">
        <v>62</v>
      </c>
      <c r="M2545" t="s">
        <v>207</v>
      </c>
      <c r="N2545" t="s">
        <v>208</v>
      </c>
      <c r="O2545" t="s">
        <v>209</v>
      </c>
      <c r="P2545">
        <v>-20.117533999999999</v>
      </c>
      <c r="Q2545">
        <v>-44.892943000000002</v>
      </c>
      <c r="R2545" s="2" t="str">
        <f>HYPERLINK("https://www.google.com/maps?q=-20.1175340,-44.8929430","Abrir no Google Maps")</f>
        <v>Abrir no Google Maps</v>
      </c>
      <c r="S2545">
        <v>4</v>
      </c>
      <c r="T2545">
        <v>601.98486688021592</v>
      </c>
      <c r="U2545">
        <v>2</v>
      </c>
      <c r="V2545">
        <v>0.44865868471621179</v>
      </c>
      <c r="W2545">
        <v>0.85</v>
      </c>
      <c r="X2545">
        <v>0.38135988200878002</v>
      </c>
      <c r="Y2545">
        <v>567</v>
      </c>
      <c r="Z2545">
        <v>574.59225706016446</v>
      </c>
      <c r="AA2545">
        <v>198</v>
      </c>
      <c r="AB2545">
        <v>332</v>
      </c>
      <c r="AC2545">
        <v>536</v>
      </c>
      <c r="AD2545">
        <v>29.96</v>
      </c>
      <c r="AE2545">
        <v>542</v>
      </c>
      <c r="AF2545">
        <v>29</v>
      </c>
      <c r="AG2545">
        <v>174</v>
      </c>
      <c r="AH2545">
        <v>129</v>
      </c>
      <c r="AI2545">
        <v>5.35</v>
      </c>
      <c r="AJ2545">
        <v>32.1</v>
      </c>
      <c r="AK2545">
        <v>23.8</v>
      </c>
      <c r="AL2545">
        <v>-20.11671494999996</v>
      </c>
      <c r="AM2545">
        <v>-44.89352717833448</v>
      </c>
      <c r="AN2545">
        <v>-20.11671494999996</v>
      </c>
      <c r="AO2545">
        <v>-44.89352717833448</v>
      </c>
      <c r="AP2545">
        <v>-20.117533999999999</v>
      </c>
      <c r="AQ2545">
        <v>-44.892943000000002</v>
      </c>
      <c r="AR2545">
        <v>109.7357164799156</v>
      </c>
      <c r="AS2545" t="s">
        <v>65</v>
      </c>
      <c r="AT2545">
        <v>1</v>
      </c>
      <c r="AU2545" t="s">
        <v>210</v>
      </c>
      <c r="AV2545" t="s">
        <v>211</v>
      </c>
      <c r="AW2545" t="s">
        <v>60</v>
      </c>
      <c r="AX2545" t="s">
        <v>68</v>
      </c>
      <c r="AY2545" t="s">
        <v>69</v>
      </c>
      <c r="AZ2545" t="b">
        <v>1</v>
      </c>
    </row>
    <row r="2546" spans="1:52" x14ac:dyDescent="0.3">
      <c r="A2546" t="s">
        <v>52</v>
      </c>
      <c r="B2546" t="s">
        <v>53</v>
      </c>
      <c r="C2546" t="s">
        <v>54</v>
      </c>
      <c r="D2546" t="s">
        <v>55</v>
      </c>
      <c r="E2546" t="s">
        <v>2155</v>
      </c>
      <c r="F2546" t="s">
        <v>1247</v>
      </c>
      <c r="G2546" t="s">
        <v>83</v>
      </c>
      <c r="H2546" t="s">
        <v>1253</v>
      </c>
      <c r="I2546" t="s">
        <v>1253</v>
      </c>
      <c r="J2546" t="s">
        <v>60</v>
      </c>
      <c r="K2546" t="s">
        <v>72</v>
      </c>
      <c r="L2546" t="s">
        <v>62</v>
      </c>
      <c r="M2546" t="s">
        <v>72</v>
      </c>
      <c r="N2546" t="s">
        <v>1254</v>
      </c>
      <c r="O2546" t="s">
        <v>1255</v>
      </c>
      <c r="P2546">
        <v>-20.147164</v>
      </c>
      <c r="Q2546">
        <v>-44.905259000000001</v>
      </c>
      <c r="R2546" s="2" t="str">
        <f>HYPERLINK("https://www.google.com/maps?q=-20.1471640,-44.9052590","Abrir no Google Maps")</f>
        <v>Abrir no Google Maps</v>
      </c>
      <c r="S2546">
        <v>4</v>
      </c>
      <c r="T2546">
        <v>364.08569180502712</v>
      </c>
      <c r="U2546">
        <v>1</v>
      </c>
      <c r="V2546">
        <v>0.40369885684220602</v>
      </c>
      <c r="W2546">
        <v>0.85</v>
      </c>
      <c r="X2546">
        <v>0.34314402831587509</v>
      </c>
      <c r="Y2546">
        <v>747</v>
      </c>
      <c r="Z2546">
        <v>309.89238988435022</v>
      </c>
      <c r="AA2546">
        <v>198</v>
      </c>
      <c r="AB2546">
        <v>332</v>
      </c>
      <c r="AC2546">
        <v>536</v>
      </c>
      <c r="AD2546">
        <v>29.96</v>
      </c>
      <c r="AE2546">
        <v>542</v>
      </c>
      <c r="AF2546">
        <v>29</v>
      </c>
      <c r="AG2546">
        <v>174</v>
      </c>
      <c r="AH2546">
        <v>129</v>
      </c>
      <c r="AI2546">
        <v>5.35</v>
      </c>
      <c r="AJ2546">
        <v>32.1</v>
      </c>
      <c r="AK2546">
        <v>23.8</v>
      </c>
      <c r="AL2546">
        <v>-20.14718674999995</v>
      </c>
      <c r="AM2546">
        <v>-44.905292621565764</v>
      </c>
      <c r="AN2546">
        <v>-20.147186749999939</v>
      </c>
      <c r="AO2546">
        <v>-44.905292621565764</v>
      </c>
      <c r="AP2546">
        <v>-20.147164</v>
      </c>
      <c r="AQ2546">
        <v>-44.905259000000001</v>
      </c>
      <c r="AR2546">
        <v>4.3312880650984971</v>
      </c>
      <c r="AS2546" t="s">
        <v>65</v>
      </c>
      <c r="AT2546">
        <v>1</v>
      </c>
      <c r="AU2546" t="s">
        <v>1256</v>
      </c>
      <c r="AV2546" t="s">
        <v>1257</v>
      </c>
      <c r="AW2546" t="s">
        <v>60</v>
      </c>
      <c r="AX2546" t="s">
        <v>68</v>
      </c>
      <c r="AY2546" t="s">
        <v>69</v>
      </c>
      <c r="AZ2546" t="b">
        <v>1</v>
      </c>
    </row>
    <row r="2547" spans="1:52" x14ac:dyDescent="0.3">
      <c r="A2547" t="s">
        <v>52</v>
      </c>
      <c r="B2547" t="s">
        <v>53</v>
      </c>
      <c r="C2547" t="s">
        <v>54</v>
      </c>
      <c r="D2547" t="s">
        <v>55</v>
      </c>
      <c r="E2547" t="s">
        <v>2155</v>
      </c>
      <c r="F2547" t="s">
        <v>1247</v>
      </c>
      <c r="G2547" t="s">
        <v>1127</v>
      </c>
      <c r="H2547" t="s">
        <v>1270</v>
      </c>
      <c r="I2547" t="s">
        <v>1270</v>
      </c>
      <c r="J2547" t="s">
        <v>60</v>
      </c>
      <c r="K2547" t="s">
        <v>200</v>
      </c>
      <c r="L2547" t="s">
        <v>62</v>
      </c>
      <c r="M2547" t="s">
        <v>200</v>
      </c>
      <c r="N2547" t="s">
        <v>1271</v>
      </c>
      <c r="O2547" t="s">
        <v>315</v>
      </c>
      <c r="P2547">
        <v>-20.123483</v>
      </c>
      <c r="Q2547">
        <v>-44.904159</v>
      </c>
      <c r="R2547" s="2" t="str">
        <f>HYPERLINK("https://www.google.com/maps?q=-20.1234830,-44.9041590","Abrir no Google Maps")</f>
        <v>Abrir no Google Maps</v>
      </c>
      <c r="S2547">
        <v>4</v>
      </c>
      <c r="T2547">
        <v>1046.2792913459141</v>
      </c>
      <c r="U2547">
        <v>1</v>
      </c>
      <c r="V2547">
        <v>0.1506140350877192</v>
      </c>
      <c r="W2547">
        <v>0.85</v>
      </c>
      <c r="X2547">
        <v>0.12802192982456129</v>
      </c>
      <c r="Y2547">
        <v>567</v>
      </c>
      <c r="Z2547">
        <v>1072.1273144328541</v>
      </c>
      <c r="AA2547">
        <v>198</v>
      </c>
      <c r="AB2547">
        <v>332</v>
      </c>
      <c r="AC2547">
        <v>536</v>
      </c>
      <c r="AD2547">
        <v>29.96</v>
      </c>
      <c r="AE2547">
        <v>542</v>
      </c>
      <c r="AF2547">
        <v>29</v>
      </c>
      <c r="AG2547">
        <v>174</v>
      </c>
      <c r="AH2547">
        <v>129</v>
      </c>
      <c r="AI2547">
        <v>5.35</v>
      </c>
      <c r="AJ2547">
        <v>32.1</v>
      </c>
      <c r="AK2547">
        <v>23.8</v>
      </c>
      <c r="AL2547">
        <v>-20.12548399999994</v>
      </c>
      <c r="AM2547">
        <v>-44.903913990586467</v>
      </c>
      <c r="AN2547">
        <v>-20.12548399999994</v>
      </c>
      <c r="AO2547">
        <v>-44.903913990586467</v>
      </c>
      <c r="AP2547">
        <v>-20.123483</v>
      </c>
      <c r="AQ2547">
        <v>-44.904159</v>
      </c>
      <c r="AR2547">
        <v>224.218591682908</v>
      </c>
      <c r="AS2547" t="s">
        <v>65</v>
      </c>
      <c r="AT2547">
        <v>1</v>
      </c>
      <c r="AU2547" t="s">
        <v>1272</v>
      </c>
      <c r="AV2547" t="s">
        <v>1273</v>
      </c>
      <c r="AW2547" t="s">
        <v>60</v>
      </c>
      <c r="AX2547" t="s">
        <v>68</v>
      </c>
      <c r="AY2547" t="s">
        <v>69</v>
      </c>
      <c r="AZ2547" t="b">
        <v>1</v>
      </c>
    </row>
    <row r="2548" spans="1:52" x14ac:dyDescent="0.3">
      <c r="A2548" t="s">
        <v>52</v>
      </c>
      <c r="B2548" t="s">
        <v>53</v>
      </c>
      <c r="C2548" t="s">
        <v>54</v>
      </c>
      <c r="D2548" t="s">
        <v>55</v>
      </c>
      <c r="E2548" t="s">
        <v>2155</v>
      </c>
      <c r="F2548" t="s">
        <v>1247</v>
      </c>
      <c r="G2548" t="s">
        <v>404</v>
      </c>
      <c r="H2548" t="s">
        <v>405</v>
      </c>
      <c r="I2548" t="s">
        <v>405</v>
      </c>
      <c r="J2548" t="s">
        <v>60</v>
      </c>
      <c r="K2548" t="s">
        <v>388</v>
      </c>
      <c r="L2548" t="s">
        <v>62</v>
      </c>
      <c r="M2548" t="s">
        <v>388</v>
      </c>
      <c r="N2548" t="s">
        <v>406</v>
      </c>
      <c r="O2548" t="s">
        <v>407</v>
      </c>
      <c r="P2548">
        <v>-20.162780999999999</v>
      </c>
      <c r="Q2548">
        <v>-44.904437999999999</v>
      </c>
      <c r="R2548" s="2" t="str">
        <f>HYPERLINK("https://www.google.com/maps?q=-20.1627810,-44.9044380","Abrir no Google Maps")</f>
        <v>Abrir no Google Maps</v>
      </c>
      <c r="S2548">
        <v>3</v>
      </c>
      <c r="T2548">
        <v>681.0891377731482</v>
      </c>
      <c r="U2548">
        <v>4</v>
      </c>
      <c r="V2548">
        <v>0.43630569556779852</v>
      </c>
      <c r="W2548">
        <v>1</v>
      </c>
      <c r="X2548">
        <v>0.43630569556779852</v>
      </c>
      <c r="Y2548">
        <v>729</v>
      </c>
      <c r="Z2548">
        <v>564.17713687218622</v>
      </c>
      <c r="AA2548">
        <v>198</v>
      </c>
      <c r="AB2548">
        <v>332</v>
      </c>
      <c r="AC2548">
        <v>536</v>
      </c>
      <c r="AD2548">
        <v>29.96</v>
      </c>
      <c r="AE2548">
        <v>542</v>
      </c>
      <c r="AF2548">
        <v>29</v>
      </c>
      <c r="AG2548">
        <v>174</v>
      </c>
      <c r="AH2548">
        <v>129</v>
      </c>
      <c r="AI2548">
        <v>5.35</v>
      </c>
      <c r="AJ2548">
        <v>32.1</v>
      </c>
      <c r="AK2548">
        <v>23.8</v>
      </c>
      <c r="AL2548">
        <v>-20.16295434999995</v>
      </c>
      <c r="AM2548">
        <v>-44.904242686956152</v>
      </c>
      <c r="AN2548">
        <v>-20.16295434999995</v>
      </c>
      <c r="AO2548">
        <v>-44.904242686956152</v>
      </c>
      <c r="AP2548">
        <v>-20.162780999999999</v>
      </c>
      <c r="AQ2548">
        <v>-44.904437999999999</v>
      </c>
      <c r="AR2548">
        <v>28.088191280523411</v>
      </c>
      <c r="AS2548" t="s">
        <v>65</v>
      </c>
      <c r="AT2548">
        <v>1</v>
      </c>
      <c r="AU2548" t="s">
        <v>408</v>
      </c>
      <c r="AV2548" t="s">
        <v>409</v>
      </c>
      <c r="AW2548" t="s">
        <v>60</v>
      </c>
      <c r="AX2548" t="s">
        <v>68</v>
      </c>
      <c r="AY2548" t="s">
        <v>69</v>
      </c>
      <c r="AZ2548" t="b">
        <v>1</v>
      </c>
    </row>
    <row r="2549" spans="1:52" x14ac:dyDescent="0.3">
      <c r="A2549" t="s">
        <v>52</v>
      </c>
      <c r="B2549" t="s">
        <v>53</v>
      </c>
      <c r="C2549" t="s">
        <v>54</v>
      </c>
      <c r="D2549" t="s">
        <v>55</v>
      </c>
      <c r="E2549" t="s">
        <v>2155</v>
      </c>
      <c r="F2549" t="s">
        <v>1247</v>
      </c>
      <c r="G2549" t="s">
        <v>410</v>
      </c>
      <c r="H2549" t="s">
        <v>411</v>
      </c>
      <c r="I2549" t="s">
        <v>411</v>
      </c>
      <c r="J2549" t="s">
        <v>60</v>
      </c>
      <c r="K2549" t="s">
        <v>388</v>
      </c>
      <c r="L2549" t="s">
        <v>62</v>
      </c>
      <c r="M2549" t="s">
        <v>388</v>
      </c>
      <c r="N2549" t="s">
        <v>412</v>
      </c>
      <c r="O2549" t="s">
        <v>413</v>
      </c>
      <c r="P2549">
        <v>-20.161394000000001</v>
      </c>
      <c r="Q2549">
        <v>-44.906725999999999</v>
      </c>
      <c r="R2549" s="2" t="str">
        <f>HYPERLINK("https://www.google.com/maps?q=-20.1613940,-44.9067260","Abrir no Google Maps")</f>
        <v>Abrir no Google Maps</v>
      </c>
      <c r="S2549">
        <v>3</v>
      </c>
      <c r="T2549">
        <v>763.68157548493457</v>
      </c>
      <c r="U2549">
        <v>4</v>
      </c>
      <c r="V2549">
        <v>0.42543343025088259</v>
      </c>
      <c r="W2549">
        <v>1</v>
      </c>
      <c r="X2549">
        <v>0.42543343025088259</v>
      </c>
      <c r="Y2549">
        <v>729</v>
      </c>
      <c r="Z2549">
        <v>551.70379325948545</v>
      </c>
      <c r="AA2549">
        <v>198</v>
      </c>
      <c r="AB2549">
        <v>332</v>
      </c>
      <c r="AC2549">
        <v>536</v>
      </c>
      <c r="AD2549">
        <v>29.96</v>
      </c>
      <c r="AE2549">
        <v>542</v>
      </c>
      <c r="AF2549">
        <v>29</v>
      </c>
      <c r="AG2549">
        <v>174</v>
      </c>
      <c r="AH2549">
        <v>129</v>
      </c>
      <c r="AI2549">
        <v>5.35</v>
      </c>
      <c r="AJ2549">
        <v>32.1</v>
      </c>
      <c r="AK2549">
        <v>23.8</v>
      </c>
      <c r="AL2549">
        <v>-20.161371049999929</v>
      </c>
      <c r="AM2549">
        <v>-44.906816797310228</v>
      </c>
      <c r="AN2549">
        <v>-20.161371049999929</v>
      </c>
      <c r="AO2549">
        <v>-44.906816797310228</v>
      </c>
      <c r="AP2549">
        <v>-20.161394000000001</v>
      </c>
      <c r="AQ2549">
        <v>-44.906725999999999</v>
      </c>
      <c r="AR2549">
        <v>9.8261555662022495</v>
      </c>
      <c r="AS2549" t="s">
        <v>65</v>
      </c>
      <c r="AT2549">
        <v>1</v>
      </c>
      <c r="AU2549" t="s">
        <v>414</v>
      </c>
      <c r="AV2549" t="s">
        <v>415</v>
      </c>
      <c r="AW2549" t="s">
        <v>60</v>
      </c>
      <c r="AX2549" t="s">
        <v>68</v>
      </c>
      <c r="AY2549" t="s">
        <v>69</v>
      </c>
      <c r="AZ2549" t="b">
        <v>1</v>
      </c>
    </row>
    <row r="2550" spans="1:52" x14ac:dyDescent="0.3">
      <c r="A2550" t="s">
        <v>52</v>
      </c>
      <c r="B2550" t="s">
        <v>53</v>
      </c>
      <c r="C2550" t="s">
        <v>54</v>
      </c>
      <c r="D2550" t="s">
        <v>55</v>
      </c>
      <c r="E2550" t="s">
        <v>2155</v>
      </c>
      <c r="F2550" t="s">
        <v>1247</v>
      </c>
      <c r="G2550" t="s">
        <v>422</v>
      </c>
      <c r="H2550" t="s">
        <v>423</v>
      </c>
      <c r="I2550" t="s">
        <v>423</v>
      </c>
      <c r="J2550" t="s">
        <v>60</v>
      </c>
      <c r="K2550" t="s">
        <v>424</v>
      </c>
      <c r="L2550" t="s">
        <v>62</v>
      </c>
      <c r="M2550" t="s">
        <v>424</v>
      </c>
      <c r="N2550" t="s">
        <v>425</v>
      </c>
      <c r="O2550" t="s">
        <v>426</v>
      </c>
      <c r="P2550">
        <v>-20.177748000000001</v>
      </c>
      <c r="Q2550">
        <v>-44.912475000000001</v>
      </c>
      <c r="R2550" s="2" t="str">
        <f>HYPERLINK("https://www.google.com/maps?q=-20.1777480,-44.9124750","Abrir no Google Maps")</f>
        <v>Abrir no Google Maps</v>
      </c>
      <c r="S2550">
        <v>3</v>
      </c>
      <c r="T2550">
        <v>657.07560140436533</v>
      </c>
      <c r="U2550">
        <v>4</v>
      </c>
      <c r="V2550">
        <v>0.43180751224902231</v>
      </c>
      <c r="W2550">
        <v>1</v>
      </c>
      <c r="X2550">
        <v>0.43180751224902231</v>
      </c>
      <c r="Y2550">
        <v>723</v>
      </c>
      <c r="Z2550">
        <v>796.94198000561175</v>
      </c>
      <c r="AA2550">
        <v>198</v>
      </c>
      <c r="AB2550">
        <v>332</v>
      </c>
      <c r="AC2550">
        <v>536</v>
      </c>
      <c r="AD2550">
        <v>29.96</v>
      </c>
      <c r="AE2550">
        <v>542</v>
      </c>
      <c r="AF2550">
        <v>29</v>
      </c>
      <c r="AG2550">
        <v>174</v>
      </c>
      <c r="AH2550">
        <v>129</v>
      </c>
      <c r="AI2550">
        <v>5.35</v>
      </c>
      <c r="AJ2550">
        <v>32.1</v>
      </c>
      <c r="AK2550">
        <v>23.8</v>
      </c>
      <c r="AL2550">
        <v>-20.177761749999949</v>
      </c>
      <c r="AM2550">
        <v>-44.91263311624418</v>
      </c>
      <c r="AN2550">
        <v>-20.177761749999949</v>
      </c>
      <c r="AO2550">
        <v>-44.91263311624418</v>
      </c>
      <c r="AP2550">
        <v>-20.177748000000001</v>
      </c>
      <c r="AQ2550">
        <v>-44.912475000000001</v>
      </c>
      <c r="AR2550">
        <v>16.591996803075372</v>
      </c>
      <c r="AS2550" t="s">
        <v>65</v>
      </c>
      <c r="AT2550">
        <v>1</v>
      </c>
      <c r="AU2550" t="s">
        <v>427</v>
      </c>
      <c r="AV2550" t="s">
        <v>428</v>
      </c>
      <c r="AW2550" t="s">
        <v>60</v>
      </c>
      <c r="AX2550" t="s">
        <v>68</v>
      </c>
      <c r="AY2550" t="s">
        <v>69</v>
      </c>
      <c r="AZ2550" t="b">
        <v>1</v>
      </c>
    </row>
    <row r="2551" spans="1:52" x14ac:dyDescent="0.3">
      <c r="A2551" t="s">
        <v>52</v>
      </c>
      <c r="B2551" t="s">
        <v>53</v>
      </c>
      <c r="C2551" t="s">
        <v>54</v>
      </c>
      <c r="D2551" t="s">
        <v>55</v>
      </c>
      <c r="E2551" t="s">
        <v>2155</v>
      </c>
      <c r="F2551" t="s">
        <v>1247</v>
      </c>
      <c r="G2551" t="s">
        <v>454</v>
      </c>
      <c r="H2551" t="s">
        <v>455</v>
      </c>
      <c r="I2551" t="s">
        <v>455</v>
      </c>
      <c r="J2551" t="s">
        <v>60</v>
      </c>
      <c r="K2551" t="s">
        <v>456</v>
      </c>
      <c r="L2551" t="s">
        <v>62</v>
      </c>
      <c r="M2551" t="s">
        <v>456</v>
      </c>
      <c r="N2551" t="s">
        <v>102</v>
      </c>
      <c r="O2551" t="s">
        <v>457</v>
      </c>
      <c r="P2551">
        <v>-20.138373999999999</v>
      </c>
      <c r="Q2551">
        <v>-44.903756999999999</v>
      </c>
      <c r="R2551" s="2" t="str">
        <f>HYPERLINK("https://www.google.com/maps?q=-20.1383740,-44.9037570","Abrir no Google Maps")</f>
        <v>Abrir no Google Maps</v>
      </c>
      <c r="S2551">
        <v>3</v>
      </c>
      <c r="T2551">
        <v>357.59466273594461</v>
      </c>
      <c r="U2551">
        <v>4</v>
      </c>
      <c r="V2551">
        <v>0.43361783509700169</v>
      </c>
      <c r="W2551">
        <v>1</v>
      </c>
      <c r="X2551">
        <v>0.43361783509700169</v>
      </c>
      <c r="Y2551">
        <v>581</v>
      </c>
      <c r="Z2551">
        <v>406.92482694505992</v>
      </c>
      <c r="AA2551">
        <v>198</v>
      </c>
      <c r="AB2551">
        <v>332</v>
      </c>
      <c r="AC2551">
        <v>536</v>
      </c>
      <c r="AD2551">
        <v>29.96</v>
      </c>
      <c r="AE2551">
        <v>542</v>
      </c>
      <c r="AF2551">
        <v>29</v>
      </c>
      <c r="AG2551">
        <v>174</v>
      </c>
      <c r="AH2551">
        <v>129</v>
      </c>
      <c r="AI2551">
        <v>5.35</v>
      </c>
      <c r="AJ2551">
        <v>32.1</v>
      </c>
      <c r="AK2551">
        <v>23.8</v>
      </c>
      <c r="AL2551">
        <v>-20.138338199999961</v>
      </c>
      <c r="AM2551">
        <v>-44.903768618976301</v>
      </c>
      <c r="AN2551">
        <v>-20.138338199999961</v>
      </c>
      <c r="AO2551">
        <v>-44.903768618976301</v>
      </c>
      <c r="AP2551">
        <v>-20.138373999999999</v>
      </c>
      <c r="AQ2551">
        <v>-44.903756999999999</v>
      </c>
      <c r="AR2551">
        <v>4.1661625938922704</v>
      </c>
      <c r="AS2551" t="s">
        <v>65</v>
      </c>
      <c r="AT2551">
        <v>1</v>
      </c>
      <c r="AU2551" t="s">
        <v>458</v>
      </c>
      <c r="AV2551" t="s">
        <v>459</v>
      </c>
      <c r="AW2551" t="s">
        <v>60</v>
      </c>
      <c r="AX2551" t="s">
        <v>68</v>
      </c>
      <c r="AY2551" t="s">
        <v>69</v>
      </c>
      <c r="AZ2551" t="b">
        <v>1</v>
      </c>
    </row>
    <row r="2552" spans="1:52" x14ac:dyDescent="0.3">
      <c r="A2552" t="s">
        <v>52</v>
      </c>
      <c r="B2552" t="s">
        <v>53</v>
      </c>
      <c r="C2552" t="s">
        <v>54</v>
      </c>
      <c r="D2552" t="s">
        <v>55</v>
      </c>
      <c r="E2552" t="s">
        <v>2155</v>
      </c>
      <c r="F2552" t="s">
        <v>1247</v>
      </c>
      <c r="G2552" t="s">
        <v>460</v>
      </c>
      <c r="H2552" t="s">
        <v>461</v>
      </c>
      <c r="I2552" t="s">
        <v>461</v>
      </c>
      <c r="J2552" t="s">
        <v>60</v>
      </c>
      <c r="K2552" t="s">
        <v>462</v>
      </c>
      <c r="L2552" t="s">
        <v>62</v>
      </c>
      <c r="M2552" t="s">
        <v>462</v>
      </c>
      <c r="N2552" t="s">
        <v>463</v>
      </c>
      <c r="O2552" t="s">
        <v>464</v>
      </c>
      <c r="P2552">
        <v>-20.137919</v>
      </c>
      <c r="Q2552">
        <v>-44.905591000000001</v>
      </c>
      <c r="R2552" s="2" t="str">
        <f>HYPERLINK("https://www.google.com/maps?q=-20.1379190,-44.9055910","Abrir no Google Maps")</f>
        <v>Abrir no Google Maps</v>
      </c>
      <c r="S2552">
        <v>3</v>
      </c>
      <c r="T2552">
        <v>262.01115919461103</v>
      </c>
      <c r="U2552">
        <v>4</v>
      </c>
      <c r="V2552">
        <v>0.434557994452626</v>
      </c>
      <c r="W2552">
        <v>1</v>
      </c>
      <c r="X2552">
        <v>0.434557994452626</v>
      </c>
      <c r="Y2552">
        <v>581</v>
      </c>
      <c r="Z2552">
        <v>318.63337303219271</v>
      </c>
      <c r="AA2552">
        <v>198</v>
      </c>
      <c r="AB2552">
        <v>332</v>
      </c>
      <c r="AC2552">
        <v>536</v>
      </c>
      <c r="AD2552">
        <v>29.96</v>
      </c>
      <c r="AE2552">
        <v>542</v>
      </c>
      <c r="AF2552">
        <v>29</v>
      </c>
      <c r="AG2552">
        <v>174</v>
      </c>
      <c r="AH2552">
        <v>129</v>
      </c>
      <c r="AI2552">
        <v>5.35</v>
      </c>
      <c r="AJ2552">
        <v>32.1</v>
      </c>
      <c r="AK2552">
        <v>23.8</v>
      </c>
      <c r="AL2552">
        <v>-20.13789079999998</v>
      </c>
      <c r="AM2552">
        <v>-44.90548593520333</v>
      </c>
      <c r="AN2552">
        <v>-20.13789079999998</v>
      </c>
      <c r="AO2552">
        <v>-44.90548593520333</v>
      </c>
      <c r="AP2552">
        <v>-20.137919</v>
      </c>
      <c r="AQ2552">
        <v>-44.905591000000001</v>
      </c>
      <c r="AR2552">
        <v>11.42072348298178</v>
      </c>
      <c r="AS2552" t="s">
        <v>65</v>
      </c>
      <c r="AT2552">
        <v>1</v>
      </c>
      <c r="AU2552" t="s">
        <v>465</v>
      </c>
      <c r="AV2552" t="s">
        <v>466</v>
      </c>
      <c r="AW2552" t="s">
        <v>60</v>
      </c>
      <c r="AX2552" t="s">
        <v>68</v>
      </c>
      <c r="AY2552" t="s">
        <v>69</v>
      </c>
      <c r="AZ2552" t="b">
        <v>1</v>
      </c>
    </row>
    <row r="2553" spans="1:52" x14ac:dyDescent="0.3">
      <c r="A2553" t="s">
        <v>52</v>
      </c>
      <c r="B2553" t="s">
        <v>53</v>
      </c>
      <c r="C2553" t="s">
        <v>54</v>
      </c>
      <c r="D2553" t="s">
        <v>55</v>
      </c>
      <c r="E2553" t="s">
        <v>2155</v>
      </c>
      <c r="F2553" t="s">
        <v>1247</v>
      </c>
      <c r="G2553" t="s">
        <v>467</v>
      </c>
      <c r="H2553" t="s">
        <v>468</v>
      </c>
      <c r="I2553" t="s">
        <v>468</v>
      </c>
      <c r="J2553" t="s">
        <v>60</v>
      </c>
      <c r="K2553" t="s">
        <v>462</v>
      </c>
      <c r="L2553" t="s">
        <v>62</v>
      </c>
      <c r="M2553" t="s">
        <v>462</v>
      </c>
      <c r="N2553" t="s">
        <v>469</v>
      </c>
      <c r="O2553" t="s">
        <v>470</v>
      </c>
      <c r="P2553">
        <v>-20.138233</v>
      </c>
      <c r="Q2553">
        <v>-44.908200000000001</v>
      </c>
      <c r="R2553" s="2" t="str">
        <f>HYPERLINK("https://www.google.com/maps?q=-20.1382330,-44.9082000","Abrir no Google Maps")</f>
        <v>Abrir no Google Maps</v>
      </c>
      <c r="S2553">
        <v>3</v>
      </c>
      <c r="T2553">
        <v>0</v>
      </c>
      <c r="U2553">
        <v>4</v>
      </c>
      <c r="V2553">
        <v>0.43627537478495948</v>
      </c>
      <c r="W2553">
        <v>1</v>
      </c>
      <c r="X2553">
        <v>0.43627537478495948</v>
      </c>
      <c r="Y2553">
        <v>581</v>
      </c>
      <c r="Z2553">
        <v>153.18688302958171</v>
      </c>
      <c r="AA2553">
        <v>198</v>
      </c>
      <c r="AB2553">
        <v>332</v>
      </c>
      <c r="AC2553">
        <v>536</v>
      </c>
      <c r="AD2553">
        <v>29.96</v>
      </c>
      <c r="AE2553">
        <v>542</v>
      </c>
      <c r="AF2553">
        <v>29</v>
      </c>
      <c r="AG2553">
        <v>174</v>
      </c>
      <c r="AH2553">
        <v>129</v>
      </c>
      <c r="AI2553">
        <v>5.35</v>
      </c>
      <c r="AJ2553">
        <v>32.1</v>
      </c>
      <c r="AK2553">
        <v>23.8</v>
      </c>
      <c r="AL2553">
        <v>-20.138364899999971</v>
      </c>
      <c r="AM2553">
        <v>-44.907942114873997</v>
      </c>
      <c r="AN2553">
        <v>-20.138364899999971</v>
      </c>
      <c r="AO2553">
        <v>-44.907942114873997</v>
      </c>
      <c r="AP2553">
        <v>-20.138233</v>
      </c>
      <c r="AQ2553">
        <v>-44.908200000000001</v>
      </c>
      <c r="AR2553">
        <v>30.692690617986941</v>
      </c>
      <c r="AS2553" t="s">
        <v>65</v>
      </c>
      <c r="AT2553">
        <v>1</v>
      </c>
      <c r="AU2553" t="s">
        <v>471</v>
      </c>
      <c r="AV2553" t="s">
        <v>472</v>
      </c>
      <c r="AW2553" t="s">
        <v>60</v>
      </c>
      <c r="AX2553" t="s">
        <v>68</v>
      </c>
      <c r="AY2553" t="s">
        <v>69</v>
      </c>
      <c r="AZ2553" t="b">
        <v>1</v>
      </c>
    </row>
    <row r="2554" spans="1:52" x14ac:dyDescent="0.3">
      <c r="A2554" t="s">
        <v>52</v>
      </c>
      <c r="B2554" t="s">
        <v>53</v>
      </c>
      <c r="C2554" t="s">
        <v>54</v>
      </c>
      <c r="D2554" t="s">
        <v>55</v>
      </c>
      <c r="E2554" t="s">
        <v>2155</v>
      </c>
      <c r="F2554" t="s">
        <v>1247</v>
      </c>
      <c r="G2554" t="s">
        <v>851</v>
      </c>
      <c r="H2554" t="s">
        <v>852</v>
      </c>
      <c r="I2554" t="s">
        <v>852</v>
      </c>
      <c r="J2554" t="s">
        <v>60</v>
      </c>
      <c r="K2554" t="s">
        <v>853</v>
      </c>
      <c r="L2554" t="s">
        <v>62</v>
      </c>
      <c r="M2554" t="s">
        <v>853</v>
      </c>
      <c r="N2554" t="s">
        <v>854</v>
      </c>
      <c r="O2554" t="s">
        <v>855</v>
      </c>
      <c r="P2554">
        <v>-20.127835000000001</v>
      </c>
      <c r="Q2554">
        <v>-44.909329</v>
      </c>
      <c r="R2554" s="2" t="str">
        <f>HYPERLINK("https://www.google.com/maps?q=-20.1278350,-44.9093290","Abrir no Google Maps")</f>
        <v>Abrir no Google Maps</v>
      </c>
      <c r="S2554">
        <v>3</v>
      </c>
      <c r="T2554">
        <v>1173.033690896357</v>
      </c>
      <c r="U2554">
        <v>4</v>
      </c>
      <c r="V2554">
        <v>0.425999032551787</v>
      </c>
      <c r="W2554">
        <v>1</v>
      </c>
      <c r="X2554">
        <v>0.425999032551787</v>
      </c>
      <c r="Y2554">
        <v>581</v>
      </c>
      <c r="Z2554">
        <v>1296.5011565926129</v>
      </c>
      <c r="AA2554">
        <v>198</v>
      </c>
      <c r="AB2554">
        <v>332</v>
      </c>
      <c r="AC2554">
        <v>536</v>
      </c>
      <c r="AD2554">
        <v>29.96</v>
      </c>
      <c r="AE2554">
        <v>542</v>
      </c>
      <c r="AF2554">
        <v>29</v>
      </c>
      <c r="AG2554">
        <v>174</v>
      </c>
      <c r="AH2554">
        <v>129</v>
      </c>
      <c r="AI2554">
        <v>5.35</v>
      </c>
      <c r="AJ2554">
        <v>32.1</v>
      </c>
      <c r="AK2554">
        <v>23.8</v>
      </c>
      <c r="AL2554">
        <v>-20.127852899999969</v>
      </c>
      <c r="AM2554">
        <v>-44.909386667699948</v>
      </c>
      <c r="AN2554">
        <v>-20.127852899999969</v>
      </c>
      <c r="AO2554">
        <v>-44.909386667699948</v>
      </c>
      <c r="AP2554">
        <v>-20.127835000000001</v>
      </c>
      <c r="AQ2554">
        <v>-44.909329</v>
      </c>
      <c r="AR2554">
        <v>6.3483385067119924</v>
      </c>
      <c r="AS2554" t="s">
        <v>65</v>
      </c>
      <c r="AT2554">
        <v>1</v>
      </c>
      <c r="AU2554" t="s">
        <v>856</v>
      </c>
      <c r="AV2554" t="s">
        <v>857</v>
      </c>
      <c r="AW2554" t="s">
        <v>60</v>
      </c>
      <c r="AX2554" t="s">
        <v>68</v>
      </c>
      <c r="AY2554" t="s">
        <v>69</v>
      </c>
      <c r="AZ2554" t="b">
        <v>1</v>
      </c>
    </row>
    <row r="2555" spans="1:52" x14ac:dyDescent="0.3">
      <c r="A2555" t="s">
        <v>52</v>
      </c>
      <c r="B2555" t="s">
        <v>53</v>
      </c>
      <c r="C2555" t="s">
        <v>54</v>
      </c>
      <c r="D2555" t="s">
        <v>55</v>
      </c>
      <c r="E2555" t="s">
        <v>2155</v>
      </c>
      <c r="F2555" t="s">
        <v>1247</v>
      </c>
      <c r="G2555" t="s">
        <v>473</v>
      </c>
      <c r="H2555" t="s">
        <v>474</v>
      </c>
      <c r="I2555" t="s">
        <v>474</v>
      </c>
      <c r="J2555" t="s">
        <v>60</v>
      </c>
      <c r="K2555" t="s">
        <v>475</v>
      </c>
      <c r="L2555" t="s">
        <v>62</v>
      </c>
      <c r="M2555" t="s">
        <v>475</v>
      </c>
      <c r="N2555" t="s">
        <v>406</v>
      </c>
      <c r="O2555" t="s">
        <v>476</v>
      </c>
      <c r="P2555">
        <v>-20.177902</v>
      </c>
      <c r="Q2555">
        <v>-44.908504000000001</v>
      </c>
      <c r="R2555" s="2" t="str">
        <f>HYPERLINK("https://www.google.com/maps?q=-20.1779020,-44.9085040","Abrir no Google Maps")</f>
        <v>Abrir no Google Maps</v>
      </c>
      <c r="S2555">
        <v>3</v>
      </c>
      <c r="T2555">
        <v>656.92307673247149</v>
      </c>
      <c r="U2555">
        <v>4</v>
      </c>
      <c r="V2555">
        <v>0.4253671209171534</v>
      </c>
      <c r="W2555">
        <v>1</v>
      </c>
      <c r="X2555">
        <v>0.4253671209171534</v>
      </c>
      <c r="Y2555">
        <v>578</v>
      </c>
      <c r="Z2555">
        <v>635.01982153722327</v>
      </c>
      <c r="AA2555">
        <v>198</v>
      </c>
      <c r="AB2555">
        <v>332</v>
      </c>
      <c r="AC2555">
        <v>536</v>
      </c>
      <c r="AD2555">
        <v>29.96</v>
      </c>
      <c r="AE2555">
        <v>542</v>
      </c>
      <c r="AF2555">
        <v>29</v>
      </c>
      <c r="AG2555">
        <v>174</v>
      </c>
      <c r="AH2555">
        <v>129</v>
      </c>
      <c r="AI2555">
        <v>5.35</v>
      </c>
      <c r="AJ2555">
        <v>32.1</v>
      </c>
      <c r="AK2555">
        <v>23.8</v>
      </c>
      <c r="AL2555">
        <v>-20.177800399999938</v>
      </c>
      <c r="AM2555">
        <v>-44.908361879701268</v>
      </c>
      <c r="AN2555">
        <v>-20.177800399999938</v>
      </c>
      <c r="AO2555">
        <v>-44.908361879701268</v>
      </c>
      <c r="AP2555">
        <v>-20.177902</v>
      </c>
      <c r="AQ2555">
        <v>-44.908504000000001</v>
      </c>
      <c r="AR2555">
        <v>18.666463141775541</v>
      </c>
      <c r="AS2555" t="s">
        <v>65</v>
      </c>
      <c r="AT2555">
        <v>1</v>
      </c>
      <c r="AU2555" t="s">
        <v>477</v>
      </c>
      <c r="AV2555" t="s">
        <v>478</v>
      </c>
      <c r="AW2555" t="s">
        <v>60</v>
      </c>
      <c r="AX2555" t="s">
        <v>68</v>
      </c>
      <c r="AY2555" t="s">
        <v>69</v>
      </c>
      <c r="AZ2555" t="b">
        <v>1</v>
      </c>
    </row>
    <row r="2556" spans="1:52" x14ac:dyDescent="0.3">
      <c r="A2556" t="s">
        <v>52</v>
      </c>
      <c r="B2556" t="s">
        <v>53</v>
      </c>
      <c r="C2556" t="s">
        <v>54</v>
      </c>
      <c r="D2556" t="s">
        <v>55</v>
      </c>
      <c r="E2556" t="s">
        <v>2155</v>
      </c>
      <c r="F2556" t="s">
        <v>1247</v>
      </c>
      <c r="G2556" t="s">
        <v>479</v>
      </c>
      <c r="H2556" t="s">
        <v>480</v>
      </c>
      <c r="I2556" t="s">
        <v>480</v>
      </c>
      <c r="J2556" t="s">
        <v>60</v>
      </c>
      <c r="K2556" t="s">
        <v>388</v>
      </c>
      <c r="L2556" t="s">
        <v>62</v>
      </c>
      <c r="M2556" t="s">
        <v>388</v>
      </c>
      <c r="N2556" t="s">
        <v>481</v>
      </c>
      <c r="O2556" t="s">
        <v>315</v>
      </c>
      <c r="P2556">
        <v>-20.166903999999999</v>
      </c>
      <c r="Q2556">
        <v>-44.903492</v>
      </c>
      <c r="R2556" s="2" t="str">
        <f>HYPERLINK("https://www.google.com/maps?q=-20.1669040,-44.9034920","Abrir no Google Maps")</f>
        <v>Abrir no Google Maps</v>
      </c>
      <c r="S2556">
        <v>3</v>
      </c>
      <c r="T2556">
        <v>517.12253532511602</v>
      </c>
      <c r="U2556">
        <v>4</v>
      </c>
      <c r="V2556">
        <v>0.43275216087648488</v>
      </c>
      <c r="W2556">
        <v>1</v>
      </c>
      <c r="X2556">
        <v>0.43275216087648488</v>
      </c>
      <c r="Y2556">
        <v>578</v>
      </c>
      <c r="Z2556">
        <v>721.79551240050432</v>
      </c>
      <c r="AA2556">
        <v>198</v>
      </c>
      <c r="AB2556">
        <v>332</v>
      </c>
      <c r="AC2556">
        <v>536</v>
      </c>
      <c r="AD2556">
        <v>29.96</v>
      </c>
      <c r="AE2556">
        <v>542</v>
      </c>
      <c r="AF2556">
        <v>29</v>
      </c>
      <c r="AG2556">
        <v>174</v>
      </c>
      <c r="AH2556">
        <v>129</v>
      </c>
      <c r="AI2556">
        <v>5.35</v>
      </c>
      <c r="AJ2556">
        <v>32.1</v>
      </c>
      <c r="AK2556">
        <v>23.8</v>
      </c>
      <c r="AL2556">
        <v>-20.166610649999971</v>
      </c>
      <c r="AM2556">
        <v>-44.903452988928308</v>
      </c>
      <c r="AN2556">
        <v>-20.166610649999971</v>
      </c>
      <c r="AO2556">
        <v>-44.903452988928308</v>
      </c>
      <c r="AP2556">
        <v>-20.166903999999999</v>
      </c>
      <c r="AQ2556">
        <v>-44.903492</v>
      </c>
      <c r="AR2556">
        <v>32.909175876856217</v>
      </c>
      <c r="AS2556" t="s">
        <v>65</v>
      </c>
      <c r="AT2556">
        <v>1</v>
      </c>
      <c r="AU2556" t="s">
        <v>482</v>
      </c>
      <c r="AV2556" t="s">
        <v>483</v>
      </c>
      <c r="AW2556" t="s">
        <v>60</v>
      </c>
      <c r="AX2556" t="s">
        <v>68</v>
      </c>
      <c r="AY2556" t="s">
        <v>69</v>
      </c>
      <c r="AZ2556" t="b">
        <v>1</v>
      </c>
    </row>
    <row r="2557" spans="1:52" x14ac:dyDescent="0.3">
      <c r="A2557" t="s">
        <v>52</v>
      </c>
      <c r="B2557" t="s">
        <v>53</v>
      </c>
      <c r="C2557" t="s">
        <v>54</v>
      </c>
      <c r="D2557" t="s">
        <v>55</v>
      </c>
      <c r="E2557" t="s">
        <v>2155</v>
      </c>
      <c r="F2557" t="s">
        <v>1247</v>
      </c>
      <c r="G2557" t="s">
        <v>484</v>
      </c>
      <c r="H2557" t="s">
        <v>485</v>
      </c>
      <c r="I2557" t="s">
        <v>485</v>
      </c>
      <c r="J2557" t="s">
        <v>60</v>
      </c>
      <c r="K2557" t="s">
        <v>486</v>
      </c>
      <c r="L2557" t="s">
        <v>62</v>
      </c>
      <c r="M2557" t="s">
        <v>486</v>
      </c>
      <c r="N2557" t="s">
        <v>487</v>
      </c>
      <c r="O2557" t="s">
        <v>488</v>
      </c>
      <c r="P2557">
        <v>-20.173000999999999</v>
      </c>
      <c r="Q2557">
        <v>-44.901876999999999</v>
      </c>
      <c r="R2557" s="2" t="str">
        <f>HYPERLINK("https://www.google.com/maps?q=-20.1730010,-44.9018770","Abrir no Google Maps")</f>
        <v>Abrir no Google Maps</v>
      </c>
      <c r="S2557">
        <v>3</v>
      </c>
      <c r="T2557">
        <v>437.59695450783011</v>
      </c>
      <c r="U2557">
        <v>4</v>
      </c>
      <c r="V2557">
        <v>0.42496912729055591</v>
      </c>
      <c r="W2557">
        <v>1</v>
      </c>
      <c r="X2557">
        <v>0.42496912729055591</v>
      </c>
      <c r="Y2557">
        <v>578</v>
      </c>
      <c r="Z2557">
        <v>440.53629183653243</v>
      </c>
      <c r="AA2557">
        <v>198</v>
      </c>
      <c r="AB2557">
        <v>332</v>
      </c>
      <c r="AC2557">
        <v>536</v>
      </c>
      <c r="AD2557">
        <v>29.96</v>
      </c>
      <c r="AE2557">
        <v>542</v>
      </c>
      <c r="AF2557">
        <v>29</v>
      </c>
      <c r="AG2557">
        <v>174</v>
      </c>
      <c r="AH2557">
        <v>129</v>
      </c>
      <c r="AI2557">
        <v>5.35</v>
      </c>
      <c r="AJ2557">
        <v>32.1</v>
      </c>
      <c r="AK2557">
        <v>23.8</v>
      </c>
      <c r="AL2557">
        <v>-20.173065299999969</v>
      </c>
      <c r="AM2557">
        <v>-44.902052686008687</v>
      </c>
      <c r="AN2557">
        <v>-20.173065299999969</v>
      </c>
      <c r="AO2557">
        <v>-44.902052686008687</v>
      </c>
      <c r="AP2557">
        <v>-20.173000999999999</v>
      </c>
      <c r="AQ2557">
        <v>-44.901876999999999</v>
      </c>
      <c r="AR2557">
        <v>19.703745070768829</v>
      </c>
      <c r="AS2557" t="s">
        <v>65</v>
      </c>
      <c r="AT2557">
        <v>1</v>
      </c>
      <c r="AU2557" t="s">
        <v>489</v>
      </c>
      <c r="AV2557" t="s">
        <v>490</v>
      </c>
      <c r="AW2557" t="s">
        <v>60</v>
      </c>
      <c r="AX2557" t="s">
        <v>68</v>
      </c>
      <c r="AY2557" t="s">
        <v>69</v>
      </c>
      <c r="AZ2557" t="b">
        <v>1</v>
      </c>
    </row>
    <row r="2558" spans="1:52" x14ac:dyDescent="0.3">
      <c r="A2558" t="s">
        <v>52</v>
      </c>
      <c r="B2558" t="s">
        <v>53</v>
      </c>
      <c r="C2558" t="s">
        <v>54</v>
      </c>
      <c r="D2558" t="s">
        <v>55</v>
      </c>
      <c r="E2558" t="s">
        <v>2155</v>
      </c>
      <c r="F2558" t="s">
        <v>1247</v>
      </c>
      <c r="G2558" t="s">
        <v>491</v>
      </c>
      <c r="H2558" t="s">
        <v>492</v>
      </c>
      <c r="I2558" t="s">
        <v>492</v>
      </c>
      <c r="J2558" t="s">
        <v>60</v>
      </c>
      <c r="K2558" t="s">
        <v>475</v>
      </c>
      <c r="L2558" t="s">
        <v>62</v>
      </c>
      <c r="M2558" t="s">
        <v>475</v>
      </c>
      <c r="N2558" t="s">
        <v>493</v>
      </c>
      <c r="O2558" t="s">
        <v>494</v>
      </c>
      <c r="P2558">
        <v>-20.175250999999999</v>
      </c>
      <c r="Q2558">
        <v>-44.897357</v>
      </c>
      <c r="R2558" s="2" t="str">
        <f>HYPERLINK("https://www.google.com/maps?q=-20.1752510,-44.8973570","Abrir no Google Maps")</f>
        <v>Abrir no Google Maps</v>
      </c>
      <c r="S2558">
        <v>3</v>
      </c>
      <c r="T2558">
        <v>992.29631678149951</v>
      </c>
      <c r="U2558">
        <v>4</v>
      </c>
      <c r="V2558">
        <v>0.42436985100788788</v>
      </c>
      <c r="W2558">
        <v>1</v>
      </c>
      <c r="X2558">
        <v>0.42436985100788788</v>
      </c>
      <c r="Y2558">
        <v>578</v>
      </c>
      <c r="Z2558">
        <v>1008.5871064168319</v>
      </c>
      <c r="AA2558">
        <v>198</v>
      </c>
      <c r="AB2558">
        <v>332</v>
      </c>
      <c r="AC2558">
        <v>536</v>
      </c>
      <c r="AD2558">
        <v>29.96</v>
      </c>
      <c r="AE2558">
        <v>542</v>
      </c>
      <c r="AF2558">
        <v>29</v>
      </c>
      <c r="AG2558">
        <v>174</v>
      </c>
      <c r="AH2558">
        <v>129</v>
      </c>
      <c r="AI2558">
        <v>5.35</v>
      </c>
      <c r="AJ2558">
        <v>32.1</v>
      </c>
      <c r="AK2558">
        <v>23.8</v>
      </c>
      <c r="AL2558">
        <v>-20.175290599999951</v>
      </c>
      <c r="AM2558">
        <v>-44.897271931010721</v>
      </c>
      <c r="AN2558">
        <v>-20.175290599999951</v>
      </c>
      <c r="AO2558">
        <v>-44.897271931010721</v>
      </c>
      <c r="AP2558">
        <v>-20.175250999999999</v>
      </c>
      <c r="AQ2558">
        <v>-44.897357</v>
      </c>
      <c r="AR2558">
        <v>9.921899108467926</v>
      </c>
      <c r="AS2558" t="s">
        <v>65</v>
      </c>
      <c r="AT2558">
        <v>1</v>
      </c>
      <c r="AU2558" t="s">
        <v>495</v>
      </c>
      <c r="AV2558" t="s">
        <v>496</v>
      </c>
      <c r="AW2558" t="s">
        <v>60</v>
      </c>
      <c r="AX2558" t="s">
        <v>68</v>
      </c>
      <c r="AY2558" t="s">
        <v>69</v>
      </c>
      <c r="AZ2558" t="b">
        <v>1</v>
      </c>
    </row>
    <row r="2559" spans="1:52" x14ac:dyDescent="0.3">
      <c r="A2559" t="s">
        <v>52</v>
      </c>
      <c r="B2559" t="s">
        <v>53</v>
      </c>
      <c r="C2559" t="s">
        <v>54</v>
      </c>
      <c r="D2559" t="s">
        <v>55</v>
      </c>
      <c r="E2559" t="s">
        <v>2155</v>
      </c>
      <c r="F2559" t="s">
        <v>1247</v>
      </c>
      <c r="G2559" t="s">
        <v>497</v>
      </c>
      <c r="H2559" t="s">
        <v>875</v>
      </c>
      <c r="I2559" t="s">
        <v>875</v>
      </c>
      <c r="J2559" t="s">
        <v>60</v>
      </c>
      <c r="K2559" t="s">
        <v>475</v>
      </c>
      <c r="L2559" t="s">
        <v>62</v>
      </c>
      <c r="M2559" t="s">
        <v>475</v>
      </c>
      <c r="N2559" t="s">
        <v>499</v>
      </c>
      <c r="O2559" t="s">
        <v>876</v>
      </c>
      <c r="P2559">
        <v>-20.177212999999998</v>
      </c>
      <c r="Q2559">
        <v>-44.904026999999999</v>
      </c>
      <c r="R2559" s="2" t="str">
        <f>HYPERLINK("https://www.google.com/maps?q=-20.1772130,-44.9040270","Abrir no Google Maps")</f>
        <v>Abrir no Google Maps</v>
      </c>
      <c r="S2559">
        <v>3</v>
      </c>
      <c r="T2559">
        <v>706.4159561113795</v>
      </c>
      <c r="U2559">
        <v>4</v>
      </c>
      <c r="V2559">
        <v>0.42535620091740411</v>
      </c>
      <c r="W2559">
        <v>1</v>
      </c>
      <c r="X2559">
        <v>0.42535620091740411</v>
      </c>
      <c r="Y2559">
        <v>578</v>
      </c>
      <c r="Z2559">
        <v>588.7160518608398</v>
      </c>
      <c r="AA2559">
        <v>198</v>
      </c>
      <c r="AB2559">
        <v>332</v>
      </c>
      <c r="AC2559">
        <v>536</v>
      </c>
      <c r="AD2559">
        <v>29.96</v>
      </c>
      <c r="AE2559">
        <v>542</v>
      </c>
      <c r="AF2559">
        <v>29</v>
      </c>
      <c r="AG2559">
        <v>174</v>
      </c>
      <c r="AH2559">
        <v>129</v>
      </c>
      <c r="AI2559">
        <v>5.35</v>
      </c>
      <c r="AJ2559">
        <v>32.1</v>
      </c>
      <c r="AK2559">
        <v>23.8</v>
      </c>
      <c r="AL2559">
        <v>-20.177090199999949</v>
      </c>
      <c r="AM2559">
        <v>-44.904078820930181</v>
      </c>
      <c r="AN2559">
        <v>-20.177090199999949</v>
      </c>
      <c r="AO2559">
        <v>-44.904078820930181</v>
      </c>
      <c r="AP2559">
        <v>-20.177212999999998</v>
      </c>
      <c r="AQ2559">
        <v>-44.904026999999999</v>
      </c>
      <c r="AR2559">
        <v>14.7034129632295</v>
      </c>
      <c r="AS2559" t="s">
        <v>65</v>
      </c>
      <c r="AT2559">
        <v>1</v>
      </c>
      <c r="AU2559" t="s">
        <v>877</v>
      </c>
      <c r="AV2559" t="s">
        <v>878</v>
      </c>
      <c r="AW2559" t="s">
        <v>60</v>
      </c>
      <c r="AX2559" t="s">
        <v>68</v>
      </c>
      <c r="AY2559" t="s">
        <v>69</v>
      </c>
      <c r="AZ2559" t="b">
        <v>1</v>
      </c>
    </row>
    <row r="2560" spans="1:52" x14ac:dyDescent="0.3">
      <c r="A2560" t="s">
        <v>52</v>
      </c>
      <c r="B2560" t="s">
        <v>53</v>
      </c>
      <c r="C2560" t="s">
        <v>54</v>
      </c>
      <c r="D2560" t="s">
        <v>55</v>
      </c>
      <c r="E2560" t="s">
        <v>2155</v>
      </c>
      <c r="F2560" t="s">
        <v>1247</v>
      </c>
      <c r="G2560" t="s">
        <v>497</v>
      </c>
      <c r="H2560" t="s">
        <v>498</v>
      </c>
      <c r="I2560" t="s">
        <v>498</v>
      </c>
      <c r="J2560" t="s">
        <v>60</v>
      </c>
      <c r="K2560" t="s">
        <v>475</v>
      </c>
      <c r="L2560" t="s">
        <v>62</v>
      </c>
      <c r="M2560" t="s">
        <v>475</v>
      </c>
      <c r="N2560" t="s">
        <v>499</v>
      </c>
      <c r="O2560" t="s">
        <v>500</v>
      </c>
      <c r="P2560">
        <v>-20.175492999999999</v>
      </c>
      <c r="Q2560">
        <v>-44.900759000000001</v>
      </c>
      <c r="R2560" s="2" t="str">
        <f>HYPERLINK("https://www.google.com/maps?q=-20.1754930,-44.9007590","Abrir no Google Maps")</f>
        <v>Abrir no Google Maps</v>
      </c>
      <c r="S2560">
        <v>3</v>
      </c>
      <c r="T2560">
        <v>753.30732354720431</v>
      </c>
      <c r="U2560">
        <v>4</v>
      </c>
      <c r="V2560">
        <v>0.42800254564606738</v>
      </c>
      <c r="W2560">
        <v>1</v>
      </c>
      <c r="X2560">
        <v>0.42800254564606738</v>
      </c>
      <c r="Y2560">
        <v>578</v>
      </c>
      <c r="Z2560">
        <v>695.28903655431702</v>
      </c>
      <c r="AA2560">
        <v>198</v>
      </c>
      <c r="AB2560">
        <v>332</v>
      </c>
      <c r="AC2560">
        <v>536</v>
      </c>
      <c r="AD2560">
        <v>29.96</v>
      </c>
      <c r="AE2560">
        <v>542</v>
      </c>
      <c r="AF2560">
        <v>29</v>
      </c>
      <c r="AG2560">
        <v>174</v>
      </c>
      <c r="AH2560">
        <v>129</v>
      </c>
      <c r="AI2560">
        <v>5.35</v>
      </c>
      <c r="AJ2560">
        <v>32.1</v>
      </c>
      <c r="AK2560">
        <v>23.8</v>
      </c>
      <c r="AL2560">
        <v>-20.175825999999969</v>
      </c>
      <c r="AM2560">
        <v>-44.900600234646973</v>
      </c>
      <c r="AN2560">
        <v>-20.175825999999969</v>
      </c>
      <c r="AO2560">
        <v>-44.900600234646973</v>
      </c>
      <c r="AP2560">
        <v>-20.175492999999999</v>
      </c>
      <c r="AQ2560">
        <v>-44.900759000000001</v>
      </c>
      <c r="AR2560">
        <v>40.612267304645073</v>
      </c>
      <c r="AS2560" t="s">
        <v>65</v>
      </c>
      <c r="AT2560">
        <v>1</v>
      </c>
      <c r="AU2560" t="s">
        <v>501</v>
      </c>
      <c r="AV2560" t="s">
        <v>502</v>
      </c>
      <c r="AW2560" t="s">
        <v>60</v>
      </c>
      <c r="AX2560" t="s">
        <v>68</v>
      </c>
      <c r="AY2560" t="s">
        <v>69</v>
      </c>
      <c r="AZ2560" t="b">
        <v>1</v>
      </c>
    </row>
    <row r="2561" spans="1:52" x14ac:dyDescent="0.3">
      <c r="A2561" t="s">
        <v>52</v>
      </c>
      <c r="B2561" t="s">
        <v>53</v>
      </c>
      <c r="C2561" t="s">
        <v>54</v>
      </c>
      <c r="D2561" t="s">
        <v>55</v>
      </c>
      <c r="E2561" t="s">
        <v>2155</v>
      </c>
      <c r="F2561" t="s">
        <v>1247</v>
      </c>
      <c r="G2561" t="s">
        <v>516</v>
      </c>
      <c r="H2561" t="s">
        <v>517</v>
      </c>
      <c r="I2561" t="s">
        <v>517</v>
      </c>
      <c r="J2561" t="s">
        <v>60</v>
      </c>
      <c r="K2561" t="s">
        <v>518</v>
      </c>
      <c r="L2561" t="s">
        <v>62</v>
      </c>
      <c r="M2561" t="s">
        <v>518</v>
      </c>
      <c r="N2561" t="s">
        <v>519</v>
      </c>
      <c r="O2561" t="s">
        <v>520</v>
      </c>
      <c r="P2561">
        <v>-20.124502</v>
      </c>
      <c r="Q2561">
        <v>-44.888424000000001</v>
      </c>
      <c r="R2561" s="2" t="str">
        <f>HYPERLINK("https://www.google.com/maps?q=-20.1245020,-44.8884240","Abrir no Google Maps")</f>
        <v>Abrir no Google Maps</v>
      </c>
      <c r="S2561">
        <v>3</v>
      </c>
      <c r="T2561">
        <v>483.42298121929559</v>
      </c>
      <c r="U2561">
        <v>4</v>
      </c>
      <c r="V2561">
        <v>0.44321200780138109</v>
      </c>
      <c r="W2561">
        <v>1</v>
      </c>
      <c r="X2561">
        <v>0.44321200780138109</v>
      </c>
      <c r="Y2561">
        <v>564</v>
      </c>
      <c r="Z2561">
        <v>565.43074237076587</v>
      </c>
      <c r="AA2561">
        <v>198</v>
      </c>
      <c r="AB2561">
        <v>332</v>
      </c>
      <c r="AC2561">
        <v>536</v>
      </c>
      <c r="AD2561">
        <v>29.96</v>
      </c>
      <c r="AE2561">
        <v>542</v>
      </c>
      <c r="AF2561">
        <v>29</v>
      </c>
      <c r="AG2561">
        <v>174</v>
      </c>
      <c r="AH2561">
        <v>129</v>
      </c>
      <c r="AI2561">
        <v>5.35</v>
      </c>
      <c r="AJ2561">
        <v>32.1</v>
      </c>
      <c r="AK2561">
        <v>23.8</v>
      </c>
      <c r="AL2561">
        <v>-20.124624949999941</v>
      </c>
      <c r="AM2561">
        <v>-44.888432821777258</v>
      </c>
      <c r="AN2561">
        <v>-20.124624949999941</v>
      </c>
      <c r="AO2561">
        <v>-44.888432821777258</v>
      </c>
      <c r="AP2561">
        <v>-20.124502</v>
      </c>
      <c r="AQ2561">
        <v>-44.888424000000001</v>
      </c>
      <c r="AR2561">
        <v>13.717819333897451</v>
      </c>
      <c r="AS2561" t="s">
        <v>65</v>
      </c>
      <c r="AT2561">
        <v>1</v>
      </c>
      <c r="AU2561" t="s">
        <v>521</v>
      </c>
      <c r="AV2561" t="s">
        <v>522</v>
      </c>
      <c r="AW2561" t="s">
        <v>60</v>
      </c>
      <c r="AX2561" t="s">
        <v>68</v>
      </c>
      <c r="AY2561" t="s">
        <v>69</v>
      </c>
      <c r="AZ2561" t="b">
        <v>1</v>
      </c>
    </row>
    <row r="2562" spans="1:52" x14ac:dyDescent="0.3">
      <c r="A2562" t="s">
        <v>52</v>
      </c>
      <c r="B2562" t="s">
        <v>53</v>
      </c>
      <c r="C2562" t="s">
        <v>54</v>
      </c>
      <c r="D2562" t="s">
        <v>55</v>
      </c>
      <c r="E2562" t="s">
        <v>2155</v>
      </c>
      <c r="F2562" t="s">
        <v>1247</v>
      </c>
      <c r="G2562" t="s">
        <v>879</v>
      </c>
      <c r="H2562" t="s">
        <v>880</v>
      </c>
      <c r="I2562" t="s">
        <v>880</v>
      </c>
      <c r="J2562" t="s">
        <v>60</v>
      </c>
      <c r="K2562" t="s">
        <v>505</v>
      </c>
      <c r="L2562" t="s">
        <v>62</v>
      </c>
      <c r="M2562" t="s">
        <v>505</v>
      </c>
      <c r="N2562" t="s">
        <v>881</v>
      </c>
      <c r="O2562" t="s">
        <v>882</v>
      </c>
      <c r="P2562">
        <v>-20.133452999999999</v>
      </c>
      <c r="Q2562">
        <v>-44.890571999999999</v>
      </c>
      <c r="R2562" s="2" t="str">
        <f>HYPERLINK("https://www.google.com/maps?q=-20.1334530,-44.8905720","Abrir no Google Maps")</f>
        <v>Abrir no Google Maps</v>
      </c>
      <c r="S2562">
        <v>3</v>
      </c>
      <c r="T2562">
        <v>373.51332104809921</v>
      </c>
      <c r="U2562">
        <v>4</v>
      </c>
      <c r="V2562">
        <v>0.42402348675914248</v>
      </c>
      <c r="W2562">
        <v>1</v>
      </c>
      <c r="X2562">
        <v>0.42402348675914248</v>
      </c>
      <c r="Y2562">
        <v>564</v>
      </c>
      <c r="Z2562">
        <v>422.34693311930448</v>
      </c>
      <c r="AA2562">
        <v>198</v>
      </c>
      <c r="AB2562">
        <v>332</v>
      </c>
      <c r="AC2562">
        <v>536</v>
      </c>
      <c r="AD2562">
        <v>29.96</v>
      </c>
      <c r="AE2562">
        <v>542</v>
      </c>
      <c r="AF2562">
        <v>29</v>
      </c>
      <c r="AG2562">
        <v>174</v>
      </c>
      <c r="AH2562">
        <v>129</v>
      </c>
      <c r="AI2562">
        <v>5.35</v>
      </c>
      <c r="AJ2562">
        <v>32.1</v>
      </c>
      <c r="AK2562">
        <v>23.8</v>
      </c>
      <c r="AL2562">
        <v>-20.133421549999952</v>
      </c>
      <c r="AM2562">
        <v>-44.890623456009052</v>
      </c>
      <c r="AN2562">
        <v>-20.133421549999952</v>
      </c>
      <c r="AO2562">
        <v>-44.890623456009052</v>
      </c>
      <c r="AP2562">
        <v>-20.133452999999999</v>
      </c>
      <c r="AQ2562">
        <v>-44.890571999999999</v>
      </c>
      <c r="AR2562">
        <v>6.4172139275452773</v>
      </c>
      <c r="AS2562" t="s">
        <v>65</v>
      </c>
      <c r="AT2562">
        <v>1</v>
      </c>
      <c r="AU2562" t="s">
        <v>883</v>
      </c>
      <c r="AV2562" t="s">
        <v>884</v>
      </c>
      <c r="AW2562" t="s">
        <v>60</v>
      </c>
      <c r="AX2562" t="s">
        <v>68</v>
      </c>
      <c r="AY2562" t="s">
        <v>69</v>
      </c>
      <c r="AZ2562" t="b">
        <v>1</v>
      </c>
    </row>
    <row r="2563" spans="1:52" x14ac:dyDescent="0.3">
      <c r="A2563" t="s">
        <v>52</v>
      </c>
      <c r="B2563" t="s">
        <v>53</v>
      </c>
      <c r="C2563" t="s">
        <v>54</v>
      </c>
      <c r="D2563" t="s">
        <v>55</v>
      </c>
      <c r="E2563" t="s">
        <v>2155</v>
      </c>
      <c r="F2563" t="s">
        <v>1247</v>
      </c>
      <c r="G2563" t="s">
        <v>523</v>
      </c>
      <c r="H2563" t="s">
        <v>524</v>
      </c>
      <c r="I2563" t="s">
        <v>524</v>
      </c>
      <c r="J2563" t="s">
        <v>60</v>
      </c>
      <c r="K2563" t="s">
        <v>518</v>
      </c>
      <c r="L2563" t="s">
        <v>62</v>
      </c>
      <c r="M2563" t="s">
        <v>518</v>
      </c>
      <c r="N2563" t="s">
        <v>525</v>
      </c>
      <c r="O2563" t="s">
        <v>331</v>
      </c>
      <c r="P2563">
        <v>-20.126553000000001</v>
      </c>
      <c r="Q2563">
        <v>-44.888599999999997</v>
      </c>
      <c r="R2563" s="2" t="str">
        <f>HYPERLINK("https://www.google.com/maps?q=-20.1265530,-44.8886000","Abrir no Google Maps")</f>
        <v>Abrir no Google Maps</v>
      </c>
      <c r="S2563">
        <v>3</v>
      </c>
      <c r="T2563">
        <v>256.34043440603853</v>
      </c>
      <c r="U2563">
        <v>4</v>
      </c>
      <c r="V2563">
        <v>0.42357670891849258</v>
      </c>
      <c r="W2563">
        <v>1</v>
      </c>
      <c r="X2563">
        <v>0.42357670891849258</v>
      </c>
      <c r="Y2563">
        <v>564</v>
      </c>
      <c r="Z2563">
        <v>325.4404273055876</v>
      </c>
      <c r="AA2563">
        <v>198</v>
      </c>
      <c r="AB2563">
        <v>332</v>
      </c>
      <c r="AC2563">
        <v>536</v>
      </c>
      <c r="AD2563">
        <v>29.96</v>
      </c>
      <c r="AE2563">
        <v>542</v>
      </c>
      <c r="AF2563">
        <v>29</v>
      </c>
      <c r="AG2563">
        <v>174</v>
      </c>
      <c r="AH2563">
        <v>129</v>
      </c>
      <c r="AI2563">
        <v>5.35</v>
      </c>
      <c r="AJ2563">
        <v>32.1</v>
      </c>
      <c r="AK2563">
        <v>23.8</v>
      </c>
      <c r="AL2563">
        <v>-20.12669049999997</v>
      </c>
      <c r="AM2563">
        <v>-44.888671289876577</v>
      </c>
      <c r="AN2563">
        <v>-20.12669049999997</v>
      </c>
      <c r="AO2563">
        <v>-44.888671289876577</v>
      </c>
      <c r="AP2563">
        <v>-20.126553000000001</v>
      </c>
      <c r="AQ2563">
        <v>-44.888599999999997</v>
      </c>
      <c r="AR2563">
        <v>17.023861591720589</v>
      </c>
      <c r="AS2563" t="s">
        <v>65</v>
      </c>
      <c r="AT2563">
        <v>1</v>
      </c>
      <c r="AU2563" t="s">
        <v>526</v>
      </c>
      <c r="AV2563" t="s">
        <v>527</v>
      </c>
      <c r="AW2563" t="s">
        <v>60</v>
      </c>
      <c r="AX2563" t="s">
        <v>68</v>
      </c>
      <c r="AY2563" t="s">
        <v>69</v>
      </c>
      <c r="AZ2563" t="b">
        <v>1</v>
      </c>
    </row>
    <row r="2564" spans="1:52" x14ac:dyDescent="0.3">
      <c r="A2564" t="s">
        <v>52</v>
      </c>
      <c r="B2564" t="s">
        <v>53</v>
      </c>
      <c r="C2564" t="s">
        <v>54</v>
      </c>
      <c r="D2564" t="s">
        <v>55</v>
      </c>
      <c r="E2564" t="s">
        <v>2155</v>
      </c>
      <c r="F2564" t="s">
        <v>1247</v>
      </c>
      <c r="G2564" t="s">
        <v>528</v>
      </c>
      <c r="H2564" t="s">
        <v>529</v>
      </c>
      <c r="I2564" t="s">
        <v>529</v>
      </c>
      <c r="J2564" t="s">
        <v>60</v>
      </c>
      <c r="K2564" t="s">
        <v>530</v>
      </c>
      <c r="L2564" t="s">
        <v>62</v>
      </c>
      <c r="M2564" t="s">
        <v>530</v>
      </c>
      <c r="N2564" t="s">
        <v>531</v>
      </c>
      <c r="O2564" t="s">
        <v>532</v>
      </c>
      <c r="P2564">
        <v>-20.142457</v>
      </c>
      <c r="Q2564">
        <v>-44.891688000000002</v>
      </c>
      <c r="R2564" s="2" t="str">
        <f>HYPERLINK("https://www.google.com/maps?q=-20.1424570,-44.8916880","Abrir no Google Maps")</f>
        <v>Abrir no Google Maps</v>
      </c>
      <c r="S2564">
        <v>3</v>
      </c>
      <c r="T2564">
        <v>0</v>
      </c>
      <c r="U2564">
        <v>4</v>
      </c>
      <c r="V2564">
        <v>0.4275345767764821</v>
      </c>
      <c r="W2564">
        <v>1</v>
      </c>
      <c r="X2564">
        <v>0.4275345767764821</v>
      </c>
      <c r="Y2564">
        <v>557</v>
      </c>
      <c r="Z2564">
        <v>42.611952255679803</v>
      </c>
      <c r="AA2564">
        <v>198</v>
      </c>
      <c r="AB2564">
        <v>332</v>
      </c>
      <c r="AC2564">
        <v>536</v>
      </c>
      <c r="AD2564">
        <v>29.96</v>
      </c>
      <c r="AE2564">
        <v>542</v>
      </c>
      <c r="AF2564">
        <v>29</v>
      </c>
      <c r="AG2564">
        <v>174</v>
      </c>
      <c r="AH2564">
        <v>129</v>
      </c>
      <c r="AI2564">
        <v>5.35</v>
      </c>
      <c r="AJ2564">
        <v>32.1</v>
      </c>
      <c r="AK2564">
        <v>23.8</v>
      </c>
      <c r="AL2564">
        <v>-20.142523099999948</v>
      </c>
      <c r="AM2564">
        <v>-44.891523817588819</v>
      </c>
      <c r="AN2564">
        <v>-20.142523099999948</v>
      </c>
      <c r="AO2564">
        <v>-44.891523817588819</v>
      </c>
      <c r="AP2564">
        <v>-20.142457</v>
      </c>
      <c r="AQ2564">
        <v>-44.891688000000002</v>
      </c>
      <c r="AR2564">
        <v>18.670129248632971</v>
      </c>
      <c r="AS2564" t="s">
        <v>65</v>
      </c>
      <c r="AT2564">
        <v>1</v>
      </c>
      <c r="AU2564" t="s">
        <v>533</v>
      </c>
      <c r="AV2564" t="s">
        <v>534</v>
      </c>
      <c r="AW2564" t="s">
        <v>60</v>
      </c>
      <c r="AX2564" t="s">
        <v>68</v>
      </c>
      <c r="AY2564" t="s">
        <v>69</v>
      </c>
      <c r="AZ2564" t="b">
        <v>1</v>
      </c>
    </row>
    <row r="2565" spans="1:52" x14ac:dyDescent="0.3">
      <c r="A2565" t="s">
        <v>52</v>
      </c>
      <c r="B2565" t="s">
        <v>53</v>
      </c>
      <c r="C2565" t="s">
        <v>54</v>
      </c>
      <c r="D2565" t="s">
        <v>55</v>
      </c>
      <c r="E2565" t="s">
        <v>2155</v>
      </c>
      <c r="F2565" t="s">
        <v>1247</v>
      </c>
      <c r="G2565" t="s">
        <v>535</v>
      </c>
      <c r="H2565" t="s">
        <v>536</v>
      </c>
      <c r="I2565" t="s">
        <v>536</v>
      </c>
      <c r="J2565" t="s">
        <v>60</v>
      </c>
      <c r="K2565" t="s">
        <v>388</v>
      </c>
      <c r="L2565" t="s">
        <v>62</v>
      </c>
      <c r="M2565" t="s">
        <v>388</v>
      </c>
      <c r="N2565" t="s">
        <v>537</v>
      </c>
      <c r="O2565" t="s">
        <v>538</v>
      </c>
      <c r="P2565">
        <v>-20.150061999999998</v>
      </c>
      <c r="Q2565">
        <v>-44.903379000000001</v>
      </c>
      <c r="R2565" s="2" t="str">
        <f>HYPERLINK("https://www.google.com/maps?q=-20.1500620,-44.9033790","Abrir no Google Maps")</f>
        <v>Abrir no Google Maps</v>
      </c>
      <c r="S2565">
        <v>3</v>
      </c>
      <c r="T2565">
        <v>286.20313674219977</v>
      </c>
      <c r="U2565">
        <v>4</v>
      </c>
      <c r="V2565">
        <v>0.42345216450480572</v>
      </c>
      <c r="W2565">
        <v>1</v>
      </c>
      <c r="X2565">
        <v>0.42345216450480572</v>
      </c>
      <c r="Y2565">
        <v>556</v>
      </c>
      <c r="Z2565">
        <v>315.81851898667401</v>
      </c>
      <c r="AA2565">
        <v>198</v>
      </c>
      <c r="AB2565">
        <v>332</v>
      </c>
      <c r="AC2565">
        <v>536</v>
      </c>
      <c r="AD2565">
        <v>29.96</v>
      </c>
      <c r="AE2565">
        <v>542</v>
      </c>
      <c r="AF2565">
        <v>29</v>
      </c>
      <c r="AG2565">
        <v>174</v>
      </c>
      <c r="AH2565">
        <v>129</v>
      </c>
      <c r="AI2565">
        <v>5.35</v>
      </c>
      <c r="AJ2565">
        <v>32.1</v>
      </c>
      <c r="AK2565">
        <v>23.8</v>
      </c>
      <c r="AL2565">
        <v>-20.150084299999971</v>
      </c>
      <c r="AM2565">
        <v>-44.903278407568479</v>
      </c>
      <c r="AN2565">
        <v>-20.150084299999971</v>
      </c>
      <c r="AO2565">
        <v>-44.903278407568479</v>
      </c>
      <c r="AP2565">
        <v>-20.150061999999998</v>
      </c>
      <c r="AQ2565">
        <v>-44.903379000000001</v>
      </c>
      <c r="AR2565">
        <v>10.801687336134639</v>
      </c>
      <c r="AS2565" t="s">
        <v>65</v>
      </c>
      <c r="AT2565">
        <v>1</v>
      </c>
      <c r="AU2565" t="s">
        <v>539</v>
      </c>
      <c r="AV2565" t="s">
        <v>540</v>
      </c>
      <c r="AW2565" t="s">
        <v>60</v>
      </c>
      <c r="AX2565" t="s">
        <v>68</v>
      </c>
      <c r="AY2565" t="s">
        <v>69</v>
      </c>
      <c r="AZ2565" t="b">
        <v>1</v>
      </c>
    </row>
    <row r="2566" spans="1:52" x14ac:dyDescent="0.3">
      <c r="A2566" t="s">
        <v>52</v>
      </c>
      <c r="B2566" t="s">
        <v>53</v>
      </c>
      <c r="C2566" t="s">
        <v>54</v>
      </c>
      <c r="D2566" t="s">
        <v>55</v>
      </c>
      <c r="E2566" t="s">
        <v>2155</v>
      </c>
      <c r="F2566" t="s">
        <v>1247</v>
      </c>
      <c r="G2566" t="s">
        <v>551</v>
      </c>
      <c r="H2566" t="s">
        <v>552</v>
      </c>
      <c r="I2566" t="s">
        <v>552</v>
      </c>
      <c r="J2566" t="s">
        <v>60</v>
      </c>
      <c r="K2566" t="s">
        <v>388</v>
      </c>
      <c r="L2566" t="s">
        <v>62</v>
      </c>
      <c r="M2566" t="s">
        <v>388</v>
      </c>
      <c r="N2566" t="s">
        <v>553</v>
      </c>
      <c r="O2566" t="s">
        <v>315</v>
      </c>
      <c r="P2566">
        <v>-20.153086999999999</v>
      </c>
      <c r="Q2566">
        <v>-44.905451999999997</v>
      </c>
      <c r="R2566" s="2" t="str">
        <f>HYPERLINK("https://www.google.com/maps?q=-20.1530870,-44.9054520","Abrir no Google Maps")</f>
        <v>Abrir no Google Maps</v>
      </c>
      <c r="S2566">
        <v>3</v>
      </c>
      <c r="T2566">
        <v>313.69387682409018</v>
      </c>
      <c r="U2566">
        <v>4</v>
      </c>
      <c r="V2566">
        <v>0.42367602545095129</v>
      </c>
      <c r="W2566">
        <v>1</v>
      </c>
      <c r="X2566">
        <v>0.42367602545095129</v>
      </c>
      <c r="Y2566">
        <v>548</v>
      </c>
      <c r="Z2566">
        <v>319.51605309906859</v>
      </c>
      <c r="AA2566">
        <v>198</v>
      </c>
      <c r="AB2566">
        <v>332</v>
      </c>
      <c r="AC2566">
        <v>536</v>
      </c>
      <c r="AD2566">
        <v>29.96</v>
      </c>
      <c r="AE2566">
        <v>542</v>
      </c>
      <c r="AF2566">
        <v>29</v>
      </c>
      <c r="AG2566">
        <v>174</v>
      </c>
      <c r="AH2566">
        <v>129</v>
      </c>
      <c r="AI2566">
        <v>5.35</v>
      </c>
      <c r="AJ2566">
        <v>32.1</v>
      </c>
      <c r="AK2566">
        <v>23.8</v>
      </c>
      <c r="AL2566">
        <v>-20.153043049999951</v>
      </c>
      <c r="AM2566">
        <v>-44.905348275899513</v>
      </c>
      <c r="AN2566">
        <v>-20.153043049999951</v>
      </c>
      <c r="AO2566">
        <v>-44.905348275899513</v>
      </c>
      <c r="AP2566">
        <v>-20.153086999999999</v>
      </c>
      <c r="AQ2566">
        <v>-44.905451999999997</v>
      </c>
      <c r="AR2566">
        <v>11.892619975648341</v>
      </c>
      <c r="AS2566" t="s">
        <v>65</v>
      </c>
      <c r="AT2566">
        <v>1</v>
      </c>
      <c r="AU2566" t="s">
        <v>554</v>
      </c>
      <c r="AV2566" t="s">
        <v>555</v>
      </c>
      <c r="AW2566" t="s">
        <v>60</v>
      </c>
      <c r="AX2566" t="s">
        <v>68</v>
      </c>
      <c r="AY2566" t="s">
        <v>69</v>
      </c>
      <c r="AZ2566" t="b">
        <v>1</v>
      </c>
    </row>
    <row r="2567" spans="1:52" x14ac:dyDescent="0.3">
      <c r="A2567" t="s">
        <v>52</v>
      </c>
      <c r="B2567" t="s">
        <v>53</v>
      </c>
      <c r="C2567" t="s">
        <v>54</v>
      </c>
      <c r="D2567" t="s">
        <v>55</v>
      </c>
      <c r="E2567" t="s">
        <v>2155</v>
      </c>
      <c r="F2567" t="s">
        <v>1247</v>
      </c>
      <c r="G2567" t="s">
        <v>568</v>
      </c>
      <c r="H2567" t="s">
        <v>569</v>
      </c>
      <c r="I2567" t="s">
        <v>569</v>
      </c>
      <c r="J2567" t="s">
        <v>60</v>
      </c>
      <c r="K2567" t="s">
        <v>61</v>
      </c>
      <c r="L2567" t="s">
        <v>62</v>
      </c>
      <c r="M2567" t="s">
        <v>61</v>
      </c>
      <c r="N2567" t="s">
        <v>570</v>
      </c>
      <c r="O2567" t="s">
        <v>548</v>
      </c>
      <c r="P2567">
        <v>-20.151508</v>
      </c>
      <c r="Q2567">
        <v>-44.907826</v>
      </c>
      <c r="R2567" s="2" t="str">
        <f>HYPERLINK("https://www.google.com/maps?q=-20.1515080,-44.9078260","Abrir no Google Maps")</f>
        <v>Abrir no Google Maps</v>
      </c>
      <c r="S2567">
        <v>3</v>
      </c>
      <c r="T2567">
        <v>567.15905416240514</v>
      </c>
      <c r="U2567">
        <v>4</v>
      </c>
      <c r="V2567">
        <v>0.50065974560419013</v>
      </c>
      <c r="W2567">
        <v>0.85</v>
      </c>
      <c r="X2567">
        <v>0.4255607837635616</v>
      </c>
      <c r="Y2567">
        <v>548</v>
      </c>
      <c r="Z2567">
        <v>560.49158010771464</v>
      </c>
      <c r="AA2567">
        <v>198</v>
      </c>
      <c r="AB2567">
        <v>332</v>
      </c>
      <c r="AC2567">
        <v>536</v>
      </c>
      <c r="AD2567">
        <v>29.96</v>
      </c>
      <c r="AE2567">
        <v>542</v>
      </c>
      <c r="AF2567">
        <v>29</v>
      </c>
      <c r="AG2567">
        <v>174</v>
      </c>
      <c r="AH2567">
        <v>129</v>
      </c>
      <c r="AI2567">
        <v>5.35</v>
      </c>
      <c r="AJ2567">
        <v>32.1</v>
      </c>
      <c r="AK2567">
        <v>23.8</v>
      </c>
      <c r="AL2567">
        <v>-20.15211779999996</v>
      </c>
      <c r="AM2567">
        <v>-44.907597469593128</v>
      </c>
      <c r="AN2567">
        <v>-20.15211779999996</v>
      </c>
      <c r="AO2567">
        <v>-44.907597469593128</v>
      </c>
      <c r="AP2567">
        <v>-20.151508</v>
      </c>
      <c r="AQ2567">
        <v>-44.907826</v>
      </c>
      <c r="AR2567">
        <v>71.961597929314735</v>
      </c>
      <c r="AS2567" t="s">
        <v>65</v>
      </c>
      <c r="AT2567">
        <v>1</v>
      </c>
      <c r="AU2567" t="s">
        <v>571</v>
      </c>
      <c r="AV2567" t="s">
        <v>572</v>
      </c>
      <c r="AW2567" t="s">
        <v>60</v>
      </c>
      <c r="AX2567" t="s">
        <v>68</v>
      </c>
      <c r="AY2567" t="s">
        <v>69</v>
      </c>
      <c r="AZ2567" t="b">
        <v>1</v>
      </c>
    </row>
    <row r="2568" spans="1:52" x14ac:dyDescent="0.3">
      <c r="A2568" t="s">
        <v>52</v>
      </c>
      <c r="B2568" t="s">
        <v>53</v>
      </c>
      <c r="C2568" t="s">
        <v>54</v>
      </c>
      <c r="D2568" t="s">
        <v>55</v>
      </c>
      <c r="E2568" t="s">
        <v>2155</v>
      </c>
      <c r="F2568" t="s">
        <v>1247</v>
      </c>
      <c r="G2568" t="s">
        <v>380</v>
      </c>
      <c r="H2568" t="s">
        <v>381</v>
      </c>
      <c r="I2568" t="s">
        <v>381</v>
      </c>
      <c r="J2568" t="s">
        <v>60</v>
      </c>
      <c r="K2568" t="s">
        <v>72</v>
      </c>
      <c r="L2568" t="s">
        <v>62</v>
      </c>
      <c r="M2568" t="s">
        <v>72</v>
      </c>
      <c r="N2568" t="s">
        <v>382</v>
      </c>
      <c r="O2568" t="s">
        <v>383</v>
      </c>
      <c r="P2568">
        <v>-20.147182000000001</v>
      </c>
      <c r="Q2568">
        <v>-44.912728999999999</v>
      </c>
      <c r="R2568" s="2" t="str">
        <f>HYPERLINK("https://www.google.com/maps?q=-20.1471820,-44.9127290","Abrir no Google Maps")</f>
        <v>Abrir no Google Maps</v>
      </c>
      <c r="S2568">
        <v>3</v>
      </c>
      <c r="T2568">
        <v>478.0141981540923</v>
      </c>
      <c r="U2568">
        <v>3</v>
      </c>
      <c r="V2568">
        <v>0.414391493072993</v>
      </c>
      <c r="W2568">
        <v>1</v>
      </c>
      <c r="X2568">
        <v>0.414391493072993</v>
      </c>
      <c r="Y2568">
        <v>747</v>
      </c>
      <c r="Z2568">
        <v>494.0254290673729</v>
      </c>
      <c r="AA2568">
        <v>198</v>
      </c>
      <c r="AB2568">
        <v>332</v>
      </c>
      <c r="AC2568">
        <v>536</v>
      </c>
      <c r="AD2568">
        <v>29.96</v>
      </c>
      <c r="AE2568">
        <v>542</v>
      </c>
      <c r="AF2568">
        <v>29</v>
      </c>
      <c r="AG2568">
        <v>174</v>
      </c>
      <c r="AH2568">
        <v>129</v>
      </c>
      <c r="AI2568">
        <v>5.35</v>
      </c>
      <c r="AJ2568">
        <v>32.1</v>
      </c>
      <c r="AK2568">
        <v>23.8</v>
      </c>
      <c r="AL2568">
        <v>-20.147375599999979</v>
      </c>
      <c r="AM2568">
        <v>-44.912907472879468</v>
      </c>
      <c r="AN2568">
        <v>-20.147375599999979</v>
      </c>
      <c r="AO2568">
        <v>-44.912907472879468</v>
      </c>
      <c r="AP2568">
        <v>-20.147182000000001</v>
      </c>
      <c r="AQ2568">
        <v>-44.912728999999999</v>
      </c>
      <c r="AR2568">
        <v>28.50197694184326</v>
      </c>
      <c r="AS2568" t="s">
        <v>65</v>
      </c>
      <c r="AT2568">
        <v>1</v>
      </c>
      <c r="AU2568" t="s">
        <v>384</v>
      </c>
      <c r="AV2568" t="s">
        <v>385</v>
      </c>
      <c r="AW2568" t="s">
        <v>60</v>
      </c>
      <c r="AX2568" t="s">
        <v>68</v>
      </c>
      <c r="AY2568" t="s">
        <v>69</v>
      </c>
      <c r="AZ2568" t="b">
        <v>1</v>
      </c>
    </row>
    <row r="2569" spans="1:52" x14ac:dyDescent="0.3">
      <c r="A2569" t="s">
        <v>52</v>
      </c>
      <c r="B2569" t="s">
        <v>53</v>
      </c>
      <c r="C2569" t="s">
        <v>54</v>
      </c>
      <c r="D2569" t="s">
        <v>55</v>
      </c>
      <c r="E2569" t="s">
        <v>2155</v>
      </c>
      <c r="F2569" t="s">
        <v>1247</v>
      </c>
      <c r="G2569" t="s">
        <v>833</v>
      </c>
      <c r="H2569" t="s">
        <v>834</v>
      </c>
      <c r="I2569" t="s">
        <v>834</v>
      </c>
      <c r="J2569" t="s">
        <v>60</v>
      </c>
      <c r="K2569" t="s">
        <v>388</v>
      </c>
      <c r="L2569" t="s">
        <v>62</v>
      </c>
      <c r="M2569" t="s">
        <v>388</v>
      </c>
      <c r="N2569" t="s">
        <v>835</v>
      </c>
      <c r="O2569" t="s">
        <v>836</v>
      </c>
      <c r="P2569">
        <v>-20.157906000000001</v>
      </c>
      <c r="Q2569">
        <v>-44.900458999999998</v>
      </c>
      <c r="R2569" s="2" t="str">
        <f>HYPERLINK("https://www.google.com/maps?q=-20.1579060,-44.9004590","Abrir no Google Maps")</f>
        <v>Abrir no Google Maps</v>
      </c>
      <c r="S2569">
        <v>3</v>
      </c>
      <c r="T2569">
        <v>0</v>
      </c>
      <c r="U2569">
        <v>3</v>
      </c>
      <c r="V2569">
        <v>0.4077845302555333</v>
      </c>
      <c r="W2569">
        <v>1</v>
      </c>
      <c r="X2569">
        <v>0.4077845302555333</v>
      </c>
      <c r="Y2569">
        <v>729</v>
      </c>
      <c r="Z2569">
        <v>203.63168486652771</v>
      </c>
      <c r="AA2569">
        <v>198</v>
      </c>
      <c r="AB2569">
        <v>332</v>
      </c>
      <c r="AC2569">
        <v>536</v>
      </c>
      <c r="AD2569">
        <v>29.96</v>
      </c>
      <c r="AE2569">
        <v>542</v>
      </c>
      <c r="AF2569">
        <v>29</v>
      </c>
      <c r="AG2569">
        <v>174</v>
      </c>
      <c r="AH2569">
        <v>129</v>
      </c>
      <c r="AI2569">
        <v>5.35</v>
      </c>
      <c r="AJ2569">
        <v>32.1</v>
      </c>
      <c r="AK2569">
        <v>23.8</v>
      </c>
      <c r="AL2569">
        <v>-20.157925749999951</v>
      </c>
      <c r="AM2569">
        <v>-44.900484707799812</v>
      </c>
      <c r="AN2569">
        <v>-20.157925749999951</v>
      </c>
      <c r="AO2569">
        <v>-44.900484707799812</v>
      </c>
      <c r="AP2569">
        <v>-20.157906000000001</v>
      </c>
      <c r="AQ2569">
        <v>-44.900458999999998</v>
      </c>
      <c r="AR2569">
        <v>3.4714515960382508</v>
      </c>
      <c r="AS2569" t="s">
        <v>65</v>
      </c>
      <c r="AT2569">
        <v>1</v>
      </c>
      <c r="AU2569" t="s">
        <v>837</v>
      </c>
      <c r="AV2569" t="s">
        <v>838</v>
      </c>
      <c r="AW2569" t="s">
        <v>60</v>
      </c>
      <c r="AX2569" t="s">
        <v>68</v>
      </c>
      <c r="AY2569" t="s">
        <v>69</v>
      </c>
      <c r="AZ2569" t="b">
        <v>1</v>
      </c>
    </row>
    <row r="2570" spans="1:52" x14ac:dyDescent="0.3">
      <c r="A2570" t="s">
        <v>52</v>
      </c>
      <c r="B2570" t="s">
        <v>53</v>
      </c>
      <c r="C2570" t="s">
        <v>54</v>
      </c>
      <c r="D2570" t="s">
        <v>55</v>
      </c>
      <c r="E2570" t="s">
        <v>2155</v>
      </c>
      <c r="F2570" t="s">
        <v>1247</v>
      </c>
      <c r="G2570" t="s">
        <v>839</v>
      </c>
      <c r="H2570" t="s">
        <v>840</v>
      </c>
      <c r="I2570" t="s">
        <v>840</v>
      </c>
      <c r="J2570" t="s">
        <v>60</v>
      </c>
      <c r="K2570" t="s">
        <v>388</v>
      </c>
      <c r="L2570" t="s">
        <v>62</v>
      </c>
      <c r="M2570" t="s">
        <v>388</v>
      </c>
      <c r="N2570" t="s">
        <v>841</v>
      </c>
      <c r="O2570" t="s">
        <v>842</v>
      </c>
      <c r="P2570">
        <v>-20.159977999999999</v>
      </c>
      <c r="Q2570">
        <v>-44.900207000000002</v>
      </c>
      <c r="R2570" s="2" t="str">
        <f>HYPERLINK("https://www.google.com/maps?q=-20.1599780,-44.9002070","Abrir no Google Maps")</f>
        <v>Abrir no Google Maps</v>
      </c>
      <c r="S2570">
        <v>3</v>
      </c>
      <c r="T2570">
        <v>213.24333517300789</v>
      </c>
      <c r="U2570">
        <v>3</v>
      </c>
      <c r="V2570">
        <v>0.41384535754100971</v>
      </c>
      <c r="W2570">
        <v>1</v>
      </c>
      <c r="X2570">
        <v>0.41384535754100971</v>
      </c>
      <c r="Y2570">
        <v>729</v>
      </c>
      <c r="Z2570">
        <v>315.47173727880028</v>
      </c>
      <c r="AA2570">
        <v>198</v>
      </c>
      <c r="AB2570">
        <v>332</v>
      </c>
      <c r="AC2570">
        <v>536</v>
      </c>
      <c r="AD2570">
        <v>29.96</v>
      </c>
      <c r="AE2570">
        <v>542</v>
      </c>
      <c r="AF2570">
        <v>29</v>
      </c>
      <c r="AG2570">
        <v>174</v>
      </c>
      <c r="AH2570">
        <v>129</v>
      </c>
      <c r="AI2570">
        <v>5.35</v>
      </c>
      <c r="AJ2570">
        <v>32.1</v>
      </c>
      <c r="AK2570">
        <v>23.8</v>
      </c>
      <c r="AL2570">
        <v>-20.159825649999959</v>
      </c>
      <c r="AM2570">
        <v>-44.900143828909613</v>
      </c>
      <c r="AN2570">
        <v>-20.159825649999959</v>
      </c>
      <c r="AO2570">
        <v>-44.900143828909613</v>
      </c>
      <c r="AP2570">
        <v>-20.159977999999999</v>
      </c>
      <c r="AQ2570">
        <v>-44.900207000000002</v>
      </c>
      <c r="AR2570">
        <v>18.199073573580371</v>
      </c>
      <c r="AS2570" t="s">
        <v>65</v>
      </c>
      <c r="AT2570">
        <v>1</v>
      </c>
      <c r="AU2570" t="s">
        <v>843</v>
      </c>
      <c r="AV2570" t="s">
        <v>844</v>
      </c>
      <c r="AW2570" t="s">
        <v>60</v>
      </c>
      <c r="AX2570" t="s">
        <v>68</v>
      </c>
      <c r="AY2570" t="s">
        <v>69</v>
      </c>
      <c r="AZ2570" t="b">
        <v>1</v>
      </c>
    </row>
    <row r="2571" spans="1:52" x14ac:dyDescent="0.3">
      <c r="A2571" t="s">
        <v>52</v>
      </c>
      <c r="B2571" t="s">
        <v>53</v>
      </c>
      <c r="C2571" t="s">
        <v>54</v>
      </c>
      <c r="D2571" t="s">
        <v>55</v>
      </c>
      <c r="E2571" t="s">
        <v>2155</v>
      </c>
      <c r="F2571" t="s">
        <v>1247</v>
      </c>
      <c r="G2571" t="s">
        <v>386</v>
      </c>
      <c r="H2571" t="s">
        <v>387</v>
      </c>
      <c r="I2571" t="s">
        <v>387</v>
      </c>
      <c r="J2571" t="s">
        <v>60</v>
      </c>
      <c r="K2571" t="s">
        <v>388</v>
      </c>
      <c r="L2571" t="s">
        <v>62</v>
      </c>
      <c r="M2571" t="s">
        <v>388</v>
      </c>
      <c r="N2571" t="s">
        <v>389</v>
      </c>
      <c r="O2571" t="s">
        <v>357</v>
      </c>
      <c r="P2571">
        <v>-20.161041999999998</v>
      </c>
      <c r="Q2571">
        <v>-44.901242000000003</v>
      </c>
      <c r="R2571" s="2" t="str">
        <f>HYPERLINK("https://www.google.com/maps?q=-20.1610420,-44.9012420","Abrir no Google Maps")</f>
        <v>Abrir no Google Maps</v>
      </c>
      <c r="S2571">
        <v>3</v>
      </c>
      <c r="T2571">
        <v>440.22183232279212</v>
      </c>
      <c r="U2571">
        <v>3</v>
      </c>
      <c r="V2571">
        <v>0.41738911638911641</v>
      </c>
      <c r="W2571">
        <v>1</v>
      </c>
      <c r="X2571">
        <v>0.41738911638911641</v>
      </c>
      <c r="Y2571">
        <v>729</v>
      </c>
      <c r="Z2571">
        <v>398.48306829302379</v>
      </c>
      <c r="AA2571">
        <v>198</v>
      </c>
      <c r="AB2571">
        <v>332</v>
      </c>
      <c r="AC2571">
        <v>536</v>
      </c>
      <c r="AD2571">
        <v>29.96</v>
      </c>
      <c r="AE2571">
        <v>542</v>
      </c>
      <c r="AF2571">
        <v>29</v>
      </c>
      <c r="AG2571">
        <v>174</v>
      </c>
      <c r="AH2571">
        <v>129</v>
      </c>
      <c r="AI2571">
        <v>5.35</v>
      </c>
      <c r="AJ2571">
        <v>32.1</v>
      </c>
      <c r="AK2571">
        <v>23.8</v>
      </c>
      <c r="AL2571">
        <v>-20.16176629999995</v>
      </c>
      <c r="AM2571">
        <v>-44.901582787827898</v>
      </c>
      <c r="AN2571">
        <v>-20.16176629999995</v>
      </c>
      <c r="AO2571">
        <v>-44.901582787827898</v>
      </c>
      <c r="AP2571">
        <v>-20.161041999999998</v>
      </c>
      <c r="AQ2571">
        <v>-44.901242000000003</v>
      </c>
      <c r="AR2571">
        <v>88.143369157892835</v>
      </c>
      <c r="AS2571" t="s">
        <v>65</v>
      </c>
      <c r="AT2571">
        <v>1</v>
      </c>
      <c r="AU2571" t="s">
        <v>390</v>
      </c>
      <c r="AV2571" t="s">
        <v>391</v>
      </c>
      <c r="AW2571" t="s">
        <v>60</v>
      </c>
      <c r="AX2571" t="s">
        <v>68</v>
      </c>
      <c r="AY2571" t="s">
        <v>69</v>
      </c>
      <c r="AZ2571" t="b">
        <v>1</v>
      </c>
    </row>
    <row r="2572" spans="1:52" x14ac:dyDescent="0.3">
      <c r="A2572" t="s">
        <v>52</v>
      </c>
      <c r="B2572" t="s">
        <v>53</v>
      </c>
      <c r="C2572" t="s">
        <v>54</v>
      </c>
      <c r="D2572" t="s">
        <v>55</v>
      </c>
      <c r="E2572" t="s">
        <v>2155</v>
      </c>
      <c r="F2572" t="s">
        <v>1247</v>
      </c>
      <c r="G2572" t="s">
        <v>392</v>
      </c>
      <c r="H2572" t="s">
        <v>393</v>
      </c>
      <c r="I2572" t="s">
        <v>393</v>
      </c>
      <c r="J2572" t="s">
        <v>60</v>
      </c>
      <c r="K2572" t="s">
        <v>388</v>
      </c>
      <c r="L2572" t="s">
        <v>62</v>
      </c>
      <c r="M2572" t="s">
        <v>388</v>
      </c>
      <c r="N2572" t="s">
        <v>394</v>
      </c>
      <c r="O2572" t="s">
        <v>395</v>
      </c>
      <c r="P2572">
        <v>-20.158066999999999</v>
      </c>
      <c r="Q2572">
        <v>-44.908164999999997</v>
      </c>
      <c r="R2572" s="2" t="str">
        <f>HYPERLINK("https://www.google.com/maps?q=-20.1580670,-44.9081650","Abrir no Google Maps")</f>
        <v>Abrir no Google Maps</v>
      </c>
      <c r="S2572">
        <v>3</v>
      </c>
      <c r="T2572">
        <v>666.74434317993041</v>
      </c>
      <c r="U2572">
        <v>3</v>
      </c>
      <c r="V2572">
        <v>0.41719692330481001</v>
      </c>
      <c r="W2572">
        <v>1</v>
      </c>
      <c r="X2572">
        <v>0.41719692330481001</v>
      </c>
      <c r="Y2572">
        <v>729</v>
      </c>
      <c r="Z2572">
        <v>612.4323328215396</v>
      </c>
      <c r="AA2572">
        <v>198</v>
      </c>
      <c r="AB2572">
        <v>332</v>
      </c>
      <c r="AC2572">
        <v>536</v>
      </c>
      <c r="AD2572">
        <v>29.96</v>
      </c>
      <c r="AE2572">
        <v>542</v>
      </c>
      <c r="AF2572">
        <v>29</v>
      </c>
      <c r="AG2572">
        <v>174</v>
      </c>
      <c r="AH2572">
        <v>129</v>
      </c>
      <c r="AI2572">
        <v>5.35</v>
      </c>
      <c r="AJ2572">
        <v>32.1</v>
      </c>
      <c r="AK2572">
        <v>23.8</v>
      </c>
      <c r="AL2572">
        <v>-20.158151449999959</v>
      </c>
      <c r="AM2572">
        <v>-44.908107718360938</v>
      </c>
      <c r="AN2572">
        <v>-20.158151449999959</v>
      </c>
      <c r="AO2572">
        <v>-44.908107718360938</v>
      </c>
      <c r="AP2572">
        <v>-20.158066999999999</v>
      </c>
      <c r="AQ2572">
        <v>-44.908164999999997</v>
      </c>
      <c r="AR2572">
        <v>11.14497345894574</v>
      </c>
      <c r="AS2572" t="s">
        <v>65</v>
      </c>
      <c r="AT2572">
        <v>1</v>
      </c>
      <c r="AU2572" t="s">
        <v>396</v>
      </c>
      <c r="AV2572" t="s">
        <v>397</v>
      </c>
      <c r="AW2572" t="s">
        <v>60</v>
      </c>
      <c r="AX2572" t="s">
        <v>68</v>
      </c>
      <c r="AY2572" t="s">
        <v>69</v>
      </c>
      <c r="AZ2572" t="b">
        <v>1</v>
      </c>
    </row>
    <row r="2573" spans="1:52" x14ac:dyDescent="0.3">
      <c r="A2573" t="s">
        <v>52</v>
      </c>
      <c r="B2573" t="s">
        <v>53</v>
      </c>
      <c r="C2573" t="s">
        <v>54</v>
      </c>
      <c r="D2573" t="s">
        <v>55</v>
      </c>
      <c r="E2573" t="s">
        <v>2155</v>
      </c>
      <c r="F2573" t="s">
        <v>1247</v>
      </c>
      <c r="G2573" t="s">
        <v>398</v>
      </c>
      <c r="H2573" t="s">
        <v>399</v>
      </c>
      <c r="I2573" t="s">
        <v>399</v>
      </c>
      <c r="J2573" t="s">
        <v>60</v>
      </c>
      <c r="K2573" t="s">
        <v>388</v>
      </c>
      <c r="L2573" t="s">
        <v>62</v>
      </c>
      <c r="M2573" t="s">
        <v>388</v>
      </c>
      <c r="N2573" t="s">
        <v>400</v>
      </c>
      <c r="O2573" t="s">
        <v>401</v>
      </c>
      <c r="P2573">
        <v>-20.160157000000002</v>
      </c>
      <c r="Q2573">
        <v>-44.904347999999999</v>
      </c>
      <c r="R2573" s="2" t="str">
        <f>HYPERLINK("https://www.google.com/maps?q=-20.1601570,-44.9043480","Abrir no Google Maps")</f>
        <v>Abrir no Google Maps</v>
      </c>
      <c r="S2573">
        <v>3</v>
      </c>
      <c r="T2573">
        <v>469.26088527154809</v>
      </c>
      <c r="U2573">
        <v>3</v>
      </c>
      <c r="V2573">
        <v>0.41491476087267931</v>
      </c>
      <c r="W2573">
        <v>1</v>
      </c>
      <c r="X2573">
        <v>0.41491476087267931</v>
      </c>
      <c r="Y2573">
        <v>729</v>
      </c>
      <c r="Z2573">
        <v>253.57832452309071</v>
      </c>
      <c r="AA2573">
        <v>198</v>
      </c>
      <c r="AB2573">
        <v>332</v>
      </c>
      <c r="AC2573">
        <v>536</v>
      </c>
      <c r="AD2573">
        <v>29.96</v>
      </c>
      <c r="AE2573">
        <v>542</v>
      </c>
      <c r="AF2573">
        <v>29</v>
      </c>
      <c r="AG2573">
        <v>174</v>
      </c>
      <c r="AH2573">
        <v>129</v>
      </c>
      <c r="AI2573">
        <v>5.35</v>
      </c>
      <c r="AJ2573">
        <v>32.1</v>
      </c>
      <c r="AK2573">
        <v>23.8</v>
      </c>
      <c r="AL2573">
        <v>-20.160007949999969</v>
      </c>
      <c r="AM2573">
        <v>-44.904396608560482</v>
      </c>
      <c r="AN2573">
        <v>-20.160007949999969</v>
      </c>
      <c r="AO2573">
        <v>-44.904396608560482</v>
      </c>
      <c r="AP2573">
        <v>-20.160157000000002</v>
      </c>
      <c r="AQ2573">
        <v>-44.904347999999999</v>
      </c>
      <c r="AR2573">
        <v>17.35237255387942</v>
      </c>
      <c r="AS2573" t="s">
        <v>65</v>
      </c>
      <c r="AT2573">
        <v>1</v>
      </c>
      <c r="AU2573" t="s">
        <v>402</v>
      </c>
      <c r="AV2573" t="s">
        <v>403</v>
      </c>
      <c r="AW2573" t="s">
        <v>60</v>
      </c>
      <c r="AX2573" t="s">
        <v>68</v>
      </c>
      <c r="AY2573" t="s">
        <v>69</v>
      </c>
      <c r="AZ2573" t="b">
        <v>1</v>
      </c>
    </row>
    <row r="2574" spans="1:52" x14ac:dyDescent="0.3">
      <c r="A2574" t="s">
        <v>52</v>
      </c>
      <c r="B2574" t="s">
        <v>53</v>
      </c>
      <c r="C2574" t="s">
        <v>54</v>
      </c>
      <c r="D2574" t="s">
        <v>55</v>
      </c>
      <c r="E2574" t="s">
        <v>2155</v>
      </c>
      <c r="F2574" t="s">
        <v>1247</v>
      </c>
      <c r="G2574" t="s">
        <v>416</v>
      </c>
      <c r="H2574" t="s">
        <v>417</v>
      </c>
      <c r="I2574" t="s">
        <v>417</v>
      </c>
      <c r="J2574" t="s">
        <v>60</v>
      </c>
      <c r="K2574" t="s">
        <v>418</v>
      </c>
      <c r="L2574" t="s">
        <v>62</v>
      </c>
      <c r="M2574" t="s">
        <v>418</v>
      </c>
      <c r="N2574" t="s">
        <v>419</v>
      </c>
      <c r="O2574" t="s">
        <v>202</v>
      </c>
      <c r="P2574">
        <v>-20.169886000000002</v>
      </c>
      <c r="Q2574">
        <v>-44.913288000000001</v>
      </c>
      <c r="R2574" s="2" t="str">
        <f>HYPERLINK("https://www.google.com/maps?q=-20.1698860,-44.9132880","Abrir no Google Maps")</f>
        <v>Abrir no Google Maps</v>
      </c>
      <c r="S2574">
        <v>3</v>
      </c>
      <c r="T2574">
        <v>422.88733632898152</v>
      </c>
      <c r="U2574">
        <v>3</v>
      </c>
      <c r="V2574">
        <v>0.41926679445415538</v>
      </c>
      <c r="W2574">
        <v>1</v>
      </c>
      <c r="X2574">
        <v>0.41926679445415538</v>
      </c>
      <c r="Y2574">
        <v>723</v>
      </c>
      <c r="Z2574">
        <v>128.65003864232261</v>
      </c>
      <c r="AA2574">
        <v>198</v>
      </c>
      <c r="AB2574">
        <v>332</v>
      </c>
      <c r="AC2574">
        <v>536</v>
      </c>
      <c r="AD2574">
        <v>29.96</v>
      </c>
      <c r="AE2574">
        <v>542</v>
      </c>
      <c r="AF2574">
        <v>29</v>
      </c>
      <c r="AG2574">
        <v>174</v>
      </c>
      <c r="AH2574">
        <v>129</v>
      </c>
      <c r="AI2574">
        <v>5.35</v>
      </c>
      <c r="AJ2574">
        <v>32.1</v>
      </c>
      <c r="AK2574">
        <v>23.8</v>
      </c>
      <c r="AL2574">
        <v>-20.16970024999998</v>
      </c>
      <c r="AM2574">
        <v>-44.913502201257437</v>
      </c>
      <c r="AN2574">
        <v>-20.16970024999998</v>
      </c>
      <c r="AO2574">
        <v>-44.913502201257437</v>
      </c>
      <c r="AP2574">
        <v>-20.169886000000002</v>
      </c>
      <c r="AQ2574">
        <v>-44.913288000000001</v>
      </c>
      <c r="AR2574">
        <v>30.47208587597606</v>
      </c>
      <c r="AS2574" t="s">
        <v>65</v>
      </c>
      <c r="AT2574">
        <v>1</v>
      </c>
      <c r="AU2574" t="s">
        <v>420</v>
      </c>
      <c r="AV2574" t="s">
        <v>421</v>
      </c>
      <c r="AW2574" t="s">
        <v>60</v>
      </c>
      <c r="AX2574" t="s">
        <v>68</v>
      </c>
      <c r="AY2574" t="s">
        <v>69</v>
      </c>
      <c r="AZ2574" t="b">
        <v>1</v>
      </c>
    </row>
    <row r="2575" spans="1:52" x14ac:dyDescent="0.3">
      <c r="A2575" t="s">
        <v>52</v>
      </c>
      <c r="B2575" t="s">
        <v>53</v>
      </c>
      <c r="C2575" t="s">
        <v>54</v>
      </c>
      <c r="D2575" t="s">
        <v>55</v>
      </c>
      <c r="E2575" t="s">
        <v>2155</v>
      </c>
      <c r="F2575" t="s">
        <v>1247</v>
      </c>
      <c r="G2575" t="s">
        <v>429</v>
      </c>
      <c r="H2575" t="s">
        <v>430</v>
      </c>
      <c r="I2575" t="s">
        <v>430</v>
      </c>
      <c r="J2575" t="s">
        <v>60</v>
      </c>
      <c r="K2575" t="s">
        <v>431</v>
      </c>
      <c r="L2575" t="s">
        <v>62</v>
      </c>
      <c r="M2575" t="s">
        <v>431</v>
      </c>
      <c r="N2575" t="s">
        <v>432</v>
      </c>
      <c r="O2575" t="s">
        <v>315</v>
      </c>
      <c r="P2575">
        <v>-20.172698</v>
      </c>
      <c r="Q2575">
        <v>-44.923842</v>
      </c>
      <c r="R2575" s="2" t="str">
        <f>HYPERLINK("https://www.google.com/maps?q=-20.1726980,-44.9238420","Abrir no Google Maps")</f>
        <v>Abrir no Google Maps</v>
      </c>
      <c r="S2575">
        <v>3</v>
      </c>
      <c r="T2575">
        <v>1376.1843173402931</v>
      </c>
      <c r="U2575">
        <v>3</v>
      </c>
      <c r="V2575">
        <v>0.4801967239376827</v>
      </c>
      <c r="W2575">
        <v>0.85</v>
      </c>
      <c r="X2575">
        <v>0.40816721534703032</v>
      </c>
      <c r="Y2575">
        <v>723</v>
      </c>
      <c r="Z2575">
        <v>1101.340635002096</v>
      </c>
      <c r="AA2575">
        <v>198</v>
      </c>
      <c r="AB2575">
        <v>332</v>
      </c>
      <c r="AC2575">
        <v>536</v>
      </c>
      <c r="AD2575">
        <v>29.96</v>
      </c>
      <c r="AE2575">
        <v>542</v>
      </c>
      <c r="AF2575">
        <v>29</v>
      </c>
      <c r="AG2575">
        <v>174</v>
      </c>
      <c r="AH2575">
        <v>129</v>
      </c>
      <c r="AI2575">
        <v>5.35</v>
      </c>
      <c r="AJ2575">
        <v>32.1</v>
      </c>
      <c r="AK2575">
        <v>23.8</v>
      </c>
      <c r="AL2575">
        <v>-20.172942799999959</v>
      </c>
      <c r="AM2575">
        <v>-44.923585372665762</v>
      </c>
      <c r="AN2575">
        <v>-20.172942799999959</v>
      </c>
      <c r="AO2575">
        <v>-44.923585372665762</v>
      </c>
      <c r="AP2575">
        <v>-20.172698</v>
      </c>
      <c r="AQ2575">
        <v>-44.923842</v>
      </c>
      <c r="AR2575">
        <v>38.231981408478958</v>
      </c>
      <c r="AS2575" t="s">
        <v>65</v>
      </c>
      <c r="AT2575">
        <v>1</v>
      </c>
      <c r="AU2575" t="s">
        <v>433</v>
      </c>
      <c r="AV2575" t="s">
        <v>434</v>
      </c>
      <c r="AW2575" t="s">
        <v>60</v>
      </c>
      <c r="AX2575" t="s">
        <v>68</v>
      </c>
      <c r="AY2575" t="s">
        <v>69</v>
      </c>
      <c r="AZ2575" t="b">
        <v>1</v>
      </c>
    </row>
    <row r="2576" spans="1:52" x14ac:dyDescent="0.3">
      <c r="A2576" t="s">
        <v>52</v>
      </c>
      <c r="B2576" t="s">
        <v>53</v>
      </c>
      <c r="C2576" t="s">
        <v>54</v>
      </c>
      <c r="D2576" t="s">
        <v>55</v>
      </c>
      <c r="E2576" t="s">
        <v>2155</v>
      </c>
      <c r="F2576" t="s">
        <v>1247</v>
      </c>
      <c r="G2576" t="s">
        <v>435</v>
      </c>
      <c r="H2576" t="s">
        <v>436</v>
      </c>
      <c r="I2576" t="s">
        <v>436</v>
      </c>
      <c r="J2576" t="s">
        <v>60</v>
      </c>
      <c r="K2576" t="s">
        <v>437</v>
      </c>
      <c r="L2576" t="s">
        <v>62</v>
      </c>
      <c r="M2576" t="s">
        <v>437</v>
      </c>
      <c r="N2576" t="s">
        <v>438</v>
      </c>
      <c r="O2576" t="s">
        <v>439</v>
      </c>
      <c r="P2576">
        <v>-20.145613000000001</v>
      </c>
      <c r="Q2576">
        <v>-44.882375000000003</v>
      </c>
      <c r="R2576" s="2" t="str">
        <f>HYPERLINK("https://www.google.com/maps?q=-20.1456130,-44.8823750","Abrir no Google Maps")</f>
        <v>Abrir no Google Maps</v>
      </c>
      <c r="S2576">
        <v>3</v>
      </c>
      <c r="T2576">
        <v>305.65092112314198</v>
      </c>
      <c r="U2576">
        <v>3</v>
      </c>
      <c r="V2576">
        <v>0.4170857874382104</v>
      </c>
      <c r="W2576">
        <v>1</v>
      </c>
      <c r="X2576">
        <v>0.4170857874382104</v>
      </c>
      <c r="Y2576">
        <v>653</v>
      </c>
      <c r="Z2576">
        <v>349.55297035282501</v>
      </c>
      <c r="AA2576">
        <v>198</v>
      </c>
      <c r="AB2576">
        <v>332</v>
      </c>
      <c r="AC2576">
        <v>536</v>
      </c>
      <c r="AD2576">
        <v>29.96</v>
      </c>
      <c r="AE2576">
        <v>542</v>
      </c>
      <c r="AF2576">
        <v>29</v>
      </c>
      <c r="AG2576">
        <v>174</v>
      </c>
      <c r="AH2576">
        <v>129</v>
      </c>
      <c r="AI2576">
        <v>5.35</v>
      </c>
      <c r="AJ2576">
        <v>32.1</v>
      </c>
      <c r="AK2576">
        <v>23.8</v>
      </c>
      <c r="AL2576">
        <v>-20.14550464999996</v>
      </c>
      <c r="AM2576">
        <v>-44.882157007077737</v>
      </c>
      <c r="AN2576">
        <v>-20.14550464999996</v>
      </c>
      <c r="AO2576">
        <v>-44.882157007077737</v>
      </c>
      <c r="AP2576">
        <v>-20.145613000000001</v>
      </c>
      <c r="AQ2576">
        <v>-44.882375000000003</v>
      </c>
      <c r="AR2576">
        <v>25.77819791856259</v>
      </c>
      <c r="AS2576" t="s">
        <v>65</v>
      </c>
      <c r="AT2576">
        <v>1</v>
      </c>
      <c r="AU2576" t="s">
        <v>440</v>
      </c>
      <c r="AV2576" t="s">
        <v>441</v>
      </c>
      <c r="AW2576" t="s">
        <v>60</v>
      </c>
      <c r="AX2576" t="s">
        <v>68</v>
      </c>
      <c r="AY2576" t="s">
        <v>69</v>
      </c>
      <c r="AZ2576" t="b">
        <v>1</v>
      </c>
    </row>
    <row r="2577" spans="1:52" x14ac:dyDescent="0.3">
      <c r="A2577" t="s">
        <v>52</v>
      </c>
      <c r="B2577" t="s">
        <v>53</v>
      </c>
      <c r="C2577" t="s">
        <v>54</v>
      </c>
      <c r="D2577" t="s">
        <v>55</v>
      </c>
      <c r="E2577" t="s">
        <v>2155</v>
      </c>
      <c r="F2577" t="s">
        <v>1247</v>
      </c>
      <c r="G2577" t="s">
        <v>442</v>
      </c>
      <c r="H2577" t="s">
        <v>443</v>
      </c>
      <c r="I2577" t="s">
        <v>443</v>
      </c>
      <c r="J2577" t="s">
        <v>60</v>
      </c>
      <c r="K2577" t="s">
        <v>437</v>
      </c>
      <c r="L2577" t="s">
        <v>62</v>
      </c>
      <c r="M2577" t="s">
        <v>437</v>
      </c>
      <c r="N2577" t="s">
        <v>444</v>
      </c>
      <c r="O2577" t="s">
        <v>445</v>
      </c>
      <c r="P2577">
        <v>-20.149744999999999</v>
      </c>
      <c r="Q2577">
        <v>-44.881385000000002</v>
      </c>
      <c r="R2577" s="2" t="str">
        <f>HYPERLINK("https://www.google.com/maps?q=-20.1497450,-44.8813850","Abrir no Google Maps")</f>
        <v>Abrir no Google Maps</v>
      </c>
      <c r="S2577">
        <v>3</v>
      </c>
      <c r="T2577">
        <v>188.80690546111239</v>
      </c>
      <c r="U2577">
        <v>3</v>
      </c>
      <c r="V2577">
        <v>0.41584001146349969</v>
      </c>
      <c r="W2577">
        <v>1</v>
      </c>
      <c r="X2577">
        <v>0.41584001146349969</v>
      </c>
      <c r="Y2577">
        <v>653</v>
      </c>
      <c r="Z2577">
        <v>86.575080390731017</v>
      </c>
      <c r="AA2577">
        <v>198</v>
      </c>
      <c r="AB2577">
        <v>332</v>
      </c>
      <c r="AC2577">
        <v>536</v>
      </c>
      <c r="AD2577">
        <v>29.96</v>
      </c>
      <c r="AE2577">
        <v>542</v>
      </c>
      <c r="AF2577">
        <v>29</v>
      </c>
      <c r="AG2577">
        <v>174</v>
      </c>
      <c r="AH2577">
        <v>129</v>
      </c>
      <c r="AI2577">
        <v>5.35</v>
      </c>
      <c r="AJ2577">
        <v>32.1</v>
      </c>
      <c r="AK2577">
        <v>23.8</v>
      </c>
      <c r="AL2577">
        <v>-20.149645149999941</v>
      </c>
      <c r="AM2577">
        <v>-44.881504585149607</v>
      </c>
      <c r="AN2577">
        <v>-20.149645149999941</v>
      </c>
      <c r="AO2577">
        <v>-44.881504585149607</v>
      </c>
      <c r="AP2577">
        <v>-20.149744999999999</v>
      </c>
      <c r="AQ2577">
        <v>-44.881385000000002</v>
      </c>
      <c r="AR2577">
        <v>16.725323110840389</v>
      </c>
      <c r="AS2577" t="s">
        <v>65</v>
      </c>
      <c r="AT2577">
        <v>1</v>
      </c>
      <c r="AU2577" t="s">
        <v>446</v>
      </c>
      <c r="AV2577" t="s">
        <v>447</v>
      </c>
      <c r="AW2577" t="s">
        <v>60</v>
      </c>
      <c r="AX2577" t="s">
        <v>68</v>
      </c>
      <c r="AY2577" t="s">
        <v>69</v>
      </c>
      <c r="AZ2577" t="b">
        <v>1</v>
      </c>
    </row>
    <row r="2578" spans="1:52" x14ac:dyDescent="0.3">
      <c r="A2578" t="s">
        <v>52</v>
      </c>
      <c r="B2578" t="s">
        <v>53</v>
      </c>
      <c r="C2578" t="s">
        <v>54</v>
      </c>
      <c r="D2578" t="s">
        <v>55</v>
      </c>
      <c r="E2578" t="s">
        <v>2155</v>
      </c>
      <c r="F2578" t="s">
        <v>1247</v>
      </c>
      <c r="G2578" t="s">
        <v>448</v>
      </c>
      <c r="H2578" t="s">
        <v>449</v>
      </c>
      <c r="I2578" t="s">
        <v>449</v>
      </c>
      <c r="J2578" t="s">
        <v>60</v>
      </c>
      <c r="K2578" t="s">
        <v>388</v>
      </c>
      <c r="L2578" t="s">
        <v>62</v>
      </c>
      <c r="M2578" t="s">
        <v>388</v>
      </c>
      <c r="N2578" t="s">
        <v>450</v>
      </c>
      <c r="O2578" t="s">
        <v>451</v>
      </c>
      <c r="P2578">
        <v>-20.163981</v>
      </c>
      <c r="Q2578">
        <v>-44.907128999999998</v>
      </c>
      <c r="R2578" s="2" t="str">
        <f>HYPERLINK("https://www.google.com/maps?q=-20.1639810,-44.9071290","Abrir no Google Maps")</f>
        <v>Abrir no Google Maps</v>
      </c>
      <c r="S2578">
        <v>3</v>
      </c>
      <c r="T2578">
        <v>782.50730806588319</v>
      </c>
      <c r="U2578">
        <v>3</v>
      </c>
      <c r="V2578">
        <v>0.41676373119046312</v>
      </c>
      <c r="W2578">
        <v>1</v>
      </c>
      <c r="X2578">
        <v>0.41676373119046312</v>
      </c>
      <c r="Y2578">
        <v>639</v>
      </c>
      <c r="Z2578">
        <v>710.90621453796166</v>
      </c>
      <c r="AA2578">
        <v>198</v>
      </c>
      <c r="AB2578">
        <v>332</v>
      </c>
      <c r="AC2578">
        <v>536</v>
      </c>
      <c r="AD2578">
        <v>29.96</v>
      </c>
      <c r="AE2578">
        <v>542</v>
      </c>
      <c r="AF2578">
        <v>29</v>
      </c>
      <c r="AG2578">
        <v>174</v>
      </c>
      <c r="AH2578">
        <v>129</v>
      </c>
      <c r="AI2578">
        <v>5.35</v>
      </c>
      <c r="AJ2578">
        <v>32.1</v>
      </c>
      <c r="AK2578">
        <v>23.8</v>
      </c>
      <c r="AL2578">
        <v>-20.163958349999969</v>
      </c>
      <c r="AM2578">
        <v>-44.907180923930973</v>
      </c>
      <c r="AN2578">
        <v>-20.163958349999969</v>
      </c>
      <c r="AO2578">
        <v>-44.907180923930973</v>
      </c>
      <c r="AP2578">
        <v>-20.163981</v>
      </c>
      <c r="AQ2578">
        <v>-44.907128999999998</v>
      </c>
      <c r="AR2578">
        <v>5.9831345092457884</v>
      </c>
      <c r="AS2578" t="s">
        <v>65</v>
      </c>
      <c r="AT2578">
        <v>1</v>
      </c>
      <c r="AU2578" t="s">
        <v>452</v>
      </c>
      <c r="AV2578" t="s">
        <v>453</v>
      </c>
      <c r="AW2578" t="s">
        <v>60</v>
      </c>
      <c r="AX2578" t="s">
        <v>68</v>
      </c>
      <c r="AY2578" t="s">
        <v>69</v>
      </c>
      <c r="AZ2578" t="b">
        <v>1</v>
      </c>
    </row>
    <row r="2579" spans="1:52" x14ac:dyDescent="0.3">
      <c r="A2579" t="s">
        <v>52</v>
      </c>
      <c r="B2579" t="s">
        <v>53</v>
      </c>
      <c r="C2579" t="s">
        <v>54</v>
      </c>
      <c r="D2579" t="s">
        <v>55</v>
      </c>
      <c r="E2579" t="s">
        <v>2155</v>
      </c>
      <c r="F2579" t="s">
        <v>1247</v>
      </c>
      <c r="G2579" t="s">
        <v>864</v>
      </c>
      <c r="H2579" t="s">
        <v>865</v>
      </c>
      <c r="I2579" t="s">
        <v>865</v>
      </c>
      <c r="J2579" t="s">
        <v>60</v>
      </c>
      <c r="K2579" t="s">
        <v>486</v>
      </c>
      <c r="L2579" t="s">
        <v>62</v>
      </c>
      <c r="M2579" t="s">
        <v>486</v>
      </c>
      <c r="N2579" t="s">
        <v>866</v>
      </c>
      <c r="O2579" t="s">
        <v>867</v>
      </c>
      <c r="P2579">
        <v>-20.170919000000001</v>
      </c>
      <c r="Q2579">
        <v>-44.905451999999997</v>
      </c>
      <c r="R2579" s="2" t="str">
        <f>HYPERLINK("https://www.google.com/maps?q=-20.1709190,-44.9054520","Abrir no Google Maps")</f>
        <v>Abrir no Google Maps</v>
      </c>
      <c r="S2579">
        <v>3</v>
      </c>
      <c r="T2579">
        <v>0</v>
      </c>
      <c r="U2579">
        <v>3</v>
      </c>
      <c r="V2579">
        <v>0.41373943188353668</v>
      </c>
      <c r="W2579">
        <v>1</v>
      </c>
      <c r="X2579">
        <v>0.41373943188353668</v>
      </c>
      <c r="Y2579">
        <v>578</v>
      </c>
      <c r="Z2579">
        <v>205.34598855748419</v>
      </c>
      <c r="AA2579">
        <v>198</v>
      </c>
      <c r="AB2579">
        <v>332</v>
      </c>
      <c r="AC2579">
        <v>536</v>
      </c>
      <c r="AD2579">
        <v>29.96</v>
      </c>
      <c r="AE2579">
        <v>542</v>
      </c>
      <c r="AF2579">
        <v>29</v>
      </c>
      <c r="AG2579">
        <v>174</v>
      </c>
      <c r="AH2579">
        <v>129</v>
      </c>
      <c r="AI2579">
        <v>5.35</v>
      </c>
      <c r="AJ2579">
        <v>32.1</v>
      </c>
      <c r="AK2579">
        <v>23.8</v>
      </c>
      <c r="AL2579">
        <v>-20.170854399999939</v>
      </c>
      <c r="AM2579">
        <v>-44.905524839633358</v>
      </c>
      <c r="AN2579">
        <v>-20.170854399999939</v>
      </c>
      <c r="AO2579">
        <v>-44.905524839633358</v>
      </c>
      <c r="AP2579">
        <v>-20.170919000000001</v>
      </c>
      <c r="AQ2579">
        <v>-44.905451999999997</v>
      </c>
      <c r="AR2579">
        <v>10.471140355179269</v>
      </c>
      <c r="AS2579" t="s">
        <v>65</v>
      </c>
      <c r="AT2579">
        <v>1</v>
      </c>
      <c r="AU2579" t="s">
        <v>868</v>
      </c>
      <c r="AV2579" t="s">
        <v>869</v>
      </c>
      <c r="AW2579" t="s">
        <v>60</v>
      </c>
      <c r="AX2579" t="s">
        <v>68</v>
      </c>
      <c r="AY2579" t="s">
        <v>69</v>
      </c>
      <c r="AZ2579" t="b">
        <v>1</v>
      </c>
    </row>
    <row r="2580" spans="1:52" x14ac:dyDescent="0.3">
      <c r="A2580" t="s">
        <v>52</v>
      </c>
      <c r="B2580" t="s">
        <v>53</v>
      </c>
      <c r="C2580" t="s">
        <v>54</v>
      </c>
      <c r="D2580" t="s">
        <v>55</v>
      </c>
      <c r="E2580" t="s">
        <v>2155</v>
      </c>
      <c r="F2580" t="s">
        <v>1247</v>
      </c>
      <c r="G2580" t="s">
        <v>870</v>
      </c>
      <c r="H2580" t="s">
        <v>871</v>
      </c>
      <c r="I2580" t="s">
        <v>871</v>
      </c>
      <c r="J2580" t="s">
        <v>60</v>
      </c>
      <c r="K2580" t="s">
        <v>475</v>
      </c>
      <c r="L2580" t="s">
        <v>62</v>
      </c>
      <c r="M2580" t="s">
        <v>475</v>
      </c>
      <c r="N2580" t="s">
        <v>872</v>
      </c>
      <c r="O2580" t="s">
        <v>507</v>
      </c>
      <c r="P2580">
        <v>-20.176269999999999</v>
      </c>
      <c r="Q2580">
        <v>-44.909323999999998</v>
      </c>
      <c r="R2580" s="2" t="str">
        <f>HYPERLINK("https://www.google.com/maps?q=-20.1762700,-44.9093240","Abrir no Google Maps")</f>
        <v>Abrir no Google Maps</v>
      </c>
      <c r="S2580">
        <v>3</v>
      </c>
      <c r="T2580">
        <v>472.42731136821368</v>
      </c>
      <c r="U2580">
        <v>3</v>
      </c>
      <c r="V2580">
        <v>0.40729836691933202</v>
      </c>
      <c r="W2580">
        <v>1</v>
      </c>
      <c r="X2580">
        <v>0.40729836691933202</v>
      </c>
      <c r="Y2580">
        <v>578</v>
      </c>
      <c r="Z2580">
        <v>495.19726726344601</v>
      </c>
      <c r="AA2580">
        <v>198</v>
      </c>
      <c r="AB2580">
        <v>332</v>
      </c>
      <c r="AC2580">
        <v>536</v>
      </c>
      <c r="AD2580">
        <v>29.96</v>
      </c>
      <c r="AE2580">
        <v>542</v>
      </c>
      <c r="AF2580">
        <v>29</v>
      </c>
      <c r="AG2580">
        <v>174</v>
      </c>
      <c r="AH2580">
        <v>129</v>
      </c>
      <c r="AI2580">
        <v>5.35</v>
      </c>
      <c r="AJ2580">
        <v>32.1</v>
      </c>
      <c r="AK2580">
        <v>23.8</v>
      </c>
      <c r="AL2580">
        <v>-20.17630284999996</v>
      </c>
      <c r="AM2580">
        <v>-44.909199064318948</v>
      </c>
      <c r="AN2580">
        <v>-20.17630284999996</v>
      </c>
      <c r="AO2580">
        <v>-44.909199064318948</v>
      </c>
      <c r="AP2580">
        <v>-20.176269999999999</v>
      </c>
      <c r="AQ2580">
        <v>-44.909323999999998</v>
      </c>
      <c r="AR2580">
        <v>13.55691308737447</v>
      </c>
      <c r="AS2580" t="s">
        <v>65</v>
      </c>
      <c r="AT2580">
        <v>1</v>
      </c>
      <c r="AU2580" t="s">
        <v>873</v>
      </c>
      <c r="AV2580" t="s">
        <v>874</v>
      </c>
      <c r="AW2580" t="s">
        <v>60</v>
      </c>
      <c r="AX2580" t="s">
        <v>68</v>
      </c>
      <c r="AY2580" t="s">
        <v>69</v>
      </c>
      <c r="AZ2580" t="b">
        <v>1</v>
      </c>
    </row>
    <row r="2581" spans="1:52" x14ac:dyDescent="0.3">
      <c r="A2581" t="s">
        <v>52</v>
      </c>
      <c r="B2581" t="s">
        <v>53</v>
      </c>
      <c r="C2581" t="s">
        <v>54</v>
      </c>
      <c r="D2581" t="s">
        <v>55</v>
      </c>
      <c r="E2581" t="s">
        <v>2155</v>
      </c>
      <c r="F2581" t="s">
        <v>1247</v>
      </c>
      <c r="G2581" t="s">
        <v>503</v>
      </c>
      <c r="H2581" t="s">
        <v>504</v>
      </c>
      <c r="I2581" t="s">
        <v>504</v>
      </c>
      <c r="J2581" t="s">
        <v>60</v>
      </c>
      <c r="K2581" t="s">
        <v>505</v>
      </c>
      <c r="L2581" t="s">
        <v>62</v>
      </c>
      <c r="M2581" t="s">
        <v>505</v>
      </c>
      <c r="N2581" t="s">
        <v>506</v>
      </c>
      <c r="O2581" t="s">
        <v>507</v>
      </c>
      <c r="P2581">
        <v>-20.131428</v>
      </c>
      <c r="Q2581">
        <v>-44.888921000000003</v>
      </c>
      <c r="R2581" s="2" t="str">
        <f>HYPERLINK("https://www.google.com/maps?q=-20.1314280,-44.8889210","Abrir no Google Maps")</f>
        <v>Abrir no Google Maps</v>
      </c>
      <c r="S2581">
        <v>3</v>
      </c>
      <c r="T2581">
        <v>250.64150698244501</v>
      </c>
      <c r="U2581">
        <v>3</v>
      </c>
      <c r="V2581">
        <v>0.40944539322018658</v>
      </c>
      <c r="W2581">
        <v>1</v>
      </c>
      <c r="X2581">
        <v>0.40944539322018658</v>
      </c>
      <c r="Y2581">
        <v>564</v>
      </c>
      <c r="Z2581">
        <v>189.93933888952441</v>
      </c>
      <c r="AA2581">
        <v>198</v>
      </c>
      <c r="AB2581">
        <v>332</v>
      </c>
      <c r="AC2581">
        <v>536</v>
      </c>
      <c r="AD2581">
        <v>29.96</v>
      </c>
      <c r="AE2581">
        <v>542</v>
      </c>
      <c r="AF2581">
        <v>29</v>
      </c>
      <c r="AG2581">
        <v>174</v>
      </c>
      <c r="AH2581">
        <v>129</v>
      </c>
      <c r="AI2581">
        <v>5.35</v>
      </c>
      <c r="AJ2581">
        <v>32.1</v>
      </c>
      <c r="AK2581">
        <v>23.8</v>
      </c>
      <c r="AL2581">
        <v>-20.13123589999995</v>
      </c>
      <c r="AM2581">
        <v>-44.888742396501762</v>
      </c>
      <c r="AN2581">
        <v>-20.13123589999995</v>
      </c>
      <c r="AO2581">
        <v>-44.888742396501762</v>
      </c>
      <c r="AP2581">
        <v>-20.131428</v>
      </c>
      <c r="AQ2581">
        <v>-44.888921000000003</v>
      </c>
      <c r="AR2581">
        <v>28.386169462917032</v>
      </c>
      <c r="AS2581" t="s">
        <v>65</v>
      </c>
      <c r="AT2581">
        <v>1</v>
      </c>
      <c r="AU2581" t="s">
        <v>508</v>
      </c>
      <c r="AV2581" t="s">
        <v>509</v>
      </c>
      <c r="AW2581" t="s">
        <v>60</v>
      </c>
      <c r="AX2581" t="s">
        <v>68</v>
      </c>
      <c r="AY2581" t="s">
        <v>69</v>
      </c>
      <c r="AZ2581" t="b">
        <v>1</v>
      </c>
    </row>
    <row r="2582" spans="1:52" x14ac:dyDescent="0.3">
      <c r="A2582" t="s">
        <v>52</v>
      </c>
      <c r="B2582" t="s">
        <v>53</v>
      </c>
      <c r="C2582" t="s">
        <v>54</v>
      </c>
      <c r="D2582" t="s">
        <v>55</v>
      </c>
      <c r="E2582" t="s">
        <v>2155</v>
      </c>
      <c r="F2582" t="s">
        <v>1247</v>
      </c>
      <c r="G2582" t="s">
        <v>510</v>
      </c>
      <c r="H2582" t="s">
        <v>511</v>
      </c>
      <c r="I2582" t="s">
        <v>511</v>
      </c>
      <c r="J2582" t="s">
        <v>60</v>
      </c>
      <c r="K2582" t="s">
        <v>512</v>
      </c>
      <c r="L2582" t="s">
        <v>62</v>
      </c>
      <c r="M2582" t="s">
        <v>512</v>
      </c>
      <c r="N2582" t="s">
        <v>406</v>
      </c>
      <c r="O2582" t="s">
        <v>513</v>
      </c>
      <c r="P2582">
        <v>-20.127853000000002</v>
      </c>
      <c r="Q2582">
        <v>-44.891415000000002</v>
      </c>
      <c r="R2582" s="2" t="str">
        <f>HYPERLINK("https://www.google.com/maps?q=-20.1278530,-44.8914150","Abrir no Google Maps")</f>
        <v>Abrir no Google Maps</v>
      </c>
      <c r="S2582">
        <v>3</v>
      </c>
      <c r="T2582">
        <v>340.86994528233612</v>
      </c>
      <c r="U2582">
        <v>3</v>
      </c>
      <c r="V2582">
        <v>0.42076718756154241</v>
      </c>
      <c r="W2582">
        <v>1</v>
      </c>
      <c r="X2582">
        <v>0.42076718756154241</v>
      </c>
      <c r="Y2582">
        <v>564</v>
      </c>
      <c r="Z2582">
        <v>294.18108015916812</v>
      </c>
      <c r="AA2582">
        <v>198</v>
      </c>
      <c r="AB2582">
        <v>332</v>
      </c>
      <c r="AC2582">
        <v>536</v>
      </c>
      <c r="AD2582">
        <v>29.96</v>
      </c>
      <c r="AE2582">
        <v>542</v>
      </c>
      <c r="AF2582">
        <v>29</v>
      </c>
      <c r="AG2582">
        <v>174</v>
      </c>
      <c r="AH2582">
        <v>129</v>
      </c>
      <c r="AI2582">
        <v>5.35</v>
      </c>
      <c r="AJ2582">
        <v>32.1</v>
      </c>
      <c r="AK2582">
        <v>23.8</v>
      </c>
      <c r="AL2582">
        <v>-20.12777399999996</v>
      </c>
      <c r="AM2582">
        <v>-44.891400975758501</v>
      </c>
      <c r="AN2582">
        <v>-20.12777399999996</v>
      </c>
      <c r="AO2582">
        <v>-44.891400975758501</v>
      </c>
      <c r="AP2582">
        <v>-20.127853000000002</v>
      </c>
      <c r="AQ2582">
        <v>-44.891415000000002</v>
      </c>
      <c r="AR2582">
        <v>8.9156059162975616</v>
      </c>
      <c r="AS2582" t="s">
        <v>65</v>
      </c>
      <c r="AT2582">
        <v>1</v>
      </c>
      <c r="AU2582" t="s">
        <v>514</v>
      </c>
      <c r="AV2582" t="s">
        <v>515</v>
      </c>
      <c r="AW2582" t="s">
        <v>60</v>
      </c>
      <c r="AX2582" t="s">
        <v>68</v>
      </c>
      <c r="AY2582" t="s">
        <v>69</v>
      </c>
      <c r="AZ2582" t="b">
        <v>1</v>
      </c>
    </row>
    <row r="2583" spans="1:52" x14ac:dyDescent="0.3">
      <c r="A2583" t="s">
        <v>52</v>
      </c>
      <c r="B2583" t="s">
        <v>53</v>
      </c>
      <c r="C2583" t="s">
        <v>54</v>
      </c>
      <c r="D2583" t="s">
        <v>55</v>
      </c>
      <c r="E2583" t="s">
        <v>2155</v>
      </c>
      <c r="F2583" t="s">
        <v>1247</v>
      </c>
      <c r="G2583" t="s">
        <v>1408</v>
      </c>
      <c r="H2583" t="s">
        <v>1409</v>
      </c>
      <c r="I2583" t="s">
        <v>1409</v>
      </c>
      <c r="J2583" t="s">
        <v>60</v>
      </c>
      <c r="K2583" t="s">
        <v>200</v>
      </c>
      <c r="L2583" t="s">
        <v>62</v>
      </c>
      <c r="M2583" t="s">
        <v>200</v>
      </c>
      <c r="N2583" t="s">
        <v>1410</v>
      </c>
      <c r="O2583" t="s">
        <v>1001</v>
      </c>
      <c r="P2583">
        <v>-20.126062999999998</v>
      </c>
      <c r="Q2583">
        <v>-44.894936999999999</v>
      </c>
      <c r="R2583" s="2" t="str">
        <f>HYPERLINK("https://www.google.com/maps?q=-20.1260630,-44.8949370","Abrir no Google Maps")</f>
        <v>Abrir no Google Maps</v>
      </c>
      <c r="S2583">
        <v>3</v>
      </c>
      <c r="T2583">
        <v>747.3122077966558</v>
      </c>
      <c r="U2583">
        <v>3</v>
      </c>
      <c r="V2583">
        <v>0.47802387188951068</v>
      </c>
      <c r="W2583">
        <v>0.85</v>
      </c>
      <c r="X2583">
        <v>0.40632029110608409</v>
      </c>
      <c r="Y2583">
        <v>564</v>
      </c>
      <c r="Z2583">
        <v>693.80888866206885</v>
      </c>
      <c r="AA2583">
        <v>198</v>
      </c>
      <c r="AB2583">
        <v>332</v>
      </c>
      <c r="AC2583">
        <v>536</v>
      </c>
      <c r="AD2583">
        <v>29.96</v>
      </c>
      <c r="AE2583">
        <v>542</v>
      </c>
      <c r="AF2583">
        <v>29</v>
      </c>
      <c r="AG2583">
        <v>174</v>
      </c>
      <c r="AH2583">
        <v>129</v>
      </c>
      <c r="AI2583">
        <v>5.35</v>
      </c>
      <c r="AJ2583">
        <v>32.1</v>
      </c>
      <c r="AK2583">
        <v>23.8</v>
      </c>
      <c r="AL2583">
        <v>-20.126099149999959</v>
      </c>
      <c r="AM2583">
        <v>-44.894866076436763</v>
      </c>
      <c r="AN2583">
        <v>-20.126099149999959</v>
      </c>
      <c r="AO2583">
        <v>-44.894866076436749</v>
      </c>
      <c r="AP2583">
        <v>-20.126062999999998</v>
      </c>
      <c r="AQ2583">
        <v>-44.894936999999999</v>
      </c>
      <c r="AR2583">
        <v>8.4349593682699737</v>
      </c>
      <c r="AS2583" t="s">
        <v>65</v>
      </c>
      <c r="AT2583">
        <v>1</v>
      </c>
      <c r="AU2583" t="s">
        <v>1411</v>
      </c>
      <c r="AV2583" t="s">
        <v>1003</v>
      </c>
      <c r="AW2583" t="s">
        <v>60</v>
      </c>
      <c r="AX2583" t="s">
        <v>68</v>
      </c>
      <c r="AY2583" t="s">
        <v>69</v>
      </c>
      <c r="AZ2583" t="b">
        <v>1</v>
      </c>
    </row>
    <row r="2584" spans="1:52" x14ac:dyDescent="0.3">
      <c r="A2584" t="s">
        <v>52</v>
      </c>
      <c r="B2584" t="s">
        <v>53</v>
      </c>
      <c r="C2584" t="s">
        <v>54</v>
      </c>
      <c r="D2584" t="s">
        <v>55</v>
      </c>
      <c r="E2584" t="s">
        <v>2155</v>
      </c>
      <c r="F2584" t="s">
        <v>1247</v>
      </c>
      <c r="G2584" t="s">
        <v>398</v>
      </c>
      <c r="H2584" t="s">
        <v>541</v>
      </c>
      <c r="I2584" t="s">
        <v>541</v>
      </c>
      <c r="J2584" t="s">
        <v>60</v>
      </c>
      <c r="K2584" t="s">
        <v>388</v>
      </c>
      <c r="L2584" t="s">
        <v>62</v>
      </c>
      <c r="M2584" t="s">
        <v>388</v>
      </c>
      <c r="N2584" t="s">
        <v>400</v>
      </c>
      <c r="O2584" t="s">
        <v>542</v>
      </c>
      <c r="P2584">
        <v>-20.151335</v>
      </c>
      <c r="Q2584">
        <v>-44.901041999999997</v>
      </c>
      <c r="R2584" s="2" t="str">
        <f>HYPERLINK("https://www.google.com/maps?q=-20.1513350,-44.9010420","Abrir no Google Maps")</f>
        <v>Abrir no Google Maps</v>
      </c>
      <c r="S2584">
        <v>3</v>
      </c>
      <c r="T2584">
        <v>0</v>
      </c>
      <c r="U2584">
        <v>3</v>
      </c>
      <c r="V2584">
        <v>0.4145894958916278</v>
      </c>
      <c r="W2584">
        <v>1</v>
      </c>
      <c r="X2584">
        <v>0.4145894958916278</v>
      </c>
      <c r="Y2584">
        <v>556</v>
      </c>
      <c r="Z2584">
        <v>137.71609036908939</v>
      </c>
      <c r="AA2584">
        <v>198</v>
      </c>
      <c r="AB2584">
        <v>332</v>
      </c>
      <c r="AC2584">
        <v>536</v>
      </c>
      <c r="AD2584">
        <v>29.96</v>
      </c>
      <c r="AE2584">
        <v>542</v>
      </c>
      <c r="AF2584">
        <v>29</v>
      </c>
      <c r="AG2584">
        <v>174</v>
      </c>
      <c r="AH2584">
        <v>129</v>
      </c>
      <c r="AI2584">
        <v>5.35</v>
      </c>
      <c r="AJ2584">
        <v>32.1</v>
      </c>
      <c r="AK2584">
        <v>23.8</v>
      </c>
      <c r="AL2584">
        <v>-20.15125899999995</v>
      </c>
      <c r="AM2584">
        <v>-44.900838557594433</v>
      </c>
      <c r="AN2584">
        <v>-20.15125899999995</v>
      </c>
      <c r="AO2584">
        <v>-44.900838557594433</v>
      </c>
      <c r="AP2584">
        <v>-20.151335</v>
      </c>
      <c r="AQ2584">
        <v>-44.901041999999997</v>
      </c>
      <c r="AR2584">
        <v>22.882363139483491</v>
      </c>
      <c r="AS2584" t="s">
        <v>65</v>
      </c>
      <c r="AT2584">
        <v>1</v>
      </c>
      <c r="AU2584" t="s">
        <v>543</v>
      </c>
      <c r="AV2584" t="s">
        <v>544</v>
      </c>
      <c r="AW2584" t="s">
        <v>60</v>
      </c>
      <c r="AX2584" t="s">
        <v>68</v>
      </c>
      <c r="AY2584" t="s">
        <v>69</v>
      </c>
      <c r="AZ2584" t="b">
        <v>1</v>
      </c>
    </row>
    <row r="2585" spans="1:52" x14ac:dyDescent="0.3">
      <c r="A2585" t="s">
        <v>52</v>
      </c>
      <c r="B2585" t="s">
        <v>53</v>
      </c>
      <c r="C2585" t="s">
        <v>54</v>
      </c>
      <c r="D2585" t="s">
        <v>55</v>
      </c>
      <c r="E2585" t="s">
        <v>2155</v>
      </c>
      <c r="F2585" t="s">
        <v>1247</v>
      </c>
      <c r="G2585" t="s">
        <v>897</v>
      </c>
      <c r="H2585" t="s">
        <v>898</v>
      </c>
      <c r="I2585" t="s">
        <v>898</v>
      </c>
      <c r="J2585" t="s">
        <v>60</v>
      </c>
      <c r="K2585" t="s">
        <v>892</v>
      </c>
      <c r="L2585" t="s">
        <v>62</v>
      </c>
      <c r="M2585" t="s">
        <v>892</v>
      </c>
      <c r="N2585" t="s">
        <v>899</v>
      </c>
      <c r="O2585" t="s">
        <v>900</v>
      </c>
      <c r="P2585">
        <v>-20.154885</v>
      </c>
      <c r="Q2585">
        <v>-44.899890999999997</v>
      </c>
      <c r="R2585" s="2" t="str">
        <f>HYPERLINK("https://www.google.com/maps?q=-20.1548850,-44.8998910","Abrir no Google Maps")</f>
        <v>Abrir no Google Maps</v>
      </c>
      <c r="S2585">
        <v>3</v>
      </c>
      <c r="T2585">
        <v>314.66339661014308</v>
      </c>
      <c r="U2585">
        <v>3</v>
      </c>
      <c r="V2585">
        <v>0.400239587638334</v>
      </c>
      <c r="W2585">
        <v>1</v>
      </c>
      <c r="X2585">
        <v>0.400239587638334</v>
      </c>
      <c r="Y2585">
        <v>548</v>
      </c>
      <c r="Z2585">
        <v>319.02252584834253</v>
      </c>
      <c r="AA2585">
        <v>198</v>
      </c>
      <c r="AB2585">
        <v>332</v>
      </c>
      <c r="AC2585">
        <v>536</v>
      </c>
      <c r="AD2585">
        <v>29.96</v>
      </c>
      <c r="AE2585">
        <v>542</v>
      </c>
      <c r="AF2585">
        <v>29</v>
      </c>
      <c r="AG2585">
        <v>174</v>
      </c>
      <c r="AH2585">
        <v>129</v>
      </c>
      <c r="AI2585">
        <v>5.35</v>
      </c>
      <c r="AJ2585">
        <v>32.1</v>
      </c>
      <c r="AK2585">
        <v>23.8</v>
      </c>
      <c r="AL2585">
        <v>-20.154906649999951</v>
      </c>
      <c r="AM2585">
        <v>-44.899894072543653</v>
      </c>
      <c r="AN2585">
        <v>-20.154906649999951</v>
      </c>
      <c r="AO2585">
        <v>-44.899894072543653</v>
      </c>
      <c r="AP2585">
        <v>-20.154885</v>
      </c>
      <c r="AQ2585">
        <v>-44.899890999999997</v>
      </c>
      <c r="AR2585">
        <v>2.431373123904943</v>
      </c>
      <c r="AS2585" t="s">
        <v>65</v>
      </c>
      <c r="AT2585">
        <v>1</v>
      </c>
      <c r="AU2585" t="s">
        <v>901</v>
      </c>
      <c r="AV2585" t="s">
        <v>902</v>
      </c>
      <c r="AW2585" t="s">
        <v>60</v>
      </c>
      <c r="AX2585" t="s">
        <v>68</v>
      </c>
      <c r="AY2585" t="s">
        <v>69</v>
      </c>
      <c r="AZ2585" t="b">
        <v>1</v>
      </c>
    </row>
    <row r="2586" spans="1:52" x14ac:dyDescent="0.3">
      <c r="A2586" t="s">
        <v>52</v>
      </c>
      <c r="B2586" t="s">
        <v>53</v>
      </c>
      <c r="C2586" t="s">
        <v>54</v>
      </c>
      <c r="D2586" t="s">
        <v>55</v>
      </c>
      <c r="E2586" t="s">
        <v>2155</v>
      </c>
      <c r="F2586" t="s">
        <v>1247</v>
      </c>
      <c r="G2586" t="s">
        <v>545</v>
      </c>
      <c r="H2586" t="s">
        <v>546</v>
      </c>
      <c r="I2586" t="s">
        <v>546</v>
      </c>
      <c r="J2586" t="s">
        <v>60</v>
      </c>
      <c r="K2586" t="s">
        <v>388</v>
      </c>
      <c r="L2586" t="s">
        <v>62</v>
      </c>
      <c r="M2586" t="s">
        <v>388</v>
      </c>
      <c r="N2586" t="s">
        <v>547</v>
      </c>
      <c r="O2586" t="s">
        <v>548</v>
      </c>
      <c r="P2586">
        <v>-20.155839</v>
      </c>
      <c r="Q2586">
        <v>-44.905655000000003</v>
      </c>
      <c r="R2586" s="2" t="str">
        <f>HYPERLINK("https://www.google.com/maps?q=-20.1558390,-44.9056550","Abrir no Google Maps")</f>
        <v>Abrir no Google Maps</v>
      </c>
      <c r="S2586">
        <v>3</v>
      </c>
      <c r="T2586">
        <v>309.7643089121122</v>
      </c>
      <c r="U2586">
        <v>3</v>
      </c>
      <c r="V2586">
        <v>0.4121580459770115</v>
      </c>
      <c r="W2586">
        <v>1</v>
      </c>
      <c r="X2586">
        <v>0.4121580459770115</v>
      </c>
      <c r="Y2586">
        <v>548</v>
      </c>
      <c r="Z2586">
        <v>284.24281731793161</v>
      </c>
      <c r="AA2586">
        <v>198</v>
      </c>
      <c r="AB2586">
        <v>332</v>
      </c>
      <c r="AC2586">
        <v>536</v>
      </c>
      <c r="AD2586">
        <v>29.96</v>
      </c>
      <c r="AE2586">
        <v>542</v>
      </c>
      <c r="AF2586">
        <v>29</v>
      </c>
      <c r="AG2586">
        <v>174</v>
      </c>
      <c r="AH2586">
        <v>129</v>
      </c>
      <c r="AI2586">
        <v>5.35</v>
      </c>
      <c r="AJ2586">
        <v>32.1</v>
      </c>
      <c r="AK2586">
        <v>23.8</v>
      </c>
      <c r="AL2586">
        <v>-20.155913549999951</v>
      </c>
      <c r="AM2586">
        <v>-44.905554508392683</v>
      </c>
      <c r="AN2586">
        <v>-20.155913549999951</v>
      </c>
      <c r="AO2586">
        <v>-44.905554508392669</v>
      </c>
      <c r="AP2586">
        <v>-20.155839</v>
      </c>
      <c r="AQ2586">
        <v>-44.905655000000003</v>
      </c>
      <c r="AR2586">
        <v>13.384922093797449</v>
      </c>
      <c r="AS2586" t="s">
        <v>65</v>
      </c>
      <c r="AT2586">
        <v>1</v>
      </c>
      <c r="AU2586" t="s">
        <v>549</v>
      </c>
      <c r="AV2586" t="s">
        <v>550</v>
      </c>
      <c r="AW2586" t="s">
        <v>60</v>
      </c>
      <c r="AX2586" t="s">
        <v>68</v>
      </c>
      <c r="AY2586" t="s">
        <v>69</v>
      </c>
      <c r="AZ2586" t="b">
        <v>1</v>
      </c>
    </row>
    <row r="2587" spans="1:52" x14ac:dyDescent="0.3">
      <c r="A2587" t="s">
        <v>52</v>
      </c>
      <c r="B2587" t="s">
        <v>53</v>
      </c>
      <c r="C2587" t="s">
        <v>54</v>
      </c>
      <c r="D2587" t="s">
        <v>55</v>
      </c>
      <c r="E2587" t="s">
        <v>2155</v>
      </c>
      <c r="F2587" t="s">
        <v>1247</v>
      </c>
      <c r="G2587" t="s">
        <v>556</v>
      </c>
      <c r="H2587" t="s">
        <v>557</v>
      </c>
      <c r="I2587" t="s">
        <v>557</v>
      </c>
      <c r="J2587" t="s">
        <v>60</v>
      </c>
      <c r="K2587" t="s">
        <v>388</v>
      </c>
      <c r="L2587" t="s">
        <v>62</v>
      </c>
      <c r="M2587" t="s">
        <v>388</v>
      </c>
      <c r="N2587" t="s">
        <v>558</v>
      </c>
      <c r="O2587" t="s">
        <v>559</v>
      </c>
      <c r="P2587">
        <v>-20.152670000000001</v>
      </c>
      <c r="Q2587">
        <v>-44.902557999999999</v>
      </c>
      <c r="R2587" s="2" t="str">
        <f>HYPERLINK("https://www.google.com/maps?q=-20.1526700,-44.9025580","Abrir no Google Maps")</f>
        <v>Abrir no Google Maps</v>
      </c>
      <c r="S2587">
        <v>3</v>
      </c>
      <c r="T2587">
        <v>228.56195217678911</v>
      </c>
      <c r="U2587">
        <v>3</v>
      </c>
      <c r="V2587">
        <v>0.4119247049247049</v>
      </c>
      <c r="W2587">
        <v>1</v>
      </c>
      <c r="X2587">
        <v>0.4119247049247049</v>
      </c>
      <c r="Y2587">
        <v>548</v>
      </c>
      <c r="Z2587">
        <v>250.63133895224919</v>
      </c>
      <c r="AA2587">
        <v>198</v>
      </c>
      <c r="AB2587">
        <v>332</v>
      </c>
      <c r="AC2587">
        <v>536</v>
      </c>
      <c r="AD2587">
        <v>29.96</v>
      </c>
      <c r="AE2587">
        <v>542</v>
      </c>
      <c r="AF2587">
        <v>29</v>
      </c>
      <c r="AG2587">
        <v>174</v>
      </c>
      <c r="AH2587">
        <v>129</v>
      </c>
      <c r="AI2587">
        <v>5.35</v>
      </c>
      <c r="AJ2587">
        <v>32.1</v>
      </c>
      <c r="AK2587">
        <v>23.8</v>
      </c>
      <c r="AL2587">
        <v>-20.152629799999939</v>
      </c>
      <c r="AM2587">
        <v>-44.902604744705201</v>
      </c>
      <c r="AN2587">
        <v>-20.152629799999939</v>
      </c>
      <c r="AO2587">
        <v>-44.902604744705201</v>
      </c>
      <c r="AP2587">
        <v>-20.152670000000001</v>
      </c>
      <c r="AQ2587">
        <v>-44.902557999999999</v>
      </c>
      <c r="AR2587">
        <v>6.6249428037111509</v>
      </c>
      <c r="AS2587" t="s">
        <v>65</v>
      </c>
      <c r="AT2587">
        <v>1</v>
      </c>
      <c r="AU2587" t="s">
        <v>560</v>
      </c>
      <c r="AV2587" t="s">
        <v>561</v>
      </c>
      <c r="AW2587" t="s">
        <v>60</v>
      </c>
      <c r="AX2587" t="s">
        <v>68</v>
      </c>
      <c r="AY2587" t="s">
        <v>69</v>
      </c>
      <c r="AZ2587" t="b">
        <v>1</v>
      </c>
    </row>
    <row r="2588" spans="1:52" x14ac:dyDescent="0.3">
      <c r="A2588" t="s">
        <v>52</v>
      </c>
      <c r="B2588" t="s">
        <v>53</v>
      </c>
      <c r="C2588" t="s">
        <v>54</v>
      </c>
      <c r="D2588" t="s">
        <v>55</v>
      </c>
      <c r="E2588" t="s">
        <v>2155</v>
      </c>
      <c r="F2588" t="s">
        <v>1247</v>
      </c>
      <c r="G2588" t="s">
        <v>562</v>
      </c>
      <c r="H2588" t="s">
        <v>563</v>
      </c>
      <c r="I2588" t="s">
        <v>563</v>
      </c>
      <c r="J2588" t="s">
        <v>60</v>
      </c>
      <c r="K2588" t="s">
        <v>388</v>
      </c>
      <c r="L2588" t="s">
        <v>62</v>
      </c>
      <c r="M2588" t="s">
        <v>388</v>
      </c>
      <c r="N2588" t="s">
        <v>564</v>
      </c>
      <c r="O2588" t="s">
        <v>565</v>
      </c>
      <c r="P2588">
        <v>-20.154432</v>
      </c>
      <c r="Q2588">
        <v>-44.902977999999997</v>
      </c>
      <c r="R2588" s="2" t="str">
        <f>HYPERLINK("https://www.google.com/maps?q=-20.1544320,-44.9029780","Abrir no Google Maps")</f>
        <v>Abrir no Google Maps</v>
      </c>
      <c r="S2588">
        <v>3</v>
      </c>
      <c r="T2588">
        <v>0</v>
      </c>
      <c r="U2588">
        <v>3</v>
      </c>
      <c r="V2588">
        <v>0.40947547370866411</v>
      </c>
      <c r="W2588">
        <v>1</v>
      </c>
      <c r="X2588">
        <v>0.40947547370866411</v>
      </c>
      <c r="Y2588">
        <v>548</v>
      </c>
      <c r="Z2588">
        <v>29.424211042533759</v>
      </c>
      <c r="AA2588">
        <v>198</v>
      </c>
      <c r="AB2588">
        <v>332</v>
      </c>
      <c r="AC2588">
        <v>536</v>
      </c>
      <c r="AD2588">
        <v>29.96</v>
      </c>
      <c r="AE2588">
        <v>542</v>
      </c>
      <c r="AF2588">
        <v>29</v>
      </c>
      <c r="AG2588">
        <v>174</v>
      </c>
      <c r="AH2588">
        <v>129</v>
      </c>
      <c r="AI2588">
        <v>5.35</v>
      </c>
      <c r="AJ2588">
        <v>32.1</v>
      </c>
      <c r="AK2588">
        <v>23.8</v>
      </c>
      <c r="AL2588">
        <v>-20.15467689999997</v>
      </c>
      <c r="AM2588">
        <v>-44.902895281771222</v>
      </c>
      <c r="AN2588">
        <v>-20.15467689999997</v>
      </c>
      <c r="AO2588">
        <v>-44.902895281771222</v>
      </c>
      <c r="AP2588">
        <v>-20.154432</v>
      </c>
      <c r="AQ2588">
        <v>-44.902977999999997</v>
      </c>
      <c r="AR2588">
        <v>28.5999270636025</v>
      </c>
      <c r="AS2588" t="s">
        <v>65</v>
      </c>
      <c r="AT2588">
        <v>1</v>
      </c>
      <c r="AU2588" t="s">
        <v>566</v>
      </c>
      <c r="AV2588" t="s">
        <v>567</v>
      </c>
      <c r="AW2588" t="s">
        <v>60</v>
      </c>
      <c r="AX2588" t="s">
        <v>68</v>
      </c>
      <c r="AY2588" t="s">
        <v>69</v>
      </c>
      <c r="AZ2588" t="b">
        <v>1</v>
      </c>
    </row>
    <row r="2589" spans="1:52" x14ac:dyDescent="0.3">
      <c r="A2589" t="s">
        <v>52</v>
      </c>
      <c r="B2589" t="s">
        <v>53</v>
      </c>
      <c r="C2589" t="s">
        <v>54</v>
      </c>
      <c r="D2589" t="s">
        <v>55</v>
      </c>
      <c r="E2589" t="s">
        <v>2155</v>
      </c>
      <c r="F2589" t="s">
        <v>1247</v>
      </c>
      <c r="G2589" t="s">
        <v>839</v>
      </c>
      <c r="H2589" t="s">
        <v>1274</v>
      </c>
      <c r="I2589" t="s">
        <v>1274</v>
      </c>
      <c r="J2589" t="s">
        <v>60</v>
      </c>
      <c r="K2589" t="s">
        <v>388</v>
      </c>
      <c r="L2589" t="s">
        <v>62</v>
      </c>
      <c r="M2589" t="s">
        <v>388</v>
      </c>
      <c r="N2589" t="s">
        <v>841</v>
      </c>
      <c r="O2589" t="s">
        <v>1275</v>
      </c>
      <c r="P2589">
        <v>-20.157979999999998</v>
      </c>
      <c r="Q2589">
        <v>-44.906365999999998</v>
      </c>
      <c r="R2589" s="2" t="str">
        <f>HYPERLINK("https://www.google.com/maps?q=-20.1579800,-44.9063660","Abrir no Google Maps")</f>
        <v>Abrir no Google Maps</v>
      </c>
      <c r="S2589">
        <v>3</v>
      </c>
      <c r="T2589">
        <v>519.48953004348823</v>
      </c>
      <c r="U2589">
        <v>2</v>
      </c>
      <c r="V2589">
        <v>0.41518888518888519</v>
      </c>
      <c r="W2589">
        <v>0.85</v>
      </c>
      <c r="X2589">
        <v>0.35291055241055241</v>
      </c>
      <c r="Y2589">
        <v>729</v>
      </c>
      <c r="Z2589">
        <v>393.22938248316768</v>
      </c>
      <c r="AA2589">
        <v>198</v>
      </c>
      <c r="AB2589">
        <v>332</v>
      </c>
      <c r="AC2589">
        <v>536</v>
      </c>
      <c r="AD2589">
        <v>29.96</v>
      </c>
      <c r="AE2589">
        <v>542</v>
      </c>
      <c r="AF2589">
        <v>29</v>
      </c>
      <c r="AG2589">
        <v>174</v>
      </c>
      <c r="AH2589">
        <v>129</v>
      </c>
      <c r="AI2589">
        <v>5.35</v>
      </c>
      <c r="AJ2589">
        <v>32.1</v>
      </c>
      <c r="AK2589">
        <v>23.8</v>
      </c>
      <c r="AL2589">
        <v>-20.157977799999941</v>
      </c>
      <c r="AM2589">
        <v>-44.906429896327573</v>
      </c>
      <c r="AN2589">
        <v>-20.157977799999941</v>
      </c>
      <c r="AO2589">
        <v>-44.906429896327573</v>
      </c>
      <c r="AP2589">
        <v>-20.157979999999998</v>
      </c>
      <c r="AQ2589">
        <v>-44.906365999999998</v>
      </c>
      <c r="AR2589">
        <v>6.6817330699236734</v>
      </c>
      <c r="AS2589" t="s">
        <v>65</v>
      </c>
      <c r="AT2589">
        <v>1</v>
      </c>
      <c r="AU2589" t="s">
        <v>1276</v>
      </c>
      <c r="AV2589" t="s">
        <v>1277</v>
      </c>
      <c r="AW2589" t="s">
        <v>60</v>
      </c>
      <c r="AX2589" t="s">
        <v>68</v>
      </c>
      <c r="AY2589" t="s">
        <v>69</v>
      </c>
      <c r="AZ2589" t="b">
        <v>1</v>
      </c>
    </row>
    <row r="2590" spans="1:52" x14ac:dyDescent="0.3">
      <c r="A2590" t="s">
        <v>52</v>
      </c>
      <c r="B2590" t="s">
        <v>53</v>
      </c>
      <c r="C2590" t="s">
        <v>54</v>
      </c>
      <c r="D2590" t="s">
        <v>55</v>
      </c>
      <c r="E2590" t="s">
        <v>2155</v>
      </c>
      <c r="F2590" t="s">
        <v>1247</v>
      </c>
      <c r="G2590" t="s">
        <v>1278</v>
      </c>
      <c r="H2590" t="s">
        <v>1279</v>
      </c>
      <c r="I2590" t="s">
        <v>1279</v>
      </c>
      <c r="J2590" t="s">
        <v>60</v>
      </c>
      <c r="K2590" t="s">
        <v>388</v>
      </c>
      <c r="L2590" t="s">
        <v>62</v>
      </c>
      <c r="M2590" t="s">
        <v>388</v>
      </c>
      <c r="N2590" t="s">
        <v>1280</v>
      </c>
      <c r="O2590" t="s">
        <v>216</v>
      </c>
      <c r="P2590">
        <v>-20.15681</v>
      </c>
      <c r="Q2590">
        <v>-44.899290999999998</v>
      </c>
      <c r="R2590" s="2" t="str">
        <f>HYPERLINK("https://www.google.com/maps?q=-20.1568100,-44.8992910","Abrir no Google Maps")</f>
        <v>Abrir no Google Maps</v>
      </c>
      <c r="S2590">
        <v>3</v>
      </c>
      <c r="T2590">
        <v>180.10162979749811</v>
      </c>
      <c r="U2590">
        <v>2</v>
      </c>
      <c r="V2590">
        <v>0.42382473382473379</v>
      </c>
      <c r="W2590">
        <v>0.85</v>
      </c>
      <c r="X2590">
        <v>0.36025102375102369</v>
      </c>
      <c r="Y2590">
        <v>729</v>
      </c>
      <c r="Z2590">
        <v>368.06065118133841</v>
      </c>
      <c r="AA2590">
        <v>198</v>
      </c>
      <c r="AB2590">
        <v>332</v>
      </c>
      <c r="AC2590">
        <v>536</v>
      </c>
      <c r="AD2590">
        <v>29.96</v>
      </c>
      <c r="AE2590">
        <v>542</v>
      </c>
      <c r="AF2590">
        <v>29</v>
      </c>
      <c r="AG2590">
        <v>174</v>
      </c>
      <c r="AH2590">
        <v>129</v>
      </c>
      <c r="AI2590">
        <v>5.35</v>
      </c>
      <c r="AJ2590">
        <v>32.1</v>
      </c>
      <c r="AK2590">
        <v>23.8</v>
      </c>
      <c r="AL2590">
        <v>-20.156785649999961</v>
      </c>
      <c r="AM2590">
        <v>-44.899254812291332</v>
      </c>
      <c r="AN2590">
        <v>-20.156785649999961</v>
      </c>
      <c r="AO2590">
        <v>-44.899254812291332</v>
      </c>
      <c r="AP2590">
        <v>-20.15681</v>
      </c>
      <c r="AQ2590">
        <v>-44.899290999999998</v>
      </c>
      <c r="AR2590">
        <v>4.6528211992813118</v>
      </c>
      <c r="AS2590" t="s">
        <v>65</v>
      </c>
      <c r="AT2590">
        <v>1</v>
      </c>
      <c r="AU2590" t="s">
        <v>1281</v>
      </c>
      <c r="AV2590" t="s">
        <v>1282</v>
      </c>
      <c r="AW2590" t="s">
        <v>60</v>
      </c>
      <c r="AX2590" t="s">
        <v>68</v>
      </c>
      <c r="AY2590" t="s">
        <v>69</v>
      </c>
      <c r="AZ2590" t="b">
        <v>1</v>
      </c>
    </row>
    <row r="2591" spans="1:52" x14ac:dyDescent="0.3">
      <c r="A2591" t="s">
        <v>52</v>
      </c>
      <c r="B2591" t="s">
        <v>53</v>
      </c>
      <c r="C2591" t="s">
        <v>54</v>
      </c>
      <c r="D2591" t="s">
        <v>55</v>
      </c>
      <c r="E2591" t="s">
        <v>2155</v>
      </c>
      <c r="F2591" t="s">
        <v>1247</v>
      </c>
      <c r="G2591" t="s">
        <v>1283</v>
      </c>
      <c r="H2591" t="s">
        <v>1284</v>
      </c>
      <c r="I2591" t="s">
        <v>1284</v>
      </c>
      <c r="J2591" t="s">
        <v>60</v>
      </c>
      <c r="K2591" t="s">
        <v>388</v>
      </c>
      <c r="L2591" t="s">
        <v>62</v>
      </c>
      <c r="M2591" t="s">
        <v>388</v>
      </c>
      <c r="N2591" t="s">
        <v>400</v>
      </c>
      <c r="O2591" t="s">
        <v>1285</v>
      </c>
      <c r="P2591">
        <v>-20.156977999999999</v>
      </c>
      <c r="Q2591">
        <v>-44.90325</v>
      </c>
      <c r="R2591" s="2" t="str">
        <f>HYPERLINK("https://www.google.com/maps?q=-20.1569780,-44.9032500","Abrir no Google Maps")</f>
        <v>Abrir no Google Maps</v>
      </c>
      <c r="S2591">
        <v>3</v>
      </c>
      <c r="T2591">
        <v>256.05633739092571</v>
      </c>
      <c r="U2591">
        <v>2</v>
      </c>
      <c r="V2591">
        <v>0.42544341512587891</v>
      </c>
      <c r="W2591">
        <v>0.85</v>
      </c>
      <c r="X2591">
        <v>0.36162690285699711</v>
      </c>
      <c r="Y2591">
        <v>729</v>
      </c>
      <c r="Z2591">
        <v>162.99447055889971</v>
      </c>
      <c r="AA2591">
        <v>198</v>
      </c>
      <c r="AB2591">
        <v>332</v>
      </c>
      <c r="AC2591">
        <v>536</v>
      </c>
      <c r="AD2591">
        <v>29.96</v>
      </c>
      <c r="AE2591">
        <v>542</v>
      </c>
      <c r="AF2591">
        <v>29</v>
      </c>
      <c r="AG2591">
        <v>174</v>
      </c>
      <c r="AH2591">
        <v>129</v>
      </c>
      <c r="AI2591">
        <v>5.35</v>
      </c>
      <c r="AJ2591">
        <v>32.1</v>
      </c>
      <c r="AK2591">
        <v>23.8</v>
      </c>
      <c r="AL2591">
        <v>-20.15696524999996</v>
      </c>
      <c r="AM2591">
        <v>-44.903258102626708</v>
      </c>
      <c r="AN2591">
        <v>-20.15696524999996</v>
      </c>
      <c r="AO2591">
        <v>-44.903258102626708</v>
      </c>
      <c r="AP2591">
        <v>-20.156977999999999</v>
      </c>
      <c r="AQ2591">
        <v>-44.90325</v>
      </c>
      <c r="AR2591">
        <v>1.6527147033629741</v>
      </c>
      <c r="AS2591" t="s">
        <v>65</v>
      </c>
      <c r="AT2591">
        <v>1</v>
      </c>
      <c r="AU2591" t="s">
        <v>1286</v>
      </c>
      <c r="AV2591" t="s">
        <v>1287</v>
      </c>
      <c r="AW2591" t="s">
        <v>60</v>
      </c>
      <c r="AX2591" t="s">
        <v>68</v>
      </c>
      <c r="AY2591" t="s">
        <v>69</v>
      </c>
      <c r="AZ2591" t="b">
        <v>1</v>
      </c>
    </row>
    <row r="2592" spans="1:52" x14ac:dyDescent="0.3">
      <c r="A2592" t="s">
        <v>52</v>
      </c>
      <c r="B2592" t="s">
        <v>53</v>
      </c>
      <c r="C2592" t="s">
        <v>54</v>
      </c>
      <c r="D2592" t="s">
        <v>55</v>
      </c>
      <c r="E2592" t="s">
        <v>2155</v>
      </c>
      <c r="F2592" t="s">
        <v>1247</v>
      </c>
      <c r="G2592" t="s">
        <v>1417</v>
      </c>
      <c r="H2592" t="s">
        <v>1418</v>
      </c>
      <c r="I2592" t="s">
        <v>1418</v>
      </c>
      <c r="J2592" t="s">
        <v>60</v>
      </c>
      <c r="K2592" t="s">
        <v>1419</v>
      </c>
      <c r="L2592" t="s">
        <v>62</v>
      </c>
      <c r="M2592" t="s">
        <v>1419</v>
      </c>
      <c r="N2592" t="s">
        <v>1420</v>
      </c>
      <c r="O2592" t="s">
        <v>1421</v>
      </c>
      <c r="P2592">
        <v>-20.159427000000001</v>
      </c>
      <c r="Q2592">
        <v>-44.897143</v>
      </c>
      <c r="R2592" s="2" t="str">
        <f>HYPERLINK("https://www.google.com/maps?q=-20.1594270,-44.8971430","Abrir no Google Maps")</f>
        <v>Abrir no Google Maps</v>
      </c>
      <c r="S2592">
        <v>3</v>
      </c>
      <c r="T2592">
        <v>392.64349875646298</v>
      </c>
      <c r="U2592">
        <v>2</v>
      </c>
      <c r="V2592">
        <v>0.4152418550531915</v>
      </c>
      <c r="W2592">
        <v>0.85</v>
      </c>
      <c r="X2592">
        <v>0.35295557679521278</v>
      </c>
      <c r="Y2592">
        <v>729</v>
      </c>
      <c r="Z2592">
        <v>550.20062797366995</v>
      </c>
      <c r="AA2592">
        <v>198</v>
      </c>
      <c r="AB2592">
        <v>332</v>
      </c>
      <c r="AC2592">
        <v>536</v>
      </c>
      <c r="AD2592">
        <v>29.96</v>
      </c>
      <c r="AE2592">
        <v>542</v>
      </c>
      <c r="AF2592">
        <v>29</v>
      </c>
      <c r="AG2592">
        <v>174</v>
      </c>
      <c r="AH2592">
        <v>129</v>
      </c>
      <c r="AI2592">
        <v>5.35</v>
      </c>
      <c r="AJ2592">
        <v>32.1</v>
      </c>
      <c r="AK2592">
        <v>23.8</v>
      </c>
      <c r="AL2592">
        <v>-20.15946549999995</v>
      </c>
      <c r="AM2592">
        <v>-44.89709959354267</v>
      </c>
      <c r="AN2592">
        <v>-20.15946549999995</v>
      </c>
      <c r="AO2592">
        <v>-44.89709959354267</v>
      </c>
      <c r="AP2592">
        <v>-20.159427000000001</v>
      </c>
      <c r="AQ2592">
        <v>-44.897143</v>
      </c>
      <c r="AR2592">
        <v>6.2404649979039286</v>
      </c>
      <c r="AS2592" t="s">
        <v>65</v>
      </c>
      <c r="AT2592">
        <v>1</v>
      </c>
      <c r="AU2592" t="s">
        <v>1422</v>
      </c>
      <c r="AV2592" t="s">
        <v>1423</v>
      </c>
      <c r="AW2592" t="s">
        <v>60</v>
      </c>
      <c r="AX2592" t="s">
        <v>68</v>
      </c>
      <c r="AY2592" t="s">
        <v>69</v>
      </c>
      <c r="AZ2592" t="b">
        <v>1</v>
      </c>
    </row>
    <row r="2593" spans="1:52" x14ac:dyDescent="0.3">
      <c r="A2593" t="s">
        <v>52</v>
      </c>
      <c r="B2593" t="s">
        <v>53</v>
      </c>
      <c r="C2593" t="s">
        <v>54</v>
      </c>
      <c r="D2593" t="s">
        <v>55</v>
      </c>
      <c r="E2593" t="s">
        <v>2155</v>
      </c>
      <c r="F2593" t="s">
        <v>1247</v>
      </c>
      <c r="G2593" t="s">
        <v>1288</v>
      </c>
      <c r="H2593" t="s">
        <v>1289</v>
      </c>
      <c r="I2593" t="s">
        <v>1289</v>
      </c>
      <c r="J2593" t="s">
        <v>60</v>
      </c>
      <c r="K2593" t="s">
        <v>1290</v>
      </c>
      <c r="L2593" t="s">
        <v>62</v>
      </c>
      <c r="M2593" t="s">
        <v>1290</v>
      </c>
      <c r="N2593" t="s">
        <v>1291</v>
      </c>
      <c r="O2593" t="s">
        <v>315</v>
      </c>
      <c r="P2593">
        <v>-20.171008</v>
      </c>
      <c r="Q2593">
        <v>-44.918908999999999</v>
      </c>
      <c r="R2593" s="2" t="str">
        <f>HYPERLINK("https://www.google.com/maps?q=-20.1710080,-44.9189090","Abrir no Google Maps")</f>
        <v>Abrir no Google Maps</v>
      </c>
      <c r="S2593">
        <v>3</v>
      </c>
      <c r="T2593">
        <v>972.86786700299888</v>
      </c>
      <c r="U2593">
        <v>2</v>
      </c>
      <c r="V2593">
        <v>0.4137904824851289</v>
      </c>
      <c r="W2593">
        <v>0.85</v>
      </c>
      <c r="X2593">
        <v>0.35172191011235948</v>
      </c>
      <c r="Y2593">
        <v>723</v>
      </c>
      <c r="Z2593">
        <v>690.55600110253613</v>
      </c>
      <c r="AA2593">
        <v>198</v>
      </c>
      <c r="AB2593">
        <v>332</v>
      </c>
      <c r="AC2593">
        <v>536</v>
      </c>
      <c r="AD2593">
        <v>29.96</v>
      </c>
      <c r="AE2593">
        <v>542</v>
      </c>
      <c r="AF2593">
        <v>29</v>
      </c>
      <c r="AG2593">
        <v>174</v>
      </c>
      <c r="AH2593">
        <v>129</v>
      </c>
      <c r="AI2593">
        <v>5.35</v>
      </c>
      <c r="AJ2593">
        <v>32.1</v>
      </c>
      <c r="AK2593">
        <v>23.8</v>
      </c>
      <c r="AL2593">
        <v>-20.171738249999979</v>
      </c>
      <c r="AM2593">
        <v>-44.919736490382917</v>
      </c>
      <c r="AN2593">
        <v>-20.171738249999979</v>
      </c>
      <c r="AO2593">
        <v>-44.919736490382931</v>
      </c>
      <c r="AP2593">
        <v>-20.171008</v>
      </c>
      <c r="AQ2593">
        <v>-44.918908999999999</v>
      </c>
      <c r="AR2593">
        <v>118.678920061485</v>
      </c>
      <c r="AS2593" t="s">
        <v>65</v>
      </c>
      <c r="AT2593">
        <v>1</v>
      </c>
      <c r="AU2593" t="s">
        <v>1292</v>
      </c>
      <c r="AV2593" t="s">
        <v>1293</v>
      </c>
      <c r="AW2593" t="s">
        <v>60</v>
      </c>
      <c r="AX2593" t="s">
        <v>68</v>
      </c>
      <c r="AY2593" t="s">
        <v>69</v>
      </c>
      <c r="AZ2593" t="b">
        <v>1</v>
      </c>
    </row>
    <row r="2594" spans="1:52" x14ac:dyDescent="0.3">
      <c r="A2594" t="s">
        <v>52</v>
      </c>
      <c r="B2594" t="s">
        <v>53</v>
      </c>
      <c r="C2594" t="s">
        <v>54</v>
      </c>
      <c r="D2594" t="s">
        <v>55</v>
      </c>
      <c r="E2594" t="s">
        <v>2155</v>
      </c>
      <c r="F2594" t="s">
        <v>1247</v>
      </c>
      <c r="G2594" t="s">
        <v>1294</v>
      </c>
      <c r="H2594" t="s">
        <v>1295</v>
      </c>
      <c r="I2594" t="s">
        <v>1295</v>
      </c>
      <c r="J2594" t="s">
        <v>60</v>
      </c>
      <c r="K2594" t="s">
        <v>418</v>
      </c>
      <c r="L2594" t="s">
        <v>62</v>
      </c>
      <c r="M2594" t="s">
        <v>418</v>
      </c>
      <c r="N2594" t="s">
        <v>1296</v>
      </c>
      <c r="O2594" t="s">
        <v>1297</v>
      </c>
      <c r="P2594">
        <v>-20.169899999999998</v>
      </c>
      <c r="Q2594">
        <v>-44.916176999999998</v>
      </c>
      <c r="R2594" s="2" t="str">
        <f>HYPERLINK("https://www.google.com/maps?q=-20.1699000,-44.9161770","Abrir no Google Maps")</f>
        <v>Abrir no Google Maps</v>
      </c>
      <c r="S2594">
        <v>3</v>
      </c>
      <c r="T2594">
        <v>658.15251036568407</v>
      </c>
      <c r="U2594">
        <v>2</v>
      </c>
      <c r="V2594">
        <v>0.4316077482727656</v>
      </c>
      <c r="W2594">
        <v>0.85</v>
      </c>
      <c r="X2594">
        <v>0.36686658603185068</v>
      </c>
      <c r="Y2594">
        <v>723</v>
      </c>
      <c r="Z2594">
        <v>400.39092274559039</v>
      </c>
      <c r="AA2594">
        <v>198</v>
      </c>
      <c r="AB2594">
        <v>332</v>
      </c>
      <c r="AC2594">
        <v>536</v>
      </c>
      <c r="AD2594">
        <v>29.96</v>
      </c>
      <c r="AE2594">
        <v>542</v>
      </c>
      <c r="AF2594">
        <v>29</v>
      </c>
      <c r="AG2594">
        <v>174</v>
      </c>
      <c r="AH2594">
        <v>129</v>
      </c>
      <c r="AI2594">
        <v>5.35</v>
      </c>
      <c r="AJ2594">
        <v>32.1</v>
      </c>
      <c r="AK2594">
        <v>23.8</v>
      </c>
      <c r="AL2594">
        <v>-20.169898399999941</v>
      </c>
      <c r="AM2594">
        <v>-44.916247682868359</v>
      </c>
      <c r="AN2594">
        <v>-20.169898399999941</v>
      </c>
      <c r="AO2594">
        <v>-44.916247682868359</v>
      </c>
      <c r="AP2594">
        <v>-20.169899999999998</v>
      </c>
      <c r="AQ2594">
        <v>-44.916176999999998</v>
      </c>
      <c r="AR2594">
        <v>7.388028048308902</v>
      </c>
      <c r="AS2594" t="s">
        <v>65</v>
      </c>
      <c r="AT2594">
        <v>1</v>
      </c>
      <c r="AU2594" t="s">
        <v>1298</v>
      </c>
      <c r="AV2594" t="s">
        <v>1299</v>
      </c>
      <c r="AW2594" t="s">
        <v>60</v>
      </c>
      <c r="AX2594" t="s">
        <v>68</v>
      </c>
      <c r="AY2594" t="s">
        <v>69</v>
      </c>
      <c r="AZ2594" t="b">
        <v>1</v>
      </c>
    </row>
    <row r="2595" spans="1:52" x14ac:dyDescent="0.3">
      <c r="A2595" t="s">
        <v>52</v>
      </c>
      <c r="B2595" t="s">
        <v>53</v>
      </c>
      <c r="C2595" t="s">
        <v>54</v>
      </c>
      <c r="D2595" t="s">
        <v>55</v>
      </c>
      <c r="E2595" t="s">
        <v>2155</v>
      </c>
      <c r="F2595" t="s">
        <v>1247</v>
      </c>
      <c r="G2595" t="s">
        <v>1300</v>
      </c>
      <c r="H2595" t="s">
        <v>1301</v>
      </c>
      <c r="I2595" t="s">
        <v>1301</v>
      </c>
      <c r="J2595" t="s">
        <v>60</v>
      </c>
      <c r="K2595" t="s">
        <v>1302</v>
      </c>
      <c r="L2595" t="s">
        <v>62</v>
      </c>
      <c r="M2595" t="s">
        <v>1302</v>
      </c>
      <c r="N2595" t="s">
        <v>1303</v>
      </c>
      <c r="O2595" t="s">
        <v>1304</v>
      </c>
      <c r="P2595">
        <v>-20.166618</v>
      </c>
      <c r="Q2595">
        <v>-44.912920999999997</v>
      </c>
      <c r="R2595" s="2" t="str">
        <f>HYPERLINK("https://www.google.com/maps?q=-20.1666180,-44.9129210","Abrir no Google Maps")</f>
        <v>Abrir no Google Maps</v>
      </c>
      <c r="S2595">
        <v>3</v>
      </c>
      <c r="T2595">
        <v>636.32880156364706</v>
      </c>
      <c r="U2595">
        <v>2</v>
      </c>
      <c r="V2595">
        <v>0.43285616590170661</v>
      </c>
      <c r="W2595">
        <v>0.85</v>
      </c>
      <c r="X2595">
        <v>0.36792774101645059</v>
      </c>
      <c r="Y2595">
        <v>723</v>
      </c>
      <c r="Z2595">
        <v>407.62145176971592</v>
      </c>
      <c r="AA2595">
        <v>198</v>
      </c>
      <c r="AB2595">
        <v>332</v>
      </c>
      <c r="AC2595">
        <v>536</v>
      </c>
      <c r="AD2595">
        <v>29.96</v>
      </c>
      <c r="AE2595">
        <v>542</v>
      </c>
      <c r="AF2595">
        <v>29</v>
      </c>
      <c r="AG2595">
        <v>174</v>
      </c>
      <c r="AH2595">
        <v>129</v>
      </c>
      <c r="AI2595">
        <v>5.35</v>
      </c>
      <c r="AJ2595">
        <v>32.1</v>
      </c>
      <c r="AK2595">
        <v>23.8</v>
      </c>
      <c r="AL2595">
        <v>-20.166924799999951</v>
      </c>
      <c r="AM2595">
        <v>-44.912868681724092</v>
      </c>
      <c r="AN2595">
        <v>-20.166924799999951</v>
      </c>
      <c r="AO2595">
        <v>-44.912868681724092</v>
      </c>
      <c r="AP2595">
        <v>-20.166618</v>
      </c>
      <c r="AQ2595">
        <v>-44.912920999999997</v>
      </c>
      <c r="AR2595">
        <v>34.587771860198139</v>
      </c>
      <c r="AS2595" t="s">
        <v>65</v>
      </c>
      <c r="AT2595">
        <v>1</v>
      </c>
      <c r="AU2595" t="s">
        <v>1305</v>
      </c>
      <c r="AV2595" t="s">
        <v>1306</v>
      </c>
      <c r="AW2595" t="s">
        <v>60</v>
      </c>
      <c r="AX2595" t="s">
        <v>68</v>
      </c>
      <c r="AY2595" t="s">
        <v>69</v>
      </c>
      <c r="AZ2595" t="b">
        <v>1</v>
      </c>
    </row>
    <row r="2596" spans="1:52" x14ac:dyDescent="0.3">
      <c r="A2596" t="s">
        <v>52</v>
      </c>
      <c r="B2596" t="s">
        <v>53</v>
      </c>
      <c r="C2596" t="s">
        <v>54</v>
      </c>
      <c r="D2596" t="s">
        <v>55</v>
      </c>
      <c r="E2596" t="s">
        <v>2155</v>
      </c>
      <c r="F2596" t="s">
        <v>1247</v>
      </c>
      <c r="G2596" t="s">
        <v>1307</v>
      </c>
      <c r="H2596" t="s">
        <v>1308</v>
      </c>
      <c r="I2596" t="s">
        <v>1308</v>
      </c>
      <c r="J2596" t="s">
        <v>60</v>
      </c>
      <c r="K2596" t="s">
        <v>1302</v>
      </c>
      <c r="L2596" t="s">
        <v>62</v>
      </c>
      <c r="M2596" t="s">
        <v>1302</v>
      </c>
      <c r="N2596" t="s">
        <v>558</v>
      </c>
      <c r="O2596" t="s">
        <v>1309</v>
      </c>
      <c r="P2596">
        <v>-20.169051</v>
      </c>
      <c r="Q2596">
        <v>-44.910093000000003</v>
      </c>
      <c r="R2596" s="2" t="str">
        <f>HYPERLINK("https://www.google.com/maps?q=-20.1690510,-44.9100930","Abrir no Google Maps")</f>
        <v>Abrir no Google Maps</v>
      </c>
      <c r="S2596">
        <v>3</v>
      </c>
      <c r="T2596">
        <v>375.90504489887479</v>
      </c>
      <c r="U2596">
        <v>2</v>
      </c>
      <c r="V2596">
        <v>0.42301693167973509</v>
      </c>
      <c r="W2596">
        <v>0.85</v>
      </c>
      <c r="X2596">
        <v>0.35956439192777478</v>
      </c>
      <c r="Y2596">
        <v>723</v>
      </c>
      <c r="Z2596">
        <v>456.19893675176831</v>
      </c>
      <c r="AA2596">
        <v>198</v>
      </c>
      <c r="AB2596">
        <v>332</v>
      </c>
      <c r="AC2596">
        <v>536</v>
      </c>
      <c r="AD2596">
        <v>29.96</v>
      </c>
      <c r="AE2596">
        <v>542</v>
      </c>
      <c r="AF2596">
        <v>29</v>
      </c>
      <c r="AG2596">
        <v>174</v>
      </c>
      <c r="AH2596">
        <v>129</v>
      </c>
      <c r="AI2596">
        <v>5.35</v>
      </c>
      <c r="AJ2596">
        <v>32.1</v>
      </c>
      <c r="AK2596">
        <v>23.8</v>
      </c>
      <c r="AL2596">
        <v>-20.168810949999941</v>
      </c>
      <c r="AM2596">
        <v>-44.910156475447927</v>
      </c>
      <c r="AN2596">
        <v>-20.168810949999941</v>
      </c>
      <c r="AO2596">
        <v>-44.910156475447927</v>
      </c>
      <c r="AP2596">
        <v>-20.169051</v>
      </c>
      <c r="AQ2596">
        <v>-44.910093000000003</v>
      </c>
      <c r="AR2596">
        <v>27.533232396417059</v>
      </c>
      <c r="AS2596" t="s">
        <v>65</v>
      </c>
      <c r="AT2596">
        <v>1</v>
      </c>
      <c r="AU2596" t="s">
        <v>1310</v>
      </c>
      <c r="AV2596" t="s">
        <v>1311</v>
      </c>
      <c r="AW2596" t="s">
        <v>60</v>
      </c>
      <c r="AX2596" t="s">
        <v>68</v>
      </c>
      <c r="AY2596" t="s">
        <v>69</v>
      </c>
      <c r="AZ2596" t="b">
        <v>1</v>
      </c>
    </row>
    <row r="2597" spans="1:52" x14ac:dyDescent="0.3">
      <c r="A2597" t="s">
        <v>52</v>
      </c>
      <c r="B2597" t="s">
        <v>53</v>
      </c>
      <c r="C2597" t="s">
        <v>54</v>
      </c>
      <c r="D2597" t="s">
        <v>55</v>
      </c>
      <c r="E2597" t="s">
        <v>2155</v>
      </c>
      <c r="F2597" t="s">
        <v>1247</v>
      </c>
      <c r="G2597" t="s">
        <v>845</v>
      </c>
      <c r="H2597" t="s">
        <v>846</v>
      </c>
      <c r="I2597" t="s">
        <v>846</v>
      </c>
      <c r="J2597" t="s">
        <v>60</v>
      </c>
      <c r="K2597" t="s">
        <v>424</v>
      </c>
      <c r="L2597" t="s">
        <v>62</v>
      </c>
      <c r="M2597" t="s">
        <v>424</v>
      </c>
      <c r="N2597" t="s">
        <v>847</v>
      </c>
      <c r="O2597" t="s">
        <v>848</v>
      </c>
      <c r="P2597">
        <v>-20.175523999999999</v>
      </c>
      <c r="Q2597">
        <v>-44.918016999999999</v>
      </c>
      <c r="R2597" s="2" t="str">
        <f>HYPERLINK("https://www.google.com/maps?q=-20.1755240,-44.9180170","Abrir no Google Maps")</f>
        <v>Abrir no Google Maps</v>
      </c>
      <c r="S2597">
        <v>3</v>
      </c>
      <c r="T2597">
        <v>833.59191671824021</v>
      </c>
      <c r="U2597">
        <v>2</v>
      </c>
      <c r="V2597">
        <v>0.43123681162142707</v>
      </c>
      <c r="W2597">
        <v>0.85</v>
      </c>
      <c r="X2597">
        <v>0.366551289878213</v>
      </c>
      <c r="Y2597">
        <v>723</v>
      </c>
      <c r="Z2597">
        <v>701.05790658871581</v>
      </c>
      <c r="AA2597">
        <v>198</v>
      </c>
      <c r="AB2597">
        <v>332</v>
      </c>
      <c r="AC2597">
        <v>536</v>
      </c>
      <c r="AD2597">
        <v>29.96</v>
      </c>
      <c r="AE2597">
        <v>542</v>
      </c>
      <c r="AF2597">
        <v>29</v>
      </c>
      <c r="AG2597">
        <v>174</v>
      </c>
      <c r="AH2597">
        <v>129</v>
      </c>
      <c r="AI2597">
        <v>5.35</v>
      </c>
      <c r="AJ2597">
        <v>32.1</v>
      </c>
      <c r="AK2597">
        <v>23.8</v>
      </c>
      <c r="AL2597">
        <v>-20.17533859999995</v>
      </c>
      <c r="AM2597">
        <v>-44.917689627873088</v>
      </c>
      <c r="AN2597">
        <v>-20.17533859999995</v>
      </c>
      <c r="AO2597">
        <v>-44.917689627873088</v>
      </c>
      <c r="AP2597">
        <v>-20.175523999999999</v>
      </c>
      <c r="AQ2597">
        <v>-44.918016999999999</v>
      </c>
      <c r="AR2597">
        <v>39.950898228213873</v>
      </c>
      <c r="AS2597" t="s">
        <v>65</v>
      </c>
      <c r="AT2597">
        <v>1</v>
      </c>
      <c r="AU2597" t="s">
        <v>849</v>
      </c>
      <c r="AV2597" t="s">
        <v>850</v>
      </c>
      <c r="AW2597" t="s">
        <v>60</v>
      </c>
      <c r="AX2597" t="s">
        <v>68</v>
      </c>
      <c r="AY2597" t="s">
        <v>69</v>
      </c>
      <c r="AZ2597" t="b">
        <v>1</v>
      </c>
    </row>
    <row r="2598" spans="1:52" x14ac:dyDescent="0.3">
      <c r="A2598" t="s">
        <v>52</v>
      </c>
      <c r="B2598" t="s">
        <v>53</v>
      </c>
      <c r="C2598" t="s">
        <v>54</v>
      </c>
      <c r="D2598" t="s">
        <v>55</v>
      </c>
      <c r="E2598" t="s">
        <v>2155</v>
      </c>
      <c r="F2598" t="s">
        <v>1247</v>
      </c>
      <c r="G2598" t="s">
        <v>1312</v>
      </c>
      <c r="H2598" t="s">
        <v>1313</v>
      </c>
      <c r="I2598" t="s">
        <v>1313</v>
      </c>
      <c r="J2598" t="s">
        <v>60</v>
      </c>
      <c r="K2598" t="s">
        <v>1314</v>
      </c>
      <c r="L2598" t="s">
        <v>62</v>
      </c>
      <c r="M2598" t="s">
        <v>1314</v>
      </c>
      <c r="N2598" t="s">
        <v>1315</v>
      </c>
      <c r="O2598" t="s">
        <v>315</v>
      </c>
      <c r="P2598">
        <v>-20.179649999999999</v>
      </c>
      <c r="Q2598">
        <v>-44.927177</v>
      </c>
      <c r="R2598" s="2" t="str">
        <f>HYPERLINK("https://www.google.com/maps?q=-20.1796500,-44.9271770","Abrir no Google Maps")</f>
        <v>Abrir no Google Maps</v>
      </c>
      <c r="S2598">
        <v>3</v>
      </c>
      <c r="T2598">
        <v>1742.181438658615</v>
      </c>
      <c r="U2598">
        <v>2</v>
      </c>
      <c r="V2598">
        <v>0.41252834507671948</v>
      </c>
      <c r="W2598">
        <v>0.85</v>
      </c>
      <c r="X2598">
        <v>0.35064909331521149</v>
      </c>
      <c r="Y2598">
        <v>723</v>
      </c>
      <c r="Z2598">
        <v>1801.262037027635</v>
      </c>
      <c r="AA2598">
        <v>198</v>
      </c>
      <c r="AB2598">
        <v>332</v>
      </c>
      <c r="AC2598">
        <v>536</v>
      </c>
      <c r="AD2598">
        <v>29.96</v>
      </c>
      <c r="AE2598">
        <v>542</v>
      </c>
      <c r="AF2598">
        <v>29</v>
      </c>
      <c r="AG2598">
        <v>174</v>
      </c>
      <c r="AH2598">
        <v>129</v>
      </c>
      <c r="AI2598">
        <v>5.35</v>
      </c>
      <c r="AJ2598">
        <v>32.1</v>
      </c>
      <c r="AK2598">
        <v>23.8</v>
      </c>
      <c r="AL2598">
        <v>-20.18058599999998</v>
      </c>
      <c r="AM2598">
        <v>-44.926708474999977</v>
      </c>
      <c r="AN2598">
        <v>-20.18058599999998</v>
      </c>
      <c r="AO2598">
        <v>-44.926708474999977</v>
      </c>
      <c r="AP2598">
        <v>-20.179649999999999</v>
      </c>
      <c r="AQ2598">
        <v>-44.927177</v>
      </c>
      <c r="AR2598">
        <v>115.1226868075416</v>
      </c>
      <c r="AS2598" t="s">
        <v>65</v>
      </c>
      <c r="AT2598">
        <v>1</v>
      </c>
      <c r="AU2598" t="s">
        <v>1316</v>
      </c>
      <c r="AV2598" t="s">
        <v>1317</v>
      </c>
      <c r="AW2598" t="s">
        <v>60</v>
      </c>
      <c r="AX2598" t="s">
        <v>68</v>
      </c>
      <c r="AY2598" t="s">
        <v>69</v>
      </c>
      <c r="AZ2598" t="b">
        <v>1</v>
      </c>
    </row>
    <row r="2599" spans="1:52" x14ac:dyDescent="0.3">
      <c r="A2599" t="s">
        <v>52</v>
      </c>
      <c r="B2599" t="s">
        <v>53</v>
      </c>
      <c r="C2599" t="s">
        <v>54</v>
      </c>
      <c r="D2599" t="s">
        <v>55</v>
      </c>
      <c r="E2599" t="s">
        <v>2155</v>
      </c>
      <c r="F2599" t="s">
        <v>1247</v>
      </c>
      <c r="G2599" t="s">
        <v>1318</v>
      </c>
      <c r="H2599" t="s">
        <v>1319</v>
      </c>
      <c r="I2599" t="s">
        <v>1319</v>
      </c>
      <c r="J2599" t="s">
        <v>60</v>
      </c>
      <c r="K2599" t="s">
        <v>1314</v>
      </c>
      <c r="L2599" t="s">
        <v>62</v>
      </c>
      <c r="M2599" t="s">
        <v>1314</v>
      </c>
      <c r="N2599" t="s">
        <v>1320</v>
      </c>
      <c r="O2599" t="s">
        <v>1321</v>
      </c>
      <c r="P2599">
        <v>-20.178615000000001</v>
      </c>
      <c r="Q2599">
        <v>-44.924697999999999</v>
      </c>
      <c r="R2599" s="2" t="str">
        <f>HYPERLINK("https://www.google.com/maps?q=-20.1786150,-44.9246980","Abrir no Google Maps")</f>
        <v>Abrir no Google Maps</v>
      </c>
      <c r="S2599">
        <v>3</v>
      </c>
      <c r="T2599">
        <v>1583.462557226148</v>
      </c>
      <c r="U2599">
        <v>2</v>
      </c>
      <c r="V2599">
        <v>0.43168671836393357</v>
      </c>
      <c r="W2599">
        <v>0.85</v>
      </c>
      <c r="X2599">
        <v>0.36693371060934349</v>
      </c>
      <c r="Y2599">
        <v>723</v>
      </c>
      <c r="Z2599">
        <v>1414.1542726995031</v>
      </c>
      <c r="AA2599">
        <v>198</v>
      </c>
      <c r="AB2599">
        <v>332</v>
      </c>
      <c r="AC2599">
        <v>536</v>
      </c>
      <c r="AD2599">
        <v>29.96</v>
      </c>
      <c r="AE2599">
        <v>542</v>
      </c>
      <c r="AF2599">
        <v>29</v>
      </c>
      <c r="AG2599">
        <v>174</v>
      </c>
      <c r="AH2599">
        <v>129</v>
      </c>
      <c r="AI2599">
        <v>5.35</v>
      </c>
      <c r="AJ2599">
        <v>32.1</v>
      </c>
      <c r="AK2599">
        <v>23.8</v>
      </c>
      <c r="AL2599">
        <v>-20.17821329999995</v>
      </c>
      <c r="AM2599">
        <v>-44.924188563452951</v>
      </c>
      <c r="AN2599">
        <v>-20.17821329999995</v>
      </c>
      <c r="AO2599">
        <v>-44.924188563452951</v>
      </c>
      <c r="AP2599">
        <v>-20.178615000000001</v>
      </c>
      <c r="AQ2599">
        <v>-44.924697999999999</v>
      </c>
      <c r="AR2599">
        <v>69.520116290580319</v>
      </c>
      <c r="AS2599" t="s">
        <v>65</v>
      </c>
      <c r="AT2599">
        <v>1</v>
      </c>
      <c r="AU2599" t="s">
        <v>1322</v>
      </c>
      <c r="AV2599" t="s">
        <v>1317</v>
      </c>
      <c r="AW2599" t="s">
        <v>60</v>
      </c>
      <c r="AX2599" t="s">
        <v>68</v>
      </c>
      <c r="AY2599" t="s">
        <v>69</v>
      </c>
      <c r="AZ2599" t="b">
        <v>1</v>
      </c>
    </row>
    <row r="2600" spans="1:52" x14ac:dyDescent="0.3">
      <c r="A2600" t="s">
        <v>52</v>
      </c>
      <c r="B2600" t="s">
        <v>53</v>
      </c>
      <c r="C2600" t="s">
        <v>54</v>
      </c>
      <c r="D2600" t="s">
        <v>55</v>
      </c>
      <c r="E2600" t="s">
        <v>2155</v>
      </c>
      <c r="F2600" t="s">
        <v>1247</v>
      </c>
      <c r="G2600" t="s">
        <v>422</v>
      </c>
      <c r="H2600" t="s">
        <v>1323</v>
      </c>
      <c r="I2600" t="s">
        <v>1323</v>
      </c>
      <c r="J2600" t="s">
        <v>60</v>
      </c>
      <c r="K2600" t="s">
        <v>1324</v>
      </c>
      <c r="L2600" t="s">
        <v>62</v>
      </c>
      <c r="M2600" t="s">
        <v>1324</v>
      </c>
      <c r="N2600" t="s">
        <v>425</v>
      </c>
      <c r="O2600" t="s">
        <v>1325</v>
      </c>
      <c r="P2600">
        <v>-20.175142000000001</v>
      </c>
      <c r="Q2600">
        <v>-44.913783000000002</v>
      </c>
      <c r="R2600" s="2" t="str">
        <f>HYPERLINK("https://www.google.com/maps?q=-20.1751420,-44.9137830","Abrir no Google Maps")</f>
        <v>Abrir no Google Maps</v>
      </c>
      <c r="S2600">
        <v>3</v>
      </c>
      <c r="T2600">
        <v>495.73888273066677</v>
      </c>
      <c r="U2600">
        <v>2</v>
      </c>
      <c r="V2600">
        <v>0.44108954277616169</v>
      </c>
      <c r="W2600">
        <v>0.85</v>
      </c>
      <c r="X2600">
        <v>0.37492611135973741</v>
      </c>
      <c r="Y2600">
        <v>723</v>
      </c>
      <c r="Z2600">
        <v>488.51574748236328</v>
      </c>
      <c r="AA2600">
        <v>198</v>
      </c>
      <c r="AB2600">
        <v>332</v>
      </c>
      <c r="AC2600">
        <v>536</v>
      </c>
      <c r="AD2600">
        <v>29.96</v>
      </c>
      <c r="AE2600">
        <v>542</v>
      </c>
      <c r="AF2600">
        <v>29</v>
      </c>
      <c r="AG2600">
        <v>174</v>
      </c>
      <c r="AH2600">
        <v>129</v>
      </c>
      <c r="AI2600">
        <v>5.35</v>
      </c>
      <c r="AJ2600">
        <v>32.1</v>
      </c>
      <c r="AK2600">
        <v>23.8</v>
      </c>
      <c r="AL2600">
        <v>-20.175195199999958</v>
      </c>
      <c r="AM2600">
        <v>-44.913964122548052</v>
      </c>
      <c r="AN2600">
        <v>-20.175195199999958</v>
      </c>
      <c r="AO2600">
        <v>-44.913964122548052</v>
      </c>
      <c r="AP2600">
        <v>-20.175142000000001</v>
      </c>
      <c r="AQ2600">
        <v>-44.913783000000002</v>
      </c>
      <c r="AR2600">
        <v>19.830402633152101</v>
      </c>
      <c r="AS2600" t="s">
        <v>65</v>
      </c>
      <c r="AT2600">
        <v>1</v>
      </c>
      <c r="AU2600" t="s">
        <v>1326</v>
      </c>
      <c r="AV2600" t="s">
        <v>1327</v>
      </c>
      <c r="AW2600" t="s">
        <v>60</v>
      </c>
      <c r="AX2600" t="s">
        <v>68</v>
      </c>
      <c r="AY2600" t="s">
        <v>69</v>
      </c>
      <c r="AZ2600" t="b">
        <v>1</v>
      </c>
    </row>
    <row r="2601" spans="1:52" x14ac:dyDescent="0.3">
      <c r="A2601" t="s">
        <v>52</v>
      </c>
      <c r="B2601" t="s">
        <v>53</v>
      </c>
      <c r="C2601" t="s">
        <v>54</v>
      </c>
      <c r="D2601" t="s">
        <v>55</v>
      </c>
      <c r="E2601" t="s">
        <v>2155</v>
      </c>
      <c r="F2601" t="s">
        <v>1247</v>
      </c>
      <c r="G2601" t="s">
        <v>1328</v>
      </c>
      <c r="H2601" t="s">
        <v>1329</v>
      </c>
      <c r="I2601" t="s">
        <v>1329</v>
      </c>
      <c r="J2601" t="s">
        <v>60</v>
      </c>
      <c r="K2601" t="s">
        <v>1324</v>
      </c>
      <c r="L2601" t="s">
        <v>62</v>
      </c>
      <c r="M2601" t="s">
        <v>1324</v>
      </c>
      <c r="N2601" t="s">
        <v>1330</v>
      </c>
      <c r="O2601" t="s">
        <v>1331</v>
      </c>
      <c r="P2601">
        <v>-20.172984</v>
      </c>
      <c r="Q2601">
        <v>-44.915225999999997</v>
      </c>
      <c r="R2601" s="2" t="str">
        <f>HYPERLINK("https://www.google.com/maps?q=-20.1729840,-44.9152260","Abrir no Google Maps")</f>
        <v>Abrir no Google Maps</v>
      </c>
      <c r="S2601">
        <v>3</v>
      </c>
      <c r="T2601">
        <v>498.21203543103741</v>
      </c>
      <c r="U2601">
        <v>2</v>
      </c>
      <c r="V2601">
        <v>0.42085828736537961</v>
      </c>
      <c r="W2601">
        <v>0.85</v>
      </c>
      <c r="X2601">
        <v>0.35772954426057268</v>
      </c>
      <c r="Y2601">
        <v>723</v>
      </c>
      <c r="Z2601">
        <v>297.36167326949931</v>
      </c>
      <c r="AA2601">
        <v>198</v>
      </c>
      <c r="AB2601">
        <v>332</v>
      </c>
      <c r="AC2601">
        <v>536</v>
      </c>
      <c r="AD2601">
        <v>29.96</v>
      </c>
      <c r="AE2601">
        <v>542</v>
      </c>
      <c r="AF2601">
        <v>29</v>
      </c>
      <c r="AG2601">
        <v>174</v>
      </c>
      <c r="AH2601">
        <v>129</v>
      </c>
      <c r="AI2601">
        <v>5.35</v>
      </c>
      <c r="AJ2601">
        <v>32.1</v>
      </c>
      <c r="AK2601">
        <v>23.8</v>
      </c>
      <c r="AL2601">
        <v>-20.172838899999959</v>
      </c>
      <c r="AM2601">
        <v>-44.915158011603552</v>
      </c>
      <c r="AN2601">
        <v>-20.172838899999959</v>
      </c>
      <c r="AO2601">
        <v>-44.915158011603552</v>
      </c>
      <c r="AP2601">
        <v>-20.172984</v>
      </c>
      <c r="AQ2601">
        <v>-44.915225999999997</v>
      </c>
      <c r="AR2601">
        <v>17.645788305942119</v>
      </c>
      <c r="AS2601" t="s">
        <v>65</v>
      </c>
      <c r="AT2601">
        <v>1</v>
      </c>
      <c r="AU2601" t="s">
        <v>1332</v>
      </c>
      <c r="AV2601" t="s">
        <v>1327</v>
      </c>
      <c r="AW2601" t="s">
        <v>60</v>
      </c>
      <c r="AX2601" t="s">
        <v>68</v>
      </c>
      <c r="AY2601" t="s">
        <v>69</v>
      </c>
      <c r="AZ2601" t="b">
        <v>1</v>
      </c>
    </row>
    <row r="2602" spans="1:52" x14ac:dyDescent="0.3">
      <c r="A2602" t="s">
        <v>52</v>
      </c>
      <c r="B2602" t="s">
        <v>53</v>
      </c>
      <c r="C2602" t="s">
        <v>54</v>
      </c>
      <c r="D2602" t="s">
        <v>55</v>
      </c>
      <c r="E2602" t="s">
        <v>2155</v>
      </c>
      <c r="F2602" t="s">
        <v>1247</v>
      </c>
      <c r="G2602" t="s">
        <v>1342</v>
      </c>
      <c r="H2602" t="s">
        <v>1343</v>
      </c>
      <c r="I2602" t="s">
        <v>1343</v>
      </c>
      <c r="J2602" t="s">
        <v>60</v>
      </c>
      <c r="K2602" t="s">
        <v>462</v>
      </c>
      <c r="L2602" t="s">
        <v>62</v>
      </c>
      <c r="M2602" t="s">
        <v>462</v>
      </c>
      <c r="N2602" t="s">
        <v>921</v>
      </c>
      <c r="O2602" t="s">
        <v>1344</v>
      </c>
      <c r="P2602">
        <v>-20.137526000000001</v>
      </c>
      <c r="Q2602">
        <v>-44.912452999999999</v>
      </c>
      <c r="R2602" s="2" t="str">
        <f>HYPERLINK("https://www.google.com/maps?q=-20.1375260,-44.9124530","Abrir no Google Maps")</f>
        <v>Abrir no Google Maps</v>
      </c>
      <c r="S2602">
        <v>3</v>
      </c>
      <c r="T2602">
        <v>446.95091416730708</v>
      </c>
      <c r="U2602">
        <v>2</v>
      </c>
      <c r="V2602">
        <v>0.43116890583393858</v>
      </c>
      <c r="W2602">
        <v>0.85</v>
      </c>
      <c r="X2602">
        <v>0.3664935699588478</v>
      </c>
      <c r="Y2602">
        <v>581</v>
      </c>
      <c r="Z2602">
        <v>507.4747778269288</v>
      </c>
      <c r="AA2602">
        <v>198</v>
      </c>
      <c r="AB2602">
        <v>332</v>
      </c>
      <c r="AC2602">
        <v>536</v>
      </c>
      <c r="AD2602">
        <v>29.96</v>
      </c>
      <c r="AE2602">
        <v>542</v>
      </c>
      <c r="AF2602">
        <v>29</v>
      </c>
      <c r="AG2602">
        <v>174</v>
      </c>
      <c r="AH2602">
        <v>129</v>
      </c>
      <c r="AI2602">
        <v>5.35</v>
      </c>
      <c r="AJ2602">
        <v>32.1</v>
      </c>
      <c r="AK2602">
        <v>23.8</v>
      </c>
      <c r="AL2602">
        <v>-20.136672649999959</v>
      </c>
      <c r="AM2602">
        <v>-44.911825104396357</v>
      </c>
      <c r="AN2602">
        <v>-20.136672649999959</v>
      </c>
      <c r="AO2602">
        <v>-44.911825104396357</v>
      </c>
      <c r="AP2602">
        <v>-20.137526000000001</v>
      </c>
      <c r="AQ2602">
        <v>-44.912452999999999</v>
      </c>
      <c r="AR2602">
        <v>115.45843265992529</v>
      </c>
      <c r="AS2602" t="s">
        <v>65</v>
      </c>
      <c r="AT2602">
        <v>1</v>
      </c>
      <c r="AU2602" t="s">
        <v>1345</v>
      </c>
      <c r="AV2602" t="s">
        <v>1346</v>
      </c>
      <c r="AW2602" t="s">
        <v>60</v>
      </c>
      <c r="AX2602" t="s">
        <v>68</v>
      </c>
      <c r="AY2602" t="s">
        <v>69</v>
      </c>
      <c r="AZ2602" t="b">
        <v>1</v>
      </c>
    </row>
    <row r="2603" spans="1:52" x14ac:dyDescent="0.3">
      <c r="A2603" t="s">
        <v>52</v>
      </c>
      <c r="B2603" t="s">
        <v>53</v>
      </c>
      <c r="C2603" t="s">
        <v>54</v>
      </c>
      <c r="D2603" t="s">
        <v>55</v>
      </c>
      <c r="E2603" t="s">
        <v>2155</v>
      </c>
      <c r="F2603" t="s">
        <v>1247</v>
      </c>
      <c r="G2603" t="s">
        <v>858</v>
      </c>
      <c r="H2603" t="s">
        <v>1360</v>
      </c>
      <c r="I2603" t="s">
        <v>1360</v>
      </c>
      <c r="J2603" t="s">
        <v>60</v>
      </c>
      <c r="K2603" t="s">
        <v>1356</v>
      </c>
      <c r="L2603" t="s">
        <v>62</v>
      </c>
      <c r="M2603" t="s">
        <v>1356</v>
      </c>
      <c r="N2603" t="s">
        <v>860</v>
      </c>
      <c r="O2603" t="s">
        <v>1361</v>
      </c>
      <c r="P2603">
        <v>-20.134969000000002</v>
      </c>
      <c r="Q2603">
        <v>-44.909384000000003</v>
      </c>
      <c r="R2603" s="2" t="str">
        <f>HYPERLINK("https://www.google.com/maps?q=-20.1349690,-44.9093840","Abrir no Google Maps")</f>
        <v>Abrir no Google Maps</v>
      </c>
      <c r="S2603">
        <v>3</v>
      </c>
      <c r="T2603">
        <v>413.6655911675532</v>
      </c>
      <c r="U2603">
        <v>2</v>
      </c>
      <c r="V2603">
        <v>0.41149853895252669</v>
      </c>
      <c r="W2603">
        <v>0.85</v>
      </c>
      <c r="X2603">
        <v>0.34977375810964773</v>
      </c>
      <c r="Y2603">
        <v>581</v>
      </c>
      <c r="Z2603">
        <v>555.30228470489919</v>
      </c>
      <c r="AA2603">
        <v>198</v>
      </c>
      <c r="AB2603">
        <v>332</v>
      </c>
      <c r="AC2603">
        <v>536</v>
      </c>
      <c r="AD2603">
        <v>29.96</v>
      </c>
      <c r="AE2603">
        <v>542</v>
      </c>
      <c r="AF2603">
        <v>29</v>
      </c>
      <c r="AG2603">
        <v>174</v>
      </c>
      <c r="AH2603">
        <v>129</v>
      </c>
      <c r="AI2603">
        <v>5.35</v>
      </c>
      <c r="AJ2603">
        <v>32.1</v>
      </c>
      <c r="AK2603">
        <v>23.8</v>
      </c>
      <c r="AL2603">
        <v>-20.134922099999951</v>
      </c>
      <c r="AM2603">
        <v>-44.909483975879112</v>
      </c>
      <c r="AN2603">
        <v>-20.134922099999951</v>
      </c>
      <c r="AO2603">
        <v>-44.909483975879112</v>
      </c>
      <c r="AP2603">
        <v>-20.134969000000002</v>
      </c>
      <c r="AQ2603">
        <v>-44.909384000000003</v>
      </c>
      <c r="AR2603">
        <v>11.68085867639515</v>
      </c>
      <c r="AS2603" t="s">
        <v>65</v>
      </c>
      <c r="AT2603">
        <v>1</v>
      </c>
      <c r="AU2603" t="s">
        <v>1362</v>
      </c>
      <c r="AV2603" t="s">
        <v>1363</v>
      </c>
      <c r="AW2603" t="s">
        <v>60</v>
      </c>
      <c r="AX2603" t="s">
        <v>68</v>
      </c>
      <c r="AY2603" t="s">
        <v>69</v>
      </c>
      <c r="AZ2603" t="b">
        <v>1</v>
      </c>
    </row>
    <row r="2604" spans="1:52" x14ac:dyDescent="0.3">
      <c r="A2604" t="s">
        <v>52</v>
      </c>
      <c r="B2604" t="s">
        <v>53</v>
      </c>
      <c r="C2604" t="s">
        <v>54</v>
      </c>
      <c r="D2604" t="s">
        <v>55</v>
      </c>
      <c r="E2604" t="s">
        <v>2155</v>
      </c>
      <c r="F2604" t="s">
        <v>1247</v>
      </c>
      <c r="G2604" t="s">
        <v>1364</v>
      </c>
      <c r="H2604" t="s">
        <v>1365</v>
      </c>
      <c r="I2604" t="s">
        <v>1365</v>
      </c>
      <c r="J2604" t="s">
        <v>60</v>
      </c>
      <c r="K2604" t="s">
        <v>1356</v>
      </c>
      <c r="L2604" t="s">
        <v>62</v>
      </c>
      <c r="M2604" t="s">
        <v>1356</v>
      </c>
      <c r="N2604" t="s">
        <v>1366</v>
      </c>
      <c r="O2604" t="s">
        <v>548</v>
      </c>
      <c r="P2604">
        <v>-20.131240999999999</v>
      </c>
      <c r="Q2604">
        <v>-44.910567999999998</v>
      </c>
      <c r="R2604" s="2" t="str">
        <f>HYPERLINK("https://www.google.com/maps?q=-20.1312410,-44.9105680","Abrir no Google Maps")</f>
        <v>Abrir no Google Maps</v>
      </c>
      <c r="S2604">
        <v>3</v>
      </c>
      <c r="T2604">
        <v>822.61354861726704</v>
      </c>
      <c r="U2604">
        <v>2</v>
      </c>
      <c r="V2604">
        <v>0.41514914376742329</v>
      </c>
      <c r="W2604">
        <v>0.85</v>
      </c>
      <c r="X2604">
        <v>0.35287677220230979</v>
      </c>
      <c r="Y2604">
        <v>581</v>
      </c>
      <c r="Z2604">
        <v>982.3990834787046</v>
      </c>
      <c r="AA2604">
        <v>198</v>
      </c>
      <c r="AB2604">
        <v>332</v>
      </c>
      <c r="AC2604">
        <v>536</v>
      </c>
      <c r="AD2604">
        <v>29.96</v>
      </c>
      <c r="AE2604">
        <v>542</v>
      </c>
      <c r="AF2604">
        <v>29</v>
      </c>
      <c r="AG2604">
        <v>174</v>
      </c>
      <c r="AH2604">
        <v>129</v>
      </c>
      <c r="AI2604">
        <v>5.35</v>
      </c>
      <c r="AJ2604">
        <v>32.1</v>
      </c>
      <c r="AK2604">
        <v>23.8</v>
      </c>
      <c r="AL2604">
        <v>-20.131367099999981</v>
      </c>
      <c r="AM2604">
        <v>-44.910597350758543</v>
      </c>
      <c r="AN2604">
        <v>-20.131367099999981</v>
      </c>
      <c r="AO2604">
        <v>-44.910597350758543</v>
      </c>
      <c r="AP2604">
        <v>-20.131240999999999</v>
      </c>
      <c r="AQ2604">
        <v>-44.910567999999998</v>
      </c>
      <c r="AR2604">
        <v>14.36874794070623</v>
      </c>
      <c r="AS2604" t="s">
        <v>65</v>
      </c>
      <c r="AT2604">
        <v>1</v>
      </c>
      <c r="AU2604" t="s">
        <v>1367</v>
      </c>
      <c r="AV2604" t="s">
        <v>1368</v>
      </c>
      <c r="AW2604" t="s">
        <v>60</v>
      </c>
      <c r="AX2604" t="s">
        <v>68</v>
      </c>
      <c r="AY2604" t="s">
        <v>69</v>
      </c>
      <c r="AZ2604" t="b">
        <v>1</v>
      </c>
    </row>
    <row r="2605" spans="1:52" x14ac:dyDescent="0.3">
      <c r="A2605" t="s">
        <v>52</v>
      </c>
      <c r="B2605" t="s">
        <v>53</v>
      </c>
      <c r="C2605" t="s">
        <v>54</v>
      </c>
      <c r="D2605" t="s">
        <v>55</v>
      </c>
      <c r="E2605" t="s">
        <v>2155</v>
      </c>
      <c r="F2605" t="s">
        <v>1247</v>
      </c>
      <c r="G2605" t="s">
        <v>1364</v>
      </c>
      <c r="H2605" t="s">
        <v>1369</v>
      </c>
      <c r="I2605" t="s">
        <v>1369</v>
      </c>
      <c r="J2605" t="s">
        <v>60</v>
      </c>
      <c r="K2605" t="s">
        <v>1370</v>
      </c>
      <c r="L2605" t="s">
        <v>62</v>
      </c>
      <c r="M2605" t="s">
        <v>1370</v>
      </c>
      <c r="N2605" t="s">
        <v>1366</v>
      </c>
      <c r="O2605" t="s">
        <v>989</v>
      </c>
      <c r="P2605">
        <v>-20.141185</v>
      </c>
      <c r="Q2605">
        <v>-44.914200999999998</v>
      </c>
      <c r="R2605" s="2" t="str">
        <f>HYPERLINK("https://www.google.com/maps?q=-20.1411850,-44.9142010","Abrir no Google Maps")</f>
        <v>Abrir no Google Maps</v>
      </c>
      <c r="S2605">
        <v>3</v>
      </c>
      <c r="T2605">
        <v>512.52588459346453</v>
      </c>
      <c r="U2605">
        <v>2</v>
      </c>
      <c r="V2605">
        <v>0.41424268560798239</v>
      </c>
      <c r="W2605">
        <v>0.85</v>
      </c>
      <c r="X2605">
        <v>0.35210628276678502</v>
      </c>
      <c r="Y2605">
        <v>581</v>
      </c>
      <c r="Z2605">
        <v>473.10673043319349</v>
      </c>
      <c r="AA2605">
        <v>198</v>
      </c>
      <c r="AB2605">
        <v>332</v>
      </c>
      <c r="AC2605">
        <v>536</v>
      </c>
      <c r="AD2605">
        <v>29.96</v>
      </c>
      <c r="AE2605">
        <v>542</v>
      </c>
      <c r="AF2605">
        <v>29</v>
      </c>
      <c r="AG2605">
        <v>174</v>
      </c>
      <c r="AH2605">
        <v>129</v>
      </c>
      <c r="AI2605">
        <v>5.35</v>
      </c>
      <c r="AJ2605">
        <v>32.1</v>
      </c>
      <c r="AK2605">
        <v>23.8</v>
      </c>
      <c r="AL2605">
        <v>-20.14133909999995</v>
      </c>
      <c r="AM2605">
        <v>-44.913910219286038</v>
      </c>
      <c r="AN2605">
        <v>-20.14133909999995</v>
      </c>
      <c r="AO2605">
        <v>-44.913910219286038</v>
      </c>
      <c r="AP2605">
        <v>-20.141185</v>
      </c>
      <c r="AQ2605">
        <v>-44.914200999999998</v>
      </c>
      <c r="AR2605">
        <v>34.897514361429593</v>
      </c>
      <c r="AS2605" t="s">
        <v>65</v>
      </c>
      <c r="AT2605">
        <v>1</v>
      </c>
      <c r="AU2605" t="s">
        <v>1371</v>
      </c>
      <c r="AV2605" t="s">
        <v>863</v>
      </c>
      <c r="AW2605" t="s">
        <v>60</v>
      </c>
      <c r="AX2605" t="s">
        <v>68</v>
      </c>
      <c r="AY2605" t="s">
        <v>69</v>
      </c>
      <c r="AZ2605" t="b">
        <v>1</v>
      </c>
    </row>
    <row r="2606" spans="1:52" x14ac:dyDescent="0.3">
      <c r="A2606" t="s">
        <v>52</v>
      </c>
      <c r="B2606" t="s">
        <v>53</v>
      </c>
      <c r="C2606" t="s">
        <v>54</v>
      </c>
      <c r="D2606" t="s">
        <v>55</v>
      </c>
      <c r="E2606" t="s">
        <v>2155</v>
      </c>
      <c r="F2606" t="s">
        <v>1247</v>
      </c>
      <c r="G2606" t="s">
        <v>858</v>
      </c>
      <c r="H2606" t="s">
        <v>859</v>
      </c>
      <c r="I2606" t="s">
        <v>859</v>
      </c>
      <c r="J2606" t="s">
        <v>60</v>
      </c>
      <c r="K2606" t="s">
        <v>462</v>
      </c>
      <c r="L2606" t="s">
        <v>62</v>
      </c>
      <c r="M2606" t="s">
        <v>462</v>
      </c>
      <c r="N2606" t="s">
        <v>860</v>
      </c>
      <c r="O2606" t="s">
        <v>861</v>
      </c>
      <c r="P2606">
        <v>-20.139693999999999</v>
      </c>
      <c r="Q2606">
        <v>-44.911256000000002</v>
      </c>
      <c r="R2606" s="2" t="str">
        <f>HYPERLINK("https://www.google.com/maps?q=-20.1396940,-44.9112560","Abrir no Google Maps")</f>
        <v>Abrir no Google Maps</v>
      </c>
      <c r="S2606">
        <v>3</v>
      </c>
      <c r="T2606">
        <v>380.48036838042862</v>
      </c>
      <c r="U2606">
        <v>2</v>
      </c>
      <c r="V2606">
        <v>0.4378045195954488</v>
      </c>
      <c r="W2606">
        <v>0.85</v>
      </c>
      <c r="X2606">
        <v>0.37213384165613139</v>
      </c>
      <c r="Y2606">
        <v>581</v>
      </c>
      <c r="Z2606">
        <v>374.61146000000178</v>
      </c>
      <c r="AA2606">
        <v>198</v>
      </c>
      <c r="AB2606">
        <v>332</v>
      </c>
      <c r="AC2606">
        <v>536</v>
      </c>
      <c r="AD2606">
        <v>29.96</v>
      </c>
      <c r="AE2606">
        <v>542</v>
      </c>
      <c r="AF2606">
        <v>29</v>
      </c>
      <c r="AG2606">
        <v>174</v>
      </c>
      <c r="AH2606">
        <v>129</v>
      </c>
      <c r="AI2606">
        <v>5.35</v>
      </c>
      <c r="AJ2606">
        <v>32.1</v>
      </c>
      <c r="AK2606">
        <v>23.8</v>
      </c>
      <c r="AL2606">
        <v>-20.139768699999959</v>
      </c>
      <c r="AM2606">
        <v>-44.911265351587588</v>
      </c>
      <c r="AN2606">
        <v>-20.139768699999959</v>
      </c>
      <c r="AO2606">
        <v>-44.911265351587588</v>
      </c>
      <c r="AP2606">
        <v>-20.139693999999999</v>
      </c>
      <c r="AQ2606">
        <v>-44.911256000000002</v>
      </c>
      <c r="AR2606">
        <v>8.3728438666521061</v>
      </c>
      <c r="AS2606" t="s">
        <v>65</v>
      </c>
      <c r="AT2606">
        <v>1</v>
      </c>
      <c r="AU2606" t="s">
        <v>862</v>
      </c>
      <c r="AV2606" t="s">
        <v>863</v>
      </c>
      <c r="AW2606" t="s">
        <v>60</v>
      </c>
      <c r="AX2606" t="s">
        <v>68</v>
      </c>
      <c r="AY2606" t="s">
        <v>69</v>
      </c>
      <c r="AZ2606" t="b">
        <v>1</v>
      </c>
    </row>
    <row r="2607" spans="1:52" x14ac:dyDescent="0.3">
      <c r="A2607" t="s">
        <v>52</v>
      </c>
      <c r="B2607" t="s">
        <v>53</v>
      </c>
      <c r="C2607" t="s">
        <v>54</v>
      </c>
      <c r="D2607" t="s">
        <v>55</v>
      </c>
      <c r="E2607" t="s">
        <v>2155</v>
      </c>
      <c r="F2607" t="s">
        <v>1247</v>
      </c>
      <c r="G2607" t="s">
        <v>1300</v>
      </c>
      <c r="H2607" t="s">
        <v>1372</v>
      </c>
      <c r="I2607" t="s">
        <v>1372</v>
      </c>
      <c r="J2607" t="s">
        <v>60</v>
      </c>
      <c r="K2607" t="s">
        <v>486</v>
      </c>
      <c r="L2607" t="s">
        <v>62</v>
      </c>
      <c r="M2607" t="s">
        <v>486</v>
      </c>
      <c r="N2607" t="s">
        <v>1303</v>
      </c>
      <c r="O2607" t="s">
        <v>1373</v>
      </c>
      <c r="P2607">
        <v>-20.170458</v>
      </c>
      <c r="Q2607">
        <v>-44.900936000000002</v>
      </c>
      <c r="R2607" s="2" t="str">
        <f>HYPERLINK("https://www.google.com/maps?q=-20.1704580,-44.9009360","Abrir no Google Maps")</f>
        <v>Abrir no Google Maps</v>
      </c>
      <c r="S2607">
        <v>3</v>
      </c>
      <c r="T2607">
        <v>470.55793133653339</v>
      </c>
      <c r="U2607">
        <v>2</v>
      </c>
      <c r="V2607">
        <v>0.4375600795143943</v>
      </c>
      <c r="W2607">
        <v>0.85</v>
      </c>
      <c r="X2607">
        <v>0.37192606758723512</v>
      </c>
      <c r="Y2607">
        <v>578</v>
      </c>
      <c r="Z2607">
        <v>645.48909402437766</v>
      </c>
      <c r="AA2607">
        <v>198</v>
      </c>
      <c r="AB2607">
        <v>332</v>
      </c>
      <c r="AC2607">
        <v>536</v>
      </c>
      <c r="AD2607">
        <v>29.96</v>
      </c>
      <c r="AE2607">
        <v>542</v>
      </c>
      <c r="AF2607">
        <v>29</v>
      </c>
      <c r="AG2607">
        <v>174</v>
      </c>
      <c r="AH2607">
        <v>129</v>
      </c>
      <c r="AI2607">
        <v>5.35</v>
      </c>
      <c r="AJ2607">
        <v>32.1</v>
      </c>
      <c r="AK2607">
        <v>23.8</v>
      </c>
      <c r="AL2607">
        <v>-20.17025029999996</v>
      </c>
      <c r="AM2607">
        <v>-44.901067235372473</v>
      </c>
      <c r="AN2607">
        <v>-20.17025029999996</v>
      </c>
      <c r="AO2607">
        <v>-44.901067235372473</v>
      </c>
      <c r="AP2607">
        <v>-20.170458</v>
      </c>
      <c r="AQ2607">
        <v>-44.900936000000002</v>
      </c>
      <c r="AR2607">
        <v>26.88195352459519</v>
      </c>
      <c r="AS2607" t="s">
        <v>65</v>
      </c>
      <c r="AT2607">
        <v>1</v>
      </c>
      <c r="AU2607" t="s">
        <v>1374</v>
      </c>
      <c r="AV2607" t="s">
        <v>1375</v>
      </c>
      <c r="AW2607" t="s">
        <v>60</v>
      </c>
      <c r="AX2607" t="s">
        <v>68</v>
      </c>
      <c r="AY2607" t="s">
        <v>69</v>
      </c>
      <c r="AZ2607" t="b">
        <v>1</v>
      </c>
    </row>
    <row r="2608" spans="1:52" x14ac:dyDescent="0.3">
      <c r="A2608" t="s">
        <v>52</v>
      </c>
      <c r="B2608" t="s">
        <v>53</v>
      </c>
      <c r="C2608" t="s">
        <v>54</v>
      </c>
      <c r="D2608" t="s">
        <v>55</v>
      </c>
      <c r="E2608" t="s">
        <v>2155</v>
      </c>
      <c r="F2608" t="s">
        <v>1247</v>
      </c>
      <c r="G2608" t="s">
        <v>1382</v>
      </c>
      <c r="H2608" t="s">
        <v>1383</v>
      </c>
      <c r="I2608" t="s">
        <v>1383</v>
      </c>
      <c r="J2608" t="s">
        <v>60</v>
      </c>
      <c r="K2608" t="s">
        <v>1384</v>
      </c>
      <c r="L2608" t="s">
        <v>62</v>
      </c>
      <c r="M2608" t="s">
        <v>1384</v>
      </c>
      <c r="N2608" t="s">
        <v>1385</v>
      </c>
      <c r="O2608" t="s">
        <v>1379</v>
      </c>
      <c r="P2608">
        <v>-20.168914999999998</v>
      </c>
      <c r="Q2608">
        <v>-44.897015000000003</v>
      </c>
      <c r="R2608" s="2" t="str">
        <f>HYPERLINK("https://www.google.com/maps?q=-20.1689150,-44.8970150","Abrir no Google Maps")</f>
        <v>Abrir no Google Maps</v>
      </c>
      <c r="S2608">
        <v>3</v>
      </c>
      <c r="T2608">
        <v>1082.4313448281291</v>
      </c>
      <c r="U2608">
        <v>2</v>
      </c>
      <c r="V2608">
        <v>0.42823963690197908</v>
      </c>
      <c r="W2608">
        <v>0.85</v>
      </c>
      <c r="X2608">
        <v>0.3640036913666822</v>
      </c>
      <c r="Y2608">
        <v>578</v>
      </c>
      <c r="Z2608">
        <v>1085.6751638476369</v>
      </c>
      <c r="AA2608">
        <v>198</v>
      </c>
      <c r="AB2608">
        <v>332</v>
      </c>
      <c r="AC2608">
        <v>536</v>
      </c>
      <c r="AD2608">
        <v>29.96</v>
      </c>
      <c r="AE2608">
        <v>542</v>
      </c>
      <c r="AF2608">
        <v>29</v>
      </c>
      <c r="AG2608">
        <v>174</v>
      </c>
      <c r="AH2608">
        <v>129</v>
      </c>
      <c r="AI2608">
        <v>5.35</v>
      </c>
      <c r="AJ2608">
        <v>32.1</v>
      </c>
      <c r="AK2608">
        <v>23.8</v>
      </c>
      <c r="AL2608">
        <v>-20.168195549999979</v>
      </c>
      <c r="AM2608">
        <v>-44.895555997240763</v>
      </c>
      <c r="AN2608">
        <v>-20.168195549999979</v>
      </c>
      <c r="AO2608">
        <v>-44.895555997240763</v>
      </c>
      <c r="AP2608">
        <v>-20.168914999999998</v>
      </c>
      <c r="AQ2608">
        <v>-44.897015000000003</v>
      </c>
      <c r="AR2608">
        <v>172.21377736735809</v>
      </c>
      <c r="AS2608" t="s">
        <v>65</v>
      </c>
      <c r="AT2608">
        <v>1</v>
      </c>
      <c r="AU2608" t="s">
        <v>1386</v>
      </c>
      <c r="AV2608" t="s">
        <v>1387</v>
      </c>
      <c r="AW2608" t="s">
        <v>60</v>
      </c>
      <c r="AX2608" t="s">
        <v>68</v>
      </c>
      <c r="AY2608" t="s">
        <v>69</v>
      </c>
      <c r="AZ2608" t="b">
        <v>1</v>
      </c>
    </row>
    <row r="2609" spans="1:52" x14ac:dyDescent="0.3">
      <c r="A2609" t="s">
        <v>52</v>
      </c>
      <c r="B2609" t="s">
        <v>53</v>
      </c>
      <c r="C2609" t="s">
        <v>54</v>
      </c>
      <c r="D2609" t="s">
        <v>55</v>
      </c>
      <c r="E2609" t="s">
        <v>2155</v>
      </c>
      <c r="F2609" t="s">
        <v>1247</v>
      </c>
      <c r="G2609" t="s">
        <v>1388</v>
      </c>
      <c r="H2609" t="s">
        <v>1389</v>
      </c>
      <c r="I2609" t="s">
        <v>1389</v>
      </c>
      <c r="J2609" t="s">
        <v>60</v>
      </c>
      <c r="K2609" t="s">
        <v>475</v>
      </c>
      <c r="L2609" t="s">
        <v>62</v>
      </c>
      <c r="M2609" t="s">
        <v>475</v>
      </c>
      <c r="N2609" t="s">
        <v>1390</v>
      </c>
      <c r="O2609" t="s">
        <v>855</v>
      </c>
      <c r="P2609">
        <v>-20.173748</v>
      </c>
      <c r="Q2609">
        <v>-44.894596999999997</v>
      </c>
      <c r="R2609" s="2" t="str">
        <f>HYPERLINK("https://www.google.com/maps?q=-20.1737480,-44.8945970","Abrir no Google Maps")</f>
        <v>Abrir no Google Maps</v>
      </c>
      <c r="S2609">
        <v>3</v>
      </c>
      <c r="T2609">
        <v>1217.388518792701</v>
      </c>
      <c r="U2609">
        <v>2</v>
      </c>
      <c r="V2609">
        <v>0.43582477718360069</v>
      </c>
      <c r="W2609">
        <v>0.85</v>
      </c>
      <c r="X2609">
        <v>0.37045106060606059</v>
      </c>
      <c r="Y2609">
        <v>578</v>
      </c>
      <c r="Z2609">
        <v>1268.0048337091989</v>
      </c>
      <c r="AA2609">
        <v>198</v>
      </c>
      <c r="AB2609">
        <v>332</v>
      </c>
      <c r="AC2609">
        <v>536</v>
      </c>
      <c r="AD2609">
        <v>29.96</v>
      </c>
      <c r="AE2609">
        <v>542</v>
      </c>
      <c r="AF2609">
        <v>29</v>
      </c>
      <c r="AG2609">
        <v>174</v>
      </c>
      <c r="AH2609">
        <v>129</v>
      </c>
      <c r="AI2609">
        <v>5.35</v>
      </c>
      <c r="AJ2609">
        <v>32.1</v>
      </c>
      <c r="AK2609">
        <v>23.8</v>
      </c>
      <c r="AL2609">
        <v>-20.173821999999941</v>
      </c>
      <c r="AM2609">
        <v>-44.894306105833543</v>
      </c>
      <c r="AN2609">
        <v>-20.173821999999941</v>
      </c>
      <c r="AO2609">
        <v>-44.894306105833543</v>
      </c>
      <c r="AP2609">
        <v>-20.173748</v>
      </c>
      <c r="AQ2609">
        <v>-44.894596999999997</v>
      </c>
      <c r="AR2609">
        <v>31.492193006406161</v>
      </c>
      <c r="AS2609" t="s">
        <v>65</v>
      </c>
      <c r="AT2609">
        <v>1</v>
      </c>
      <c r="AU2609" t="s">
        <v>1391</v>
      </c>
      <c r="AV2609" t="s">
        <v>1392</v>
      </c>
      <c r="AW2609" t="s">
        <v>60</v>
      </c>
      <c r="AX2609" t="s">
        <v>68</v>
      </c>
      <c r="AY2609" t="s">
        <v>69</v>
      </c>
      <c r="AZ2609" t="b">
        <v>1</v>
      </c>
    </row>
    <row r="2610" spans="1:52" x14ac:dyDescent="0.3">
      <c r="A2610" t="s">
        <v>52</v>
      </c>
      <c r="B2610" t="s">
        <v>53</v>
      </c>
      <c r="C2610" t="s">
        <v>54</v>
      </c>
      <c r="D2610" t="s">
        <v>55</v>
      </c>
      <c r="E2610" t="s">
        <v>2155</v>
      </c>
      <c r="F2610" t="s">
        <v>1247</v>
      </c>
      <c r="G2610" t="s">
        <v>1399</v>
      </c>
      <c r="H2610" t="s">
        <v>1400</v>
      </c>
      <c r="I2610" t="s">
        <v>1400</v>
      </c>
      <c r="J2610" t="s">
        <v>60</v>
      </c>
      <c r="K2610" t="s">
        <v>475</v>
      </c>
      <c r="L2610" t="s">
        <v>62</v>
      </c>
      <c r="M2610" t="s">
        <v>475</v>
      </c>
      <c r="N2610" t="s">
        <v>1401</v>
      </c>
      <c r="O2610" t="s">
        <v>1080</v>
      </c>
      <c r="P2610">
        <v>-20.178809000000001</v>
      </c>
      <c r="Q2610">
        <v>-44.900204000000002</v>
      </c>
      <c r="R2610" s="2" t="str">
        <f>HYPERLINK("https://www.google.com/maps?q=-20.1788090,-44.9002040","Abrir no Google Maps")</f>
        <v>Abrir no Google Maps</v>
      </c>
      <c r="S2610">
        <v>3</v>
      </c>
      <c r="T2610">
        <v>1015.86498565614</v>
      </c>
      <c r="U2610">
        <v>2</v>
      </c>
      <c r="V2610">
        <v>0.42284267532596159</v>
      </c>
      <c r="W2610">
        <v>0.85</v>
      </c>
      <c r="X2610">
        <v>0.35941627402706727</v>
      </c>
      <c r="Y2610">
        <v>578</v>
      </c>
      <c r="Z2610">
        <v>954.77111474428102</v>
      </c>
      <c r="AA2610">
        <v>198</v>
      </c>
      <c r="AB2610">
        <v>332</v>
      </c>
      <c r="AC2610">
        <v>536</v>
      </c>
      <c r="AD2610">
        <v>29.96</v>
      </c>
      <c r="AE2610">
        <v>542</v>
      </c>
      <c r="AF2610">
        <v>29</v>
      </c>
      <c r="AG2610">
        <v>174</v>
      </c>
      <c r="AH2610">
        <v>129</v>
      </c>
      <c r="AI2610">
        <v>5.35</v>
      </c>
      <c r="AJ2610">
        <v>32.1</v>
      </c>
      <c r="AK2610">
        <v>23.8</v>
      </c>
      <c r="AL2610">
        <v>-20.178590099999951</v>
      </c>
      <c r="AM2610">
        <v>-44.90029029928732</v>
      </c>
      <c r="AN2610">
        <v>-20.178590099999951</v>
      </c>
      <c r="AO2610">
        <v>-44.90029029928732</v>
      </c>
      <c r="AP2610">
        <v>-20.178809000000001</v>
      </c>
      <c r="AQ2610">
        <v>-44.900204000000002</v>
      </c>
      <c r="AR2610">
        <v>25.982812999798391</v>
      </c>
      <c r="AS2610" t="s">
        <v>65</v>
      </c>
      <c r="AT2610">
        <v>1</v>
      </c>
      <c r="AU2610" t="s">
        <v>1402</v>
      </c>
      <c r="AV2610" t="s">
        <v>1403</v>
      </c>
      <c r="AW2610" t="s">
        <v>60</v>
      </c>
      <c r="AX2610" t="s">
        <v>68</v>
      </c>
      <c r="AY2610" t="s">
        <v>69</v>
      </c>
      <c r="AZ2610" t="b">
        <v>1</v>
      </c>
    </row>
    <row r="2611" spans="1:52" x14ac:dyDescent="0.3">
      <c r="A2611" t="s">
        <v>52</v>
      </c>
      <c r="B2611" t="s">
        <v>53</v>
      </c>
      <c r="C2611" t="s">
        <v>54</v>
      </c>
      <c r="D2611" t="s">
        <v>55</v>
      </c>
      <c r="E2611" t="s">
        <v>2155</v>
      </c>
      <c r="F2611" t="s">
        <v>1247</v>
      </c>
      <c r="G2611" t="s">
        <v>815</v>
      </c>
      <c r="H2611" t="s">
        <v>1404</v>
      </c>
      <c r="I2611" t="s">
        <v>1404</v>
      </c>
      <c r="J2611" t="s">
        <v>60</v>
      </c>
      <c r="K2611" t="s">
        <v>512</v>
      </c>
      <c r="L2611" t="s">
        <v>62</v>
      </c>
      <c r="M2611" t="s">
        <v>512</v>
      </c>
      <c r="N2611" t="s">
        <v>817</v>
      </c>
      <c r="O2611" t="s">
        <v>1405</v>
      </c>
      <c r="P2611">
        <v>-20.129069999999999</v>
      </c>
      <c r="Q2611">
        <v>-44.888452000000001</v>
      </c>
      <c r="R2611" s="2" t="str">
        <f>HYPERLINK("https://www.google.com/maps?q=-20.1290700,-44.8884520","Abrir no Google Maps")</f>
        <v>Abrir no Google Maps</v>
      </c>
      <c r="S2611">
        <v>3</v>
      </c>
      <c r="T2611">
        <v>0</v>
      </c>
      <c r="U2611">
        <v>2</v>
      </c>
      <c r="V2611">
        <v>0.42186559579837662</v>
      </c>
      <c r="W2611">
        <v>0.85</v>
      </c>
      <c r="X2611">
        <v>0.35858575642862012</v>
      </c>
      <c r="Y2611">
        <v>564</v>
      </c>
      <c r="Z2611">
        <v>95.870354837220688</v>
      </c>
      <c r="AA2611">
        <v>198</v>
      </c>
      <c r="AB2611">
        <v>332</v>
      </c>
      <c r="AC2611">
        <v>536</v>
      </c>
      <c r="AD2611">
        <v>29.96</v>
      </c>
      <c r="AE2611">
        <v>542</v>
      </c>
      <c r="AF2611">
        <v>29</v>
      </c>
      <c r="AG2611">
        <v>174</v>
      </c>
      <c r="AH2611">
        <v>129</v>
      </c>
      <c r="AI2611">
        <v>5.35</v>
      </c>
      <c r="AJ2611">
        <v>32.1</v>
      </c>
      <c r="AK2611">
        <v>23.8</v>
      </c>
      <c r="AL2611">
        <v>-20.12899334999997</v>
      </c>
      <c r="AM2611">
        <v>-44.888406102471222</v>
      </c>
      <c r="AN2611">
        <v>-20.12899334999997</v>
      </c>
      <c r="AO2611">
        <v>-44.888406102471222</v>
      </c>
      <c r="AP2611">
        <v>-20.129069999999999</v>
      </c>
      <c r="AQ2611">
        <v>-44.888452000000001</v>
      </c>
      <c r="AR2611">
        <v>9.7887731150376265</v>
      </c>
      <c r="AS2611" t="s">
        <v>65</v>
      </c>
      <c r="AT2611">
        <v>1</v>
      </c>
      <c r="AU2611" t="s">
        <v>1406</v>
      </c>
      <c r="AV2611" t="s">
        <v>1407</v>
      </c>
      <c r="AW2611" t="s">
        <v>60</v>
      </c>
      <c r="AX2611" t="s">
        <v>68</v>
      </c>
      <c r="AY2611" t="s">
        <v>69</v>
      </c>
      <c r="AZ2611" t="b">
        <v>1</v>
      </c>
    </row>
    <row r="2612" spans="1:52" x14ac:dyDescent="0.3">
      <c r="A2612" t="s">
        <v>52</v>
      </c>
      <c r="B2612" t="s">
        <v>53</v>
      </c>
      <c r="C2612" t="s">
        <v>54</v>
      </c>
      <c r="D2612" t="s">
        <v>55</v>
      </c>
      <c r="E2612" t="s">
        <v>2155</v>
      </c>
      <c r="F2612" t="s">
        <v>1247</v>
      </c>
      <c r="G2612" t="s">
        <v>649</v>
      </c>
      <c r="H2612" t="s">
        <v>885</v>
      </c>
      <c r="I2612" t="s">
        <v>885</v>
      </c>
      <c r="J2612" t="s">
        <v>60</v>
      </c>
      <c r="K2612" t="s">
        <v>886</v>
      </c>
      <c r="L2612" t="s">
        <v>62</v>
      </c>
      <c r="M2612" t="s">
        <v>886</v>
      </c>
      <c r="N2612" t="s">
        <v>652</v>
      </c>
      <c r="O2612" t="s">
        <v>887</v>
      </c>
      <c r="P2612">
        <v>-20.132252000000001</v>
      </c>
      <c r="Q2612">
        <v>-44.894159000000002</v>
      </c>
      <c r="R2612" s="2" t="str">
        <f>HYPERLINK("https://www.google.com/maps?q=-20.1322520,-44.8941590","Abrir no Google Maps")</f>
        <v>Abrir no Google Maps</v>
      </c>
      <c r="S2612">
        <v>3</v>
      </c>
      <c r="T2612">
        <v>699.5004749448899</v>
      </c>
      <c r="U2612">
        <v>2</v>
      </c>
      <c r="V2612">
        <v>0.43666183943089432</v>
      </c>
      <c r="W2612">
        <v>0.85</v>
      </c>
      <c r="X2612">
        <v>0.37116256351626009</v>
      </c>
      <c r="Y2612">
        <v>564</v>
      </c>
      <c r="Z2612">
        <v>522.21103586457991</v>
      </c>
      <c r="AA2612">
        <v>198</v>
      </c>
      <c r="AB2612">
        <v>332</v>
      </c>
      <c r="AC2612">
        <v>536</v>
      </c>
      <c r="AD2612">
        <v>29.96</v>
      </c>
      <c r="AE2612">
        <v>542</v>
      </c>
      <c r="AF2612">
        <v>29</v>
      </c>
      <c r="AG2612">
        <v>174</v>
      </c>
      <c r="AH2612">
        <v>129</v>
      </c>
      <c r="AI2612">
        <v>5.35</v>
      </c>
      <c r="AJ2612">
        <v>32.1</v>
      </c>
      <c r="AK2612">
        <v>23.8</v>
      </c>
      <c r="AL2612">
        <v>-20.132285999999969</v>
      </c>
      <c r="AM2612">
        <v>-44.894119001288672</v>
      </c>
      <c r="AN2612">
        <v>-20.132285999999969</v>
      </c>
      <c r="AO2612">
        <v>-44.894119001288672</v>
      </c>
      <c r="AP2612">
        <v>-20.132252000000001</v>
      </c>
      <c r="AQ2612">
        <v>-44.894159000000002</v>
      </c>
      <c r="AR2612">
        <v>5.6393921063261629</v>
      </c>
      <c r="AS2612" t="s">
        <v>65</v>
      </c>
      <c r="AT2612">
        <v>1</v>
      </c>
      <c r="AU2612" t="s">
        <v>888</v>
      </c>
      <c r="AV2612" t="s">
        <v>889</v>
      </c>
      <c r="AW2612" t="s">
        <v>60</v>
      </c>
      <c r="AX2612" t="s">
        <v>68</v>
      </c>
      <c r="AY2612" t="s">
        <v>69</v>
      </c>
      <c r="AZ2612" t="b">
        <v>1</v>
      </c>
    </row>
    <row r="2613" spans="1:52" x14ac:dyDescent="0.3">
      <c r="A2613" t="s">
        <v>52</v>
      </c>
      <c r="B2613" t="s">
        <v>53</v>
      </c>
      <c r="C2613" t="s">
        <v>54</v>
      </c>
      <c r="D2613" t="s">
        <v>55</v>
      </c>
      <c r="E2613" t="s">
        <v>2155</v>
      </c>
      <c r="F2613" t="s">
        <v>1247</v>
      </c>
      <c r="G2613" t="s">
        <v>890</v>
      </c>
      <c r="H2613" t="s">
        <v>891</v>
      </c>
      <c r="I2613" t="s">
        <v>891</v>
      </c>
      <c r="J2613" t="s">
        <v>60</v>
      </c>
      <c r="K2613" t="s">
        <v>892</v>
      </c>
      <c r="L2613" t="s">
        <v>62</v>
      </c>
      <c r="M2613" t="s">
        <v>892</v>
      </c>
      <c r="N2613" t="s">
        <v>893</v>
      </c>
      <c r="O2613" t="s">
        <v>894</v>
      </c>
      <c r="P2613">
        <v>-20.152519000000002</v>
      </c>
      <c r="Q2613">
        <v>-44.899177000000002</v>
      </c>
      <c r="R2613" s="2" t="str">
        <f>HYPERLINK("https://www.google.com/maps?q=-20.1525190,-44.8991770","Abrir no Google Maps")</f>
        <v>Abrir no Google Maps</v>
      </c>
      <c r="S2613">
        <v>3</v>
      </c>
      <c r="T2613">
        <v>211.80188552994721</v>
      </c>
      <c r="U2613">
        <v>2</v>
      </c>
      <c r="V2613">
        <v>0.3984640708884955</v>
      </c>
      <c r="W2613">
        <v>1</v>
      </c>
      <c r="X2613">
        <v>0.3984640708884955</v>
      </c>
      <c r="Y2613">
        <v>556</v>
      </c>
      <c r="Z2613">
        <v>290.34804137107091</v>
      </c>
      <c r="AA2613">
        <v>198</v>
      </c>
      <c r="AB2613">
        <v>332</v>
      </c>
      <c r="AC2613">
        <v>536</v>
      </c>
      <c r="AD2613">
        <v>29.96</v>
      </c>
      <c r="AE2613">
        <v>542</v>
      </c>
      <c r="AF2613">
        <v>29</v>
      </c>
      <c r="AG2613">
        <v>174</v>
      </c>
      <c r="AH2613">
        <v>129</v>
      </c>
      <c r="AI2613">
        <v>5.35</v>
      </c>
      <c r="AJ2613">
        <v>32.1</v>
      </c>
      <c r="AK2613">
        <v>23.8</v>
      </c>
      <c r="AL2613">
        <v>-20.152516249999959</v>
      </c>
      <c r="AM2613">
        <v>-44.899310431333959</v>
      </c>
      <c r="AN2613">
        <v>-20.152516249999959</v>
      </c>
      <c r="AO2613">
        <v>-44.899310431333959</v>
      </c>
      <c r="AP2613">
        <v>-20.152519000000002</v>
      </c>
      <c r="AQ2613">
        <v>-44.899177000000002</v>
      </c>
      <c r="AR2613">
        <v>13.947583284957719</v>
      </c>
      <c r="AS2613" t="s">
        <v>65</v>
      </c>
      <c r="AT2613">
        <v>1</v>
      </c>
      <c r="AU2613" t="s">
        <v>895</v>
      </c>
      <c r="AV2613" t="s">
        <v>896</v>
      </c>
      <c r="AW2613" t="s">
        <v>60</v>
      </c>
      <c r="AX2613" t="s">
        <v>68</v>
      </c>
      <c r="AY2613" t="s">
        <v>69</v>
      </c>
      <c r="AZ2613" t="b">
        <v>1</v>
      </c>
    </row>
    <row r="2614" spans="1:52" x14ac:dyDescent="0.3">
      <c r="A2614" t="s">
        <v>52</v>
      </c>
      <c r="B2614" t="s">
        <v>53</v>
      </c>
      <c r="C2614" t="s">
        <v>54</v>
      </c>
      <c r="D2614" t="s">
        <v>55</v>
      </c>
      <c r="E2614" t="s">
        <v>2155</v>
      </c>
      <c r="F2614" t="s">
        <v>1247</v>
      </c>
      <c r="G2614" t="s">
        <v>1412</v>
      </c>
      <c r="H2614" t="s">
        <v>1413</v>
      </c>
      <c r="I2614" t="s">
        <v>1413</v>
      </c>
      <c r="J2614" t="s">
        <v>60</v>
      </c>
      <c r="K2614" t="s">
        <v>892</v>
      </c>
      <c r="L2614" t="s">
        <v>62</v>
      </c>
      <c r="M2614" t="s">
        <v>892</v>
      </c>
      <c r="N2614" t="s">
        <v>1414</v>
      </c>
      <c r="O2614" t="s">
        <v>293</v>
      </c>
      <c r="P2614">
        <v>-20.150780999999998</v>
      </c>
      <c r="Q2614">
        <v>-44.897972000000003</v>
      </c>
      <c r="R2614" s="2" t="str">
        <f>HYPERLINK("https://www.google.com/maps?q=-20.1507810,-44.8979720","Abrir no Google Maps")</f>
        <v>Abrir no Google Maps</v>
      </c>
      <c r="S2614">
        <v>3</v>
      </c>
      <c r="T2614">
        <v>306.36394634674508</v>
      </c>
      <c r="U2614">
        <v>2</v>
      </c>
      <c r="V2614">
        <v>0.41828717723648601</v>
      </c>
      <c r="W2614">
        <v>0.85</v>
      </c>
      <c r="X2614">
        <v>0.35554410065101311</v>
      </c>
      <c r="Y2614">
        <v>556</v>
      </c>
      <c r="Z2614">
        <v>233.85692443628571</v>
      </c>
      <c r="AA2614">
        <v>198</v>
      </c>
      <c r="AB2614">
        <v>332</v>
      </c>
      <c r="AC2614">
        <v>536</v>
      </c>
      <c r="AD2614">
        <v>29.96</v>
      </c>
      <c r="AE2614">
        <v>542</v>
      </c>
      <c r="AF2614">
        <v>29</v>
      </c>
      <c r="AG2614">
        <v>174</v>
      </c>
      <c r="AH2614">
        <v>129</v>
      </c>
      <c r="AI2614">
        <v>5.35</v>
      </c>
      <c r="AJ2614">
        <v>32.1</v>
      </c>
      <c r="AK2614">
        <v>23.8</v>
      </c>
      <c r="AL2614">
        <v>-20.15074609999996</v>
      </c>
      <c r="AM2614">
        <v>-44.89795774234689</v>
      </c>
      <c r="AN2614">
        <v>-20.15074609999996</v>
      </c>
      <c r="AO2614">
        <v>-44.89795774234689</v>
      </c>
      <c r="AP2614">
        <v>-20.150780999999998</v>
      </c>
      <c r="AQ2614">
        <v>-44.897972000000003</v>
      </c>
      <c r="AR2614">
        <v>4.160995809097348</v>
      </c>
      <c r="AS2614" t="s">
        <v>65</v>
      </c>
      <c r="AT2614">
        <v>1</v>
      </c>
      <c r="AU2614" t="s">
        <v>1415</v>
      </c>
      <c r="AV2614" t="s">
        <v>1416</v>
      </c>
      <c r="AW2614" t="s">
        <v>60</v>
      </c>
      <c r="AX2614" t="s">
        <v>68</v>
      </c>
      <c r="AY2614" t="s">
        <v>69</v>
      </c>
      <c r="AZ2614" t="b">
        <v>1</v>
      </c>
    </row>
    <row r="2615" spans="1:52" x14ac:dyDescent="0.3">
      <c r="A2615" t="s">
        <v>52</v>
      </c>
      <c r="B2615" t="s">
        <v>53</v>
      </c>
      <c r="C2615" t="s">
        <v>54</v>
      </c>
      <c r="D2615" t="s">
        <v>55</v>
      </c>
      <c r="E2615" t="s">
        <v>2155</v>
      </c>
      <c r="F2615" t="s">
        <v>1247</v>
      </c>
      <c r="G2615" t="s">
        <v>1333</v>
      </c>
      <c r="H2615" t="s">
        <v>1334</v>
      </c>
      <c r="I2615" t="s">
        <v>1334</v>
      </c>
      <c r="J2615" t="s">
        <v>60</v>
      </c>
      <c r="K2615" t="s">
        <v>437</v>
      </c>
      <c r="L2615" t="s">
        <v>62</v>
      </c>
      <c r="M2615" t="s">
        <v>437</v>
      </c>
      <c r="N2615" t="s">
        <v>1335</v>
      </c>
      <c r="O2615" t="s">
        <v>807</v>
      </c>
      <c r="P2615">
        <v>-20.148</v>
      </c>
      <c r="Q2615">
        <v>-44.880944999999997</v>
      </c>
      <c r="R2615" s="2" t="str">
        <f>HYPERLINK("https://www.google.com/maps?q=-20.1480000,-44.8809450","Abrir no Google Maps")</f>
        <v>Abrir no Google Maps</v>
      </c>
      <c r="S2615">
        <v>3</v>
      </c>
      <c r="T2615">
        <v>0</v>
      </c>
      <c r="U2615">
        <v>1</v>
      </c>
      <c r="V2615">
        <v>0.39334357171373752</v>
      </c>
      <c r="W2615">
        <v>0.85</v>
      </c>
      <c r="X2615">
        <v>0.33434203595667689</v>
      </c>
      <c r="Y2615">
        <v>653</v>
      </c>
      <c r="Z2615">
        <v>108.2792411420544</v>
      </c>
      <c r="AA2615">
        <v>198</v>
      </c>
      <c r="AB2615">
        <v>332</v>
      </c>
      <c r="AC2615">
        <v>536</v>
      </c>
      <c r="AD2615">
        <v>29.96</v>
      </c>
      <c r="AE2615">
        <v>542</v>
      </c>
      <c r="AF2615">
        <v>29</v>
      </c>
      <c r="AG2615">
        <v>174</v>
      </c>
      <c r="AH2615">
        <v>129</v>
      </c>
      <c r="AI2615">
        <v>5.35</v>
      </c>
      <c r="AJ2615">
        <v>32.1</v>
      </c>
      <c r="AK2615">
        <v>23.8</v>
      </c>
      <c r="AL2615">
        <v>-20.14802099999994</v>
      </c>
      <c r="AM2615">
        <v>-44.880951206225959</v>
      </c>
      <c r="AN2615">
        <v>-20.14802099999994</v>
      </c>
      <c r="AO2615">
        <v>-44.880951206225959</v>
      </c>
      <c r="AP2615">
        <v>-20.148</v>
      </c>
      <c r="AQ2615">
        <v>-44.880944999999997</v>
      </c>
      <c r="AR2615">
        <v>2.4260288619737169</v>
      </c>
      <c r="AS2615" t="s">
        <v>65</v>
      </c>
      <c r="AT2615">
        <v>1</v>
      </c>
      <c r="AU2615" t="s">
        <v>1336</v>
      </c>
      <c r="AV2615" t="s">
        <v>1337</v>
      </c>
      <c r="AW2615" t="s">
        <v>60</v>
      </c>
      <c r="AX2615" t="s">
        <v>68</v>
      </c>
      <c r="AY2615" t="s">
        <v>69</v>
      </c>
      <c r="AZ2615" t="b">
        <v>1</v>
      </c>
    </row>
    <row r="2616" spans="1:52" x14ac:dyDescent="0.3">
      <c r="A2616" t="s">
        <v>52</v>
      </c>
      <c r="B2616" t="s">
        <v>53</v>
      </c>
      <c r="C2616" t="s">
        <v>54</v>
      </c>
      <c r="D2616" t="s">
        <v>55</v>
      </c>
      <c r="E2616" t="s">
        <v>2155</v>
      </c>
      <c r="F2616" t="s">
        <v>1247</v>
      </c>
      <c r="G2616" t="s">
        <v>479</v>
      </c>
      <c r="H2616" t="s">
        <v>1338</v>
      </c>
      <c r="I2616" t="s">
        <v>1338</v>
      </c>
      <c r="J2616" t="s">
        <v>60</v>
      </c>
      <c r="K2616" t="s">
        <v>1302</v>
      </c>
      <c r="L2616" t="s">
        <v>62</v>
      </c>
      <c r="M2616" t="s">
        <v>1302</v>
      </c>
      <c r="N2616" t="s">
        <v>481</v>
      </c>
      <c r="O2616" t="s">
        <v>1339</v>
      </c>
      <c r="P2616">
        <v>-20.165590000000002</v>
      </c>
      <c r="Q2616">
        <v>-44.907876000000002</v>
      </c>
      <c r="R2616" s="2" t="str">
        <f>HYPERLINK("https://www.google.com/maps?q=-20.1655900,-44.9078760","Abrir no Google Maps")</f>
        <v>Abrir no Google Maps</v>
      </c>
      <c r="S2616">
        <v>3</v>
      </c>
      <c r="T2616">
        <v>626.07643944893005</v>
      </c>
      <c r="U2616">
        <v>1</v>
      </c>
      <c r="V2616">
        <v>0.40804973510055181</v>
      </c>
      <c r="W2616">
        <v>0.85</v>
      </c>
      <c r="X2616">
        <v>0.34684227483546898</v>
      </c>
      <c r="Y2616">
        <v>639</v>
      </c>
      <c r="Z2616">
        <v>723.2656461789519</v>
      </c>
      <c r="AA2616">
        <v>198</v>
      </c>
      <c r="AB2616">
        <v>332</v>
      </c>
      <c r="AC2616">
        <v>536</v>
      </c>
      <c r="AD2616">
        <v>29.96</v>
      </c>
      <c r="AE2616">
        <v>542</v>
      </c>
      <c r="AF2616">
        <v>29</v>
      </c>
      <c r="AG2616">
        <v>174</v>
      </c>
      <c r="AH2616">
        <v>129</v>
      </c>
      <c r="AI2616">
        <v>5.35</v>
      </c>
      <c r="AJ2616">
        <v>32.1</v>
      </c>
      <c r="AK2616">
        <v>23.8</v>
      </c>
      <c r="AL2616">
        <v>-20.16561419999994</v>
      </c>
      <c r="AM2616">
        <v>-44.907783360572083</v>
      </c>
      <c r="AN2616">
        <v>-20.16561419999994</v>
      </c>
      <c r="AO2616">
        <v>-44.907783360572083</v>
      </c>
      <c r="AP2616">
        <v>-20.165590000000002</v>
      </c>
      <c r="AQ2616">
        <v>-44.907876000000002</v>
      </c>
      <c r="AR2616">
        <v>10.04831364257741</v>
      </c>
      <c r="AS2616" t="s">
        <v>65</v>
      </c>
      <c r="AT2616">
        <v>1</v>
      </c>
      <c r="AU2616" t="s">
        <v>1340</v>
      </c>
      <c r="AV2616" t="s">
        <v>1341</v>
      </c>
      <c r="AW2616" t="s">
        <v>60</v>
      </c>
      <c r="AX2616" t="s">
        <v>68</v>
      </c>
      <c r="AY2616" t="s">
        <v>69</v>
      </c>
      <c r="AZ2616" t="b">
        <v>1</v>
      </c>
    </row>
    <row r="2617" spans="1:52" x14ac:dyDescent="0.3">
      <c r="A2617" t="s">
        <v>52</v>
      </c>
      <c r="B2617" t="s">
        <v>53</v>
      </c>
      <c r="C2617" t="s">
        <v>54</v>
      </c>
      <c r="D2617" t="s">
        <v>55</v>
      </c>
      <c r="E2617" t="s">
        <v>2155</v>
      </c>
      <c r="F2617" t="s">
        <v>1247</v>
      </c>
      <c r="G2617" t="s">
        <v>1347</v>
      </c>
      <c r="H2617" t="s">
        <v>1348</v>
      </c>
      <c r="I2617" t="s">
        <v>1348</v>
      </c>
      <c r="J2617" t="s">
        <v>60</v>
      </c>
      <c r="K2617" t="s">
        <v>1349</v>
      </c>
      <c r="L2617" t="s">
        <v>62</v>
      </c>
      <c r="M2617" t="s">
        <v>1349</v>
      </c>
      <c r="N2617" t="s">
        <v>1350</v>
      </c>
      <c r="O2617" t="s">
        <v>1351</v>
      </c>
      <c r="P2617">
        <v>-20.140426999999999</v>
      </c>
      <c r="Q2617">
        <v>-44.905327999999997</v>
      </c>
      <c r="R2617" s="2" t="str">
        <f>HYPERLINK("https://www.google.com/maps?q=-20.1404270,-44.9053280","Abrir no Google Maps")</f>
        <v>Abrir no Google Maps</v>
      </c>
      <c r="S2617">
        <v>3</v>
      </c>
      <c r="T2617">
        <v>359.5810968231857</v>
      </c>
      <c r="U2617">
        <v>1</v>
      </c>
      <c r="V2617">
        <v>0.40472087759401199</v>
      </c>
      <c r="W2617">
        <v>0.85</v>
      </c>
      <c r="X2617">
        <v>0.34401274595491022</v>
      </c>
      <c r="Y2617">
        <v>581</v>
      </c>
      <c r="Z2617">
        <v>292.370097058873</v>
      </c>
      <c r="AA2617">
        <v>198</v>
      </c>
      <c r="AB2617">
        <v>332</v>
      </c>
      <c r="AC2617">
        <v>536</v>
      </c>
      <c r="AD2617">
        <v>29.96</v>
      </c>
      <c r="AE2617">
        <v>542</v>
      </c>
      <c r="AF2617">
        <v>29</v>
      </c>
      <c r="AG2617">
        <v>174</v>
      </c>
      <c r="AH2617">
        <v>129</v>
      </c>
      <c r="AI2617">
        <v>5.35</v>
      </c>
      <c r="AJ2617">
        <v>32.1</v>
      </c>
      <c r="AK2617">
        <v>23.8</v>
      </c>
      <c r="AL2617">
        <v>-20.140465449999969</v>
      </c>
      <c r="AM2617">
        <v>-44.905317129037229</v>
      </c>
      <c r="AN2617">
        <v>-20.140465449999969</v>
      </c>
      <c r="AO2617">
        <v>-44.905317129037229</v>
      </c>
      <c r="AP2617">
        <v>-20.140426999999999</v>
      </c>
      <c r="AQ2617">
        <v>-44.905327999999997</v>
      </c>
      <c r="AR2617">
        <v>4.4284788644958706</v>
      </c>
      <c r="AS2617" t="s">
        <v>65</v>
      </c>
      <c r="AT2617">
        <v>1</v>
      </c>
      <c r="AU2617" t="s">
        <v>1352</v>
      </c>
      <c r="AV2617" t="s">
        <v>1353</v>
      </c>
      <c r="AW2617" t="s">
        <v>60</v>
      </c>
      <c r="AX2617" t="s">
        <v>68</v>
      </c>
      <c r="AY2617" t="s">
        <v>69</v>
      </c>
      <c r="AZ2617" t="b">
        <v>1</v>
      </c>
    </row>
    <row r="2618" spans="1:52" x14ac:dyDescent="0.3">
      <c r="A2618" t="s">
        <v>52</v>
      </c>
      <c r="B2618" t="s">
        <v>53</v>
      </c>
      <c r="C2618" t="s">
        <v>54</v>
      </c>
      <c r="D2618" t="s">
        <v>55</v>
      </c>
      <c r="E2618" t="s">
        <v>2155</v>
      </c>
      <c r="F2618" t="s">
        <v>1247</v>
      </c>
      <c r="G2618" t="s">
        <v>1354</v>
      </c>
      <c r="H2618" t="s">
        <v>1355</v>
      </c>
      <c r="I2618" t="s">
        <v>1355</v>
      </c>
      <c r="J2618" t="s">
        <v>60</v>
      </c>
      <c r="K2618" t="s">
        <v>1356</v>
      </c>
      <c r="L2618" t="s">
        <v>62</v>
      </c>
      <c r="M2618" t="s">
        <v>1356</v>
      </c>
      <c r="N2618" t="s">
        <v>1357</v>
      </c>
      <c r="O2618" t="s">
        <v>315</v>
      </c>
      <c r="P2618">
        <v>-20.132080999999999</v>
      </c>
      <c r="Q2618">
        <v>-44.908614</v>
      </c>
      <c r="R2618" s="2" t="str">
        <f>HYPERLINK("https://www.google.com/maps?q=-20.1320810,-44.9086140","Abrir no Google Maps")</f>
        <v>Abrir no Google Maps</v>
      </c>
      <c r="S2618">
        <v>3</v>
      </c>
      <c r="T2618">
        <v>701.02570959373259</v>
      </c>
      <c r="U2618">
        <v>1</v>
      </c>
      <c r="V2618">
        <v>0.40550311960706231</v>
      </c>
      <c r="W2618">
        <v>0.85</v>
      </c>
      <c r="X2618">
        <v>0.34467765166600289</v>
      </c>
      <c r="Y2618">
        <v>581</v>
      </c>
      <c r="Z2618">
        <v>811.38061352229215</v>
      </c>
      <c r="AA2618">
        <v>198</v>
      </c>
      <c r="AB2618">
        <v>332</v>
      </c>
      <c r="AC2618">
        <v>536</v>
      </c>
      <c r="AD2618">
        <v>29.96</v>
      </c>
      <c r="AE2618">
        <v>542</v>
      </c>
      <c r="AF2618">
        <v>29</v>
      </c>
      <c r="AG2618">
        <v>174</v>
      </c>
      <c r="AH2618">
        <v>129</v>
      </c>
      <c r="AI2618">
        <v>5.35</v>
      </c>
      <c r="AJ2618">
        <v>32.1</v>
      </c>
      <c r="AK2618">
        <v>23.8</v>
      </c>
      <c r="AL2618">
        <v>-20.132063499999951</v>
      </c>
      <c r="AM2618">
        <v>-44.908630454878519</v>
      </c>
      <c r="AN2618">
        <v>-20.132063499999951</v>
      </c>
      <c r="AO2618">
        <v>-44.908630454878519</v>
      </c>
      <c r="AP2618">
        <v>-20.132080999999999</v>
      </c>
      <c r="AQ2618">
        <v>-44.908614</v>
      </c>
      <c r="AR2618">
        <v>2.5986425761911551</v>
      </c>
      <c r="AS2618" t="s">
        <v>65</v>
      </c>
      <c r="AT2618">
        <v>1</v>
      </c>
      <c r="AU2618" t="s">
        <v>1358</v>
      </c>
      <c r="AV2618" t="s">
        <v>1359</v>
      </c>
      <c r="AW2618" t="s">
        <v>60</v>
      </c>
      <c r="AX2618" t="s">
        <v>68</v>
      </c>
      <c r="AY2618" t="s">
        <v>69</v>
      </c>
      <c r="AZ2618" t="b">
        <v>1</v>
      </c>
    </row>
    <row r="2619" spans="1:52" x14ac:dyDescent="0.3">
      <c r="A2619" t="s">
        <v>52</v>
      </c>
      <c r="B2619" t="s">
        <v>53</v>
      </c>
      <c r="C2619" t="s">
        <v>54</v>
      </c>
      <c r="D2619" t="s">
        <v>55</v>
      </c>
      <c r="E2619" t="s">
        <v>2155</v>
      </c>
      <c r="F2619" t="s">
        <v>1247</v>
      </c>
      <c r="G2619" t="s">
        <v>1376</v>
      </c>
      <c r="H2619" t="s">
        <v>1377</v>
      </c>
      <c r="I2619" t="s">
        <v>1377</v>
      </c>
      <c r="J2619" t="s">
        <v>60</v>
      </c>
      <c r="K2619" t="s">
        <v>475</v>
      </c>
      <c r="L2619" t="s">
        <v>62</v>
      </c>
      <c r="M2619" t="s">
        <v>475</v>
      </c>
      <c r="N2619" t="s">
        <v>1378</v>
      </c>
      <c r="O2619" t="s">
        <v>1379</v>
      </c>
      <c r="P2619">
        <v>-20.175298000000002</v>
      </c>
      <c r="Q2619">
        <v>-44.904794000000003</v>
      </c>
      <c r="R2619" s="2" t="str">
        <f>HYPERLINK("https://www.google.com/maps?q=-20.1752980,-44.9047940","Abrir no Google Maps")</f>
        <v>Abrir no Google Maps</v>
      </c>
      <c r="S2619">
        <v>3</v>
      </c>
      <c r="T2619">
        <v>497.7557906927301</v>
      </c>
      <c r="U2619">
        <v>1</v>
      </c>
      <c r="V2619">
        <v>0.40076016783715263</v>
      </c>
      <c r="W2619">
        <v>0.85</v>
      </c>
      <c r="X2619">
        <v>0.34064614266157972</v>
      </c>
      <c r="Y2619">
        <v>578</v>
      </c>
      <c r="Z2619">
        <v>363.80816567363502</v>
      </c>
      <c r="AA2619">
        <v>198</v>
      </c>
      <c r="AB2619">
        <v>332</v>
      </c>
      <c r="AC2619">
        <v>536</v>
      </c>
      <c r="AD2619">
        <v>29.96</v>
      </c>
      <c r="AE2619">
        <v>542</v>
      </c>
      <c r="AF2619">
        <v>29</v>
      </c>
      <c r="AG2619">
        <v>174</v>
      </c>
      <c r="AH2619">
        <v>129</v>
      </c>
      <c r="AI2619">
        <v>5.35</v>
      </c>
      <c r="AJ2619">
        <v>32.1</v>
      </c>
      <c r="AK2619">
        <v>23.8</v>
      </c>
      <c r="AL2619">
        <v>-20.17530484999995</v>
      </c>
      <c r="AM2619">
        <v>-44.904834224351781</v>
      </c>
      <c r="AN2619">
        <v>-20.17530484999995</v>
      </c>
      <c r="AO2619">
        <v>-44.904834224351781</v>
      </c>
      <c r="AP2619">
        <v>-20.175298000000002</v>
      </c>
      <c r="AQ2619">
        <v>-44.904794000000003</v>
      </c>
      <c r="AR2619">
        <v>4.2716392411563806</v>
      </c>
      <c r="AS2619" t="s">
        <v>65</v>
      </c>
      <c r="AT2619">
        <v>1</v>
      </c>
      <c r="AU2619" t="s">
        <v>1380</v>
      </c>
      <c r="AV2619" t="s">
        <v>1381</v>
      </c>
      <c r="AW2619" t="s">
        <v>60</v>
      </c>
      <c r="AX2619" t="s">
        <v>68</v>
      </c>
      <c r="AY2619" t="s">
        <v>69</v>
      </c>
      <c r="AZ2619" t="b">
        <v>1</v>
      </c>
    </row>
    <row r="2620" spans="1:52" x14ac:dyDescent="0.3">
      <c r="A2620" t="s">
        <v>52</v>
      </c>
      <c r="B2620" t="s">
        <v>53</v>
      </c>
      <c r="C2620" t="s">
        <v>54</v>
      </c>
      <c r="D2620" t="s">
        <v>55</v>
      </c>
      <c r="E2620" t="s">
        <v>2155</v>
      </c>
      <c r="F2620" t="s">
        <v>1247</v>
      </c>
      <c r="G2620" t="s">
        <v>1424</v>
      </c>
      <c r="H2620" t="s">
        <v>1425</v>
      </c>
      <c r="I2620" t="s">
        <v>1425</v>
      </c>
      <c r="J2620" t="s">
        <v>60</v>
      </c>
      <c r="K2620" t="s">
        <v>1324</v>
      </c>
      <c r="L2620" t="s">
        <v>62</v>
      </c>
      <c r="M2620" t="s">
        <v>1324</v>
      </c>
      <c r="N2620" t="s">
        <v>1426</v>
      </c>
      <c r="O2620" t="s">
        <v>938</v>
      </c>
      <c r="P2620">
        <v>-20.172844999999999</v>
      </c>
      <c r="Q2620">
        <v>-44.909215000000003</v>
      </c>
      <c r="R2620" s="2" t="str">
        <f>HYPERLINK("https://www.google.com/maps?q=-20.1728450,-44.9092150","Abrir no Google Maps")</f>
        <v>Abrir no Google Maps</v>
      </c>
      <c r="S2620">
        <v>3</v>
      </c>
      <c r="T2620">
        <v>0</v>
      </c>
      <c r="U2620">
        <v>1</v>
      </c>
      <c r="V2620">
        <v>0.2777222222222222</v>
      </c>
      <c r="W2620">
        <v>0.85</v>
      </c>
      <c r="X2620">
        <v>0.23606388888888891</v>
      </c>
      <c r="Y2620">
        <v>578</v>
      </c>
      <c r="Z2620">
        <v>365.56549317689053</v>
      </c>
      <c r="AA2620">
        <v>198</v>
      </c>
      <c r="AB2620">
        <v>332</v>
      </c>
      <c r="AC2620">
        <v>536</v>
      </c>
      <c r="AD2620">
        <v>29.96</v>
      </c>
      <c r="AE2620">
        <v>542</v>
      </c>
      <c r="AF2620">
        <v>29</v>
      </c>
      <c r="AG2620">
        <v>174</v>
      </c>
      <c r="AH2620">
        <v>129</v>
      </c>
      <c r="AI2620">
        <v>5.35</v>
      </c>
      <c r="AJ2620">
        <v>32.1</v>
      </c>
      <c r="AK2620">
        <v>23.8</v>
      </c>
      <c r="AL2620">
        <v>-20.172197349999941</v>
      </c>
      <c r="AM2620">
        <v>-44.910438675762883</v>
      </c>
      <c r="AN2620">
        <v>-20.172197349999941</v>
      </c>
      <c r="AO2620">
        <v>-44.910438675762883</v>
      </c>
      <c r="AP2620">
        <v>-20.172844999999999</v>
      </c>
      <c r="AQ2620">
        <v>-44.909215000000003</v>
      </c>
      <c r="AR2620">
        <v>146.78922919749749</v>
      </c>
      <c r="AS2620" t="s">
        <v>65</v>
      </c>
      <c r="AT2620">
        <v>1</v>
      </c>
      <c r="AU2620" t="s">
        <v>1427</v>
      </c>
      <c r="AV2620" t="s">
        <v>1428</v>
      </c>
      <c r="AW2620" t="s">
        <v>60</v>
      </c>
      <c r="AX2620" t="s">
        <v>68</v>
      </c>
      <c r="AY2620" t="s">
        <v>69</v>
      </c>
      <c r="AZ2620" t="b">
        <v>1</v>
      </c>
    </row>
    <row r="2621" spans="1:52" x14ac:dyDescent="0.3">
      <c r="A2621" t="s">
        <v>52</v>
      </c>
      <c r="B2621" t="s">
        <v>53</v>
      </c>
      <c r="C2621" t="s">
        <v>54</v>
      </c>
      <c r="D2621" t="s">
        <v>55</v>
      </c>
      <c r="E2621" t="s">
        <v>2155</v>
      </c>
      <c r="F2621" t="s">
        <v>1247</v>
      </c>
      <c r="G2621" t="s">
        <v>1393</v>
      </c>
      <c r="H2621" t="s">
        <v>1394</v>
      </c>
      <c r="I2621" t="s">
        <v>1394</v>
      </c>
      <c r="J2621" t="s">
        <v>60</v>
      </c>
      <c r="K2621" t="s">
        <v>388</v>
      </c>
      <c r="L2621" t="s">
        <v>62</v>
      </c>
      <c r="M2621" t="s">
        <v>388</v>
      </c>
      <c r="N2621" t="s">
        <v>1395</v>
      </c>
      <c r="O2621" t="s">
        <v>1396</v>
      </c>
      <c r="P2621">
        <v>-20.167425000000001</v>
      </c>
      <c r="Q2621">
        <v>-44.907733999999998</v>
      </c>
      <c r="R2621" s="2" t="str">
        <f>HYPERLINK("https://www.google.com/maps?q=-20.1674250,-44.9077340","Abrir no Google Maps")</f>
        <v>Abrir no Google Maps</v>
      </c>
      <c r="S2621">
        <v>3</v>
      </c>
      <c r="T2621">
        <v>424.62372109792739</v>
      </c>
      <c r="U2621">
        <v>1</v>
      </c>
      <c r="V2621">
        <v>0.40598322394620368</v>
      </c>
      <c r="W2621">
        <v>0.85</v>
      </c>
      <c r="X2621">
        <v>0.34508574035427309</v>
      </c>
      <c r="Y2621">
        <v>578</v>
      </c>
      <c r="Z2621">
        <v>559.08337206965382</v>
      </c>
      <c r="AA2621">
        <v>198</v>
      </c>
      <c r="AB2621">
        <v>332</v>
      </c>
      <c r="AC2621">
        <v>536</v>
      </c>
      <c r="AD2621">
        <v>29.96</v>
      </c>
      <c r="AE2621">
        <v>542</v>
      </c>
      <c r="AF2621">
        <v>29</v>
      </c>
      <c r="AG2621">
        <v>174</v>
      </c>
      <c r="AH2621">
        <v>129</v>
      </c>
      <c r="AI2621">
        <v>5.35</v>
      </c>
      <c r="AJ2621">
        <v>32.1</v>
      </c>
      <c r="AK2621">
        <v>23.8</v>
      </c>
      <c r="AL2621">
        <v>-20.167592099999951</v>
      </c>
      <c r="AM2621">
        <v>-44.907664214502859</v>
      </c>
      <c r="AN2621">
        <v>-20.167592099999951</v>
      </c>
      <c r="AO2621">
        <v>-44.907664214502859</v>
      </c>
      <c r="AP2621">
        <v>-20.167425000000001</v>
      </c>
      <c r="AQ2621">
        <v>-44.907733999999998</v>
      </c>
      <c r="AR2621">
        <v>19.979863459652229</v>
      </c>
      <c r="AS2621" t="s">
        <v>65</v>
      </c>
      <c r="AT2621">
        <v>1</v>
      </c>
      <c r="AU2621" t="s">
        <v>1397</v>
      </c>
      <c r="AV2621" t="s">
        <v>1398</v>
      </c>
      <c r="AW2621" t="s">
        <v>60</v>
      </c>
      <c r="AX2621" t="s">
        <v>68</v>
      </c>
      <c r="AY2621" t="s">
        <v>69</v>
      </c>
      <c r="AZ2621" t="b">
        <v>1</v>
      </c>
    </row>
    <row r="2622" spans="1:52" x14ac:dyDescent="0.3">
      <c r="A2622" t="s">
        <v>52</v>
      </c>
      <c r="B2622" t="s">
        <v>53</v>
      </c>
      <c r="C2622" t="s">
        <v>54</v>
      </c>
      <c r="D2622" t="s">
        <v>55</v>
      </c>
      <c r="E2622" t="s">
        <v>2155</v>
      </c>
      <c r="F2622" t="s">
        <v>1247</v>
      </c>
      <c r="G2622" t="s">
        <v>1429</v>
      </c>
      <c r="H2622" t="s">
        <v>1430</v>
      </c>
      <c r="I2622" t="s">
        <v>1430</v>
      </c>
      <c r="J2622" t="s">
        <v>60</v>
      </c>
      <c r="K2622" t="s">
        <v>505</v>
      </c>
      <c r="L2622" t="s">
        <v>62</v>
      </c>
      <c r="M2622" t="s">
        <v>505</v>
      </c>
      <c r="N2622" t="s">
        <v>1431</v>
      </c>
      <c r="O2622" t="s">
        <v>1432</v>
      </c>
      <c r="P2622">
        <v>-20.132069000000001</v>
      </c>
      <c r="Q2622">
        <v>-44.891694000000001</v>
      </c>
      <c r="R2622" s="2" t="str">
        <f>HYPERLINK("https://www.google.com/maps?q=-20.1320690,-44.8916940","Abrir no Google Maps")</f>
        <v>Abrir no Google Maps</v>
      </c>
      <c r="S2622">
        <v>3</v>
      </c>
      <c r="T2622">
        <v>463.84477613866852</v>
      </c>
      <c r="U2622">
        <v>1</v>
      </c>
      <c r="V2622">
        <v>0.40675995263696879</v>
      </c>
      <c r="W2622">
        <v>0.85</v>
      </c>
      <c r="X2622">
        <v>0.34574595974142353</v>
      </c>
      <c r="Y2622">
        <v>564</v>
      </c>
      <c r="Z2622">
        <v>349.6044774510159</v>
      </c>
      <c r="AA2622">
        <v>198</v>
      </c>
      <c r="AB2622">
        <v>332</v>
      </c>
      <c r="AC2622">
        <v>536</v>
      </c>
      <c r="AD2622">
        <v>29.96</v>
      </c>
      <c r="AE2622">
        <v>542</v>
      </c>
      <c r="AF2622">
        <v>29</v>
      </c>
      <c r="AG2622">
        <v>174</v>
      </c>
      <c r="AH2622">
        <v>129</v>
      </c>
      <c r="AI2622">
        <v>5.35</v>
      </c>
      <c r="AJ2622">
        <v>32.1</v>
      </c>
      <c r="AK2622">
        <v>23.8</v>
      </c>
      <c r="AL2622">
        <v>-20.131860799999941</v>
      </c>
      <c r="AM2622">
        <v>-44.891643045551348</v>
      </c>
      <c r="AN2622">
        <v>-20.131860799999941</v>
      </c>
      <c r="AO2622">
        <v>-44.891643045551348</v>
      </c>
      <c r="AP2622">
        <v>-20.132069000000001</v>
      </c>
      <c r="AQ2622">
        <v>-44.891694000000001</v>
      </c>
      <c r="AR2622">
        <v>23.780836080569209</v>
      </c>
      <c r="AS2622" t="s">
        <v>65</v>
      </c>
      <c r="AT2622">
        <v>1</v>
      </c>
      <c r="AU2622" t="s">
        <v>1433</v>
      </c>
      <c r="AV2622" t="s">
        <v>1434</v>
      </c>
      <c r="AW2622" t="s">
        <v>60</v>
      </c>
      <c r="AX2622" t="s">
        <v>68</v>
      </c>
      <c r="AY2622" t="s">
        <v>69</v>
      </c>
      <c r="AZ2622" t="b">
        <v>1</v>
      </c>
    </row>
    <row r="2623" spans="1:52" x14ac:dyDescent="0.3">
      <c r="A2623" t="s">
        <v>52</v>
      </c>
      <c r="B2623" t="s">
        <v>53</v>
      </c>
      <c r="C2623" t="s">
        <v>54</v>
      </c>
      <c r="D2623" t="s">
        <v>55</v>
      </c>
      <c r="E2623" t="s">
        <v>2155</v>
      </c>
      <c r="F2623" t="s">
        <v>1247</v>
      </c>
      <c r="G2623" t="s">
        <v>1435</v>
      </c>
      <c r="H2623" t="s">
        <v>1436</v>
      </c>
      <c r="I2623" t="s">
        <v>1436</v>
      </c>
      <c r="J2623" t="s">
        <v>60</v>
      </c>
      <c r="K2623" t="s">
        <v>886</v>
      </c>
      <c r="L2623" t="s">
        <v>62</v>
      </c>
      <c r="M2623" t="s">
        <v>886</v>
      </c>
      <c r="N2623" t="s">
        <v>1437</v>
      </c>
      <c r="O2623" t="s">
        <v>1438</v>
      </c>
      <c r="P2623">
        <v>-20.131108000000001</v>
      </c>
      <c r="Q2623">
        <v>-44.893228000000001</v>
      </c>
      <c r="R2623" s="2" t="str">
        <f>HYPERLINK("https://www.google.com/maps?q=-20.1311080,-44.8932280","Abrir no Google Maps")</f>
        <v>Abrir no Google Maps</v>
      </c>
      <c r="S2623">
        <v>3</v>
      </c>
      <c r="T2623">
        <v>548.07497919430136</v>
      </c>
      <c r="U2623">
        <v>1</v>
      </c>
      <c r="V2623">
        <v>0.40612695349723649</v>
      </c>
      <c r="W2623">
        <v>0.85</v>
      </c>
      <c r="X2623">
        <v>0.34520791047265098</v>
      </c>
      <c r="Y2623">
        <v>564</v>
      </c>
      <c r="Z2623">
        <v>369.17139216388432</v>
      </c>
      <c r="AA2623">
        <v>198</v>
      </c>
      <c r="AB2623">
        <v>332</v>
      </c>
      <c r="AC2623">
        <v>536</v>
      </c>
      <c r="AD2623">
        <v>29.96</v>
      </c>
      <c r="AE2623">
        <v>542</v>
      </c>
      <c r="AF2623">
        <v>29</v>
      </c>
      <c r="AG2623">
        <v>174</v>
      </c>
      <c r="AH2623">
        <v>129</v>
      </c>
      <c r="AI2623">
        <v>5.35</v>
      </c>
      <c r="AJ2623">
        <v>32.1</v>
      </c>
      <c r="AK2623">
        <v>23.8</v>
      </c>
      <c r="AL2623">
        <v>-20.13103294999997</v>
      </c>
      <c r="AM2623">
        <v>-44.89318457893738</v>
      </c>
      <c r="AN2623">
        <v>-20.13103294999997</v>
      </c>
      <c r="AO2623">
        <v>-44.89318457893738</v>
      </c>
      <c r="AP2623">
        <v>-20.131108000000001</v>
      </c>
      <c r="AQ2623">
        <v>-44.893228000000001</v>
      </c>
      <c r="AR2623">
        <v>9.5076426885244203</v>
      </c>
      <c r="AS2623" t="s">
        <v>65</v>
      </c>
      <c r="AT2623">
        <v>1</v>
      </c>
      <c r="AU2623" t="s">
        <v>1439</v>
      </c>
      <c r="AV2623" t="s">
        <v>1440</v>
      </c>
      <c r="AW2623" t="s">
        <v>60</v>
      </c>
      <c r="AX2623" t="s">
        <v>68</v>
      </c>
      <c r="AY2623" t="s">
        <v>69</v>
      </c>
      <c r="AZ2623" t="b">
        <v>1</v>
      </c>
    </row>
    <row r="2624" spans="1:52" x14ac:dyDescent="0.3">
      <c r="A2624" t="s">
        <v>52</v>
      </c>
      <c r="B2624" t="s">
        <v>53</v>
      </c>
      <c r="C2624" t="s">
        <v>54</v>
      </c>
      <c r="D2624" t="s">
        <v>55</v>
      </c>
      <c r="E2624" t="s">
        <v>2155</v>
      </c>
      <c r="F2624" t="s">
        <v>1247</v>
      </c>
      <c r="G2624" t="s">
        <v>503</v>
      </c>
      <c r="H2624" t="s">
        <v>1441</v>
      </c>
      <c r="I2624" t="s">
        <v>1441</v>
      </c>
      <c r="J2624" t="s">
        <v>60</v>
      </c>
      <c r="K2624" t="s">
        <v>512</v>
      </c>
      <c r="L2624" t="s">
        <v>62</v>
      </c>
      <c r="M2624" t="s">
        <v>512</v>
      </c>
      <c r="N2624" t="s">
        <v>506</v>
      </c>
      <c r="O2624" t="s">
        <v>1442</v>
      </c>
      <c r="P2624">
        <v>-20.13036</v>
      </c>
      <c r="Q2624">
        <v>-44.891019</v>
      </c>
      <c r="R2624" s="2" t="str">
        <f>HYPERLINK("https://www.google.com/maps?q=-20.1303600,-44.8910190","Abrir no Google Maps")</f>
        <v>Abrir no Google Maps</v>
      </c>
      <c r="S2624">
        <v>3</v>
      </c>
      <c r="T2624">
        <v>313.17410616307359</v>
      </c>
      <c r="U2624">
        <v>1</v>
      </c>
      <c r="V2624">
        <v>0.3864902349162877</v>
      </c>
      <c r="W2624">
        <v>0.85</v>
      </c>
      <c r="X2624">
        <v>0.32851669967884461</v>
      </c>
      <c r="Y2624">
        <v>564</v>
      </c>
      <c r="Z2624">
        <v>208.43159293494489</v>
      </c>
      <c r="AA2624">
        <v>198</v>
      </c>
      <c r="AB2624">
        <v>332</v>
      </c>
      <c r="AC2624">
        <v>536</v>
      </c>
      <c r="AD2624">
        <v>29.96</v>
      </c>
      <c r="AE2624">
        <v>542</v>
      </c>
      <c r="AF2624">
        <v>29</v>
      </c>
      <c r="AG2624">
        <v>174</v>
      </c>
      <c r="AH2624">
        <v>129</v>
      </c>
      <c r="AI2624">
        <v>5.35</v>
      </c>
      <c r="AJ2624">
        <v>32.1</v>
      </c>
      <c r="AK2624">
        <v>23.8</v>
      </c>
      <c r="AL2624">
        <v>-20.130100449999961</v>
      </c>
      <c r="AM2624">
        <v>-44.891163633475301</v>
      </c>
      <c r="AN2624">
        <v>-20.130100449999961</v>
      </c>
      <c r="AO2624">
        <v>-44.891163633475301</v>
      </c>
      <c r="AP2624">
        <v>-20.13036</v>
      </c>
      <c r="AQ2624">
        <v>-44.891019</v>
      </c>
      <c r="AR2624">
        <v>32.608854575381159</v>
      </c>
      <c r="AS2624" t="s">
        <v>65</v>
      </c>
      <c r="AT2624">
        <v>1</v>
      </c>
      <c r="AU2624" t="s">
        <v>1443</v>
      </c>
      <c r="AV2624" t="s">
        <v>1444</v>
      </c>
      <c r="AW2624" t="s">
        <v>60</v>
      </c>
      <c r="AX2624" t="s">
        <v>68</v>
      </c>
      <c r="AY2624" t="s">
        <v>69</v>
      </c>
      <c r="AZ2624" t="b">
        <v>1</v>
      </c>
    </row>
    <row r="2625" spans="1:52" x14ac:dyDescent="0.3">
      <c r="A2625" t="s">
        <v>52</v>
      </c>
      <c r="B2625" t="s">
        <v>53</v>
      </c>
      <c r="C2625" t="s">
        <v>54</v>
      </c>
      <c r="D2625" t="s">
        <v>55</v>
      </c>
      <c r="E2625" t="s">
        <v>2155</v>
      </c>
      <c r="F2625" t="s">
        <v>1247</v>
      </c>
      <c r="G2625" t="s">
        <v>473</v>
      </c>
      <c r="H2625" t="s">
        <v>1445</v>
      </c>
      <c r="I2625" t="s">
        <v>1445</v>
      </c>
      <c r="J2625" t="s">
        <v>60</v>
      </c>
      <c r="K2625" t="s">
        <v>892</v>
      </c>
      <c r="L2625" t="s">
        <v>62</v>
      </c>
      <c r="M2625" t="s">
        <v>892</v>
      </c>
      <c r="N2625" t="s">
        <v>406</v>
      </c>
      <c r="O2625" t="s">
        <v>1446</v>
      </c>
      <c r="P2625">
        <v>-20.14941</v>
      </c>
      <c r="Q2625">
        <v>-44.899535</v>
      </c>
      <c r="R2625" s="2" t="str">
        <f>HYPERLINK("https://www.google.com/maps?q=-20.1494100,-44.8995350","Abrir no Google Maps")</f>
        <v>Abrir no Google Maps</v>
      </c>
      <c r="S2625">
        <v>3</v>
      </c>
      <c r="T2625">
        <v>249.83945591849931</v>
      </c>
      <c r="U2625">
        <v>1</v>
      </c>
      <c r="V2625">
        <v>0.38991131977047472</v>
      </c>
      <c r="W2625">
        <v>0.85</v>
      </c>
      <c r="X2625">
        <v>0.33142462180490351</v>
      </c>
      <c r="Y2625">
        <v>556</v>
      </c>
      <c r="Z2625">
        <v>156.62360082488701</v>
      </c>
      <c r="AA2625">
        <v>198</v>
      </c>
      <c r="AB2625">
        <v>332</v>
      </c>
      <c r="AC2625">
        <v>536</v>
      </c>
      <c r="AD2625">
        <v>29.96</v>
      </c>
      <c r="AE2625">
        <v>542</v>
      </c>
      <c r="AF2625">
        <v>29</v>
      </c>
      <c r="AG2625">
        <v>174</v>
      </c>
      <c r="AH2625">
        <v>129</v>
      </c>
      <c r="AI2625">
        <v>5.35</v>
      </c>
      <c r="AJ2625">
        <v>32.1</v>
      </c>
      <c r="AK2625">
        <v>23.8</v>
      </c>
      <c r="AL2625">
        <v>-20.149341899999939</v>
      </c>
      <c r="AM2625">
        <v>-44.899575902083967</v>
      </c>
      <c r="AN2625">
        <v>-20.149341899999939</v>
      </c>
      <c r="AO2625">
        <v>-44.899575902083967</v>
      </c>
      <c r="AP2625">
        <v>-20.14941</v>
      </c>
      <c r="AQ2625">
        <v>-44.899535</v>
      </c>
      <c r="AR2625">
        <v>8.7029725999778709</v>
      </c>
      <c r="AS2625" t="s">
        <v>65</v>
      </c>
      <c r="AT2625">
        <v>1</v>
      </c>
      <c r="AU2625" t="s">
        <v>1447</v>
      </c>
      <c r="AV2625" t="s">
        <v>1448</v>
      </c>
      <c r="AW2625" t="s">
        <v>60</v>
      </c>
      <c r="AX2625" t="s">
        <v>68</v>
      </c>
      <c r="AY2625" t="s">
        <v>69</v>
      </c>
      <c r="AZ2625" t="b">
        <v>1</v>
      </c>
    </row>
    <row r="2626" spans="1:52" x14ac:dyDescent="0.3">
      <c r="A2626" t="s">
        <v>52</v>
      </c>
      <c r="B2626" t="s">
        <v>53</v>
      </c>
      <c r="C2626" t="s">
        <v>54</v>
      </c>
      <c r="D2626" t="s">
        <v>55</v>
      </c>
      <c r="E2626" t="s">
        <v>2155</v>
      </c>
      <c r="F2626" t="s">
        <v>1247</v>
      </c>
      <c r="G2626" t="s">
        <v>1127</v>
      </c>
      <c r="H2626" t="s">
        <v>1449</v>
      </c>
      <c r="I2626" t="s">
        <v>1449</v>
      </c>
      <c r="J2626" t="s">
        <v>60</v>
      </c>
      <c r="K2626" t="s">
        <v>1450</v>
      </c>
      <c r="L2626" t="s">
        <v>62</v>
      </c>
      <c r="M2626" t="s">
        <v>1450</v>
      </c>
      <c r="N2626" t="s">
        <v>1451</v>
      </c>
      <c r="O2626" t="s">
        <v>1452</v>
      </c>
      <c r="P2626">
        <v>-20.152612000000001</v>
      </c>
      <c r="Q2626">
        <v>-44.897098</v>
      </c>
      <c r="R2626" s="2" t="str">
        <f>HYPERLINK("https://www.google.com/maps?q=-20.1526120,-44.8970980","Abrir no Google Maps")</f>
        <v>Abrir no Google Maps</v>
      </c>
      <c r="S2626">
        <v>3</v>
      </c>
      <c r="T2626">
        <v>418.6283592063233</v>
      </c>
      <c r="U2626">
        <v>1</v>
      </c>
      <c r="V2626">
        <v>0.3830081090407178</v>
      </c>
      <c r="W2626">
        <v>0.85</v>
      </c>
      <c r="X2626">
        <v>0.32555689268461008</v>
      </c>
      <c r="Y2626">
        <v>556</v>
      </c>
      <c r="Z2626">
        <v>387.16462225830952</v>
      </c>
      <c r="AA2626">
        <v>198</v>
      </c>
      <c r="AB2626">
        <v>332</v>
      </c>
      <c r="AC2626">
        <v>536</v>
      </c>
      <c r="AD2626">
        <v>29.96</v>
      </c>
      <c r="AE2626">
        <v>542</v>
      </c>
      <c r="AF2626">
        <v>29</v>
      </c>
      <c r="AG2626">
        <v>174</v>
      </c>
      <c r="AH2626">
        <v>129</v>
      </c>
      <c r="AI2626">
        <v>5.35</v>
      </c>
      <c r="AJ2626">
        <v>32.1</v>
      </c>
      <c r="AK2626">
        <v>23.8</v>
      </c>
      <c r="AL2626">
        <v>-20.15253669999996</v>
      </c>
      <c r="AM2626">
        <v>-44.897068126936119</v>
      </c>
      <c r="AN2626">
        <v>-20.15253669999996</v>
      </c>
      <c r="AO2626">
        <v>-44.897068126936119</v>
      </c>
      <c r="AP2626">
        <v>-20.152612000000001</v>
      </c>
      <c r="AQ2626">
        <v>-44.897098</v>
      </c>
      <c r="AR2626">
        <v>8.9448699164987104</v>
      </c>
      <c r="AS2626" t="s">
        <v>65</v>
      </c>
      <c r="AT2626">
        <v>1</v>
      </c>
      <c r="AU2626" t="s">
        <v>1453</v>
      </c>
      <c r="AV2626" t="s">
        <v>1454</v>
      </c>
      <c r="AW2626" t="s">
        <v>60</v>
      </c>
      <c r="AX2626" t="s">
        <v>68</v>
      </c>
      <c r="AY2626" t="s">
        <v>69</v>
      </c>
      <c r="AZ2626" t="b">
        <v>1</v>
      </c>
    </row>
    <row r="2627" spans="1:52" x14ac:dyDescent="0.3">
      <c r="A2627" t="s">
        <v>52</v>
      </c>
      <c r="B2627" t="s">
        <v>53</v>
      </c>
      <c r="C2627" t="s">
        <v>54</v>
      </c>
      <c r="D2627" t="s">
        <v>55</v>
      </c>
      <c r="E2627" t="s">
        <v>2155</v>
      </c>
      <c r="F2627" t="s">
        <v>1247</v>
      </c>
      <c r="G2627" t="s">
        <v>1127</v>
      </c>
      <c r="H2627" t="s">
        <v>1455</v>
      </c>
      <c r="I2627" t="s">
        <v>1455</v>
      </c>
      <c r="J2627" t="s">
        <v>60</v>
      </c>
      <c r="K2627" t="s">
        <v>431</v>
      </c>
      <c r="L2627" t="s">
        <v>62</v>
      </c>
      <c r="M2627" t="s">
        <v>431</v>
      </c>
      <c r="N2627" t="s">
        <v>1456</v>
      </c>
      <c r="O2627" t="s">
        <v>1001</v>
      </c>
      <c r="P2627">
        <v>-20.168237999999999</v>
      </c>
      <c r="Q2627">
        <v>-44.924250999999998</v>
      </c>
      <c r="R2627" s="2" t="str">
        <f>HYPERLINK("https://www.google.com/maps?q=-20.1682380,-44.9242510","Abrir no Google Maps")</f>
        <v>Abrir no Google Maps</v>
      </c>
      <c r="S2627">
        <v>2</v>
      </c>
      <c r="T2627">
        <v>1220.188820430971</v>
      </c>
      <c r="U2627">
        <v>4</v>
      </c>
      <c r="V2627">
        <v>0.52040733421168217</v>
      </c>
      <c r="W2627">
        <v>0.85</v>
      </c>
      <c r="X2627">
        <v>0.44234623407992979</v>
      </c>
      <c r="Y2627">
        <v>723</v>
      </c>
      <c r="Z2627">
        <v>1092.4377883150901</v>
      </c>
      <c r="AA2627">
        <v>198</v>
      </c>
      <c r="AB2627">
        <v>332</v>
      </c>
      <c r="AC2627">
        <v>536</v>
      </c>
      <c r="AD2627">
        <v>29.96</v>
      </c>
      <c r="AE2627">
        <v>542</v>
      </c>
      <c r="AF2627">
        <v>29</v>
      </c>
      <c r="AG2627">
        <v>174</v>
      </c>
      <c r="AH2627">
        <v>129</v>
      </c>
      <c r="AI2627">
        <v>5.35</v>
      </c>
      <c r="AJ2627">
        <v>32.1</v>
      </c>
      <c r="AK2627">
        <v>23.8</v>
      </c>
      <c r="AL2627">
        <v>-20.168394999999951</v>
      </c>
      <c r="AM2627">
        <v>-44.923548168580673</v>
      </c>
      <c r="AN2627">
        <v>-20.168394999999951</v>
      </c>
      <c r="AO2627">
        <v>-44.923548168580673</v>
      </c>
      <c r="AP2627">
        <v>-20.168237999999999</v>
      </c>
      <c r="AQ2627">
        <v>-44.924250999999998</v>
      </c>
      <c r="AR2627">
        <v>75.492755104934275</v>
      </c>
      <c r="AS2627" t="s">
        <v>65</v>
      </c>
      <c r="AT2627">
        <v>1</v>
      </c>
      <c r="AU2627" t="s">
        <v>1457</v>
      </c>
      <c r="AV2627" t="s">
        <v>1458</v>
      </c>
      <c r="AW2627" t="s">
        <v>60</v>
      </c>
      <c r="AX2627" t="s">
        <v>68</v>
      </c>
      <c r="AY2627" t="s">
        <v>69</v>
      </c>
      <c r="AZ2627" t="b">
        <v>1</v>
      </c>
    </row>
    <row r="2628" spans="1:52" x14ac:dyDescent="0.3">
      <c r="A2628" t="s">
        <v>52</v>
      </c>
      <c r="B2628" t="s">
        <v>53</v>
      </c>
      <c r="C2628" t="s">
        <v>54</v>
      </c>
      <c r="D2628" t="s">
        <v>55</v>
      </c>
      <c r="E2628" t="s">
        <v>2155</v>
      </c>
      <c r="F2628" t="s">
        <v>1247</v>
      </c>
      <c r="G2628" t="s">
        <v>1459</v>
      </c>
      <c r="H2628" t="s">
        <v>1460</v>
      </c>
      <c r="I2628" t="s">
        <v>1460</v>
      </c>
      <c r="J2628" t="s">
        <v>60</v>
      </c>
      <c r="K2628" t="s">
        <v>431</v>
      </c>
      <c r="L2628" t="s">
        <v>62</v>
      </c>
      <c r="M2628" t="s">
        <v>431</v>
      </c>
      <c r="N2628" t="s">
        <v>1461</v>
      </c>
      <c r="O2628" t="s">
        <v>1462</v>
      </c>
      <c r="P2628">
        <v>-20.170182</v>
      </c>
      <c r="Q2628">
        <v>-44.922556999999998</v>
      </c>
      <c r="R2628" s="2" t="str">
        <f>HYPERLINK("https://www.google.com/maps?q=-20.1701820,-44.9225570","Abrir no Google Maps")</f>
        <v>Abrir no Google Maps</v>
      </c>
      <c r="S2628">
        <v>2</v>
      </c>
      <c r="T2628">
        <v>1189.3885679843149</v>
      </c>
      <c r="U2628">
        <v>4</v>
      </c>
      <c r="V2628">
        <v>0.52268227348983021</v>
      </c>
      <c r="W2628">
        <v>0.85</v>
      </c>
      <c r="X2628">
        <v>0.44427993246635572</v>
      </c>
      <c r="Y2628">
        <v>723</v>
      </c>
      <c r="Z2628">
        <v>961.89164604479117</v>
      </c>
      <c r="AA2628">
        <v>198</v>
      </c>
      <c r="AB2628">
        <v>332</v>
      </c>
      <c r="AC2628">
        <v>536</v>
      </c>
      <c r="AD2628">
        <v>29.96</v>
      </c>
      <c r="AE2628">
        <v>542</v>
      </c>
      <c r="AF2628">
        <v>29</v>
      </c>
      <c r="AG2628">
        <v>174</v>
      </c>
      <c r="AH2628">
        <v>129</v>
      </c>
      <c r="AI2628">
        <v>5.35</v>
      </c>
      <c r="AJ2628">
        <v>32.1</v>
      </c>
      <c r="AK2628">
        <v>23.8</v>
      </c>
      <c r="AL2628">
        <v>-20.169385449999961</v>
      </c>
      <c r="AM2628">
        <v>-44.922107101898007</v>
      </c>
      <c r="AN2628">
        <v>-20.169385449999961</v>
      </c>
      <c r="AO2628">
        <v>-44.922107101898007</v>
      </c>
      <c r="AP2628">
        <v>-20.170182</v>
      </c>
      <c r="AQ2628">
        <v>-44.922556999999998</v>
      </c>
      <c r="AR2628">
        <v>100.36329580049031</v>
      </c>
      <c r="AS2628" t="s">
        <v>65</v>
      </c>
      <c r="AT2628">
        <v>1</v>
      </c>
      <c r="AU2628" t="s">
        <v>1463</v>
      </c>
      <c r="AV2628" t="s">
        <v>1458</v>
      </c>
      <c r="AW2628" t="s">
        <v>60</v>
      </c>
      <c r="AX2628" t="s">
        <v>68</v>
      </c>
      <c r="AY2628" t="s">
        <v>69</v>
      </c>
      <c r="AZ2628" t="b">
        <v>1</v>
      </c>
    </row>
    <row r="2629" spans="1:52" x14ac:dyDescent="0.3">
      <c r="A2629" t="s">
        <v>52</v>
      </c>
      <c r="B2629" t="s">
        <v>53</v>
      </c>
      <c r="C2629" t="s">
        <v>54</v>
      </c>
      <c r="D2629" t="s">
        <v>55</v>
      </c>
      <c r="E2629" t="s">
        <v>2155</v>
      </c>
      <c r="F2629" t="s">
        <v>1247</v>
      </c>
      <c r="G2629" t="s">
        <v>1490</v>
      </c>
      <c r="H2629" t="s">
        <v>1491</v>
      </c>
      <c r="I2629" t="s">
        <v>1491</v>
      </c>
      <c r="J2629" t="s">
        <v>60</v>
      </c>
      <c r="K2629" t="s">
        <v>336</v>
      </c>
      <c r="L2629" t="s">
        <v>62</v>
      </c>
      <c r="M2629" t="s">
        <v>336</v>
      </c>
      <c r="N2629" t="s">
        <v>1492</v>
      </c>
      <c r="O2629" t="s">
        <v>842</v>
      </c>
      <c r="P2629">
        <v>-20.164228999999999</v>
      </c>
      <c r="Q2629">
        <v>-44.876455999999997</v>
      </c>
      <c r="R2629" s="2" t="str">
        <f>HYPERLINK("https://www.google.com/maps?q=-20.1642290,-44.8764560","Abrir no Google Maps")</f>
        <v>Abrir no Google Maps</v>
      </c>
      <c r="S2629">
        <v>2</v>
      </c>
      <c r="T2629">
        <v>420.00990411628987</v>
      </c>
      <c r="U2629">
        <v>4</v>
      </c>
      <c r="V2629">
        <v>0.42788612803967258</v>
      </c>
      <c r="W2629">
        <v>1</v>
      </c>
      <c r="X2629">
        <v>0.42788612803967258</v>
      </c>
      <c r="Y2629">
        <v>671</v>
      </c>
      <c r="Z2629">
        <v>375.90194920648611</v>
      </c>
      <c r="AA2629">
        <v>198</v>
      </c>
      <c r="AB2629">
        <v>332</v>
      </c>
      <c r="AC2629">
        <v>536</v>
      </c>
      <c r="AD2629">
        <v>29.96</v>
      </c>
      <c r="AE2629">
        <v>542</v>
      </c>
      <c r="AF2629">
        <v>29</v>
      </c>
      <c r="AG2629">
        <v>174</v>
      </c>
      <c r="AH2629">
        <v>129</v>
      </c>
      <c r="AI2629">
        <v>5.35</v>
      </c>
      <c r="AJ2629">
        <v>32.1</v>
      </c>
      <c r="AK2629">
        <v>23.8</v>
      </c>
      <c r="AL2629">
        <v>-20.164255749999938</v>
      </c>
      <c r="AM2629">
        <v>-44.876471676086922</v>
      </c>
      <c r="AN2629">
        <v>-20.164255749999938</v>
      </c>
      <c r="AO2629">
        <v>-44.876471676086922</v>
      </c>
      <c r="AP2629">
        <v>-20.164228999999999</v>
      </c>
      <c r="AQ2629">
        <v>-44.876455999999997</v>
      </c>
      <c r="AR2629">
        <v>3.3986375813953771</v>
      </c>
      <c r="AS2629" t="s">
        <v>65</v>
      </c>
      <c r="AT2629">
        <v>1</v>
      </c>
      <c r="AU2629" t="s">
        <v>1493</v>
      </c>
      <c r="AV2629" t="s">
        <v>1494</v>
      </c>
      <c r="AW2629" t="s">
        <v>60</v>
      </c>
      <c r="AX2629" t="s">
        <v>68</v>
      </c>
      <c r="AY2629" t="s">
        <v>69</v>
      </c>
      <c r="AZ2629" t="b">
        <v>1</v>
      </c>
    </row>
    <row r="2630" spans="1:52" x14ac:dyDescent="0.3">
      <c r="A2630" t="s">
        <v>52</v>
      </c>
      <c r="B2630" t="s">
        <v>53</v>
      </c>
      <c r="C2630" t="s">
        <v>54</v>
      </c>
      <c r="D2630" t="s">
        <v>55</v>
      </c>
      <c r="E2630" t="s">
        <v>2155</v>
      </c>
      <c r="F2630" t="s">
        <v>1247</v>
      </c>
      <c r="G2630" t="s">
        <v>1473</v>
      </c>
      <c r="H2630" t="s">
        <v>1474</v>
      </c>
      <c r="I2630" t="s">
        <v>1474</v>
      </c>
      <c r="J2630" t="s">
        <v>60</v>
      </c>
      <c r="K2630" t="s">
        <v>1302</v>
      </c>
      <c r="L2630" t="s">
        <v>62</v>
      </c>
      <c r="M2630" t="s">
        <v>1302</v>
      </c>
      <c r="N2630" t="s">
        <v>1475</v>
      </c>
      <c r="O2630" t="s">
        <v>1476</v>
      </c>
      <c r="P2630">
        <v>-20.161372</v>
      </c>
      <c r="Q2630">
        <v>-44.914636999999999</v>
      </c>
      <c r="R2630" s="2" t="str">
        <f>HYPERLINK("https://www.google.com/maps?q=-20.1613720,-44.9146370","Abrir no Google Maps")</f>
        <v>Abrir no Google Maps</v>
      </c>
      <c r="S2630">
        <v>2</v>
      </c>
      <c r="T2630">
        <v>0</v>
      </c>
      <c r="U2630">
        <v>4</v>
      </c>
      <c r="V2630">
        <v>0.43407834189851741</v>
      </c>
      <c r="W2630">
        <v>1</v>
      </c>
      <c r="X2630">
        <v>0.43407834189851741</v>
      </c>
      <c r="Y2630">
        <v>639</v>
      </c>
      <c r="Z2630">
        <v>81.742669907651447</v>
      </c>
      <c r="AA2630">
        <v>198</v>
      </c>
      <c r="AB2630">
        <v>332</v>
      </c>
      <c r="AC2630">
        <v>536</v>
      </c>
      <c r="AD2630">
        <v>29.96</v>
      </c>
      <c r="AE2630">
        <v>542</v>
      </c>
      <c r="AF2630">
        <v>29</v>
      </c>
      <c r="AG2630">
        <v>174</v>
      </c>
      <c r="AH2630">
        <v>129</v>
      </c>
      <c r="AI2630">
        <v>5.35</v>
      </c>
      <c r="AJ2630">
        <v>32.1</v>
      </c>
      <c r="AK2630">
        <v>23.8</v>
      </c>
      <c r="AL2630">
        <v>-20.161294499999961</v>
      </c>
      <c r="AM2630">
        <v>-44.914614684493202</v>
      </c>
      <c r="AN2630">
        <v>-20.161294499999961</v>
      </c>
      <c r="AO2630">
        <v>-44.914614684493202</v>
      </c>
      <c r="AP2630">
        <v>-20.161372</v>
      </c>
      <c r="AQ2630">
        <v>-44.914636999999999</v>
      </c>
      <c r="AR2630">
        <v>8.9369058443944862</v>
      </c>
      <c r="AS2630" t="s">
        <v>65</v>
      </c>
      <c r="AT2630">
        <v>1</v>
      </c>
      <c r="AU2630" t="s">
        <v>1477</v>
      </c>
      <c r="AV2630" t="s">
        <v>1478</v>
      </c>
      <c r="AW2630" t="s">
        <v>60</v>
      </c>
      <c r="AX2630" t="s">
        <v>68</v>
      </c>
      <c r="AY2630" t="s">
        <v>69</v>
      </c>
      <c r="AZ2630" t="b">
        <v>1</v>
      </c>
    </row>
    <row r="2631" spans="1:52" x14ac:dyDescent="0.3">
      <c r="A2631" t="s">
        <v>52</v>
      </c>
      <c r="B2631" t="s">
        <v>53</v>
      </c>
      <c r="C2631" t="s">
        <v>54</v>
      </c>
      <c r="D2631" t="s">
        <v>55</v>
      </c>
      <c r="E2631" t="s">
        <v>2155</v>
      </c>
      <c r="F2631" t="s">
        <v>1247</v>
      </c>
      <c r="G2631" t="s">
        <v>1464</v>
      </c>
      <c r="H2631" t="s">
        <v>1485</v>
      </c>
      <c r="I2631" t="s">
        <v>1485</v>
      </c>
      <c r="J2631" t="s">
        <v>60</v>
      </c>
      <c r="K2631" t="s">
        <v>1486</v>
      </c>
      <c r="L2631" t="s">
        <v>62</v>
      </c>
      <c r="M2631" t="s">
        <v>1486</v>
      </c>
      <c r="N2631" t="s">
        <v>1467</v>
      </c>
      <c r="O2631" t="s">
        <v>1487</v>
      </c>
      <c r="P2631">
        <v>-20.162842000000001</v>
      </c>
      <c r="Q2631">
        <v>-44.883769999999998</v>
      </c>
      <c r="R2631" s="2" t="str">
        <f>HYPERLINK("https://www.google.com/maps?q=-20.1628420,-44.8837700","Abrir no Google Maps")</f>
        <v>Abrir no Google Maps</v>
      </c>
      <c r="S2631">
        <v>2</v>
      </c>
      <c r="T2631">
        <v>659.67909450906006</v>
      </c>
      <c r="U2631">
        <v>3</v>
      </c>
      <c r="V2631">
        <v>0.4114355723440758</v>
      </c>
      <c r="W2631">
        <v>1</v>
      </c>
      <c r="X2631">
        <v>0.4114355723440758</v>
      </c>
      <c r="Y2631">
        <v>671</v>
      </c>
      <c r="Z2631">
        <v>566.23107864368092</v>
      </c>
      <c r="AA2631">
        <v>198</v>
      </c>
      <c r="AB2631">
        <v>332</v>
      </c>
      <c r="AC2631">
        <v>536</v>
      </c>
      <c r="AD2631">
        <v>29.96</v>
      </c>
      <c r="AE2631">
        <v>542</v>
      </c>
      <c r="AF2631">
        <v>29</v>
      </c>
      <c r="AG2631">
        <v>174</v>
      </c>
      <c r="AH2631">
        <v>129</v>
      </c>
      <c r="AI2631">
        <v>5.35</v>
      </c>
      <c r="AJ2631">
        <v>32.1</v>
      </c>
      <c r="AK2631">
        <v>23.8</v>
      </c>
      <c r="AL2631">
        <v>-20.162791299999949</v>
      </c>
      <c r="AM2631">
        <v>-44.883966852092939</v>
      </c>
      <c r="AN2631">
        <v>-20.162791299999949</v>
      </c>
      <c r="AO2631">
        <v>-44.883966852092939</v>
      </c>
      <c r="AP2631">
        <v>-20.162842000000001</v>
      </c>
      <c r="AQ2631">
        <v>-44.883769999999998</v>
      </c>
      <c r="AR2631">
        <v>21.33085532825611</v>
      </c>
      <c r="AS2631" t="s">
        <v>65</v>
      </c>
      <c r="AT2631">
        <v>1</v>
      </c>
      <c r="AU2631" t="s">
        <v>1488</v>
      </c>
      <c r="AV2631" t="s">
        <v>1489</v>
      </c>
      <c r="AW2631" t="s">
        <v>60</v>
      </c>
      <c r="AX2631" t="s">
        <v>68</v>
      </c>
      <c r="AY2631" t="s">
        <v>69</v>
      </c>
      <c r="AZ2631" t="b">
        <v>1</v>
      </c>
    </row>
    <row r="2632" spans="1:52" x14ac:dyDescent="0.3">
      <c r="A2632" t="s">
        <v>52</v>
      </c>
      <c r="B2632" t="s">
        <v>53</v>
      </c>
      <c r="C2632" t="s">
        <v>54</v>
      </c>
      <c r="D2632" t="s">
        <v>55</v>
      </c>
      <c r="E2632" t="s">
        <v>2155</v>
      </c>
      <c r="F2632" t="s">
        <v>1247</v>
      </c>
      <c r="G2632" t="s">
        <v>1464</v>
      </c>
      <c r="H2632" t="s">
        <v>1465</v>
      </c>
      <c r="I2632" t="s">
        <v>1465</v>
      </c>
      <c r="J2632" t="s">
        <v>60</v>
      </c>
      <c r="K2632" t="s">
        <v>1466</v>
      </c>
      <c r="L2632" t="s">
        <v>62</v>
      </c>
      <c r="M2632" t="s">
        <v>1466</v>
      </c>
      <c r="N2632" t="s">
        <v>1467</v>
      </c>
      <c r="O2632" t="s">
        <v>145</v>
      </c>
      <c r="P2632">
        <v>-20.160509999999999</v>
      </c>
      <c r="Q2632">
        <v>-44.884123000000002</v>
      </c>
      <c r="R2632" s="2" t="str">
        <f>HYPERLINK("https://www.google.com/maps?q=-20.1605100,-44.8841230","Abrir no Google Maps")</f>
        <v>Abrir no Google Maps</v>
      </c>
      <c r="S2632">
        <v>2</v>
      </c>
      <c r="T2632">
        <v>650.04961276595373</v>
      </c>
      <c r="U2632">
        <v>3</v>
      </c>
      <c r="V2632">
        <v>0.41706870900114967</v>
      </c>
      <c r="W2632">
        <v>1</v>
      </c>
      <c r="X2632">
        <v>0.41706870900114967</v>
      </c>
      <c r="Y2632">
        <v>671</v>
      </c>
      <c r="Z2632">
        <v>591.49066685698506</v>
      </c>
      <c r="AA2632">
        <v>198</v>
      </c>
      <c r="AB2632">
        <v>332</v>
      </c>
      <c r="AC2632">
        <v>536</v>
      </c>
      <c r="AD2632">
        <v>29.96</v>
      </c>
      <c r="AE2632">
        <v>542</v>
      </c>
      <c r="AF2632">
        <v>29</v>
      </c>
      <c r="AG2632">
        <v>174</v>
      </c>
      <c r="AH2632">
        <v>129</v>
      </c>
      <c r="AI2632">
        <v>5.35</v>
      </c>
      <c r="AJ2632">
        <v>32.1</v>
      </c>
      <c r="AK2632">
        <v>23.8</v>
      </c>
      <c r="AL2632">
        <v>-20.16056479999995</v>
      </c>
      <c r="AM2632">
        <v>-44.88424978393428</v>
      </c>
      <c r="AN2632">
        <v>-20.160564799999939</v>
      </c>
      <c r="AO2632">
        <v>-44.88424978393428</v>
      </c>
      <c r="AP2632">
        <v>-20.160509999999999</v>
      </c>
      <c r="AQ2632">
        <v>-44.884123000000002</v>
      </c>
      <c r="AR2632">
        <v>14.585823463739541</v>
      </c>
      <c r="AS2632" t="s">
        <v>65</v>
      </c>
      <c r="AT2632">
        <v>1</v>
      </c>
      <c r="AU2632" t="s">
        <v>1468</v>
      </c>
      <c r="AV2632" t="s">
        <v>1469</v>
      </c>
      <c r="AW2632" t="s">
        <v>60</v>
      </c>
      <c r="AX2632" t="s">
        <v>68</v>
      </c>
      <c r="AY2632" t="s">
        <v>69</v>
      </c>
      <c r="AZ2632" t="b">
        <v>1</v>
      </c>
    </row>
    <row r="2633" spans="1:52" x14ac:dyDescent="0.3">
      <c r="A2633" t="s">
        <v>52</v>
      </c>
      <c r="B2633" t="s">
        <v>53</v>
      </c>
      <c r="C2633" t="s">
        <v>54</v>
      </c>
      <c r="D2633" t="s">
        <v>55</v>
      </c>
      <c r="E2633" t="s">
        <v>2155</v>
      </c>
      <c r="F2633" t="s">
        <v>1247</v>
      </c>
      <c r="G2633" t="s">
        <v>1495</v>
      </c>
      <c r="H2633" t="s">
        <v>1496</v>
      </c>
      <c r="I2633" t="s">
        <v>1496</v>
      </c>
      <c r="J2633" t="s">
        <v>60</v>
      </c>
      <c r="K2633" t="s">
        <v>1466</v>
      </c>
      <c r="L2633" t="s">
        <v>62</v>
      </c>
      <c r="M2633" t="s">
        <v>1466</v>
      </c>
      <c r="N2633" t="s">
        <v>1497</v>
      </c>
      <c r="O2633" t="s">
        <v>1498</v>
      </c>
      <c r="P2633">
        <v>-20.163160999999999</v>
      </c>
      <c r="Q2633">
        <v>-44.880460999999997</v>
      </c>
      <c r="R2633" s="2" t="str">
        <f>HYPERLINK("https://www.google.com/maps?q=-20.1631610,-44.8804610","Abrir no Google Maps")</f>
        <v>Abrir no Google Maps</v>
      </c>
      <c r="S2633">
        <v>2</v>
      </c>
      <c r="T2633">
        <v>372.63783804650222</v>
      </c>
      <c r="U2633">
        <v>3</v>
      </c>
      <c r="V2633">
        <v>0.4095165375005293</v>
      </c>
      <c r="W2633">
        <v>1</v>
      </c>
      <c r="X2633">
        <v>0.4095165375005293</v>
      </c>
      <c r="Y2633">
        <v>671</v>
      </c>
      <c r="Z2633">
        <v>250.43144487082299</v>
      </c>
      <c r="AA2633">
        <v>198</v>
      </c>
      <c r="AB2633">
        <v>332</v>
      </c>
      <c r="AC2633">
        <v>536</v>
      </c>
      <c r="AD2633">
        <v>29.96</v>
      </c>
      <c r="AE2633">
        <v>542</v>
      </c>
      <c r="AF2633">
        <v>29</v>
      </c>
      <c r="AG2633">
        <v>174</v>
      </c>
      <c r="AH2633">
        <v>129</v>
      </c>
      <c r="AI2633">
        <v>5.35</v>
      </c>
      <c r="AJ2633">
        <v>32.1</v>
      </c>
      <c r="AK2633">
        <v>23.8</v>
      </c>
      <c r="AL2633">
        <v>-20.163296749999969</v>
      </c>
      <c r="AM2633">
        <v>-44.88037544059182</v>
      </c>
      <c r="AN2633">
        <v>-20.163296749999969</v>
      </c>
      <c r="AO2633">
        <v>-44.88037544059182</v>
      </c>
      <c r="AP2633">
        <v>-20.163160999999999</v>
      </c>
      <c r="AQ2633">
        <v>-44.880460999999997</v>
      </c>
      <c r="AR2633">
        <v>17.558482416121191</v>
      </c>
      <c r="AS2633" t="s">
        <v>65</v>
      </c>
      <c r="AT2633">
        <v>1</v>
      </c>
      <c r="AU2633" t="s">
        <v>1499</v>
      </c>
      <c r="AV2633" t="s">
        <v>1500</v>
      </c>
      <c r="AW2633" t="s">
        <v>60</v>
      </c>
      <c r="AX2633" t="s">
        <v>68</v>
      </c>
      <c r="AY2633" t="s">
        <v>69</v>
      </c>
      <c r="AZ2633" t="b">
        <v>1</v>
      </c>
    </row>
    <row r="2634" spans="1:52" x14ac:dyDescent="0.3">
      <c r="A2634" t="s">
        <v>52</v>
      </c>
      <c r="B2634" t="s">
        <v>53</v>
      </c>
      <c r="C2634" t="s">
        <v>54</v>
      </c>
      <c r="D2634" t="s">
        <v>55</v>
      </c>
      <c r="E2634" t="s">
        <v>2155</v>
      </c>
      <c r="F2634" t="s">
        <v>1247</v>
      </c>
      <c r="G2634" t="s">
        <v>1501</v>
      </c>
      <c r="H2634" t="s">
        <v>1502</v>
      </c>
      <c r="I2634" t="s">
        <v>1502</v>
      </c>
      <c r="J2634" t="s">
        <v>60</v>
      </c>
      <c r="K2634" t="s">
        <v>1466</v>
      </c>
      <c r="L2634" t="s">
        <v>62</v>
      </c>
      <c r="M2634" t="s">
        <v>1466</v>
      </c>
      <c r="N2634" t="s">
        <v>1503</v>
      </c>
      <c r="O2634" t="s">
        <v>1504</v>
      </c>
      <c r="P2634">
        <v>-20.159618999999999</v>
      </c>
      <c r="Q2634">
        <v>-44.880065000000002</v>
      </c>
      <c r="R2634" s="2" t="str">
        <f>HYPERLINK("https://www.google.com/maps?q=-20.1596190,-44.8800650","Abrir no Google Maps")</f>
        <v>Abrir no Google Maps</v>
      </c>
      <c r="S2634">
        <v>2</v>
      </c>
      <c r="T2634">
        <v>243.9950282285559</v>
      </c>
      <c r="U2634">
        <v>3</v>
      </c>
      <c r="V2634">
        <v>0.41372493354137768</v>
      </c>
      <c r="W2634">
        <v>1</v>
      </c>
      <c r="X2634">
        <v>0.41372493354137768</v>
      </c>
      <c r="Y2634">
        <v>671</v>
      </c>
      <c r="Z2634">
        <v>265.31354384517681</v>
      </c>
      <c r="AA2634">
        <v>198</v>
      </c>
      <c r="AB2634">
        <v>332</v>
      </c>
      <c r="AC2634">
        <v>536</v>
      </c>
      <c r="AD2634">
        <v>29.96</v>
      </c>
      <c r="AE2634">
        <v>542</v>
      </c>
      <c r="AF2634">
        <v>29</v>
      </c>
      <c r="AG2634">
        <v>174</v>
      </c>
      <c r="AH2634">
        <v>129</v>
      </c>
      <c r="AI2634">
        <v>5.35</v>
      </c>
      <c r="AJ2634">
        <v>32.1</v>
      </c>
      <c r="AK2634">
        <v>23.8</v>
      </c>
      <c r="AL2634">
        <v>-20.159689949999969</v>
      </c>
      <c r="AM2634">
        <v>-44.880075072344489</v>
      </c>
      <c r="AN2634">
        <v>-20.159689949999969</v>
      </c>
      <c r="AO2634">
        <v>-44.880075072344489</v>
      </c>
      <c r="AP2634">
        <v>-20.159618999999999</v>
      </c>
      <c r="AQ2634">
        <v>-44.880065000000002</v>
      </c>
      <c r="AR2634">
        <v>7.9679809486040876</v>
      </c>
      <c r="AS2634" t="s">
        <v>65</v>
      </c>
      <c r="AT2634">
        <v>1</v>
      </c>
      <c r="AU2634" t="s">
        <v>1505</v>
      </c>
      <c r="AV2634" t="s">
        <v>1506</v>
      </c>
      <c r="AW2634" t="s">
        <v>60</v>
      </c>
      <c r="AX2634" t="s">
        <v>68</v>
      </c>
      <c r="AY2634" t="s">
        <v>69</v>
      </c>
      <c r="AZ2634" t="b">
        <v>1</v>
      </c>
    </row>
    <row r="2635" spans="1:52" x14ac:dyDescent="0.3">
      <c r="A2635" t="s">
        <v>52</v>
      </c>
      <c r="B2635" t="s">
        <v>53</v>
      </c>
      <c r="C2635" t="s">
        <v>54</v>
      </c>
      <c r="D2635" t="s">
        <v>55</v>
      </c>
      <c r="E2635" t="s">
        <v>2155</v>
      </c>
      <c r="F2635" t="s">
        <v>1247</v>
      </c>
      <c r="G2635" t="s">
        <v>1507</v>
      </c>
      <c r="H2635" t="s">
        <v>1508</v>
      </c>
      <c r="I2635" t="s">
        <v>1508</v>
      </c>
      <c r="J2635" t="s">
        <v>60</v>
      </c>
      <c r="K2635" t="s">
        <v>1466</v>
      </c>
      <c r="L2635" t="s">
        <v>62</v>
      </c>
      <c r="M2635" t="s">
        <v>1466</v>
      </c>
      <c r="N2635" t="s">
        <v>1509</v>
      </c>
      <c r="O2635" t="s">
        <v>270</v>
      </c>
      <c r="P2635">
        <v>-20.164501999999999</v>
      </c>
      <c r="Q2635">
        <v>-44.883226999999998</v>
      </c>
      <c r="R2635" s="2" t="str">
        <f>HYPERLINK("https://www.google.com/maps?q=-20.1645020,-44.8832270","Abrir no Google Maps")</f>
        <v>Abrir no Google Maps</v>
      </c>
      <c r="S2635">
        <v>2</v>
      </c>
      <c r="T2635">
        <v>691.62667420887726</v>
      </c>
      <c r="U2635">
        <v>3</v>
      </c>
      <c r="V2635">
        <v>0.41569603312591508</v>
      </c>
      <c r="W2635">
        <v>1</v>
      </c>
      <c r="X2635">
        <v>0.41569603312591508</v>
      </c>
      <c r="Y2635">
        <v>671</v>
      </c>
      <c r="Z2635">
        <v>591.13935302436732</v>
      </c>
      <c r="AA2635">
        <v>198</v>
      </c>
      <c r="AB2635">
        <v>332</v>
      </c>
      <c r="AC2635">
        <v>536</v>
      </c>
      <c r="AD2635">
        <v>29.96</v>
      </c>
      <c r="AE2635">
        <v>542</v>
      </c>
      <c r="AF2635">
        <v>29</v>
      </c>
      <c r="AG2635">
        <v>174</v>
      </c>
      <c r="AH2635">
        <v>129</v>
      </c>
      <c r="AI2635">
        <v>5.35</v>
      </c>
      <c r="AJ2635">
        <v>32.1</v>
      </c>
      <c r="AK2635">
        <v>23.8</v>
      </c>
      <c r="AL2635">
        <v>-20.164470149999939</v>
      </c>
      <c r="AM2635">
        <v>-44.883357321672527</v>
      </c>
      <c r="AN2635">
        <v>-20.164470149999939</v>
      </c>
      <c r="AO2635">
        <v>-44.883357321672527</v>
      </c>
      <c r="AP2635">
        <v>-20.164501999999999</v>
      </c>
      <c r="AQ2635">
        <v>-44.883226999999998</v>
      </c>
      <c r="AR2635">
        <v>14.072184947340521</v>
      </c>
      <c r="AS2635" t="s">
        <v>65</v>
      </c>
      <c r="AT2635">
        <v>1</v>
      </c>
      <c r="AU2635" t="s">
        <v>1510</v>
      </c>
      <c r="AV2635" t="s">
        <v>1511</v>
      </c>
      <c r="AW2635" t="s">
        <v>60</v>
      </c>
      <c r="AX2635" t="s">
        <v>68</v>
      </c>
      <c r="AY2635" t="s">
        <v>69</v>
      </c>
      <c r="AZ2635" t="b">
        <v>1</v>
      </c>
    </row>
    <row r="2636" spans="1:52" x14ac:dyDescent="0.3">
      <c r="A2636" t="s">
        <v>52</v>
      </c>
      <c r="B2636" t="s">
        <v>53</v>
      </c>
      <c r="C2636" t="s">
        <v>54</v>
      </c>
      <c r="D2636" t="s">
        <v>55</v>
      </c>
      <c r="E2636" t="s">
        <v>2155</v>
      </c>
      <c r="F2636" t="s">
        <v>1247</v>
      </c>
      <c r="G2636" t="s">
        <v>1333</v>
      </c>
      <c r="H2636" t="s">
        <v>1470</v>
      </c>
      <c r="I2636" t="s">
        <v>1470</v>
      </c>
      <c r="J2636" t="s">
        <v>60</v>
      </c>
      <c r="K2636" t="s">
        <v>437</v>
      </c>
      <c r="L2636" t="s">
        <v>62</v>
      </c>
      <c r="M2636" t="s">
        <v>437</v>
      </c>
      <c r="N2636" t="s">
        <v>1335</v>
      </c>
      <c r="O2636" t="s">
        <v>900</v>
      </c>
      <c r="P2636">
        <v>-20.147047000000001</v>
      </c>
      <c r="Q2636">
        <v>-44.883921999999998</v>
      </c>
      <c r="R2636" s="2" t="str">
        <f>HYPERLINK("https://www.google.com/maps?q=-20.1470470,-44.8839220","Abrir no Google Maps")</f>
        <v>Abrir no Google Maps</v>
      </c>
      <c r="S2636">
        <v>2</v>
      </c>
      <c r="T2636">
        <v>296.4098018832658</v>
      </c>
      <c r="U2636">
        <v>3</v>
      </c>
      <c r="V2636">
        <v>0.41466765353005891</v>
      </c>
      <c r="W2636">
        <v>1</v>
      </c>
      <c r="X2636">
        <v>0.41466765353005891</v>
      </c>
      <c r="Y2636">
        <v>653</v>
      </c>
      <c r="Z2636">
        <v>299.72271006042178</v>
      </c>
      <c r="AA2636">
        <v>198</v>
      </c>
      <c r="AB2636">
        <v>332</v>
      </c>
      <c r="AC2636">
        <v>536</v>
      </c>
      <c r="AD2636">
        <v>29.96</v>
      </c>
      <c r="AE2636">
        <v>542</v>
      </c>
      <c r="AF2636">
        <v>29</v>
      </c>
      <c r="AG2636">
        <v>174</v>
      </c>
      <c r="AH2636">
        <v>129</v>
      </c>
      <c r="AI2636">
        <v>5.35</v>
      </c>
      <c r="AJ2636">
        <v>32.1</v>
      </c>
      <c r="AK2636">
        <v>23.8</v>
      </c>
      <c r="AL2636">
        <v>-20.147074949999929</v>
      </c>
      <c r="AM2636">
        <v>-44.883796511502347</v>
      </c>
      <c r="AN2636">
        <v>-20.147074949999929</v>
      </c>
      <c r="AO2636">
        <v>-44.883796511502347</v>
      </c>
      <c r="AP2636">
        <v>-20.147047000000001</v>
      </c>
      <c r="AQ2636">
        <v>-44.883921999999998</v>
      </c>
      <c r="AR2636">
        <v>13.47864632994</v>
      </c>
      <c r="AS2636" t="s">
        <v>65</v>
      </c>
      <c r="AT2636">
        <v>1</v>
      </c>
      <c r="AU2636" t="s">
        <v>1471</v>
      </c>
      <c r="AV2636" t="s">
        <v>1472</v>
      </c>
      <c r="AW2636" t="s">
        <v>60</v>
      </c>
      <c r="AX2636" t="s">
        <v>68</v>
      </c>
      <c r="AY2636" t="s">
        <v>69</v>
      </c>
      <c r="AZ2636" t="b">
        <v>1</v>
      </c>
    </row>
    <row r="2637" spans="1:52" x14ac:dyDescent="0.3">
      <c r="A2637" t="s">
        <v>52</v>
      </c>
      <c r="B2637" t="s">
        <v>53</v>
      </c>
      <c r="C2637" t="s">
        <v>54</v>
      </c>
      <c r="D2637" t="s">
        <v>55</v>
      </c>
      <c r="E2637" t="s">
        <v>2155</v>
      </c>
      <c r="F2637" t="s">
        <v>1247</v>
      </c>
      <c r="G2637" t="s">
        <v>1512</v>
      </c>
      <c r="H2637" t="s">
        <v>1513</v>
      </c>
      <c r="I2637" t="s">
        <v>1513</v>
      </c>
      <c r="J2637" t="s">
        <v>60</v>
      </c>
      <c r="K2637" t="s">
        <v>1302</v>
      </c>
      <c r="L2637" t="s">
        <v>62</v>
      </c>
      <c r="M2637" t="s">
        <v>1302</v>
      </c>
      <c r="N2637" t="s">
        <v>1514</v>
      </c>
      <c r="O2637" t="s">
        <v>1515</v>
      </c>
      <c r="P2637">
        <v>-20.163709000000001</v>
      </c>
      <c r="Q2637">
        <v>-44.916074999999999</v>
      </c>
      <c r="R2637" s="2" t="str">
        <f>HYPERLINK("https://www.google.com/maps?q=-20.1637090,-44.9160750","Abrir no Google Maps")</f>
        <v>Abrir no Google Maps</v>
      </c>
      <c r="S2637">
        <v>2</v>
      </c>
      <c r="T2637">
        <v>305.09593452131332</v>
      </c>
      <c r="U2637">
        <v>3</v>
      </c>
      <c r="V2637">
        <v>0.40572862856755471</v>
      </c>
      <c r="W2637">
        <v>1</v>
      </c>
      <c r="X2637">
        <v>0.40572862856755471</v>
      </c>
      <c r="Y2637">
        <v>639</v>
      </c>
      <c r="Z2637">
        <v>289.37841230131949</v>
      </c>
      <c r="AA2637">
        <v>198</v>
      </c>
      <c r="AB2637">
        <v>332</v>
      </c>
      <c r="AC2637">
        <v>536</v>
      </c>
      <c r="AD2637">
        <v>29.96</v>
      </c>
      <c r="AE2637">
        <v>542</v>
      </c>
      <c r="AF2637">
        <v>29</v>
      </c>
      <c r="AG2637">
        <v>174</v>
      </c>
      <c r="AH2637">
        <v>129</v>
      </c>
      <c r="AI2637">
        <v>5.35</v>
      </c>
      <c r="AJ2637">
        <v>32.1</v>
      </c>
      <c r="AK2637">
        <v>23.8</v>
      </c>
      <c r="AL2637">
        <v>-20.163666449999969</v>
      </c>
      <c r="AM2637">
        <v>-44.916102906827042</v>
      </c>
      <c r="AN2637">
        <v>-20.163666449999969</v>
      </c>
      <c r="AO2637">
        <v>-44.916102906827042</v>
      </c>
      <c r="AP2637">
        <v>-20.163709000000001</v>
      </c>
      <c r="AQ2637">
        <v>-44.916074999999999</v>
      </c>
      <c r="AR2637">
        <v>5.5623892025550603</v>
      </c>
      <c r="AS2637" t="s">
        <v>65</v>
      </c>
      <c r="AT2637">
        <v>1</v>
      </c>
      <c r="AU2637" t="s">
        <v>1516</v>
      </c>
      <c r="AV2637" t="s">
        <v>1517</v>
      </c>
      <c r="AW2637" t="s">
        <v>60</v>
      </c>
      <c r="AX2637" t="s">
        <v>68</v>
      </c>
      <c r="AY2637" t="s">
        <v>69</v>
      </c>
      <c r="AZ2637" t="b">
        <v>1</v>
      </c>
    </row>
    <row r="2638" spans="1:52" x14ac:dyDescent="0.3">
      <c r="A2638" t="s">
        <v>52</v>
      </c>
      <c r="B2638" t="s">
        <v>53</v>
      </c>
      <c r="C2638" t="s">
        <v>54</v>
      </c>
      <c r="D2638" t="s">
        <v>55</v>
      </c>
      <c r="E2638" t="s">
        <v>2155</v>
      </c>
      <c r="F2638" t="s">
        <v>1247</v>
      </c>
      <c r="G2638" t="s">
        <v>1479</v>
      </c>
      <c r="H2638" t="s">
        <v>1480</v>
      </c>
      <c r="I2638" t="s">
        <v>1480</v>
      </c>
      <c r="J2638" t="s">
        <v>60</v>
      </c>
      <c r="K2638" t="s">
        <v>1302</v>
      </c>
      <c r="L2638" t="s">
        <v>62</v>
      </c>
      <c r="M2638" t="s">
        <v>1302</v>
      </c>
      <c r="N2638" t="s">
        <v>1481</v>
      </c>
      <c r="O2638" t="s">
        <v>1482</v>
      </c>
      <c r="P2638">
        <v>-20.164655</v>
      </c>
      <c r="Q2638">
        <v>-44.912697000000001</v>
      </c>
      <c r="R2638" s="2" t="str">
        <f>HYPERLINK("https://www.google.com/maps?q=-20.1646550,-44.9126970","Abrir no Google Maps")</f>
        <v>Abrir no Google Maps</v>
      </c>
      <c r="S2638">
        <v>2</v>
      </c>
      <c r="T2638">
        <v>441.50274004930441</v>
      </c>
      <c r="U2638">
        <v>3</v>
      </c>
      <c r="V2638">
        <v>0.42052493348601638</v>
      </c>
      <c r="W2638">
        <v>1</v>
      </c>
      <c r="X2638">
        <v>0.42052493348601638</v>
      </c>
      <c r="Y2638">
        <v>639</v>
      </c>
      <c r="Z2638">
        <v>311.03317029936522</v>
      </c>
      <c r="AA2638">
        <v>198</v>
      </c>
      <c r="AB2638">
        <v>332</v>
      </c>
      <c r="AC2638">
        <v>536</v>
      </c>
      <c r="AD2638">
        <v>29.96</v>
      </c>
      <c r="AE2638">
        <v>542</v>
      </c>
      <c r="AF2638">
        <v>29</v>
      </c>
      <c r="AG2638">
        <v>174</v>
      </c>
      <c r="AH2638">
        <v>129</v>
      </c>
      <c r="AI2638">
        <v>5.35</v>
      </c>
      <c r="AJ2638">
        <v>32.1</v>
      </c>
      <c r="AK2638">
        <v>23.8</v>
      </c>
      <c r="AL2638">
        <v>-20.164702999999971</v>
      </c>
      <c r="AM2638">
        <v>-44.912418857911163</v>
      </c>
      <c r="AN2638">
        <v>-20.164702999999971</v>
      </c>
      <c r="AO2638">
        <v>-44.912418857911163</v>
      </c>
      <c r="AP2638">
        <v>-20.164655</v>
      </c>
      <c r="AQ2638">
        <v>-44.912697000000001</v>
      </c>
      <c r="AR2638">
        <v>29.552017409892429</v>
      </c>
      <c r="AS2638" t="s">
        <v>65</v>
      </c>
      <c r="AT2638">
        <v>1</v>
      </c>
      <c r="AU2638" t="s">
        <v>1483</v>
      </c>
      <c r="AV2638" t="s">
        <v>1484</v>
      </c>
      <c r="AW2638" t="s">
        <v>60</v>
      </c>
      <c r="AX2638" t="s">
        <v>68</v>
      </c>
      <c r="AY2638" t="s">
        <v>69</v>
      </c>
      <c r="AZ2638" t="b">
        <v>1</v>
      </c>
    </row>
    <row r="2639" spans="1:52" x14ac:dyDescent="0.3">
      <c r="A2639" t="s">
        <v>52</v>
      </c>
      <c r="B2639" t="s">
        <v>53</v>
      </c>
      <c r="C2639" t="s">
        <v>54</v>
      </c>
      <c r="D2639" t="s">
        <v>55</v>
      </c>
      <c r="E2639" t="s">
        <v>2155</v>
      </c>
      <c r="F2639" t="s">
        <v>1247</v>
      </c>
      <c r="G2639" t="s">
        <v>1518</v>
      </c>
      <c r="H2639" t="s">
        <v>1519</v>
      </c>
      <c r="I2639" t="s">
        <v>1519</v>
      </c>
      <c r="J2639" t="s">
        <v>60</v>
      </c>
      <c r="K2639" t="s">
        <v>1302</v>
      </c>
      <c r="L2639" t="s">
        <v>62</v>
      </c>
      <c r="M2639" t="s">
        <v>1302</v>
      </c>
      <c r="N2639" t="s">
        <v>1520</v>
      </c>
      <c r="O2639" t="s">
        <v>1521</v>
      </c>
      <c r="P2639">
        <v>-20.16263</v>
      </c>
      <c r="Q2639">
        <v>-44.910342999999997</v>
      </c>
      <c r="R2639" s="2" t="str">
        <f>HYPERLINK("https://www.google.com/maps?q=-20.1626300,-44.9103430","Abrir no Google Maps")</f>
        <v>Abrir no Google Maps</v>
      </c>
      <c r="S2639">
        <v>2</v>
      </c>
      <c r="T2639">
        <v>492.63980270666781</v>
      </c>
      <c r="U2639">
        <v>3</v>
      </c>
      <c r="V2639">
        <v>0.4098856905678277</v>
      </c>
      <c r="W2639">
        <v>1</v>
      </c>
      <c r="X2639">
        <v>0.4098856905678277</v>
      </c>
      <c r="Y2639">
        <v>639</v>
      </c>
      <c r="Z2639">
        <v>412.49960371731271</v>
      </c>
      <c r="AA2639">
        <v>198</v>
      </c>
      <c r="AB2639">
        <v>332</v>
      </c>
      <c r="AC2639">
        <v>536</v>
      </c>
      <c r="AD2639">
        <v>29.96</v>
      </c>
      <c r="AE2639">
        <v>542</v>
      </c>
      <c r="AF2639">
        <v>29</v>
      </c>
      <c r="AG2639">
        <v>174</v>
      </c>
      <c r="AH2639">
        <v>129</v>
      </c>
      <c r="AI2639">
        <v>5.35</v>
      </c>
      <c r="AJ2639">
        <v>32.1</v>
      </c>
      <c r="AK2639">
        <v>23.8</v>
      </c>
      <c r="AL2639">
        <v>-20.162579949999952</v>
      </c>
      <c r="AM2639">
        <v>-44.910101148008863</v>
      </c>
      <c r="AN2639">
        <v>-20.162579949999952</v>
      </c>
      <c r="AO2639">
        <v>-44.910101148008863</v>
      </c>
      <c r="AP2639">
        <v>-20.16263</v>
      </c>
      <c r="AQ2639">
        <v>-44.910342999999997</v>
      </c>
      <c r="AR2639">
        <v>25.879932474893501</v>
      </c>
      <c r="AS2639" t="s">
        <v>65</v>
      </c>
      <c r="AT2639">
        <v>1</v>
      </c>
      <c r="AU2639" t="s">
        <v>1522</v>
      </c>
      <c r="AV2639" t="s">
        <v>1523</v>
      </c>
      <c r="AW2639" t="s">
        <v>60</v>
      </c>
      <c r="AX2639" t="s">
        <v>68</v>
      </c>
      <c r="AY2639" t="s">
        <v>69</v>
      </c>
      <c r="AZ2639" t="b">
        <v>1</v>
      </c>
    </row>
    <row r="2640" spans="1:52" x14ac:dyDescent="0.3">
      <c r="A2640" t="s">
        <v>52</v>
      </c>
      <c r="B2640" t="s">
        <v>53</v>
      </c>
      <c r="C2640" t="s">
        <v>54</v>
      </c>
      <c r="D2640" t="s">
        <v>55</v>
      </c>
      <c r="E2640" t="s">
        <v>2155</v>
      </c>
      <c r="F2640" t="s">
        <v>1247</v>
      </c>
      <c r="G2640" t="s">
        <v>1524</v>
      </c>
      <c r="H2640" t="s">
        <v>1525</v>
      </c>
      <c r="I2640" t="s">
        <v>1525</v>
      </c>
      <c r="J2640" t="s">
        <v>60</v>
      </c>
      <c r="K2640" t="s">
        <v>1302</v>
      </c>
      <c r="L2640" t="s">
        <v>62</v>
      </c>
      <c r="M2640" t="s">
        <v>1302</v>
      </c>
      <c r="N2640" t="s">
        <v>1526</v>
      </c>
      <c r="O2640" t="s">
        <v>303</v>
      </c>
      <c r="P2640">
        <v>-20.159873000000001</v>
      </c>
      <c r="Q2640">
        <v>-44.911431999999998</v>
      </c>
      <c r="R2640" s="2" t="str">
        <f>HYPERLINK("https://www.google.com/maps?q=-20.1598730,-44.9114320","Abrir no Google Maps")</f>
        <v>Abrir no Google Maps</v>
      </c>
      <c r="S2640">
        <v>2</v>
      </c>
      <c r="T2640">
        <v>359.34785817593553</v>
      </c>
      <c r="U2640">
        <v>3</v>
      </c>
      <c r="V2640">
        <v>0.41541995297050438</v>
      </c>
      <c r="W2640">
        <v>1</v>
      </c>
      <c r="X2640">
        <v>0.41541995297050438</v>
      </c>
      <c r="Y2640">
        <v>639</v>
      </c>
      <c r="Z2640">
        <v>388.13505700247691</v>
      </c>
      <c r="AA2640">
        <v>198</v>
      </c>
      <c r="AB2640">
        <v>332</v>
      </c>
      <c r="AC2640">
        <v>536</v>
      </c>
      <c r="AD2640">
        <v>29.96</v>
      </c>
      <c r="AE2640">
        <v>542</v>
      </c>
      <c r="AF2640">
        <v>29</v>
      </c>
      <c r="AG2640">
        <v>174</v>
      </c>
      <c r="AH2640">
        <v>129</v>
      </c>
      <c r="AI2640">
        <v>5.35</v>
      </c>
      <c r="AJ2640">
        <v>32.1</v>
      </c>
      <c r="AK2640">
        <v>23.8</v>
      </c>
      <c r="AL2640">
        <v>-20.159583599999969</v>
      </c>
      <c r="AM2640">
        <v>-44.911691929105316</v>
      </c>
      <c r="AN2640">
        <v>-20.159583599999969</v>
      </c>
      <c r="AO2640">
        <v>-44.911691929105316</v>
      </c>
      <c r="AP2640">
        <v>-20.159873000000001</v>
      </c>
      <c r="AQ2640">
        <v>-44.911431999999998</v>
      </c>
      <c r="AR2640">
        <v>42.138811218570019</v>
      </c>
      <c r="AS2640" t="s">
        <v>65</v>
      </c>
      <c r="AT2640">
        <v>1</v>
      </c>
      <c r="AU2640" t="s">
        <v>1527</v>
      </c>
      <c r="AV2640" t="s">
        <v>1528</v>
      </c>
      <c r="AW2640" t="s">
        <v>60</v>
      </c>
      <c r="AX2640" t="s">
        <v>68</v>
      </c>
      <c r="AY2640" t="s">
        <v>69</v>
      </c>
      <c r="AZ2640" t="b">
        <v>1</v>
      </c>
    </row>
    <row r="2641" spans="1:52" x14ac:dyDescent="0.3">
      <c r="A2641" t="s">
        <v>52</v>
      </c>
      <c r="B2641" t="s">
        <v>53</v>
      </c>
      <c r="C2641" t="s">
        <v>54</v>
      </c>
      <c r="D2641" t="s">
        <v>55</v>
      </c>
      <c r="E2641" t="s">
        <v>2155</v>
      </c>
      <c r="F2641" t="s">
        <v>1247</v>
      </c>
      <c r="G2641" t="s">
        <v>1534</v>
      </c>
      <c r="H2641" t="s">
        <v>1535</v>
      </c>
      <c r="I2641" t="s">
        <v>1535</v>
      </c>
      <c r="J2641" t="s">
        <v>60</v>
      </c>
      <c r="K2641" t="s">
        <v>1536</v>
      </c>
      <c r="L2641" t="s">
        <v>62</v>
      </c>
      <c r="M2641" t="s">
        <v>1536</v>
      </c>
      <c r="N2641" t="s">
        <v>1537</v>
      </c>
      <c r="O2641" t="s">
        <v>1538</v>
      </c>
      <c r="P2641">
        <v>-20.164618999999998</v>
      </c>
      <c r="Q2641">
        <v>-44.921776999999999</v>
      </c>
      <c r="R2641" s="2" t="str">
        <f>HYPERLINK("https://www.google.com/maps?q=-20.1646190,-44.9217770","Abrir no Google Maps")</f>
        <v>Abrir no Google Maps</v>
      </c>
      <c r="S2641">
        <v>2</v>
      </c>
      <c r="T2641">
        <v>835.70698013544222</v>
      </c>
      <c r="U2641">
        <v>2</v>
      </c>
      <c r="V2641">
        <v>0.43514060887512901</v>
      </c>
      <c r="W2641">
        <v>0.85</v>
      </c>
      <c r="X2641">
        <v>0.36986951754385972</v>
      </c>
      <c r="Y2641">
        <v>639</v>
      </c>
      <c r="Z2641">
        <v>821.59880323911125</v>
      </c>
      <c r="AA2641">
        <v>198</v>
      </c>
      <c r="AB2641">
        <v>332</v>
      </c>
      <c r="AC2641">
        <v>536</v>
      </c>
      <c r="AD2641">
        <v>29.96</v>
      </c>
      <c r="AE2641">
        <v>542</v>
      </c>
      <c r="AF2641">
        <v>29</v>
      </c>
      <c r="AG2641">
        <v>174</v>
      </c>
      <c r="AH2641">
        <v>129</v>
      </c>
      <c r="AI2641">
        <v>5.35</v>
      </c>
      <c r="AJ2641">
        <v>32.1</v>
      </c>
      <c r="AK2641">
        <v>23.8</v>
      </c>
      <c r="AL2641">
        <v>-20.164312499999969</v>
      </c>
      <c r="AM2641">
        <v>-44.921945691824099</v>
      </c>
      <c r="AN2641">
        <v>-20.164312499999969</v>
      </c>
      <c r="AO2641">
        <v>-44.921945691824099</v>
      </c>
      <c r="AP2641">
        <v>-20.164618999999998</v>
      </c>
      <c r="AQ2641">
        <v>-44.921776999999999</v>
      </c>
      <c r="AR2641">
        <v>38.404224975746608</v>
      </c>
      <c r="AS2641" t="s">
        <v>65</v>
      </c>
      <c r="AT2641">
        <v>1</v>
      </c>
      <c r="AU2641" t="s">
        <v>1539</v>
      </c>
      <c r="AV2641" t="s">
        <v>1540</v>
      </c>
      <c r="AW2641" t="s">
        <v>60</v>
      </c>
      <c r="AX2641" t="s">
        <v>68</v>
      </c>
      <c r="AY2641" t="s">
        <v>69</v>
      </c>
      <c r="AZ2641" t="b">
        <v>1</v>
      </c>
    </row>
    <row r="2642" spans="1:52" x14ac:dyDescent="0.3">
      <c r="A2642" t="s">
        <v>52</v>
      </c>
      <c r="B2642" t="s">
        <v>53</v>
      </c>
      <c r="C2642" t="s">
        <v>54</v>
      </c>
      <c r="D2642" t="s">
        <v>55</v>
      </c>
      <c r="E2642" t="s">
        <v>2155</v>
      </c>
      <c r="F2642" t="s">
        <v>1247</v>
      </c>
      <c r="G2642" t="s">
        <v>1547</v>
      </c>
      <c r="H2642" t="s">
        <v>1548</v>
      </c>
      <c r="I2642" t="s">
        <v>1548</v>
      </c>
      <c r="J2642" t="s">
        <v>60</v>
      </c>
      <c r="K2642" t="s">
        <v>1549</v>
      </c>
      <c r="L2642" t="s">
        <v>62</v>
      </c>
      <c r="M2642" t="s">
        <v>1549</v>
      </c>
      <c r="N2642" t="s">
        <v>1550</v>
      </c>
      <c r="O2642" t="s">
        <v>1551</v>
      </c>
      <c r="P2642">
        <v>-20.173258000000001</v>
      </c>
      <c r="Q2642">
        <v>-44.930354000000001</v>
      </c>
      <c r="R2642" s="2" t="str">
        <f>HYPERLINK("https://www.google.com/maps?q=-20.1732580,-44.9303540","Abrir no Google Maps")</f>
        <v>Abrir no Google Maps</v>
      </c>
      <c r="S2642">
        <v>2</v>
      </c>
      <c r="T2642">
        <v>2023.802197028052</v>
      </c>
      <c r="U2642">
        <v>1</v>
      </c>
      <c r="V2642">
        <v>0.40486336617200819</v>
      </c>
      <c r="W2642">
        <v>0.85</v>
      </c>
      <c r="X2642">
        <v>0.34413386124620687</v>
      </c>
      <c r="Y2642">
        <v>723</v>
      </c>
      <c r="Z2642">
        <v>1727.7445576555911</v>
      </c>
      <c r="AA2642">
        <v>198</v>
      </c>
      <c r="AB2642">
        <v>332</v>
      </c>
      <c r="AC2642">
        <v>536</v>
      </c>
      <c r="AD2642">
        <v>29.96</v>
      </c>
      <c r="AE2642">
        <v>542</v>
      </c>
      <c r="AF2642">
        <v>29</v>
      </c>
      <c r="AG2642">
        <v>174</v>
      </c>
      <c r="AH2642">
        <v>129</v>
      </c>
      <c r="AI2642">
        <v>5.35</v>
      </c>
      <c r="AJ2642">
        <v>32.1</v>
      </c>
      <c r="AK2642">
        <v>23.8</v>
      </c>
      <c r="AL2642">
        <v>-20.172996449999939</v>
      </c>
      <c r="AM2642">
        <v>-44.930058436825973</v>
      </c>
      <c r="AN2642">
        <v>-20.172996449999939</v>
      </c>
      <c r="AO2642">
        <v>-44.930058436825973</v>
      </c>
      <c r="AP2642">
        <v>-20.173258000000001</v>
      </c>
      <c r="AQ2642">
        <v>-44.930354000000001</v>
      </c>
      <c r="AR2642">
        <v>42.444455141884362</v>
      </c>
      <c r="AS2642" t="s">
        <v>65</v>
      </c>
      <c r="AT2642">
        <v>1</v>
      </c>
      <c r="AU2642" t="s">
        <v>1552</v>
      </c>
      <c r="AV2642" t="s">
        <v>1553</v>
      </c>
      <c r="AW2642" t="s">
        <v>60</v>
      </c>
      <c r="AX2642" t="s">
        <v>68</v>
      </c>
      <c r="AY2642" t="s">
        <v>69</v>
      </c>
      <c r="AZ2642" t="b">
        <v>1</v>
      </c>
    </row>
    <row r="2643" spans="1:52" x14ac:dyDescent="0.3">
      <c r="A2643" t="s">
        <v>52</v>
      </c>
      <c r="B2643" t="s">
        <v>53</v>
      </c>
      <c r="C2643" t="s">
        <v>54</v>
      </c>
      <c r="D2643" t="s">
        <v>55</v>
      </c>
      <c r="E2643" t="s">
        <v>2155</v>
      </c>
      <c r="F2643" t="s">
        <v>1247</v>
      </c>
      <c r="G2643" t="s">
        <v>1554</v>
      </c>
      <c r="H2643" t="s">
        <v>1555</v>
      </c>
      <c r="I2643" t="s">
        <v>1555</v>
      </c>
      <c r="J2643" t="s">
        <v>60</v>
      </c>
      <c r="K2643" t="s">
        <v>1466</v>
      </c>
      <c r="L2643" t="s">
        <v>62</v>
      </c>
      <c r="M2643" t="s">
        <v>1466</v>
      </c>
      <c r="N2643" t="s">
        <v>1556</v>
      </c>
      <c r="O2643" t="s">
        <v>989</v>
      </c>
      <c r="P2643">
        <v>-20.160997999999999</v>
      </c>
      <c r="Q2643">
        <v>-44.878385999999999</v>
      </c>
      <c r="R2643" s="2" t="str">
        <f>HYPERLINK("https://www.google.com/maps?q=-20.1609980,-44.8783860","Abrir no Google Maps")</f>
        <v>Abrir no Google Maps</v>
      </c>
      <c r="S2643">
        <v>2</v>
      </c>
      <c r="T2643">
        <v>0</v>
      </c>
      <c r="U2643">
        <v>1</v>
      </c>
      <c r="V2643">
        <v>0.39323731054826572</v>
      </c>
      <c r="W2643">
        <v>0.85</v>
      </c>
      <c r="X2643">
        <v>0.33425171396602588</v>
      </c>
      <c r="Y2643">
        <v>671</v>
      </c>
      <c r="Z2643">
        <v>74.014802531188664</v>
      </c>
      <c r="AA2643">
        <v>198</v>
      </c>
      <c r="AB2643">
        <v>332</v>
      </c>
      <c r="AC2643">
        <v>536</v>
      </c>
      <c r="AD2643">
        <v>29.96</v>
      </c>
      <c r="AE2643">
        <v>542</v>
      </c>
      <c r="AF2643">
        <v>29</v>
      </c>
      <c r="AG2643">
        <v>174</v>
      </c>
      <c r="AH2643">
        <v>129</v>
      </c>
      <c r="AI2643">
        <v>5.35</v>
      </c>
      <c r="AJ2643">
        <v>32.1</v>
      </c>
      <c r="AK2643">
        <v>23.8</v>
      </c>
      <c r="AL2643">
        <v>-20.160758199999979</v>
      </c>
      <c r="AM2643">
        <v>-44.878032519747983</v>
      </c>
      <c r="AN2643">
        <v>-20.160758199999979</v>
      </c>
      <c r="AO2643">
        <v>-44.878032519747983</v>
      </c>
      <c r="AP2643">
        <v>-20.160997999999999</v>
      </c>
      <c r="AQ2643">
        <v>-44.878385999999999</v>
      </c>
      <c r="AR2643">
        <v>45.574638830261883</v>
      </c>
      <c r="AS2643" t="s">
        <v>65</v>
      </c>
      <c r="AT2643">
        <v>1</v>
      </c>
      <c r="AU2643" t="s">
        <v>1557</v>
      </c>
      <c r="AV2643" t="s">
        <v>1558</v>
      </c>
      <c r="AW2643" t="s">
        <v>60</v>
      </c>
      <c r="AX2643" t="s">
        <v>68</v>
      </c>
      <c r="AY2643" t="s">
        <v>69</v>
      </c>
      <c r="AZ2643" t="b">
        <v>1</v>
      </c>
    </row>
    <row r="2644" spans="1:52" x14ac:dyDescent="0.3">
      <c r="A2644" t="s">
        <v>52</v>
      </c>
      <c r="B2644" t="s">
        <v>53</v>
      </c>
      <c r="C2644" t="s">
        <v>54</v>
      </c>
      <c r="D2644" t="s">
        <v>55</v>
      </c>
      <c r="E2644" t="s">
        <v>2155</v>
      </c>
      <c r="F2644" t="s">
        <v>1247</v>
      </c>
      <c r="G2644" t="s">
        <v>1529</v>
      </c>
      <c r="H2644" t="s">
        <v>1530</v>
      </c>
      <c r="I2644" t="s">
        <v>1530</v>
      </c>
      <c r="J2644" t="s">
        <v>60</v>
      </c>
      <c r="K2644" t="s">
        <v>1466</v>
      </c>
      <c r="L2644" t="s">
        <v>62</v>
      </c>
      <c r="M2644" t="s">
        <v>1466</v>
      </c>
      <c r="N2644" t="s">
        <v>1531</v>
      </c>
      <c r="O2644" t="s">
        <v>145</v>
      </c>
      <c r="P2644">
        <v>-20.162952000000001</v>
      </c>
      <c r="Q2644">
        <v>-44.877612999999997</v>
      </c>
      <c r="R2644" s="2" t="str">
        <f>HYPERLINK("https://www.google.com/maps?q=-20.1629520,-44.8776130","Abrir no Google Maps")</f>
        <v>Abrir no Google Maps</v>
      </c>
      <c r="S2644">
        <v>2</v>
      </c>
      <c r="T2644">
        <v>229.91388913695721</v>
      </c>
      <c r="U2644">
        <v>1</v>
      </c>
      <c r="V2644">
        <v>0.40998777866124808</v>
      </c>
      <c r="W2644">
        <v>0.85</v>
      </c>
      <c r="X2644">
        <v>0.34848961186206079</v>
      </c>
      <c r="Y2644">
        <v>671</v>
      </c>
      <c r="Z2644">
        <v>157.6775523644973</v>
      </c>
      <c r="AA2644">
        <v>198</v>
      </c>
      <c r="AB2644">
        <v>332</v>
      </c>
      <c r="AC2644">
        <v>536</v>
      </c>
      <c r="AD2644">
        <v>29.96</v>
      </c>
      <c r="AE2644">
        <v>542</v>
      </c>
      <c r="AF2644">
        <v>29</v>
      </c>
      <c r="AG2644">
        <v>174</v>
      </c>
      <c r="AH2644">
        <v>129</v>
      </c>
      <c r="AI2644">
        <v>5.35</v>
      </c>
      <c r="AJ2644">
        <v>32.1</v>
      </c>
      <c r="AK2644">
        <v>23.8</v>
      </c>
      <c r="AL2644">
        <v>-20.16278829999996</v>
      </c>
      <c r="AM2644">
        <v>-44.877564655204168</v>
      </c>
      <c r="AN2644">
        <v>-20.16278829999996</v>
      </c>
      <c r="AO2644">
        <v>-44.877564655204168</v>
      </c>
      <c r="AP2644">
        <v>-20.162952000000001</v>
      </c>
      <c r="AQ2644">
        <v>-44.877612999999997</v>
      </c>
      <c r="AR2644">
        <v>18.91038935762678</v>
      </c>
      <c r="AS2644" t="s">
        <v>65</v>
      </c>
      <c r="AT2644">
        <v>1</v>
      </c>
      <c r="AU2644" t="s">
        <v>1532</v>
      </c>
      <c r="AV2644" t="s">
        <v>1533</v>
      </c>
      <c r="AW2644" t="s">
        <v>60</v>
      </c>
      <c r="AX2644" t="s">
        <v>68</v>
      </c>
      <c r="AY2644" t="s">
        <v>69</v>
      </c>
      <c r="AZ2644" t="b">
        <v>1</v>
      </c>
    </row>
    <row r="2645" spans="1:52" x14ac:dyDescent="0.3">
      <c r="A2645" t="s">
        <v>52</v>
      </c>
      <c r="B2645" t="s">
        <v>53</v>
      </c>
      <c r="C2645" t="s">
        <v>54</v>
      </c>
      <c r="D2645" t="s">
        <v>55</v>
      </c>
      <c r="E2645" t="s">
        <v>2155</v>
      </c>
      <c r="F2645" t="s">
        <v>1247</v>
      </c>
      <c r="G2645" t="s">
        <v>1541</v>
      </c>
      <c r="H2645" t="s">
        <v>1542</v>
      </c>
      <c r="I2645" t="s">
        <v>1542</v>
      </c>
      <c r="J2645" t="s">
        <v>60</v>
      </c>
      <c r="K2645" t="s">
        <v>1302</v>
      </c>
      <c r="L2645" t="s">
        <v>62</v>
      </c>
      <c r="M2645" t="s">
        <v>1302</v>
      </c>
      <c r="N2645" t="s">
        <v>1543</v>
      </c>
      <c r="O2645" t="s">
        <v>1544</v>
      </c>
      <c r="P2645">
        <v>-20.166267999999999</v>
      </c>
      <c r="Q2645">
        <v>-44.916902</v>
      </c>
      <c r="R2645" s="2" t="str">
        <f>HYPERLINK("https://www.google.com/maps?q=-20.1662680,-44.9169020","Abrir no Google Maps")</f>
        <v>Abrir no Google Maps</v>
      </c>
      <c r="S2645">
        <v>2</v>
      </c>
      <c r="T2645">
        <v>580.14556008922216</v>
      </c>
      <c r="U2645">
        <v>1</v>
      </c>
      <c r="V2645">
        <v>0.40345987472606548</v>
      </c>
      <c r="W2645">
        <v>0.85</v>
      </c>
      <c r="X2645">
        <v>0.34294089351715568</v>
      </c>
      <c r="Y2645">
        <v>639</v>
      </c>
      <c r="Z2645">
        <v>590.87477783185614</v>
      </c>
      <c r="AA2645">
        <v>198</v>
      </c>
      <c r="AB2645">
        <v>332</v>
      </c>
      <c r="AC2645">
        <v>536</v>
      </c>
      <c r="AD2645">
        <v>29.96</v>
      </c>
      <c r="AE2645">
        <v>542</v>
      </c>
      <c r="AF2645">
        <v>29</v>
      </c>
      <c r="AG2645">
        <v>174</v>
      </c>
      <c r="AH2645">
        <v>129</v>
      </c>
      <c r="AI2645">
        <v>5.35</v>
      </c>
      <c r="AJ2645">
        <v>32.1</v>
      </c>
      <c r="AK2645">
        <v>23.8</v>
      </c>
      <c r="AL2645">
        <v>-20.165891749999961</v>
      </c>
      <c r="AM2645">
        <v>-44.917283075074913</v>
      </c>
      <c r="AN2645">
        <v>-20.165891749999961</v>
      </c>
      <c r="AO2645">
        <v>-44.917283075074913</v>
      </c>
      <c r="AP2645">
        <v>-20.166267999999999</v>
      </c>
      <c r="AQ2645">
        <v>-44.916902</v>
      </c>
      <c r="AR2645">
        <v>57.792534087281872</v>
      </c>
      <c r="AS2645" t="s">
        <v>65</v>
      </c>
      <c r="AT2645">
        <v>1</v>
      </c>
      <c r="AU2645" t="s">
        <v>1545</v>
      </c>
      <c r="AV2645" t="s">
        <v>1546</v>
      </c>
      <c r="AW2645" t="s">
        <v>60</v>
      </c>
      <c r="AX2645" t="s">
        <v>68</v>
      </c>
      <c r="AY2645" t="s">
        <v>69</v>
      </c>
      <c r="AZ2645" t="b">
        <v>1</v>
      </c>
    </row>
    <row r="2646" spans="1:52" x14ac:dyDescent="0.3">
      <c r="A2646" t="s">
        <v>52</v>
      </c>
      <c r="B2646" t="s">
        <v>53</v>
      </c>
      <c r="C2646" t="s">
        <v>54</v>
      </c>
      <c r="D2646" t="s">
        <v>55</v>
      </c>
      <c r="E2646" t="s">
        <v>2155</v>
      </c>
      <c r="F2646" t="s">
        <v>1247</v>
      </c>
      <c r="G2646" t="s">
        <v>1559</v>
      </c>
      <c r="H2646" t="s">
        <v>1560</v>
      </c>
      <c r="I2646" t="s">
        <v>1560</v>
      </c>
      <c r="J2646" t="s">
        <v>60</v>
      </c>
      <c r="K2646" t="s">
        <v>61</v>
      </c>
      <c r="L2646" t="s">
        <v>62</v>
      </c>
      <c r="M2646" t="s">
        <v>61</v>
      </c>
      <c r="N2646" t="s">
        <v>1561</v>
      </c>
      <c r="O2646" t="s">
        <v>1562</v>
      </c>
      <c r="P2646">
        <v>-20.154959000000002</v>
      </c>
      <c r="Q2646">
        <v>-44.91525</v>
      </c>
      <c r="R2646" s="2" t="str">
        <f>HYPERLINK("https://www.google.com/maps?q=-20.1549590,-44.9152500","Abrir no Google Maps")</f>
        <v>Abrir no Google Maps</v>
      </c>
      <c r="S2646">
        <v>2</v>
      </c>
      <c r="T2646">
        <v>738.36411213380245</v>
      </c>
      <c r="U2646">
        <v>1</v>
      </c>
      <c r="V2646">
        <v>0.1875</v>
      </c>
      <c r="W2646">
        <v>0.85</v>
      </c>
      <c r="X2646">
        <v>0.15937499999999999</v>
      </c>
      <c r="Y2646">
        <v>639</v>
      </c>
      <c r="Z2646">
        <v>860.82840850294542</v>
      </c>
      <c r="AA2646">
        <v>198</v>
      </c>
      <c r="AB2646">
        <v>332</v>
      </c>
      <c r="AC2646">
        <v>536</v>
      </c>
      <c r="AD2646">
        <v>29.96</v>
      </c>
      <c r="AE2646">
        <v>542</v>
      </c>
      <c r="AF2646">
        <v>29</v>
      </c>
      <c r="AG2646">
        <v>174</v>
      </c>
      <c r="AH2646">
        <v>129</v>
      </c>
      <c r="AI2646">
        <v>5.35</v>
      </c>
      <c r="AJ2646">
        <v>32.1</v>
      </c>
      <c r="AK2646">
        <v>23.8</v>
      </c>
      <c r="AL2646">
        <v>-20.154629849999939</v>
      </c>
      <c r="AM2646">
        <v>-44.914951620624052</v>
      </c>
      <c r="AN2646">
        <v>-20.154629849999939</v>
      </c>
      <c r="AO2646">
        <v>-44.914951620624052</v>
      </c>
      <c r="AP2646">
        <v>-20.154959000000002</v>
      </c>
      <c r="AQ2646">
        <v>-44.91525</v>
      </c>
      <c r="AR2646">
        <v>48.11297170616912</v>
      </c>
      <c r="AS2646" t="s">
        <v>65</v>
      </c>
      <c r="AT2646">
        <v>1</v>
      </c>
      <c r="AU2646" t="s">
        <v>1563</v>
      </c>
      <c r="AV2646" t="s">
        <v>1564</v>
      </c>
      <c r="AW2646" t="s">
        <v>60</v>
      </c>
      <c r="AX2646" t="s">
        <v>68</v>
      </c>
      <c r="AY2646" t="s">
        <v>69</v>
      </c>
      <c r="AZ2646" t="b">
        <v>1</v>
      </c>
    </row>
    <row r="2647" spans="1:52" x14ac:dyDescent="0.3">
      <c r="A2647" t="s">
        <v>52</v>
      </c>
      <c r="B2647" t="s">
        <v>53</v>
      </c>
      <c r="C2647" t="s">
        <v>54</v>
      </c>
      <c r="D2647" t="s">
        <v>55</v>
      </c>
      <c r="E2647" t="s">
        <v>2155</v>
      </c>
      <c r="F2647" t="s">
        <v>1247</v>
      </c>
      <c r="G2647" t="s">
        <v>631</v>
      </c>
      <c r="H2647" t="s">
        <v>1565</v>
      </c>
      <c r="I2647" t="s">
        <v>1565</v>
      </c>
      <c r="J2647" t="s">
        <v>60</v>
      </c>
      <c r="K2647" t="s">
        <v>530</v>
      </c>
      <c r="L2647" t="s">
        <v>62</v>
      </c>
      <c r="M2647" t="s">
        <v>530</v>
      </c>
      <c r="N2647" t="s">
        <v>633</v>
      </c>
      <c r="O2647" t="s">
        <v>1566</v>
      </c>
      <c r="P2647">
        <v>-20.143915</v>
      </c>
      <c r="Q2647">
        <v>-44.8947</v>
      </c>
      <c r="R2647" s="2" t="str">
        <f>HYPERLINK("https://www.google.com/maps?q=-20.1439150,-44.8947000","Abrir no Google Maps")</f>
        <v>Abrir no Google Maps</v>
      </c>
      <c r="S2647">
        <v>1</v>
      </c>
      <c r="T2647">
        <v>327.74435325417051</v>
      </c>
      <c r="U2647">
        <v>4</v>
      </c>
      <c r="V2647">
        <v>0.43076448663853728</v>
      </c>
      <c r="W2647">
        <v>1</v>
      </c>
      <c r="X2647">
        <v>0.43076448663853728</v>
      </c>
      <c r="Y2647">
        <v>602</v>
      </c>
      <c r="Z2647">
        <v>236.41345279429891</v>
      </c>
      <c r="AA2647">
        <v>198</v>
      </c>
      <c r="AB2647">
        <v>332</v>
      </c>
      <c r="AC2647">
        <v>536</v>
      </c>
      <c r="AD2647">
        <v>29.96</v>
      </c>
      <c r="AE2647">
        <v>542</v>
      </c>
      <c r="AF2647">
        <v>29</v>
      </c>
      <c r="AG2647">
        <v>174</v>
      </c>
      <c r="AH2647">
        <v>129</v>
      </c>
      <c r="AI2647">
        <v>5.35</v>
      </c>
      <c r="AJ2647">
        <v>32.1</v>
      </c>
      <c r="AK2647">
        <v>23.8</v>
      </c>
      <c r="AL2647">
        <v>-20.143900549999959</v>
      </c>
      <c r="AM2647">
        <v>-44.894835636584318</v>
      </c>
      <c r="AN2647">
        <v>-20.143900549999959</v>
      </c>
      <c r="AO2647">
        <v>-44.894835636584318</v>
      </c>
      <c r="AP2647">
        <v>-20.143915</v>
      </c>
      <c r="AQ2647">
        <v>-44.8947</v>
      </c>
      <c r="AR2647">
        <v>14.266440053785869</v>
      </c>
      <c r="AS2647" t="s">
        <v>65</v>
      </c>
      <c r="AT2647">
        <v>1</v>
      </c>
      <c r="AU2647" t="s">
        <v>1567</v>
      </c>
      <c r="AV2647" t="s">
        <v>1568</v>
      </c>
      <c r="AW2647" t="s">
        <v>60</v>
      </c>
      <c r="AX2647" t="s">
        <v>68</v>
      </c>
      <c r="AY2647" t="s">
        <v>69</v>
      </c>
      <c r="AZ2647" t="b">
        <v>1</v>
      </c>
    </row>
    <row r="2648" spans="1:52" x14ac:dyDescent="0.3">
      <c r="A2648" t="s">
        <v>52</v>
      </c>
      <c r="B2648" t="s">
        <v>53</v>
      </c>
      <c r="C2648" t="s">
        <v>54</v>
      </c>
      <c r="D2648" t="s">
        <v>55</v>
      </c>
      <c r="E2648" t="s">
        <v>2155</v>
      </c>
      <c r="F2648" t="s">
        <v>1247</v>
      </c>
      <c r="G2648" t="s">
        <v>1569</v>
      </c>
      <c r="H2648" t="s">
        <v>1574</v>
      </c>
      <c r="I2648" t="s">
        <v>1574</v>
      </c>
      <c r="J2648" t="s">
        <v>60</v>
      </c>
      <c r="K2648" t="s">
        <v>530</v>
      </c>
      <c r="L2648" t="s">
        <v>62</v>
      </c>
      <c r="M2648" t="s">
        <v>530</v>
      </c>
      <c r="N2648" t="s">
        <v>1571</v>
      </c>
      <c r="O2648" t="s">
        <v>1575</v>
      </c>
      <c r="P2648">
        <v>-20.14554</v>
      </c>
      <c r="Q2648">
        <v>-44.895606000000001</v>
      </c>
      <c r="R2648" s="2" t="str">
        <f>HYPERLINK("https://www.google.com/maps?q=-20.1455400,-44.8956060","Abrir no Google Maps")</f>
        <v>Abrir no Google Maps</v>
      </c>
      <c r="S2648">
        <v>1</v>
      </c>
      <c r="T2648">
        <v>218.66647838959381</v>
      </c>
      <c r="U2648">
        <v>4</v>
      </c>
      <c r="V2648">
        <v>0.4270576923076923</v>
      </c>
      <c r="W2648">
        <v>1</v>
      </c>
      <c r="X2648">
        <v>0.4270576923076923</v>
      </c>
      <c r="Y2648">
        <v>602</v>
      </c>
      <c r="Z2648">
        <v>263.6501043391637</v>
      </c>
      <c r="AA2648">
        <v>198</v>
      </c>
      <c r="AB2648">
        <v>332</v>
      </c>
      <c r="AC2648">
        <v>536</v>
      </c>
      <c r="AD2648">
        <v>29.96</v>
      </c>
      <c r="AE2648">
        <v>542</v>
      </c>
      <c r="AF2648">
        <v>29</v>
      </c>
      <c r="AG2648">
        <v>174</v>
      </c>
      <c r="AH2648">
        <v>129</v>
      </c>
      <c r="AI2648">
        <v>5.35</v>
      </c>
      <c r="AJ2648">
        <v>32.1</v>
      </c>
      <c r="AK2648">
        <v>23.8</v>
      </c>
      <c r="AL2648">
        <v>-20.145504749999962</v>
      </c>
      <c r="AM2648">
        <v>-44.89561499588882</v>
      </c>
      <c r="AN2648">
        <v>-20.145504749999962</v>
      </c>
      <c r="AO2648">
        <v>-44.89561499588882</v>
      </c>
      <c r="AP2648">
        <v>-20.14554</v>
      </c>
      <c r="AQ2648">
        <v>-44.895606000000001</v>
      </c>
      <c r="AR2648">
        <v>4.0350843151508604</v>
      </c>
      <c r="AS2648" t="s">
        <v>65</v>
      </c>
      <c r="AT2648">
        <v>1</v>
      </c>
      <c r="AU2648" t="s">
        <v>1576</v>
      </c>
      <c r="AV2648" t="s">
        <v>1577</v>
      </c>
      <c r="AW2648" t="s">
        <v>60</v>
      </c>
      <c r="AX2648" t="s">
        <v>68</v>
      </c>
      <c r="AY2648" t="s">
        <v>69</v>
      </c>
      <c r="AZ2648" t="b">
        <v>1</v>
      </c>
    </row>
    <row r="2649" spans="1:52" x14ac:dyDescent="0.3">
      <c r="A2649" t="s">
        <v>52</v>
      </c>
      <c r="B2649" t="s">
        <v>53</v>
      </c>
      <c r="C2649" t="s">
        <v>54</v>
      </c>
      <c r="D2649" t="s">
        <v>55</v>
      </c>
      <c r="E2649" t="s">
        <v>2155</v>
      </c>
      <c r="F2649" t="s">
        <v>1247</v>
      </c>
      <c r="G2649" t="s">
        <v>1578</v>
      </c>
      <c r="H2649" t="s">
        <v>1579</v>
      </c>
      <c r="I2649" t="s">
        <v>1579</v>
      </c>
      <c r="J2649" t="s">
        <v>60</v>
      </c>
      <c r="K2649" t="s">
        <v>530</v>
      </c>
      <c r="L2649" t="s">
        <v>62</v>
      </c>
      <c r="M2649" t="s">
        <v>530</v>
      </c>
      <c r="N2649" t="s">
        <v>1580</v>
      </c>
      <c r="O2649" t="s">
        <v>1581</v>
      </c>
      <c r="P2649">
        <v>-20.143713999999999</v>
      </c>
      <c r="Q2649">
        <v>-44.897387999999999</v>
      </c>
      <c r="R2649" s="2" t="str">
        <f>HYPERLINK("https://www.google.com/maps?q=-20.1437140,-44.8973880","Abrir no Google Maps")</f>
        <v>Abrir no Google Maps</v>
      </c>
      <c r="S2649">
        <v>1</v>
      </c>
      <c r="T2649">
        <v>354.74438118735611</v>
      </c>
      <c r="U2649">
        <v>4</v>
      </c>
      <c r="V2649">
        <v>0.4296483213473935</v>
      </c>
      <c r="W2649">
        <v>1</v>
      </c>
      <c r="X2649">
        <v>0.4296483213473935</v>
      </c>
      <c r="Y2649">
        <v>588</v>
      </c>
      <c r="Z2649">
        <v>336.29881064197872</v>
      </c>
      <c r="AA2649">
        <v>198</v>
      </c>
      <c r="AB2649">
        <v>332</v>
      </c>
      <c r="AC2649">
        <v>536</v>
      </c>
      <c r="AD2649">
        <v>29.96</v>
      </c>
      <c r="AE2649">
        <v>542</v>
      </c>
      <c r="AF2649">
        <v>29</v>
      </c>
      <c r="AG2649">
        <v>174</v>
      </c>
      <c r="AH2649">
        <v>129</v>
      </c>
      <c r="AI2649">
        <v>5.35</v>
      </c>
      <c r="AJ2649">
        <v>32.1</v>
      </c>
      <c r="AK2649">
        <v>23.8</v>
      </c>
      <c r="AL2649">
        <v>-20.14371329999997</v>
      </c>
      <c r="AM2649">
        <v>-44.897384604125257</v>
      </c>
      <c r="AN2649">
        <v>-20.14371329999997</v>
      </c>
      <c r="AO2649">
        <v>-44.897384604125257</v>
      </c>
      <c r="AP2649">
        <v>-20.143713999999999</v>
      </c>
      <c r="AQ2649">
        <v>-44.897387999999999</v>
      </c>
      <c r="AR2649">
        <v>0.36335934693921551</v>
      </c>
      <c r="AS2649" t="s">
        <v>65</v>
      </c>
      <c r="AT2649">
        <v>1</v>
      </c>
      <c r="AU2649" t="s">
        <v>1582</v>
      </c>
      <c r="AV2649" t="s">
        <v>1583</v>
      </c>
      <c r="AW2649" t="s">
        <v>60</v>
      </c>
      <c r="AX2649" t="s">
        <v>68</v>
      </c>
      <c r="AY2649" t="s">
        <v>69</v>
      </c>
      <c r="AZ2649" t="b">
        <v>1</v>
      </c>
    </row>
    <row r="2650" spans="1:52" x14ac:dyDescent="0.3">
      <c r="A2650" t="s">
        <v>52</v>
      </c>
      <c r="B2650" t="s">
        <v>53</v>
      </c>
      <c r="C2650" t="s">
        <v>54</v>
      </c>
      <c r="D2650" t="s">
        <v>55</v>
      </c>
      <c r="E2650" t="s">
        <v>2155</v>
      </c>
      <c r="F2650" t="s">
        <v>1247</v>
      </c>
      <c r="G2650" t="s">
        <v>1584</v>
      </c>
      <c r="H2650" t="s">
        <v>1585</v>
      </c>
      <c r="I2650" t="s">
        <v>1585</v>
      </c>
      <c r="J2650" t="s">
        <v>60</v>
      </c>
      <c r="K2650" t="s">
        <v>530</v>
      </c>
      <c r="L2650" t="s">
        <v>62</v>
      </c>
      <c r="M2650" t="s">
        <v>530</v>
      </c>
      <c r="N2650" t="s">
        <v>406</v>
      </c>
      <c r="O2650" t="s">
        <v>1586</v>
      </c>
      <c r="P2650">
        <v>-20.141316</v>
      </c>
      <c r="Q2650">
        <v>-44.896424000000003</v>
      </c>
      <c r="R2650" s="2" t="str">
        <f>HYPERLINK("https://www.google.com/maps?q=-20.1413160,-44.8964240","Abrir no Google Maps")</f>
        <v>Abrir no Google Maps</v>
      </c>
      <c r="S2650">
        <v>1</v>
      </c>
      <c r="T2650">
        <v>236.6687095166524</v>
      </c>
      <c r="U2650">
        <v>4</v>
      </c>
      <c r="V2650">
        <v>0.4327932622442166</v>
      </c>
      <c r="W2650">
        <v>1</v>
      </c>
      <c r="X2650">
        <v>0.4327932622442166</v>
      </c>
      <c r="Y2650">
        <v>588</v>
      </c>
      <c r="Z2650">
        <v>255.50729797374251</v>
      </c>
      <c r="AA2650">
        <v>198</v>
      </c>
      <c r="AB2650">
        <v>332</v>
      </c>
      <c r="AC2650">
        <v>536</v>
      </c>
      <c r="AD2650">
        <v>29.96</v>
      </c>
      <c r="AE2650">
        <v>542</v>
      </c>
      <c r="AF2650">
        <v>29</v>
      </c>
      <c r="AG2650">
        <v>174</v>
      </c>
      <c r="AH2650">
        <v>129</v>
      </c>
      <c r="AI2650">
        <v>5.35</v>
      </c>
      <c r="AJ2650">
        <v>32.1</v>
      </c>
      <c r="AK2650">
        <v>23.8</v>
      </c>
      <c r="AL2650">
        <v>-20.141468299999961</v>
      </c>
      <c r="AM2650">
        <v>-44.896566678331098</v>
      </c>
      <c r="AN2650">
        <v>-20.141468299999961</v>
      </c>
      <c r="AO2650">
        <v>-44.896566678331098</v>
      </c>
      <c r="AP2650">
        <v>-20.141316</v>
      </c>
      <c r="AQ2650">
        <v>-44.896424000000003</v>
      </c>
      <c r="AR2650">
        <v>22.578666373759301</v>
      </c>
      <c r="AS2650" t="s">
        <v>65</v>
      </c>
      <c r="AT2650">
        <v>1</v>
      </c>
      <c r="AU2650" t="s">
        <v>1587</v>
      </c>
      <c r="AV2650" t="s">
        <v>1588</v>
      </c>
      <c r="AW2650" t="s">
        <v>60</v>
      </c>
      <c r="AX2650" t="s">
        <v>68</v>
      </c>
      <c r="AY2650" t="s">
        <v>69</v>
      </c>
      <c r="AZ2650" t="b">
        <v>1</v>
      </c>
    </row>
    <row r="2651" spans="1:52" x14ac:dyDescent="0.3">
      <c r="A2651" t="s">
        <v>52</v>
      </c>
      <c r="B2651" t="s">
        <v>53</v>
      </c>
      <c r="C2651" t="s">
        <v>54</v>
      </c>
      <c r="D2651" t="s">
        <v>55</v>
      </c>
      <c r="E2651" t="s">
        <v>2155</v>
      </c>
      <c r="F2651" t="s">
        <v>1247</v>
      </c>
      <c r="G2651" t="s">
        <v>1595</v>
      </c>
      <c r="H2651" t="s">
        <v>1596</v>
      </c>
      <c r="I2651" t="s">
        <v>1596</v>
      </c>
      <c r="J2651" t="s">
        <v>60</v>
      </c>
      <c r="K2651" t="s">
        <v>530</v>
      </c>
      <c r="L2651" t="s">
        <v>62</v>
      </c>
      <c r="M2651" t="s">
        <v>530</v>
      </c>
      <c r="N2651" t="s">
        <v>1006</v>
      </c>
      <c r="O2651" t="s">
        <v>1597</v>
      </c>
      <c r="P2651">
        <v>-20.139135</v>
      </c>
      <c r="Q2651">
        <v>-44.895907000000001</v>
      </c>
      <c r="R2651" s="2" t="str">
        <f>HYPERLINK("https://www.google.com/maps?q=-20.1391350,-44.8959070","Abrir no Google Maps")</f>
        <v>Abrir no Google Maps</v>
      </c>
      <c r="S2651">
        <v>1</v>
      </c>
      <c r="T2651">
        <v>324.98342996447241</v>
      </c>
      <c r="U2651">
        <v>4</v>
      </c>
      <c r="V2651">
        <v>0.42609926550652338</v>
      </c>
      <c r="W2651">
        <v>1</v>
      </c>
      <c r="X2651">
        <v>0.42609926550652338</v>
      </c>
      <c r="Y2651">
        <v>588</v>
      </c>
      <c r="Z2651">
        <v>411.69998599301618</v>
      </c>
      <c r="AA2651">
        <v>198</v>
      </c>
      <c r="AB2651">
        <v>332</v>
      </c>
      <c r="AC2651">
        <v>536</v>
      </c>
      <c r="AD2651">
        <v>29.96</v>
      </c>
      <c r="AE2651">
        <v>542</v>
      </c>
      <c r="AF2651">
        <v>29</v>
      </c>
      <c r="AG2651">
        <v>174</v>
      </c>
      <c r="AH2651">
        <v>129</v>
      </c>
      <c r="AI2651">
        <v>5.35</v>
      </c>
      <c r="AJ2651">
        <v>32.1</v>
      </c>
      <c r="AK2651">
        <v>23.8</v>
      </c>
      <c r="AL2651">
        <v>-20.139299649999941</v>
      </c>
      <c r="AM2651">
        <v>-44.896005009217312</v>
      </c>
      <c r="AN2651">
        <v>-20.139299649999941</v>
      </c>
      <c r="AO2651">
        <v>-44.896005009217312</v>
      </c>
      <c r="AP2651">
        <v>-20.139135</v>
      </c>
      <c r="AQ2651">
        <v>-44.895907000000001</v>
      </c>
      <c r="AR2651">
        <v>20.996943428875841</v>
      </c>
      <c r="AS2651" t="s">
        <v>65</v>
      </c>
      <c r="AT2651">
        <v>1</v>
      </c>
      <c r="AU2651" t="s">
        <v>1598</v>
      </c>
      <c r="AV2651" t="s">
        <v>1599</v>
      </c>
      <c r="AW2651" t="s">
        <v>60</v>
      </c>
      <c r="AX2651" t="s">
        <v>68</v>
      </c>
      <c r="AY2651" t="s">
        <v>69</v>
      </c>
      <c r="AZ2651" t="b">
        <v>1</v>
      </c>
    </row>
    <row r="2652" spans="1:52" x14ac:dyDescent="0.3">
      <c r="A2652" t="s">
        <v>52</v>
      </c>
      <c r="B2652" t="s">
        <v>53</v>
      </c>
      <c r="C2652" t="s">
        <v>54</v>
      </c>
      <c r="D2652" t="s">
        <v>55</v>
      </c>
      <c r="E2652" t="s">
        <v>2155</v>
      </c>
      <c r="F2652" t="s">
        <v>1247</v>
      </c>
      <c r="G2652" t="s">
        <v>1342</v>
      </c>
      <c r="H2652" t="s">
        <v>1600</v>
      </c>
      <c r="I2652" t="s">
        <v>1600</v>
      </c>
      <c r="J2652" t="s">
        <v>60</v>
      </c>
      <c r="K2652" t="s">
        <v>462</v>
      </c>
      <c r="L2652" t="s">
        <v>62</v>
      </c>
      <c r="M2652" t="s">
        <v>462</v>
      </c>
      <c r="N2652" t="s">
        <v>921</v>
      </c>
      <c r="O2652" t="s">
        <v>1601</v>
      </c>
      <c r="P2652">
        <v>-20.140741999999999</v>
      </c>
      <c r="Q2652">
        <v>-44.902729000000001</v>
      </c>
      <c r="R2652" s="2" t="str">
        <f>HYPERLINK("https://www.google.com/maps?q=-20.1407420,-44.9027290","Abrir no Google Maps")</f>
        <v>Abrir no Google Maps</v>
      </c>
      <c r="S2652">
        <v>1</v>
      </c>
      <c r="T2652">
        <v>373.97936588503438</v>
      </c>
      <c r="U2652">
        <v>4</v>
      </c>
      <c r="V2652">
        <v>0.42506893022695807</v>
      </c>
      <c r="W2652">
        <v>1</v>
      </c>
      <c r="X2652">
        <v>0.42506893022695807</v>
      </c>
      <c r="Y2652">
        <v>588</v>
      </c>
      <c r="Z2652">
        <v>427.55758539734131</v>
      </c>
      <c r="AA2652">
        <v>198</v>
      </c>
      <c r="AB2652">
        <v>332</v>
      </c>
      <c r="AC2652">
        <v>536</v>
      </c>
      <c r="AD2652">
        <v>29.96</v>
      </c>
      <c r="AE2652">
        <v>542</v>
      </c>
      <c r="AF2652">
        <v>29</v>
      </c>
      <c r="AG2652">
        <v>174</v>
      </c>
      <c r="AH2652">
        <v>129</v>
      </c>
      <c r="AI2652">
        <v>5.35</v>
      </c>
      <c r="AJ2652">
        <v>32.1</v>
      </c>
      <c r="AK2652">
        <v>23.8</v>
      </c>
      <c r="AL2652">
        <v>-20.140729549999971</v>
      </c>
      <c r="AM2652">
        <v>-44.902779454814521</v>
      </c>
      <c r="AN2652">
        <v>-20.140729549999971</v>
      </c>
      <c r="AO2652">
        <v>-44.902779454814521</v>
      </c>
      <c r="AP2652">
        <v>-20.140741999999999</v>
      </c>
      <c r="AQ2652">
        <v>-44.902729000000001</v>
      </c>
      <c r="AR2652">
        <v>5.4522610212697993</v>
      </c>
      <c r="AS2652" t="s">
        <v>65</v>
      </c>
      <c r="AT2652">
        <v>1</v>
      </c>
      <c r="AU2652" t="s">
        <v>1602</v>
      </c>
      <c r="AV2652" t="s">
        <v>1603</v>
      </c>
      <c r="AW2652" t="s">
        <v>60</v>
      </c>
      <c r="AX2652" t="s">
        <v>68</v>
      </c>
      <c r="AY2652" t="s">
        <v>69</v>
      </c>
      <c r="AZ2652" t="b">
        <v>1</v>
      </c>
    </row>
    <row r="2653" spans="1:52" x14ac:dyDescent="0.3">
      <c r="A2653" t="s">
        <v>52</v>
      </c>
      <c r="B2653" t="s">
        <v>53</v>
      </c>
      <c r="C2653" t="s">
        <v>54</v>
      </c>
      <c r="D2653" t="s">
        <v>55</v>
      </c>
      <c r="E2653" t="s">
        <v>2155</v>
      </c>
      <c r="F2653" t="s">
        <v>1247</v>
      </c>
      <c r="G2653" t="s">
        <v>1607</v>
      </c>
      <c r="H2653" t="s">
        <v>1608</v>
      </c>
      <c r="I2653" t="s">
        <v>1608</v>
      </c>
      <c r="J2653" t="s">
        <v>60</v>
      </c>
      <c r="K2653" t="s">
        <v>1486</v>
      </c>
      <c r="L2653" t="s">
        <v>62</v>
      </c>
      <c r="M2653" t="s">
        <v>1486</v>
      </c>
      <c r="N2653" t="s">
        <v>1609</v>
      </c>
      <c r="O2653" t="s">
        <v>1255</v>
      </c>
      <c r="P2653">
        <v>-20.157689000000001</v>
      </c>
      <c r="Q2653">
        <v>-44.883887000000001</v>
      </c>
      <c r="R2653" s="2" t="str">
        <f>HYPERLINK("https://www.google.com/maps?q=-20.1576890,-44.8838870","Abrir no Google Maps")</f>
        <v>Abrir no Google Maps</v>
      </c>
      <c r="S2653">
        <v>1</v>
      </c>
      <c r="T2653">
        <v>603.38424821205774</v>
      </c>
      <c r="U2653">
        <v>3</v>
      </c>
      <c r="V2653">
        <v>0.41304465253992029</v>
      </c>
      <c r="W2653">
        <v>1</v>
      </c>
      <c r="X2653">
        <v>0.41304465253992029</v>
      </c>
      <c r="Y2653">
        <v>671</v>
      </c>
      <c r="Z2653">
        <v>682.48636898467089</v>
      </c>
      <c r="AA2653">
        <v>198</v>
      </c>
      <c r="AB2653">
        <v>332</v>
      </c>
      <c r="AC2653">
        <v>536</v>
      </c>
      <c r="AD2653">
        <v>29.96</v>
      </c>
      <c r="AE2653">
        <v>542</v>
      </c>
      <c r="AF2653">
        <v>29</v>
      </c>
      <c r="AG2653">
        <v>174</v>
      </c>
      <c r="AH2653">
        <v>129</v>
      </c>
      <c r="AI2653">
        <v>5.35</v>
      </c>
      <c r="AJ2653">
        <v>32.1</v>
      </c>
      <c r="AK2653">
        <v>23.8</v>
      </c>
      <c r="AL2653">
        <v>-20.157732249999949</v>
      </c>
      <c r="AM2653">
        <v>-44.883829923283272</v>
      </c>
      <c r="AN2653">
        <v>-20.157732249999949</v>
      </c>
      <c r="AO2653">
        <v>-44.883829923283272</v>
      </c>
      <c r="AP2653">
        <v>-20.157689000000001</v>
      </c>
      <c r="AQ2653">
        <v>-44.883887000000001</v>
      </c>
      <c r="AR2653">
        <v>7.6652901074925257</v>
      </c>
      <c r="AS2653" t="s">
        <v>65</v>
      </c>
      <c r="AT2653">
        <v>1</v>
      </c>
      <c r="AU2653" t="s">
        <v>1610</v>
      </c>
      <c r="AV2653" t="s">
        <v>1611</v>
      </c>
      <c r="AW2653" t="s">
        <v>60</v>
      </c>
      <c r="AX2653" t="s">
        <v>68</v>
      </c>
      <c r="AY2653" t="s">
        <v>69</v>
      </c>
      <c r="AZ2653" t="b">
        <v>1</v>
      </c>
    </row>
    <row r="2654" spans="1:52" x14ac:dyDescent="0.3">
      <c r="A2654" t="s">
        <v>52</v>
      </c>
      <c r="B2654" t="s">
        <v>53</v>
      </c>
      <c r="C2654" t="s">
        <v>54</v>
      </c>
      <c r="D2654" t="s">
        <v>55</v>
      </c>
      <c r="E2654" t="s">
        <v>2155</v>
      </c>
      <c r="F2654" t="s">
        <v>1247</v>
      </c>
      <c r="G2654" t="s">
        <v>1589</v>
      </c>
      <c r="H2654" t="s">
        <v>1590</v>
      </c>
      <c r="I2654" t="s">
        <v>1590</v>
      </c>
      <c r="J2654" t="s">
        <v>60</v>
      </c>
      <c r="K2654" t="s">
        <v>1591</v>
      </c>
      <c r="L2654" t="s">
        <v>62</v>
      </c>
      <c r="M2654" t="s">
        <v>1591</v>
      </c>
      <c r="N2654" t="s">
        <v>1592</v>
      </c>
      <c r="O2654" t="s">
        <v>659</v>
      </c>
      <c r="P2654">
        <v>-20.140789000000002</v>
      </c>
      <c r="Q2654">
        <v>-44.898631000000002</v>
      </c>
      <c r="R2654" s="2" t="str">
        <f>HYPERLINK("https://www.google.com/maps?q=-20.1407890,-44.8986310","Abrir no Google Maps")</f>
        <v>Abrir no Google Maps</v>
      </c>
      <c r="S2654">
        <v>1</v>
      </c>
      <c r="T2654">
        <v>0</v>
      </c>
      <c r="U2654">
        <v>3</v>
      </c>
      <c r="V2654">
        <v>0.4208733263711078</v>
      </c>
      <c r="W2654">
        <v>1</v>
      </c>
      <c r="X2654">
        <v>0.4208733263711078</v>
      </c>
      <c r="Y2654">
        <v>588</v>
      </c>
      <c r="Z2654">
        <v>51.152636251897107</v>
      </c>
      <c r="AA2654">
        <v>198</v>
      </c>
      <c r="AB2654">
        <v>332</v>
      </c>
      <c r="AC2654">
        <v>536</v>
      </c>
      <c r="AD2654">
        <v>29.96</v>
      </c>
      <c r="AE2654">
        <v>542</v>
      </c>
      <c r="AF2654">
        <v>29</v>
      </c>
      <c r="AG2654">
        <v>174</v>
      </c>
      <c r="AH2654">
        <v>129</v>
      </c>
      <c r="AI2654">
        <v>5.35</v>
      </c>
      <c r="AJ2654">
        <v>32.1</v>
      </c>
      <c r="AK2654">
        <v>23.8</v>
      </c>
      <c r="AL2654">
        <v>-20.140759399999951</v>
      </c>
      <c r="AM2654">
        <v>-44.898703172474903</v>
      </c>
      <c r="AN2654">
        <v>-20.140759399999951</v>
      </c>
      <c r="AO2654">
        <v>-44.898703172474903</v>
      </c>
      <c r="AP2654">
        <v>-20.140789000000002</v>
      </c>
      <c r="AQ2654">
        <v>-44.898631000000002</v>
      </c>
      <c r="AR2654">
        <v>8.2312502179962053</v>
      </c>
      <c r="AS2654" t="s">
        <v>65</v>
      </c>
      <c r="AT2654">
        <v>1</v>
      </c>
      <c r="AU2654" t="s">
        <v>1593</v>
      </c>
      <c r="AV2654" t="s">
        <v>1594</v>
      </c>
      <c r="AW2654" t="s">
        <v>60</v>
      </c>
      <c r="AX2654" t="s">
        <v>68</v>
      </c>
      <c r="AY2654" t="s">
        <v>69</v>
      </c>
      <c r="AZ2654" t="b">
        <v>1</v>
      </c>
    </row>
    <row r="2655" spans="1:52" x14ac:dyDescent="0.3">
      <c r="A2655" t="s">
        <v>52</v>
      </c>
      <c r="B2655" t="s">
        <v>53</v>
      </c>
      <c r="C2655" t="s">
        <v>54</v>
      </c>
      <c r="D2655" t="s">
        <v>55</v>
      </c>
      <c r="E2655" t="s">
        <v>2155</v>
      </c>
      <c r="F2655" t="s">
        <v>1247</v>
      </c>
      <c r="G2655" t="s">
        <v>1584</v>
      </c>
      <c r="H2655" t="s">
        <v>1604</v>
      </c>
      <c r="I2655" t="s">
        <v>1604</v>
      </c>
      <c r="J2655" t="s">
        <v>60</v>
      </c>
      <c r="K2655" t="s">
        <v>530</v>
      </c>
      <c r="L2655" t="s">
        <v>62</v>
      </c>
      <c r="M2655" t="s">
        <v>530</v>
      </c>
      <c r="N2655" t="s">
        <v>406</v>
      </c>
      <c r="O2655" t="s">
        <v>1267</v>
      </c>
      <c r="P2655">
        <v>-20.147068000000001</v>
      </c>
      <c r="Q2655">
        <v>-44.898629999999997</v>
      </c>
      <c r="R2655" s="2" t="str">
        <f>HYPERLINK("https://www.google.com/maps?q=-20.1470680,-44.8986300","Abrir no Google Maps")</f>
        <v>Abrir no Google Maps</v>
      </c>
      <c r="S2655">
        <v>1</v>
      </c>
      <c r="T2655">
        <v>468.5580266389448</v>
      </c>
      <c r="U2655">
        <v>3</v>
      </c>
      <c r="V2655">
        <v>0.41767169786701658</v>
      </c>
      <c r="W2655">
        <v>1</v>
      </c>
      <c r="X2655">
        <v>0.41767169786701658</v>
      </c>
      <c r="Y2655">
        <v>556</v>
      </c>
      <c r="Z2655">
        <v>447.77738134922419</v>
      </c>
      <c r="AA2655">
        <v>198</v>
      </c>
      <c r="AB2655">
        <v>332</v>
      </c>
      <c r="AC2655">
        <v>536</v>
      </c>
      <c r="AD2655">
        <v>29.96</v>
      </c>
      <c r="AE2655">
        <v>542</v>
      </c>
      <c r="AF2655">
        <v>29</v>
      </c>
      <c r="AG2655">
        <v>174</v>
      </c>
      <c r="AH2655">
        <v>129</v>
      </c>
      <c r="AI2655">
        <v>5.35</v>
      </c>
      <c r="AJ2655">
        <v>32.1</v>
      </c>
      <c r="AK2655">
        <v>23.8</v>
      </c>
      <c r="AL2655">
        <v>-20.14701759999997</v>
      </c>
      <c r="AM2655">
        <v>-44.898633710342303</v>
      </c>
      <c r="AN2655">
        <v>-20.14701759999997</v>
      </c>
      <c r="AO2655">
        <v>-44.898633710342303</v>
      </c>
      <c r="AP2655">
        <v>-20.147068000000001</v>
      </c>
      <c r="AQ2655">
        <v>-44.898629999999997</v>
      </c>
      <c r="AR2655">
        <v>5.6239118246064832</v>
      </c>
      <c r="AS2655" t="s">
        <v>65</v>
      </c>
      <c r="AT2655">
        <v>1</v>
      </c>
      <c r="AU2655" t="s">
        <v>1605</v>
      </c>
      <c r="AV2655" t="s">
        <v>1606</v>
      </c>
      <c r="AW2655" t="s">
        <v>60</v>
      </c>
      <c r="AX2655" t="s">
        <v>68</v>
      </c>
      <c r="AY2655" t="s">
        <v>69</v>
      </c>
      <c r="AZ2655" t="b">
        <v>1</v>
      </c>
    </row>
    <row r="2656" spans="1:52" x14ac:dyDescent="0.3">
      <c r="A2656" t="s">
        <v>52</v>
      </c>
      <c r="B2656" t="s">
        <v>53</v>
      </c>
      <c r="C2656" t="s">
        <v>54</v>
      </c>
      <c r="D2656" t="s">
        <v>55</v>
      </c>
      <c r="E2656" t="s">
        <v>2155</v>
      </c>
      <c r="F2656" t="s">
        <v>1247</v>
      </c>
      <c r="G2656" t="s">
        <v>1569</v>
      </c>
      <c r="H2656" t="s">
        <v>1570</v>
      </c>
      <c r="I2656" t="s">
        <v>1570</v>
      </c>
      <c r="J2656" t="s">
        <v>60</v>
      </c>
      <c r="K2656" t="s">
        <v>530</v>
      </c>
      <c r="L2656" t="s">
        <v>62</v>
      </c>
      <c r="M2656" t="s">
        <v>530</v>
      </c>
      <c r="N2656" t="s">
        <v>1571</v>
      </c>
      <c r="O2656" t="s">
        <v>598</v>
      </c>
      <c r="P2656">
        <v>-20.146418000000001</v>
      </c>
      <c r="Q2656">
        <v>-44.893861999999999</v>
      </c>
      <c r="R2656" s="2" t="str">
        <f>HYPERLINK("https://www.google.com/maps?q=-20.1464180,-44.8938620","Abrir no Google Maps")</f>
        <v>Abrir no Google Maps</v>
      </c>
      <c r="S2656">
        <v>1</v>
      </c>
      <c r="T2656">
        <v>0</v>
      </c>
      <c r="U2656">
        <v>2</v>
      </c>
      <c r="V2656">
        <v>0.44087842308595337</v>
      </c>
      <c r="W2656">
        <v>0.85</v>
      </c>
      <c r="X2656">
        <v>0.37474665962306042</v>
      </c>
      <c r="Y2656">
        <v>602</v>
      </c>
      <c r="Z2656">
        <v>124.5475134899211</v>
      </c>
      <c r="AA2656">
        <v>198</v>
      </c>
      <c r="AB2656">
        <v>332</v>
      </c>
      <c r="AC2656">
        <v>536</v>
      </c>
      <c r="AD2656">
        <v>29.96</v>
      </c>
      <c r="AE2656">
        <v>542</v>
      </c>
      <c r="AF2656">
        <v>29</v>
      </c>
      <c r="AG2656">
        <v>174</v>
      </c>
      <c r="AH2656">
        <v>129</v>
      </c>
      <c r="AI2656">
        <v>5.35</v>
      </c>
      <c r="AJ2656">
        <v>32.1</v>
      </c>
      <c r="AK2656">
        <v>23.8</v>
      </c>
      <c r="AL2656">
        <v>-20.146753399999941</v>
      </c>
      <c r="AM2656">
        <v>-44.893993355901941</v>
      </c>
      <c r="AN2656">
        <v>-20.146753399999941</v>
      </c>
      <c r="AO2656">
        <v>-44.893993355901941</v>
      </c>
      <c r="AP2656">
        <v>-20.146418000000001</v>
      </c>
      <c r="AQ2656">
        <v>-44.893861999999999</v>
      </c>
      <c r="AR2656">
        <v>39.780457157851913</v>
      </c>
      <c r="AS2656" t="s">
        <v>65</v>
      </c>
      <c r="AT2656">
        <v>1</v>
      </c>
      <c r="AU2656" t="s">
        <v>1572</v>
      </c>
      <c r="AV2656" t="s">
        <v>1573</v>
      </c>
      <c r="AW2656" t="s">
        <v>60</v>
      </c>
      <c r="AX2656" t="s">
        <v>68</v>
      </c>
      <c r="AY2656" t="s">
        <v>69</v>
      </c>
      <c r="AZ2656" t="b">
        <v>1</v>
      </c>
    </row>
    <row r="2657" spans="1:52" x14ac:dyDescent="0.3">
      <c r="A2657" t="s">
        <v>52</v>
      </c>
      <c r="B2657" t="s">
        <v>53</v>
      </c>
      <c r="C2657" t="s">
        <v>54</v>
      </c>
      <c r="D2657" t="s">
        <v>55</v>
      </c>
      <c r="E2657" t="s">
        <v>2155</v>
      </c>
      <c r="F2657" t="s">
        <v>1247</v>
      </c>
      <c r="G2657" t="s">
        <v>1612</v>
      </c>
      <c r="H2657" t="s">
        <v>1613</v>
      </c>
      <c r="I2657" t="s">
        <v>1613</v>
      </c>
      <c r="J2657" t="s">
        <v>60</v>
      </c>
      <c r="K2657" t="s">
        <v>1349</v>
      </c>
      <c r="L2657" t="s">
        <v>62</v>
      </c>
      <c r="M2657" t="s">
        <v>1349</v>
      </c>
      <c r="N2657" t="s">
        <v>1614</v>
      </c>
      <c r="O2657" t="s">
        <v>710</v>
      </c>
      <c r="P2657">
        <v>-20.141335999999999</v>
      </c>
      <c r="Q2657">
        <v>-44.901133000000002</v>
      </c>
      <c r="R2657" s="2" t="str">
        <f>HYPERLINK("https://www.google.com/maps?q=-20.1413360,-44.9011330","Abrir no Google Maps")</f>
        <v>Abrir no Google Maps</v>
      </c>
      <c r="S2657">
        <v>1</v>
      </c>
      <c r="T2657">
        <v>257.92927430829218</v>
      </c>
      <c r="U2657">
        <v>2</v>
      </c>
      <c r="V2657">
        <v>0.43586729362591431</v>
      </c>
      <c r="W2657">
        <v>0.85</v>
      </c>
      <c r="X2657">
        <v>0.37048719958202708</v>
      </c>
      <c r="Y2657">
        <v>588</v>
      </c>
      <c r="Z2657">
        <v>252.62617475231269</v>
      </c>
      <c r="AA2657">
        <v>198</v>
      </c>
      <c r="AB2657">
        <v>332</v>
      </c>
      <c r="AC2657">
        <v>536</v>
      </c>
      <c r="AD2657">
        <v>29.96</v>
      </c>
      <c r="AE2657">
        <v>542</v>
      </c>
      <c r="AF2657">
        <v>29</v>
      </c>
      <c r="AG2657">
        <v>174</v>
      </c>
      <c r="AH2657">
        <v>129</v>
      </c>
      <c r="AI2657">
        <v>5.35</v>
      </c>
      <c r="AJ2657">
        <v>32.1</v>
      </c>
      <c r="AK2657">
        <v>23.8</v>
      </c>
      <c r="AL2657">
        <v>-20.141297649999959</v>
      </c>
      <c r="AM2657">
        <v>-44.901104406351408</v>
      </c>
      <c r="AN2657">
        <v>-20.141297649999959</v>
      </c>
      <c r="AO2657">
        <v>-44.901104406351408</v>
      </c>
      <c r="AP2657">
        <v>-20.141335999999999</v>
      </c>
      <c r="AQ2657">
        <v>-44.901133000000002</v>
      </c>
      <c r="AR2657">
        <v>5.211130154459668</v>
      </c>
      <c r="AS2657" t="s">
        <v>65</v>
      </c>
      <c r="AT2657">
        <v>1</v>
      </c>
      <c r="AU2657" t="s">
        <v>1615</v>
      </c>
      <c r="AV2657" t="s">
        <v>1616</v>
      </c>
      <c r="AW2657" t="s">
        <v>60</v>
      </c>
      <c r="AX2657" t="s">
        <v>68</v>
      </c>
      <c r="AY2657" t="s">
        <v>69</v>
      </c>
      <c r="AZ2657" t="b">
        <v>1</v>
      </c>
    </row>
    <row r="2658" spans="1:52" x14ac:dyDescent="0.3">
      <c r="A2658" t="s">
        <v>52</v>
      </c>
      <c r="B2658" t="s">
        <v>53</v>
      </c>
      <c r="C2658" t="s">
        <v>54</v>
      </c>
      <c r="D2658" t="s">
        <v>55</v>
      </c>
      <c r="E2658" t="s">
        <v>2162</v>
      </c>
      <c r="F2658" t="s">
        <v>57</v>
      </c>
      <c r="G2658" t="s">
        <v>58</v>
      </c>
      <c r="H2658" t="s">
        <v>59</v>
      </c>
      <c r="I2658" t="s">
        <v>59</v>
      </c>
      <c r="J2658" t="s">
        <v>60</v>
      </c>
      <c r="K2658" t="s">
        <v>61</v>
      </c>
      <c r="L2658" t="s">
        <v>62</v>
      </c>
      <c r="M2658" t="s">
        <v>61</v>
      </c>
      <c r="N2658" t="s">
        <v>63</v>
      </c>
      <c r="O2658" t="s">
        <v>64</v>
      </c>
      <c r="P2658">
        <v>-20.147940999999999</v>
      </c>
      <c r="Q2658">
        <v>-44.906514000000001</v>
      </c>
      <c r="R2658" s="2" t="str">
        <f>HYPERLINK("https://www.google.com/maps?q=-20.1479410,-44.9065140","Abrir no Google Maps")</f>
        <v>Abrir no Google Maps</v>
      </c>
      <c r="S2658">
        <v>4</v>
      </c>
      <c r="T2658">
        <v>308.67004994113421</v>
      </c>
      <c r="U2658">
        <v>4</v>
      </c>
      <c r="V2658">
        <v>0.45111947455728341</v>
      </c>
      <c r="W2658">
        <v>1</v>
      </c>
      <c r="X2658">
        <v>0.45111947455728341</v>
      </c>
      <c r="Y2658">
        <v>747</v>
      </c>
      <c r="Z2658">
        <v>274.71440454502522</v>
      </c>
      <c r="AA2658">
        <v>198</v>
      </c>
      <c r="AB2658">
        <v>332</v>
      </c>
      <c r="AC2658">
        <v>536</v>
      </c>
      <c r="AD2658">
        <v>26.86</v>
      </c>
      <c r="AE2658">
        <v>542</v>
      </c>
      <c r="AF2658">
        <v>15</v>
      </c>
      <c r="AG2658">
        <v>178</v>
      </c>
      <c r="AH2658">
        <v>129</v>
      </c>
      <c r="AI2658">
        <v>2.77</v>
      </c>
      <c r="AJ2658">
        <v>32.840000000000003</v>
      </c>
      <c r="AK2658">
        <v>23.8</v>
      </c>
      <c r="AL2658">
        <v>-20.147947799999969</v>
      </c>
      <c r="AM2658">
        <v>-44.906591596129203</v>
      </c>
      <c r="AN2658">
        <v>-20.147947799999969</v>
      </c>
      <c r="AO2658">
        <v>-44.906591596129203</v>
      </c>
      <c r="AP2658">
        <v>-20.147940999999999</v>
      </c>
      <c r="AQ2658">
        <v>-44.906514000000001</v>
      </c>
      <c r="AR2658">
        <v>8.1446636170570326</v>
      </c>
      <c r="AS2658" t="s">
        <v>65</v>
      </c>
      <c r="AT2658">
        <v>1</v>
      </c>
      <c r="AU2658" t="s">
        <v>66</v>
      </c>
      <c r="AV2658" t="s">
        <v>67</v>
      </c>
      <c r="AW2658" t="s">
        <v>60</v>
      </c>
      <c r="AX2658" t="s">
        <v>68</v>
      </c>
      <c r="AY2658" t="s">
        <v>69</v>
      </c>
      <c r="AZ2658" t="b">
        <v>1</v>
      </c>
    </row>
    <row r="2659" spans="1:52" x14ac:dyDescent="0.3">
      <c r="A2659" t="s">
        <v>52</v>
      </c>
      <c r="B2659" t="s">
        <v>53</v>
      </c>
      <c r="C2659" t="s">
        <v>54</v>
      </c>
      <c r="D2659" t="s">
        <v>55</v>
      </c>
      <c r="E2659" t="s">
        <v>2162</v>
      </c>
      <c r="F2659" t="s">
        <v>57</v>
      </c>
      <c r="G2659" t="s">
        <v>70</v>
      </c>
      <c r="H2659" t="s">
        <v>71</v>
      </c>
      <c r="I2659" t="s">
        <v>71</v>
      </c>
      <c r="J2659" t="s">
        <v>60</v>
      </c>
      <c r="K2659" t="s">
        <v>72</v>
      </c>
      <c r="L2659" t="s">
        <v>62</v>
      </c>
      <c r="M2659" t="s">
        <v>72</v>
      </c>
      <c r="N2659" t="s">
        <v>73</v>
      </c>
      <c r="O2659" t="s">
        <v>74</v>
      </c>
      <c r="P2659">
        <v>-20.149349000000001</v>
      </c>
      <c r="Q2659">
        <v>-44.910784</v>
      </c>
      <c r="R2659" s="2" t="str">
        <f>HYPERLINK("https://www.google.com/maps?q=-20.1493490,-44.9107840","Abrir no Google Maps")</f>
        <v>Abrir no Google Maps</v>
      </c>
      <c r="S2659">
        <v>4</v>
      </c>
      <c r="T2659">
        <v>472.43876549769578</v>
      </c>
      <c r="U2659">
        <v>4</v>
      </c>
      <c r="V2659">
        <v>0.46225206368588878</v>
      </c>
      <c r="W2659">
        <v>1</v>
      </c>
      <c r="X2659">
        <v>0.46225206368588878</v>
      </c>
      <c r="Y2659">
        <v>747</v>
      </c>
      <c r="Z2659">
        <v>441.03921887407779</v>
      </c>
      <c r="AA2659">
        <v>198</v>
      </c>
      <c r="AB2659">
        <v>332</v>
      </c>
      <c r="AC2659">
        <v>536</v>
      </c>
      <c r="AD2659">
        <v>26.86</v>
      </c>
      <c r="AE2659">
        <v>542</v>
      </c>
      <c r="AF2659">
        <v>15</v>
      </c>
      <c r="AG2659">
        <v>178</v>
      </c>
      <c r="AH2659">
        <v>129</v>
      </c>
      <c r="AI2659">
        <v>2.77</v>
      </c>
      <c r="AJ2659">
        <v>32.840000000000003</v>
      </c>
      <c r="AK2659">
        <v>23.8</v>
      </c>
      <c r="AL2659">
        <v>-20.149403999999951</v>
      </c>
      <c r="AM2659">
        <v>-44.91080895147438</v>
      </c>
      <c r="AN2659">
        <v>-20.149403999999951</v>
      </c>
      <c r="AO2659">
        <v>-44.91080895147438</v>
      </c>
      <c r="AP2659">
        <v>-20.149349000000001</v>
      </c>
      <c r="AQ2659">
        <v>-44.910784</v>
      </c>
      <c r="AR2659">
        <v>6.6547592699416382</v>
      </c>
      <c r="AS2659" t="s">
        <v>65</v>
      </c>
      <c r="AT2659">
        <v>1</v>
      </c>
      <c r="AU2659" t="s">
        <v>75</v>
      </c>
      <c r="AV2659" t="s">
        <v>76</v>
      </c>
      <c r="AW2659" t="s">
        <v>60</v>
      </c>
      <c r="AX2659" t="s">
        <v>68</v>
      </c>
      <c r="AY2659" t="s">
        <v>69</v>
      </c>
      <c r="AZ2659" t="b">
        <v>1</v>
      </c>
    </row>
    <row r="2660" spans="1:52" x14ac:dyDescent="0.3">
      <c r="A2660" t="s">
        <v>52</v>
      </c>
      <c r="B2660" t="s">
        <v>53</v>
      </c>
      <c r="C2660" t="s">
        <v>54</v>
      </c>
      <c r="D2660" t="s">
        <v>55</v>
      </c>
      <c r="E2660" t="s">
        <v>2162</v>
      </c>
      <c r="F2660" t="s">
        <v>57</v>
      </c>
      <c r="G2660" t="s">
        <v>77</v>
      </c>
      <c r="H2660" t="s">
        <v>78</v>
      </c>
      <c r="I2660" t="s">
        <v>78</v>
      </c>
      <c r="J2660" t="s">
        <v>60</v>
      </c>
      <c r="K2660" t="s">
        <v>72</v>
      </c>
      <c r="L2660" t="s">
        <v>62</v>
      </c>
      <c r="M2660" t="s">
        <v>72</v>
      </c>
      <c r="N2660" t="s">
        <v>79</v>
      </c>
      <c r="O2660" t="s">
        <v>80</v>
      </c>
      <c r="P2660">
        <v>-20.147821</v>
      </c>
      <c r="Q2660">
        <v>-44.908887</v>
      </c>
      <c r="R2660" s="2" t="str">
        <f>HYPERLINK("https://www.google.com/maps?q=-20.1478210,-44.9088870","Abrir no Google Maps")</f>
        <v>Abrir no Google Maps</v>
      </c>
      <c r="S2660">
        <v>4</v>
      </c>
      <c r="T2660">
        <v>232.2893841532152</v>
      </c>
      <c r="U2660">
        <v>4</v>
      </c>
      <c r="V2660">
        <v>0.48957017776538259</v>
      </c>
      <c r="W2660">
        <v>1</v>
      </c>
      <c r="X2660">
        <v>0.48957017776538259</v>
      </c>
      <c r="Y2660">
        <v>747</v>
      </c>
      <c r="Z2660">
        <v>195.3668648953757</v>
      </c>
      <c r="AA2660">
        <v>198</v>
      </c>
      <c r="AB2660">
        <v>332</v>
      </c>
      <c r="AC2660">
        <v>536</v>
      </c>
      <c r="AD2660">
        <v>26.86</v>
      </c>
      <c r="AE2660">
        <v>542</v>
      </c>
      <c r="AF2660">
        <v>15</v>
      </c>
      <c r="AG2660">
        <v>178</v>
      </c>
      <c r="AH2660">
        <v>129</v>
      </c>
      <c r="AI2660">
        <v>2.77</v>
      </c>
      <c r="AJ2660">
        <v>32.840000000000003</v>
      </c>
      <c r="AK2660">
        <v>23.8</v>
      </c>
      <c r="AL2660">
        <v>-20.147802849999952</v>
      </c>
      <c r="AM2660">
        <v>-44.908989919229477</v>
      </c>
      <c r="AN2660">
        <v>-20.147802849999952</v>
      </c>
      <c r="AO2660">
        <v>-44.908989919229491</v>
      </c>
      <c r="AP2660">
        <v>-20.147821</v>
      </c>
      <c r="AQ2660">
        <v>-44.908887</v>
      </c>
      <c r="AR2660">
        <v>10.944007761262529</v>
      </c>
      <c r="AS2660" t="s">
        <v>65</v>
      </c>
      <c r="AT2660">
        <v>1</v>
      </c>
      <c r="AU2660" t="s">
        <v>81</v>
      </c>
      <c r="AV2660" t="s">
        <v>82</v>
      </c>
      <c r="AW2660" t="s">
        <v>60</v>
      </c>
      <c r="AX2660" t="s">
        <v>68</v>
      </c>
      <c r="AY2660" t="s">
        <v>69</v>
      </c>
      <c r="AZ2660" t="b">
        <v>1</v>
      </c>
    </row>
    <row r="2661" spans="1:52" x14ac:dyDescent="0.3">
      <c r="A2661" t="s">
        <v>52</v>
      </c>
      <c r="B2661" t="s">
        <v>53</v>
      </c>
      <c r="C2661" t="s">
        <v>54</v>
      </c>
      <c r="D2661" t="s">
        <v>55</v>
      </c>
      <c r="E2661" t="s">
        <v>2162</v>
      </c>
      <c r="F2661" t="s">
        <v>57</v>
      </c>
      <c r="G2661" t="s">
        <v>83</v>
      </c>
      <c r="H2661" t="s">
        <v>84</v>
      </c>
      <c r="I2661" t="s">
        <v>84</v>
      </c>
      <c r="J2661" t="s">
        <v>60</v>
      </c>
      <c r="K2661" t="s">
        <v>61</v>
      </c>
      <c r="L2661" t="s">
        <v>62</v>
      </c>
      <c r="M2661" t="s">
        <v>61</v>
      </c>
      <c r="N2661" t="s">
        <v>85</v>
      </c>
      <c r="O2661" t="s">
        <v>86</v>
      </c>
      <c r="P2661">
        <v>-20.149799000000002</v>
      </c>
      <c r="Q2661">
        <v>-44.906517000000001</v>
      </c>
      <c r="R2661" s="2" t="str">
        <f>HYPERLINK("https://www.google.com/maps?q=-20.1497990,-44.9065170","Abrir no Google Maps")</f>
        <v>Abrir no Google Maps</v>
      </c>
      <c r="S2661">
        <v>4</v>
      </c>
      <c r="T2661">
        <v>487.90051105537998</v>
      </c>
      <c r="U2661">
        <v>4</v>
      </c>
      <c r="V2661">
        <v>0.4101175942472452</v>
      </c>
      <c r="W2661">
        <v>1</v>
      </c>
      <c r="X2661">
        <v>0.4101175942472452</v>
      </c>
      <c r="Y2661">
        <v>747</v>
      </c>
      <c r="Z2661">
        <v>365.93785960107078</v>
      </c>
      <c r="AA2661">
        <v>198</v>
      </c>
      <c r="AB2661">
        <v>332</v>
      </c>
      <c r="AC2661">
        <v>536</v>
      </c>
      <c r="AD2661">
        <v>26.86</v>
      </c>
      <c r="AE2661">
        <v>542</v>
      </c>
      <c r="AF2661">
        <v>15</v>
      </c>
      <c r="AG2661">
        <v>178</v>
      </c>
      <c r="AH2661">
        <v>129</v>
      </c>
      <c r="AI2661">
        <v>2.77</v>
      </c>
      <c r="AJ2661">
        <v>32.840000000000003</v>
      </c>
      <c r="AK2661">
        <v>23.8</v>
      </c>
      <c r="AL2661">
        <v>-20.149879599999959</v>
      </c>
      <c r="AM2661">
        <v>-44.906746466068469</v>
      </c>
      <c r="AN2661">
        <v>-20.149879599999959</v>
      </c>
      <c r="AO2661">
        <v>-44.906746466068469</v>
      </c>
      <c r="AP2661">
        <v>-20.149799000000002</v>
      </c>
      <c r="AQ2661">
        <v>-44.906517000000001</v>
      </c>
      <c r="AR2661">
        <v>25.604276856970429</v>
      </c>
      <c r="AS2661" t="s">
        <v>65</v>
      </c>
      <c r="AT2661">
        <v>1</v>
      </c>
      <c r="AU2661" t="s">
        <v>87</v>
      </c>
      <c r="AV2661" t="s">
        <v>88</v>
      </c>
      <c r="AW2661" t="s">
        <v>60</v>
      </c>
      <c r="AX2661" t="s">
        <v>68</v>
      </c>
      <c r="AY2661" t="s">
        <v>69</v>
      </c>
      <c r="AZ2661" t="b">
        <v>1</v>
      </c>
    </row>
    <row r="2662" spans="1:52" x14ac:dyDescent="0.3">
      <c r="A2662" t="s">
        <v>52</v>
      </c>
      <c r="B2662" t="s">
        <v>53</v>
      </c>
      <c r="C2662" t="s">
        <v>54</v>
      </c>
      <c r="D2662" t="s">
        <v>55</v>
      </c>
      <c r="E2662" t="s">
        <v>2162</v>
      </c>
      <c r="F2662" t="s">
        <v>57</v>
      </c>
      <c r="G2662" t="s">
        <v>89</v>
      </c>
      <c r="H2662" t="s">
        <v>90</v>
      </c>
      <c r="I2662" t="s">
        <v>90</v>
      </c>
      <c r="J2662" t="s">
        <v>60</v>
      </c>
      <c r="K2662" t="s">
        <v>72</v>
      </c>
      <c r="L2662" t="s">
        <v>62</v>
      </c>
      <c r="M2662" t="s">
        <v>72</v>
      </c>
      <c r="N2662" t="s">
        <v>91</v>
      </c>
      <c r="O2662" t="s">
        <v>92</v>
      </c>
      <c r="P2662">
        <v>-20.145848999999998</v>
      </c>
      <c r="Q2662">
        <v>-44.908419000000002</v>
      </c>
      <c r="R2662" s="2" t="str">
        <f>HYPERLINK("https://www.google.com/maps?q=-20.1458490,-44.9084190","Abrir no Google Maps")</f>
        <v>Abrir no Google Maps</v>
      </c>
      <c r="S2662">
        <v>4</v>
      </c>
      <c r="T2662">
        <v>0</v>
      </c>
      <c r="U2662">
        <v>4</v>
      </c>
      <c r="V2662">
        <v>0.45648358632261998</v>
      </c>
      <c r="W2662">
        <v>1</v>
      </c>
      <c r="X2662">
        <v>0.45648358632261998</v>
      </c>
      <c r="Y2662">
        <v>747</v>
      </c>
      <c r="Z2662">
        <v>136.08168502765241</v>
      </c>
      <c r="AA2662">
        <v>198</v>
      </c>
      <c r="AB2662">
        <v>332</v>
      </c>
      <c r="AC2662">
        <v>536</v>
      </c>
      <c r="AD2662">
        <v>26.86</v>
      </c>
      <c r="AE2662">
        <v>542</v>
      </c>
      <c r="AF2662">
        <v>15</v>
      </c>
      <c r="AG2662">
        <v>178</v>
      </c>
      <c r="AH2662">
        <v>129</v>
      </c>
      <c r="AI2662">
        <v>2.77</v>
      </c>
      <c r="AJ2662">
        <v>32.840000000000003</v>
      </c>
      <c r="AK2662">
        <v>23.8</v>
      </c>
      <c r="AL2662">
        <v>-20.14576979999995</v>
      </c>
      <c r="AM2662">
        <v>-44.908436775053183</v>
      </c>
      <c r="AN2662">
        <v>-20.14576979999995</v>
      </c>
      <c r="AO2662">
        <v>-44.908436775053183</v>
      </c>
      <c r="AP2662">
        <v>-20.145848999999998</v>
      </c>
      <c r="AQ2662">
        <v>-44.908419000000002</v>
      </c>
      <c r="AR2662">
        <v>9.0101247482327356</v>
      </c>
      <c r="AS2662" t="s">
        <v>65</v>
      </c>
      <c r="AT2662">
        <v>1</v>
      </c>
      <c r="AU2662" t="s">
        <v>93</v>
      </c>
      <c r="AV2662" t="s">
        <v>94</v>
      </c>
      <c r="AW2662" t="s">
        <v>60</v>
      </c>
      <c r="AX2662" t="s">
        <v>68</v>
      </c>
      <c r="AY2662" t="s">
        <v>69</v>
      </c>
      <c r="AZ2662" t="b">
        <v>1</v>
      </c>
    </row>
    <row r="2663" spans="1:52" x14ac:dyDescent="0.3">
      <c r="A2663" t="s">
        <v>52</v>
      </c>
      <c r="B2663" t="s">
        <v>53</v>
      </c>
      <c r="C2663" t="s">
        <v>54</v>
      </c>
      <c r="D2663" t="s">
        <v>55</v>
      </c>
      <c r="E2663" t="s">
        <v>2162</v>
      </c>
      <c r="F2663" t="s">
        <v>57</v>
      </c>
      <c r="G2663" t="s">
        <v>95</v>
      </c>
      <c r="H2663" t="s">
        <v>96</v>
      </c>
      <c r="I2663" t="s">
        <v>96</v>
      </c>
      <c r="J2663" t="s">
        <v>60</v>
      </c>
      <c r="K2663" t="s">
        <v>72</v>
      </c>
      <c r="L2663" t="s">
        <v>62</v>
      </c>
      <c r="M2663" t="s">
        <v>72</v>
      </c>
      <c r="N2663" t="s">
        <v>97</v>
      </c>
      <c r="O2663" t="s">
        <v>98</v>
      </c>
      <c r="P2663">
        <v>-20.144062999999999</v>
      </c>
      <c r="Q2663">
        <v>-44.909627999999998</v>
      </c>
      <c r="R2663" s="2" t="str">
        <f>HYPERLINK("https://www.google.com/maps?q=-20.1440630,-44.9096280","Abrir no Google Maps")</f>
        <v>Abrir no Google Maps</v>
      </c>
      <c r="S2663">
        <v>4</v>
      </c>
      <c r="T2663">
        <v>205.27083326529291</v>
      </c>
      <c r="U2663">
        <v>4</v>
      </c>
      <c r="V2663">
        <v>0.44010924783456762</v>
      </c>
      <c r="W2663">
        <v>1</v>
      </c>
      <c r="X2663">
        <v>0.44010924783456762</v>
      </c>
      <c r="Y2663">
        <v>747</v>
      </c>
      <c r="Z2663">
        <v>336.75785483480968</v>
      </c>
      <c r="AA2663">
        <v>198</v>
      </c>
      <c r="AB2663">
        <v>332</v>
      </c>
      <c r="AC2663">
        <v>536</v>
      </c>
      <c r="AD2663">
        <v>26.86</v>
      </c>
      <c r="AE2663">
        <v>542</v>
      </c>
      <c r="AF2663">
        <v>15</v>
      </c>
      <c r="AG2663">
        <v>178</v>
      </c>
      <c r="AH2663">
        <v>129</v>
      </c>
      <c r="AI2663">
        <v>2.77</v>
      </c>
      <c r="AJ2663">
        <v>32.840000000000003</v>
      </c>
      <c r="AK2663">
        <v>23.8</v>
      </c>
      <c r="AL2663">
        <v>-20.144164099999951</v>
      </c>
      <c r="AM2663">
        <v>-44.909420167767642</v>
      </c>
      <c r="AN2663">
        <v>-20.144164099999951</v>
      </c>
      <c r="AO2663">
        <v>-44.909420167767642</v>
      </c>
      <c r="AP2663">
        <v>-20.144062999999999</v>
      </c>
      <c r="AQ2663">
        <v>-44.909627999999998</v>
      </c>
      <c r="AR2663">
        <v>24.46321571724976</v>
      </c>
      <c r="AS2663" t="s">
        <v>65</v>
      </c>
      <c r="AT2663">
        <v>1</v>
      </c>
      <c r="AU2663" t="s">
        <v>99</v>
      </c>
      <c r="AV2663" t="s">
        <v>94</v>
      </c>
      <c r="AW2663" t="s">
        <v>60</v>
      </c>
      <c r="AX2663" t="s">
        <v>68</v>
      </c>
      <c r="AY2663" t="s">
        <v>69</v>
      </c>
      <c r="AZ2663" t="b">
        <v>1</v>
      </c>
    </row>
    <row r="2664" spans="1:52" x14ac:dyDescent="0.3">
      <c r="A2664" t="s">
        <v>52</v>
      </c>
      <c r="B2664" t="s">
        <v>53</v>
      </c>
      <c r="C2664" t="s">
        <v>54</v>
      </c>
      <c r="D2664" t="s">
        <v>55</v>
      </c>
      <c r="E2664" t="s">
        <v>2162</v>
      </c>
      <c r="F2664" t="s">
        <v>57</v>
      </c>
      <c r="G2664" t="s">
        <v>100</v>
      </c>
      <c r="H2664" t="s">
        <v>101</v>
      </c>
      <c r="I2664" t="s">
        <v>101</v>
      </c>
      <c r="J2664" t="s">
        <v>60</v>
      </c>
      <c r="K2664" t="s">
        <v>61</v>
      </c>
      <c r="L2664" t="s">
        <v>62</v>
      </c>
      <c r="M2664" t="s">
        <v>61</v>
      </c>
      <c r="N2664" t="s">
        <v>102</v>
      </c>
      <c r="O2664" t="s">
        <v>103</v>
      </c>
      <c r="P2664">
        <v>-20.151098999999999</v>
      </c>
      <c r="Q2664">
        <v>-44.909699000000003</v>
      </c>
      <c r="R2664" s="2" t="str">
        <f>HYPERLINK("https://www.google.com/maps?q=-20.1510990,-44.9096990","Abrir no Google Maps")</f>
        <v>Abrir no Google Maps</v>
      </c>
      <c r="S2664">
        <v>4</v>
      </c>
      <c r="T2664">
        <v>628.5023128813533</v>
      </c>
      <c r="U2664">
        <v>4</v>
      </c>
      <c r="V2664">
        <v>0.52895732383122518</v>
      </c>
      <c r="W2664">
        <v>1</v>
      </c>
      <c r="X2664">
        <v>0.52895732383122518</v>
      </c>
      <c r="Y2664">
        <v>747</v>
      </c>
      <c r="Z2664">
        <v>563.16456625265948</v>
      </c>
      <c r="AA2664">
        <v>198</v>
      </c>
      <c r="AB2664">
        <v>332</v>
      </c>
      <c r="AC2664">
        <v>536</v>
      </c>
      <c r="AD2664">
        <v>26.86</v>
      </c>
      <c r="AE2664">
        <v>542</v>
      </c>
      <c r="AF2664">
        <v>15</v>
      </c>
      <c r="AG2664">
        <v>178</v>
      </c>
      <c r="AH2664">
        <v>129</v>
      </c>
      <c r="AI2664">
        <v>2.77</v>
      </c>
      <c r="AJ2664">
        <v>32.840000000000003</v>
      </c>
      <c r="AK2664">
        <v>23.8</v>
      </c>
      <c r="AL2664">
        <v>-20.151307349999971</v>
      </c>
      <c r="AM2664">
        <v>-44.909772836123523</v>
      </c>
      <c r="AN2664">
        <v>-20.151307349999971</v>
      </c>
      <c r="AO2664">
        <v>-44.909772836123523</v>
      </c>
      <c r="AP2664">
        <v>-20.151098999999999</v>
      </c>
      <c r="AQ2664">
        <v>-44.909699000000003</v>
      </c>
      <c r="AR2664">
        <v>24.443417349564811</v>
      </c>
      <c r="AS2664" t="s">
        <v>65</v>
      </c>
      <c r="AT2664">
        <v>1</v>
      </c>
      <c r="AU2664" t="s">
        <v>104</v>
      </c>
      <c r="AV2664" t="s">
        <v>105</v>
      </c>
      <c r="AW2664" t="s">
        <v>60</v>
      </c>
      <c r="AX2664" t="s">
        <v>68</v>
      </c>
      <c r="AY2664" t="s">
        <v>69</v>
      </c>
      <c r="AZ2664" t="b">
        <v>1</v>
      </c>
    </row>
    <row r="2665" spans="1:52" x14ac:dyDescent="0.3">
      <c r="A2665" t="s">
        <v>52</v>
      </c>
      <c r="B2665" t="s">
        <v>53</v>
      </c>
      <c r="C2665" t="s">
        <v>54</v>
      </c>
      <c r="D2665" t="s">
        <v>55</v>
      </c>
      <c r="E2665" t="s">
        <v>2162</v>
      </c>
      <c r="F2665" t="s">
        <v>57</v>
      </c>
      <c r="G2665" t="s">
        <v>100</v>
      </c>
      <c r="H2665" t="s">
        <v>106</v>
      </c>
      <c r="I2665" t="s">
        <v>106</v>
      </c>
      <c r="J2665" t="s">
        <v>60</v>
      </c>
      <c r="K2665" t="s">
        <v>61</v>
      </c>
      <c r="L2665" t="s">
        <v>62</v>
      </c>
      <c r="M2665" t="s">
        <v>61</v>
      </c>
      <c r="N2665" t="s">
        <v>102</v>
      </c>
      <c r="O2665" t="s">
        <v>103</v>
      </c>
      <c r="P2665">
        <v>-20.151107</v>
      </c>
      <c r="Q2665">
        <v>-44.908918</v>
      </c>
      <c r="R2665" s="2" t="str">
        <f>HYPERLINK("https://www.google.com/maps?q=-20.1511070,-44.9089180","Abrir no Google Maps")</f>
        <v>Abrir no Google Maps</v>
      </c>
      <c r="S2665">
        <v>4</v>
      </c>
      <c r="T2665">
        <v>615.86400245321579</v>
      </c>
      <c r="U2665">
        <v>4</v>
      </c>
      <c r="V2665">
        <v>0.55202393392367166</v>
      </c>
      <c r="W2665">
        <v>0.85</v>
      </c>
      <c r="X2665">
        <v>0.4692203438351209</v>
      </c>
      <c r="Y2665">
        <v>747</v>
      </c>
      <c r="Z2665">
        <v>535.34543763764702</v>
      </c>
      <c r="AA2665">
        <v>198</v>
      </c>
      <c r="AB2665">
        <v>332</v>
      </c>
      <c r="AC2665">
        <v>536</v>
      </c>
      <c r="AD2665">
        <v>26.86</v>
      </c>
      <c r="AE2665">
        <v>542</v>
      </c>
      <c r="AF2665">
        <v>15</v>
      </c>
      <c r="AG2665">
        <v>178</v>
      </c>
      <c r="AH2665">
        <v>129</v>
      </c>
      <c r="AI2665">
        <v>2.77</v>
      </c>
      <c r="AJ2665">
        <v>32.840000000000003</v>
      </c>
      <c r="AK2665">
        <v>23.8</v>
      </c>
      <c r="AL2665">
        <v>-20.151307349999971</v>
      </c>
      <c r="AM2665">
        <v>-44.909024234051429</v>
      </c>
      <c r="AN2665">
        <v>-20.151307349999971</v>
      </c>
      <c r="AO2665">
        <v>-44.909024234051429</v>
      </c>
      <c r="AP2665">
        <v>-20.151107</v>
      </c>
      <c r="AQ2665">
        <v>-44.908918</v>
      </c>
      <c r="AR2665">
        <v>24.91340747371116</v>
      </c>
      <c r="AS2665" t="s">
        <v>65</v>
      </c>
      <c r="AT2665">
        <v>1</v>
      </c>
      <c r="AU2665" t="s">
        <v>107</v>
      </c>
      <c r="AV2665" t="s">
        <v>105</v>
      </c>
      <c r="AW2665" t="s">
        <v>60</v>
      </c>
      <c r="AX2665" t="s">
        <v>68</v>
      </c>
      <c r="AY2665" t="s">
        <v>69</v>
      </c>
      <c r="AZ2665" t="b">
        <v>1</v>
      </c>
    </row>
    <row r="2666" spans="1:52" x14ac:dyDescent="0.3">
      <c r="A2666" t="s">
        <v>52</v>
      </c>
      <c r="B2666" t="s">
        <v>53</v>
      </c>
      <c r="C2666" t="s">
        <v>54</v>
      </c>
      <c r="D2666" t="s">
        <v>55</v>
      </c>
      <c r="E2666" t="s">
        <v>2162</v>
      </c>
      <c r="F2666" t="s">
        <v>57</v>
      </c>
      <c r="G2666" t="s">
        <v>108</v>
      </c>
      <c r="H2666" t="s">
        <v>109</v>
      </c>
      <c r="I2666" t="s">
        <v>109</v>
      </c>
      <c r="J2666" t="s">
        <v>60</v>
      </c>
      <c r="K2666" t="s">
        <v>110</v>
      </c>
      <c r="L2666" t="s">
        <v>62</v>
      </c>
      <c r="M2666" t="s">
        <v>110</v>
      </c>
      <c r="N2666" t="s">
        <v>111</v>
      </c>
      <c r="O2666" t="s">
        <v>112</v>
      </c>
      <c r="P2666">
        <v>-20.122233999999999</v>
      </c>
      <c r="Q2666">
        <v>-44.909194999999997</v>
      </c>
      <c r="R2666" s="2" t="str">
        <f>HYPERLINK("https://www.google.com/maps?q=-20.1222340,-44.9091950","Abrir no Google Maps")</f>
        <v>Abrir no Google Maps</v>
      </c>
      <c r="S2666">
        <v>4</v>
      </c>
      <c r="T2666">
        <v>1171.396020763932</v>
      </c>
      <c r="U2666">
        <v>4</v>
      </c>
      <c r="V2666">
        <v>0.49142923890753171</v>
      </c>
      <c r="W2666">
        <v>0.85</v>
      </c>
      <c r="X2666">
        <v>0.41771485307140188</v>
      </c>
      <c r="Y2666">
        <v>567</v>
      </c>
      <c r="Z2666">
        <v>1238.711234283244</v>
      </c>
      <c r="AA2666">
        <v>198</v>
      </c>
      <c r="AB2666">
        <v>332</v>
      </c>
      <c r="AC2666">
        <v>536</v>
      </c>
      <c r="AD2666">
        <v>26.86</v>
      </c>
      <c r="AE2666">
        <v>542</v>
      </c>
      <c r="AF2666">
        <v>15</v>
      </c>
      <c r="AG2666">
        <v>178</v>
      </c>
      <c r="AH2666">
        <v>129</v>
      </c>
      <c r="AI2666">
        <v>2.77</v>
      </c>
      <c r="AJ2666">
        <v>32.840000000000003</v>
      </c>
      <c r="AK2666">
        <v>23.8</v>
      </c>
      <c r="AL2666">
        <v>-20.121881249999941</v>
      </c>
      <c r="AM2666">
        <v>-44.909273766094323</v>
      </c>
      <c r="AN2666">
        <v>-20.121881249999941</v>
      </c>
      <c r="AO2666">
        <v>-44.909273766094323</v>
      </c>
      <c r="AP2666">
        <v>-20.122233999999999</v>
      </c>
      <c r="AQ2666">
        <v>-44.909194999999997</v>
      </c>
      <c r="AR2666">
        <v>40.12192930593006</v>
      </c>
      <c r="AS2666" t="s">
        <v>65</v>
      </c>
      <c r="AT2666">
        <v>1</v>
      </c>
      <c r="AU2666" t="s">
        <v>113</v>
      </c>
      <c r="AV2666" t="s">
        <v>114</v>
      </c>
      <c r="AW2666" t="s">
        <v>60</v>
      </c>
      <c r="AX2666" t="s">
        <v>68</v>
      </c>
      <c r="AY2666" t="s">
        <v>69</v>
      </c>
      <c r="AZ2666" t="b">
        <v>1</v>
      </c>
    </row>
    <row r="2667" spans="1:52" x14ac:dyDescent="0.3">
      <c r="A2667" t="s">
        <v>52</v>
      </c>
      <c r="B2667" t="s">
        <v>53</v>
      </c>
      <c r="C2667" t="s">
        <v>54</v>
      </c>
      <c r="D2667" t="s">
        <v>55</v>
      </c>
      <c r="E2667" t="s">
        <v>2162</v>
      </c>
      <c r="F2667" t="s">
        <v>57</v>
      </c>
      <c r="G2667" t="s">
        <v>115</v>
      </c>
      <c r="H2667" t="s">
        <v>116</v>
      </c>
      <c r="I2667" t="s">
        <v>116</v>
      </c>
      <c r="J2667" t="s">
        <v>60</v>
      </c>
      <c r="K2667" t="s">
        <v>117</v>
      </c>
      <c r="L2667" t="s">
        <v>62</v>
      </c>
      <c r="M2667" t="s">
        <v>117</v>
      </c>
      <c r="N2667" t="s">
        <v>118</v>
      </c>
      <c r="O2667" t="s">
        <v>119</v>
      </c>
      <c r="P2667">
        <v>-20.116992</v>
      </c>
      <c r="Q2667">
        <v>-44.899355</v>
      </c>
      <c r="R2667" s="2" t="str">
        <f>HYPERLINK("https://www.google.com/maps?q=-20.1169920,-44.8993550","Abrir no Google Maps")</f>
        <v>Abrir no Google Maps</v>
      </c>
      <c r="S2667">
        <v>4</v>
      </c>
      <c r="T2667">
        <v>0</v>
      </c>
      <c r="U2667">
        <v>4</v>
      </c>
      <c r="V2667">
        <v>0.41770828563763401</v>
      </c>
      <c r="W2667">
        <v>1</v>
      </c>
      <c r="X2667">
        <v>0.41770828563763401</v>
      </c>
      <c r="Y2667">
        <v>567</v>
      </c>
      <c r="Z2667">
        <v>54.913678078353321</v>
      </c>
      <c r="AA2667">
        <v>198</v>
      </c>
      <c r="AB2667">
        <v>332</v>
      </c>
      <c r="AC2667">
        <v>536</v>
      </c>
      <c r="AD2667">
        <v>26.86</v>
      </c>
      <c r="AE2667">
        <v>542</v>
      </c>
      <c r="AF2667">
        <v>15</v>
      </c>
      <c r="AG2667">
        <v>178</v>
      </c>
      <c r="AH2667">
        <v>129</v>
      </c>
      <c r="AI2667">
        <v>2.77</v>
      </c>
      <c r="AJ2667">
        <v>32.840000000000003</v>
      </c>
      <c r="AK2667">
        <v>23.8</v>
      </c>
      <c r="AL2667">
        <v>-20.117107749999949</v>
      </c>
      <c r="AM2667">
        <v>-44.899271226243108</v>
      </c>
      <c r="AN2667">
        <v>-20.117107749999949</v>
      </c>
      <c r="AO2667">
        <v>-44.899271226243108</v>
      </c>
      <c r="AP2667">
        <v>-20.116992</v>
      </c>
      <c r="AQ2667">
        <v>-44.899355</v>
      </c>
      <c r="AR2667">
        <v>15.579196044083419</v>
      </c>
      <c r="AS2667" t="s">
        <v>65</v>
      </c>
      <c r="AT2667">
        <v>1</v>
      </c>
      <c r="AU2667" t="s">
        <v>120</v>
      </c>
      <c r="AV2667" t="s">
        <v>121</v>
      </c>
      <c r="AW2667" t="s">
        <v>60</v>
      </c>
      <c r="AX2667" t="s">
        <v>68</v>
      </c>
      <c r="AY2667" t="s">
        <v>69</v>
      </c>
      <c r="AZ2667" t="b">
        <v>1</v>
      </c>
    </row>
    <row r="2668" spans="1:52" x14ac:dyDescent="0.3">
      <c r="A2668" t="s">
        <v>52</v>
      </c>
      <c r="B2668" t="s">
        <v>53</v>
      </c>
      <c r="C2668" t="s">
        <v>54</v>
      </c>
      <c r="D2668" t="s">
        <v>55</v>
      </c>
      <c r="E2668" t="s">
        <v>2162</v>
      </c>
      <c r="F2668" t="s">
        <v>57</v>
      </c>
      <c r="G2668" t="s">
        <v>122</v>
      </c>
      <c r="H2668" t="s">
        <v>123</v>
      </c>
      <c r="I2668" t="s">
        <v>123</v>
      </c>
      <c r="J2668" t="s">
        <v>60</v>
      </c>
      <c r="K2668" t="s">
        <v>117</v>
      </c>
      <c r="L2668" t="s">
        <v>62</v>
      </c>
      <c r="M2668" t="s">
        <v>117</v>
      </c>
      <c r="N2668" t="s">
        <v>124</v>
      </c>
      <c r="O2668" t="s">
        <v>125</v>
      </c>
      <c r="P2668">
        <v>-20.11853</v>
      </c>
      <c r="Q2668">
        <v>-44.896925000000003</v>
      </c>
      <c r="R2668" s="2" t="str">
        <f>HYPERLINK("https://www.google.com/maps?q=-20.1185300,-44.8969250","Abrir no Google Maps")</f>
        <v>Abrir no Google Maps</v>
      </c>
      <c r="S2668">
        <v>4</v>
      </c>
      <c r="T2668">
        <v>325.32255721093247</v>
      </c>
      <c r="U2668">
        <v>4</v>
      </c>
      <c r="V2668">
        <v>0.4204861867466293</v>
      </c>
      <c r="W2668">
        <v>1</v>
      </c>
      <c r="X2668">
        <v>0.4204861867466293</v>
      </c>
      <c r="Y2668">
        <v>567</v>
      </c>
      <c r="Z2668">
        <v>306.04423478678871</v>
      </c>
      <c r="AA2668">
        <v>198</v>
      </c>
      <c r="AB2668">
        <v>332</v>
      </c>
      <c r="AC2668">
        <v>536</v>
      </c>
      <c r="AD2668">
        <v>26.86</v>
      </c>
      <c r="AE2668">
        <v>542</v>
      </c>
      <c r="AF2668">
        <v>15</v>
      </c>
      <c r="AG2668">
        <v>178</v>
      </c>
      <c r="AH2668">
        <v>129</v>
      </c>
      <c r="AI2668">
        <v>2.77</v>
      </c>
      <c r="AJ2668">
        <v>32.840000000000003</v>
      </c>
      <c r="AK2668">
        <v>23.8</v>
      </c>
      <c r="AL2668">
        <v>-20.118682499999949</v>
      </c>
      <c r="AM2668">
        <v>-44.896643089287927</v>
      </c>
      <c r="AN2668">
        <v>-20.118682499999949</v>
      </c>
      <c r="AO2668">
        <v>-44.896643089287927</v>
      </c>
      <c r="AP2668">
        <v>-20.11853</v>
      </c>
      <c r="AQ2668">
        <v>-44.896925000000003</v>
      </c>
      <c r="AR2668">
        <v>34.007698996886518</v>
      </c>
      <c r="AS2668" t="s">
        <v>65</v>
      </c>
      <c r="AT2668">
        <v>1</v>
      </c>
      <c r="AU2668" t="s">
        <v>126</v>
      </c>
      <c r="AV2668" t="s">
        <v>121</v>
      </c>
      <c r="AW2668" t="s">
        <v>60</v>
      </c>
      <c r="AX2668" t="s">
        <v>68</v>
      </c>
      <c r="AY2668" t="s">
        <v>69</v>
      </c>
      <c r="AZ2668" t="b">
        <v>1</v>
      </c>
    </row>
    <row r="2669" spans="1:52" x14ac:dyDescent="0.3">
      <c r="A2669" t="s">
        <v>52</v>
      </c>
      <c r="B2669" t="s">
        <v>53</v>
      </c>
      <c r="C2669" t="s">
        <v>54</v>
      </c>
      <c r="D2669" t="s">
        <v>55</v>
      </c>
      <c r="E2669" t="s">
        <v>2162</v>
      </c>
      <c r="F2669" t="s">
        <v>57</v>
      </c>
      <c r="G2669" t="s">
        <v>127</v>
      </c>
      <c r="H2669" t="s">
        <v>128</v>
      </c>
      <c r="I2669" t="s">
        <v>128</v>
      </c>
      <c r="J2669" t="s">
        <v>60</v>
      </c>
      <c r="K2669" t="s">
        <v>129</v>
      </c>
      <c r="L2669" t="s">
        <v>62</v>
      </c>
      <c r="M2669" t="s">
        <v>129</v>
      </c>
      <c r="N2669" t="s">
        <v>130</v>
      </c>
      <c r="O2669" t="s">
        <v>131</v>
      </c>
      <c r="P2669">
        <v>-20.130752000000001</v>
      </c>
      <c r="Q2669">
        <v>-44.865676999999998</v>
      </c>
      <c r="R2669" s="2" t="str">
        <f>HYPERLINK("https://www.google.com/maps?q=-20.1307520,-44.8656770","Abrir no Google Maps")</f>
        <v>Abrir no Google Maps</v>
      </c>
      <c r="S2669">
        <v>4</v>
      </c>
      <c r="T2669">
        <v>666.25741128624747</v>
      </c>
      <c r="U2669">
        <v>4</v>
      </c>
      <c r="V2669">
        <v>0.42527040493239687</v>
      </c>
      <c r="W2669">
        <v>1</v>
      </c>
      <c r="X2669">
        <v>0.42527040493239687</v>
      </c>
      <c r="Y2669">
        <v>387</v>
      </c>
      <c r="Z2669">
        <v>838.7193965949632</v>
      </c>
      <c r="AA2669">
        <v>198</v>
      </c>
      <c r="AB2669">
        <v>332</v>
      </c>
      <c r="AC2669">
        <v>536</v>
      </c>
      <c r="AD2669">
        <v>26.86</v>
      </c>
      <c r="AE2669">
        <v>542</v>
      </c>
      <c r="AF2669">
        <v>15</v>
      </c>
      <c r="AG2669">
        <v>178</v>
      </c>
      <c r="AH2669">
        <v>129</v>
      </c>
      <c r="AI2669">
        <v>2.77</v>
      </c>
      <c r="AJ2669">
        <v>32.840000000000003</v>
      </c>
      <c r="AK2669">
        <v>23.8</v>
      </c>
      <c r="AL2669">
        <v>-20.130734049999969</v>
      </c>
      <c r="AM2669">
        <v>-44.86564904282416</v>
      </c>
      <c r="AN2669">
        <v>-20.130734049999969</v>
      </c>
      <c r="AO2669">
        <v>-44.86564904282416</v>
      </c>
      <c r="AP2669">
        <v>-20.130752000000001</v>
      </c>
      <c r="AQ2669">
        <v>-44.865676999999998</v>
      </c>
      <c r="AR2669">
        <v>3.539952280780454</v>
      </c>
      <c r="AS2669" t="s">
        <v>65</v>
      </c>
      <c r="AT2669">
        <v>1</v>
      </c>
      <c r="AU2669" t="s">
        <v>132</v>
      </c>
      <c r="AV2669" t="s">
        <v>133</v>
      </c>
      <c r="AW2669" t="s">
        <v>60</v>
      </c>
      <c r="AX2669" t="s">
        <v>68</v>
      </c>
      <c r="AY2669" t="s">
        <v>69</v>
      </c>
      <c r="AZ2669" t="b">
        <v>1</v>
      </c>
    </row>
    <row r="2670" spans="1:52" x14ac:dyDescent="0.3">
      <c r="A2670" t="s">
        <v>52</v>
      </c>
      <c r="B2670" t="s">
        <v>53</v>
      </c>
      <c r="C2670" t="s">
        <v>54</v>
      </c>
      <c r="D2670" t="s">
        <v>55</v>
      </c>
      <c r="E2670" t="s">
        <v>2162</v>
      </c>
      <c r="F2670" t="s">
        <v>57</v>
      </c>
      <c r="G2670" t="s">
        <v>134</v>
      </c>
      <c r="H2670" t="s">
        <v>135</v>
      </c>
      <c r="I2670" t="s">
        <v>135</v>
      </c>
      <c r="J2670" t="s">
        <v>60</v>
      </c>
      <c r="K2670" t="s">
        <v>136</v>
      </c>
      <c r="L2670" t="s">
        <v>62</v>
      </c>
      <c r="M2670" t="s">
        <v>136</v>
      </c>
      <c r="N2670" t="s">
        <v>137</v>
      </c>
      <c r="O2670" t="s">
        <v>138</v>
      </c>
      <c r="P2670">
        <v>-20.165773000000002</v>
      </c>
      <c r="Q2670">
        <v>-44.847566999999998</v>
      </c>
      <c r="R2670" s="2" t="str">
        <f>HYPERLINK("https://www.google.com/maps?q=-20.1657730,-44.8475670","Abrir no Google Maps")</f>
        <v>Abrir no Google Maps</v>
      </c>
      <c r="S2670">
        <v>4</v>
      </c>
      <c r="T2670">
        <v>0</v>
      </c>
      <c r="U2670">
        <v>4</v>
      </c>
      <c r="V2670">
        <v>0.40623478025122339</v>
      </c>
      <c r="W2670">
        <v>1</v>
      </c>
      <c r="X2670">
        <v>0.40623478025122339</v>
      </c>
      <c r="Y2670">
        <v>292</v>
      </c>
      <c r="Z2670">
        <v>98.987346341524855</v>
      </c>
      <c r="AA2670">
        <v>198</v>
      </c>
      <c r="AB2670">
        <v>332</v>
      </c>
      <c r="AC2670">
        <v>536</v>
      </c>
      <c r="AD2670">
        <v>26.86</v>
      </c>
      <c r="AE2670">
        <v>542</v>
      </c>
      <c r="AF2670">
        <v>15</v>
      </c>
      <c r="AG2670">
        <v>178</v>
      </c>
      <c r="AH2670">
        <v>129</v>
      </c>
      <c r="AI2670">
        <v>2.77</v>
      </c>
      <c r="AJ2670">
        <v>32.840000000000003</v>
      </c>
      <c r="AK2670">
        <v>23.8</v>
      </c>
      <c r="AL2670">
        <v>-20.16565029999995</v>
      </c>
      <c r="AM2670">
        <v>-44.847556627666897</v>
      </c>
      <c r="AN2670">
        <v>-20.16565029999995</v>
      </c>
      <c r="AO2670">
        <v>-44.847556627666897</v>
      </c>
      <c r="AP2670">
        <v>-20.165773000000002</v>
      </c>
      <c r="AQ2670">
        <v>-44.847566999999998</v>
      </c>
      <c r="AR2670">
        <v>13.701900146251189</v>
      </c>
      <c r="AS2670" t="s">
        <v>65</v>
      </c>
      <c r="AT2670">
        <v>1</v>
      </c>
      <c r="AU2670" t="s">
        <v>139</v>
      </c>
      <c r="AV2670" t="s">
        <v>140</v>
      </c>
      <c r="AW2670" t="s">
        <v>60</v>
      </c>
      <c r="AX2670" t="s">
        <v>68</v>
      </c>
      <c r="AY2670" t="s">
        <v>69</v>
      </c>
      <c r="AZ2670" t="b">
        <v>1</v>
      </c>
    </row>
    <row r="2671" spans="1:52" x14ac:dyDescent="0.3">
      <c r="A2671" t="s">
        <v>52</v>
      </c>
      <c r="B2671" t="s">
        <v>53</v>
      </c>
      <c r="C2671" t="s">
        <v>54</v>
      </c>
      <c r="D2671" t="s">
        <v>55</v>
      </c>
      <c r="E2671" t="s">
        <v>2162</v>
      </c>
      <c r="F2671" t="s">
        <v>57</v>
      </c>
      <c r="G2671" t="s">
        <v>169</v>
      </c>
      <c r="H2671" t="s">
        <v>170</v>
      </c>
      <c r="I2671" t="s">
        <v>170</v>
      </c>
      <c r="J2671" t="s">
        <v>60</v>
      </c>
      <c r="K2671" t="s">
        <v>171</v>
      </c>
      <c r="L2671" t="s">
        <v>62</v>
      </c>
      <c r="M2671" t="s">
        <v>171</v>
      </c>
      <c r="N2671" t="s">
        <v>172</v>
      </c>
      <c r="O2671" t="s">
        <v>173</v>
      </c>
      <c r="P2671">
        <v>-20.15334</v>
      </c>
      <c r="Q2671">
        <v>-44.891691000000002</v>
      </c>
      <c r="R2671" s="2" t="str">
        <f>HYPERLINK("https://www.google.com/maps?q=-20.1533400,-44.8916910","Abrir no Google Maps")</f>
        <v>Abrir no Google Maps</v>
      </c>
      <c r="S2671">
        <v>4</v>
      </c>
      <c r="T2671">
        <v>263.82013116084107</v>
      </c>
      <c r="U2671">
        <v>4</v>
      </c>
      <c r="V2671">
        <v>0.41871642961440703</v>
      </c>
      <c r="W2671">
        <v>1</v>
      </c>
      <c r="X2671">
        <v>0.41871642961440703</v>
      </c>
      <c r="Y2671">
        <v>129</v>
      </c>
      <c r="Z2671">
        <v>72.771047355993247</v>
      </c>
      <c r="AA2671">
        <v>198</v>
      </c>
      <c r="AB2671">
        <v>332</v>
      </c>
      <c r="AC2671">
        <v>536</v>
      </c>
      <c r="AD2671">
        <v>26.86</v>
      </c>
      <c r="AE2671">
        <v>542</v>
      </c>
      <c r="AF2671">
        <v>15</v>
      </c>
      <c r="AG2671">
        <v>178</v>
      </c>
      <c r="AH2671">
        <v>129</v>
      </c>
      <c r="AI2671">
        <v>2.77</v>
      </c>
      <c r="AJ2671">
        <v>32.840000000000003</v>
      </c>
      <c r="AK2671">
        <v>23.8</v>
      </c>
      <c r="AL2671">
        <v>-20.153531799999971</v>
      </c>
      <c r="AM2671">
        <v>-44.89196779651779</v>
      </c>
      <c r="AN2671">
        <v>-20.153531799999971</v>
      </c>
      <c r="AO2671">
        <v>-44.89196779651779</v>
      </c>
      <c r="AP2671">
        <v>-20.15334</v>
      </c>
      <c r="AQ2671">
        <v>-44.891691000000002</v>
      </c>
      <c r="AR2671">
        <v>35.952871813310509</v>
      </c>
      <c r="AS2671" t="s">
        <v>65</v>
      </c>
      <c r="AT2671">
        <v>1</v>
      </c>
      <c r="AU2671" t="s">
        <v>174</v>
      </c>
      <c r="AV2671" t="s">
        <v>175</v>
      </c>
      <c r="AW2671" t="s">
        <v>60</v>
      </c>
      <c r="AX2671" t="s">
        <v>68</v>
      </c>
      <c r="AY2671" t="s">
        <v>69</v>
      </c>
      <c r="AZ2671" t="b">
        <v>1</v>
      </c>
    </row>
    <row r="2672" spans="1:52" x14ac:dyDescent="0.3">
      <c r="A2672" t="s">
        <v>52</v>
      </c>
      <c r="B2672" t="s">
        <v>53</v>
      </c>
      <c r="C2672" t="s">
        <v>54</v>
      </c>
      <c r="D2672" t="s">
        <v>55</v>
      </c>
      <c r="E2672" t="s">
        <v>2162</v>
      </c>
      <c r="F2672" t="s">
        <v>57</v>
      </c>
      <c r="G2672" t="s">
        <v>183</v>
      </c>
      <c r="H2672" t="s">
        <v>184</v>
      </c>
      <c r="I2672" t="s">
        <v>184</v>
      </c>
      <c r="J2672" t="s">
        <v>60</v>
      </c>
      <c r="K2672" t="s">
        <v>185</v>
      </c>
      <c r="L2672" t="s">
        <v>62</v>
      </c>
      <c r="M2672" t="s">
        <v>185</v>
      </c>
      <c r="N2672" t="s">
        <v>186</v>
      </c>
      <c r="O2672" t="s">
        <v>187</v>
      </c>
      <c r="P2672">
        <v>-20.134855000000002</v>
      </c>
      <c r="Q2672">
        <v>-44.860174000000001</v>
      </c>
      <c r="R2672" s="2" t="str">
        <f>HYPERLINK("https://www.google.com/maps?q=-20.1348550,-44.8601740","Abrir no Google Maps")</f>
        <v>Abrir no Google Maps</v>
      </c>
      <c r="S2672">
        <v>4</v>
      </c>
      <c r="T2672">
        <v>625.96998974571841</v>
      </c>
      <c r="U2672">
        <v>4</v>
      </c>
      <c r="V2672">
        <v>0.40834091126845179</v>
      </c>
      <c r="W2672">
        <v>1</v>
      </c>
      <c r="X2672">
        <v>0.40834091126845179</v>
      </c>
      <c r="Y2672">
        <v>95</v>
      </c>
      <c r="Z2672">
        <v>257.67818504656498</v>
      </c>
      <c r="AA2672">
        <v>198</v>
      </c>
      <c r="AB2672">
        <v>332</v>
      </c>
      <c r="AC2672">
        <v>536</v>
      </c>
      <c r="AD2672">
        <v>26.86</v>
      </c>
      <c r="AE2672">
        <v>542</v>
      </c>
      <c r="AF2672">
        <v>15</v>
      </c>
      <c r="AG2672">
        <v>178</v>
      </c>
      <c r="AH2672">
        <v>129</v>
      </c>
      <c r="AI2672">
        <v>2.77</v>
      </c>
      <c r="AJ2672">
        <v>32.840000000000003</v>
      </c>
      <c r="AK2672">
        <v>23.8</v>
      </c>
      <c r="AL2672">
        <v>-20.134903999999981</v>
      </c>
      <c r="AM2672">
        <v>-44.859880285335962</v>
      </c>
      <c r="AN2672">
        <v>-20.134903999999981</v>
      </c>
      <c r="AO2672">
        <v>-44.859880285335962</v>
      </c>
      <c r="AP2672">
        <v>-20.134855000000002</v>
      </c>
      <c r="AQ2672">
        <v>-44.860174000000001</v>
      </c>
      <c r="AR2672">
        <v>31.178921696823132</v>
      </c>
      <c r="AS2672" t="s">
        <v>65</v>
      </c>
      <c r="AT2672">
        <v>1</v>
      </c>
      <c r="AU2672" t="s">
        <v>188</v>
      </c>
      <c r="AV2672" t="s">
        <v>189</v>
      </c>
      <c r="AW2672" t="s">
        <v>60</v>
      </c>
      <c r="AX2672" t="s">
        <v>68</v>
      </c>
      <c r="AY2672" t="s">
        <v>69</v>
      </c>
      <c r="AZ2672" t="b">
        <v>1</v>
      </c>
    </row>
    <row r="2673" spans="1:52" x14ac:dyDescent="0.3">
      <c r="A2673" t="s">
        <v>52</v>
      </c>
      <c r="B2673" t="s">
        <v>53</v>
      </c>
      <c r="C2673" t="s">
        <v>54</v>
      </c>
      <c r="D2673" t="s">
        <v>55</v>
      </c>
      <c r="E2673" t="s">
        <v>2162</v>
      </c>
      <c r="F2673" t="s">
        <v>190</v>
      </c>
      <c r="G2673" t="s">
        <v>191</v>
      </c>
      <c r="H2673" t="s">
        <v>192</v>
      </c>
      <c r="I2673" t="s">
        <v>192</v>
      </c>
      <c r="J2673" t="s">
        <v>60</v>
      </c>
      <c r="K2673" t="s">
        <v>193</v>
      </c>
      <c r="L2673" t="s">
        <v>62</v>
      </c>
      <c r="M2673" t="s">
        <v>193</v>
      </c>
      <c r="N2673" t="s">
        <v>194</v>
      </c>
      <c r="O2673" t="s">
        <v>195</v>
      </c>
      <c r="P2673">
        <v>-20.143266000000001</v>
      </c>
      <c r="Q2673">
        <v>-44.912075000000002</v>
      </c>
      <c r="R2673" s="2" t="str">
        <f>HYPERLINK("https://www.google.com/maps?q=-20.1432660,-44.9120750","Abrir no Google Maps")</f>
        <v>Abrir no Google Maps</v>
      </c>
      <c r="S2673">
        <v>4</v>
      </c>
      <c r="T2673">
        <v>467.04339396175408</v>
      </c>
      <c r="U2673">
        <v>3</v>
      </c>
      <c r="V2673">
        <v>0.39846402164852612</v>
      </c>
      <c r="W2673">
        <v>1</v>
      </c>
      <c r="X2673">
        <v>0.39846402164852612</v>
      </c>
      <c r="Y2673">
        <v>747</v>
      </c>
      <c r="Z2673">
        <v>585.1742452866996</v>
      </c>
      <c r="AA2673">
        <v>198</v>
      </c>
      <c r="AB2673">
        <v>332</v>
      </c>
      <c r="AC2673">
        <v>536</v>
      </c>
      <c r="AD2673">
        <v>26.86</v>
      </c>
      <c r="AE2673">
        <v>542</v>
      </c>
      <c r="AF2673">
        <v>15</v>
      </c>
      <c r="AG2673">
        <v>178</v>
      </c>
      <c r="AH2673">
        <v>129</v>
      </c>
      <c r="AI2673">
        <v>2.77</v>
      </c>
      <c r="AJ2673">
        <v>32.840000000000003</v>
      </c>
      <c r="AK2673">
        <v>23.8</v>
      </c>
      <c r="AL2673">
        <v>-20.143307949999951</v>
      </c>
      <c r="AM2673">
        <v>-44.912066629431067</v>
      </c>
      <c r="AN2673">
        <v>-20.143307949999951</v>
      </c>
      <c r="AO2673">
        <v>-44.912066629431067</v>
      </c>
      <c r="AP2673">
        <v>-20.143266000000001</v>
      </c>
      <c r="AQ2673">
        <v>-44.912075000000002</v>
      </c>
      <c r="AR2673">
        <v>4.751108024498329</v>
      </c>
      <c r="AS2673" t="s">
        <v>65</v>
      </c>
      <c r="AT2673">
        <v>1</v>
      </c>
      <c r="AU2673" t="s">
        <v>196</v>
      </c>
      <c r="AV2673" t="s">
        <v>197</v>
      </c>
      <c r="AW2673" t="s">
        <v>60</v>
      </c>
      <c r="AX2673" t="s">
        <v>68</v>
      </c>
      <c r="AY2673" t="s">
        <v>69</v>
      </c>
      <c r="AZ2673" t="b">
        <v>1</v>
      </c>
    </row>
    <row r="2674" spans="1:52" x14ac:dyDescent="0.3">
      <c r="A2674" t="s">
        <v>52</v>
      </c>
      <c r="B2674" t="s">
        <v>53</v>
      </c>
      <c r="C2674" t="s">
        <v>54</v>
      </c>
      <c r="D2674" t="s">
        <v>55</v>
      </c>
      <c r="E2674" t="s">
        <v>2162</v>
      </c>
      <c r="F2674" t="s">
        <v>190</v>
      </c>
      <c r="G2674" t="s">
        <v>198</v>
      </c>
      <c r="H2674" t="s">
        <v>199</v>
      </c>
      <c r="I2674" t="s">
        <v>199</v>
      </c>
      <c r="J2674" t="s">
        <v>60</v>
      </c>
      <c r="K2674" t="s">
        <v>200</v>
      </c>
      <c r="L2674" t="s">
        <v>62</v>
      </c>
      <c r="M2674" t="s">
        <v>200</v>
      </c>
      <c r="N2674" t="s">
        <v>201</v>
      </c>
      <c r="O2674" t="s">
        <v>202</v>
      </c>
      <c r="P2674">
        <v>-20.122433000000001</v>
      </c>
      <c r="Q2674">
        <v>-44.897013999999999</v>
      </c>
      <c r="R2674" s="2" t="str">
        <f>HYPERLINK("https://www.google.com/maps?q=-20.1224330,-44.8970140","Abrir no Google Maps")</f>
        <v>Abrir no Google Maps</v>
      </c>
      <c r="S2674">
        <v>4</v>
      </c>
      <c r="T2674">
        <v>616.04759279207849</v>
      </c>
      <c r="U2674">
        <v>3</v>
      </c>
      <c r="V2674">
        <v>0.45702203972163019</v>
      </c>
      <c r="W2674">
        <v>0.85</v>
      </c>
      <c r="X2674">
        <v>0.38846873376338559</v>
      </c>
      <c r="Y2674">
        <v>567</v>
      </c>
      <c r="Z2674">
        <v>655.51024138861465</v>
      </c>
      <c r="AA2674">
        <v>198</v>
      </c>
      <c r="AB2674">
        <v>332</v>
      </c>
      <c r="AC2674">
        <v>536</v>
      </c>
      <c r="AD2674">
        <v>26.86</v>
      </c>
      <c r="AE2674">
        <v>542</v>
      </c>
      <c r="AF2674">
        <v>15</v>
      </c>
      <c r="AG2674">
        <v>178</v>
      </c>
      <c r="AH2674">
        <v>129</v>
      </c>
      <c r="AI2674">
        <v>2.77</v>
      </c>
      <c r="AJ2674">
        <v>32.840000000000003</v>
      </c>
      <c r="AK2674">
        <v>23.8</v>
      </c>
      <c r="AL2674">
        <v>-20.122144949999949</v>
      </c>
      <c r="AM2674">
        <v>-44.896761973125983</v>
      </c>
      <c r="AN2674">
        <v>-20.122144949999949</v>
      </c>
      <c r="AO2674">
        <v>-44.896761973125983</v>
      </c>
      <c r="AP2674">
        <v>-20.122433000000001</v>
      </c>
      <c r="AQ2674">
        <v>-44.897013999999999</v>
      </c>
      <c r="AR2674">
        <v>41.499066772735389</v>
      </c>
      <c r="AS2674" t="s">
        <v>65</v>
      </c>
      <c r="AT2674">
        <v>1</v>
      </c>
      <c r="AU2674" t="s">
        <v>203</v>
      </c>
      <c r="AV2674" t="s">
        <v>204</v>
      </c>
      <c r="AW2674" t="s">
        <v>60</v>
      </c>
      <c r="AX2674" t="s">
        <v>68</v>
      </c>
      <c r="AY2674" t="s">
        <v>69</v>
      </c>
      <c r="AZ2674" t="b">
        <v>1</v>
      </c>
    </row>
    <row r="2675" spans="1:52" x14ac:dyDescent="0.3">
      <c r="A2675" t="s">
        <v>52</v>
      </c>
      <c r="B2675" t="s">
        <v>53</v>
      </c>
      <c r="C2675" t="s">
        <v>54</v>
      </c>
      <c r="D2675" t="s">
        <v>55</v>
      </c>
      <c r="E2675" t="s">
        <v>2162</v>
      </c>
      <c r="F2675" t="s">
        <v>190</v>
      </c>
      <c r="G2675" t="s">
        <v>205</v>
      </c>
      <c r="H2675" t="s">
        <v>206</v>
      </c>
      <c r="I2675" t="s">
        <v>206</v>
      </c>
      <c r="J2675" t="s">
        <v>60</v>
      </c>
      <c r="K2675" t="s">
        <v>207</v>
      </c>
      <c r="L2675" t="s">
        <v>62</v>
      </c>
      <c r="M2675" t="s">
        <v>207</v>
      </c>
      <c r="N2675" t="s">
        <v>208</v>
      </c>
      <c r="O2675" t="s">
        <v>209</v>
      </c>
      <c r="P2675">
        <v>-20.117533999999999</v>
      </c>
      <c r="Q2675">
        <v>-44.892943000000002</v>
      </c>
      <c r="R2675" s="2" t="str">
        <f>HYPERLINK("https://www.google.com/maps?q=-20.1175340,-44.8929430","Abrir no Google Maps")</f>
        <v>Abrir no Google Maps</v>
      </c>
      <c r="S2675">
        <v>4</v>
      </c>
      <c r="T2675">
        <v>601.98486688021592</v>
      </c>
      <c r="U2675">
        <v>3</v>
      </c>
      <c r="V2675">
        <v>0.47187596015143701</v>
      </c>
      <c r="W2675">
        <v>0.85</v>
      </c>
      <c r="X2675">
        <v>0.40109456612872152</v>
      </c>
      <c r="Y2675">
        <v>567</v>
      </c>
      <c r="Z2675">
        <v>574.59225706016446</v>
      </c>
      <c r="AA2675">
        <v>198</v>
      </c>
      <c r="AB2675">
        <v>332</v>
      </c>
      <c r="AC2675">
        <v>536</v>
      </c>
      <c r="AD2675">
        <v>26.86</v>
      </c>
      <c r="AE2675">
        <v>542</v>
      </c>
      <c r="AF2675">
        <v>15</v>
      </c>
      <c r="AG2675">
        <v>178</v>
      </c>
      <c r="AH2675">
        <v>129</v>
      </c>
      <c r="AI2675">
        <v>2.77</v>
      </c>
      <c r="AJ2675">
        <v>32.840000000000003</v>
      </c>
      <c r="AK2675">
        <v>23.8</v>
      </c>
      <c r="AL2675">
        <v>-20.11671494999996</v>
      </c>
      <c r="AM2675">
        <v>-44.89352717833448</v>
      </c>
      <c r="AN2675">
        <v>-20.11671494999996</v>
      </c>
      <c r="AO2675">
        <v>-44.89352717833448</v>
      </c>
      <c r="AP2675">
        <v>-20.117533999999999</v>
      </c>
      <c r="AQ2675">
        <v>-44.892943000000002</v>
      </c>
      <c r="AR2675">
        <v>109.7357164799156</v>
      </c>
      <c r="AS2675" t="s">
        <v>65</v>
      </c>
      <c r="AT2675">
        <v>1</v>
      </c>
      <c r="AU2675" t="s">
        <v>210</v>
      </c>
      <c r="AV2675" t="s">
        <v>211</v>
      </c>
      <c r="AW2675" t="s">
        <v>60</v>
      </c>
      <c r="AX2675" t="s">
        <v>68</v>
      </c>
      <c r="AY2675" t="s">
        <v>69</v>
      </c>
      <c r="AZ2675" t="b">
        <v>1</v>
      </c>
    </row>
    <row r="2676" spans="1:52" x14ac:dyDescent="0.3">
      <c r="A2676" t="s">
        <v>52</v>
      </c>
      <c r="B2676" t="s">
        <v>53</v>
      </c>
      <c r="C2676" t="s">
        <v>54</v>
      </c>
      <c r="D2676" t="s">
        <v>55</v>
      </c>
      <c r="E2676" t="s">
        <v>2162</v>
      </c>
      <c r="F2676" t="s">
        <v>190</v>
      </c>
      <c r="G2676" t="s">
        <v>212</v>
      </c>
      <c r="H2676" t="s">
        <v>213</v>
      </c>
      <c r="I2676" t="s">
        <v>213</v>
      </c>
      <c r="J2676" t="s">
        <v>60</v>
      </c>
      <c r="K2676" t="s">
        <v>214</v>
      </c>
      <c r="L2676" t="s">
        <v>62</v>
      </c>
      <c r="M2676" t="s">
        <v>214</v>
      </c>
      <c r="N2676" t="s">
        <v>215</v>
      </c>
      <c r="O2676" t="s">
        <v>216</v>
      </c>
      <c r="P2676">
        <v>-20.158149000000002</v>
      </c>
      <c r="Q2676">
        <v>-44.872593000000002</v>
      </c>
      <c r="R2676" s="2" t="str">
        <f>HYPERLINK("https://www.google.com/maps?q=-20.1581490,-44.8725930","Abrir no Google Maps")</f>
        <v>Abrir no Google Maps</v>
      </c>
      <c r="S2676">
        <v>4</v>
      </c>
      <c r="T2676">
        <v>0</v>
      </c>
      <c r="U2676">
        <v>3</v>
      </c>
      <c r="V2676">
        <v>0.38685299259268208</v>
      </c>
      <c r="W2676">
        <v>1</v>
      </c>
      <c r="X2676">
        <v>0.38685299259268208</v>
      </c>
      <c r="Y2676">
        <v>531</v>
      </c>
      <c r="Z2676">
        <v>127.8805352974544</v>
      </c>
      <c r="AA2676">
        <v>198</v>
      </c>
      <c r="AB2676">
        <v>332</v>
      </c>
      <c r="AC2676">
        <v>536</v>
      </c>
      <c r="AD2676">
        <v>26.86</v>
      </c>
      <c r="AE2676">
        <v>542</v>
      </c>
      <c r="AF2676">
        <v>15</v>
      </c>
      <c r="AG2676">
        <v>178</v>
      </c>
      <c r="AH2676">
        <v>129</v>
      </c>
      <c r="AI2676">
        <v>2.77</v>
      </c>
      <c r="AJ2676">
        <v>32.840000000000003</v>
      </c>
      <c r="AK2676">
        <v>23.8</v>
      </c>
      <c r="AL2676">
        <v>-20.158114249999951</v>
      </c>
      <c r="AM2676">
        <v>-44.872583123264782</v>
      </c>
      <c r="AN2676">
        <v>-20.158114249999951</v>
      </c>
      <c r="AO2676">
        <v>-44.872583123264782</v>
      </c>
      <c r="AP2676">
        <v>-20.158149000000002</v>
      </c>
      <c r="AQ2676">
        <v>-44.872593000000002</v>
      </c>
      <c r="AR2676">
        <v>4.0036956087599238</v>
      </c>
      <c r="AS2676" t="s">
        <v>65</v>
      </c>
      <c r="AT2676">
        <v>1</v>
      </c>
      <c r="AU2676" t="s">
        <v>217</v>
      </c>
      <c r="AV2676" t="s">
        <v>218</v>
      </c>
      <c r="AW2676" t="s">
        <v>60</v>
      </c>
      <c r="AX2676" t="s">
        <v>68</v>
      </c>
      <c r="AY2676" t="s">
        <v>69</v>
      </c>
      <c r="AZ2676" t="b">
        <v>1</v>
      </c>
    </row>
    <row r="2677" spans="1:52" x14ac:dyDescent="0.3">
      <c r="A2677" t="s">
        <v>52</v>
      </c>
      <c r="B2677" t="s">
        <v>53</v>
      </c>
      <c r="C2677" t="s">
        <v>54</v>
      </c>
      <c r="D2677" t="s">
        <v>55</v>
      </c>
      <c r="E2677" t="s">
        <v>2162</v>
      </c>
      <c r="F2677" t="s">
        <v>190</v>
      </c>
      <c r="G2677" t="s">
        <v>219</v>
      </c>
      <c r="H2677" t="s">
        <v>220</v>
      </c>
      <c r="I2677" t="s">
        <v>220</v>
      </c>
      <c r="J2677" t="s">
        <v>60</v>
      </c>
      <c r="K2677" t="s">
        <v>214</v>
      </c>
      <c r="L2677" t="s">
        <v>62</v>
      </c>
      <c r="M2677" t="s">
        <v>214</v>
      </c>
      <c r="N2677" t="s">
        <v>221</v>
      </c>
      <c r="O2677" t="s">
        <v>222</v>
      </c>
      <c r="P2677">
        <v>-20.158049999999999</v>
      </c>
      <c r="Q2677">
        <v>-44.868823999999996</v>
      </c>
      <c r="R2677" s="2" t="str">
        <f>HYPERLINK("https://www.google.com/maps?q=-20.1580500,-44.8688240","Abrir no Google Maps")</f>
        <v>Abrir no Google Maps</v>
      </c>
      <c r="S2677">
        <v>4</v>
      </c>
      <c r="T2677">
        <v>400.85705002223079</v>
      </c>
      <c r="U2677">
        <v>3</v>
      </c>
      <c r="V2677">
        <v>0.38210351242580431</v>
      </c>
      <c r="W2677">
        <v>1</v>
      </c>
      <c r="X2677">
        <v>0.38210351242580431</v>
      </c>
      <c r="Y2677">
        <v>531</v>
      </c>
      <c r="Z2677">
        <v>493.98501624607121</v>
      </c>
      <c r="AA2677">
        <v>198</v>
      </c>
      <c r="AB2677">
        <v>332</v>
      </c>
      <c r="AC2677">
        <v>536</v>
      </c>
      <c r="AD2677">
        <v>26.86</v>
      </c>
      <c r="AE2677">
        <v>542</v>
      </c>
      <c r="AF2677">
        <v>15</v>
      </c>
      <c r="AG2677">
        <v>178</v>
      </c>
      <c r="AH2677">
        <v>129</v>
      </c>
      <c r="AI2677">
        <v>2.77</v>
      </c>
      <c r="AJ2677">
        <v>32.840000000000003</v>
      </c>
      <c r="AK2677">
        <v>23.8</v>
      </c>
      <c r="AL2677">
        <v>-20.158020649999969</v>
      </c>
      <c r="AM2677">
        <v>-44.868748475381317</v>
      </c>
      <c r="AN2677">
        <v>-20.158020649999969</v>
      </c>
      <c r="AO2677">
        <v>-44.868748475381331</v>
      </c>
      <c r="AP2677">
        <v>-20.158049999999999</v>
      </c>
      <c r="AQ2677">
        <v>-44.868823999999996</v>
      </c>
      <c r="AR2677">
        <v>8.5419571471718818</v>
      </c>
      <c r="AS2677" t="s">
        <v>65</v>
      </c>
      <c r="AT2677">
        <v>1</v>
      </c>
      <c r="AU2677" t="s">
        <v>223</v>
      </c>
      <c r="AV2677" t="s">
        <v>224</v>
      </c>
      <c r="AW2677" t="s">
        <v>60</v>
      </c>
      <c r="AX2677" t="s">
        <v>68</v>
      </c>
      <c r="AY2677" t="s">
        <v>69</v>
      </c>
      <c r="AZ2677" t="b">
        <v>1</v>
      </c>
    </row>
    <row r="2678" spans="1:52" x14ac:dyDescent="0.3">
      <c r="A2678" t="s">
        <v>52</v>
      </c>
      <c r="B2678" t="s">
        <v>53</v>
      </c>
      <c r="C2678" t="s">
        <v>54</v>
      </c>
      <c r="D2678" t="s">
        <v>55</v>
      </c>
      <c r="E2678" t="s">
        <v>2162</v>
      </c>
      <c r="F2678" t="s">
        <v>190</v>
      </c>
      <c r="G2678" t="s">
        <v>225</v>
      </c>
      <c r="H2678" t="s">
        <v>226</v>
      </c>
      <c r="I2678" t="s">
        <v>226</v>
      </c>
      <c r="J2678" t="s">
        <v>60</v>
      </c>
      <c r="K2678" t="s">
        <v>227</v>
      </c>
      <c r="L2678" t="s">
        <v>62</v>
      </c>
      <c r="M2678" t="s">
        <v>227</v>
      </c>
      <c r="N2678" t="s">
        <v>228</v>
      </c>
      <c r="O2678" t="s">
        <v>229</v>
      </c>
      <c r="P2678">
        <v>-20.156986</v>
      </c>
      <c r="Q2678">
        <v>-44.857474000000003</v>
      </c>
      <c r="R2678" s="2" t="str">
        <f>HYPERLINK("https://www.google.com/maps?q=-20.1569860,-44.8574740","Abrir no Google Maps")</f>
        <v>Abrir no Google Maps</v>
      </c>
      <c r="S2678">
        <v>4</v>
      </c>
      <c r="T2678">
        <v>270.52797591847911</v>
      </c>
      <c r="U2678">
        <v>3</v>
      </c>
      <c r="V2678">
        <v>0.38665746259863309</v>
      </c>
      <c r="W2678">
        <v>1</v>
      </c>
      <c r="X2678">
        <v>0.38665746259863309</v>
      </c>
      <c r="Y2678">
        <v>518</v>
      </c>
      <c r="Z2678">
        <v>441.86584449256071</v>
      </c>
      <c r="AA2678">
        <v>198</v>
      </c>
      <c r="AB2678">
        <v>332</v>
      </c>
      <c r="AC2678">
        <v>536</v>
      </c>
      <c r="AD2678">
        <v>26.86</v>
      </c>
      <c r="AE2678">
        <v>542</v>
      </c>
      <c r="AF2678">
        <v>15</v>
      </c>
      <c r="AG2678">
        <v>178</v>
      </c>
      <c r="AH2678">
        <v>129</v>
      </c>
      <c r="AI2678">
        <v>2.77</v>
      </c>
      <c r="AJ2678">
        <v>32.840000000000003</v>
      </c>
      <c r="AK2678">
        <v>23.8</v>
      </c>
      <c r="AL2678">
        <v>-20.156957249999952</v>
      </c>
      <c r="AM2678">
        <v>-44.857396682659299</v>
      </c>
      <c r="AN2678">
        <v>-20.156957249999952</v>
      </c>
      <c r="AO2678">
        <v>-44.857396682659299</v>
      </c>
      <c r="AP2678">
        <v>-20.156986</v>
      </c>
      <c r="AQ2678">
        <v>-44.857474000000003</v>
      </c>
      <c r="AR2678">
        <v>8.6905800579264607</v>
      </c>
      <c r="AS2678" t="s">
        <v>65</v>
      </c>
      <c r="AT2678">
        <v>1</v>
      </c>
      <c r="AU2678" t="s">
        <v>230</v>
      </c>
      <c r="AV2678" t="s">
        <v>231</v>
      </c>
      <c r="AW2678" t="s">
        <v>60</v>
      </c>
      <c r="AX2678" t="s">
        <v>68</v>
      </c>
      <c r="AY2678" t="s">
        <v>69</v>
      </c>
      <c r="AZ2678" t="b">
        <v>1</v>
      </c>
    </row>
    <row r="2679" spans="1:52" x14ac:dyDescent="0.3">
      <c r="A2679" t="s">
        <v>52</v>
      </c>
      <c r="B2679" t="s">
        <v>53</v>
      </c>
      <c r="C2679" t="s">
        <v>54</v>
      </c>
      <c r="D2679" t="s">
        <v>55</v>
      </c>
      <c r="E2679" t="s">
        <v>2162</v>
      </c>
      <c r="F2679" t="s">
        <v>190</v>
      </c>
      <c r="G2679" t="s">
        <v>232</v>
      </c>
      <c r="H2679" t="s">
        <v>233</v>
      </c>
      <c r="I2679" t="s">
        <v>233</v>
      </c>
      <c r="J2679" t="s">
        <v>60</v>
      </c>
      <c r="K2679" t="s">
        <v>227</v>
      </c>
      <c r="L2679" t="s">
        <v>62</v>
      </c>
      <c r="M2679" t="s">
        <v>227</v>
      </c>
      <c r="N2679" t="s">
        <v>234</v>
      </c>
      <c r="O2679" t="s">
        <v>235</v>
      </c>
      <c r="P2679">
        <v>-20.158666</v>
      </c>
      <c r="Q2679">
        <v>-44.861398999999999</v>
      </c>
      <c r="R2679" s="2" t="str">
        <f>HYPERLINK("https://www.google.com/maps?q=-20.1586660,-44.8613990","Abrir no Google Maps")</f>
        <v>Abrir no Google Maps</v>
      </c>
      <c r="S2679">
        <v>4</v>
      </c>
      <c r="T2679">
        <v>330.01505397941582</v>
      </c>
      <c r="U2679">
        <v>3</v>
      </c>
      <c r="V2679">
        <v>0.39183532642204721</v>
      </c>
      <c r="W2679">
        <v>1</v>
      </c>
      <c r="X2679">
        <v>0.39183532642204721</v>
      </c>
      <c r="Y2679">
        <v>518</v>
      </c>
      <c r="Z2679">
        <v>251.8092920281106</v>
      </c>
      <c r="AA2679">
        <v>198</v>
      </c>
      <c r="AB2679">
        <v>332</v>
      </c>
      <c r="AC2679">
        <v>536</v>
      </c>
      <c r="AD2679">
        <v>26.86</v>
      </c>
      <c r="AE2679">
        <v>542</v>
      </c>
      <c r="AF2679">
        <v>15</v>
      </c>
      <c r="AG2679">
        <v>178</v>
      </c>
      <c r="AH2679">
        <v>129</v>
      </c>
      <c r="AI2679">
        <v>2.77</v>
      </c>
      <c r="AJ2679">
        <v>32.840000000000003</v>
      </c>
      <c r="AK2679">
        <v>23.8</v>
      </c>
      <c r="AL2679">
        <v>-20.158631449999969</v>
      </c>
      <c r="AM2679">
        <v>-44.861424574758061</v>
      </c>
      <c r="AN2679">
        <v>-20.158631449999969</v>
      </c>
      <c r="AO2679">
        <v>-44.861424574758061</v>
      </c>
      <c r="AP2679">
        <v>-20.158666</v>
      </c>
      <c r="AQ2679">
        <v>-44.861398999999999</v>
      </c>
      <c r="AR2679">
        <v>4.6835056709567411</v>
      </c>
      <c r="AS2679" t="s">
        <v>65</v>
      </c>
      <c r="AT2679">
        <v>1</v>
      </c>
      <c r="AU2679" t="s">
        <v>236</v>
      </c>
      <c r="AV2679" t="s">
        <v>237</v>
      </c>
      <c r="AW2679" t="s">
        <v>60</v>
      </c>
      <c r="AX2679" t="s">
        <v>68</v>
      </c>
      <c r="AY2679" t="s">
        <v>69</v>
      </c>
      <c r="AZ2679" t="b">
        <v>1</v>
      </c>
    </row>
    <row r="2680" spans="1:52" x14ac:dyDescent="0.3">
      <c r="A2680" t="s">
        <v>52</v>
      </c>
      <c r="B2680" t="s">
        <v>53</v>
      </c>
      <c r="C2680" t="s">
        <v>54</v>
      </c>
      <c r="D2680" t="s">
        <v>55</v>
      </c>
      <c r="E2680" t="s">
        <v>2162</v>
      </c>
      <c r="F2680" t="s">
        <v>190</v>
      </c>
      <c r="G2680" t="s">
        <v>238</v>
      </c>
      <c r="H2680" t="s">
        <v>239</v>
      </c>
      <c r="I2680" t="s">
        <v>239</v>
      </c>
      <c r="J2680" t="s">
        <v>60</v>
      </c>
      <c r="K2680" t="s">
        <v>227</v>
      </c>
      <c r="L2680" t="s">
        <v>62</v>
      </c>
      <c r="M2680" t="s">
        <v>227</v>
      </c>
      <c r="N2680" t="s">
        <v>240</v>
      </c>
      <c r="O2680" t="s">
        <v>202</v>
      </c>
      <c r="P2680">
        <v>-20.155833999999999</v>
      </c>
      <c r="Q2680">
        <v>-44.859437999999997</v>
      </c>
      <c r="R2680" s="2" t="str">
        <f>HYPERLINK("https://www.google.com/maps?q=-20.1558340,-44.8594380","Abrir no Google Maps")</f>
        <v>Abrir no Google Maps</v>
      </c>
      <c r="S2680">
        <v>4</v>
      </c>
      <c r="T2680">
        <v>381.00646482339403</v>
      </c>
      <c r="U2680">
        <v>3</v>
      </c>
      <c r="V2680">
        <v>0.39816481994459829</v>
      </c>
      <c r="W2680">
        <v>1</v>
      </c>
      <c r="X2680">
        <v>0.39816481994459829</v>
      </c>
      <c r="Y2680">
        <v>518</v>
      </c>
      <c r="Z2680">
        <v>484.9275363207239</v>
      </c>
      <c r="AA2680">
        <v>198</v>
      </c>
      <c r="AB2680">
        <v>332</v>
      </c>
      <c r="AC2680">
        <v>536</v>
      </c>
      <c r="AD2680">
        <v>26.86</v>
      </c>
      <c r="AE2680">
        <v>542</v>
      </c>
      <c r="AF2680">
        <v>15</v>
      </c>
      <c r="AG2680">
        <v>178</v>
      </c>
      <c r="AH2680">
        <v>129</v>
      </c>
      <c r="AI2680">
        <v>2.77</v>
      </c>
      <c r="AJ2680">
        <v>32.840000000000003</v>
      </c>
      <c r="AK2680">
        <v>23.8</v>
      </c>
      <c r="AL2680">
        <v>-20.155935399999979</v>
      </c>
      <c r="AM2680">
        <v>-44.859367525422847</v>
      </c>
      <c r="AN2680">
        <v>-20.155935399999979</v>
      </c>
      <c r="AO2680">
        <v>-44.859367525422847</v>
      </c>
      <c r="AP2680">
        <v>-20.155833999999999</v>
      </c>
      <c r="AQ2680">
        <v>-44.859437999999997</v>
      </c>
      <c r="AR2680">
        <v>13.477960508152201</v>
      </c>
      <c r="AS2680" t="s">
        <v>65</v>
      </c>
      <c r="AT2680">
        <v>1</v>
      </c>
      <c r="AU2680" t="s">
        <v>241</v>
      </c>
      <c r="AV2680" t="s">
        <v>242</v>
      </c>
      <c r="AW2680" t="s">
        <v>60</v>
      </c>
      <c r="AX2680" t="s">
        <v>68</v>
      </c>
      <c r="AY2680" t="s">
        <v>69</v>
      </c>
      <c r="AZ2680" t="b">
        <v>1</v>
      </c>
    </row>
    <row r="2681" spans="1:52" x14ac:dyDescent="0.3">
      <c r="A2681" t="s">
        <v>52</v>
      </c>
      <c r="B2681" t="s">
        <v>53</v>
      </c>
      <c r="C2681" t="s">
        <v>54</v>
      </c>
      <c r="D2681" t="s">
        <v>55</v>
      </c>
      <c r="E2681" t="s">
        <v>2162</v>
      </c>
      <c r="F2681" t="s">
        <v>190</v>
      </c>
      <c r="G2681" t="s">
        <v>243</v>
      </c>
      <c r="H2681" t="s">
        <v>244</v>
      </c>
      <c r="I2681" t="s">
        <v>244</v>
      </c>
      <c r="J2681" t="s">
        <v>60</v>
      </c>
      <c r="K2681" t="s">
        <v>214</v>
      </c>
      <c r="L2681" t="s">
        <v>62</v>
      </c>
      <c r="M2681" t="s">
        <v>214</v>
      </c>
      <c r="N2681" t="s">
        <v>245</v>
      </c>
      <c r="O2681" t="s">
        <v>246</v>
      </c>
      <c r="P2681">
        <v>-20.156296999999999</v>
      </c>
      <c r="Q2681">
        <v>-44.873035999999999</v>
      </c>
      <c r="R2681" s="2" t="str">
        <f>HYPERLINK("https://www.google.com/maps?q=-20.1562970,-44.8730360","Abrir no Google Maps")</f>
        <v>Abrir no Google Maps</v>
      </c>
      <c r="S2681">
        <v>4</v>
      </c>
      <c r="T2681">
        <v>198.04479306725889</v>
      </c>
      <c r="U2681">
        <v>3</v>
      </c>
      <c r="V2681">
        <v>0.38953163200145952</v>
      </c>
      <c r="W2681">
        <v>1</v>
      </c>
      <c r="X2681">
        <v>0.38953163200145952</v>
      </c>
      <c r="Y2681">
        <v>305</v>
      </c>
      <c r="Z2681">
        <v>267.7765515134916</v>
      </c>
      <c r="AA2681">
        <v>198</v>
      </c>
      <c r="AB2681">
        <v>332</v>
      </c>
      <c r="AC2681">
        <v>536</v>
      </c>
      <c r="AD2681">
        <v>26.86</v>
      </c>
      <c r="AE2681">
        <v>542</v>
      </c>
      <c r="AF2681">
        <v>15</v>
      </c>
      <c r="AG2681">
        <v>178</v>
      </c>
      <c r="AH2681">
        <v>129</v>
      </c>
      <c r="AI2681">
        <v>2.77</v>
      </c>
      <c r="AJ2681">
        <v>32.840000000000003</v>
      </c>
      <c r="AK2681">
        <v>23.8</v>
      </c>
      <c r="AL2681">
        <v>-20.156361349999941</v>
      </c>
      <c r="AM2681">
        <v>-44.87296512500793</v>
      </c>
      <c r="AN2681">
        <v>-20.156361349999941</v>
      </c>
      <c r="AO2681">
        <v>-44.87296512500793</v>
      </c>
      <c r="AP2681">
        <v>-20.156296999999999</v>
      </c>
      <c r="AQ2681">
        <v>-44.873035999999999</v>
      </c>
      <c r="AR2681">
        <v>10.304009356726979</v>
      </c>
      <c r="AS2681" t="s">
        <v>65</v>
      </c>
      <c r="AT2681">
        <v>1</v>
      </c>
      <c r="AU2681" t="s">
        <v>247</v>
      </c>
      <c r="AV2681" t="s">
        <v>248</v>
      </c>
      <c r="AW2681" t="s">
        <v>60</v>
      </c>
      <c r="AX2681" t="s">
        <v>68</v>
      </c>
      <c r="AY2681" t="s">
        <v>69</v>
      </c>
      <c r="AZ2681" t="b">
        <v>1</v>
      </c>
    </row>
    <row r="2682" spans="1:52" x14ac:dyDescent="0.3">
      <c r="A2682" t="s">
        <v>52</v>
      </c>
      <c r="B2682" t="s">
        <v>53</v>
      </c>
      <c r="C2682" t="s">
        <v>54</v>
      </c>
      <c r="D2682" t="s">
        <v>55</v>
      </c>
      <c r="E2682" t="s">
        <v>2162</v>
      </c>
      <c r="F2682" t="s">
        <v>190</v>
      </c>
      <c r="G2682" t="s">
        <v>212</v>
      </c>
      <c r="H2682" t="s">
        <v>249</v>
      </c>
      <c r="I2682" t="s">
        <v>249</v>
      </c>
      <c r="J2682" t="s">
        <v>60</v>
      </c>
      <c r="K2682" t="s">
        <v>214</v>
      </c>
      <c r="L2682" t="s">
        <v>62</v>
      </c>
      <c r="M2682" t="s">
        <v>214</v>
      </c>
      <c r="N2682" t="s">
        <v>215</v>
      </c>
      <c r="O2682" t="s">
        <v>250</v>
      </c>
      <c r="P2682">
        <v>-20.153901000000001</v>
      </c>
      <c r="Q2682">
        <v>-44.873201000000002</v>
      </c>
      <c r="R2682" s="2" t="str">
        <f>HYPERLINK("https://www.google.com/maps?q=-20.1539010,-44.8732010","Abrir no Google Maps")</f>
        <v>Abrir no Google Maps</v>
      </c>
      <c r="S2682">
        <v>4</v>
      </c>
      <c r="T2682">
        <v>478.23282142593177</v>
      </c>
      <c r="U2682">
        <v>3</v>
      </c>
      <c r="V2682">
        <v>0.38740509510711529</v>
      </c>
      <c r="W2682">
        <v>1</v>
      </c>
      <c r="X2682">
        <v>0.38740509510711529</v>
      </c>
      <c r="Y2682">
        <v>305</v>
      </c>
      <c r="Z2682">
        <v>392.82025973713081</v>
      </c>
      <c r="AA2682">
        <v>198</v>
      </c>
      <c r="AB2682">
        <v>332</v>
      </c>
      <c r="AC2682">
        <v>536</v>
      </c>
      <c r="AD2682">
        <v>26.86</v>
      </c>
      <c r="AE2682">
        <v>542</v>
      </c>
      <c r="AF2682">
        <v>15</v>
      </c>
      <c r="AG2682">
        <v>178</v>
      </c>
      <c r="AH2682">
        <v>129</v>
      </c>
      <c r="AI2682">
        <v>2.77</v>
      </c>
      <c r="AJ2682">
        <v>32.840000000000003</v>
      </c>
      <c r="AK2682">
        <v>23.8</v>
      </c>
      <c r="AL2682">
        <v>-20.153814849999971</v>
      </c>
      <c r="AM2682">
        <v>-44.87304592111829</v>
      </c>
      <c r="AN2682">
        <v>-20.153814849999971</v>
      </c>
      <c r="AO2682">
        <v>-44.87304592111829</v>
      </c>
      <c r="AP2682">
        <v>-20.153901000000001</v>
      </c>
      <c r="AQ2682">
        <v>-44.873201000000002</v>
      </c>
      <c r="AR2682">
        <v>18.831316146831309</v>
      </c>
      <c r="AS2682" t="s">
        <v>65</v>
      </c>
      <c r="AT2682">
        <v>1</v>
      </c>
      <c r="AU2682" t="s">
        <v>251</v>
      </c>
      <c r="AV2682" t="s">
        <v>252</v>
      </c>
      <c r="AW2682" t="s">
        <v>60</v>
      </c>
      <c r="AX2682" t="s">
        <v>68</v>
      </c>
      <c r="AY2682" t="s">
        <v>69</v>
      </c>
      <c r="AZ2682" t="b">
        <v>1</v>
      </c>
    </row>
    <row r="2683" spans="1:52" x14ac:dyDescent="0.3">
      <c r="A2683" t="s">
        <v>52</v>
      </c>
      <c r="B2683" t="s">
        <v>53</v>
      </c>
      <c r="C2683" t="s">
        <v>54</v>
      </c>
      <c r="D2683" t="s">
        <v>55</v>
      </c>
      <c r="E2683" t="s">
        <v>2162</v>
      </c>
      <c r="F2683" t="s">
        <v>190</v>
      </c>
      <c r="G2683" t="s">
        <v>253</v>
      </c>
      <c r="H2683" t="s">
        <v>254</v>
      </c>
      <c r="I2683" t="s">
        <v>254</v>
      </c>
      <c r="J2683" t="s">
        <v>60</v>
      </c>
      <c r="K2683" t="s">
        <v>255</v>
      </c>
      <c r="L2683" t="s">
        <v>62</v>
      </c>
      <c r="M2683" t="s">
        <v>255</v>
      </c>
      <c r="N2683" t="s">
        <v>256</v>
      </c>
      <c r="O2683" t="s">
        <v>257</v>
      </c>
      <c r="P2683">
        <v>-20.159638000000001</v>
      </c>
      <c r="Q2683">
        <v>-44.849030999999997</v>
      </c>
      <c r="R2683" s="2" t="str">
        <f>HYPERLINK("https://www.google.com/maps?q=-20.1596380,-44.8490310","Abrir no Google Maps")</f>
        <v>Abrir no Google Maps</v>
      </c>
      <c r="S2683">
        <v>4</v>
      </c>
      <c r="T2683">
        <v>691.81173220845892</v>
      </c>
      <c r="U2683">
        <v>3</v>
      </c>
      <c r="V2683">
        <v>0.38171779670161982</v>
      </c>
      <c r="W2683">
        <v>1</v>
      </c>
      <c r="X2683">
        <v>0.38171779670161982</v>
      </c>
      <c r="Y2683">
        <v>292</v>
      </c>
      <c r="Z2683">
        <v>678.56824923431736</v>
      </c>
      <c r="AA2683">
        <v>198</v>
      </c>
      <c r="AB2683">
        <v>332</v>
      </c>
      <c r="AC2683">
        <v>536</v>
      </c>
      <c r="AD2683">
        <v>26.86</v>
      </c>
      <c r="AE2683">
        <v>542</v>
      </c>
      <c r="AF2683">
        <v>15</v>
      </c>
      <c r="AG2683">
        <v>178</v>
      </c>
      <c r="AH2683">
        <v>129</v>
      </c>
      <c r="AI2683">
        <v>2.77</v>
      </c>
      <c r="AJ2683">
        <v>32.840000000000003</v>
      </c>
      <c r="AK2683">
        <v>23.8</v>
      </c>
      <c r="AL2683">
        <v>-20.159590049999959</v>
      </c>
      <c r="AM2683">
        <v>-44.849181856774607</v>
      </c>
      <c r="AN2683">
        <v>-20.159590049999959</v>
      </c>
      <c r="AO2683">
        <v>-44.849181856774607</v>
      </c>
      <c r="AP2683">
        <v>-20.159638000000001</v>
      </c>
      <c r="AQ2683">
        <v>-44.849030999999997</v>
      </c>
      <c r="AR2683">
        <v>16.643712040087191</v>
      </c>
      <c r="AS2683" t="s">
        <v>65</v>
      </c>
      <c r="AT2683">
        <v>1</v>
      </c>
      <c r="AU2683" t="s">
        <v>258</v>
      </c>
      <c r="AV2683" t="s">
        <v>259</v>
      </c>
      <c r="AW2683" t="s">
        <v>60</v>
      </c>
      <c r="AX2683" t="s">
        <v>68</v>
      </c>
      <c r="AY2683" t="s">
        <v>69</v>
      </c>
      <c r="AZ2683" t="b">
        <v>1</v>
      </c>
    </row>
    <row r="2684" spans="1:52" x14ac:dyDescent="0.3">
      <c r="A2684" t="s">
        <v>52</v>
      </c>
      <c r="B2684" t="s">
        <v>53</v>
      </c>
      <c r="C2684" t="s">
        <v>54</v>
      </c>
      <c r="D2684" t="s">
        <v>55</v>
      </c>
      <c r="E2684" t="s">
        <v>2162</v>
      </c>
      <c r="F2684" t="s">
        <v>190</v>
      </c>
      <c r="G2684" t="s">
        <v>260</v>
      </c>
      <c r="H2684" t="s">
        <v>261</v>
      </c>
      <c r="I2684" t="s">
        <v>261</v>
      </c>
      <c r="J2684" t="s">
        <v>60</v>
      </c>
      <c r="K2684" t="s">
        <v>262</v>
      </c>
      <c r="L2684" t="s">
        <v>62</v>
      </c>
      <c r="M2684" t="s">
        <v>262</v>
      </c>
      <c r="N2684" t="s">
        <v>263</v>
      </c>
      <c r="O2684" t="s">
        <v>264</v>
      </c>
      <c r="P2684">
        <v>-20.162230000000001</v>
      </c>
      <c r="Q2684">
        <v>-44.850189</v>
      </c>
      <c r="R2684" s="2" t="str">
        <f>HYPERLINK("https://www.google.com/maps?q=-20.1622300,-44.8501890","Abrir no Google Maps")</f>
        <v>Abrir no Google Maps</v>
      </c>
      <c r="S2684">
        <v>4</v>
      </c>
      <c r="T2684">
        <v>485.03737650296068</v>
      </c>
      <c r="U2684">
        <v>3</v>
      </c>
      <c r="V2684">
        <v>0.37633203584570041</v>
      </c>
      <c r="W2684">
        <v>1</v>
      </c>
      <c r="X2684">
        <v>0.37633203584570041</v>
      </c>
      <c r="Y2684">
        <v>292</v>
      </c>
      <c r="Z2684">
        <v>461.03925198673232</v>
      </c>
      <c r="AA2684">
        <v>198</v>
      </c>
      <c r="AB2684">
        <v>332</v>
      </c>
      <c r="AC2684">
        <v>536</v>
      </c>
      <c r="AD2684">
        <v>26.86</v>
      </c>
      <c r="AE2684">
        <v>542</v>
      </c>
      <c r="AF2684">
        <v>15</v>
      </c>
      <c r="AG2684">
        <v>178</v>
      </c>
      <c r="AH2684">
        <v>129</v>
      </c>
      <c r="AI2684">
        <v>2.77</v>
      </c>
      <c r="AJ2684">
        <v>32.840000000000003</v>
      </c>
      <c r="AK2684">
        <v>23.8</v>
      </c>
      <c r="AL2684">
        <v>-20.162067849999971</v>
      </c>
      <c r="AM2684">
        <v>-44.850230909322903</v>
      </c>
      <c r="AN2684">
        <v>-20.162067849999971</v>
      </c>
      <c r="AO2684">
        <v>-44.850230909322903</v>
      </c>
      <c r="AP2684">
        <v>-20.162230000000001</v>
      </c>
      <c r="AQ2684">
        <v>-44.850189</v>
      </c>
      <c r="AR2684">
        <v>18.574218491036259</v>
      </c>
      <c r="AS2684" t="s">
        <v>65</v>
      </c>
      <c r="AT2684">
        <v>1</v>
      </c>
      <c r="AU2684" t="s">
        <v>265</v>
      </c>
      <c r="AV2684" t="s">
        <v>266</v>
      </c>
      <c r="AW2684" t="s">
        <v>60</v>
      </c>
      <c r="AX2684" t="s">
        <v>68</v>
      </c>
      <c r="AY2684" t="s">
        <v>69</v>
      </c>
      <c r="AZ2684" t="b">
        <v>1</v>
      </c>
    </row>
    <row r="2685" spans="1:52" x14ac:dyDescent="0.3">
      <c r="A2685" t="s">
        <v>52</v>
      </c>
      <c r="B2685" t="s">
        <v>53</v>
      </c>
      <c r="C2685" t="s">
        <v>54</v>
      </c>
      <c r="D2685" t="s">
        <v>55</v>
      </c>
      <c r="E2685" t="s">
        <v>2162</v>
      </c>
      <c r="F2685" t="s">
        <v>190</v>
      </c>
      <c r="G2685" t="s">
        <v>267</v>
      </c>
      <c r="H2685" t="s">
        <v>268</v>
      </c>
      <c r="I2685" t="s">
        <v>268</v>
      </c>
      <c r="J2685" t="s">
        <v>60</v>
      </c>
      <c r="K2685" t="s">
        <v>150</v>
      </c>
      <c r="L2685" t="s">
        <v>62</v>
      </c>
      <c r="M2685" t="s">
        <v>150</v>
      </c>
      <c r="N2685" t="s">
        <v>269</v>
      </c>
      <c r="O2685" t="s">
        <v>270</v>
      </c>
      <c r="P2685">
        <v>-20.172367999999999</v>
      </c>
      <c r="Q2685">
        <v>-44.848661</v>
      </c>
      <c r="R2685" s="2" t="str">
        <f>HYPERLINK("https://www.google.com/maps?q=-20.1723680,-44.8486610","Abrir no Google Maps")</f>
        <v>Abrir no Google Maps</v>
      </c>
      <c r="S2685">
        <v>4</v>
      </c>
      <c r="T2685">
        <v>759.75892180950234</v>
      </c>
      <c r="U2685">
        <v>3</v>
      </c>
      <c r="V2685">
        <v>0.37828624107550801</v>
      </c>
      <c r="W2685">
        <v>1</v>
      </c>
      <c r="X2685">
        <v>0.37828624107550801</v>
      </c>
      <c r="Y2685">
        <v>292</v>
      </c>
      <c r="Z2685">
        <v>735.80511761487242</v>
      </c>
      <c r="AA2685">
        <v>198</v>
      </c>
      <c r="AB2685">
        <v>332</v>
      </c>
      <c r="AC2685">
        <v>536</v>
      </c>
      <c r="AD2685">
        <v>26.86</v>
      </c>
      <c r="AE2685">
        <v>542</v>
      </c>
      <c r="AF2685">
        <v>15</v>
      </c>
      <c r="AG2685">
        <v>178</v>
      </c>
      <c r="AH2685">
        <v>129</v>
      </c>
      <c r="AI2685">
        <v>2.77</v>
      </c>
      <c r="AJ2685">
        <v>32.840000000000003</v>
      </c>
      <c r="AK2685">
        <v>23.8</v>
      </c>
      <c r="AL2685">
        <v>-20.172435999999951</v>
      </c>
      <c r="AM2685">
        <v>-44.84866233556005</v>
      </c>
      <c r="AN2685">
        <v>-20.172435999999951</v>
      </c>
      <c r="AO2685">
        <v>-44.84866233556005</v>
      </c>
      <c r="AP2685">
        <v>-20.172367999999999</v>
      </c>
      <c r="AQ2685">
        <v>-44.848661</v>
      </c>
      <c r="AR2685">
        <v>7.5710462874877198</v>
      </c>
      <c r="AS2685" t="s">
        <v>65</v>
      </c>
      <c r="AT2685">
        <v>1</v>
      </c>
      <c r="AU2685" t="s">
        <v>271</v>
      </c>
      <c r="AV2685" t="s">
        <v>272</v>
      </c>
      <c r="AW2685" t="s">
        <v>60</v>
      </c>
      <c r="AX2685" t="s">
        <v>68</v>
      </c>
      <c r="AY2685" t="s">
        <v>69</v>
      </c>
      <c r="AZ2685" t="b">
        <v>1</v>
      </c>
    </row>
    <row r="2686" spans="1:52" x14ac:dyDescent="0.3">
      <c r="A2686" t="s">
        <v>52</v>
      </c>
      <c r="B2686" t="s">
        <v>53</v>
      </c>
      <c r="C2686" t="s">
        <v>54</v>
      </c>
      <c r="D2686" t="s">
        <v>55</v>
      </c>
      <c r="E2686" t="s">
        <v>2162</v>
      </c>
      <c r="F2686" t="s">
        <v>190</v>
      </c>
      <c r="G2686" t="s">
        <v>253</v>
      </c>
      <c r="H2686" t="s">
        <v>286</v>
      </c>
      <c r="I2686" t="s">
        <v>286</v>
      </c>
      <c r="J2686" t="s">
        <v>60</v>
      </c>
      <c r="K2686" t="s">
        <v>136</v>
      </c>
      <c r="L2686" t="s">
        <v>62</v>
      </c>
      <c r="M2686" t="s">
        <v>136</v>
      </c>
      <c r="N2686" t="s">
        <v>256</v>
      </c>
      <c r="O2686" t="s">
        <v>287</v>
      </c>
      <c r="P2686">
        <v>-20.165067000000001</v>
      </c>
      <c r="Q2686">
        <v>-44.851146999999997</v>
      </c>
      <c r="R2686" s="2" t="str">
        <f>HYPERLINK("https://www.google.com/maps?q=-20.1650670,-44.8511470","Abrir no Google Maps")</f>
        <v>Abrir no Google Maps</v>
      </c>
      <c r="S2686">
        <v>4</v>
      </c>
      <c r="T2686">
        <v>374.14945573570043</v>
      </c>
      <c r="U2686">
        <v>3</v>
      </c>
      <c r="V2686">
        <v>0.37451152239013119</v>
      </c>
      <c r="W2686">
        <v>1</v>
      </c>
      <c r="X2686">
        <v>0.37451152239013119</v>
      </c>
      <c r="Y2686">
        <v>292</v>
      </c>
      <c r="Z2686">
        <v>295.9878686859272</v>
      </c>
      <c r="AA2686">
        <v>198</v>
      </c>
      <c r="AB2686">
        <v>332</v>
      </c>
      <c r="AC2686">
        <v>536</v>
      </c>
      <c r="AD2686">
        <v>26.86</v>
      </c>
      <c r="AE2686">
        <v>542</v>
      </c>
      <c r="AF2686">
        <v>15</v>
      </c>
      <c r="AG2686">
        <v>178</v>
      </c>
      <c r="AH2686">
        <v>129</v>
      </c>
      <c r="AI2686">
        <v>2.77</v>
      </c>
      <c r="AJ2686">
        <v>32.840000000000003</v>
      </c>
      <c r="AK2686">
        <v>23.8</v>
      </c>
      <c r="AL2686">
        <v>-20.164961799999961</v>
      </c>
      <c r="AM2686">
        <v>-44.851062119796737</v>
      </c>
      <c r="AN2686">
        <v>-20.164961799999961</v>
      </c>
      <c r="AO2686">
        <v>-44.851062119796737</v>
      </c>
      <c r="AP2686">
        <v>-20.165067000000001</v>
      </c>
      <c r="AQ2686">
        <v>-44.851146999999997</v>
      </c>
      <c r="AR2686">
        <v>14.690666366415</v>
      </c>
      <c r="AS2686" t="s">
        <v>65</v>
      </c>
      <c r="AT2686">
        <v>1</v>
      </c>
      <c r="AU2686" t="s">
        <v>288</v>
      </c>
      <c r="AV2686" t="s">
        <v>289</v>
      </c>
      <c r="AW2686" t="s">
        <v>60</v>
      </c>
      <c r="AX2686" t="s">
        <v>68</v>
      </c>
      <c r="AY2686" t="s">
        <v>69</v>
      </c>
      <c r="AZ2686" t="b">
        <v>1</v>
      </c>
    </row>
    <row r="2687" spans="1:52" x14ac:dyDescent="0.3">
      <c r="A2687" t="s">
        <v>52</v>
      </c>
      <c r="B2687" t="s">
        <v>53</v>
      </c>
      <c r="C2687" t="s">
        <v>54</v>
      </c>
      <c r="D2687" t="s">
        <v>55</v>
      </c>
      <c r="E2687" t="s">
        <v>2162</v>
      </c>
      <c r="F2687" t="s">
        <v>190</v>
      </c>
      <c r="G2687" t="s">
        <v>141</v>
      </c>
      <c r="H2687" t="s">
        <v>142</v>
      </c>
      <c r="I2687" t="s">
        <v>142</v>
      </c>
      <c r="J2687" t="s">
        <v>60</v>
      </c>
      <c r="K2687" t="s">
        <v>143</v>
      </c>
      <c r="L2687" t="s">
        <v>62</v>
      </c>
      <c r="M2687" t="s">
        <v>143</v>
      </c>
      <c r="N2687" t="s">
        <v>144</v>
      </c>
      <c r="O2687" t="s">
        <v>145</v>
      </c>
      <c r="P2687">
        <v>-20.163377000000001</v>
      </c>
      <c r="Q2687">
        <v>-44.843598</v>
      </c>
      <c r="R2687" s="2" t="str">
        <f>HYPERLINK("https://www.google.com/maps?q=-20.1633770,-44.8435980","Abrir no Google Maps")</f>
        <v>Abrir no Google Maps</v>
      </c>
      <c r="S2687">
        <v>4</v>
      </c>
      <c r="T2687">
        <v>481.58374128635978</v>
      </c>
      <c r="U2687">
        <v>3</v>
      </c>
      <c r="V2687">
        <v>0.39887556118956818</v>
      </c>
      <c r="W2687">
        <v>1</v>
      </c>
      <c r="X2687">
        <v>0.39887556118956818</v>
      </c>
      <c r="Y2687">
        <v>292</v>
      </c>
      <c r="Z2687">
        <v>575.44522663909652</v>
      </c>
      <c r="AA2687">
        <v>198</v>
      </c>
      <c r="AB2687">
        <v>332</v>
      </c>
      <c r="AC2687">
        <v>536</v>
      </c>
      <c r="AD2687">
        <v>26.86</v>
      </c>
      <c r="AE2687">
        <v>542</v>
      </c>
      <c r="AF2687">
        <v>15</v>
      </c>
      <c r="AG2687">
        <v>178</v>
      </c>
      <c r="AH2687">
        <v>129</v>
      </c>
      <c r="AI2687">
        <v>2.77</v>
      </c>
      <c r="AJ2687">
        <v>32.840000000000003</v>
      </c>
      <c r="AK2687">
        <v>23.8</v>
      </c>
      <c r="AL2687">
        <v>-20.16343344999996</v>
      </c>
      <c r="AM2687">
        <v>-44.843590796247732</v>
      </c>
      <c r="AN2687">
        <v>-20.16343344999996</v>
      </c>
      <c r="AO2687">
        <v>-44.843590796247732</v>
      </c>
      <c r="AP2687">
        <v>-20.163377000000001</v>
      </c>
      <c r="AQ2687">
        <v>-44.843598</v>
      </c>
      <c r="AR2687">
        <v>6.3289415646640057</v>
      </c>
      <c r="AS2687" t="s">
        <v>65</v>
      </c>
      <c r="AT2687">
        <v>1</v>
      </c>
      <c r="AU2687" t="s">
        <v>146</v>
      </c>
      <c r="AV2687" t="s">
        <v>147</v>
      </c>
      <c r="AW2687" t="s">
        <v>60</v>
      </c>
      <c r="AX2687" t="s">
        <v>68</v>
      </c>
      <c r="AY2687" t="s">
        <v>69</v>
      </c>
      <c r="AZ2687" t="b">
        <v>1</v>
      </c>
    </row>
    <row r="2688" spans="1:52" x14ac:dyDescent="0.3">
      <c r="A2688" t="s">
        <v>52</v>
      </c>
      <c r="B2688" t="s">
        <v>53</v>
      </c>
      <c r="C2688" t="s">
        <v>54</v>
      </c>
      <c r="D2688" t="s">
        <v>55</v>
      </c>
      <c r="E2688" t="s">
        <v>2162</v>
      </c>
      <c r="F2688" t="s">
        <v>190</v>
      </c>
      <c r="G2688" t="s">
        <v>290</v>
      </c>
      <c r="H2688" t="s">
        <v>291</v>
      </c>
      <c r="I2688" t="s">
        <v>291</v>
      </c>
      <c r="J2688" t="s">
        <v>60</v>
      </c>
      <c r="K2688" t="s">
        <v>143</v>
      </c>
      <c r="L2688" t="s">
        <v>62</v>
      </c>
      <c r="M2688" t="s">
        <v>143</v>
      </c>
      <c r="N2688" t="s">
        <v>292</v>
      </c>
      <c r="O2688" t="s">
        <v>293</v>
      </c>
      <c r="P2688">
        <v>-20.164380999999999</v>
      </c>
      <c r="Q2688">
        <v>-44.841638000000003</v>
      </c>
      <c r="R2688" s="2" t="str">
        <f>HYPERLINK("https://www.google.com/maps?q=-20.1643810,-44.8416380","Abrir no Google Maps")</f>
        <v>Abrir no Google Maps</v>
      </c>
      <c r="S2688">
        <v>4</v>
      </c>
      <c r="T2688">
        <v>653.87342410001406</v>
      </c>
      <c r="U2688">
        <v>3</v>
      </c>
      <c r="V2688">
        <v>0.389977614280275</v>
      </c>
      <c r="W2688">
        <v>1</v>
      </c>
      <c r="X2688">
        <v>0.389977614280275</v>
      </c>
      <c r="Y2688">
        <v>292</v>
      </c>
      <c r="Z2688">
        <v>761.66023684754805</v>
      </c>
      <c r="AA2688">
        <v>198</v>
      </c>
      <c r="AB2688">
        <v>332</v>
      </c>
      <c r="AC2688">
        <v>536</v>
      </c>
      <c r="AD2688">
        <v>26.86</v>
      </c>
      <c r="AE2688">
        <v>542</v>
      </c>
      <c r="AF2688">
        <v>15</v>
      </c>
      <c r="AG2688">
        <v>178</v>
      </c>
      <c r="AH2688">
        <v>129</v>
      </c>
      <c r="AI2688">
        <v>2.77</v>
      </c>
      <c r="AJ2688">
        <v>32.840000000000003</v>
      </c>
      <c r="AK2688">
        <v>23.8</v>
      </c>
      <c r="AL2688">
        <v>-20.16420624999995</v>
      </c>
      <c r="AM2688">
        <v>-44.841488984995642</v>
      </c>
      <c r="AN2688">
        <v>-20.16420624999995</v>
      </c>
      <c r="AO2688">
        <v>-44.841488984995642</v>
      </c>
      <c r="AP2688">
        <v>-20.164380999999999</v>
      </c>
      <c r="AQ2688">
        <v>-44.841638000000003</v>
      </c>
      <c r="AR2688">
        <v>24.91789254993785</v>
      </c>
      <c r="AS2688" t="s">
        <v>65</v>
      </c>
      <c r="AT2688">
        <v>1</v>
      </c>
      <c r="AU2688" t="s">
        <v>294</v>
      </c>
      <c r="AV2688" t="s">
        <v>295</v>
      </c>
      <c r="AW2688" t="s">
        <v>60</v>
      </c>
      <c r="AX2688" t="s">
        <v>68</v>
      </c>
      <c r="AY2688" t="s">
        <v>69</v>
      </c>
      <c r="AZ2688" t="b">
        <v>1</v>
      </c>
    </row>
    <row r="2689" spans="1:52" x14ac:dyDescent="0.3">
      <c r="A2689" t="s">
        <v>52</v>
      </c>
      <c r="B2689" t="s">
        <v>53</v>
      </c>
      <c r="C2689" t="s">
        <v>54</v>
      </c>
      <c r="D2689" t="s">
        <v>55</v>
      </c>
      <c r="E2689" t="s">
        <v>2162</v>
      </c>
      <c r="F2689" t="s">
        <v>190</v>
      </c>
      <c r="G2689" t="s">
        <v>253</v>
      </c>
      <c r="H2689" t="s">
        <v>296</v>
      </c>
      <c r="I2689" t="s">
        <v>296</v>
      </c>
      <c r="J2689" t="s">
        <v>60</v>
      </c>
      <c r="K2689" t="s">
        <v>136</v>
      </c>
      <c r="L2689" t="s">
        <v>62</v>
      </c>
      <c r="M2689" t="s">
        <v>136</v>
      </c>
      <c r="N2689" t="s">
        <v>256</v>
      </c>
      <c r="O2689" t="s">
        <v>297</v>
      </c>
      <c r="P2689">
        <v>-20.168476999999999</v>
      </c>
      <c r="Q2689">
        <v>-44.852528</v>
      </c>
      <c r="R2689" s="2" t="str">
        <f>HYPERLINK("https://www.google.com/maps?q=-20.1684770,-44.8525280","Abrir no Google Maps")</f>
        <v>Abrir no Google Maps</v>
      </c>
      <c r="S2689">
        <v>4</v>
      </c>
      <c r="T2689">
        <v>587.16898087421623</v>
      </c>
      <c r="U2689">
        <v>3</v>
      </c>
      <c r="V2689">
        <v>0.37609599028064811</v>
      </c>
      <c r="W2689">
        <v>1</v>
      </c>
      <c r="X2689">
        <v>0.37609599028064811</v>
      </c>
      <c r="Y2689">
        <v>292</v>
      </c>
      <c r="Z2689">
        <v>471.75619463337938</v>
      </c>
      <c r="AA2689">
        <v>198</v>
      </c>
      <c r="AB2689">
        <v>332</v>
      </c>
      <c r="AC2689">
        <v>536</v>
      </c>
      <c r="AD2689">
        <v>26.86</v>
      </c>
      <c r="AE2689">
        <v>542</v>
      </c>
      <c r="AF2689">
        <v>15</v>
      </c>
      <c r="AG2689">
        <v>178</v>
      </c>
      <c r="AH2689">
        <v>129</v>
      </c>
      <c r="AI2689">
        <v>2.77</v>
      </c>
      <c r="AJ2689">
        <v>32.840000000000003</v>
      </c>
      <c r="AK2689">
        <v>23.8</v>
      </c>
      <c r="AL2689">
        <v>-20.16846514999995</v>
      </c>
      <c r="AM2689">
        <v>-44.852319844682007</v>
      </c>
      <c r="AN2689">
        <v>-20.168465149999939</v>
      </c>
      <c r="AO2689">
        <v>-44.852319844682007</v>
      </c>
      <c r="AP2689">
        <v>-20.168476999999999</v>
      </c>
      <c r="AQ2689">
        <v>-44.852528</v>
      </c>
      <c r="AR2689">
        <v>21.790984536052999</v>
      </c>
      <c r="AS2689" t="s">
        <v>65</v>
      </c>
      <c r="AT2689">
        <v>1</v>
      </c>
      <c r="AU2689" t="s">
        <v>298</v>
      </c>
      <c r="AV2689" t="s">
        <v>299</v>
      </c>
      <c r="AW2689" t="s">
        <v>60</v>
      </c>
      <c r="AX2689" t="s">
        <v>68</v>
      </c>
      <c r="AY2689" t="s">
        <v>69</v>
      </c>
      <c r="AZ2689" t="b">
        <v>1</v>
      </c>
    </row>
    <row r="2690" spans="1:52" x14ac:dyDescent="0.3">
      <c r="A2690" t="s">
        <v>52</v>
      </c>
      <c r="B2690" t="s">
        <v>53</v>
      </c>
      <c r="C2690" t="s">
        <v>54</v>
      </c>
      <c r="D2690" t="s">
        <v>55</v>
      </c>
      <c r="E2690" t="s">
        <v>2162</v>
      </c>
      <c r="F2690" t="s">
        <v>190</v>
      </c>
      <c r="G2690" t="s">
        <v>148</v>
      </c>
      <c r="H2690" t="s">
        <v>149</v>
      </c>
      <c r="I2690" t="s">
        <v>149</v>
      </c>
      <c r="J2690" t="s">
        <v>60</v>
      </c>
      <c r="K2690" t="s">
        <v>150</v>
      </c>
      <c r="L2690" t="s">
        <v>62</v>
      </c>
      <c r="M2690" t="s">
        <v>150</v>
      </c>
      <c r="N2690" t="s">
        <v>151</v>
      </c>
      <c r="O2690" t="s">
        <v>152</v>
      </c>
      <c r="P2690">
        <v>-20.174192999999999</v>
      </c>
      <c r="Q2690">
        <v>-44.850782000000002</v>
      </c>
      <c r="R2690" s="2" t="str">
        <f>HYPERLINK("https://www.google.com/maps?q=-20.1741930,-44.8507820","Abrir no Google Maps")</f>
        <v>Abrir no Google Maps</v>
      </c>
      <c r="S2690">
        <v>4</v>
      </c>
      <c r="T2690">
        <v>994.93657848632188</v>
      </c>
      <c r="U2690">
        <v>3</v>
      </c>
      <c r="V2690">
        <v>0.38425567735296212</v>
      </c>
      <c r="W2690">
        <v>1</v>
      </c>
      <c r="X2690">
        <v>0.38425567735296212</v>
      </c>
      <c r="Y2690">
        <v>292</v>
      </c>
      <c r="Z2690">
        <v>948.95851793804729</v>
      </c>
      <c r="AA2690">
        <v>198</v>
      </c>
      <c r="AB2690">
        <v>332</v>
      </c>
      <c r="AC2690">
        <v>536</v>
      </c>
      <c r="AD2690">
        <v>26.86</v>
      </c>
      <c r="AE2690">
        <v>542</v>
      </c>
      <c r="AF2690">
        <v>15</v>
      </c>
      <c r="AG2690">
        <v>178</v>
      </c>
      <c r="AH2690">
        <v>129</v>
      </c>
      <c r="AI2690">
        <v>2.77</v>
      </c>
      <c r="AJ2690">
        <v>32.840000000000003</v>
      </c>
      <c r="AK2690">
        <v>23.8</v>
      </c>
      <c r="AL2690">
        <v>-20.174122099999941</v>
      </c>
      <c r="AM2690">
        <v>-44.850744657037339</v>
      </c>
      <c r="AN2690">
        <v>-20.174122099999941</v>
      </c>
      <c r="AO2690">
        <v>-44.850744657037339</v>
      </c>
      <c r="AP2690">
        <v>-20.174192999999999</v>
      </c>
      <c r="AQ2690">
        <v>-44.850782000000002</v>
      </c>
      <c r="AR2690">
        <v>8.8044534253701947</v>
      </c>
      <c r="AS2690" t="s">
        <v>65</v>
      </c>
      <c r="AT2690">
        <v>1</v>
      </c>
      <c r="AU2690" t="s">
        <v>153</v>
      </c>
      <c r="AV2690" t="s">
        <v>154</v>
      </c>
      <c r="AW2690" t="s">
        <v>60</v>
      </c>
      <c r="AX2690" t="s">
        <v>68</v>
      </c>
      <c r="AY2690" t="s">
        <v>69</v>
      </c>
      <c r="AZ2690" t="b">
        <v>1</v>
      </c>
    </row>
    <row r="2691" spans="1:52" x14ac:dyDescent="0.3">
      <c r="A2691" t="s">
        <v>52</v>
      </c>
      <c r="B2691" t="s">
        <v>53</v>
      </c>
      <c r="C2691" t="s">
        <v>54</v>
      </c>
      <c r="D2691" t="s">
        <v>55</v>
      </c>
      <c r="E2691" t="s">
        <v>2162</v>
      </c>
      <c r="F2691" t="s">
        <v>190</v>
      </c>
      <c r="G2691" t="s">
        <v>300</v>
      </c>
      <c r="H2691" t="s">
        <v>301</v>
      </c>
      <c r="I2691" t="s">
        <v>301</v>
      </c>
      <c r="J2691" t="s">
        <v>60</v>
      </c>
      <c r="K2691" t="s">
        <v>150</v>
      </c>
      <c r="L2691" t="s">
        <v>62</v>
      </c>
      <c r="M2691" t="s">
        <v>150</v>
      </c>
      <c r="N2691" t="s">
        <v>302</v>
      </c>
      <c r="O2691" t="s">
        <v>303</v>
      </c>
      <c r="P2691">
        <v>-20.172993000000002</v>
      </c>
      <c r="Q2691">
        <v>-44.853588999999999</v>
      </c>
      <c r="R2691" s="2" t="str">
        <f>HYPERLINK("https://www.google.com/maps?q=-20.1729930,-44.8535890","Abrir no Google Maps")</f>
        <v>Abrir no Google Maps</v>
      </c>
      <c r="S2691">
        <v>4</v>
      </c>
      <c r="T2691">
        <v>1041.446216907221</v>
      </c>
      <c r="U2691">
        <v>3</v>
      </c>
      <c r="V2691">
        <v>0.3932307128216001</v>
      </c>
      <c r="W2691">
        <v>1</v>
      </c>
      <c r="X2691">
        <v>0.3932307128216001</v>
      </c>
      <c r="Y2691">
        <v>292</v>
      </c>
      <c r="Z2691">
        <v>978.86270909763937</v>
      </c>
      <c r="AA2691">
        <v>198</v>
      </c>
      <c r="AB2691">
        <v>332</v>
      </c>
      <c r="AC2691">
        <v>536</v>
      </c>
      <c r="AD2691">
        <v>26.86</v>
      </c>
      <c r="AE2691">
        <v>542</v>
      </c>
      <c r="AF2691">
        <v>15</v>
      </c>
      <c r="AG2691">
        <v>178</v>
      </c>
      <c r="AH2691">
        <v>129</v>
      </c>
      <c r="AI2691">
        <v>2.77</v>
      </c>
      <c r="AJ2691">
        <v>32.840000000000003</v>
      </c>
      <c r="AK2691">
        <v>23.8</v>
      </c>
      <c r="AL2691">
        <v>-20.173142449999968</v>
      </c>
      <c r="AM2691">
        <v>-44.853588035903172</v>
      </c>
      <c r="AN2691">
        <v>-20.173142449999968</v>
      </c>
      <c r="AO2691">
        <v>-44.853588035903172</v>
      </c>
      <c r="AP2691">
        <v>-20.172993000000002</v>
      </c>
      <c r="AQ2691">
        <v>-44.853588999999999</v>
      </c>
      <c r="AR2691">
        <v>16.637078994259841</v>
      </c>
      <c r="AS2691" t="s">
        <v>65</v>
      </c>
      <c r="AT2691">
        <v>1</v>
      </c>
      <c r="AU2691" t="s">
        <v>304</v>
      </c>
      <c r="AV2691" t="s">
        <v>305</v>
      </c>
      <c r="AW2691" t="s">
        <v>60</v>
      </c>
      <c r="AX2691" t="s">
        <v>68</v>
      </c>
      <c r="AY2691" t="s">
        <v>69</v>
      </c>
      <c r="AZ2691" t="b">
        <v>1</v>
      </c>
    </row>
    <row r="2692" spans="1:52" x14ac:dyDescent="0.3">
      <c r="A2692" t="s">
        <v>52</v>
      </c>
      <c r="B2692" t="s">
        <v>53</v>
      </c>
      <c r="C2692" t="s">
        <v>54</v>
      </c>
      <c r="D2692" t="s">
        <v>55</v>
      </c>
      <c r="E2692" t="s">
        <v>2162</v>
      </c>
      <c r="F2692" t="s">
        <v>190</v>
      </c>
      <c r="G2692" t="s">
        <v>306</v>
      </c>
      <c r="H2692" t="s">
        <v>307</v>
      </c>
      <c r="I2692" t="s">
        <v>307</v>
      </c>
      <c r="J2692" t="s">
        <v>60</v>
      </c>
      <c r="K2692" t="s">
        <v>143</v>
      </c>
      <c r="L2692" t="s">
        <v>62</v>
      </c>
      <c r="M2692" t="s">
        <v>143</v>
      </c>
      <c r="N2692" t="s">
        <v>308</v>
      </c>
      <c r="O2692" t="s">
        <v>309</v>
      </c>
      <c r="P2692">
        <v>-20.167071</v>
      </c>
      <c r="Q2692">
        <v>-44.842730000000003</v>
      </c>
      <c r="R2692" s="2" t="str">
        <f>HYPERLINK("https://www.google.com/maps?q=-20.1670710,-44.8427300","Abrir no Google Maps")</f>
        <v>Abrir no Google Maps</v>
      </c>
      <c r="S2692">
        <v>4</v>
      </c>
      <c r="T2692">
        <v>535.14780070571521</v>
      </c>
      <c r="U2692">
        <v>3</v>
      </c>
      <c r="V2692">
        <v>0.37917520739528882</v>
      </c>
      <c r="W2692">
        <v>1</v>
      </c>
      <c r="X2692">
        <v>0.37917520739528882</v>
      </c>
      <c r="Y2692">
        <v>292</v>
      </c>
      <c r="Z2692">
        <v>582.78942050501109</v>
      </c>
      <c r="AA2692">
        <v>198</v>
      </c>
      <c r="AB2692">
        <v>332</v>
      </c>
      <c r="AC2692">
        <v>536</v>
      </c>
      <c r="AD2692">
        <v>26.86</v>
      </c>
      <c r="AE2692">
        <v>542</v>
      </c>
      <c r="AF2692">
        <v>15</v>
      </c>
      <c r="AG2692">
        <v>178</v>
      </c>
      <c r="AH2692">
        <v>129</v>
      </c>
      <c r="AI2692">
        <v>2.77</v>
      </c>
      <c r="AJ2692">
        <v>32.840000000000003</v>
      </c>
      <c r="AK2692">
        <v>23.8</v>
      </c>
      <c r="AL2692">
        <v>-20.167006799999971</v>
      </c>
      <c r="AM2692">
        <v>-44.842640974693197</v>
      </c>
      <c r="AN2692">
        <v>-20.167006799999971</v>
      </c>
      <c r="AO2692">
        <v>-44.842640974693197</v>
      </c>
      <c r="AP2692">
        <v>-20.167071</v>
      </c>
      <c r="AQ2692">
        <v>-44.842730000000003</v>
      </c>
      <c r="AR2692">
        <v>11.73100304278117</v>
      </c>
      <c r="AS2692" t="s">
        <v>65</v>
      </c>
      <c r="AT2692">
        <v>1</v>
      </c>
      <c r="AU2692" t="s">
        <v>310</v>
      </c>
      <c r="AV2692" t="s">
        <v>311</v>
      </c>
      <c r="AW2692" t="s">
        <v>60</v>
      </c>
      <c r="AX2692" t="s">
        <v>68</v>
      </c>
      <c r="AY2692" t="s">
        <v>69</v>
      </c>
      <c r="AZ2692" t="b">
        <v>1</v>
      </c>
    </row>
    <row r="2693" spans="1:52" x14ac:dyDescent="0.3">
      <c r="A2693" t="s">
        <v>52</v>
      </c>
      <c r="B2693" t="s">
        <v>53</v>
      </c>
      <c r="C2693" t="s">
        <v>54</v>
      </c>
      <c r="D2693" t="s">
        <v>55</v>
      </c>
      <c r="E2693" t="s">
        <v>2162</v>
      </c>
      <c r="F2693" t="s">
        <v>190</v>
      </c>
      <c r="G2693" t="s">
        <v>312</v>
      </c>
      <c r="H2693" t="s">
        <v>313</v>
      </c>
      <c r="I2693" t="s">
        <v>313</v>
      </c>
      <c r="J2693" t="s">
        <v>60</v>
      </c>
      <c r="K2693" t="s">
        <v>143</v>
      </c>
      <c r="L2693" t="s">
        <v>62</v>
      </c>
      <c r="M2693" t="s">
        <v>143</v>
      </c>
      <c r="N2693" t="s">
        <v>314</v>
      </c>
      <c r="O2693" t="s">
        <v>315</v>
      </c>
      <c r="P2693">
        <v>-20.168939000000002</v>
      </c>
      <c r="Q2693">
        <v>-44.843286999999997</v>
      </c>
      <c r="R2693" s="2" t="str">
        <f>HYPERLINK("https://www.google.com/maps?q=-20.1689390,-44.8432870","Abrir no Google Maps")</f>
        <v>Abrir no Google Maps</v>
      </c>
      <c r="S2693">
        <v>4</v>
      </c>
      <c r="T2693">
        <v>582.22902758915586</v>
      </c>
      <c r="U2693">
        <v>3</v>
      </c>
      <c r="V2693">
        <v>0.38118780549606818</v>
      </c>
      <c r="W2693">
        <v>1</v>
      </c>
      <c r="X2693">
        <v>0.38118780549606818</v>
      </c>
      <c r="Y2693">
        <v>292</v>
      </c>
      <c r="Z2693">
        <v>628.29035609472794</v>
      </c>
      <c r="AA2693">
        <v>198</v>
      </c>
      <c r="AB2693">
        <v>332</v>
      </c>
      <c r="AC2693">
        <v>536</v>
      </c>
      <c r="AD2693">
        <v>26.86</v>
      </c>
      <c r="AE2693">
        <v>542</v>
      </c>
      <c r="AF2693">
        <v>15</v>
      </c>
      <c r="AG2693">
        <v>178</v>
      </c>
      <c r="AH2693">
        <v>129</v>
      </c>
      <c r="AI2693">
        <v>2.77</v>
      </c>
      <c r="AJ2693">
        <v>32.840000000000003</v>
      </c>
      <c r="AK2693">
        <v>23.8</v>
      </c>
      <c r="AL2693">
        <v>-20.16917709999996</v>
      </c>
      <c r="AM2693">
        <v>-44.84342194427667</v>
      </c>
      <c r="AN2693">
        <v>-20.16917709999996</v>
      </c>
      <c r="AO2693">
        <v>-44.84342194427667</v>
      </c>
      <c r="AP2693">
        <v>-20.168939000000002</v>
      </c>
      <c r="AQ2693">
        <v>-44.843286999999997</v>
      </c>
      <c r="AR2693">
        <v>30.02272213565665</v>
      </c>
      <c r="AS2693" t="s">
        <v>65</v>
      </c>
      <c r="AT2693">
        <v>1</v>
      </c>
      <c r="AU2693" t="s">
        <v>316</v>
      </c>
      <c r="AV2693" t="s">
        <v>311</v>
      </c>
      <c r="AW2693" t="s">
        <v>60</v>
      </c>
      <c r="AX2693" t="s">
        <v>68</v>
      </c>
      <c r="AY2693" t="s">
        <v>69</v>
      </c>
      <c r="AZ2693" t="b">
        <v>1</v>
      </c>
    </row>
    <row r="2694" spans="1:52" x14ac:dyDescent="0.3">
      <c r="A2694" t="s">
        <v>52</v>
      </c>
      <c r="B2694" t="s">
        <v>53</v>
      </c>
      <c r="C2694" t="s">
        <v>54</v>
      </c>
      <c r="D2694" t="s">
        <v>55</v>
      </c>
      <c r="E2694" t="s">
        <v>2162</v>
      </c>
      <c r="F2694" t="s">
        <v>190</v>
      </c>
      <c r="G2694" t="s">
        <v>260</v>
      </c>
      <c r="H2694" t="s">
        <v>317</v>
      </c>
      <c r="I2694" t="s">
        <v>317</v>
      </c>
      <c r="J2694" t="s">
        <v>60</v>
      </c>
      <c r="K2694" t="s">
        <v>255</v>
      </c>
      <c r="L2694" t="s">
        <v>62</v>
      </c>
      <c r="M2694" t="s">
        <v>255</v>
      </c>
      <c r="N2694" t="s">
        <v>263</v>
      </c>
      <c r="O2694" t="s">
        <v>318</v>
      </c>
      <c r="P2694">
        <v>-20.163532</v>
      </c>
      <c r="Q2694">
        <v>-44.846910999999999</v>
      </c>
      <c r="R2694" s="2" t="str">
        <f>HYPERLINK("https://www.google.com/maps?q=-20.1635320,-44.8469110","Abrir no Google Maps")</f>
        <v>Abrir no Google Maps</v>
      </c>
      <c r="S2694">
        <v>4</v>
      </c>
      <c r="T2694">
        <v>259.92389401636012</v>
      </c>
      <c r="U2694">
        <v>3</v>
      </c>
      <c r="V2694">
        <v>0.38802129041029099</v>
      </c>
      <c r="W2694">
        <v>1</v>
      </c>
      <c r="X2694">
        <v>0.38802129041029099</v>
      </c>
      <c r="Y2694">
        <v>292</v>
      </c>
      <c r="Z2694">
        <v>316.26738966059708</v>
      </c>
      <c r="AA2694">
        <v>198</v>
      </c>
      <c r="AB2694">
        <v>332</v>
      </c>
      <c r="AC2694">
        <v>536</v>
      </c>
      <c r="AD2694">
        <v>26.86</v>
      </c>
      <c r="AE2694">
        <v>542</v>
      </c>
      <c r="AF2694">
        <v>15</v>
      </c>
      <c r="AG2694">
        <v>178</v>
      </c>
      <c r="AH2694">
        <v>129</v>
      </c>
      <c r="AI2694">
        <v>2.77</v>
      </c>
      <c r="AJ2694">
        <v>32.840000000000003</v>
      </c>
      <c r="AK2694">
        <v>23.8</v>
      </c>
      <c r="AL2694">
        <v>-20.16343344999996</v>
      </c>
      <c r="AM2694">
        <v>-44.846734659744428</v>
      </c>
      <c r="AN2694">
        <v>-20.16343344999996</v>
      </c>
      <c r="AO2694">
        <v>-44.846734659744428</v>
      </c>
      <c r="AP2694">
        <v>-20.163532</v>
      </c>
      <c r="AQ2694">
        <v>-44.846910999999999</v>
      </c>
      <c r="AR2694">
        <v>21.445575432006599</v>
      </c>
      <c r="AS2694" t="s">
        <v>65</v>
      </c>
      <c r="AT2694">
        <v>1</v>
      </c>
      <c r="AU2694" t="s">
        <v>319</v>
      </c>
      <c r="AV2694" t="s">
        <v>320</v>
      </c>
      <c r="AW2694" t="s">
        <v>60</v>
      </c>
      <c r="AX2694" t="s">
        <v>68</v>
      </c>
      <c r="AY2694" t="s">
        <v>69</v>
      </c>
      <c r="AZ2694" t="b">
        <v>1</v>
      </c>
    </row>
    <row r="2695" spans="1:52" x14ac:dyDescent="0.3">
      <c r="A2695" t="s">
        <v>52</v>
      </c>
      <c r="B2695" t="s">
        <v>53</v>
      </c>
      <c r="C2695" t="s">
        <v>54</v>
      </c>
      <c r="D2695" t="s">
        <v>55</v>
      </c>
      <c r="E2695" t="s">
        <v>2162</v>
      </c>
      <c r="F2695" t="s">
        <v>190</v>
      </c>
      <c r="G2695" t="s">
        <v>328</v>
      </c>
      <c r="H2695" t="s">
        <v>329</v>
      </c>
      <c r="I2695" t="s">
        <v>329</v>
      </c>
      <c r="J2695" t="s">
        <v>60</v>
      </c>
      <c r="K2695" t="s">
        <v>157</v>
      </c>
      <c r="L2695" t="s">
        <v>62</v>
      </c>
      <c r="M2695" t="s">
        <v>157</v>
      </c>
      <c r="N2695" t="s">
        <v>330</v>
      </c>
      <c r="O2695" t="s">
        <v>331</v>
      </c>
      <c r="P2695">
        <v>-20.167981999999999</v>
      </c>
      <c r="Q2695">
        <v>-44.885706999999996</v>
      </c>
      <c r="R2695" s="2" t="str">
        <f>HYPERLINK("https://www.google.com/maps?q=-20.1679820,-44.8857070","Abrir no Google Maps")</f>
        <v>Abrir no Google Maps</v>
      </c>
      <c r="S2695">
        <v>4</v>
      </c>
      <c r="T2695">
        <v>594.70112534633722</v>
      </c>
      <c r="U2695">
        <v>3</v>
      </c>
      <c r="V2695">
        <v>0.39655661030205969</v>
      </c>
      <c r="W2695">
        <v>1</v>
      </c>
      <c r="X2695">
        <v>0.39655661030205969</v>
      </c>
      <c r="Y2695">
        <v>232</v>
      </c>
      <c r="Z2695">
        <v>560.38516624860983</v>
      </c>
      <c r="AA2695">
        <v>198</v>
      </c>
      <c r="AB2695">
        <v>332</v>
      </c>
      <c r="AC2695">
        <v>536</v>
      </c>
      <c r="AD2695">
        <v>26.86</v>
      </c>
      <c r="AE2695">
        <v>542</v>
      </c>
      <c r="AF2695">
        <v>15</v>
      </c>
      <c r="AG2695">
        <v>178</v>
      </c>
      <c r="AH2695">
        <v>129</v>
      </c>
      <c r="AI2695">
        <v>2.77</v>
      </c>
      <c r="AJ2695">
        <v>32.840000000000003</v>
      </c>
      <c r="AK2695">
        <v>23.8</v>
      </c>
      <c r="AL2695">
        <v>-20.167931149999959</v>
      </c>
      <c r="AM2695">
        <v>-44.885606821741909</v>
      </c>
      <c r="AN2695">
        <v>-20.167931149999959</v>
      </c>
      <c r="AO2695">
        <v>-44.885606821741909</v>
      </c>
      <c r="AP2695">
        <v>-20.167981999999999</v>
      </c>
      <c r="AQ2695">
        <v>-44.885706999999996</v>
      </c>
      <c r="AR2695">
        <v>11.90056149590643</v>
      </c>
      <c r="AS2695" t="s">
        <v>65</v>
      </c>
      <c r="AT2695">
        <v>1</v>
      </c>
      <c r="AU2695" t="s">
        <v>332</v>
      </c>
      <c r="AV2695" t="s">
        <v>333</v>
      </c>
      <c r="AW2695" t="s">
        <v>60</v>
      </c>
      <c r="AX2695" t="s">
        <v>68</v>
      </c>
      <c r="AY2695" t="s">
        <v>69</v>
      </c>
      <c r="AZ2695" t="b">
        <v>1</v>
      </c>
    </row>
    <row r="2696" spans="1:52" x14ac:dyDescent="0.3">
      <c r="A2696" t="s">
        <v>52</v>
      </c>
      <c r="B2696" t="s">
        <v>53</v>
      </c>
      <c r="C2696" t="s">
        <v>54</v>
      </c>
      <c r="D2696" t="s">
        <v>55</v>
      </c>
      <c r="E2696" t="s">
        <v>2162</v>
      </c>
      <c r="F2696" t="s">
        <v>190</v>
      </c>
      <c r="G2696" t="s">
        <v>334</v>
      </c>
      <c r="H2696" t="s">
        <v>335</v>
      </c>
      <c r="I2696" t="s">
        <v>335</v>
      </c>
      <c r="J2696" t="s">
        <v>60</v>
      </c>
      <c r="K2696" t="s">
        <v>336</v>
      </c>
      <c r="L2696" t="s">
        <v>62</v>
      </c>
      <c r="M2696" t="s">
        <v>336</v>
      </c>
      <c r="N2696" t="s">
        <v>337</v>
      </c>
      <c r="O2696" t="s">
        <v>338</v>
      </c>
      <c r="P2696">
        <v>-20.168142</v>
      </c>
      <c r="Q2696">
        <v>-44.875697000000002</v>
      </c>
      <c r="R2696" s="2" t="str">
        <f>HYPERLINK("https://www.google.com/maps?q=-20.1681420,-44.8756970","Abrir no Google Maps")</f>
        <v>Abrir no Google Maps</v>
      </c>
      <c r="S2696">
        <v>4</v>
      </c>
      <c r="T2696">
        <v>678.04878367834192</v>
      </c>
      <c r="U2696">
        <v>3</v>
      </c>
      <c r="V2696">
        <v>0.38771015595505998</v>
      </c>
      <c r="W2696">
        <v>1</v>
      </c>
      <c r="X2696">
        <v>0.38771015595505998</v>
      </c>
      <c r="Y2696">
        <v>232</v>
      </c>
      <c r="Z2696">
        <v>595.98467532792097</v>
      </c>
      <c r="AA2696">
        <v>198</v>
      </c>
      <c r="AB2696">
        <v>332</v>
      </c>
      <c r="AC2696">
        <v>536</v>
      </c>
      <c r="AD2696">
        <v>26.86</v>
      </c>
      <c r="AE2696">
        <v>542</v>
      </c>
      <c r="AF2696">
        <v>15</v>
      </c>
      <c r="AG2696">
        <v>178</v>
      </c>
      <c r="AH2696">
        <v>129</v>
      </c>
      <c r="AI2696">
        <v>2.77</v>
      </c>
      <c r="AJ2696">
        <v>32.840000000000003</v>
      </c>
      <c r="AK2696">
        <v>23.8</v>
      </c>
      <c r="AL2696">
        <v>-20.16787839999995</v>
      </c>
      <c r="AM2696">
        <v>-44.875681825945229</v>
      </c>
      <c r="AN2696">
        <v>-20.16787839999995</v>
      </c>
      <c r="AO2696">
        <v>-44.875681825945229</v>
      </c>
      <c r="AP2696">
        <v>-20.168142</v>
      </c>
      <c r="AQ2696">
        <v>-44.875697000000002</v>
      </c>
      <c r="AR2696">
        <v>29.386760063894371</v>
      </c>
      <c r="AS2696" t="s">
        <v>65</v>
      </c>
      <c r="AT2696">
        <v>1</v>
      </c>
      <c r="AU2696" t="s">
        <v>339</v>
      </c>
      <c r="AV2696" t="s">
        <v>340</v>
      </c>
      <c r="AW2696" t="s">
        <v>60</v>
      </c>
      <c r="AX2696" t="s">
        <v>68</v>
      </c>
      <c r="AY2696" t="s">
        <v>69</v>
      </c>
      <c r="AZ2696" t="b">
        <v>1</v>
      </c>
    </row>
    <row r="2697" spans="1:52" x14ac:dyDescent="0.3">
      <c r="A2697" t="s">
        <v>52</v>
      </c>
      <c r="B2697" t="s">
        <v>53</v>
      </c>
      <c r="C2697" t="s">
        <v>54</v>
      </c>
      <c r="D2697" t="s">
        <v>55</v>
      </c>
      <c r="E2697" t="s">
        <v>2162</v>
      </c>
      <c r="F2697" t="s">
        <v>190</v>
      </c>
      <c r="G2697" t="s">
        <v>155</v>
      </c>
      <c r="H2697" t="s">
        <v>156</v>
      </c>
      <c r="I2697" t="s">
        <v>156</v>
      </c>
      <c r="J2697" t="s">
        <v>60</v>
      </c>
      <c r="K2697" t="s">
        <v>157</v>
      </c>
      <c r="L2697" t="s">
        <v>62</v>
      </c>
      <c r="M2697" t="s">
        <v>157</v>
      </c>
      <c r="N2697" t="s">
        <v>158</v>
      </c>
      <c r="O2697" t="s">
        <v>159</v>
      </c>
      <c r="P2697">
        <v>-20.166302999999999</v>
      </c>
      <c r="Q2697">
        <v>-44.880659999999999</v>
      </c>
      <c r="R2697" s="2" t="str">
        <f>HYPERLINK("https://www.google.com/maps?q=-20.1663030,-44.8806600","Abrir no Google Maps")</f>
        <v>Abrir no Google Maps</v>
      </c>
      <c r="S2697">
        <v>4</v>
      </c>
      <c r="T2697">
        <v>504.41812426451338</v>
      </c>
      <c r="U2697">
        <v>3</v>
      </c>
      <c r="V2697">
        <v>0.39902340577045659</v>
      </c>
      <c r="W2697">
        <v>1</v>
      </c>
      <c r="X2697">
        <v>0.39902340577045659</v>
      </c>
      <c r="Y2697">
        <v>232</v>
      </c>
      <c r="Z2697">
        <v>279.57571553948952</v>
      </c>
      <c r="AA2697">
        <v>198</v>
      </c>
      <c r="AB2697">
        <v>332</v>
      </c>
      <c r="AC2697">
        <v>536</v>
      </c>
      <c r="AD2697">
        <v>26.86</v>
      </c>
      <c r="AE2697">
        <v>542</v>
      </c>
      <c r="AF2697">
        <v>15</v>
      </c>
      <c r="AG2697">
        <v>178</v>
      </c>
      <c r="AH2697">
        <v>129</v>
      </c>
      <c r="AI2697">
        <v>2.77</v>
      </c>
      <c r="AJ2697">
        <v>32.840000000000003</v>
      </c>
      <c r="AK2697">
        <v>23.8</v>
      </c>
      <c r="AL2697">
        <v>-20.166700449999951</v>
      </c>
      <c r="AM2697">
        <v>-44.880573341714289</v>
      </c>
      <c r="AN2697">
        <v>-20.166700449999951</v>
      </c>
      <c r="AO2697">
        <v>-44.880573341714289</v>
      </c>
      <c r="AP2697">
        <v>-20.166302999999999</v>
      </c>
      <c r="AQ2697">
        <v>-44.880659999999999</v>
      </c>
      <c r="AR2697">
        <v>45.161304979350312</v>
      </c>
      <c r="AS2697" t="s">
        <v>65</v>
      </c>
      <c r="AT2697">
        <v>1</v>
      </c>
      <c r="AU2697" t="s">
        <v>160</v>
      </c>
      <c r="AV2697" t="s">
        <v>161</v>
      </c>
      <c r="AW2697" t="s">
        <v>60</v>
      </c>
      <c r="AX2697" t="s">
        <v>68</v>
      </c>
      <c r="AY2697" t="s">
        <v>69</v>
      </c>
      <c r="AZ2697" t="b">
        <v>1</v>
      </c>
    </row>
    <row r="2698" spans="1:52" x14ac:dyDescent="0.3">
      <c r="A2698" t="s">
        <v>52</v>
      </c>
      <c r="B2698" t="s">
        <v>53</v>
      </c>
      <c r="C2698" t="s">
        <v>54</v>
      </c>
      <c r="D2698" t="s">
        <v>55</v>
      </c>
      <c r="E2698" t="s">
        <v>2162</v>
      </c>
      <c r="F2698" t="s">
        <v>190</v>
      </c>
      <c r="G2698" t="s">
        <v>341</v>
      </c>
      <c r="H2698" t="s">
        <v>342</v>
      </c>
      <c r="I2698" t="s">
        <v>342</v>
      </c>
      <c r="J2698" t="s">
        <v>60</v>
      </c>
      <c r="K2698" t="s">
        <v>164</v>
      </c>
      <c r="L2698" t="s">
        <v>62</v>
      </c>
      <c r="M2698" t="s">
        <v>164</v>
      </c>
      <c r="N2698" t="s">
        <v>343</v>
      </c>
      <c r="O2698" t="s">
        <v>344</v>
      </c>
      <c r="P2698">
        <v>-20.17606</v>
      </c>
      <c r="Q2698">
        <v>-44.880409999999998</v>
      </c>
      <c r="R2698" s="2" t="str">
        <f>HYPERLINK("https://www.google.com/maps?q=-20.1760600,-44.8804100","Abrir no Google Maps")</f>
        <v>Abrir no Google Maps</v>
      </c>
      <c r="S2698">
        <v>4</v>
      </c>
      <c r="T2698">
        <v>556.35468246023754</v>
      </c>
      <c r="U2698">
        <v>3</v>
      </c>
      <c r="V2698">
        <v>0.371345656437989</v>
      </c>
      <c r="W2698">
        <v>1</v>
      </c>
      <c r="X2698">
        <v>0.371345656437989</v>
      </c>
      <c r="Y2698">
        <v>232</v>
      </c>
      <c r="Z2698">
        <v>674.22003156100322</v>
      </c>
      <c r="AA2698">
        <v>198</v>
      </c>
      <c r="AB2698">
        <v>332</v>
      </c>
      <c r="AC2698">
        <v>536</v>
      </c>
      <c r="AD2698">
        <v>26.86</v>
      </c>
      <c r="AE2698">
        <v>542</v>
      </c>
      <c r="AF2698">
        <v>15</v>
      </c>
      <c r="AG2698">
        <v>178</v>
      </c>
      <c r="AH2698">
        <v>129</v>
      </c>
      <c r="AI2698">
        <v>2.77</v>
      </c>
      <c r="AJ2698">
        <v>32.840000000000003</v>
      </c>
      <c r="AK2698">
        <v>23.8</v>
      </c>
      <c r="AL2698">
        <v>-20.176226899999961</v>
      </c>
      <c r="AM2698">
        <v>-44.880527903427911</v>
      </c>
      <c r="AN2698">
        <v>-20.176226899999961</v>
      </c>
      <c r="AO2698">
        <v>-44.880527903427911</v>
      </c>
      <c r="AP2698">
        <v>-20.17606</v>
      </c>
      <c r="AQ2698">
        <v>-44.880409999999998</v>
      </c>
      <c r="AR2698">
        <v>22.292677247804349</v>
      </c>
      <c r="AS2698" t="s">
        <v>65</v>
      </c>
      <c r="AT2698">
        <v>1</v>
      </c>
      <c r="AU2698" t="s">
        <v>345</v>
      </c>
      <c r="AV2698" t="s">
        <v>346</v>
      </c>
      <c r="AW2698" t="s">
        <v>60</v>
      </c>
      <c r="AX2698" t="s">
        <v>68</v>
      </c>
      <c r="AY2698" t="s">
        <v>69</v>
      </c>
      <c r="AZ2698" t="b">
        <v>1</v>
      </c>
    </row>
    <row r="2699" spans="1:52" x14ac:dyDescent="0.3">
      <c r="A2699" t="s">
        <v>52</v>
      </c>
      <c r="B2699" t="s">
        <v>53</v>
      </c>
      <c r="C2699" t="s">
        <v>54</v>
      </c>
      <c r="D2699" t="s">
        <v>55</v>
      </c>
      <c r="E2699" t="s">
        <v>2162</v>
      </c>
      <c r="F2699" t="s">
        <v>190</v>
      </c>
      <c r="G2699" t="s">
        <v>162</v>
      </c>
      <c r="H2699" t="s">
        <v>163</v>
      </c>
      <c r="I2699" t="s">
        <v>163</v>
      </c>
      <c r="J2699" t="s">
        <v>60</v>
      </c>
      <c r="K2699" t="s">
        <v>164</v>
      </c>
      <c r="L2699" t="s">
        <v>62</v>
      </c>
      <c r="M2699" t="s">
        <v>164</v>
      </c>
      <c r="N2699" t="s">
        <v>165</v>
      </c>
      <c r="O2699" t="s">
        <v>166</v>
      </c>
      <c r="P2699">
        <v>-20.175967</v>
      </c>
      <c r="Q2699">
        <v>-44.876730000000002</v>
      </c>
      <c r="R2699" s="2" t="str">
        <f>HYPERLINK("https://www.google.com/maps?q=-20.1759670,-44.8767300","Abrir no Google Maps")</f>
        <v>Abrir no Google Maps</v>
      </c>
      <c r="S2699">
        <v>4</v>
      </c>
      <c r="T2699">
        <v>692.5753730151132</v>
      </c>
      <c r="U2699">
        <v>3</v>
      </c>
      <c r="V2699">
        <v>0.39431965735340041</v>
      </c>
      <c r="W2699">
        <v>1</v>
      </c>
      <c r="X2699">
        <v>0.39431965735340041</v>
      </c>
      <c r="Y2699">
        <v>232</v>
      </c>
      <c r="Z2699">
        <v>686.15054949166824</v>
      </c>
      <c r="AA2699">
        <v>198</v>
      </c>
      <c r="AB2699">
        <v>332</v>
      </c>
      <c r="AC2699">
        <v>536</v>
      </c>
      <c r="AD2699">
        <v>26.86</v>
      </c>
      <c r="AE2699">
        <v>542</v>
      </c>
      <c r="AF2699">
        <v>15</v>
      </c>
      <c r="AG2699">
        <v>178</v>
      </c>
      <c r="AH2699">
        <v>129</v>
      </c>
      <c r="AI2699">
        <v>2.77</v>
      </c>
      <c r="AJ2699">
        <v>32.840000000000003</v>
      </c>
      <c r="AK2699">
        <v>23.8</v>
      </c>
      <c r="AL2699">
        <v>-20.17598664999997</v>
      </c>
      <c r="AM2699">
        <v>-44.876806510253203</v>
      </c>
      <c r="AN2699">
        <v>-20.17598664999997</v>
      </c>
      <c r="AO2699">
        <v>-44.876806510253203</v>
      </c>
      <c r="AP2699">
        <v>-20.175967</v>
      </c>
      <c r="AQ2699">
        <v>-44.876730000000002</v>
      </c>
      <c r="AR2699">
        <v>8.2883514287440097</v>
      </c>
      <c r="AS2699" t="s">
        <v>65</v>
      </c>
      <c r="AT2699">
        <v>1</v>
      </c>
      <c r="AU2699" t="s">
        <v>167</v>
      </c>
      <c r="AV2699" t="s">
        <v>168</v>
      </c>
      <c r="AW2699" t="s">
        <v>60</v>
      </c>
      <c r="AX2699" t="s">
        <v>68</v>
      </c>
      <c r="AY2699" t="s">
        <v>69</v>
      </c>
      <c r="AZ2699" t="b">
        <v>1</v>
      </c>
    </row>
    <row r="2700" spans="1:52" x14ac:dyDescent="0.3">
      <c r="A2700" t="s">
        <v>52</v>
      </c>
      <c r="B2700" t="s">
        <v>53</v>
      </c>
      <c r="C2700" t="s">
        <v>54</v>
      </c>
      <c r="D2700" t="s">
        <v>55</v>
      </c>
      <c r="E2700" t="s">
        <v>2162</v>
      </c>
      <c r="F2700" t="s">
        <v>190</v>
      </c>
      <c r="G2700" t="s">
        <v>347</v>
      </c>
      <c r="H2700" t="s">
        <v>348</v>
      </c>
      <c r="I2700" t="s">
        <v>348</v>
      </c>
      <c r="J2700" t="s">
        <v>60</v>
      </c>
      <c r="K2700" t="s">
        <v>157</v>
      </c>
      <c r="L2700" t="s">
        <v>62</v>
      </c>
      <c r="M2700" t="s">
        <v>157</v>
      </c>
      <c r="N2700" t="s">
        <v>349</v>
      </c>
      <c r="O2700" t="s">
        <v>350</v>
      </c>
      <c r="P2700">
        <v>-20.171206999999999</v>
      </c>
      <c r="Q2700">
        <v>-44.881143999999999</v>
      </c>
      <c r="R2700" s="2" t="str">
        <f>HYPERLINK("https://www.google.com/maps?q=-20.1712070,-44.8811440","Abrir no Google Maps")</f>
        <v>Abrir no Google Maps</v>
      </c>
      <c r="S2700">
        <v>4</v>
      </c>
      <c r="T2700">
        <v>0</v>
      </c>
      <c r="U2700">
        <v>3</v>
      </c>
      <c r="V2700">
        <v>0.3888211514480891</v>
      </c>
      <c r="W2700">
        <v>1</v>
      </c>
      <c r="X2700">
        <v>0.3888211514480891</v>
      </c>
      <c r="Y2700">
        <v>232</v>
      </c>
      <c r="Z2700">
        <v>184.81719774496389</v>
      </c>
      <c r="AA2700">
        <v>198</v>
      </c>
      <c r="AB2700">
        <v>332</v>
      </c>
      <c r="AC2700">
        <v>536</v>
      </c>
      <c r="AD2700">
        <v>26.86</v>
      </c>
      <c r="AE2700">
        <v>542</v>
      </c>
      <c r="AF2700">
        <v>15</v>
      </c>
      <c r="AG2700">
        <v>178</v>
      </c>
      <c r="AH2700">
        <v>129</v>
      </c>
      <c r="AI2700">
        <v>2.77</v>
      </c>
      <c r="AJ2700">
        <v>32.840000000000003</v>
      </c>
      <c r="AK2700">
        <v>23.8</v>
      </c>
      <c r="AL2700">
        <v>-20.171229949999969</v>
      </c>
      <c r="AM2700">
        <v>-44.881113944480241</v>
      </c>
      <c r="AN2700">
        <v>-20.171229949999969</v>
      </c>
      <c r="AO2700">
        <v>-44.881113944480241</v>
      </c>
      <c r="AP2700">
        <v>-20.171206999999999</v>
      </c>
      <c r="AQ2700">
        <v>-44.881143999999999</v>
      </c>
      <c r="AR2700">
        <v>4.0484763362859333</v>
      </c>
      <c r="AS2700" t="s">
        <v>65</v>
      </c>
      <c r="AT2700">
        <v>1</v>
      </c>
      <c r="AU2700" t="s">
        <v>351</v>
      </c>
      <c r="AV2700" t="s">
        <v>352</v>
      </c>
      <c r="AW2700" t="s">
        <v>60</v>
      </c>
      <c r="AX2700" t="s">
        <v>68</v>
      </c>
      <c r="AY2700" t="s">
        <v>69</v>
      </c>
      <c r="AZ2700" t="b">
        <v>1</v>
      </c>
    </row>
    <row r="2701" spans="1:52" x14ac:dyDescent="0.3">
      <c r="A2701" t="s">
        <v>52</v>
      </c>
      <c r="B2701" t="s">
        <v>53</v>
      </c>
      <c r="C2701" t="s">
        <v>54</v>
      </c>
      <c r="D2701" t="s">
        <v>55</v>
      </c>
      <c r="E2701" t="s">
        <v>2162</v>
      </c>
      <c r="F2701" t="s">
        <v>190</v>
      </c>
      <c r="G2701" t="s">
        <v>353</v>
      </c>
      <c r="H2701" t="s">
        <v>354</v>
      </c>
      <c r="I2701" t="s">
        <v>354</v>
      </c>
      <c r="J2701" t="s">
        <v>60</v>
      </c>
      <c r="K2701" t="s">
        <v>355</v>
      </c>
      <c r="L2701" t="s">
        <v>62</v>
      </c>
      <c r="M2701" t="s">
        <v>355</v>
      </c>
      <c r="N2701" t="s">
        <v>356</v>
      </c>
      <c r="O2701" t="s">
        <v>357</v>
      </c>
      <c r="P2701">
        <v>-20.147373999999999</v>
      </c>
      <c r="Q2701">
        <v>-44.875141999999997</v>
      </c>
      <c r="R2701" s="2" t="str">
        <f>HYPERLINK("https://www.google.com/maps?q=-20.1473740,-44.8751420","Abrir no Google Maps")</f>
        <v>Abrir no Google Maps</v>
      </c>
      <c r="S2701">
        <v>4</v>
      </c>
      <c r="T2701">
        <v>394.29708169591709</v>
      </c>
      <c r="U2701">
        <v>3</v>
      </c>
      <c r="V2701">
        <v>0.39367008087383371</v>
      </c>
      <c r="W2701">
        <v>1</v>
      </c>
      <c r="X2701">
        <v>0.39367008087383371</v>
      </c>
      <c r="Y2701">
        <v>209</v>
      </c>
      <c r="Z2701">
        <v>326.95034461828868</v>
      </c>
      <c r="AA2701">
        <v>198</v>
      </c>
      <c r="AB2701">
        <v>332</v>
      </c>
      <c r="AC2701">
        <v>536</v>
      </c>
      <c r="AD2701">
        <v>26.86</v>
      </c>
      <c r="AE2701">
        <v>542</v>
      </c>
      <c r="AF2701">
        <v>15</v>
      </c>
      <c r="AG2701">
        <v>178</v>
      </c>
      <c r="AH2701">
        <v>129</v>
      </c>
      <c r="AI2701">
        <v>2.77</v>
      </c>
      <c r="AJ2701">
        <v>32.840000000000003</v>
      </c>
      <c r="AK2701">
        <v>23.8</v>
      </c>
      <c r="AL2701">
        <v>-20.147207999999949</v>
      </c>
      <c r="AM2701">
        <v>-44.875152120336942</v>
      </c>
      <c r="AN2701">
        <v>-20.147207999999949</v>
      </c>
      <c r="AO2701">
        <v>-44.875152120336942</v>
      </c>
      <c r="AP2701">
        <v>-20.147373999999999</v>
      </c>
      <c r="AQ2701">
        <v>-44.875141999999997</v>
      </c>
      <c r="AR2701">
        <v>18.509363081081169</v>
      </c>
      <c r="AS2701" t="s">
        <v>65</v>
      </c>
      <c r="AT2701">
        <v>1</v>
      </c>
      <c r="AU2701" t="s">
        <v>358</v>
      </c>
      <c r="AV2701" t="s">
        <v>359</v>
      </c>
      <c r="AW2701" t="s">
        <v>60</v>
      </c>
      <c r="AX2701" t="s">
        <v>68</v>
      </c>
      <c r="AY2701" t="s">
        <v>69</v>
      </c>
      <c r="AZ2701" t="b">
        <v>1</v>
      </c>
    </row>
    <row r="2702" spans="1:52" x14ac:dyDescent="0.3">
      <c r="A2702" t="s">
        <v>52</v>
      </c>
      <c r="B2702" t="s">
        <v>53</v>
      </c>
      <c r="C2702" t="s">
        <v>54</v>
      </c>
      <c r="D2702" t="s">
        <v>55</v>
      </c>
      <c r="E2702" t="s">
        <v>2162</v>
      </c>
      <c r="F2702" t="s">
        <v>190</v>
      </c>
      <c r="G2702" t="s">
        <v>360</v>
      </c>
      <c r="H2702" t="s">
        <v>361</v>
      </c>
      <c r="I2702" t="s">
        <v>361</v>
      </c>
      <c r="J2702" t="s">
        <v>60</v>
      </c>
      <c r="K2702" t="s">
        <v>362</v>
      </c>
      <c r="L2702" t="s">
        <v>62</v>
      </c>
      <c r="M2702" t="s">
        <v>362</v>
      </c>
      <c r="N2702" t="s">
        <v>363</v>
      </c>
      <c r="O2702" t="s">
        <v>235</v>
      </c>
      <c r="P2702">
        <v>-20.143716999999999</v>
      </c>
      <c r="Q2702">
        <v>-44.875278000000002</v>
      </c>
      <c r="R2702" s="2" t="str">
        <f>HYPERLINK("https://www.google.com/maps?q=-20.1437170,-44.8752780","Abrir no Google Maps")</f>
        <v>Abrir no Google Maps</v>
      </c>
      <c r="S2702">
        <v>4</v>
      </c>
      <c r="T2702">
        <v>0</v>
      </c>
      <c r="U2702">
        <v>3</v>
      </c>
      <c r="V2702">
        <v>0.3940954697567936</v>
      </c>
      <c r="W2702">
        <v>1</v>
      </c>
      <c r="X2702">
        <v>0.3940954697567936</v>
      </c>
      <c r="Y2702">
        <v>209</v>
      </c>
      <c r="Z2702">
        <v>121.8438559354383</v>
      </c>
      <c r="AA2702">
        <v>198</v>
      </c>
      <c r="AB2702">
        <v>332</v>
      </c>
      <c r="AC2702">
        <v>536</v>
      </c>
      <c r="AD2702">
        <v>26.86</v>
      </c>
      <c r="AE2702">
        <v>542</v>
      </c>
      <c r="AF2702">
        <v>15</v>
      </c>
      <c r="AG2702">
        <v>178</v>
      </c>
      <c r="AH2702">
        <v>129</v>
      </c>
      <c r="AI2702">
        <v>2.77</v>
      </c>
      <c r="AJ2702">
        <v>32.840000000000003</v>
      </c>
      <c r="AK2702">
        <v>23.8</v>
      </c>
      <c r="AL2702">
        <v>-20.143665999999961</v>
      </c>
      <c r="AM2702">
        <v>-44.875561853046079</v>
      </c>
      <c r="AN2702">
        <v>-20.143665999999961</v>
      </c>
      <c r="AO2702">
        <v>-44.875561853046079</v>
      </c>
      <c r="AP2702">
        <v>-20.143716999999999</v>
      </c>
      <c r="AQ2702">
        <v>-44.875278000000002</v>
      </c>
      <c r="AR2702">
        <v>30.20407282671313</v>
      </c>
      <c r="AS2702" t="s">
        <v>65</v>
      </c>
      <c r="AT2702">
        <v>1</v>
      </c>
      <c r="AU2702" t="s">
        <v>364</v>
      </c>
      <c r="AV2702" t="s">
        <v>365</v>
      </c>
      <c r="AW2702" t="s">
        <v>60</v>
      </c>
      <c r="AX2702" t="s">
        <v>68</v>
      </c>
      <c r="AY2702" t="s">
        <v>69</v>
      </c>
      <c r="AZ2702" t="b">
        <v>1</v>
      </c>
    </row>
    <row r="2703" spans="1:52" x14ac:dyDescent="0.3">
      <c r="A2703" t="s">
        <v>52</v>
      </c>
      <c r="B2703" t="s">
        <v>53</v>
      </c>
      <c r="C2703" t="s">
        <v>54</v>
      </c>
      <c r="D2703" t="s">
        <v>55</v>
      </c>
      <c r="E2703" t="s">
        <v>2162</v>
      </c>
      <c r="F2703" t="s">
        <v>190</v>
      </c>
      <c r="G2703" t="s">
        <v>366</v>
      </c>
      <c r="H2703" t="s">
        <v>367</v>
      </c>
      <c r="I2703" t="s">
        <v>367</v>
      </c>
      <c r="J2703" t="s">
        <v>60</v>
      </c>
      <c r="K2703" t="s">
        <v>368</v>
      </c>
      <c r="L2703" t="s">
        <v>62</v>
      </c>
      <c r="M2703" t="s">
        <v>368</v>
      </c>
      <c r="N2703" t="s">
        <v>369</v>
      </c>
      <c r="O2703" t="s">
        <v>370</v>
      </c>
      <c r="P2703">
        <v>-20.144553999999999</v>
      </c>
      <c r="Q2703">
        <v>-44.868183000000002</v>
      </c>
      <c r="R2703" s="2" t="str">
        <f>HYPERLINK("https://www.google.com/maps?q=-20.1445540,-44.8681830","Abrir no Google Maps")</f>
        <v>Abrir no Google Maps</v>
      </c>
      <c r="S2703">
        <v>4</v>
      </c>
      <c r="T2703">
        <v>783.87848835431373</v>
      </c>
      <c r="U2703">
        <v>3</v>
      </c>
      <c r="V2703">
        <v>0.39219260035696829</v>
      </c>
      <c r="W2703">
        <v>1</v>
      </c>
      <c r="X2703">
        <v>0.39219260035696829</v>
      </c>
      <c r="Y2703">
        <v>198</v>
      </c>
      <c r="Z2703">
        <v>360.68413994394842</v>
      </c>
      <c r="AA2703">
        <v>198</v>
      </c>
      <c r="AB2703">
        <v>332</v>
      </c>
      <c r="AC2703">
        <v>536</v>
      </c>
      <c r="AD2703">
        <v>26.86</v>
      </c>
      <c r="AE2703">
        <v>542</v>
      </c>
      <c r="AF2703">
        <v>15</v>
      </c>
      <c r="AG2703">
        <v>178</v>
      </c>
      <c r="AH2703">
        <v>129</v>
      </c>
      <c r="AI2703">
        <v>2.77</v>
      </c>
      <c r="AJ2703">
        <v>32.840000000000003</v>
      </c>
      <c r="AK2703">
        <v>23.8</v>
      </c>
      <c r="AL2703">
        <v>-20.144487399999949</v>
      </c>
      <c r="AM2703">
        <v>-44.868111936674481</v>
      </c>
      <c r="AN2703">
        <v>-20.144487399999939</v>
      </c>
      <c r="AO2703">
        <v>-44.868111936674481</v>
      </c>
      <c r="AP2703">
        <v>-20.144553999999999</v>
      </c>
      <c r="AQ2703">
        <v>-44.868183000000002</v>
      </c>
      <c r="AR2703">
        <v>10.49400387332288</v>
      </c>
      <c r="AS2703" t="s">
        <v>65</v>
      </c>
      <c r="AT2703">
        <v>1</v>
      </c>
      <c r="AU2703" t="s">
        <v>371</v>
      </c>
      <c r="AV2703" t="s">
        <v>372</v>
      </c>
      <c r="AW2703" t="s">
        <v>60</v>
      </c>
      <c r="AX2703" t="s">
        <v>68</v>
      </c>
      <c r="AY2703" t="s">
        <v>69</v>
      </c>
      <c r="AZ2703" t="b">
        <v>1</v>
      </c>
    </row>
    <row r="2704" spans="1:52" x14ac:dyDescent="0.3">
      <c r="A2704" t="s">
        <v>52</v>
      </c>
      <c r="B2704" t="s">
        <v>53</v>
      </c>
      <c r="C2704" t="s">
        <v>54</v>
      </c>
      <c r="D2704" t="s">
        <v>55</v>
      </c>
      <c r="E2704" t="s">
        <v>2162</v>
      </c>
      <c r="F2704" t="s">
        <v>190</v>
      </c>
      <c r="G2704" t="s">
        <v>1728</v>
      </c>
      <c r="H2704" t="s">
        <v>1729</v>
      </c>
      <c r="I2704" t="s">
        <v>1729</v>
      </c>
      <c r="J2704" t="s">
        <v>60</v>
      </c>
      <c r="K2704" t="s">
        <v>171</v>
      </c>
      <c r="L2704" t="s">
        <v>62</v>
      </c>
      <c r="M2704" t="s">
        <v>171</v>
      </c>
      <c r="N2704" t="s">
        <v>1730</v>
      </c>
      <c r="O2704" t="s">
        <v>1731</v>
      </c>
      <c r="P2704">
        <v>-20.153237000000001</v>
      </c>
      <c r="Q2704">
        <v>-44.893830999999999</v>
      </c>
      <c r="R2704" s="2" t="str">
        <f>HYPERLINK("https://www.google.com/maps?q=-20.1532370,-44.8938310","Abrir no Google Maps")</f>
        <v>Abrir no Google Maps</v>
      </c>
      <c r="S2704">
        <v>4</v>
      </c>
      <c r="T2704">
        <v>413.69072684661631</v>
      </c>
      <c r="U2704">
        <v>3</v>
      </c>
      <c r="V2704">
        <v>0.38108182940755131</v>
      </c>
      <c r="W2704">
        <v>1</v>
      </c>
      <c r="X2704">
        <v>0.38108182940755131</v>
      </c>
      <c r="Y2704">
        <v>129</v>
      </c>
      <c r="Z2704">
        <v>276.95856023076033</v>
      </c>
      <c r="AA2704">
        <v>198</v>
      </c>
      <c r="AB2704">
        <v>332</v>
      </c>
      <c r="AC2704">
        <v>536</v>
      </c>
      <c r="AD2704">
        <v>26.86</v>
      </c>
      <c r="AE2704">
        <v>542</v>
      </c>
      <c r="AF2704">
        <v>15</v>
      </c>
      <c r="AG2704">
        <v>178</v>
      </c>
      <c r="AH2704">
        <v>129</v>
      </c>
      <c r="AI2704">
        <v>2.77</v>
      </c>
      <c r="AJ2704">
        <v>32.840000000000003</v>
      </c>
      <c r="AK2704">
        <v>23.8</v>
      </c>
      <c r="AL2704">
        <v>-20.15278304999995</v>
      </c>
      <c r="AM2704">
        <v>-44.894325691070982</v>
      </c>
      <c r="AN2704">
        <v>-20.15278304999995</v>
      </c>
      <c r="AO2704">
        <v>-44.894325691070982</v>
      </c>
      <c r="AP2704">
        <v>-20.153237000000001</v>
      </c>
      <c r="AQ2704">
        <v>-44.893830999999999</v>
      </c>
      <c r="AR2704">
        <v>72.293093135883012</v>
      </c>
      <c r="AS2704" t="s">
        <v>65</v>
      </c>
      <c r="AT2704">
        <v>1</v>
      </c>
      <c r="AU2704" t="s">
        <v>1732</v>
      </c>
      <c r="AV2704" t="s">
        <v>1733</v>
      </c>
      <c r="AW2704" t="s">
        <v>60</v>
      </c>
      <c r="AX2704" t="s">
        <v>68</v>
      </c>
      <c r="AY2704" t="s">
        <v>69</v>
      </c>
      <c r="AZ2704" t="b">
        <v>1</v>
      </c>
    </row>
    <row r="2705" spans="1:52" x14ac:dyDescent="0.3">
      <c r="A2705" t="s">
        <v>52</v>
      </c>
      <c r="B2705" t="s">
        <v>53</v>
      </c>
      <c r="C2705" t="s">
        <v>54</v>
      </c>
      <c r="D2705" t="s">
        <v>55</v>
      </c>
      <c r="E2705" t="s">
        <v>2162</v>
      </c>
      <c r="F2705" t="s">
        <v>190</v>
      </c>
      <c r="G2705" t="s">
        <v>176</v>
      </c>
      <c r="H2705" t="s">
        <v>177</v>
      </c>
      <c r="I2705" t="s">
        <v>177</v>
      </c>
      <c r="J2705" t="s">
        <v>60</v>
      </c>
      <c r="K2705" t="s">
        <v>178</v>
      </c>
      <c r="L2705" t="s">
        <v>62</v>
      </c>
      <c r="M2705" t="s">
        <v>178</v>
      </c>
      <c r="N2705" t="s">
        <v>179</v>
      </c>
      <c r="O2705" t="s">
        <v>180</v>
      </c>
      <c r="P2705">
        <v>-20.129152999999999</v>
      </c>
      <c r="Q2705">
        <v>-44.859299</v>
      </c>
      <c r="R2705" s="2" t="str">
        <f>HYPERLINK("https://www.google.com/maps?q=-20.1291530,-44.8592990","Abrir no Google Maps")</f>
        <v>Abrir no Google Maps</v>
      </c>
      <c r="S2705">
        <v>4</v>
      </c>
      <c r="T2705">
        <v>0</v>
      </c>
      <c r="U2705">
        <v>3</v>
      </c>
      <c r="V2705">
        <v>0.39035697814137132</v>
      </c>
      <c r="W2705">
        <v>1</v>
      </c>
      <c r="X2705">
        <v>0.39035697814137132</v>
      </c>
      <c r="Y2705">
        <v>95</v>
      </c>
      <c r="Z2705">
        <v>323.58963420291411</v>
      </c>
      <c r="AA2705">
        <v>198</v>
      </c>
      <c r="AB2705">
        <v>332</v>
      </c>
      <c r="AC2705">
        <v>536</v>
      </c>
      <c r="AD2705">
        <v>26.86</v>
      </c>
      <c r="AE2705">
        <v>542</v>
      </c>
      <c r="AF2705">
        <v>15</v>
      </c>
      <c r="AG2705">
        <v>178</v>
      </c>
      <c r="AH2705">
        <v>129</v>
      </c>
      <c r="AI2705">
        <v>2.77</v>
      </c>
      <c r="AJ2705">
        <v>32.840000000000003</v>
      </c>
      <c r="AK2705">
        <v>23.8</v>
      </c>
      <c r="AL2705">
        <v>-20.129260799999969</v>
      </c>
      <c r="AM2705">
        <v>-44.859468344955843</v>
      </c>
      <c r="AN2705">
        <v>-20.129260799999969</v>
      </c>
      <c r="AO2705">
        <v>-44.859468344955843</v>
      </c>
      <c r="AP2705">
        <v>-20.129152999999999</v>
      </c>
      <c r="AQ2705">
        <v>-44.859299</v>
      </c>
      <c r="AR2705">
        <v>21.38451122307773</v>
      </c>
      <c r="AS2705" t="s">
        <v>65</v>
      </c>
      <c r="AT2705">
        <v>1</v>
      </c>
      <c r="AU2705" t="s">
        <v>181</v>
      </c>
      <c r="AV2705" t="s">
        <v>182</v>
      </c>
      <c r="AW2705" t="s">
        <v>60</v>
      </c>
      <c r="AX2705" t="s">
        <v>68</v>
      </c>
      <c r="AY2705" t="s">
        <v>69</v>
      </c>
      <c r="AZ2705" t="b">
        <v>1</v>
      </c>
    </row>
    <row r="2706" spans="1:52" x14ac:dyDescent="0.3">
      <c r="A2706" t="s">
        <v>52</v>
      </c>
      <c r="B2706" t="s">
        <v>53</v>
      </c>
      <c r="C2706" t="s">
        <v>54</v>
      </c>
      <c r="D2706" t="s">
        <v>55</v>
      </c>
      <c r="E2706" t="s">
        <v>2162</v>
      </c>
      <c r="F2706" t="s">
        <v>190</v>
      </c>
      <c r="G2706" t="s">
        <v>1679</v>
      </c>
      <c r="H2706" t="s">
        <v>1680</v>
      </c>
      <c r="I2706" t="s">
        <v>1680</v>
      </c>
      <c r="J2706" t="s">
        <v>60</v>
      </c>
      <c r="K2706" t="s">
        <v>1681</v>
      </c>
      <c r="L2706" t="s">
        <v>62</v>
      </c>
      <c r="M2706" t="s">
        <v>1681</v>
      </c>
      <c r="N2706" t="s">
        <v>1682</v>
      </c>
      <c r="O2706" t="s">
        <v>315</v>
      </c>
      <c r="P2706">
        <v>-20.136075999999999</v>
      </c>
      <c r="Q2706">
        <v>-44.854410999999999</v>
      </c>
      <c r="R2706" s="2" t="str">
        <f>HYPERLINK("https://www.google.com/maps?q=-20.1360760,-44.8544110","Abrir no Google Maps")</f>
        <v>Abrir no Google Maps</v>
      </c>
      <c r="S2706">
        <v>4</v>
      </c>
      <c r="T2706">
        <v>923.14535705095284</v>
      </c>
      <c r="U2706">
        <v>3</v>
      </c>
      <c r="V2706">
        <v>0.37116561659042852</v>
      </c>
      <c r="W2706">
        <v>1</v>
      </c>
      <c r="X2706">
        <v>0.37116561659042852</v>
      </c>
      <c r="Y2706">
        <v>95</v>
      </c>
      <c r="Z2706">
        <v>512.25410822465881</v>
      </c>
      <c r="AA2706">
        <v>198</v>
      </c>
      <c r="AB2706">
        <v>332</v>
      </c>
      <c r="AC2706">
        <v>536</v>
      </c>
      <c r="AD2706">
        <v>26.86</v>
      </c>
      <c r="AE2706">
        <v>542</v>
      </c>
      <c r="AF2706">
        <v>15</v>
      </c>
      <c r="AG2706">
        <v>178</v>
      </c>
      <c r="AH2706">
        <v>129</v>
      </c>
      <c r="AI2706">
        <v>2.77</v>
      </c>
      <c r="AJ2706">
        <v>32.840000000000003</v>
      </c>
      <c r="AK2706">
        <v>23.8</v>
      </c>
      <c r="AL2706">
        <v>-20.13612434999996</v>
      </c>
      <c r="AM2706">
        <v>-44.854448179058288</v>
      </c>
      <c r="AN2706">
        <v>-20.13612434999996</v>
      </c>
      <c r="AO2706">
        <v>-44.854448179058288</v>
      </c>
      <c r="AP2706">
        <v>-20.136075999999999</v>
      </c>
      <c r="AQ2706">
        <v>-44.854410999999999</v>
      </c>
      <c r="AR2706">
        <v>6.6384360450222868</v>
      </c>
      <c r="AS2706" t="s">
        <v>65</v>
      </c>
      <c r="AT2706">
        <v>1</v>
      </c>
      <c r="AU2706" t="s">
        <v>1683</v>
      </c>
      <c r="AV2706" t="s">
        <v>1684</v>
      </c>
      <c r="AW2706" t="s">
        <v>60</v>
      </c>
      <c r="AX2706" t="s">
        <v>68</v>
      </c>
      <c r="AY2706" t="s">
        <v>69</v>
      </c>
      <c r="AZ2706" t="b">
        <v>1</v>
      </c>
    </row>
    <row r="2707" spans="1:52" x14ac:dyDescent="0.3">
      <c r="A2707" t="s">
        <v>52</v>
      </c>
      <c r="B2707" t="s">
        <v>53</v>
      </c>
      <c r="C2707" t="s">
        <v>54</v>
      </c>
      <c r="D2707" t="s">
        <v>55</v>
      </c>
      <c r="E2707" t="s">
        <v>2162</v>
      </c>
      <c r="F2707" t="s">
        <v>190</v>
      </c>
      <c r="G2707" t="s">
        <v>380</v>
      </c>
      <c r="H2707" t="s">
        <v>381</v>
      </c>
      <c r="I2707" t="s">
        <v>381</v>
      </c>
      <c r="J2707" t="s">
        <v>60</v>
      </c>
      <c r="K2707" t="s">
        <v>72</v>
      </c>
      <c r="L2707" t="s">
        <v>62</v>
      </c>
      <c r="M2707" t="s">
        <v>72</v>
      </c>
      <c r="N2707" t="s">
        <v>382</v>
      </c>
      <c r="O2707" t="s">
        <v>383</v>
      </c>
      <c r="P2707">
        <v>-20.147182000000001</v>
      </c>
      <c r="Q2707">
        <v>-44.912728999999999</v>
      </c>
      <c r="R2707" s="2" t="str">
        <f>HYPERLINK("https://www.google.com/maps?q=-20.1471820,-44.9127290","Abrir no Google Maps")</f>
        <v>Abrir no Google Maps</v>
      </c>
      <c r="S2707">
        <v>3</v>
      </c>
      <c r="T2707">
        <v>478.0141981540923</v>
      </c>
      <c r="U2707">
        <v>4</v>
      </c>
      <c r="V2707">
        <v>0.4077776632186913</v>
      </c>
      <c r="W2707">
        <v>1</v>
      </c>
      <c r="X2707">
        <v>0.4077776632186913</v>
      </c>
      <c r="Y2707">
        <v>747</v>
      </c>
      <c r="Z2707">
        <v>494.0254290673729</v>
      </c>
      <c r="AA2707">
        <v>198</v>
      </c>
      <c r="AB2707">
        <v>332</v>
      </c>
      <c r="AC2707">
        <v>536</v>
      </c>
      <c r="AD2707">
        <v>26.86</v>
      </c>
      <c r="AE2707">
        <v>542</v>
      </c>
      <c r="AF2707">
        <v>15</v>
      </c>
      <c r="AG2707">
        <v>178</v>
      </c>
      <c r="AH2707">
        <v>129</v>
      </c>
      <c r="AI2707">
        <v>2.77</v>
      </c>
      <c r="AJ2707">
        <v>32.840000000000003</v>
      </c>
      <c r="AK2707">
        <v>23.8</v>
      </c>
      <c r="AL2707">
        <v>-20.147375599999979</v>
      </c>
      <c r="AM2707">
        <v>-44.912907472879468</v>
      </c>
      <c r="AN2707">
        <v>-20.147375599999979</v>
      </c>
      <c r="AO2707">
        <v>-44.912907472879468</v>
      </c>
      <c r="AP2707">
        <v>-20.147182000000001</v>
      </c>
      <c r="AQ2707">
        <v>-44.912728999999999</v>
      </c>
      <c r="AR2707">
        <v>28.50197694184326</v>
      </c>
      <c r="AS2707" t="s">
        <v>65</v>
      </c>
      <c r="AT2707">
        <v>1</v>
      </c>
      <c r="AU2707" t="s">
        <v>384</v>
      </c>
      <c r="AV2707" t="s">
        <v>385</v>
      </c>
      <c r="AW2707" t="s">
        <v>60</v>
      </c>
      <c r="AX2707" t="s">
        <v>68</v>
      </c>
      <c r="AY2707" t="s">
        <v>69</v>
      </c>
      <c r="AZ2707" t="b">
        <v>1</v>
      </c>
    </row>
    <row r="2708" spans="1:52" x14ac:dyDescent="0.3">
      <c r="A2708" t="s">
        <v>52</v>
      </c>
      <c r="B2708" t="s">
        <v>53</v>
      </c>
      <c r="C2708" t="s">
        <v>54</v>
      </c>
      <c r="D2708" t="s">
        <v>55</v>
      </c>
      <c r="E2708" t="s">
        <v>2162</v>
      </c>
      <c r="F2708" t="s">
        <v>190</v>
      </c>
      <c r="G2708" t="s">
        <v>839</v>
      </c>
      <c r="H2708" t="s">
        <v>840</v>
      </c>
      <c r="I2708" t="s">
        <v>840</v>
      </c>
      <c r="J2708" t="s">
        <v>60</v>
      </c>
      <c r="K2708" t="s">
        <v>388</v>
      </c>
      <c r="L2708" t="s">
        <v>62</v>
      </c>
      <c r="M2708" t="s">
        <v>388</v>
      </c>
      <c r="N2708" t="s">
        <v>841</v>
      </c>
      <c r="O2708" t="s">
        <v>842</v>
      </c>
      <c r="P2708">
        <v>-20.159977999999999</v>
      </c>
      <c r="Q2708">
        <v>-44.900207000000002</v>
      </c>
      <c r="R2708" s="2" t="str">
        <f>HYPERLINK("https://www.google.com/maps?q=-20.1599780,-44.9002070","Abrir no Google Maps")</f>
        <v>Abrir no Google Maps</v>
      </c>
      <c r="S2708">
        <v>3</v>
      </c>
      <c r="T2708">
        <v>213.24333517300789</v>
      </c>
      <c r="U2708">
        <v>4</v>
      </c>
      <c r="V2708">
        <v>0.40654074818118652</v>
      </c>
      <c r="W2708">
        <v>1</v>
      </c>
      <c r="X2708">
        <v>0.40654074818118652</v>
      </c>
      <c r="Y2708">
        <v>729</v>
      </c>
      <c r="Z2708">
        <v>315.47173727880028</v>
      </c>
      <c r="AA2708">
        <v>198</v>
      </c>
      <c r="AB2708">
        <v>332</v>
      </c>
      <c r="AC2708">
        <v>536</v>
      </c>
      <c r="AD2708">
        <v>26.86</v>
      </c>
      <c r="AE2708">
        <v>542</v>
      </c>
      <c r="AF2708">
        <v>15</v>
      </c>
      <c r="AG2708">
        <v>178</v>
      </c>
      <c r="AH2708">
        <v>129</v>
      </c>
      <c r="AI2708">
        <v>2.77</v>
      </c>
      <c r="AJ2708">
        <v>32.840000000000003</v>
      </c>
      <c r="AK2708">
        <v>23.8</v>
      </c>
      <c r="AL2708">
        <v>-20.159825649999959</v>
      </c>
      <c r="AM2708">
        <v>-44.900143828909613</v>
      </c>
      <c r="AN2708">
        <v>-20.159825649999959</v>
      </c>
      <c r="AO2708">
        <v>-44.900143828909613</v>
      </c>
      <c r="AP2708">
        <v>-20.159977999999999</v>
      </c>
      <c r="AQ2708">
        <v>-44.900207000000002</v>
      </c>
      <c r="AR2708">
        <v>18.199073573580371</v>
      </c>
      <c r="AS2708" t="s">
        <v>65</v>
      </c>
      <c r="AT2708">
        <v>1</v>
      </c>
      <c r="AU2708" t="s">
        <v>843</v>
      </c>
      <c r="AV2708" t="s">
        <v>844</v>
      </c>
      <c r="AW2708" t="s">
        <v>60</v>
      </c>
      <c r="AX2708" t="s">
        <v>68</v>
      </c>
      <c r="AY2708" t="s">
        <v>69</v>
      </c>
      <c r="AZ2708" t="b">
        <v>1</v>
      </c>
    </row>
    <row r="2709" spans="1:52" x14ac:dyDescent="0.3">
      <c r="A2709" t="s">
        <v>52</v>
      </c>
      <c r="B2709" t="s">
        <v>53</v>
      </c>
      <c r="C2709" t="s">
        <v>54</v>
      </c>
      <c r="D2709" t="s">
        <v>55</v>
      </c>
      <c r="E2709" t="s">
        <v>2162</v>
      </c>
      <c r="F2709" t="s">
        <v>190</v>
      </c>
      <c r="G2709" t="s">
        <v>386</v>
      </c>
      <c r="H2709" t="s">
        <v>387</v>
      </c>
      <c r="I2709" t="s">
        <v>387</v>
      </c>
      <c r="J2709" t="s">
        <v>60</v>
      </c>
      <c r="K2709" t="s">
        <v>388</v>
      </c>
      <c r="L2709" t="s">
        <v>62</v>
      </c>
      <c r="M2709" t="s">
        <v>388</v>
      </c>
      <c r="N2709" t="s">
        <v>389</v>
      </c>
      <c r="O2709" t="s">
        <v>357</v>
      </c>
      <c r="P2709">
        <v>-20.161041999999998</v>
      </c>
      <c r="Q2709">
        <v>-44.901242000000003</v>
      </c>
      <c r="R2709" s="2" t="str">
        <f>HYPERLINK("https://www.google.com/maps?q=-20.1610420,-44.9012420","Abrir no Google Maps")</f>
        <v>Abrir no Google Maps</v>
      </c>
      <c r="S2709">
        <v>3</v>
      </c>
      <c r="T2709">
        <v>440.22183232279212</v>
      </c>
      <c r="U2709">
        <v>4</v>
      </c>
      <c r="V2709">
        <v>0.41311297907243849</v>
      </c>
      <c r="W2709">
        <v>1</v>
      </c>
      <c r="X2709">
        <v>0.41311297907243849</v>
      </c>
      <c r="Y2709">
        <v>729</v>
      </c>
      <c r="Z2709">
        <v>398.48306829302379</v>
      </c>
      <c r="AA2709">
        <v>198</v>
      </c>
      <c r="AB2709">
        <v>332</v>
      </c>
      <c r="AC2709">
        <v>536</v>
      </c>
      <c r="AD2709">
        <v>26.86</v>
      </c>
      <c r="AE2709">
        <v>542</v>
      </c>
      <c r="AF2709">
        <v>15</v>
      </c>
      <c r="AG2709">
        <v>178</v>
      </c>
      <c r="AH2709">
        <v>129</v>
      </c>
      <c r="AI2709">
        <v>2.77</v>
      </c>
      <c r="AJ2709">
        <v>32.840000000000003</v>
      </c>
      <c r="AK2709">
        <v>23.8</v>
      </c>
      <c r="AL2709">
        <v>-20.16176629999995</v>
      </c>
      <c r="AM2709">
        <v>-44.901582787827898</v>
      </c>
      <c r="AN2709">
        <v>-20.16176629999995</v>
      </c>
      <c r="AO2709">
        <v>-44.901582787827898</v>
      </c>
      <c r="AP2709">
        <v>-20.161041999999998</v>
      </c>
      <c r="AQ2709">
        <v>-44.901242000000003</v>
      </c>
      <c r="AR2709">
        <v>88.143369157892835</v>
      </c>
      <c r="AS2709" t="s">
        <v>65</v>
      </c>
      <c r="AT2709">
        <v>1</v>
      </c>
      <c r="AU2709" t="s">
        <v>390</v>
      </c>
      <c r="AV2709" t="s">
        <v>391</v>
      </c>
      <c r="AW2709" t="s">
        <v>60</v>
      </c>
      <c r="AX2709" t="s">
        <v>68</v>
      </c>
      <c r="AY2709" t="s">
        <v>69</v>
      </c>
      <c r="AZ2709" t="b">
        <v>1</v>
      </c>
    </row>
    <row r="2710" spans="1:52" x14ac:dyDescent="0.3">
      <c r="A2710" t="s">
        <v>52</v>
      </c>
      <c r="B2710" t="s">
        <v>53</v>
      </c>
      <c r="C2710" t="s">
        <v>54</v>
      </c>
      <c r="D2710" t="s">
        <v>55</v>
      </c>
      <c r="E2710" t="s">
        <v>2162</v>
      </c>
      <c r="F2710" t="s">
        <v>190</v>
      </c>
      <c r="G2710" t="s">
        <v>392</v>
      </c>
      <c r="H2710" t="s">
        <v>393</v>
      </c>
      <c r="I2710" t="s">
        <v>393</v>
      </c>
      <c r="J2710" t="s">
        <v>60</v>
      </c>
      <c r="K2710" t="s">
        <v>388</v>
      </c>
      <c r="L2710" t="s">
        <v>62</v>
      </c>
      <c r="M2710" t="s">
        <v>388</v>
      </c>
      <c r="N2710" t="s">
        <v>394</v>
      </c>
      <c r="O2710" t="s">
        <v>395</v>
      </c>
      <c r="P2710">
        <v>-20.158066999999999</v>
      </c>
      <c r="Q2710">
        <v>-44.908164999999997</v>
      </c>
      <c r="R2710" s="2" t="str">
        <f>HYPERLINK("https://www.google.com/maps?q=-20.1580670,-44.9081650","Abrir no Google Maps")</f>
        <v>Abrir no Google Maps</v>
      </c>
      <c r="S2710">
        <v>3</v>
      </c>
      <c r="T2710">
        <v>666.74434317993041</v>
      </c>
      <c r="U2710">
        <v>4</v>
      </c>
      <c r="V2710">
        <v>0.41693731541679918</v>
      </c>
      <c r="W2710">
        <v>1</v>
      </c>
      <c r="X2710">
        <v>0.41693731541679918</v>
      </c>
      <c r="Y2710">
        <v>729</v>
      </c>
      <c r="Z2710">
        <v>612.4323328215396</v>
      </c>
      <c r="AA2710">
        <v>198</v>
      </c>
      <c r="AB2710">
        <v>332</v>
      </c>
      <c r="AC2710">
        <v>536</v>
      </c>
      <c r="AD2710">
        <v>26.86</v>
      </c>
      <c r="AE2710">
        <v>542</v>
      </c>
      <c r="AF2710">
        <v>15</v>
      </c>
      <c r="AG2710">
        <v>178</v>
      </c>
      <c r="AH2710">
        <v>129</v>
      </c>
      <c r="AI2710">
        <v>2.77</v>
      </c>
      <c r="AJ2710">
        <v>32.840000000000003</v>
      </c>
      <c r="AK2710">
        <v>23.8</v>
      </c>
      <c r="AL2710">
        <v>-20.158151449999959</v>
      </c>
      <c r="AM2710">
        <v>-44.908107718360938</v>
      </c>
      <c r="AN2710">
        <v>-20.158151449999959</v>
      </c>
      <c r="AO2710">
        <v>-44.908107718360938</v>
      </c>
      <c r="AP2710">
        <v>-20.158066999999999</v>
      </c>
      <c r="AQ2710">
        <v>-44.908164999999997</v>
      </c>
      <c r="AR2710">
        <v>11.14497345894574</v>
      </c>
      <c r="AS2710" t="s">
        <v>65</v>
      </c>
      <c r="AT2710">
        <v>1</v>
      </c>
      <c r="AU2710" t="s">
        <v>396</v>
      </c>
      <c r="AV2710" t="s">
        <v>397</v>
      </c>
      <c r="AW2710" t="s">
        <v>60</v>
      </c>
      <c r="AX2710" t="s">
        <v>68</v>
      </c>
      <c r="AY2710" t="s">
        <v>69</v>
      </c>
      <c r="AZ2710" t="b">
        <v>1</v>
      </c>
    </row>
    <row r="2711" spans="1:52" x14ac:dyDescent="0.3">
      <c r="A2711" t="s">
        <v>52</v>
      </c>
      <c r="B2711" t="s">
        <v>53</v>
      </c>
      <c r="C2711" t="s">
        <v>54</v>
      </c>
      <c r="D2711" t="s">
        <v>55</v>
      </c>
      <c r="E2711" t="s">
        <v>2162</v>
      </c>
      <c r="F2711" t="s">
        <v>190</v>
      </c>
      <c r="G2711" t="s">
        <v>398</v>
      </c>
      <c r="H2711" t="s">
        <v>399</v>
      </c>
      <c r="I2711" t="s">
        <v>399</v>
      </c>
      <c r="J2711" t="s">
        <v>60</v>
      </c>
      <c r="K2711" t="s">
        <v>388</v>
      </c>
      <c r="L2711" t="s">
        <v>62</v>
      </c>
      <c r="M2711" t="s">
        <v>388</v>
      </c>
      <c r="N2711" t="s">
        <v>400</v>
      </c>
      <c r="O2711" t="s">
        <v>401</v>
      </c>
      <c r="P2711">
        <v>-20.160157000000002</v>
      </c>
      <c r="Q2711">
        <v>-44.904347999999999</v>
      </c>
      <c r="R2711" s="2" t="str">
        <f>HYPERLINK("https://www.google.com/maps?q=-20.1601570,-44.9043480","Abrir no Google Maps")</f>
        <v>Abrir no Google Maps</v>
      </c>
      <c r="S2711">
        <v>3</v>
      </c>
      <c r="T2711">
        <v>469.26088527154809</v>
      </c>
      <c r="U2711">
        <v>4</v>
      </c>
      <c r="V2711">
        <v>0.45286577441877429</v>
      </c>
      <c r="W2711">
        <v>1</v>
      </c>
      <c r="X2711">
        <v>0.45286577441877429</v>
      </c>
      <c r="Y2711">
        <v>729</v>
      </c>
      <c r="Z2711">
        <v>253.57832452309071</v>
      </c>
      <c r="AA2711">
        <v>198</v>
      </c>
      <c r="AB2711">
        <v>332</v>
      </c>
      <c r="AC2711">
        <v>536</v>
      </c>
      <c r="AD2711">
        <v>26.86</v>
      </c>
      <c r="AE2711">
        <v>542</v>
      </c>
      <c r="AF2711">
        <v>15</v>
      </c>
      <c r="AG2711">
        <v>178</v>
      </c>
      <c r="AH2711">
        <v>129</v>
      </c>
      <c r="AI2711">
        <v>2.77</v>
      </c>
      <c r="AJ2711">
        <v>32.840000000000003</v>
      </c>
      <c r="AK2711">
        <v>23.8</v>
      </c>
      <c r="AL2711">
        <v>-20.160007949999969</v>
      </c>
      <c r="AM2711">
        <v>-44.904396608560482</v>
      </c>
      <c r="AN2711">
        <v>-20.160007949999969</v>
      </c>
      <c r="AO2711">
        <v>-44.904396608560482</v>
      </c>
      <c r="AP2711">
        <v>-20.160157000000002</v>
      </c>
      <c r="AQ2711">
        <v>-44.904347999999999</v>
      </c>
      <c r="AR2711">
        <v>17.35237255387942</v>
      </c>
      <c r="AS2711" t="s">
        <v>65</v>
      </c>
      <c r="AT2711">
        <v>1</v>
      </c>
      <c r="AU2711" t="s">
        <v>402</v>
      </c>
      <c r="AV2711" t="s">
        <v>403</v>
      </c>
      <c r="AW2711" t="s">
        <v>60</v>
      </c>
      <c r="AX2711" t="s">
        <v>68</v>
      </c>
      <c r="AY2711" t="s">
        <v>69</v>
      </c>
      <c r="AZ2711" t="b">
        <v>1</v>
      </c>
    </row>
    <row r="2712" spans="1:52" x14ac:dyDescent="0.3">
      <c r="A2712" t="s">
        <v>52</v>
      </c>
      <c r="B2712" t="s">
        <v>53</v>
      </c>
      <c r="C2712" t="s">
        <v>54</v>
      </c>
      <c r="D2712" t="s">
        <v>55</v>
      </c>
      <c r="E2712" t="s">
        <v>2162</v>
      </c>
      <c r="F2712" t="s">
        <v>190</v>
      </c>
      <c r="G2712" t="s">
        <v>404</v>
      </c>
      <c r="H2712" t="s">
        <v>405</v>
      </c>
      <c r="I2712" t="s">
        <v>405</v>
      </c>
      <c r="J2712" t="s">
        <v>60</v>
      </c>
      <c r="K2712" t="s">
        <v>388</v>
      </c>
      <c r="L2712" t="s">
        <v>62</v>
      </c>
      <c r="M2712" t="s">
        <v>388</v>
      </c>
      <c r="N2712" t="s">
        <v>406</v>
      </c>
      <c r="O2712" t="s">
        <v>407</v>
      </c>
      <c r="P2712">
        <v>-20.162780999999999</v>
      </c>
      <c r="Q2712">
        <v>-44.904437999999999</v>
      </c>
      <c r="R2712" s="2" t="str">
        <f>HYPERLINK("https://www.google.com/maps?q=-20.1627810,-44.9044380","Abrir no Google Maps")</f>
        <v>Abrir no Google Maps</v>
      </c>
      <c r="S2712">
        <v>3</v>
      </c>
      <c r="T2712">
        <v>681.0891377731482</v>
      </c>
      <c r="U2712">
        <v>4</v>
      </c>
      <c r="V2712">
        <v>0.46151793429951998</v>
      </c>
      <c r="W2712">
        <v>1</v>
      </c>
      <c r="X2712">
        <v>0.46151793429951998</v>
      </c>
      <c r="Y2712">
        <v>729</v>
      </c>
      <c r="Z2712">
        <v>564.17713687218622</v>
      </c>
      <c r="AA2712">
        <v>198</v>
      </c>
      <c r="AB2712">
        <v>332</v>
      </c>
      <c r="AC2712">
        <v>536</v>
      </c>
      <c r="AD2712">
        <v>26.86</v>
      </c>
      <c r="AE2712">
        <v>542</v>
      </c>
      <c r="AF2712">
        <v>15</v>
      </c>
      <c r="AG2712">
        <v>178</v>
      </c>
      <c r="AH2712">
        <v>129</v>
      </c>
      <c r="AI2712">
        <v>2.77</v>
      </c>
      <c r="AJ2712">
        <v>32.840000000000003</v>
      </c>
      <c r="AK2712">
        <v>23.8</v>
      </c>
      <c r="AL2712">
        <v>-20.16295434999995</v>
      </c>
      <c r="AM2712">
        <v>-44.904242686956152</v>
      </c>
      <c r="AN2712">
        <v>-20.16295434999995</v>
      </c>
      <c r="AO2712">
        <v>-44.904242686956152</v>
      </c>
      <c r="AP2712">
        <v>-20.162780999999999</v>
      </c>
      <c r="AQ2712">
        <v>-44.904437999999999</v>
      </c>
      <c r="AR2712">
        <v>28.088191280523411</v>
      </c>
      <c r="AS2712" t="s">
        <v>65</v>
      </c>
      <c r="AT2712">
        <v>1</v>
      </c>
      <c r="AU2712" t="s">
        <v>408</v>
      </c>
      <c r="AV2712" t="s">
        <v>409</v>
      </c>
      <c r="AW2712" t="s">
        <v>60</v>
      </c>
      <c r="AX2712" t="s">
        <v>68</v>
      </c>
      <c r="AY2712" t="s">
        <v>69</v>
      </c>
      <c r="AZ2712" t="b">
        <v>1</v>
      </c>
    </row>
    <row r="2713" spans="1:52" x14ac:dyDescent="0.3">
      <c r="A2713" t="s">
        <v>52</v>
      </c>
      <c r="B2713" t="s">
        <v>53</v>
      </c>
      <c r="C2713" t="s">
        <v>54</v>
      </c>
      <c r="D2713" t="s">
        <v>55</v>
      </c>
      <c r="E2713" t="s">
        <v>2162</v>
      </c>
      <c r="F2713" t="s">
        <v>190</v>
      </c>
      <c r="G2713" t="s">
        <v>410</v>
      </c>
      <c r="H2713" t="s">
        <v>411</v>
      </c>
      <c r="I2713" t="s">
        <v>411</v>
      </c>
      <c r="J2713" t="s">
        <v>60</v>
      </c>
      <c r="K2713" t="s">
        <v>388</v>
      </c>
      <c r="L2713" t="s">
        <v>62</v>
      </c>
      <c r="M2713" t="s">
        <v>388</v>
      </c>
      <c r="N2713" t="s">
        <v>412</v>
      </c>
      <c r="O2713" t="s">
        <v>413</v>
      </c>
      <c r="P2713">
        <v>-20.161394000000001</v>
      </c>
      <c r="Q2713">
        <v>-44.906725999999999</v>
      </c>
      <c r="R2713" s="2" t="str">
        <f>HYPERLINK("https://www.google.com/maps?q=-20.1613940,-44.9067260","Abrir no Google Maps")</f>
        <v>Abrir no Google Maps</v>
      </c>
      <c r="S2713">
        <v>3</v>
      </c>
      <c r="T2713">
        <v>763.68157548493457</v>
      </c>
      <c r="U2713">
        <v>4</v>
      </c>
      <c r="V2713">
        <v>0.44721004742897941</v>
      </c>
      <c r="W2713">
        <v>1</v>
      </c>
      <c r="X2713">
        <v>0.44721004742897941</v>
      </c>
      <c r="Y2713">
        <v>729</v>
      </c>
      <c r="Z2713">
        <v>551.70379325948545</v>
      </c>
      <c r="AA2713">
        <v>198</v>
      </c>
      <c r="AB2713">
        <v>332</v>
      </c>
      <c r="AC2713">
        <v>536</v>
      </c>
      <c r="AD2713">
        <v>26.86</v>
      </c>
      <c r="AE2713">
        <v>542</v>
      </c>
      <c r="AF2713">
        <v>15</v>
      </c>
      <c r="AG2713">
        <v>178</v>
      </c>
      <c r="AH2713">
        <v>129</v>
      </c>
      <c r="AI2713">
        <v>2.77</v>
      </c>
      <c r="AJ2713">
        <v>32.840000000000003</v>
      </c>
      <c r="AK2713">
        <v>23.8</v>
      </c>
      <c r="AL2713">
        <v>-20.161371049999929</v>
      </c>
      <c r="AM2713">
        <v>-44.906816797310228</v>
      </c>
      <c r="AN2713">
        <v>-20.161371049999929</v>
      </c>
      <c r="AO2713">
        <v>-44.906816797310228</v>
      </c>
      <c r="AP2713">
        <v>-20.161394000000001</v>
      </c>
      <c r="AQ2713">
        <v>-44.906725999999999</v>
      </c>
      <c r="AR2713">
        <v>9.8261555662022495</v>
      </c>
      <c r="AS2713" t="s">
        <v>65</v>
      </c>
      <c r="AT2713">
        <v>1</v>
      </c>
      <c r="AU2713" t="s">
        <v>414</v>
      </c>
      <c r="AV2713" t="s">
        <v>415</v>
      </c>
      <c r="AW2713" t="s">
        <v>60</v>
      </c>
      <c r="AX2713" t="s">
        <v>68</v>
      </c>
      <c r="AY2713" t="s">
        <v>69</v>
      </c>
      <c r="AZ2713" t="b">
        <v>1</v>
      </c>
    </row>
    <row r="2714" spans="1:52" x14ac:dyDescent="0.3">
      <c r="A2714" t="s">
        <v>52</v>
      </c>
      <c r="B2714" t="s">
        <v>53</v>
      </c>
      <c r="C2714" t="s">
        <v>54</v>
      </c>
      <c r="D2714" t="s">
        <v>55</v>
      </c>
      <c r="E2714" t="s">
        <v>2162</v>
      </c>
      <c r="F2714" t="s">
        <v>190</v>
      </c>
      <c r="G2714" t="s">
        <v>416</v>
      </c>
      <c r="H2714" t="s">
        <v>417</v>
      </c>
      <c r="I2714" t="s">
        <v>417</v>
      </c>
      <c r="J2714" t="s">
        <v>60</v>
      </c>
      <c r="K2714" t="s">
        <v>418</v>
      </c>
      <c r="L2714" t="s">
        <v>62</v>
      </c>
      <c r="M2714" t="s">
        <v>418</v>
      </c>
      <c r="N2714" t="s">
        <v>419</v>
      </c>
      <c r="O2714" t="s">
        <v>202</v>
      </c>
      <c r="P2714">
        <v>-20.169886000000002</v>
      </c>
      <c r="Q2714">
        <v>-44.913288000000001</v>
      </c>
      <c r="R2714" s="2" t="str">
        <f>HYPERLINK("https://www.google.com/maps?q=-20.1698860,-44.9132880","Abrir no Google Maps")</f>
        <v>Abrir no Google Maps</v>
      </c>
      <c r="S2714">
        <v>3</v>
      </c>
      <c r="T2714">
        <v>422.88733632898152</v>
      </c>
      <c r="U2714">
        <v>4</v>
      </c>
      <c r="V2714">
        <v>0.45013836210810498</v>
      </c>
      <c r="W2714">
        <v>1</v>
      </c>
      <c r="X2714">
        <v>0.45013836210810498</v>
      </c>
      <c r="Y2714">
        <v>723</v>
      </c>
      <c r="Z2714">
        <v>128.65003864232261</v>
      </c>
      <c r="AA2714">
        <v>198</v>
      </c>
      <c r="AB2714">
        <v>332</v>
      </c>
      <c r="AC2714">
        <v>536</v>
      </c>
      <c r="AD2714">
        <v>26.86</v>
      </c>
      <c r="AE2714">
        <v>542</v>
      </c>
      <c r="AF2714">
        <v>15</v>
      </c>
      <c r="AG2714">
        <v>178</v>
      </c>
      <c r="AH2714">
        <v>129</v>
      </c>
      <c r="AI2714">
        <v>2.77</v>
      </c>
      <c r="AJ2714">
        <v>32.840000000000003</v>
      </c>
      <c r="AK2714">
        <v>23.8</v>
      </c>
      <c r="AL2714">
        <v>-20.16970024999998</v>
      </c>
      <c r="AM2714">
        <v>-44.913502201257437</v>
      </c>
      <c r="AN2714">
        <v>-20.16970024999998</v>
      </c>
      <c r="AO2714">
        <v>-44.913502201257437</v>
      </c>
      <c r="AP2714">
        <v>-20.169886000000002</v>
      </c>
      <c r="AQ2714">
        <v>-44.913288000000001</v>
      </c>
      <c r="AR2714">
        <v>30.47208587597606</v>
      </c>
      <c r="AS2714" t="s">
        <v>65</v>
      </c>
      <c r="AT2714">
        <v>1</v>
      </c>
      <c r="AU2714" t="s">
        <v>420</v>
      </c>
      <c r="AV2714" t="s">
        <v>421</v>
      </c>
      <c r="AW2714" t="s">
        <v>60</v>
      </c>
      <c r="AX2714" t="s">
        <v>68</v>
      </c>
      <c r="AY2714" t="s">
        <v>69</v>
      </c>
      <c r="AZ2714" t="b">
        <v>1</v>
      </c>
    </row>
    <row r="2715" spans="1:52" x14ac:dyDescent="0.3">
      <c r="A2715" t="s">
        <v>52</v>
      </c>
      <c r="B2715" t="s">
        <v>53</v>
      </c>
      <c r="C2715" t="s">
        <v>54</v>
      </c>
      <c r="D2715" t="s">
        <v>55</v>
      </c>
      <c r="E2715" t="s">
        <v>2162</v>
      </c>
      <c r="F2715" t="s">
        <v>190</v>
      </c>
      <c r="G2715" t="s">
        <v>422</v>
      </c>
      <c r="H2715" t="s">
        <v>423</v>
      </c>
      <c r="I2715" t="s">
        <v>423</v>
      </c>
      <c r="J2715" t="s">
        <v>60</v>
      </c>
      <c r="K2715" t="s">
        <v>424</v>
      </c>
      <c r="L2715" t="s">
        <v>62</v>
      </c>
      <c r="M2715" t="s">
        <v>424</v>
      </c>
      <c r="N2715" t="s">
        <v>425</v>
      </c>
      <c r="O2715" t="s">
        <v>426</v>
      </c>
      <c r="P2715">
        <v>-20.177748000000001</v>
      </c>
      <c r="Q2715">
        <v>-44.912475000000001</v>
      </c>
      <c r="R2715" s="2" t="str">
        <f>HYPERLINK("https://www.google.com/maps?q=-20.1777480,-44.9124750","Abrir no Google Maps")</f>
        <v>Abrir no Google Maps</v>
      </c>
      <c r="S2715">
        <v>3</v>
      </c>
      <c r="T2715">
        <v>657.07560140436533</v>
      </c>
      <c r="U2715">
        <v>4</v>
      </c>
      <c r="V2715">
        <v>0.413752924832548</v>
      </c>
      <c r="W2715">
        <v>1</v>
      </c>
      <c r="X2715">
        <v>0.413752924832548</v>
      </c>
      <c r="Y2715">
        <v>723</v>
      </c>
      <c r="Z2715">
        <v>796.94198000561175</v>
      </c>
      <c r="AA2715">
        <v>198</v>
      </c>
      <c r="AB2715">
        <v>332</v>
      </c>
      <c r="AC2715">
        <v>536</v>
      </c>
      <c r="AD2715">
        <v>26.86</v>
      </c>
      <c r="AE2715">
        <v>542</v>
      </c>
      <c r="AF2715">
        <v>15</v>
      </c>
      <c r="AG2715">
        <v>178</v>
      </c>
      <c r="AH2715">
        <v>129</v>
      </c>
      <c r="AI2715">
        <v>2.77</v>
      </c>
      <c r="AJ2715">
        <v>32.840000000000003</v>
      </c>
      <c r="AK2715">
        <v>23.8</v>
      </c>
      <c r="AL2715">
        <v>-20.177761749999949</v>
      </c>
      <c r="AM2715">
        <v>-44.91263311624418</v>
      </c>
      <c r="AN2715">
        <v>-20.177761749999949</v>
      </c>
      <c r="AO2715">
        <v>-44.91263311624418</v>
      </c>
      <c r="AP2715">
        <v>-20.177748000000001</v>
      </c>
      <c r="AQ2715">
        <v>-44.912475000000001</v>
      </c>
      <c r="AR2715">
        <v>16.591996803075372</v>
      </c>
      <c r="AS2715" t="s">
        <v>65</v>
      </c>
      <c r="AT2715">
        <v>1</v>
      </c>
      <c r="AU2715" t="s">
        <v>427</v>
      </c>
      <c r="AV2715" t="s">
        <v>428</v>
      </c>
      <c r="AW2715" t="s">
        <v>60</v>
      </c>
      <c r="AX2715" t="s">
        <v>68</v>
      </c>
      <c r="AY2715" t="s">
        <v>69</v>
      </c>
      <c r="AZ2715" t="b">
        <v>1</v>
      </c>
    </row>
    <row r="2716" spans="1:52" x14ac:dyDescent="0.3">
      <c r="A2716" t="s">
        <v>52</v>
      </c>
      <c r="B2716" t="s">
        <v>53</v>
      </c>
      <c r="C2716" t="s">
        <v>54</v>
      </c>
      <c r="D2716" t="s">
        <v>55</v>
      </c>
      <c r="E2716" t="s">
        <v>2162</v>
      </c>
      <c r="F2716" t="s">
        <v>190</v>
      </c>
      <c r="G2716" t="s">
        <v>429</v>
      </c>
      <c r="H2716" t="s">
        <v>430</v>
      </c>
      <c r="I2716" t="s">
        <v>430</v>
      </c>
      <c r="J2716" t="s">
        <v>60</v>
      </c>
      <c r="K2716" t="s">
        <v>431</v>
      </c>
      <c r="L2716" t="s">
        <v>62</v>
      </c>
      <c r="M2716" t="s">
        <v>431</v>
      </c>
      <c r="N2716" t="s">
        <v>432</v>
      </c>
      <c r="O2716" t="s">
        <v>315</v>
      </c>
      <c r="P2716">
        <v>-20.172698</v>
      </c>
      <c r="Q2716">
        <v>-44.923842</v>
      </c>
      <c r="R2716" s="2" t="str">
        <f>HYPERLINK("https://www.google.com/maps?q=-20.1726980,-44.9238420","Abrir no Google Maps")</f>
        <v>Abrir no Google Maps</v>
      </c>
      <c r="S2716">
        <v>3</v>
      </c>
      <c r="T2716">
        <v>1376.1843173402931</v>
      </c>
      <c r="U2716">
        <v>4</v>
      </c>
      <c r="V2716">
        <v>0.54204551279054003</v>
      </c>
      <c r="W2716">
        <v>0.85</v>
      </c>
      <c r="X2716">
        <v>0.46073868587195899</v>
      </c>
      <c r="Y2716">
        <v>723</v>
      </c>
      <c r="Z2716">
        <v>1101.340635002096</v>
      </c>
      <c r="AA2716">
        <v>198</v>
      </c>
      <c r="AB2716">
        <v>332</v>
      </c>
      <c r="AC2716">
        <v>536</v>
      </c>
      <c r="AD2716">
        <v>26.86</v>
      </c>
      <c r="AE2716">
        <v>542</v>
      </c>
      <c r="AF2716">
        <v>15</v>
      </c>
      <c r="AG2716">
        <v>178</v>
      </c>
      <c r="AH2716">
        <v>129</v>
      </c>
      <c r="AI2716">
        <v>2.77</v>
      </c>
      <c r="AJ2716">
        <v>32.840000000000003</v>
      </c>
      <c r="AK2716">
        <v>23.8</v>
      </c>
      <c r="AL2716">
        <v>-20.172942799999959</v>
      </c>
      <c r="AM2716">
        <v>-44.923585372665762</v>
      </c>
      <c r="AN2716">
        <v>-20.172942799999959</v>
      </c>
      <c r="AO2716">
        <v>-44.923585372665762</v>
      </c>
      <c r="AP2716">
        <v>-20.172698</v>
      </c>
      <c r="AQ2716">
        <v>-44.923842</v>
      </c>
      <c r="AR2716">
        <v>38.231981408478958</v>
      </c>
      <c r="AS2716" t="s">
        <v>65</v>
      </c>
      <c r="AT2716">
        <v>1</v>
      </c>
      <c r="AU2716" t="s">
        <v>433</v>
      </c>
      <c r="AV2716" t="s">
        <v>434</v>
      </c>
      <c r="AW2716" t="s">
        <v>60</v>
      </c>
      <c r="AX2716" t="s">
        <v>68</v>
      </c>
      <c r="AY2716" t="s">
        <v>69</v>
      </c>
      <c r="AZ2716" t="b">
        <v>1</v>
      </c>
    </row>
    <row r="2717" spans="1:52" x14ac:dyDescent="0.3">
      <c r="A2717" t="s">
        <v>52</v>
      </c>
      <c r="B2717" t="s">
        <v>53</v>
      </c>
      <c r="C2717" t="s">
        <v>54</v>
      </c>
      <c r="D2717" t="s">
        <v>55</v>
      </c>
      <c r="E2717" t="s">
        <v>2162</v>
      </c>
      <c r="F2717" t="s">
        <v>190</v>
      </c>
      <c r="G2717" t="s">
        <v>435</v>
      </c>
      <c r="H2717" t="s">
        <v>436</v>
      </c>
      <c r="I2717" t="s">
        <v>436</v>
      </c>
      <c r="J2717" t="s">
        <v>60</v>
      </c>
      <c r="K2717" t="s">
        <v>437</v>
      </c>
      <c r="L2717" t="s">
        <v>62</v>
      </c>
      <c r="M2717" t="s">
        <v>437</v>
      </c>
      <c r="N2717" t="s">
        <v>438</v>
      </c>
      <c r="O2717" t="s">
        <v>439</v>
      </c>
      <c r="P2717">
        <v>-20.145613000000001</v>
      </c>
      <c r="Q2717">
        <v>-44.882375000000003</v>
      </c>
      <c r="R2717" s="2" t="str">
        <f>HYPERLINK("https://www.google.com/maps?q=-20.1456130,-44.8823750","Abrir no Google Maps")</f>
        <v>Abrir no Google Maps</v>
      </c>
      <c r="S2717">
        <v>3</v>
      </c>
      <c r="T2717">
        <v>305.65092112314198</v>
      </c>
      <c r="U2717">
        <v>4</v>
      </c>
      <c r="V2717">
        <v>0.43131020546747612</v>
      </c>
      <c r="W2717">
        <v>1</v>
      </c>
      <c r="X2717">
        <v>0.43131020546747612</v>
      </c>
      <c r="Y2717">
        <v>653</v>
      </c>
      <c r="Z2717">
        <v>349.55297035282501</v>
      </c>
      <c r="AA2717">
        <v>198</v>
      </c>
      <c r="AB2717">
        <v>332</v>
      </c>
      <c r="AC2717">
        <v>536</v>
      </c>
      <c r="AD2717">
        <v>26.86</v>
      </c>
      <c r="AE2717">
        <v>542</v>
      </c>
      <c r="AF2717">
        <v>15</v>
      </c>
      <c r="AG2717">
        <v>178</v>
      </c>
      <c r="AH2717">
        <v>129</v>
      </c>
      <c r="AI2717">
        <v>2.77</v>
      </c>
      <c r="AJ2717">
        <v>32.840000000000003</v>
      </c>
      <c r="AK2717">
        <v>23.8</v>
      </c>
      <c r="AL2717">
        <v>-20.14550464999996</v>
      </c>
      <c r="AM2717">
        <v>-44.882157007077737</v>
      </c>
      <c r="AN2717">
        <v>-20.14550464999996</v>
      </c>
      <c r="AO2717">
        <v>-44.882157007077737</v>
      </c>
      <c r="AP2717">
        <v>-20.145613000000001</v>
      </c>
      <c r="AQ2717">
        <v>-44.882375000000003</v>
      </c>
      <c r="AR2717">
        <v>25.77819791856259</v>
      </c>
      <c r="AS2717" t="s">
        <v>65</v>
      </c>
      <c r="AT2717">
        <v>1</v>
      </c>
      <c r="AU2717" t="s">
        <v>440</v>
      </c>
      <c r="AV2717" t="s">
        <v>441</v>
      </c>
      <c r="AW2717" t="s">
        <v>60</v>
      </c>
      <c r="AX2717" t="s">
        <v>68</v>
      </c>
      <c r="AY2717" t="s">
        <v>69</v>
      </c>
      <c r="AZ2717" t="b">
        <v>1</v>
      </c>
    </row>
    <row r="2718" spans="1:52" x14ac:dyDescent="0.3">
      <c r="A2718" t="s">
        <v>52</v>
      </c>
      <c r="B2718" t="s">
        <v>53</v>
      </c>
      <c r="C2718" t="s">
        <v>54</v>
      </c>
      <c r="D2718" t="s">
        <v>55</v>
      </c>
      <c r="E2718" t="s">
        <v>2162</v>
      </c>
      <c r="F2718" t="s">
        <v>190</v>
      </c>
      <c r="G2718" t="s">
        <v>442</v>
      </c>
      <c r="H2718" t="s">
        <v>443</v>
      </c>
      <c r="I2718" t="s">
        <v>443</v>
      </c>
      <c r="J2718" t="s">
        <v>60</v>
      </c>
      <c r="K2718" t="s">
        <v>437</v>
      </c>
      <c r="L2718" t="s">
        <v>62</v>
      </c>
      <c r="M2718" t="s">
        <v>437</v>
      </c>
      <c r="N2718" t="s">
        <v>444</v>
      </c>
      <c r="O2718" t="s">
        <v>445</v>
      </c>
      <c r="P2718">
        <v>-20.149744999999999</v>
      </c>
      <c r="Q2718">
        <v>-44.881385000000002</v>
      </c>
      <c r="R2718" s="2" t="str">
        <f>HYPERLINK("https://www.google.com/maps?q=-20.1497450,-44.8813850","Abrir no Google Maps")</f>
        <v>Abrir no Google Maps</v>
      </c>
      <c r="S2718">
        <v>3</v>
      </c>
      <c r="T2718">
        <v>188.80690546111239</v>
      </c>
      <c r="U2718">
        <v>4</v>
      </c>
      <c r="V2718">
        <v>0.45275009977700498</v>
      </c>
      <c r="W2718">
        <v>1</v>
      </c>
      <c r="X2718">
        <v>0.45275009977700498</v>
      </c>
      <c r="Y2718">
        <v>653</v>
      </c>
      <c r="Z2718">
        <v>86.575080390731017</v>
      </c>
      <c r="AA2718">
        <v>198</v>
      </c>
      <c r="AB2718">
        <v>332</v>
      </c>
      <c r="AC2718">
        <v>536</v>
      </c>
      <c r="AD2718">
        <v>26.86</v>
      </c>
      <c r="AE2718">
        <v>542</v>
      </c>
      <c r="AF2718">
        <v>15</v>
      </c>
      <c r="AG2718">
        <v>178</v>
      </c>
      <c r="AH2718">
        <v>129</v>
      </c>
      <c r="AI2718">
        <v>2.77</v>
      </c>
      <c r="AJ2718">
        <v>32.840000000000003</v>
      </c>
      <c r="AK2718">
        <v>23.8</v>
      </c>
      <c r="AL2718">
        <v>-20.149645149999941</v>
      </c>
      <c r="AM2718">
        <v>-44.881504585149607</v>
      </c>
      <c r="AN2718">
        <v>-20.149645149999941</v>
      </c>
      <c r="AO2718">
        <v>-44.881504585149607</v>
      </c>
      <c r="AP2718">
        <v>-20.149744999999999</v>
      </c>
      <c r="AQ2718">
        <v>-44.881385000000002</v>
      </c>
      <c r="AR2718">
        <v>16.725323110840389</v>
      </c>
      <c r="AS2718" t="s">
        <v>65</v>
      </c>
      <c r="AT2718">
        <v>1</v>
      </c>
      <c r="AU2718" t="s">
        <v>446</v>
      </c>
      <c r="AV2718" t="s">
        <v>447</v>
      </c>
      <c r="AW2718" t="s">
        <v>60</v>
      </c>
      <c r="AX2718" t="s">
        <v>68</v>
      </c>
      <c r="AY2718" t="s">
        <v>69</v>
      </c>
      <c r="AZ2718" t="b">
        <v>1</v>
      </c>
    </row>
    <row r="2719" spans="1:52" x14ac:dyDescent="0.3">
      <c r="A2719" t="s">
        <v>52</v>
      </c>
      <c r="B2719" t="s">
        <v>53</v>
      </c>
      <c r="C2719" t="s">
        <v>54</v>
      </c>
      <c r="D2719" t="s">
        <v>55</v>
      </c>
      <c r="E2719" t="s">
        <v>2162</v>
      </c>
      <c r="F2719" t="s">
        <v>190</v>
      </c>
      <c r="G2719" t="s">
        <v>448</v>
      </c>
      <c r="H2719" t="s">
        <v>449</v>
      </c>
      <c r="I2719" t="s">
        <v>449</v>
      </c>
      <c r="J2719" t="s">
        <v>60</v>
      </c>
      <c r="K2719" t="s">
        <v>388</v>
      </c>
      <c r="L2719" t="s">
        <v>62</v>
      </c>
      <c r="M2719" t="s">
        <v>388</v>
      </c>
      <c r="N2719" t="s">
        <v>450</v>
      </c>
      <c r="O2719" t="s">
        <v>451</v>
      </c>
      <c r="P2719">
        <v>-20.163981</v>
      </c>
      <c r="Q2719">
        <v>-44.907128999999998</v>
      </c>
      <c r="R2719" s="2" t="str">
        <f>HYPERLINK("https://www.google.com/maps?q=-20.1639810,-44.9071290","Abrir no Google Maps")</f>
        <v>Abrir no Google Maps</v>
      </c>
      <c r="S2719">
        <v>3</v>
      </c>
      <c r="T2719">
        <v>782.50730806588319</v>
      </c>
      <c r="U2719">
        <v>4</v>
      </c>
      <c r="V2719">
        <v>0.45489497598614381</v>
      </c>
      <c r="W2719">
        <v>1</v>
      </c>
      <c r="X2719">
        <v>0.45489497598614381</v>
      </c>
      <c r="Y2719">
        <v>639</v>
      </c>
      <c r="Z2719">
        <v>710.90621453796166</v>
      </c>
      <c r="AA2719">
        <v>198</v>
      </c>
      <c r="AB2719">
        <v>332</v>
      </c>
      <c r="AC2719">
        <v>536</v>
      </c>
      <c r="AD2719">
        <v>26.86</v>
      </c>
      <c r="AE2719">
        <v>542</v>
      </c>
      <c r="AF2719">
        <v>15</v>
      </c>
      <c r="AG2719">
        <v>178</v>
      </c>
      <c r="AH2719">
        <v>129</v>
      </c>
      <c r="AI2719">
        <v>2.77</v>
      </c>
      <c r="AJ2719">
        <v>32.840000000000003</v>
      </c>
      <c r="AK2719">
        <v>23.8</v>
      </c>
      <c r="AL2719">
        <v>-20.163958349999969</v>
      </c>
      <c r="AM2719">
        <v>-44.907180923930973</v>
      </c>
      <c r="AN2719">
        <v>-20.163958349999969</v>
      </c>
      <c r="AO2719">
        <v>-44.907180923930973</v>
      </c>
      <c r="AP2719">
        <v>-20.163981</v>
      </c>
      <c r="AQ2719">
        <v>-44.907128999999998</v>
      </c>
      <c r="AR2719">
        <v>5.9831345092457884</v>
      </c>
      <c r="AS2719" t="s">
        <v>65</v>
      </c>
      <c r="AT2719">
        <v>1</v>
      </c>
      <c r="AU2719" t="s">
        <v>452</v>
      </c>
      <c r="AV2719" t="s">
        <v>453</v>
      </c>
      <c r="AW2719" t="s">
        <v>60</v>
      </c>
      <c r="AX2719" t="s">
        <v>68</v>
      </c>
      <c r="AY2719" t="s">
        <v>69</v>
      </c>
      <c r="AZ2719" t="b">
        <v>1</v>
      </c>
    </row>
    <row r="2720" spans="1:52" x14ac:dyDescent="0.3">
      <c r="A2720" t="s">
        <v>52</v>
      </c>
      <c r="B2720" t="s">
        <v>53</v>
      </c>
      <c r="C2720" t="s">
        <v>54</v>
      </c>
      <c r="D2720" t="s">
        <v>55</v>
      </c>
      <c r="E2720" t="s">
        <v>2162</v>
      </c>
      <c r="F2720" t="s">
        <v>190</v>
      </c>
      <c r="G2720" t="s">
        <v>454</v>
      </c>
      <c r="H2720" t="s">
        <v>455</v>
      </c>
      <c r="I2720" t="s">
        <v>455</v>
      </c>
      <c r="J2720" t="s">
        <v>60</v>
      </c>
      <c r="K2720" t="s">
        <v>456</v>
      </c>
      <c r="L2720" t="s">
        <v>62</v>
      </c>
      <c r="M2720" t="s">
        <v>456</v>
      </c>
      <c r="N2720" t="s">
        <v>102</v>
      </c>
      <c r="O2720" t="s">
        <v>457</v>
      </c>
      <c r="P2720">
        <v>-20.138373999999999</v>
      </c>
      <c r="Q2720">
        <v>-44.903756999999999</v>
      </c>
      <c r="R2720" s="2" t="str">
        <f>HYPERLINK("https://www.google.com/maps?q=-20.1383740,-44.9037570","Abrir no Google Maps")</f>
        <v>Abrir no Google Maps</v>
      </c>
      <c r="S2720">
        <v>3</v>
      </c>
      <c r="T2720">
        <v>357.59466273594461</v>
      </c>
      <c r="U2720">
        <v>4</v>
      </c>
      <c r="V2720">
        <v>0.4647958933980828</v>
      </c>
      <c r="W2720">
        <v>1</v>
      </c>
      <c r="X2720">
        <v>0.4647958933980828</v>
      </c>
      <c r="Y2720">
        <v>581</v>
      </c>
      <c r="Z2720">
        <v>406.92482694505992</v>
      </c>
      <c r="AA2720">
        <v>198</v>
      </c>
      <c r="AB2720">
        <v>332</v>
      </c>
      <c r="AC2720">
        <v>536</v>
      </c>
      <c r="AD2720">
        <v>26.86</v>
      </c>
      <c r="AE2720">
        <v>542</v>
      </c>
      <c r="AF2720">
        <v>15</v>
      </c>
      <c r="AG2720">
        <v>178</v>
      </c>
      <c r="AH2720">
        <v>129</v>
      </c>
      <c r="AI2720">
        <v>2.77</v>
      </c>
      <c r="AJ2720">
        <v>32.840000000000003</v>
      </c>
      <c r="AK2720">
        <v>23.8</v>
      </c>
      <c r="AL2720">
        <v>-20.138338199999961</v>
      </c>
      <c r="AM2720">
        <v>-44.903768618976301</v>
      </c>
      <c r="AN2720">
        <v>-20.138338199999961</v>
      </c>
      <c r="AO2720">
        <v>-44.903768618976301</v>
      </c>
      <c r="AP2720">
        <v>-20.138373999999999</v>
      </c>
      <c r="AQ2720">
        <v>-44.903756999999999</v>
      </c>
      <c r="AR2720">
        <v>4.1661625938922704</v>
      </c>
      <c r="AS2720" t="s">
        <v>65</v>
      </c>
      <c r="AT2720">
        <v>1</v>
      </c>
      <c r="AU2720" t="s">
        <v>458</v>
      </c>
      <c r="AV2720" t="s">
        <v>459</v>
      </c>
      <c r="AW2720" t="s">
        <v>60</v>
      </c>
      <c r="AX2720" t="s">
        <v>68</v>
      </c>
      <c r="AY2720" t="s">
        <v>69</v>
      </c>
      <c r="AZ2720" t="b">
        <v>1</v>
      </c>
    </row>
    <row r="2721" spans="1:52" x14ac:dyDescent="0.3">
      <c r="A2721" t="s">
        <v>52</v>
      </c>
      <c r="B2721" t="s">
        <v>53</v>
      </c>
      <c r="C2721" t="s">
        <v>54</v>
      </c>
      <c r="D2721" t="s">
        <v>55</v>
      </c>
      <c r="E2721" t="s">
        <v>2162</v>
      </c>
      <c r="F2721" t="s">
        <v>190</v>
      </c>
      <c r="G2721" t="s">
        <v>460</v>
      </c>
      <c r="H2721" t="s">
        <v>461</v>
      </c>
      <c r="I2721" t="s">
        <v>461</v>
      </c>
      <c r="J2721" t="s">
        <v>60</v>
      </c>
      <c r="K2721" t="s">
        <v>462</v>
      </c>
      <c r="L2721" t="s">
        <v>62</v>
      </c>
      <c r="M2721" t="s">
        <v>462</v>
      </c>
      <c r="N2721" t="s">
        <v>463</v>
      </c>
      <c r="O2721" t="s">
        <v>464</v>
      </c>
      <c r="P2721">
        <v>-20.137919</v>
      </c>
      <c r="Q2721">
        <v>-44.905591000000001</v>
      </c>
      <c r="R2721" s="2" t="str">
        <f>HYPERLINK("https://www.google.com/maps?q=-20.1379190,-44.9055910","Abrir no Google Maps")</f>
        <v>Abrir no Google Maps</v>
      </c>
      <c r="S2721">
        <v>3</v>
      </c>
      <c r="T2721">
        <v>262.01115919461103</v>
      </c>
      <c r="U2721">
        <v>4</v>
      </c>
      <c r="V2721">
        <v>0.4763752539445078</v>
      </c>
      <c r="W2721">
        <v>1</v>
      </c>
      <c r="X2721">
        <v>0.4763752539445078</v>
      </c>
      <c r="Y2721">
        <v>581</v>
      </c>
      <c r="Z2721">
        <v>318.63337303219271</v>
      </c>
      <c r="AA2721">
        <v>198</v>
      </c>
      <c r="AB2721">
        <v>332</v>
      </c>
      <c r="AC2721">
        <v>536</v>
      </c>
      <c r="AD2721">
        <v>26.86</v>
      </c>
      <c r="AE2721">
        <v>542</v>
      </c>
      <c r="AF2721">
        <v>15</v>
      </c>
      <c r="AG2721">
        <v>178</v>
      </c>
      <c r="AH2721">
        <v>129</v>
      </c>
      <c r="AI2721">
        <v>2.77</v>
      </c>
      <c r="AJ2721">
        <v>32.840000000000003</v>
      </c>
      <c r="AK2721">
        <v>23.8</v>
      </c>
      <c r="AL2721">
        <v>-20.13789079999998</v>
      </c>
      <c r="AM2721">
        <v>-44.90548593520333</v>
      </c>
      <c r="AN2721">
        <v>-20.13789079999998</v>
      </c>
      <c r="AO2721">
        <v>-44.90548593520333</v>
      </c>
      <c r="AP2721">
        <v>-20.137919</v>
      </c>
      <c r="AQ2721">
        <v>-44.905591000000001</v>
      </c>
      <c r="AR2721">
        <v>11.42072348298178</v>
      </c>
      <c r="AS2721" t="s">
        <v>65</v>
      </c>
      <c r="AT2721">
        <v>1</v>
      </c>
      <c r="AU2721" t="s">
        <v>465</v>
      </c>
      <c r="AV2721" t="s">
        <v>466</v>
      </c>
      <c r="AW2721" t="s">
        <v>60</v>
      </c>
      <c r="AX2721" t="s">
        <v>68</v>
      </c>
      <c r="AY2721" t="s">
        <v>69</v>
      </c>
      <c r="AZ2721" t="b">
        <v>1</v>
      </c>
    </row>
    <row r="2722" spans="1:52" x14ac:dyDescent="0.3">
      <c r="A2722" t="s">
        <v>52</v>
      </c>
      <c r="B2722" t="s">
        <v>53</v>
      </c>
      <c r="C2722" t="s">
        <v>54</v>
      </c>
      <c r="D2722" t="s">
        <v>55</v>
      </c>
      <c r="E2722" t="s">
        <v>2162</v>
      </c>
      <c r="F2722" t="s">
        <v>190</v>
      </c>
      <c r="G2722" t="s">
        <v>467</v>
      </c>
      <c r="H2722" t="s">
        <v>468</v>
      </c>
      <c r="I2722" t="s">
        <v>468</v>
      </c>
      <c r="J2722" t="s">
        <v>60</v>
      </c>
      <c r="K2722" t="s">
        <v>462</v>
      </c>
      <c r="L2722" t="s">
        <v>62</v>
      </c>
      <c r="M2722" t="s">
        <v>462</v>
      </c>
      <c r="N2722" t="s">
        <v>469</v>
      </c>
      <c r="O2722" t="s">
        <v>470</v>
      </c>
      <c r="P2722">
        <v>-20.138233</v>
      </c>
      <c r="Q2722">
        <v>-44.908200000000001</v>
      </c>
      <c r="R2722" s="2" t="str">
        <f>HYPERLINK("https://www.google.com/maps?q=-20.1382330,-44.9082000","Abrir no Google Maps")</f>
        <v>Abrir no Google Maps</v>
      </c>
      <c r="S2722">
        <v>3</v>
      </c>
      <c r="T2722">
        <v>0</v>
      </c>
      <c r="U2722">
        <v>4</v>
      </c>
      <c r="V2722">
        <v>0.47345414595030588</v>
      </c>
      <c r="W2722">
        <v>1</v>
      </c>
      <c r="X2722">
        <v>0.47345414595030588</v>
      </c>
      <c r="Y2722">
        <v>581</v>
      </c>
      <c r="Z2722">
        <v>153.18688302958171</v>
      </c>
      <c r="AA2722">
        <v>198</v>
      </c>
      <c r="AB2722">
        <v>332</v>
      </c>
      <c r="AC2722">
        <v>536</v>
      </c>
      <c r="AD2722">
        <v>26.86</v>
      </c>
      <c r="AE2722">
        <v>542</v>
      </c>
      <c r="AF2722">
        <v>15</v>
      </c>
      <c r="AG2722">
        <v>178</v>
      </c>
      <c r="AH2722">
        <v>129</v>
      </c>
      <c r="AI2722">
        <v>2.77</v>
      </c>
      <c r="AJ2722">
        <v>32.840000000000003</v>
      </c>
      <c r="AK2722">
        <v>23.8</v>
      </c>
      <c r="AL2722">
        <v>-20.138364899999971</v>
      </c>
      <c r="AM2722">
        <v>-44.907942114873997</v>
      </c>
      <c r="AN2722">
        <v>-20.138364899999971</v>
      </c>
      <c r="AO2722">
        <v>-44.907942114873997</v>
      </c>
      <c r="AP2722">
        <v>-20.138233</v>
      </c>
      <c r="AQ2722">
        <v>-44.908200000000001</v>
      </c>
      <c r="AR2722">
        <v>30.692690617986941</v>
      </c>
      <c r="AS2722" t="s">
        <v>65</v>
      </c>
      <c r="AT2722">
        <v>1</v>
      </c>
      <c r="AU2722" t="s">
        <v>471</v>
      </c>
      <c r="AV2722" t="s">
        <v>472</v>
      </c>
      <c r="AW2722" t="s">
        <v>60</v>
      </c>
      <c r="AX2722" t="s">
        <v>68</v>
      </c>
      <c r="AY2722" t="s">
        <v>69</v>
      </c>
      <c r="AZ2722" t="b">
        <v>1</v>
      </c>
    </row>
    <row r="2723" spans="1:52" x14ac:dyDescent="0.3">
      <c r="A2723" t="s">
        <v>52</v>
      </c>
      <c r="B2723" t="s">
        <v>53</v>
      </c>
      <c r="C2723" t="s">
        <v>54</v>
      </c>
      <c r="D2723" t="s">
        <v>55</v>
      </c>
      <c r="E2723" t="s">
        <v>2162</v>
      </c>
      <c r="F2723" t="s">
        <v>190</v>
      </c>
      <c r="G2723" t="s">
        <v>858</v>
      </c>
      <c r="H2723" t="s">
        <v>859</v>
      </c>
      <c r="I2723" t="s">
        <v>859</v>
      </c>
      <c r="J2723" t="s">
        <v>60</v>
      </c>
      <c r="K2723" t="s">
        <v>462</v>
      </c>
      <c r="L2723" t="s">
        <v>62</v>
      </c>
      <c r="M2723" t="s">
        <v>462</v>
      </c>
      <c r="N2723" t="s">
        <v>860</v>
      </c>
      <c r="O2723" t="s">
        <v>861</v>
      </c>
      <c r="P2723">
        <v>-20.139693999999999</v>
      </c>
      <c r="Q2723">
        <v>-44.911256000000002</v>
      </c>
      <c r="R2723" s="2" t="str">
        <f>HYPERLINK("https://www.google.com/maps?q=-20.1396940,-44.9112560","Abrir no Google Maps")</f>
        <v>Abrir no Google Maps</v>
      </c>
      <c r="S2723">
        <v>3</v>
      </c>
      <c r="T2723">
        <v>380.48036838042862</v>
      </c>
      <c r="U2723">
        <v>4</v>
      </c>
      <c r="V2723">
        <v>0.49880950458047568</v>
      </c>
      <c r="W2723">
        <v>0.85</v>
      </c>
      <c r="X2723">
        <v>0.42398807889340429</v>
      </c>
      <c r="Y2723">
        <v>581</v>
      </c>
      <c r="Z2723">
        <v>374.61146000000178</v>
      </c>
      <c r="AA2723">
        <v>198</v>
      </c>
      <c r="AB2723">
        <v>332</v>
      </c>
      <c r="AC2723">
        <v>536</v>
      </c>
      <c r="AD2723">
        <v>26.86</v>
      </c>
      <c r="AE2723">
        <v>542</v>
      </c>
      <c r="AF2723">
        <v>15</v>
      </c>
      <c r="AG2723">
        <v>178</v>
      </c>
      <c r="AH2723">
        <v>129</v>
      </c>
      <c r="AI2723">
        <v>2.77</v>
      </c>
      <c r="AJ2723">
        <v>32.840000000000003</v>
      </c>
      <c r="AK2723">
        <v>23.8</v>
      </c>
      <c r="AL2723">
        <v>-20.139768699999959</v>
      </c>
      <c r="AM2723">
        <v>-44.911265351587588</v>
      </c>
      <c r="AN2723">
        <v>-20.139768699999959</v>
      </c>
      <c r="AO2723">
        <v>-44.911265351587588</v>
      </c>
      <c r="AP2723">
        <v>-20.139693999999999</v>
      </c>
      <c r="AQ2723">
        <v>-44.911256000000002</v>
      </c>
      <c r="AR2723">
        <v>8.3728438666521061</v>
      </c>
      <c r="AS2723" t="s">
        <v>65</v>
      </c>
      <c r="AT2723">
        <v>1</v>
      </c>
      <c r="AU2723" t="s">
        <v>862</v>
      </c>
      <c r="AV2723" t="s">
        <v>863</v>
      </c>
      <c r="AW2723" t="s">
        <v>60</v>
      </c>
      <c r="AX2723" t="s">
        <v>68</v>
      </c>
      <c r="AY2723" t="s">
        <v>69</v>
      </c>
      <c r="AZ2723" t="b">
        <v>1</v>
      </c>
    </row>
    <row r="2724" spans="1:52" x14ac:dyDescent="0.3">
      <c r="A2724" t="s">
        <v>52</v>
      </c>
      <c r="B2724" t="s">
        <v>53</v>
      </c>
      <c r="C2724" t="s">
        <v>54</v>
      </c>
      <c r="D2724" t="s">
        <v>55</v>
      </c>
      <c r="E2724" t="s">
        <v>2162</v>
      </c>
      <c r="F2724" t="s">
        <v>190</v>
      </c>
      <c r="G2724" t="s">
        <v>479</v>
      </c>
      <c r="H2724" t="s">
        <v>480</v>
      </c>
      <c r="I2724" t="s">
        <v>480</v>
      </c>
      <c r="J2724" t="s">
        <v>60</v>
      </c>
      <c r="K2724" t="s">
        <v>388</v>
      </c>
      <c r="L2724" t="s">
        <v>62</v>
      </c>
      <c r="M2724" t="s">
        <v>388</v>
      </c>
      <c r="N2724" t="s">
        <v>481</v>
      </c>
      <c r="O2724" t="s">
        <v>315</v>
      </c>
      <c r="P2724">
        <v>-20.166903999999999</v>
      </c>
      <c r="Q2724">
        <v>-44.903492</v>
      </c>
      <c r="R2724" s="2" t="str">
        <f>HYPERLINK("https://www.google.com/maps?q=-20.1669040,-44.9034920","Abrir no Google Maps")</f>
        <v>Abrir no Google Maps</v>
      </c>
      <c r="S2724">
        <v>3</v>
      </c>
      <c r="T2724">
        <v>517.12253532511602</v>
      </c>
      <c r="U2724">
        <v>4</v>
      </c>
      <c r="V2724">
        <v>0.42189639094756221</v>
      </c>
      <c r="W2724">
        <v>1</v>
      </c>
      <c r="X2724">
        <v>0.42189639094756221</v>
      </c>
      <c r="Y2724">
        <v>578</v>
      </c>
      <c r="Z2724">
        <v>721.79551240050432</v>
      </c>
      <c r="AA2724">
        <v>198</v>
      </c>
      <c r="AB2724">
        <v>332</v>
      </c>
      <c r="AC2724">
        <v>536</v>
      </c>
      <c r="AD2724">
        <v>26.86</v>
      </c>
      <c r="AE2724">
        <v>542</v>
      </c>
      <c r="AF2724">
        <v>15</v>
      </c>
      <c r="AG2724">
        <v>178</v>
      </c>
      <c r="AH2724">
        <v>129</v>
      </c>
      <c r="AI2724">
        <v>2.77</v>
      </c>
      <c r="AJ2724">
        <v>32.840000000000003</v>
      </c>
      <c r="AK2724">
        <v>23.8</v>
      </c>
      <c r="AL2724">
        <v>-20.166610649999971</v>
      </c>
      <c r="AM2724">
        <v>-44.903452988928308</v>
      </c>
      <c r="AN2724">
        <v>-20.166610649999971</v>
      </c>
      <c r="AO2724">
        <v>-44.903452988928308</v>
      </c>
      <c r="AP2724">
        <v>-20.166903999999999</v>
      </c>
      <c r="AQ2724">
        <v>-44.903492</v>
      </c>
      <c r="AR2724">
        <v>32.909175876856217</v>
      </c>
      <c r="AS2724" t="s">
        <v>65</v>
      </c>
      <c r="AT2724">
        <v>1</v>
      </c>
      <c r="AU2724" t="s">
        <v>482</v>
      </c>
      <c r="AV2724" t="s">
        <v>483</v>
      </c>
      <c r="AW2724" t="s">
        <v>60</v>
      </c>
      <c r="AX2724" t="s">
        <v>68</v>
      </c>
      <c r="AY2724" t="s">
        <v>69</v>
      </c>
      <c r="AZ2724" t="b">
        <v>1</v>
      </c>
    </row>
    <row r="2725" spans="1:52" x14ac:dyDescent="0.3">
      <c r="A2725" t="s">
        <v>52</v>
      </c>
      <c r="B2725" t="s">
        <v>53</v>
      </c>
      <c r="C2725" t="s">
        <v>54</v>
      </c>
      <c r="D2725" t="s">
        <v>55</v>
      </c>
      <c r="E2725" t="s">
        <v>2162</v>
      </c>
      <c r="F2725" t="s">
        <v>190</v>
      </c>
      <c r="G2725" t="s">
        <v>503</v>
      </c>
      <c r="H2725" t="s">
        <v>504</v>
      </c>
      <c r="I2725" t="s">
        <v>504</v>
      </c>
      <c r="J2725" t="s">
        <v>60</v>
      </c>
      <c r="K2725" t="s">
        <v>505</v>
      </c>
      <c r="L2725" t="s">
        <v>62</v>
      </c>
      <c r="M2725" t="s">
        <v>505</v>
      </c>
      <c r="N2725" t="s">
        <v>506</v>
      </c>
      <c r="O2725" t="s">
        <v>507</v>
      </c>
      <c r="P2725">
        <v>-20.131428</v>
      </c>
      <c r="Q2725">
        <v>-44.888921000000003</v>
      </c>
      <c r="R2725" s="2" t="str">
        <f>HYPERLINK("https://www.google.com/maps?q=-20.1314280,-44.8889210","Abrir no Google Maps")</f>
        <v>Abrir no Google Maps</v>
      </c>
      <c r="S2725">
        <v>3</v>
      </c>
      <c r="T2725">
        <v>250.64150698244501</v>
      </c>
      <c r="U2725">
        <v>4</v>
      </c>
      <c r="V2725">
        <v>0.42239501021455378</v>
      </c>
      <c r="W2725">
        <v>1</v>
      </c>
      <c r="X2725">
        <v>0.42239501021455378</v>
      </c>
      <c r="Y2725">
        <v>564</v>
      </c>
      <c r="Z2725">
        <v>189.93933888952441</v>
      </c>
      <c r="AA2725">
        <v>198</v>
      </c>
      <c r="AB2725">
        <v>332</v>
      </c>
      <c r="AC2725">
        <v>536</v>
      </c>
      <c r="AD2725">
        <v>26.86</v>
      </c>
      <c r="AE2725">
        <v>542</v>
      </c>
      <c r="AF2725">
        <v>15</v>
      </c>
      <c r="AG2725">
        <v>178</v>
      </c>
      <c r="AH2725">
        <v>129</v>
      </c>
      <c r="AI2725">
        <v>2.77</v>
      </c>
      <c r="AJ2725">
        <v>32.840000000000003</v>
      </c>
      <c r="AK2725">
        <v>23.8</v>
      </c>
      <c r="AL2725">
        <v>-20.13123589999995</v>
      </c>
      <c r="AM2725">
        <v>-44.888742396501762</v>
      </c>
      <c r="AN2725">
        <v>-20.13123589999995</v>
      </c>
      <c r="AO2725">
        <v>-44.888742396501762</v>
      </c>
      <c r="AP2725">
        <v>-20.131428</v>
      </c>
      <c r="AQ2725">
        <v>-44.888921000000003</v>
      </c>
      <c r="AR2725">
        <v>28.386169462917032</v>
      </c>
      <c r="AS2725" t="s">
        <v>65</v>
      </c>
      <c r="AT2725">
        <v>1</v>
      </c>
      <c r="AU2725" t="s">
        <v>508</v>
      </c>
      <c r="AV2725" t="s">
        <v>509</v>
      </c>
      <c r="AW2725" t="s">
        <v>60</v>
      </c>
      <c r="AX2725" t="s">
        <v>68</v>
      </c>
      <c r="AY2725" t="s">
        <v>69</v>
      </c>
      <c r="AZ2725" t="b">
        <v>1</v>
      </c>
    </row>
    <row r="2726" spans="1:52" x14ac:dyDescent="0.3">
      <c r="A2726" t="s">
        <v>52</v>
      </c>
      <c r="B2726" t="s">
        <v>53</v>
      </c>
      <c r="C2726" t="s">
        <v>54</v>
      </c>
      <c r="D2726" t="s">
        <v>55</v>
      </c>
      <c r="E2726" t="s">
        <v>2162</v>
      </c>
      <c r="F2726" t="s">
        <v>190</v>
      </c>
      <c r="G2726" t="s">
        <v>510</v>
      </c>
      <c r="H2726" t="s">
        <v>511</v>
      </c>
      <c r="I2726" t="s">
        <v>511</v>
      </c>
      <c r="J2726" t="s">
        <v>60</v>
      </c>
      <c r="K2726" t="s">
        <v>512</v>
      </c>
      <c r="L2726" t="s">
        <v>62</v>
      </c>
      <c r="M2726" t="s">
        <v>512</v>
      </c>
      <c r="N2726" t="s">
        <v>406</v>
      </c>
      <c r="O2726" t="s">
        <v>513</v>
      </c>
      <c r="P2726">
        <v>-20.127853000000002</v>
      </c>
      <c r="Q2726">
        <v>-44.891415000000002</v>
      </c>
      <c r="R2726" s="2" t="str">
        <f>HYPERLINK("https://www.google.com/maps?q=-20.1278530,-44.8914150","Abrir no Google Maps")</f>
        <v>Abrir no Google Maps</v>
      </c>
      <c r="S2726">
        <v>3</v>
      </c>
      <c r="T2726">
        <v>340.86994528233612</v>
      </c>
      <c r="U2726">
        <v>4</v>
      </c>
      <c r="V2726">
        <v>0.42237817810365219</v>
      </c>
      <c r="W2726">
        <v>1</v>
      </c>
      <c r="X2726">
        <v>0.42237817810365219</v>
      </c>
      <c r="Y2726">
        <v>564</v>
      </c>
      <c r="Z2726">
        <v>294.18108015916812</v>
      </c>
      <c r="AA2726">
        <v>198</v>
      </c>
      <c r="AB2726">
        <v>332</v>
      </c>
      <c r="AC2726">
        <v>536</v>
      </c>
      <c r="AD2726">
        <v>26.86</v>
      </c>
      <c r="AE2726">
        <v>542</v>
      </c>
      <c r="AF2726">
        <v>15</v>
      </c>
      <c r="AG2726">
        <v>178</v>
      </c>
      <c r="AH2726">
        <v>129</v>
      </c>
      <c r="AI2726">
        <v>2.77</v>
      </c>
      <c r="AJ2726">
        <v>32.840000000000003</v>
      </c>
      <c r="AK2726">
        <v>23.8</v>
      </c>
      <c r="AL2726">
        <v>-20.12777399999996</v>
      </c>
      <c r="AM2726">
        <v>-44.891400975758501</v>
      </c>
      <c r="AN2726">
        <v>-20.12777399999996</v>
      </c>
      <c r="AO2726">
        <v>-44.891400975758501</v>
      </c>
      <c r="AP2726">
        <v>-20.127853000000002</v>
      </c>
      <c r="AQ2726">
        <v>-44.891415000000002</v>
      </c>
      <c r="AR2726">
        <v>8.9156059162975616</v>
      </c>
      <c r="AS2726" t="s">
        <v>65</v>
      </c>
      <c r="AT2726">
        <v>1</v>
      </c>
      <c r="AU2726" t="s">
        <v>514</v>
      </c>
      <c r="AV2726" t="s">
        <v>515</v>
      </c>
      <c r="AW2726" t="s">
        <v>60</v>
      </c>
      <c r="AX2726" t="s">
        <v>68</v>
      </c>
      <c r="AY2726" t="s">
        <v>69</v>
      </c>
      <c r="AZ2726" t="b">
        <v>1</v>
      </c>
    </row>
    <row r="2727" spans="1:52" x14ac:dyDescent="0.3">
      <c r="A2727" t="s">
        <v>52</v>
      </c>
      <c r="B2727" t="s">
        <v>53</v>
      </c>
      <c r="C2727" t="s">
        <v>54</v>
      </c>
      <c r="D2727" t="s">
        <v>55</v>
      </c>
      <c r="E2727" t="s">
        <v>2162</v>
      </c>
      <c r="F2727" t="s">
        <v>190</v>
      </c>
      <c r="G2727" t="s">
        <v>516</v>
      </c>
      <c r="H2727" t="s">
        <v>517</v>
      </c>
      <c r="I2727" t="s">
        <v>517</v>
      </c>
      <c r="J2727" t="s">
        <v>60</v>
      </c>
      <c r="K2727" t="s">
        <v>518</v>
      </c>
      <c r="L2727" t="s">
        <v>62</v>
      </c>
      <c r="M2727" t="s">
        <v>518</v>
      </c>
      <c r="N2727" t="s">
        <v>519</v>
      </c>
      <c r="O2727" t="s">
        <v>520</v>
      </c>
      <c r="P2727">
        <v>-20.124502</v>
      </c>
      <c r="Q2727">
        <v>-44.888424000000001</v>
      </c>
      <c r="R2727" s="2" t="str">
        <f>HYPERLINK("https://www.google.com/maps?q=-20.1245020,-44.8884240","Abrir no Google Maps")</f>
        <v>Abrir no Google Maps</v>
      </c>
      <c r="S2727">
        <v>3</v>
      </c>
      <c r="T2727">
        <v>483.42298121929559</v>
      </c>
      <c r="U2727">
        <v>4</v>
      </c>
      <c r="V2727">
        <v>0.4727438200720801</v>
      </c>
      <c r="W2727">
        <v>1</v>
      </c>
      <c r="X2727">
        <v>0.4727438200720801</v>
      </c>
      <c r="Y2727">
        <v>564</v>
      </c>
      <c r="Z2727">
        <v>565.43074237076587</v>
      </c>
      <c r="AA2727">
        <v>198</v>
      </c>
      <c r="AB2727">
        <v>332</v>
      </c>
      <c r="AC2727">
        <v>536</v>
      </c>
      <c r="AD2727">
        <v>26.86</v>
      </c>
      <c r="AE2727">
        <v>542</v>
      </c>
      <c r="AF2727">
        <v>15</v>
      </c>
      <c r="AG2727">
        <v>178</v>
      </c>
      <c r="AH2727">
        <v>129</v>
      </c>
      <c r="AI2727">
        <v>2.77</v>
      </c>
      <c r="AJ2727">
        <v>32.840000000000003</v>
      </c>
      <c r="AK2727">
        <v>23.8</v>
      </c>
      <c r="AL2727">
        <v>-20.124624949999941</v>
      </c>
      <c r="AM2727">
        <v>-44.888432821777258</v>
      </c>
      <c r="AN2727">
        <v>-20.124624949999941</v>
      </c>
      <c r="AO2727">
        <v>-44.888432821777258</v>
      </c>
      <c r="AP2727">
        <v>-20.124502</v>
      </c>
      <c r="AQ2727">
        <v>-44.888424000000001</v>
      </c>
      <c r="AR2727">
        <v>13.717819333897451</v>
      </c>
      <c r="AS2727" t="s">
        <v>65</v>
      </c>
      <c r="AT2727">
        <v>1</v>
      </c>
      <c r="AU2727" t="s">
        <v>521</v>
      </c>
      <c r="AV2727" t="s">
        <v>522</v>
      </c>
      <c r="AW2727" t="s">
        <v>60</v>
      </c>
      <c r="AX2727" t="s">
        <v>68</v>
      </c>
      <c r="AY2727" t="s">
        <v>69</v>
      </c>
      <c r="AZ2727" t="b">
        <v>1</v>
      </c>
    </row>
    <row r="2728" spans="1:52" x14ac:dyDescent="0.3">
      <c r="A2728" t="s">
        <v>52</v>
      </c>
      <c r="B2728" t="s">
        <v>53</v>
      </c>
      <c r="C2728" t="s">
        <v>54</v>
      </c>
      <c r="D2728" t="s">
        <v>55</v>
      </c>
      <c r="E2728" t="s">
        <v>2162</v>
      </c>
      <c r="F2728" t="s">
        <v>190</v>
      </c>
      <c r="G2728" t="s">
        <v>523</v>
      </c>
      <c r="H2728" t="s">
        <v>524</v>
      </c>
      <c r="I2728" t="s">
        <v>524</v>
      </c>
      <c r="J2728" t="s">
        <v>60</v>
      </c>
      <c r="K2728" t="s">
        <v>518</v>
      </c>
      <c r="L2728" t="s">
        <v>62</v>
      </c>
      <c r="M2728" t="s">
        <v>518</v>
      </c>
      <c r="N2728" t="s">
        <v>525</v>
      </c>
      <c r="O2728" t="s">
        <v>331</v>
      </c>
      <c r="P2728">
        <v>-20.126553000000001</v>
      </c>
      <c r="Q2728">
        <v>-44.888599999999997</v>
      </c>
      <c r="R2728" s="2" t="str">
        <f>HYPERLINK("https://www.google.com/maps?q=-20.1265530,-44.8886000","Abrir no Google Maps")</f>
        <v>Abrir no Google Maps</v>
      </c>
      <c r="S2728">
        <v>3</v>
      </c>
      <c r="T2728">
        <v>256.34043440603853</v>
      </c>
      <c r="U2728">
        <v>4</v>
      </c>
      <c r="V2728">
        <v>0.43814680018010349</v>
      </c>
      <c r="W2728">
        <v>1</v>
      </c>
      <c r="X2728">
        <v>0.43814680018010349</v>
      </c>
      <c r="Y2728">
        <v>564</v>
      </c>
      <c r="Z2728">
        <v>325.4404273055876</v>
      </c>
      <c r="AA2728">
        <v>198</v>
      </c>
      <c r="AB2728">
        <v>332</v>
      </c>
      <c r="AC2728">
        <v>536</v>
      </c>
      <c r="AD2728">
        <v>26.86</v>
      </c>
      <c r="AE2728">
        <v>542</v>
      </c>
      <c r="AF2728">
        <v>15</v>
      </c>
      <c r="AG2728">
        <v>178</v>
      </c>
      <c r="AH2728">
        <v>129</v>
      </c>
      <c r="AI2728">
        <v>2.77</v>
      </c>
      <c r="AJ2728">
        <v>32.840000000000003</v>
      </c>
      <c r="AK2728">
        <v>23.8</v>
      </c>
      <c r="AL2728">
        <v>-20.12669049999997</v>
      </c>
      <c r="AM2728">
        <v>-44.888671289876577</v>
      </c>
      <c r="AN2728">
        <v>-20.12669049999997</v>
      </c>
      <c r="AO2728">
        <v>-44.888671289876577</v>
      </c>
      <c r="AP2728">
        <v>-20.126553000000001</v>
      </c>
      <c r="AQ2728">
        <v>-44.888599999999997</v>
      </c>
      <c r="AR2728">
        <v>17.023861591720589</v>
      </c>
      <c r="AS2728" t="s">
        <v>65</v>
      </c>
      <c r="AT2728">
        <v>1</v>
      </c>
      <c r="AU2728" t="s">
        <v>526</v>
      </c>
      <c r="AV2728" t="s">
        <v>527</v>
      </c>
      <c r="AW2728" t="s">
        <v>60</v>
      </c>
      <c r="AX2728" t="s">
        <v>68</v>
      </c>
      <c r="AY2728" t="s">
        <v>69</v>
      </c>
      <c r="AZ2728" t="b">
        <v>1</v>
      </c>
    </row>
    <row r="2729" spans="1:52" x14ac:dyDescent="0.3">
      <c r="A2729" t="s">
        <v>52</v>
      </c>
      <c r="B2729" t="s">
        <v>53</v>
      </c>
      <c r="C2729" t="s">
        <v>54</v>
      </c>
      <c r="D2729" t="s">
        <v>55</v>
      </c>
      <c r="E2729" t="s">
        <v>2162</v>
      </c>
      <c r="F2729" t="s">
        <v>190</v>
      </c>
      <c r="G2729" t="s">
        <v>528</v>
      </c>
      <c r="H2729" t="s">
        <v>529</v>
      </c>
      <c r="I2729" t="s">
        <v>529</v>
      </c>
      <c r="J2729" t="s">
        <v>60</v>
      </c>
      <c r="K2729" t="s">
        <v>530</v>
      </c>
      <c r="L2729" t="s">
        <v>62</v>
      </c>
      <c r="M2729" t="s">
        <v>530</v>
      </c>
      <c r="N2729" t="s">
        <v>531</v>
      </c>
      <c r="O2729" t="s">
        <v>532</v>
      </c>
      <c r="P2729">
        <v>-20.142457</v>
      </c>
      <c r="Q2729">
        <v>-44.891688000000002</v>
      </c>
      <c r="R2729" s="2" t="str">
        <f>HYPERLINK("https://www.google.com/maps?q=-20.1424570,-44.8916880","Abrir no Google Maps")</f>
        <v>Abrir no Google Maps</v>
      </c>
      <c r="S2729">
        <v>3</v>
      </c>
      <c r="T2729">
        <v>0</v>
      </c>
      <c r="U2729">
        <v>4</v>
      </c>
      <c r="V2729">
        <v>0.4986271625105263</v>
      </c>
      <c r="W2729">
        <v>1</v>
      </c>
      <c r="X2729">
        <v>0.4986271625105263</v>
      </c>
      <c r="Y2729">
        <v>557</v>
      </c>
      <c r="Z2729">
        <v>42.611952255679803</v>
      </c>
      <c r="AA2729">
        <v>198</v>
      </c>
      <c r="AB2729">
        <v>332</v>
      </c>
      <c r="AC2729">
        <v>536</v>
      </c>
      <c r="AD2729">
        <v>26.86</v>
      </c>
      <c r="AE2729">
        <v>542</v>
      </c>
      <c r="AF2729">
        <v>15</v>
      </c>
      <c r="AG2729">
        <v>178</v>
      </c>
      <c r="AH2729">
        <v>129</v>
      </c>
      <c r="AI2729">
        <v>2.77</v>
      </c>
      <c r="AJ2729">
        <v>32.840000000000003</v>
      </c>
      <c r="AK2729">
        <v>23.8</v>
      </c>
      <c r="AL2729">
        <v>-20.142523099999948</v>
      </c>
      <c r="AM2729">
        <v>-44.891523817588819</v>
      </c>
      <c r="AN2729">
        <v>-20.142523099999948</v>
      </c>
      <c r="AO2729">
        <v>-44.891523817588819</v>
      </c>
      <c r="AP2729">
        <v>-20.142457</v>
      </c>
      <c r="AQ2729">
        <v>-44.891688000000002</v>
      </c>
      <c r="AR2729">
        <v>18.670129248632971</v>
      </c>
      <c r="AS2729" t="s">
        <v>65</v>
      </c>
      <c r="AT2729">
        <v>1</v>
      </c>
      <c r="AU2729" t="s">
        <v>533</v>
      </c>
      <c r="AV2729" t="s">
        <v>534</v>
      </c>
      <c r="AW2729" t="s">
        <v>60</v>
      </c>
      <c r="AX2729" t="s">
        <v>68</v>
      </c>
      <c r="AY2729" t="s">
        <v>69</v>
      </c>
      <c r="AZ2729" t="b">
        <v>1</v>
      </c>
    </row>
    <row r="2730" spans="1:52" x14ac:dyDescent="0.3">
      <c r="A2730" t="s">
        <v>52</v>
      </c>
      <c r="B2730" t="s">
        <v>53</v>
      </c>
      <c r="C2730" t="s">
        <v>54</v>
      </c>
      <c r="D2730" t="s">
        <v>55</v>
      </c>
      <c r="E2730" t="s">
        <v>2162</v>
      </c>
      <c r="F2730" t="s">
        <v>190</v>
      </c>
      <c r="G2730" t="s">
        <v>535</v>
      </c>
      <c r="H2730" t="s">
        <v>536</v>
      </c>
      <c r="I2730" t="s">
        <v>536</v>
      </c>
      <c r="J2730" t="s">
        <v>60</v>
      </c>
      <c r="K2730" t="s">
        <v>388</v>
      </c>
      <c r="L2730" t="s">
        <v>62</v>
      </c>
      <c r="M2730" t="s">
        <v>388</v>
      </c>
      <c r="N2730" t="s">
        <v>537</v>
      </c>
      <c r="O2730" t="s">
        <v>538</v>
      </c>
      <c r="P2730">
        <v>-20.150061999999998</v>
      </c>
      <c r="Q2730">
        <v>-44.903379000000001</v>
      </c>
      <c r="R2730" s="2" t="str">
        <f>HYPERLINK("https://www.google.com/maps?q=-20.1500620,-44.9033790","Abrir no Google Maps")</f>
        <v>Abrir no Google Maps</v>
      </c>
      <c r="S2730">
        <v>3</v>
      </c>
      <c r="T2730">
        <v>286.20313674219977</v>
      </c>
      <c r="U2730">
        <v>4</v>
      </c>
      <c r="V2730">
        <v>0.45610182842942221</v>
      </c>
      <c r="W2730">
        <v>1</v>
      </c>
      <c r="X2730">
        <v>0.45610182842942221</v>
      </c>
      <c r="Y2730">
        <v>556</v>
      </c>
      <c r="Z2730">
        <v>315.81851898667401</v>
      </c>
      <c r="AA2730">
        <v>198</v>
      </c>
      <c r="AB2730">
        <v>332</v>
      </c>
      <c r="AC2730">
        <v>536</v>
      </c>
      <c r="AD2730">
        <v>26.86</v>
      </c>
      <c r="AE2730">
        <v>542</v>
      </c>
      <c r="AF2730">
        <v>15</v>
      </c>
      <c r="AG2730">
        <v>178</v>
      </c>
      <c r="AH2730">
        <v>129</v>
      </c>
      <c r="AI2730">
        <v>2.77</v>
      </c>
      <c r="AJ2730">
        <v>32.840000000000003</v>
      </c>
      <c r="AK2730">
        <v>23.8</v>
      </c>
      <c r="AL2730">
        <v>-20.150084299999971</v>
      </c>
      <c r="AM2730">
        <v>-44.903278407568479</v>
      </c>
      <c r="AN2730">
        <v>-20.150084299999971</v>
      </c>
      <c r="AO2730">
        <v>-44.903278407568479</v>
      </c>
      <c r="AP2730">
        <v>-20.150061999999998</v>
      </c>
      <c r="AQ2730">
        <v>-44.903379000000001</v>
      </c>
      <c r="AR2730">
        <v>10.801687336134639</v>
      </c>
      <c r="AS2730" t="s">
        <v>65</v>
      </c>
      <c r="AT2730">
        <v>1</v>
      </c>
      <c r="AU2730" t="s">
        <v>539</v>
      </c>
      <c r="AV2730" t="s">
        <v>540</v>
      </c>
      <c r="AW2730" t="s">
        <v>60</v>
      </c>
      <c r="AX2730" t="s">
        <v>68</v>
      </c>
      <c r="AY2730" t="s">
        <v>69</v>
      </c>
      <c r="AZ2730" t="b">
        <v>1</v>
      </c>
    </row>
    <row r="2731" spans="1:52" x14ac:dyDescent="0.3">
      <c r="A2731" t="s">
        <v>52</v>
      </c>
      <c r="B2731" t="s">
        <v>53</v>
      </c>
      <c r="C2731" t="s">
        <v>54</v>
      </c>
      <c r="D2731" t="s">
        <v>55</v>
      </c>
      <c r="E2731" t="s">
        <v>2162</v>
      </c>
      <c r="F2731" t="s">
        <v>190</v>
      </c>
      <c r="G2731" t="s">
        <v>398</v>
      </c>
      <c r="H2731" t="s">
        <v>541</v>
      </c>
      <c r="I2731" t="s">
        <v>541</v>
      </c>
      <c r="J2731" t="s">
        <v>60</v>
      </c>
      <c r="K2731" t="s">
        <v>388</v>
      </c>
      <c r="L2731" t="s">
        <v>62</v>
      </c>
      <c r="M2731" t="s">
        <v>388</v>
      </c>
      <c r="N2731" t="s">
        <v>400</v>
      </c>
      <c r="O2731" t="s">
        <v>542</v>
      </c>
      <c r="P2731">
        <v>-20.151335</v>
      </c>
      <c r="Q2731">
        <v>-44.901041999999997</v>
      </c>
      <c r="R2731" s="2" t="str">
        <f>HYPERLINK("https://www.google.com/maps?q=-20.1513350,-44.9010420","Abrir no Google Maps")</f>
        <v>Abrir no Google Maps</v>
      </c>
      <c r="S2731">
        <v>3</v>
      </c>
      <c r="T2731">
        <v>0</v>
      </c>
      <c r="U2731">
        <v>4</v>
      </c>
      <c r="V2731">
        <v>0.42075892971936829</v>
      </c>
      <c r="W2731">
        <v>1</v>
      </c>
      <c r="X2731">
        <v>0.42075892971936829</v>
      </c>
      <c r="Y2731">
        <v>556</v>
      </c>
      <c r="Z2731">
        <v>137.71609036908939</v>
      </c>
      <c r="AA2731">
        <v>198</v>
      </c>
      <c r="AB2731">
        <v>332</v>
      </c>
      <c r="AC2731">
        <v>536</v>
      </c>
      <c r="AD2731">
        <v>26.86</v>
      </c>
      <c r="AE2731">
        <v>542</v>
      </c>
      <c r="AF2731">
        <v>15</v>
      </c>
      <c r="AG2731">
        <v>178</v>
      </c>
      <c r="AH2731">
        <v>129</v>
      </c>
      <c r="AI2731">
        <v>2.77</v>
      </c>
      <c r="AJ2731">
        <v>32.840000000000003</v>
      </c>
      <c r="AK2731">
        <v>23.8</v>
      </c>
      <c r="AL2731">
        <v>-20.15125899999995</v>
      </c>
      <c r="AM2731">
        <v>-44.900838557594433</v>
      </c>
      <c r="AN2731">
        <v>-20.15125899999995</v>
      </c>
      <c r="AO2731">
        <v>-44.900838557594433</v>
      </c>
      <c r="AP2731">
        <v>-20.151335</v>
      </c>
      <c r="AQ2731">
        <v>-44.901041999999997</v>
      </c>
      <c r="AR2731">
        <v>22.882363139483491</v>
      </c>
      <c r="AS2731" t="s">
        <v>65</v>
      </c>
      <c r="AT2731">
        <v>1</v>
      </c>
      <c r="AU2731" t="s">
        <v>543</v>
      </c>
      <c r="AV2731" t="s">
        <v>544</v>
      </c>
      <c r="AW2731" t="s">
        <v>60</v>
      </c>
      <c r="AX2731" t="s">
        <v>68</v>
      </c>
      <c r="AY2731" t="s">
        <v>69</v>
      </c>
      <c r="AZ2731" t="b">
        <v>1</v>
      </c>
    </row>
    <row r="2732" spans="1:52" x14ac:dyDescent="0.3">
      <c r="A2732" t="s">
        <v>52</v>
      </c>
      <c r="B2732" t="s">
        <v>53</v>
      </c>
      <c r="C2732" t="s">
        <v>54</v>
      </c>
      <c r="D2732" t="s">
        <v>55</v>
      </c>
      <c r="E2732" t="s">
        <v>2162</v>
      </c>
      <c r="F2732" t="s">
        <v>190</v>
      </c>
      <c r="G2732" t="s">
        <v>545</v>
      </c>
      <c r="H2732" t="s">
        <v>546</v>
      </c>
      <c r="I2732" t="s">
        <v>546</v>
      </c>
      <c r="J2732" t="s">
        <v>60</v>
      </c>
      <c r="K2732" t="s">
        <v>388</v>
      </c>
      <c r="L2732" t="s">
        <v>62</v>
      </c>
      <c r="M2732" t="s">
        <v>388</v>
      </c>
      <c r="N2732" t="s">
        <v>547</v>
      </c>
      <c r="O2732" t="s">
        <v>548</v>
      </c>
      <c r="P2732">
        <v>-20.155839</v>
      </c>
      <c r="Q2732">
        <v>-44.905655000000003</v>
      </c>
      <c r="R2732" s="2" t="str">
        <f>HYPERLINK("https://www.google.com/maps?q=-20.1558390,-44.9056550","Abrir no Google Maps")</f>
        <v>Abrir no Google Maps</v>
      </c>
      <c r="S2732">
        <v>3</v>
      </c>
      <c r="T2732">
        <v>309.7643089121122</v>
      </c>
      <c r="U2732">
        <v>4</v>
      </c>
      <c r="V2732">
        <v>0.44036261518001318</v>
      </c>
      <c r="W2732">
        <v>1</v>
      </c>
      <c r="X2732">
        <v>0.44036261518001318</v>
      </c>
      <c r="Y2732">
        <v>548</v>
      </c>
      <c r="Z2732">
        <v>284.24281731793161</v>
      </c>
      <c r="AA2732">
        <v>198</v>
      </c>
      <c r="AB2732">
        <v>332</v>
      </c>
      <c r="AC2732">
        <v>536</v>
      </c>
      <c r="AD2732">
        <v>26.86</v>
      </c>
      <c r="AE2732">
        <v>542</v>
      </c>
      <c r="AF2732">
        <v>15</v>
      </c>
      <c r="AG2732">
        <v>178</v>
      </c>
      <c r="AH2732">
        <v>129</v>
      </c>
      <c r="AI2732">
        <v>2.77</v>
      </c>
      <c r="AJ2732">
        <v>32.840000000000003</v>
      </c>
      <c r="AK2732">
        <v>23.8</v>
      </c>
      <c r="AL2732">
        <v>-20.155913549999951</v>
      </c>
      <c r="AM2732">
        <v>-44.905554508392683</v>
      </c>
      <c r="AN2732">
        <v>-20.155913549999951</v>
      </c>
      <c r="AO2732">
        <v>-44.905554508392669</v>
      </c>
      <c r="AP2732">
        <v>-20.155839</v>
      </c>
      <c r="AQ2732">
        <v>-44.905655000000003</v>
      </c>
      <c r="AR2732">
        <v>13.384922093797449</v>
      </c>
      <c r="AS2732" t="s">
        <v>65</v>
      </c>
      <c r="AT2732">
        <v>1</v>
      </c>
      <c r="AU2732" t="s">
        <v>549</v>
      </c>
      <c r="AV2732" t="s">
        <v>550</v>
      </c>
      <c r="AW2732" t="s">
        <v>60</v>
      </c>
      <c r="AX2732" t="s">
        <v>68</v>
      </c>
      <c r="AY2732" t="s">
        <v>69</v>
      </c>
      <c r="AZ2732" t="b">
        <v>1</v>
      </c>
    </row>
    <row r="2733" spans="1:52" x14ac:dyDescent="0.3">
      <c r="A2733" t="s">
        <v>52</v>
      </c>
      <c r="B2733" t="s">
        <v>53</v>
      </c>
      <c r="C2733" t="s">
        <v>54</v>
      </c>
      <c r="D2733" t="s">
        <v>55</v>
      </c>
      <c r="E2733" t="s">
        <v>2162</v>
      </c>
      <c r="F2733" t="s">
        <v>190</v>
      </c>
      <c r="G2733" t="s">
        <v>551</v>
      </c>
      <c r="H2733" t="s">
        <v>552</v>
      </c>
      <c r="I2733" t="s">
        <v>552</v>
      </c>
      <c r="J2733" t="s">
        <v>60</v>
      </c>
      <c r="K2733" t="s">
        <v>388</v>
      </c>
      <c r="L2733" t="s">
        <v>62</v>
      </c>
      <c r="M2733" t="s">
        <v>388</v>
      </c>
      <c r="N2733" t="s">
        <v>553</v>
      </c>
      <c r="O2733" t="s">
        <v>315</v>
      </c>
      <c r="P2733">
        <v>-20.153086999999999</v>
      </c>
      <c r="Q2733">
        <v>-44.905451999999997</v>
      </c>
      <c r="R2733" s="2" t="str">
        <f>HYPERLINK("https://www.google.com/maps?q=-20.1530870,-44.9054520","Abrir no Google Maps")</f>
        <v>Abrir no Google Maps</v>
      </c>
      <c r="S2733">
        <v>3</v>
      </c>
      <c r="T2733">
        <v>313.69387682409018</v>
      </c>
      <c r="U2733">
        <v>4</v>
      </c>
      <c r="V2733">
        <v>0.43021338573495871</v>
      </c>
      <c r="W2733">
        <v>1</v>
      </c>
      <c r="X2733">
        <v>0.43021338573495871</v>
      </c>
      <c r="Y2733">
        <v>548</v>
      </c>
      <c r="Z2733">
        <v>319.51605309906859</v>
      </c>
      <c r="AA2733">
        <v>198</v>
      </c>
      <c r="AB2733">
        <v>332</v>
      </c>
      <c r="AC2733">
        <v>536</v>
      </c>
      <c r="AD2733">
        <v>26.86</v>
      </c>
      <c r="AE2733">
        <v>542</v>
      </c>
      <c r="AF2733">
        <v>15</v>
      </c>
      <c r="AG2733">
        <v>178</v>
      </c>
      <c r="AH2733">
        <v>129</v>
      </c>
      <c r="AI2733">
        <v>2.77</v>
      </c>
      <c r="AJ2733">
        <v>32.840000000000003</v>
      </c>
      <c r="AK2733">
        <v>23.8</v>
      </c>
      <c r="AL2733">
        <v>-20.153043049999951</v>
      </c>
      <c r="AM2733">
        <v>-44.905348275899513</v>
      </c>
      <c r="AN2733">
        <v>-20.153043049999951</v>
      </c>
      <c r="AO2733">
        <v>-44.905348275899513</v>
      </c>
      <c r="AP2733">
        <v>-20.153086999999999</v>
      </c>
      <c r="AQ2733">
        <v>-44.905451999999997</v>
      </c>
      <c r="AR2733">
        <v>11.892619975648341</v>
      </c>
      <c r="AS2733" t="s">
        <v>65</v>
      </c>
      <c r="AT2733">
        <v>1</v>
      </c>
      <c r="AU2733" t="s">
        <v>554</v>
      </c>
      <c r="AV2733" t="s">
        <v>555</v>
      </c>
      <c r="AW2733" t="s">
        <v>60</v>
      </c>
      <c r="AX2733" t="s">
        <v>68</v>
      </c>
      <c r="AY2733" t="s">
        <v>69</v>
      </c>
      <c r="AZ2733" t="b">
        <v>1</v>
      </c>
    </row>
    <row r="2734" spans="1:52" x14ac:dyDescent="0.3">
      <c r="A2734" t="s">
        <v>52</v>
      </c>
      <c r="B2734" t="s">
        <v>53</v>
      </c>
      <c r="C2734" t="s">
        <v>54</v>
      </c>
      <c r="D2734" t="s">
        <v>55</v>
      </c>
      <c r="E2734" t="s">
        <v>2162</v>
      </c>
      <c r="F2734" t="s">
        <v>190</v>
      </c>
      <c r="G2734" t="s">
        <v>556</v>
      </c>
      <c r="H2734" t="s">
        <v>557</v>
      </c>
      <c r="I2734" t="s">
        <v>557</v>
      </c>
      <c r="J2734" t="s">
        <v>60</v>
      </c>
      <c r="K2734" t="s">
        <v>388</v>
      </c>
      <c r="L2734" t="s">
        <v>62</v>
      </c>
      <c r="M2734" t="s">
        <v>388</v>
      </c>
      <c r="N2734" t="s">
        <v>558</v>
      </c>
      <c r="O2734" t="s">
        <v>559</v>
      </c>
      <c r="P2734">
        <v>-20.152670000000001</v>
      </c>
      <c r="Q2734">
        <v>-44.902557999999999</v>
      </c>
      <c r="R2734" s="2" t="str">
        <f>HYPERLINK("https://www.google.com/maps?q=-20.1526700,-44.9025580","Abrir no Google Maps")</f>
        <v>Abrir no Google Maps</v>
      </c>
      <c r="S2734">
        <v>3</v>
      </c>
      <c r="T2734">
        <v>228.56195217678911</v>
      </c>
      <c r="U2734">
        <v>4</v>
      </c>
      <c r="V2734">
        <v>0.44303283788860698</v>
      </c>
      <c r="W2734">
        <v>1</v>
      </c>
      <c r="X2734">
        <v>0.44303283788860698</v>
      </c>
      <c r="Y2734">
        <v>548</v>
      </c>
      <c r="Z2734">
        <v>250.63133895224919</v>
      </c>
      <c r="AA2734">
        <v>198</v>
      </c>
      <c r="AB2734">
        <v>332</v>
      </c>
      <c r="AC2734">
        <v>536</v>
      </c>
      <c r="AD2734">
        <v>26.86</v>
      </c>
      <c r="AE2734">
        <v>542</v>
      </c>
      <c r="AF2734">
        <v>15</v>
      </c>
      <c r="AG2734">
        <v>178</v>
      </c>
      <c r="AH2734">
        <v>129</v>
      </c>
      <c r="AI2734">
        <v>2.77</v>
      </c>
      <c r="AJ2734">
        <v>32.840000000000003</v>
      </c>
      <c r="AK2734">
        <v>23.8</v>
      </c>
      <c r="AL2734">
        <v>-20.152629799999939</v>
      </c>
      <c r="AM2734">
        <v>-44.902604744705201</v>
      </c>
      <c r="AN2734">
        <v>-20.152629799999939</v>
      </c>
      <c r="AO2734">
        <v>-44.902604744705201</v>
      </c>
      <c r="AP2734">
        <v>-20.152670000000001</v>
      </c>
      <c r="AQ2734">
        <v>-44.902557999999999</v>
      </c>
      <c r="AR2734">
        <v>6.6249428037111509</v>
      </c>
      <c r="AS2734" t="s">
        <v>65</v>
      </c>
      <c r="AT2734">
        <v>1</v>
      </c>
      <c r="AU2734" t="s">
        <v>560</v>
      </c>
      <c r="AV2734" t="s">
        <v>561</v>
      </c>
      <c r="AW2734" t="s">
        <v>60</v>
      </c>
      <c r="AX2734" t="s">
        <v>68</v>
      </c>
      <c r="AY2734" t="s">
        <v>69</v>
      </c>
      <c r="AZ2734" t="b">
        <v>1</v>
      </c>
    </row>
    <row r="2735" spans="1:52" x14ac:dyDescent="0.3">
      <c r="A2735" t="s">
        <v>52</v>
      </c>
      <c r="B2735" t="s">
        <v>53</v>
      </c>
      <c r="C2735" t="s">
        <v>54</v>
      </c>
      <c r="D2735" t="s">
        <v>55</v>
      </c>
      <c r="E2735" t="s">
        <v>2162</v>
      </c>
      <c r="F2735" t="s">
        <v>190</v>
      </c>
      <c r="G2735" t="s">
        <v>562</v>
      </c>
      <c r="H2735" t="s">
        <v>563</v>
      </c>
      <c r="I2735" t="s">
        <v>563</v>
      </c>
      <c r="J2735" t="s">
        <v>60</v>
      </c>
      <c r="K2735" t="s">
        <v>388</v>
      </c>
      <c r="L2735" t="s">
        <v>62</v>
      </c>
      <c r="M2735" t="s">
        <v>388</v>
      </c>
      <c r="N2735" t="s">
        <v>564</v>
      </c>
      <c r="O2735" t="s">
        <v>565</v>
      </c>
      <c r="P2735">
        <v>-20.154432</v>
      </c>
      <c r="Q2735">
        <v>-44.902977999999997</v>
      </c>
      <c r="R2735" s="2" t="str">
        <f>HYPERLINK("https://www.google.com/maps?q=-20.1544320,-44.9029780","Abrir no Google Maps")</f>
        <v>Abrir no Google Maps</v>
      </c>
      <c r="S2735">
        <v>3</v>
      </c>
      <c r="T2735">
        <v>0</v>
      </c>
      <c r="U2735">
        <v>4</v>
      </c>
      <c r="V2735">
        <v>0.45199762865403659</v>
      </c>
      <c r="W2735">
        <v>1</v>
      </c>
      <c r="X2735">
        <v>0.45199762865403659</v>
      </c>
      <c r="Y2735">
        <v>548</v>
      </c>
      <c r="Z2735">
        <v>29.424211042533759</v>
      </c>
      <c r="AA2735">
        <v>198</v>
      </c>
      <c r="AB2735">
        <v>332</v>
      </c>
      <c r="AC2735">
        <v>536</v>
      </c>
      <c r="AD2735">
        <v>26.86</v>
      </c>
      <c r="AE2735">
        <v>542</v>
      </c>
      <c r="AF2735">
        <v>15</v>
      </c>
      <c r="AG2735">
        <v>178</v>
      </c>
      <c r="AH2735">
        <v>129</v>
      </c>
      <c r="AI2735">
        <v>2.77</v>
      </c>
      <c r="AJ2735">
        <v>32.840000000000003</v>
      </c>
      <c r="AK2735">
        <v>23.8</v>
      </c>
      <c r="AL2735">
        <v>-20.15467689999997</v>
      </c>
      <c r="AM2735">
        <v>-44.902895281771222</v>
      </c>
      <c r="AN2735">
        <v>-20.15467689999997</v>
      </c>
      <c r="AO2735">
        <v>-44.902895281771222</v>
      </c>
      <c r="AP2735">
        <v>-20.154432</v>
      </c>
      <c r="AQ2735">
        <v>-44.902977999999997</v>
      </c>
      <c r="AR2735">
        <v>28.5999270636025</v>
      </c>
      <c r="AS2735" t="s">
        <v>65</v>
      </c>
      <c r="AT2735">
        <v>1</v>
      </c>
      <c r="AU2735" t="s">
        <v>566</v>
      </c>
      <c r="AV2735" t="s">
        <v>567</v>
      </c>
      <c r="AW2735" t="s">
        <v>60</v>
      </c>
      <c r="AX2735" t="s">
        <v>68</v>
      </c>
      <c r="AY2735" t="s">
        <v>69</v>
      </c>
      <c r="AZ2735" t="b">
        <v>1</v>
      </c>
    </row>
    <row r="2736" spans="1:52" x14ac:dyDescent="0.3">
      <c r="A2736" t="s">
        <v>52</v>
      </c>
      <c r="B2736" t="s">
        <v>53</v>
      </c>
      <c r="C2736" t="s">
        <v>54</v>
      </c>
      <c r="D2736" t="s">
        <v>55</v>
      </c>
      <c r="E2736" t="s">
        <v>2162</v>
      </c>
      <c r="F2736" t="s">
        <v>190</v>
      </c>
      <c r="G2736" t="s">
        <v>568</v>
      </c>
      <c r="H2736" t="s">
        <v>569</v>
      </c>
      <c r="I2736" t="s">
        <v>569</v>
      </c>
      <c r="J2736" t="s">
        <v>60</v>
      </c>
      <c r="K2736" t="s">
        <v>61</v>
      </c>
      <c r="L2736" t="s">
        <v>62</v>
      </c>
      <c r="M2736" t="s">
        <v>61</v>
      </c>
      <c r="N2736" t="s">
        <v>570</v>
      </c>
      <c r="O2736" t="s">
        <v>548</v>
      </c>
      <c r="P2736">
        <v>-20.151508</v>
      </c>
      <c r="Q2736">
        <v>-44.907826</v>
      </c>
      <c r="R2736" s="2" t="str">
        <f>HYPERLINK("https://www.google.com/maps?q=-20.1515080,-44.9078260","Abrir no Google Maps")</f>
        <v>Abrir no Google Maps</v>
      </c>
      <c r="S2736">
        <v>3</v>
      </c>
      <c r="T2736">
        <v>567.15905416240514</v>
      </c>
      <c r="U2736">
        <v>4</v>
      </c>
      <c r="V2736">
        <v>0.56016398789617083</v>
      </c>
      <c r="W2736">
        <v>0.85</v>
      </c>
      <c r="X2736">
        <v>0.47613938971174519</v>
      </c>
      <c r="Y2736">
        <v>548</v>
      </c>
      <c r="Z2736">
        <v>560.49158010771464</v>
      </c>
      <c r="AA2736">
        <v>198</v>
      </c>
      <c r="AB2736">
        <v>332</v>
      </c>
      <c r="AC2736">
        <v>536</v>
      </c>
      <c r="AD2736">
        <v>26.86</v>
      </c>
      <c r="AE2736">
        <v>542</v>
      </c>
      <c r="AF2736">
        <v>15</v>
      </c>
      <c r="AG2736">
        <v>178</v>
      </c>
      <c r="AH2736">
        <v>129</v>
      </c>
      <c r="AI2736">
        <v>2.77</v>
      </c>
      <c r="AJ2736">
        <v>32.840000000000003</v>
      </c>
      <c r="AK2736">
        <v>23.8</v>
      </c>
      <c r="AL2736">
        <v>-20.15211779999996</v>
      </c>
      <c r="AM2736">
        <v>-44.907597469593128</v>
      </c>
      <c r="AN2736">
        <v>-20.15211779999996</v>
      </c>
      <c r="AO2736">
        <v>-44.907597469593128</v>
      </c>
      <c r="AP2736">
        <v>-20.151508</v>
      </c>
      <c r="AQ2736">
        <v>-44.907826</v>
      </c>
      <c r="AR2736">
        <v>71.961597929314735</v>
      </c>
      <c r="AS2736" t="s">
        <v>65</v>
      </c>
      <c r="AT2736">
        <v>1</v>
      </c>
      <c r="AU2736" t="s">
        <v>571</v>
      </c>
      <c r="AV2736" t="s">
        <v>572</v>
      </c>
      <c r="AW2736" t="s">
        <v>60</v>
      </c>
      <c r="AX2736" t="s">
        <v>68</v>
      </c>
      <c r="AY2736" t="s">
        <v>69</v>
      </c>
      <c r="AZ2736" t="b">
        <v>1</v>
      </c>
    </row>
    <row r="2737" spans="1:52" x14ac:dyDescent="0.3">
      <c r="A2737" t="s">
        <v>52</v>
      </c>
      <c r="B2737" t="s">
        <v>53</v>
      </c>
      <c r="C2737" t="s">
        <v>54</v>
      </c>
      <c r="D2737" t="s">
        <v>55</v>
      </c>
      <c r="E2737" t="s">
        <v>2162</v>
      </c>
      <c r="F2737" t="s">
        <v>190</v>
      </c>
      <c r="G2737" t="s">
        <v>573</v>
      </c>
      <c r="H2737" t="s">
        <v>574</v>
      </c>
      <c r="I2737" t="s">
        <v>574</v>
      </c>
      <c r="J2737" t="s">
        <v>60</v>
      </c>
      <c r="K2737" t="s">
        <v>207</v>
      </c>
      <c r="L2737" t="s">
        <v>62</v>
      </c>
      <c r="M2737" t="s">
        <v>207</v>
      </c>
      <c r="N2737" t="s">
        <v>575</v>
      </c>
      <c r="O2737" t="s">
        <v>576</v>
      </c>
      <c r="P2737">
        <v>-20.121252999999999</v>
      </c>
      <c r="Q2737">
        <v>-44.887988999999997</v>
      </c>
      <c r="R2737" s="2" t="str">
        <f>HYPERLINK("https://www.google.com/maps?q=-20.1212530,-44.8879890","Abrir no Google Maps")</f>
        <v>Abrir no Google Maps</v>
      </c>
      <c r="S2737">
        <v>3</v>
      </c>
      <c r="T2737">
        <v>310.5511884274041</v>
      </c>
      <c r="U2737">
        <v>4</v>
      </c>
      <c r="V2737">
        <v>0.47547837783840391</v>
      </c>
      <c r="W2737">
        <v>1</v>
      </c>
      <c r="X2737">
        <v>0.47547837783840391</v>
      </c>
      <c r="Y2737">
        <v>536</v>
      </c>
      <c r="Z2737">
        <v>292.13362593122162</v>
      </c>
      <c r="AA2737">
        <v>198</v>
      </c>
      <c r="AB2737">
        <v>332</v>
      </c>
      <c r="AC2737">
        <v>536</v>
      </c>
      <c r="AD2737">
        <v>26.86</v>
      </c>
      <c r="AE2737">
        <v>542</v>
      </c>
      <c r="AF2737">
        <v>15</v>
      </c>
      <c r="AG2737">
        <v>178</v>
      </c>
      <c r="AH2737">
        <v>129</v>
      </c>
      <c r="AI2737">
        <v>2.77</v>
      </c>
      <c r="AJ2737">
        <v>32.840000000000003</v>
      </c>
      <c r="AK2737">
        <v>23.8</v>
      </c>
      <c r="AL2737">
        <v>-20.121103699999939</v>
      </c>
      <c r="AM2737">
        <v>-44.888116617806723</v>
      </c>
      <c r="AN2737">
        <v>-20.121103699999939</v>
      </c>
      <c r="AO2737">
        <v>-44.888116617806723</v>
      </c>
      <c r="AP2737">
        <v>-20.121252999999999</v>
      </c>
      <c r="AQ2737">
        <v>-44.887988999999997</v>
      </c>
      <c r="AR2737">
        <v>21.311159673382519</v>
      </c>
      <c r="AS2737" t="s">
        <v>65</v>
      </c>
      <c r="AT2737">
        <v>1</v>
      </c>
      <c r="AU2737" t="s">
        <v>577</v>
      </c>
      <c r="AV2737" t="s">
        <v>578</v>
      </c>
      <c r="AW2737" t="s">
        <v>60</v>
      </c>
      <c r="AX2737" t="s">
        <v>68</v>
      </c>
      <c r="AY2737" t="s">
        <v>69</v>
      </c>
      <c r="AZ2737" t="b">
        <v>1</v>
      </c>
    </row>
    <row r="2738" spans="1:52" x14ac:dyDescent="0.3">
      <c r="A2738" t="s">
        <v>52</v>
      </c>
      <c r="B2738" t="s">
        <v>53</v>
      </c>
      <c r="C2738" t="s">
        <v>54</v>
      </c>
      <c r="D2738" t="s">
        <v>55</v>
      </c>
      <c r="E2738" t="s">
        <v>2162</v>
      </c>
      <c r="F2738" t="s">
        <v>190</v>
      </c>
      <c r="G2738" t="s">
        <v>579</v>
      </c>
      <c r="H2738" t="s">
        <v>580</v>
      </c>
      <c r="I2738" t="s">
        <v>580</v>
      </c>
      <c r="J2738" t="s">
        <v>60</v>
      </c>
      <c r="K2738" t="s">
        <v>117</v>
      </c>
      <c r="L2738" t="s">
        <v>62</v>
      </c>
      <c r="M2738" t="s">
        <v>117</v>
      </c>
      <c r="N2738" t="s">
        <v>581</v>
      </c>
      <c r="O2738" t="s">
        <v>338</v>
      </c>
      <c r="P2738">
        <v>-20.119333000000001</v>
      </c>
      <c r="Q2738">
        <v>-44.892454999999998</v>
      </c>
      <c r="R2738" s="2" t="str">
        <f>HYPERLINK("https://www.google.com/maps?q=-20.1193330,-44.8924550","Abrir no Google Maps")</f>
        <v>Abrir no Google Maps</v>
      </c>
      <c r="S2738">
        <v>3</v>
      </c>
      <c r="T2738">
        <v>545.06582215852734</v>
      </c>
      <c r="U2738">
        <v>4</v>
      </c>
      <c r="V2738">
        <v>0.41416448962874608</v>
      </c>
      <c r="W2738">
        <v>1</v>
      </c>
      <c r="X2738">
        <v>0.41416448962874608</v>
      </c>
      <c r="Y2738">
        <v>536</v>
      </c>
      <c r="Z2738">
        <v>583.72689769042404</v>
      </c>
      <c r="AA2738">
        <v>198</v>
      </c>
      <c r="AB2738">
        <v>332</v>
      </c>
      <c r="AC2738">
        <v>536</v>
      </c>
      <c r="AD2738">
        <v>26.86</v>
      </c>
      <c r="AE2738">
        <v>542</v>
      </c>
      <c r="AF2738">
        <v>15</v>
      </c>
      <c r="AG2738">
        <v>178</v>
      </c>
      <c r="AH2738">
        <v>129</v>
      </c>
      <c r="AI2738">
        <v>2.77</v>
      </c>
      <c r="AJ2738">
        <v>32.840000000000003</v>
      </c>
      <c r="AK2738">
        <v>23.8</v>
      </c>
      <c r="AL2738">
        <v>-20.11966729999995</v>
      </c>
      <c r="AM2738">
        <v>-44.892529474102908</v>
      </c>
      <c r="AN2738">
        <v>-20.119667299999939</v>
      </c>
      <c r="AO2738">
        <v>-44.892529474102908</v>
      </c>
      <c r="AP2738">
        <v>-20.119333000000001</v>
      </c>
      <c r="AQ2738">
        <v>-44.892454999999998</v>
      </c>
      <c r="AR2738">
        <v>38.019750592693072</v>
      </c>
      <c r="AS2738" t="s">
        <v>65</v>
      </c>
      <c r="AT2738">
        <v>1</v>
      </c>
      <c r="AU2738" t="s">
        <v>582</v>
      </c>
      <c r="AV2738" t="s">
        <v>583</v>
      </c>
      <c r="AW2738" t="s">
        <v>60</v>
      </c>
      <c r="AX2738" t="s">
        <v>68</v>
      </c>
      <c r="AY2738" t="s">
        <v>69</v>
      </c>
      <c r="AZ2738" t="b">
        <v>1</v>
      </c>
    </row>
    <row r="2739" spans="1:52" x14ac:dyDescent="0.3">
      <c r="A2739" t="s">
        <v>52</v>
      </c>
      <c r="B2739" t="s">
        <v>53</v>
      </c>
      <c r="C2739" t="s">
        <v>54</v>
      </c>
      <c r="D2739" t="s">
        <v>55</v>
      </c>
      <c r="E2739" t="s">
        <v>2162</v>
      </c>
      <c r="F2739" t="s">
        <v>190</v>
      </c>
      <c r="G2739" t="s">
        <v>584</v>
      </c>
      <c r="H2739" t="s">
        <v>585</v>
      </c>
      <c r="I2739" t="s">
        <v>585</v>
      </c>
      <c r="J2739" t="s">
        <v>60</v>
      </c>
      <c r="K2739" t="s">
        <v>207</v>
      </c>
      <c r="L2739" t="s">
        <v>62</v>
      </c>
      <c r="M2739" t="s">
        <v>207</v>
      </c>
      <c r="N2739" t="s">
        <v>586</v>
      </c>
      <c r="O2739" t="s">
        <v>587</v>
      </c>
      <c r="P2739">
        <v>-20.122596999999999</v>
      </c>
      <c r="Q2739">
        <v>-44.889994999999999</v>
      </c>
      <c r="R2739" s="2" t="str">
        <f>HYPERLINK("https://www.google.com/maps?q=-20.1225970,-44.8899950","Abrir no Google Maps")</f>
        <v>Abrir no Google Maps</v>
      </c>
      <c r="S2739">
        <v>3</v>
      </c>
      <c r="T2739">
        <v>548.23336486960989</v>
      </c>
      <c r="U2739">
        <v>4</v>
      </c>
      <c r="V2739">
        <v>0.42580828311445429</v>
      </c>
      <c r="W2739">
        <v>1</v>
      </c>
      <c r="X2739">
        <v>0.42580828311445429</v>
      </c>
      <c r="Y2739">
        <v>536</v>
      </c>
      <c r="Z2739">
        <v>547.28307523929982</v>
      </c>
      <c r="AA2739">
        <v>198</v>
      </c>
      <c r="AB2739">
        <v>332</v>
      </c>
      <c r="AC2739">
        <v>536</v>
      </c>
      <c r="AD2739">
        <v>26.86</v>
      </c>
      <c r="AE2739">
        <v>542</v>
      </c>
      <c r="AF2739">
        <v>15</v>
      </c>
      <c r="AG2739">
        <v>178</v>
      </c>
      <c r="AH2739">
        <v>129</v>
      </c>
      <c r="AI2739">
        <v>2.77</v>
      </c>
      <c r="AJ2739">
        <v>32.840000000000003</v>
      </c>
      <c r="AK2739">
        <v>23.8</v>
      </c>
      <c r="AL2739">
        <v>-20.122693899999941</v>
      </c>
      <c r="AM2739">
        <v>-44.890039706276887</v>
      </c>
      <c r="AN2739">
        <v>-20.122693899999941</v>
      </c>
      <c r="AO2739">
        <v>-44.890039706276887</v>
      </c>
      <c r="AP2739">
        <v>-20.122596999999999</v>
      </c>
      <c r="AQ2739">
        <v>-44.889994999999999</v>
      </c>
      <c r="AR2739">
        <v>11.75557400261394</v>
      </c>
      <c r="AS2739" t="s">
        <v>65</v>
      </c>
      <c r="AT2739">
        <v>1</v>
      </c>
      <c r="AU2739" t="s">
        <v>588</v>
      </c>
      <c r="AV2739" t="s">
        <v>589</v>
      </c>
      <c r="AW2739" t="s">
        <v>60</v>
      </c>
      <c r="AX2739" t="s">
        <v>68</v>
      </c>
      <c r="AY2739" t="s">
        <v>69</v>
      </c>
      <c r="AZ2739" t="b">
        <v>1</v>
      </c>
    </row>
    <row r="2740" spans="1:52" x14ac:dyDescent="0.3">
      <c r="A2740" t="s">
        <v>52</v>
      </c>
      <c r="B2740" t="s">
        <v>53</v>
      </c>
      <c r="C2740" t="s">
        <v>54</v>
      </c>
      <c r="D2740" t="s">
        <v>55</v>
      </c>
      <c r="E2740" t="s">
        <v>2162</v>
      </c>
      <c r="F2740" t="s">
        <v>190</v>
      </c>
      <c r="G2740" t="s">
        <v>590</v>
      </c>
      <c r="H2740" t="s">
        <v>591</v>
      </c>
      <c r="I2740" t="s">
        <v>591</v>
      </c>
      <c r="J2740" t="s">
        <v>60</v>
      </c>
      <c r="K2740" t="s">
        <v>207</v>
      </c>
      <c r="L2740" t="s">
        <v>62</v>
      </c>
      <c r="M2740" t="s">
        <v>207</v>
      </c>
      <c r="N2740" t="s">
        <v>592</v>
      </c>
      <c r="O2740" t="s">
        <v>565</v>
      </c>
      <c r="P2740">
        <v>-20.118652000000001</v>
      </c>
      <c r="Q2740">
        <v>-44.890574999999998</v>
      </c>
      <c r="R2740" s="2" t="str">
        <f>HYPERLINK("https://www.google.com/maps?q=-20.1186520,-44.8905750","Abrir no Google Maps")</f>
        <v>Abrir no Google Maps</v>
      </c>
      <c r="S2740">
        <v>3</v>
      </c>
      <c r="T2740">
        <v>305.97870753615422</v>
      </c>
      <c r="U2740">
        <v>4</v>
      </c>
      <c r="V2740">
        <v>0.42017041678528061</v>
      </c>
      <c r="W2740">
        <v>1</v>
      </c>
      <c r="X2740">
        <v>0.42017041678528061</v>
      </c>
      <c r="Y2740">
        <v>536</v>
      </c>
      <c r="Z2740">
        <v>368.07356795447242</v>
      </c>
      <c r="AA2740">
        <v>198</v>
      </c>
      <c r="AB2740">
        <v>332</v>
      </c>
      <c r="AC2740">
        <v>536</v>
      </c>
      <c r="AD2740">
        <v>26.86</v>
      </c>
      <c r="AE2740">
        <v>542</v>
      </c>
      <c r="AF2740">
        <v>15</v>
      </c>
      <c r="AG2740">
        <v>178</v>
      </c>
      <c r="AH2740">
        <v>129</v>
      </c>
      <c r="AI2740">
        <v>2.77</v>
      </c>
      <c r="AJ2740">
        <v>32.840000000000003</v>
      </c>
      <c r="AK2740">
        <v>23.8</v>
      </c>
      <c r="AL2740">
        <v>-20.118589699999941</v>
      </c>
      <c r="AM2740">
        <v>-44.890419442196389</v>
      </c>
      <c r="AN2740">
        <v>-20.118589699999941</v>
      </c>
      <c r="AO2740">
        <v>-44.890419442196389</v>
      </c>
      <c r="AP2740">
        <v>-20.118652000000001</v>
      </c>
      <c r="AQ2740">
        <v>-44.890574999999998</v>
      </c>
      <c r="AR2740">
        <v>17.67731866347437</v>
      </c>
      <c r="AS2740" t="s">
        <v>65</v>
      </c>
      <c r="AT2740">
        <v>1</v>
      </c>
      <c r="AU2740" t="s">
        <v>593</v>
      </c>
      <c r="AV2740" t="s">
        <v>594</v>
      </c>
      <c r="AW2740" t="s">
        <v>60</v>
      </c>
      <c r="AX2740" t="s">
        <v>68</v>
      </c>
      <c r="AY2740" t="s">
        <v>69</v>
      </c>
      <c r="AZ2740" t="b">
        <v>1</v>
      </c>
    </row>
    <row r="2741" spans="1:52" x14ac:dyDescent="0.3">
      <c r="A2741" t="s">
        <v>52</v>
      </c>
      <c r="B2741" t="s">
        <v>53</v>
      </c>
      <c r="C2741" t="s">
        <v>54</v>
      </c>
      <c r="D2741" t="s">
        <v>55</v>
      </c>
      <c r="E2741" t="s">
        <v>2162</v>
      </c>
      <c r="F2741" t="s">
        <v>190</v>
      </c>
      <c r="G2741" t="s">
        <v>595</v>
      </c>
      <c r="H2741" t="s">
        <v>596</v>
      </c>
      <c r="I2741" t="s">
        <v>596</v>
      </c>
      <c r="J2741" t="s">
        <v>60</v>
      </c>
      <c r="K2741" t="s">
        <v>207</v>
      </c>
      <c r="L2741" t="s">
        <v>62</v>
      </c>
      <c r="M2741" t="s">
        <v>207</v>
      </c>
      <c r="N2741" t="s">
        <v>597</v>
      </c>
      <c r="O2741" t="s">
        <v>598</v>
      </c>
      <c r="P2741">
        <v>-20.118335999999999</v>
      </c>
      <c r="Q2741">
        <v>-44.887441000000003</v>
      </c>
      <c r="R2741" s="2" t="str">
        <f>HYPERLINK("https://www.google.com/maps?q=-20.1183360,-44.8874410","Abrir no Google Maps")</f>
        <v>Abrir no Google Maps</v>
      </c>
      <c r="S2741">
        <v>3</v>
      </c>
      <c r="T2741">
        <v>0</v>
      </c>
      <c r="U2741">
        <v>4</v>
      </c>
      <c r="V2741">
        <v>0.4281122529070846</v>
      </c>
      <c r="W2741">
        <v>1</v>
      </c>
      <c r="X2741">
        <v>0.4281122529070846</v>
      </c>
      <c r="Y2741">
        <v>536</v>
      </c>
      <c r="Z2741">
        <v>70.729031566967279</v>
      </c>
      <c r="AA2741">
        <v>198</v>
      </c>
      <c r="AB2741">
        <v>332</v>
      </c>
      <c r="AC2741">
        <v>536</v>
      </c>
      <c r="AD2741">
        <v>26.86</v>
      </c>
      <c r="AE2741">
        <v>542</v>
      </c>
      <c r="AF2741">
        <v>15</v>
      </c>
      <c r="AG2741">
        <v>178</v>
      </c>
      <c r="AH2741">
        <v>129</v>
      </c>
      <c r="AI2741">
        <v>2.77</v>
      </c>
      <c r="AJ2741">
        <v>32.840000000000003</v>
      </c>
      <c r="AK2741">
        <v>23.8</v>
      </c>
      <c r="AL2741">
        <v>-20.118357999999969</v>
      </c>
      <c r="AM2741">
        <v>-44.88750246616479</v>
      </c>
      <c r="AN2741">
        <v>-20.118357999999969</v>
      </c>
      <c r="AO2741">
        <v>-44.88750246616479</v>
      </c>
      <c r="AP2741">
        <v>-20.118335999999999</v>
      </c>
      <c r="AQ2741">
        <v>-44.887441000000003</v>
      </c>
      <c r="AR2741">
        <v>6.875853437004074</v>
      </c>
      <c r="AS2741" t="s">
        <v>65</v>
      </c>
      <c r="AT2741">
        <v>1</v>
      </c>
      <c r="AU2741" t="s">
        <v>599</v>
      </c>
      <c r="AV2741" t="s">
        <v>600</v>
      </c>
      <c r="AW2741" t="s">
        <v>60</v>
      </c>
      <c r="AX2741" t="s">
        <v>68</v>
      </c>
      <c r="AY2741" t="s">
        <v>69</v>
      </c>
      <c r="AZ2741" t="b">
        <v>1</v>
      </c>
    </row>
    <row r="2742" spans="1:52" x14ac:dyDescent="0.3">
      <c r="A2742" t="s">
        <v>52</v>
      </c>
      <c r="B2742" t="s">
        <v>53</v>
      </c>
      <c r="C2742" t="s">
        <v>54</v>
      </c>
      <c r="D2742" t="s">
        <v>55</v>
      </c>
      <c r="E2742" t="s">
        <v>2162</v>
      </c>
      <c r="F2742" t="s">
        <v>190</v>
      </c>
      <c r="G2742" t="s">
        <v>601</v>
      </c>
      <c r="H2742" t="s">
        <v>602</v>
      </c>
      <c r="I2742" t="s">
        <v>602</v>
      </c>
      <c r="J2742" t="s">
        <v>60</v>
      </c>
      <c r="K2742" t="s">
        <v>117</v>
      </c>
      <c r="L2742" t="s">
        <v>62</v>
      </c>
      <c r="M2742" t="s">
        <v>117</v>
      </c>
      <c r="N2742" t="s">
        <v>603</v>
      </c>
      <c r="O2742" t="s">
        <v>604</v>
      </c>
      <c r="P2742">
        <v>-20.122198999999998</v>
      </c>
      <c r="Q2742">
        <v>-44.893118999999999</v>
      </c>
      <c r="R2742" s="2" t="str">
        <f>HYPERLINK("https://www.google.com/maps?q=-20.1221990,-44.8931190","Abrir no Google Maps")</f>
        <v>Abrir no Google Maps</v>
      </c>
      <c r="S2742">
        <v>3</v>
      </c>
      <c r="T2742">
        <v>737.41475740297403</v>
      </c>
      <c r="U2742">
        <v>4</v>
      </c>
      <c r="V2742">
        <v>0.43172522468465802</v>
      </c>
      <c r="W2742">
        <v>1</v>
      </c>
      <c r="X2742">
        <v>0.43172522468465802</v>
      </c>
      <c r="Y2742">
        <v>536</v>
      </c>
      <c r="Z2742">
        <v>753.81321098979549</v>
      </c>
      <c r="AA2742">
        <v>198</v>
      </c>
      <c r="AB2742">
        <v>332</v>
      </c>
      <c r="AC2742">
        <v>536</v>
      </c>
      <c r="AD2742">
        <v>26.86</v>
      </c>
      <c r="AE2742">
        <v>542</v>
      </c>
      <c r="AF2742">
        <v>15</v>
      </c>
      <c r="AG2742">
        <v>178</v>
      </c>
      <c r="AH2742">
        <v>129</v>
      </c>
      <c r="AI2742">
        <v>2.77</v>
      </c>
      <c r="AJ2742">
        <v>32.840000000000003</v>
      </c>
      <c r="AK2742">
        <v>23.8</v>
      </c>
      <c r="AL2742">
        <v>-20.122192249999959</v>
      </c>
      <c r="AM2742">
        <v>-44.893272469204263</v>
      </c>
      <c r="AN2742">
        <v>-20.122192249999959</v>
      </c>
      <c r="AO2742">
        <v>-44.893272469204263</v>
      </c>
      <c r="AP2742">
        <v>-20.122198999999998</v>
      </c>
      <c r="AQ2742">
        <v>-44.893118999999999</v>
      </c>
      <c r="AR2742">
        <v>16.058980187178161</v>
      </c>
      <c r="AS2742" t="s">
        <v>65</v>
      </c>
      <c r="AT2742">
        <v>1</v>
      </c>
      <c r="AU2742" t="s">
        <v>605</v>
      </c>
      <c r="AV2742" t="s">
        <v>606</v>
      </c>
      <c r="AW2742" t="s">
        <v>60</v>
      </c>
      <c r="AX2742" t="s">
        <v>68</v>
      </c>
      <c r="AY2742" t="s">
        <v>69</v>
      </c>
      <c r="AZ2742" t="b">
        <v>1</v>
      </c>
    </row>
    <row r="2743" spans="1:52" x14ac:dyDescent="0.3">
      <c r="A2743" t="s">
        <v>52</v>
      </c>
      <c r="B2743" t="s">
        <v>53</v>
      </c>
      <c r="C2743" t="s">
        <v>54</v>
      </c>
      <c r="D2743" t="s">
        <v>55</v>
      </c>
      <c r="E2743" t="s">
        <v>2162</v>
      </c>
      <c r="F2743" t="s">
        <v>190</v>
      </c>
      <c r="G2743" t="s">
        <v>607</v>
      </c>
      <c r="H2743" t="s">
        <v>608</v>
      </c>
      <c r="I2743" t="s">
        <v>608</v>
      </c>
      <c r="J2743" t="s">
        <v>60</v>
      </c>
      <c r="K2743" t="s">
        <v>609</v>
      </c>
      <c r="L2743" t="s">
        <v>62</v>
      </c>
      <c r="M2743" t="s">
        <v>609</v>
      </c>
      <c r="N2743" t="s">
        <v>610</v>
      </c>
      <c r="O2743" t="s">
        <v>611</v>
      </c>
      <c r="P2743">
        <v>-20.110476999999999</v>
      </c>
      <c r="Q2743">
        <v>-44.887531000000003</v>
      </c>
      <c r="R2743" s="2" t="str">
        <f>HYPERLINK("https://www.google.com/maps?q=-20.1104770,-44.8875310","Abrir no Google Maps")</f>
        <v>Abrir no Google Maps</v>
      </c>
      <c r="S2743">
        <v>3</v>
      </c>
      <c r="T2743">
        <v>862.67854008986569</v>
      </c>
      <c r="U2743">
        <v>4</v>
      </c>
      <c r="V2743">
        <v>0.41756740266924458</v>
      </c>
      <c r="W2743">
        <v>1</v>
      </c>
      <c r="X2743">
        <v>0.41756740266924458</v>
      </c>
      <c r="Y2743">
        <v>536</v>
      </c>
      <c r="Z2743">
        <v>797.51469292431113</v>
      </c>
      <c r="AA2743">
        <v>198</v>
      </c>
      <c r="AB2743">
        <v>332</v>
      </c>
      <c r="AC2743">
        <v>536</v>
      </c>
      <c r="AD2743">
        <v>26.86</v>
      </c>
      <c r="AE2743">
        <v>542</v>
      </c>
      <c r="AF2743">
        <v>15</v>
      </c>
      <c r="AG2743">
        <v>178</v>
      </c>
      <c r="AH2743">
        <v>129</v>
      </c>
      <c r="AI2743">
        <v>2.77</v>
      </c>
      <c r="AJ2743">
        <v>32.840000000000003</v>
      </c>
      <c r="AK2743">
        <v>23.8</v>
      </c>
      <c r="AL2743">
        <v>-20.11057859999994</v>
      </c>
      <c r="AM2743">
        <v>-44.888034950185293</v>
      </c>
      <c r="AN2743">
        <v>-20.11057859999994</v>
      </c>
      <c r="AO2743">
        <v>-44.888034950185293</v>
      </c>
      <c r="AP2743">
        <v>-20.110476999999999</v>
      </c>
      <c r="AQ2743">
        <v>-44.887531000000003</v>
      </c>
      <c r="AR2743">
        <v>53.879824494602957</v>
      </c>
      <c r="AS2743" t="s">
        <v>65</v>
      </c>
      <c r="AT2743">
        <v>1</v>
      </c>
      <c r="AU2743" t="s">
        <v>612</v>
      </c>
      <c r="AV2743" t="s">
        <v>613</v>
      </c>
      <c r="AW2743" t="s">
        <v>60</v>
      </c>
      <c r="AX2743" t="s">
        <v>68</v>
      </c>
      <c r="AY2743" t="s">
        <v>69</v>
      </c>
      <c r="AZ2743" t="b">
        <v>1</v>
      </c>
    </row>
    <row r="2744" spans="1:52" x14ac:dyDescent="0.3">
      <c r="A2744" t="s">
        <v>52</v>
      </c>
      <c r="B2744" t="s">
        <v>53</v>
      </c>
      <c r="C2744" t="s">
        <v>54</v>
      </c>
      <c r="D2744" t="s">
        <v>55</v>
      </c>
      <c r="E2744" t="s">
        <v>2162</v>
      </c>
      <c r="F2744" t="s">
        <v>190</v>
      </c>
      <c r="G2744" t="s">
        <v>614</v>
      </c>
      <c r="H2744" t="s">
        <v>615</v>
      </c>
      <c r="I2744" t="s">
        <v>615</v>
      </c>
      <c r="J2744" t="s">
        <v>60</v>
      </c>
      <c r="K2744" t="s">
        <v>207</v>
      </c>
      <c r="L2744" t="s">
        <v>62</v>
      </c>
      <c r="M2744" t="s">
        <v>207</v>
      </c>
      <c r="N2744" t="s">
        <v>616</v>
      </c>
      <c r="O2744" t="s">
        <v>617</v>
      </c>
      <c r="P2744">
        <v>-20.123118999999999</v>
      </c>
      <c r="Q2744">
        <v>-44.886259000000003</v>
      </c>
      <c r="R2744" s="2" t="str">
        <f>HYPERLINK("https://www.google.com/maps?q=-20.1231190,-44.8862590","Abrir no Google Maps")</f>
        <v>Abrir no Google Maps</v>
      </c>
      <c r="S2744">
        <v>3</v>
      </c>
      <c r="T2744">
        <v>534.91642326845545</v>
      </c>
      <c r="U2744">
        <v>4</v>
      </c>
      <c r="V2744">
        <v>0.46695189101047702</v>
      </c>
      <c r="W2744">
        <v>1</v>
      </c>
      <c r="X2744">
        <v>0.46695189101047702</v>
      </c>
      <c r="Y2744">
        <v>536</v>
      </c>
      <c r="Z2744">
        <v>478.9192959851456</v>
      </c>
      <c r="AA2744">
        <v>198</v>
      </c>
      <c r="AB2744">
        <v>332</v>
      </c>
      <c r="AC2744">
        <v>536</v>
      </c>
      <c r="AD2744">
        <v>26.86</v>
      </c>
      <c r="AE2744">
        <v>542</v>
      </c>
      <c r="AF2744">
        <v>15</v>
      </c>
      <c r="AG2744">
        <v>178</v>
      </c>
      <c r="AH2744">
        <v>129</v>
      </c>
      <c r="AI2744">
        <v>2.77</v>
      </c>
      <c r="AJ2744">
        <v>32.840000000000003</v>
      </c>
      <c r="AK2744">
        <v>23.8</v>
      </c>
      <c r="AL2744">
        <v>-20.12305974999995</v>
      </c>
      <c r="AM2744">
        <v>-44.886314469108633</v>
      </c>
      <c r="AN2744">
        <v>-20.12305974999995</v>
      </c>
      <c r="AO2744">
        <v>-44.886314469108633</v>
      </c>
      <c r="AP2744">
        <v>-20.123118999999999</v>
      </c>
      <c r="AQ2744">
        <v>-44.886259000000003</v>
      </c>
      <c r="AR2744">
        <v>8.7817342078334093</v>
      </c>
      <c r="AS2744" t="s">
        <v>65</v>
      </c>
      <c r="AT2744">
        <v>1</v>
      </c>
      <c r="AU2744" t="s">
        <v>618</v>
      </c>
      <c r="AV2744" t="s">
        <v>619</v>
      </c>
      <c r="AW2744" t="s">
        <v>60</v>
      </c>
      <c r="AX2744" t="s">
        <v>68</v>
      </c>
      <c r="AY2744" t="s">
        <v>69</v>
      </c>
      <c r="AZ2744" t="b">
        <v>1</v>
      </c>
    </row>
    <row r="2745" spans="1:52" x14ac:dyDescent="0.3">
      <c r="A2745" t="s">
        <v>52</v>
      </c>
      <c r="B2745" t="s">
        <v>53</v>
      </c>
      <c r="C2745" t="s">
        <v>54</v>
      </c>
      <c r="D2745" t="s">
        <v>55</v>
      </c>
      <c r="E2745" t="s">
        <v>2162</v>
      </c>
      <c r="F2745" t="s">
        <v>190</v>
      </c>
      <c r="G2745" t="s">
        <v>620</v>
      </c>
      <c r="H2745" t="s">
        <v>621</v>
      </c>
      <c r="I2745" t="s">
        <v>621</v>
      </c>
      <c r="J2745" t="s">
        <v>60</v>
      </c>
      <c r="K2745" t="s">
        <v>207</v>
      </c>
      <c r="L2745" t="s">
        <v>62</v>
      </c>
      <c r="M2745" t="s">
        <v>207</v>
      </c>
      <c r="N2745" t="s">
        <v>622</v>
      </c>
      <c r="O2745" t="s">
        <v>623</v>
      </c>
      <c r="P2745">
        <v>-20.120775999999999</v>
      </c>
      <c r="Q2745">
        <v>-44.885562999999998</v>
      </c>
      <c r="R2745" s="2" t="str">
        <f>HYPERLINK("https://www.google.com/maps?q=-20.1207760,-44.8855630","Abrir no Google Maps")</f>
        <v>Abrir no Google Maps</v>
      </c>
      <c r="S2745">
        <v>3</v>
      </c>
      <c r="T2745">
        <v>332.24231777761912</v>
      </c>
      <c r="U2745">
        <v>4</v>
      </c>
      <c r="V2745">
        <v>0.449957569996013</v>
      </c>
      <c r="W2745">
        <v>1</v>
      </c>
      <c r="X2745">
        <v>0.449957569996013</v>
      </c>
      <c r="Y2745">
        <v>536</v>
      </c>
      <c r="Z2745">
        <v>255.48165096313261</v>
      </c>
      <c r="AA2745">
        <v>198</v>
      </c>
      <c r="AB2745">
        <v>332</v>
      </c>
      <c r="AC2745">
        <v>536</v>
      </c>
      <c r="AD2745">
        <v>26.86</v>
      </c>
      <c r="AE2745">
        <v>542</v>
      </c>
      <c r="AF2745">
        <v>15</v>
      </c>
      <c r="AG2745">
        <v>178</v>
      </c>
      <c r="AH2745">
        <v>129</v>
      </c>
      <c r="AI2745">
        <v>2.77</v>
      </c>
      <c r="AJ2745">
        <v>32.840000000000003</v>
      </c>
      <c r="AK2745">
        <v>23.8</v>
      </c>
      <c r="AL2745">
        <v>-20.120783799999941</v>
      </c>
      <c r="AM2745">
        <v>-44.885629603396453</v>
      </c>
      <c r="AN2745">
        <v>-20.120783799999941</v>
      </c>
      <c r="AO2745">
        <v>-44.885629603396453</v>
      </c>
      <c r="AP2745">
        <v>-20.120775999999999</v>
      </c>
      <c r="AQ2745">
        <v>-44.885562999999998</v>
      </c>
      <c r="AR2745">
        <v>7.0157317818911196</v>
      </c>
      <c r="AS2745" t="s">
        <v>65</v>
      </c>
      <c r="AT2745">
        <v>1</v>
      </c>
      <c r="AU2745" t="s">
        <v>624</v>
      </c>
      <c r="AV2745" t="s">
        <v>619</v>
      </c>
      <c r="AW2745" t="s">
        <v>60</v>
      </c>
      <c r="AX2745" t="s">
        <v>68</v>
      </c>
      <c r="AY2745" t="s">
        <v>69</v>
      </c>
      <c r="AZ2745" t="b">
        <v>1</v>
      </c>
    </row>
    <row r="2746" spans="1:52" x14ac:dyDescent="0.3">
      <c r="A2746" t="s">
        <v>52</v>
      </c>
      <c r="B2746" t="s">
        <v>53</v>
      </c>
      <c r="C2746" t="s">
        <v>54</v>
      </c>
      <c r="D2746" t="s">
        <v>55</v>
      </c>
      <c r="E2746" t="s">
        <v>2162</v>
      </c>
      <c r="F2746" t="s">
        <v>190</v>
      </c>
      <c r="G2746" t="s">
        <v>637</v>
      </c>
      <c r="H2746" t="s">
        <v>915</v>
      </c>
      <c r="I2746" t="s">
        <v>915</v>
      </c>
      <c r="J2746" t="s">
        <v>60</v>
      </c>
      <c r="K2746" t="s">
        <v>530</v>
      </c>
      <c r="L2746" t="s">
        <v>62</v>
      </c>
      <c r="M2746" t="s">
        <v>530</v>
      </c>
      <c r="N2746" t="s">
        <v>639</v>
      </c>
      <c r="O2746" t="s">
        <v>916</v>
      </c>
      <c r="P2746">
        <v>-20.144821</v>
      </c>
      <c r="Q2746">
        <v>-44.88937</v>
      </c>
      <c r="R2746" s="2" t="str">
        <f>HYPERLINK("https://www.google.com/maps?q=-20.1448210,-44.8893700","Abrir no Google Maps")</f>
        <v>Abrir no Google Maps</v>
      </c>
      <c r="S2746">
        <v>3</v>
      </c>
      <c r="T2746">
        <v>256.58219197259177</v>
      </c>
      <c r="U2746">
        <v>4</v>
      </c>
      <c r="V2746">
        <v>0.50252175208457672</v>
      </c>
      <c r="W2746">
        <v>0.85</v>
      </c>
      <c r="X2746">
        <v>0.42714348927189022</v>
      </c>
      <c r="Y2746">
        <v>527</v>
      </c>
      <c r="Z2746">
        <v>177.1895281295705</v>
      </c>
      <c r="AA2746">
        <v>198</v>
      </c>
      <c r="AB2746">
        <v>332</v>
      </c>
      <c r="AC2746">
        <v>536</v>
      </c>
      <c r="AD2746">
        <v>26.86</v>
      </c>
      <c r="AE2746">
        <v>542</v>
      </c>
      <c r="AF2746">
        <v>15</v>
      </c>
      <c r="AG2746">
        <v>178</v>
      </c>
      <c r="AH2746">
        <v>129</v>
      </c>
      <c r="AI2746">
        <v>2.77</v>
      </c>
      <c r="AJ2746">
        <v>32.840000000000003</v>
      </c>
      <c r="AK2746">
        <v>23.8</v>
      </c>
      <c r="AL2746">
        <v>-20.144812799999951</v>
      </c>
      <c r="AM2746">
        <v>-44.8892780390361</v>
      </c>
      <c r="AN2746">
        <v>-20.144812799999951</v>
      </c>
      <c r="AO2746">
        <v>-44.8892780390361</v>
      </c>
      <c r="AP2746">
        <v>-20.144821</v>
      </c>
      <c r="AQ2746">
        <v>-44.88937</v>
      </c>
      <c r="AR2746">
        <v>9.6540941010892158</v>
      </c>
      <c r="AS2746" t="s">
        <v>65</v>
      </c>
      <c r="AT2746">
        <v>1</v>
      </c>
      <c r="AU2746" t="s">
        <v>917</v>
      </c>
      <c r="AV2746" t="s">
        <v>918</v>
      </c>
      <c r="AW2746" t="s">
        <v>60</v>
      </c>
      <c r="AX2746" t="s">
        <v>68</v>
      </c>
      <c r="AY2746" t="s">
        <v>69</v>
      </c>
      <c r="AZ2746" t="b">
        <v>1</v>
      </c>
    </row>
    <row r="2747" spans="1:52" x14ac:dyDescent="0.3">
      <c r="A2747" t="s">
        <v>52</v>
      </c>
      <c r="B2747" t="s">
        <v>53</v>
      </c>
      <c r="C2747" t="s">
        <v>54</v>
      </c>
      <c r="D2747" t="s">
        <v>55</v>
      </c>
      <c r="E2747" t="s">
        <v>2162</v>
      </c>
      <c r="F2747" t="s">
        <v>190</v>
      </c>
      <c r="G2747" t="s">
        <v>919</v>
      </c>
      <c r="H2747" t="s">
        <v>920</v>
      </c>
      <c r="I2747" t="s">
        <v>920</v>
      </c>
      <c r="J2747" t="s">
        <v>60</v>
      </c>
      <c r="K2747" t="s">
        <v>530</v>
      </c>
      <c r="L2747" t="s">
        <v>62</v>
      </c>
      <c r="M2747" t="s">
        <v>530</v>
      </c>
      <c r="N2747" t="s">
        <v>921</v>
      </c>
      <c r="O2747" t="s">
        <v>922</v>
      </c>
      <c r="P2747">
        <v>-20.144537</v>
      </c>
      <c r="Q2747">
        <v>-44.891530000000003</v>
      </c>
      <c r="R2747" s="2" t="str">
        <f>HYPERLINK("https://www.google.com/maps?q=-20.1445370,-44.8915300","Abrir no Google Maps")</f>
        <v>Abrir no Google Maps</v>
      </c>
      <c r="S2747">
        <v>3</v>
      </c>
      <c r="T2747">
        <v>0</v>
      </c>
      <c r="U2747">
        <v>4</v>
      </c>
      <c r="V2747">
        <v>0.5038486934452554</v>
      </c>
      <c r="W2747">
        <v>0.85</v>
      </c>
      <c r="X2747">
        <v>0.4282713894284671</v>
      </c>
      <c r="Y2747">
        <v>527</v>
      </c>
      <c r="Z2747">
        <v>80.350679251421383</v>
      </c>
      <c r="AA2747">
        <v>198</v>
      </c>
      <c r="AB2747">
        <v>332</v>
      </c>
      <c r="AC2747">
        <v>536</v>
      </c>
      <c r="AD2747">
        <v>26.86</v>
      </c>
      <c r="AE2747">
        <v>542</v>
      </c>
      <c r="AF2747">
        <v>15</v>
      </c>
      <c r="AG2747">
        <v>178</v>
      </c>
      <c r="AH2747">
        <v>129</v>
      </c>
      <c r="AI2747">
        <v>2.77</v>
      </c>
      <c r="AJ2747">
        <v>32.840000000000003</v>
      </c>
      <c r="AK2747">
        <v>23.8</v>
      </c>
      <c r="AL2747">
        <v>-20.144700699999959</v>
      </c>
      <c r="AM2747">
        <v>-44.891730278075883</v>
      </c>
      <c r="AN2747">
        <v>-20.144700699999959</v>
      </c>
      <c r="AO2747">
        <v>-44.891730278075883</v>
      </c>
      <c r="AP2747">
        <v>-20.144537</v>
      </c>
      <c r="AQ2747">
        <v>-44.891530000000003</v>
      </c>
      <c r="AR2747">
        <v>27.752313800143739</v>
      </c>
      <c r="AS2747" t="s">
        <v>65</v>
      </c>
      <c r="AT2747">
        <v>1</v>
      </c>
      <c r="AU2747" t="s">
        <v>923</v>
      </c>
      <c r="AV2747" t="s">
        <v>924</v>
      </c>
      <c r="AW2747" t="s">
        <v>60</v>
      </c>
      <c r="AX2747" t="s">
        <v>68</v>
      </c>
      <c r="AY2747" t="s">
        <v>69</v>
      </c>
      <c r="AZ2747" t="b">
        <v>1</v>
      </c>
    </row>
    <row r="2748" spans="1:52" x14ac:dyDescent="0.3">
      <c r="A2748" t="s">
        <v>52</v>
      </c>
      <c r="B2748" t="s">
        <v>53</v>
      </c>
      <c r="C2748" t="s">
        <v>54</v>
      </c>
      <c r="D2748" t="s">
        <v>55</v>
      </c>
      <c r="E2748" t="s">
        <v>2162</v>
      </c>
      <c r="F2748" t="s">
        <v>190</v>
      </c>
      <c r="G2748" t="s">
        <v>631</v>
      </c>
      <c r="H2748" t="s">
        <v>632</v>
      </c>
      <c r="I2748" t="s">
        <v>632</v>
      </c>
      <c r="J2748" t="s">
        <v>60</v>
      </c>
      <c r="K2748" t="s">
        <v>530</v>
      </c>
      <c r="L2748" t="s">
        <v>62</v>
      </c>
      <c r="M2748" t="s">
        <v>530</v>
      </c>
      <c r="N2748" t="s">
        <v>633</v>
      </c>
      <c r="O2748" t="s">
        <v>634</v>
      </c>
      <c r="P2748">
        <v>-20.142136000000001</v>
      </c>
      <c r="Q2748">
        <v>-44.893895999999998</v>
      </c>
      <c r="R2748" s="2" t="str">
        <f>HYPERLINK("https://www.google.com/maps?q=-20.1421360,-44.8938960","Abrir no Google Maps")</f>
        <v>Abrir no Google Maps</v>
      </c>
      <c r="S2748">
        <v>3</v>
      </c>
      <c r="T2748">
        <v>252.77776243958951</v>
      </c>
      <c r="U2748">
        <v>4</v>
      </c>
      <c r="V2748">
        <v>0.51496511045636872</v>
      </c>
      <c r="W2748">
        <v>1</v>
      </c>
      <c r="X2748">
        <v>0.51496511045636872</v>
      </c>
      <c r="Y2748">
        <v>505</v>
      </c>
      <c r="Z2748">
        <v>331.79497003706751</v>
      </c>
      <c r="AA2748">
        <v>198</v>
      </c>
      <c r="AB2748">
        <v>332</v>
      </c>
      <c r="AC2748">
        <v>536</v>
      </c>
      <c r="AD2748">
        <v>26.86</v>
      </c>
      <c r="AE2748">
        <v>542</v>
      </c>
      <c r="AF2748">
        <v>15</v>
      </c>
      <c r="AG2748">
        <v>178</v>
      </c>
      <c r="AH2748">
        <v>129</v>
      </c>
      <c r="AI2748">
        <v>2.77</v>
      </c>
      <c r="AJ2748">
        <v>32.840000000000003</v>
      </c>
      <c r="AK2748">
        <v>23.8</v>
      </c>
      <c r="AL2748">
        <v>-20.142209999999949</v>
      </c>
      <c r="AM2748">
        <v>-44.893919659400702</v>
      </c>
      <c r="AN2748">
        <v>-20.142209999999949</v>
      </c>
      <c r="AO2748">
        <v>-44.893919659400702</v>
      </c>
      <c r="AP2748">
        <v>-20.142136000000001</v>
      </c>
      <c r="AQ2748">
        <v>-44.893895999999998</v>
      </c>
      <c r="AR2748">
        <v>8.6007875127343159</v>
      </c>
      <c r="AS2748" t="s">
        <v>65</v>
      </c>
      <c r="AT2748">
        <v>1</v>
      </c>
      <c r="AU2748" t="s">
        <v>635</v>
      </c>
      <c r="AV2748" t="s">
        <v>636</v>
      </c>
      <c r="AW2748" t="s">
        <v>60</v>
      </c>
      <c r="AX2748" t="s">
        <v>68</v>
      </c>
      <c r="AY2748" t="s">
        <v>69</v>
      </c>
      <c r="AZ2748" t="b">
        <v>1</v>
      </c>
    </row>
    <row r="2749" spans="1:52" x14ac:dyDescent="0.3">
      <c r="A2749" t="s">
        <v>52</v>
      </c>
      <c r="B2749" t="s">
        <v>53</v>
      </c>
      <c r="C2749" t="s">
        <v>54</v>
      </c>
      <c r="D2749" t="s">
        <v>55</v>
      </c>
      <c r="E2749" t="s">
        <v>2162</v>
      </c>
      <c r="F2749" t="s">
        <v>190</v>
      </c>
      <c r="G2749" t="s">
        <v>637</v>
      </c>
      <c r="H2749" t="s">
        <v>638</v>
      </c>
      <c r="I2749" t="s">
        <v>638</v>
      </c>
      <c r="J2749" t="s">
        <v>60</v>
      </c>
      <c r="K2749" t="s">
        <v>530</v>
      </c>
      <c r="L2749" t="s">
        <v>62</v>
      </c>
      <c r="M2749" t="s">
        <v>530</v>
      </c>
      <c r="N2749" t="s">
        <v>639</v>
      </c>
      <c r="O2749" t="s">
        <v>640</v>
      </c>
      <c r="P2749">
        <v>-20.143090000000001</v>
      </c>
      <c r="Q2749">
        <v>-44.888948999999997</v>
      </c>
      <c r="R2749" s="2" t="str">
        <f>HYPERLINK("https://www.google.com/maps?q=-20.1430900,-44.8889490","Abrir no Google Maps")</f>
        <v>Abrir no Google Maps</v>
      </c>
      <c r="S2749">
        <v>3</v>
      </c>
      <c r="T2749">
        <v>264.88903234377068</v>
      </c>
      <c r="U2749">
        <v>4</v>
      </c>
      <c r="V2749">
        <v>0.48986604062778361</v>
      </c>
      <c r="W2749">
        <v>1</v>
      </c>
      <c r="X2749">
        <v>0.48986604062778361</v>
      </c>
      <c r="Y2749">
        <v>478</v>
      </c>
      <c r="Z2749">
        <v>216.60886577490871</v>
      </c>
      <c r="AA2749">
        <v>198</v>
      </c>
      <c r="AB2749">
        <v>332</v>
      </c>
      <c r="AC2749">
        <v>536</v>
      </c>
      <c r="AD2749">
        <v>26.86</v>
      </c>
      <c r="AE2749">
        <v>542</v>
      </c>
      <c r="AF2749">
        <v>15</v>
      </c>
      <c r="AG2749">
        <v>178</v>
      </c>
      <c r="AH2749">
        <v>129</v>
      </c>
      <c r="AI2749">
        <v>2.77</v>
      </c>
      <c r="AJ2749">
        <v>32.840000000000003</v>
      </c>
      <c r="AK2749">
        <v>23.8</v>
      </c>
      <c r="AL2749">
        <v>-20.14306029999997</v>
      </c>
      <c r="AM2749">
        <v>-44.889053908028878</v>
      </c>
      <c r="AN2749">
        <v>-20.14306029999997</v>
      </c>
      <c r="AO2749">
        <v>-44.889053908028878</v>
      </c>
      <c r="AP2749">
        <v>-20.143090000000001</v>
      </c>
      <c r="AQ2749">
        <v>-44.888948999999997</v>
      </c>
      <c r="AR2749">
        <v>11.451710102611671</v>
      </c>
      <c r="AS2749" t="s">
        <v>65</v>
      </c>
      <c r="AT2749">
        <v>1</v>
      </c>
      <c r="AU2749" t="s">
        <v>641</v>
      </c>
      <c r="AV2749" t="s">
        <v>642</v>
      </c>
      <c r="AW2749" t="s">
        <v>60</v>
      </c>
      <c r="AX2749" t="s">
        <v>68</v>
      </c>
      <c r="AY2749" t="s">
        <v>69</v>
      </c>
      <c r="AZ2749" t="b">
        <v>1</v>
      </c>
    </row>
    <row r="2750" spans="1:52" x14ac:dyDescent="0.3">
      <c r="A2750" t="s">
        <v>52</v>
      </c>
      <c r="B2750" t="s">
        <v>53</v>
      </c>
      <c r="C2750" t="s">
        <v>54</v>
      </c>
      <c r="D2750" t="s">
        <v>55</v>
      </c>
      <c r="E2750" t="s">
        <v>2162</v>
      </c>
      <c r="F2750" t="s">
        <v>190</v>
      </c>
      <c r="G2750" t="s">
        <v>992</v>
      </c>
      <c r="H2750" t="s">
        <v>993</v>
      </c>
      <c r="I2750" t="s">
        <v>993</v>
      </c>
      <c r="J2750" t="s">
        <v>60</v>
      </c>
      <c r="K2750" t="s">
        <v>530</v>
      </c>
      <c r="L2750" t="s">
        <v>62</v>
      </c>
      <c r="M2750" t="s">
        <v>530</v>
      </c>
      <c r="N2750" t="s">
        <v>994</v>
      </c>
      <c r="O2750" t="s">
        <v>995</v>
      </c>
      <c r="P2750">
        <v>-20.144141000000001</v>
      </c>
      <c r="Q2750">
        <v>-44.884635000000003</v>
      </c>
      <c r="R2750" s="2" t="str">
        <f>HYPERLINK("https://www.google.com/maps?q=-20.1441410,-44.8846350","Abrir no Google Maps")</f>
        <v>Abrir no Google Maps</v>
      </c>
      <c r="S2750">
        <v>3</v>
      </c>
      <c r="T2750">
        <v>0</v>
      </c>
      <c r="U2750">
        <v>4</v>
      </c>
      <c r="V2750">
        <v>0.49370255464743101</v>
      </c>
      <c r="W2750">
        <v>0.85</v>
      </c>
      <c r="X2750">
        <v>0.41964717145031633</v>
      </c>
      <c r="Y2750">
        <v>478</v>
      </c>
      <c r="Z2750">
        <v>252.29400768218821</v>
      </c>
      <c r="AA2750">
        <v>198</v>
      </c>
      <c r="AB2750">
        <v>332</v>
      </c>
      <c r="AC2750">
        <v>536</v>
      </c>
      <c r="AD2750">
        <v>26.86</v>
      </c>
      <c r="AE2750">
        <v>542</v>
      </c>
      <c r="AF2750">
        <v>15</v>
      </c>
      <c r="AG2750">
        <v>178</v>
      </c>
      <c r="AH2750">
        <v>129</v>
      </c>
      <c r="AI2750">
        <v>2.77</v>
      </c>
      <c r="AJ2750">
        <v>32.840000000000003</v>
      </c>
      <c r="AK2750">
        <v>23.8</v>
      </c>
      <c r="AL2750">
        <v>-20.144119999999951</v>
      </c>
      <c r="AM2750">
        <v>-44.884814928637752</v>
      </c>
      <c r="AN2750">
        <v>-20.144119999999951</v>
      </c>
      <c r="AO2750">
        <v>-44.884814928637752</v>
      </c>
      <c r="AP2750">
        <v>-20.144141000000001</v>
      </c>
      <c r="AQ2750">
        <v>-44.884635000000003</v>
      </c>
      <c r="AR2750">
        <v>18.949181367223549</v>
      </c>
      <c r="AS2750" t="s">
        <v>65</v>
      </c>
      <c r="AT2750">
        <v>1</v>
      </c>
      <c r="AU2750" t="s">
        <v>996</v>
      </c>
      <c r="AV2750" t="s">
        <v>997</v>
      </c>
      <c r="AW2750" t="s">
        <v>60</v>
      </c>
      <c r="AX2750" t="s">
        <v>68</v>
      </c>
      <c r="AY2750" t="s">
        <v>69</v>
      </c>
      <c r="AZ2750" t="b">
        <v>1</v>
      </c>
    </row>
    <row r="2751" spans="1:52" x14ac:dyDescent="0.3">
      <c r="A2751" t="s">
        <v>52</v>
      </c>
      <c r="B2751" t="s">
        <v>53</v>
      </c>
      <c r="C2751" t="s">
        <v>54</v>
      </c>
      <c r="D2751" t="s">
        <v>55</v>
      </c>
      <c r="E2751" t="s">
        <v>2162</v>
      </c>
      <c r="F2751" t="s">
        <v>190</v>
      </c>
      <c r="G2751" t="s">
        <v>643</v>
      </c>
      <c r="H2751" t="s">
        <v>644</v>
      </c>
      <c r="I2751" t="s">
        <v>644</v>
      </c>
      <c r="J2751" t="s">
        <v>60</v>
      </c>
      <c r="K2751" t="s">
        <v>462</v>
      </c>
      <c r="L2751" t="s">
        <v>62</v>
      </c>
      <c r="M2751" t="s">
        <v>462</v>
      </c>
      <c r="N2751" t="s">
        <v>645</v>
      </c>
      <c r="O2751" t="s">
        <v>646</v>
      </c>
      <c r="P2751">
        <v>-20.138680000000001</v>
      </c>
      <c r="Q2751">
        <v>-44.901313000000002</v>
      </c>
      <c r="R2751" s="2" t="str">
        <f>HYPERLINK("https://www.google.com/maps?q=-20.1386800,-44.9013130","Abrir no Google Maps")</f>
        <v>Abrir no Google Maps</v>
      </c>
      <c r="S2751">
        <v>3</v>
      </c>
      <c r="T2751">
        <v>322.91859681380862</v>
      </c>
      <c r="U2751">
        <v>4</v>
      </c>
      <c r="V2751">
        <v>0.47573367828459551</v>
      </c>
      <c r="W2751">
        <v>1</v>
      </c>
      <c r="X2751">
        <v>0.47573367828459551</v>
      </c>
      <c r="Y2751">
        <v>435</v>
      </c>
      <c r="Z2751">
        <v>299.891766434874</v>
      </c>
      <c r="AA2751">
        <v>198</v>
      </c>
      <c r="AB2751">
        <v>332</v>
      </c>
      <c r="AC2751">
        <v>536</v>
      </c>
      <c r="AD2751">
        <v>26.86</v>
      </c>
      <c r="AE2751">
        <v>542</v>
      </c>
      <c r="AF2751">
        <v>15</v>
      </c>
      <c r="AG2751">
        <v>178</v>
      </c>
      <c r="AH2751">
        <v>129</v>
      </c>
      <c r="AI2751">
        <v>2.77</v>
      </c>
      <c r="AJ2751">
        <v>32.840000000000003</v>
      </c>
      <c r="AK2751">
        <v>23.8</v>
      </c>
      <c r="AL2751">
        <v>-20.13865734999996</v>
      </c>
      <c r="AM2751">
        <v>-44.901255803238627</v>
      </c>
      <c r="AN2751">
        <v>-20.13865734999996</v>
      </c>
      <c r="AO2751">
        <v>-44.901255803238627</v>
      </c>
      <c r="AP2751">
        <v>-20.138680000000001</v>
      </c>
      <c r="AQ2751">
        <v>-44.901313000000002</v>
      </c>
      <c r="AR2751">
        <v>6.4878640135702481</v>
      </c>
      <c r="AS2751" t="s">
        <v>65</v>
      </c>
      <c r="AT2751">
        <v>1</v>
      </c>
      <c r="AU2751" t="s">
        <v>647</v>
      </c>
      <c r="AV2751" t="s">
        <v>648</v>
      </c>
      <c r="AW2751" t="s">
        <v>60</v>
      </c>
      <c r="AX2751" t="s">
        <v>68</v>
      </c>
      <c r="AY2751" t="s">
        <v>69</v>
      </c>
      <c r="AZ2751" t="b">
        <v>1</v>
      </c>
    </row>
    <row r="2752" spans="1:52" x14ac:dyDescent="0.3">
      <c r="A2752" t="s">
        <v>52</v>
      </c>
      <c r="B2752" t="s">
        <v>53</v>
      </c>
      <c r="C2752" t="s">
        <v>54</v>
      </c>
      <c r="D2752" t="s">
        <v>55</v>
      </c>
      <c r="E2752" t="s">
        <v>2162</v>
      </c>
      <c r="F2752" t="s">
        <v>190</v>
      </c>
      <c r="G2752" t="s">
        <v>649</v>
      </c>
      <c r="H2752" t="s">
        <v>650</v>
      </c>
      <c r="I2752" t="s">
        <v>650</v>
      </c>
      <c r="J2752" t="s">
        <v>60</v>
      </c>
      <c r="K2752" t="s">
        <v>651</v>
      </c>
      <c r="L2752" t="s">
        <v>62</v>
      </c>
      <c r="M2752" t="s">
        <v>651</v>
      </c>
      <c r="N2752" t="s">
        <v>652</v>
      </c>
      <c r="O2752" t="s">
        <v>653</v>
      </c>
      <c r="P2752">
        <v>-20.134566</v>
      </c>
      <c r="Q2752">
        <v>-44.894970999999998</v>
      </c>
      <c r="R2752" s="2" t="str">
        <f>HYPERLINK("https://www.google.com/maps?q=-20.1345660,-44.8949710","Abrir no Google Maps")</f>
        <v>Abrir no Google Maps</v>
      </c>
      <c r="S2752">
        <v>3</v>
      </c>
      <c r="T2752">
        <v>722.088947634291</v>
      </c>
      <c r="U2752">
        <v>4</v>
      </c>
      <c r="V2752">
        <v>0.49610326734780757</v>
      </c>
      <c r="W2752">
        <v>1</v>
      </c>
      <c r="X2752">
        <v>0.49610326734780757</v>
      </c>
      <c r="Y2752">
        <v>435</v>
      </c>
      <c r="Z2752">
        <v>510.93480096112631</v>
      </c>
      <c r="AA2752">
        <v>198</v>
      </c>
      <c r="AB2752">
        <v>332</v>
      </c>
      <c r="AC2752">
        <v>536</v>
      </c>
      <c r="AD2752">
        <v>26.86</v>
      </c>
      <c r="AE2752">
        <v>542</v>
      </c>
      <c r="AF2752">
        <v>15</v>
      </c>
      <c r="AG2752">
        <v>178</v>
      </c>
      <c r="AH2752">
        <v>129</v>
      </c>
      <c r="AI2752">
        <v>2.77</v>
      </c>
      <c r="AJ2752">
        <v>32.840000000000003</v>
      </c>
      <c r="AK2752">
        <v>23.8</v>
      </c>
      <c r="AL2752">
        <v>-20.134477649999951</v>
      </c>
      <c r="AM2752">
        <v>-44.894921468906077</v>
      </c>
      <c r="AN2752">
        <v>-20.134477649999951</v>
      </c>
      <c r="AO2752">
        <v>-44.894921468906077</v>
      </c>
      <c r="AP2752">
        <v>-20.134566</v>
      </c>
      <c r="AQ2752">
        <v>-44.894970999999998</v>
      </c>
      <c r="AR2752">
        <v>11.114372522967921</v>
      </c>
      <c r="AS2752" t="s">
        <v>65</v>
      </c>
      <c r="AT2752">
        <v>1</v>
      </c>
      <c r="AU2752" t="s">
        <v>654</v>
      </c>
      <c r="AV2752" t="s">
        <v>655</v>
      </c>
      <c r="AW2752" t="s">
        <v>60</v>
      </c>
      <c r="AX2752" t="s">
        <v>68</v>
      </c>
      <c r="AY2752" t="s">
        <v>69</v>
      </c>
      <c r="AZ2752" t="b">
        <v>1</v>
      </c>
    </row>
    <row r="2753" spans="1:52" x14ac:dyDescent="0.3">
      <c r="A2753" t="s">
        <v>52</v>
      </c>
      <c r="B2753" t="s">
        <v>53</v>
      </c>
      <c r="C2753" t="s">
        <v>54</v>
      </c>
      <c r="D2753" t="s">
        <v>55</v>
      </c>
      <c r="E2753" t="s">
        <v>2162</v>
      </c>
      <c r="F2753" t="s">
        <v>190</v>
      </c>
      <c r="G2753" t="s">
        <v>656</v>
      </c>
      <c r="H2753" t="s">
        <v>657</v>
      </c>
      <c r="I2753" t="s">
        <v>657</v>
      </c>
      <c r="J2753" t="s">
        <v>60</v>
      </c>
      <c r="K2753" t="s">
        <v>651</v>
      </c>
      <c r="L2753" t="s">
        <v>62</v>
      </c>
      <c r="M2753" t="s">
        <v>651</v>
      </c>
      <c r="N2753" t="s">
        <v>658</v>
      </c>
      <c r="O2753" t="s">
        <v>659</v>
      </c>
      <c r="P2753">
        <v>-20.134922</v>
      </c>
      <c r="Q2753">
        <v>-44.893098000000002</v>
      </c>
      <c r="R2753" s="2" t="str">
        <f>HYPERLINK("https://www.google.com/maps?q=-20.1349220,-44.8930980","Abrir no Google Maps")</f>
        <v>Abrir no Google Maps</v>
      </c>
      <c r="S2753">
        <v>3</v>
      </c>
      <c r="T2753">
        <v>589.83980259734562</v>
      </c>
      <c r="U2753">
        <v>4</v>
      </c>
      <c r="V2753">
        <v>0.51499968124660644</v>
      </c>
      <c r="W2753">
        <v>1</v>
      </c>
      <c r="X2753">
        <v>0.51499968124660644</v>
      </c>
      <c r="Y2753">
        <v>435</v>
      </c>
      <c r="Z2753">
        <v>663.80986080131709</v>
      </c>
      <c r="AA2753">
        <v>198</v>
      </c>
      <c r="AB2753">
        <v>332</v>
      </c>
      <c r="AC2753">
        <v>536</v>
      </c>
      <c r="AD2753">
        <v>26.86</v>
      </c>
      <c r="AE2753">
        <v>542</v>
      </c>
      <c r="AF2753">
        <v>15</v>
      </c>
      <c r="AG2753">
        <v>178</v>
      </c>
      <c r="AH2753">
        <v>129</v>
      </c>
      <c r="AI2753">
        <v>2.77</v>
      </c>
      <c r="AJ2753">
        <v>32.840000000000003</v>
      </c>
      <c r="AK2753">
        <v>23.8</v>
      </c>
      <c r="AL2753">
        <v>-20.135021049999949</v>
      </c>
      <c r="AM2753">
        <v>-44.893227478208203</v>
      </c>
      <c r="AN2753">
        <v>-20.135021049999949</v>
      </c>
      <c r="AO2753">
        <v>-44.893227478208203</v>
      </c>
      <c r="AP2753">
        <v>-20.134922</v>
      </c>
      <c r="AQ2753">
        <v>-44.893098000000002</v>
      </c>
      <c r="AR2753">
        <v>17.455940349902249</v>
      </c>
      <c r="AS2753" t="s">
        <v>65</v>
      </c>
      <c r="AT2753">
        <v>1</v>
      </c>
      <c r="AU2753" t="s">
        <v>660</v>
      </c>
      <c r="AV2753" t="s">
        <v>661</v>
      </c>
      <c r="AW2753" t="s">
        <v>60</v>
      </c>
      <c r="AX2753" t="s">
        <v>68</v>
      </c>
      <c r="AY2753" t="s">
        <v>69</v>
      </c>
      <c r="AZ2753" t="b">
        <v>1</v>
      </c>
    </row>
    <row r="2754" spans="1:52" x14ac:dyDescent="0.3">
      <c r="A2754" t="s">
        <v>52</v>
      </c>
      <c r="B2754" t="s">
        <v>53</v>
      </c>
      <c r="C2754" t="s">
        <v>54</v>
      </c>
      <c r="D2754" t="s">
        <v>55</v>
      </c>
      <c r="E2754" t="s">
        <v>2162</v>
      </c>
      <c r="F2754" t="s">
        <v>190</v>
      </c>
      <c r="G2754" t="s">
        <v>998</v>
      </c>
      <c r="H2754" t="s">
        <v>999</v>
      </c>
      <c r="I2754" t="s">
        <v>999</v>
      </c>
      <c r="J2754" t="s">
        <v>60</v>
      </c>
      <c r="K2754" t="s">
        <v>200</v>
      </c>
      <c r="L2754" t="s">
        <v>62</v>
      </c>
      <c r="M2754" t="s">
        <v>200</v>
      </c>
      <c r="N2754" t="s">
        <v>1000</v>
      </c>
      <c r="O2754" t="s">
        <v>1001</v>
      </c>
      <c r="P2754">
        <v>-20.128198000000001</v>
      </c>
      <c r="Q2754">
        <v>-44.897989000000003</v>
      </c>
      <c r="R2754" s="2" t="str">
        <f>HYPERLINK("https://www.google.com/maps?q=-20.1281980,-44.8979890","Abrir no Google Maps")</f>
        <v>Abrir no Google Maps</v>
      </c>
      <c r="S2754">
        <v>3</v>
      </c>
      <c r="T2754">
        <v>764.99274209740315</v>
      </c>
      <c r="U2754">
        <v>4</v>
      </c>
      <c r="V2754">
        <v>0.49167387729257123</v>
      </c>
      <c r="W2754">
        <v>0.85</v>
      </c>
      <c r="X2754">
        <v>0.41792279569868551</v>
      </c>
      <c r="Y2754">
        <v>435</v>
      </c>
      <c r="Z2754">
        <v>666.56370235056943</v>
      </c>
      <c r="AA2754">
        <v>198</v>
      </c>
      <c r="AB2754">
        <v>332</v>
      </c>
      <c r="AC2754">
        <v>536</v>
      </c>
      <c r="AD2754">
        <v>26.86</v>
      </c>
      <c r="AE2754">
        <v>542</v>
      </c>
      <c r="AF2754">
        <v>15</v>
      </c>
      <c r="AG2754">
        <v>178</v>
      </c>
      <c r="AH2754">
        <v>129</v>
      </c>
      <c r="AI2754">
        <v>2.77</v>
      </c>
      <c r="AJ2754">
        <v>32.840000000000003</v>
      </c>
      <c r="AK2754">
        <v>23.8</v>
      </c>
      <c r="AL2754">
        <v>-20.129869449999941</v>
      </c>
      <c r="AM2754">
        <v>-44.897878269453869</v>
      </c>
      <c r="AN2754">
        <v>-20.129869449999941</v>
      </c>
      <c r="AO2754">
        <v>-44.897878269453869</v>
      </c>
      <c r="AP2754">
        <v>-20.128198000000001</v>
      </c>
      <c r="AQ2754">
        <v>-44.897989000000003</v>
      </c>
      <c r="AR2754">
        <v>186.42541239811899</v>
      </c>
      <c r="AS2754" t="s">
        <v>65</v>
      </c>
      <c r="AT2754">
        <v>1</v>
      </c>
      <c r="AU2754" t="s">
        <v>1002</v>
      </c>
      <c r="AV2754" t="s">
        <v>1003</v>
      </c>
      <c r="AW2754" t="s">
        <v>60</v>
      </c>
      <c r="AX2754" t="s">
        <v>68</v>
      </c>
      <c r="AY2754" t="s">
        <v>69</v>
      </c>
      <c r="AZ2754" t="b">
        <v>1</v>
      </c>
    </row>
    <row r="2755" spans="1:52" x14ac:dyDescent="0.3">
      <c r="A2755" t="s">
        <v>52</v>
      </c>
      <c r="B2755" t="s">
        <v>53</v>
      </c>
      <c r="C2755" t="s">
        <v>54</v>
      </c>
      <c r="D2755" t="s">
        <v>55</v>
      </c>
      <c r="E2755" t="s">
        <v>2162</v>
      </c>
      <c r="F2755" t="s">
        <v>190</v>
      </c>
      <c r="G2755" t="s">
        <v>1004</v>
      </c>
      <c r="H2755" t="s">
        <v>1005</v>
      </c>
      <c r="I2755" t="s">
        <v>1005</v>
      </c>
      <c r="J2755" t="s">
        <v>60</v>
      </c>
      <c r="K2755" t="s">
        <v>664</v>
      </c>
      <c r="L2755" t="s">
        <v>62</v>
      </c>
      <c r="M2755" t="s">
        <v>664</v>
      </c>
      <c r="N2755" t="s">
        <v>1006</v>
      </c>
      <c r="O2755" t="s">
        <v>1007</v>
      </c>
      <c r="P2755">
        <v>-20.136424000000002</v>
      </c>
      <c r="Q2755">
        <v>-44.902287999999999</v>
      </c>
      <c r="R2755" s="2" t="str">
        <f>HYPERLINK("https://www.google.com/maps?q=-20.1364240,-44.9022880","Abrir no Google Maps")</f>
        <v>Abrir no Google Maps</v>
      </c>
      <c r="S2755">
        <v>3</v>
      </c>
      <c r="T2755">
        <v>0</v>
      </c>
      <c r="U2755">
        <v>4</v>
      </c>
      <c r="V2755">
        <v>0.49736477245047461</v>
      </c>
      <c r="W2755">
        <v>0.85</v>
      </c>
      <c r="X2755">
        <v>0.42276005658290339</v>
      </c>
      <c r="Y2755">
        <v>435</v>
      </c>
      <c r="Z2755">
        <v>273.7310860392941</v>
      </c>
      <c r="AA2755">
        <v>198</v>
      </c>
      <c r="AB2755">
        <v>332</v>
      </c>
      <c r="AC2755">
        <v>536</v>
      </c>
      <c r="AD2755">
        <v>26.86</v>
      </c>
      <c r="AE2755">
        <v>542</v>
      </c>
      <c r="AF2755">
        <v>15</v>
      </c>
      <c r="AG2755">
        <v>178</v>
      </c>
      <c r="AH2755">
        <v>129</v>
      </c>
      <c r="AI2755">
        <v>2.77</v>
      </c>
      <c r="AJ2755">
        <v>32.840000000000003</v>
      </c>
      <c r="AK2755">
        <v>23.8</v>
      </c>
      <c r="AL2755">
        <v>-20.135768749999951</v>
      </c>
      <c r="AM2755">
        <v>-44.901693772064696</v>
      </c>
      <c r="AN2755">
        <v>-20.135768749999951</v>
      </c>
      <c r="AO2755">
        <v>-44.901693772064696</v>
      </c>
      <c r="AP2755">
        <v>-20.136424000000002</v>
      </c>
      <c r="AQ2755">
        <v>-44.902287999999999</v>
      </c>
      <c r="AR2755">
        <v>95.800830031045166</v>
      </c>
      <c r="AS2755" t="s">
        <v>65</v>
      </c>
      <c r="AT2755">
        <v>1</v>
      </c>
      <c r="AU2755" t="s">
        <v>1008</v>
      </c>
      <c r="AV2755" t="s">
        <v>668</v>
      </c>
      <c r="AW2755" t="s">
        <v>60</v>
      </c>
      <c r="AX2755" t="s">
        <v>68</v>
      </c>
      <c r="AY2755" t="s">
        <v>69</v>
      </c>
      <c r="AZ2755" t="b">
        <v>1</v>
      </c>
    </row>
    <row r="2756" spans="1:52" x14ac:dyDescent="0.3">
      <c r="A2756" t="s">
        <v>52</v>
      </c>
      <c r="B2756" t="s">
        <v>53</v>
      </c>
      <c r="C2756" t="s">
        <v>54</v>
      </c>
      <c r="D2756" t="s">
        <v>55</v>
      </c>
      <c r="E2756" t="s">
        <v>2162</v>
      </c>
      <c r="F2756" t="s">
        <v>190</v>
      </c>
      <c r="G2756" t="s">
        <v>662</v>
      </c>
      <c r="H2756" t="s">
        <v>663</v>
      </c>
      <c r="I2756" t="s">
        <v>663</v>
      </c>
      <c r="J2756" t="s">
        <v>60</v>
      </c>
      <c r="K2756" t="s">
        <v>664</v>
      </c>
      <c r="L2756" t="s">
        <v>62</v>
      </c>
      <c r="M2756" t="s">
        <v>664</v>
      </c>
      <c r="N2756" t="s">
        <v>665</v>
      </c>
      <c r="O2756" t="s">
        <v>666</v>
      </c>
      <c r="P2756">
        <v>-20.13401</v>
      </c>
      <c r="Q2756">
        <v>-44.896515999999998</v>
      </c>
      <c r="R2756" s="2" t="str">
        <f>HYPERLINK("https://www.google.com/maps?q=-20.1340100,-44.8965160","Abrir no Google Maps")</f>
        <v>Abrir no Google Maps</v>
      </c>
      <c r="S2756">
        <v>3</v>
      </c>
      <c r="T2756">
        <v>577.93085469739992</v>
      </c>
      <c r="U2756">
        <v>4</v>
      </c>
      <c r="V2756">
        <v>0.53424915595548295</v>
      </c>
      <c r="W2756">
        <v>0.85</v>
      </c>
      <c r="X2756">
        <v>0.4541117825621605</v>
      </c>
      <c r="Y2756">
        <v>435</v>
      </c>
      <c r="Z2756">
        <v>334.84976208093428</v>
      </c>
      <c r="AA2756">
        <v>198</v>
      </c>
      <c r="AB2756">
        <v>332</v>
      </c>
      <c r="AC2756">
        <v>536</v>
      </c>
      <c r="AD2756">
        <v>26.86</v>
      </c>
      <c r="AE2756">
        <v>542</v>
      </c>
      <c r="AF2756">
        <v>15</v>
      </c>
      <c r="AG2756">
        <v>178</v>
      </c>
      <c r="AH2756">
        <v>129</v>
      </c>
      <c r="AI2756">
        <v>2.77</v>
      </c>
      <c r="AJ2756">
        <v>32.840000000000003</v>
      </c>
      <c r="AK2756">
        <v>23.8</v>
      </c>
      <c r="AL2756">
        <v>-20.134194999999949</v>
      </c>
      <c r="AM2756">
        <v>-44.896421210298939</v>
      </c>
      <c r="AN2756">
        <v>-20.134194999999949</v>
      </c>
      <c r="AO2756">
        <v>-44.896421210298939</v>
      </c>
      <c r="AP2756">
        <v>-20.13401</v>
      </c>
      <c r="AQ2756">
        <v>-44.896515999999998</v>
      </c>
      <c r="AR2756">
        <v>22.853284872316269</v>
      </c>
      <c r="AS2756" t="s">
        <v>65</v>
      </c>
      <c r="AT2756">
        <v>1</v>
      </c>
      <c r="AU2756" t="s">
        <v>667</v>
      </c>
      <c r="AV2756" t="s">
        <v>668</v>
      </c>
      <c r="AW2756" t="s">
        <v>60</v>
      </c>
      <c r="AX2756" t="s">
        <v>68</v>
      </c>
      <c r="AY2756" t="s">
        <v>69</v>
      </c>
      <c r="AZ2756" t="b">
        <v>1</v>
      </c>
    </row>
    <row r="2757" spans="1:52" x14ac:dyDescent="0.3">
      <c r="A2757" t="s">
        <v>52</v>
      </c>
      <c r="B2757" t="s">
        <v>53</v>
      </c>
      <c r="C2757" t="s">
        <v>54</v>
      </c>
      <c r="D2757" t="s">
        <v>55</v>
      </c>
      <c r="E2757" t="s">
        <v>2162</v>
      </c>
      <c r="F2757" t="s">
        <v>190</v>
      </c>
      <c r="G2757" t="s">
        <v>669</v>
      </c>
      <c r="H2757" t="s">
        <v>670</v>
      </c>
      <c r="I2757" t="s">
        <v>670</v>
      </c>
      <c r="J2757" t="s">
        <v>60</v>
      </c>
      <c r="K2757" t="s">
        <v>530</v>
      </c>
      <c r="L2757" t="s">
        <v>62</v>
      </c>
      <c r="M2757" t="s">
        <v>530</v>
      </c>
      <c r="N2757" t="s">
        <v>671</v>
      </c>
      <c r="O2757" t="s">
        <v>672</v>
      </c>
      <c r="P2757">
        <v>-20.139036999999998</v>
      </c>
      <c r="Q2757">
        <v>-44.889187</v>
      </c>
      <c r="R2757" s="2" t="str">
        <f>HYPERLINK("https://www.google.com/maps?q=-20.1390370,-44.8891870","Abrir no Google Maps")</f>
        <v>Abrir no Google Maps</v>
      </c>
      <c r="S2757">
        <v>3</v>
      </c>
      <c r="T2757">
        <v>162.03713995333371</v>
      </c>
      <c r="U2757">
        <v>4</v>
      </c>
      <c r="V2757">
        <v>0.51690180544395348</v>
      </c>
      <c r="W2757">
        <v>1</v>
      </c>
      <c r="X2757">
        <v>0.51690180544395348</v>
      </c>
      <c r="Y2757">
        <v>428</v>
      </c>
      <c r="Z2757">
        <v>126.21352118044651</v>
      </c>
      <c r="AA2757">
        <v>198</v>
      </c>
      <c r="AB2757">
        <v>332</v>
      </c>
      <c r="AC2757">
        <v>536</v>
      </c>
      <c r="AD2757">
        <v>26.86</v>
      </c>
      <c r="AE2757">
        <v>542</v>
      </c>
      <c r="AF2757">
        <v>15</v>
      </c>
      <c r="AG2757">
        <v>178</v>
      </c>
      <c r="AH2757">
        <v>129</v>
      </c>
      <c r="AI2757">
        <v>2.77</v>
      </c>
      <c r="AJ2757">
        <v>32.840000000000003</v>
      </c>
      <c r="AK2757">
        <v>23.8</v>
      </c>
      <c r="AL2757">
        <v>-20.13900394999996</v>
      </c>
      <c r="AM2757">
        <v>-44.889298503583859</v>
      </c>
      <c r="AN2757">
        <v>-20.13900394999996</v>
      </c>
      <c r="AO2757">
        <v>-44.889298503583859</v>
      </c>
      <c r="AP2757">
        <v>-20.139036999999998</v>
      </c>
      <c r="AQ2757">
        <v>-44.889187</v>
      </c>
      <c r="AR2757">
        <v>12.220642731957311</v>
      </c>
      <c r="AS2757" t="s">
        <v>65</v>
      </c>
      <c r="AT2757">
        <v>1</v>
      </c>
      <c r="AU2757" t="s">
        <v>673</v>
      </c>
      <c r="AV2757" t="s">
        <v>674</v>
      </c>
      <c r="AW2757" t="s">
        <v>60</v>
      </c>
      <c r="AX2757" t="s">
        <v>68</v>
      </c>
      <c r="AY2757" t="s">
        <v>69</v>
      </c>
      <c r="AZ2757" t="b">
        <v>1</v>
      </c>
    </row>
    <row r="2758" spans="1:52" x14ac:dyDescent="0.3">
      <c r="A2758" t="s">
        <v>52</v>
      </c>
      <c r="B2758" t="s">
        <v>53</v>
      </c>
      <c r="C2758" t="s">
        <v>54</v>
      </c>
      <c r="D2758" t="s">
        <v>55</v>
      </c>
      <c r="E2758" t="s">
        <v>2162</v>
      </c>
      <c r="F2758" t="s">
        <v>190</v>
      </c>
      <c r="G2758" t="s">
        <v>675</v>
      </c>
      <c r="H2758" t="s">
        <v>676</v>
      </c>
      <c r="I2758" t="s">
        <v>676</v>
      </c>
      <c r="J2758" t="s">
        <v>60</v>
      </c>
      <c r="K2758" t="s">
        <v>530</v>
      </c>
      <c r="L2758" t="s">
        <v>62</v>
      </c>
      <c r="M2758" t="s">
        <v>530</v>
      </c>
      <c r="N2758" t="s">
        <v>677</v>
      </c>
      <c r="O2758" t="s">
        <v>678</v>
      </c>
      <c r="P2758">
        <v>-20.140103</v>
      </c>
      <c r="Q2758">
        <v>-44.887059999999998</v>
      </c>
      <c r="R2758" s="2" t="str">
        <f>HYPERLINK("https://www.google.com/maps?q=-20.1401030,-44.8870600","Abrir no Google Maps")</f>
        <v>Abrir no Google Maps</v>
      </c>
      <c r="S2758">
        <v>3</v>
      </c>
      <c r="T2758">
        <v>202.19329492684349</v>
      </c>
      <c r="U2758">
        <v>4</v>
      </c>
      <c r="V2758">
        <v>0.52551287049471418</v>
      </c>
      <c r="W2758">
        <v>1</v>
      </c>
      <c r="X2758">
        <v>0.52551287049471418</v>
      </c>
      <c r="Y2758">
        <v>428</v>
      </c>
      <c r="Z2758">
        <v>144.95603883960419</v>
      </c>
      <c r="AA2758">
        <v>198</v>
      </c>
      <c r="AB2758">
        <v>332</v>
      </c>
      <c r="AC2758">
        <v>536</v>
      </c>
      <c r="AD2758">
        <v>26.86</v>
      </c>
      <c r="AE2758">
        <v>542</v>
      </c>
      <c r="AF2758">
        <v>15</v>
      </c>
      <c r="AG2758">
        <v>178</v>
      </c>
      <c r="AH2758">
        <v>129</v>
      </c>
      <c r="AI2758">
        <v>2.77</v>
      </c>
      <c r="AJ2758">
        <v>32.840000000000003</v>
      </c>
      <c r="AK2758">
        <v>23.8</v>
      </c>
      <c r="AL2758">
        <v>-20.13997164999995</v>
      </c>
      <c r="AM2758">
        <v>-44.887075246455773</v>
      </c>
      <c r="AN2758">
        <v>-20.13997164999995</v>
      </c>
      <c r="AO2758">
        <v>-44.887075246455773</v>
      </c>
      <c r="AP2758">
        <v>-20.140103</v>
      </c>
      <c r="AQ2758">
        <v>-44.887059999999998</v>
      </c>
      <c r="AR2758">
        <v>14.7084512385181</v>
      </c>
      <c r="AS2758" t="s">
        <v>65</v>
      </c>
      <c r="AT2758">
        <v>1</v>
      </c>
      <c r="AU2758" t="s">
        <v>679</v>
      </c>
      <c r="AV2758" t="s">
        <v>680</v>
      </c>
      <c r="AW2758" t="s">
        <v>60</v>
      </c>
      <c r="AX2758" t="s">
        <v>68</v>
      </c>
      <c r="AY2758" t="s">
        <v>69</v>
      </c>
      <c r="AZ2758" t="b">
        <v>1</v>
      </c>
    </row>
    <row r="2759" spans="1:52" x14ac:dyDescent="0.3">
      <c r="A2759" t="s">
        <v>52</v>
      </c>
      <c r="B2759" t="s">
        <v>53</v>
      </c>
      <c r="C2759" t="s">
        <v>54</v>
      </c>
      <c r="D2759" t="s">
        <v>55</v>
      </c>
      <c r="E2759" t="s">
        <v>2162</v>
      </c>
      <c r="F2759" t="s">
        <v>190</v>
      </c>
      <c r="G2759" t="s">
        <v>1009</v>
      </c>
      <c r="H2759" t="s">
        <v>1010</v>
      </c>
      <c r="I2759" t="s">
        <v>1010</v>
      </c>
      <c r="J2759" t="s">
        <v>60</v>
      </c>
      <c r="K2759" t="s">
        <v>530</v>
      </c>
      <c r="L2759" t="s">
        <v>62</v>
      </c>
      <c r="M2759" t="s">
        <v>530</v>
      </c>
      <c r="N2759" t="s">
        <v>1011</v>
      </c>
      <c r="O2759" t="s">
        <v>315</v>
      </c>
      <c r="P2759">
        <v>-20.141300999999999</v>
      </c>
      <c r="Q2759">
        <v>-44.887509999999999</v>
      </c>
      <c r="R2759" s="2" t="str">
        <f>HYPERLINK("https://www.google.com/maps?q=-20.1413010,-44.8875100","Abrir no Google Maps")</f>
        <v>Abrir no Google Maps</v>
      </c>
      <c r="S2759">
        <v>3</v>
      </c>
      <c r="T2759">
        <v>351.30731383872319</v>
      </c>
      <c r="U2759">
        <v>4</v>
      </c>
      <c r="V2759">
        <v>0.50706992977120813</v>
      </c>
      <c r="W2759">
        <v>0.85</v>
      </c>
      <c r="X2759">
        <v>0.4310094403055269</v>
      </c>
      <c r="Y2759">
        <v>428</v>
      </c>
      <c r="Z2759">
        <v>285.79917278216982</v>
      </c>
      <c r="AA2759">
        <v>198</v>
      </c>
      <c r="AB2759">
        <v>332</v>
      </c>
      <c r="AC2759">
        <v>536</v>
      </c>
      <c r="AD2759">
        <v>26.86</v>
      </c>
      <c r="AE2759">
        <v>542</v>
      </c>
      <c r="AF2759">
        <v>15</v>
      </c>
      <c r="AG2759">
        <v>178</v>
      </c>
      <c r="AH2759">
        <v>129</v>
      </c>
      <c r="AI2759">
        <v>2.77</v>
      </c>
      <c r="AJ2759">
        <v>32.840000000000003</v>
      </c>
      <c r="AK2759">
        <v>23.8</v>
      </c>
      <c r="AL2759">
        <v>-20.141454249999949</v>
      </c>
      <c r="AM2759">
        <v>-44.887331612944081</v>
      </c>
      <c r="AN2759">
        <v>-20.141454249999949</v>
      </c>
      <c r="AO2759">
        <v>-44.887331612944081</v>
      </c>
      <c r="AP2759">
        <v>-20.141300999999999</v>
      </c>
      <c r="AQ2759">
        <v>-44.887509999999999</v>
      </c>
      <c r="AR2759">
        <v>25.270963110561588</v>
      </c>
      <c r="AS2759" t="s">
        <v>65</v>
      </c>
      <c r="AT2759">
        <v>1</v>
      </c>
      <c r="AU2759" t="s">
        <v>1012</v>
      </c>
      <c r="AV2759" t="s">
        <v>1013</v>
      </c>
      <c r="AW2759" t="s">
        <v>60</v>
      </c>
      <c r="AX2759" t="s">
        <v>68</v>
      </c>
      <c r="AY2759" t="s">
        <v>69</v>
      </c>
      <c r="AZ2759" t="b">
        <v>1</v>
      </c>
    </row>
    <row r="2760" spans="1:52" x14ac:dyDescent="0.3">
      <c r="A2760" t="s">
        <v>52</v>
      </c>
      <c r="B2760" t="s">
        <v>53</v>
      </c>
      <c r="C2760" t="s">
        <v>54</v>
      </c>
      <c r="D2760" t="s">
        <v>55</v>
      </c>
      <c r="E2760" t="s">
        <v>2162</v>
      </c>
      <c r="F2760" t="s">
        <v>190</v>
      </c>
      <c r="G2760" t="s">
        <v>681</v>
      </c>
      <c r="H2760" t="s">
        <v>682</v>
      </c>
      <c r="I2760" t="s">
        <v>682</v>
      </c>
      <c r="J2760" t="s">
        <v>60</v>
      </c>
      <c r="K2760" t="s">
        <v>530</v>
      </c>
      <c r="L2760" t="s">
        <v>62</v>
      </c>
      <c r="M2760" t="s">
        <v>530</v>
      </c>
      <c r="N2760" t="s">
        <v>683</v>
      </c>
      <c r="O2760" t="s">
        <v>173</v>
      </c>
      <c r="P2760">
        <v>-20.138342999999999</v>
      </c>
      <c r="Q2760">
        <v>-44.887732</v>
      </c>
      <c r="R2760" s="2" t="str">
        <f>HYPERLINK("https://www.google.com/maps?q=-20.1383430,-44.8877320","Abrir no Google Maps")</f>
        <v>Abrir no Google Maps</v>
      </c>
      <c r="S2760">
        <v>3</v>
      </c>
      <c r="T2760">
        <v>0</v>
      </c>
      <c r="U2760">
        <v>4</v>
      </c>
      <c r="V2760">
        <v>0.5156675859049682</v>
      </c>
      <c r="W2760">
        <v>1</v>
      </c>
      <c r="X2760">
        <v>0.5156675859049682</v>
      </c>
      <c r="Y2760">
        <v>428</v>
      </c>
      <c r="Z2760">
        <v>82.685534812530861</v>
      </c>
      <c r="AA2760">
        <v>198</v>
      </c>
      <c r="AB2760">
        <v>332</v>
      </c>
      <c r="AC2760">
        <v>536</v>
      </c>
      <c r="AD2760">
        <v>26.86</v>
      </c>
      <c r="AE2760">
        <v>542</v>
      </c>
      <c r="AF2760">
        <v>15</v>
      </c>
      <c r="AG2760">
        <v>178</v>
      </c>
      <c r="AH2760">
        <v>129</v>
      </c>
      <c r="AI2760">
        <v>2.77</v>
      </c>
      <c r="AJ2760">
        <v>32.840000000000003</v>
      </c>
      <c r="AK2760">
        <v>23.8</v>
      </c>
      <c r="AL2760">
        <v>-20.138329099999961</v>
      </c>
      <c r="AM2760">
        <v>-44.887922589375549</v>
      </c>
      <c r="AN2760">
        <v>-20.138329099999961</v>
      </c>
      <c r="AO2760">
        <v>-44.887922589375549</v>
      </c>
      <c r="AP2760">
        <v>-20.138342999999999</v>
      </c>
      <c r="AQ2760">
        <v>-44.887732</v>
      </c>
      <c r="AR2760">
        <v>19.979335127307191</v>
      </c>
      <c r="AS2760" t="s">
        <v>65</v>
      </c>
      <c r="AT2760">
        <v>1</v>
      </c>
      <c r="AU2760" t="s">
        <v>684</v>
      </c>
      <c r="AV2760" t="s">
        <v>685</v>
      </c>
      <c r="AW2760" t="s">
        <v>60</v>
      </c>
      <c r="AX2760" t="s">
        <v>68</v>
      </c>
      <c r="AY2760" t="s">
        <v>69</v>
      </c>
      <c r="AZ2760" t="b">
        <v>1</v>
      </c>
    </row>
    <row r="2761" spans="1:52" x14ac:dyDescent="0.3">
      <c r="A2761" t="s">
        <v>52</v>
      </c>
      <c r="B2761" t="s">
        <v>53</v>
      </c>
      <c r="C2761" t="s">
        <v>54</v>
      </c>
      <c r="D2761" t="s">
        <v>55</v>
      </c>
      <c r="E2761" t="s">
        <v>2162</v>
      </c>
      <c r="F2761" t="s">
        <v>190</v>
      </c>
      <c r="G2761" t="s">
        <v>686</v>
      </c>
      <c r="H2761" t="s">
        <v>687</v>
      </c>
      <c r="I2761" t="s">
        <v>687</v>
      </c>
      <c r="J2761" t="s">
        <v>60</v>
      </c>
      <c r="K2761" t="s">
        <v>688</v>
      </c>
      <c r="L2761" t="s">
        <v>62</v>
      </c>
      <c r="M2761" t="s">
        <v>688</v>
      </c>
      <c r="N2761" t="s">
        <v>689</v>
      </c>
      <c r="O2761" t="s">
        <v>690</v>
      </c>
      <c r="P2761">
        <v>-20.136451999999998</v>
      </c>
      <c r="Q2761">
        <v>-44.891254000000004</v>
      </c>
      <c r="R2761" s="2" t="str">
        <f>HYPERLINK("https://www.google.com/maps?q=-20.1364520,-44.8912540","Abrir no Google Maps")</f>
        <v>Abrir no Google Maps</v>
      </c>
      <c r="S2761">
        <v>3</v>
      </c>
      <c r="T2761">
        <v>397.58661308638909</v>
      </c>
      <c r="U2761">
        <v>4</v>
      </c>
      <c r="V2761">
        <v>0.52358170413583038</v>
      </c>
      <c r="W2761">
        <v>1</v>
      </c>
      <c r="X2761">
        <v>0.52358170413583038</v>
      </c>
      <c r="Y2761">
        <v>428</v>
      </c>
      <c r="Z2761">
        <v>449.62002896840892</v>
      </c>
      <c r="AA2761">
        <v>198</v>
      </c>
      <c r="AB2761">
        <v>332</v>
      </c>
      <c r="AC2761">
        <v>536</v>
      </c>
      <c r="AD2761">
        <v>26.86</v>
      </c>
      <c r="AE2761">
        <v>542</v>
      </c>
      <c r="AF2761">
        <v>15</v>
      </c>
      <c r="AG2761">
        <v>178</v>
      </c>
      <c r="AH2761">
        <v>129</v>
      </c>
      <c r="AI2761">
        <v>2.77</v>
      </c>
      <c r="AJ2761">
        <v>32.840000000000003</v>
      </c>
      <c r="AK2761">
        <v>23.8</v>
      </c>
      <c r="AL2761">
        <v>-20.136400499999951</v>
      </c>
      <c r="AM2761">
        <v>-44.891173264034883</v>
      </c>
      <c r="AN2761">
        <v>-20.136400499999951</v>
      </c>
      <c r="AO2761">
        <v>-44.891173264034883</v>
      </c>
      <c r="AP2761">
        <v>-20.136451999999998</v>
      </c>
      <c r="AQ2761">
        <v>-44.891254000000004</v>
      </c>
      <c r="AR2761">
        <v>10.20146066113916</v>
      </c>
      <c r="AS2761" t="s">
        <v>65</v>
      </c>
      <c r="AT2761">
        <v>1</v>
      </c>
      <c r="AU2761" t="s">
        <v>691</v>
      </c>
      <c r="AV2761" t="s">
        <v>692</v>
      </c>
      <c r="AW2761" t="s">
        <v>60</v>
      </c>
      <c r="AX2761" t="s">
        <v>68</v>
      </c>
      <c r="AY2761" t="s">
        <v>69</v>
      </c>
      <c r="AZ2761" t="b">
        <v>1</v>
      </c>
    </row>
    <row r="2762" spans="1:52" x14ac:dyDescent="0.3">
      <c r="A2762" t="s">
        <v>52</v>
      </c>
      <c r="B2762" t="s">
        <v>53</v>
      </c>
      <c r="C2762" t="s">
        <v>54</v>
      </c>
      <c r="D2762" t="s">
        <v>55</v>
      </c>
      <c r="E2762" t="s">
        <v>2162</v>
      </c>
      <c r="F2762" t="s">
        <v>190</v>
      </c>
      <c r="G2762" t="s">
        <v>693</v>
      </c>
      <c r="H2762" t="s">
        <v>694</v>
      </c>
      <c r="I2762" t="s">
        <v>694</v>
      </c>
      <c r="J2762" t="s">
        <v>60</v>
      </c>
      <c r="K2762" t="s">
        <v>695</v>
      </c>
      <c r="L2762" t="s">
        <v>62</v>
      </c>
      <c r="M2762" t="s">
        <v>695</v>
      </c>
      <c r="N2762" t="s">
        <v>696</v>
      </c>
      <c r="O2762" t="s">
        <v>697</v>
      </c>
      <c r="P2762">
        <v>-20.174917000000001</v>
      </c>
      <c r="Q2762">
        <v>-44.857677000000002</v>
      </c>
      <c r="R2762" s="2" t="str">
        <f>HYPERLINK("https://www.google.com/maps?q=-20.1749170,-44.8576770","Abrir no Google Maps")</f>
        <v>Abrir no Google Maps</v>
      </c>
      <c r="S2762">
        <v>3</v>
      </c>
      <c r="T2762">
        <v>850.52349144267646</v>
      </c>
      <c r="U2762">
        <v>4</v>
      </c>
      <c r="V2762">
        <v>0.41928463303543628</v>
      </c>
      <c r="W2762">
        <v>1</v>
      </c>
      <c r="X2762">
        <v>0.41928463303543628</v>
      </c>
      <c r="Y2762">
        <v>422</v>
      </c>
      <c r="Z2762">
        <v>1042.4685698911451</v>
      </c>
      <c r="AA2762">
        <v>198</v>
      </c>
      <c r="AB2762">
        <v>332</v>
      </c>
      <c r="AC2762">
        <v>536</v>
      </c>
      <c r="AD2762">
        <v>26.86</v>
      </c>
      <c r="AE2762">
        <v>542</v>
      </c>
      <c r="AF2762">
        <v>15</v>
      </c>
      <c r="AG2762">
        <v>178</v>
      </c>
      <c r="AH2762">
        <v>129</v>
      </c>
      <c r="AI2762">
        <v>2.77</v>
      </c>
      <c r="AJ2762">
        <v>32.840000000000003</v>
      </c>
      <c r="AK2762">
        <v>23.8</v>
      </c>
      <c r="AL2762">
        <v>-20.17483459999994</v>
      </c>
      <c r="AM2762">
        <v>-44.857715667542379</v>
      </c>
      <c r="AN2762">
        <v>-20.17483459999994</v>
      </c>
      <c r="AO2762">
        <v>-44.857715667542379</v>
      </c>
      <c r="AP2762">
        <v>-20.174917000000001</v>
      </c>
      <c r="AQ2762">
        <v>-44.857677000000002</v>
      </c>
      <c r="AR2762">
        <v>10.02318555136439</v>
      </c>
      <c r="AS2762" t="s">
        <v>65</v>
      </c>
      <c r="AT2762">
        <v>1</v>
      </c>
      <c r="AU2762" t="s">
        <v>698</v>
      </c>
      <c r="AV2762" t="s">
        <v>699</v>
      </c>
      <c r="AW2762" t="s">
        <v>60</v>
      </c>
      <c r="AX2762" t="s">
        <v>68</v>
      </c>
      <c r="AY2762" t="s">
        <v>69</v>
      </c>
      <c r="AZ2762" t="b">
        <v>1</v>
      </c>
    </row>
    <row r="2763" spans="1:52" x14ac:dyDescent="0.3">
      <c r="A2763" t="s">
        <v>52</v>
      </c>
      <c r="B2763" t="s">
        <v>53</v>
      </c>
      <c r="C2763" t="s">
        <v>54</v>
      </c>
      <c r="D2763" t="s">
        <v>55</v>
      </c>
      <c r="E2763" t="s">
        <v>2162</v>
      </c>
      <c r="F2763" t="s">
        <v>190</v>
      </c>
      <c r="G2763" t="s">
        <v>700</v>
      </c>
      <c r="H2763" t="s">
        <v>701</v>
      </c>
      <c r="I2763" t="s">
        <v>701</v>
      </c>
      <c r="J2763" t="s">
        <v>60</v>
      </c>
      <c r="K2763" t="s">
        <v>702</v>
      </c>
      <c r="L2763" t="s">
        <v>62</v>
      </c>
      <c r="M2763" t="s">
        <v>702</v>
      </c>
      <c r="N2763" t="s">
        <v>703</v>
      </c>
      <c r="O2763" t="s">
        <v>315</v>
      </c>
      <c r="P2763">
        <v>-20.172599000000002</v>
      </c>
      <c r="Q2763">
        <v>-44.85915</v>
      </c>
      <c r="R2763" s="2" t="str">
        <f>HYPERLINK("https://www.google.com/maps?q=-20.1725990,-44.8591500","Abrir no Google Maps")</f>
        <v>Abrir no Google Maps</v>
      </c>
      <c r="S2763">
        <v>3</v>
      </c>
      <c r="T2763">
        <v>665.1003223445598</v>
      </c>
      <c r="U2763">
        <v>4</v>
      </c>
      <c r="V2763">
        <v>0.40988326572129258</v>
      </c>
      <c r="W2763">
        <v>1</v>
      </c>
      <c r="X2763">
        <v>0.40988326572129258</v>
      </c>
      <c r="Y2763">
        <v>422</v>
      </c>
      <c r="Z2763">
        <v>843.09189615634341</v>
      </c>
      <c r="AA2763">
        <v>198</v>
      </c>
      <c r="AB2763">
        <v>332</v>
      </c>
      <c r="AC2763">
        <v>536</v>
      </c>
      <c r="AD2763">
        <v>26.86</v>
      </c>
      <c r="AE2763">
        <v>542</v>
      </c>
      <c r="AF2763">
        <v>15</v>
      </c>
      <c r="AG2763">
        <v>178</v>
      </c>
      <c r="AH2763">
        <v>129</v>
      </c>
      <c r="AI2763">
        <v>2.77</v>
      </c>
      <c r="AJ2763">
        <v>32.840000000000003</v>
      </c>
      <c r="AK2763">
        <v>23.8</v>
      </c>
      <c r="AL2763">
        <v>-20.172576899999971</v>
      </c>
      <c r="AM2763">
        <v>-44.859040110359317</v>
      </c>
      <c r="AN2763">
        <v>-20.172576899999971</v>
      </c>
      <c r="AO2763">
        <v>-44.859040110359317</v>
      </c>
      <c r="AP2763">
        <v>-20.172599000000002</v>
      </c>
      <c r="AQ2763">
        <v>-44.85915</v>
      </c>
      <c r="AR2763">
        <v>11.743118835828479</v>
      </c>
      <c r="AS2763" t="s">
        <v>65</v>
      </c>
      <c r="AT2763">
        <v>1</v>
      </c>
      <c r="AU2763" t="s">
        <v>704</v>
      </c>
      <c r="AV2763" t="s">
        <v>705</v>
      </c>
      <c r="AW2763" t="s">
        <v>60</v>
      </c>
      <c r="AX2763" t="s">
        <v>68</v>
      </c>
      <c r="AY2763" t="s">
        <v>69</v>
      </c>
      <c r="AZ2763" t="b">
        <v>1</v>
      </c>
    </row>
    <row r="2764" spans="1:52" x14ac:dyDescent="0.3">
      <c r="A2764" t="s">
        <v>52</v>
      </c>
      <c r="B2764" t="s">
        <v>53</v>
      </c>
      <c r="C2764" t="s">
        <v>54</v>
      </c>
      <c r="D2764" t="s">
        <v>55</v>
      </c>
      <c r="E2764" t="s">
        <v>2162</v>
      </c>
      <c r="F2764" t="s">
        <v>190</v>
      </c>
      <c r="G2764" t="s">
        <v>706</v>
      </c>
      <c r="H2764" t="s">
        <v>707</v>
      </c>
      <c r="I2764" t="s">
        <v>707</v>
      </c>
      <c r="J2764" t="s">
        <v>60</v>
      </c>
      <c r="K2764" t="s">
        <v>708</v>
      </c>
      <c r="L2764" t="s">
        <v>62</v>
      </c>
      <c r="M2764" t="s">
        <v>708</v>
      </c>
      <c r="N2764" t="s">
        <v>709</v>
      </c>
      <c r="O2764" t="s">
        <v>710</v>
      </c>
      <c r="P2764">
        <v>-20.127054999999999</v>
      </c>
      <c r="Q2764">
        <v>-44.872073</v>
      </c>
      <c r="R2764" s="2" t="str">
        <f>HYPERLINK("https://www.google.com/maps?q=-20.1270550,-44.8720730","Abrir no Google Maps")</f>
        <v>Abrir no Google Maps</v>
      </c>
      <c r="S2764">
        <v>3</v>
      </c>
      <c r="T2764">
        <v>395.91108553086929</v>
      </c>
      <c r="U2764">
        <v>4</v>
      </c>
      <c r="V2764">
        <v>0.42518171097479762</v>
      </c>
      <c r="W2764">
        <v>1</v>
      </c>
      <c r="X2764">
        <v>0.42518171097479762</v>
      </c>
      <c r="Y2764">
        <v>387</v>
      </c>
      <c r="Z2764">
        <v>518.31496622382247</v>
      </c>
      <c r="AA2764">
        <v>198</v>
      </c>
      <c r="AB2764">
        <v>332</v>
      </c>
      <c r="AC2764">
        <v>536</v>
      </c>
      <c r="AD2764">
        <v>26.86</v>
      </c>
      <c r="AE2764">
        <v>542</v>
      </c>
      <c r="AF2764">
        <v>15</v>
      </c>
      <c r="AG2764">
        <v>178</v>
      </c>
      <c r="AH2764">
        <v>129</v>
      </c>
      <c r="AI2764">
        <v>2.77</v>
      </c>
      <c r="AJ2764">
        <v>32.840000000000003</v>
      </c>
      <c r="AK2764">
        <v>23.8</v>
      </c>
      <c r="AL2764">
        <v>-20.126854749999978</v>
      </c>
      <c r="AM2764">
        <v>-44.871712455027861</v>
      </c>
      <c r="AN2764">
        <v>-20.126854749999978</v>
      </c>
      <c r="AO2764">
        <v>-44.871712455027861</v>
      </c>
      <c r="AP2764">
        <v>-20.127054999999999</v>
      </c>
      <c r="AQ2764">
        <v>-44.872073</v>
      </c>
      <c r="AR2764">
        <v>43.784435535392717</v>
      </c>
      <c r="AS2764" t="s">
        <v>65</v>
      </c>
      <c r="AT2764">
        <v>1</v>
      </c>
      <c r="AU2764" t="s">
        <v>711</v>
      </c>
      <c r="AV2764" t="s">
        <v>712</v>
      </c>
      <c r="AW2764" t="s">
        <v>60</v>
      </c>
      <c r="AX2764" t="s">
        <v>68</v>
      </c>
      <c r="AY2764" t="s">
        <v>69</v>
      </c>
      <c r="AZ2764" t="b">
        <v>1</v>
      </c>
    </row>
    <row r="2765" spans="1:52" x14ac:dyDescent="0.3">
      <c r="A2765" t="s">
        <v>52</v>
      </c>
      <c r="B2765" t="s">
        <v>53</v>
      </c>
      <c r="C2765" t="s">
        <v>54</v>
      </c>
      <c r="D2765" t="s">
        <v>55</v>
      </c>
      <c r="E2765" t="s">
        <v>2162</v>
      </c>
      <c r="F2765" t="s">
        <v>190</v>
      </c>
      <c r="G2765" t="s">
        <v>713</v>
      </c>
      <c r="H2765" t="s">
        <v>714</v>
      </c>
      <c r="I2765" t="s">
        <v>714</v>
      </c>
      <c r="J2765" t="s">
        <v>60</v>
      </c>
      <c r="K2765" t="s">
        <v>708</v>
      </c>
      <c r="L2765" t="s">
        <v>62</v>
      </c>
      <c r="M2765" t="s">
        <v>708</v>
      </c>
      <c r="N2765" t="s">
        <v>715</v>
      </c>
      <c r="O2765" t="s">
        <v>604</v>
      </c>
      <c r="P2765">
        <v>-20.133372000000001</v>
      </c>
      <c r="Q2765">
        <v>-44.878864</v>
      </c>
      <c r="R2765" s="2" t="str">
        <f>HYPERLINK("https://www.google.com/maps?q=-20.1333720,-44.8788640","Abrir no Google Maps")</f>
        <v>Abrir no Google Maps</v>
      </c>
      <c r="S2765">
        <v>3</v>
      </c>
      <c r="T2765">
        <v>719.22842848296966</v>
      </c>
      <c r="U2765">
        <v>4</v>
      </c>
      <c r="V2765">
        <v>0.46284085413733161</v>
      </c>
      <c r="W2765">
        <v>1</v>
      </c>
      <c r="X2765">
        <v>0.46284085413733161</v>
      </c>
      <c r="Y2765">
        <v>387</v>
      </c>
      <c r="Z2765">
        <v>630.8628365125652</v>
      </c>
      <c r="AA2765">
        <v>198</v>
      </c>
      <c r="AB2765">
        <v>332</v>
      </c>
      <c r="AC2765">
        <v>536</v>
      </c>
      <c r="AD2765">
        <v>26.86</v>
      </c>
      <c r="AE2765">
        <v>542</v>
      </c>
      <c r="AF2765">
        <v>15</v>
      </c>
      <c r="AG2765">
        <v>178</v>
      </c>
      <c r="AH2765">
        <v>129</v>
      </c>
      <c r="AI2765">
        <v>2.77</v>
      </c>
      <c r="AJ2765">
        <v>32.840000000000003</v>
      </c>
      <c r="AK2765">
        <v>23.8</v>
      </c>
      <c r="AL2765">
        <v>-20.133312349999951</v>
      </c>
      <c r="AM2765">
        <v>-44.879452111094892</v>
      </c>
      <c r="AN2765">
        <v>-20.133312349999951</v>
      </c>
      <c r="AO2765">
        <v>-44.879452111094892</v>
      </c>
      <c r="AP2765">
        <v>-20.133372000000001</v>
      </c>
      <c r="AQ2765">
        <v>-44.878864</v>
      </c>
      <c r="AR2765">
        <v>61.825649864116713</v>
      </c>
      <c r="AS2765" t="s">
        <v>65</v>
      </c>
      <c r="AT2765">
        <v>1</v>
      </c>
      <c r="AU2765" t="s">
        <v>716</v>
      </c>
      <c r="AV2765" t="s">
        <v>717</v>
      </c>
      <c r="AW2765" t="s">
        <v>60</v>
      </c>
      <c r="AX2765" t="s">
        <v>68</v>
      </c>
      <c r="AY2765" t="s">
        <v>69</v>
      </c>
      <c r="AZ2765" t="b">
        <v>1</v>
      </c>
    </row>
    <row r="2766" spans="1:52" x14ac:dyDescent="0.3">
      <c r="A2766" t="s">
        <v>52</v>
      </c>
      <c r="B2766" t="s">
        <v>53</v>
      </c>
      <c r="C2766" t="s">
        <v>54</v>
      </c>
      <c r="D2766" t="s">
        <v>55</v>
      </c>
      <c r="E2766" t="s">
        <v>2162</v>
      </c>
      <c r="F2766" t="s">
        <v>190</v>
      </c>
      <c r="G2766" t="s">
        <v>718</v>
      </c>
      <c r="H2766" t="s">
        <v>719</v>
      </c>
      <c r="I2766" t="s">
        <v>719</v>
      </c>
      <c r="J2766" t="s">
        <v>60</v>
      </c>
      <c r="K2766" t="s">
        <v>708</v>
      </c>
      <c r="L2766" t="s">
        <v>62</v>
      </c>
      <c r="M2766" t="s">
        <v>708</v>
      </c>
      <c r="N2766" t="s">
        <v>720</v>
      </c>
      <c r="O2766" t="s">
        <v>721</v>
      </c>
      <c r="P2766">
        <v>-20.130344000000001</v>
      </c>
      <c r="Q2766">
        <v>-44.878869000000002</v>
      </c>
      <c r="R2766" s="2" t="str">
        <f>HYPERLINK("https://www.google.com/maps?q=-20.1303440,-44.8788690","Abrir no Google Maps")</f>
        <v>Abrir no Google Maps</v>
      </c>
      <c r="S2766">
        <v>3</v>
      </c>
      <c r="T2766">
        <v>556.14753541089829</v>
      </c>
      <c r="U2766">
        <v>4</v>
      </c>
      <c r="V2766">
        <v>0.49241823599358442</v>
      </c>
      <c r="W2766">
        <v>1</v>
      </c>
      <c r="X2766">
        <v>0.49241823599358442</v>
      </c>
      <c r="Y2766">
        <v>387</v>
      </c>
      <c r="Z2766">
        <v>521.53850378132177</v>
      </c>
      <c r="AA2766">
        <v>198</v>
      </c>
      <c r="AB2766">
        <v>332</v>
      </c>
      <c r="AC2766">
        <v>536</v>
      </c>
      <c r="AD2766">
        <v>26.86</v>
      </c>
      <c r="AE2766">
        <v>542</v>
      </c>
      <c r="AF2766">
        <v>15</v>
      </c>
      <c r="AG2766">
        <v>178</v>
      </c>
      <c r="AH2766">
        <v>129</v>
      </c>
      <c r="AI2766">
        <v>2.77</v>
      </c>
      <c r="AJ2766">
        <v>32.840000000000003</v>
      </c>
      <c r="AK2766">
        <v>23.8</v>
      </c>
      <c r="AL2766">
        <v>-20.13050289999995</v>
      </c>
      <c r="AM2766">
        <v>-44.878831282856943</v>
      </c>
      <c r="AN2766">
        <v>-20.13050289999995</v>
      </c>
      <c r="AO2766">
        <v>-44.878831282856943</v>
      </c>
      <c r="AP2766">
        <v>-20.130344000000001</v>
      </c>
      <c r="AQ2766">
        <v>-44.878869000000002</v>
      </c>
      <c r="AR2766">
        <v>18.122709277240279</v>
      </c>
      <c r="AS2766" t="s">
        <v>65</v>
      </c>
      <c r="AT2766">
        <v>1</v>
      </c>
      <c r="AU2766" t="s">
        <v>722</v>
      </c>
      <c r="AV2766" t="s">
        <v>723</v>
      </c>
      <c r="AW2766" t="s">
        <v>60</v>
      </c>
      <c r="AX2766" t="s">
        <v>68</v>
      </c>
      <c r="AY2766" t="s">
        <v>69</v>
      </c>
      <c r="AZ2766" t="b">
        <v>1</v>
      </c>
    </row>
    <row r="2767" spans="1:52" x14ac:dyDescent="0.3">
      <c r="A2767" t="s">
        <v>52</v>
      </c>
      <c r="B2767" t="s">
        <v>53</v>
      </c>
      <c r="C2767" t="s">
        <v>54</v>
      </c>
      <c r="D2767" t="s">
        <v>55</v>
      </c>
      <c r="E2767" t="s">
        <v>2162</v>
      </c>
      <c r="F2767" t="s">
        <v>190</v>
      </c>
      <c r="G2767" t="s">
        <v>724</v>
      </c>
      <c r="H2767" t="s">
        <v>725</v>
      </c>
      <c r="I2767" t="s">
        <v>725</v>
      </c>
      <c r="J2767" t="s">
        <v>60</v>
      </c>
      <c r="K2767" t="s">
        <v>708</v>
      </c>
      <c r="L2767" t="s">
        <v>62</v>
      </c>
      <c r="M2767" t="s">
        <v>708</v>
      </c>
      <c r="N2767" t="s">
        <v>726</v>
      </c>
      <c r="O2767" t="s">
        <v>727</v>
      </c>
      <c r="P2767">
        <v>-20.131702000000001</v>
      </c>
      <c r="Q2767">
        <v>-44.873930999999999</v>
      </c>
      <c r="R2767" s="2" t="str">
        <f>HYPERLINK("https://www.google.com/maps?q=-20.1317020,-44.8739310","Abrir no Google Maps")</f>
        <v>Abrir no Google Maps</v>
      </c>
      <c r="S2767">
        <v>3</v>
      </c>
      <c r="T2767">
        <v>207.9085436463628</v>
      </c>
      <c r="U2767">
        <v>4</v>
      </c>
      <c r="V2767">
        <v>0.44069928049702523</v>
      </c>
      <c r="W2767">
        <v>1</v>
      </c>
      <c r="X2767">
        <v>0.44069928049702523</v>
      </c>
      <c r="Y2767">
        <v>387</v>
      </c>
      <c r="Z2767">
        <v>213.98086855276571</v>
      </c>
      <c r="AA2767">
        <v>198</v>
      </c>
      <c r="AB2767">
        <v>332</v>
      </c>
      <c r="AC2767">
        <v>536</v>
      </c>
      <c r="AD2767">
        <v>26.86</v>
      </c>
      <c r="AE2767">
        <v>542</v>
      </c>
      <c r="AF2767">
        <v>15</v>
      </c>
      <c r="AG2767">
        <v>178</v>
      </c>
      <c r="AH2767">
        <v>129</v>
      </c>
      <c r="AI2767">
        <v>2.77</v>
      </c>
      <c r="AJ2767">
        <v>32.840000000000003</v>
      </c>
      <c r="AK2767">
        <v>23.8</v>
      </c>
      <c r="AL2767">
        <v>-20.131807549999959</v>
      </c>
      <c r="AM2767">
        <v>-44.874039553784442</v>
      </c>
      <c r="AN2767">
        <v>-20.131807549999959</v>
      </c>
      <c r="AO2767">
        <v>-44.874039553784442</v>
      </c>
      <c r="AP2767">
        <v>-20.131702000000001</v>
      </c>
      <c r="AQ2767">
        <v>-44.873930999999999</v>
      </c>
      <c r="AR2767">
        <v>16.333643574998401</v>
      </c>
      <c r="AS2767" t="s">
        <v>65</v>
      </c>
      <c r="AT2767">
        <v>1</v>
      </c>
      <c r="AU2767" t="s">
        <v>728</v>
      </c>
      <c r="AV2767" t="s">
        <v>729</v>
      </c>
      <c r="AW2767" t="s">
        <v>60</v>
      </c>
      <c r="AX2767" t="s">
        <v>68</v>
      </c>
      <c r="AY2767" t="s">
        <v>69</v>
      </c>
      <c r="AZ2767" t="b">
        <v>1</v>
      </c>
    </row>
    <row r="2768" spans="1:52" x14ac:dyDescent="0.3">
      <c r="A2768" t="s">
        <v>52</v>
      </c>
      <c r="B2768" t="s">
        <v>53</v>
      </c>
      <c r="C2768" t="s">
        <v>54</v>
      </c>
      <c r="D2768" t="s">
        <v>55</v>
      </c>
      <c r="E2768" t="s">
        <v>2162</v>
      </c>
      <c r="F2768" t="s">
        <v>190</v>
      </c>
      <c r="G2768" t="s">
        <v>1054</v>
      </c>
      <c r="H2768" t="s">
        <v>1055</v>
      </c>
      <c r="I2768" t="s">
        <v>1055</v>
      </c>
      <c r="J2768" t="s">
        <v>60</v>
      </c>
      <c r="K2768" t="s">
        <v>708</v>
      </c>
      <c r="L2768" t="s">
        <v>62</v>
      </c>
      <c r="M2768" t="s">
        <v>708</v>
      </c>
      <c r="N2768" t="s">
        <v>1056</v>
      </c>
      <c r="O2768" t="s">
        <v>315</v>
      </c>
      <c r="P2768">
        <v>-20.130849000000001</v>
      </c>
      <c r="Q2768">
        <v>-44.870922999999998</v>
      </c>
      <c r="R2768" s="2" t="str">
        <f>HYPERLINK("https://www.google.com/maps?q=-20.1308490,-44.8709230","Abrir no Google Maps")</f>
        <v>Abrir no Google Maps</v>
      </c>
      <c r="S2768">
        <v>3</v>
      </c>
      <c r="T2768">
        <v>288.83865075380498</v>
      </c>
      <c r="U2768">
        <v>4</v>
      </c>
      <c r="V2768">
        <v>0.47826235821298302</v>
      </c>
      <c r="W2768">
        <v>0.85</v>
      </c>
      <c r="X2768">
        <v>0.40652300448103562</v>
      </c>
      <c r="Y2768">
        <v>387</v>
      </c>
      <c r="Z2768">
        <v>347.59283577270531</v>
      </c>
      <c r="AA2768">
        <v>198</v>
      </c>
      <c r="AB2768">
        <v>332</v>
      </c>
      <c r="AC2768">
        <v>536</v>
      </c>
      <c r="AD2768">
        <v>26.86</v>
      </c>
      <c r="AE2768">
        <v>542</v>
      </c>
      <c r="AF2768">
        <v>15</v>
      </c>
      <c r="AG2768">
        <v>178</v>
      </c>
      <c r="AH2768">
        <v>129</v>
      </c>
      <c r="AI2768">
        <v>2.77</v>
      </c>
      <c r="AJ2768">
        <v>32.840000000000003</v>
      </c>
      <c r="AK2768">
        <v>23.8</v>
      </c>
      <c r="AL2768">
        <v>-20.130950899999959</v>
      </c>
      <c r="AM2768">
        <v>-44.87096892838121</v>
      </c>
      <c r="AN2768">
        <v>-20.130950899999959</v>
      </c>
      <c r="AO2768">
        <v>-44.87096892838121</v>
      </c>
      <c r="AP2768">
        <v>-20.130849000000001</v>
      </c>
      <c r="AQ2768">
        <v>-44.870922999999998</v>
      </c>
      <c r="AR2768">
        <v>12.31742795843153</v>
      </c>
      <c r="AS2768" t="s">
        <v>65</v>
      </c>
      <c r="AT2768">
        <v>1</v>
      </c>
      <c r="AU2768" t="s">
        <v>1057</v>
      </c>
      <c r="AV2768" t="s">
        <v>1058</v>
      </c>
      <c r="AW2768" t="s">
        <v>60</v>
      </c>
      <c r="AX2768" t="s">
        <v>68</v>
      </c>
      <c r="AY2768" t="s">
        <v>69</v>
      </c>
      <c r="AZ2768" t="b">
        <v>1</v>
      </c>
    </row>
    <row r="2769" spans="1:52" x14ac:dyDescent="0.3">
      <c r="A2769" t="s">
        <v>52</v>
      </c>
      <c r="B2769" t="s">
        <v>53</v>
      </c>
      <c r="C2769" t="s">
        <v>54</v>
      </c>
      <c r="D2769" t="s">
        <v>55</v>
      </c>
      <c r="E2769" t="s">
        <v>2162</v>
      </c>
      <c r="F2769" t="s">
        <v>190</v>
      </c>
      <c r="G2769" t="s">
        <v>706</v>
      </c>
      <c r="H2769" t="s">
        <v>730</v>
      </c>
      <c r="I2769" t="s">
        <v>730</v>
      </c>
      <c r="J2769" t="s">
        <v>60</v>
      </c>
      <c r="K2769" t="s">
        <v>708</v>
      </c>
      <c r="L2769" t="s">
        <v>62</v>
      </c>
      <c r="M2769" t="s">
        <v>708</v>
      </c>
      <c r="N2769" t="s">
        <v>709</v>
      </c>
      <c r="O2769" t="s">
        <v>731</v>
      </c>
      <c r="P2769">
        <v>-20.130037999999999</v>
      </c>
      <c r="Q2769">
        <v>-44.873514</v>
      </c>
      <c r="R2769" s="2" t="str">
        <f>HYPERLINK("https://www.google.com/maps?q=-20.1300380,-44.8735140","Abrir no Google Maps")</f>
        <v>Abrir no Google Maps</v>
      </c>
      <c r="S2769">
        <v>3</v>
      </c>
      <c r="T2769">
        <v>0</v>
      </c>
      <c r="U2769">
        <v>4</v>
      </c>
      <c r="V2769">
        <v>0.4638259982410024</v>
      </c>
      <c r="W2769">
        <v>1</v>
      </c>
      <c r="X2769">
        <v>0.4638259982410024</v>
      </c>
      <c r="Y2769">
        <v>387</v>
      </c>
      <c r="Z2769">
        <v>108.0014931591698</v>
      </c>
      <c r="AA2769">
        <v>198</v>
      </c>
      <c r="AB2769">
        <v>332</v>
      </c>
      <c r="AC2769">
        <v>536</v>
      </c>
      <c r="AD2769">
        <v>26.86</v>
      </c>
      <c r="AE2769">
        <v>542</v>
      </c>
      <c r="AF2769">
        <v>15</v>
      </c>
      <c r="AG2769">
        <v>178</v>
      </c>
      <c r="AH2769">
        <v>129</v>
      </c>
      <c r="AI2769">
        <v>2.77</v>
      </c>
      <c r="AJ2769">
        <v>32.840000000000003</v>
      </c>
      <c r="AK2769">
        <v>23.8</v>
      </c>
      <c r="AL2769">
        <v>-20.12998944999995</v>
      </c>
      <c r="AM2769">
        <v>-44.873538114227337</v>
      </c>
      <c r="AN2769">
        <v>-20.12998944999995</v>
      </c>
      <c r="AO2769">
        <v>-44.873538114227337</v>
      </c>
      <c r="AP2769">
        <v>-20.130037999999999</v>
      </c>
      <c r="AQ2769">
        <v>-44.873514</v>
      </c>
      <c r="AR2769">
        <v>5.9633928268280867</v>
      </c>
      <c r="AS2769" t="s">
        <v>65</v>
      </c>
      <c r="AT2769">
        <v>1</v>
      </c>
      <c r="AU2769" t="s">
        <v>732</v>
      </c>
      <c r="AV2769" t="s">
        <v>733</v>
      </c>
      <c r="AW2769" t="s">
        <v>60</v>
      </c>
      <c r="AX2769" t="s">
        <v>68</v>
      </c>
      <c r="AY2769" t="s">
        <v>69</v>
      </c>
      <c r="AZ2769" t="b">
        <v>1</v>
      </c>
    </row>
    <row r="2770" spans="1:52" x14ac:dyDescent="0.3">
      <c r="A2770" t="s">
        <v>52</v>
      </c>
      <c r="B2770" t="s">
        <v>53</v>
      </c>
      <c r="C2770" t="s">
        <v>54</v>
      </c>
      <c r="D2770" t="s">
        <v>55</v>
      </c>
      <c r="E2770" t="s">
        <v>2162</v>
      </c>
      <c r="F2770" t="s">
        <v>190</v>
      </c>
      <c r="G2770" t="s">
        <v>741</v>
      </c>
      <c r="H2770" t="s">
        <v>742</v>
      </c>
      <c r="I2770" t="s">
        <v>742</v>
      </c>
      <c r="J2770" t="s">
        <v>60</v>
      </c>
      <c r="K2770" t="s">
        <v>688</v>
      </c>
      <c r="L2770" t="s">
        <v>62</v>
      </c>
      <c r="M2770" t="s">
        <v>688</v>
      </c>
      <c r="N2770" t="s">
        <v>743</v>
      </c>
      <c r="O2770" t="s">
        <v>744</v>
      </c>
      <c r="P2770">
        <v>-20.136733</v>
      </c>
      <c r="Q2770">
        <v>-44.888140999999997</v>
      </c>
      <c r="R2770" s="2" t="str">
        <f>HYPERLINK("https://www.google.com/maps?q=-20.1367330,-44.8881410","Abrir no Google Maps")</f>
        <v>Abrir no Google Maps</v>
      </c>
      <c r="S2770">
        <v>3</v>
      </c>
      <c r="T2770">
        <v>175.84339996559589</v>
      </c>
      <c r="U2770">
        <v>4</v>
      </c>
      <c r="V2770">
        <v>0.48355325893250489</v>
      </c>
      <c r="W2770">
        <v>1</v>
      </c>
      <c r="X2770">
        <v>0.48355325893250489</v>
      </c>
      <c r="Y2770">
        <v>350</v>
      </c>
      <c r="Z2770">
        <v>171.90575296051961</v>
      </c>
      <c r="AA2770">
        <v>198</v>
      </c>
      <c r="AB2770">
        <v>332</v>
      </c>
      <c r="AC2770">
        <v>536</v>
      </c>
      <c r="AD2770">
        <v>26.86</v>
      </c>
      <c r="AE2770">
        <v>542</v>
      </c>
      <c r="AF2770">
        <v>15</v>
      </c>
      <c r="AG2770">
        <v>178</v>
      </c>
      <c r="AH2770">
        <v>129</v>
      </c>
      <c r="AI2770">
        <v>2.77</v>
      </c>
      <c r="AJ2770">
        <v>32.840000000000003</v>
      </c>
      <c r="AK2770">
        <v>23.8</v>
      </c>
      <c r="AL2770">
        <v>-20.136726099999979</v>
      </c>
      <c r="AM2770">
        <v>-44.888062077766982</v>
      </c>
      <c r="AN2770">
        <v>-20.136726099999979</v>
      </c>
      <c r="AO2770">
        <v>-44.888062077766982</v>
      </c>
      <c r="AP2770">
        <v>-20.136733</v>
      </c>
      <c r="AQ2770">
        <v>-44.888140999999997</v>
      </c>
      <c r="AR2770">
        <v>8.2842769013797852</v>
      </c>
      <c r="AS2770" t="s">
        <v>65</v>
      </c>
      <c r="AT2770">
        <v>1</v>
      </c>
      <c r="AU2770" t="s">
        <v>745</v>
      </c>
      <c r="AV2770" t="s">
        <v>746</v>
      </c>
      <c r="AW2770" t="s">
        <v>60</v>
      </c>
      <c r="AX2770" t="s">
        <v>68</v>
      </c>
      <c r="AY2770" t="s">
        <v>69</v>
      </c>
      <c r="AZ2770" t="b">
        <v>1</v>
      </c>
    </row>
    <row r="2771" spans="1:52" x14ac:dyDescent="0.3">
      <c r="A2771" t="s">
        <v>52</v>
      </c>
      <c r="B2771" t="s">
        <v>53</v>
      </c>
      <c r="C2771" t="s">
        <v>54</v>
      </c>
      <c r="D2771" t="s">
        <v>55</v>
      </c>
      <c r="E2771" t="s">
        <v>2162</v>
      </c>
      <c r="F2771" t="s">
        <v>190</v>
      </c>
      <c r="G2771" t="s">
        <v>1009</v>
      </c>
      <c r="H2771" t="s">
        <v>1073</v>
      </c>
      <c r="I2771" t="s">
        <v>1073</v>
      </c>
      <c r="J2771" t="s">
        <v>60</v>
      </c>
      <c r="K2771" t="s">
        <v>805</v>
      </c>
      <c r="L2771" t="s">
        <v>62</v>
      </c>
      <c r="M2771" t="s">
        <v>805</v>
      </c>
      <c r="N2771" t="s">
        <v>1011</v>
      </c>
      <c r="O2771" t="s">
        <v>1074</v>
      </c>
      <c r="P2771">
        <v>-20.137049000000001</v>
      </c>
      <c r="Q2771">
        <v>-44.885832000000001</v>
      </c>
      <c r="R2771" s="2" t="str">
        <f>HYPERLINK("https://www.google.com/maps?q=-20.1370490,-44.8858320","Abrir no Google Maps")</f>
        <v>Abrir no Google Maps</v>
      </c>
      <c r="S2771">
        <v>3</v>
      </c>
      <c r="T2771">
        <v>255.2207994789398</v>
      </c>
      <c r="U2771">
        <v>4</v>
      </c>
      <c r="V2771">
        <v>0.51271749883832241</v>
      </c>
      <c r="W2771">
        <v>0.85</v>
      </c>
      <c r="X2771">
        <v>0.43580987401257398</v>
      </c>
      <c r="Y2771">
        <v>350</v>
      </c>
      <c r="Z2771">
        <v>122.85075315998721</v>
      </c>
      <c r="AA2771">
        <v>198</v>
      </c>
      <c r="AB2771">
        <v>332</v>
      </c>
      <c r="AC2771">
        <v>536</v>
      </c>
      <c r="AD2771">
        <v>26.86</v>
      </c>
      <c r="AE2771">
        <v>542</v>
      </c>
      <c r="AF2771">
        <v>15</v>
      </c>
      <c r="AG2771">
        <v>178</v>
      </c>
      <c r="AH2771">
        <v>129</v>
      </c>
      <c r="AI2771">
        <v>2.77</v>
      </c>
      <c r="AJ2771">
        <v>32.840000000000003</v>
      </c>
      <c r="AK2771">
        <v>23.8</v>
      </c>
      <c r="AL2771">
        <v>-20.136876799999978</v>
      </c>
      <c r="AM2771">
        <v>-44.885908665033703</v>
      </c>
      <c r="AN2771">
        <v>-20.136876799999989</v>
      </c>
      <c r="AO2771">
        <v>-44.885908665033703</v>
      </c>
      <c r="AP2771">
        <v>-20.137049000000001</v>
      </c>
      <c r="AQ2771">
        <v>-44.885832000000001</v>
      </c>
      <c r="AR2771">
        <v>20.776552041735069</v>
      </c>
      <c r="AS2771" t="s">
        <v>65</v>
      </c>
      <c r="AT2771">
        <v>1</v>
      </c>
      <c r="AU2771" t="s">
        <v>1075</v>
      </c>
      <c r="AV2771" t="s">
        <v>1076</v>
      </c>
      <c r="AW2771" t="s">
        <v>60</v>
      </c>
      <c r="AX2771" t="s">
        <v>68</v>
      </c>
      <c r="AY2771" t="s">
        <v>69</v>
      </c>
      <c r="AZ2771" t="b">
        <v>1</v>
      </c>
    </row>
    <row r="2772" spans="1:52" x14ac:dyDescent="0.3">
      <c r="A2772" t="s">
        <v>52</v>
      </c>
      <c r="B2772" t="s">
        <v>53</v>
      </c>
      <c r="C2772" t="s">
        <v>54</v>
      </c>
      <c r="D2772" t="s">
        <v>55</v>
      </c>
      <c r="E2772" t="s">
        <v>2162</v>
      </c>
      <c r="F2772" t="s">
        <v>190</v>
      </c>
      <c r="G2772" t="s">
        <v>747</v>
      </c>
      <c r="H2772" t="s">
        <v>748</v>
      </c>
      <c r="I2772" t="s">
        <v>748</v>
      </c>
      <c r="J2772" t="s">
        <v>60</v>
      </c>
      <c r="K2772" t="s">
        <v>505</v>
      </c>
      <c r="L2772" t="s">
        <v>62</v>
      </c>
      <c r="M2772" t="s">
        <v>505</v>
      </c>
      <c r="N2772" t="s">
        <v>749</v>
      </c>
      <c r="O2772" t="s">
        <v>750</v>
      </c>
      <c r="P2772">
        <v>-20.135107000000001</v>
      </c>
      <c r="Q2772">
        <v>-44.887521</v>
      </c>
      <c r="R2772" s="2" t="str">
        <f>HYPERLINK("https://www.google.com/maps?q=-20.1351070,-44.8875210","Abrir no Google Maps")</f>
        <v>Abrir no Google Maps</v>
      </c>
      <c r="S2772">
        <v>3</v>
      </c>
      <c r="T2772">
        <v>0</v>
      </c>
      <c r="U2772">
        <v>4</v>
      </c>
      <c r="V2772">
        <v>0.4438083030621286</v>
      </c>
      <c r="W2772">
        <v>1</v>
      </c>
      <c r="X2772">
        <v>0.4438083030621286</v>
      </c>
      <c r="Y2772">
        <v>350</v>
      </c>
      <c r="Z2772">
        <v>162.3716242776689</v>
      </c>
      <c r="AA2772">
        <v>198</v>
      </c>
      <c r="AB2772">
        <v>332</v>
      </c>
      <c r="AC2772">
        <v>536</v>
      </c>
      <c r="AD2772">
        <v>26.86</v>
      </c>
      <c r="AE2772">
        <v>542</v>
      </c>
      <c r="AF2772">
        <v>15</v>
      </c>
      <c r="AG2772">
        <v>178</v>
      </c>
      <c r="AH2772">
        <v>129</v>
      </c>
      <c r="AI2772">
        <v>2.77</v>
      </c>
      <c r="AJ2772">
        <v>32.840000000000003</v>
      </c>
      <c r="AK2772">
        <v>23.8</v>
      </c>
      <c r="AL2772">
        <v>-20.13520169999995</v>
      </c>
      <c r="AM2772">
        <v>-44.887587176802917</v>
      </c>
      <c r="AN2772">
        <v>-20.13520169999995</v>
      </c>
      <c r="AO2772">
        <v>-44.887587176802931</v>
      </c>
      <c r="AP2772">
        <v>-20.135107000000001</v>
      </c>
      <c r="AQ2772">
        <v>-44.887521</v>
      </c>
      <c r="AR2772">
        <v>12.608438103029821</v>
      </c>
      <c r="AS2772" t="s">
        <v>65</v>
      </c>
      <c r="AT2772">
        <v>1</v>
      </c>
      <c r="AU2772" t="s">
        <v>751</v>
      </c>
      <c r="AV2772" t="s">
        <v>752</v>
      </c>
      <c r="AW2772" t="s">
        <v>60</v>
      </c>
      <c r="AX2772" t="s">
        <v>68</v>
      </c>
      <c r="AY2772" t="s">
        <v>69</v>
      </c>
      <c r="AZ2772" t="b">
        <v>1</v>
      </c>
    </row>
    <row r="2773" spans="1:52" x14ac:dyDescent="0.3">
      <c r="A2773" t="s">
        <v>52</v>
      </c>
      <c r="B2773" t="s">
        <v>53</v>
      </c>
      <c r="C2773" t="s">
        <v>54</v>
      </c>
      <c r="D2773" t="s">
        <v>55</v>
      </c>
      <c r="E2773" t="s">
        <v>2162</v>
      </c>
      <c r="F2773" t="s">
        <v>190</v>
      </c>
      <c r="G2773" t="s">
        <v>753</v>
      </c>
      <c r="H2773" t="s">
        <v>754</v>
      </c>
      <c r="I2773" t="s">
        <v>754</v>
      </c>
      <c r="J2773" t="s">
        <v>60</v>
      </c>
      <c r="K2773" t="s">
        <v>688</v>
      </c>
      <c r="L2773" t="s">
        <v>62</v>
      </c>
      <c r="M2773" t="s">
        <v>688</v>
      </c>
      <c r="N2773" t="s">
        <v>755</v>
      </c>
      <c r="O2773" t="s">
        <v>756</v>
      </c>
      <c r="P2773">
        <v>-20.135238000000001</v>
      </c>
      <c r="Q2773">
        <v>-44.890405999999999</v>
      </c>
      <c r="R2773" s="2" t="str">
        <f>HYPERLINK("https://www.google.com/maps?q=-20.1352380,-44.8904060","Abrir no Google Maps")</f>
        <v>Abrir no Google Maps</v>
      </c>
      <c r="S2773">
        <v>3</v>
      </c>
      <c r="T2773">
        <v>314.49904475975598</v>
      </c>
      <c r="U2773">
        <v>4</v>
      </c>
      <c r="V2773">
        <v>0.46097305950740119</v>
      </c>
      <c r="W2773">
        <v>1</v>
      </c>
      <c r="X2773">
        <v>0.46097305950740119</v>
      </c>
      <c r="Y2773">
        <v>350</v>
      </c>
      <c r="Z2773">
        <v>443.96798796176353</v>
      </c>
      <c r="AA2773">
        <v>198</v>
      </c>
      <c r="AB2773">
        <v>332</v>
      </c>
      <c r="AC2773">
        <v>536</v>
      </c>
      <c r="AD2773">
        <v>26.86</v>
      </c>
      <c r="AE2773">
        <v>542</v>
      </c>
      <c r="AF2773">
        <v>15</v>
      </c>
      <c r="AG2773">
        <v>178</v>
      </c>
      <c r="AH2773">
        <v>129</v>
      </c>
      <c r="AI2773">
        <v>2.77</v>
      </c>
      <c r="AJ2773">
        <v>32.840000000000003</v>
      </c>
      <c r="AK2773">
        <v>23.8</v>
      </c>
      <c r="AL2773">
        <v>-20.134851099999931</v>
      </c>
      <c r="AM2773">
        <v>-44.890573293408117</v>
      </c>
      <c r="AN2773">
        <v>-20.134851099999931</v>
      </c>
      <c r="AO2773">
        <v>-44.890573293408131</v>
      </c>
      <c r="AP2773">
        <v>-20.135238000000001</v>
      </c>
      <c r="AQ2773">
        <v>-44.890405999999999</v>
      </c>
      <c r="AR2773">
        <v>46.483580940434933</v>
      </c>
      <c r="AS2773" t="s">
        <v>65</v>
      </c>
      <c r="AT2773">
        <v>1</v>
      </c>
      <c r="AU2773" t="s">
        <v>757</v>
      </c>
      <c r="AV2773" t="s">
        <v>758</v>
      </c>
      <c r="AW2773" t="s">
        <v>60</v>
      </c>
      <c r="AX2773" t="s">
        <v>68</v>
      </c>
      <c r="AY2773" t="s">
        <v>69</v>
      </c>
      <c r="AZ2773" t="b">
        <v>1</v>
      </c>
    </row>
    <row r="2774" spans="1:52" x14ac:dyDescent="0.3">
      <c r="A2774" t="s">
        <v>52</v>
      </c>
      <c r="B2774" t="s">
        <v>53</v>
      </c>
      <c r="C2774" t="s">
        <v>54</v>
      </c>
      <c r="D2774" t="s">
        <v>55</v>
      </c>
      <c r="E2774" t="s">
        <v>2162</v>
      </c>
      <c r="F2774" t="s">
        <v>190</v>
      </c>
      <c r="G2774" t="s">
        <v>766</v>
      </c>
      <c r="H2774" t="s">
        <v>767</v>
      </c>
      <c r="I2774" t="s">
        <v>767</v>
      </c>
      <c r="J2774" t="s">
        <v>60</v>
      </c>
      <c r="K2774" t="s">
        <v>768</v>
      </c>
      <c r="L2774" t="s">
        <v>62</v>
      </c>
      <c r="M2774" t="s">
        <v>768</v>
      </c>
      <c r="N2774" t="s">
        <v>769</v>
      </c>
      <c r="O2774" t="s">
        <v>770</v>
      </c>
      <c r="P2774">
        <v>-20.135211000000002</v>
      </c>
      <c r="Q2774">
        <v>-44.875359000000003</v>
      </c>
      <c r="R2774" s="2" t="str">
        <f>HYPERLINK("https://www.google.com/maps?q=-20.1352110,-44.8753590","Abrir no Google Maps")</f>
        <v>Abrir no Google Maps</v>
      </c>
      <c r="S2774">
        <v>3</v>
      </c>
      <c r="T2774">
        <v>383.44405482521267</v>
      </c>
      <c r="U2774">
        <v>4</v>
      </c>
      <c r="V2774">
        <v>0.44869668793462009</v>
      </c>
      <c r="W2774">
        <v>1</v>
      </c>
      <c r="X2774">
        <v>0.44869668793462009</v>
      </c>
      <c r="Y2774">
        <v>332</v>
      </c>
      <c r="Z2774">
        <v>219.0766044611764</v>
      </c>
      <c r="AA2774">
        <v>198</v>
      </c>
      <c r="AB2774">
        <v>332</v>
      </c>
      <c r="AC2774">
        <v>536</v>
      </c>
      <c r="AD2774">
        <v>26.86</v>
      </c>
      <c r="AE2774">
        <v>542</v>
      </c>
      <c r="AF2774">
        <v>15</v>
      </c>
      <c r="AG2774">
        <v>178</v>
      </c>
      <c r="AH2774">
        <v>129</v>
      </c>
      <c r="AI2774">
        <v>2.77</v>
      </c>
      <c r="AJ2774">
        <v>32.840000000000003</v>
      </c>
      <c r="AK2774">
        <v>23.8</v>
      </c>
      <c r="AL2774">
        <v>-20.135125549999941</v>
      </c>
      <c r="AM2774">
        <v>-44.875534947489427</v>
      </c>
      <c r="AN2774">
        <v>-20.135125549999941</v>
      </c>
      <c r="AO2774">
        <v>-44.875534947489427</v>
      </c>
      <c r="AP2774">
        <v>-20.135211000000002</v>
      </c>
      <c r="AQ2774">
        <v>-44.875359000000003</v>
      </c>
      <c r="AR2774">
        <v>20.703969313709418</v>
      </c>
      <c r="AS2774" t="s">
        <v>65</v>
      </c>
      <c r="AT2774">
        <v>1</v>
      </c>
      <c r="AU2774" t="s">
        <v>771</v>
      </c>
      <c r="AV2774" t="s">
        <v>772</v>
      </c>
      <c r="AW2774" t="s">
        <v>60</v>
      </c>
      <c r="AX2774" t="s">
        <v>68</v>
      </c>
      <c r="AY2774" t="s">
        <v>69</v>
      </c>
      <c r="AZ2774" t="b">
        <v>1</v>
      </c>
    </row>
    <row r="2775" spans="1:52" x14ac:dyDescent="0.3">
      <c r="A2775" t="s">
        <v>52</v>
      </c>
      <c r="B2775" t="s">
        <v>53</v>
      </c>
      <c r="C2775" t="s">
        <v>54</v>
      </c>
      <c r="D2775" t="s">
        <v>55</v>
      </c>
      <c r="E2775" t="s">
        <v>2162</v>
      </c>
      <c r="F2775" t="s">
        <v>190</v>
      </c>
      <c r="G2775" t="s">
        <v>1099</v>
      </c>
      <c r="H2775" t="s">
        <v>1100</v>
      </c>
      <c r="I2775" t="s">
        <v>1100</v>
      </c>
      <c r="J2775" t="s">
        <v>60</v>
      </c>
      <c r="K2775" t="s">
        <v>781</v>
      </c>
      <c r="L2775" t="s">
        <v>62</v>
      </c>
      <c r="M2775" t="s">
        <v>781</v>
      </c>
      <c r="N2775" t="s">
        <v>1101</v>
      </c>
      <c r="O2775" t="s">
        <v>235</v>
      </c>
      <c r="P2775">
        <v>-20.136811999999999</v>
      </c>
      <c r="Q2775">
        <v>-44.872388000000001</v>
      </c>
      <c r="R2775" s="2" t="str">
        <f>HYPERLINK("https://www.google.com/maps?q=-20.1368120,-44.8723880","Abrir no Google Maps")</f>
        <v>Abrir no Google Maps</v>
      </c>
      <c r="S2775">
        <v>3</v>
      </c>
      <c r="T2775">
        <v>0</v>
      </c>
      <c r="U2775">
        <v>4</v>
      </c>
      <c r="V2775">
        <v>0.40886691627422372</v>
      </c>
      <c r="W2775">
        <v>1</v>
      </c>
      <c r="X2775">
        <v>0.40886691627422372</v>
      </c>
      <c r="Y2775">
        <v>332</v>
      </c>
      <c r="Z2775">
        <v>121.0319884418894</v>
      </c>
      <c r="AA2775">
        <v>198</v>
      </c>
      <c r="AB2775">
        <v>332</v>
      </c>
      <c r="AC2775">
        <v>536</v>
      </c>
      <c r="AD2775">
        <v>26.86</v>
      </c>
      <c r="AE2775">
        <v>542</v>
      </c>
      <c r="AF2775">
        <v>15</v>
      </c>
      <c r="AG2775">
        <v>178</v>
      </c>
      <c r="AH2775">
        <v>129</v>
      </c>
      <c r="AI2775">
        <v>2.77</v>
      </c>
      <c r="AJ2775">
        <v>32.840000000000003</v>
      </c>
      <c r="AK2775">
        <v>23.8</v>
      </c>
      <c r="AL2775">
        <v>-20.136943099999939</v>
      </c>
      <c r="AM2775">
        <v>-44.872411407897907</v>
      </c>
      <c r="AN2775">
        <v>-20.136943099999939</v>
      </c>
      <c r="AO2775">
        <v>-44.872411407897907</v>
      </c>
      <c r="AP2775">
        <v>-20.136811999999999</v>
      </c>
      <c r="AQ2775">
        <v>-44.872388000000001</v>
      </c>
      <c r="AR2775">
        <v>14.79769012694347</v>
      </c>
      <c r="AS2775" t="s">
        <v>65</v>
      </c>
      <c r="AT2775">
        <v>1</v>
      </c>
      <c r="AU2775" t="s">
        <v>1102</v>
      </c>
      <c r="AV2775" t="s">
        <v>1103</v>
      </c>
      <c r="AW2775" t="s">
        <v>60</v>
      </c>
      <c r="AX2775" t="s">
        <v>68</v>
      </c>
      <c r="AY2775" t="s">
        <v>69</v>
      </c>
      <c r="AZ2775" t="b">
        <v>1</v>
      </c>
    </row>
    <row r="2776" spans="1:52" x14ac:dyDescent="0.3">
      <c r="A2776" t="s">
        <v>52</v>
      </c>
      <c r="B2776" t="s">
        <v>53</v>
      </c>
      <c r="C2776" t="s">
        <v>54</v>
      </c>
      <c r="D2776" t="s">
        <v>55</v>
      </c>
      <c r="E2776" t="s">
        <v>2162</v>
      </c>
      <c r="F2776" t="s">
        <v>190</v>
      </c>
      <c r="G2776" t="s">
        <v>1115</v>
      </c>
      <c r="H2776" t="s">
        <v>1116</v>
      </c>
      <c r="I2776" t="s">
        <v>1116</v>
      </c>
      <c r="J2776" t="s">
        <v>60</v>
      </c>
      <c r="K2776" t="s">
        <v>1117</v>
      </c>
      <c r="L2776" t="s">
        <v>62</v>
      </c>
      <c r="M2776" t="s">
        <v>1117</v>
      </c>
      <c r="N2776" t="s">
        <v>1118</v>
      </c>
      <c r="O2776" t="s">
        <v>74</v>
      </c>
      <c r="P2776">
        <v>-20.171123000000001</v>
      </c>
      <c r="Q2776">
        <v>-44.944929999999999</v>
      </c>
      <c r="R2776" s="2" t="str">
        <f>HYPERLINK("https://www.google.com/maps?q=-20.1711230,-44.9449300","Abrir no Google Maps")</f>
        <v>Abrir no Google Maps</v>
      </c>
      <c r="S2776">
        <v>3</v>
      </c>
      <c r="T2776">
        <v>2450.5355520785151</v>
      </c>
      <c r="U2776">
        <v>4</v>
      </c>
      <c r="V2776">
        <v>0.48314396661031273</v>
      </c>
      <c r="W2776">
        <v>0.85</v>
      </c>
      <c r="X2776">
        <v>0.4106723716187658</v>
      </c>
      <c r="Y2776">
        <v>331</v>
      </c>
      <c r="Z2776">
        <v>2306.317072968428</v>
      </c>
      <c r="AA2776">
        <v>198</v>
      </c>
      <c r="AB2776">
        <v>332</v>
      </c>
      <c r="AC2776">
        <v>536</v>
      </c>
      <c r="AD2776">
        <v>26.86</v>
      </c>
      <c r="AE2776">
        <v>542</v>
      </c>
      <c r="AF2776">
        <v>15</v>
      </c>
      <c r="AG2776">
        <v>178</v>
      </c>
      <c r="AH2776">
        <v>129</v>
      </c>
      <c r="AI2776">
        <v>2.77</v>
      </c>
      <c r="AJ2776">
        <v>32.840000000000003</v>
      </c>
      <c r="AK2776">
        <v>23.8</v>
      </c>
      <c r="AL2776">
        <v>-20.170858699999972</v>
      </c>
      <c r="AM2776">
        <v>-44.945018498005382</v>
      </c>
      <c r="AN2776">
        <v>-20.170858699999972</v>
      </c>
      <c r="AO2776">
        <v>-44.945018498005382</v>
      </c>
      <c r="AP2776">
        <v>-20.171123000000001</v>
      </c>
      <c r="AQ2776">
        <v>-44.944929999999999</v>
      </c>
      <c r="AR2776">
        <v>30.840896798881371</v>
      </c>
      <c r="AS2776" t="s">
        <v>65</v>
      </c>
      <c r="AT2776">
        <v>1</v>
      </c>
      <c r="AU2776" t="s">
        <v>1119</v>
      </c>
      <c r="AV2776" t="s">
        <v>1120</v>
      </c>
      <c r="AW2776" t="s">
        <v>60</v>
      </c>
      <c r="AX2776" t="s">
        <v>68</v>
      </c>
      <c r="AY2776" t="s">
        <v>69</v>
      </c>
      <c r="AZ2776" t="b">
        <v>1</v>
      </c>
    </row>
    <row r="2777" spans="1:52" x14ac:dyDescent="0.3">
      <c r="A2777" t="s">
        <v>52</v>
      </c>
      <c r="B2777" t="s">
        <v>53</v>
      </c>
      <c r="C2777" t="s">
        <v>54</v>
      </c>
      <c r="D2777" t="s">
        <v>55</v>
      </c>
      <c r="E2777" t="s">
        <v>2162</v>
      </c>
      <c r="F2777" t="s">
        <v>190</v>
      </c>
      <c r="G2777" t="s">
        <v>789</v>
      </c>
      <c r="H2777" t="s">
        <v>790</v>
      </c>
      <c r="I2777" t="s">
        <v>790</v>
      </c>
      <c r="J2777" t="s">
        <v>60</v>
      </c>
      <c r="K2777" t="s">
        <v>791</v>
      </c>
      <c r="L2777" t="s">
        <v>62</v>
      </c>
      <c r="M2777" t="s">
        <v>791</v>
      </c>
      <c r="N2777" t="s">
        <v>792</v>
      </c>
      <c r="O2777" t="s">
        <v>793</v>
      </c>
      <c r="P2777">
        <v>-20.114263000000001</v>
      </c>
      <c r="Q2777">
        <v>-44.910150000000002</v>
      </c>
      <c r="R2777" s="2" t="str">
        <f>HYPERLINK("https://www.google.com/maps?q=-20.1142630,-44.9101500","Abrir no Google Maps")</f>
        <v>Abrir no Google Maps</v>
      </c>
      <c r="S2777">
        <v>3</v>
      </c>
      <c r="T2777">
        <v>1039.6249825628629</v>
      </c>
      <c r="U2777">
        <v>4</v>
      </c>
      <c r="V2777">
        <v>0.40782002606928658</v>
      </c>
      <c r="W2777">
        <v>1</v>
      </c>
      <c r="X2777">
        <v>0.40782002606928658</v>
      </c>
      <c r="Y2777">
        <v>300</v>
      </c>
      <c r="Z2777">
        <v>1156.8405524690361</v>
      </c>
      <c r="AA2777">
        <v>198</v>
      </c>
      <c r="AB2777">
        <v>332</v>
      </c>
      <c r="AC2777">
        <v>536</v>
      </c>
      <c r="AD2777">
        <v>26.86</v>
      </c>
      <c r="AE2777">
        <v>542</v>
      </c>
      <c r="AF2777">
        <v>15</v>
      </c>
      <c r="AG2777">
        <v>178</v>
      </c>
      <c r="AH2777">
        <v>129</v>
      </c>
      <c r="AI2777">
        <v>2.77</v>
      </c>
      <c r="AJ2777">
        <v>32.840000000000003</v>
      </c>
      <c r="AK2777">
        <v>23.8</v>
      </c>
      <c r="AL2777">
        <v>-20.113823899999939</v>
      </c>
      <c r="AM2777">
        <v>-44.910704705968108</v>
      </c>
      <c r="AN2777">
        <v>-20.113823899999939</v>
      </c>
      <c r="AO2777">
        <v>-44.910704705968108</v>
      </c>
      <c r="AP2777">
        <v>-20.114263000000001</v>
      </c>
      <c r="AQ2777">
        <v>-44.910150000000002</v>
      </c>
      <c r="AR2777">
        <v>75.838236800419978</v>
      </c>
      <c r="AS2777" t="s">
        <v>65</v>
      </c>
      <c r="AT2777">
        <v>1</v>
      </c>
      <c r="AU2777" t="s">
        <v>794</v>
      </c>
      <c r="AV2777" t="s">
        <v>795</v>
      </c>
      <c r="AW2777" t="s">
        <v>60</v>
      </c>
      <c r="AX2777" t="s">
        <v>68</v>
      </c>
      <c r="AY2777" t="s">
        <v>69</v>
      </c>
      <c r="AZ2777" t="b">
        <v>1</v>
      </c>
    </row>
    <row r="2778" spans="1:52" x14ac:dyDescent="0.3">
      <c r="A2778" t="s">
        <v>52</v>
      </c>
      <c r="B2778" t="s">
        <v>53</v>
      </c>
      <c r="C2778" t="s">
        <v>54</v>
      </c>
      <c r="D2778" t="s">
        <v>55</v>
      </c>
      <c r="E2778" t="s">
        <v>2162</v>
      </c>
      <c r="F2778" t="s">
        <v>190</v>
      </c>
      <c r="G2778" t="s">
        <v>796</v>
      </c>
      <c r="H2778" t="s">
        <v>797</v>
      </c>
      <c r="I2778" t="s">
        <v>797</v>
      </c>
      <c r="J2778" t="s">
        <v>60</v>
      </c>
      <c r="K2778" t="s">
        <v>798</v>
      </c>
      <c r="L2778" t="s">
        <v>62</v>
      </c>
      <c r="M2778" t="s">
        <v>798</v>
      </c>
      <c r="N2778" t="s">
        <v>799</v>
      </c>
      <c r="O2778" t="s">
        <v>800</v>
      </c>
      <c r="P2778">
        <v>-20.105681000000001</v>
      </c>
      <c r="Q2778">
        <v>-44.902771999999999</v>
      </c>
      <c r="R2778" s="2" t="str">
        <f>HYPERLINK("https://www.google.com/maps?q=-20.1056810,-44.9027720","Abrir no Google Maps")</f>
        <v>Abrir no Google Maps</v>
      </c>
      <c r="S2778">
        <v>3</v>
      </c>
      <c r="T2778">
        <v>654.76334876090721</v>
      </c>
      <c r="U2778">
        <v>4</v>
      </c>
      <c r="V2778">
        <v>0.41059168596415191</v>
      </c>
      <c r="W2778">
        <v>1</v>
      </c>
      <c r="X2778">
        <v>0.41059168596415191</v>
      </c>
      <c r="Y2778">
        <v>300</v>
      </c>
      <c r="Z2778">
        <v>473.90209409135377</v>
      </c>
      <c r="AA2778">
        <v>198</v>
      </c>
      <c r="AB2778">
        <v>332</v>
      </c>
      <c r="AC2778">
        <v>536</v>
      </c>
      <c r="AD2778">
        <v>26.86</v>
      </c>
      <c r="AE2778">
        <v>542</v>
      </c>
      <c r="AF2778">
        <v>15</v>
      </c>
      <c r="AG2778">
        <v>178</v>
      </c>
      <c r="AH2778">
        <v>129</v>
      </c>
      <c r="AI2778">
        <v>2.77</v>
      </c>
      <c r="AJ2778">
        <v>32.840000000000003</v>
      </c>
      <c r="AK2778">
        <v>23.8</v>
      </c>
      <c r="AL2778">
        <v>-20.105710249999959</v>
      </c>
      <c r="AM2778">
        <v>-44.902887601574513</v>
      </c>
      <c r="AN2778">
        <v>-20.105710249999959</v>
      </c>
      <c r="AO2778">
        <v>-44.902887601574513</v>
      </c>
      <c r="AP2778">
        <v>-20.105681000000001</v>
      </c>
      <c r="AQ2778">
        <v>-44.902771999999999</v>
      </c>
      <c r="AR2778">
        <v>12.5155291382583</v>
      </c>
      <c r="AS2778" t="s">
        <v>65</v>
      </c>
      <c r="AT2778">
        <v>1</v>
      </c>
      <c r="AU2778" t="s">
        <v>801</v>
      </c>
      <c r="AV2778" t="s">
        <v>802</v>
      </c>
      <c r="AW2778" t="s">
        <v>60</v>
      </c>
      <c r="AX2778" t="s">
        <v>68</v>
      </c>
      <c r="AY2778" t="s">
        <v>69</v>
      </c>
      <c r="AZ2778" t="b">
        <v>1</v>
      </c>
    </row>
    <row r="2779" spans="1:52" x14ac:dyDescent="0.3">
      <c r="A2779" t="s">
        <v>52</v>
      </c>
      <c r="B2779" t="s">
        <v>53</v>
      </c>
      <c r="C2779" t="s">
        <v>54</v>
      </c>
      <c r="D2779" t="s">
        <v>55</v>
      </c>
      <c r="E2779" t="s">
        <v>2162</v>
      </c>
      <c r="F2779" t="s">
        <v>190</v>
      </c>
      <c r="G2779" t="s">
        <v>803</v>
      </c>
      <c r="H2779" t="s">
        <v>804</v>
      </c>
      <c r="I2779" t="s">
        <v>804</v>
      </c>
      <c r="J2779" t="s">
        <v>60</v>
      </c>
      <c r="K2779" t="s">
        <v>805</v>
      </c>
      <c r="L2779" t="s">
        <v>62</v>
      </c>
      <c r="M2779" t="s">
        <v>805</v>
      </c>
      <c r="N2779" t="s">
        <v>806</v>
      </c>
      <c r="O2779" t="s">
        <v>807</v>
      </c>
      <c r="P2779">
        <v>-20.133293999999999</v>
      </c>
      <c r="Q2779">
        <v>-44.886302000000001</v>
      </c>
      <c r="R2779" s="2" t="str">
        <f>HYPERLINK("https://www.google.com/maps?q=-20.1332940,-44.8863020","Abrir no Google Maps")</f>
        <v>Abrir no Google Maps</v>
      </c>
      <c r="S2779">
        <v>3</v>
      </c>
      <c r="T2779">
        <v>0</v>
      </c>
      <c r="U2779">
        <v>4</v>
      </c>
      <c r="V2779">
        <v>0.42698629267349608</v>
      </c>
      <c r="W2779">
        <v>1</v>
      </c>
      <c r="X2779">
        <v>0.42698629267349608</v>
      </c>
      <c r="Y2779">
        <v>259</v>
      </c>
      <c r="Z2779">
        <v>76.358812960729097</v>
      </c>
      <c r="AA2779">
        <v>198</v>
      </c>
      <c r="AB2779">
        <v>332</v>
      </c>
      <c r="AC2779">
        <v>536</v>
      </c>
      <c r="AD2779">
        <v>26.86</v>
      </c>
      <c r="AE2779">
        <v>542</v>
      </c>
      <c r="AF2779">
        <v>15</v>
      </c>
      <c r="AG2779">
        <v>178</v>
      </c>
      <c r="AH2779">
        <v>129</v>
      </c>
      <c r="AI2779">
        <v>2.77</v>
      </c>
      <c r="AJ2779">
        <v>32.840000000000003</v>
      </c>
      <c r="AK2779">
        <v>23.8</v>
      </c>
      <c r="AL2779">
        <v>-20.133281749999949</v>
      </c>
      <c r="AM2779">
        <v>-44.886395047959027</v>
      </c>
      <c r="AN2779">
        <v>-20.133281749999949</v>
      </c>
      <c r="AO2779">
        <v>-44.886395047959027</v>
      </c>
      <c r="AP2779">
        <v>-20.133293999999999</v>
      </c>
      <c r="AQ2779">
        <v>-44.886302000000001</v>
      </c>
      <c r="AR2779">
        <v>9.8203037443031231</v>
      </c>
      <c r="AS2779" t="s">
        <v>65</v>
      </c>
      <c r="AT2779">
        <v>1</v>
      </c>
      <c r="AU2779" t="s">
        <v>808</v>
      </c>
      <c r="AV2779" t="s">
        <v>809</v>
      </c>
      <c r="AW2779" t="s">
        <v>60</v>
      </c>
      <c r="AX2779" t="s">
        <v>68</v>
      </c>
      <c r="AY2779" t="s">
        <v>69</v>
      </c>
      <c r="AZ2779" t="b">
        <v>1</v>
      </c>
    </row>
    <row r="2780" spans="1:52" x14ac:dyDescent="0.3">
      <c r="A2780" t="s">
        <v>52</v>
      </c>
      <c r="B2780" t="s">
        <v>53</v>
      </c>
      <c r="C2780" t="s">
        <v>54</v>
      </c>
      <c r="D2780" t="s">
        <v>55</v>
      </c>
      <c r="E2780" t="s">
        <v>2162</v>
      </c>
      <c r="F2780" t="s">
        <v>190</v>
      </c>
      <c r="G2780" t="s">
        <v>1182</v>
      </c>
      <c r="H2780" t="s">
        <v>1183</v>
      </c>
      <c r="I2780" t="s">
        <v>1183</v>
      </c>
      <c r="J2780" t="s">
        <v>60</v>
      </c>
      <c r="K2780" t="s">
        <v>207</v>
      </c>
      <c r="L2780" t="s">
        <v>62</v>
      </c>
      <c r="M2780" t="s">
        <v>207</v>
      </c>
      <c r="N2780" t="s">
        <v>1184</v>
      </c>
      <c r="O2780" t="s">
        <v>257</v>
      </c>
      <c r="P2780">
        <v>-20.126885000000001</v>
      </c>
      <c r="Q2780">
        <v>-44.884162000000003</v>
      </c>
      <c r="R2780" s="2" t="str">
        <f>HYPERLINK("https://www.google.com/maps?q=-20.1268850,-44.8841620","Abrir no Google Maps")</f>
        <v>Abrir no Google Maps</v>
      </c>
      <c r="S2780">
        <v>3</v>
      </c>
      <c r="T2780">
        <v>514.13587937491741</v>
      </c>
      <c r="U2780">
        <v>4</v>
      </c>
      <c r="V2780">
        <v>0.48095678329811459</v>
      </c>
      <c r="W2780">
        <v>0.85</v>
      </c>
      <c r="X2780">
        <v>0.40881326580339739</v>
      </c>
      <c r="Y2780">
        <v>259</v>
      </c>
      <c r="Z2780">
        <v>611.64962394743804</v>
      </c>
      <c r="AA2780">
        <v>198</v>
      </c>
      <c r="AB2780">
        <v>332</v>
      </c>
      <c r="AC2780">
        <v>536</v>
      </c>
      <c r="AD2780">
        <v>26.86</v>
      </c>
      <c r="AE2780">
        <v>542</v>
      </c>
      <c r="AF2780">
        <v>15</v>
      </c>
      <c r="AG2780">
        <v>178</v>
      </c>
      <c r="AH2780">
        <v>129</v>
      </c>
      <c r="AI2780">
        <v>2.77</v>
      </c>
      <c r="AJ2780">
        <v>32.840000000000003</v>
      </c>
      <c r="AK2780">
        <v>23.8</v>
      </c>
      <c r="AL2780">
        <v>-20.12682359999997</v>
      </c>
      <c r="AM2780">
        <v>-44.884056486492632</v>
      </c>
      <c r="AN2780">
        <v>-20.12682359999997</v>
      </c>
      <c r="AO2780">
        <v>-44.884056486492632</v>
      </c>
      <c r="AP2780">
        <v>-20.126885000000001</v>
      </c>
      <c r="AQ2780">
        <v>-44.884162000000003</v>
      </c>
      <c r="AR2780">
        <v>12.97479989794236</v>
      </c>
      <c r="AS2780" t="s">
        <v>65</v>
      </c>
      <c r="AT2780">
        <v>1</v>
      </c>
      <c r="AU2780" t="s">
        <v>1185</v>
      </c>
      <c r="AV2780" t="s">
        <v>1186</v>
      </c>
      <c r="AW2780" t="s">
        <v>60</v>
      </c>
      <c r="AX2780" t="s">
        <v>68</v>
      </c>
      <c r="AY2780" t="s">
        <v>69</v>
      </c>
      <c r="AZ2780" t="b">
        <v>1</v>
      </c>
    </row>
    <row r="2781" spans="1:52" x14ac:dyDescent="0.3">
      <c r="A2781" t="s">
        <v>52</v>
      </c>
      <c r="B2781" t="s">
        <v>53</v>
      </c>
      <c r="C2781" t="s">
        <v>54</v>
      </c>
      <c r="D2781" t="s">
        <v>55</v>
      </c>
      <c r="E2781" t="s">
        <v>2162</v>
      </c>
      <c r="F2781" t="s">
        <v>190</v>
      </c>
      <c r="G2781" t="s">
        <v>810</v>
      </c>
      <c r="H2781" t="s">
        <v>811</v>
      </c>
      <c r="I2781" t="s">
        <v>811</v>
      </c>
      <c r="J2781" t="s">
        <v>60</v>
      </c>
      <c r="K2781" t="s">
        <v>805</v>
      </c>
      <c r="L2781" t="s">
        <v>62</v>
      </c>
      <c r="M2781" t="s">
        <v>805</v>
      </c>
      <c r="N2781" t="s">
        <v>812</v>
      </c>
      <c r="O2781" t="s">
        <v>309</v>
      </c>
      <c r="P2781">
        <v>-20.129868999999999</v>
      </c>
      <c r="Q2781">
        <v>-44.884247999999999</v>
      </c>
      <c r="R2781" s="2" t="str">
        <f>HYPERLINK("https://www.google.com/maps?q=-20.1298690,-44.8842480","Abrir no Google Maps")</f>
        <v>Abrir no Google Maps</v>
      </c>
      <c r="S2781">
        <v>3</v>
      </c>
      <c r="T2781">
        <v>434.82198084080329</v>
      </c>
      <c r="U2781">
        <v>4</v>
      </c>
      <c r="V2781">
        <v>0.50546902625996426</v>
      </c>
      <c r="W2781">
        <v>1</v>
      </c>
      <c r="X2781">
        <v>0.50546902625996426</v>
      </c>
      <c r="Y2781">
        <v>259</v>
      </c>
      <c r="Z2781">
        <v>281.76247768049842</v>
      </c>
      <c r="AA2781">
        <v>198</v>
      </c>
      <c r="AB2781">
        <v>332</v>
      </c>
      <c r="AC2781">
        <v>536</v>
      </c>
      <c r="AD2781">
        <v>26.86</v>
      </c>
      <c r="AE2781">
        <v>542</v>
      </c>
      <c r="AF2781">
        <v>15</v>
      </c>
      <c r="AG2781">
        <v>178</v>
      </c>
      <c r="AH2781">
        <v>129</v>
      </c>
      <c r="AI2781">
        <v>2.77</v>
      </c>
      <c r="AJ2781">
        <v>32.840000000000003</v>
      </c>
      <c r="AK2781">
        <v>23.8</v>
      </c>
      <c r="AL2781">
        <v>-20.129927549999959</v>
      </c>
      <c r="AM2781">
        <v>-44.884228133573217</v>
      </c>
      <c r="AN2781">
        <v>-20.129927549999959</v>
      </c>
      <c r="AO2781">
        <v>-44.884228133573217</v>
      </c>
      <c r="AP2781">
        <v>-20.129868999999999</v>
      </c>
      <c r="AQ2781">
        <v>-44.884247999999999</v>
      </c>
      <c r="AR2781">
        <v>6.8405504803478081</v>
      </c>
      <c r="AS2781" t="s">
        <v>65</v>
      </c>
      <c r="AT2781">
        <v>1</v>
      </c>
      <c r="AU2781" t="s">
        <v>813</v>
      </c>
      <c r="AV2781" t="s">
        <v>814</v>
      </c>
      <c r="AW2781" t="s">
        <v>60</v>
      </c>
      <c r="AX2781" t="s">
        <v>68</v>
      </c>
      <c r="AY2781" t="s">
        <v>69</v>
      </c>
      <c r="AZ2781" t="b">
        <v>1</v>
      </c>
    </row>
    <row r="2782" spans="1:52" x14ac:dyDescent="0.3">
      <c r="A2782" t="s">
        <v>52</v>
      </c>
      <c r="B2782" t="s">
        <v>53</v>
      </c>
      <c r="C2782" t="s">
        <v>54</v>
      </c>
      <c r="D2782" t="s">
        <v>55</v>
      </c>
      <c r="E2782" t="s">
        <v>2162</v>
      </c>
      <c r="F2782" t="s">
        <v>190</v>
      </c>
      <c r="G2782" t="s">
        <v>815</v>
      </c>
      <c r="H2782" t="s">
        <v>816</v>
      </c>
      <c r="I2782" t="s">
        <v>816</v>
      </c>
      <c r="J2782" t="s">
        <v>60</v>
      </c>
      <c r="K2782" t="s">
        <v>805</v>
      </c>
      <c r="L2782" t="s">
        <v>62</v>
      </c>
      <c r="M2782" t="s">
        <v>805</v>
      </c>
      <c r="N2782" t="s">
        <v>817</v>
      </c>
      <c r="O2782" t="s">
        <v>818</v>
      </c>
      <c r="P2782">
        <v>-20.129894</v>
      </c>
      <c r="Q2782">
        <v>-44.886285000000001</v>
      </c>
      <c r="R2782" s="2" t="str">
        <f>HYPERLINK("https://www.google.com/maps?q=-20.1298940,-44.8862850","Abrir no Google Maps")</f>
        <v>Abrir no Google Maps</v>
      </c>
      <c r="S2782">
        <v>3</v>
      </c>
      <c r="T2782">
        <v>245.88570896460399</v>
      </c>
      <c r="U2782">
        <v>4</v>
      </c>
      <c r="V2782">
        <v>0.47663635273150701</v>
      </c>
      <c r="W2782">
        <v>1</v>
      </c>
      <c r="X2782">
        <v>0.47663635273150701</v>
      </c>
      <c r="Y2782">
        <v>259</v>
      </c>
      <c r="Z2782">
        <v>274.53833463725539</v>
      </c>
      <c r="AA2782">
        <v>198</v>
      </c>
      <c r="AB2782">
        <v>332</v>
      </c>
      <c r="AC2782">
        <v>536</v>
      </c>
      <c r="AD2782">
        <v>26.86</v>
      </c>
      <c r="AE2782">
        <v>542</v>
      </c>
      <c r="AF2782">
        <v>15</v>
      </c>
      <c r="AG2782">
        <v>178</v>
      </c>
      <c r="AH2782">
        <v>129</v>
      </c>
      <c r="AI2782">
        <v>2.77</v>
      </c>
      <c r="AJ2782">
        <v>32.840000000000003</v>
      </c>
      <c r="AK2782">
        <v>23.8</v>
      </c>
      <c r="AL2782">
        <v>-20.129900749999969</v>
      </c>
      <c r="AM2782">
        <v>-44.886258682425179</v>
      </c>
      <c r="AN2782">
        <v>-20.129900749999969</v>
      </c>
      <c r="AO2782">
        <v>-44.886258682425179</v>
      </c>
      <c r="AP2782">
        <v>-20.129894</v>
      </c>
      <c r="AQ2782">
        <v>-44.886285000000001</v>
      </c>
      <c r="AR2782">
        <v>2.851497427576585</v>
      </c>
      <c r="AS2782" t="s">
        <v>65</v>
      </c>
      <c r="AT2782">
        <v>1</v>
      </c>
      <c r="AU2782" t="s">
        <v>819</v>
      </c>
      <c r="AV2782" t="s">
        <v>814</v>
      </c>
      <c r="AW2782" t="s">
        <v>60</v>
      </c>
      <c r="AX2782" t="s">
        <v>68</v>
      </c>
      <c r="AY2782" t="s">
        <v>69</v>
      </c>
      <c r="AZ2782" t="b">
        <v>1</v>
      </c>
    </row>
    <row r="2783" spans="1:52" x14ac:dyDescent="0.3">
      <c r="A2783" t="s">
        <v>52</v>
      </c>
      <c r="B2783" t="s">
        <v>53</v>
      </c>
      <c r="C2783" t="s">
        <v>54</v>
      </c>
      <c r="D2783" t="s">
        <v>55</v>
      </c>
      <c r="E2783" t="s">
        <v>2162</v>
      </c>
      <c r="F2783" t="s">
        <v>190</v>
      </c>
      <c r="G2783" t="s">
        <v>820</v>
      </c>
      <c r="H2783" t="s">
        <v>821</v>
      </c>
      <c r="I2783" t="s">
        <v>821</v>
      </c>
      <c r="J2783" t="s">
        <v>60</v>
      </c>
      <c r="K2783" t="s">
        <v>822</v>
      </c>
      <c r="L2783" t="s">
        <v>62</v>
      </c>
      <c r="M2783" t="s">
        <v>822</v>
      </c>
      <c r="N2783" t="s">
        <v>823</v>
      </c>
      <c r="O2783" t="s">
        <v>187</v>
      </c>
      <c r="P2783">
        <v>-20.182960999999999</v>
      </c>
      <c r="Q2783">
        <v>-44.902512999999999</v>
      </c>
      <c r="R2783" s="2" t="str">
        <f>HYPERLINK("https://www.google.com/maps?q=-20.1829610,-44.9025130","Abrir no Google Maps")</f>
        <v>Abrir no Google Maps</v>
      </c>
      <c r="S2783">
        <v>3</v>
      </c>
      <c r="T2783">
        <v>908.09917748271926</v>
      </c>
      <c r="U2783">
        <v>4</v>
      </c>
      <c r="V2783">
        <v>0.49223299000016418</v>
      </c>
      <c r="W2783">
        <v>1</v>
      </c>
      <c r="X2783">
        <v>0.49223299000016418</v>
      </c>
      <c r="Y2783">
        <v>135</v>
      </c>
      <c r="Z2783">
        <v>562.42494356837676</v>
      </c>
      <c r="AA2783">
        <v>198</v>
      </c>
      <c r="AB2783">
        <v>332</v>
      </c>
      <c r="AC2783">
        <v>536</v>
      </c>
      <c r="AD2783">
        <v>26.86</v>
      </c>
      <c r="AE2783">
        <v>542</v>
      </c>
      <c r="AF2783">
        <v>15</v>
      </c>
      <c r="AG2783">
        <v>178</v>
      </c>
      <c r="AH2783">
        <v>129</v>
      </c>
      <c r="AI2783">
        <v>2.77</v>
      </c>
      <c r="AJ2783">
        <v>32.840000000000003</v>
      </c>
      <c r="AK2783">
        <v>23.8</v>
      </c>
      <c r="AL2783">
        <v>-20.18277184999997</v>
      </c>
      <c r="AM2783">
        <v>-44.902421436048833</v>
      </c>
      <c r="AN2783">
        <v>-20.18277184999997</v>
      </c>
      <c r="AO2783">
        <v>-44.902421436048833</v>
      </c>
      <c r="AP2783">
        <v>-20.182960999999999</v>
      </c>
      <c r="AQ2783">
        <v>-44.902512999999999</v>
      </c>
      <c r="AR2783">
        <v>23.127700959037089</v>
      </c>
      <c r="AS2783" t="s">
        <v>65</v>
      </c>
      <c r="AT2783">
        <v>1</v>
      </c>
      <c r="AU2783" t="s">
        <v>824</v>
      </c>
      <c r="AV2783" t="s">
        <v>825</v>
      </c>
      <c r="AW2783" t="s">
        <v>60</v>
      </c>
      <c r="AX2783" t="s">
        <v>68</v>
      </c>
      <c r="AY2783" t="s">
        <v>69</v>
      </c>
      <c r="AZ2783" t="b">
        <v>1</v>
      </c>
    </row>
    <row r="2784" spans="1:52" x14ac:dyDescent="0.3">
      <c r="A2784" t="s">
        <v>52</v>
      </c>
      <c r="B2784" t="s">
        <v>53</v>
      </c>
      <c r="C2784" t="s">
        <v>54</v>
      </c>
      <c r="D2784" t="s">
        <v>55</v>
      </c>
      <c r="E2784" t="s">
        <v>2162</v>
      </c>
      <c r="F2784" t="s">
        <v>190</v>
      </c>
      <c r="G2784" t="s">
        <v>1212</v>
      </c>
      <c r="H2784" t="s">
        <v>1213</v>
      </c>
      <c r="I2784" t="s">
        <v>1213</v>
      </c>
      <c r="J2784" t="s">
        <v>60</v>
      </c>
      <c r="K2784" t="s">
        <v>171</v>
      </c>
      <c r="L2784" t="s">
        <v>62</v>
      </c>
      <c r="M2784" t="s">
        <v>171</v>
      </c>
      <c r="N2784" t="s">
        <v>1214</v>
      </c>
      <c r="O2784" t="s">
        <v>1215</v>
      </c>
      <c r="P2784">
        <v>-20.152812999999998</v>
      </c>
      <c r="Q2784">
        <v>-44.889853000000002</v>
      </c>
      <c r="R2784" s="2" t="str">
        <f>HYPERLINK("https://www.google.com/maps?q=-20.1528130,-44.8898530","Abrir no Google Maps")</f>
        <v>Abrir no Google Maps</v>
      </c>
      <c r="S2784">
        <v>3</v>
      </c>
      <c r="T2784">
        <v>404.11054739579231</v>
      </c>
      <c r="U2784">
        <v>4</v>
      </c>
      <c r="V2784">
        <v>0.41234500330477869</v>
      </c>
      <c r="W2784">
        <v>1</v>
      </c>
      <c r="X2784">
        <v>0.41234500330477869</v>
      </c>
      <c r="Y2784">
        <v>129</v>
      </c>
      <c r="Z2784">
        <v>222.94297160630171</v>
      </c>
      <c r="AA2784">
        <v>198</v>
      </c>
      <c r="AB2784">
        <v>332</v>
      </c>
      <c r="AC2784">
        <v>536</v>
      </c>
      <c r="AD2784">
        <v>26.86</v>
      </c>
      <c r="AE2784">
        <v>542</v>
      </c>
      <c r="AF2784">
        <v>15</v>
      </c>
      <c r="AG2784">
        <v>178</v>
      </c>
      <c r="AH2784">
        <v>129</v>
      </c>
      <c r="AI2784">
        <v>2.77</v>
      </c>
      <c r="AJ2784">
        <v>32.840000000000003</v>
      </c>
      <c r="AK2784">
        <v>23.8</v>
      </c>
      <c r="AL2784">
        <v>-20.152851999999971</v>
      </c>
      <c r="AM2784">
        <v>-44.889864659228088</v>
      </c>
      <c r="AN2784">
        <v>-20.152851999999971</v>
      </c>
      <c r="AO2784">
        <v>-44.889864659228088</v>
      </c>
      <c r="AP2784">
        <v>-20.152812999999998</v>
      </c>
      <c r="AQ2784">
        <v>-44.889853000000002</v>
      </c>
      <c r="AR2784">
        <v>4.5092186597325066</v>
      </c>
      <c r="AS2784" t="s">
        <v>65</v>
      </c>
      <c r="AT2784">
        <v>1</v>
      </c>
      <c r="AU2784" t="s">
        <v>1216</v>
      </c>
      <c r="AV2784" t="s">
        <v>1217</v>
      </c>
      <c r="AW2784" t="s">
        <v>60</v>
      </c>
      <c r="AX2784" t="s">
        <v>68</v>
      </c>
      <c r="AY2784" t="s">
        <v>69</v>
      </c>
      <c r="AZ2784" t="b">
        <v>1</v>
      </c>
    </row>
    <row r="2785" spans="1:52" x14ac:dyDescent="0.3">
      <c r="A2785" t="s">
        <v>52</v>
      </c>
      <c r="B2785" t="s">
        <v>53</v>
      </c>
      <c r="C2785" t="s">
        <v>54</v>
      </c>
      <c r="D2785" t="s">
        <v>55</v>
      </c>
      <c r="E2785" t="s">
        <v>2162</v>
      </c>
      <c r="F2785" t="s">
        <v>190</v>
      </c>
      <c r="G2785" t="s">
        <v>833</v>
      </c>
      <c r="H2785" t="s">
        <v>834</v>
      </c>
      <c r="I2785" t="s">
        <v>834</v>
      </c>
      <c r="J2785" t="s">
        <v>60</v>
      </c>
      <c r="K2785" t="s">
        <v>388</v>
      </c>
      <c r="L2785" t="s">
        <v>62</v>
      </c>
      <c r="M2785" t="s">
        <v>388</v>
      </c>
      <c r="N2785" t="s">
        <v>835</v>
      </c>
      <c r="O2785" t="s">
        <v>836</v>
      </c>
      <c r="P2785">
        <v>-20.157906000000001</v>
      </c>
      <c r="Q2785">
        <v>-44.900458999999998</v>
      </c>
      <c r="R2785" s="2" t="str">
        <f>HYPERLINK("https://www.google.com/maps?q=-20.1579060,-44.9004590","Abrir no Google Maps")</f>
        <v>Abrir no Google Maps</v>
      </c>
      <c r="S2785">
        <v>3</v>
      </c>
      <c r="T2785">
        <v>0</v>
      </c>
      <c r="U2785">
        <v>3</v>
      </c>
      <c r="V2785">
        <v>0.39325498665121789</v>
      </c>
      <c r="W2785">
        <v>1</v>
      </c>
      <c r="X2785">
        <v>0.39325498665121789</v>
      </c>
      <c r="Y2785">
        <v>729</v>
      </c>
      <c r="Z2785">
        <v>203.63168486652771</v>
      </c>
      <c r="AA2785">
        <v>198</v>
      </c>
      <c r="AB2785">
        <v>332</v>
      </c>
      <c r="AC2785">
        <v>536</v>
      </c>
      <c r="AD2785">
        <v>26.86</v>
      </c>
      <c r="AE2785">
        <v>542</v>
      </c>
      <c r="AF2785">
        <v>15</v>
      </c>
      <c r="AG2785">
        <v>178</v>
      </c>
      <c r="AH2785">
        <v>129</v>
      </c>
      <c r="AI2785">
        <v>2.77</v>
      </c>
      <c r="AJ2785">
        <v>32.840000000000003</v>
      </c>
      <c r="AK2785">
        <v>23.8</v>
      </c>
      <c r="AL2785">
        <v>-20.157925749999951</v>
      </c>
      <c r="AM2785">
        <v>-44.900484707799812</v>
      </c>
      <c r="AN2785">
        <v>-20.157925749999951</v>
      </c>
      <c r="AO2785">
        <v>-44.900484707799812</v>
      </c>
      <c r="AP2785">
        <v>-20.157906000000001</v>
      </c>
      <c r="AQ2785">
        <v>-44.900458999999998</v>
      </c>
      <c r="AR2785">
        <v>3.4714515960382508</v>
      </c>
      <c r="AS2785" t="s">
        <v>65</v>
      </c>
      <c r="AT2785">
        <v>1</v>
      </c>
      <c r="AU2785" t="s">
        <v>837</v>
      </c>
      <c r="AV2785" t="s">
        <v>838</v>
      </c>
      <c r="AW2785" t="s">
        <v>60</v>
      </c>
      <c r="AX2785" t="s">
        <v>68</v>
      </c>
      <c r="AY2785" t="s">
        <v>69</v>
      </c>
      <c r="AZ2785" t="b">
        <v>1</v>
      </c>
    </row>
    <row r="2786" spans="1:52" x14ac:dyDescent="0.3">
      <c r="A2786" t="s">
        <v>52</v>
      </c>
      <c r="B2786" t="s">
        <v>53</v>
      </c>
      <c r="C2786" t="s">
        <v>54</v>
      </c>
      <c r="D2786" t="s">
        <v>55</v>
      </c>
      <c r="E2786" t="s">
        <v>2162</v>
      </c>
      <c r="F2786" t="s">
        <v>190</v>
      </c>
      <c r="G2786" t="s">
        <v>1307</v>
      </c>
      <c r="H2786" t="s">
        <v>1308</v>
      </c>
      <c r="I2786" t="s">
        <v>1308</v>
      </c>
      <c r="J2786" t="s">
        <v>60</v>
      </c>
      <c r="K2786" t="s">
        <v>1302</v>
      </c>
      <c r="L2786" t="s">
        <v>62</v>
      </c>
      <c r="M2786" t="s">
        <v>1302</v>
      </c>
      <c r="N2786" t="s">
        <v>558</v>
      </c>
      <c r="O2786" t="s">
        <v>1309</v>
      </c>
      <c r="P2786">
        <v>-20.169051</v>
      </c>
      <c r="Q2786">
        <v>-44.910093000000003</v>
      </c>
      <c r="R2786" s="2" t="str">
        <f>HYPERLINK("https://www.google.com/maps?q=-20.1690510,-44.9100930","Abrir no Google Maps")</f>
        <v>Abrir no Google Maps</v>
      </c>
      <c r="S2786">
        <v>3</v>
      </c>
      <c r="T2786">
        <v>375.90504489887479</v>
      </c>
      <c r="U2786">
        <v>3</v>
      </c>
      <c r="V2786">
        <v>0.45429704081501388</v>
      </c>
      <c r="W2786">
        <v>0.85</v>
      </c>
      <c r="X2786">
        <v>0.38615248469276181</v>
      </c>
      <c r="Y2786">
        <v>723</v>
      </c>
      <c r="Z2786">
        <v>456.19893675176831</v>
      </c>
      <c r="AA2786">
        <v>198</v>
      </c>
      <c r="AB2786">
        <v>332</v>
      </c>
      <c r="AC2786">
        <v>536</v>
      </c>
      <c r="AD2786">
        <v>26.86</v>
      </c>
      <c r="AE2786">
        <v>542</v>
      </c>
      <c r="AF2786">
        <v>15</v>
      </c>
      <c r="AG2786">
        <v>178</v>
      </c>
      <c r="AH2786">
        <v>129</v>
      </c>
      <c r="AI2786">
        <v>2.77</v>
      </c>
      <c r="AJ2786">
        <v>32.840000000000003</v>
      </c>
      <c r="AK2786">
        <v>23.8</v>
      </c>
      <c r="AL2786">
        <v>-20.168810949999941</v>
      </c>
      <c r="AM2786">
        <v>-44.910156475447927</v>
      </c>
      <c r="AN2786">
        <v>-20.168810949999941</v>
      </c>
      <c r="AO2786">
        <v>-44.910156475447927</v>
      </c>
      <c r="AP2786">
        <v>-20.169051</v>
      </c>
      <c r="AQ2786">
        <v>-44.910093000000003</v>
      </c>
      <c r="AR2786">
        <v>27.533232396417059</v>
      </c>
      <c r="AS2786" t="s">
        <v>65</v>
      </c>
      <c r="AT2786">
        <v>1</v>
      </c>
      <c r="AU2786" t="s">
        <v>1310</v>
      </c>
      <c r="AV2786" t="s">
        <v>1311</v>
      </c>
      <c r="AW2786" t="s">
        <v>60</v>
      </c>
      <c r="AX2786" t="s">
        <v>68</v>
      </c>
      <c r="AY2786" t="s">
        <v>69</v>
      </c>
      <c r="AZ2786" t="b">
        <v>1</v>
      </c>
    </row>
    <row r="2787" spans="1:52" x14ac:dyDescent="0.3">
      <c r="A2787" t="s">
        <v>52</v>
      </c>
      <c r="B2787" t="s">
        <v>53</v>
      </c>
      <c r="C2787" t="s">
        <v>54</v>
      </c>
      <c r="D2787" t="s">
        <v>55</v>
      </c>
      <c r="E2787" t="s">
        <v>2162</v>
      </c>
      <c r="F2787" t="s">
        <v>190</v>
      </c>
      <c r="G2787" t="s">
        <v>845</v>
      </c>
      <c r="H2787" t="s">
        <v>846</v>
      </c>
      <c r="I2787" t="s">
        <v>846</v>
      </c>
      <c r="J2787" t="s">
        <v>60</v>
      </c>
      <c r="K2787" t="s">
        <v>424</v>
      </c>
      <c r="L2787" t="s">
        <v>62</v>
      </c>
      <c r="M2787" t="s">
        <v>424</v>
      </c>
      <c r="N2787" t="s">
        <v>847</v>
      </c>
      <c r="O2787" t="s">
        <v>848</v>
      </c>
      <c r="P2787">
        <v>-20.175523999999999</v>
      </c>
      <c r="Q2787">
        <v>-44.918016999999999</v>
      </c>
      <c r="R2787" s="2" t="str">
        <f>HYPERLINK("https://www.google.com/maps?q=-20.1755240,-44.9180170","Abrir no Google Maps")</f>
        <v>Abrir no Google Maps</v>
      </c>
      <c r="S2787">
        <v>3</v>
      </c>
      <c r="T2787">
        <v>833.59191671824021</v>
      </c>
      <c r="U2787">
        <v>3</v>
      </c>
      <c r="V2787">
        <v>0.45944918346475122</v>
      </c>
      <c r="W2787">
        <v>0.85</v>
      </c>
      <c r="X2787">
        <v>0.3905318059450385</v>
      </c>
      <c r="Y2787">
        <v>723</v>
      </c>
      <c r="Z2787">
        <v>701.05790658871581</v>
      </c>
      <c r="AA2787">
        <v>198</v>
      </c>
      <c r="AB2787">
        <v>332</v>
      </c>
      <c r="AC2787">
        <v>536</v>
      </c>
      <c r="AD2787">
        <v>26.86</v>
      </c>
      <c r="AE2787">
        <v>542</v>
      </c>
      <c r="AF2787">
        <v>15</v>
      </c>
      <c r="AG2787">
        <v>178</v>
      </c>
      <c r="AH2787">
        <v>129</v>
      </c>
      <c r="AI2787">
        <v>2.77</v>
      </c>
      <c r="AJ2787">
        <v>32.840000000000003</v>
      </c>
      <c r="AK2787">
        <v>23.8</v>
      </c>
      <c r="AL2787">
        <v>-20.17533859999995</v>
      </c>
      <c r="AM2787">
        <v>-44.917689627873088</v>
      </c>
      <c r="AN2787">
        <v>-20.17533859999995</v>
      </c>
      <c r="AO2787">
        <v>-44.917689627873088</v>
      </c>
      <c r="AP2787">
        <v>-20.175523999999999</v>
      </c>
      <c r="AQ2787">
        <v>-44.918016999999999</v>
      </c>
      <c r="AR2787">
        <v>39.950898228213873</v>
      </c>
      <c r="AS2787" t="s">
        <v>65</v>
      </c>
      <c r="AT2787">
        <v>1</v>
      </c>
      <c r="AU2787" t="s">
        <v>849</v>
      </c>
      <c r="AV2787" t="s">
        <v>850</v>
      </c>
      <c r="AW2787" t="s">
        <v>60</v>
      </c>
      <c r="AX2787" t="s">
        <v>68</v>
      </c>
      <c r="AY2787" t="s">
        <v>69</v>
      </c>
      <c r="AZ2787" t="b">
        <v>1</v>
      </c>
    </row>
    <row r="2788" spans="1:52" x14ac:dyDescent="0.3">
      <c r="A2788" t="s">
        <v>52</v>
      </c>
      <c r="B2788" t="s">
        <v>53</v>
      </c>
      <c r="C2788" t="s">
        <v>54</v>
      </c>
      <c r="D2788" t="s">
        <v>55</v>
      </c>
      <c r="E2788" t="s">
        <v>2162</v>
      </c>
      <c r="F2788" t="s">
        <v>190</v>
      </c>
      <c r="G2788" t="s">
        <v>1347</v>
      </c>
      <c r="H2788" t="s">
        <v>1348</v>
      </c>
      <c r="I2788" t="s">
        <v>1348</v>
      </c>
      <c r="J2788" t="s">
        <v>60</v>
      </c>
      <c r="K2788" t="s">
        <v>1349</v>
      </c>
      <c r="L2788" t="s">
        <v>62</v>
      </c>
      <c r="M2788" t="s">
        <v>1349</v>
      </c>
      <c r="N2788" t="s">
        <v>1350</v>
      </c>
      <c r="O2788" t="s">
        <v>1351</v>
      </c>
      <c r="P2788">
        <v>-20.140426999999999</v>
      </c>
      <c r="Q2788">
        <v>-44.905327999999997</v>
      </c>
      <c r="R2788" s="2" t="str">
        <f>HYPERLINK("https://www.google.com/maps?q=-20.1404270,-44.9053280","Abrir no Google Maps")</f>
        <v>Abrir no Google Maps</v>
      </c>
      <c r="S2788">
        <v>3</v>
      </c>
      <c r="T2788">
        <v>359.5810968231857</v>
      </c>
      <c r="U2788">
        <v>3</v>
      </c>
      <c r="V2788">
        <v>0.45599215656257303</v>
      </c>
      <c r="W2788">
        <v>0.85</v>
      </c>
      <c r="X2788">
        <v>0.38759333307818711</v>
      </c>
      <c r="Y2788">
        <v>581</v>
      </c>
      <c r="Z2788">
        <v>292.370097058873</v>
      </c>
      <c r="AA2788">
        <v>198</v>
      </c>
      <c r="AB2788">
        <v>332</v>
      </c>
      <c r="AC2788">
        <v>536</v>
      </c>
      <c r="AD2788">
        <v>26.86</v>
      </c>
      <c r="AE2788">
        <v>542</v>
      </c>
      <c r="AF2788">
        <v>15</v>
      </c>
      <c r="AG2788">
        <v>178</v>
      </c>
      <c r="AH2788">
        <v>129</v>
      </c>
      <c r="AI2788">
        <v>2.77</v>
      </c>
      <c r="AJ2788">
        <v>32.840000000000003</v>
      </c>
      <c r="AK2788">
        <v>23.8</v>
      </c>
      <c r="AL2788">
        <v>-20.140465449999969</v>
      </c>
      <c r="AM2788">
        <v>-44.905317129037229</v>
      </c>
      <c r="AN2788">
        <v>-20.140465449999969</v>
      </c>
      <c r="AO2788">
        <v>-44.905317129037229</v>
      </c>
      <c r="AP2788">
        <v>-20.140426999999999</v>
      </c>
      <c r="AQ2788">
        <v>-44.905327999999997</v>
      </c>
      <c r="AR2788">
        <v>4.4284788644958706</v>
      </c>
      <c r="AS2788" t="s">
        <v>65</v>
      </c>
      <c r="AT2788">
        <v>1</v>
      </c>
      <c r="AU2788" t="s">
        <v>1352</v>
      </c>
      <c r="AV2788" t="s">
        <v>1353</v>
      </c>
      <c r="AW2788" t="s">
        <v>60</v>
      </c>
      <c r="AX2788" t="s">
        <v>68</v>
      </c>
      <c r="AY2788" t="s">
        <v>69</v>
      </c>
      <c r="AZ2788" t="b">
        <v>1</v>
      </c>
    </row>
    <row r="2789" spans="1:52" x14ac:dyDescent="0.3">
      <c r="A2789" t="s">
        <v>52</v>
      </c>
      <c r="B2789" t="s">
        <v>53</v>
      </c>
      <c r="C2789" t="s">
        <v>54</v>
      </c>
      <c r="D2789" t="s">
        <v>55</v>
      </c>
      <c r="E2789" t="s">
        <v>2162</v>
      </c>
      <c r="F2789" t="s">
        <v>190</v>
      </c>
      <c r="G2789" t="s">
        <v>851</v>
      </c>
      <c r="H2789" t="s">
        <v>852</v>
      </c>
      <c r="I2789" t="s">
        <v>852</v>
      </c>
      <c r="J2789" t="s">
        <v>60</v>
      </c>
      <c r="K2789" t="s">
        <v>853</v>
      </c>
      <c r="L2789" t="s">
        <v>62</v>
      </c>
      <c r="M2789" t="s">
        <v>853</v>
      </c>
      <c r="N2789" t="s">
        <v>854</v>
      </c>
      <c r="O2789" t="s">
        <v>855</v>
      </c>
      <c r="P2789">
        <v>-20.127835000000001</v>
      </c>
      <c r="Q2789">
        <v>-44.909329</v>
      </c>
      <c r="R2789" s="2" t="str">
        <f>HYPERLINK("https://www.google.com/maps?q=-20.1278350,-44.9093290","Abrir no Google Maps")</f>
        <v>Abrir no Google Maps</v>
      </c>
      <c r="S2789">
        <v>3</v>
      </c>
      <c r="T2789">
        <v>1173.033690896357</v>
      </c>
      <c r="U2789">
        <v>3</v>
      </c>
      <c r="V2789">
        <v>0.38584247605496969</v>
      </c>
      <c r="W2789">
        <v>1</v>
      </c>
      <c r="X2789">
        <v>0.38584247605496969</v>
      </c>
      <c r="Y2789">
        <v>581</v>
      </c>
      <c r="Z2789">
        <v>1296.5011565926129</v>
      </c>
      <c r="AA2789">
        <v>198</v>
      </c>
      <c r="AB2789">
        <v>332</v>
      </c>
      <c r="AC2789">
        <v>536</v>
      </c>
      <c r="AD2789">
        <v>26.86</v>
      </c>
      <c r="AE2789">
        <v>542</v>
      </c>
      <c r="AF2789">
        <v>15</v>
      </c>
      <c r="AG2789">
        <v>178</v>
      </c>
      <c r="AH2789">
        <v>129</v>
      </c>
      <c r="AI2789">
        <v>2.77</v>
      </c>
      <c r="AJ2789">
        <v>32.840000000000003</v>
      </c>
      <c r="AK2789">
        <v>23.8</v>
      </c>
      <c r="AL2789">
        <v>-20.127852899999969</v>
      </c>
      <c r="AM2789">
        <v>-44.909386667699948</v>
      </c>
      <c r="AN2789">
        <v>-20.127852899999969</v>
      </c>
      <c r="AO2789">
        <v>-44.909386667699948</v>
      </c>
      <c r="AP2789">
        <v>-20.127835000000001</v>
      </c>
      <c r="AQ2789">
        <v>-44.909329</v>
      </c>
      <c r="AR2789">
        <v>6.3483385067119924</v>
      </c>
      <c r="AS2789" t="s">
        <v>65</v>
      </c>
      <c r="AT2789">
        <v>1</v>
      </c>
      <c r="AU2789" t="s">
        <v>856</v>
      </c>
      <c r="AV2789" t="s">
        <v>857</v>
      </c>
      <c r="AW2789" t="s">
        <v>60</v>
      </c>
      <c r="AX2789" t="s">
        <v>68</v>
      </c>
      <c r="AY2789" t="s">
        <v>69</v>
      </c>
      <c r="AZ2789" t="b">
        <v>1</v>
      </c>
    </row>
    <row r="2790" spans="1:52" x14ac:dyDescent="0.3">
      <c r="A2790" t="s">
        <v>52</v>
      </c>
      <c r="B2790" t="s">
        <v>53</v>
      </c>
      <c r="C2790" t="s">
        <v>54</v>
      </c>
      <c r="D2790" t="s">
        <v>55</v>
      </c>
      <c r="E2790" t="s">
        <v>2162</v>
      </c>
      <c r="F2790" t="s">
        <v>190</v>
      </c>
      <c r="G2790" t="s">
        <v>864</v>
      </c>
      <c r="H2790" t="s">
        <v>865</v>
      </c>
      <c r="I2790" t="s">
        <v>865</v>
      </c>
      <c r="J2790" t="s">
        <v>60</v>
      </c>
      <c r="K2790" t="s">
        <v>486</v>
      </c>
      <c r="L2790" t="s">
        <v>62</v>
      </c>
      <c r="M2790" t="s">
        <v>486</v>
      </c>
      <c r="N2790" t="s">
        <v>866</v>
      </c>
      <c r="O2790" t="s">
        <v>867</v>
      </c>
      <c r="P2790">
        <v>-20.170919000000001</v>
      </c>
      <c r="Q2790">
        <v>-44.905451999999997</v>
      </c>
      <c r="R2790" s="2" t="str">
        <f>HYPERLINK("https://www.google.com/maps?q=-20.1709190,-44.9054520","Abrir no Google Maps")</f>
        <v>Abrir no Google Maps</v>
      </c>
      <c r="S2790">
        <v>3</v>
      </c>
      <c r="T2790">
        <v>0</v>
      </c>
      <c r="U2790">
        <v>3</v>
      </c>
      <c r="V2790">
        <v>0.40526820705602878</v>
      </c>
      <c r="W2790">
        <v>1</v>
      </c>
      <c r="X2790">
        <v>0.40526820705602878</v>
      </c>
      <c r="Y2790">
        <v>578</v>
      </c>
      <c r="Z2790">
        <v>205.34598855748419</v>
      </c>
      <c r="AA2790">
        <v>198</v>
      </c>
      <c r="AB2790">
        <v>332</v>
      </c>
      <c r="AC2790">
        <v>536</v>
      </c>
      <c r="AD2790">
        <v>26.86</v>
      </c>
      <c r="AE2790">
        <v>542</v>
      </c>
      <c r="AF2790">
        <v>15</v>
      </c>
      <c r="AG2790">
        <v>178</v>
      </c>
      <c r="AH2790">
        <v>129</v>
      </c>
      <c r="AI2790">
        <v>2.77</v>
      </c>
      <c r="AJ2790">
        <v>32.840000000000003</v>
      </c>
      <c r="AK2790">
        <v>23.8</v>
      </c>
      <c r="AL2790">
        <v>-20.170854399999939</v>
      </c>
      <c r="AM2790">
        <v>-44.905524839633358</v>
      </c>
      <c r="AN2790">
        <v>-20.170854399999939</v>
      </c>
      <c r="AO2790">
        <v>-44.905524839633358</v>
      </c>
      <c r="AP2790">
        <v>-20.170919000000001</v>
      </c>
      <c r="AQ2790">
        <v>-44.905451999999997</v>
      </c>
      <c r="AR2790">
        <v>10.471140355179269</v>
      </c>
      <c r="AS2790" t="s">
        <v>65</v>
      </c>
      <c r="AT2790">
        <v>1</v>
      </c>
      <c r="AU2790" t="s">
        <v>868</v>
      </c>
      <c r="AV2790" t="s">
        <v>869</v>
      </c>
      <c r="AW2790" t="s">
        <v>60</v>
      </c>
      <c r="AX2790" t="s">
        <v>68</v>
      </c>
      <c r="AY2790" t="s">
        <v>69</v>
      </c>
      <c r="AZ2790" t="b">
        <v>1</v>
      </c>
    </row>
    <row r="2791" spans="1:52" x14ac:dyDescent="0.3">
      <c r="A2791" t="s">
        <v>52</v>
      </c>
      <c r="B2791" t="s">
        <v>53</v>
      </c>
      <c r="C2791" t="s">
        <v>54</v>
      </c>
      <c r="D2791" t="s">
        <v>55</v>
      </c>
      <c r="E2791" t="s">
        <v>2162</v>
      </c>
      <c r="F2791" t="s">
        <v>190</v>
      </c>
      <c r="G2791" t="s">
        <v>1300</v>
      </c>
      <c r="H2791" t="s">
        <v>1372</v>
      </c>
      <c r="I2791" t="s">
        <v>1372</v>
      </c>
      <c r="J2791" t="s">
        <v>60</v>
      </c>
      <c r="K2791" t="s">
        <v>486</v>
      </c>
      <c r="L2791" t="s">
        <v>62</v>
      </c>
      <c r="M2791" t="s">
        <v>486</v>
      </c>
      <c r="N2791" t="s">
        <v>1303</v>
      </c>
      <c r="O2791" t="s">
        <v>1373</v>
      </c>
      <c r="P2791">
        <v>-20.170458</v>
      </c>
      <c r="Q2791">
        <v>-44.900936000000002</v>
      </c>
      <c r="R2791" s="2" t="str">
        <f>HYPERLINK("https://www.google.com/maps?q=-20.1704580,-44.9009360","Abrir no Google Maps")</f>
        <v>Abrir no Google Maps</v>
      </c>
      <c r="S2791">
        <v>3</v>
      </c>
      <c r="T2791">
        <v>470.55793133653339</v>
      </c>
      <c r="U2791">
        <v>3</v>
      </c>
      <c r="V2791">
        <v>0.43938099501222921</v>
      </c>
      <c r="W2791">
        <v>0.85</v>
      </c>
      <c r="X2791">
        <v>0.37347384576039477</v>
      </c>
      <c r="Y2791">
        <v>578</v>
      </c>
      <c r="Z2791">
        <v>645.48909402437766</v>
      </c>
      <c r="AA2791">
        <v>198</v>
      </c>
      <c r="AB2791">
        <v>332</v>
      </c>
      <c r="AC2791">
        <v>536</v>
      </c>
      <c r="AD2791">
        <v>26.86</v>
      </c>
      <c r="AE2791">
        <v>542</v>
      </c>
      <c r="AF2791">
        <v>15</v>
      </c>
      <c r="AG2791">
        <v>178</v>
      </c>
      <c r="AH2791">
        <v>129</v>
      </c>
      <c r="AI2791">
        <v>2.77</v>
      </c>
      <c r="AJ2791">
        <v>32.840000000000003</v>
      </c>
      <c r="AK2791">
        <v>23.8</v>
      </c>
      <c r="AL2791">
        <v>-20.17025029999996</v>
      </c>
      <c r="AM2791">
        <v>-44.901067235372473</v>
      </c>
      <c r="AN2791">
        <v>-20.17025029999996</v>
      </c>
      <c r="AO2791">
        <v>-44.901067235372473</v>
      </c>
      <c r="AP2791">
        <v>-20.170458</v>
      </c>
      <c r="AQ2791">
        <v>-44.900936000000002</v>
      </c>
      <c r="AR2791">
        <v>26.88195352459519</v>
      </c>
      <c r="AS2791" t="s">
        <v>65</v>
      </c>
      <c r="AT2791">
        <v>1</v>
      </c>
      <c r="AU2791" t="s">
        <v>1374</v>
      </c>
      <c r="AV2791" t="s">
        <v>1375</v>
      </c>
      <c r="AW2791" t="s">
        <v>60</v>
      </c>
      <c r="AX2791" t="s">
        <v>68</v>
      </c>
      <c r="AY2791" t="s">
        <v>69</v>
      </c>
      <c r="AZ2791" t="b">
        <v>1</v>
      </c>
    </row>
    <row r="2792" spans="1:52" x14ac:dyDescent="0.3">
      <c r="A2792" t="s">
        <v>52</v>
      </c>
      <c r="B2792" t="s">
        <v>53</v>
      </c>
      <c r="C2792" t="s">
        <v>54</v>
      </c>
      <c r="D2792" t="s">
        <v>55</v>
      </c>
      <c r="E2792" t="s">
        <v>2162</v>
      </c>
      <c r="F2792" t="s">
        <v>190</v>
      </c>
      <c r="G2792" t="s">
        <v>473</v>
      </c>
      <c r="H2792" t="s">
        <v>474</v>
      </c>
      <c r="I2792" t="s">
        <v>474</v>
      </c>
      <c r="J2792" t="s">
        <v>60</v>
      </c>
      <c r="K2792" t="s">
        <v>475</v>
      </c>
      <c r="L2792" t="s">
        <v>62</v>
      </c>
      <c r="M2792" t="s">
        <v>475</v>
      </c>
      <c r="N2792" t="s">
        <v>406</v>
      </c>
      <c r="O2792" t="s">
        <v>476</v>
      </c>
      <c r="P2792">
        <v>-20.177902</v>
      </c>
      <c r="Q2792">
        <v>-44.908504000000001</v>
      </c>
      <c r="R2792" s="2" t="str">
        <f>HYPERLINK("https://www.google.com/maps?q=-20.1779020,-44.9085040","Abrir no Google Maps")</f>
        <v>Abrir no Google Maps</v>
      </c>
      <c r="S2792">
        <v>3</v>
      </c>
      <c r="T2792">
        <v>656.92307673247149</v>
      </c>
      <c r="U2792">
        <v>3</v>
      </c>
      <c r="V2792">
        <v>0.38845677571476378</v>
      </c>
      <c r="W2792">
        <v>1</v>
      </c>
      <c r="X2792">
        <v>0.38845677571476378</v>
      </c>
      <c r="Y2792">
        <v>578</v>
      </c>
      <c r="Z2792">
        <v>635.01982153722327</v>
      </c>
      <c r="AA2792">
        <v>198</v>
      </c>
      <c r="AB2792">
        <v>332</v>
      </c>
      <c r="AC2792">
        <v>536</v>
      </c>
      <c r="AD2792">
        <v>26.86</v>
      </c>
      <c r="AE2792">
        <v>542</v>
      </c>
      <c r="AF2792">
        <v>15</v>
      </c>
      <c r="AG2792">
        <v>178</v>
      </c>
      <c r="AH2792">
        <v>129</v>
      </c>
      <c r="AI2792">
        <v>2.77</v>
      </c>
      <c r="AJ2792">
        <v>32.840000000000003</v>
      </c>
      <c r="AK2792">
        <v>23.8</v>
      </c>
      <c r="AL2792">
        <v>-20.177800399999938</v>
      </c>
      <c r="AM2792">
        <v>-44.908361879701268</v>
      </c>
      <c r="AN2792">
        <v>-20.177800399999938</v>
      </c>
      <c r="AO2792">
        <v>-44.908361879701268</v>
      </c>
      <c r="AP2792">
        <v>-20.177902</v>
      </c>
      <c r="AQ2792">
        <v>-44.908504000000001</v>
      </c>
      <c r="AR2792">
        <v>18.666463141775541</v>
      </c>
      <c r="AS2792" t="s">
        <v>65</v>
      </c>
      <c r="AT2792">
        <v>1</v>
      </c>
      <c r="AU2792" t="s">
        <v>477</v>
      </c>
      <c r="AV2792" t="s">
        <v>478</v>
      </c>
      <c r="AW2792" t="s">
        <v>60</v>
      </c>
      <c r="AX2792" t="s">
        <v>68</v>
      </c>
      <c r="AY2792" t="s">
        <v>69</v>
      </c>
      <c r="AZ2792" t="b">
        <v>1</v>
      </c>
    </row>
    <row r="2793" spans="1:52" x14ac:dyDescent="0.3">
      <c r="A2793" t="s">
        <v>52</v>
      </c>
      <c r="B2793" t="s">
        <v>53</v>
      </c>
      <c r="C2793" t="s">
        <v>54</v>
      </c>
      <c r="D2793" t="s">
        <v>55</v>
      </c>
      <c r="E2793" t="s">
        <v>2162</v>
      </c>
      <c r="F2793" t="s">
        <v>190</v>
      </c>
      <c r="G2793" t="s">
        <v>484</v>
      </c>
      <c r="H2793" t="s">
        <v>485</v>
      </c>
      <c r="I2793" t="s">
        <v>485</v>
      </c>
      <c r="J2793" t="s">
        <v>60</v>
      </c>
      <c r="K2793" t="s">
        <v>486</v>
      </c>
      <c r="L2793" t="s">
        <v>62</v>
      </c>
      <c r="M2793" t="s">
        <v>486</v>
      </c>
      <c r="N2793" t="s">
        <v>487</v>
      </c>
      <c r="O2793" t="s">
        <v>488</v>
      </c>
      <c r="P2793">
        <v>-20.173000999999999</v>
      </c>
      <c r="Q2793">
        <v>-44.901876999999999</v>
      </c>
      <c r="R2793" s="2" t="str">
        <f>HYPERLINK("https://www.google.com/maps?q=-20.1730010,-44.9018770","Abrir no Google Maps")</f>
        <v>Abrir no Google Maps</v>
      </c>
      <c r="S2793">
        <v>3</v>
      </c>
      <c r="T2793">
        <v>437.59695450783011</v>
      </c>
      <c r="U2793">
        <v>3</v>
      </c>
      <c r="V2793">
        <v>0.40456422190254238</v>
      </c>
      <c r="W2793">
        <v>1</v>
      </c>
      <c r="X2793">
        <v>0.40456422190254238</v>
      </c>
      <c r="Y2793">
        <v>578</v>
      </c>
      <c r="Z2793">
        <v>440.53629183653243</v>
      </c>
      <c r="AA2793">
        <v>198</v>
      </c>
      <c r="AB2793">
        <v>332</v>
      </c>
      <c r="AC2793">
        <v>536</v>
      </c>
      <c r="AD2793">
        <v>26.86</v>
      </c>
      <c r="AE2793">
        <v>542</v>
      </c>
      <c r="AF2793">
        <v>15</v>
      </c>
      <c r="AG2793">
        <v>178</v>
      </c>
      <c r="AH2793">
        <v>129</v>
      </c>
      <c r="AI2793">
        <v>2.77</v>
      </c>
      <c r="AJ2793">
        <v>32.840000000000003</v>
      </c>
      <c r="AK2793">
        <v>23.8</v>
      </c>
      <c r="AL2793">
        <v>-20.173065299999969</v>
      </c>
      <c r="AM2793">
        <v>-44.902052686008687</v>
      </c>
      <c r="AN2793">
        <v>-20.173065299999969</v>
      </c>
      <c r="AO2793">
        <v>-44.902052686008687</v>
      </c>
      <c r="AP2793">
        <v>-20.173000999999999</v>
      </c>
      <c r="AQ2793">
        <v>-44.901876999999999</v>
      </c>
      <c r="AR2793">
        <v>19.703745070768829</v>
      </c>
      <c r="AS2793" t="s">
        <v>65</v>
      </c>
      <c r="AT2793">
        <v>1</v>
      </c>
      <c r="AU2793" t="s">
        <v>489</v>
      </c>
      <c r="AV2793" t="s">
        <v>490</v>
      </c>
      <c r="AW2793" t="s">
        <v>60</v>
      </c>
      <c r="AX2793" t="s">
        <v>68</v>
      </c>
      <c r="AY2793" t="s">
        <v>69</v>
      </c>
      <c r="AZ2793" t="b">
        <v>1</v>
      </c>
    </row>
    <row r="2794" spans="1:52" x14ac:dyDescent="0.3">
      <c r="A2794" t="s">
        <v>52</v>
      </c>
      <c r="B2794" t="s">
        <v>53</v>
      </c>
      <c r="C2794" t="s">
        <v>54</v>
      </c>
      <c r="D2794" t="s">
        <v>55</v>
      </c>
      <c r="E2794" t="s">
        <v>2162</v>
      </c>
      <c r="F2794" t="s">
        <v>190</v>
      </c>
      <c r="G2794" t="s">
        <v>491</v>
      </c>
      <c r="H2794" t="s">
        <v>492</v>
      </c>
      <c r="I2794" t="s">
        <v>492</v>
      </c>
      <c r="J2794" t="s">
        <v>60</v>
      </c>
      <c r="K2794" t="s">
        <v>475</v>
      </c>
      <c r="L2794" t="s">
        <v>62</v>
      </c>
      <c r="M2794" t="s">
        <v>475</v>
      </c>
      <c r="N2794" t="s">
        <v>493</v>
      </c>
      <c r="O2794" t="s">
        <v>494</v>
      </c>
      <c r="P2794">
        <v>-20.175250999999999</v>
      </c>
      <c r="Q2794">
        <v>-44.897357</v>
      </c>
      <c r="R2794" s="2" t="str">
        <f>HYPERLINK("https://www.google.com/maps?q=-20.1752510,-44.8973570","Abrir no Google Maps")</f>
        <v>Abrir no Google Maps</v>
      </c>
      <c r="S2794">
        <v>3</v>
      </c>
      <c r="T2794">
        <v>992.29631678149951</v>
      </c>
      <c r="U2794">
        <v>3</v>
      </c>
      <c r="V2794">
        <v>0.39668243399776332</v>
      </c>
      <c r="W2794">
        <v>1</v>
      </c>
      <c r="X2794">
        <v>0.39668243399776332</v>
      </c>
      <c r="Y2794">
        <v>578</v>
      </c>
      <c r="Z2794">
        <v>1008.5871064168319</v>
      </c>
      <c r="AA2794">
        <v>198</v>
      </c>
      <c r="AB2794">
        <v>332</v>
      </c>
      <c r="AC2794">
        <v>536</v>
      </c>
      <c r="AD2794">
        <v>26.86</v>
      </c>
      <c r="AE2794">
        <v>542</v>
      </c>
      <c r="AF2794">
        <v>15</v>
      </c>
      <c r="AG2794">
        <v>178</v>
      </c>
      <c r="AH2794">
        <v>129</v>
      </c>
      <c r="AI2794">
        <v>2.77</v>
      </c>
      <c r="AJ2794">
        <v>32.840000000000003</v>
      </c>
      <c r="AK2794">
        <v>23.8</v>
      </c>
      <c r="AL2794">
        <v>-20.175290599999951</v>
      </c>
      <c r="AM2794">
        <v>-44.897271931010721</v>
      </c>
      <c r="AN2794">
        <v>-20.175290599999951</v>
      </c>
      <c r="AO2794">
        <v>-44.897271931010721</v>
      </c>
      <c r="AP2794">
        <v>-20.175250999999999</v>
      </c>
      <c r="AQ2794">
        <v>-44.897357</v>
      </c>
      <c r="AR2794">
        <v>9.921899108467926</v>
      </c>
      <c r="AS2794" t="s">
        <v>65</v>
      </c>
      <c r="AT2794">
        <v>1</v>
      </c>
      <c r="AU2794" t="s">
        <v>495</v>
      </c>
      <c r="AV2794" t="s">
        <v>496</v>
      </c>
      <c r="AW2794" t="s">
        <v>60</v>
      </c>
      <c r="AX2794" t="s">
        <v>68</v>
      </c>
      <c r="AY2794" t="s">
        <v>69</v>
      </c>
      <c r="AZ2794" t="b">
        <v>1</v>
      </c>
    </row>
    <row r="2795" spans="1:52" x14ac:dyDescent="0.3">
      <c r="A2795" t="s">
        <v>52</v>
      </c>
      <c r="B2795" t="s">
        <v>53</v>
      </c>
      <c r="C2795" t="s">
        <v>54</v>
      </c>
      <c r="D2795" t="s">
        <v>55</v>
      </c>
      <c r="E2795" t="s">
        <v>2162</v>
      </c>
      <c r="F2795" t="s">
        <v>190</v>
      </c>
      <c r="G2795" t="s">
        <v>497</v>
      </c>
      <c r="H2795" t="s">
        <v>875</v>
      </c>
      <c r="I2795" t="s">
        <v>875</v>
      </c>
      <c r="J2795" t="s">
        <v>60</v>
      </c>
      <c r="K2795" t="s">
        <v>475</v>
      </c>
      <c r="L2795" t="s">
        <v>62</v>
      </c>
      <c r="M2795" t="s">
        <v>475</v>
      </c>
      <c r="N2795" t="s">
        <v>499</v>
      </c>
      <c r="O2795" t="s">
        <v>876</v>
      </c>
      <c r="P2795">
        <v>-20.177212999999998</v>
      </c>
      <c r="Q2795">
        <v>-44.904026999999999</v>
      </c>
      <c r="R2795" s="2" t="str">
        <f>HYPERLINK("https://www.google.com/maps?q=-20.1772130,-44.9040270","Abrir no Google Maps")</f>
        <v>Abrir no Google Maps</v>
      </c>
      <c r="S2795">
        <v>3</v>
      </c>
      <c r="T2795">
        <v>706.4159561113795</v>
      </c>
      <c r="U2795">
        <v>3</v>
      </c>
      <c r="V2795">
        <v>0.38967379675205421</v>
      </c>
      <c r="W2795">
        <v>1</v>
      </c>
      <c r="X2795">
        <v>0.38967379675205421</v>
      </c>
      <c r="Y2795">
        <v>578</v>
      </c>
      <c r="Z2795">
        <v>588.7160518608398</v>
      </c>
      <c r="AA2795">
        <v>198</v>
      </c>
      <c r="AB2795">
        <v>332</v>
      </c>
      <c r="AC2795">
        <v>536</v>
      </c>
      <c r="AD2795">
        <v>26.86</v>
      </c>
      <c r="AE2795">
        <v>542</v>
      </c>
      <c r="AF2795">
        <v>15</v>
      </c>
      <c r="AG2795">
        <v>178</v>
      </c>
      <c r="AH2795">
        <v>129</v>
      </c>
      <c r="AI2795">
        <v>2.77</v>
      </c>
      <c r="AJ2795">
        <v>32.840000000000003</v>
      </c>
      <c r="AK2795">
        <v>23.8</v>
      </c>
      <c r="AL2795">
        <v>-20.177090199999949</v>
      </c>
      <c r="AM2795">
        <v>-44.904078820930181</v>
      </c>
      <c r="AN2795">
        <v>-20.177090199999949</v>
      </c>
      <c r="AO2795">
        <v>-44.904078820930181</v>
      </c>
      <c r="AP2795">
        <v>-20.177212999999998</v>
      </c>
      <c r="AQ2795">
        <v>-44.904026999999999</v>
      </c>
      <c r="AR2795">
        <v>14.7034129632295</v>
      </c>
      <c r="AS2795" t="s">
        <v>65</v>
      </c>
      <c r="AT2795">
        <v>1</v>
      </c>
      <c r="AU2795" t="s">
        <v>877</v>
      </c>
      <c r="AV2795" t="s">
        <v>878</v>
      </c>
      <c r="AW2795" t="s">
        <v>60</v>
      </c>
      <c r="AX2795" t="s">
        <v>68</v>
      </c>
      <c r="AY2795" t="s">
        <v>69</v>
      </c>
      <c r="AZ2795" t="b">
        <v>1</v>
      </c>
    </row>
    <row r="2796" spans="1:52" x14ac:dyDescent="0.3">
      <c r="A2796" t="s">
        <v>52</v>
      </c>
      <c r="B2796" t="s">
        <v>53</v>
      </c>
      <c r="C2796" t="s">
        <v>54</v>
      </c>
      <c r="D2796" t="s">
        <v>55</v>
      </c>
      <c r="E2796" t="s">
        <v>2162</v>
      </c>
      <c r="F2796" t="s">
        <v>190</v>
      </c>
      <c r="G2796" t="s">
        <v>497</v>
      </c>
      <c r="H2796" t="s">
        <v>498</v>
      </c>
      <c r="I2796" t="s">
        <v>498</v>
      </c>
      <c r="J2796" t="s">
        <v>60</v>
      </c>
      <c r="K2796" t="s">
        <v>475</v>
      </c>
      <c r="L2796" t="s">
        <v>62</v>
      </c>
      <c r="M2796" t="s">
        <v>475</v>
      </c>
      <c r="N2796" t="s">
        <v>499</v>
      </c>
      <c r="O2796" t="s">
        <v>500</v>
      </c>
      <c r="P2796">
        <v>-20.175492999999999</v>
      </c>
      <c r="Q2796">
        <v>-44.900759000000001</v>
      </c>
      <c r="R2796" s="2" t="str">
        <f>HYPERLINK("https://www.google.com/maps?q=-20.1754930,-44.9007590","Abrir no Google Maps")</f>
        <v>Abrir no Google Maps</v>
      </c>
      <c r="S2796">
        <v>3</v>
      </c>
      <c r="T2796">
        <v>753.30732354720431</v>
      </c>
      <c r="U2796">
        <v>3</v>
      </c>
      <c r="V2796">
        <v>0.4060765923993413</v>
      </c>
      <c r="W2796">
        <v>1</v>
      </c>
      <c r="X2796">
        <v>0.4060765923993413</v>
      </c>
      <c r="Y2796">
        <v>578</v>
      </c>
      <c r="Z2796">
        <v>695.28903655431702</v>
      </c>
      <c r="AA2796">
        <v>198</v>
      </c>
      <c r="AB2796">
        <v>332</v>
      </c>
      <c r="AC2796">
        <v>536</v>
      </c>
      <c r="AD2796">
        <v>26.86</v>
      </c>
      <c r="AE2796">
        <v>542</v>
      </c>
      <c r="AF2796">
        <v>15</v>
      </c>
      <c r="AG2796">
        <v>178</v>
      </c>
      <c r="AH2796">
        <v>129</v>
      </c>
      <c r="AI2796">
        <v>2.77</v>
      </c>
      <c r="AJ2796">
        <v>32.840000000000003</v>
      </c>
      <c r="AK2796">
        <v>23.8</v>
      </c>
      <c r="AL2796">
        <v>-20.175825999999969</v>
      </c>
      <c r="AM2796">
        <v>-44.900600234646973</v>
      </c>
      <c r="AN2796">
        <v>-20.175825999999969</v>
      </c>
      <c r="AO2796">
        <v>-44.900600234646973</v>
      </c>
      <c r="AP2796">
        <v>-20.175492999999999</v>
      </c>
      <c r="AQ2796">
        <v>-44.900759000000001</v>
      </c>
      <c r="AR2796">
        <v>40.612267304645073</v>
      </c>
      <c r="AS2796" t="s">
        <v>65</v>
      </c>
      <c r="AT2796">
        <v>1</v>
      </c>
      <c r="AU2796" t="s">
        <v>501</v>
      </c>
      <c r="AV2796" t="s">
        <v>502</v>
      </c>
      <c r="AW2796" t="s">
        <v>60</v>
      </c>
      <c r="AX2796" t="s">
        <v>68</v>
      </c>
      <c r="AY2796" t="s">
        <v>69</v>
      </c>
      <c r="AZ2796" t="b">
        <v>1</v>
      </c>
    </row>
    <row r="2797" spans="1:52" x14ac:dyDescent="0.3">
      <c r="A2797" t="s">
        <v>52</v>
      </c>
      <c r="B2797" t="s">
        <v>53</v>
      </c>
      <c r="C2797" t="s">
        <v>54</v>
      </c>
      <c r="D2797" t="s">
        <v>55</v>
      </c>
      <c r="E2797" t="s">
        <v>2162</v>
      </c>
      <c r="F2797" t="s">
        <v>190</v>
      </c>
      <c r="G2797" t="s">
        <v>879</v>
      </c>
      <c r="H2797" t="s">
        <v>880</v>
      </c>
      <c r="I2797" t="s">
        <v>880</v>
      </c>
      <c r="J2797" t="s">
        <v>60</v>
      </c>
      <c r="K2797" t="s">
        <v>505</v>
      </c>
      <c r="L2797" t="s">
        <v>62</v>
      </c>
      <c r="M2797" t="s">
        <v>505</v>
      </c>
      <c r="N2797" t="s">
        <v>881</v>
      </c>
      <c r="O2797" t="s">
        <v>882</v>
      </c>
      <c r="P2797">
        <v>-20.133452999999999</v>
      </c>
      <c r="Q2797">
        <v>-44.890571999999999</v>
      </c>
      <c r="R2797" s="2" t="str">
        <f>HYPERLINK("https://www.google.com/maps?q=-20.1334530,-44.8905720","Abrir no Google Maps")</f>
        <v>Abrir no Google Maps</v>
      </c>
      <c r="S2797">
        <v>3</v>
      </c>
      <c r="T2797">
        <v>373.51332104809921</v>
      </c>
      <c r="U2797">
        <v>3</v>
      </c>
      <c r="V2797">
        <v>0.40261814672005403</v>
      </c>
      <c r="W2797">
        <v>1</v>
      </c>
      <c r="X2797">
        <v>0.40261814672005403</v>
      </c>
      <c r="Y2797">
        <v>564</v>
      </c>
      <c r="Z2797">
        <v>422.34693311930448</v>
      </c>
      <c r="AA2797">
        <v>198</v>
      </c>
      <c r="AB2797">
        <v>332</v>
      </c>
      <c r="AC2797">
        <v>536</v>
      </c>
      <c r="AD2797">
        <v>26.86</v>
      </c>
      <c r="AE2797">
        <v>542</v>
      </c>
      <c r="AF2797">
        <v>15</v>
      </c>
      <c r="AG2797">
        <v>178</v>
      </c>
      <c r="AH2797">
        <v>129</v>
      </c>
      <c r="AI2797">
        <v>2.77</v>
      </c>
      <c r="AJ2797">
        <v>32.840000000000003</v>
      </c>
      <c r="AK2797">
        <v>23.8</v>
      </c>
      <c r="AL2797">
        <v>-20.133421549999952</v>
      </c>
      <c r="AM2797">
        <v>-44.890623456009052</v>
      </c>
      <c r="AN2797">
        <v>-20.133421549999952</v>
      </c>
      <c r="AO2797">
        <v>-44.890623456009052</v>
      </c>
      <c r="AP2797">
        <v>-20.133452999999999</v>
      </c>
      <c r="AQ2797">
        <v>-44.890571999999999</v>
      </c>
      <c r="AR2797">
        <v>6.4172139275452773</v>
      </c>
      <c r="AS2797" t="s">
        <v>65</v>
      </c>
      <c r="AT2797">
        <v>1</v>
      </c>
      <c r="AU2797" t="s">
        <v>883</v>
      </c>
      <c r="AV2797" t="s">
        <v>884</v>
      </c>
      <c r="AW2797" t="s">
        <v>60</v>
      </c>
      <c r="AX2797" t="s">
        <v>68</v>
      </c>
      <c r="AY2797" t="s">
        <v>69</v>
      </c>
      <c r="AZ2797" t="b">
        <v>1</v>
      </c>
    </row>
    <row r="2798" spans="1:52" x14ac:dyDescent="0.3">
      <c r="A2798" t="s">
        <v>52</v>
      </c>
      <c r="B2798" t="s">
        <v>53</v>
      </c>
      <c r="C2798" t="s">
        <v>54</v>
      </c>
      <c r="D2798" t="s">
        <v>55</v>
      </c>
      <c r="E2798" t="s">
        <v>2162</v>
      </c>
      <c r="F2798" t="s">
        <v>190</v>
      </c>
      <c r="G2798" t="s">
        <v>649</v>
      </c>
      <c r="H2798" t="s">
        <v>885</v>
      </c>
      <c r="I2798" t="s">
        <v>885</v>
      </c>
      <c r="J2798" t="s">
        <v>60</v>
      </c>
      <c r="K2798" t="s">
        <v>886</v>
      </c>
      <c r="L2798" t="s">
        <v>62</v>
      </c>
      <c r="M2798" t="s">
        <v>886</v>
      </c>
      <c r="N2798" t="s">
        <v>652</v>
      </c>
      <c r="O2798" t="s">
        <v>887</v>
      </c>
      <c r="P2798">
        <v>-20.132252000000001</v>
      </c>
      <c r="Q2798">
        <v>-44.894159000000002</v>
      </c>
      <c r="R2798" s="2" t="str">
        <f>HYPERLINK("https://www.google.com/maps?q=-20.1322520,-44.8941590","Abrir no Google Maps")</f>
        <v>Abrir no Google Maps</v>
      </c>
      <c r="S2798">
        <v>3</v>
      </c>
      <c r="T2798">
        <v>699.5004749448899</v>
      </c>
      <c r="U2798">
        <v>3</v>
      </c>
      <c r="V2798">
        <v>0.46424774517276418</v>
      </c>
      <c r="W2798">
        <v>0.85</v>
      </c>
      <c r="X2798">
        <v>0.39461058339684962</v>
      </c>
      <c r="Y2798">
        <v>564</v>
      </c>
      <c r="Z2798">
        <v>522.21103586457991</v>
      </c>
      <c r="AA2798">
        <v>198</v>
      </c>
      <c r="AB2798">
        <v>332</v>
      </c>
      <c r="AC2798">
        <v>536</v>
      </c>
      <c r="AD2798">
        <v>26.86</v>
      </c>
      <c r="AE2798">
        <v>542</v>
      </c>
      <c r="AF2798">
        <v>15</v>
      </c>
      <c r="AG2798">
        <v>178</v>
      </c>
      <c r="AH2798">
        <v>129</v>
      </c>
      <c r="AI2798">
        <v>2.77</v>
      </c>
      <c r="AJ2798">
        <v>32.840000000000003</v>
      </c>
      <c r="AK2798">
        <v>23.8</v>
      </c>
      <c r="AL2798">
        <v>-20.132285999999969</v>
      </c>
      <c r="AM2798">
        <v>-44.894119001288672</v>
      </c>
      <c r="AN2798">
        <v>-20.132285999999969</v>
      </c>
      <c r="AO2798">
        <v>-44.894119001288672</v>
      </c>
      <c r="AP2798">
        <v>-20.132252000000001</v>
      </c>
      <c r="AQ2798">
        <v>-44.894159000000002</v>
      </c>
      <c r="AR2798">
        <v>5.6393921063261629</v>
      </c>
      <c r="AS2798" t="s">
        <v>65</v>
      </c>
      <c r="AT2798">
        <v>1</v>
      </c>
      <c r="AU2798" t="s">
        <v>888</v>
      </c>
      <c r="AV2798" t="s">
        <v>889</v>
      </c>
      <c r="AW2798" t="s">
        <v>60</v>
      </c>
      <c r="AX2798" t="s">
        <v>68</v>
      </c>
      <c r="AY2798" t="s">
        <v>69</v>
      </c>
      <c r="AZ2798" t="b">
        <v>1</v>
      </c>
    </row>
    <row r="2799" spans="1:52" x14ac:dyDescent="0.3">
      <c r="A2799" t="s">
        <v>52</v>
      </c>
      <c r="B2799" t="s">
        <v>53</v>
      </c>
      <c r="C2799" t="s">
        <v>54</v>
      </c>
      <c r="D2799" t="s">
        <v>55</v>
      </c>
      <c r="E2799" t="s">
        <v>2162</v>
      </c>
      <c r="F2799" t="s">
        <v>190</v>
      </c>
      <c r="G2799" t="s">
        <v>890</v>
      </c>
      <c r="H2799" t="s">
        <v>891</v>
      </c>
      <c r="I2799" t="s">
        <v>891</v>
      </c>
      <c r="J2799" t="s">
        <v>60</v>
      </c>
      <c r="K2799" t="s">
        <v>892</v>
      </c>
      <c r="L2799" t="s">
        <v>62</v>
      </c>
      <c r="M2799" t="s">
        <v>892</v>
      </c>
      <c r="N2799" t="s">
        <v>893</v>
      </c>
      <c r="O2799" t="s">
        <v>894</v>
      </c>
      <c r="P2799">
        <v>-20.152519000000002</v>
      </c>
      <c r="Q2799">
        <v>-44.899177000000002</v>
      </c>
      <c r="R2799" s="2" t="str">
        <f>HYPERLINK("https://www.google.com/maps?q=-20.1525190,-44.8991770","Abrir no Google Maps")</f>
        <v>Abrir no Google Maps</v>
      </c>
      <c r="S2799">
        <v>3</v>
      </c>
      <c r="T2799">
        <v>211.80188552994721</v>
      </c>
      <c r="U2799">
        <v>3</v>
      </c>
      <c r="V2799">
        <v>0.38301441974292461</v>
      </c>
      <c r="W2799">
        <v>1</v>
      </c>
      <c r="X2799">
        <v>0.38301441974292461</v>
      </c>
      <c r="Y2799">
        <v>556</v>
      </c>
      <c r="Z2799">
        <v>290.34804137107091</v>
      </c>
      <c r="AA2799">
        <v>198</v>
      </c>
      <c r="AB2799">
        <v>332</v>
      </c>
      <c r="AC2799">
        <v>536</v>
      </c>
      <c r="AD2799">
        <v>26.86</v>
      </c>
      <c r="AE2799">
        <v>542</v>
      </c>
      <c r="AF2799">
        <v>15</v>
      </c>
      <c r="AG2799">
        <v>178</v>
      </c>
      <c r="AH2799">
        <v>129</v>
      </c>
      <c r="AI2799">
        <v>2.77</v>
      </c>
      <c r="AJ2799">
        <v>32.840000000000003</v>
      </c>
      <c r="AK2799">
        <v>23.8</v>
      </c>
      <c r="AL2799">
        <v>-20.152516249999959</v>
      </c>
      <c r="AM2799">
        <v>-44.899310431333959</v>
      </c>
      <c r="AN2799">
        <v>-20.152516249999959</v>
      </c>
      <c r="AO2799">
        <v>-44.899310431333959</v>
      </c>
      <c r="AP2799">
        <v>-20.152519000000002</v>
      </c>
      <c r="AQ2799">
        <v>-44.899177000000002</v>
      </c>
      <c r="AR2799">
        <v>13.947583284957719</v>
      </c>
      <c r="AS2799" t="s">
        <v>65</v>
      </c>
      <c r="AT2799">
        <v>1</v>
      </c>
      <c r="AU2799" t="s">
        <v>895</v>
      </c>
      <c r="AV2799" t="s">
        <v>896</v>
      </c>
      <c r="AW2799" t="s">
        <v>60</v>
      </c>
      <c r="AX2799" t="s">
        <v>68</v>
      </c>
      <c r="AY2799" t="s">
        <v>69</v>
      </c>
      <c r="AZ2799" t="b">
        <v>1</v>
      </c>
    </row>
    <row r="2800" spans="1:52" x14ac:dyDescent="0.3">
      <c r="A2800" t="s">
        <v>52</v>
      </c>
      <c r="B2800" t="s">
        <v>53</v>
      </c>
      <c r="C2800" t="s">
        <v>54</v>
      </c>
      <c r="D2800" t="s">
        <v>55</v>
      </c>
      <c r="E2800" t="s">
        <v>2162</v>
      </c>
      <c r="F2800" t="s">
        <v>190</v>
      </c>
      <c r="G2800" t="s">
        <v>897</v>
      </c>
      <c r="H2800" t="s">
        <v>898</v>
      </c>
      <c r="I2800" t="s">
        <v>898</v>
      </c>
      <c r="J2800" t="s">
        <v>60</v>
      </c>
      <c r="K2800" t="s">
        <v>892</v>
      </c>
      <c r="L2800" t="s">
        <v>62</v>
      </c>
      <c r="M2800" t="s">
        <v>892</v>
      </c>
      <c r="N2800" t="s">
        <v>899</v>
      </c>
      <c r="O2800" t="s">
        <v>900</v>
      </c>
      <c r="P2800">
        <v>-20.154885</v>
      </c>
      <c r="Q2800">
        <v>-44.899890999999997</v>
      </c>
      <c r="R2800" s="2" t="str">
        <f>HYPERLINK("https://www.google.com/maps?q=-20.1548850,-44.8998910","Abrir no Google Maps")</f>
        <v>Abrir no Google Maps</v>
      </c>
      <c r="S2800">
        <v>3</v>
      </c>
      <c r="T2800">
        <v>314.66339661014308</v>
      </c>
      <c r="U2800">
        <v>3</v>
      </c>
      <c r="V2800">
        <v>0.3892256257095017</v>
      </c>
      <c r="W2800">
        <v>1</v>
      </c>
      <c r="X2800">
        <v>0.3892256257095017</v>
      </c>
      <c r="Y2800">
        <v>548</v>
      </c>
      <c r="Z2800">
        <v>319.02252584834253</v>
      </c>
      <c r="AA2800">
        <v>198</v>
      </c>
      <c r="AB2800">
        <v>332</v>
      </c>
      <c r="AC2800">
        <v>536</v>
      </c>
      <c r="AD2800">
        <v>26.86</v>
      </c>
      <c r="AE2800">
        <v>542</v>
      </c>
      <c r="AF2800">
        <v>15</v>
      </c>
      <c r="AG2800">
        <v>178</v>
      </c>
      <c r="AH2800">
        <v>129</v>
      </c>
      <c r="AI2800">
        <v>2.77</v>
      </c>
      <c r="AJ2800">
        <v>32.840000000000003</v>
      </c>
      <c r="AK2800">
        <v>23.8</v>
      </c>
      <c r="AL2800">
        <v>-20.154906649999951</v>
      </c>
      <c r="AM2800">
        <v>-44.899894072543653</v>
      </c>
      <c r="AN2800">
        <v>-20.154906649999951</v>
      </c>
      <c r="AO2800">
        <v>-44.899894072543653</v>
      </c>
      <c r="AP2800">
        <v>-20.154885</v>
      </c>
      <c r="AQ2800">
        <v>-44.899890999999997</v>
      </c>
      <c r="AR2800">
        <v>2.431373123904943</v>
      </c>
      <c r="AS2800" t="s">
        <v>65</v>
      </c>
      <c r="AT2800">
        <v>1</v>
      </c>
      <c r="AU2800" t="s">
        <v>901</v>
      </c>
      <c r="AV2800" t="s">
        <v>902</v>
      </c>
      <c r="AW2800" t="s">
        <v>60</v>
      </c>
      <c r="AX2800" t="s">
        <v>68</v>
      </c>
      <c r="AY2800" t="s">
        <v>69</v>
      </c>
      <c r="AZ2800" t="b">
        <v>1</v>
      </c>
    </row>
    <row r="2801" spans="1:52" x14ac:dyDescent="0.3">
      <c r="A2801" t="s">
        <v>52</v>
      </c>
      <c r="B2801" t="s">
        <v>53</v>
      </c>
      <c r="C2801" t="s">
        <v>54</v>
      </c>
      <c r="D2801" t="s">
        <v>55</v>
      </c>
      <c r="E2801" t="s">
        <v>2162</v>
      </c>
      <c r="F2801" t="s">
        <v>190</v>
      </c>
      <c r="G2801" t="s">
        <v>903</v>
      </c>
      <c r="H2801" t="s">
        <v>904</v>
      </c>
      <c r="I2801" t="s">
        <v>904</v>
      </c>
      <c r="J2801" t="s">
        <v>60</v>
      </c>
      <c r="K2801" t="s">
        <v>905</v>
      </c>
      <c r="L2801" t="s">
        <v>62</v>
      </c>
      <c r="M2801" t="s">
        <v>905</v>
      </c>
      <c r="N2801" t="s">
        <v>906</v>
      </c>
      <c r="O2801" t="s">
        <v>907</v>
      </c>
      <c r="P2801">
        <v>-20.112969</v>
      </c>
      <c r="Q2801">
        <v>-44.891264</v>
      </c>
      <c r="R2801" s="2" t="str">
        <f>HYPERLINK("https://www.google.com/maps?q=-20.1129690,-44.8912640","Abrir no Google Maps")</f>
        <v>Abrir no Google Maps</v>
      </c>
      <c r="S2801">
        <v>3</v>
      </c>
      <c r="T2801">
        <v>760.33197426397032</v>
      </c>
      <c r="U2801">
        <v>3</v>
      </c>
      <c r="V2801">
        <v>0.37186856193349699</v>
      </c>
      <c r="W2801">
        <v>1</v>
      </c>
      <c r="X2801">
        <v>0.37186856193349699</v>
      </c>
      <c r="Y2801">
        <v>536</v>
      </c>
      <c r="Z2801">
        <v>755.3791742519096</v>
      </c>
      <c r="AA2801">
        <v>198</v>
      </c>
      <c r="AB2801">
        <v>332</v>
      </c>
      <c r="AC2801">
        <v>536</v>
      </c>
      <c r="AD2801">
        <v>26.86</v>
      </c>
      <c r="AE2801">
        <v>542</v>
      </c>
      <c r="AF2801">
        <v>15</v>
      </c>
      <c r="AG2801">
        <v>178</v>
      </c>
      <c r="AH2801">
        <v>129</v>
      </c>
      <c r="AI2801">
        <v>2.77</v>
      </c>
      <c r="AJ2801">
        <v>32.840000000000003</v>
      </c>
      <c r="AK2801">
        <v>23.8</v>
      </c>
      <c r="AL2801">
        <v>-20.11260604999995</v>
      </c>
      <c r="AM2801">
        <v>-44.891480970454502</v>
      </c>
      <c r="AN2801">
        <v>-20.11260604999995</v>
      </c>
      <c r="AO2801">
        <v>-44.891480970454502</v>
      </c>
      <c r="AP2801">
        <v>-20.112969</v>
      </c>
      <c r="AQ2801">
        <v>-44.891264</v>
      </c>
      <c r="AR2801">
        <v>46.334053708506183</v>
      </c>
      <c r="AS2801" t="s">
        <v>65</v>
      </c>
      <c r="AT2801">
        <v>1</v>
      </c>
      <c r="AU2801" t="s">
        <v>908</v>
      </c>
      <c r="AV2801" t="s">
        <v>909</v>
      </c>
      <c r="AW2801" t="s">
        <v>60</v>
      </c>
      <c r="AX2801" t="s">
        <v>68</v>
      </c>
      <c r="AY2801" t="s">
        <v>69</v>
      </c>
      <c r="AZ2801" t="b">
        <v>1</v>
      </c>
    </row>
    <row r="2802" spans="1:52" x14ac:dyDescent="0.3">
      <c r="A2802" t="s">
        <v>52</v>
      </c>
      <c r="B2802" t="s">
        <v>53</v>
      </c>
      <c r="C2802" t="s">
        <v>54</v>
      </c>
      <c r="D2802" t="s">
        <v>55</v>
      </c>
      <c r="E2802" t="s">
        <v>2162</v>
      </c>
      <c r="F2802" t="s">
        <v>190</v>
      </c>
      <c r="G2802" t="s">
        <v>910</v>
      </c>
      <c r="H2802" t="s">
        <v>911</v>
      </c>
      <c r="I2802" t="s">
        <v>911</v>
      </c>
      <c r="J2802" t="s">
        <v>60</v>
      </c>
      <c r="K2802" t="s">
        <v>207</v>
      </c>
      <c r="L2802" t="s">
        <v>62</v>
      </c>
      <c r="M2802" t="s">
        <v>207</v>
      </c>
      <c r="N2802" t="s">
        <v>912</v>
      </c>
      <c r="O2802" t="s">
        <v>548</v>
      </c>
      <c r="P2802">
        <v>-20.116987000000002</v>
      </c>
      <c r="Q2802">
        <v>-44.885240000000003</v>
      </c>
      <c r="R2802" s="2" t="str">
        <f>HYPERLINK("https://www.google.com/maps?q=-20.1169870,-44.8852400","Abrir no Google Maps")</f>
        <v>Abrir no Google Maps</v>
      </c>
      <c r="S2802">
        <v>3</v>
      </c>
      <c r="T2802">
        <v>283.94804862214067</v>
      </c>
      <c r="U2802">
        <v>3</v>
      </c>
      <c r="V2802">
        <v>0.400672998366013</v>
      </c>
      <c r="W2802">
        <v>1</v>
      </c>
      <c r="X2802">
        <v>0.400672998366013</v>
      </c>
      <c r="Y2802">
        <v>536</v>
      </c>
      <c r="Z2802">
        <v>297.39410031170689</v>
      </c>
      <c r="AA2802">
        <v>198</v>
      </c>
      <c r="AB2802">
        <v>332</v>
      </c>
      <c r="AC2802">
        <v>536</v>
      </c>
      <c r="AD2802">
        <v>26.86</v>
      </c>
      <c r="AE2802">
        <v>542</v>
      </c>
      <c r="AF2802">
        <v>15</v>
      </c>
      <c r="AG2802">
        <v>178</v>
      </c>
      <c r="AH2802">
        <v>129</v>
      </c>
      <c r="AI2802">
        <v>2.77</v>
      </c>
      <c r="AJ2802">
        <v>32.840000000000003</v>
      </c>
      <c r="AK2802">
        <v>23.8</v>
      </c>
      <c r="AL2802">
        <v>-20.116999599999961</v>
      </c>
      <c r="AM2802">
        <v>-44.885197873315192</v>
      </c>
      <c r="AN2802">
        <v>-20.116999599999961</v>
      </c>
      <c r="AO2802">
        <v>-44.885197873315192</v>
      </c>
      <c r="AP2802">
        <v>-20.116987000000002</v>
      </c>
      <c r="AQ2802">
        <v>-44.885240000000003</v>
      </c>
      <c r="AR2802">
        <v>4.6214387870334246</v>
      </c>
      <c r="AS2802" t="s">
        <v>65</v>
      </c>
      <c r="AT2802">
        <v>1</v>
      </c>
      <c r="AU2802" t="s">
        <v>913</v>
      </c>
      <c r="AV2802" t="s">
        <v>914</v>
      </c>
      <c r="AW2802" t="s">
        <v>60</v>
      </c>
      <c r="AX2802" t="s">
        <v>68</v>
      </c>
      <c r="AY2802" t="s">
        <v>69</v>
      </c>
      <c r="AZ2802" t="b">
        <v>1</v>
      </c>
    </row>
    <row r="2803" spans="1:52" x14ac:dyDescent="0.3">
      <c r="A2803" t="s">
        <v>52</v>
      </c>
      <c r="B2803" t="s">
        <v>53</v>
      </c>
      <c r="C2803" t="s">
        <v>54</v>
      </c>
      <c r="D2803" t="s">
        <v>55</v>
      </c>
      <c r="E2803" t="s">
        <v>2162</v>
      </c>
      <c r="F2803" t="s">
        <v>190</v>
      </c>
      <c r="G2803" t="s">
        <v>2150</v>
      </c>
      <c r="H2803" t="s">
        <v>2151</v>
      </c>
      <c r="I2803" t="s">
        <v>2151</v>
      </c>
      <c r="J2803" t="s">
        <v>60</v>
      </c>
      <c r="K2803" t="s">
        <v>207</v>
      </c>
      <c r="L2803" t="s">
        <v>62</v>
      </c>
      <c r="M2803" t="s">
        <v>207</v>
      </c>
      <c r="N2803" t="s">
        <v>2152</v>
      </c>
      <c r="O2803" t="s">
        <v>325</v>
      </c>
      <c r="P2803">
        <v>-20.123899999999999</v>
      </c>
      <c r="Q2803">
        <v>-44.883932999999999</v>
      </c>
      <c r="R2803" s="2" t="str">
        <f>HYPERLINK("https://www.google.com/maps?q=-20.1239000,-44.8839330","Abrir no Google Maps")</f>
        <v>Abrir no Google Maps</v>
      </c>
      <c r="S2803">
        <v>3</v>
      </c>
      <c r="T2803">
        <v>716.43785561804941</v>
      </c>
      <c r="U2803">
        <v>3</v>
      </c>
      <c r="V2803">
        <v>0.44579830407323923</v>
      </c>
      <c r="W2803">
        <v>0.85</v>
      </c>
      <c r="X2803">
        <v>0.37892855846225332</v>
      </c>
      <c r="Y2803">
        <v>536</v>
      </c>
      <c r="Z2803">
        <v>680.78895299280759</v>
      </c>
      <c r="AA2803">
        <v>198</v>
      </c>
      <c r="AB2803">
        <v>332</v>
      </c>
      <c r="AC2803">
        <v>536</v>
      </c>
      <c r="AD2803">
        <v>26.86</v>
      </c>
      <c r="AE2803">
        <v>542</v>
      </c>
      <c r="AF2803">
        <v>15</v>
      </c>
      <c r="AG2803">
        <v>178</v>
      </c>
      <c r="AH2803">
        <v>129</v>
      </c>
      <c r="AI2803">
        <v>2.77</v>
      </c>
      <c r="AJ2803">
        <v>32.840000000000003</v>
      </c>
      <c r="AK2803">
        <v>23.8</v>
      </c>
      <c r="AL2803">
        <v>-20.12393434999996</v>
      </c>
      <c r="AM2803">
        <v>-44.884020194978177</v>
      </c>
      <c r="AN2803">
        <v>-20.12393434999996</v>
      </c>
      <c r="AO2803">
        <v>-44.884020194978177</v>
      </c>
      <c r="AP2803">
        <v>-20.123899999999999</v>
      </c>
      <c r="AQ2803">
        <v>-44.883932999999999</v>
      </c>
      <c r="AR2803">
        <v>9.8836304106829154</v>
      </c>
      <c r="AS2803" t="s">
        <v>65</v>
      </c>
      <c r="AT2803">
        <v>1</v>
      </c>
      <c r="AU2803" t="s">
        <v>2153</v>
      </c>
      <c r="AV2803" t="s">
        <v>2154</v>
      </c>
      <c r="AW2803" t="s">
        <v>60</v>
      </c>
      <c r="AX2803" t="s">
        <v>68</v>
      </c>
      <c r="AY2803" t="s">
        <v>69</v>
      </c>
      <c r="AZ2803" t="b">
        <v>1</v>
      </c>
    </row>
    <row r="2804" spans="1:52" x14ac:dyDescent="0.3">
      <c r="A2804" t="s">
        <v>52</v>
      </c>
      <c r="B2804" t="s">
        <v>53</v>
      </c>
      <c r="C2804" t="s">
        <v>54</v>
      </c>
      <c r="D2804" t="s">
        <v>55</v>
      </c>
      <c r="E2804" t="s">
        <v>2162</v>
      </c>
      <c r="F2804" t="s">
        <v>190</v>
      </c>
      <c r="G2804" t="s">
        <v>232</v>
      </c>
      <c r="H2804" t="s">
        <v>925</v>
      </c>
      <c r="I2804" t="s">
        <v>925</v>
      </c>
      <c r="J2804" t="s">
        <v>60</v>
      </c>
      <c r="K2804" t="s">
        <v>702</v>
      </c>
      <c r="L2804" t="s">
        <v>62</v>
      </c>
      <c r="M2804" t="s">
        <v>702</v>
      </c>
      <c r="N2804" t="s">
        <v>234</v>
      </c>
      <c r="O2804" t="s">
        <v>926</v>
      </c>
      <c r="P2804">
        <v>-20.165887999999999</v>
      </c>
      <c r="Q2804">
        <v>-44.865220000000001</v>
      </c>
      <c r="R2804" s="2" t="str">
        <f>HYPERLINK("https://www.google.com/maps?q=-20.1658880,-44.8652200","Abrir no Google Maps")</f>
        <v>Abrir no Google Maps</v>
      </c>
      <c r="S2804">
        <v>3</v>
      </c>
      <c r="T2804">
        <v>711.71706763776342</v>
      </c>
      <c r="U2804">
        <v>3</v>
      </c>
      <c r="V2804">
        <v>0.39542848470103698</v>
      </c>
      <c r="W2804">
        <v>1</v>
      </c>
      <c r="X2804">
        <v>0.39542848470103698</v>
      </c>
      <c r="Y2804">
        <v>518</v>
      </c>
      <c r="Z2804">
        <v>801.45781285603209</v>
      </c>
      <c r="AA2804">
        <v>198</v>
      </c>
      <c r="AB2804">
        <v>332</v>
      </c>
      <c r="AC2804">
        <v>536</v>
      </c>
      <c r="AD2804">
        <v>26.86</v>
      </c>
      <c r="AE2804">
        <v>542</v>
      </c>
      <c r="AF2804">
        <v>15</v>
      </c>
      <c r="AG2804">
        <v>178</v>
      </c>
      <c r="AH2804">
        <v>129</v>
      </c>
      <c r="AI2804">
        <v>2.77</v>
      </c>
      <c r="AJ2804">
        <v>32.840000000000003</v>
      </c>
      <c r="AK2804">
        <v>23.8</v>
      </c>
      <c r="AL2804">
        <v>-20.165865449999959</v>
      </c>
      <c r="AM2804">
        <v>-44.865240434761468</v>
      </c>
      <c r="AN2804">
        <v>-20.165865449999959</v>
      </c>
      <c r="AO2804">
        <v>-44.865240434761468</v>
      </c>
      <c r="AP2804">
        <v>-20.165887999999999</v>
      </c>
      <c r="AQ2804">
        <v>-44.865220000000001</v>
      </c>
      <c r="AR2804">
        <v>3.2956262004279409</v>
      </c>
      <c r="AS2804" t="s">
        <v>65</v>
      </c>
      <c r="AT2804">
        <v>1</v>
      </c>
      <c r="AU2804" t="s">
        <v>927</v>
      </c>
      <c r="AV2804" t="s">
        <v>928</v>
      </c>
      <c r="AW2804" t="s">
        <v>60</v>
      </c>
      <c r="AX2804" t="s">
        <v>68</v>
      </c>
      <c r="AY2804" t="s">
        <v>69</v>
      </c>
      <c r="AZ2804" t="b">
        <v>1</v>
      </c>
    </row>
    <row r="2805" spans="1:52" x14ac:dyDescent="0.3">
      <c r="A2805" t="s">
        <v>52</v>
      </c>
      <c r="B2805" t="s">
        <v>53</v>
      </c>
      <c r="C2805" t="s">
        <v>54</v>
      </c>
      <c r="D2805" t="s">
        <v>55</v>
      </c>
      <c r="E2805" t="s">
        <v>2162</v>
      </c>
      <c r="F2805" t="s">
        <v>190</v>
      </c>
      <c r="G2805" t="s">
        <v>929</v>
      </c>
      <c r="H2805" t="s">
        <v>930</v>
      </c>
      <c r="I2805" t="s">
        <v>930</v>
      </c>
      <c r="J2805" t="s">
        <v>60</v>
      </c>
      <c r="K2805" t="s">
        <v>72</v>
      </c>
      <c r="L2805" t="s">
        <v>62</v>
      </c>
      <c r="M2805" t="s">
        <v>72</v>
      </c>
      <c r="N2805" t="s">
        <v>931</v>
      </c>
      <c r="O2805" t="s">
        <v>932</v>
      </c>
      <c r="P2805">
        <v>-20.144780999999998</v>
      </c>
      <c r="Q2805">
        <v>-44.914259000000001</v>
      </c>
      <c r="R2805" s="2" t="str">
        <f>HYPERLINK("https://www.google.com/maps?q=-20.1447810,-44.9142590","Abrir no Google Maps")</f>
        <v>Abrir no Google Maps</v>
      </c>
      <c r="S2805">
        <v>3</v>
      </c>
      <c r="T2805">
        <v>256.09363485874093</v>
      </c>
      <c r="U2805">
        <v>3</v>
      </c>
      <c r="V2805">
        <v>0.405133778715566</v>
      </c>
      <c r="W2805">
        <v>1</v>
      </c>
      <c r="X2805">
        <v>0.405133778715566</v>
      </c>
      <c r="Y2805">
        <v>508</v>
      </c>
      <c r="Z2805">
        <v>318.29766547935321</v>
      </c>
      <c r="AA2805">
        <v>198</v>
      </c>
      <c r="AB2805">
        <v>332</v>
      </c>
      <c r="AC2805">
        <v>536</v>
      </c>
      <c r="AD2805">
        <v>26.86</v>
      </c>
      <c r="AE2805">
        <v>542</v>
      </c>
      <c r="AF2805">
        <v>15</v>
      </c>
      <c r="AG2805">
        <v>178</v>
      </c>
      <c r="AH2805">
        <v>129</v>
      </c>
      <c r="AI2805">
        <v>2.77</v>
      </c>
      <c r="AJ2805">
        <v>32.840000000000003</v>
      </c>
      <c r="AK2805">
        <v>23.8</v>
      </c>
      <c r="AL2805">
        <v>-20.144721899999951</v>
      </c>
      <c r="AM2805">
        <v>-44.914368749511411</v>
      </c>
      <c r="AN2805">
        <v>-20.144721899999951</v>
      </c>
      <c r="AO2805">
        <v>-44.914368749511411</v>
      </c>
      <c r="AP2805">
        <v>-20.144780999999998</v>
      </c>
      <c r="AQ2805">
        <v>-44.914259000000001</v>
      </c>
      <c r="AR2805">
        <v>13.22280973360979</v>
      </c>
      <c r="AS2805" t="s">
        <v>65</v>
      </c>
      <c r="AT2805">
        <v>1</v>
      </c>
      <c r="AU2805" t="s">
        <v>933</v>
      </c>
      <c r="AV2805" t="s">
        <v>934</v>
      </c>
      <c r="AW2805" t="s">
        <v>60</v>
      </c>
      <c r="AX2805" t="s">
        <v>68</v>
      </c>
      <c r="AY2805" t="s">
        <v>69</v>
      </c>
      <c r="AZ2805" t="b">
        <v>1</v>
      </c>
    </row>
    <row r="2806" spans="1:52" x14ac:dyDescent="0.3">
      <c r="A2806" t="s">
        <v>52</v>
      </c>
      <c r="B2806" t="s">
        <v>53</v>
      </c>
      <c r="C2806" t="s">
        <v>54</v>
      </c>
      <c r="D2806" t="s">
        <v>55</v>
      </c>
      <c r="E2806" t="s">
        <v>2162</v>
      </c>
      <c r="F2806" t="s">
        <v>190</v>
      </c>
      <c r="G2806" t="s">
        <v>935</v>
      </c>
      <c r="H2806" t="s">
        <v>936</v>
      </c>
      <c r="I2806" t="s">
        <v>936</v>
      </c>
      <c r="J2806" t="s">
        <v>60</v>
      </c>
      <c r="K2806" t="s">
        <v>193</v>
      </c>
      <c r="L2806" t="s">
        <v>62</v>
      </c>
      <c r="M2806" t="s">
        <v>193</v>
      </c>
      <c r="N2806" t="s">
        <v>937</v>
      </c>
      <c r="O2806" t="s">
        <v>938</v>
      </c>
      <c r="P2806">
        <v>-20.144727</v>
      </c>
      <c r="Q2806">
        <v>-44.919978999999998</v>
      </c>
      <c r="R2806" s="2" t="str">
        <f>HYPERLINK("https://www.google.com/maps?q=-20.1447270,-44.9199790","Abrir no Google Maps")</f>
        <v>Abrir no Google Maps</v>
      </c>
      <c r="S2806">
        <v>3</v>
      </c>
      <c r="T2806">
        <v>341.13992759662477</v>
      </c>
      <c r="U2806">
        <v>3</v>
      </c>
      <c r="V2806">
        <v>0.38383909180260989</v>
      </c>
      <c r="W2806">
        <v>1</v>
      </c>
      <c r="X2806">
        <v>0.38383909180260989</v>
      </c>
      <c r="Y2806">
        <v>508</v>
      </c>
      <c r="Z2806">
        <v>274.58151985101409</v>
      </c>
      <c r="AA2806">
        <v>198</v>
      </c>
      <c r="AB2806">
        <v>332</v>
      </c>
      <c r="AC2806">
        <v>536</v>
      </c>
      <c r="AD2806">
        <v>26.86</v>
      </c>
      <c r="AE2806">
        <v>542</v>
      </c>
      <c r="AF2806">
        <v>15</v>
      </c>
      <c r="AG2806">
        <v>178</v>
      </c>
      <c r="AH2806">
        <v>129</v>
      </c>
      <c r="AI2806">
        <v>2.77</v>
      </c>
      <c r="AJ2806">
        <v>32.840000000000003</v>
      </c>
      <c r="AK2806">
        <v>23.8</v>
      </c>
      <c r="AL2806">
        <v>-20.144771099999961</v>
      </c>
      <c r="AM2806">
        <v>-44.92003491095209</v>
      </c>
      <c r="AN2806">
        <v>-20.144771099999961</v>
      </c>
      <c r="AO2806">
        <v>-44.92003491095209</v>
      </c>
      <c r="AP2806">
        <v>-20.144727</v>
      </c>
      <c r="AQ2806">
        <v>-44.919978999999998</v>
      </c>
      <c r="AR2806">
        <v>7.6317760459664177</v>
      </c>
      <c r="AS2806" t="s">
        <v>65</v>
      </c>
      <c r="AT2806">
        <v>1</v>
      </c>
      <c r="AU2806" t="s">
        <v>939</v>
      </c>
      <c r="AV2806" t="s">
        <v>940</v>
      </c>
      <c r="AW2806" t="s">
        <v>60</v>
      </c>
      <c r="AX2806" t="s">
        <v>68</v>
      </c>
      <c r="AY2806" t="s">
        <v>69</v>
      </c>
      <c r="AZ2806" t="b">
        <v>1</v>
      </c>
    </row>
    <row r="2807" spans="1:52" x14ac:dyDescent="0.3">
      <c r="A2807" t="s">
        <v>52</v>
      </c>
      <c r="B2807" t="s">
        <v>53</v>
      </c>
      <c r="C2807" t="s">
        <v>54</v>
      </c>
      <c r="D2807" t="s">
        <v>55</v>
      </c>
      <c r="E2807" t="s">
        <v>2162</v>
      </c>
      <c r="F2807" t="s">
        <v>190</v>
      </c>
      <c r="G2807" t="s">
        <v>941</v>
      </c>
      <c r="H2807" t="s">
        <v>942</v>
      </c>
      <c r="I2807" t="s">
        <v>942</v>
      </c>
      <c r="J2807" t="s">
        <v>60</v>
      </c>
      <c r="K2807" t="s">
        <v>193</v>
      </c>
      <c r="L2807" t="s">
        <v>62</v>
      </c>
      <c r="M2807" t="s">
        <v>193</v>
      </c>
      <c r="N2807" t="s">
        <v>943</v>
      </c>
      <c r="O2807" t="s">
        <v>257</v>
      </c>
      <c r="P2807">
        <v>-20.142042</v>
      </c>
      <c r="Q2807">
        <v>-44.917906000000002</v>
      </c>
      <c r="R2807" s="2" t="str">
        <f>HYPERLINK("https://www.google.com/maps?q=-20.1420420,-44.9179060","Abrir no Google Maps")</f>
        <v>Abrir no Google Maps</v>
      </c>
      <c r="S2807">
        <v>3</v>
      </c>
      <c r="T2807">
        <v>373.14048213045743</v>
      </c>
      <c r="U2807">
        <v>3</v>
      </c>
      <c r="V2807">
        <v>0.37643582741383502</v>
      </c>
      <c r="W2807">
        <v>1</v>
      </c>
      <c r="X2807">
        <v>0.37643582741383502</v>
      </c>
      <c r="Y2807">
        <v>508</v>
      </c>
      <c r="Z2807">
        <v>271.52693841106122</v>
      </c>
      <c r="AA2807">
        <v>198</v>
      </c>
      <c r="AB2807">
        <v>332</v>
      </c>
      <c r="AC2807">
        <v>536</v>
      </c>
      <c r="AD2807">
        <v>26.86</v>
      </c>
      <c r="AE2807">
        <v>542</v>
      </c>
      <c r="AF2807">
        <v>15</v>
      </c>
      <c r="AG2807">
        <v>178</v>
      </c>
      <c r="AH2807">
        <v>129</v>
      </c>
      <c r="AI2807">
        <v>2.77</v>
      </c>
      <c r="AJ2807">
        <v>32.840000000000003</v>
      </c>
      <c r="AK2807">
        <v>23.8</v>
      </c>
      <c r="AL2807">
        <v>-20.14198914999994</v>
      </c>
      <c r="AM2807">
        <v>-44.918192618397512</v>
      </c>
      <c r="AN2807">
        <v>-20.14198914999994</v>
      </c>
      <c r="AO2807">
        <v>-44.918192618397512</v>
      </c>
      <c r="AP2807">
        <v>-20.142042</v>
      </c>
      <c r="AQ2807">
        <v>-44.917906000000002</v>
      </c>
      <c r="AR2807">
        <v>30.527314493281139</v>
      </c>
      <c r="AS2807" t="s">
        <v>65</v>
      </c>
      <c r="AT2807">
        <v>1</v>
      </c>
      <c r="AU2807" t="s">
        <v>944</v>
      </c>
      <c r="AV2807" t="s">
        <v>945</v>
      </c>
      <c r="AW2807" t="s">
        <v>60</v>
      </c>
      <c r="AX2807" t="s">
        <v>68</v>
      </c>
      <c r="AY2807" t="s">
        <v>69</v>
      </c>
      <c r="AZ2807" t="b">
        <v>1</v>
      </c>
    </row>
    <row r="2808" spans="1:52" x14ac:dyDescent="0.3">
      <c r="A2808" t="s">
        <v>52</v>
      </c>
      <c r="B2808" t="s">
        <v>53</v>
      </c>
      <c r="C2808" t="s">
        <v>54</v>
      </c>
      <c r="D2808" t="s">
        <v>55</v>
      </c>
      <c r="E2808" t="s">
        <v>2162</v>
      </c>
      <c r="F2808" t="s">
        <v>190</v>
      </c>
      <c r="G2808" t="s">
        <v>946</v>
      </c>
      <c r="H2808" t="s">
        <v>947</v>
      </c>
      <c r="I2808" t="s">
        <v>947</v>
      </c>
      <c r="J2808" t="s">
        <v>60</v>
      </c>
      <c r="K2808" t="s">
        <v>193</v>
      </c>
      <c r="L2808" t="s">
        <v>62</v>
      </c>
      <c r="M2808" t="s">
        <v>193</v>
      </c>
      <c r="N2808" t="s">
        <v>948</v>
      </c>
      <c r="O2808" t="s">
        <v>949</v>
      </c>
      <c r="P2808">
        <v>-20.141646000000001</v>
      </c>
      <c r="Q2808">
        <v>-44.920682999999997</v>
      </c>
      <c r="R2808" s="2" t="str">
        <f>HYPERLINK("https://www.google.com/maps?q=-20.1416460,-44.9206830","Abrir no Google Maps")</f>
        <v>Abrir no Google Maps</v>
      </c>
      <c r="S2808">
        <v>3</v>
      </c>
      <c r="T2808">
        <v>538.41742581974165</v>
      </c>
      <c r="U2808">
        <v>3</v>
      </c>
      <c r="V2808">
        <v>0.39274378877757832</v>
      </c>
      <c r="W2808">
        <v>1</v>
      </c>
      <c r="X2808">
        <v>0.39274378877757832</v>
      </c>
      <c r="Y2808">
        <v>508</v>
      </c>
      <c r="Z2808">
        <v>459.99626097363068</v>
      </c>
      <c r="AA2808">
        <v>198</v>
      </c>
      <c r="AB2808">
        <v>332</v>
      </c>
      <c r="AC2808">
        <v>536</v>
      </c>
      <c r="AD2808">
        <v>26.86</v>
      </c>
      <c r="AE2808">
        <v>542</v>
      </c>
      <c r="AF2808">
        <v>15</v>
      </c>
      <c r="AG2808">
        <v>178</v>
      </c>
      <c r="AH2808">
        <v>129</v>
      </c>
      <c r="AI2808">
        <v>2.77</v>
      </c>
      <c r="AJ2808">
        <v>32.840000000000003</v>
      </c>
      <c r="AK2808">
        <v>23.8</v>
      </c>
      <c r="AL2808">
        <v>-20.141877549999979</v>
      </c>
      <c r="AM2808">
        <v>-44.920658074778594</v>
      </c>
      <c r="AN2808">
        <v>-20.141877549999979</v>
      </c>
      <c r="AO2808">
        <v>-44.920658074778594</v>
      </c>
      <c r="AP2808">
        <v>-20.141646000000001</v>
      </c>
      <c r="AQ2808">
        <v>-44.920682999999997</v>
      </c>
      <c r="AR2808">
        <v>25.907443828287509</v>
      </c>
      <c r="AS2808" t="s">
        <v>65</v>
      </c>
      <c r="AT2808">
        <v>1</v>
      </c>
      <c r="AU2808" t="s">
        <v>950</v>
      </c>
      <c r="AV2808" t="s">
        <v>951</v>
      </c>
      <c r="AW2808" t="s">
        <v>60</v>
      </c>
      <c r="AX2808" t="s">
        <v>68</v>
      </c>
      <c r="AY2808" t="s">
        <v>69</v>
      </c>
      <c r="AZ2808" t="b">
        <v>1</v>
      </c>
    </row>
    <row r="2809" spans="1:52" x14ac:dyDescent="0.3">
      <c r="A2809" t="s">
        <v>52</v>
      </c>
      <c r="B2809" t="s">
        <v>53</v>
      </c>
      <c r="C2809" t="s">
        <v>54</v>
      </c>
      <c r="D2809" t="s">
        <v>55</v>
      </c>
      <c r="E2809" t="s">
        <v>2162</v>
      </c>
      <c r="F2809" t="s">
        <v>190</v>
      </c>
      <c r="G2809" t="s">
        <v>625</v>
      </c>
      <c r="H2809" t="s">
        <v>626</v>
      </c>
      <c r="I2809" t="s">
        <v>626</v>
      </c>
      <c r="J2809" t="s">
        <v>60</v>
      </c>
      <c r="K2809" t="s">
        <v>193</v>
      </c>
      <c r="L2809" t="s">
        <v>62</v>
      </c>
      <c r="M2809" t="s">
        <v>193</v>
      </c>
      <c r="N2809" t="s">
        <v>627</v>
      </c>
      <c r="O2809" t="s">
        <v>628</v>
      </c>
      <c r="P2809">
        <v>-20.145171999999999</v>
      </c>
      <c r="Q2809">
        <v>-44.916764000000001</v>
      </c>
      <c r="R2809" s="2" t="str">
        <f>HYPERLINK("https://www.google.com/maps?q=-20.1451720,-44.9167640","Abrir no Google Maps")</f>
        <v>Abrir no Google Maps</v>
      </c>
      <c r="S2809">
        <v>3</v>
      </c>
      <c r="T2809">
        <v>0</v>
      </c>
      <c r="U2809">
        <v>3</v>
      </c>
      <c r="V2809">
        <v>0.40515194406438149</v>
      </c>
      <c r="W2809">
        <v>1</v>
      </c>
      <c r="X2809">
        <v>0.40515194406438149</v>
      </c>
      <c r="Y2809">
        <v>508</v>
      </c>
      <c r="Z2809">
        <v>79.403393114466795</v>
      </c>
      <c r="AA2809">
        <v>198</v>
      </c>
      <c r="AB2809">
        <v>332</v>
      </c>
      <c r="AC2809">
        <v>536</v>
      </c>
      <c r="AD2809">
        <v>26.86</v>
      </c>
      <c r="AE2809">
        <v>542</v>
      </c>
      <c r="AF2809">
        <v>15</v>
      </c>
      <c r="AG2809">
        <v>178</v>
      </c>
      <c r="AH2809">
        <v>129</v>
      </c>
      <c r="AI2809">
        <v>2.77</v>
      </c>
      <c r="AJ2809">
        <v>32.840000000000003</v>
      </c>
      <c r="AK2809">
        <v>23.8</v>
      </c>
      <c r="AL2809">
        <v>-20.145089199999969</v>
      </c>
      <c r="AM2809">
        <v>-44.916788127791321</v>
      </c>
      <c r="AN2809">
        <v>-20.145089199999969</v>
      </c>
      <c r="AO2809">
        <v>-44.916788127791321</v>
      </c>
      <c r="AP2809">
        <v>-20.145171999999999</v>
      </c>
      <c r="AQ2809">
        <v>-44.916764000000001</v>
      </c>
      <c r="AR2809">
        <v>9.555991267747272</v>
      </c>
      <c r="AS2809" t="s">
        <v>65</v>
      </c>
      <c r="AT2809">
        <v>1</v>
      </c>
      <c r="AU2809" t="s">
        <v>629</v>
      </c>
      <c r="AV2809" t="s">
        <v>630</v>
      </c>
      <c r="AW2809" t="s">
        <v>60</v>
      </c>
      <c r="AX2809" t="s">
        <v>68</v>
      </c>
      <c r="AY2809" t="s">
        <v>69</v>
      </c>
      <c r="AZ2809" t="b">
        <v>1</v>
      </c>
    </row>
    <row r="2810" spans="1:52" x14ac:dyDescent="0.3">
      <c r="A2810" t="s">
        <v>52</v>
      </c>
      <c r="B2810" t="s">
        <v>53</v>
      </c>
      <c r="C2810" t="s">
        <v>54</v>
      </c>
      <c r="D2810" t="s">
        <v>55</v>
      </c>
      <c r="E2810" t="s">
        <v>2162</v>
      </c>
      <c r="F2810" t="s">
        <v>190</v>
      </c>
      <c r="G2810" t="s">
        <v>935</v>
      </c>
      <c r="H2810" t="s">
        <v>952</v>
      </c>
      <c r="I2810" t="s">
        <v>952</v>
      </c>
      <c r="J2810" t="s">
        <v>60</v>
      </c>
      <c r="K2810" t="s">
        <v>953</v>
      </c>
      <c r="L2810" t="s">
        <v>62</v>
      </c>
      <c r="M2810" t="s">
        <v>953</v>
      </c>
      <c r="N2810" t="s">
        <v>937</v>
      </c>
      <c r="O2810" t="s">
        <v>954</v>
      </c>
      <c r="P2810">
        <v>-20.147273999999999</v>
      </c>
      <c r="Q2810">
        <v>-44.920006000000001</v>
      </c>
      <c r="R2810" s="2" t="str">
        <f>HYPERLINK("https://www.google.com/maps?q=-20.1472740,-44.9200060","Abrir no Google Maps")</f>
        <v>Abrir no Google Maps</v>
      </c>
      <c r="S2810">
        <v>3</v>
      </c>
      <c r="T2810">
        <v>459.0606352701667</v>
      </c>
      <c r="U2810">
        <v>3</v>
      </c>
      <c r="V2810">
        <v>0.44995772325550709</v>
      </c>
      <c r="W2810">
        <v>0.85</v>
      </c>
      <c r="X2810">
        <v>0.38246406476718098</v>
      </c>
      <c r="Y2810">
        <v>508</v>
      </c>
      <c r="Z2810">
        <v>450.79650119449559</v>
      </c>
      <c r="AA2810">
        <v>198</v>
      </c>
      <c r="AB2810">
        <v>332</v>
      </c>
      <c r="AC2810">
        <v>536</v>
      </c>
      <c r="AD2810">
        <v>26.86</v>
      </c>
      <c r="AE2810">
        <v>542</v>
      </c>
      <c r="AF2810">
        <v>15</v>
      </c>
      <c r="AG2810">
        <v>178</v>
      </c>
      <c r="AH2810">
        <v>129</v>
      </c>
      <c r="AI2810">
        <v>2.77</v>
      </c>
      <c r="AJ2810">
        <v>32.840000000000003</v>
      </c>
      <c r="AK2810">
        <v>23.8</v>
      </c>
      <c r="AL2810">
        <v>-20.14804539999994</v>
      </c>
      <c r="AM2810">
        <v>-44.919869714952483</v>
      </c>
      <c r="AN2810">
        <v>-20.14804539999994</v>
      </c>
      <c r="AO2810">
        <v>-44.919869714952483</v>
      </c>
      <c r="AP2810">
        <v>-20.147273999999999</v>
      </c>
      <c r="AQ2810">
        <v>-44.920006000000001</v>
      </c>
      <c r="AR2810">
        <v>87.045401840517783</v>
      </c>
      <c r="AS2810" t="s">
        <v>65</v>
      </c>
      <c r="AT2810">
        <v>1</v>
      </c>
      <c r="AU2810" t="s">
        <v>955</v>
      </c>
      <c r="AV2810" t="s">
        <v>956</v>
      </c>
      <c r="AW2810" t="s">
        <v>60</v>
      </c>
      <c r="AX2810" t="s">
        <v>68</v>
      </c>
      <c r="AY2810" t="s">
        <v>69</v>
      </c>
      <c r="AZ2810" t="b">
        <v>1</v>
      </c>
    </row>
    <row r="2811" spans="1:52" x14ac:dyDescent="0.3">
      <c r="A2811" t="s">
        <v>52</v>
      </c>
      <c r="B2811" t="s">
        <v>53</v>
      </c>
      <c r="C2811" t="s">
        <v>54</v>
      </c>
      <c r="D2811" t="s">
        <v>55</v>
      </c>
      <c r="E2811" t="s">
        <v>2162</v>
      </c>
      <c r="F2811" t="s">
        <v>190</v>
      </c>
      <c r="G2811" t="s">
        <v>957</v>
      </c>
      <c r="H2811" t="s">
        <v>958</v>
      </c>
      <c r="I2811" t="s">
        <v>958</v>
      </c>
      <c r="J2811" t="s">
        <v>60</v>
      </c>
      <c r="K2811" t="s">
        <v>262</v>
      </c>
      <c r="L2811" t="s">
        <v>62</v>
      </c>
      <c r="M2811" t="s">
        <v>262</v>
      </c>
      <c r="N2811" t="s">
        <v>959</v>
      </c>
      <c r="O2811" t="s">
        <v>960</v>
      </c>
      <c r="P2811">
        <v>-20.165469999999999</v>
      </c>
      <c r="Q2811">
        <v>-44.854308000000003</v>
      </c>
      <c r="R2811" s="2" t="str">
        <f>HYPERLINK("https://www.google.com/maps?q=-20.1654700,-44.8543080","Abrir no Google Maps")</f>
        <v>Abrir no Google Maps</v>
      </c>
      <c r="S2811">
        <v>3</v>
      </c>
      <c r="T2811">
        <v>555.06043712641599</v>
      </c>
      <c r="U2811">
        <v>3</v>
      </c>
      <c r="V2811">
        <v>0.38306213904463238</v>
      </c>
      <c r="W2811">
        <v>1</v>
      </c>
      <c r="X2811">
        <v>0.38306213904463238</v>
      </c>
      <c r="Y2811">
        <v>491</v>
      </c>
      <c r="Z2811">
        <v>423.16855805320131</v>
      </c>
      <c r="AA2811">
        <v>198</v>
      </c>
      <c r="AB2811">
        <v>332</v>
      </c>
      <c r="AC2811">
        <v>536</v>
      </c>
      <c r="AD2811">
        <v>26.86</v>
      </c>
      <c r="AE2811">
        <v>542</v>
      </c>
      <c r="AF2811">
        <v>15</v>
      </c>
      <c r="AG2811">
        <v>178</v>
      </c>
      <c r="AH2811">
        <v>129</v>
      </c>
      <c r="AI2811">
        <v>2.77</v>
      </c>
      <c r="AJ2811">
        <v>32.840000000000003</v>
      </c>
      <c r="AK2811">
        <v>23.8</v>
      </c>
      <c r="AL2811">
        <v>-20.165538449999961</v>
      </c>
      <c r="AM2811">
        <v>-44.854274624633042</v>
      </c>
      <c r="AN2811">
        <v>-20.165538449999961</v>
      </c>
      <c r="AO2811">
        <v>-44.854274624633042</v>
      </c>
      <c r="AP2811">
        <v>-20.165469999999999</v>
      </c>
      <c r="AQ2811">
        <v>-44.854308000000003</v>
      </c>
      <c r="AR2811">
        <v>8.3800661572970956</v>
      </c>
      <c r="AS2811" t="s">
        <v>65</v>
      </c>
      <c r="AT2811">
        <v>1</v>
      </c>
      <c r="AU2811" t="s">
        <v>961</v>
      </c>
      <c r="AV2811" t="s">
        <v>962</v>
      </c>
      <c r="AW2811" t="s">
        <v>60</v>
      </c>
      <c r="AX2811" t="s">
        <v>68</v>
      </c>
      <c r="AY2811" t="s">
        <v>69</v>
      </c>
      <c r="AZ2811" t="b">
        <v>1</v>
      </c>
    </row>
    <row r="2812" spans="1:52" x14ac:dyDescent="0.3">
      <c r="A2812" t="s">
        <v>52</v>
      </c>
      <c r="B2812" t="s">
        <v>53</v>
      </c>
      <c r="C2812" t="s">
        <v>54</v>
      </c>
      <c r="D2812" t="s">
        <v>55</v>
      </c>
      <c r="E2812" t="s">
        <v>2162</v>
      </c>
      <c r="F2812" t="s">
        <v>190</v>
      </c>
      <c r="G2812" t="s">
        <v>963</v>
      </c>
      <c r="H2812" t="s">
        <v>964</v>
      </c>
      <c r="I2812" t="s">
        <v>964</v>
      </c>
      <c r="J2812" t="s">
        <v>60</v>
      </c>
      <c r="K2812" t="s">
        <v>702</v>
      </c>
      <c r="L2812" t="s">
        <v>62</v>
      </c>
      <c r="M2812" t="s">
        <v>702</v>
      </c>
      <c r="N2812" t="s">
        <v>965</v>
      </c>
      <c r="O2812" t="s">
        <v>960</v>
      </c>
      <c r="P2812">
        <v>-20.164622000000001</v>
      </c>
      <c r="Q2812">
        <v>-44.860289999999999</v>
      </c>
      <c r="R2812" s="2" t="str">
        <f>HYPERLINK("https://www.google.com/maps?q=-20.1646220,-44.8602900","Abrir no Google Maps")</f>
        <v>Abrir no Google Maps</v>
      </c>
      <c r="S2812">
        <v>3</v>
      </c>
      <c r="T2812">
        <v>393.43725605569188</v>
      </c>
      <c r="U2812">
        <v>3</v>
      </c>
      <c r="V2812">
        <v>0.39797788070427298</v>
      </c>
      <c r="W2812">
        <v>1</v>
      </c>
      <c r="X2812">
        <v>0.39797788070427298</v>
      </c>
      <c r="Y2812">
        <v>491</v>
      </c>
      <c r="Z2812">
        <v>358.96336458076678</v>
      </c>
      <c r="AA2812">
        <v>198</v>
      </c>
      <c r="AB2812">
        <v>332</v>
      </c>
      <c r="AC2812">
        <v>536</v>
      </c>
      <c r="AD2812">
        <v>26.86</v>
      </c>
      <c r="AE2812">
        <v>542</v>
      </c>
      <c r="AF2812">
        <v>15</v>
      </c>
      <c r="AG2812">
        <v>178</v>
      </c>
      <c r="AH2812">
        <v>129</v>
      </c>
      <c r="AI2812">
        <v>2.77</v>
      </c>
      <c r="AJ2812">
        <v>32.840000000000003</v>
      </c>
      <c r="AK2812">
        <v>23.8</v>
      </c>
      <c r="AL2812">
        <v>-20.164560849999951</v>
      </c>
      <c r="AM2812">
        <v>-44.860330680844072</v>
      </c>
      <c r="AN2812">
        <v>-20.164560849999951</v>
      </c>
      <c r="AO2812">
        <v>-44.860330680844072</v>
      </c>
      <c r="AP2812">
        <v>-20.164622000000001</v>
      </c>
      <c r="AQ2812">
        <v>-44.860289999999999</v>
      </c>
      <c r="AR2812">
        <v>8.0255448908437454</v>
      </c>
      <c r="AS2812" t="s">
        <v>65</v>
      </c>
      <c r="AT2812">
        <v>1</v>
      </c>
      <c r="AU2812" t="s">
        <v>966</v>
      </c>
      <c r="AV2812" t="s">
        <v>967</v>
      </c>
      <c r="AW2812" t="s">
        <v>60</v>
      </c>
      <c r="AX2812" t="s">
        <v>68</v>
      </c>
      <c r="AY2812" t="s">
        <v>69</v>
      </c>
      <c r="AZ2812" t="b">
        <v>1</v>
      </c>
    </row>
    <row r="2813" spans="1:52" x14ac:dyDescent="0.3">
      <c r="A2813" t="s">
        <v>52</v>
      </c>
      <c r="B2813" t="s">
        <v>53</v>
      </c>
      <c r="C2813" t="s">
        <v>54</v>
      </c>
      <c r="D2813" t="s">
        <v>55</v>
      </c>
      <c r="E2813" t="s">
        <v>2162</v>
      </c>
      <c r="F2813" t="s">
        <v>190</v>
      </c>
      <c r="G2813" t="s">
        <v>968</v>
      </c>
      <c r="H2813" t="s">
        <v>969</v>
      </c>
      <c r="I2813" t="s">
        <v>969</v>
      </c>
      <c r="J2813" t="s">
        <v>60</v>
      </c>
      <c r="K2813" t="s">
        <v>262</v>
      </c>
      <c r="L2813" t="s">
        <v>62</v>
      </c>
      <c r="M2813" t="s">
        <v>262</v>
      </c>
      <c r="N2813" t="s">
        <v>970</v>
      </c>
      <c r="O2813" t="s">
        <v>971</v>
      </c>
      <c r="P2813">
        <v>-20.163060999999999</v>
      </c>
      <c r="Q2813">
        <v>-44.854047000000001</v>
      </c>
      <c r="R2813" s="2" t="str">
        <f>HYPERLINK("https://www.google.com/maps?q=-20.1630610,-44.8540470","Abrir no Google Maps")</f>
        <v>Abrir no Google Maps</v>
      </c>
      <c r="S2813">
        <v>3</v>
      </c>
      <c r="T2813">
        <v>418.63868463200271</v>
      </c>
      <c r="U2813">
        <v>3</v>
      </c>
      <c r="V2813">
        <v>0.3823509820101737</v>
      </c>
      <c r="W2813">
        <v>1</v>
      </c>
      <c r="X2813">
        <v>0.3823509820101737</v>
      </c>
      <c r="Y2813">
        <v>491</v>
      </c>
      <c r="Z2813">
        <v>339.19068595447408</v>
      </c>
      <c r="AA2813">
        <v>198</v>
      </c>
      <c r="AB2813">
        <v>332</v>
      </c>
      <c r="AC2813">
        <v>536</v>
      </c>
      <c r="AD2813">
        <v>26.86</v>
      </c>
      <c r="AE2813">
        <v>542</v>
      </c>
      <c r="AF2813">
        <v>15</v>
      </c>
      <c r="AG2813">
        <v>178</v>
      </c>
      <c r="AH2813">
        <v>129</v>
      </c>
      <c r="AI2813">
        <v>2.77</v>
      </c>
      <c r="AJ2813">
        <v>32.840000000000003</v>
      </c>
      <c r="AK2813">
        <v>23.8</v>
      </c>
      <c r="AL2813">
        <v>-20.163118949999959</v>
      </c>
      <c r="AM2813">
        <v>-44.854106723889032</v>
      </c>
      <c r="AN2813">
        <v>-20.163118949999959</v>
      </c>
      <c r="AO2813">
        <v>-44.854106723889032</v>
      </c>
      <c r="AP2813">
        <v>-20.163060999999999</v>
      </c>
      <c r="AQ2813">
        <v>-44.854047000000001</v>
      </c>
      <c r="AR2813">
        <v>8.9758322935491428</v>
      </c>
      <c r="AS2813" t="s">
        <v>65</v>
      </c>
      <c r="AT2813">
        <v>1</v>
      </c>
      <c r="AU2813" t="s">
        <v>972</v>
      </c>
      <c r="AV2813" t="s">
        <v>973</v>
      </c>
      <c r="AW2813" t="s">
        <v>60</v>
      </c>
      <c r="AX2813" t="s">
        <v>68</v>
      </c>
      <c r="AY2813" t="s">
        <v>69</v>
      </c>
      <c r="AZ2813" t="b">
        <v>1</v>
      </c>
    </row>
    <row r="2814" spans="1:52" x14ac:dyDescent="0.3">
      <c r="A2814" t="s">
        <v>52</v>
      </c>
      <c r="B2814" t="s">
        <v>53</v>
      </c>
      <c r="C2814" t="s">
        <v>54</v>
      </c>
      <c r="D2814" t="s">
        <v>55</v>
      </c>
      <c r="E2814" t="s">
        <v>2162</v>
      </c>
      <c r="F2814" t="s">
        <v>190</v>
      </c>
      <c r="G2814" t="s">
        <v>974</v>
      </c>
      <c r="H2814" t="s">
        <v>975</v>
      </c>
      <c r="I2814" t="s">
        <v>975</v>
      </c>
      <c r="J2814" t="s">
        <v>60</v>
      </c>
      <c r="K2814" t="s">
        <v>702</v>
      </c>
      <c r="L2814" t="s">
        <v>62</v>
      </c>
      <c r="M2814" t="s">
        <v>702</v>
      </c>
      <c r="N2814" t="s">
        <v>976</v>
      </c>
      <c r="O2814" t="s">
        <v>977</v>
      </c>
      <c r="P2814">
        <v>-20.167021999999999</v>
      </c>
      <c r="Q2814">
        <v>-44.863095000000001</v>
      </c>
      <c r="R2814" s="2" t="str">
        <f>HYPERLINK("https://www.google.com/maps?q=-20.1670220,-44.8630950","Abrir no Google Maps")</f>
        <v>Abrir no Google Maps</v>
      </c>
      <c r="S2814">
        <v>3</v>
      </c>
      <c r="T2814">
        <v>629.02897442495839</v>
      </c>
      <c r="U2814">
        <v>3</v>
      </c>
      <c r="V2814">
        <v>0.38267509837492941</v>
      </c>
      <c r="W2814">
        <v>1</v>
      </c>
      <c r="X2814">
        <v>0.38267509837492941</v>
      </c>
      <c r="Y2814">
        <v>491</v>
      </c>
      <c r="Z2814">
        <v>693.48000708961661</v>
      </c>
      <c r="AA2814">
        <v>198</v>
      </c>
      <c r="AB2814">
        <v>332</v>
      </c>
      <c r="AC2814">
        <v>536</v>
      </c>
      <c r="AD2814">
        <v>26.86</v>
      </c>
      <c r="AE2814">
        <v>542</v>
      </c>
      <c r="AF2814">
        <v>15</v>
      </c>
      <c r="AG2814">
        <v>178</v>
      </c>
      <c r="AH2814">
        <v>129</v>
      </c>
      <c r="AI2814">
        <v>2.77</v>
      </c>
      <c r="AJ2814">
        <v>32.840000000000003</v>
      </c>
      <c r="AK2814">
        <v>23.8</v>
      </c>
      <c r="AL2814">
        <v>-20.167032199999941</v>
      </c>
      <c r="AM2814">
        <v>-44.863123980291967</v>
      </c>
      <c r="AN2814">
        <v>-20.167032199999941</v>
      </c>
      <c r="AO2814">
        <v>-44.863123980291967</v>
      </c>
      <c r="AP2814">
        <v>-20.167021999999999</v>
      </c>
      <c r="AQ2814">
        <v>-44.863095000000001</v>
      </c>
      <c r="AR2814">
        <v>3.2341734571542871</v>
      </c>
      <c r="AS2814" t="s">
        <v>65</v>
      </c>
      <c r="AT2814">
        <v>1</v>
      </c>
      <c r="AU2814" t="s">
        <v>978</v>
      </c>
      <c r="AV2814" t="s">
        <v>979</v>
      </c>
      <c r="AW2814" t="s">
        <v>60</v>
      </c>
      <c r="AX2814" t="s">
        <v>68</v>
      </c>
      <c r="AY2814" t="s">
        <v>69</v>
      </c>
      <c r="AZ2814" t="b">
        <v>1</v>
      </c>
    </row>
    <row r="2815" spans="1:52" x14ac:dyDescent="0.3">
      <c r="A2815" t="s">
        <v>52</v>
      </c>
      <c r="B2815" t="s">
        <v>53</v>
      </c>
      <c r="C2815" t="s">
        <v>54</v>
      </c>
      <c r="D2815" t="s">
        <v>55</v>
      </c>
      <c r="E2815" t="s">
        <v>2162</v>
      </c>
      <c r="F2815" t="s">
        <v>190</v>
      </c>
      <c r="G2815" t="s">
        <v>980</v>
      </c>
      <c r="H2815" t="s">
        <v>981</v>
      </c>
      <c r="I2815" t="s">
        <v>981</v>
      </c>
      <c r="J2815" t="s">
        <v>60</v>
      </c>
      <c r="K2815" t="s">
        <v>982</v>
      </c>
      <c r="L2815" t="s">
        <v>62</v>
      </c>
      <c r="M2815" t="s">
        <v>982</v>
      </c>
      <c r="N2815" t="s">
        <v>983</v>
      </c>
      <c r="O2815" t="s">
        <v>264</v>
      </c>
      <c r="P2815">
        <v>-20.166967</v>
      </c>
      <c r="Q2815">
        <v>-44.859355000000001</v>
      </c>
      <c r="R2815" s="2" t="str">
        <f>HYPERLINK("https://www.google.com/maps?q=-20.1669670,-44.8593550","Abrir no Google Maps")</f>
        <v>Abrir no Google Maps</v>
      </c>
      <c r="S2815">
        <v>3</v>
      </c>
      <c r="T2815">
        <v>577.54934865824521</v>
      </c>
      <c r="U2815">
        <v>3</v>
      </c>
      <c r="V2815">
        <v>0.37094207421279363</v>
      </c>
      <c r="W2815">
        <v>1</v>
      </c>
      <c r="X2815">
        <v>0.37094207421279363</v>
      </c>
      <c r="Y2815">
        <v>491</v>
      </c>
      <c r="Z2815">
        <v>433.59782149216659</v>
      </c>
      <c r="AA2815">
        <v>198</v>
      </c>
      <c r="AB2815">
        <v>332</v>
      </c>
      <c r="AC2815">
        <v>536</v>
      </c>
      <c r="AD2815">
        <v>26.86</v>
      </c>
      <c r="AE2815">
        <v>542</v>
      </c>
      <c r="AF2815">
        <v>15</v>
      </c>
      <c r="AG2815">
        <v>178</v>
      </c>
      <c r="AH2815">
        <v>129</v>
      </c>
      <c r="AI2815">
        <v>2.77</v>
      </c>
      <c r="AJ2815">
        <v>32.840000000000003</v>
      </c>
      <c r="AK2815">
        <v>23.8</v>
      </c>
      <c r="AL2815">
        <v>-20.16694954999997</v>
      </c>
      <c r="AM2815">
        <v>-44.859100695938046</v>
      </c>
      <c r="AN2815">
        <v>-20.16694954999997</v>
      </c>
      <c r="AO2815">
        <v>-44.859100695938046</v>
      </c>
      <c r="AP2815">
        <v>-20.166967</v>
      </c>
      <c r="AQ2815">
        <v>-44.859355000000001</v>
      </c>
      <c r="AR2815">
        <v>26.644458793923111</v>
      </c>
      <c r="AS2815" t="s">
        <v>65</v>
      </c>
      <c r="AT2815">
        <v>1</v>
      </c>
      <c r="AU2815" t="s">
        <v>984</v>
      </c>
      <c r="AV2815" t="s">
        <v>985</v>
      </c>
      <c r="AW2815" t="s">
        <v>60</v>
      </c>
      <c r="AX2815" t="s">
        <v>68</v>
      </c>
      <c r="AY2815" t="s">
        <v>69</v>
      </c>
      <c r="AZ2815" t="b">
        <v>1</v>
      </c>
    </row>
    <row r="2816" spans="1:52" x14ac:dyDescent="0.3">
      <c r="A2816" t="s">
        <v>52</v>
      </c>
      <c r="B2816" t="s">
        <v>53</v>
      </c>
      <c r="C2816" t="s">
        <v>54</v>
      </c>
      <c r="D2816" t="s">
        <v>55</v>
      </c>
      <c r="E2816" t="s">
        <v>2162</v>
      </c>
      <c r="F2816" t="s">
        <v>190</v>
      </c>
      <c r="G2816" t="s">
        <v>1014</v>
      </c>
      <c r="H2816" t="s">
        <v>1015</v>
      </c>
      <c r="I2816" t="s">
        <v>1015</v>
      </c>
      <c r="J2816" t="s">
        <v>60</v>
      </c>
      <c r="K2816" t="s">
        <v>1016</v>
      </c>
      <c r="L2816" t="s">
        <v>62</v>
      </c>
      <c r="M2816" t="s">
        <v>1016</v>
      </c>
      <c r="N2816" t="s">
        <v>1017</v>
      </c>
      <c r="O2816" t="s">
        <v>1018</v>
      </c>
      <c r="P2816">
        <v>-20.174461000000001</v>
      </c>
      <c r="Q2816">
        <v>-44.868710999999998</v>
      </c>
      <c r="R2816" s="2" t="str">
        <f>HYPERLINK("https://www.google.com/maps?q=-20.1744610,-44.8687110","Abrir no Google Maps")</f>
        <v>Abrir no Google Maps</v>
      </c>
      <c r="S2816">
        <v>3</v>
      </c>
      <c r="T2816">
        <v>435.39504742850158</v>
      </c>
      <c r="U2816">
        <v>3</v>
      </c>
      <c r="V2816">
        <v>0.37825405665502232</v>
      </c>
      <c r="W2816">
        <v>1</v>
      </c>
      <c r="X2816">
        <v>0.37825405665502232</v>
      </c>
      <c r="Y2816">
        <v>422</v>
      </c>
      <c r="Z2816">
        <v>264.99958639233438</v>
      </c>
      <c r="AA2816">
        <v>198</v>
      </c>
      <c r="AB2816">
        <v>332</v>
      </c>
      <c r="AC2816">
        <v>536</v>
      </c>
      <c r="AD2816">
        <v>26.86</v>
      </c>
      <c r="AE2816">
        <v>542</v>
      </c>
      <c r="AF2816">
        <v>15</v>
      </c>
      <c r="AG2816">
        <v>178</v>
      </c>
      <c r="AH2816">
        <v>129</v>
      </c>
      <c r="AI2816">
        <v>2.77</v>
      </c>
      <c r="AJ2816">
        <v>32.840000000000003</v>
      </c>
      <c r="AK2816">
        <v>23.8</v>
      </c>
      <c r="AL2816">
        <v>-20.174459749999951</v>
      </c>
      <c r="AM2816">
        <v>-44.868877789186897</v>
      </c>
      <c r="AN2816">
        <v>-20.174459749999951</v>
      </c>
      <c r="AO2816">
        <v>-44.868877789186897</v>
      </c>
      <c r="AP2816">
        <v>-20.174461000000001</v>
      </c>
      <c r="AQ2816">
        <v>-44.868710999999998</v>
      </c>
      <c r="AR2816">
        <v>17.42838555603738</v>
      </c>
      <c r="AS2816" t="s">
        <v>65</v>
      </c>
      <c r="AT2816">
        <v>1</v>
      </c>
      <c r="AU2816" t="s">
        <v>1019</v>
      </c>
      <c r="AV2816" t="s">
        <v>1020</v>
      </c>
      <c r="AW2816" t="s">
        <v>60</v>
      </c>
      <c r="AX2816" t="s">
        <v>68</v>
      </c>
      <c r="AY2816" t="s">
        <v>69</v>
      </c>
      <c r="AZ2816" t="b">
        <v>1</v>
      </c>
    </row>
    <row r="2817" spans="1:52" x14ac:dyDescent="0.3">
      <c r="A2817" t="s">
        <v>52</v>
      </c>
      <c r="B2817" t="s">
        <v>53</v>
      </c>
      <c r="C2817" t="s">
        <v>54</v>
      </c>
      <c r="D2817" t="s">
        <v>55</v>
      </c>
      <c r="E2817" t="s">
        <v>2162</v>
      </c>
      <c r="F2817" t="s">
        <v>190</v>
      </c>
      <c r="G2817" t="s">
        <v>1021</v>
      </c>
      <c r="H2817" t="s">
        <v>1022</v>
      </c>
      <c r="I2817" t="s">
        <v>1022</v>
      </c>
      <c r="J2817" t="s">
        <v>60</v>
      </c>
      <c r="K2817" t="s">
        <v>1023</v>
      </c>
      <c r="L2817" t="s">
        <v>62</v>
      </c>
      <c r="M2817" t="s">
        <v>1023</v>
      </c>
      <c r="N2817" t="s">
        <v>1024</v>
      </c>
      <c r="O2817" t="s">
        <v>1025</v>
      </c>
      <c r="P2817">
        <v>-20.169588999999998</v>
      </c>
      <c r="Q2817">
        <v>-44.866636</v>
      </c>
      <c r="R2817" s="2" t="str">
        <f>HYPERLINK("https://www.google.com/maps?q=-20.1695890,-44.8666360","Abrir no Google Maps")</f>
        <v>Abrir no Google Maps</v>
      </c>
      <c r="S2817">
        <v>3</v>
      </c>
      <c r="T2817">
        <v>326.02709617860302</v>
      </c>
      <c r="U2817">
        <v>3</v>
      </c>
      <c r="V2817">
        <v>0.38495963276889589</v>
      </c>
      <c r="W2817">
        <v>1</v>
      </c>
      <c r="X2817">
        <v>0.38495963276889589</v>
      </c>
      <c r="Y2817">
        <v>422</v>
      </c>
      <c r="Z2817">
        <v>333.05362278862168</v>
      </c>
      <c r="AA2817">
        <v>198</v>
      </c>
      <c r="AB2817">
        <v>332</v>
      </c>
      <c r="AC2817">
        <v>536</v>
      </c>
      <c r="AD2817">
        <v>26.86</v>
      </c>
      <c r="AE2817">
        <v>542</v>
      </c>
      <c r="AF2817">
        <v>15</v>
      </c>
      <c r="AG2817">
        <v>178</v>
      </c>
      <c r="AH2817">
        <v>129</v>
      </c>
      <c r="AI2817">
        <v>2.77</v>
      </c>
      <c r="AJ2817">
        <v>32.840000000000003</v>
      </c>
      <c r="AK2817">
        <v>23.8</v>
      </c>
      <c r="AL2817">
        <v>-20.16956104999997</v>
      </c>
      <c r="AM2817">
        <v>-44.866560528183591</v>
      </c>
      <c r="AN2817">
        <v>-20.16956104999997</v>
      </c>
      <c r="AO2817">
        <v>-44.866560528183591</v>
      </c>
      <c r="AP2817">
        <v>-20.169588999999998</v>
      </c>
      <c r="AQ2817">
        <v>-44.866636</v>
      </c>
      <c r="AR2817">
        <v>8.4778927137831293</v>
      </c>
      <c r="AS2817" t="s">
        <v>65</v>
      </c>
      <c r="AT2817">
        <v>1</v>
      </c>
      <c r="AU2817" t="s">
        <v>1026</v>
      </c>
      <c r="AV2817" t="s">
        <v>1027</v>
      </c>
      <c r="AW2817" t="s">
        <v>60</v>
      </c>
      <c r="AX2817" t="s">
        <v>68</v>
      </c>
      <c r="AY2817" t="s">
        <v>69</v>
      </c>
      <c r="AZ2817" t="b">
        <v>1</v>
      </c>
    </row>
    <row r="2818" spans="1:52" x14ac:dyDescent="0.3">
      <c r="A2818" t="s">
        <v>52</v>
      </c>
      <c r="B2818" t="s">
        <v>53</v>
      </c>
      <c r="C2818" t="s">
        <v>54</v>
      </c>
      <c r="D2818" t="s">
        <v>55</v>
      </c>
      <c r="E2818" t="s">
        <v>2162</v>
      </c>
      <c r="F2818" t="s">
        <v>190</v>
      </c>
      <c r="G2818" t="s">
        <v>1028</v>
      </c>
      <c r="H2818" t="s">
        <v>1029</v>
      </c>
      <c r="I2818" t="s">
        <v>1029</v>
      </c>
      <c r="J2818" t="s">
        <v>60</v>
      </c>
      <c r="K2818" t="s">
        <v>1016</v>
      </c>
      <c r="L2818" t="s">
        <v>62</v>
      </c>
      <c r="M2818" t="s">
        <v>1016</v>
      </c>
      <c r="N2818" t="s">
        <v>1030</v>
      </c>
      <c r="O2818" t="s">
        <v>855</v>
      </c>
      <c r="P2818">
        <v>-20.169778000000001</v>
      </c>
      <c r="Q2818">
        <v>-44.871940000000002</v>
      </c>
      <c r="R2818" s="2" t="str">
        <f>HYPERLINK("https://www.google.com/maps?q=-20.1697780,-44.8719400","Abrir no Google Maps")</f>
        <v>Abrir no Google Maps</v>
      </c>
      <c r="S2818">
        <v>3</v>
      </c>
      <c r="T2818">
        <v>730.45462447863167</v>
      </c>
      <c r="U2818">
        <v>3</v>
      </c>
      <c r="V2818">
        <v>0.39515187996373419</v>
      </c>
      <c r="W2818">
        <v>1</v>
      </c>
      <c r="X2818">
        <v>0.39515187996373419</v>
      </c>
      <c r="Y2818">
        <v>422</v>
      </c>
      <c r="Z2818">
        <v>600.74952959765801</v>
      </c>
      <c r="AA2818">
        <v>198</v>
      </c>
      <c r="AB2818">
        <v>332</v>
      </c>
      <c r="AC2818">
        <v>536</v>
      </c>
      <c r="AD2818">
        <v>26.86</v>
      </c>
      <c r="AE2818">
        <v>542</v>
      </c>
      <c r="AF2818">
        <v>15</v>
      </c>
      <c r="AG2818">
        <v>178</v>
      </c>
      <c r="AH2818">
        <v>129</v>
      </c>
      <c r="AI2818">
        <v>2.77</v>
      </c>
      <c r="AJ2818">
        <v>32.840000000000003</v>
      </c>
      <c r="AK2818">
        <v>23.8</v>
      </c>
      <c r="AL2818">
        <v>-20.169770599999961</v>
      </c>
      <c r="AM2818">
        <v>-44.871857291666629</v>
      </c>
      <c r="AN2818">
        <v>-20.169770599999961</v>
      </c>
      <c r="AO2818">
        <v>-44.871857291666629</v>
      </c>
      <c r="AP2818">
        <v>-20.169778000000001</v>
      </c>
      <c r="AQ2818">
        <v>-44.871940000000002</v>
      </c>
      <c r="AR2818">
        <v>8.6816379320830315</v>
      </c>
      <c r="AS2818" t="s">
        <v>65</v>
      </c>
      <c r="AT2818">
        <v>1</v>
      </c>
      <c r="AU2818" t="s">
        <v>1031</v>
      </c>
      <c r="AV2818" t="s">
        <v>1032</v>
      </c>
      <c r="AW2818" t="s">
        <v>60</v>
      </c>
      <c r="AX2818" t="s">
        <v>68</v>
      </c>
      <c r="AY2818" t="s">
        <v>69</v>
      </c>
      <c r="AZ2818" t="b">
        <v>1</v>
      </c>
    </row>
    <row r="2819" spans="1:52" x14ac:dyDescent="0.3">
      <c r="A2819" t="s">
        <v>52</v>
      </c>
      <c r="B2819" t="s">
        <v>53</v>
      </c>
      <c r="C2819" t="s">
        <v>54</v>
      </c>
      <c r="D2819" t="s">
        <v>55</v>
      </c>
      <c r="E2819" t="s">
        <v>2162</v>
      </c>
      <c r="F2819" t="s">
        <v>190</v>
      </c>
      <c r="G2819" t="s">
        <v>1033</v>
      </c>
      <c r="H2819" t="s">
        <v>1034</v>
      </c>
      <c r="I2819" t="s">
        <v>1034</v>
      </c>
      <c r="J2819" t="s">
        <v>60</v>
      </c>
      <c r="K2819" t="s">
        <v>1016</v>
      </c>
      <c r="L2819" t="s">
        <v>62</v>
      </c>
      <c r="M2819" t="s">
        <v>1016</v>
      </c>
      <c r="N2819" t="s">
        <v>1035</v>
      </c>
      <c r="O2819" t="s">
        <v>1036</v>
      </c>
      <c r="P2819">
        <v>-20.176404999999999</v>
      </c>
      <c r="Q2819">
        <v>-44.871102</v>
      </c>
      <c r="R2819" s="2" t="str">
        <f>HYPERLINK("https://www.google.com/maps?q=-20.1764050,-44.8711020","Abrir no Google Maps")</f>
        <v>Abrir no Google Maps</v>
      </c>
      <c r="S2819">
        <v>3</v>
      </c>
      <c r="T2819">
        <v>746.17794449655105</v>
      </c>
      <c r="U2819">
        <v>3</v>
      </c>
      <c r="V2819">
        <v>0.3793132514841866</v>
      </c>
      <c r="W2819">
        <v>1</v>
      </c>
      <c r="X2819">
        <v>0.3793132514841866</v>
      </c>
      <c r="Y2819">
        <v>422</v>
      </c>
      <c r="Z2819">
        <v>532.61564453099913</v>
      </c>
      <c r="AA2819">
        <v>198</v>
      </c>
      <c r="AB2819">
        <v>332</v>
      </c>
      <c r="AC2819">
        <v>536</v>
      </c>
      <c r="AD2819">
        <v>26.86</v>
      </c>
      <c r="AE2819">
        <v>542</v>
      </c>
      <c r="AF2819">
        <v>15</v>
      </c>
      <c r="AG2819">
        <v>178</v>
      </c>
      <c r="AH2819">
        <v>129</v>
      </c>
      <c r="AI2819">
        <v>2.77</v>
      </c>
      <c r="AJ2819">
        <v>32.840000000000003</v>
      </c>
      <c r="AK2819">
        <v>23.8</v>
      </c>
      <c r="AL2819">
        <v>-20.176464949999971</v>
      </c>
      <c r="AM2819">
        <v>-44.871010194676387</v>
      </c>
      <c r="AN2819">
        <v>-20.176464949999971</v>
      </c>
      <c r="AO2819">
        <v>-44.871010194676387</v>
      </c>
      <c r="AP2819">
        <v>-20.176404999999999</v>
      </c>
      <c r="AQ2819">
        <v>-44.871102</v>
      </c>
      <c r="AR2819">
        <v>11.68571547850415</v>
      </c>
      <c r="AS2819" t="s">
        <v>65</v>
      </c>
      <c r="AT2819">
        <v>1</v>
      </c>
      <c r="AU2819" t="s">
        <v>1037</v>
      </c>
      <c r="AV2819" t="s">
        <v>1038</v>
      </c>
      <c r="AW2819" t="s">
        <v>60</v>
      </c>
      <c r="AX2819" t="s">
        <v>68</v>
      </c>
      <c r="AY2819" t="s">
        <v>69</v>
      </c>
      <c r="AZ2819" t="b">
        <v>1</v>
      </c>
    </row>
    <row r="2820" spans="1:52" x14ac:dyDescent="0.3">
      <c r="A2820" t="s">
        <v>52</v>
      </c>
      <c r="B2820" t="s">
        <v>53</v>
      </c>
      <c r="C2820" t="s">
        <v>54</v>
      </c>
      <c r="D2820" t="s">
        <v>55</v>
      </c>
      <c r="E2820" t="s">
        <v>2162</v>
      </c>
      <c r="F2820" t="s">
        <v>190</v>
      </c>
      <c r="G2820" t="s">
        <v>1039</v>
      </c>
      <c r="H2820" t="s">
        <v>1040</v>
      </c>
      <c r="I2820" t="s">
        <v>1040</v>
      </c>
      <c r="J2820" t="s">
        <v>60</v>
      </c>
      <c r="K2820" t="s">
        <v>1023</v>
      </c>
      <c r="L2820" t="s">
        <v>62</v>
      </c>
      <c r="M2820" t="s">
        <v>1023</v>
      </c>
      <c r="N2820" t="s">
        <v>1041</v>
      </c>
      <c r="O2820" t="s">
        <v>738</v>
      </c>
      <c r="P2820">
        <v>-20.172284000000001</v>
      </c>
      <c r="Q2820">
        <v>-44.865392999999997</v>
      </c>
      <c r="R2820" s="2" t="str">
        <f>HYPERLINK("https://www.google.com/maps?q=-20.1722840,-44.8653930","Abrir no Google Maps")</f>
        <v>Abrir no Google Maps</v>
      </c>
      <c r="S2820">
        <v>3</v>
      </c>
      <c r="T2820">
        <v>0</v>
      </c>
      <c r="U2820">
        <v>3</v>
      </c>
      <c r="V2820">
        <v>0.38581159862786402</v>
      </c>
      <c r="W2820">
        <v>1</v>
      </c>
      <c r="X2820">
        <v>0.38581159862786402</v>
      </c>
      <c r="Y2820">
        <v>422</v>
      </c>
      <c r="Z2820">
        <v>202.96804500763591</v>
      </c>
      <c r="AA2820">
        <v>198</v>
      </c>
      <c r="AB2820">
        <v>332</v>
      </c>
      <c r="AC2820">
        <v>536</v>
      </c>
      <c r="AD2820">
        <v>26.86</v>
      </c>
      <c r="AE2820">
        <v>542</v>
      </c>
      <c r="AF2820">
        <v>15</v>
      </c>
      <c r="AG2820">
        <v>178</v>
      </c>
      <c r="AH2820">
        <v>129</v>
      </c>
      <c r="AI2820">
        <v>2.77</v>
      </c>
      <c r="AJ2820">
        <v>32.840000000000003</v>
      </c>
      <c r="AK2820">
        <v>23.8</v>
      </c>
      <c r="AL2820">
        <v>-20.17229514999994</v>
      </c>
      <c r="AM2820">
        <v>-44.865398249858011</v>
      </c>
      <c r="AN2820">
        <v>-20.17229514999994</v>
      </c>
      <c r="AO2820">
        <v>-44.865398249858011</v>
      </c>
      <c r="AP2820">
        <v>-20.172284000000001</v>
      </c>
      <c r="AQ2820">
        <v>-44.865392999999997</v>
      </c>
      <c r="AR2820">
        <v>1.357036084497409</v>
      </c>
      <c r="AS2820" t="s">
        <v>65</v>
      </c>
      <c r="AT2820">
        <v>1</v>
      </c>
      <c r="AU2820" t="s">
        <v>1042</v>
      </c>
      <c r="AV2820" t="s">
        <v>1043</v>
      </c>
      <c r="AW2820" t="s">
        <v>60</v>
      </c>
      <c r="AX2820" t="s">
        <v>68</v>
      </c>
      <c r="AY2820" t="s">
        <v>69</v>
      </c>
      <c r="AZ2820" t="b">
        <v>1</v>
      </c>
    </row>
    <row r="2821" spans="1:52" x14ac:dyDescent="0.3">
      <c r="A2821" t="s">
        <v>52</v>
      </c>
      <c r="B2821" t="s">
        <v>53</v>
      </c>
      <c r="C2821" t="s">
        <v>54</v>
      </c>
      <c r="D2821" t="s">
        <v>55</v>
      </c>
      <c r="E2821" t="s">
        <v>2162</v>
      </c>
      <c r="F2821" t="s">
        <v>190</v>
      </c>
      <c r="G2821" t="s">
        <v>1044</v>
      </c>
      <c r="H2821" t="s">
        <v>1045</v>
      </c>
      <c r="I2821" t="s">
        <v>1045</v>
      </c>
      <c r="J2821" t="s">
        <v>60</v>
      </c>
      <c r="K2821" t="s">
        <v>702</v>
      </c>
      <c r="L2821" t="s">
        <v>62</v>
      </c>
      <c r="M2821" t="s">
        <v>702</v>
      </c>
      <c r="N2821" t="s">
        <v>983</v>
      </c>
      <c r="O2821" t="s">
        <v>1046</v>
      </c>
      <c r="P2821">
        <v>-20.172056000000001</v>
      </c>
      <c r="Q2821">
        <v>-44.861556999999998</v>
      </c>
      <c r="R2821" s="2" t="str">
        <f>HYPERLINK("https://www.google.com/maps?q=-20.1720560,-44.8615570","Abrir no Google Maps")</f>
        <v>Abrir no Google Maps</v>
      </c>
      <c r="S2821">
        <v>3</v>
      </c>
      <c r="T2821">
        <v>387.50881633442719</v>
      </c>
      <c r="U2821">
        <v>3</v>
      </c>
      <c r="V2821">
        <v>0.39122426543490679</v>
      </c>
      <c r="W2821">
        <v>1</v>
      </c>
      <c r="X2821">
        <v>0.39122426543490679</v>
      </c>
      <c r="Y2821">
        <v>422</v>
      </c>
      <c r="Z2821">
        <v>592.01060063884404</v>
      </c>
      <c r="AA2821">
        <v>198</v>
      </c>
      <c r="AB2821">
        <v>332</v>
      </c>
      <c r="AC2821">
        <v>536</v>
      </c>
      <c r="AD2821">
        <v>26.86</v>
      </c>
      <c r="AE2821">
        <v>542</v>
      </c>
      <c r="AF2821">
        <v>15</v>
      </c>
      <c r="AG2821">
        <v>178</v>
      </c>
      <c r="AH2821">
        <v>129</v>
      </c>
      <c r="AI2821">
        <v>2.77</v>
      </c>
      <c r="AJ2821">
        <v>32.840000000000003</v>
      </c>
      <c r="AK2821">
        <v>23.8</v>
      </c>
      <c r="AL2821">
        <v>-20.171880149999961</v>
      </c>
      <c r="AM2821">
        <v>-44.861715860253369</v>
      </c>
      <c r="AN2821">
        <v>-20.171880149999961</v>
      </c>
      <c r="AO2821">
        <v>-44.861715860253369</v>
      </c>
      <c r="AP2821">
        <v>-20.172056000000001</v>
      </c>
      <c r="AQ2821">
        <v>-44.861556999999998</v>
      </c>
      <c r="AR2821">
        <v>25.66616443825145</v>
      </c>
      <c r="AS2821" t="s">
        <v>65</v>
      </c>
      <c r="AT2821">
        <v>1</v>
      </c>
      <c r="AU2821" t="s">
        <v>1047</v>
      </c>
      <c r="AV2821" t="s">
        <v>705</v>
      </c>
      <c r="AW2821" t="s">
        <v>60</v>
      </c>
      <c r="AX2821" t="s">
        <v>68</v>
      </c>
      <c r="AY2821" t="s">
        <v>69</v>
      </c>
      <c r="AZ2821" t="b">
        <v>1</v>
      </c>
    </row>
    <row r="2822" spans="1:52" x14ac:dyDescent="0.3">
      <c r="A2822" t="s">
        <v>52</v>
      </c>
      <c r="B2822" t="s">
        <v>53</v>
      </c>
      <c r="C2822" t="s">
        <v>54</v>
      </c>
      <c r="D2822" t="s">
        <v>55</v>
      </c>
      <c r="E2822" t="s">
        <v>2162</v>
      </c>
      <c r="F2822" t="s">
        <v>190</v>
      </c>
      <c r="G2822" t="s">
        <v>1048</v>
      </c>
      <c r="H2822" t="s">
        <v>1049</v>
      </c>
      <c r="I2822" t="s">
        <v>1049</v>
      </c>
      <c r="J2822" t="s">
        <v>60</v>
      </c>
      <c r="K2822" t="s">
        <v>708</v>
      </c>
      <c r="L2822" t="s">
        <v>62</v>
      </c>
      <c r="M2822" t="s">
        <v>708</v>
      </c>
      <c r="N2822" t="s">
        <v>1050</v>
      </c>
      <c r="O2822" t="s">
        <v>1051</v>
      </c>
      <c r="P2822">
        <v>-20.128316000000002</v>
      </c>
      <c r="Q2822">
        <v>-44.878137000000002</v>
      </c>
      <c r="R2822" s="2" t="str">
        <f>HYPERLINK("https://www.google.com/maps?q=-20.1283160,-44.8781370","Abrir no Google Maps")</f>
        <v>Abrir no Google Maps</v>
      </c>
      <c r="S2822">
        <v>3</v>
      </c>
      <c r="T2822">
        <v>513.28053815499243</v>
      </c>
      <c r="U2822">
        <v>3</v>
      </c>
      <c r="V2822">
        <v>0.39659853643712989</v>
      </c>
      <c r="W2822">
        <v>1</v>
      </c>
      <c r="X2822">
        <v>0.39659853643712989</v>
      </c>
      <c r="Y2822">
        <v>387</v>
      </c>
      <c r="Z2822">
        <v>385.74604528561741</v>
      </c>
      <c r="AA2822">
        <v>198</v>
      </c>
      <c r="AB2822">
        <v>332</v>
      </c>
      <c r="AC2822">
        <v>536</v>
      </c>
      <c r="AD2822">
        <v>26.86</v>
      </c>
      <c r="AE2822">
        <v>542</v>
      </c>
      <c r="AF2822">
        <v>15</v>
      </c>
      <c r="AG2822">
        <v>178</v>
      </c>
      <c r="AH2822">
        <v>129</v>
      </c>
      <c r="AI2822">
        <v>2.77</v>
      </c>
      <c r="AJ2822">
        <v>32.840000000000003</v>
      </c>
      <c r="AK2822">
        <v>23.8</v>
      </c>
      <c r="AL2822">
        <v>-20.128308349999969</v>
      </c>
      <c r="AM2822">
        <v>-44.878115052779357</v>
      </c>
      <c r="AN2822">
        <v>-20.128308349999969</v>
      </c>
      <c r="AO2822">
        <v>-44.878115052779357</v>
      </c>
      <c r="AP2822">
        <v>-20.128316000000002</v>
      </c>
      <c r="AQ2822">
        <v>-44.878137000000002</v>
      </c>
      <c r="AR2822">
        <v>2.4469186172207671</v>
      </c>
      <c r="AS2822" t="s">
        <v>65</v>
      </c>
      <c r="AT2822">
        <v>1</v>
      </c>
      <c r="AU2822" t="s">
        <v>1052</v>
      </c>
      <c r="AV2822" t="s">
        <v>1053</v>
      </c>
      <c r="AW2822" t="s">
        <v>60</v>
      </c>
      <c r="AX2822" t="s">
        <v>68</v>
      </c>
      <c r="AY2822" t="s">
        <v>69</v>
      </c>
      <c r="AZ2822" t="b">
        <v>1</v>
      </c>
    </row>
    <row r="2823" spans="1:52" x14ac:dyDescent="0.3">
      <c r="A2823" t="s">
        <v>52</v>
      </c>
      <c r="B2823" t="s">
        <v>53</v>
      </c>
      <c r="C2823" t="s">
        <v>54</v>
      </c>
      <c r="D2823" t="s">
        <v>55</v>
      </c>
      <c r="E2823" t="s">
        <v>2162</v>
      </c>
      <c r="F2823" t="s">
        <v>190</v>
      </c>
      <c r="G2823" t="s">
        <v>734</v>
      </c>
      <c r="H2823" t="s">
        <v>1059</v>
      </c>
      <c r="I2823" t="s">
        <v>1059</v>
      </c>
      <c r="J2823" t="s">
        <v>60</v>
      </c>
      <c r="K2823" t="s">
        <v>736</v>
      </c>
      <c r="L2823" t="s">
        <v>62</v>
      </c>
      <c r="M2823" t="s">
        <v>736</v>
      </c>
      <c r="N2823" t="s">
        <v>1060</v>
      </c>
      <c r="O2823" t="s">
        <v>1061</v>
      </c>
      <c r="P2823">
        <v>-20.104700000000001</v>
      </c>
      <c r="Q2823">
        <v>-44.972988000000001</v>
      </c>
      <c r="R2823" s="2" t="str">
        <f>HYPERLINK("https://www.google.com/maps?q=-20.1047000,-44.9729880","Abrir no Google Maps")</f>
        <v>Abrir no Google Maps</v>
      </c>
      <c r="S2823">
        <v>3</v>
      </c>
      <c r="T2823">
        <v>0</v>
      </c>
      <c r="U2823">
        <v>3</v>
      </c>
      <c r="V2823">
        <v>0.39722025600085598</v>
      </c>
      <c r="W2823">
        <v>1</v>
      </c>
      <c r="X2823">
        <v>0.39722025600085598</v>
      </c>
      <c r="Y2823">
        <v>385</v>
      </c>
      <c r="Z2823">
        <v>130.87424695814411</v>
      </c>
      <c r="AA2823">
        <v>198</v>
      </c>
      <c r="AB2823">
        <v>332</v>
      </c>
      <c r="AC2823">
        <v>536</v>
      </c>
      <c r="AD2823">
        <v>26.86</v>
      </c>
      <c r="AE2823">
        <v>542</v>
      </c>
      <c r="AF2823">
        <v>15</v>
      </c>
      <c r="AG2823">
        <v>178</v>
      </c>
      <c r="AH2823">
        <v>129</v>
      </c>
      <c r="AI2823">
        <v>2.77</v>
      </c>
      <c r="AJ2823">
        <v>32.840000000000003</v>
      </c>
      <c r="AK2823">
        <v>23.8</v>
      </c>
      <c r="AL2823">
        <v>-20.104640449999948</v>
      </c>
      <c r="AM2823">
        <v>-44.972990283032523</v>
      </c>
      <c r="AN2823">
        <v>-20.104640449999948</v>
      </c>
      <c r="AO2823">
        <v>-44.972990283032509</v>
      </c>
      <c r="AP2823">
        <v>-20.104700000000001</v>
      </c>
      <c r="AQ2823">
        <v>-44.972988000000001</v>
      </c>
      <c r="AR2823">
        <v>6.6334007529191332</v>
      </c>
      <c r="AS2823" t="s">
        <v>65</v>
      </c>
      <c r="AT2823">
        <v>1</v>
      </c>
      <c r="AU2823" t="s">
        <v>1062</v>
      </c>
      <c r="AV2823" t="s">
        <v>1063</v>
      </c>
      <c r="AW2823" t="s">
        <v>60</v>
      </c>
      <c r="AX2823" t="s">
        <v>68</v>
      </c>
      <c r="AY2823" t="s">
        <v>69</v>
      </c>
      <c r="AZ2823" t="b">
        <v>1</v>
      </c>
    </row>
    <row r="2824" spans="1:52" x14ac:dyDescent="0.3">
      <c r="A2824" t="s">
        <v>52</v>
      </c>
      <c r="B2824" t="s">
        <v>53</v>
      </c>
      <c r="C2824" t="s">
        <v>54</v>
      </c>
      <c r="D2824" t="s">
        <v>55</v>
      </c>
      <c r="E2824" t="s">
        <v>2162</v>
      </c>
      <c r="F2824" t="s">
        <v>190</v>
      </c>
      <c r="G2824" t="s">
        <v>734</v>
      </c>
      <c r="H2824" t="s">
        <v>1064</v>
      </c>
      <c r="I2824" t="s">
        <v>1064</v>
      </c>
      <c r="J2824" t="s">
        <v>60</v>
      </c>
      <c r="K2824" t="s">
        <v>530</v>
      </c>
      <c r="L2824" t="s">
        <v>62</v>
      </c>
      <c r="M2824" t="s">
        <v>530</v>
      </c>
      <c r="N2824" t="s">
        <v>1060</v>
      </c>
      <c r="O2824" t="s">
        <v>1065</v>
      </c>
      <c r="P2824">
        <v>-20.102878</v>
      </c>
      <c r="Q2824">
        <v>-44.974297</v>
      </c>
      <c r="R2824" s="2" t="str">
        <f>HYPERLINK("https://www.google.com/maps?q=-20.1028780,-44.9742970","Abrir no Google Maps")</f>
        <v>Abrir no Google Maps</v>
      </c>
      <c r="S2824">
        <v>3</v>
      </c>
      <c r="T2824">
        <v>261.64376156647683</v>
      </c>
      <c r="U2824">
        <v>3</v>
      </c>
      <c r="V2824">
        <v>0.38790173617896168</v>
      </c>
      <c r="W2824">
        <v>1</v>
      </c>
      <c r="X2824">
        <v>0.38790173617896168</v>
      </c>
      <c r="Y2824">
        <v>385</v>
      </c>
      <c r="Z2824">
        <v>272.78931550338098</v>
      </c>
      <c r="AA2824">
        <v>198</v>
      </c>
      <c r="AB2824">
        <v>332</v>
      </c>
      <c r="AC2824">
        <v>536</v>
      </c>
      <c r="AD2824">
        <v>26.86</v>
      </c>
      <c r="AE2824">
        <v>542</v>
      </c>
      <c r="AF2824">
        <v>15</v>
      </c>
      <c r="AG2824">
        <v>178</v>
      </c>
      <c r="AH2824">
        <v>129</v>
      </c>
      <c r="AI2824">
        <v>2.77</v>
      </c>
      <c r="AJ2824">
        <v>32.840000000000003</v>
      </c>
      <c r="AK2824">
        <v>23.8</v>
      </c>
      <c r="AL2824">
        <v>-20.102914199999962</v>
      </c>
      <c r="AM2824">
        <v>-44.974700580584418</v>
      </c>
      <c r="AN2824">
        <v>-20.102914199999962</v>
      </c>
      <c r="AO2824">
        <v>-44.974700580584418</v>
      </c>
      <c r="AP2824">
        <v>-20.102878</v>
      </c>
      <c r="AQ2824">
        <v>-44.974297</v>
      </c>
      <c r="AR2824">
        <v>42.381535645626968</v>
      </c>
      <c r="AS2824" t="s">
        <v>65</v>
      </c>
      <c r="AT2824">
        <v>1</v>
      </c>
      <c r="AU2824" t="s">
        <v>1066</v>
      </c>
      <c r="AV2824" t="s">
        <v>1067</v>
      </c>
      <c r="AW2824" t="s">
        <v>60</v>
      </c>
      <c r="AX2824" t="s">
        <v>68</v>
      </c>
      <c r="AY2824" t="s">
        <v>69</v>
      </c>
      <c r="AZ2824" t="b">
        <v>1</v>
      </c>
    </row>
    <row r="2825" spans="1:52" x14ac:dyDescent="0.3">
      <c r="A2825" t="s">
        <v>52</v>
      </c>
      <c r="B2825" t="s">
        <v>53</v>
      </c>
      <c r="C2825" t="s">
        <v>54</v>
      </c>
      <c r="D2825" t="s">
        <v>55</v>
      </c>
      <c r="E2825" t="s">
        <v>2162</v>
      </c>
      <c r="F2825" t="s">
        <v>190</v>
      </c>
      <c r="G2825" t="s">
        <v>734</v>
      </c>
      <c r="H2825" t="s">
        <v>735</v>
      </c>
      <c r="I2825" t="s">
        <v>735</v>
      </c>
      <c r="J2825" t="s">
        <v>60</v>
      </c>
      <c r="K2825" t="s">
        <v>736</v>
      </c>
      <c r="L2825" t="s">
        <v>62</v>
      </c>
      <c r="M2825" t="s">
        <v>736</v>
      </c>
      <c r="N2825" t="s">
        <v>737</v>
      </c>
      <c r="O2825" t="s">
        <v>738</v>
      </c>
      <c r="P2825">
        <v>-20.113050000000001</v>
      </c>
      <c r="Q2825">
        <v>-44.977640999999998</v>
      </c>
      <c r="R2825" s="2" t="str">
        <f>HYPERLINK("https://www.google.com/maps?q=-20.1130500,-44.9776410","Abrir no Google Maps")</f>
        <v>Abrir no Google Maps</v>
      </c>
      <c r="S2825">
        <v>3</v>
      </c>
      <c r="T2825">
        <v>1057.751631532733</v>
      </c>
      <c r="U2825">
        <v>3</v>
      </c>
      <c r="V2825">
        <v>0.38348316856414788</v>
      </c>
      <c r="W2825">
        <v>1</v>
      </c>
      <c r="X2825">
        <v>0.38348316856414788</v>
      </c>
      <c r="Y2825">
        <v>385</v>
      </c>
      <c r="Z2825">
        <v>1001.029655866156</v>
      </c>
      <c r="AA2825">
        <v>198</v>
      </c>
      <c r="AB2825">
        <v>332</v>
      </c>
      <c r="AC2825">
        <v>536</v>
      </c>
      <c r="AD2825">
        <v>26.86</v>
      </c>
      <c r="AE2825">
        <v>542</v>
      </c>
      <c r="AF2825">
        <v>15</v>
      </c>
      <c r="AG2825">
        <v>178</v>
      </c>
      <c r="AH2825">
        <v>129</v>
      </c>
      <c r="AI2825">
        <v>2.77</v>
      </c>
      <c r="AJ2825">
        <v>32.840000000000003</v>
      </c>
      <c r="AK2825">
        <v>23.8</v>
      </c>
      <c r="AL2825">
        <v>-20.112977499999939</v>
      </c>
      <c r="AM2825">
        <v>-44.977939579895221</v>
      </c>
      <c r="AN2825">
        <v>-20.112977499999939</v>
      </c>
      <c r="AO2825">
        <v>-44.977939579895221</v>
      </c>
      <c r="AP2825">
        <v>-20.113050000000001</v>
      </c>
      <c r="AQ2825">
        <v>-44.977640999999998</v>
      </c>
      <c r="AR2825">
        <v>32.23754556505741</v>
      </c>
      <c r="AS2825" t="s">
        <v>65</v>
      </c>
      <c r="AT2825">
        <v>1</v>
      </c>
      <c r="AU2825" t="s">
        <v>739</v>
      </c>
      <c r="AV2825" t="s">
        <v>740</v>
      </c>
      <c r="AW2825" t="s">
        <v>60</v>
      </c>
      <c r="AX2825" t="s">
        <v>68</v>
      </c>
      <c r="AY2825" t="s">
        <v>69</v>
      </c>
      <c r="AZ2825" t="b">
        <v>1</v>
      </c>
    </row>
    <row r="2826" spans="1:52" x14ac:dyDescent="0.3">
      <c r="A2826" t="s">
        <v>52</v>
      </c>
      <c r="B2826" t="s">
        <v>53</v>
      </c>
      <c r="C2826" t="s">
        <v>54</v>
      </c>
      <c r="D2826" t="s">
        <v>55</v>
      </c>
      <c r="E2826" t="s">
        <v>2162</v>
      </c>
      <c r="F2826" t="s">
        <v>190</v>
      </c>
      <c r="G2826" t="s">
        <v>1083</v>
      </c>
      <c r="H2826" t="s">
        <v>1084</v>
      </c>
      <c r="I2826" t="s">
        <v>1084</v>
      </c>
      <c r="J2826" t="s">
        <v>60</v>
      </c>
      <c r="K2826" t="s">
        <v>761</v>
      </c>
      <c r="L2826" t="s">
        <v>62</v>
      </c>
      <c r="M2826" t="s">
        <v>761</v>
      </c>
      <c r="N2826" t="s">
        <v>1085</v>
      </c>
      <c r="O2826" t="s">
        <v>1086</v>
      </c>
      <c r="P2826">
        <v>-20.124312</v>
      </c>
      <c r="Q2826">
        <v>-44.850425000000001</v>
      </c>
      <c r="R2826" s="2" t="str">
        <f>HYPERLINK("https://www.google.com/maps?q=-20.1243120,-44.8504250","Abrir no Google Maps")</f>
        <v>Abrir no Google Maps</v>
      </c>
      <c r="S2826">
        <v>3</v>
      </c>
      <c r="T2826">
        <v>0</v>
      </c>
      <c r="U2826">
        <v>3</v>
      </c>
      <c r="V2826">
        <v>0.37956225580476971</v>
      </c>
      <c r="W2826">
        <v>1</v>
      </c>
      <c r="X2826">
        <v>0.37956225580476971</v>
      </c>
      <c r="Y2826">
        <v>350</v>
      </c>
      <c r="Z2826">
        <v>380.24040721202471</v>
      </c>
      <c r="AA2826">
        <v>198</v>
      </c>
      <c r="AB2826">
        <v>332</v>
      </c>
      <c r="AC2826">
        <v>536</v>
      </c>
      <c r="AD2826">
        <v>26.86</v>
      </c>
      <c r="AE2826">
        <v>542</v>
      </c>
      <c r="AF2826">
        <v>15</v>
      </c>
      <c r="AG2826">
        <v>178</v>
      </c>
      <c r="AH2826">
        <v>129</v>
      </c>
      <c r="AI2826">
        <v>2.77</v>
      </c>
      <c r="AJ2826">
        <v>32.840000000000003</v>
      </c>
      <c r="AK2826">
        <v>23.8</v>
      </c>
      <c r="AL2826">
        <v>-20.126267499999951</v>
      </c>
      <c r="AM2826">
        <v>-44.852460192840908</v>
      </c>
      <c r="AN2826">
        <v>-20.126267499999951</v>
      </c>
      <c r="AO2826">
        <v>-44.852460192840908</v>
      </c>
      <c r="AP2826">
        <v>-20.124312</v>
      </c>
      <c r="AQ2826">
        <v>-44.850425000000001</v>
      </c>
      <c r="AR2826">
        <v>304.36574074135672</v>
      </c>
      <c r="AS2826" t="s">
        <v>65</v>
      </c>
      <c r="AT2826">
        <v>1</v>
      </c>
      <c r="AU2826" t="s">
        <v>1087</v>
      </c>
      <c r="AV2826" t="s">
        <v>1088</v>
      </c>
      <c r="AW2826" t="s">
        <v>60</v>
      </c>
      <c r="AX2826" t="s">
        <v>68</v>
      </c>
      <c r="AY2826" t="s">
        <v>69</v>
      </c>
      <c r="AZ2826" t="b">
        <v>1</v>
      </c>
    </row>
    <row r="2827" spans="1:52" x14ac:dyDescent="0.3">
      <c r="A2827" t="s">
        <v>52</v>
      </c>
      <c r="B2827" t="s">
        <v>53</v>
      </c>
      <c r="C2827" t="s">
        <v>54</v>
      </c>
      <c r="D2827" t="s">
        <v>55</v>
      </c>
      <c r="E2827" t="s">
        <v>2162</v>
      </c>
      <c r="F2827" t="s">
        <v>190</v>
      </c>
      <c r="G2827" t="s">
        <v>1089</v>
      </c>
      <c r="H2827" t="s">
        <v>1090</v>
      </c>
      <c r="I2827" t="s">
        <v>1090</v>
      </c>
      <c r="J2827" t="s">
        <v>60</v>
      </c>
      <c r="K2827" t="s">
        <v>761</v>
      </c>
      <c r="L2827" t="s">
        <v>62</v>
      </c>
      <c r="M2827" t="s">
        <v>761</v>
      </c>
      <c r="N2827" t="s">
        <v>1091</v>
      </c>
      <c r="O2827" t="s">
        <v>86</v>
      </c>
      <c r="P2827">
        <v>-20.116182999999999</v>
      </c>
      <c r="Q2827">
        <v>-44.850524</v>
      </c>
      <c r="R2827" s="2" t="str">
        <f>HYPERLINK("https://www.google.com/maps?q=-20.1161830,-44.8505240","Abrir no Google Maps")</f>
        <v>Abrir no Google Maps</v>
      </c>
      <c r="S2827">
        <v>3</v>
      </c>
      <c r="T2827">
        <v>1142.6607426309961</v>
      </c>
      <c r="U2827">
        <v>3</v>
      </c>
      <c r="V2827">
        <v>0.38656120696291818</v>
      </c>
      <c r="W2827">
        <v>1</v>
      </c>
      <c r="X2827">
        <v>0.38656120696291818</v>
      </c>
      <c r="Y2827">
        <v>350</v>
      </c>
      <c r="Z2827">
        <v>723.44841640590141</v>
      </c>
      <c r="AA2827">
        <v>198</v>
      </c>
      <c r="AB2827">
        <v>332</v>
      </c>
      <c r="AC2827">
        <v>536</v>
      </c>
      <c r="AD2827">
        <v>26.86</v>
      </c>
      <c r="AE2827">
        <v>542</v>
      </c>
      <c r="AF2827">
        <v>15</v>
      </c>
      <c r="AG2827">
        <v>178</v>
      </c>
      <c r="AH2827">
        <v>129</v>
      </c>
      <c r="AI2827">
        <v>2.77</v>
      </c>
      <c r="AJ2827">
        <v>32.840000000000003</v>
      </c>
      <c r="AK2827">
        <v>23.8</v>
      </c>
      <c r="AL2827">
        <v>-20.11605684999995</v>
      </c>
      <c r="AM2827">
        <v>-44.850832861808193</v>
      </c>
      <c r="AN2827">
        <v>-20.11605684999995</v>
      </c>
      <c r="AO2827">
        <v>-44.850832861808193</v>
      </c>
      <c r="AP2827">
        <v>-20.116182999999999</v>
      </c>
      <c r="AQ2827">
        <v>-44.850524</v>
      </c>
      <c r="AR2827">
        <v>35.207009729928053</v>
      </c>
      <c r="AS2827" t="s">
        <v>65</v>
      </c>
      <c r="AT2827">
        <v>1</v>
      </c>
      <c r="AU2827" t="s">
        <v>1092</v>
      </c>
      <c r="AV2827" t="s">
        <v>1093</v>
      </c>
      <c r="AW2827" t="s">
        <v>60</v>
      </c>
      <c r="AX2827" t="s">
        <v>68</v>
      </c>
      <c r="AY2827" t="s">
        <v>69</v>
      </c>
      <c r="AZ2827" t="b">
        <v>1</v>
      </c>
    </row>
    <row r="2828" spans="1:52" x14ac:dyDescent="0.3">
      <c r="A2828" t="s">
        <v>52</v>
      </c>
      <c r="B2828" t="s">
        <v>53</v>
      </c>
      <c r="C2828" t="s">
        <v>54</v>
      </c>
      <c r="D2828" t="s">
        <v>55</v>
      </c>
      <c r="E2828" t="s">
        <v>2162</v>
      </c>
      <c r="F2828" t="s">
        <v>190</v>
      </c>
      <c r="G2828" t="s">
        <v>759</v>
      </c>
      <c r="H2828" t="s">
        <v>760</v>
      </c>
      <c r="I2828" t="s">
        <v>760</v>
      </c>
      <c r="J2828" t="s">
        <v>60</v>
      </c>
      <c r="K2828" t="s">
        <v>761</v>
      </c>
      <c r="L2828" t="s">
        <v>62</v>
      </c>
      <c r="M2828" t="s">
        <v>761</v>
      </c>
      <c r="N2828" t="s">
        <v>762</v>
      </c>
      <c r="O2828" t="s">
        <v>763</v>
      </c>
      <c r="P2828">
        <v>-20.118755</v>
      </c>
      <c r="Q2828">
        <v>-44.850627000000003</v>
      </c>
      <c r="R2828" s="2" t="str">
        <f>HYPERLINK("https://www.google.com/maps?q=-20.1187550,-44.8506270","Abrir no Google Maps")</f>
        <v>Abrir no Google Maps</v>
      </c>
      <c r="S2828">
        <v>3</v>
      </c>
      <c r="T2828">
        <v>848.81670834514034</v>
      </c>
      <c r="U2828">
        <v>3</v>
      </c>
      <c r="V2828">
        <v>0.3946138342696629</v>
      </c>
      <c r="W2828">
        <v>1</v>
      </c>
      <c r="X2828">
        <v>0.3946138342696629</v>
      </c>
      <c r="Y2828">
        <v>350</v>
      </c>
      <c r="Z2828">
        <v>443.51354125420028</v>
      </c>
      <c r="AA2828">
        <v>198</v>
      </c>
      <c r="AB2828">
        <v>332</v>
      </c>
      <c r="AC2828">
        <v>536</v>
      </c>
      <c r="AD2828">
        <v>26.86</v>
      </c>
      <c r="AE2828">
        <v>542</v>
      </c>
      <c r="AF2828">
        <v>15</v>
      </c>
      <c r="AG2828">
        <v>178</v>
      </c>
      <c r="AH2828">
        <v>129</v>
      </c>
      <c r="AI2828">
        <v>2.77</v>
      </c>
      <c r="AJ2828">
        <v>32.840000000000003</v>
      </c>
      <c r="AK2828">
        <v>23.8</v>
      </c>
      <c r="AL2828">
        <v>-20.11882464999994</v>
      </c>
      <c r="AM2828">
        <v>-44.850497004056017</v>
      </c>
      <c r="AN2828">
        <v>-20.11882464999994</v>
      </c>
      <c r="AO2828">
        <v>-44.850497004056017</v>
      </c>
      <c r="AP2828">
        <v>-20.118755</v>
      </c>
      <c r="AQ2828">
        <v>-44.850627000000003</v>
      </c>
      <c r="AR2828">
        <v>15.6445928866994</v>
      </c>
      <c r="AS2828" t="s">
        <v>65</v>
      </c>
      <c r="AT2828">
        <v>1</v>
      </c>
      <c r="AU2828" t="s">
        <v>764</v>
      </c>
      <c r="AV2828" t="s">
        <v>765</v>
      </c>
      <c r="AW2828" t="s">
        <v>60</v>
      </c>
      <c r="AX2828" t="s">
        <v>68</v>
      </c>
      <c r="AY2828" t="s">
        <v>69</v>
      </c>
      <c r="AZ2828" t="b">
        <v>1</v>
      </c>
    </row>
    <row r="2829" spans="1:52" x14ac:dyDescent="0.3">
      <c r="A2829" t="s">
        <v>52</v>
      </c>
      <c r="B2829" t="s">
        <v>53</v>
      </c>
      <c r="C2829" t="s">
        <v>54</v>
      </c>
      <c r="D2829" t="s">
        <v>55</v>
      </c>
      <c r="E2829" t="s">
        <v>2162</v>
      </c>
      <c r="F2829" t="s">
        <v>190</v>
      </c>
      <c r="G2829" t="s">
        <v>773</v>
      </c>
      <c r="H2829" t="s">
        <v>774</v>
      </c>
      <c r="I2829" t="s">
        <v>774</v>
      </c>
      <c r="J2829" t="s">
        <v>60</v>
      </c>
      <c r="K2829" t="s">
        <v>775</v>
      </c>
      <c r="L2829" t="s">
        <v>62</v>
      </c>
      <c r="M2829" t="s">
        <v>775</v>
      </c>
      <c r="N2829" t="s">
        <v>776</v>
      </c>
      <c r="O2829" t="s">
        <v>250</v>
      </c>
      <c r="P2829">
        <v>-20.135413</v>
      </c>
      <c r="Q2829">
        <v>-44.868969999999997</v>
      </c>
      <c r="R2829" s="2" t="str">
        <f>HYPERLINK("https://www.google.com/maps?q=-20.1354130,-44.8689700","Abrir no Google Maps")</f>
        <v>Abrir no Google Maps</v>
      </c>
      <c r="S2829">
        <v>3</v>
      </c>
      <c r="T2829">
        <v>403.5118397372845</v>
      </c>
      <c r="U2829">
        <v>3</v>
      </c>
      <c r="V2829">
        <v>0.40459931545296318</v>
      </c>
      <c r="W2829">
        <v>1</v>
      </c>
      <c r="X2829">
        <v>0.40459931545296318</v>
      </c>
      <c r="Y2829">
        <v>332</v>
      </c>
      <c r="Z2829">
        <v>455.74614750795899</v>
      </c>
      <c r="AA2829">
        <v>198</v>
      </c>
      <c r="AB2829">
        <v>332</v>
      </c>
      <c r="AC2829">
        <v>536</v>
      </c>
      <c r="AD2829">
        <v>26.86</v>
      </c>
      <c r="AE2829">
        <v>542</v>
      </c>
      <c r="AF2829">
        <v>15</v>
      </c>
      <c r="AG2829">
        <v>178</v>
      </c>
      <c r="AH2829">
        <v>129</v>
      </c>
      <c r="AI2829">
        <v>2.77</v>
      </c>
      <c r="AJ2829">
        <v>32.840000000000003</v>
      </c>
      <c r="AK2829">
        <v>23.8</v>
      </c>
      <c r="AL2829">
        <v>-20.13561149999995</v>
      </c>
      <c r="AM2829">
        <v>-44.868817260088647</v>
      </c>
      <c r="AN2829">
        <v>-20.13561149999995</v>
      </c>
      <c r="AO2829">
        <v>-44.868817260088647</v>
      </c>
      <c r="AP2829">
        <v>-20.135413</v>
      </c>
      <c r="AQ2829">
        <v>-44.868969999999997</v>
      </c>
      <c r="AR2829">
        <v>27.26024434808955</v>
      </c>
      <c r="AS2829" t="s">
        <v>65</v>
      </c>
      <c r="AT2829">
        <v>1</v>
      </c>
      <c r="AU2829" t="s">
        <v>777</v>
      </c>
      <c r="AV2829" t="s">
        <v>778</v>
      </c>
      <c r="AW2829" t="s">
        <v>60</v>
      </c>
      <c r="AX2829" t="s">
        <v>68</v>
      </c>
      <c r="AY2829" t="s">
        <v>69</v>
      </c>
      <c r="AZ2829" t="b">
        <v>1</v>
      </c>
    </row>
    <row r="2830" spans="1:52" x14ac:dyDescent="0.3">
      <c r="A2830" t="s">
        <v>52</v>
      </c>
      <c r="B2830" t="s">
        <v>53</v>
      </c>
      <c r="C2830" t="s">
        <v>54</v>
      </c>
      <c r="D2830" t="s">
        <v>55</v>
      </c>
      <c r="E2830" t="s">
        <v>2162</v>
      </c>
      <c r="F2830" t="s">
        <v>190</v>
      </c>
      <c r="G2830" t="s">
        <v>779</v>
      </c>
      <c r="H2830" t="s">
        <v>780</v>
      </c>
      <c r="I2830" t="s">
        <v>780</v>
      </c>
      <c r="J2830" t="s">
        <v>60</v>
      </c>
      <c r="K2830" t="s">
        <v>781</v>
      </c>
      <c r="L2830" t="s">
        <v>62</v>
      </c>
      <c r="M2830" t="s">
        <v>781</v>
      </c>
      <c r="N2830" t="s">
        <v>782</v>
      </c>
      <c r="O2830" t="s">
        <v>783</v>
      </c>
      <c r="P2830">
        <v>-20.137938999999999</v>
      </c>
      <c r="Q2830">
        <v>-44.865873000000001</v>
      </c>
      <c r="R2830" s="2" t="str">
        <f>HYPERLINK("https://www.google.com/maps?q=-20.1379390,-44.8658730","Abrir no Google Maps")</f>
        <v>Abrir no Google Maps</v>
      </c>
      <c r="S2830">
        <v>3</v>
      </c>
      <c r="T2830">
        <v>663.24596349877265</v>
      </c>
      <c r="U2830">
        <v>3</v>
      </c>
      <c r="V2830">
        <v>0.39930260755888292</v>
      </c>
      <c r="W2830">
        <v>1</v>
      </c>
      <c r="X2830">
        <v>0.39930260755888292</v>
      </c>
      <c r="Y2830">
        <v>332</v>
      </c>
      <c r="Z2830">
        <v>724.72470227972997</v>
      </c>
      <c r="AA2830">
        <v>198</v>
      </c>
      <c r="AB2830">
        <v>332</v>
      </c>
      <c r="AC2830">
        <v>536</v>
      </c>
      <c r="AD2830">
        <v>26.86</v>
      </c>
      <c r="AE2830">
        <v>542</v>
      </c>
      <c r="AF2830">
        <v>15</v>
      </c>
      <c r="AG2830">
        <v>178</v>
      </c>
      <c r="AH2830">
        <v>129</v>
      </c>
      <c r="AI2830">
        <v>2.77</v>
      </c>
      <c r="AJ2830">
        <v>32.840000000000003</v>
      </c>
      <c r="AK2830">
        <v>23.8</v>
      </c>
      <c r="AL2830">
        <v>-20.137865449999961</v>
      </c>
      <c r="AM2830">
        <v>-44.866141027847057</v>
      </c>
      <c r="AN2830">
        <v>-20.137865449999961</v>
      </c>
      <c r="AO2830">
        <v>-44.866141027847057</v>
      </c>
      <c r="AP2830">
        <v>-20.137938999999999</v>
      </c>
      <c r="AQ2830">
        <v>-44.865873000000001</v>
      </c>
      <c r="AR2830">
        <v>29.184856191831059</v>
      </c>
      <c r="AS2830" t="s">
        <v>65</v>
      </c>
      <c r="AT2830">
        <v>1</v>
      </c>
      <c r="AU2830" t="s">
        <v>784</v>
      </c>
      <c r="AV2830" t="s">
        <v>785</v>
      </c>
      <c r="AW2830" t="s">
        <v>60</v>
      </c>
      <c r="AX2830" t="s">
        <v>68</v>
      </c>
      <c r="AY2830" t="s">
        <v>69</v>
      </c>
      <c r="AZ2830" t="b">
        <v>1</v>
      </c>
    </row>
    <row r="2831" spans="1:52" x14ac:dyDescent="0.3">
      <c r="A2831" t="s">
        <v>52</v>
      </c>
      <c r="B2831" t="s">
        <v>53</v>
      </c>
      <c r="C2831" t="s">
        <v>54</v>
      </c>
      <c r="D2831" t="s">
        <v>55</v>
      </c>
      <c r="E2831" t="s">
        <v>2162</v>
      </c>
      <c r="F2831" t="s">
        <v>190</v>
      </c>
      <c r="G2831" t="s">
        <v>1104</v>
      </c>
      <c r="H2831" t="s">
        <v>1105</v>
      </c>
      <c r="I2831" t="s">
        <v>1105</v>
      </c>
      <c r="J2831" t="s">
        <v>60</v>
      </c>
      <c r="K2831" t="s">
        <v>781</v>
      </c>
      <c r="L2831" t="s">
        <v>62</v>
      </c>
      <c r="M2831" t="s">
        <v>781</v>
      </c>
      <c r="N2831" t="s">
        <v>1106</v>
      </c>
      <c r="O2831" t="s">
        <v>1080</v>
      </c>
      <c r="P2831">
        <v>-20.138683</v>
      </c>
      <c r="Q2831">
        <v>-44.868507999999999</v>
      </c>
      <c r="R2831" s="2" t="str">
        <f>HYPERLINK("https://www.google.com/maps?q=-20.1386830,-44.8685080","Abrir no Google Maps")</f>
        <v>Abrir no Google Maps</v>
      </c>
      <c r="S2831">
        <v>3</v>
      </c>
      <c r="T2831">
        <v>450.88210098833099</v>
      </c>
      <c r="U2831">
        <v>3</v>
      </c>
      <c r="V2831">
        <v>0.38771856290827689</v>
      </c>
      <c r="W2831">
        <v>1</v>
      </c>
      <c r="X2831">
        <v>0.38771856290827689</v>
      </c>
      <c r="Y2831">
        <v>332</v>
      </c>
      <c r="Z2831">
        <v>601.27669048153166</v>
      </c>
      <c r="AA2831">
        <v>198</v>
      </c>
      <c r="AB2831">
        <v>332</v>
      </c>
      <c r="AC2831">
        <v>536</v>
      </c>
      <c r="AD2831">
        <v>26.86</v>
      </c>
      <c r="AE2831">
        <v>542</v>
      </c>
      <c r="AF2831">
        <v>15</v>
      </c>
      <c r="AG2831">
        <v>178</v>
      </c>
      <c r="AH2831">
        <v>129</v>
      </c>
      <c r="AI2831">
        <v>2.77</v>
      </c>
      <c r="AJ2831">
        <v>32.840000000000003</v>
      </c>
      <c r="AK2831">
        <v>23.8</v>
      </c>
      <c r="AL2831">
        <v>-20.13870544999995</v>
      </c>
      <c r="AM2831">
        <v>-44.868521774012208</v>
      </c>
      <c r="AN2831">
        <v>-20.138705449999939</v>
      </c>
      <c r="AO2831">
        <v>-44.868521774012208</v>
      </c>
      <c r="AP2831">
        <v>-20.138683</v>
      </c>
      <c r="AQ2831">
        <v>-44.868507999999999</v>
      </c>
      <c r="AR2831">
        <v>2.8841042175322271</v>
      </c>
      <c r="AS2831" t="s">
        <v>65</v>
      </c>
      <c r="AT2831">
        <v>1</v>
      </c>
      <c r="AU2831" t="s">
        <v>1107</v>
      </c>
      <c r="AV2831" t="s">
        <v>1108</v>
      </c>
      <c r="AW2831" t="s">
        <v>60</v>
      </c>
      <c r="AX2831" t="s">
        <v>68</v>
      </c>
      <c r="AY2831" t="s">
        <v>69</v>
      </c>
      <c r="AZ2831" t="b">
        <v>1</v>
      </c>
    </row>
    <row r="2832" spans="1:52" x14ac:dyDescent="0.3">
      <c r="A2832" t="s">
        <v>52</v>
      </c>
      <c r="B2832" t="s">
        <v>53</v>
      </c>
      <c r="C2832" t="s">
        <v>54</v>
      </c>
      <c r="D2832" t="s">
        <v>55</v>
      </c>
      <c r="E2832" t="s">
        <v>2162</v>
      </c>
      <c r="F2832" t="s">
        <v>190</v>
      </c>
      <c r="G2832" t="s">
        <v>1109</v>
      </c>
      <c r="H2832" t="s">
        <v>1110</v>
      </c>
      <c r="I2832" t="s">
        <v>1110</v>
      </c>
      <c r="J2832" t="s">
        <v>60</v>
      </c>
      <c r="K2832" t="s">
        <v>768</v>
      </c>
      <c r="L2832" t="s">
        <v>62</v>
      </c>
      <c r="M2832" t="s">
        <v>768</v>
      </c>
      <c r="N2832" t="s">
        <v>1111</v>
      </c>
      <c r="O2832" t="s">
        <v>1112</v>
      </c>
      <c r="P2832">
        <v>-20.135508000000002</v>
      </c>
      <c r="Q2832">
        <v>-44.871786999999998</v>
      </c>
      <c r="R2832" s="2" t="str">
        <f>HYPERLINK("https://www.google.com/maps?q=-20.1355080,-44.8717870","Abrir no Google Maps")</f>
        <v>Abrir no Google Maps</v>
      </c>
      <c r="S2832">
        <v>3</v>
      </c>
      <c r="T2832">
        <v>167.5382405548801</v>
      </c>
      <c r="U2832">
        <v>3</v>
      </c>
      <c r="V2832">
        <v>0.39526064153985291</v>
      </c>
      <c r="W2832">
        <v>1</v>
      </c>
      <c r="X2832">
        <v>0.39526064153985291</v>
      </c>
      <c r="Y2832">
        <v>332</v>
      </c>
      <c r="Z2832">
        <v>179.76671916562941</v>
      </c>
      <c r="AA2832">
        <v>198</v>
      </c>
      <c r="AB2832">
        <v>332</v>
      </c>
      <c r="AC2832">
        <v>536</v>
      </c>
      <c r="AD2832">
        <v>26.86</v>
      </c>
      <c r="AE2832">
        <v>542</v>
      </c>
      <c r="AF2832">
        <v>15</v>
      </c>
      <c r="AG2832">
        <v>178</v>
      </c>
      <c r="AH2832">
        <v>129</v>
      </c>
      <c r="AI2832">
        <v>2.77</v>
      </c>
      <c r="AJ2832">
        <v>32.840000000000003</v>
      </c>
      <c r="AK2832">
        <v>23.8</v>
      </c>
      <c r="AL2832">
        <v>-20.135532899999959</v>
      </c>
      <c r="AM2832">
        <v>-44.871828172735903</v>
      </c>
      <c r="AN2832">
        <v>-20.135532899999959</v>
      </c>
      <c r="AO2832">
        <v>-44.871828172735903</v>
      </c>
      <c r="AP2832">
        <v>-20.135508000000002</v>
      </c>
      <c r="AQ2832">
        <v>-44.871786999999998</v>
      </c>
      <c r="AR2832">
        <v>5.1186859635787858</v>
      </c>
      <c r="AS2832" t="s">
        <v>65</v>
      </c>
      <c r="AT2832">
        <v>1</v>
      </c>
      <c r="AU2832" t="s">
        <v>1113</v>
      </c>
      <c r="AV2832" t="s">
        <v>1114</v>
      </c>
      <c r="AW2832" t="s">
        <v>60</v>
      </c>
      <c r="AX2832" t="s">
        <v>68</v>
      </c>
      <c r="AY2832" t="s">
        <v>69</v>
      </c>
      <c r="AZ2832" t="b">
        <v>1</v>
      </c>
    </row>
    <row r="2833" spans="1:52" x14ac:dyDescent="0.3">
      <c r="A2833" t="s">
        <v>52</v>
      </c>
      <c r="B2833" t="s">
        <v>53</v>
      </c>
      <c r="C2833" t="s">
        <v>54</v>
      </c>
      <c r="D2833" t="s">
        <v>55</v>
      </c>
      <c r="E2833" t="s">
        <v>2162</v>
      </c>
      <c r="F2833" t="s">
        <v>190</v>
      </c>
      <c r="G2833" t="s">
        <v>1121</v>
      </c>
      <c r="H2833" t="s">
        <v>1122</v>
      </c>
      <c r="I2833" t="s">
        <v>1122</v>
      </c>
      <c r="J2833" t="s">
        <v>60</v>
      </c>
      <c r="K2833" t="s">
        <v>1123</v>
      </c>
      <c r="L2833" t="s">
        <v>62</v>
      </c>
      <c r="M2833" t="s">
        <v>1123</v>
      </c>
      <c r="N2833" t="s">
        <v>1124</v>
      </c>
      <c r="O2833" t="s">
        <v>74</v>
      </c>
      <c r="P2833">
        <v>-20.105318</v>
      </c>
      <c r="Q2833">
        <v>-44.879216</v>
      </c>
      <c r="R2833" s="2" t="str">
        <f>HYPERLINK("https://www.google.com/maps?q=-20.1053180,-44.8792160","Abrir no Google Maps")</f>
        <v>Abrir no Google Maps</v>
      </c>
      <c r="S2833">
        <v>3</v>
      </c>
      <c r="T2833">
        <v>318.57668516180911</v>
      </c>
      <c r="U2833">
        <v>3</v>
      </c>
      <c r="V2833">
        <v>0.37500402547757189</v>
      </c>
      <c r="W2833">
        <v>1</v>
      </c>
      <c r="X2833">
        <v>0.37500402547757189</v>
      </c>
      <c r="Y2833">
        <v>314</v>
      </c>
      <c r="Z2833">
        <v>207.50829098881519</v>
      </c>
      <c r="AA2833">
        <v>198</v>
      </c>
      <c r="AB2833">
        <v>332</v>
      </c>
      <c r="AC2833">
        <v>536</v>
      </c>
      <c r="AD2833">
        <v>26.86</v>
      </c>
      <c r="AE2833">
        <v>542</v>
      </c>
      <c r="AF2833">
        <v>15</v>
      </c>
      <c r="AG2833">
        <v>178</v>
      </c>
      <c r="AH2833">
        <v>129</v>
      </c>
      <c r="AI2833">
        <v>2.77</v>
      </c>
      <c r="AJ2833">
        <v>32.840000000000003</v>
      </c>
      <c r="AK2833">
        <v>23.8</v>
      </c>
      <c r="AL2833">
        <v>-20.105361049999939</v>
      </c>
      <c r="AM2833">
        <v>-44.87924613740698</v>
      </c>
      <c r="AN2833">
        <v>-20.105361049999939</v>
      </c>
      <c r="AO2833">
        <v>-44.87924613740698</v>
      </c>
      <c r="AP2833">
        <v>-20.105318</v>
      </c>
      <c r="AQ2833">
        <v>-44.879216</v>
      </c>
      <c r="AR2833">
        <v>5.7351338374851242</v>
      </c>
      <c r="AS2833" t="s">
        <v>65</v>
      </c>
      <c r="AT2833">
        <v>1</v>
      </c>
      <c r="AU2833" t="s">
        <v>1125</v>
      </c>
      <c r="AV2833" t="s">
        <v>1126</v>
      </c>
      <c r="AW2833" t="s">
        <v>60</v>
      </c>
      <c r="AX2833" t="s">
        <v>68</v>
      </c>
      <c r="AY2833" t="s">
        <v>69</v>
      </c>
      <c r="AZ2833" t="b">
        <v>1</v>
      </c>
    </row>
    <row r="2834" spans="1:52" x14ac:dyDescent="0.3">
      <c r="A2834" t="s">
        <v>52</v>
      </c>
      <c r="B2834" t="s">
        <v>53</v>
      </c>
      <c r="C2834" t="s">
        <v>54</v>
      </c>
      <c r="D2834" t="s">
        <v>55</v>
      </c>
      <c r="E2834" t="s">
        <v>2162</v>
      </c>
      <c r="F2834" t="s">
        <v>190</v>
      </c>
      <c r="G2834" t="s">
        <v>1133</v>
      </c>
      <c r="H2834" t="s">
        <v>1134</v>
      </c>
      <c r="I2834" t="s">
        <v>1134</v>
      </c>
      <c r="J2834" t="s">
        <v>60</v>
      </c>
      <c r="K2834" t="s">
        <v>1123</v>
      </c>
      <c r="L2834" t="s">
        <v>62</v>
      </c>
      <c r="M2834" t="s">
        <v>1123</v>
      </c>
      <c r="N2834" t="s">
        <v>1135</v>
      </c>
      <c r="O2834" t="s">
        <v>138</v>
      </c>
      <c r="P2834">
        <v>-20.106113000000001</v>
      </c>
      <c r="Q2834">
        <v>-44.876035999999999</v>
      </c>
      <c r="R2834" s="2" t="str">
        <f>HYPERLINK("https://www.google.com/maps?q=-20.1061130,-44.8760360","Abrir no Google Maps")</f>
        <v>Abrir no Google Maps</v>
      </c>
      <c r="S2834">
        <v>3</v>
      </c>
      <c r="T2834">
        <v>0</v>
      </c>
      <c r="U2834">
        <v>3</v>
      </c>
      <c r="V2834">
        <v>0.38136069089546831</v>
      </c>
      <c r="W2834">
        <v>1</v>
      </c>
      <c r="X2834">
        <v>0.38136069089546831</v>
      </c>
      <c r="Y2834">
        <v>314</v>
      </c>
      <c r="Z2834">
        <v>98.504848991092999</v>
      </c>
      <c r="AA2834">
        <v>198</v>
      </c>
      <c r="AB2834">
        <v>332</v>
      </c>
      <c r="AC2834">
        <v>536</v>
      </c>
      <c r="AD2834">
        <v>26.86</v>
      </c>
      <c r="AE2834">
        <v>542</v>
      </c>
      <c r="AF2834">
        <v>15</v>
      </c>
      <c r="AG2834">
        <v>178</v>
      </c>
      <c r="AH2834">
        <v>129</v>
      </c>
      <c r="AI2834">
        <v>2.77</v>
      </c>
      <c r="AJ2834">
        <v>32.840000000000003</v>
      </c>
      <c r="AK2834">
        <v>23.8</v>
      </c>
      <c r="AL2834">
        <v>-20.106190249999941</v>
      </c>
      <c r="AM2834">
        <v>-44.876327742253288</v>
      </c>
      <c r="AN2834">
        <v>-20.106190249999941</v>
      </c>
      <c r="AO2834">
        <v>-44.876327742253288</v>
      </c>
      <c r="AP2834">
        <v>-20.106113000000001</v>
      </c>
      <c r="AQ2834">
        <v>-44.876035999999999</v>
      </c>
      <c r="AR2834">
        <v>31.686742853465731</v>
      </c>
      <c r="AS2834" t="s">
        <v>65</v>
      </c>
      <c r="AT2834">
        <v>1</v>
      </c>
      <c r="AU2834" t="s">
        <v>1136</v>
      </c>
      <c r="AV2834" t="s">
        <v>1137</v>
      </c>
      <c r="AW2834" t="s">
        <v>60</v>
      </c>
      <c r="AX2834" t="s">
        <v>68</v>
      </c>
      <c r="AY2834" t="s">
        <v>69</v>
      </c>
      <c r="AZ2834" t="b">
        <v>1</v>
      </c>
    </row>
    <row r="2835" spans="1:52" x14ac:dyDescent="0.3">
      <c r="A2835" t="s">
        <v>52</v>
      </c>
      <c r="B2835" t="s">
        <v>53</v>
      </c>
      <c r="C2835" t="s">
        <v>54</v>
      </c>
      <c r="D2835" t="s">
        <v>55</v>
      </c>
      <c r="E2835" t="s">
        <v>2162</v>
      </c>
      <c r="F2835" t="s">
        <v>190</v>
      </c>
      <c r="G2835" t="s">
        <v>1138</v>
      </c>
      <c r="H2835" t="s">
        <v>1139</v>
      </c>
      <c r="I2835" t="s">
        <v>1139</v>
      </c>
      <c r="J2835" t="s">
        <v>60</v>
      </c>
      <c r="K2835" t="s">
        <v>1140</v>
      </c>
      <c r="L2835" t="s">
        <v>62</v>
      </c>
      <c r="M2835" t="s">
        <v>1140</v>
      </c>
      <c r="N2835" t="s">
        <v>1141</v>
      </c>
      <c r="O2835" t="s">
        <v>293</v>
      </c>
      <c r="P2835">
        <v>-20.103041999999999</v>
      </c>
      <c r="Q2835">
        <v>-44.882694999999998</v>
      </c>
      <c r="R2835" s="2" t="str">
        <f>HYPERLINK("https://www.google.com/maps?q=-20.1030420,-44.8826950","Abrir no Google Maps")</f>
        <v>Abrir no Google Maps</v>
      </c>
      <c r="S2835">
        <v>3</v>
      </c>
      <c r="T2835">
        <v>764.07293048598467</v>
      </c>
      <c r="U2835">
        <v>3</v>
      </c>
      <c r="V2835">
        <v>0.38684336107023187</v>
      </c>
      <c r="W2835">
        <v>1</v>
      </c>
      <c r="X2835">
        <v>0.38684336107023187</v>
      </c>
      <c r="Y2835">
        <v>314</v>
      </c>
      <c r="Z2835">
        <v>696.03268335706969</v>
      </c>
      <c r="AA2835">
        <v>198</v>
      </c>
      <c r="AB2835">
        <v>332</v>
      </c>
      <c r="AC2835">
        <v>536</v>
      </c>
      <c r="AD2835">
        <v>26.86</v>
      </c>
      <c r="AE2835">
        <v>542</v>
      </c>
      <c r="AF2835">
        <v>15</v>
      </c>
      <c r="AG2835">
        <v>178</v>
      </c>
      <c r="AH2835">
        <v>129</v>
      </c>
      <c r="AI2835">
        <v>2.77</v>
      </c>
      <c r="AJ2835">
        <v>32.840000000000003</v>
      </c>
      <c r="AK2835">
        <v>23.8</v>
      </c>
      <c r="AL2835">
        <v>-20.10298734999995</v>
      </c>
      <c r="AM2835">
        <v>-44.882802925792483</v>
      </c>
      <c r="AN2835">
        <v>-20.10298734999995</v>
      </c>
      <c r="AO2835">
        <v>-44.882802925792483</v>
      </c>
      <c r="AP2835">
        <v>-20.103041999999999</v>
      </c>
      <c r="AQ2835">
        <v>-44.882694999999998</v>
      </c>
      <c r="AR2835">
        <v>12.8180317775525</v>
      </c>
      <c r="AS2835" t="s">
        <v>65</v>
      </c>
      <c r="AT2835">
        <v>1</v>
      </c>
      <c r="AU2835" t="s">
        <v>1142</v>
      </c>
      <c r="AV2835" t="s">
        <v>1143</v>
      </c>
      <c r="AW2835" t="s">
        <v>60</v>
      </c>
      <c r="AX2835" t="s">
        <v>68</v>
      </c>
      <c r="AY2835" t="s">
        <v>69</v>
      </c>
      <c r="AZ2835" t="b">
        <v>1</v>
      </c>
    </row>
    <row r="2836" spans="1:52" x14ac:dyDescent="0.3">
      <c r="A2836" t="s">
        <v>52</v>
      </c>
      <c r="B2836" t="s">
        <v>53</v>
      </c>
      <c r="C2836" t="s">
        <v>54</v>
      </c>
      <c r="D2836" t="s">
        <v>55</v>
      </c>
      <c r="E2836" t="s">
        <v>2162</v>
      </c>
      <c r="F2836" t="s">
        <v>190</v>
      </c>
      <c r="G2836" t="s">
        <v>607</v>
      </c>
      <c r="H2836" t="s">
        <v>786</v>
      </c>
      <c r="I2836" t="s">
        <v>786</v>
      </c>
      <c r="J2836" t="s">
        <v>60</v>
      </c>
      <c r="K2836" t="s">
        <v>609</v>
      </c>
      <c r="L2836" t="s">
        <v>62</v>
      </c>
      <c r="M2836" t="s">
        <v>609</v>
      </c>
      <c r="N2836" t="s">
        <v>610</v>
      </c>
      <c r="O2836" t="s">
        <v>315</v>
      </c>
      <c r="P2836">
        <v>-20.108561999999999</v>
      </c>
      <c r="Q2836">
        <v>-44.883811000000001</v>
      </c>
      <c r="R2836" s="2" t="str">
        <f>HYPERLINK("https://www.google.com/maps?q=-20.1085620,-44.8838110","Abrir no Google Maps")</f>
        <v>Abrir no Google Maps</v>
      </c>
      <c r="S2836">
        <v>3</v>
      </c>
      <c r="T2836">
        <v>875.82813532572072</v>
      </c>
      <c r="U2836">
        <v>3</v>
      </c>
      <c r="V2836">
        <v>0.3991252043450042</v>
      </c>
      <c r="W2836">
        <v>1</v>
      </c>
      <c r="X2836">
        <v>0.3991252043450042</v>
      </c>
      <c r="Y2836">
        <v>314</v>
      </c>
      <c r="Z2836">
        <v>824.504668554717</v>
      </c>
      <c r="AA2836">
        <v>198</v>
      </c>
      <c r="AB2836">
        <v>332</v>
      </c>
      <c r="AC2836">
        <v>536</v>
      </c>
      <c r="AD2836">
        <v>26.86</v>
      </c>
      <c r="AE2836">
        <v>542</v>
      </c>
      <c r="AF2836">
        <v>15</v>
      </c>
      <c r="AG2836">
        <v>178</v>
      </c>
      <c r="AH2836">
        <v>129</v>
      </c>
      <c r="AI2836">
        <v>2.77</v>
      </c>
      <c r="AJ2836">
        <v>32.840000000000003</v>
      </c>
      <c r="AK2836">
        <v>23.8</v>
      </c>
      <c r="AL2836">
        <v>-20.108622949999951</v>
      </c>
      <c r="AM2836">
        <v>-44.884300516660261</v>
      </c>
      <c r="AN2836">
        <v>-20.108622949999951</v>
      </c>
      <c r="AO2836">
        <v>-44.884300516660261</v>
      </c>
      <c r="AP2836">
        <v>-20.108561999999999</v>
      </c>
      <c r="AQ2836">
        <v>-44.883811000000001</v>
      </c>
      <c r="AR2836">
        <v>51.619098272465493</v>
      </c>
      <c r="AS2836" t="s">
        <v>65</v>
      </c>
      <c r="AT2836">
        <v>1</v>
      </c>
      <c r="AU2836" t="s">
        <v>787</v>
      </c>
      <c r="AV2836" t="s">
        <v>788</v>
      </c>
      <c r="AW2836" t="s">
        <v>60</v>
      </c>
      <c r="AX2836" t="s">
        <v>68</v>
      </c>
      <c r="AY2836" t="s">
        <v>69</v>
      </c>
      <c r="AZ2836" t="b">
        <v>1</v>
      </c>
    </row>
    <row r="2837" spans="1:52" x14ac:dyDescent="0.3">
      <c r="A2837" t="s">
        <v>52</v>
      </c>
      <c r="B2837" t="s">
        <v>53</v>
      </c>
      <c r="C2837" t="s">
        <v>54</v>
      </c>
      <c r="D2837" t="s">
        <v>55</v>
      </c>
      <c r="E2837" t="s">
        <v>2162</v>
      </c>
      <c r="F2837" t="s">
        <v>190</v>
      </c>
      <c r="G2837" t="s">
        <v>1147</v>
      </c>
      <c r="H2837" t="s">
        <v>1148</v>
      </c>
      <c r="I2837" t="s">
        <v>1148</v>
      </c>
      <c r="J2837" t="s">
        <v>60</v>
      </c>
      <c r="K2837" t="s">
        <v>798</v>
      </c>
      <c r="L2837" t="s">
        <v>62</v>
      </c>
      <c r="M2837" t="s">
        <v>798</v>
      </c>
      <c r="N2837" t="s">
        <v>1149</v>
      </c>
      <c r="O2837" t="s">
        <v>836</v>
      </c>
      <c r="P2837">
        <v>-20.112448000000001</v>
      </c>
      <c r="Q2837">
        <v>-44.904887000000002</v>
      </c>
      <c r="R2837" s="2" t="str">
        <f>HYPERLINK("https://www.google.com/maps?q=-20.1124480,-44.9048870","Abrir no Google Maps")</f>
        <v>Abrir no Google Maps</v>
      </c>
      <c r="S2837">
        <v>3</v>
      </c>
      <c r="T2837">
        <v>404.16588765758058</v>
      </c>
      <c r="U2837">
        <v>3</v>
      </c>
      <c r="V2837">
        <v>0.3772449770251684</v>
      </c>
      <c r="W2837">
        <v>1</v>
      </c>
      <c r="X2837">
        <v>0.3772449770251684</v>
      </c>
      <c r="Y2837">
        <v>300</v>
      </c>
      <c r="Z2837">
        <v>435.21165957304731</v>
      </c>
      <c r="AA2837">
        <v>198</v>
      </c>
      <c r="AB2837">
        <v>332</v>
      </c>
      <c r="AC2837">
        <v>536</v>
      </c>
      <c r="AD2837">
        <v>26.86</v>
      </c>
      <c r="AE2837">
        <v>542</v>
      </c>
      <c r="AF2837">
        <v>15</v>
      </c>
      <c r="AG2837">
        <v>178</v>
      </c>
      <c r="AH2837">
        <v>129</v>
      </c>
      <c r="AI2837">
        <v>2.77</v>
      </c>
      <c r="AJ2837">
        <v>32.840000000000003</v>
      </c>
      <c r="AK2837">
        <v>23.8</v>
      </c>
      <c r="AL2837">
        <v>-20.11243479999996</v>
      </c>
      <c r="AM2837">
        <v>-44.904803228053026</v>
      </c>
      <c r="AN2837">
        <v>-20.11243479999996</v>
      </c>
      <c r="AO2837">
        <v>-44.904803228053026</v>
      </c>
      <c r="AP2837">
        <v>-20.112448000000001</v>
      </c>
      <c r="AQ2837">
        <v>-44.904887000000002</v>
      </c>
      <c r="AR2837">
        <v>8.8792525353759544</v>
      </c>
      <c r="AS2837" t="s">
        <v>65</v>
      </c>
      <c r="AT2837">
        <v>1</v>
      </c>
      <c r="AU2837" t="s">
        <v>1150</v>
      </c>
      <c r="AV2837" t="s">
        <v>1151</v>
      </c>
      <c r="AW2837" t="s">
        <v>60</v>
      </c>
      <c r="AX2837" t="s">
        <v>68</v>
      </c>
      <c r="AY2837" t="s">
        <v>69</v>
      </c>
      <c r="AZ2837" t="b">
        <v>1</v>
      </c>
    </row>
    <row r="2838" spans="1:52" x14ac:dyDescent="0.3">
      <c r="A2838" t="s">
        <v>52</v>
      </c>
      <c r="B2838" t="s">
        <v>53</v>
      </c>
      <c r="C2838" t="s">
        <v>54</v>
      </c>
      <c r="D2838" t="s">
        <v>55</v>
      </c>
      <c r="E2838" t="s">
        <v>2162</v>
      </c>
      <c r="F2838" t="s">
        <v>190</v>
      </c>
      <c r="G2838" t="s">
        <v>1152</v>
      </c>
      <c r="H2838" t="s">
        <v>1153</v>
      </c>
      <c r="I2838" t="s">
        <v>1153</v>
      </c>
      <c r="J2838" t="s">
        <v>60</v>
      </c>
      <c r="K2838" t="s">
        <v>798</v>
      </c>
      <c r="L2838" t="s">
        <v>62</v>
      </c>
      <c r="M2838" t="s">
        <v>798</v>
      </c>
      <c r="N2838" t="s">
        <v>1154</v>
      </c>
      <c r="O2838" t="s">
        <v>293</v>
      </c>
      <c r="P2838">
        <v>-20.112477999999999</v>
      </c>
      <c r="Q2838">
        <v>-44.903066000000003</v>
      </c>
      <c r="R2838" s="2" t="str">
        <f>HYPERLINK("https://www.google.com/maps?q=-20.1124780,-44.9030660","Abrir no Google Maps")</f>
        <v>Abrir no Google Maps</v>
      </c>
      <c r="S2838">
        <v>3</v>
      </c>
      <c r="T2838">
        <v>246.8131690803576</v>
      </c>
      <c r="U2838">
        <v>3</v>
      </c>
      <c r="V2838">
        <v>0.38397272380677938</v>
      </c>
      <c r="W2838">
        <v>1</v>
      </c>
      <c r="X2838">
        <v>0.38397272380677938</v>
      </c>
      <c r="Y2838">
        <v>300</v>
      </c>
      <c r="Z2838">
        <v>335.63974056009812</v>
      </c>
      <c r="AA2838">
        <v>198</v>
      </c>
      <c r="AB2838">
        <v>332</v>
      </c>
      <c r="AC2838">
        <v>536</v>
      </c>
      <c r="AD2838">
        <v>26.86</v>
      </c>
      <c r="AE2838">
        <v>542</v>
      </c>
      <c r="AF2838">
        <v>15</v>
      </c>
      <c r="AG2838">
        <v>178</v>
      </c>
      <c r="AH2838">
        <v>129</v>
      </c>
      <c r="AI2838">
        <v>2.77</v>
      </c>
      <c r="AJ2838">
        <v>32.840000000000003</v>
      </c>
      <c r="AK2838">
        <v>23.8</v>
      </c>
      <c r="AL2838">
        <v>-20.112499949999972</v>
      </c>
      <c r="AM2838">
        <v>-44.903143791889391</v>
      </c>
      <c r="AN2838">
        <v>-20.112499949999972</v>
      </c>
      <c r="AO2838">
        <v>-44.903143791889391</v>
      </c>
      <c r="AP2838">
        <v>-20.112477999999999</v>
      </c>
      <c r="AQ2838">
        <v>-44.903066000000003</v>
      </c>
      <c r="AR2838">
        <v>8.4908959019572912</v>
      </c>
      <c r="AS2838" t="s">
        <v>65</v>
      </c>
      <c r="AT2838">
        <v>1</v>
      </c>
      <c r="AU2838" t="s">
        <v>1155</v>
      </c>
      <c r="AV2838" t="s">
        <v>1156</v>
      </c>
      <c r="AW2838" t="s">
        <v>60</v>
      </c>
      <c r="AX2838" t="s">
        <v>68</v>
      </c>
      <c r="AY2838" t="s">
        <v>69</v>
      </c>
      <c r="AZ2838" t="b">
        <v>1</v>
      </c>
    </row>
    <row r="2839" spans="1:52" x14ac:dyDescent="0.3">
      <c r="A2839" t="s">
        <v>52</v>
      </c>
      <c r="B2839" t="s">
        <v>53</v>
      </c>
      <c r="C2839" t="s">
        <v>54</v>
      </c>
      <c r="D2839" t="s">
        <v>55</v>
      </c>
      <c r="E2839" t="s">
        <v>2162</v>
      </c>
      <c r="F2839" t="s">
        <v>190</v>
      </c>
      <c r="G2839" t="s">
        <v>1157</v>
      </c>
      <c r="H2839" t="s">
        <v>1158</v>
      </c>
      <c r="I2839" t="s">
        <v>1158</v>
      </c>
      <c r="J2839" t="s">
        <v>60</v>
      </c>
      <c r="K2839" t="s">
        <v>791</v>
      </c>
      <c r="L2839" t="s">
        <v>62</v>
      </c>
      <c r="M2839" t="s">
        <v>791</v>
      </c>
      <c r="N2839" t="s">
        <v>1159</v>
      </c>
      <c r="O2839" t="s">
        <v>1160</v>
      </c>
      <c r="P2839">
        <v>-20.108114</v>
      </c>
      <c r="Q2839">
        <v>-44.905804000000003</v>
      </c>
      <c r="R2839" s="2" t="str">
        <f>HYPERLINK("https://www.google.com/maps?q=-20.1081140,-44.9058040","Abrir no Google Maps")</f>
        <v>Abrir no Google Maps</v>
      </c>
      <c r="S2839">
        <v>3</v>
      </c>
      <c r="T2839">
        <v>603.1428230097074</v>
      </c>
      <c r="U2839">
        <v>3</v>
      </c>
      <c r="V2839">
        <v>0.374573062372975</v>
      </c>
      <c r="W2839">
        <v>1</v>
      </c>
      <c r="X2839">
        <v>0.374573062372975</v>
      </c>
      <c r="Y2839">
        <v>300</v>
      </c>
      <c r="Z2839">
        <v>444.71482981499793</v>
      </c>
      <c r="AA2839">
        <v>198</v>
      </c>
      <c r="AB2839">
        <v>332</v>
      </c>
      <c r="AC2839">
        <v>536</v>
      </c>
      <c r="AD2839">
        <v>26.86</v>
      </c>
      <c r="AE2839">
        <v>542</v>
      </c>
      <c r="AF2839">
        <v>15</v>
      </c>
      <c r="AG2839">
        <v>178</v>
      </c>
      <c r="AH2839">
        <v>129</v>
      </c>
      <c r="AI2839">
        <v>2.77</v>
      </c>
      <c r="AJ2839">
        <v>32.840000000000003</v>
      </c>
      <c r="AK2839">
        <v>23.8</v>
      </c>
      <c r="AL2839">
        <v>-20.108146549999962</v>
      </c>
      <c r="AM2839">
        <v>-44.905744943453513</v>
      </c>
      <c r="AN2839">
        <v>-20.108146549999962</v>
      </c>
      <c r="AO2839">
        <v>-44.905744943453513</v>
      </c>
      <c r="AP2839">
        <v>-20.108114</v>
      </c>
      <c r="AQ2839">
        <v>-44.905804000000003</v>
      </c>
      <c r="AR2839">
        <v>7.1582799138071884</v>
      </c>
      <c r="AS2839" t="s">
        <v>65</v>
      </c>
      <c r="AT2839">
        <v>1</v>
      </c>
      <c r="AU2839" t="s">
        <v>1161</v>
      </c>
      <c r="AV2839" t="s">
        <v>1162</v>
      </c>
      <c r="AW2839" t="s">
        <v>60</v>
      </c>
      <c r="AX2839" t="s">
        <v>68</v>
      </c>
      <c r="AY2839" t="s">
        <v>69</v>
      </c>
      <c r="AZ2839" t="b">
        <v>1</v>
      </c>
    </row>
    <row r="2840" spans="1:52" x14ac:dyDescent="0.3">
      <c r="A2840" t="s">
        <v>52</v>
      </c>
      <c r="B2840" t="s">
        <v>53</v>
      </c>
      <c r="C2840" t="s">
        <v>54</v>
      </c>
      <c r="D2840" t="s">
        <v>55</v>
      </c>
      <c r="E2840" t="s">
        <v>2162</v>
      </c>
      <c r="F2840" t="s">
        <v>190</v>
      </c>
      <c r="G2840" t="s">
        <v>1163</v>
      </c>
      <c r="H2840" t="s">
        <v>1164</v>
      </c>
      <c r="I2840" t="s">
        <v>1164</v>
      </c>
      <c r="J2840" t="s">
        <v>60</v>
      </c>
      <c r="K2840" t="s">
        <v>1165</v>
      </c>
      <c r="L2840" t="s">
        <v>62</v>
      </c>
      <c r="M2840" t="s">
        <v>1165</v>
      </c>
      <c r="N2840" t="s">
        <v>1166</v>
      </c>
      <c r="O2840" t="s">
        <v>1167</v>
      </c>
      <c r="P2840">
        <v>-20.155543000000002</v>
      </c>
      <c r="Q2840">
        <v>-44.863444000000001</v>
      </c>
      <c r="R2840" s="2" t="str">
        <f>HYPERLINK("https://www.google.com/maps?q=-20.1555430,-44.8634440","Abrir no Google Maps")</f>
        <v>Abrir no Google Maps</v>
      </c>
      <c r="S2840">
        <v>3</v>
      </c>
      <c r="T2840">
        <v>314.02353400254742</v>
      </c>
      <c r="U2840">
        <v>3</v>
      </c>
      <c r="V2840">
        <v>0.3857865429442352</v>
      </c>
      <c r="W2840">
        <v>1</v>
      </c>
      <c r="X2840">
        <v>0.3857865429442352</v>
      </c>
      <c r="Y2840">
        <v>264</v>
      </c>
      <c r="Z2840">
        <v>282.65065866463459</v>
      </c>
      <c r="AA2840">
        <v>198</v>
      </c>
      <c r="AB2840">
        <v>332</v>
      </c>
      <c r="AC2840">
        <v>536</v>
      </c>
      <c r="AD2840">
        <v>26.86</v>
      </c>
      <c r="AE2840">
        <v>542</v>
      </c>
      <c r="AF2840">
        <v>15</v>
      </c>
      <c r="AG2840">
        <v>178</v>
      </c>
      <c r="AH2840">
        <v>129</v>
      </c>
      <c r="AI2840">
        <v>2.77</v>
      </c>
      <c r="AJ2840">
        <v>32.840000000000003</v>
      </c>
      <c r="AK2840">
        <v>23.8</v>
      </c>
      <c r="AL2840">
        <v>-20.155436449999939</v>
      </c>
      <c r="AM2840">
        <v>-44.863557722691183</v>
      </c>
      <c r="AN2840">
        <v>-20.155436449999939</v>
      </c>
      <c r="AO2840">
        <v>-44.863557722691183</v>
      </c>
      <c r="AP2840">
        <v>-20.155543000000002</v>
      </c>
      <c r="AQ2840">
        <v>-44.863444000000001</v>
      </c>
      <c r="AR2840">
        <v>16.790610674079979</v>
      </c>
      <c r="AS2840" t="s">
        <v>65</v>
      </c>
      <c r="AT2840">
        <v>1</v>
      </c>
      <c r="AU2840" t="s">
        <v>1168</v>
      </c>
      <c r="AV2840" t="s">
        <v>1169</v>
      </c>
      <c r="AW2840" t="s">
        <v>60</v>
      </c>
      <c r="AX2840" t="s">
        <v>68</v>
      </c>
      <c r="AY2840" t="s">
        <v>69</v>
      </c>
      <c r="AZ2840" t="b">
        <v>1</v>
      </c>
    </row>
    <row r="2841" spans="1:52" x14ac:dyDescent="0.3">
      <c r="A2841" t="s">
        <v>52</v>
      </c>
      <c r="B2841" t="s">
        <v>53</v>
      </c>
      <c r="C2841" t="s">
        <v>54</v>
      </c>
      <c r="D2841" t="s">
        <v>55</v>
      </c>
      <c r="E2841" t="s">
        <v>2162</v>
      </c>
      <c r="F2841" t="s">
        <v>190</v>
      </c>
      <c r="G2841" t="s">
        <v>1170</v>
      </c>
      <c r="H2841" t="s">
        <v>1171</v>
      </c>
      <c r="I2841" t="s">
        <v>1171</v>
      </c>
      <c r="J2841" t="s">
        <v>60</v>
      </c>
      <c r="K2841" t="s">
        <v>1165</v>
      </c>
      <c r="L2841" t="s">
        <v>62</v>
      </c>
      <c r="M2841" t="s">
        <v>1165</v>
      </c>
      <c r="N2841" t="s">
        <v>1172</v>
      </c>
      <c r="O2841" t="s">
        <v>1160</v>
      </c>
      <c r="P2841">
        <v>-20.158208999999999</v>
      </c>
      <c r="Q2841">
        <v>-44.865242000000002</v>
      </c>
      <c r="R2841" s="2" t="str">
        <f>HYPERLINK("https://www.google.com/maps?q=-20.1582090,-44.8652420","Abrir no Google Maps")</f>
        <v>Abrir no Google Maps</v>
      </c>
      <c r="S2841">
        <v>3</v>
      </c>
      <c r="T2841">
        <v>529.55269054560301</v>
      </c>
      <c r="U2841">
        <v>3</v>
      </c>
      <c r="V2841">
        <v>0.3753231167930815</v>
      </c>
      <c r="W2841">
        <v>1</v>
      </c>
      <c r="X2841">
        <v>0.3753231167930815</v>
      </c>
      <c r="Y2841">
        <v>264</v>
      </c>
      <c r="Z2841">
        <v>576.82525833351326</v>
      </c>
      <c r="AA2841">
        <v>198</v>
      </c>
      <c r="AB2841">
        <v>332</v>
      </c>
      <c r="AC2841">
        <v>536</v>
      </c>
      <c r="AD2841">
        <v>26.86</v>
      </c>
      <c r="AE2841">
        <v>542</v>
      </c>
      <c r="AF2841">
        <v>15</v>
      </c>
      <c r="AG2841">
        <v>178</v>
      </c>
      <c r="AH2841">
        <v>129</v>
      </c>
      <c r="AI2841">
        <v>2.77</v>
      </c>
      <c r="AJ2841">
        <v>32.840000000000003</v>
      </c>
      <c r="AK2841">
        <v>23.8</v>
      </c>
      <c r="AL2841">
        <v>-20.15813384999996</v>
      </c>
      <c r="AM2841">
        <v>-44.865189279062598</v>
      </c>
      <c r="AN2841">
        <v>-20.15813384999996</v>
      </c>
      <c r="AO2841">
        <v>-44.865189279062598</v>
      </c>
      <c r="AP2841">
        <v>-20.158208999999999</v>
      </c>
      <c r="AQ2841">
        <v>-44.865242000000002</v>
      </c>
      <c r="AR2841">
        <v>10.01690313145691</v>
      </c>
      <c r="AS2841" t="s">
        <v>65</v>
      </c>
      <c r="AT2841">
        <v>1</v>
      </c>
      <c r="AU2841" t="s">
        <v>1173</v>
      </c>
      <c r="AV2841" t="s">
        <v>1174</v>
      </c>
      <c r="AW2841" t="s">
        <v>60</v>
      </c>
      <c r="AX2841" t="s">
        <v>68</v>
      </c>
      <c r="AY2841" t="s">
        <v>69</v>
      </c>
      <c r="AZ2841" t="b">
        <v>1</v>
      </c>
    </row>
    <row r="2842" spans="1:52" x14ac:dyDescent="0.3">
      <c r="A2842" t="s">
        <v>52</v>
      </c>
      <c r="B2842" t="s">
        <v>53</v>
      </c>
      <c r="C2842" t="s">
        <v>54</v>
      </c>
      <c r="D2842" t="s">
        <v>55</v>
      </c>
      <c r="E2842" t="s">
        <v>2162</v>
      </c>
      <c r="F2842" t="s">
        <v>190</v>
      </c>
      <c r="G2842" t="s">
        <v>1175</v>
      </c>
      <c r="H2842" t="s">
        <v>1176</v>
      </c>
      <c r="I2842" t="s">
        <v>1176</v>
      </c>
      <c r="J2842" t="s">
        <v>60</v>
      </c>
      <c r="K2842" t="s">
        <v>1177</v>
      </c>
      <c r="L2842" t="s">
        <v>62</v>
      </c>
      <c r="M2842" t="s">
        <v>1177</v>
      </c>
      <c r="N2842" t="s">
        <v>1178</v>
      </c>
      <c r="O2842" t="s">
        <v>1179</v>
      </c>
      <c r="P2842">
        <v>-20.153393000000001</v>
      </c>
      <c r="Q2842">
        <v>-44.865701999999999</v>
      </c>
      <c r="R2842" s="2" t="str">
        <f>HYPERLINK("https://www.google.com/maps?q=-20.1533930,-44.8657020","Abrir no Google Maps")</f>
        <v>Abrir no Google Maps</v>
      </c>
      <c r="S2842">
        <v>3</v>
      </c>
      <c r="T2842">
        <v>0</v>
      </c>
      <c r="U2842">
        <v>3</v>
      </c>
      <c r="V2842">
        <v>0.37578195980459222</v>
      </c>
      <c r="W2842">
        <v>1</v>
      </c>
      <c r="X2842">
        <v>0.37578195980459222</v>
      </c>
      <c r="Y2842">
        <v>264</v>
      </c>
      <c r="Z2842">
        <v>187.61117597536</v>
      </c>
      <c r="AA2842">
        <v>198</v>
      </c>
      <c r="AB2842">
        <v>332</v>
      </c>
      <c r="AC2842">
        <v>536</v>
      </c>
      <c r="AD2842">
        <v>26.86</v>
      </c>
      <c r="AE2842">
        <v>542</v>
      </c>
      <c r="AF2842">
        <v>15</v>
      </c>
      <c r="AG2842">
        <v>178</v>
      </c>
      <c r="AH2842">
        <v>129</v>
      </c>
      <c r="AI2842">
        <v>2.77</v>
      </c>
      <c r="AJ2842">
        <v>32.840000000000003</v>
      </c>
      <c r="AK2842">
        <v>23.8</v>
      </c>
      <c r="AL2842">
        <v>-20.153365199999971</v>
      </c>
      <c r="AM2842">
        <v>-44.865611713780503</v>
      </c>
      <c r="AN2842">
        <v>-20.153365199999971</v>
      </c>
      <c r="AO2842">
        <v>-44.865611713780503</v>
      </c>
      <c r="AP2842">
        <v>-20.153393000000001</v>
      </c>
      <c r="AQ2842">
        <v>-44.865701999999999</v>
      </c>
      <c r="AR2842">
        <v>9.9298532940923003</v>
      </c>
      <c r="AS2842" t="s">
        <v>65</v>
      </c>
      <c r="AT2842">
        <v>1</v>
      </c>
      <c r="AU2842" t="s">
        <v>1180</v>
      </c>
      <c r="AV2842" t="s">
        <v>1181</v>
      </c>
      <c r="AW2842" t="s">
        <v>60</v>
      </c>
      <c r="AX2842" t="s">
        <v>68</v>
      </c>
      <c r="AY2842" t="s">
        <v>69</v>
      </c>
      <c r="AZ2842" t="b">
        <v>1</v>
      </c>
    </row>
    <row r="2843" spans="1:52" x14ac:dyDescent="0.3">
      <c r="A2843" t="s">
        <v>52</v>
      </c>
      <c r="B2843" t="s">
        <v>53</v>
      </c>
      <c r="C2843" t="s">
        <v>54</v>
      </c>
      <c r="D2843" t="s">
        <v>55</v>
      </c>
      <c r="E2843" t="s">
        <v>2162</v>
      </c>
      <c r="F2843" t="s">
        <v>190</v>
      </c>
      <c r="G2843" t="s">
        <v>1187</v>
      </c>
      <c r="H2843" t="s">
        <v>1188</v>
      </c>
      <c r="I2843" t="s">
        <v>1188</v>
      </c>
      <c r="J2843" t="s">
        <v>60</v>
      </c>
      <c r="K2843" t="s">
        <v>1177</v>
      </c>
      <c r="L2843" t="s">
        <v>62</v>
      </c>
      <c r="M2843" t="s">
        <v>1177</v>
      </c>
      <c r="N2843" t="s">
        <v>1189</v>
      </c>
      <c r="O2843" t="s">
        <v>1190</v>
      </c>
      <c r="P2843">
        <v>-20.151606999999998</v>
      </c>
      <c r="Q2843">
        <v>-44.870784999999998</v>
      </c>
      <c r="R2843" s="2" t="str">
        <f>HYPERLINK("https://www.google.com/maps?q=-20.1516070,-44.8707850","Abrir no Google Maps")</f>
        <v>Abrir no Google Maps</v>
      </c>
      <c r="S2843">
        <v>3</v>
      </c>
      <c r="T2843">
        <v>592.7601508996878</v>
      </c>
      <c r="U2843">
        <v>3</v>
      </c>
      <c r="V2843">
        <v>0.3744525570526353</v>
      </c>
      <c r="W2843">
        <v>1</v>
      </c>
      <c r="X2843">
        <v>0.3744525570526353</v>
      </c>
      <c r="Y2843">
        <v>198</v>
      </c>
      <c r="Z2843">
        <v>605.75141653963317</v>
      </c>
      <c r="AA2843">
        <v>198</v>
      </c>
      <c r="AB2843">
        <v>332</v>
      </c>
      <c r="AC2843">
        <v>536</v>
      </c>
      <c r="AD2843">
        <v>26.86</v>
      </c>
      <c r="AE2843">
        <v>542</v>
      </c>
      <c r="AF2843">
        <v>15</v>
      </c>
      <c r="AG2843">
        <v>178</v>
      </c>
      <c r="AH2843">
        <v>129</v>
      </c>
      <c r="AI2843">
        <v>2.77</v>
      </c>
      <c r="AJ2843">
        <v>32.840000000000003</v>
      </c>
      <c r="AK2843">
        <v>23.8</v>
      </c>
      <c r="AL2843">
        <v>-20.151457849999961</v>
      </c>
      <c r="AM2843">
        <v>-44.870912038726253</v>
      </c>
      <c r="AN2843">
        <v>-20.151457849999961</v>
      </c>
      <c r="AO2843">
        <v>-44.870912038726253</v>
      </c>
      <c r="AP2843">
        <v>-20.151606999999998</v>
      </c>
      <c r="AQ2843">
        <v>-44.870784999999998</v>
      </c>
      <c r="AR2843">
        <v>21.258671186047941</v>
      </c>
      <c r="AS2843" t="s">
        <v>65</v>
      </c>
      <c r="AT2843">
        <v>1</v>
      </c>
      <c r="AU2843" t="s">
        <v>1191</v>
      </c>
      <c r="AV2843" t="s">
        <v>1192</v>
      </c>
      <c r="AW2843" t="s">
        <v>60</v>
      </c>
      <c r="AX2843" t="s">
        <v>68</v>
      </c>
      <c r="AY2843" t="s">
        <v>69</v>
      </c>
      <c r="AZ2843" t="b">
        <v>1</v>
      </c>
    </row>
    <row r="2844" spans="1:52" x14ac:dyDescent="0.3">
      <c r="A2844" t="s">
        <v>52</v>
      </c>
      <c r="B2844" t="s">
        <v>53</v>
      </c>
      <c r="C2844" t="s">
        <v>54</v>
      </c>
      <c r="D2844" t="s">
        <v>55</v>
      </c>
      <c r="E2844" t="s">
        <v>2162</v>
      </c>
      <c r="F2844" t="s">
        <v>190</v>
      </c>
      <c r="G2844" t="s">
        <v>1193</v>
      </c>
      <c r="H2844" t="s">
        <v>1194</v>
      </c>
      <c r="I2844" t="s">
        <v>1194</v>
      </c>
      <c r="J2844" t="s">
        <v>60</v>
      </c>
      <c r="K2844" t="s">
        <v>1195</v>
      </c>
      <c r="L2844" t="s">
        <v>62</v>
      </c>
      <c r="M2844" t="s">
        <v>1195</v>
      </c>
      <c r="N2844" t="s">
        <v>1196</v>
      </c>
      <c r="O2844" t="s">
        <v>1197</v>
      </c>
      <c r="P2844">
        <v>-20.105342</v>
      </c>
      <c r="Q2844">
        <v>-44.964716000000003</v>
      </c>
      <c r="R2844" s="2" t="str">
        <f>HYPERLINK("https://www.google.com/maps?q=-20.1053420,-44.9647160","Abrir no Google Maps")</f>
        <v>Abrir no Google Maps</v>
      </c>
      <c r="S2844">
        <v>3</v>
      </c>
      <c r="T2844">
        <v>893.28710125086457</v>
      </c>
      <c r="U2844">
        <v>3</v>
      </c>
      <c r="V2844">
        <v>0.37957119727307298</v>
      </c>
      <c r="W2844">
        <v>1</v>
      </c>
      <c r="X2844">
        <v>0.37957119727307298</v>
      </c>
      <c r="Y2844">
        <v>187</v>
      </c>
      <c r="Z2844">
        <v>592.18957175243293</v>
      </c>
      <c r="AA2844">
        <v>198</v>
      </c>
      <c r="AB2844">
        <v>332</v>
      </c>
      <c r="AC2844">
        <v>536</v>
      </c>
      <c r="AD2844">
        <v>26.86</v>
      </c>
      <c r="AE2844">
        <v>542</v>
      </c>
      <c r="AF2844">
        <v>15</v>
      </c>
      <c r="AG2844">
        <v>178</v>
      </c>
      <c r="AH2844">
        <v>129</v>
      </c>
      <c r="AI2844">
        <v>2.77</v>
      </c>
      <c r="AJ2844">
        <v>32.840000000000003</v>
      </c>
      <c r="AK2844">
        <v>23.8</v>
      </c>
      <c r="AL2844">
        <v>-20.105505699999949</v>
      </c>
      <c r="AM2844">
        <v>-44.964494228377532</v>
      </c>
      <c r="AN2844">
        <v>-20.105505699999949</v>
      </c>
      <c r="AO2844">
        <v>-44.964494228377532</v>
      </c>
      <c r="AP2844">
        <v>-20.105342</v>
      </c>
      <c r="AQ2844">
        <v>-44.964716000000003</v>
      </c>
      <c r="AR2844">
        <v>29.48797728637869</v>
      </c>
      <c r="AS2844" t="s">
        <v>65</v>
      </c>
      <c r="AT2844">
        <v>1</v>
      </c>
      <c r="AU2844" t="s">
        <v>1198</v>
      </c>
      <c r="AV2844" t="s">
        <v>1199</v>
      </c>
      <c r="AW2844" t="s">
        <v>60</v>
      </c>
      <c r="AX2844" t="s">
        <v>68</v>
      </c>
      <c r="AY2844" t="s">
        <v>69</v>
      </c>
      <c r="AZ2844" t="b">
        <v>1</v>
      </c>
    </row>
    <row r="2845" spans="1:52" x14ac:dyDescent="0.3">
      <c r="A2845" t="s">
        <v>52</v>
      </c>
      <c r="B2845" t="s">
        <v>53</v>
      </c>
      <c r="C2845" t="s">
        <v>54</v>
      </c>
      <c r="D2845" t="s">
        <v>55</v>
      </c>
      <c r="E2845" t="s">
        <v>2162</v>
      </c>
      <c r="F2845" t="s">
        <v>190</v>
      </c>
      <c r="G2845" t="s">
        <v>1206</v>
      </c>
      <c r="H2845" t="s">
        <v>1207</v>
      </c>
      <c r="I2845" t="s">
        <v>1207</v>
      </c>
      <c r="J2845" t="s">
        <v>60</v>
      </c>
      <c r="K2845" t="s">
        <v>475</v>
      </c>
      <c r="L2845" t="s">
        <v>62</v>
      </c>
      <c r="M2845" t="s">
        <v>475</v>
      </c>
      <c r="N2845" t="s">
        <v>1208</v>
      </c>
      <c r="O2845" t="s">
        <v>1209</v>
      </c>
      <c r="P2845">
        <v>-20.180554999999998</v>
      </c>
      <c r="Q2845">
        <v>-44.905642999999998</v>
      </c>
      <c r="R2845" s="2" t="str">
        <f>HYPERLINK("https://www.google.com/maps?q=-20.1805550,-44.9056430","Abrir no Google Maps")</f>
        <v>Abrir no Google Maps</v>
      </c>
      <c r="S2845">
        <v>3</v>
      </c>
      <c r="T2845">
        <v>768.13826761541702</v>
      </c>
      <c r="U2845">
        <v>3</v>
      </c>
      <c r="V2845">
        <v>0.3832482252221534</v>
      </c>
      <c r="W2845">
        <v>1</v>
      </c>
      <c r="X2845">
        <v>0.3832482252221534</v>
      </c>
      <c r="Y2845">
        <v>135</v>
      </c>
      <c r="Z2845">
        <v>442.64437152702573</v>
      </c>
      <c r="AA2845">
        <v>198</v>
      </c>
      <c r="AB2845">
        <v>332</v>
      </c>
      <c r="AC2845">
        <v>536</v>
      </c>
      <c r="AD2845">
        <v>26.86</v>
      </c>
      <c r="AE2845">
        <v>542</v>
      </c>
      <c r="AF2845">
        <v>15</v>
      </c>
      <c r="AG2845">
        <v>178</v>
      </c>
      <c r="AH2845">
        <v>129</v>
      </c>
      <c r="AI2845">
        <v>2.77</v>
      </c>
      <c r="AJ2845">
        <v>32.840000000000003</v>
      </c>
      <c r="AK2845">
        <v>23.8</v>
      </c>
      <c r="AL2845">
        <v>-20.180439499999949</v>
      </c>
      <c r="AM2845">
        <v>-44.905757266135502</v>
      </c>
      <c r="AN2845">
        <v>-20.180439499999949</v>
      </c>
      <c r="AO2845">
        <v>-44.905757266135502</v>
      </c>
      <c r="AP2845">
        <v>-20.180554999999998</v>
      </c>
      <c r="AQ2845">
        <v>-44.905642999999998</v>
      </c>
      <c r="AR2845">
        <v>17.545924993698129</v>
      </c>
      <c r="AS2845" t="s">
        <v>65</v>
      </c>
      <c r="AT2845">
        <v>1</v>
      </c>
      <c r="AU2845" t="s">
        <v>1210</v>
      </c>
      <c r="AV2845" t="s">
        <v>1211</v>
      </c>
      <c r="AW2845" t="s">
        <v>60</v>
      </c>
      <c r="AX2845" t="s">
        <v>68</v>
      </c>
      <c r="AY2845" t="s">
        <v>69</v>
      </c>
      <c r="AZ2845" t="b">
        <v>1</v>
      </c>
    </row>
    <row r="2846" spans="1:52" x14ac:dyDescent="0.3">
      <c r="A2846" t="s">
        <v>52</v>
      </c>
      <c r="B2846" t="s">
        <v>53</v>
      </c>
      <c r="C2846" t="s">
        <v>54</v>
      </c>
      <c r="D2846" t="s">
        <v>55</v>
      </c>
      <c r="E2846" t="s">
        <v>2162</v>
      </c>
      <c r="F2846" t="s">
        <v>190</v>
      </c>
      <c r="G2846" t="s">
        <v>1224</v>
      </c>
      <c r="H2846" t="s">
        <v>1230</v>
      </c>
      <c r="I2846" t="s">
        <v>1230</v>
      </c>
      <c r="J2846" t="s">
        <v>60</v>
      </c>
      <c r="K2846" t="s">
        <v>828</v>
      </c>
      <c r="L2846" t="s">
        <v>62</v>
      </c>
      <c r="M2846" t="s">
        <v>828</v>
      </c>
      <c r="N2846" t="s">
        <v>1231</v>
      </c>
      <c r="O2846" t="s">
        <v>1232</v>
      </c>
      <c r="P2846">
        <v>-20.136106000000002</v>
      </c>
      <c r="Q2846">
        <v>-44.838470999999998</v>
      </c>
      <c r="R2846" s="2" t="str">
        <f>HYPERLINK("https://www.google.com/maps?q=-20.1361060,-44.8384710","Abrir no Google Maps")</f>
        <v>Abrir no Google Maps</v>
      </c>
      <c r="S2846">
        <v>3</v>
      </c>
      <c r="T2846">
        <v>910.01690137237858</v>
      </c>
      <c r="U2846">
        <v>3</v>
      </c>
      <c r="V2846">
        <v>0.3715414841359751</v>
      </c>
      <c r="W2846">
        <v>1</v>
      </c>
      <c r="X2846">
        <v>0.3715414841359751</v>
      </c>
      <c r="Y2846">
        <v>118</v>
      </c>
      <c r="Z2846">
        <v>892.76979321439796</v>
      </c>
      <c r="AA2846">
        <v>198</v>
      </c>
      <c r="AB2846">
        <v>332</v>
      </c>
      <c r="AC2846">
        <v>536</v>
      </c>
      <c r="AD2846">
        <v>26.86</v>
      </c>
      <c r="AE2846">
        <v>542</v>
      </c>
      <c r="AF2846">
        <v>15</v>
      </c>
      <c r="AG2846">
        <v>178</v>
      </c>
      <c r="AH2846">
        <v>129</v>
      </c>
      <c r="AI2846">
        <v>2.77</v>
      </c>
      <c r="AJ2846">
        <v>32.840000000000003</v>
      </c>
      <c r="AK2846">
        <v>23.8</v>
      </c>
      <c r="AL2846">
        <v>-20.136356149999951</v>
      </c>
      <c r="AM2846">
        <v>-44.838929886373997</v>
      </c>
      <c r="AN2846">
        <v>-20.136356149999951</v>
      </c>
      <c r="AO2846">
        <v>-44.838929886373997</v>
      </c>
      <c r="AP2846">
        <v>-20.136106000000002</v>
      </c>
      <c r="AQ2846">
        <v>-44.838470999999998</v>
      </c>
      <c r="AR2846">
        <v>55.458802856549369</v>
      </c>
      <c r="AS2846" t="s">
        <v>65</v>
      </c>
      <c r="AT2846">
        <v>1</v>
      </c>
      <c r="AU2846" t="s">
        <v>1233</v>
      </c>
      <c r="AV2846" t="s">
        <v>1234</v>
      </c>
      <c r="AW2846" t="s">
        <v>60</v>
      </c>
      <c r="AX2846" t="s">
        <v>68</v>
      </c>
      <c r="AY2846" t="s">
        <v>69</v>
      </c>
      <c r="AZ2846" t="b">
        <v>1</v>
      </c>
    </row>
    <row r="2847" spans="1:52" x14ac:dyDescent="0.3">
      <c r="A2847" t="s">
        <v>52</v>
      </c>
      <c r="B2847" t="s">
        <v>53</v>
      </c>
      <c r="C2847" t="s">
        <v>54</v>
      </c>
      <c r="D2847" t="s">
        <v>55</v>
      </c>
      <c r="E2847" t="s">
        <v>2162</v>
      </c>
      <c r="F2847" t="s">
        <v>190</v>
      </c>
      <c r="G2847" t="s">
        <v>826</v>
      </c>
      <c r="H2847" t="s">
        <v>827</v>
      </c>
      <c r="I2847" t="s">
        <v>827</v>
      </c>
      <c r="J2847" t="s">
        <v>60</v>
      </c>
      <c r="K2847" t="s">
        <v>828</v>
      </c>
      <c r="L2847" t="s">
        <v>62</v>
      </c>
      <c r="M2847" t="s">
        <v>828</v>
      </c>
      <c r="N2847" t="s">
        <v>829</v>
      </c>
      <c r="O2847" t="s">
        <v>830</v>
      </c>
      <c r="P2847">
        <v>-20.128309999999999</v>
      </c>
      <c r="Q2847">
        <v>-44.8367</v>
      </c>
      <c r="R2847" s="2" t="str">
        <f>HYPERLINK("https://www.google.com/maps?q=-20.1283100,-44.8367000","Abrir no Google Maps")</f>
        <v>Abrir no Google Maps</v>
      </c>
      <c r="S2847">
        <v>3</v>
      </c>
      <c r="T2847">
        <v>0</v>
      </c>
      <c r="U2847">
        <v>3</v>
      </c>
      <c r="V2847">
        <v>0.38355845173401643</v>
      </c>
      <c r="W2847">
        <v>1</v>
      </c>
      <c r="X2847">
        <v>0.38355845173401643</v>
      </c>
      <c r="Y2847">
        <v>118</v>
      </c>
      <c r="Z2847">
        <v>65.93296364139367</v>
      </c>
      <c r="AA2847">
        <v>198</v>
      </c>
      <c r="AB2847">
        <v>332</v>
      </c>
      <c r="AC2847">
        <v>536</v>
      </c>
      <c r="AD2847">
        <v>26.86</v>
      </c>
      <c r="AE2847">
        <v>542</v>
      </c>
      <c r="AF2847">
        <v>15</v>
      </c>
      <c r="AG2847">
        <v>178</v>
      </c>
      <c r="AH2847">
        <v>129</v>
      </c>
      <c r="AI2847">
        <v>2.77</v>
      </c>
      <c r="AJ2847">
        <v>32.840000000000003</v>
      </c>
      <c r="AK2847">
        <v>23.8</v>
      </c>
      <c r="AL2847">
        <v>-20.128383649999961</v>
      </c>
      <c r="AM2847">
        <v>-44.836795615491283</v>
      </c>
      <c r="AN2847">
        <v>-20.128383649999961</v>
      </c>
      <c r="AO2847">
        <v>-44.836795615491283</v>
      </c>
      <c r="AP2847">
        <v>-20.128309999999999</v>
      </c>
      <c r="AQ2847">
        <v>-44.8367</v>
      </c>
      <c r="AR2847">
        <v>12.92654496723039</v>
      </c>
      <c r="AS2847" t="s">
        <v>65</v>
      </c>
      <c r="AT2847">
        <v>1</v>
      </c>
      <c r="AU2847" t="s">
        <v>831</v>
      </c>
      <c r="AV2847" t="s">
        <v>832</v>
      </c>
      <c r="AW2847" t="s">
        <v>60</v>
      </c>
      <c r="AX2847" t="s">
        <v>68</v>
      </c>
      <c r="AY2847" t="s">
        <v>69</v>
      </c>
      <c r="AZ2847" t="b">
        <v>1</v>
      </c>
    </row>
    <row r="2848" spans="1:52" x14ac:dyDescent="0.3">
      <c r="A2848" t="s">
        <v>52</v>
      </c>
      <c r="B2848" t="s">
        <v>53</v>
      </c>
      <c r="C2848" t="s">
        <v>54</v>
      </c>
      <c r="D2848" t="s">
        <v>55</v>
      </c>
      <c r="E2848" t="s">
        <v>2162</v>
      </c>
      <c r="F2848" t="s">
        <v>190</v>
      </c>
      <c r="G2848" t="s">
        <v>1235</v>
      </c>
      <c r="H2848" t="s">
        <v>1236</v>
      </c>
      <c r="I2848" t="s">
        <v>1236</v>
      </c>
      <c r="J2848" t="s">
        <v>60</v>
      </c>
      <c r="K2848" t="s">
        <v>1237</v>
      </c>
      <c r="L2848" t="s">
        <v>62</v>
      </c>
      <c r="M2848" t="s">
        <v>1237</v>
      </c>
      <c r="N2848" t="s">
        <v>1238</v>
      </c>
      <c r="O2848" t="s">
        <v>315</v>
      </c>
      <c r="P2848">
        <v>-20.199687000000001</v>
      </c>
      <c r="Q2848">
        <v>-44.941882999999997</v>
      </c>
      <c r="R2848" s="2" t="str">
        <f>HYPERLINK("https://www.google.com/maps?q=-20.1996870,-44.9418830","Abrir no Google Maps")</f>
        <v>Abrir no Google Maps</v>
      </c>
      <c r="S2848">
        <v>3</v>
      </c>
      <c r="T2848">
        <v>928.80393950893483</v>
      </c>
      <c r="U2848">
        <v>3</v>
      </c>
      <c r="V2848">
        <v>0.37194895030405589</v>
      </c>
      <c r="W2848">
        <v>1</v>
      </c>
      <c r="X2848">
        <v>0.37194895030405589</v>
      </c>
      <c r="Y2848">
        <v>113</v>
      </c>
      <c r="Z2848">
        <v>798.11967422937732</v>
      </c>
      <c r="AA2848">
        <v>198</v>
      </c>
      <c r="AB2848">
        <v>332</v>
      </c>
      <c r="AC2848">
        <v>536</v>
      </c>
      <c r="AD2848">
        <v>26.86</v>
      </c>
      <c r="AE2848">
        <v>542</v>
      </c>
      <c r="AF2848">
        <v>15</v>
      </c>
      <c r="AG2848">
        <v>178</v>
      </c>
      <c r="AH2848">
        <v>129</v>
      </c>
      <c r="AI2848">
        <v>2.77</v>
      </c>
      <c r="AJ2848">
        <v>32.840000000000003</v>
      </c>
      <c r="AK2848">
        <v>23.8</v>
      </c>
      <c r="AL2848">
        <v>-20.199663899999958</v>
      </c>
      <c r="AM2848">
        <v>-44.941858448694838</v>
      </c>
      <c r="AN2848">
        <v>-20.199663899999958</v>
      </c>
      <c r="AO2848">
        <v>-44.941858448694838</v>
      </c>
      <c r="AP2848">
        <v>-20.199687000000001</v>
      </c>
      <c r="AQ2848">
        <v>-44.941882999999997</v>
      </c>
      <c r="AR2848">
        <v>3.632019521873886</v>
      </c>
      <c r="AS2848" t="s">
        <v>65</v>
      </c>
      <c r="AT2848">
        <v>1</v>
      </c>
      <c r="AU2848" t="s">
        <v>1239</v>
      </c>
      <c r="AV2848" t="s">
        <v>1240</v>
      </c>
      <c r="AW2848" t="s">
        <v>60</v>
      </c>
      <c r="AX2848" t="s">
        <v>68</v>
      </c>
      <c r="AY2848" t="s">
        <v>69</v>
      </c>
      <c r="AZ2848" t="b">
        <v>1</v>
      </c>
    </row>
    <row r="2849" spans="1:52" x14ac:dyDescent="0.3">
      <c r="A2849" t="s">
        <v>52</v>
      </c>
      <c r="B2849" t="s">
        <v>53</v>
      </c>
      <c r="C2849" t="s">
        <v>54</v>
      </c>
      <c r="D2849" t="s">
        <v>55</v>
      </c>
      <c r="E2849" t="s">
        <v>2162</v>
      </c>
      <c r="F2849" t="s">
        <v>190</v>
      </c>
      <c r="G2849" t="s">
        <v>1842</v>
      </c>
      <c r="H2849" t="s">
        <v>1843</v>
      </c>
      <c r="I2849" t="s">
        <v>1843</v>
      </c>
      <c r="J2849" t="s">
        <v>60</v>
      </c>
      <c r="K2849" t="s">
        <v>1243</v>
      </c>
      <c r="L2849" t="s">
        <v>62</v>
      </c>
      <c r="M2849" t="s">
        <v>1243</v>
      </c>
      <c r="N2849" t="s">
        <v>1844</v>
      </c>
      <c r="O2849" t="s">
        <v>598</v>
      </c>
      <c r="P2849">
        <v>-20.191507999999999</v>
      </c>
      <c r="Q2849">
        <v>-44.942765000000001</v>
      </c>
      <c r="R2849" s="2" t="str">
        <f>HYPERLINK("https://www.google.com/maps?q=-20.1915080,-44.9427650","Abrir no Google Maps")</f>
        <v>Abrir no Google Maps</v>
      </c>
      <c r="S2849">
        <v>3</v>
      </c>
      <c r="T2849">
        <v>481.65843439031818</v>
      </c>
      <c r="U2849">
        <v>3</v>
      </c>
      <c r="V2849">
        <v>0.37491850698214108</v>
      </c>
      <c r="W2849">
        <v>1</v>
      </c>
      <c r="X2849">
        <v>0.37491850698214108</v>
      </c>
      <c r="Y2849">
        <v>113</v>
      </c>
      <c r="Z2849">
        <v>403.01657911729887</v>
      </c>
      <c r="AA2849">
        <v>198</v>
      </c>
      <c r="AB2849">
        <v>332</v>
      </c>
      <c r="AC2849">
        <v>536</v>
      </c>
      <c r="AD2849">
        <v>26.86</v>
      </c>
      <c r="AE2849">
        <v>542</v>
      </c>
      <c r="AF2849">
        <v>15</v>
      </c>
      <c r="AG2849">
        <v>178</v>
      </c>
      <c r="AH2849">
        <v>129</v>
      </c>
      <c r="AI2849">
        <v>2.77</v>
      </c>
      <c r="AJ2849">
        <v>32.840000000000003</v>
      </c>
      <c r="AK2849">
        <v>23.8</v>
      </c>
      <c r="AL2849">
        <v>-20.19144764999993</v>
      </c>
      <c r="AM2849">
        <v>-44.942723431709183</v>
      </c>
      <c r="AN2849">
        <v>-20.19144764999993</v>
      </c>
      <c r="AO2849">
        <v>-44.942723431709183</v>
      </c>
      <c r="AP2849">
        <v>-20.191507999999999</v>
      </c>
      <c r="AQ2849">
        <v>-44.942765000000001</v>
      </c>
      <c r="AR2849">
        <v>7.9997116897974587</v>
      </c>
      <c r="AS2849" t="s">
        <v>65</v>
      </c>
      <c r="AT2849">
        <v>1</v>
      </c>
      <c r="AU2849" t="s">
        <v>1845</v>
      </c>
      <c r="AV2849" t="s">
        <v>1846</v>
      </c>
      <c r="AW2849" t="s">
        <v>60</v>
      </c>
      <c r="AX2849" t="s">
        <v>68</v>
      </c>
      <c r="AY2849" t="s">
        <v>69</v>
      </c>
      <c r="AZ2849" t="b">
        <v>1</v>
      </c>
    </row>
    <row r="2850" spans="1:52" x14ac:dyDescent="0.3">
      <c r="A2850" t="s">
        <v>52</v>
      </c>
      <c r="B2850" t="s">
        <v>53</v>
      </c>
      <c r="C2850" t="s">
        <v>54</v>
      </c>
      <c r="D2850" t="s">
        <v>55</v>
      </c>
      <c r="E2850" t="s">
        <v>2162</v>
      </c>
      <c r="F2850" t="s">
        <v>190</v>
      </c>
      <c r="G2850" t="s">
        <v>1241</v>
      </c>
      <c r="H2850" t="s">
        <v>1242</v>
      </c>
      <c r="I2850" t="s">
        <v>1242</v>
      </c>
      <c r="J2850" t="s">
        <v>60</v>
      </c>
      <c r="K2850" t="s">
        <v>1243</v>
      </c>
      <c r="L2850" t="s">
        <v>62</v>
      </c>
      <c r="M2850" t="s">
        <v>1243</v>
      </c>
      <c r="N2850" t="s">
        <v>1244</v>
      </c>
      <c r="O2850" t="s">
        <v>315</v>
      </c>
      <c r="P2850">
        <v>-20.188538000000001</v>
      </c>
      <c r="Q2850">
        <v>-44.930104</v>
      </c>
      <c r="R2850" s="2" t="str">
        <f>HYPERLINK("https://www.google.com/maps?q=-20.1885380,-44.9301040","Abrir no Google Maps")</f>
        <v>Abrir no Google Maps</v>
      </c>
      <c r="S2850">
        <v>3</v>
      </c>
      <c r="T2850">
        <v>928.27105405717066</v>
      </c>
      <c r="U2850">
        <v>3</v>
      </c>
      <c r="V2850">
        <v>0.38124276636455601</v>
      </c>
      <c r="W2850">
        <v>1</v>
      </c>
      <c r="X2850">
        <v>0.38124276636455601</v>
      </c>
      <c r="Y2850">
        <v>113</v>
      </c>
      <c r="Z2850">
        <v>1111.4269393179579</v>
      </c>
      <c r="AA2850">
        <v>198</v>
      </c>
      <c r="AB2850">
        <v>332</v>
      </c>
      <c r="AC2850">
        <v>536</v>
      </c>
      <c r="AD2850">
        <v>26.86</v>
      </c>
      <c r="AE2850">
        <v>542</v>
      </c>
      <c r="AF2850">
        <v>15</v>
      </c>
      <c r="AG2850">
        <v>178</v>
      </c>
      <c r="AH2850">
        <v>129</v>
      </c>
      <c r="AI2850">
        <v>2.77</v>
      </c>
      <c r="AJ2850">
        <v>32.840000000000003</v>
      </c>
      <c r="AK2850">
        <v>23.8</v>
      </c>
      <c r="AL2850">
        <v>-20.18852899999996</v>
      </c>
      <c r="AM2850">
        <v>-44.930083089036543</v>
      </c>
      <c r="AN2850">
        <v>-20.18852899999996</v>
      </c>
      <c r="AO2850">
        <v>-44.930083089036543</v>
      </c>
      <c r="AP2850">
        <v>-20.188538000000001</v>
      </c>
      <c r="AQ2850">
        <v>-44.930104</v>
      </c>
      <c r="AR2850">
        <v>2.4035564137158438</v>
      </c>
      <c r="AS2850" t="s">
        <v>65</v>
      </c>
      <c r="AT2850">
        <v>1</v>
      </c>
      <c r="AU2850" t="s">
        <v>1245</v>
      </c>
      <c r="AV2850" t="s">
        <v>1246</v>
      </c>
      <c r="AW2850" t="s">
        <v>60</v>
      </c>
      <c r="AX2850" t="s">
        <v>68</v>
      </c>
      <c r="AY2850" t="s">
        <v>69</v>
      </c>
      <c r="AZ2850" t="b">
        <v>1</v>
      </c>
    </row>
    <row r="2851" spans="1:52" x14ac:dyDescent="0.3">
      <c r="A2851" t="s">
        <v>52</v>
      </c>
      <c r="B2851" t="s">
        <v>53</v>
      </c>
      <c r="C2851" t="s">
        <v>54</v>
      </c>
      <c r="D2851" t="s">
        <v>55</v>
      </c>
      <c r="E2851" t="s">
        <v>2162</v>
      </c>
      <c r="F2851" t="s">
        <v>1247</v>
      </c>
      <c r="G2851" t="s">
        <v>58</v>
      </c>
      <c r="H2851" t="s">
        <v>59</v>
      </c>
      <c r="I2851" t="s">
        <v>59</v>
      </c>
      <c r="J2851" t="s">
        <v>60</v>
      </c>
      <c r="K2851" t="s">
        <v>61</v>
      </c>
      <c r="L2851" t="s">
        <v>62</v>
      </c>
      <c r="M2851" t="s">
        <v>61</v>
      </c>
      <c r="N2851" t="s">
        <v>63</v>
      </c>
      <c r="O2851" t="s">
        <v>64</v>
      </c>
      <c r="P2851">
        <v>-20.147940999999999</v>
      </c>
      <c r="Q2851">
        <v>-44.906514000000001</v>
      </c>
      <c r="R2851" s="2" t="str">
        <f>HYPERLINK("https://www.google.com/maps?q=-20.1479410,-44.9065140","Abrir no Google Maps")</f>
        <v>Abrir no Google Maps</v>
      </c>
      <c r="S2851">
        <v>4</v>
      </c>
      <c r="T2851">
        <v>308.67004994113421</v>
      </c>
      <c r="U2851">
        <v>4</v>
      </c>
      <c r="V2851">
        <v>0.45111947455728341</v>
      </c>
      <c r="W2851">
        <v>1</v>
      </c>
      <c r="X2851">
        <v>0.45111947455728341</v>
      </c>
      <c r="Y2851">
        <v>747</v>
      </c>
      <c r="Z2851">
        <v>274.71440454502522</v>
      </c>
      <c r="AA2851">
        <v>198</v>
      </c>
      <c r="AB2851">
        <v>332</v>
      </c>
      <c r="AC2851">
        <v>536</v>
      </c>
      <c r="AD2851">
        <v>26.86</v>
      </c>
      <c r="AE2851">
        <v>542</v>
      </c>
      <c r="AF2851">
        <v>15</v>
      </c>
      <c r="AG2851">
        <v>178</v>
      </c>
      <c r="AH2851">
        <v>129</v>
      </c>
      <c r="AI2851">
        <v>2.77</v>
      </c>
      <c r="AJ2851">
        <v>32.840000000000003</v>
      </c>
      <c r="AK2851">
        <v>23.8</v>
      </c>
      <c r="AL2851">
        <v>-20.147947799999969</v>
      </c>
      <c r="AM2851">
        <v>-44.906591596129203</v>
      </c>
      <c r="AN2851">
        <v>-20.147947799999969</v>
      </c>
      <c r="AO2851">
        <v>-44.906591596129203</v>
      </c>
      <c r="AP2851">
        <v>-20.147940999999999</v>
      </c>
      <c r="AQ2851">
        <v>-44.906514000000001</v>
      </c>
      <c r="AR2851">
        <v>8.1446636170570326</v>
      </c>
      <c r="AS2851" t="s">
        <v>65</v>
      </c>
      <c r="AT2851">
        <v>1</v>
      </c>
      <c r="AU2851" t="s">
        <v>66</v>
      </c>
      <c r="AV2851" t="s">
        <v>67</v>
      </c>
      <c r="AW2851" t="s">
        <v>60</v>
      </c>
      <c r="AX2851" t="s">
        <v>68</v>
      </c>
      <c r="AY2851" t="s">
        <v>69</v>
      </c>
      <c r="AZ2851" t="b">
        <v>1</v>
      </c>
    </row>
    <row r="2852" spans="1:52" x14ac:dyDescent="0.3">
      <c r="A2852" t="s">
        <v>52</v>
      </c>
      <c r="B2852" t="s">
        <v>53</v>
      </c>
      <c r="C2852" t="s">
        <v>54</v>
      </c>
      <c r="D2852" t="s">
        <v>55</v>
      </c>
      <c r="E2852" t="s">
        <v>2162</v>
      </c>
      <c r="F2852" t="s">
        <v>1247</v>
      </c>
      <c r="G2852" t="s">
        <v>70</v>
      </c>
      <c r="H2852" t="s">
        <v>71</v>
      </c>
      <c r="I2852" t="s">
        <v>71</v>
      </c>
      <c r="J2852" t="s">
        <v>60</v>
      </c>
      <c r="K2852" t="s">
        <v>72</v>
      </c>
      <c r="L2852" t="s">
        <v>62</v>
      </c>
      <c r="M2852" t="s">
        <v>72</v>
      </c>
      <c r="N2852" t="s">
        <v>73</v>
      </c>
      <c r="O2852" t="s">
        <v>74</v>
      </c>
      <c r="P2852">
        <v>-20.149349000000001</v>
      </c>
      <c r="Q2852">
        <v>-44.910784</v>
      </c>
      <c r="R2852" s="2" t="str">
        <f>HYPERLINK("https://www.google.com/maps?q=-20.1493490,-44.9107840","Abrir no Google Maps")</f>
        <v>Abrir no Google Maps</v>
      </c>
      <c r="S2852">
        <v>4</v>
      </c>
      <c r="T2852">
        <v>472.43876549769578</v>
      </c>
      <c r="U2852">
        <v>4</v>
      </c>
      <c r="V2852">
        <v>0.46225206368588878</v>
      </c>
      <c r="W2852">
        <v>1</v>
      </c>
      <c r="X2852">
        <v>0.46225206368588878</v>
      </c>
      <c r="Y2852">
        <v>747</v>
      </c>
      <c r="Z2852">
        <v>441.03921887407779</v>
      </c>
      <c r="AA2852">
        <v>198</v>
      </c>
      <c r="AB2852">
        <v>332</v>
      </c>
      <c r="AC2852">
        <v>536</v>
      </c>
      <c r="AD2852">
        <v>26.86</v>
      </c>
      <c r="AE2852">
        <v>542</v>
      </c>
      <c r="AF2852">
        <v>15</v>
      </c>
      <c r="AG2852">
        <v>178</v>
      </c>
      <c r="AH2852">
        <v>129</v>
      </c>
      <c r="AI2852">
        <v>2.77</v>
      </c>
      <c r="AJ2852">
        <v>32.840000000000003</v>
      </c>
      <c r="AK2852">
        <v>23.8</v>
      </c>
      <c r="AL2852">
        <v>-20.149403999999951</v>
      </c>
      <c r="AM2852">
        <v>-44.91080895147438</v>
      </c>
      <c r="AN2852">
        <v>-20.149403999999951</v>
      </c>
      <c r="AO2852">
        <v>-44.91080895147438</v>
      </c>
      <c r="AP2852">
        <v>-20.149349000000001</v>
      </c>
      <c r="AQ2852">
        <v>-44.910784</v>
      </c>
      <c r="AR2852">
        <v>6.6547592699416382</v>
      </c>
      <c r="AS2852" t="s">
        <v>65</v>
      </c>
      <c r="AT2852">
        <v>1</v>
      </c>
      <c r="AU2852" t="s">
        <v>75</v>
      </c>
      <c r="AV2852" t="s">
        <v>76</v>
      </c>
      <c r="AW2852" t="s">
        <v>60</v>
      </c>
      <c r="AX2852" t="s">
        <v>68</v>
      </c>
      <c r="AY2852" t="s">
        <v>69</v>
      </c>
      <c r="AZ2852" t="b">
        <v>1</v>
      </c>
    </row>
    <row r="2853" spans="1:52" x14ac:dyDescent="0.3">
      <c r="A2853" t="s">
        <v>52</v>
      </c>
      <c r="B2853" t="s">
        <v>53</v>
      </c>
      <c r="C2853" t="s">
        <v>54</v>
      </c>
      <c r="D2853" t="s">
        <v>55</v>
      </c>
      <c r="E2853" t="s">
        <v>2162</v>
      </c>
      <c r="F2853" t="s">
        <v>1247</v>
      </c>
      <c r="G2853" t="s">
        <v>77</v>
      </c>
      <c r="H2853" t="s">
        <v>78</v>
      </c>
      <c r="I2853" t="s">
        <v>78</v>
      </c>
      <c r="J2853" t="s">
        <v>60</v>
      </c>
      <c r="K2853" t="s">
        <v>72</v>
      </c>
      <c r="L2853" t="s">
        <v>62</v>
      </c>
      <c r="M2853" t="s">
        <v>72</v>
      </c>
      <c r="N2853" t="s">
        <v>79</v>
      </c>
      <c r="O2853" t="s">
        <v>80</v>
      </c>
      <c r="P2853">
        <v>-20.147821</v>
      </c>
      <c r="Q2853">
        <v>-44.908887</v>
      </c>
      <c r="R2853" s="2" t="str">
        <f>HYPERLINK("https://www.google.com/maps?q=-20.1478210,-44.9088870","Abrir no Google Maps")</f>
        <v>Abrir no Google Maps</v>
      </c>
      <c r="S2853">
        <v>4</v>
      </c>
      <c r="T2853">
        <v>232.2893841532152</v>
      </c>
      <c r="U2853">
        <v>4</v>
      </c>
      <c r="V2853">
        <v>0.48957017776538259</v>
      </c>
      <c r="W2853">
        <v>1</v>
      </c>
      <c r="X2853">
        <v>0.48957017776538259</v>
      </c>
      <c r="Y2853">
        <v>747</v>
      </c>
      <c r="Z2853">
        <v>195.3668648953757</v>
      </c>
      <c r="AA2853">
        <v>198</v>
      </c>
      <c r="AB2853">
        <v>332</v>
      </c>
      <c r="AC2853">
        <v>536</v>
      </c>
      <c r="AD2853">
        <v>26.86</v>
      </c>
      <c r="AE2853">
        <v>542</v>
      </c>
      <c r="AF2853">
        <v>15</v>
      </c>
      <c r="AG2853">
        <v>178</v>
      </c>
      <c r="AH2853">
        <v>129</v>
      </c>
      <c r="AI2853">
        <v>2.77</v>
      </c>
      <c r="AJ2853">
        <v>32.840000000000003</v>
      </c>
      <c r="AK2853">
        <v>23.8</v>
      </c>
      <c r="AL2853">
        <v>-20.147802849999952</v>
      </c>
      <c r="AM2853">
        <v>-44.908989919229477</v>
      </c>
      <c r="AN2853">
        <v>-20.147802849999952</v>
      </c>
      <c r="AO2853">
        <v>-44.908989919229491</v>
      </c>
      <c r="AP2853">
        <v>-20.147821</v>
      </c>
      <c r="AQ2853">
        <v>-44.908887</v>
      </c>
      <c r="AR2853">
        <v>10.944007761262529</v>
      </c>
      <c r="AS2853" t="s">
        <v>65</v>
      </c>
      <c r="AT2853">
        <v>1</v>
      </c>
      <c r="AU2853" t="s">
        <v>81</v>
      </c>
      <c r="AV2853" t="s">
        <v>82</v>
      </c>
      <c r="AW2853" t="s">
        <v>60</v>
      </c>
      <c r="AX2853" t="s">
        <v>68</v>
      </c>
      <c r="AY2853" t="s">
        <v>69</v>
      </c>
      <c r="AZ2853" t="b">
        <v>1</v>
      </c>
    </row>
    <row r="2854" spans="1:52" x14ac:dyDescent="0.3">
      <c r="A2854" t="s">
        <v>52</v>
      </c>
      <c r="B2854" t="s">
        <v>53</v>
      </c>
      <c r="C2854" t="s">
        <v>54</v>
      </c>
      <c r="D2854" t="s">
        <v>55</v>
      </c>
      <c r="E2854" t="s">
        <v>2162</v>
      </c>
      <c r="F2854" t="s">
        <v>1247</v>
      </c>
      <c r="G2854" t="s">
        <v>83</v>
      </c>
      <c r="H2854" t="s">
        <v>84</v>
      </c>
      <c r="I2854" t="s">
        <v>84</v>
      </c>
      <c r="J2854" t="s">
        <v>60</v>
      </c>
      <c r="K2854" t="s">
        <v>61</v>
      </c>
      <c r="L2854" t="s">
        <v>62</v>
      </c>
      <c r="M2854" t="s">
        <v>61</v>
      </c>
      <c r="N2854" t="s">
        <v>85</v>
      </c>
      <c r="O2854" t="s">
        <v>86</v>
      </c>
      <c r="P2854">
        <v>-20.149799000000002</v>
      </c>
      <c r="Q2854">
        <v>-44.906517000000001</v>
      </c>
      <c r="R2854" s="2" t="str">
        <f>HYPERLINK("https://www.google.com/maps?q=-20.1497990,-44.9065170","Abrir no Google Maps")</f>
        <v>Abrir no Google Maps</v>
      </c>
      <c r="S2854">
        <v>4</v>
      </c>
      <c r="T2854">
        <v>487.90051105537998</v>
      </c>
      <c r="U2854">
        <v>4</v>
      </c>
      <c r="V2854">
        <v>0.4101175942472452</v>
      </c>
      <c r="W2854">
        <v>1</v>
      </c>
      <c r="X2854">
        <v>0.4101175942472452</v>
      </c>
      <c r="Y2854">
        <v>747</v>
      </c>
      <c r="Z2854">
        <v>365.93785960107078</v>
      </c>
      <c r="AA2854">
        <v>198</v>
      </c>
      <c r="AB2854">
        <v>332</v>
      </c>
      <c r="AC2854">
        <v>536</v>
      </c>
      <c r="AD2854">
        <v>26.86</v>
      </c>
      <c r="AE2854">
        <v>542</v>
      </c>
      <c r="AF2854">
        <v>15</v>
      </c>
      <c r="AG2854">
        <v>178</v>
      </c>
      <c r="AH2854">
        <v>129</v>
      </c>
      <c r="AI2854">
        <v>2.77</v>
      </c>
      <c r="AJ2854">
        <v>32.840000000000003</v>
      </c>
      <c r="AK2854">
        <v>23.8</v>
      </c>
      <c r="AL2854">
        <v>-20.149879599999959</v>
      </c>
      <c r="AM2854">
        <v>-44.906746466068469</v>
      </c>
      <c r="AN2854">
        <v>-20.149879599999959</v>
      </c>
      <c r="AO2854">
        <v>-44.906746466068469</v>
      </c>
      <c r="AP2854">
        <v>-20.149799000000002</v>
      </c>
      <c r="AQ2854">
        <v>-44.906517000000001</v>
      </c>
      <c r="AR2854">
        <v>25.604276856970429</v>
      </c>
      <c r="AS2854" t="s">
        <v>65</v>
      </c>
      <c r="AT2854">
        <v>1</v>
      </c>
      <c r="AU2854" t="s">
        <v>87</v>
      </c>
      <c r="AV2854" t="s">
        <v>88</v>
      </c>
      <c r="AW2854" t="s">
        <v>60</v>
      </c>
      <c r="AX2854" t="s">
        <v>68</v>
      </c>
      <c r="AY2854" t="s">
        <v>69</v>
      </c>
      <c r="AZ2854" t="b">
        <v>1</v>
      </c>
    </row>
    <row r="2855" spans="1:52" x14ac:dyDescent="0.3">
      <c r="A2855" t="s">
        <v>52</v>
      </c>
      <c r="B2855" t="s">
        <v>53</v>
      </c>
      <c r="C2855" t="s">
        <v>54</v>
      </c>
      <c r="D2855" t="s">
        <v>55</v>
      </c>
      <c r="E2855" t="s">
        <v>2162</v>
      </c>
      <c r="F2855" t="s">
        <v>1247</v>
      </c>
      <c r="G2855" t="s">
        <v>89</v>
      </c>
      <c r="H2855" t="s">
        <v>90</v>
      </c>
      <c r="I2855" t="s">
        <v>90</v>
      </c>
      <c r="J2855" t="s">
        <v>60</v>
      </c>
      <c r="K2855" t="s">
        <v>72</v>
      </c>
      <c r="L2855" t="s">
        <v>62</v>
      </c>
      <c r="M2855" t="s">
        <v>72</v>
      </c>
      <c r="N2855" t="s">
        <v>91</v>
      </c>
      <c r="O2855" t="s">
        <v>92</v>
      </c>
      <c r="P2855">
        <v>-20.145848999999998</v>
      </c>
      <c r="Q2855">
        <v>-44.908419000000002</v>
      </c>
      <c r="R2855" s="2" t="str">
        <f>HYPERLINK("https://www.google.com/maps?q=-20.1458490,-44.9084190","Abrir no Google Maps")</f>
        <v>Abrir no Google Maps</v>
      </c>
      <c r="S2855">
        <v>4</v>
      </c>
      <c r="T2855">
        <v>0</v>
      </c>
      <c r="U2855">
        <v>4</v>
      </c>
      <c r="V2855">
        <v>0.45648358632261998</v>
      </c>
      <c r="W2855">
        <v>1</v>
      </c>
      <c r="X2855">
        <v>0.45648358632261998</v>
      </c>
      <c r="Y2855">
        <v>747</v>
      </c>
      <c r="Z2855">
        <v>136.08168502765241</v>
      </c>
      <c r="AA2855">
        <v>198</v>
      </c>
      <c r="AB2855">
        <v>332</v>
      </c>
      <c r="AC2855">
        <v>536</v>
      </c>
      <c r="AD2855">
        <v>26.86</v>
      </c>
      <c r="AE2855">
        <v>542</v>
      </c>
      <c r="AF2855">
        <v>15</v>
      </c>
      <c r="AG2855">
        <v>178</v>
      </c>
      <c r="AH2855">
        <v>129</v>
      </c>
      <c r="AI2855">
        <v>2.77</v>
      </c>
      <c r="AJ2855">
        <v>32.840000000000003</v>
      </c>
      <c r="AK2855">
        <v>23.8</v>
      </c>
      <c r="AL2855">
        <v>-20.14576979999995</v>
      </c>
      <c r="AM2855">
        <v>-44.908436775053183</v>
      </c>
      <c r="AN2855">
        <v>-20.14576979999995</v>
      </c>
      <c r="AO2855">
        <v>-44.908436775053183</v>
      </c>
      <c r="AP2855">
        <v>-20.145848999999998</v>
      </c>
      <c r="AQ2855">
        <v>-44.908419000000002</v>
      </c>
      <c r="AR2855">
        <v>9.0101247482327356</v>
      </c>
      <c r="AS2855" t="s">
        <v>65</v>
      </c>
      <c r="AT2855">
        <v>1</v>
      </c>
      <c r="AU2855" t="s">
        <v>93</v>
      </c>
      <c r="AV2855" t="s">
        <v>94</v>
      </c>
      <c r="AW2855" t="s">
        <v>60</v>
      </c>
      <c r="AX2855" t="s">
        <v>68</v>
      </c>
      <c r="AY2855" t="s">
        <v>69</v>
      </c>
      <c r="AZ2855" t="b">
        <v>1</v>
      </c>
    </row>
    <row r="2856" spans="1:52" x14ac:dyDescent="0.3">
      <c r="A2856" t="s">
        <v>52</v>
      </c>
      <c r="B2856" t="s">
        <v>53</v>
      </c>
      <c r="C2856" t="s">
        <v>54</v>
      </c>
      <c r="D2856" t="s">
        <v>55</v>
      </c>
      <c r="E2856" t="s">
        <v>2162</v>
      </c>
      <c r="F2856" t="s">
        <v>1247</v>
      </c>
      <c r="G2856" t="s">
        <v>95</v>
      </c>
      <c r="H2856" t="s">
        <v>96</v>
      </c>
      <c r="I2856" t="s">
        <v>96</v>
      </c>
      <c r="J2856" t="s">
        <v>60</v>
      </c>
      <c r="K2856" t="s">
        <v>72</v>
      </c>
      <c r="L2856" t="s">
        <v>62</v>
      </c>
      <c r="M2856" t="s">
        <v>72</v>
      </c>
      <c r="N2856" t="s">
        <v>97</v>
      </c>
      <c r="O2856" t="s">
        <v>98</v>
      </c>
      <c r="P2856">
        <v>-20.144062999999999</v>
      </c>
      <c r="Q2856">
        <v>-44.909627999999998</v>
      </c>
      <c r="R2856" s="2" t="str">
        <f>HYPERLINK("https://www.google.com/maps?q=-20.1440630,-44.9096280","Abrir no Google Maps")</f>
        <v>Abrir no Google Maps</v>
      </c>
      <c r="S2856">
        <v>4</v>
      </c>
      <c r="T2856">
        <v>205.27083326529291</v>
      </c>
      <c r="U2856">
        <v>4</v>
      </c>
      <c r="V2856">
        <v>0.44010924783456762</v>
      </c>
      <c r="W2856">
        <v>1</v>
      </c>
      <c r="X2856">
        <v>0.44010924783456762</v>
      </c>
      <c r="Y2856">
        <v>747</v>
      </c>
      <c r="Z2856">
        <v>336.75785483480968</v>
      </c>
      <c r="AA2856">
        <v>198</v>
      </c>
      <c r="AB2856">
        <v>332</v>
      </c>
      <c r="AC2856">
        <v>536</v>
      </c>
      <c r="AD2856">
        <v>26.86</v>
      </c>
      <c r="AE2856">
        <v>542</v>
      </c>
      <c r="AF2856">
        <v>15</v>
      </c>
      <c r="AG2856">
        <v>178</v>
      </c>
      <c r="AH2856">
        <v>129</v>
      </c>
      <c r="AI2856">
        <v>2.77</v>
      </c>
      <c r="AJ2856">
        <v>32.840000000000003</v>
      </c>
      <c r="AK2856">
        <v>23.8</v>
      </c>
      <c r="AL2856">
        <v>-20.144164099999951</v>
      </c>
      <c r="AM2856">
        <v>-44.909420167767642</v>
      </c>
      <c r="AN2856">
        <v>-20.144164099999951</v>
      </c>
      <c r="AO2856">
        <v>-44.909420167767642</v>
      </c>
      <c r="AP2856">
        <v>-20.144062999999999</v>
      </c>
      <c r="AQ2856">
        <v>-44.909627999999998</v>
      </c>
      <c r="AR2856">
        <v>24.46321571724976</v>
      </c>
      <c r="AS2856" t="s">
        <v>65</v>
      </c>
      <c r="AT2856">
        <v>1</v>
      </c>
      <c r="AU2856" t="s">
        <v>99</v>
      </c>
      <c r="AV2856" t="s">
        <v>94</v>
      </c>
      <c r="AW2856" t="s">
        <v>60</v>
      </c>
      <c r="AX2856" t="s">
        <v>68</v>
      </c>
      <c r="AY2856" t="s">
        <v>69</v>
      </c>
      <c r="AZ2856" t="b">
        <v>1</v>
      </c>
    </row>
    <row r="2857" spans="1:52" x14ac:dyDescent="0.3">
      <c r="A2857" t="s">
        <v>52</v>
      </c>
      <c r="B2857" t="s">
        <v>53</v>
      </c>
      <c r="C2857" t="s">
        <v>54</v>
      </c>
      <c r="D2857" t="s">
        <v>55</v>
      </c>
      <c r="E2857" t="s">
        <v>2162</v>
      </c>
      <c r="F2857" t="s">
        <v>1247</v>
      </c>
      <c r="G2857" t="s">
        <v>100</v>
      </c>
      <c r="H2857" t="s">
        <v>101</v>
      </c>
      <c r="I2857" t="s">
        <v>101</v>
      </c>
      <c r="J2857" t="s">
        <v>60</v>
      </c>
      <c r="K2857" t="s">
        <v>61</v>
      </c>
      <c r="L2857" t="s">
        <v>62</v>
      </c>
      <c r="M2857" t="s">
        <v>61</v>
      </c>
      <c r="N2857" t="s">
        <v>102</v>
      </c>
      <c r="O2857" t="s">
        <v>103</v>
      </c>
      <c r="P2857">
        <v>-20.151098999999999</v>
      </c>
      <c r="Q2857">
        <v>-44.909699000000003</v>
      </c>
      <c r="R2857" s="2" t="str">
        <f>HYPERLINK("https://www.google.com/maps?q=-20.1510990,-44.9096990","Abrir no Google Maps")</f>
        <v>Abrir no Google Maps</v>
      </c>
      <c r="S2857">
        <v>4</v>
      </c>
      <c r="T2857">
        <v>628.5023128813533</v>
      </c>
      <c r="U2857">
        <v>4</v>
      </c>
      <c r="V2857">
        <v>0.52895732383122518</v>
      </c>
      <c r="W2857">
        <v>1</v>
      </c>
      <c r="X2857">
        <v>0.52895732383122518</v>
      </c>
      <c r="Y2857">
        <v>747</v>
      </c>
      <c r="Z2857">
        <v>563.16456625265948</v>
      </c>
      <c r="AA2857">
        <v>198</v>
      </c>
      <c r="AB2857">
        <v>332</v>
      </c>
      <c r="AC2857">
        <v>536</v>
      </c>
      <c r="AD2857">
        <v>26.86</v>
      </c>
      <c r="AE2857">
        <v>542</v>
      </c>
      <c r="AF2857">
        <v>15</v>
      </c>
      <c r="AG2857">
        <v>178</v>
      </c>
      <c r="AH2857">
        <v>129</v>
      </c>
      <c r="AI2857">
        <v>2.77</v>
      </c>
      <c r="AJ2857">
        <v>32.840000000000003</v>
      </c>
      <c r="AK2857">
        <v>23.8</v>
      </c>
      <c r="AL2857">
        <v>-20.151307349999971</v>
      </c>
      <c r="AM2857">
        <v>-44.909772836123523</v>
      </c>
      <c r="AN2857">
        <v>-20.151307349999971</v>
      </c>
      <c r="AO2857">
        <v>-44.909772836123523</v>
      </c>
      <c r="AP2857">
        <v>-20.151098999999999</v>
      </c>
      <c r="AQ2857">
        <v>-44.909699000000003</v>
      </c>
      <c r="AR2857">
        <v>24.443417349564811</v>
      </c>
      <c r="AS2857" t="s">
        <v>65</v>
      </c>
      <c r="AT2857">
        <v>1</v>
      </c>
      <c r="AU2857" t="s">
        <v>104</v>
      </c>
      <c r="AV2857" t="s">
        <v>105</v>
      </c>
      <c r="AW2857" t="s">
        <v>60</v>
      </c>
      <c r="AX2857" t="s">
        <v>68</v>
      </c>
      <c r="AY2857" t="s">
        <v>69</v>
      </c>
      <c r="AZ2857" t="b">
        <v>1</v>
      </c>
    </row>
    <row r="2858" spans="1:52" x14ac:dyDescent="0.3">
      <c r="A2858" t="s">
        <v>52</v>
      </c>
      <c r="B2858" t="s">
        <v>53</v>
      </c>
      <c r="C2858" t="s">
        <v>54</v>
      </c>
      <c r="D2858" t="s">
        <v>55</v>
      </c>
      <c r="E2858" t="s">
        <v>2162</v>
      </c>
      <c r="F2858" t="s">
        <v>1247</v>
      </c>
      <c r="G2858" t="s">
        <v>100</v>
      </c>
      <c r="H2858" t="s">
        <v>106</v>
      </c>
      <c r="I2858" t="s">
        <v>106</v>
      </c>
      <c r="J2858" t="s">
        <v>60</v>
      </c>
      <c r="K2858" t="s">
        <v>61</v>
      </c>
      <c r="L2858" t="s">
        <v>62</v>
      </c>
      <c r="M2858" t="s">
        <v>61</v>
      </c>
      <c r="N2858" t="s">
        <v>102</v>
      </c>
      <c r="O2858" t="s">
        <v>103</v>
      </c>
      <c r="P2858">
        <v>-20.151107</v>
      </c>
      <c r="Q2858">
        <v>-44.908918</v>
      </c>
      <c r="R2858" s="2" t="str">
        <f>HYPERLINK("https://www.google.com/maps?q=-20.1511070,-44.9089180","Abrir no Google Maps")</f>
        <v>Abrir no Google Maps</v>
      </c>
      <c r="S2858">
        <v>4</v>
      </c>
      <c r="T2858">
        <v>615.86400245321579</v>
      </c>
      <c r="U2858">
        <v>4</v>
      </c>
      <c r="V2858">
        <v>0.55202393392367166</v>
      </c>
      <c r="W2858">
        <v>0.85</v>
      </c>
      <c r="X2858">
        <v>0.4692203438351209</v>
      </c>
      <c r="Y2858">
        <v>747</v>
      </c>
      <c r="Z2858">
        <v>535.34543763764702</v>
      </c>
      <c r="AA2858">
        <v>198</v>
      </c>
      <c r="AB2858">
        <v>332</v>
      </c>
      <c r="AC2858">
        <v>536</v>
      </c>
      <c r="AD2858">
        <v>26.86</v>
      </c>
      <c r="AE2858">
        <v>542</v>
      </c>
      <c r="AF2858">
        <v>15</v>
      </c>
      <c r="AG2858">
        <v>178</v>
      </c>
      <c r="AH2858">
        <v>129</v>
      </c>
      <c r="AI2858">
        <v>2.77</v>
      </c>
      <c r="AJ2858">
        <v>32.840000000000003</v>
      </c>
      <c r="AK2858">
        <v>23.8</v>
      </c>
      <c r="AL2858">
        <v>-20.151307349999971</v>
      </c>
      <c r="AM2858">
        <v>-44.909024234051429</v>
      </c>
      <c r="AN2858">
        <v>-20.151307349999971</v>
      </c>
      <c r="AO2858">
        <v>-44.909024234051429</v>
      </c>
      <c r="AP2858">
        <v>-20.151107</v>
      </c>
      <c r="AQ2858">
        <v>-44.908918</v>
      </c>
      <c r="AR2858">
        <v>24.91340747371116</v>
      </c>
      <c r="AS2858" t="s">
        <v>65</v>
      </c>
      <c r="AT2858">
        <v>1</v>
      </c>
      <c r="AU2858" t="s">
        <v>107</v>
      </c>
      <c r="AV2858" t="s">
        <v>105</v>
      </c>
      <c r="AW2858" t="s">
        <v>60</v>
      </c>
      <c r="AX2858" t="s">
        <v>68</v>
      </c>
      <c r="AY2858" t="s">
        <v>69</v>
      </c>
      <c r="AZ2858" t="b">
        <v>1</v>
      </c>
    </row>
    <row r="2859" spans="1:52" x14ac:dyDescent="0.3">
      <c r="A2859" t="s">
        <v>52</v>
      </c>
      <c r="B2859" t="s">
        <v>53</v>
      </c>
      <c r="C2859" t="s">
        <v>54</v>
      </c>
      <c r="D2859" t="s">
        <v>55</v>
      </c>
      <c r="E2859" t="s">
        <v>2162</v>
      </c>
      <c r="F2859" t="s">
        <v>1247</v>
      </c>
      <c r="G2859" t="s">
        <v>108</v>
      </c>
      <c r="H2859" t="s">
        <v>109</v>
      </c>
      <c r="I2859" t="s">
        <v>109</v>
      </c>
      <c r="J2859" t="s">
        <v>60</v>
      </c>
      <c r="K2859" t="s">
        <v>110</v>
      </c>
      <c r="L2859" t="s">
        <v>62</v>
      </c>
      <c r="M2859" t="s">
        <v>110</v>
      </c>
      <c r="N2859" t="s">
        <v>111</v>
      </c>
      <c r="O2859" t="s">
        <v>112</v>
      </c>
      <c r="P2859">
        <v>-20.122233999999999</v>
      </c>
      <c r="Q2859">
        <v>-44.909194999999997</v>
      </c>
      <c r="R2859" s="2" t="str">
        <f>HYPERLINK("https://www.google.com/maps?q=-20.1222340,-44.9091950","Abrir no Google Maps")</f>
        <v>Abrir no Google Maps</v>
      </c>
      <c r="S2859">
        <v>4</v>
      </c>
      <c r="T2859">
        <v>1171.396020763932</v>
      </c>
      <c r="U2859">
        <v>4</v>
      </c>
      <c r="V2859">
        <v>0.49142923890753171</v>
      </c>
      <c r="W2859">
        <v>0.85</v>
      </c>
      <c r="X2859">
        <v>0.41771485307140188</v>
      </c>
      <c r="Y2859">
        <v>567</v>
      </c>
      <c r="Z2859">
        <v>1238.711234283244</v>
      </c>
      <c r="AA2859">
        <v>198</v>
      </c>
      <c r="AB2859">
        <v>332</v>
      </c>
      <c r="AC2859">
        <v>536</v>
      </c>
      <c r="AD2859">
        <v>26.86</v>
      </c>
      <c r="AE2859">
        <v>542</v>
      </c>
      <c r="AF2859">
        <v>15</v>
      </c>
      <c r="AG2859">
        <v>178</v>
      </c>
      <c r="AH2859">
        <v>129</v>
      </c>
      <c r="AI2859">
        <v>2.77</v>
      </c>
      <c r="AJ2859">
        <v>32.840000000000003</v>
      </c>
      <c r="AK2859">
        <v>23.8</v>
      </c>
      <c r="AL2859">
        <v>-20.121881249999941</v>
      </c>
      <c r="AM2859">
        <v>-44.909273766094323</v>
      </c>
      <c r="AN2859">
        <v>-20.121881249999941</v>
      </c>
      <c r="AO2859">
        <v>-44.909273766094323</v>
      </c>
      <c r="AP2859">
        <v>-20.122233999999999</v>
      </c>
      <c r="AQ2859">
        <v>-44.909194999999997</v>
      </c>
      <c r="AR2859">
        <v>40.12192930593006</v>
      </c>
      <c r="AS2859" t="s">
        <v>65</v>
      </c>
      <c r="AT2859">
        <v>1</v>
      </c>
      <c r="AU2859" t="s">
        <v>113</v>
      </c>
      <c r="AV2859" t="s">
        <v>114</v>
      </c>
      <c r="AW2859" t="s">
        <v>60</v>
      </c>
      <c r="AX2859" t="s">
        <v>68</v>
      </c>
      <c r="AY2859" t="s">
        <v>69</v>
      </c>
      <c r="AZ2859" t="b">
        <v>1</v>
      </c>
    </row>
    <row r="2860" spans="1:52" x14ac:dyDescent="0.3">
      <c r="A2860" t="s">
        <v>52</v>
      </c>
      <c r="B2860" t="s">
        <v>53</v>
      </c>
      <c r="C2860" t="s">
        <v>54</v>
      </c>
      <c r="D2860" t="s">
        <v>55</v>
      </c>
      <c r="E2860" t="s">
        <v>2162</v>
      </c>
      <c r="F2860" t="s">
        <v>1247</v>
      </c>
      <c r="G2860" t="s">
        <v>115</v>
      </c>
      <c r="H2860" t="s">
        <v>116</v>
      </c>
      <c r="I2860" t="s">
        <v>116</v>
      </c>
      <c r="J2860" t="s">
        <v>60</v>
      </c>
      <c r="K2860" t="s">
        <v>117</v>
      </c>
      <c r="L2860" t="s">
        <v>62</v>
      </c>
      <c r="M2860" t="s">
        <v>117</v>
      </c>
      <c r="N2860" t="s">
        <v>118</v>
      </c>
      <c r="O2860" t="s">
        <v>119</v>
      </c>
      <c r="P2860">
        <v>-20.116992</v>
      </c>
      <c r="Q2860">
        <v>-44.899355</v>
      </c>
      <c r="R2860" s="2" t="str">
        <f>HYPERLINK("https://www.google.com/maps?q=-20.1169920,-44.8993550","Abrir no Google Maps")</f>
        <v>Abrir no Google Maps</v>
      </c>
      <c r="S2860">
        <v>4</v>
      </c>
      <c r="T2860">
        <v>0</v>
      </c>
      <c r="U2860">
        <v>4</v>
      </c>
      <c r="V2860">
        <v>0.41770828563763401</v>
      </c>
      <c r="W2860">
        <v>1</v>
      </c>
      <c r="X2860">
        <v>0.41770828563763401</v>
      </c>
      <c r="Y2860">
        <v>567</v>
      </c>
      <c r="Z2860">
        <v>54.913678078353321</v>
      </c>
      <c r="AA2860">
        <v>198</v>
      </c>
      <c r="AB2860">
        <v>332</v>
      </c>
      <c r="AC2860">
        <v>536</v>
      </c>
      <c r="AD2860">
        <v>26.86</v>
      </c>
      <c r="AE2860">
        <v>542</v>
      </c>
      <c r="AF2860">
        <v>15</v>
      </c>
      <c r="AG2860">
        <v>178</v>
      </c>
      <c r="AH2860">
        <v>129</v>
      </c>
      <c r="AI2860">
        <v>2.77</v>
      </c>
      <c r="AJ2860">
        <v>32.840000000000003</v>
      </c>
      <c r="AK2860">
        <v>23.8</v>
      </c>
      <c r="AL2860">
        <v>-20.117107749999949</v>
      </c>
      <c r="AM2860">
        <v>-44.899271226243108</v>
      </c>
      <c r="AN2860">
        <v>-20.117107749999949</v>
      </c>
      <c r="AO2860">
        <v>-44.899271226243108</v>
      </c>
      <c r="AP2860">
        <v>-20.116992</v>
      </c>
      <c r="AQ2860">
        <v>-44.899355</v>
      </c>
      <c r="AR2860">
        <v>15.579196044083419</v>
      </c>
      <c r="AS2860" t="s">
        <v>65</v>
      </c>
      <c r="AT2860">
        <v>1</v>
      </c>
      <c r="AU2860" t="s">
        <v>120</v>
      </c>
      <c r="AV2860" t="s">
        <v>121</v>
      </c>
      <c r="AW2860" t="s">
        <v>60</v>
      </c>
      <c r="AX2860" t="s">
        <v>68</v>
      </c>
      <c r="AY2860" t="s">
        <v>69</v>
      </c>
      <c r="AZ2860" t="b">
        <v>1</v>
      </c>
    </row>
    <row r="2861" spans="1:52" x14ac:dyDescent="0.3">
      <c r="A2861" t="s">
        <v>52</v>
      </c>
      <c r="B2861" t="s">
        <v>53</v>
      </c>
      <c r="C2861" t="s">
        <v>54</v>
      </c>
      <c r="D2861" t="s">
        <v>55</v>
      </c>
      <c r="E2861" t="s">
        <v>2162</v>
      </c>
      <c r="F2861" t="s">
        <v>1247</v>
      </c>
      <c r="G2861" t="s">
        <v>122</v>
      </c>
      <c r="H2861" t="s">
        <v>123</v>
      </c>
      <c r="I2861" t="s">
        <v>123</v>
      </c>
      <c r="J2861" t="s">
        <v>60</v>
      </c>
      <c r="K2861" t="s">
        <v>117</v>
      </c>
      <c r="L2861" t="s">
        <v>62</v>
      </c>
      <c r="M2861" t="s">
        <v>117</v>
      </c>
      <c r="N2861" t="s">
        <v>124</v>
      </c>
      <c r="O2861" t="s">
        <v>125</v>
      </c>
      <c r="P2861">
        <v>-20.11853</v>
      </c>
      <c r="Q2861">
        <v>-44.896925000000003</v>
      </c>
      <c r="R2861" s="2" t="str">
        <f>HYPERLINK("https://www.google.com/maps?q=-20.1185300,-44.8969250","Abrir no Google Maps")</f>
        <v>Abrir no Google Maps</v>
      </c>
      <c r="S2861">
        <v>4</v>
      </c>
      <c r="T2861">
        <v>325.32255721093247</v>
      </c>
      <c r="U2861">
        <v>4</v>
      </c>
      <c r="V2861">
        <v>0.4204861867466293</v>
      </c>
      <c r="W2861">
        <v>1</v>
      </c>
      <c r="X2861">
        <v>0.4204861867466293</v>
      </c>
      <c r="Y2861">
        <v>567</v>
      </c>
      <c r="Z2861">
        <v>306.04423478678871</v>
      </c>
      <c r="AA2861">
        <v>198</v>
      </c>
      <c r="AB2861">
        <v>332</v>
      </c>
      <c r="AC2861">
        <v>536</v>
      </c>
      <c r="AD2861">
        <v>26.86</v>
      </c>
      <c r="AE2861">
        <v>542</v>
      </c>
      <c r="AF2861">
        <v>15</v>
      </c>
      <c r="AG2861">
        <v>178</v>
      </c>
      <c r="AH2861">
        <v>129</v>
      </c>
      <c r="AI2861">
        <v>2.77</v>
      </c>
      <c r="AJ2861">
        <v>32.840000000000003</v>
      </c>
      <c r="AK2861">
        <v>23.8</v>
      </c>
      <c r="AL2861">
        <v>-20.118682499999949</v>
      </c>
      <c r="AM2861">
        <v>-44.896643089287927</v>
      </c>
      <c r="AN2861">
        <v>-20.118682499999949</v>
      </c>
      <c r="AO2861">
        <v>-44.896643089287927</v>
      </c>
      <c r="AP2861">
        <v>-20.11853</v>
      </c>
      <c r="AQ2861">
        <v>-44.896925000000003</v>
      </c>
      <c r="AR2861">
        <v>34.007698996886518</v>
      </c>
      <c r="AS2861" t="s">
        <v>65</v>
      </c>
      <c r="AT2861">
        <v>1</v>
      </c>
      <c r="AU2861" t="s">
        <v>126</v>
      </c>
      <c r="AV2861" t="s">
        <v>121</v>
      </c>
      <c r="AW2861" t="s">
        <v>60</v>
      </c>
      <c r="AX2861" t="s">
        <v>68</v>
      </c>
      <c r="AY2861" t="s">
        <v>69</v>
      </c>
      <c r="AZ2861" t="b">
        <v>1</v>
      </c>
    </row>
    <row r="2862" spans="1:52" x14ac:dyDescent="0.3">
      <c r="A2862" t="s">
        <v>52</v>
      </c>
      <c r="B2862" t="s">
        <v>53</v>
      </c>
      <c r="C2862" t="s">
        <v>54</v>
      </c>
      <c r="D2862" t="s">
        <v>55</v>
      </c>
      <c r="E2862" t="s">
        <v>2162</v>
      </c>
      <c r="F2862" t="s">
        <v>1247</v>
      </c>
      <c r="G2862" t="s">
        <v>191</v>
      </c>
      <c r="H2862" t="s">
        <v>192</v>
      </c>
      <c r="I2862" t="s">
        <v>192</v>
      </c>
      <c r="J2862" t="s">
        <v>60</v>
      </c>
      <c r="K2862" t="s">
        <v>193</v>
      </c>
      <c r="L2862" t="s">
        <v>62</v>
      </c>
      <c r="M2862" t="s">
        <v>193</v>
      </c>
      <c r="N2862" t="s">
        <v>194</v>
      </c>
      <c r="O2862" t="s">
        <v>195</v>
      </c>
      <c r="P2862">
        <v>-20.143266000000001</v>
      </c>
      <c r="Q2862">
        <v>-44.912075000000002</v>
      </c>
      <c r="R2862" s="2" t="str">
        <f>HYPERLINK("https://www.google.com/maps?q=-20.1432660,-44.9120750","Abrir no Google Maps")</f>
        <v>Abrir no Google Maps</v>
      </c>
      <c r="S2862">
        <v>4</v>
      </c>
      <c r="T2862">
        <v>467.04339396175408</v>
      </c>
      <c r="U2862">
        <v>3</v>
      </c>
      <c r="V2862">
        <v>0.39846402164852612</v>
      </c>
      <c r="W2862">
        <v>1</v>
      </c>
      <c r="X2862">
        <v>0.39846402164852612</v>
      </c>
      <c r="Y2862">
        <v>747</v>
      </c>
      <c r="Z2862">
        <v>585.1742452866996</v>
      </c>
      <c r="AA2862">
        <v>198</v>
      </c>
      <c r="AB2862">
        <v>332</v>
      </c>
      <c r="AC2862">
        <v>536</v>
      </c>
      <c r="AD2862">
        <v>26.86</v>
      </c>
      <c r="AE2862">
        <v>542</v>
      </c>
      <c r="AF2862">
        <v>15</v>
      </c>
      <c r="AG2862">
        <v>178</v>
      </c>
      <c r="AH2862">
        <v>129</v>
      </c>
      <c r="AI2862">
        <v>2.77</v>
      </c>
      <c r="AJ2862">
        <v>32.840000000000003</v>
      </c>
      <c r="AK2862">
        <v>23.8</v>
      </c>
      <c r="AL2862">
        <v>-20.143307949999951</v>
      </c>
      <c r="AM2862">
        <v>-44.912066629431067</v>
      </c>
      <c r="AN2862">
        <v>-20.143307949999951</v>
      </c>
      <c r="AO2862">
        <v>-44.912066629431067</v>
      </c>
      <c r="AP2862">
        <v>-20.143266000000001</v>
      </c>
      <c r="AQ2862">
        <v>-44.912075000000002</v>
      </c>
      <c r="AR2862">
        <v>4.751108024498329</v>
      </c>
      <c r="AS2862" t="s">
        <v>65</v>
      </c>
      <c r="AT2862">
        <v>1</v>
      </c>
      <c r="AU2862" t="s">
        <v>196</v>
      </c>
      <c r="AV2862" t="s">
        <v>197</v>
      </c>
      <c r="AW2862" t="s">
        <v>60</v>
      </c>
      <c r="AX2862" t="s">
        <v>68</v>
      </c>
      <c r="AY2862" t="s">
        <v>69</v>
      </c>
      <c r="AZ2862" t="b">
        <v>1</v>
      </c>
    </row>
    <row r="2863" spans="1:52" x14ac:dyDescent="0.3">
      <c r="A2863" t="s">
        <v>52</v>
      </c>
      <c r="B2863" t="s">
        <v>53</v>
      </c>
      <c r="C2863" t="s">
        <v>54</v>
      </c>
      <c r="D2863" t="s">
        <v>55</v>
      </c>
      <c r="E2863" t="s">
        <v>2162</v>
      </c>
      <c r="F2863" t="s">
        <v>1247</v>
      </c>
      <c r="G2863" t="s">
        <v>198</v>
      </c>
      <c r="H2863" t="s">
        <v>199</v>
      </c>
      <c r="I2863" t="s">
        <v>199</v>
      </c>
      <c r="J2863" t="s">
        <v>60</v>
      </c>
      <c r="K2863" t="s">
        <v>200</v>
      </c>
      <c r="L2863" t="s">
        <v>62</v>
      </c>
      <c r="M2863" t="s">
        <v>200</v>
      </c>
      <c r="N2863" t="s">
        <v>201</v>
      </c>
      <c r="O2863" t="s">
        <v>202</v>
      </c>
      <c r="P2863">
        <v>-20.122433000000001</v>
      </c>
      <c r="Q2863">
        <v>-44.897013999999999</v>
      </c>
      <c r="R2863" s="2" t="str">
        <f>HYPERLINK("https://www.google.com/maps?q=-20.1224330,-44.8970140","Abrir no Google Maps")</f>
        <v>Abrir no Google Maps</v>
      </c>
      <c r="S2863">
        <v>4</v>
      </c>
      <c r="T2863">
        <v>616.04759279207849</v>
      </c>
      <c r="U2863">
        <v>3</v>
      </c>
      <c r="V2863">
        <v>0.45702203972163019</v>
      </c>
      <c r="W2863">
        <v>0.85</v>
      </c>
      <c r="X2863">
        <v>0.38846873376338559</v>
      </c>
      <c r="Y2863">
        <v>567</v>
      </c>
      <c r="Z2863">
        <v>655.51024138861465</v>
      </c>
      <c r="AA2863">
        <v>198</v>
      </c>
      <c r="AB2863">
        <v>332</v>
      </c>
      <c r="AC2863">
        <v>536</v>
      </c>
      <c r="AD2863">
        <v>26.86</v>
      </c>
      <c r="AE2863">
        <v>542</v>
      </c>
      <c r="AF2863">
        <v>15</v>
      </c>
      <c r="AG2863">
        <v>178</v>
      </c>
      <c r="AH2863">
        <v>129</v>
      </c>
      <c r="AI2863">
        <v>2.77</v>
      </c>
      <c r="AJ2863">
        <v>32.840000000000003</v>
      </c>
      <c r="AK2863">
        <v>23.8</v>
      </c>
      <c r="AL2863">
        <v>-20.122144949999949</v>
      </c>
      <c r="AM2863">
        <v>-44.896761973125983</v>
      </c>
      <c r="AN2863">
        <v>-20.122144949999949</v>
      </c>
      <c r="AO2863">
        <v>-44.896761973125983</v>
      </c>
      <c r="AP2863">
        <v>-20.122433000000001</v>
      </c>
      <c r="AQ2863">
        <v>-44.897013999999999</v>
      </c>
      <c r="AR2863">
        <v>41.499066772735389</v>
      </c>
      <c r="AS2863" t="s">
        <v>65</v>
      </c>
      <c r="AT2863">
        <v>1</v>
      </c>
      <c r="AU2863" t="s">
        <v>203</v>
      </c>
      <c r="AV2863" t="s">
        <v>204</v>
      </c>
      <c r="AW2863" t="s">
        <v>60</v>
      </c>
      <c r="AX2863" t="s">
        <v>68</v>
      </c>
      <c r="AY2863" t="s">
        <v>69</v>
      </c>
      <c r="AZ2863" t="b">
        <v>1</v>
      </c>
    </row>
    <row r="2864" spans="1:52" x14ac:dyDescent="0.3">
      <c r="A2864" t="s">
        <v>52</v>
      </c>
      <c r="B2864" t="s">
        <v>53</v>
      </c>
      <c r="C2864" t="s">
        <v>54</v>
      </c>
      <c r="D2864" t="s">
        <v>55</v>
      </c>
      <c r="E2864" t="s">
        <v>2162</v>
      </c>
      <c r="F2864" t="s">
        <v>1247</v>
      </c>
      <c r="G2864" t="s">
        <v>205</v>
      </c>
      <c r="H2864" t="s">
        <v>206</v>
      </c>
      <c r="I2864" t="s">
        <v>206</v>
      </c>
      <c r="J2864" t="s">
        <v>60</v>
      </c>
      <c r="K2864" t="s">
        <v>207</v>
      </c>
      <c r="L2864" t="s">
        <v>62</v>
      </c>
      <c r="M2864" t="s">
        <v>207</v>
      </c>
      <c r="N2864" t="s">
        <v>208</v>
      </c>
      <c r="O2864" t="s">
        <v>209</v>
      </c>
      <c r="P2864">
        <v>-20.117533999999999</v>
      </c>
      <c r="Q2864">
        <v>-44.892943000000002</v>
      </c>
      <c r="R2864" s="2" t="str">
        <f>HYPERLINK("https://www.google.com/maps?q=-20.1175340,-44.8929430","Abrir no Google Maps")</f>
        <v>Abrir no Google Maps</v>
      </c>
      <c r="S2864">
        <v>4</v>
      </c>
      <c r="T2864">
        <v>601.98486688021592</v>
      </c>
      <c r="U2864">
        <v>3</v>
      </c>
      <c r="V2864">
        <v>0.47187596015143701</v>
      </c>
      <c r="W2864">
        <v>0.85</v>
      </c>
      <c r="X2864">
        <v>0.40109456612872152</v>
      </c>
      <c r="Y2864">
        <v>567</v>
      </c>
      <c r="Z2864">
        <v>574.59225706016446</v>
      </c>
      <c r="AA2864">
        <v>198</v>
      </c>
      <c r="AB2864">
        <v>332</v>
      </c>
      <c r="AC2864">
        <v>536</v>
      </c>
      <c r="AD2864">
        <v>26.86</v>
      </c>
      <c r="AE2864">
        <v>542</v>
      </c>
      <c r="AF2864">
        <v>15</v>
      </c>
      <c r="AG2864">
        <v>178</v>
      </c>
      <c r="AH2864">
        <v>129</v>
      </c>
      <c r="AI2864">
        <v>2.77</v>
      </c>
      <c r="AJ2864">
        <v>32.840000000000003</v>
      </c>
      <c r="AK2864">
        <v>23.8</v>
      </c>
      <c r="AL2864">
        <v>-20.11671494999996</v>
      </c>
      <c r="AM2864">
        <v>-44.89352717833448</v>
      </c>
      <c r="AN2864">
        <v>-20.11671494999996</v>
      </c>
      <c r="AO2864">
        <v>-44.89352717833448</v>
      </c>
      <c r="AP2864">
        <v>-20.117533999999999</v>
      </c>
      <c r="AQ2864">
        <v>-44.892943000000002</v>
      </c>
      <c r="AR2864">
        <v>109.7357164799156</v>
      </c>
      <c r="AS2864" t="s">
        <v>65</v>
      </c>
      <c r="AT2864">
        <v>1</v>
      </c>
      <c r="AU2864" t="s">
        <v>210</v>
      </c>
      <c r="AV2864" t="s">
        <v>211</v>
      </c>
      <c r="AW2864" t="s">
        <v>60</v>
      </c>
      <c r="AX2864" t="s">
        <v>68</v>
      </c>
      <c r="AY2864" t="s">
        <v>69</v>
      </c>
      <c r="AZ2864" t="b">
        <v>1</v>
      </c>
    </row>
    <row r="2865" spans="1:52" x14ac:dyDescent="0.3">
      <c r="A2865" t="s">
        <v>52</v>
      </c>
      <c r="B2865" t="s">
        <v>53</v>
      </c>
      <c r="C2865" t="s">
        <v>54</v>
      </c>
      <c r="D2865" t="s">
        <v>55</v>
      </c>
      <c r="E2865" t="s">
        <v>2162</v>
      </c>
      <c r="F2865" t="s">
        <v>1247</v>
      </c>
      <c r="G2865" t="s">
        <v>1248</v>
      </c>
      <c r="H2865" t="s">
        <v>1249</v>
      </c>
      <c r="I2865" t="s">
        <v>1249</v>
      </c>
      <c r="J2865" t="s">
        <v>60</v>
      </c>
      <c r="K2865" t="s">
        <v>61</v>
      </c>
      <c r="L2865" t="s">
        <v>62</v>
      </c>
      <c r="M2865" t="s">
        <v>61</v>
      </c>
      <c r="N2865" t="s">
        <v>1250</v>
      </c>
      <c r="O2865" t="s">
        <v>202</v>
      </c>
      <c r="P2865">
        <v>-20.145337999999999</v>
      </c>
      <c r="Q2865">
        <v>-44.906260000000003</v>
      </c>
      <c r="R2865" s="2" t="str">
        <f>HYPERLINK("https://www.google.com/maps?q=-20.1453380,-44.9062600","Abrir no Google Maps")</f>
        <v>Abrir no Google Maps</v>
      </c>
      <c r="S2865">
        <v>4</v>
      </c>
      <c r="T2865">
        <v>231.8105263092443</v>
      </c>
      <c r="U2865">
        <v>2</v>
      </c>
      <c r="V2865">
        <v>0.38586289235999782</v>
      </c>
      <c r="W2865">
        <v>0.85</v>
      </c>
      <c r="X2865">
        <v>0.32798345850599808</v>
      </c>
      <c r="Y2865">
        <v>747</v>
      </c>
      <c r="Z2865">
        <v>210.09098260239841</v>
      </c>
      <c r="AA2865">
        <v>198</v>
      </c>
      <c r="AB2865">
        <v>332</v>
      </c>
      <c r="AC2865">
        <v>536</v>
      </c>
      <c r="AD2865">
        <v>26.86</v>
      </c>
      <c r="AE2865">
        <v>542</v>
      </c>
      <c r="AF2865">
        <v>15</v>
      </c>
      <c r="AG2865">
        <v>178</v>
      </c>
      <c r="AH2865">
        <v>129</v>
      </c>
      <c r="AI2865">
        <v>2.77</v>
      </c>
      <c r="AJ2865">
        <v>32.840000000000003</v>
      </c>
      <c r="AK2865">
        <v>23.8</v>
      </c>
      <c r="AL2865">
        <v>-20.14545934999995</v>
      </c>
      <c r="AM2865">
        <v>-44.906243174283489</v>
      </c>
      <c r="AN2865">
        <v>-20.14545934999995</v>
      </c>
      <c r="AO2865">
        <v>-44.906243174283489</v>
      </c>
      <c r="AP2865">
        <v>-20.145337999999999</v>
      </c>
      <c r="AQ2865">
        <v>-44.906260000000003</v>
      </c>
      <c r="AR2865">
        <v>13.622651392262521</v>
      </c>
      <c r="AS2865" t="s">
        <v>65</v>
      </c>
      <c r="AT2865">
        <v>1</v>
      </c>
      <c r="AU2865" t="s">
        <v>1251</v>
      </c>
      <c r="AV2865" t="s">
        <v>1252</v>
      </c>
      <c r="AW2865" t="s">
        <v>60</v>
      </c>
      <c r="AX2865" t="s">
        <v>68</v>
      </c>
      <c r="AY2865" t="s">
        <v>69</v>
      </c>
      <c r="AZ2865" t="b">
        <v>1</v>
      </c>
    </row>
    <row r="2866" spans="1:52" x14ac:dyDescent="0.3">
      <c r="A2866" t="s">
        <v>52</v>
      </c>
      <c r="B2866" t="s">
        <v>53</v>
      </c>
      <c r="C2866" t="s">
        <v>54</v>
      </c>
      <c r="D2866" t="s">
        <v>55</v>
      </c>
      <c r="E2866" t="s">
        <v>2162</v>
      </c>
      <c r="F2866" t="s">
        <v>1247</v>
      </c>
      <c r="G2866" t="s">
        <v>83</v>
      </c>
      <c r="H2866" t="s">
        <v>1253</v>
      </c>
      <c r="I2866" t="s">
        <v>1253</v>
      </c>
      <c r="J2866" t="s">
        <v>60</v>
      </c>
      <c r="K2866" t="s">
        <v>72</v>
      </c>
      <c r="L2866" t="s">
        <v>62</v>
      </c>
      <c r="M2866" t="s">
        <v>72</v>
      </c>
      <c r="N2866" t="s">
        <v>1254</v>
      </c>
      <c r="O2866" t="s">
        <v>1255</v>
      </c>
      <c r="P2866">
        <v>-20.147164</v>
      </c>
      <c r="Q2866">
        <v>-44.905259000000001</v>
      </c>
      <c r="R2866" s="2" t="str">
        <f>HYPERLINK("https://www.google.com/maps?q=-20.1471640,-44.9052590","Abrir no Google Maps")</f>
        <v>Abrir no Google Maps</v>
      </c>
      <c r="S2866">
        <v>4</v>
      </c>
      <c r="T2866">
        <v>364.08569180502712</v>
      </c>
      <c r="U2866">
        <v>2</v>
      </c>
      <c r="V2866">
        <v>0.40429968951526529</v>
      </c>
      <c r="W2866">
        <v>0.85</v>
      </c>
      <c r="X2866">
        <v>0.34365473608797548</v>
      </c>
      <c r="Y2866">
        <v>747</v>
      </c>
      <c r="Z2866">
        <v>309.89238988435022</v>
      </c>
      <c r="AA2866">
        <v>198</v>
      </c>
      <c r="AB2866">
        <v>332</v>
      </c>
      <c r="AC2866">
        <v>536</v>
      </c>
      <c r="AD2866">
        <v>26.86</v>
      </c>
      <c r="AE2866">
        <v>542</v>
      </c>
      <c r="AF2866">
        <v>15</v>
      </c>
      <c r="AG2866">
        <v>178</v>
      </c>
      <c r="AH2866">
        <v>129</v>
      </c>
      <c r="AI2866">
        <v>2.77</v>
      </c>
      <c r="AJ2866">
        <v>32.840000000000003</v>
      </c>
      <c r="AK2866">
        <v>23.8</v>
      </c>
      <c r="AL2866">
        <v>-20.14718674999995</v>
      </c>
      <c r="AM2866">
        <v>-44.905292621565764</v>
      </c>
      <c r="AN2866">
        <v>-20.147186749999939</v>
      </c>
      <c r="AO2866">
        <v>-44.905292621565764</v>
      </c>
      <c r="AP2866">
        <v>-20.147164</v>
      </c>
      <c r="AQ2866">
        <v>-44.905259000000001</v>
      </c>
      <c r="AR2866">
        <v>4.3312880650984971</v>
      </c>
      <c r="AS2866" t="s">
        <v>65</v>
      </c>
      <c r="AT2866">
        <v>1</v>
      </c>
      <c r="AU2866" t="s">
        <v>1256</v>
      </c>
      <c r="AV2866" t="s">
        <v>1257</v>
      </c>
      <c r="AW2866" t="s">
        <v>60</v>
      </c>
      <c r="AX2866" t="s">
        <v>68</v>
      </c>
      <c r="AY2866" t="s">
        <v>69</v>
      </c>
      <c r="AZ2866" t="b">
        <v>1</v>
      </c>
    </row>
    <row r="2867" spans="1:52" x14ac:dyDescent="0.3">
      <c r="A2867" t="s">
        <v>52</v>
      </c>
      <c r="B2867" t="s">
        <v>53</v>
      </c>
      <c r="C2867" t="s">
        <v>54</v>
      </c>
      <c r="D2867" t="s">
        <v>55</v>
      </c>
      <c r="E2867" t="s">
        <v>2162</v>
      </c>
      <c r="F2867" t="s">
        <v>1247</v>
      </c>
      <c r="G2867" t="s">
        <v>1258</v>
      </c>
      <c r="H2867" t="s">
        <v>1259</v>
      </c>
      <c r="I2867" t="s">
        <v>1259</v>
      </c>
      <c r="J2867" t="s">
        <v>60</v>
      </c>
      <c r="K2867" t="s">
        <v>905</v>
      </c>
      <c r="L2867" t="s">
        <v>62</v>
      </c>
      <c r="M2867" t="s">
        <v>905</v>
      </c>
      <c r="N2867" t="s">
        <v>1260</v>
      </c>
      <c r="O2867" t="s">
        <v>628</v>
      </c>
      <c r="P2867">
        <v>-20.113569999999999</v>
      </c>
      <c r="Q2867">
        <v>-44.897216</v>
      </c>
      <c r="R2867" s="2" t="str">
        <f>HYPERLINK("https://www.google.com/maps?q=-20.1135700,-44.8972160","Abrir no Google Maps")</f>
        <v>Abrir no Google Maps</v>
      </c>
      <c r="S2867">
        <v>4</v>
      </c>
      <c r="T2867">
        <v>418.54368277643368</v>
      </c>
      <c r="U2867">
        <v>2</v>
      </c>
      <c r="V2867">
        <v>0.38388069395931551</v>
      </c>
      <c r="W2867">
        <v>0.85</v>
      </c>
      <c r="X2867">
        <v>0.32629858986541821</v>
      </c>
      <c r="Y2867">
        <v>567</v>
      </c>
      <c r="Z2867">
        <v>315.02989622191018</v>
      </c>
      <c r="AA2867">
        <v>198</v>
      </c>
      <c r="AB2867">
        <v>332</v>
      </c>
      <c r="AC2867">
        <v>536</v>
      </c>
      <c r="AD2867">
        <v>26.86</v>
      </c>
      <c r="AE2867">
        <v>542</v>
      </c>
      <c r="AF2867">
        <v>15</v>
      </c>
      <c r="AG2867">
        <v>178</v>
      </c>
      <c r="AH2867">
        <v>129</v>
      </c>
      <c r="AI2867">
        <v>2.77</v>
      </c>
      <c r="AJ2867">
        <v>32.840000000000003</v>
      </c>
      <c r="AK2867">
        <v>23.8</v>
      </c>
      <c r="AL2867">
        <v>-20.113750149999959</v>
      </c>
      <c r="AM2867">
        <v>-44.897427949999937</v>
      </c>
      <c r="AN2867">
        <v>-20.113750149999959</v>
      </c>
      <c r="AO2867">
        <v>-44.897427949999937</v>
      </c>
      <c r="AP2867">
        <v>-20.113569999999999</v>
      </c>
      <c r="AQ2867">
        <v>-44.897216</v>
      </c>
      <c r="AR2867">
        <v>29.883644534822711</v>
      </c>
      <c r="AS2867" t="s">
        <v>65</v>
      </c>
      <c r="AT2867">
        <v>1</v>
      </c>
      <c r="AU2867" t="s">
        <v>1261</v>
      </c>
      <c r="AV2867" t="s">
        <v>1262</v>
      </c>
      <c r="AW2867" t="s">
        <v>60</v>
      </c>
      <c r="AX2867" t="s">
        <v>68</v>
      </c>
      <c r="AY2867" t="s">
        <v>69</v>
      </c>
      <c r="AZ2867" t="b">
        <v>1</v>
      </c>
    </row>
    <row r="2868" spans="1:52" x14ac:dyDescent="0.3">
      <c r="A2868" t="s">
        <v>52</v>
      </c>
      <c r="B2868" t="s">
        <v>53</v>
      </c>
      <c r="C2868" t="s">
        <v>54</v>
      </c>
      <c r="D2868" t="s">
        <v>55</v>
      </c>
      <c r="E2868" t="s">
        <v>2162</v>
      </c>
      <c r="F2868" t="s">
        <v>1247</v>
      </c>
      <c r="G2868" t="s">
        <v>1263</v>
      </c>
      <c r="H2868" t="s">
        <v>1264</v>
      </c>
      <c r="I2868" t="s">
        <v>1264</v>
      </c>
      <c r="J2868" t="s">
        <v>60</v>
      </c>
      <c r="K2868" t="s">
        <v>1265</v>
      </c>
      <c r="L2868" t="s">
        <v>62</v>
      </c>
      <c r="M2868" t="s">
        <v>1265</v>
      </c>
      <c r="N2868" t="s">
        <v>1266</v>
      </c>
      <c r="O2868" t="s">
        <v>1267</v>
      </c>
      <c r="P2868">
        <v>-20.116924000000001</v>
      </c>
      <c r="Q2868">
        <v>-44.906587000000002</v>
      </c>
      <c r="R2868" s="2" t="str">
        <f>HYPERLINK("https://www.google.com/maps?q=-20.1169240,-44.9065870","Abrir no Google Maps")</f>
        <v>Abrir no Google Maps</v>
      </c>
      <c r="S2868">
        <v>4</v>
      </c>
      <c r="T2868">
        <v>745.10453961787857</v>
      </c>
      <c r="U2868">
        <v>1</v>
      </c>
      <c r="V2868">
        <v>0.36286534483143179</v>
      </c>
      <c r="W2868">
        <v>0.85</v>
      </c>
      <c r="X2868">
        <v>0.308435543106717</v>
      </c>
      <c r="Y2868">
        <v>567</v>
      </c>
      <c r="Z2868">
        <v>816.44456345071217</v>
      </c>
      <c r="AA2868">
        <v>198</v>
      </c>
      <c r="AB2868">
        <v>332</v>
      </c>
      <c r="AC2868">
        <v>536</v>
      </c>
      <c r="AD2868">
        <v>26.86</v>
      </c>
      <c r="AE2868">
        <v>542</v>
      </c>
      <c r="AF2868">
        <v>15</v>
      </c>
      <c r="AG2868">
        <v>178</v>
      </c>
      <c r="AH2868">
        <v>129</v>
      </c>
      <c r="AI2868">
        <v>2.77</v>
      </c>
      <c r="AJ2868">
        <v>32.840000000000003</v>
      </c>
      <c r="AK2868">
        <v>23.8</v>
      </c>
      <c r="AL2868">
        <v>-20.117279149999941</v>
      </c>
      <c r="AM2868">
        <v>-44.906397211815133</v>
      </c>
      <c r="AN2868">
        <v>-20.117279149999941</v>
      </c>
      <c r="AO2868">
        <v>-44.906397211815133</v>
      </c>
      <c r="AP2868">
        <v>-20.116924000000001</v>
      </c>
      <c r="AQ2868">
        <v>-44.906587000000002</v>
      </c>
      <c r="AR2868">
        <v>44.233430660980403</v>
      </c>
      <c r="AS2868" t="s">
        <v>65</v>
      </c>
      <c r="AT2868">
        <v>1</v>
      </c>
      <c r="AU2868" t="s">
        <v>1268</v>
      </c>
      <c r="AV2868" t="s">
        <v>1269</v>
      </c>
      <c r="AW2868" t="s">
        <v>60</v>
      </c>
      <c r="AX2868" t="s">
        <v>68</v>
      </c>
      <c r="AY2868" t="s">
        <v>69</v>
      </c>
      <c r="AZ2868" t="b">
        <v>1</v>
      </c>
    </row>
    <row r="2869" spans="1:52" x14ac:dyDescent="0.3">
      <c r="A2869" t="s">
        <v>52</v>
      </c>
      <c r="B2869" t="s">
        <v>53</v>
      </c>
      <c r="C2869" t="s">
        <v>54</v>
      </c>
      <c r="D2869" t="s">
        <v>55</v>
      </c>
      <c r="E2869" t="s">
        <v>2162</v>
      </c>
      <c r="F2869" t="s">
        <v>1247</v>
      </c>
      <c r="G2869" t="s">
        <v>1127</v>
      </c>
      <c r="H2869" t="s">
        <v>1270</v>
      </c>
      <c r="I2869" t="s">
        <v>1270</v>
      </c>
      <c r="J2869" t="s">
        <v>60</v>
      </c>
      <c r="K2869" t="s">
        <v>200</v>
      </c>
      <c r="L2869" t="s">
        <v>62</v>
      </c>
      <c r="M2869" t="s">
        <v>200</v>
      </c>
      <c r="N2869" t="s">
        <v>1271</v>
      </c>
      <c r="O2869" t="s">
        <v>315</v>
      </c>
      <c r="P2869">
        <v>-20.123483</v>
      </c>
      <c r="Q2869">
        <v>-44.904159</v>
      </c>
      <c r="R2869" s="2" t="str">
        <f>HYPERLINK("https://www.google.com/maps?q=-20.1234830,-44.9041590","Abrir no Google Maps")</f>
        <v>Abrir no Google Maps</v>
      </c>
      <c r="S2869">
        <v>4</v>
      </c>
      <c r="T2869">
        <v>1046.2792913459141</v>
      </c>
      <c r="U2869">
        <v>1</v>
      </c>
      <c r="V2869">
        <v>0.13767361111111109</v>
      </c>
      <c r="W2869">
        <v>0.85</v>
      </c>
      <c r="X2869">
        <v>0.1170225694444444</v>
      </c>
      <c r="Y2869">
        <v>567</v>
      </c>
      <c r="Z2869">
        <v>1072.1273144328541</v>
      </c>
      <c r="AA2869">
        <v>198</v>
      </c>
      <c r="AB2869">
        <v>332</v>
      </c>
      <c r="AC2869">
        <v>536</v>
      </c>
      <c r="AD2869">
        <v>26.86</v>
      </c>
      <c r="AE2869">
        <v>542</v>
      </c>
      <c r="AF2869">
        <v>15</v>
      </c>
      <c r="AG2869">
        <v>178</v>
      </c>
      <c r="AH2869">
        <v>129</v>
      </c>
      <c r="AI2869">
        <v>2.77</v>
      </c>
      <c r="AJ2869">
        <v>32.840000000000003</v>
      </c>
      <c r="AK2869">
        <v>23.8</v>
      </c>
      <c r="AL2869">
        <v>-20.12548399999994</v>
      </c>
      <c r="AM2869">
        <v>-44.903913990586467</v>
      </c>
      <c r="AN2869">
        <v>-20.12548399999994</v>
      </c>
      <c r="AO2869">
        <v>-44.903913990586467</v>
      </c>
      <c r="AP2869">
        <v>-20.123483</v>
      </c>
      <c r="AQ2869">
        <v>-44.904159</v>
      </c>
      <c r="AR2869">
        <v>224.218591682908</v>
      </c>
      <c r="AS2869" t="s">
        <v>65</v>
      </c>
      <c r="AT2869">
        <v>1</v>
      </c>
      <c r="AU2869" t="s">
        <v>1272</v>
      </c>
      <c r="AV2869" t="s">
        <v>1273</v>
      </c>
      <c r="AW2869" t="s">
        <v>60</v>
      </c>
      <c r="AX2869" t="s">
        <v>68</v>
      </c>
      <c r="AY2869" t="s">
        <v>69</v>
      </c>
      <c r="AZ2869" t="b">
        <v>1</v>
      </c>
    </row>
    <row r="2870" spans="1:52" x14ac:dyDescent="0.3">
      <c r="A2870" t="s">
        <v>52</v>
      </c>
      <c r="B2870" t="s">
        <v>53</v>
      </c>
      <c r="C2870" t="s">
        <v>54</v>
      </c>
      <c r="D2870" t="s">
        <v>55</v>
      </c>
      <c r="E2870" t="s">
        <v>2162</v>
      </c>
      <c r="F2870" t="s">
        <v>1247</v>
      </c>
      <c r="G2870" t="s">
        <v>380</v>
      </c>
      <c r="H2870" t="s">
        <v>381</v>
      </c>
      <c r="I2870" t="s">
        <v>381</v>
      </c>
      <c r="J2870" t="s">
        <v>60</v>
      </c>
      <c r="K2870" t="s">
        <v>72</v>
      </c>
      <c r="L2870" t="s">
        <v>62</v>
      </c>
      <c r="M2870" t="s">
        <v>72</v>
      </c>
      <c r="N2870" t="s">
        <v>382</v>
      </c>
      <c r="O2870" t="s">
        <v>383</v>
      </c>
      <c r="P2870">
        <v>-20.147182000000001</v>
      </c>
      <c r="Q2870">
        <v>-44.912728999999999</v>
      </c>
      <c r="R2870" s="2" t="str">
        <f>HYPERLINK("https://www.google.com/maps?q=-20.1471820,-44.9127290","Abrir no Google Maps")</f>
        <v>Abrir no Google Maps</v>
      </c>
      <c r="S2870">
        <v>3</v>
      </c>
      <c r="T2870">
        <v>478.0141981540923</v>
      </c>
      <c r="U2870">
        <v>4</v>
      </c>
      <c r="V2870">
        <v>0.4077776632186913</v>
      </c>
      <c r="W2870">
        <v>1</v>
      </c>
      <c r="X2870">
        <v>0.4077776632186913</v>
      </c>
      <c r="Y2870">
        <v>747</v>
      </c>
      <c r="Z2870">
        <v>494.0254290673729</v>
      </c>
      <c r="AA2870">
        <v>198</v>
      </c>
      <c r="AB2870">
        <v>332</v>
      </c>
      <c r="AC2870">
        <v>536</v>
      </c>
      <c r="AD2870">
        <v>26.86</v>
      </c>
      <c r="AE2870">
        <v>542</v>
      </c>
      <c r="AF2870">
        <v>15</v>
      </c>
      <c r="AG2870">
        <v>178</v>
      </c>
      <c r="AH2870">
        <v>129</v>
      </c>
      <c r="AI2870">
        <v>2.77</v>
      </c>
      <c r="AJ2870">
        <v>32.840000000000003</v>
      </c>
      <c r="AK2870">
        <v>23.8</v>
      </c>
      <c r="AL2870">
        <v>-20.147375599999979</v>
      </c>
      <c r="AM2870">
        <v>-44.912907472879468</v>
      </c>
      <c r="AN2870">
        <v>-20.147375599999979</v>
      </c>
      <c r="AO2870">
        <v>-44.912907472879468</v>
      </c>
      <c r="AP2870">
        <v>-20.147182000000001</v>
      </c>
      <c r="AQ2870">
        <v>-44.912728999999999</v>
      </c>
      <c r="AR2870">
        <v>28.50197694184326</v>
      </c>
      <c r="AS2870" t="s">
        <v>65</v>
      </c>
      <c r="AT2870">
        <v>1</v>
      </c>
      <c r="AU2870" t="s">
        <v>384</v>
      </c>
      <c r="AV2870" t="s">
        <v>385</v>
      </c>
      <c r="AW2870" t="s">
        <v>60</v>
      </c>
      <c r="AX2870" t="s">
        <v>68</v>
      </c>
      <c r="AY2870" t="s">
        <v>69</v>
      </c>
      <c r="AZ2870" t="b">
        <v>1</v>
      </c>
    </row>
    <row r="2871" spans="1:52" x14ac:dyDescent="0.3">
      <c r="A2871" t="s">
        <v>52</v>
      </c>
      <c r="B2871" t="s">
        <v>53</v>
      </c>
      <c r="C2871" t="s">
        <v>54</v>
      </c>
      <c r="D2871" t="s">
        <v>55</v>
      </c>
      <c r="E2871" t="s">
        <v>2162</v>
      </c>
      <c r="F2871" t="s">
        <v>1247</v>
      </c>
      <c r="G2871" t="s">
        <v>839</v>
      </c>
      <c r="H2871" t="s">
        <v>840</v>
      </c>
      <c r="I2871" t="s">
        <v>840</v>
      </c>
      <c r="J2871" t="s">
        <v>60</v>
      </c>
      <c r="K2871" t="s">
        <v>388</v>
      </c>
      <c r="L2871" t="s">
        <v>62</v>
      </c>
      <c r="M2871" t="s">
        <v>388</v>
      </c>
      <c r="N2871" t="s">
        <v>841</v>
      </c>
      <c r="O2871" t="s">
        <v>842</v>
      </c>
      <c r="P2871">
        <v>-20.159977999999999</v>
      </c>
      <c r="Q2871">
        <v>-44.900207000000002</v>
      </c>
      <c r="R2871" s="2" t="str">
        <f>HYPERLINK("https://www.google.com/maps?q=-20.1599780,-44.9002070","Abrir no Google Maps")</f>
        <v>Abrir no Google Maps</v>
      </c>
      <c r="S2871">
        <v>3</v>
      </c>
      <c r="T2871">
        <v>213.24333517300789</v>
      </c>
      <c r="U2871">
        <v>4</v>
      </c>
      <c r="V2871">
        <v>0.40654074818118652</v>
      </c>
      <c r="W2871">
        <v>1</v>
      </c>
      <c r="X2871">
        <v>0.40654074818118652</v>
      </c>
      <c r="Y2871">
        <v>729</v>
      </c>
      <c r="Z2871">
        <v>315.47173727880028</v>
      </c>
      <c r="AA2871">
        <v>198</v>
      </c>
      <c r="AB2871">
        <v>332</v>
      </c>
      <c r="AC2871">
        <v>536</v>
      </c>
      <c r="AD2871">
        <v>26.86</v>
      </c>
      <c r="AE2871">
        <v>542</v>
      </c>
      <c r="AF2871">
        <v>15</v>
      </c>
      <c r="AG2871">
        <v>178</v>
      </c>
      <c r="AH2871">
        <v>129</v>
      </c>
      <c r="AI2871">
        <v>2.77</v>
      </c>
      <c r="AJ2871">
        <v>32.840000000000003</v>
      </c>
      <c r="AK2871">
        <v>23.8</v>
      </c>
      <c r="AL2871">
        <v>-20.159825649999959</v>
      </c>
      <c r="AM2871">
        <v>-44.900143828909613</v>
      </c>
      <c r="AN2871">
        <v>-20.159825649999959</v>
      </c>
      <c r="AO2871">
        <v>-44.900143828909613</v>
      </c>
      <c r="AP2871">
        <v>-20.159977999999999</v>
      </c>
      <c r="AQ2871">
        <v>-44.900207000000002</v>
      </c>
      <c r="AR2871">
        <v>18.199073573580371</v>
      </c>
      <c r="AS2871" t="s">
        <v>65</v>
      </c>
      <c r="AT2871">
        <v>1</v>
      </c>
      <c r="AU2871" t="s">
        <v>843</v>
      </c>
      <c r="AV2871" t="s">
        <v>844</v>
      </c>
      <c r="AW2871" t="s">
        <v>60</v>
      </c>
      <c r="AX2871" t="s">
        <v>68</v>
      </c>
      <c r="AY2871" t="s">
        <v>69</v>
      </c>
      <c r="AZ2871" t="b">
        <v>1</v>
      </c>
    </row>
    <row r="2872" spans="1:52" x14ac:dyDescent="0.3">
      <c r="A2872" t="s">
        <v>52</v>
      </c>
      <c r="B2872" t="s">
        <v>53</v>
      </c>
      <c r="C2872" t="s">
        <v>54</v>
      </c>
      <c r="D2872" t="s">
        <v>55</v>
      </c>
      <c r="E2872" t="s">
        <v>2162</v>
      </c>
      <c r="F2872" t="s">
        <v>1247</v>
      </c>
      <c r="G2872" t="s">
        <v>386</v>
      </c>
      <c r="H2872" t="s">
        <v>387</v>
      </c>
      <c r="I2872" t="s">
        <v>387</v>
      </c>
      <c r="J2872" t="s">
        <v>60</v>
      </c>
      <c r="K2872" t="s">
        <v>388</v>
      </c>
      <c r="L2872" t="s">
        <v>62</v>
      </c>
      <c r="M2872" t="s">
        <v>388</v>
      </c>
      <c r="N2872" t="s">
        <v>389</v>
      </c>
      <c r="O2872" t="s">
        <v>357</v>
      </c>
      <c r="P2872">
        <v>-20.161041999999998</v>
      </c>
      <c r="Q2872">
        <v>-44.901242000000003</v>
      </c>
      <c r="R2872" s="2" t="str">
        <f>HYPERLINK("https://www.google.com/maps?q=-20.1610420,-44.9012420","Abrir no Google Maps")</f>
        <v>Abrir no Google Maps</v>
      </c>
      <c r="S2872">
        <v>3</v>
      </c>
      <c r="T2872">
        <v>440.22183232279212</v>
      </c>
      <c r="U2872">
        <v>4</v>
      </c>
      <c r="V2872">
        <v>0.41311297907243849</v>
      </c>
      <c r="W2872">
        <v>1</v>
      </c>
      <c r="X2872">
        <v>0.41311297907243849</v>
      </c>
      <c r="Y2872">
        <v>729</v>
      </c>
      <c r="Z2872">
        <v>398.48306829302379</v>
      </c>
      <c r="AA2872">
        <v>198</v>
      </c>
      <c r="AB2872">
        <v>332</v>
      </c>
      <c r="AC2872">
        <v>536</v>
      </c>
      <c r="AD2872">
        <v>26.86</v>
      </c>
      <c r="AE2872">
        <v>542</v>
      </c>
      <c r="AF2872">
        <v>15</v>
      </c>
      <c r="AG2872">
        <v>178</v>
      </c>
      <c r="AH2872">
        <v>129</v>
      </c>
      <c r="AI2872">
        <v>2.77</v>
      </c>
      <c r="AJ2872">
        <v>32.840000000000003</v>
      </c>
      <c r="AK2872">
        <v>23.8</v>
      </c>
      <c r="AL2872">
        <v>-20.16176629999995</v>
      </c>
      <c r="AM2872">
        <v>-44.901582787827898</v>
      </c>
      <c r="AN2872">
        <v>-20.16176629999995</v>
      </c>
      <c r="AO2872">
        <v>-44.901582787827898</v>
      </c>
      <c r="AP2872">
        <v>-20.161041999999998</v>
      </c>
      <c r="AQ2872">
        <v>-44.901242000000003</v>
      </c>
      <c r="AR2872">
        <v>88.143369157892835</v>
      </c>
      <c r="AS2872" t="s">
        <v>65</v>
      </c>
      <c r="AT2872">
        <v>1</v>
      </c>
      <c r="AU2872" t="s">
        <v>390</v>
      </c>
      <c r="AV2872" t="s">
        <v>391</v>
      </c>
      <c r="AW2872" t="s">
        <v>60</v>
      </c>
      <c r="AX2872" t="s">
        <v>68</v>
      </c>
      <c r="AY2872" t="s">
        <v>69</v>
      </c>
      <c r="AZ2872" t="b">
        <v>1</v>
      </c>
    </row>
    <row r="2873" spans="1:52" x14ac:dyDescent="0.3">
      <c r="A2873" t="s">
        <v>52</v>
      </c>
      <c r="B2873" t="s">
        <v>53</v>
      </c>
      <c r="C2873" t="s">
        <v>54</v>
      </c>
      <c r="D2873" t="s">
        <v>55</v>
      </c>
      <c r="E2873" t="s">
        <v>2162</v>
      </c>
      <c r="F2873" t="s">
        <v>1247</v>
      </c>
      <c r="G2873" t="s">
        <v>392</v>
      </c>
      <c r="H2873" t="s">
        <v>393</v>
      </c>
      <c r="I2873" t="s">
        <v>393</v>
      </c>
      <c r="J2873" t="s">
        <v>60</v>
      </c>
      <c r="K2873" t="s">
        <v>388</v>
      </c>
      <c r="L2873" t="s">
        <v>62</v>
      </c>
      <c r="M2873" t="s">
        <v>388</v>
      </c>
      <c r="N2873" t="s">
        <v>394</v>
      </c>
      <c r="O2873" t="s">
        <v>395</v>
      </c>
      <c r="P2873">
        <v>-20.158066999999999</v>
      </c>
      <c r="Q2873">
        <v>-44.908164999999997</v>
      </c>
      <c r="R2873" s="2" t="str">
        <f>HYPERLINK("https://www.google.com/maps?q=-20.1580670,-44.9081650","Abrir no Google Maps")</f>
        <v>Abrir no Google Maps</v>
      </c>
      <c r="S2873">
        <v>3</v>
      </c>
      <c r="T2873">
        <v>666.74434317993041</v>
      </c>
      <c r="U2873">
        <v>4</v>
      </c>
      <c r="V2873">
        <v>0.41693731541679918</v>
      </c>
      <c r="W2873">
        <v>1</v>
      </c>
      <c r="X2873">
        <v>0.41693731541679918</v>
      </c>
      <c r="Y2873">
        <v>729</v>
      </c>
      <c r="Z2873">
        <v>612.4323328215396</v>
      </c>
      <c r="AA2873">
        <v>198</v>
      </c>
      <c r="AB2873">
        <v>332</v>
      </c>
      <c r="AC2873">
        <v>536</v>
      </c>
      <c r="AD2873">
        <v>26.86</v>
      </c>
      <c r="AE2873">
        <v>542</v>
      </c>
      <c r="AF2873">
        <v>15</v>
      </c>
      <c r="AG2873">
        <v>178</v>
      </c>
      <c r="AH2873">
        <v>129</v>
      </c>
      <c r="AI2873">
        <v>2.77</v>
      </c>
      <c r="AJ2873">
        <v>32.840000000000003</v>
      </c>
      <c r="AK2873">
        <v>23.8</v>
      </c>
      <c r="AL2873">
        <v>-20.158151449999959</v>
      </c>
      <c r="AM2873">
        <v>-44.908107718360938</v>
      </c>
      <c r="AN2873">
        <v>-20.158151449999959</v>
      </c>
      <c r="AO2873">
        <v>-44.908107718360938</v>
      </c>
      <c r="AP2873">
        <v>-20.158066999999999</v>
      </c>
      <c r="AQ2873">
        <v>-44.908164999999997</v>
      </c>
      <c r="AR2873">
        <v>11.14497345894574</v>
      </c>
      <c r="AS2873" t="s">
        <v>65</v>
      </c>
      <c r="AT2873">
        <v>1</v>
      </c>
      <c r="AU2873" t="s">
        <v>396</v>
      </c>
      <c r="AV2873" t="s">
        <v>397</v>
      </c>
      <c r="AW2873" t="s">
        <v>60</v>
      </c>
      <c r="AX2873" t="s">
        <v>68</v>
      </c>
      <c r="AY2873" t="s">
        <v>69</v>
      </c>
      <c r="AZ2873" t="b">
        <v>1</v>
      </c>
    </row>
    <row r="2874" spans="1:52" x14ac:dyDescent="0.3">
      <c r="A2874" t="s">
        <v>52</v>
      </c>
      <c r="B2874" t="s">
        <v>53</v>
      </c>
      <c r="C2874" t="s">
        <v>54</v>
      </c>
      <c r="D2874" t="s">
        <v>55</v>
      </c>
      <c r="E2874" t="s">
        <v>2162</v>
      </c>
      <c r="F2874" t="s">
        <v>1247</v>
      </c>
      <c r="G2874" t="s">
        <v>398</v>
      </c>
      <c r="H2874" t="s">
        <v>399</v>
      </c>
      <c r="I2874" t="s">
        <v>399</v>
      </c>
      <c r="J2874" t="s">
        <v>60</v>
      </c>
      <c r="K2874" t="s">
        <v>388</v>
      </c>
      <c r="L2874" t="s">
        <v>62</v>
      </c>
      <c r="M2874" t="s">
        <v>388</v>
      </c>
      <c r="N2874" t="s">
        <v>400</v>
      </c>
      <c r="O2874" t="s">
        <v>401</v>
      </c>
      <c r="P2874">
        <v>-20.160157000000002</v>
      </c>
      <c r="Q2874">
        <v>-44.904347999999999</v>
      </c>
      <c r="R2874" s="2" t="str">
        <f>HYPERLINK("https://www.google.com/maps?q=-20.1601570,-44.9043480","Abrir no Google Maps")</f>
        <v>Abrir no Google Maps</v>
      </c>
      <c r="S2874">
        <v>3</v>
      </c>
      <c r="T2874">
        <v>469.26088527154809</v>
      </c>
      <c r="U2874">
        <v>4</v>
      </c>
      <c r="V2874">
        <v>0.45286577441877429</v>
      </c>
      <c r="W2874">
        <v>1</v>
      </c>
      <c r="X2874">
        <v>0.45286577441877429</v>
      </c>
      <c r="Y2874">
        <v>729</v>
      </c>
      <c r="Z2874">
        <v>253.57832452309071</v>
      </c>
      <c r="AA2874">
        <v>198</v>
      </c>
      <c r="AB2874">
        <v>332</v>
      </c>
      <c r="AC2874">
        <v>536</v>
      </c>
      <c r="AD2874">
        <v>26.86</v>
      </c>
      <c r="AE2874">
        <v>542</v>
      </c>
      <c r="AF2874">
        <v>15</v>
      </c>
      <c r="AG2874">
        <v>178</v>
      </c>
      <c r="AH2874">
        <v>129</v>
      </c>
      <c r="AI2874">
        <v>2.77</v>
      </c>
      <c r="AJ2874">
        <v>32.840000000000003</v>
      </c>
      <c r="AK2874">
        <v>23.8</v>
      </c>
      <c r="AL2874">
        <v>-20.160007949999969</v>
      </c>
      <c r="AM2874">
        <v>-44.904396608560482</v>
      </c>
      <c r="AN2874">
        <v>-20.160007949999969</v>
      </c>
      <c r="AO2874">
        <v>-44.904396608560482</v>
      </c>
      <c r="AP2874">
        <v>-20.160157000000002</v>
      </c>
      <c r="AQ2874">
        <v>-44.904347999999999</v>
      </c>
      <c r="AR2874">
        <v>17.35237255387942</v>
      </c>
      <c r="AS2874" t="s">
        <v>65</v>
      </c>
      <c r="AT2874">
        <v>1</v>
      </c>
      <c r="AU2874" t="s">
        <v>402</v>
      </c>
      <c r="AV2874" t="s">
        <v>403</v>
      </c>
      <c r="AW2874" t="s">
        <v>60</v>
      </c>
      <c r="AX2874" t="s">
        <v>68</v>
      </c>
      <c r="AY2874" t="s">
        <v>69</v>
      </c>
      <c r="AZ2874" t="b">
        <v>1</v>
      </c>
    </row>
    <row r="2875" spans="1:52" x14ac:dyDescent="0.3">
      <c r="A2875" t="s">
        <v>52</v>
      </c>
      <c r="B2875" t="s">
        <v>53</v>
      </c>
      <c r="C2875" t="s">
        <v>54</v>
      </c>
      <c r="D2875" t="s">
        <v>55</v>
      </c>
      <c r="E2875" t="s">
        <v>2162</v>
      </c>
      <c r="F2875" t="s">
        <v>1247</v>
      </c>
      <c r="G2875" t="s">
        <v>404</v>
      </c>
      <c r="H2875" t="s">
        <v>405</v>
      </c>
      <c r="I2875" t="s">
        <v>405</v>
      </c>
      <c r="J2875" t="s">
        <v>60</v>
      </c>
      <c r="K2875" t="s">
        <v>388</v>
      </c>
      <c r="L2875" t="s">
        <v>62</v>
      </c>
      <c r="M2875" t="s">
        <v>388</v>
      </c>
      <c r="N2875" t="s">
        <v>406</v>
      </c>
      <c r="O2875" t="s">
        <v>407</v>
      </c>
      <c r="P2875">
        <v>-20.162780999999999</v>
      </c>
      <c r="Q2875">
        <v>-44.904437999999999</v>
      </c>
      <c r="R2875" s="2" t="str">
        <f>HYPERLINK("https://www.google.com/maps?q=-20.1627810,-44.9044380","Abrir no Google Maps")</f>
        <v>Abrir no Google Maps</v>
      </c>
      <c r="S2875">
        <v>3</v>
      </c>
      <c r="T2875">
        <v>681.0891377731482</v>
      </c>
      <c r="U2875">
        <v>4</v>
      </c>
      <c r="V2875">
        <v>0.46151793429951998</v>
      </c>
      <c r="W2875">
        <v>1</v>
      </c>
      <c r="X2875">
        <v>0.46151793429951998</v>
      </c>
      <c r="Y2875">
        <v>729</v>
      </c>
      <c r="Z2875">
        <v>564.17713687218622</v>
      </c>
      <c r="AA2875">
        <v>198</v>
      </c>
      <c r="AB2875">
        <v>332</v>
      </c>
      <c r="AC2875">
        <v>536</v>
      </c>
      <c r="AD2875">
        <v>26.86</v>
      </c>
      <c r="AE2875">
        <v>542</v>
      </c>
      <c r="AF2875">
        <v>15</v>
      </c>
      <c r="AG2875">
        <v>178</v>
      </c>
      <c r="AH2875">
        <v>129</v>
      </c>
      <c r="AI2875">
        <v>2.77</v>
      </c>
      <c r="AJ2875">
        <v>32.840000000000003</v>
      </c>
      <c r="AK2875">
        <v>23.8</v>
      </c>
      <c r="AL2875">
        <v>-20.16295434999995</v>
      </c>
      <c r="AM2875">
        <v>-44.904242686956152</v>
      </c>
      <c r="AN2875">
        <v>-20.16295434999995</v>
      </c>
      <c r="AO2875">
        <v>-44.904242686956152</v>
      </c>
      <c r="AP2875">
        <v>-20.162780999999999</v>
      </c>
      <c r="AQ2875">
        <v>-44.904437999999999</v>
      </c>
      <c r="AR2875">
        <v>28.088191280523411</v>
      </c>
      <c r="AS2875" t="s">
        <v>65</v>
      </c>
      <c r="AT2875">
        <v>1</v>
      </c>
      <c r="AU2875" t="s">
        <v>408</v>
      </c>
      <c r="AV2875" t="s">
        <v>409</v>
      </c>
      <c r="AW2875" t="s">
        <v>60</v>
      </c>
      <c r="AX2875" t="s">
        <v>68</v>
      </c>
      <c r="AY2875" t="s">
        <v>69</v>
      </c>
      <c r="AZ2875" t="b">
        <v>1</v>
      </c>
    </row>
    <row r="2876" spans="1:52" x14ac:dyDescent="0.3">
      <c r="A2876" t="s">
        <v>52</v>
      </c>
      <c r="B2876" t="s">
        <v>53</v>
      </c>
      <c r="C2876" t="s">
        <v>54</v>
      </c>
      <c r="D2876" t="s">
        <v>55</v>
      </c>
      <c r="E2876" t="s">
        <v>2162</v>
      </c>
      <c r="F2876" t="s">
        <v>1247</v>
      </c>
      <c r="G2876" t="s">
        <v>410</v>
      </c>
      <c r="H2876" t="s">
        <v>411</v>
      </c>
      <c r="I2876" t="s">
        <v>411</v>
      </c>
      <c r="J2876" t="s">
        <v>60</v>
      </c>
      <c r="K2876" t="s">
        <v>388</v>
      </c>
      <c r="L2876" t="s">
        <v>62</v>
      </c>
      <c r="M2876" t="s">
        <v>388</v>
      </c>
      <c r="N2876" t="s">
        <v>412</v>
      </c>
      <c r="O2876" t="s">
        <v>413</v>
      </c>
      <c r="P2876">
        <v>-20.161394000000001</v>
      </c>
      <c r="Q2876">
        <v>-44.906725999999999</v>
      </c>
      <c r="R2876" s="2" t="str">
        <f>HYPERLINK("https://www.google.com/maps?q=-20.1613940,-44.9067260","Abrir no Google Maps")</f>
        <v>Abrir no Google Maps</v>
      </c>
      <c r="S2876">
        <v>3</v>
      </c>
      <c r="T2876">
        <v>763.68157548493457</v>
      </c>
      <c r="U2876">
        <v>4</v>
      </c>
      <c r="V2876">
        <v>0.44721004742897941</v>
      </c>
      <c r="W2876">
        <v>1</v>
      </c>
      <c r="X2876">
        <v>0.44721004742897941</v>
      </c>
      <c r="Y2876">
        <v>729</v>
      </c>
      <c r="Z2876">
        <v>551.70379325948545</v>
      </c>
      <c r="AA2876">
        <v>198</v>
      </c>
      <c r="AB2876">
        <v>332</v>
      </c>
      <c r="AC2876">
        <v>536</v>
      </c>
      <c r="AD2876">
        <v>26.86</v>
      </c>
      <c r="AE2876">
        <v>542</v>
      </c>
      <c r="AF2876">
        <v>15</v>
      </c>
      <c r="AG2876">
        <v>178</v>
      </c>
      <c r="AH2876">
        <v>129</v>
      </c>
      <c r="AI2876">
        <v>2.77</v>
      </c>
      <c r="AJ2876">
        <v>32.840000000000003</v>
      </c>
      <c r="AK2876">
        <v>23.8</v>
      </c>
      <c r="AL2876">
        <v>-20.161371049999929</v>
      </c>
      <c r="AM2876">
        <v>-44.906816797310228</v>
      </c>
      <c r="AN2876">
        <v>-20.161371049999929</v>
      </c>
      <c r="AO2876">
        <v>-44.906816797310228</v>
      </c>
      <c r="AP2876">
        <v>-20.161394000000001</v>
      </c>
      <c r="AQ2876">
        <v>-44.906725999999999</v>
      </c>
      <c r="AR2876">
        <v>9.8261555662022495</v>
      </c>
      <c r="AS2876" t="s">
        <v>65</v>
      </c>
      <c r="AT2876">
        <v>1</v>
      </c>
      <c r="AU2876" t="s">
        <v>414</v>
      </c>
      <c r="AV2876" t="s">
        <v>415</v>
      </c>
      <c r="AW2876" t="s">
        <v>60</v>
      </c>
      <c r="AX2876" t="s">
        <v>68</v>
      </c>
      <c r="AY2876" t="s">
        <v>69</v>
      </c>
      <c r="AZ2876" t="b">
        <v>1</v>
      </c>
    </row>
    <row r="2877" spans="1:52" x14ac:dyDescent="0.3">
      <c r="A2877" t="s">
        <v>52</v>
      </c>
      <c r="B2877" t="s">
        <v>53</v>
      </c>
      <c r="C2877" t="s">
        <v>54</v>
      </c>
      <c r="D2877" t="s">
        <v>55</v>
      </c>
      <c r="E2877" t="s">
        <v>2162</v>
      </c>
      <c r="F2877" t="s">
        <v>1247</v>
      </c>
      <c r="G2877" t="s">
        <v>416</v>
      </c>
      <c r="H2877" t="s">
        <v>417</v>
      </c>
      <c r="I2877" t="s">
        <v>417</v>
      </c>
      <c r="J2877" t="s">
        <v>60</v>
      </c>
      <c r="K2877" t="s">
        <v>418</v>
      </c>
      <c r="L2877" t="s">
        <v>62</v>
      </c>
      <c r="M2877" t="s">
        <v>418</v>
      </c>
      <c r="N2877" t="s">
        <v>419</v>
      </c>
      <c r="O2877" t="s">
        <v>202</v>
      </c>
      <c r="P2877">
        <v>-20.169886000000002</v>
      </c>
      <c r="Q2877">
        <v>-44.913288000000001</v>
      </c>
      <c r="R2877" s="2" t="str">
        <f>HYPERLINK("https://www.google.com/maps?q=-20.1698860,-44.9132880","Abrir no Google Maps")</f>
        <v>Abrir no Google Maps</v>
      </c>
      <c r="S2877">
        <v>3</v>
      </c>
      <c r="T2877">
        <v>422.88733632898152</v>
      </c>
      <c r="U2877">
        <v>4</v>
      </c>
      <c r="V2877">
        <v>0.45013836210810498</v>
      </c>
      <c r="W2877">
        <v>1</v>
      </c>
      <c r="X2877">
        <v>0.45013836210810498</v>
      </c>
      <c r="Y2877">
        <v>723</v>
      </c>
      <c r="Z2877">
        <v>128.65003864232261</v>
      </c>
      <c r="AA2877">
        <v>198</v>
      </c>
      <c r="AB2877">
        <v>332</v>
      </c>
      <c r="AC2877">
        <v>536</v>
      </c>
      <c r="AD2877">
        <v>26.86</v>
      </c>
      <c r="AE2877">
        <v>542</v>
      </c>
      <c r="AF2877">
        <v>15</v>
      </c>
      <c r="AG2877">
        <v>178</v>
      </c>
      <c r="AH2877">
        <v>129</v>
      </c>
      <c r="AI2877">
        <v>2.77</v>
      </c>
      <c r="AJ2877">
        <v>32.840000000000003</v>
      </c>
      <c r="AK2877">
        <v>23.8</v>
      </c>
      <c r="AL2877">
        <v>-20.16970024999998</v>
      </c>
      <c r="AM2877">
        <v>-44.913502201257437</v>
      </c>
      <c r="AN2877">
        <v>-20.16970024999998</v>
      </c>
      <c r="AO2877">
        <v>-44.913502201257437</v>
      </c>
      <c r="AP2877">
        <v>-20.169886000000002</v>
      </c>
      <c r="AQ2877">
        <v>-44.913288000000001</v>
      </c>
      <c r="AR2877">
        <v>30.47208587597606</v>
      </c>
      <c r="AS2877" t="s">
        <v>65</v>
      </c>
      <c r="AT2877">
        <v>1</v>
      </c>
      <c r="AU2877" t="s">
        <v>420</v>
      </c>
      <c r="AV2877" t="s">
        <v>421</v>
      </c>
      <c r="AW2877" t="s">
        <v>60</v>
      </c>
      <c r="AX2877" t="s">
        <v>68</v>
      </c>
      <c r="AY2877" t="s">
        <v>69</v>
      </c>
      <c r="AZ2877" t="b">
        <v>1</v>
      </c>
    </row>
    <row r="2878" spans="1:52" x14ac:dyDescent="0.3">
      <c r="A2878" t="s">
        <v>52</v>
      </c>
      <c r="B2878" t="s">
        <v>53</v>
      </c>
      <c r="C2878" t="s">
        <v>54</v>
      </c>
      <c r="D2878" t="s">
        <v>55</v>
      </c>
      <c r="E2878" t="s">
        <v>2162</v>
      </c>
      <c r="F2878" t="s">
        <v>1247</v>
      </c>
      <c r="G2878" t="s">
        <v>422</v>
      </c>
      <c r="H2878" t="s">
        <v>423</v>
      </c>
      <c r="I2878" t="s">
        <v>423</v>
      </c>
      <c r="J2878" t="s">
        <v>60</v>
      </c>
      <c r="K2878" t="s">
        <v>424</v>
      </c>
      <c r="L2878" t="s">
        <v>62</v>
      </c>
      <c r="M2878" t="s">
        <v>424</v>
      </c>
      <c r="N2878" t="s">
        <v>425</v>
      </c>
      <c r="O2878" t="s">
        <v>426</v>
      </c>
      <c r="P2878">
        <v>-20.177748000000001</v>
      </c>
      <c r="Q2878">
        <v>-44.912475000000001</v>
      </c>
      <c r="R2878" s="2" t="str">
        <f>HYPERLINK("https://www.google.com/maps?q=-20.1777480,-44.9124750","Abrir no Google Maps")</f>
        <v>Abrir no Google Maps</v>
      </c>
      <c r="S2878">
        <v>3</v>
      </c>
      <c r="T2878">
        <v>657.07560140436533</v>
      </c>
      <c r="U2878">
        <v>4</v>
      </c>
      <c r="V2878">
        <v>0.413752924832548</v>
      </c>
      <c r="W2878">
        <v>1</v>
      </c>
      <c r="X2878">
        <v>0.413752924832548</v>
      </c>
      <c r="Y2878">
        <v>723</v>
      </c>
      <c r="Z2878">
        <v>796.94198000561175</v>
      </c>
      <c r="AA2878">
        <v>198</v>
      </c>
      <c r="AB2878">
        <v>332</v>
      </c>
      <c r="AC2878">
        <v>536</v>
      </c>
      <c r="AD2878">
        <v>26.86</v>
      </c>
      <c r="AE2878">
        <v>542</v>
      </c>
      <c r="AF2878">
        <v>15</v>
      </c>
      <c r="AG2878">
        <v>178</v>
      </c>
      <c r="AH2878">
        <v>129</v>
      </c>
      <c r="AI2878">
        <v>2.77</v>
      </c>
      <c r="AJ2878">
        <v>32.840000000000003</v>
      </c>
      <c r="AK2878">
        <v>23.8</v>
      </c>
      <c r="AL2878">
        <v>-20.177761749999949</v>
      </c>
      <c r="AM2878">
        <v>-44.91263311624418</v>
      </c>
      <c r="AN2878">
        <v>-20.177761749999949</v>
      </c>
      <c r="AO2878">
        <v>-44.91263311624418</v>
      </c>
      <c r="AP2878">
        <v>-20.177748000000001</v>
      </c>
      <c r="AQ2878">
        <v>-44.912475000000001</v>
      </c>
      <c r="AR2878">
        <v>16.591996803075372</v>
      </c>
      <c r="AS2878" t="s">
        <v>65</v>
      </c>
      <c r="AT2878">
        <v>1</v>
      </c>
      <c r="AU2878" t="s">
        <v>427</v>
      </c>
      <c r="AV2878" t="s">
        <v>428</v>
      </c>
      <c r="AW2878" t="s">
        <v>60</v>
      </c>
      <c r="AX2878" t="s">
        <v>68</v>
      </c>
      <c r="AY2878" t="s">
        <v>69</v>
      </c>
      <c r="AZ2878" t="b">
        <v>1</v>
      </c>
    </row>
    <row r="2879" spans="1:52" x14ac:dyDescent="0.3">
      <c r="A2879" t="s">
        <v>52</v>
      </c>
      <c r="B2879" t="s">
        <v>53</v>
      </c>
      <c r="C2879" t="s">
        <v>54</v>
      </c>
      <c r="D2879" t="s">
        <v>55</v>
      </c>
      <c r="E2879" t="s">
        <v>2162</v>
      </c>
      <c r="F2879" t="s">
        <v>1247</v>
      </c>
      <c r="G2879" t="s">
        <v>429</v>
      </c>
      <c r="H2879" t="s">
        <v>430</v>
      </c>
      <c r="I2879" t="s">
        <v>430</v>
      </c>
      <c r="J2879" t="s">
        <v>60</v>
      </c>
      <c r="K2879" t="s">
        <v>431</v>
      </c>
      <c r="L2879" t="s">
        <v>62</v>
      </c>
      <c r="M2879" t="s">
        <v>431</v>
      </c>
      <c r="N2879" t="s">
        <v>432</v>
      </c>
      <c r="O2879" t="s">
        <v>315</v>
      </c>
      <c r="P2879">
        <v>-20.172698</v>
      </c>
      <c r="Q2879">
        <v>-44.923842</v>
      </c>
      <c r="R2879" s="2" t="str">
        <f>HYPERLINK("https://www.google.com/maps?q=-20.1726980,-44.9238420","Abrir no Google Maps")</f>
        <v>Abrir no Google Maps</v>
      </c>
      <c r="S2879">
        <v>3</v>
      </c>
      <c r="T2879">
        <v>1376.1843173402931</v>
      </c>
      <c r="U2879">
        <v>4</v>
      </c>
      <c r="V2879">
        <v>0.54204551279054003</v>
      </c>
      <c r="W2879">
        <v>0.85</v>
      </c>
      <c r="X2879">
        <v>0.46073868587195899</v>
      </c>
      <c r="Y2879">
        <v>723</v>
      </c>
      <c r="Z2879">
        <v>1101.340635002096</v>
      </c>
      <c r="AA2879">
        <v>198</v>
      </c>
      <c r="AB2879">
        <v>332</v>
      </c>
      <c r="AC2879">
        <v>536</v>
      </c>
      <c r="AD2879">
        <v>26.86</v>
      </c>
      <c r="AE2879">
        <v>542</v>
      </c>
      <c r="AF2879">
        <v>15</v>
      </c>
      <c r="AG2879">
        <v>178</v>
      </c>
      <c r="AH2879">
        <v>129</v>
      </c>
      <c r="AI2879">
        <v>2.77</v>
      </c>
      <c r="AJ2879">
        <v>32.840000000000003</v>
      </c>
      <c r="AK2879">
        <v>23.8</v>
      </c>
      <c r="AL2879">
        <v>-20.172942799999959</v>
      </c>
      <c r="AM2879">
        <v>-44.923585372665762</v>
      </c>
      <c r="AN2879">
        <v>-20.172942799999959</v>
      </c>
      <c r="AO2879">
        <v>-44.923585372665762</v>
      </c>
      <c r="AP2879">
        <v>-20.172698</v>
      </c>
      <c r="AQ2879">
        <v>-44.923842</v>
      </c>
      <c r="AR2879">
        <v>38.231981408478958</v>
      </c>
      <c r="AS2879" t="s">
        <v>65</v>
      </c>
      <c r="AT2879">
        <v>1</v>
      </c>
      <c r="AU2879" t="s">
        <v>433</v>
      </c>
      <c r="AV2879" t="s">
        <v>434</v>
      </c>
      <c r="AW2879" t="s">
        <v>60</v>
      </c>
      <c r="AX2879" t="s">
        <v>68</v>
      </c>
      <c r="AY2879" t="s">
        <v>69</v>
      </c>
      <c r="AZ2879" t="b">
        <v>1</v>
      </c>
    </row>
    <row r="2880" spans="1:52" x14ac:dyDescent="0.3">
      <c r="A2880" t="s">
        <v>52</v>
      </c>
      <c r="B2880" t="s">
        <v>53</v>
      </c>
      <c r="C2880" t="s">
        <v>54</v>
      </c>
      <c r="D2880" t="s">
        <v>55</v>
      </c>
      <c r="E2880" t="s">
        <v>2162</v>
      </c>
      <c r="F2880" t="s">
        <v>1247</v>
      </c>
      <c r="G2880" t="s">
        <v>435</v>
      </c>
      <c r="H2880" t="s">
        <v>436</v>
      </c>
      <c r="I2880" t="s">
        <v>436</v>
      </c>
      <c r="J2880" t="s">
        <v>60</v>
      </c>
      <c r="K2880" t="s">
        <v>437</v>
      </c>
      <c r="L2880" t="s">
        <v>62</v>
      </c>
      <c r="M2880" t="s">
        <v>437</v>
      </c>
      <c r="N2880" t="s">
        <v>438</v>
      </c>
      <c r="O2880" t="s">
        <v>439</v>
      </c>
      <c r="P2880">
        <v>-20.145613000000001</v>
      </c>
      <c r="Q2880">
        <v>-44.882375000000003</v>
      </c>
      <c r="R2880" s="2" t="str">
        <f>HYPERLINK("https://www.google.com/maps?q=-20.1456130,-44.8823750","Abrir no Google Maps")</f>
        <v>Abrir no Google Maps</v>
      </c>
      <c r="S2880">
        <v>3</v>
      </c>
      <c r="T2880">
        <v>305.65092112314198</v>
      </c>
      <c r="U2880">
        <v>4</v>
      </c>
      <c r="V2880">
        <v>0.43131020546747612</v>
      </c>
      <c r="W2880">
        <v>1</v>
      </c>
      <c r="X2880">
        <v>0.43131020546747612</v>
      </c>
      <c r="Y2880">
        <v>653</v>
      </c>
      <c r="Z2880">
        <v>349.55297035282501</v>
      </c>
      <c r="AA2880">
        <v>198</v>
      </c>
      <c r="AB2880">
        <v>332</v>
      </c>
      <c r="AC2880">
        <v>536</v>
      </c>
      <c r="AD2880">
        <v>26.86</v>
      </c>
      <c r="AE2880">
        <v>542</v>
      </c>
      <c r="AF2880">
        <v>15</v>
      </c>
      <c r="AG2880">
        <v>178</v>
      </c>
      <c r="AH2880">
        <v>129</v>
      </c>
      <c r="AI2880">
        <v>2.77</v>
      </c>
      <c r="AJ2880">
        <v>32.840000000000003</v>
      </c>
      <c r="AK2880">
        <v>23.8</v>
      </c>
      <c r="AL2880">
        <v>-20.14550464999996</v>
      </c>
      <c r="AM2880">
        <v>-44.882157007077737</v>
      </c>
      <c r="AN2880">
        <v>-20.14550464999996</v>
      </c>
      <c r="AO2880">
        <v>-44.882157007077737</v>
      </c>
      <c r="AP2880">
        <v>-20.145613000000001</v>
      </c>
      <c r="AQ2880">
        <v>-44.882375000000003</v>
      </c>
      <c r="AR2880">
        <v>25.77819791856259</v>
      </c>
      <c r="AS2880" t="s">
        <v>65</v>
      </c>
      <c r="AT2880">
        <v>1</v>
      </c>
      <c r="AU2880" t="s">
        <v>440</v>
      </c>
      <c r="AV2880" t="s">
        <v>441</v>
      </c>
      <c r="AW2880" t="s">
        <v>60</v>
      </c>
      <c r="AX2880" t="s">
        <v>68</v>
      </c>
      <c r="AY2880" t="s">
        <v>69</v>
      </c>
      <c r="AZ2880" t="b">
        <v>1</v>
      </c>
    </row>
    <row r="2881" spans="1:52" x14ac:dyDescent="0.3">
      <c r="A2881" t="s">
        <v>52</v>
      </c>
      <c r="B2881" t="s">
        <v>53</v>
      </c>
      <c r="C2881" t="s">
        <v>54</v>
      </c>
      <c r="D2881" t="s">
        <v>55</v>
      </c>
      <c r="E2881" t="s">
        <v>2162</v>
      </c>
      <c r="F2881" t="s">
        <v>1247</v>
      </c>
      <c r="G2881" t="s">
        <v>442</v>
      </c>
      <c r="H2881" t="s">
        <v>443</v>
      </c>
      <c r="I2881" t="s">
        <v>443</v>
      </c>
      <c r="J2881" t="s">
        <v>60</v>
      </c>
      <c r="K2881" t="s">
        <v>437</v>
      </c>
      <c r="L2881" t="s">
        <v>62</v>
      </c>
      <c r="M2881" t="s">
        <v>437</v>
      </c>
      <c r="N2881" t="s">
        <v>444</v>
      </c>
      <c r="O2881" t="s">
        <v>445</v>
      </c>
      <c r="P2881">
        <v>-20.149744999999999</v>
      </c>
      <c r="Q2881">
        <v>-44.881385000000002</v>
      </c>
      <c r="R2881" s="2" t="str">
        <f>HYPERLINK("https://www.google.com/maps?q=-20.1497450,-44.8813850","Abrir no Google Maps")</f>
        <v>Abrir no Google Maps</v>
      </c>
      <c r="S2881">
        <v>3</v>
      </c>
      <c r="T2881">
        <v>188.80690546111239</v>
      </c>
      <c r="U2881">
        <v>4</v>
      </c>
      <c r="V2881">
        <v>0.45275009977700498</v>
      </c>
      <c r="W2881">
        <v>1</v>
      </c>
      <c r="X2881">
        <v>0.45275009977700498</v>
      </c>
      <c r="Y2881">
        <v>653</v>
      </c>
      <c r="Z2881">
        <v>86.575080390731017</v>
      </c>
      <c r="AA2881">
        <v>198</v>
      </c>
      <c r="AB2881">
        <v>332</v>
      </c>
      <c r="AC2881">
        <v>536</v>
      </c>
      <c r="AD2881">
        <v>26.86</v>
      </c>
      <c r="AE2881">
        <v>542</v>
      </c>
      <c r="AF2881">
        <v>15</v>
      </c>
      <c r="AG2881">
        <v>178</v>
      </c>
      <c r="AH2881">
        <v>129</v>
      </c>
      <c r="AI2881">
        <v>2.77</v>
      </c>
      <c r="AJ2881">
        <v>32.840000000000003</v>
      </c>
      <c r="AK2881">
        <v>23.8</v>
      </c>
      <c r="AL2881">
        <v>-20.149645149999941</v>
      </c>
      <c r="AM2881">
        <v>-44.881504585149607</v>
      </c>
      <c r="AN2881">
        <v>-20.149645149999941</v>
      </c>
      <c r="AO2881">
        <v>-44.881504585149607</v>
      </c>
      <c r="AP2881">
        <v>-20.149744999999999</v>
      </c>
      <c r="AQ2881">
        <v>-44.881385000000002</v>
      </c>
      <c r="AR2881">
        <v>16.725323110840389</v>
      </c>
      <c r="AS2881" t="s">
        <v>65</v>
      </c>
      <c r="AT2881">
        <v>1</v>
      </c>
      <c r="AU2881" t="s">
        <v>446</v>
      </c>
      <c r="AV2881" t="s">
        <v>447</v>
      </c>
      <c r="AW2881" t="s">
        <v>60</v>
      </c>
      <c r="AX2881" t="s">
        <v>68</v>
      </c>
      <c r="AY2881" t="s">
        <v>69</v>
      </c>
      <c r="AZ2881" t="b">
        <v>1</v>
      </c>
    </row>
    <row r="2882" spans="1:52" x14ac:dyDescent="0.3">
      <c r="A2882" t="s">
        <v>52</v>
      </c>
      <c r="B2882" t="s">
        <v>53</v>
      </c>
      <c r="C2882" t="s">
        <v>54</v>
      </c>
      <c r="D2882" t="s">
        <v>55</v>
      </c>
      <c r="E2882" t="s">
        <v>2162</v>
      </c>
      <c r="F2882" t="s">
        <v>1247</v>
      </c>
      <c r="G2882" t="s">
        <v>448</v>
      </c>
      <c r="H2882" t="s">
        <v>449</v>
      </c>
      <c r="I2882" t="s">
        <v>449</v>
      </c>
      <c r="J2882" t="s">
        <v>60</v>
      </c>
      <c r="K2882" t="s">
        <v>388</v>
      </c>
      <c r="L2882" t="s">
        <v>62</v>
      </c>
      <c r="M2882" t="s">
        <v>388</v>
      </c>
      <c r="N2882" t="s">
        <v>450</v>
      </c>
      <c r="O2882" t="s">
        <v>451</v>
      </c>
      <c r="P2882">
        <v>-20.163981</v>
      </c>
      <c r="Q2882">
        <v>-44.907128999999998</v>
      </c>
      <c r="R2882" s="2" t="str">
        <f>HYPERLINK("https://www.google.com/maps?q=-20.1639810,-44.9071290","Abrir no Google Maps")</f>
        <v>Abrir no Google Maps</v>
      </c>
      <c r="S2882">
        <v>3</v>
      </c>
      <c r="T2882">
        <v>782.50730806588319</v>
      </c>
      <c r="U2882">
        <v>4</v>
      </c>
      <c r="V2882">
        <v>0.45489497598614381</v>
      </c>
      <c r="W2882">
        <v>1</v>
      </c>
      <c r="X2882">
        <v>0.45489497598614381</v>
      </c>
      <c r="Y2882">
        <v>639</v>
      </c>
      <c r="Z2882">
        <v>710.90621453796166</v>
      </c>
      <c r="AA2882">
        <v>198</v>
      </c>
      <c r="AB2882">
        <v>332</v>
      </c>
      <c r="AC2882">
        <v>536</v>
      </c>
      <c r="AD2882">
        <v>26.86</v>
      </c>
      <c r="AE2882">
        <v>542</v>
      </c>
      <c r="AF2882">
        <v>15</v>
      </c>
      <c r="AG2882">
        <v>178</v>
      </c>
      <c r="AH2882">
        <v>129</v>
      </c>
      <c r="AI2882">
        <v>2.77</v>
      </c>
      <c r="AJ2882">
        <v>32.840000000000003</v>
      </c>
      <c r="AK2882">
        <v>23.8</v>
      </c>
      <c r="AL2882">
        <v>-20.163958349999969</v>
      </c>
      <c r="AM2882">
        <v>-44.907180923930973</v>
      </c>
      <c r="AN2882">
        <v>-20.163958349999969</v>
      </c>
      <c r="AO2882">
        <v>-44.907180923930973</v>
      </c>
      <c r="AP2882">
        <v>-20.163981</v>
      </c>
      <c r="AQ2882">
        <v>-44.907128999999998</v>
      </c>
      <c r="AR2882">
        <v>5.9831345092457884</v>
      </c>
      <c r="AS2882" t="s">
        <v>65</v>
      </c>
      <c r="AT2882">
        <v>1</v>
      </c>
      <c r="AU2882" t="s">
        <v>452</v>
      </c>
      <c r="AV2882" t="s">
        <v>453</v>
      </c>
      <c r="AW2882" t="s">
        <v>60</v>
      </c>
      <c r="AX2882" t="s">
        <v>68</v>
      </c>
      <c r="AY2882" t="s">
        <v>69</v>
      </c>
      <c r="AZ2882" t="b">
        <v>1</v>
      </c>
    </row>
    <row r="2883" spans="1:52" x14ac:dyDescent="0.3">
      <c r="A2883" t="s">
        <v>52</v>
      </c>
      <c r="B2883" t="s">
        <v>53</v>
      </c>
      <c r="C2883" t="s">
        <v>54</v>
      </c>
      <c r="D2883" t="s">
        <v>55</v>
      </c>
      <c r="E2883" t="s">
        <v>2162</v>
      </c>
      <c r="F2883" t="s">
        <v>1247</v>
      </c>
      <c r="G2883" t="s">
        <v>454</v>
      </c>
      <c r="H2883" t="s">
        <v>455</v>
      </c>
      <c r="I2883" t="s">
        <v>455</v>
      </c>
      <c r="J2883" t="s">
        <v>60</v>
      </c>
      <c r="K2883" t="s">
        <v>456</v>
      </c>
      <c r="L2883" t="s">
        <v>62</v>
      </c>
      <c r="M2883" t="s">
        <v>456</v>
      </c>
      <c r="N2883" t="s">
        <v>102</v>
      </c>
      <c r="O2883" t="s">
        <v>457</v>
      </c>
      <c r="P2883">
        <v>-20.138373999999999</v>
      </c>
      <c r="Q2883">
        <v>-44.903756999999999</v>
      </c>
      <c r="R2883" s="2" t="str">
        <f>HYPERLINK("https://www.google.com/maps?q=-20.1383740,-44.9037570","Abrir no Google Maps")</f>
        <v>Abrir no Google Maps</v>
      </c>
      <c r="S2883">
        <v>3</v>
      </c>
      <c r="T2883">
        <v>357.59466273594461</v>
      </c>
      <c r="U2883">
        <v>4</v>
      </c>
      <c r="V2883">
        <v>0.4647958933980828</v>
      </c>
      <c r="W2883">
        <v>1</v>
      </c>
      <c r="X2883">
        <v>0.4647958933980828</v>
      </c>
      <c r="Y2883">
        <v>581</v>
      </c>
      <c r="Z2883">
        <v>406.92482694505992</v>
      </c>
      <c r="AA2883">
        <v>198</v>
      </c>
      <c r="AB2883">
        <v>332</v>
      </c>
      <c r="AC2883">
        <v>536</v>
      </c>
      <c r="AD2883">
        <v>26.86</v>
      </c>
      <c r="AE2883">
        <v>542</v>
      </c>
      <c r="AF2883">
        <v>15</v>
      </c>
      <c r="AG2883">
        <v>178</v>
      </c>
      <c r="AH2883">
        <v>129</v>
      </c>
      <c r="AI2883">
        <v>2.77</v>
      </c>
      <c r="AJ2883">
        <v>32.840000000000003</v>
      </c>
      <c r="AK2883">
        <v>23.8</v>
      </c>
      <c r="AL2883">
        <v>-20.138338199999961</v>
      </c>
      <c r="AM2883">
        <v>-44.903768618976301</v>
      </c>
      <c r="AN2883">
        <v>-20.138338199999961</v>
      </c>
      <c r="AO2883">
        <v>-44.903768618976301</v>
      </c>
      <c r="AP2883">
        <v>-20.138373999999999</v>
      </c>
      <c r="AQ2883">
        <v>-44.903756999999999</v>
      </c>
      <c r="AR2883">
        <v>4.1661625938922704</v>
      </c>
      <c r="AS2883" t="s">
        <v>65</v>
      </c>
      <c r="AT2883">
        <v>1</v>
      </c>
      <c r="AU2883" t="s">
        <v>458</v>
      </c>
      <c r="AV2883" t="s">
        <v>459</v>
      </c>
      <c r="AW2883" t="s">
        <v>60</v>
      </c>
      <c r="AX2883" t="s">
        <v>68</v>
      </c>
      <c r="AY2883" t="s">
        <v>69</v>
      </c>
      <c r="AZ2883" t="b">
        <v>1</v>
      </c>
    </row>
    <row r="2884" spans="1:52" x14ac:dyDescent="0.3">
      <c r="A2884" t="s">
        <v>52</v>
      </c>
      <c r="B2884" t="s">
        <v>53</v>
      </c>
      <c r="C2884" t="s">
        <v>54</v>
      </c>
      <c r="D2884" t="s">
        <v>55</v>
      </c>
      <c r="E2884" t="s">
        <v>2162</v>
      </c>
      <c r="F2884" t="s">
        <v>1247</v>
      </c>
      <c r="G2884" t="s">
        <v>460</v>
      </c>
      <c r="H2884" t="s">
        <v>461</v>
      </c>
      <c r="I2884" t="s">
        <v>461</v>
      </c>
      <c r="J2884" t="s">
        <v>60</v>
      </c>
      <c r="K2884" t="s">
        <v>462</v>
      </c>
      <c r="L2884" t="s">
        <v>62</v>
      </c>
      <c r="M2884" t="s">
        <v>462</v>
      </c>
      <c r="N2884" t="s">
        <v>463</v>
      </c>
      <c r="O2884" t="s">
        <v>464</v>
      </c>
      <c r="P2884">
        <v>-20.137919</v>
      </c>
      <c r="Q2884">
        <v>-44.905591000000001</v>
      </c>
      <c r="R2884" s="2" t="str">
        <f>HYPERLINK("https://www.google.com/maps?q=-20.1379190,-44.9055910","Abrir no Google Maps")</f>
        <v>Abrir no Google Maps</v>
      </c>
      <c r="S2884">
        <v>3</v>
      </c>
      <c r="T2884">
        <v>262.01115919461103</v>
      </c>
      <c r="U2884">
        <v>4</v>
      </c>
      <c r="V2884">
        <v>0.4763752539445078</v>
      </c>
      <c r="W2884">
        <v>1</v>
      </c>
      <c r="X2884">
        <v>0.4763752539445078</v>
      </c>
      <c r="Y2884">
        <v>581</v>
      </c>
      <c r="Z2884">
        <v>318.63337303219271</v>
      </c>
      <c r="AA2884">
        <v>198</v>
      </c>
      <c r="AB2884">
        <v>332</v>
      </c>
      <c r="AC2884">
        <v>536</v>
      </c>
      <c r="AD2884">
        <v>26.86</v>
      </c>
      <c r="AE2884">
        <v>542</v>
      </c>
      <c r="AF2884">
        <v>15</v>
      </c>
      <c r="AG2884">
        <v>178</v>
      </c>
      <c r="AH2884">
        <v>129</v>
      </c>
      <c r="AI2884">
        <v>2.77</v>
      </c>
      <c r="AJ2884">
        <v>32.840000000000003</v>
      </c>
      <c r="AK2884">
        <v>23.8</v>
      </c>
      <c r="AL2884">
        <v>-20.13789079999998</v>
      </c>
      <c r="AM2884">
        <v>-44.90548593520333</v>
      </c>
      <c r="AN2884">
        <v>-20.13789079999998</v>
      </c>
      <c r="AO2884">
        <v>-44.90548593520333</v>
      </c>
      <c r="AP2884">
        <v>-20.137919</v>
      </c>
      <c r="AQ2884">
        <v>-44.905591000000001</v>
      </c>
      <c r="AR2884">
        <v>11.42072348298178</v>
      </c>
      <c r="AS2884" t="s">
        <v>65</v>
      </c>
      <c r="AT2884">
        <v>1</v>
      </c>
      <c r="AU2884" t="s">
        <v>465</v>
      </c>
      <c r="AV2884" t="s">
        <v>466</v>
      </c>
      <c r="AW2884" t="s">
        <v>60</v>
      </c>
      <c r="AX2884" t="s">
        <v>68</v>
      </c>
      <c r="AY2884" t="s">
        <v>69</v>
      </c>
      <c r="AZ2884" t="b">
        <v>1</v>
      </c>
    </row>
    <row r="2885" spans="1:52" x14ac:dyDescent="0.3">
      <c r="A2885" t="s">
        <v>52</v>
      </c>
      <c r="B2885" t="s">
        <v>53</v>
      </c>
      <c r="C2885" t="s">
        <v>54</v>
      </c>
      <c r="D2885" t="s">
        <v>55</v>
      </c>
      <c r="E2885" t="s">
        <v>2162</v>
      </c>
      <c r="F2885" t="s">
        <v>1247</v>
      </c>
      <c r="G2885" t="s">
        <v>467</v>
      </c>
      <c r="H2885" t="s">
        <v>468</v>
      </c>
      <c r="I2885" t="s">
        <v>468</v>
      </c>
      <c r="J2885" t="s">
        <v>60</v>
      </c>
      <c r="K2885" t="s">
        <v>462</v>
      </c>
      <c r="L2885" t="s">
        <v>62</v>
      </c>
      <c r="M2885" t="s">
        <v>462</v>
      </c>
      <c r="N2885" t="s">
        <v>469</v>
      </c>
      <c r="O2885" t="s">
        <v>470</v>
      </c>
      <c r="P2885">
        <v>-20.138233</v>
      </c>
      <c r="Q2885">
        <v>-44.908200000000001</v>
      </c>
      <c r="R2885" s="2" t="str">
        <f>HYPERLINK("https://www.google.com/maps?q=-20.1382330,-44.9082000","Abrir no Google Maps")</f>
        <v>Abrir no Google Maps</v>
      </c>
      <c r="S2885">
        <v>3</v>
      </c>
      <c r="T2885">
        <v>0</v>
      </c>
      <c r="U2885">
        <v>4</v>
      </c>
      <c r="V2885">
        <v>0.47345414595030588</v>
      </c>
      <c r="W2885">
        <v>1</v>
      </c>
      <c r="X2885">
        <v>0.47345414595030588</v>
      </c>
      <c r="Y2885">
        <v>581</v>
      </c>
      <c r="Z2885">
        <v>153.18688302958171</v>
      </c>
      <c r="AA2885">
        <v>198</v>
      </c>
      <c r="AB2885">
        <v>332</v>
      </c>
      <c r="AC2885">
        <v>536</v>
      </c>
      <c r="AD2885">
        <v>26.86</v>
      </c>
      <c r="AE2885">
        <v>542</v>
      </c>
      <c r="AF2885">
        <v>15</v>
      </c>
      <c r="AG2885">
        <v>178</v>
      </c>
      <c r="AH2885">
        <v>129</v>
      </c>
      <c r="AI2885">
        <v>2.77</v>
      </c>
      <c r="AJ2885">
        <v>32.840000000000003</v>
      </c>
      <c r="AK2885">
        <v>23.8</v>
      </c>
      <c r="AL2885">
        <v>-20.138364899999971</v>
      </c>
      <c r="AM2885">
        <v>-44.907942114873997</v>
      </c>
      <c r="AN2885">
        <v>-20.138364899999971</v>
      </c>
      <c r="AO2885">
        <v>-44.907942114873997</v>
      </c>
      <c r="AP2885">
        <v>-20.138233</v>
      </c>
      <c r="AQ2885">
        <v>-44.908200000000001</v>
      </c>
      <c r="AR2885">
        <v>30.692690617986941</v>
      </c>
      <c r="AS2885" t="s">
        <v>65</v>
      </c>
      <c r="AT2885">
        <v>1</v>
      </c>
      <c r="AU2885" t="s">
        <v>471</v>
      </c>
      <c r="AV2885" t="s">
        <v>472</v>
      </c>
      <c r="AW2885" t="s">
        <v>60</v>
      </c>
      <c r="AX2885" t="s">
        <v>68</v>
      </c>
      <c r="AY2885" t="s">
        <v>69</v>
      </c>
      <c r="AZ2885" t="b">
        <v>1</v>
      </c>
    </row>
    <row r="2886" spans="1:52" x14ac:dyDescent="0.3">
      <c r="A2886" t="s">
        <v>52</v>
      </c>
      <c r="B2886" t="s">
        <v>53</v>
      </c>
      <c r="C2886" t="s">
        <v>54</v>
      </c>
      <c r="D2886" t="s">
        <v>55</v>
      </c>
      <c r="E2886" t="s">
        <v>2162</v>
      </c>
      <c r="F2886" t="s">
        <v>1247</v>
      </c>
      <c r="G2886" t="s">
        <v>858</v>
      </c>
      <c r="H2886" t="s">
        <v>859</v>
      </c>
      <c r="I2886" t="s">
        <v>859</v>
      </c>
      <c r="J2886" t="s">
        <v>60</v>
      </c>
      <c r="K2886" t="s">
        <v>462</v>
      </c>
      <c r="L2886" t="s">
        <v>62</v>
      </c>
      <c r="M2886" t="s">
        <v>462</v>
      </c>
      <c r="N2886" t="s">
        <v>860</v>
      </c>
      <c r="O2886" t="s">
        <v>861</v>
      </c>
      <c r="P2886">
        <v>-20.139693999999999</v>
      </c>
      <c r="Q2886">
        <v>-44.911256000000002</v>
      </c>
      <c r="R2886" s="2" t="str">
        <f>HYPERLINK("https://www.google.com/maps?q=-20.1396940,-44.9112560","Abrir no Google Maps")</f>
        <v>Abrir no Google Maps</v>
      </c>
      <c r="S2886">
        <v>3</v>
      </c>
      <c r="T2886">
        <v>380.48036838042862</v>
      </c>
      <c r="U2886">
        <v>4</v>
      </c>
      <c r="V2886">
        <v>0.49880950458047568</v>
      </c>
      <c r="W2886">
        <v>0.85</v>
      </c>
      <c r="X2886">
        <v>0.42398807889340429</v>
      </c>
      <c r="Y2886">
        <v>581</v>
      </c>
      <c r="Z2886">
        <v>374.61146000000178</v>
      </c>
      <c r="AA2886">
        <v>198</v>
      </c>
      <c r="AB2886">
        <v>332</v>
      </c>
      <c r="AC2886">
        <v>536</v>
      </c>
      <c r="AD2886">
        <v>26.86</v>
      </c>
      <c r="AE2886">
        <v>542</v>
      </c>
      <c r="AF2886">
        <v>15</v>
      </c>
      <c r="AG2886">
        <v>178</v>
      </c>
      <c r="AH2886">
        <v>129</v>
      </c>
      <c r="AI2886">
        <v>2.77</v>
      </c>
      <c r="AJ2886">
        <v>32.840000000000003</v>
      </c>
      <c r="AK2886">
        <v>23.8</v>
      </c>
      <c r="AL2886">
        <v>-20.139768699999959</v>
      </c>
      <c r="AM2886">
        <v>-44.911265351587588</v>
      </c>
      <c r="AN2886">
        <v>-20.139768699999959</v>
      </c>
      <c r="AO2886">
        <v>-44.911265351587588</v>
      </c>
      <c r="AP2886">
        <v>-20.139693999999999</v>
      </c>
      <c r="AQ2886">
        <v>-44.911256000000002</v>
      </c>
      <c r="AR2886">
        <v>8.3728438666521061</v>
      </c>
      <c r="AS2886" t="s">
        <v>65</v>
      </c>
      <c r="AT2886">
        <v>1</v>
      </c>
      <c r="AU2886" t="s">
        <v>862</v>
      </c>
      <c r="AV2886" t="s">
        <v>863</v>
      </c>
      <c r="AW2886" t="s">
        <v>60</v>
      </c>
      <c r="AX2886" t="s">
        <v>68</v>
      </c>
      <c r="AY2886" t="s">
        <v>69</v>
      </c>
      <c r="AZ2886" t="b">
        <v>1</v>
      </c>
    </row>
    <row r="2887" spans="1:52" x14ac:dyDescent="0.3">
      <c r="A2887" t="s">
        <v>52</v>
      </c>
      <c r="B2887" t="s">
        <v>53</v>
      </c>
      <c r="C2887" t="s">
        <v>54</v>
      </c>
      <c r="D2887" t="s">
        <v>55</v>
      </c>
      <c r="E2887" t="s">
        <v>2162</v>
      </c>
      <c r="F2887" t="s">
        <v>1247</v>
      </c>
      <c r="G2887" t="s">
        <v>479</v>
      </c>
      <c r="H2887" t="s">
        <v>480</v>
      </c>
      <c r="I2887" t="s">
        <v>480</v>
      </c>
      <c r="J2887" t="s">
        <v>60</v>
      </c>
      <c r="K2887" t="s">
        <v>388</v>
      </c>
      <c r="L2887" t="s">
        <v>62</v>
      </c>
      <c r="M2887" t="s">
        <v>388</v>
      </c>
      <c r="N2887" t="s">
        <v>481</v>
      </c>
      <c r="O2887" t="s">
        <v>315</v>
      </c>
      <c r="P2887">
        <v>-20.166903999999999</v>
      </c>
      <c r="Q2887">
        <v>-44.903492</v>
      </c>
      <c r="R2887" s="2" t="str">
        <f>HYPERLINK("https://www.google.com/maps?q=-20.1669040,-44.9034920","Abrir no Google Maps")</f>
        <v>Abrir no Google Maps</v>
      </c>
      <c r="S2887">
        <v>3</v>
      </c>
      <c r="T2887">
        <v>517.12253532511602</v>
      </c>
      <c r="U2887">
        <v>4</v>
      </c>
      <c r="V2887">
        <v>0.42189639094756221</v>
      </c>
      <c r="W2887">
        <v>1</v>
      </c>
      <c r="X2887">
        <v>0.42189639094756221</v>
      </c>
      <c r="Y2887">
        <v>578</v>
      </c>
      <c r="Z2887">
        <v>721.79551240050432</v>
      </c>
      <c r="AA2887">
        <v>198</v>
      </c>
      <c r="AB2887">
        <v>332</v>
      </c>
      <c r="AC2887">
        <v>536</v>
      </c>
      <c r="AD2887">
        <v>26.86</v>
      </c>
      <c r="AE2887">
        <v>542</v>
      </c>
      <c r="AF2887">
        <v>15</v>
      </c>
      <c r="AG2887">
        <v>178</v>
      </c>
      <c r="AH2887">
        <v>129</v>
      </c>
      <c r="AI2887">
        <v>2.77</v>
      </c>
      <c r="AJ2887">
        <v>32.840000000000003</v>
      </c>
      <c r="AK2887">
        <v>23.8</v>
      </c>
      <c r="AL2887">
        <v>-20.166610649999971</v>
      </c>
      <c r="AM2887">
        <v>-44.903452988928308</v>
      </c>
      <c r="AN2887">
        <v>-20.166610649999971</v>
      </c>
      <c r="AO2887">
        <v>-44.903452988928308</v>
      </c>
      <c r="AP2887">
        <v>-20.166903999999999</v>
      </c>
      <c r="AQ2887">
        <v>-44.903492</v>
      </c>
      <c r="AR2887">
        <v>32.909175876856217</v>
      </c>
      <c r="AS2887" t="s">
        <v>65</v>
      </c>
      <c r="AT2887">
        <v>1</v>
      </c>
      <c r="AU2887" t="s">
        <v>482</v>
      </c>
      <c r="AV2887" t="s">
        <v>483</v>
      </c>
      <c r="AW2887" t="s">
        <v>60</v>
      </c>
      <c r="AX2887" t="s">
        <v>68</v>
      </c>
      <c r="AY2887" t="s">
        <v>69</v>
      </c>
      <c r="AZ2887" t="b">
        <v>1</v>
      </c>
    </row>
    <row r="2888" spans="1:52" x14ac:dyDescent="0.3">
      <c r="A2888" t="s">
        <v>52</v>
      </c>
      <c r="B2888" t="s">
        <v>53</v>
      </c>
      <c r="C2888" t="s">
        <v>54</v>
      </c>
      <c r="D2888" t="s">
        <v>55</v>
      </c>
      <c r="E2888" t="s">
        <v>2162</v>
      </c>
      <c r="F2888" t="s">
        <v>1247</v>
      </c>
      <c r="G2888" t="s">
        <v>503</v>
      </c>
      <c r="H2888" t="s">
        <v>504</v>
      </c>
      <c r="I2888" t="s">
        <v>504</v>
      </c>
      <c r="J2888" t="s">
        <v>60</v>
      </c>
      <c r="K2888" t="s">
        <v>505</v>
      </c>
      <c r="L2888" t="s">
        <v>62</v>
      </c>
      <c r="M2888" t="s">
        <v>505</v>
      </c>
      <c r="N2888" t="s">
        <v>506</v>
      </c>
      <c r="O2888" t="s">
        <v>507</v>
      </c>
      <c r="P2888">
        <v>-20.131428</v>
      </c>
      <c r="Q2888">
        <v>-44.888921000000003</v>
      </c>
      <c r="R2888" s="2" t="str">
        <f>HYPERLINK("https://www.google.com/maps?q=-20.1314280,-44.8889210","Abrir no Google Maps")</f>
        <v>Abrir no Google Maps</v>
      </c>
      <c r="S2888">
        <v>3</v>
      </c>
      <c r="T2888">
        <v>250.64150698244501</v>
      </c>
      <c r="U2888">
        <v>4</v>
      </c>
      <c r="V2888">
        <v>0.42239501021455378</v>
      </c>
      <c r="W2888">
        <v>1</v>
      </c>
      <c r="X2888">
        <v>0.42239501021455378</v>
      </c>
      <c r="Y2888">
        <v>564</v>
      </c>
      <c r="Z2888">
        <v>189.93933888952441</v>
      </c>
      <c r="AA2888">
        <v>198</v>
      </c>
      <c r="AB2888">
        <v>332</v>
      </c>
      <c r="AC2888">
        <v>536</v>
      </c>
      <c r="AD2888">
        <v>26.86</v>
      </c>
      <c r="AE2888">
        <v>542</v>
      </c>
      <c r="AF2888">
        <v>15</v>
      </c>
      <c r="AG2888">
        <v>178</v>
      </c>
      <c r="AH2888">
        <v>129</v>
      </c>
      <c r="AI2888">
        <v>2.77</v>
      </c>
      <c r="AJ2888">
        <v>32.840000000000003</v>
      </c>
      <c r="AK2888">
        <v>23.8</v>
      </c>
      <c r="AL2888">
        <v>-20.13123589999995</v>
      </c>
      <c r="AM2888">
        <v>-44.888742396501762</v>
      </c>
      <c r="AN2888">
        <v>-20.13123589999995</v>
      </c>
      <c r="AO2888">
        <v>-44.888742396501762</v>
      </c>
      <c r="AP2888">
        <v>-20.131428</v>
      </c>
      <c r="AQ2888">
        <v>-44.888921000000003</v>
      </c>
      <c r="AR2888">
        <v>28.386169462917032</v>
      </c>
      <c r="AS2888" t="s">
        <v>65</v>
      </c>
      <c r="AT2888">
        <v>1</v>
      </c>
      <c r="AU2888" t="s">
        <v>508</v>
      </c>
      <c r="AV2888" t="s">
        <v>509</v>
      </c>
      <c r="AW2888" t="s">
        <v>60</v>
      </c>
      <c r="AX2888" t="s">
        <v>68</v>
      </c>
      <c r="AY2888" t="s">
        <v>69</v>
      </c>
      <c r="AZ2888" t="b">
        <v>1</v>
      </c>
    </row>
    <row r="2889" spans="1:52" x14ac:dyDescent="0.3">
      <c r="A2889" t="s">
        <v>52</v>
      </c>
      <c r="B2889" t="s">
        <v>53</v>
      </c>
      <c r="C2889" t="s">
        <v>54</v>
      </c>
      <c r="D2889" t="s">
        <v>55</v>
      </c>
      <c r="E2889" t="s">
        <v>2162</v>
      </c>
      <c r="F2889" t="s">
        <v>1247</v>
      </c>
      <c r="G2889" t="s">
        <v>510</v>
      </c>
      <c r="H2889" t="s">
        <v>511</v>
      </c>
      <c r="I2889" t="s">
        <v>511</v>
      </c>
      <c r="J2889" t="s">
        <v>60</v>
      </c>
      <c r="K2889" t="s">
        <v>512</v>
      </c>
      <c r="L2889" t="s">
        <v>62</v>
      </c>
      <c r="M2889" t="s">
        <v>512</v>
      </c>
      <c r="N2889" t="s">
        <v>406</v>
      </c>
      <c r="O2889" t="s">
        <v>513</v>
      </c>
      <c r="P2889">
        <v>-20.127853000000002</v>
      </c>
      <c r="Q2889">
        <v>-44.891415000000002</v>
      </c>
      <c r="R2889" s="2" t="str">
        <f>HYPERLINK("https://www.google.com/maps?q=-20.1278530,-44.8914150","Abrir no Google Maps")</f>
        <v>Abrir no Google Maps</v>
      </c>
      <c r="S2889">
        <v>3</v>
      </c>
      <c r="T2889">
        <v>340.86994528233612</v>
      </c>
      <c r="U2889">
        <v>4</v>
      </c>
      <c r="V2889">
        <v>0.42237817810365219</v>
      </c>
      <c r="W2889">
        <v>1</v>
      </c>
      <c r="X2889">
        <v>0.42237817810365219</v>
      </c>
      <c r="Y2889">
        <v>564</v>
      </c>
      <c r="Z2889">
        <v>294.18108015916812</v>
      </c>
      <c r="AA2889">
        <v>198</v>
      </c>
      <c r="AB2889">
        <v>332</v>
      </c>
      <c r="AC2889">
        <v>536</v>
      </c>
      <c r="AD2889">
        <v>26.86</v>
      </c>
      <c r="AE2889">
        <v>542</v>
      </c>
      <c r="AF2889">
        <v>15</v>
      </c>
      <c r="AG2889">
        <v>178</v>
      </c>
      <c r="AH2889">
        <v>129</v>
      </c>
      <c r="AI2889">
        <v>2.77</v>
      </c>
      <c r="AJ2889">
        <v>32.840000000000003</v>
      </c>
      <c r="AK2889">
        <v>23.8</v>
      </c>
      <c r="AL2889">
        <v>-20.12777399999996</v>
      </c>
      <c r="AM2889">
        <v>-44.891400975758501</v>
      </c>
      <c r="AN2889">
        <v>-20.12777399999996</v>
      </c>
      <c r="AO2889">
        <v>-44.891400975758501</v>
      </c>
      <c r="AP2889">
        <v>-20.127853000000002</v>
      </c>
      <c r="AQ2889">
        <v>-44.891415000000002</v>
      </c>
      <c r="AR2889">
        <v>8.9156059162975616</v>
      </c>
      <c r="AS2889" t="s">
        <v>65</v>
      </c>
      <c r="AT2889">
        <v>1</v>
      </c>
      <c r="AU2889" t="s">
        <v>514</v>
      </c>
      <c r="AV2889" t="s">
        <v>515</v>
      </c>
      <c r="AW2889" t="s">
        <v>60</v>
      </c>
      <c r="AX2889" t="s">
        <v>68</v>
      </c>
      <c r="AY2889" t="s">
        <v>69</v>
      </c>
      <c r="AZ2889" t="b">
        <v>1</v>
      </c>
    </row>
    <row r="2890" spans="1:52" x14ac:dyDescent="0.3">
      <c r="A2890" t="s">
        <v>52</v>
      </c>
      <c r="B2890" t="s">
        <v>53</v>
      </c>
      <c r="C2890" t="s">
        <v>54</v>
      </c>
      <c r="D2890" t="s">
        <v>55</v>
      </c>
      <c r="E2890" t="s">
        <v>2162</v>
      </c>
      <c r="F2890" t="s">
        <v>1247</v>
      </c>
      <c r="G2890" t="s">
        <v>516</v>
      </c>
      <c r="H2890" t="s">
        <v>517</v>
      </c>
      <c r="I2890" t="s">
        <v>517</v>
      </c>
      <c r="J2890" t="s">
        <v>60</v>
      </c>
      <c r="K2890" t="s">
        <v>518</v>
      </c>
      <c r="L2890" t="s">
        <v>62</v>
      </c>
      <c r="M2890" t="s">
        <v>518</v>
      </c>
      <c r="N2890" t="s">
        <v>519</v>
      </c>
      <c r="O2890" t="s">
        <v>520</v>
      </c>
      <c r="P2890">
        <v>-20.124502</v>
      </c>
      <c r="Q2890">
        <v>-44.888424000000001</v>
      </c>
      <c r="R2890" s="2" t="str">
        <f>HYPERLINK("https://www.google.com/maps?q=-20.1245020,-44.8884240","Abrir no Google Maps")</f>
        <v>Abrir no Google Maps</v>
      </c>
      <c r="S2890">
        <v>3</v>
      </c>
      <c r="T2890">
        <v>483.42298121929559</v>
      </c>
      <c r="U2890">
        <v>4</v>
      </c>
      <c r="V2890">
        <v>0.4727438200720801</v>
      </c>
      <c r="W2890">
        <v>1</v>
      </c>
      <c r="X2890">
        <v>0.4727438200720801</v>
      </c>
      <c r="Y2890">
        <v>564</v>
      </c>
      <c r="Z2890">
        <v>565.43074237076587</v>
      </c>
      <c r="AA2890">
        <v>198</v>
      </c>
      <c r="AB2890">
        <v>332</v>
      </c>
      <c r="AC2890">
        <v>536</v>
      </c>
      <c r="AD2890">
        <v>26.86</v>
      </c>
      <c r="AE2890">
        <v>542</v>
      </c>
      <c r="AF2890">
        <v>15</v>
      </c>
      <c r="AG2890">
        <v>178</v>
      </c>
      <c r="AH2890">
        <v>129</v>
      </c>
      <c r="AI2890">
        <v>2.77</v>
      </c>
      <c r="AJ2890">
        <v>32.840000000000003</v>
      </c>
      <c r="AK2890">
        <v>23.8</v>
      </c>
      <c r="AL2890">
        <v>-20.124624949999941</v>
      </c>
      <c r="AM2890">
        <v>-44.888432821777258</v>
      </c>
      <c r="AN2890">
        <v>-20.124624949999941</v>
      </c>
      <c r="AO2890">
        <v>-44.888432821777258</v>
      </c>
      <c r="AP2890">
        <v>-20.124502</v>
      </c>
      <c r="AQ2890">
        <v>-44.888424000000001</v>
      </c>
      <c r="AR2890">
        <v>13.717819333897451</v>
      </c>
      <c r="AS2890" t="s">
        <v>65</v>
      </c>
      <c r="AT2890">
        <v>1</v>
      </c>
      <c r="AU2890" t="s">
        <v>521</v>
      </c>
      <c r="AV2890" t="s">
        <v>522</v>
      </c>
      <c r="AW2890" t="s">
        <v>60</v>
      </c>
      <c r="AX2890" t="s">
        <v>68</v>
      </c>
      <c r="AY2890" t="s">
        <v>69</v>
      </c>
      <c r="AZ2890" t="b">
        <v>1</v>
      </c>
    </row>
    <row r="2891" spans="1:52" x14ac:dyDescent="0.3">
      <c r="A2891" t="s">
        <v>52</v>
      </c>
      <c r="B2891" t="s">
        <v>53</v>
      </c>
      <c r="C2891" t="s">
        <v>54</v>
      </c>
      <c r="D2891" t="s">
        <v>55</v>
      </c>
      <c r="E2891" t="s">
        <v>2162</v>
      </c>
      <c r="F2891" t="s">
        <v>1247</v>
      </c>
      <c r="G2891" t="s">
        <v>523</v>
      </c>
      <c r="H2891" t="s">
        <v>524</v>
      </c>
      <c r="I2891" t="s">
        <v>524</v>
      </c>
      <c r="J2891" t="s">
        <v>60</v>
      </c>
      <c r="K2891" t="s">
        <v>518</v>
      </c>
      <c r="L2891" t="s">
        <v>62</v>
      </c>
      <c r="M2891" t="s">
        <v>518</v>
      </c>
      <c r="N2891" t="s">
        <v>525</v>
      </c>
      <c r="O2891" t="s">
        <v>331</v>
      </c>
      <c r="P2891">
        <v>-20.126553000000001</v>
      </c>
      <c r="Q2891">
        <v>-44.888599999999997</v>
      </c>
      <c r="R2891" s="2" t="str">
        <f>HYPERLINK("https://www.google.com/maps?q=-20.1265530,-44.8886000","Abrir no Google Maps")</f>
        <v>Abrir no Google Maps</v>
      </c>
      <c r="S2891">
        <v>3</v>
      </c>
      <c r="T2891">
        <v>256.34043440603853</v>
      </c>
      <c r="U2891">
        <v>4</v>
      </c>
      <c r="V2891">
        <v>0.43814680018010349</v>
      </c>
      <c r="W2891">
        <v>1</v>
      </c>
      <c r="X2891">
        <v>0.43814680018010349</v>
      </c>
      <c r="Y2891">
        <v>564</v>
      </c>
      <c r="Z2891">
        <v>325.4404273055876</v>
      </c>
      <c r="AA2891">
        <v>198</v>
      </c>
      <c r="AB2891">
        <v>332</v>
      </c>
      <c r="AC2891">
        <v>536</v>
      </c>
      <c r="AD2891">
        <v>26.86</v>
      </c>
      <c r="AE2891">
        <v>542</v>
      </c>
      <c r="AF2891">
        <v>15</v>
      </c>
      <c r="AG2891">
        <v>178</v>
      </c>
      <c r="AH2891">
        <v>129</v>
      </c>
      <c r="AI2891">
        <v>2.77</v>
      </c>
      <c r="AJ2891">
        <v>32.840000000000003</v>
      </c>
      <c r="AK2891">
        <v>23.8</v>
      </c>
      <c r="AL2891">
        <v>-20.12669049999997</v>
      </c>
      <c r="AM2891">
        <v>-44.888671289876577</v>
      </c>
      <c r="AN2891">
        <v>-20.12669049999997</v>
      </c>
      <c r="AO2891">
        <v>-44.888671289876577</v>
      </c>
      <c r="AP2891">
        <v>-20.126553000000001</v>
      </c>
      <c r="AQ2891">
        <v>-44.888599999999997</v>
      </c>
      <c r="AR2891">
        <v>17.023861591720589</v>
      </c>
      <c r="AS2891" t="s">
        <v>65</v>
      </c>
      <c r="AT2891">
        <v>1</v>
      </c>
      <c r="AU2891" t="s">
        <v>526</v>
      </c>
      <c r="AV2891" t="s">
        <v>527</v>
      </c>
      <c r="AW2891" t="s">
        <v>60</v>
      </c>
      <c r="AX2891" t="s">
        <v>68</v>
      </c>
      <c r="AY2891" t="s">
        <v>69</v>
      </c>
      <c r="AZ2891" t="b">
        <v>1</v>
      </c>
    </row>
    <row r="2892" spans="1:52" x14ac:dyDescent="0.3">
      <c r="A2892" t="s">
        <v>52</v>
      </c>
      <c r="B2892" t="s">
        <v>53</v>
      </c>
      <c r="C2892" t="s">
        <v>54</v>
      </c>
      <c r="D2892" t="s">
        <v>55</v>
      </c>
      <c r="E2892" t="s">
        <v>2162</v>
      </c>
      <c r="F2892" t="s">
        <v>1247</v>
      </c>
      <c r="G2892" t="s">
        <v>528</v>
      </c>
      <c r="H2892" t="s">
        <v>529</v>
      </c>
      <c r="I2892" t="s">
        <v>529</v>
      </c>
      <c r="J2892" t="s">
        <v>60</v>
      </c>
      <c r="K2892" t="s">
        <v>530</v>
      </c>
      <c r="L2892" t="s">
        <v>62</v>
      </c>
      <c r="M2892" t="s">
        <v>530</v>
      </c>
      <c r="N2892" t="s">
        <v>531</v>
      </c>
      <c r="O2892" t="s">
        <v>532</v>
      </c>
      <c r="P2892">
        <v>-20.142457</v>
      </c>
      <c r="Q2892">
        <v>-44.891688000000002</v>
      </c>
      <c r="R2892" s="2" t="str">
        <f>HYPERLINK("https://www.google.com/maps?q=-20.1424570,-44.8916880","Abrir no Google Maps")</f>
        <v>Abrir no Google Maps</v>
      </c>
      <c r="S2892">
        <v>3</v>
      </c>
      <c r="T2892">
        <v>0</v>
      </c>
      <c r="U2892">
        <v>4</v>
      </c>
      <c r="V2892">
        <v>0.4986271625105263</v>
      </c>
      <c r="W2892">
        <v>1</v>
      </c>
      <c r="X2892">
        <v>0.4986271625105263</v>
      </c>
      <c r="Y2892">
        <v>557</v>
      </c>
      <c r="Z2892">
        <v>42.611952255679803</v>
      </c>
      <c r="AA2892">
        <v>198</v>
      </c>
      <c r="AB2892">
        <v>332</v>
      </c>
      <c r="AC2892">
        <v>536</v>
      </c>
      <c r="AD2892">
        <v>26.86</v>
      </c>
      <c r="AE2892">
        <v>542</v>
      </c>
      <c r="AF2892">
        <v>15</v>
      </c>
      <c r="AG2892">
        <v>178</v>
      </c>
      <c r="AH2892">
        <v>129</v>
      </c>
      <c r="AI2892">
        <v>2.77</v>
      </c>
      <c r="AJ2892">
        <v>32.840000000000003</v>
      </c>
      <c r="AK2892">
        <v>23.8</v>
      </c>
      <c r="AL2892">
        <v>-20.142523099999948</v>
      </c>
      <c r="AM2892">
        <v>-44.891523817588819</v>
      </c>
      <c r="AN2892">
        <v>-20.142523099999948</v>
      </c>
      <c r="AO2892">
        <v>-44.891523817588819</v>
      </c>
      <c r="AP2892">
        <v>-20.142457</v>
      </c>
      <c r="AQ2892">
        <v>-44.891688000000002</v>
      </c>
      <c r="AR2892">
        <v>18.670129248632971</v>
      </c>
      <c r="AS2892" t="s">
        <v>65</v>
      </c>
      <c r="AT2892">
        <v>1</v>
      </c>
      <c r="AU2892" t="s">
        <v>533</v>
      </c>
      <c r="AV2892" t="s">
        <v>534</v>
      </c>
      <c r="AW2892" t="s">
        <v>60</v>
      </c>
      <c r="AX2892" t="s">
        <v>68</v>
      </c>
      <c r="AY2892" t="s">
        <v>69</v>
      </c>
      <c r="AZ2892" t="b">
        <v>1</v>
      </c>
    </row>
    <row r="2893" spans="1:52" x14ac:dyDescent="0.3">
      <c r="A2893" t="s">
        <v>52</v>
      </c>
      <c r="B2893" t="s">
        <v>53</v>
      </c>
      <c r="C2893" t="s">
        <v>54</v>
      </c>
      <c r="D2893" t="s">
        <v>55</v>
      </c>
      <c r="E2893" t="s">
        <v>2162</v>
      </c>
      <c r="F2893" t="s">
        <v>1247</v>
      </c>
      <c r="G2893" t="s">
        <v>535</v>
      </c>
      <c r="H2893" t="s">
        <v>536</v>
      </c>
      <c r="I2893" t="s">
        <v>536</v>
      </c>
      <c r="J2893" t="s">
        <v>60</v>
      </c>
      <c r="K2893" t="s">
        <v>388</v>
      </c>
      <c r="L2893" t="s">
        <v>62</v>
      </c>
      <c r="M2893" t="s">
        <v>388</v>
      </c>
      <c r="N2893" t="s">
        <v>537</v>
      </c>
      <c r="O2893" t="s">
        <v>538</v>
      </c>
      <c r="P2893">
        <v>-20.150061999999998</v>
      </c>
      <c r="Q2893">
        <v>-44.903379000000001</v>
      </c>
      <c r="R2893" s="2" t="str">
        <f>HYPERLINK("https://www.google.com/maps?q=-20.1500620,-44.9033790","Abrir no Google Maps")</f>
        <v>Abrir no Google Maps</v>
      </c>
      <c r="S2893">
        <v>3</v>
      </c>
      <c r="T2893">
        <v>286.20313674219977</v>
      </c>
      <c r="U2893">
        <v>4</v>
      </c>
      <c r="V2893">
        <v>0.45610182842942221</v>
      </c>
      <c r="W2893">
        <v>1</v>
      </c>
      <c r="X2893">
        <v>0.45610182842942221</v>
      </c>
      <c r="Y2893">
        <v>556</v>
      </c>
      <c r="Z2893">
        <v>315.81851898667401</v>
      </c>
      <c r="AA2893">
        <v>198</v>
      </c>
      <c r="AB2893">
        <v>332</v>
      </c>
      <c r="AC2893">
        <v>536</v>
      </c>
      <c r="AD2893">
        <v>26.86</v>
      </c>
      <c r="AE2893">
        <v>542</v>
      </c>
      <c r="AF2893">
        <v>15</v>
      </c>
      <c r="AG2893">
        <v>178</v>
      </c>
      <c r="AH2893">
        <v>129</v>
      </c>
      <c r="AI2893">
        <v>2.77</v>
      </c>
      <c r="AJ2893">
        <v>32.840000000000003</v>
      </c>
      <c r="AK2893">
        <v>23.8</v>
      </c>
      <c r="AL2893">
        <v>-20.150084299999971</v>
      </c>
      <c r="AM2893">
        <v>-44.903278407568479</v>
      </c>
      <c r="AN2893">
        <v>-20.150084299999971</v>
      </c>
      <c r="AO2893">
        <v>-44.903278407568479</v>
      </c>
      <c r="AP2893">
        <v>-20.150061999999998</v>
      </c>
      <c r="AQ2893">
        <v>-44.903379000000001</v>
      </c>
      <c r="AR2893">
        <v>10.801687336134639</v>
      </c>
      <c r="AS2893" t="s">
        <v>65</v>
      </c>
      <c r="AT2893">
        <v>1</v>
      </c>
      <c r="AU2893" t="s">
        <v>539</v>
      </c>
      <c r="AV2893" t="s">
        <v>540</v>
      </c>
      <c r="AW2893" t="s">
        <v>60</v>
      </c>
      <c r="AX2893" t="s">
        <v>68</v>
      </c>
      <c r="AY2893" t="s">
        <v>69</v>
      </c>
      <c r="AZ2893" t="b">
        <v>1</v>
      </c>
    </row>
    <row r="2894" spans="1:52" x14ac:dyDescent="0.3">
      <c r="A2894" t="s">
        <v>52</v>
      </c>
      <c r="B2894" t="s">
        <v>53</v>
      </c>
      <c r="C2894" t="s">
        <v>54</v>
      </c>
      <c r="D2894" t="s">
        <v>55</v>
      </c>
      <c r="E2894" t="s">
        <v>2162</v>
      </c>
      <c r="F2894" t="s">
        <v>1247</v>
      </c>
      <c r="G2894" t="s">
        <v>398</v>
      </c>
      <c r="H2894" t="s">
        <v>541</v>
      </c>
      <c r="I2894" t="s">
        <v>541</v>
      </c>
      <c r="J2894" t="s">
        <v>60</v>
      </c>
      <c r="K2894" t="s">
        <v>388</v>
      </c>
      <c r="L2894" t="s">
        <v>62</v>
      </c>
      <c r="M2894" t="s">
        <v>388</v>
      </c>
      <c r="N2894" t="s">
        <v>400</v>
      </c>
      <c r="O2894" t="s">
        <v>542</v>
      </c>
      <c r="P2894">
        <v>-20.151335</v>
      </c>
      <c r="Q2894">
        <v>-44.901041999999997</v>
      </c>
      <c r="R2894" s="2" t="str">
        <f>HYPERLINK("https://www.google.com/maps?q=-20.1513350,-44.9010420","Abrir no Google Maps")</f>
        <v>Abrir no Google Maps</v>
      </c>
      <c r="S2894">
        <v>3</v>
      </c>
      <c r="T2894">
        <v>0</v>
      </c>
      <c r="U2894">
        <v>4</v>
      </c>
      <c r="V2894">
        <v>0.42075892971936829</v>
      </c>
      <c r="W2894">
        <v>1</v>
      </c>
      <c r="X2894">
        <v>0.42075892971936829</v>
      </c>
      <c r="Y2894">
        <v>556</v>
      </c>
      <c r="Z2894">
        <v>137.71609036908939</v>
      </c>
      <c r="AA2894">
        <v>198</v>
      </c>
      <c r="AB2894">
        <v>332</v>
      </c>
      <c r="AC2894">
        <v>536</v>
      </c>
      <c r="AD2894">
        <v>26.86</v>
      </c>
      <c r="AE2894">
        <v>542</v>
      </c>
      <c r="AF2894">
        <v>15</v>
      </c>
      <c r="AG2894">
        <v>178</v>
      </c>
      <c r="AH2894">
        <v>129</v>
      </c>
      <c r="AI2894">
        <v>2.77</v>
      </c>
      <c r="AJ2894">
        <v>32.840000000000003</v>
      </c>
      <c r="AK2894">
        <v>23.8</v>
      </c>
      <c r="AL2894">
        <v>-20.15125899999995</v>
      </c>
      <c r="AM2894">
        <v>-44.900838557594433</v>
      </c>
      <c r="AN2894">
        <v>-20.15125899999995</v>
      </c>
      <c r="AO2894">
        <v>-44.900838557594433</v>
      </c>
      <c r="AP2894">
        <v>-20.151335</v>
      </c>
      <c r="AQ2894">
        <v>-44.901041999999997</v>
      </c>
      <c r="AR2894">
        <v>22.882363139483491</v>
      </c>
      <c r="AS2894" t="s">
        <v>65</v>
      </c>
      <c r="AT2894">
        <v>1</v>
      </c>
      <c r="AU2894" t="s">
        <v>543</v>
      </c>
      <c r="AV2894" t="s">
        <v>544</v>
      </c>
      <c r="AW2894" t="s">
        <v>60</v>
      </c>
      <c r="AX2894" t="s">
        <v>68</v>
      </c>
      <c r="AY2894" t="s">
        <v>69</v>
      </c>
      <c r="AZ2894" t="b">
        <v>1</v>
      </c>
    </row>
    <row r="2895" spans="1:52" x14ac:dyDescent="0.3">
      <c r="A2895" t="s">
        <v>52</v>
      </c>
      <c r="B2895" t="s">
        <v>53</v>
      </c>
      <c r="C2895" t="s">
        <v>54</v>
      </c>
      <c r="D2895" t="s">
        <v>55</v>
      </c>
      <c r="E2895" t="s">
        <v>2162</v>
      </c>
      <c r="F2895" t="s">
        <v>1247</v>
      </c>
      <c r="G2895" t="s">
        <v>545</v>
      </c>
      <c r="H2895" t="s">
        <v>546</v>
      </c>
      <c r="I2895" t="s">
        <v>546</v>
      </c>
      <c r="J2895" t="s">
        <v>60</v>
      </c>
      <c r="K2895" t="s">
        <v>388</v>
      </c>
      <c r="L2895" t="s">
        <v>62</v>
      </c>
      <c r="M2895" t="s">
        <v>388</v>
      </c>
      <c r="N2895" t="s">
        <v>547</v>
      </c>
      <c r="O2895" t="s">
        <v>548</v>
      </c>
      <c r="P2895">
        <v>-20.155839</v>
      </c>
      <c r="Q2895">
        <v>-44.905655000000003</v>
      </c>
      <c r="R2895" s="2" t="str">
        <f>HYPERLINK("https://www.google.com/maps?q=-20.1558390,-44.9056550","Abrir no Google Maps")</f>
        <v>Abrir no Google Maps</v>
      </c>
      <c r="S2895">
        <v>3</v>
      </c>
      <c r="T2895">
        <v>309.7643089121122</v>
      </c>
      <c r="U2895">
        <v>4</v>
      </c>
      <c r="V2895">
        <v>0.44036261518001318</v>
      </c>
      <c r="W2895">
        <v>1</v>
      </c>
      <c r="X2895">
        <v>0.44036261518001318</v>
      </c>
      <c r="Y2895">
        <v>548</v>
      </c>
      <c r="Z2895">
        <v>284.24281731793161</v>
      </c>
      <c r="AA2895">
        <v>198</v>
      </c>
      <c r="AB2895">
        <v>332</v>
      </c>
      <c r="AC2895">
        <v>536</v>
      </c>
      <c r="AD2895">
        <v>26.86</v>
      </c>
      <c r="AE2895">
        <v>542</v>
      </c>
      <c r="AF2895">
        <v>15</v>
      </c>
      <c r="AG2895">
        <v>178</v>
      </c>
      <c r="AH2895">
        <v>129</v>
      </c>
      <c r="AI2895">
        <v>2.77</v>
      </c>
      <c r="AJ2895">
        <v>32.840000000000003</v>
      </c>
      <c r="AK2895">
        <v>23.8</v>
      </c>
      <c r="AL2895">
        <v>-20.155913549999951</v>
      </c>
      <c r="AM2895">
        <v>-44.905554508392683</v>
      </c>
      <c r="AN2895">
        <v>-20.155913549999951</v>
      </c>
      <c r="AO2895">
        <v>-44.905554508392669</v>
      </c>
      <c r="AP2895">
        <v>-20.155839</v>
      </c>
      <c r="AQ2895">
        <v>-44.905655000000003</v>
      </c>
      <c r="AR2895">
        <v>13.384922093797449</v>
      </c>
      <c r="AS2895" t="s">
        <v>65</v>
      </c>
      <c r="AT2895">
        <v>1</v>
      </c>
      <c r="AU2895" t="s">
        <v>549</v>
      </c>
      <c r="AV2895" t="s">
        <v>550</v>
      </c>
      <c r="AW2895" t="s">
        <v>60</v>
      </c>
      <c r="AX2895" t="s">
        <v>68</v>
      </c>
      <c r="AY2895" t="s">
        <v>69</v>
      </c>
      <c r="AZ2895" t="b">
        <v>1</v>
      </c>
    </row>
    <row r="2896" spans="1:52" x14ac:dyDescent="0.3">
      <c r="A2896" t="s">
        <v>52</v>
      </c>
      <c r="B2896" t="s">
        <v>53</v>
      </c>
      <c r="C2896" t="s">
        <v>54</v>
      </c>
      <c r="D2896" t="s">
        <v>55</v>
      </c>
      <c r="E2896" t="s">
        <v>2162</v>
      </c>
      <c r="F2896" t="s">
        <v>1247</v>
      </c>
      <c r="G2896" t="s">
        <v>551</v>
      </c>
      <c r="H2896" t="s">
        <v>552</v>
      </c>
      <c r="I2896" t="s">
        <v>552</v>
      </c>
      <c r="J2896" t="s">
        <v>60</v>
      </c>
      <c r="K2896" t="s">
        <v>388</v>
      </c>
      <c r="L2896" t="s">
        <v>62</v>
      </c>
      <c r="M2896" t="s">
        <v>388</v>
      </c>
      <c r="N2896" t="s">
        <v>553</v>
      </c>
      <c r="O2896" t="s">
        <v>315</v>
      </c>
      <c r="P2896">
        <v>-20.153086999999999</v>
      </c>
      <c r="Q2896">
        <v>-44.905451999999997</v>
      </c>
      <c r="R2896" s="2" t="str">
        <f>HYPERLINK("https://www.google.com/maps?q=-20.1530870,-44.9054520","Abrir no Google Maps")</f>
        <v>Abrir no Google Maps</v>
      </c>
      <c r="S2896">
        <v>3</v>
      </c>
      <c r="T2896">
        <v>313.69387682409018</v>
      </c>
      <c r="U2896">
        <v>4</v>
      </c>
      <c r="V2896">
        <v>0.43021338573495871</v>
      </c>
      <c r="W2896">
        <v>1</v>
      </c>
      <c r="X2896">
        <v>0.43021338573495871</v>
      </c>
      <c r="Y2896">
        <v>548</v>
      </c>
      <c r="Z2896">
        <v>319.51605309906859</v>
      </c>
      <c r="AA2896">
        <v>198</v>
      </c>
      <c r="AB2896">
        <v>332</v>
      </c>
      <c r="AC2896">
        <v>536</v>
      </c>
      <c r="AD2896">
        <v>26.86</v>
      </c>
      <c r="AE2896">
        <v>542</v>
      </c>
      <c r="AF2896">
        <v>15</v>
      </c>
      <c r="AG2896">
        <v>178</v>
      </c>
      <c r="AH2896">
        <v>129</v>
      </c>
      <c r="AI2896">
        <v>2.77</v>
      </c>
      <c r="AJ2896">
        <v>32.840000000000003</v>
      </c>
      <c r="AK2896">
        <v>23.8</v>
      </c>
      <c r="AL2896">
        <v>-20.153043049999951</v>
      </c>
      <c r="AM2896">
        <v>-44.905348275899513</v>
      </c>
      <c r="AN2896">
        <v>-20.153043049999951</v>
      </c>
      <c r="AO2896">
        <v>-44.905348275899513</v>
      </c>
      <c r="AP2896">
        <v>-20.153086999999999</v>
      </c>
      <c r="AQ2896">
        <v>-44.905451999999997</v>
      </c>
      <c r="AR2896">
        <v>11.892619975648341</v>
      </c>
      <c r="AS2896" t="s">
        <v>65</v>
      </c>
      <c r="AT2896">
        <v>1</v>
      </c>
      <c r="AU2896" t="s">
        <v>554</v>
      </c>
      <c r="AV2896" t="s">
        <v>555</v>
      </c>
      <c r="AW2896" t="s">
        <v>60</v>
      </c>
      <c r="AX2896" t="s">
        <v>68</v>
      </c>
      <c r="AY2896" t="s">
        <v>69</v>
      </c>
      <c r="AZ2896" t="b">
        <v>1</v>
      </c>
    </row>
    <row r="2897" spans="1:52" x14ac:dyDescent="0.3">
      <c r="A2897" t="s">
        <v>52</v>
      </c>
      <c r="B2897" t="s">
        <v>53</v>
      </c>
      <c r="C2897" t="s">
        <v>54</v>
      </c>
      <c r="D2897" t="s">
        <v>55</v>
      </c>
      <c r="E2897" t="s">
        <v>2162</v>
      </c>
      <c r="F2897" t="s">
        <v>1247</v>
      </c>
      <c r="G2897" t="s">
        <v>556</v>
      </c>
      <c r="H2897" t="s">
        <v>557</v>
      </c>
      <c r="I2897" t="s">
        <v>557</v>
      </c>
      <c r="J2897" t="s">
        <v>60</v>
      </c>
      <c r="K2897" t="s">
        <v>388</v>
      </c>
      <c r="L2897" t="s">
        <v>62</v>
      </c>
      <c r="M2897" t="s">
        <v>388</v>
      </c>
      <c r="N2897" t="s">
        <v>558</v>
      </c>
      <c r="O2897" t="s">
        <v>559</v>
      </c>
      <c r="P2897">
        <v>-20.152670000000001</v>
      </c>
      <c r="Q2897">
        <v>-44.902557999999999</v>
      </c>
      <c r="R2897" s="2" t="str">
        <f>HYPERLINK("https://www.google.com/maps?q=-20.1526700,-44.9025580","Abrir no Google Maps")</f>
        <v>Abrir no Google Maps</v>
      </c>
      <c r="S2897">
        <v>3</v>
      </c>
      <c r="T2897">
        <v>228.56195217678911</v>
      </c>
      <c r="U2897">
        <v>4</v>
      </c>
      <c r="V2897">
        <v>0.44303283788860698</v>
      </c>
      <c r="W2897">
        <v>1</v>
      </c>
      <c r="X2897">
        <v>0.44303283788860698</v>
      </c>
      <c r="Y2897">
        <v>548</v>
      </c>
      <c r="Z2897">
        <v>250.63133895224919</v>
      </c>
      <c r="AA2897">
        <v>198</v>
      </c>
      <c r="AB2897">
        <v>332</v>
      </c>
      <c r="AC2897">
        <v>536</v>
      </c>
      <c r="AD2897">
        <v>26.86</v>
      </c>
      <c r="AE2897">
        <v>542</v>
      </c>
      <c r="AF2897">
        <v>15</v>
      </c>
      <c r="AG2897">
        <v>178</v>
      </c>
      <c r="AH2897">
        <v>129</v>
      </c>
      <c r="AI2897">
        <v>2.77</v>
      </c>
      <c r="AJ2897">
        <v>32.840000000000003</v>
      </c>
      <c r="AK2897">
        <v>23.8</v>
      </c>
      <c r="AL2897">
        <v>-20.152629799999939</v>
      </c>
      <c r="AM2897">
        <v>-44.902604744705201</v>
      </c>
      <c r="AN2897">
        <v>-20.152629799999939</v>
      </c>
      <c r="AO2897">
        <v>-44.902604744705201</v>
      </c>
      <c r="AP2897">
        <v>-20.152670000000001</v>
      </c>
      <c r="AQ2897">
        <v>-44.902557999999999</v>
      </c>
      <c r="AR2897">
        <v>6.6249428037111509</v>
      </c>
      <c r="AS2897" t="s">
        <v>65</v>
      </c>
      <c r="AT2897">
        <v>1</v>
      </c>
      <c r="AU2897" t="s">
        <v>560</v>
      </c>
      <c r="AV2897" t="s">
        <v>561</v>
      </c>
      <c r="AW2897" t="s">
        <v>60</v>
      </c>
      <c r="AX2897" t="s">
        <v>68</v>
      </c>
      <c r="AY2897" t="s">
        <v>69</v>
      </c>
      <c r="AZ2897" t="b">
        <v>1</v>
      </c>
    </row>
    <row r="2898" spans="1:52" x14ac:dyDescent="0.3">
      <c r="A2898" t="s">
        <v>52</v>
      </c>
      <c r="B2898" t="s">
        <v>53</v>
      </c>
      <c r="C2898" t="s">
        <v>54</v>
      </c>
      <c r="D2898" t="s">
        <v>55</v>
      </c>
      <c r="E2898" t="s">
        <v>2162</v>
      </c>
      <c r="F2898" t="s">
        <v>1247</v>
      </c>
      <c r="G2898" t="s">
        <v>562</v>
      </c>
      <c r="H2898" t="s">
        <v>563</v>
      </c>
      <c r="I2898" t="s">
        <v>563</v>
      </c>
      <c r="J2898" t="s">
        <v>60</v>
      </c>
      <c r="K2898" t="s">
        <v>388</v>
      </c>
      <c r="L2898" t="s">
        <v>62</v>
      </c>
      <c r="M2898" t="s">
        <v>388</v>
      </c>
      <c r="N2898" t="s">
        <v>564</v>
      </c>
      <c r="O2898" t="s">
        <v>565</v>
      </c>
      <c r="P2898">
        <v>-20.154432</v>
      </c>
      <c r="Q2898">
        <v>-44.902977999999997</v>
      </c>
      <c r="R2898" s="2" t="str">
        <f>HYPERLINK("https://www.google.com/maps?q=-20.1544320,-44.9029780","Abrir no Google Maps")</f>
        <v>Abrir no Google Maps</v>
      </c>
      <c r="S2898">
        <v>3</v>
      </c>
      <c r="T2898">
        <v>0</v>
      </c>
      <c r="U2898">
        <v>4</v>
      </c>
      <c r="V2898">
        <v>0.45199762865403659</v>
      </c>
      <c r="W2898">
        <v>1</v>
      </c>
      <c r="X2898">
        <v>0.45199762865403659</v>
      </c>
      <c r="Y2898">
        <v>548</v>
      </c>
      <c r="Z2898">
        <v>29.424211042533759</v>
      </c>
      <c r="AA2898">
        <v>198</v>
      </c>
      <c r="AB2898">
        <v>332</v>
      </c>
      <c r="AC2898">
        <v>536</v>
      </c>
      <c r="AD2898">
        <v>26.86</v>
      </c>
      <c r="AE2898">
        <v>542</v>
      </c>
      <c r="AF2898">
        <v>15</v>
      </c>
      <c r="AG2898">
        <v>178</v>
      </c>
      <c r="AH2898">
        <v>129</v>
      </c>
      <c r="AI2898">
        <v>2.77</v>
      </c>
      <c r="AJ2898">
        <v>32.840000000000003</v>
      </c>
      <c r="AK2898">
        <v>23.8</v>
      </c>
      <c r="AL2898">
        <v>-20.15467689999997</v>
      </c>
      <c r="AM2898">
        <v>-44.902895281771222</v>
      </c>
      <c r="AN2898">
        <v>-20.15467689999997</v>
      </c>
      <c r="AO2898">
        <v>-44.902895281771222</v>
      </c>
      <c r="AP2898">
        <v>-20.154432</v>
      </c>
      <c r="AQ2898">
        <v>-44.902977999999997</v>
      </c>
      <c r="AR2898">
        <v>28.5999270636025</v>
      </c>
      <c r="AS2898" t="s">
        <v>65</v>
      </c>
      <c r="AT2898">
        <v>1</v>
      </c>
      <c r="AU2898" t="s">
        <v>566</v>
      </c>
      <c r="AV2898" t="s">
        <v>567</v>
      </c>
      <c r="AW2898" t="s">
        <v>60</v>
      </c>
      <c r="AX2898" t="s">
        <v>68</v>
      </c>
      <c r="AY2898" t="s">
        <v>69</v>
      </c>
      <c r="AZ2898" t="b">
        <v>1</v>
      </c>
    </row>
    <row r="2899" spans="1:52" x14ac:dyDescent="0.3">
      <c r="A2899" t="s">
        <v>52</v>
      </c>
      <c r="B2899" t="s">
        <v>53</v>
      </c>
      <c r="C2899" t="s">
        <v>54</v>
      </c>
      <c r="D2899" t="s">
        <v>55</v>
      </c>
      <c r="E2899" t="s">
        <v>2162</v>
      </c>
      <c r="F2899" t="s">
        <v>1247</v>
      </c>
      <c r="G2899" t="s">
        <v>568</v>
      </c>
      <c r="H2899" t="s">
        <v>569</v>
      </c>
      <c r="I2899" t="s">
        <v>569</v>
      </c>
      <c r="J2899" t="s">
        <v>60</v>
      </c>
      <c r="K2899" t="s">
        <v>61</v>
      </c>
      <c r="L2899" t="s">
        <v>62</v>
      </c>
      <c r="M2899" t="s">
        <v>61</v>
      </c>
      <c r="N2899" t="s">
        <v>570</v>
      </c>
      <c r="O2899" t="s">
        <v>548</v>
      </c>
      <c r="P2899">
        <v>-20.151508</v>
      </c>
      <c r="Q2899">
        <v>-44.907826</v>
      </c>
      <c r="R2899" s="2" t="str">
        <f>HYPERLINK("https://www.google.com/maps?q=-20.1515080,-44.9078260","Abrir no Google Maps")</f>
        <v>Abrir no Google Maps</v>
      </c>
      <c r="S2899">
        <v>3</v>
      </c>
      <c r="T2899">
        <v>567.15905416240514</v>
      </c>
      <c r="U2899">
        <v>4</v>
      </c>
      <c r="V2899">
        <v>0.56016398789617083</v>
      </c>
      <c r="W2899">
        <v>0.85</v>
      </c>
      <c r="X2899">
        <v>0.47613938971174519</v>
      </c>
      <c r="Y2899">
        <v>548</v>
      </c>
      <c r="Z2899">
        <v>560.49158010771464</v>
      </c>
      <c r="AA2899">
        <v>198</v>
      </c>
      <c r="AB2899">
        <v>332</v>
      </c>
      <c r="AC2899">
        <v>536</v>
      </c>
      <c r="AD2899">
        <v>26.86</v>
      </c>
      <c r="AE2899">
        <v>542</v>
      </c>
      <c r="AF2899">
        <v>15</v>
      </c>
      <c r="AG2899">
        <v>178</v>
      </c>
      <c r="AH2899">
        <v>129</v>
      </c>
      <c r="AI2899">
        <v>2.77</v>
      </c>
      <c r="AJ2899">
        <v>32.840000000000003</v>
      </c>
      <c r="AK2899">
        <v>23.8</v>
      </c>
      <c r="AL2899">
        <v>-20.15211779999996</v>
      </c>
      <c r="AM2899">
        <v>-44.907597469593128</v>
      </c>
      <c r="AN2899">
        <v>-20.15211779999996</v>
      </c>
      <c r="AO2899">
        <v>-44.907597469593128</v>
      </c>
      <c r="AP2899">
        <v>-20.151508</v>
      </c>
      <c r="AQ2899">
        <v>-44.907826</v>
      </c>
      <c r="AR2899">
        <v>71.961597929314735</v>
      </c>
      <c r="AS2899" t="s">
        <v>65</v>
      </c>
      <c r="AT2899">
        <v>1</v>
      </c>
      <c r="AU2899" t="s">
        <v>571</v>
      </c>
      <c r="AV2899" t="s">
        <v>572</v>
      </c>
      <c r="AW2899" t="s">
        <v>60</v>
      </c>
      <c r="AX2899" t="s">
        <v>68</v>
      </c>
      <c r="AY2899" t="s">
        <v>69</v>
      </c>
      <c r="AZ2899" t="b">
        <v>1</v>
      </c>
    </row>
    <row r="2900" spans="1:52" x14ac:dyDescent="0.3">
      <c r="A2900" t="s">
        <v>52</v>
      </c>
      <c r="B2900" t="s">
        <v>53</v>
      </c>
      <c r="C2900" t="s">
        <v>54</v>
      </c>
      <c r="D2900" t="s">
        <v>55</v>
      </c>
      <c r="E2900" t="s">
        <v>2162</v>
      </c>
      <c r="F2900" t="s">
        <v>1247</v>
      </c>
      <c r="G2900" t="s">
        <v>833</v>
      </c>
      <c r="H2900" t="s">
        <v>834</v>
      </c>
      <c r="I2900" t="s">
        <v>834</v>
      </c>
      <c r="J2900" t="s">
        <v>60</v>
      </c>
      <c r="K2900" t="s">
        <v>388</v>
      </c>
      <c r="L2900" t="s">
        <v>62</v>
      </c>
      <c r="M2900" t="s">
        <v>388</v>
      </c>
      <c r="N2900" t="s">
        <v>835</v>
      </c>
      <c r="O2900" t="s">
        <v>836</v>
      </c>
      <c r="P2900">
        <v>-20.157906000000001</v>
      </c>
      <c r="Q2900">
        <v>-44.900458999999998</v>
      </c>
      <c r="R2900" s="2" t="str">
        <f>HYPERLINK("https://www.google.com/maps?q=-20.1579060,-44.9004590","Abrir no Google Maps")</f>
        <v>Abrir no Google Maps</v>
      </c>
      <c r="S2900">
        <v>3</v>
      </c>
      <c r="T2900">
        <v>0</v>
      </c>
      <c r="U2900">
        <v>3</v>
      </c>
      <c r="V2900">
        <v>0.39325498665121789</v>
      </c>
      <c r="W2900">
        <v>1</v>
      </c>
      <c r="X2900">
        <v>0.39325498665121789</v>
      </c>
      <c r="Y2900">
        <v>729</v>
      </c>
      <c r="Z2900">
        <v>203.63168486652771</v>
      </c>
      <c r="AA2900">
        <v>198</v>
      </c>
      <c r="AB2900">
        <v>332</v>
      </c>
      <c r="AC2900">
        <v>536</v>
      </c>
      <c r="AD2900">
        <v>26.86</v>
      </c>
      <c r="AE2900">
        <v>542</v>
      </c>
      <c r="AF2900">
        <v>15</v>
      </c>
      <c r="AG2900">
        <v>178</v>
      </c>
      <c r="AH2900">
        <v>129</v>
      </c>
      <c r="AI2900">
        <v>2.77</v>
      </c>
      <c r="AJ2900">
        <v>32.840000000000003</v>
      </c>
      <c r="AK2900">
        <v>23.8</v>
      </c>
      <c r="AL2900">
        <v>-20.157925749999951</v>
      </c>
      <c r="AM2900">
        <v>-44.900484707799812</v>
      </c>
      <c r="AN2900">
        <v>-20.157925749999951</v>
      </c>
      <c r="AO2900">
        <v>-44.900484707799812</v>
      </c>
      <c r="AP2900">
        <v>-20.157906000000001</v>
      </c>
      <c r="AQ2900">
        <v>-44.900458999999998</v>
      </c>
      <c r="AR2900">
        <v>3.4714515960382508</v>
      </c>
      <c r="AS2900" t="s">
        <v>65</v>
      </c>
      <c r="AT2900">
        <v>1</v>
      </c>
      <c r="AU2900" t="s">
        <v>837</v>
      </c>
      <c r="AV2900" t="s">
        <v>838</v>
      </c>
      <c r="AW2900" t="s">
        <v>60</v>
      </c>
      <c r="AX2900" t="s">
        <v>68</v>
      </c>
      <c r="AY2900" t="s">
        <v>69</v>
      </c>
      <c r="AZ2900" t="b">
        <v>1</v>
      </c>
    </row>
    <row r="2901" spans="1:52" x14ac:dyDescent="0.3">
      <c r="A2901" t="s">
        <v>52</v>
      </c>
      <c r="B2901" t="s">
        <v>53</v>
      </c>
      <c r="C2901" t="s">
        <v>54</v>
      </c>
      <c r="D2901" t="s">
        <v>55</v>
      </c>
      <c r="E2901" t="s">
        <v>2162</v>
      </c>
      <c r="F2901" t="s">
        <v>1247</v>
      </c>
      <c r="G2901" t="s">
        <v>1307</v>
      </c>
      <c r="H2901" t="s">
        <v>1308</v>
      </c>
      <c r="I2901" t="s">
        <v>1308</v>
      </c>
      <c r="J2901" t="s">
        <v>60</v>
      </c>
      <c r="K2901" t="s">
        <v>1302</v>
      </c>
      <c r="L2901" t="s">
        <v>62</v>
      </c>
      <c r="M2901" t="s">
        <v>1302</v>
      </c>
      <c r="N2901" t="s">
        <v>558</v>
      </c>
      <c r="O2901" t="s">
        <v>1309</v>
      </c>
      <c r="P2901">
        <v>-20.169051</v>
      </c>
      <c r="Q2901">
        <v>-44.910093000000003</v>
      </c>
      <c r="R2901" s="2" t="str">
        <f>HYPERLINK("https://www.google.com/maps?q=-20.1690510,-44.9100930","Abrir no Google Maps")</f>
        <v>Abrir no Google Maps</v>
      </c>
      <c r="S2901">
        <v>3</v>
      </c>
      <c r="T2901">
        <v>375.90504489887479</v>
      </c>
      <c r="U2901">
        <v>3</v>
      </c>
      <c r="V2901">
        <v>0.45429704081501388</v>
      </c>
      <c r="W2901">
        <v>0.85</v>
      </c>
      <c r="X2901">
        <v>0.38615248469276181</v>
      </c>
      <c r="Y2901">
        <v>723</v>
      </c>
      <c r="Z2901">
        <v>456.19893675176831</v>
      </c>
      <c r="AA2901">
        <v>198</v>
      </c>
      <c r="AB2901">
        <v>332</v>
      </c>
      <c r="AC2901">
        <v>536</v>
      </c>
      <c r="AD2901">
        <v>26.86</v>
      </c>
      <c r="AE2901">
        <v>542</v>
      </c>
      <c r="AF2901">
        <v>15</v>
      </c>
      <c r="AG2901">
        <v>178</v>
      </c>
      <c r="AH2901">
        <v>129</v>
      </c>
      <c r="AI2901">
        <v>2.77</v>
      </c>
      <c r="AJ2901">
        <v>32.840000000000003</v>
      </c>
      <c r="AK2901">
        <v>23.8</v>
      </c>
      <c r="AL2901">
        <v>-20.168810949999941</v>
      </c>
      <c r="AM2901">
        <v>-44.910156475447927</v>
      </c>
      <c r="AN2901">
        <v>-20.168810949999941</v>
      </c>
      <c r="AO2901">
        <v>-44.910156475447927</v>
      </c>
      <c r="AP2901">
        <v>-20.169051</v>
      </c>
      <c r="AQ2901">
        <v>-44.910093000000003</v>
      </c>
      <c r="AR2901">
        <v>27.533232396417059</v>
      </c>
      <c r="AS2901" t="s">
        <v>65</v>
      </c>
      <c r="AT2901">
        <v>1</v>
      </c>
      <c r="AU2901" t="s">
        <v>1310</v>
      </c>
      <c r="AV2901" t="s">
        <v>1311</v>
      </c>
      <c r="AW2901" t="s">
        <v>60</v>
      </c>
      <c r="AX2901" t="s">
        <v>68</v>
      </c>
      <c r="AY2901" t="s">
        <v>69</v>
      </c>
      <c r="AZ2901" t="b">
        <v>1</v>
      </c>
    </row>
    <row r="2902" spans="1:52" x14ac:dyDescent="0.3">
      <c r="A2902" t="s">
        <v>52</v>
      </c>
      <c r="B2902" t="s">
        <v>53</v>
      </c>
      <c r="C2902" t="s">
        <v>54</v>
      </c>
      <c r="D2902" t="s">
        <v>55</v>
      </c>
      <c r="E2902" t="s">
        <v>2162</v>
      </c>
      <c r="F2902" t="s">
        <v>1247</v>
      </c>
      <c r="G2902" t="s">
        <v>845</v>
      </c>
      <c r="H2902" t="s">
        <v>846</v>
      </c>
      <c r="I2902" t="s">
        <v>846</v>
      </c>
      <c r="J2902" t="s">
        <v>60</v>
      </c>
      <c r="K2902" t="s">
        <v>424</v>
      </c>
      <c r="L2902" t="s">
        <v>62</v>
      </c>
      <c r="M2902" t="s">
        <v>424</v>
      </c>
      <c r="N2902" t="s">
        <v>847</v>
      </c>
      <c r="O2902" t="s">
        <v>848</v>
      </c>
      <c r="P2902">
        <v>-20.175523999999999</v>
      </c>
      <c r="Q2902">
        <v>-44.918016999999999</v>
      </c>
      <c r="R2902" s="2" t="str">
        <f>HYPERLINK("https://www.google.com/maps?q=-20.1755240,-44.9180170","Abrir no Google Maps")</f>
        <v>Abrir no Google Maps</v>
      </c>
      <c r="S2902">
        <v>3</v>
      </c>
      <c r="T2902">
        <v>833.59191671824021</v>
      </c>
      <c r="U2902">
        <v>3</v>
      </c>
      <c r="V2902">
        <v>0.45944918346475122</v>
      </c>
      <c r="W2902">
        <v>0.85</v>
      </c>
      <c r="X2902">
        <v>0.3905318059450385</v>
      </c>
      <c r="Y2902">
        <v>723</v>
      </c>
      <c r="Z2902">
        <v>701.05790658871581</v>
      </c>
      <c r="AA2902">
        <v>198</v>
      </c>
      <c r="AB2902">
        <v>332</v>
      </c>
      <c r="AC2902">
        <v>536</v>
      </c>
      <c r="AD2902">
        <v>26.86</v>
      </c>
      <c r="AE2902">
        <v>542</v>
      </c>
      <c r="AF2902">
        <v>15</v>
      </c>
      <c r="AG2902">
        <v>178</v>
      </c>
      <c r="AH2902">
        <v>129</v>
      </c>
      <c r="AI2902">
        <v>2.77</v>
      </c>
      <c r="AJ2902">
        <v>32.840000000000003</v>
      </c>
      <c r="AK2902">
        <v>23.8</v>
      </c>
      <c r="AL2902">
        <v>-20.17533859999995</v>
      </c>
      <c r="AM2902">
        <v>-44.917689627873088</v>
      </c>
      <c r="AN2902">
        <v>-20.17533859999995</v>
      </c>
      <c r="AO2902">
        <v>-44.917689627873088</v>
      </c>
      <c r="AP2902">
        <v>-20.175523999999999</v>
      </c>
      <c r="AQ2902">
        <v>-44.918016999999999</v>
      </c>
      <c r="AR2902">
        <v>39.950898228213873</v>
      </c>
      <c r="AS2902" t="s">
        <v>65</v>
      </c>
      <c r="AT2902">
        <v>1</v>
      </c>
      <c r="AU2902" t="s">
        <v>849</v>
      </c>
      <c r="AV2902" t="s">
        <v>850</v>
      </c>
      <c r="AW2902" t="s">
        <v>60</v>
      </c>
      <c r="AX2902" t="s">
        <v>68</v>
      </c>
      <c r="AY2902" t="s">
        <v>69</v>
      </c>
      <c r="AZ2902" t="b">
        <v>1</v>
      </c>
    </row>
    <row r="2903" spans="1:52" x14ac:dyDescent="0.3">
      <c r="A2903" t="s">
        <v>52</v>
      </c>
      <c r="B2903" t="s">
        <v>53</v>
      </c>
      <c r="C2903" t="s">
        <v>54</v>
      </c>
      <c r="D2903" t="s">
        <v>55</v>
      </c>
      <c r="E2903" t="s">
        <v>2162</v>
      </c>
      <c r="F2903" t="s">
        <v>1247</v>
      </c>
      <c r="G2903" t="s">
        <v>1347</v>
      </c>
      <c r="H2903" t="s">
        <v>1348</v>
      </c>
      <c r="I2903" t="s">
        <v>1348</v>
      </c>
      <c r="J2903" t="s">
        <v>60</v>
      </c>
      <c r="K2903" t="s">
        <v>1349</v>
      </c>
      <c r="L2903" t="s">
        <v>62</v>
      </c>
      <c r="M2903" t="s">
        <v>1349</v>
      </c>
      <c r="N2903" t="s">
        <v>1350</v>
      </c>
      <c r="O2903" t="s">
        <v>1351</v>
      </c>
      <c r="P2903">
        <v>-20.140426999999999</v>
      </c>
      <c r="Q2903">
        <v>-44.905327999999997</v>
      </c>
      <c r="R2903" s="2" t="str">
        <f>HYPERLINK("https://www.google.com/maps?q=-20.1404270,-44.9053280","Abrir no Google Maps")</f>
        <v>Abrir no Google Maps</v>
      </c>
      <c r="S2903">
        <v>3</v>
      </c>
      <c r="T2903">
        <v>359.5810968231857</v>
      </c>
      <c r="U2903">
        <v>3</v>
      </c>
      <c r="V2903">
        <v>0.45599215656257303</v>
      </c>
      <c r="W2903">
        <v>0.85</v>
      </c>
      <c r="X2903">
        <v>0.38759333307818711</v>
      </c>
      <c r="Y2903">
        <v>581</v>
      </c>
      <c r="Z2903">
        <v>292.370097058873</v>
      </c>
      <c r="AA2903">
        <v>198</v>
      </c>
      <c r="AB2903">
        <v>332</v>
      </c>
      <c r="AC2903">
        <v>536</v>
      </c>
      <c r="AD2903">
        <v>26.86</v>
      </c>
      <c r="AE2903">
        <v>542</v>
      </c>
      <c r="AF2903">
        <v>15</v>
      </c>
      <c r="AG2903">
        <v>178</v>
      </c>
      <c r="AH2903">
        <v>129</v>
      </c>
      <c r="AI2903">
        <v>2.77</v>
      </c>
      <c r="AJ2903">
        <v>32.840000000000003</v>
      </c>
      <c r="AK2903">
        <v>23.8</v>
      </c>
      <c r="AL2903">
        <v>-20.140465449999969</v>
      </c>
      <c r="AM2903">
        <v>-44.905317129037229</v>
      </c>
      <c r="AN2903">
        <v>-20.140465449999969</v>
      </c>
      <c r="AO2903">
        <v>-44.905317129037229</v>
      </c>
      <c r="AP2903">
        <v>-20.140426999999999</v>
      </c>
      <c r="AQ2903">
        <v>-44.905327999999997</v>
      </c>
      <c r="AR2903">
        <v>4.4284788644958706</v>
      </c>
      <c r="AS2903" t="s">
        <v>65</v>
      </c>
      <c r="AT2903">
        <v>1</v>
      </c>
      <c r="AU2903" t="s">
        <v>1352</v>
      </c>
      <c r="AV2903" t="s">
        <v>1353</v>
      </c>
      <c r="AW2903" t="s">
        <v>60</v>
      </c>
      <c r="AX2903" t="s">
        <v>68</v>
      </c>
      <c r="AY2903" t="s">
        <v>69</v>
      </c>
      <c r="AZ2903" t="b">
        <v>1</v>
      </c>
    </row>
    <row r="2904" spans="1:52" x14ac:dyDescent="0.3">
      <c r="A2904" t="s">
        <v>52</v>
      </c>
      <c r="B2904" t="s">
        <v>53</v>
      </c>
      <c r="C2904" t="s">
        <v>54</v>
      </c>
      <c r="D2904" t="s">
        <v>55</v>
      </c>
      <c r="E2904" t="s">
        <v>2162</v>
      </c>
      <c r="F2904" t="s">
        <v>1247</v>
      </c>
      <c r="G2904" t="s">
        <v>851</v>
      </c>
      <c r="H2904" t="s">
        <v>852</v>
      </c>
      <c r="I2904" t="s">
        <v>852</v>
      </c>
      <c r="J2904" t="s">
        <v>60</v>
      </c>
      <c r="K2904" t="s">
        <v>853</v>
      </c>
      <c r="L2904" t="s">
        <v>62</v>
      </c>
      <c r="M2904" t="s">
        <v>853</v>
      </c>
      <c r="N2904" t="s">
        <v>854</v>
      </c>
      <c r="O2904" t="s">
        <v>855</v>
      </c>
      <c r="P2904">
        <v>-20.127835000000001</v>
      </c>
      <c r="Q2904">
        <v>-44.909329</v>
      </c>
      <c r="R2904" s="2" t="str">
        <f>HYPERLINK("https://www.google.com/maps?q=-20.1278350,-44.9093290","Abrir no Google Maps")</f>
        <v>Abrir no Google Maps</v>
      </c>
      <c r="S2904">
        <v>3</v>
      </c>
      <c r="T2904">
        <v>1173.033690896357</v>
      </c>
      <c r="U2904">
        <v>3</v>
      </c>
      <c r="V2904">
        <v>0.38584247605496969</v>
      </c>
      <c r="W2904">
        <v>1</v>
      </c>
      <c r="X2904">
        <v>0.38584247605496969</v>
      </c>
      <c r="Y2904">
        <v>581</v>
      </c>
      <c r="Z2904">
        <v>1296.5011565926129</v>
      </c>
      <c r="AA2904">
        <v>198</v>
      </c>
      <c r="AB2904">
        <v>332</v>
      </c>
      <c r="AC2904">
        <v>536</v>
      </c>
      <c r="AD2904">
        <v>26.86</v>
      </c>
      <c r="AE2904">
        <v>542</v>
      </c>
      <c r="AF2904">
        <v>15</v>
      </c>
      <c r="AG2904">
        <v>178</v>
      </c>
      <c r="AH2904">
        <v>129</v>
      </c>
      <c r="AI2904">
        <v>2.77</v>
      </c>
      <c r="AJ2904">
        <v>32.840000000000003</v>
      </c>
      <c r="AK2904">
        <v>23.8</v>
      </c>
      <c r="AL2904">
        <v>-20.127852899999969</v>
      </c>
      <c r="AM2904">
        <v>-44.909386667699948</v>
      </c>
      <c r="AN2904">
        <v>-20.127852899999969</v>
      </c>
      <c r="AO2904">
        <v>-44.909386667699948</v>
      </c>
      <c r="AP2904">
        <v>-20.127835000000001</v>
      </c>
      <c r="AQ2904">
        <v>-44.909329</v>
      </c>
      <c r="AR2904">
        <v>6.3483385067119924</v>
      </c>
      <c r="AS2904" t="s">
        <v>65</v>
      </c>
      <c r="AT2904">
        <v>1</v>
      </c>
      <c r="AU2904" t="s">
        <v>856</v>
      </c>
      <c r="AV2904" t="s">
        <v>857</v>
      </c>
      <c r="AW2904" t="s">
        <v>60</v>
      </c>
      <c r="AX2904" t="s">
        <v>68</v>
      </c>
      <c r="AY2904" t="s">
        <v>69</v>
      </c>
      <c r="AZ2904" t="b">
        <v>1</v>
      </c>
    </row>
    <row r="2905" spans="1:52" x14ac:dyDescent="0.3">
      <c r="A2905" t="s">
        <v>52</v>
      </c>
      <c r="B2905" t="s">
        <v>53</v>
      </c>
      <c r="C2905" t="s">
        <v>54</v>
      </c>
      <c r="D2905" t="s">
        <v>55</v>
      </c>
      <c r="E2905" t="s">
        <v>2162</v>
      </c>
      <c r="F2905" t="s">
        <v>1247</v>
      </c>
      <c r="G2905" t="s">
        <v>864</v>
      </c>
      <c r="H2905" t="s">
        <v>865</v>
      </c>
      <c r="I2905" t="s">
        <v>865</v>
      </c>
      <c r="J2905" t="s">
        <v>60</v>
      </c>
      <c r="K2905" t="s">
        <v>486</v>
      </c>
      <c r="L2905" t="s">
        <v>62</v>
      </c>
      <c r="M2905" t="s">
        <v>486</v>
      </c>
      <c r="N2905" t="s">
        <v>866</v>
      </c>
      <c r="O2905" t="s">
        <v>867</v>
      </c>
      <c r="P2905">
        <v>-20.170919000000001</v>
      </c>
      <c r="Q2905">
        <v>-44.905451999999997</v>
      </c>
      <c r="R2905" s="2" t="str">
        <f>HYPERLINK("https://www.google.com/maps?q=-20.1709190,-44.9054520","Abrir no Google Maps")</f>
        <v>Abrir no Google Maps</v>
      </c>
      <c r="S2905">
        <v>3</v>
      </c>
      <c r="T2905">
        <v>0</v>
      </c>
      <c r="U2905">
        <v>3</v>
      </c>
      <c r="V2905">
        <v>0.40526820705602878</v>
      </c>
      <c r="W2905">
        <v>1</v>
      </c>
      <c r="X2905">
        <v>0.40526820705602878</v>
      </c>
      <c r="Y2905">
        <v>578</v>
      </c>
      <c r="Z2905">
        <v>205.34598855748419</v>
      </c>
      <c r="AA2905">
        <v>198</v>
      </c>
      <c r="AB2905">
        <v>332</v>
      </c>
      <c r="AC2905">
        <v>536</v>
      </c>
      <c r="AD2905">
        <v>26.86</v>
      </c>
      <c r="AE2905">
        <v>542</v>
      </c>
      <c r="AF2905">
        <v>15</v>
      </c>
      <c r="AG2905">
        <v>178</v>
      </c>
      <c r="AH2905">
        <v>129</v>
      </c>
      <c r="AI2905">
        <v>2.77</v>
      </c>
      <c r="AJ2905">
        <v>32.840000000000003</v>
      </c>
      <c r="AK2905">
        <v>23.8</v>
      </c>
      <c r="AL2905">
        <v>-20.170854399999939</v>
      </c>
      <c r="AM2905">
        <v>-44.905524839633358</v>
      </c>
      <c r="AN2905">
        <v>-20.170854399999939</v>
      </c>
      <c r="AO2905">
        <v>-44.905524839633358</v>
      </c>
      <c r="AP2905">
        <v>-20.170919000000001</v>
      </c>
      <c r="AQ2905">
        <v>-44.905451999999997</v>
      </c>
      <c r="AR2905">
        <v>10.471140355179269</v>
      </c>
      <c r="AS2905" t="s">
        <v>65</v>
      </c>
      <c r="AT2905">
        <v>1</v>
      </c>
      <c r="AU2905" t="s">
        <v>868</v>
      </c>
      <c r="AV2905" t="s">
        <v>869</v>
      </c>
      <c r="AW2905" t="s">
        <v>60</v>
      </c>
      <c r="AX2905" t="s">
        <v>68</v>
      </c>
      <c r="AY2905" t="s">
        <v>69</v>
      </c>
      <c r="AZ2905" t="b">
        <v>1</v>
      </c>
    </row>
    <row r="2906" spans="1:52" x14ac:dyDescent="0.3">
      <c r="A2906" t="s">
        <v>52</v>
      </c>
      <c r="B2906" t="s">
        <v>53</v>
      </c>
      <c r="C2906" t="s">
        <v>54</v>
      </c>
      <c r="D2906" t="s">
        <v>55</v>
      </c>
      <c r="E2906" t="s">
        <v>2162</v>
      </c>
      <c r="F2906" t="s">
        <v>1247</v>
      </c>
      <c r="G2906" t="s">
        <v>1300</v>
      </c>
      <c r="H2906" t="s">
        <v>1372</v>
      </c>
      <c r="I2906" t="s">
        <v>1372</v>
      </c>
      <c r="J2906" t="s">
        <v>60</v>
      </c>
      <c r="K2906" t="s">
        <v>486</v>
      </c>
      <c r="L2906" t="s">
        <v>62</v>
      </c>
      <c r="M2906" t="s">
        <v>486</v>
      </c>
      <c r="N2906" t="s">
        <v>1303</v>
      </c>
      <c r="O2906" t="s">
        <v>1373</v>
      </c>
      <c r="P2906">
        <v>-20.170458</v>
      </c>
      <c r="Q2906">
        <v>-44.900936000000002</v>
      </c>
      <c r="R2906" s="2" t="str">
        <f>HYPERLINK("https://www.google.com/maps?q=-20.1704580,-44.9009360","Abrir no Google Maps")</f>
        <v>Abrir no Google Maps</v>
      </c>
      <c r="S2906">
        <v>3</v>
      </c>
      <c r="T2906">
        <v>470.55793133653339</v>
      </c>
      <c r="U2906">
        <v>3</v>
      </c>
      <c r="V2906">
        <v>0.43938099501222921</v>
      </c>
      <c r="W2906">
        <v>0.85</v>
      </c>
      <c r="X2906">
        <v>0.37347384576039477</v>
      </c>
      <c r="Y2906">
        <v>578</v>
      </c>
      <c r="Z2906">
        <v>645.48909402437766</v>
      </c>
      <c r="AA2906">
        <v>198</v>
      </c>
      <c r="AB2906">
        <v>332</v>
      </c>
      <c r="AC2906">
        <v>536</v>
      </c>
      <c r="AD2906">
        <v>26.86</v>
      </c>
      <c r="AE2906">
        <v>542</v>
      </c>
      <c r="AF2906">
        <v>15</v>
      </c>
      <c r="AG2906">
        <v>178</v>
      </c>
      <c r="AH2906">
        <v>129</v>
      </c>
      <c r="AI2906">
        <v>2.77</v>
      </c>
      <c r="AJ2906">
        <v>32.840000000000003</v>
      </c>
      <c r="AK2906">
        <v>23.8</v>
      </c>
      <c r="AL2906">
        <v>-20.17025029999996</v>
      </c>
      <c r="AM2906">
        <v>-44.901067235372473</v>
      </c>
      <c r="AN2906">
        <v>-20.17025029999996</v>
      </c>
      <c r="AO2906">
        <v>-44.901067235372473</v>
      </c>
      <c r="AP2906">
        <v>-20.170458</v>
      </c>
      <c r="AQ2906">
        <v>-44.900936000000002</v>
      </c>
      <c r="AR2906">
        <v>26.88195352459519</v>
      </c>
      <c r="AS2906" t="s">
        <v>65</v>
      </c>
      <c r="AT2906">
        <v>1</v>
      </c>
      <c r="AU2906" t="s">
        <v>1374</v>
      </c>
      <c r="AV2906" t="s">
        <v>1375</v>
      </c>
      <c r="AW2906" t="s">
        <v>60</v>
      </c>
      <c r="AX2906" t="s">
        <v>68</v>
      </c>
      <c r="AY2906" t="s">
        <v>69</v>
      </c>
      <c r="AZ2906" t="b">
        <v>1</v>
      </c>
    </row>
    <row r="2907" spans="1:52" x14ac:dyDescent="0.3">
      <c r="A2907" t="s">
        <v>52</v>
      </c>
      <c r="B2907" t="s">
        <v>53</v>
      </c>
      <c r="C2907" t="s">
        <v>54</v>
      </c>
      <c r="D2907" t="s">
        <v>55</v>
      </c>
      <c r="E2907" t="s">
        <v>2162</v>
      </c>
      <c r="F2907" t="s">
        <v>1247</v>
      </c>
      <c r="G2907" t="s">
        <v>473</v>
      </c>
      <c r="H2907" t="s">
        <v>474</v>
      </c>
      <c r="I2907" t="s">
        <v>474</v>
      </c>
      <c r="J2907" t="s">
        <v>60</v>
      </c>
      <c r="K2907" t="s">
        <v>475</v>
      </c>
      <c r="L2907" t="s">
        <v>62</v>
      </c>
      <c r="M2907" t="s">
        <v>475</v>
      </c>
      <c r="N2907" t="s">
        <v>406</v>
      </c>
      <c r="O2907" t="s">
        <v>476</v>
      </c>
      <c r="P2907">
        <v>-20.177902</v>
      </c>
      <c r="Q2907">
        <v>-44.908504000000001</v>
      </c>
      <c r="R2907" s="2" t="str">
        <f>HYPERLINK("https://www.google.com/maps?q=-20.1779020,-44.9085040","Abrir no Google Maps")</f>
        <v>Abrir no Google Maps</v>
      </c>
      <c r="S2907">
        <v>3</v>
      </c>
      <c r="T2907">
        <v>656.92307673247149</v>
      </c>
      <c r="U2907">
        <v>3</v>
      </c>
      <c r="V2907">
        <v>0.38845677571476378</v>
      </c>
      <c r="W2907">
        <v>1</v>
      </c>
      <c r="X2907">
        <v>0.38845677571476378</v>
      </c>
      <c r="Y2907">
        <v>578</v>
      </c>
      <c r="Z2907">
        <v>635.01982153722327</v>
      </c>
      <c r="AA2907">
        <v>198</v>
      </c>
      <c r="AB2907">
        <v>332</v>
      </c>
      <c r="AC2907">
        <v>536</v>
      </c>
      <c r="AD2907">
        <v>26.86</v>
      </c>
      <c r="AE2907">
        <v>542</v>
      </c>
      <c r="AF2907">
        <v>15</v>
      </c>
      <c r="AG2907">
        <v>178</v>
      </c>
      <c r="AH2907">
        <v>129</v>
      </c>
      <c r="AI2907">
        <v>2.77</v>
      </c>
      <c r="AJ2907">
        <v>32.840000000000003</v>
      </c>
      <c r="AK2907">
        <v>23.8</v>
      </c>
      <c r="AL2907">
        <v>-20.177800399999938</v>
      </c>
      <c r="AM2907">
        <v>-44.908361879701268</v>
      </c>
      <c r="AN2907">
        <v>-20.177800399999938</v>
      </c>
      <c r="AO2907">
        <v>-44.908361879701268</v>
      </c>
      <c r="AP2907">
        <v>-20.177902</v>
      </c>
      <c r="AQ2907">
        <v>-44.908504000000001</v>
      </c>
      <c r="AR2907">
        <v>18.666463141775541</v>
      </c>
      <c r="AS2907" t="s">
        <v>65</v>
      </c>
      <c r="AT2907">
        <v>1</v>
      </c>
      <c r="AU2907" t="s">
        <v>477</v>
      </c>
      <c r="AV2907" t="s">
        <v>478</v>
      </c>
      <c r="AW2907" t="s">
        <v>60</v>
      </c>
      <c r="AX2907" t="s">
        <v>68</v>
      </c>
      <c r="AY2907" t="s">
        <v>69</v>
      </c>
      <c r="AZ2907" t="b">
        <v>1</v>
      </c>
    </row>
    <row r="2908" spans="1:52" x14ac:dyDescent="0.3">
      <c r="A2908" t="s">
        <v>52</v>
      </c>
      <c r="B2908" t="s">
        <v>53</v>
      </c>
      <c r="C2908" t="s">
        <v>54</v>
      </c>
      <c r="D2908" t="s">
        <v>55</v>
      </c>
      <c r="E2908" t="s">
        <v>2162</v>
      </c>
      <c r="F2908" t="s">
        <v>1247</v>
      </c>
      <c r="G2908" t="s">
        <v>484</v>
      </c>
      <c r="H2908" t="s">
        <v>485</v>
      </c>
      <c r="I2908" t="s">
        <v>485</v>
      </c>
      <c r="J2908" t="s">
        <v>60</v>
      </c>
      <c r="K2908" t="s">
        <v>486</v>
      </c>
      <c r="L2908" t="s">
        <v>62</v>
      </c>
      <c r="M2908" t="s">
        <v>486</v>
      </c>
      <c r="N2908" t="s">
        <v>487</v>
      </c>
      <c r="O2908" t="s">
        <v>488</v>
      </c>
      <c r="P2908">
        <v>-20.173000999999999</v>
      </c>
      <c r="Q2908">
        <v>-44.901876999999999</v>
      </c>
      <c r="R2908" s="2" t="str">
        <f>HYPERLINK("https://www.google.com/maps?q=-20.1730010,-44.9018770","Abrir no Google Maps")</f>
        <v>Abrir no Google Maps</v>
      </c>
      <c r="S2908">
        <v>3</v>
      </c>
      <c r="T2908">
        <v>437.59695450783011</v>
      </c>
      <c r="U2908">
        <v>3</v>
      </c>
      <c r="V2908">
        <v>0.40456422190254238</v>
      </c>
      <c r="W2908">
        <v>1</v>
      </c>
      <c r="X2908">
        <v>0.40456422190254238</v>
      </c>
      <c r="Y2908">
        <v>578</v>
      </c>
      <c r="Z2908">
        <v>440.53629183653243</v>
      </c>
      <c r="AA2908">
        <v>198</v>
      </c>
      <c r="AB2908">
        <v>332</v>
      </c>
      <c r="AC2908">
        <v>536</v>
      </c>
      <c r="AD2908">
        <v>26.86</v>
      </c>
      <c r="AE2908">
        <v>542</v>
      </c>
      <c r="AF2908">
        <v>15</v>
      </c>
      <c r="AG2908">
        <v>178</v>
      </c>
      <c r="AH2908">
        <v>129</v>
      </c>
      <c r="AI2908">
        <v>2.77</v>
      </c>
      <c r="AJ2908">
        <v>32.840000000000003</v>
      </c>
      <c r="AK2908">
        <v>23.8</v>
      </c>
      <c r="AL2908">
        <v>-20.173065299999969</v>
      </c>
      <c r="AM2908">
        <v>-44.902052686008687</v>
      </c>
      <c r="AN2908">
        <v>-20.173065299999969</v>
      </c>
      <c r="AO2908">
        <v>-44.902052686008687</v>
      </c>
      <c r="AP2908">
        <v>-20.173000999999999</v>
      </c>
      <c r="AQ2908">
        <v>-44.901876999999999</v>
      </c>
      <c r="AR2908">
        <v>19.703745070768829</v>
      </c>
      <c r="AS2908" t="s">
        <v>65</v>
      </c>
      <c r="AT2908">
        <v>1</v>
      </c>
      <c r="AU2908" t="s">
        <v>489</v>
      </c>
      <c r="AV2908" t="s">
        <v>490</v>
      </c>
      <c r="AW2908" t="s">
        <v>60</v>
      </c>
      <c r="AX2908" t="s">
        <v>68</v>
      </c>
      <c r="AY2908" t="s">
        <v>69</v>
      </c>
      <c r="AZ2908" t="b">
        <v>1</v>
      </c>
    </row>
    <row r="2909" spans="1:52" x14ac:dyDescent="0.3">
      <c r="A2909" t="s">
        <v>52</v>
      </c>
      <c r="B2909" t="s">
        <v>53</v>
      </c>
      <c r="C2909" t="s">
        <v>54</v>
      </c>
      <c r="D2909" t="s">
        <v>55</v>
      </c>
      <c r="E2909" t="s">
        <v>2162</v>
      </c>
      <c r="F2909" t="s">
        <v>1247</v>
      </c>
      <c r="G2909" t="s">
        <v>491</v>
      </c>
      <c r="H2909" t="s">
        <v>492</v>
      </c>
      <c r="I2909" t="s">
        <v>492</v>
      </c>
      <c r="J2909" t="s">
        <v>60</v>
      </c>
      <c r="K2909" t="s">
        <v>475</v>
      </c>
      <c r="L2909" t="s">
        <v>62</v>
      </c>
      <c r="M2909" t="s">
        <v>475</v>
      </c>
      <c r="N2909" t="s">
        <v>493</v>
      </c>
      <c r="O2909" t="s">
        <v>494</v>
      </c>
      <c r="P2909">
        <v>-20.175250999999999</v>
      </c>
      <c r="Q2909">
        <v>-44.897357</v>
      </c>
      <c r="R2909" s="2" t="str">
        <f>HYPERLINK("https://www.google.com/maps?q=-20.1752510,-44.8973570","Abrir no Google Maps")</f>
        <v>Abrir no Google Maps</v>
      </c>
      <c r="S2909">
        <v>3</v>
      </c>
      <c r="T2909">
        <v>992.29631678149951</v>
      </c>
      <c r="U2909">
        <v>3</v>
      </c>
      <c r="V2909">
        <v>0.39668243399776332</v>
      </c>
      <c r="W2909">
        <v>1</v>
      </c>
      <c r="X2909">
        <v>0.39668243399776332</v>
      </c>
      <c r="Y2909">
        <v>578</v>
      </c>
      <c r="Z2909">
        <v>1008.5871064168319</v>
      </c>
      <c r="AA2909">
        <v>198</v>
      </c>
      <c r="AB2909">
        <v>332</v>
      </c>
      <c r="AC2909">
        <v>536</v>
      </c>
      <c r="AD2909">
        <v>26.86</v>
      </c>
      <c r="AE2909">
        <v>542</v>
      </c>
      <c r="AF2909">
        <v>15</v>
      </c>
      <c r="AG2909">
        <v>178</v>
      </c>
      <c r="AH2909">
        <v>129</v>
      </c>
      <c r="AI2909">
        <v>2.77</v>
      </c>
      <c r="AJ2909">
        <v>32.840000000000003</v>
      </c>
      <c r="AK2909">
        <v>23.8</v>
      </c>
      <c r="AL2909">
        <v>-20.175290599999951</v>
      </c>
      <c r="AM2909">
        <v>-44.897271931010721</v>
      </c>
      <c r="AN2909">
        <v>-20.175290599999951</v>
      </c>
      <c r="AO2909">
        <v>-44.897271931010721</v>
      </c>
      <c r="AP2909">
        <v>-20.175250999999999</v>
      </c>
      <c r="AQ2909">
        <v>-44.897357</v>
      </c>
      <c r="AR2909">
        <v>9.921899108467926</v>
      </c>
      <c r="AS2909" t="s">
        <v>65</v>
      </c>
      <c r="AT2909">
        <v>1</v>
      </c>
      <c r="AU2909" t="s">
        <v>495</v>
      </c>
      <c r="AV2909" t="s">
        <v>496</v>
      </c>
      <c r="AW2909" t="s">
        <v>60</v>
      </c>
      <c r="AX2909" t="s">
        <v>68</v>
      </c>
      <c r="AY2909" t="s">
        <v>69</v>
      </c>
      <c r="AZ2909" t="b">
        <v>1</v>
      </c>
    </row>
    <row r="2910" spans="1:52" x14ac:dyDescent="0.3">
      <c r="A2910" t="s">
        <v>52</v>
      </c>
      <c r="B2910" t="s">
        <v>53</v>
      </c>
      <c r="C2910" t="s">
        <v>54</v>
      </c>
      <c r="D2910" t="s">
        <v>55</v>
      </c>
      <c r="E2910" t="s">
        <v>2162</v>
      </c>
      <c r="F2910" t="s">
        <v>1247</v>
      </c>
      <c r="G2910" t="s">
        <v>497</v>
      </c>
      <c r="H2910" t="s">
        <v>875</v>
      </c>
      <c r="I2910" t="s">
        <v>875</v>
      </c>
      <c r="J2910" t="s">
        <v>60</v>
      </c>
      <c r="K2910" t="s">
        <v>475</v>
      </c>
      <c r="L2910" t="s">
        <v>62</v>
      </c>
      <c r="M2910" t="s">
        <v>475</v>
      </c>
      <c r="N2910" t="s">
        <v>499</v>
      </c>
      <c r="O2910" t="s">
        <v>876</v>
      </c>
      <c r="P2910">
        <v>-20.177212999999998</v>
      </c>
      <c r="Q2910">
        <v>-44.904026999999999</v>
      </c>
      <c r="R2910" s="2" t="str">
        <f>HYPERLINK("https://www.google.com/maps?q=-20.1772130,-44.9040270","Abrir no Google Maps")</f>
        <v>Abrir no Google Maps</v>
      </c>
      <c r="S2910">
        <v>3</v>
      </c>
      <c r="T2910">
        <v>706.4159561113795</v>
      </c>
      <c r="U2910">
        <v>3</v>
      </c>
      <c r="V2910">
        <v>0.38967379675205421</v>
      </c>
      <c r="W2910">
        <v>1</v>
      </c>
      <c r="X2910">
        <v>0.38967379675205421</v>
      </c>
      <c r="Y2910">
        <v>578</v>
      </c>
      <c r="Z2910">
        <v>588.7160518608398</v>
      </c>
      <c r="AA2910">
        <v>198</v>
      </c>
      <c r="AB2910">
        <v>332</v>
      </c>
      <c r="AC2910">
        <v>536</v>
      </c>
      <c r="AD2910">
        <v>26.86</v>
      </c>
      <c r="AE2910">
        <v>542</v>
      </c>
      <c r="AF2910">
        <v>15</v>
      </c>
      <c r="AG2910">
        <v>178</v>
      </c>
      <c r="AH2910">
        <v>129</v>
      </c>
      <c r="AI2910">
        <v>2.77</v>
      </c>
      <c r="AJ2910">
        <v>32.840000000000003</v>
      </c>
      <c r="AK2910">
        <v>23.8</v>
      </c>
      <c r="AL2910">
        <v>-20.177090199999949</v>
      </c>
      <c r="AM2910">
        <v>-44.904078820930181</v>
      </c>
      <c r="AN2910">
        <v>-20.177090199999949</v>
      </c>
      <c r="AO2910">
        <v>-44.904078820930181</v>
      </c>
      <c r="AP2910">
        <v>-20.177212999999998</v>
      </c>
      <c r="AQ2910">
        <v>-44.904026999999999</v>
      </c>
      <c r="AR2910">
        <v>14.7034129632295</v>
      </c>
      <c r="AS2910" t="s">
        <v>65</v>
      </c>
      <c r="AT2910">
        <v>1</v>
      </c>
      <c r="AU2910" t="s">
        <v>877</v>
      </c>
      <c r="AV2910" t="s">
        <v>878</v>
      </c>
      <c r="AW2910" t="s">
        <v>60</v>
      </c>
      <c r="AX2910" t="s">
        <v>68</v>
      </c>
      <c r="AY2910" t="s">
        <v>69</v>
      </c>
      <c r="AZ2910" t="b">
        <v>1</v>
      </c>
    </row>
    <row r="2911" spans="1:52" x14ac:dyDescent="0.3">
      <c r="A2911" t="s">
        <v>52</v>
      </c>
      <c r="B2911" t="s">
        <v>53</v>
      </c>
      <c r="C2911" t="s">
        <v>54</v>
      </c>
      <c r="D2911" t="s">
        <v>55</v>
      </c>
      <c r="E2911" t="s">
        <v>2162</v>
      </c>
      <c r="F2911" t="s">
        <v>1247</v>
      </c>
      <c r="G2911" t="s">
        <v>497</v>
      </c>
      <c r="H2911" t="s">
        <v>498</v>
      </c>
      <c r="I2911" t="s">
        <v>498</v>
      </c>
      <c r="J2911" t="s">
        <v>60</v>
      </c>
      <c r="K2911" t="s">
        <v>475</v>
      </c>
      <c r="L2911" t="s">
        <v>62</v>
      </c>
      <c r="M2911" t="s">
        <v>475</v>
      </c>
      <c r="N2911" t="s">
        <v>499</v>
      </c>
      <c r="O2911" t="s">
        <v>500</v>
      </c>
      <c r="P2911">
        <v>-20.175492999999999</v>
      </c>
      <c r="Q2911">
        <v>-44.900759000000001</v>
      </c>
      <c r="R2911" s="2" t="str">
        <f>HYPERLINK("https://www.google.com/maps?q=-20.1754930,-44.9007590","Abrir no Google Maps")</f>
        <v>Abrir no Google Maps</v>
      </c>
      <c r="S2911">
        <v>3</v>
      </c>
      <c r="T2911">
        <v>753.30732354720431</v>
      </c>
      <c r="U2911">
        <v>3</v>
      </c>
      <c r="V2911">
        <v>0.4060765923993413</v>
      </c>
      <c r="W2911">
        <v>1</v>
      </c>
      <c r="X2911">
        <v>0.4060765923993413</v>
      </c>
      <c r="Y2911">
        <v>578</v>
      </c>
      <c r="Z2911">
        <v>695.28903655431702</v>
      </c>
      <c r="AA2911">
        <v>198</v>
      </c>
      <c r="AB2911">
        <v>332</v>
      </c>
      <c r="AC2911">
        <v>536</v>
      </c>
      <c r="AD2911">
        <v>26.86</v>
      </c>
      <c r="AE2911">
        <v>542</v>
      </c>
      <c r="AF2911">
        <v>15</v>
      </c>
      <c r="AG2911">
        <v>178</v>
      </c>
      <c r="AH2911">
        <v>129</v>
      </c>
      <c r="AI2911">
        <v>2.77</v>
      </c>
      <c r="AJ2911">
        <v>32.840000000000003</v>
      </c>
      <c r="AK2911">
        <v>23.8</v>
      </c>
      <c r="AL2911">
        <v>-20.175825999999969</v>
      </c>
      <c r="AM2911">
        <v>-44.900600234646973</v>
      </c>
      <c r="AN2911">
        <v>-20.175825999999969</v>
      </c>
      <c r="AO2911">
        <v>-44.900600234646973</v>
      </c>
      <c r="AP2911">
        <v>-20.175492999999999</v>
      </c>
      <c r="AQ2911">
        <v>-44.900759000000001</v>
      </c>
      <c r="AR2911">
        <v>40.612267304645073</v>
      </c>
      <c r="AS2911" t="s">
        <v>65</v>
      </c>
      <c r="AT2911">
        <v>1</v>
      </c>
      <c r="AU2911" t="s">
        <v>501</v>
      </c>
      <c r="AV2911" t="s">
        <v>502</v>
      </c>
      <c r="AW2911" t="s">
        <v>60</v>
      </c>
      <c r="AX2911" t="s">
        <v>68</v>
      </c>
      <c r="AY2911" t="s">
        <v>69</v>
      </c>
      <c r="AZ2911" t="b">
        <v>1</v>
      </c>
    </row>
    <row r="2912" spans="1:52" x14ac:dyDescent="0.3">
      <c r="A2912" t="s">
        <v>52</v>
      </c>
      <c r="B2912" t="s">
        <v>53</v>
      </c>
      <c r="C2912" t="s">
        <v>54</v>
      </c>
      <c r="D2912" t="s">
        <v>55</v>
      </c>
      <c r="E2912" t="s">
        <v>2162</v>
      </c>
      <c r="F2912" t="s">
        <v>1247</v>
      </c>
      <c r="G2912" t="s">
        <v>879</v>
      </c>
      <c r="H2912" t="s">
        <v>880</v>
      </c>
      <c r="I2912" t="s">
        <v>880</v>
      </c>
      <c r="J2912" t="s">
        <v>60</v>
      </c>
      <c r="K2912" t="s">
        <v>505</v>
      </c>
      <c r="L2912" t="s">
        <v>62</v>
      </c>
      <c r="M2912" t="s">
        <v>505</v>
      </c>
      <c r="N2912" t="s">
        <v>881</v>
      </c>
      <c r="O2912" t="s">
        <v>882</v>
      </c>
      <c r="P2912">
        <v>-20.133452999999999</v>
      </c>
      <c r="Q2912">
        <v>-44.890571999999999</v>
      </c>
      <c r="R2912" s="2" t="str">
        <f>HYPERLINK("https://www.google.com/maps?q=-20.1334530,-44.8905720","Abrir no Google Maps")</f>
        <v>Abrir no Google Maps</v>
      </c>
      <c r="S2912">
        <v>3</v>
      </c>
      <c r="T2912">
        <v>373.51332104809921</v>
      </c>
      <c r="U2912">
        <v>3</v>
      </c>
      <c r="V2912">
        <v>0.40261814672005403</v>
      </c>
      <c r="W2912">
        <v>1</v>
      </c>
      <c r="X2912">
        <v>0.40261814672005403</v>
      </c>
      <c r="Y2912">
        <v>564</v>
      </c>
      <c r="Z2912">
        <v>422.34693311930448</v>
      </c>
      <c r="AA2912">
        <v>198</v>
      </c>
      <c r="AB2912">
        <v>332</v>
      </c>
      <c r="AC2912">
        <v>536</v>
      </c>
      <c r="AD2912">
        <v>26.86</v>
      </c>
      <c r="AE2912">
        <v>542</v>
      </c>
      <c r="AF2912">
        <v>15</v>
      </c>
      <c r="AG2912">
        <v>178</v>
      </c>
      <c r="AH2912">
        <v>129</v>
      </c>
      <c r="AI2912">
        <v>2.77</v>
      </c>
      <c r="AJ2912">
        <v>32.840000000000003</v>
      </c>
      <c r="AK2912">
        <v>23.8</v>
      </c>
      <c r="AL2912">
        <v>-20.133421549999952</v>
      </c>
      <c r="AM2912">
        <v>-44.890623456009052</v>
      </c>
      <c r="AN2912">
        <v>-20.133421549999952</v>
      </c>
      <c r="AO2912">
        <v>-44.890623456009052</v>
      </c>
      <c r="AP2912">
        <v>-20.133452999999999</v>
      </c>
      <c r="AQ2912">
        <v>-44.890571999999999</v>
      </c>
      <c r="AR2912">
        <v>6.4172139275452773</v>
      </c>
      <c r="AS2912" t="s">
        <v>65</v>
      </c>
      <c r="AT2912">
        <v>1</v>
      </c>
      <c r="AU2912" t="s">
        <v>883</v>
      </c>
      <c r="AV2912" t="s">
        <v>884</v>
      </c>
      <c r="AW2912" t="s">
        <v>60</v>
      </c>
      <c r="AX2912" t="s">
        <v>68</v>
      </c>
      <c r="AY2912" t="s">
        <v>69</v>
      </c>
      <c r="AZ2912" t="b">
        <v>1</v>
      </c>
    </row>
    <row r="2913" spans="1:52" x14ac:dyDescent="0.3">
      <c r="A2913" t="s">
        <v>52</v>
      </c>
      <c r="B2913" t="s">
        <v>53</v>
      </c>
      <c r="C2913" t="s">
        <v>54</v>
      </c>
      <c r="D2913" t="s">
        <v>55</v>
      </c>
      <c r="E2913" t="s">
        <v>2162</v>
      </c>
      <c r="F2913" t="s">
        <v>1247</v>
      </c>
      <c r="G2913" t="s">
        <v>649</v>
      </c>
      <c r="H2913" t="s">
        <v>885</v>
      </c>
      <c r="I2913" t="s">
        <v>885</v>
      </c>
      <c r="J2913" t="s">
        <v>60</v>
      </c>
      <c r="K2913" t="s">
        <v>886</v>
      </c>
      <c r="L2913" t="s">
        <v>62</v>
      </c>
      <c r="M2913" t="s">
        <v>886</v>
      </c>
      <c r="N2913" t="s">
        <v>652</v>
      </c>
      <c r="O2913" t="s">
        <v>887</v>
      </c>
      <c r="P2913">
        <v>-20.132252000000001</v>
      </c>
      <c r="Q2913">
        <v>-44.894159000000002</v>
      </c>
      <c r="R2913" s="2" t="str">
        <f>HYPERLINK("https://www.google.com/maps?q=-20.1322520,-44.8941590","Abrir no Google Maps")</f>
        <v>Abrir no Google Maps</v>
      </c>
      <c r="S2913">
        <v>3</v>
      </c>
      <c r="T2913">
        <v>699.5004749448899</v>
      </c>
      <c r="U2913">
        <v>3</v>
      </c>
      <c r="V2913">
        <v>0.46424774517276418</v>
      </c>
      <c r="W2913">
        <v>0.85</v>
      </c>
      <c r="X2913">
        <v>0.39461058339684962</v>
      </c>
      <c r="Y2913">
        <v>564</v>
      </c>
      <c r="Z2913">
        <v>522.21103586457991</v>
      </c>
      <c r="AA2913">
        <v>198</v>
      </c>
      <c r="AB2913">
        <v>332</v>
      </c>
      <c r="AC2913">
        <v>536</v>
      </c>
      <c r="AD2913">
        <v>26.86</v>
      </c>
      <c r="AE2913">
        <v>542</v>
      </c>
      <c r="AF2913">
        <v>15</v>
      </c>
      <c r="AG2913">
        <v>178</v>
      </c>
      <c r="AH2913">
        <v>129</v>
      </c>
      <c r="AI2913">
        <v>2.77</v>
      </c>
      <c r="AJ2913">
        <v>32.840000000000003</v>
      </c>
      <c r="AK2913">
        <v>23.8</v>
      </c>
      <c r="AL2913">
        <v>-20.132285999999969</v>
      </c>
      <c r="AM2913">
        <v>-44.894119001288672</v>
      </c>
      <c r="AN2913">
        <v>-20.132285999999969</v>
      </c>
      <c r="AO2913">
        <v>-44.894119001288672</v>
      </c>
      <c r="AP2913">
        <v>-20.132252000000001</v>
      </c>
      <c r="AQ2913">
        <v>-44.894159000000002</v>
      </c>
      <c r="AR2913">
        <v>5.6393921063261629</v>
      </c>
      <c r="AS2913" t="s">
        <v>65</v>
      </c>
      <c r="AT2913">
        <v>1</v>
      </c>
      <c r="AU2913" t="s">
        <v>888</v>
      </c>
      <c r="AV2913" t="s">
        <v>889</v>
      </c>
      <c r="AW2913" t="s">
        <v>60</v>
      </c>
      <c r="AX2913" t="s">
        <v>68</v>
      </c>
      <c r="AY2913" t="s">
        <v>69</v>
      </c>
      <c r="AZ2913" t="b">
        <v>1</v>
      </c>
    </row>
    <row r="2914" spans="1:52" x14ac:dyDescent="0.3">
      <c r="A2914" t="s">
        <v>52</v>
      </c>
      <c r="B2914" t="s">
        <v>53</v>
      </c>
      <c r="C2914" t="s">
        <v>54</v>
      </c>
      <c r="D2914" t="s">
        <v>55</v>
      </c>
      <c r="E2914" t="s">
        <v>2162</v>
      </c>
      <c r="F2914" t="s">
        <v>1247</v>
      </c>
      <c r="G2914" t="s">
        <v>890</v>
      </c>
      <c r="H2914" t="s">
        <v>891</v>
      </c>
      <c r="I2914" t="s">
        <v>891</v>
      </c>
      <c r="J2914" t="s">
        <v>60</v>
      </c>
      <c r="K2914" t="s">
        <v>892</v>
      </c>
      <c r="L2914" t="s">
        <v>62</v>
      </c>
      <c r="M2914" t="s">
        <v>892</v>
      </c>
      <c r="N2914" t="s">
        <v>893</v>
      </c>
      <c r="O2914" t="s">
        <v>894</v>
      </c>
      <c r="P2914">
        <v>-20.152519000000002</v>
      </c>
      <c r="Q2914">
        <v>-44.899177000000002</v>
      </c>
      <c r="R2914" s="2" t="str">
        <f>HYPERLINK("https://www.google.com/maps?q=-20.1525190,-44.8991770","Abrir no Google Maps")</f>
        <v>Abrir no Google Maps</v>
      </c>
      <c r="S2914">
        <v>3</v>
      </c>
      <c r="T2914">
        <v>211.80188552994721</v>
      </c>
      <c r="U2914">
        <v>3</v>
      </c>
      <c r="V2914">
        <v>0.38301441974292461</v>
      </c>
      <c r="W2914">
        <v>1</v>
      </c>
      <c r="X2914">
        <v>0.38301441974292461</v>
      </c>
      <c r="Y2914">
        <v>556</v>
      </c>
      <c r="Z2914">
        <v>290.34804137107091</v>
      </c>
      <c r="AA2914">
        <v>198</v>
      </c>
      <c r="AB2914">
        <v>332</v>
      </c>
      <c r="AC2914">
        <v>536</v>
      </c>
      <c r="AD2914">
        <v>26.86</v>
      </c>
      <c r="AE2914">
        <v>542</v>
      </c>
      <c r="AF2914">
        <v>15</v>
      </c>
      <c r="AG2914">
        <v>178</v>
      </c>
      <c r="AH2914">
        <v>129</v>
      </c>
      <c r="AI2914">
        <v>2.77</v>
      </c>
      <c r="AJ2914">
        <v>32.840000000000003</v>
      </c>
      <c r="AK2914">
        <v>23.8</v>
      </c>
      <c r="AL2914">
        <v>-20.152516249999959</v>
      </c>
      <c r="AM2914">
        <v>-44.899310431333959</v>
      </c>
      <c r="AN2914">
        <v>-20.152516249999959</v>
      </c>
      <c r="AO2914">
        <v>-44.899310431333959</v>
      </c>
      <c r="AP2914">
        <v>-20.152519000000002</v>
      </c>
      <c r="AQ2914">
        <v>-44.899177000000002</v>
      </c>
      <c r="AR2914">
        <v>13.947583284957719</v>
      </c>
      <c r="AS2914" t="s">
        <v>65</v>
      </c>
      <c r="AT2914">
        <v>1</v>
      </c>
      <c r="AU2914" t="s">
        <v>895</v>
      </c>
      <c r="AV2914" t="s">
        <v>896</v>
      </c>
      <c r="AW2914" t="s">
        <v>60</v>
      </c>
      <c r="AX2914" t="s">
        <v>68</v>
      </c>
      <c r="AY2914" t="s">
        <v>69</v>
      </c>
      <c r="AZ2914" t="b">
        <v>1</v>
      </c>
    </row>
    <row r="2915" spans="1:52" x14ac:dyDescent="0.3">
      <c r="A2915" t="s">
        <v>52</v>
      </c>
      <c r="B2915" t="s">
        <v>53</v>
      </c>
      <c r="C2915" t="s">
        <v>54</v>
      </c>
      <c r="D2915" t="s">
        <v>55</v>
      </c>
      <c r="E2915" t="s">
        <v>2162</v>
      </c>
      <c r="F2915" t="s">
        <v>1247</v>
      </c>
      <c r="G2915" t="s">
        <v>897</v>
      </c>
      <c r="H2915" t="s">
        <v>898</v>
      </c>
      <c r="I2915" t="s">
        <v>898</v>
      </c>
      <c r="J2915" t="s">
        <v>60</v>
      </c>
      <c r="K2915" t="s">
        <v>892</v>
      </c>
      <c r="L2915" t="s">
        <v>62</v>
      </c>
      <c r="M2915" t="s">
        <v>892</v>
      </c>
      <c r="N2915" t="s">
        <v>899</v>
      </c>
      <c r="O2915" t="s">
        <v>900</v>
      </c>
      <c r="P2915">
        <v>-20.154885</v>
      </c>
      <c r="Q2915">
        <v>-44.899890999999997</v>
      </c>
      <c r="R2915" s="2" t="str">
        <f>HYPERLINK("https://www.google.com/maps?q=-20.1548850,-44.8998910","Abrir no Google Maps")</f>
        <v>Abrir no Google Maps</v>
      </c>
      <c r="S2915">
        <v>3</v>
      </c>
      <c r="T2915">
        <v>314.66339661014308</v>
      </c>
      <c r="U2915">
        <v>3</v>
      </c>
      <c r="V2915">
        <v>0.3892256257095017</v>
      </c>
      <c r="W2915">
        <v>1</v>
      </c>
      <c r="X2915">
        <v>0.3892256257095017</v>
      </c>
      <c r="Y2915">
        <v>548</v>
      </c>
      <c r="Z2915">
        <v>319.02252584834253</v>
      </c>
      <c r="AA2915">
        <v>198</v>
      </c>
      <c r="AB2915">
        <v>332</v>
      </c>
      <c r="AC2915">
        <v>536</v>
      </c>
      <c r="AD2915">
        <v>26.86</v>
      </c>
      <c r="AE2915">
        <v>542</v>
      </c>
      <c r="AF2915">
        <v>15</v>
      </c>
      <c r="AG2915">
        <v>178</v>
      </c>
      <c r="AH2915">
        <v>129</v>
      </c>
      <c r="AI2915">
        <v>2.77</v>
      </c>
      <c r="AJ2915">
        <v>32.840000000000003</v>
      </c>
      <c r="AK2915">
        <v>23.8</v>
      </c>
      <c r="AL2915">
        <v>-20.154906649999951</v>
      </c>
      <c r="AM2915">
        <v>-44.899894072543653</v>
      </c>
      <c r="AN2915">
        <v>-20.154906649999951</v>
      </c>
      <c r="AO2915">
        <v>-44.899894072543653</v>
      </c>
      <c r="AP2915">
        <v>-20.154885</v>
      </c>
      <c r="AQ2915">
        <v>-44.899890999999997</v>
      </c>
      <c r="AR2915">
        <v>2.431373123904943</v>
      </c>
      <c r="AS2915" t="s">
        <v>65</v>
      </c>
      <c r="AT2915">
        <v>1</v>
      </c>
      <c r="AU2915" t="s">
        <v>901</v>
      </c>
      <c r="AV2915" t="s">
        <v>902</v>
      </c>
      <c r="AW2915" t="s">
        <v>60</v>
      </c>
      <c r="AX2915" t="s">
        <v>68</v>
      </c>
      <c r="AY2915" t="s">
        <v>69</v>
      </c>
      <c r="AZ2915" t="b">
        <v>1</v>
      </c>
    </row>
    <row r="2916" spans="1:52" x14ac:dyDescent="0.3">
      <c r="A2916" t="s">
        <v>52</v>
      </c>
      <c r="B2916" t="s">
        <v>53</v>
      </c>
      <c r="C2916" t="s">
        <v>54</v>
      </c>
      <c r="D2916" t="s">
        <v>55</v>
      </c>
      <c r="E2916" t="s">
        <v>2162</v>
      </c>
      <c r="F2916" t="s">
        <v>1247</v>
      </c>
      <c r="G2916" t="s">
        <v>839</v>
      </c>
      <c r="H2916" t="s">
        <v>1274</v>
      </c>
      <c r="I2916" t="s">
        <v>1274</v>
      </c>
      <c r="J2916" t="s">
        <v>60</v>
      </c>
      <c r="K2916" t="s">
        <v>388</v>
      </c>
      <c r="L2916" t="s">
        <v>62</v>
      </c>
      <c r="M2916" t="s">
        <v>388</v>
      </c>
      <c r="N2916" t="s">
        <v>841</v>
      </c>
      <c r="O2916" t="s">
        <v>1275</v>
      </c>
      <c r="P2916">
        <v>-20.157979999999998</v>
      </c>
      <c r="Q2916">
        <v>-44.906365999999998</v>
      </c>
      <c r="R2916" s="2" t="str">
        <f>HYPERLINK("https://www.google.com/maps?q=-20.1579800,-44.9063660","Abrir no Google Maps")</f>
        <v>Abrir no Google Maps</v>
      </c>
      <c r="S2916">
        <v>3</v>
      </c>
      <c r="T2916">
        <v>519.48953004348823</v>
      </c>
      <c r="U2916">
        <v>2</v>
      </c>
      <c r="V2916">
        <v>0.4143452701145009</v>
      </c>
      <c r="W2916">
        <v>0.85</v>
      </c>
      <c r="X2916">
        <v>0.35219347959732578</v>
      </c>
      <c r="Y2916">
        <v>729</v>
      </c>
      <c r="Z2916">
        <v>393.22938248316768</v>
      </c>
      <c r="AA2916">
        <v>198</v>
      </c>
      <c r="AB2916">
        <v>332</v>
      </c>
      <c r="AC2916">
        <v>536</v>
      </c>
      <c r="AD2916">
        <v>26.86</v>
      </c>
      <c r="AE2916">
        <v>542</v>
      </c>
      <c r="AF2916">
        <v>15</v>
      </c>
      <c r="AG2916">
        <v>178</v>
      </c>
      <c r="AH2916">
        <v>129</v>
      </c>
      <c r="AI2916">
        <v>2.77</v>
      </c>
      <c r="AJ2916">
        <v>32.840000000000003</v>
      </c>
      <c r="AK2916">
        <v>23.8</v>
      </c>
      <c r="AL2916">
        <v>-20.157977799999941</v>
      </c>
      <c r="AM2916">
        <v>-44.906429896327573</v>
      </c>
      <c r="AN2916">
        <v>-20.157977799999941</v>
      </c>
      <c r="AO2916">
        <v>-44.906429896327573</v>
      </c>
      <c r="AP2916">
        <v>-20.157979999999998</v>
      </c>
      <c r="AQ2916">
        <v>-44.906365999999998</v>
      </c>
      <c r="AR2916">
        <v>6.6817330699236734</v>
      </c>
      <c r="AS2916" t="s">
        <v>65</v>
      </c>
      <c r="AT2916">
        <v>1</v>
      </c>
      <c r="AU2916" t="s">
        <v>1276</v>
      </c>
      <c r="AV2916" t="s">
        <v>1277</v>
      </c>
      <c r="AW2916" t="s">
        <v>60</v>
      </c>
      <c r="AX2916" t="s">
        <v>68</v>
      </c>
      <c r="AY2916" t="s">
        <v>69</v>
      </c>
      <c r="AZ2916" t="b">
        <v>1</v>
      </c>
    </row>
    <row r="2917" spans="1:52" x14ac:dyDescent="0.3">
      <c r="A2917" t="s">
        <v>52</v>
      </c>
      <c r="B2917" t="s">
        <v>53</v>
      </c>
      <c r="C2917" t="s">
        <v>54</v>
      </c>
      <c r="D2917" t="s">
        <v>55</v>
      </c>
      <c r="E2917" t="s">
        <v>2162</v>
      </c>
      <c r="F2917" t="s">
        <v>1247</v>
      </c>
      <c r="G2917" t="s">
        <v>1278</v>
      </c>
      <c r="H2917" t="s">
        <v>1279</v>
      </c>
      <c r="I2917" t="s">
        <v>1279</v>
      </c>
      <c r="J2917" t="s">
        <v>60</v>
      </c>
      <c r="K2917" t="s">
        <v>388</v>
      </c>
      <c r="L2917" t="s">
        <v>62</v>
      </c>
      <c r="M2917" t="s">
        <v>388</v>
      </c>
      <c r="N2917" t="s">
        <v>1280</v>
      </c>
      <c r="O2917" t="s">
        <v>216</v>
      </c>
      <c r="P2917">
        <v>-20.15681</v>
      </c>
      <c r="Q2917">
        <v>-44.899290999999998</v>
      </c>
      <c r="R2917" s="2" t="str">
        <f>HYPERLINK("https://www.google.com/maps?q=-20.1568100,-44.8992910","Abrir no Google Maps")</f>
        <v>Abrir no Google Maps</v>
      </c>
      <c r="S2917">
        <v>3</v>
      </c>
      <c r="T2917">
        <v>180.10162979749811</v>
      </c>
      <c r="U2917">
        <v>2</v>
      </c>
      <c r="V2917">
        <v>0.39849116054975431</v>
      </c>
      <c r="W2917">
        <v>0.85</v>
      </c>
      <c r="X2917">
        <v>0.33871748646729122</v>
      </c>
      <c r="Y2917">
        <v>729</v>
      </c>
      <c r="Z2917">
        <v>368.06065118133841</v>
      </c>
      <c r="AA2917">
        <v>198</v>
      </c>
      <c r="AB2917">
        <v>332</v>
      </c>
      <c r="AC2917">
        <v>536</v>
      </c>
      <c r="AD2917">
        <v>26.86</v>
      </c>
      <c r="AE2917">
        <v>542</v>
      </c>
      <c r="AF2917">
        <v>15</v>
      </c>
      <c r="AG2917">
        <v>178</v>
      </c>
      <c r="AH2917">
        <v>129</v>
      </c>
      <c r="AI2917">
        <v>2.77</v>
      </c>
      <c r="AJ2917">
        <v>32.840000000000003</v>
      </c>
      <c r="AK2917">
        <v>23.8</v>
      </c>
      <c r="AL2917">
        <v>-20.156785649999961</v>
      </c>
      <c r="AM2917">
        <v>-44.899254812291332</v>
      </c>
      <c r="AN2917">
        <v>-20.156785649999961</v>
      </c>
      <c r="AO2917">
        <v>-44.899254812291332</v>
      </c>
      <c r="AP2917">
        <v>-20.15681</v>
      </c>
      <c r="AQ2917">
        <v>-44.899290999999998</v>
      </c>
      <c r="AR2917">
        <v>4.6528211992813118</v>
      </c>
      <c r="AS2917" t="s">
        <v>65</v>
      </c>
      <c r="AT2917">
        <v>1</v>
      </c>
      <c r="AU2917" t="s">
        <v>1281</v>
      </c>
      <c r="AV2917" t="s">
        <v>1282</v>
      </c>
      <c r="AW2917" t="s">
        <v>60</v>
      </c>
      <c r="AX2917" t="s">
        <v>68</v>
      </c>
      <c r="AY2917" t="s">
        <v>69</v>
      </c>
      <c r="AZ2917" t="b">
        <v>1</v>
      </c>
    </row>
    <row r="2918" spans="1:52" x14ac:dyDescent="0.3">
      <c r="A2918" t="s">
        <v>52</v>
      </c>
      <c r="B2918" t="s">
        <v>53</v>
      </c>
      <c r="C2918" t="s">
        <v>54</v>
      </c>
      <c r="D2918" t="s">
        <v>55</v>
      </c>
      <c r="E2918" t="s">
        <v>2162</v>
      </c>
      <c r="F2918" t="s">
        <v>1247</v>
      </c>
      <c r="G2918" t="s">
        <v>1283</v>
      </c>
      <c r="H2918" t="s">
        <v>1284</v>
      </c>
      <c r="I2918" t="s">
        <v>1284</v>
      </c>
      <c r="J2918" t="s">
        <v>60</v>
      </c>
      <c r="K2918" t="s">
        <v>388</v>
      </c>
      <c r="L2918" t="s">
        <v>62</v>
      </c>
      <c r="M2918" t="s">
        <v>388</v>
      </c>
      <c r="N2918" t="s">
        <v>400</v>
      </c>
      <c r="O2918" t="s">
        <v>1285</v>
      </c>
      <c r="P2918">
        <v>-20.156977999999999</v>
      </c>
      <c r="Q2918">
        <v>-44.90325</v>
      </c>
      <c r="R2918" s="2" t="str">
        <f>HYPERLINK("https://www.google.com/maps?q=-20.1569780,-44.9032500","Abrir no Google Maps")</f>
        <v>Abrir no Google Maps</v>
      </c>
      <c r="S2918">
        <v>3</v>
      </c>
      <c r="T2918">
        <v>256.05633739092571</v>
      </c>
      <c r="U2918">
        <v>2</v>
      </c>
      <c r="V2918">
        <v>0.40361460068047922</v>
      </c>
      <c r="W2918">
        <v>0.85</v>
      </c>
      <c r="X2918">
        <v>0.34307241057840732</v>
      </c>
      <c r="Y2918">
        <v>729</v>
      </c>
      <c r="Z2918">
        <v>162.99447055889971</v>
      </c>
      <c r="AA2918">
        <v>198</v>
      </c>
      <c r="AB2918">
        <v>332</v>
      </c>
      <c r="AC2918">
        <v>536</v>
      </c>
      <c r="AD2918">
        <v>26.86</v>
      </c>
      <c r="AE2918">
        <v>542</v>
      </c>
      <c r="AF2918">
        <v>15</v>
      </c>
      <c r="AG2918">
        <v>178</v>
      </c>
      <c r="AH2918">
        <v>129</v>
      </c>
      <c r="AI2918">
        <v>2.77</v>
      </c>
      <c r="AJ2918">
        <v>32.840000000000003</v>
      </c>
      <c r="AK2918">
        <v>23.8</v>
      </c>
      <c r="AL2918">
        <v>-20.15696524999996</v>
      </c>
      <c r="AM2918">
        <v>-44.903258102626708</v>
      </c>
      <c r="AN2918">
        <v>-20.15696524999996</v>
      </c>
      <c r="AO2918">
        <v>-44.903258102626708</v>
      </c>
      <c r="AP2918">
        <v>-20.156977999999999</v>
      </c>
      <c r="AQ2918">
        <v>-44.90325</v>
      </c>
      <c r="AR2918">
        <v>1.6527147033629741</v>
      </c>
      <c r="AS2918" t="s">
        <v>65</v>
      </c>
      <c r="AT2918">
        <v>1</v>
      </c>
      <c r="AU2918" t="s">
        <v>1286</v>
      </c>
      <c r="AV2918" t="s">
        <v>1287</v>
      </c>
      <c r="AW2918" t="s">
        <v>60</v>
      </c>
      <c r="AX2918" t="s">
        <v>68</v>
      </c>
      <c r="AY2918" t="s">
        <v>69</v>
      </c>
      <c r="AZ2918" t="b">
        <v>1</v>
      </c>
    </row>
    <row r="2919" spans="1:52" x14ac:dyDescent="0.3">
      <c r="A2919" t="s">
        <v>52</v>
      </c>
      <c r="B2919" t="s">
        <v>53</v>
      </c>
      <c r="C2919" t="s">
        <v>54</v>
      </c>
      <c r="D2919" t="s">
        <v>55</v>
      </c>
      <c r="E2919" t="s">
        <v>2162</v>
      </c>
      <c r="F2919" t="s">
        <v>1247</v>
      </c>
      <c r="G2919" t="s">
        <v>1288</v>
      </c>
      <c r="H2919" t="s">
        <v>1289</v>
      </c>
      <c r="I2919" t="s">
        <v>1289</v>
      </c>
      <c r="J2919" t="s">
        <v>60</v>
      </c>
      <c r="K2919" t="s">
        <v>1290</v>
      </c>
      <c r="L2919" t="s">
        <v>62</v>
      </c>
      <c r="M2919" t="s">
        <v>1290</v>
      </c>
      <c r="N2919" t="s">
        <v>1291</v>
      </c>
      <c r="O2919" t="s">
        <v>315</v>
      </c>
      <c r="P2919">
        <v>-20.171008</v>
      </c>
      <c r="Q2919">
        <v>-44.918908999999999</v>
      </c>
      <c r="R2919" s="2" t="str">
        <f>HYPERLINK("https://www.google.com/maps?q=-20.1710080,-44.9189090","Abrir no Google Maps")</f>
        <v>Abrir no Google Maps</v>
      </c>
      <c r="S2919">
        <v>3</v>
      </c>
      <c r="T2919">
        <v>972.86786700299888</v>
      </c>
      <c r="U2919">
        <v>2</v>
      </c>
      <c r="V2919">
        <v>0.42380041546250569</v>
      </c>
      <c r="W2919">
        <v>0.85</v>
      </c>
      <c r="X2919">
        <v>0.36023035314312979</v>
      </c>
      <c r="Y2919">
        <v>723</v>
      </c>
      <c r="Z2919">
        <v>690.55600110253613</v>
      </c>
      <c r="AA2919">
        <v>198</v>
      </c>
      <c r="AB2919">
        <v>332</v>
      </c>
      <c r="AC2919">
        <v>536</v>
      </c>
      <c r="AD2919">
        <v>26.86</v>
      </c>
      <c r="AE2919">
        <v>542</v>
      </c>
      <c r="AF2919">
        <v>15</v>
      </c>
      <c r="AG2919">
        <v>178</v>
      </c>
      <c r="AH2919">
        <v>129</v>
      </c>
      <c r="AI2919">
        <v>2.77</v>
      </c>
      <c r="AJ2919">
        <v>32.840000000000003</v>
      </c>
      <c r="AK2919">
        <v>23.8</v>
      </c>
      <c r="AL2919">
        <v>-20.171738249999979</v>
      </c>
      <c r="AM2919">
        <v>-44.919736490382917</v>
      </c>
      <c r="AN2919">
        <v>-20.171738249999979</v>
      </c>
      <c r="AO2919">
        <v>-44.919736490382931</v>
      </c>
      <c r="AP2919">
        <v>-20.171008</v>
      </c>
      <c r="AQ2919">
        <v>-44.918908999999999</v>
      </c>
      <c r="AR2919">
        <v>118.678920061485</v>
      </c>
      <c r="AS2919" t="s">
        <v>65</v>
      </c>
      <c r="AT2919">
        <v>1</v>
      </c>
      <c r="AU2919" t="s">
        <v>1292</v>
      </c>
      <c r="AV2919" t="s">
        <v>1293</v>
      </c>
      <c r="AW2919" t="s">
        <v>60</v>
      </c>
      <c r="AX2919" t="s">
        <v>68</v>
      </c>
      <c r="AY2919" t="s">
        <v>69</v>
      </c>
      <c r="AZ2919" t="b">
        <v>1</v>
      </c>
    </row>
    <row r="2920" spans="1:52" x14ac:dyDescent="0.3">
      <c r="A2920" t="s">
        <v>52</v>
      </c>
      <c r="B2920" t="s">
        <v>53</v>
      </c>
      <c r="C2920" t="s">
        <v>54</v>
      </c>
      <c r="D2920" t="s">
        <v>55</v>
      </c>
      <c r="E2920" t="s">
        <v>2162</v>
      </c>
      <c r="F2920" t="s">
        <v>1247</v>
      </c>
      <c r="G2920" t="s">
        <v>1294</v>
      </c>
      <c r="H2920" t="s">
        <v>1295</v>
      </c>
      <c r="I2920" t="s">
        <v>1295</v>
      </c>
      <c r="J2920" t="s">
        <v>60</v>
      </c>
      <c r="K2920" t="s">
        <v>418</v>
      </c>
      <c r="L2920" t="s">
        <v>62</v>
      </c>
      <c r="M2920" t="s">
        <v>418</v>
      </c>
      <c r="N2920" t="s">
        <v>1296</v>
      </c>
      <c r="O2920" t="s">
        <v>1297</v>
      </c>
      <c r="P2920">
        <v>-20.169899999999998</v>
      </c>
      <c r="Q2920">
        <v>-44.916176999999998</v>
      </c>
      <c r="R2920" s="2" t="str">
        <f>HYPERLINK("https://www.google.com/maps?q=-20.1699000,-44.9161770","Abrir no Google Maps")</f>
        <v>Abrir no Google Maps</v>
      </c>
      <c r="S2920">
        <v>3</v>
      </c>
      <c r="T2920">
        <v>658.15251036568407</v>
      </c>
      <c r="U2920">
        <v>2</v>
      </c>
      <c r="V2920">
        <v>0.4136592798208773</v>
      </c>
      <c r="W2920">
        <v>0.85</v>
      </c>
      <c r="X2920">
        <v>0.35161038784774568</v>
      </c>
      <c r="Y2920">
        <v>723</v>
      </c>
      <c r="Z2920">
        <v>400.39092274559039</v>
      </c>
      <c r="AA2920">
        <v>198</v>
      </c>
      <c r="AB2920">
        <v>332</v>
      </c>
      <c r="AC2920">
        <v>536</v>
      </c>
      <c r="AD2920">
        <v>26.86</v>
      </c>
      <c r="AE2920">
        <v>542</v>
      </c>
      <c r="AF2920">
        <v>15</v>
      </c>
      <c r="AG2920">
        <v>178</v>
      </c>
      <c r="AH2920">
        <v>129</v>
      </c>
      <c r="AI2920">
        <v>2.77</v>
      </c>
      <c r="AJ2920">
        <v>32.840000000000003</v>
      </c>
      <c r="AK2920">
        <v>23.8</v>
      </c>
      <c r="AL2920">
        <v>-20.169898399999941</v>
      </c>
      <c r="AM2920">
        <v>-44.916247682868359</v>
      </c>
      <c r="AN2920">
        <v>-20.169898399999941</v>
      </c>
      <c r="AO2920">
        <v>-44.916247682868359</v>
      </c>
      <c r="AP2920">
        <v>-20.169899999999998</v>
      </c>
      <c r="AQ2920">
        <v>-44.916176999999998</v>
      </c>
      <c r="AR2920">
        <v>7.388028048308902</v>
      </c>
      <c r="AS2920" t="s">
        <v>65</v>
      </c>
      <c r="AT2920">
        <v>1</v>
      </c>
      <c r="AU2920" t="s">
        <v>1298</v>
      </c>
      <c r="AV2920" t="s">
        <v>1299</v>
      </c>
      <c r="AW2920" t="s">
        <v>60</v>
      </c>
      <c r="AX2920" t="s">
        <v>68</v>
      </c>
      <c r="AY2920" t="s">
        <v>69</v>
      </c>
      <c r="AZ2920" t="b">
        <v>1</v>
      </c>
    </row>
    <row r="2921" spans="1:52" x14ac:dyDescent="0.3">
      <c r="A2921" t="s">
        <v>52</v>
      </c>
      <c r="B2921" t="s">
        <v>53</v>
      </c>
      <c r="C2921" t="s">
        <v>54</v>
      </c>
      <c r="D2921" t="s">
        <v>55</v>
      </c>
      <c r="E2921" t="s">
        <v>2162</v>
      </c>
      <c r="F2921" t="s">
        <v>1247</v>
      </c>
      <c r="G2921" t="s">
        <v>1300</v>
      </c>
      <c r="H2921" t="s">
        <v>1301</v>
      </c>
      <c r="I2921" t="s">
        <v>1301</v>
      </c>
      <c r="J2921" t="s">
        <v>60</v>
      </c>
      <c r="K2921" t="s">
        <v>1302</v>
      </c>
      <c r="L2921" t="s">
        <v>62</v>
      </c>
      <c r="M2921" t="s">
        <v>1302</v>
      </c>
      <c r="N2921" t="s">
        <v>1303</v>
      </c>
      <c r="O2921" t="s">
        <v>1304</v>
      </c>
      <c r="P2921">
        <v>-20.166618</v>
      </c>
      <c r="Q2921">
        <v>-44.912920999999997</v>
      </c>
      <c r="R2921" s="2" t="str">
        <f>HYPERLINK("https://www.google.com/maps?q=-20.1666180,-44.9129210","Abrir no Google Maps")</f>
        <v>Abrir no Google Maps</v>
      </c>
      <c r="S2921">
        <v>3</v>
      </c>
      <c r="T2921">
        <v>636.32880156364706</v>
      </c>
      <c r="U2921">
        <v>2</v>
      </c>
      <c r="V2921">
        <v>0.41403040842632938</v>
      </c>
      <c r="W2921">
        <v>0.85</v>
      </c>
      <c r="X2921">
        <v>0.35192584716238001</v>
      </c>
      <c r="Y2921">
        <v>723</v>
      </c>
      <c r="Z2921">
        <v>407.62145176971592</v>
      </c>
      <c r="AA2921">
        <v>198</v>
      </c>
      <c r="AB2921">
        <v>332</v>
      </c>
      <c r="AC2921">
        <v>536</v>
      </c>
      <c r="AD2921">
        <v>26.86</v>
      </c>
      <c r="AE2921">
        <v>542</v>
      </c>
      <c r="AF2921">
        <v>15</v>
      </c>
      <c r="AG2921">
        <v>178</v>
      </c>
      <c r="AH2921">
        <v>129</v>
      </c>
      <c r="AI2921">
        <v>2.77</v>
      </c>
      <c r="AJ2921">
        <v>32.840000000000003</v>
      </c>
      <c r="AK2921">
        <v>23.8</v>
      </c>
      <c r="AL2921">
        <v>-20.166924799999951</v>
      </c>
      <c r="AM2921">
        <v>-44.912868681724092</v>
      </c>
      <c r="AN2921">
        <v>-20.166924799999951</v>
      </c>
      <c r="AO2921">
        <v>-44.912868681724092</v>
      </c>
      <c r="AP2921">
        <v>-20.166618</v>
      </c>
      <c r="AQ2921">
        <v>-44.912920999999997</v>
      </c>
      <c r="AR2921">
        <v>34.587771860198139</v>
      </c>
      <c r="AS2921" t="s">
        <v>65</v>
      </c>
      <c r="AT2921">
        <v>1</v>
      </c>
      <c r="AU2921" t="s">
        <v>1305</v>
      </c>
      <c r="AV2921" t="s">
        <v>1306</v>
      </c>
      <c r="AW2921" t="s">
        <v>60</v>
      </c>
      <c r="AX2921" t="s">
        <v>68</v>
      </c>
      <c r="AY2921" t="s">
        <v>69</v>
      </c>
      <c r="AZ2921" t="b">
        <v>1</v>
      </c>
    </row>
    <row r="2922" spans="1:52" x14ac:dyDescent="0.3">
      <c r="A2922" t="s">
        <v>52</v>
      </c>
      <c r="B2922" t="s">
        <v>53</v>
      </c>
      <c r="C2922" t="s">
        <v>54</v>
      </c>
      <c r="D2922" t="s">
        <v>55</v>
      </c>
      <c r="E2922" t="s">
        <v>2162</v>
      </c>
      <c r="F2922" t="s">
        <v>1247</v>
      </c>
      <c r="G2922" t="s">
        <v>1312</v>
      </c>
      <c r="H2922" t="s">
        <v>1313</v>
      </c>
      <c r="I2922" t="s">
        <v>1313</v>
      </c>
      <c r="J2922" t="s">
        <v>60</v>
      </c>
      <c r="K2922" t="s">
        <v>1314</v>
      </c>
      <c r="L2922" t="s">
        <v>62</v>
      </c>
      <c r="M2922" t="s">
        <v>1314</v>
      </c>
      <c r="N2922" t="s">
        <v>1315</v>
      </c>
      <c r="O2922" t="s">
        <v>315</v>
      </c>
      <c r="P2922">
        <v>-20.179649999999999</v>
      </c>
      <c r="Q2922">
        <v>-44.927177</v>
      </c>
      <c r="R2922" s="2" t="str">
        <f>HYPERLINK("https://www.google.com/maps?q=-20.1796500,-44.9271770","Abrir no Google Maps")</f>
        <v>Abrir no Google Maps</v>
      </c>
      <c r="S2922">
        <v>3</v>
      </c>
      <c r="T2922">
        <v>1742.181438658615</v>
      </c>
      <c r="U2922">
        <v>2</v>
      </c>
      <c r="V2922">
        <v>0.39326456662487352</v>
      </c>
      <c r="W2922">
        <v>0.85</v>
      </c>
      <c r="X2922">
        <v>0.3342748816311425</v>
      </c>
      <c r="Y2922">
        <v>723</v>
      </c>
      <c r="Z2922">
        <v>1801.262037027635</v>
      </c>
      <c r="AA2922">
        <v>198</v>
      </c>
      <c r="AB2922">
        <v>332</v>
      </c>
      <c r="AC2922">
        <v>536</v>
      </c>
      <c r="AD2922">
        <v>26.86</v>
      </c>
      <c r="AE2922">
        <v>542</v>
      </c>
      <c r="AF2922">
        <v>15</v>
      </c>
      <c r="AG2922">
        <v>178</v>
      </c>
      <c r="AH2922">
        <v>129</v>
      </c>
      <c r="AI2922">
        <v>2.77</v>
      </c>
      <c r="AJ2922">
        <v>32.840000000000003</v>
      </c>
      <c r="AK2922">
        <v>23.8</v>
      </c>
      <c r="AL2922">
        <v>-20.18058599999998</v>
      </c>
      <c r="AM2922">
        <v>-44.926708474999977</v>
      </c>
      <c r="AN2922">
        <v>-20.18058599999998</v>
      </c>
      <c r="AO2922">
        <v>-44.926708474999977</v>
      </c>
      <c r="AP2922">
        <v>-20.179649999999999</v>
      </c>
      <c r="AQ2922">
        <v>-44.927177</v>
      </c>
      <c r="AR2922">
        <v>115.1226868075416</v>
      </c>
      <c r="AS2922" t="s">
        <v>65</v>
      </c>
      <c r="AT2922">
        <v>1</v>
      </c>
      <c r="AU2922" t="s">
        <v>1316</v>
      </c>
      <c r="AV2922" t="s">
        <v>1317</v>
      </c>
      <c r="AW2922" t="s">
        <v>60</v>
      </c>
      <c r="AX2922" t="s">
        <v>68</v>
      </c>
      <c r="AY2922" t="s">
        <v>69</v>
      </c>
      <c r="AZ2922" t="b">
        <v>1</v>
      </c>
    </row>
    <row r="2923" spans="1:52" x14ac:dyDescent="0.3">
      <c r="A2923" t="s">
        <v>52</v>
      </c>
      <c r="B2923" t="s">
        <v>53</v>
      </c>
      <c r="C2923" t="s">
        <v>54</v>
      </c>
      <c r="D2923" t="s">
        <v>55</v>
      </c>
      <c r="E2923" t="s">
        <v>2162</v>
      </c>
      <c r="F2923" t="s">
        <v>1247</v>
      </c>
      <c r="G2923" t="s">
        <v>1318</v>
      </c>
      <c r="H2923" t="s">
        <v>1319</v>
      </c>
      <c r="I2923" t="s">
        <v>1319</v>
      </c>
      <c r="J2923" t="s">
        <v>60</v>
      </c>
      <c r="K2923" t="s">
        <v>1314</v>
      </c>
      <c r="L2923" t="s">
        <v>62</v>
      </c>
      <c r="M2923" t="s">
        <v>1314</v>
      </c>
      <c r="N2923" t="s">
        <v>1320</v>
      </c>
      <c r="O2923" t="s">
        <v>1321</v>
      </c>
      <c r="P2923">
        <v>-20.178615000000001</v>
      </c>
      <c r="Q2923">
        <v>-44.924697999999999</v>
      </c>
      <c r="R2923" s="2" t="str">
        <f>HYPERLINK("https://www.google.com/maps?q=-20.1786150,-44.9246980","Abrir no Google Maps")</f>
        <v>Abrir no Google Maps</v>
      </c>
      <c r="S2923">
        <v>3</v>
      </c>
      <c r="T2923">
        <v>1583.462557226148</v>
      </c>
      <c r="U2923">
        <v>2</v>
      </c>
      <c r="V2923">
        <v>0.3782437736230928</v>
      </c>
      <c r="W2923">
        <v>0.85</v>
      </c>
      <c r="X2923">
        <v>0.32150720757962892</v>
      </c>
      <c r="Y2923">
        <v>723</v>
      </c>
      <c r="Z2923">
        <v>1414.1542726995031</v>
      </c>
      <c r="AA2923">
        <v>198</v>
      </c>
      <c r="AB2923">
        <v>332</v>
      </c>
      <c r="AC2923">
        <v>536</v>
      </c>
      <c r="AD2923">
        <v>26.86</v>
      </c>
      <c r="AE2923">
        <v>542</v>
      </c>
      <c r="AF2923">
        <v>15</v>
      </c>
      <c r="AG2923">
        <v>178</v>
      </c>
      <c r="AH2923">
        <v>129</v>
      </c>
      <c r="AI2923">
        <v>2.77</v>
      </c>
      <c r="AJ2923">
        <v>32.840000000000003</v>
      </c>
      <c r="AK2923">
        <v>23.8</v>
      </c>
      <c r="AL2923">
        <v>-20.17821329999995</v>
      </c>
      <c r="AM2923">
        <v>-44.924188563452951</v>
      </c>
      <c r="AN2923">
        <v>-20.17821329999995</v>
      </c>
      <c r="AO2923">
        <v>-44.924188563452951</v>
      </c>
      <c r="AP2923">
        <v>-20.178615000000001</v>
      </c>
      <c r="AQ2923">
        <v>-44.924697999999999</v>
      </c>
      <c r="AR2923">
        <v>69.520116290580319</v>
      </c>
      <c r="AS2923" t="s">
        <v>65</v>
      </c>
      <c r="AT2923">
        <v>1</v>
      </c>
      <c r="AU2923" t="s">
        <v>1322</v>
      </c>
      <c r="AV2923" t="s">
        <v>1317</v>
      </c>
      <c r="AW2923" t="s">
        <v>60</v>
      </c>
      <c r="AX2923" t="s">
        <v>68</v>
      </c>
      <c r="AY2923" t="s">
        <v>69</v>
      </c>
      <c r="AZ2923" t="b">
        <v>1</v>
      </c>
    </row>
    <row r="2924" spans="1:52" x14ac:dyDescent="0.3">
      <c r="A2924" t="s">
        <v>52</v>
      </c>
      <c r="B2924" t="s">
        <v>53</v>
      </c>
      <c r="C2924" t="s">
        <v>54</v>
      </c>
      <c r="D2924" t="s">
        <v>55</v>
      </c>
      <c r="E2924" t="s">
        <v>2162</v>
      </c>
      <c r="F2924" t="s">
        <v>1247</v>
      </c>
      <c r="G2924" t="s">
        <v>422</v>
      </c>
      <c r="H2924" t="s">
        <v>1323</v>
      </c>
      <c r="I2924" t="s">
        <v>1323</v>
      </c>
      <c r="J2924" t="s">
        <v>60</v>
      </c>
      <c r="K2924" t="s">
        <v>1324</v>
      </c>
      <c r="L2924" t="s">
        <v>62</v>
      </c>
      <c r="M2924" t="s">
        <v>1324</v>
      </c>
      <c r="N2924" t="s">
        <v>425</v>
      </c>
      <c r="O2924" t="s">
        <v>1325</v>
      </c>
      <c r="P2924">
        <v>-20.175142000000001</v>
      </c>
      <c r="Q2924">
        <v>-44.913783000000002</v>
      </c>
      <c r="R2924" s="2" t="str">
        <f>HYPERLINK("https://www.google.com/maps?q=-20.1751420,-44.9137830","Abrir no Google Maps")</f>
        <v>Abrir no Google Maps</v>
      </c>
      <c r="S2924">
        <v>3</v>
      </c>
      <c r="T2924">
        <v>495.73888273066677</v>
      </c>
      <c r="U2924">
        <v>2</v>
      </c>
      <c r="V2924">
        <v>0.42340264209450101</v>
      </c>
      <c r="W2924">
        <v>0.85</v>
      </c>
      <c r="X2924">
        <v>0.35989224578032591</v>
      </c>
      <c r="Y2924">
        <v>723</v>
      </c>
      <c r="Z2924">
        <v>488.51574748236328</v>
      </c>
      <c r="AA2924">
        <v>198</v>
      </c>
      <c r="AB2924">
        <v>332</v>
      </c>
      <c r="AC2924">
        <v>536</v>
      </c>
      <c r="AD2924">
        <v>26.86</v>
      </c>
      <c r="AE2924">
        <v>542</v>
      </c>
      <c r="AF2924">
        <v>15</v>
      </c>
      <c r="AG2924">
        <v>178</v>
      </c>
      <c r="AH2924">
        <v>129</v>
      </c>
      <c r="AI2924">
        <v>2.77</v>
      </c>
      <c r="AJ2924">
        <v>32.840000000000003</v>
      </c>
      <c r="AK2924">
        <v>23.8</v>
      </c>
      <c r="AL2924">
        <v>-20.175195199999958</v>
      </c>
      <c r="AM2924">
        <v>-44.913964122548052</v>
      </c>
      <c r="AN2924">
        <v>-20.175195199999958</v>
      </c>
      <c r="AO2924">
        <v>-44.913964122548052</v>
      </c>
      <c r="AP2924">
        <v>-20.175142000000001</v>
      </c>
      <c r="AQ2924">
        <v>-44.913783000000002</v>
      </c>
      <c r="AR2924">
        <v>19.830402633152101</v>
      </c>
      <c r="AS2924" t="s">
        <v>65</v>
      </c>
      <c r="AT2924">
        <v>1</v>
      </c>
      <c r="AU2924" t="s">
        <v>1326</v>
      </c>
      <c r="AV2924" t="s">
        <v>1327</v>
      </c>
      <c r="AW2924" t="s">
        <v>60</v>
      </c>
      <c r="AX2924" t="s">
        <v>68</v>
      </c>
      <c r="AY2924" t="s">
        <v>69</v>
      </c>
      <c r="AZ2924" t="b">
        <v>1</v>
      </c>
    </row>
    <row r="2925" spans="1:52" x14ac:dyDescent="0.3">
      <c r="A2925" t="s">
        <v>52</v>
      </c>
      <c r="B2925" t="s">
        <v>53</v>
      </c>
      <c r="C2925" t="s">
        <v>54</v>
      </c>
      <c r="D2925" t="s">
        <v>55</v>
      </c>
      <c r="E2925" t="s">
        <v>2162</v>
      </c>
      <c r="F2925" t="s">
        <v>1247</v>
      </c>
      <c r="G2925" t="s">
        <v>1328</v>
      </c>
      <c r="H2925" t="s">
        <v>1329</v>
      </c>
      <c r="I2925" t="s">
        <v>1329</v>
      </c>
      <c r="J2925" t="s">
        <v>60</v>
      </c>
      <c r="K2925" t="s">
        <v>1324</v>
      </c>
      <c r="L2925" t="s">
        <v>62</v>
      </c>
      <c r="M2925" t="s">
        <v>1324</v>
      </c>
      <c r="N2925" t="s">
        <v>1330</v>
      </c>
      <c r="O2925" t="s">
        <v>1331</v>
      </c>
      <c r="P2925">
        <v>-20.172984</v>
      </c>
      <c r="Q2925">
        <v>-44.915225999999997</v>
      </c>
      <c r="R2925" s="2" t="str">
        <f>HYPERLINK("https://www.google.com/maps?q=-20.1729840,-44.9152260","Abrir no Google Maps")</f>
        <v>Abrir no Google Maps</v>
      </c>
      <c r="S2925">
        <v>3</v>
      </c>
      <c r="T2925">
        <v>498.21203543103741</v>
      </c>
      <c r="U2925">
        <v>2</v>
      </c>
      <c r="V2925">
        <v>0.43093095671107801</v>
      </c>
      <c r="W2925">
        <v>0.85</v>
      </c>
      <c r="X2925">
        <v>0.36629131320441632</v>
      </c>
      <c r="Y2925">
        <v>723</v>
      </c>
      <c r="Z2925">
        <v>297.36167326949931</v>
      </c>
      <c r="AA2925">
        <v>198</v>
      </c>
      <c r="AB2925">
        <v>332</v>
      </c>
      <c r="AC2925">
        <v>536</v>
      </c>
      <c r="AD2925">
        <v>26.86</v>
      </c>
      <c r="AE2925">
        <v>542</v>
      </c>
      <c r="AF2925">
        <v>15</v>
      </c>
      <c r="AG2925">
        <v>178</v>
      </c>
      <c r="AH2925">
        <v>129</v>
      </c>
      <c r="AI2925">
        <v>2.77</v>
      </c>
      <c r="AJ2925">
        <v>32.840000000000003</v>
      </c>
      <c r="AK2925">
        <v>23.8</v>
      </c>
      <c r="AL2925">
        <v>-20.172838899999959</v>
      </c>
      <c r="AM2925">
        <v>-44.915158011603552</v>
      </c>
      <c r="AN2925">
        <v>-20.172838899999959</v>
      </c>
      <c r="AO2925">
        <v>-44.915158011603552</v>
      </c>
      <c r="AP2925">
        <v>-20.172984</v>
      </c>
      <c r="AQ2925">
        <v>-44.915225999999997</v>
      </c>
      <c r="AR2925">
        <v>17.645788305942119</v>
      </c>
      <c r="AS2925" t="s">
        <v>65</v>
      </c>
      <c r="AT2925">
        <v>1</v>
      </c>
      <c r="AU2925" t="s">
        <v>1332</v>
      </c>
      <c r="AV2925" t="s">
        <v>1327</v>
      </c>
      <c r="AW2925" t="s">
        <v>60</v>
      </c>
      <c r="AX2925" t="s">
        <v>68</v>
      </c>
      <c r="AY2925" t="s">
        <v>69</v>
      </c>
      <c r="AZ2925" t="b">
        <v>1</v>
      </c>
    </row>
    <row r="2926" spans="1:52" x14ac:dyDescent="0.3">
      <c r="A2926" t="s">
        <v>52</v>
      </c>
      <c r="B2926" t="s">
        <v>53</v>
      </c>
      <c r="C2926" t="s">
        <v>54</v>
      </c>
      <c r="D2926" t="s">
        <v>55</v>
      </c>
      <c r="E2926" t="s">
        <v>2162</v>
      </c>
      <c r="F2926" t="s">
        <v>1247</v>
      </c>
      <c r="G2926" t="s">
        <v>1333</v>
      </c>
      <c r="H2926" t="s">
        <v>1334</v>
      </c>
      <c r="I2926" t="s">
        <v>1334</v>
      </c>
      <c r="J2926" t="s">
        <v>60</v>
      </c>
      <c r="K2926" t="s">
        <v>437</v>
      </c>
      <c r="L2926" t="s">
        <v>62</v>
      </c>
      <c r="M2926" t="s">
        <v>437</v>
      </c>
      <c r="N2926" t="s">
        <v>1335</v>
      </c>
      <c r="O2926" t="s">
        <v>807</v>
      </c>
      <c r="P2926">
        <v>-20.148</v>
      </c>
      <c r="Q2926">
        <v>-44.880944999999997</v>
      </c>
      <c r="R2926" s="2" t="str">
        <f>HYPERLINK("https://www.google.com/maps?q=-20.1480000,-44.8809450","Abrir no Google Maps")</f>
        <v>Abrir no Google Maps</v>
      </c>
      <c r="S2926">
        <v>3</v>
      </c>
      <c r="T2926">
        <v>0</v>
      </c>
      <c r="U2926">
        <v>2</v>
      </c>
      <c r="V2926">
        <v>0.40885569565097041</v>
      </c>
      <c r="W2926">
        <v>0.85</v>
      </c>
      <c r="X2926">
        <v>0.34752734130332491</v>
      </c>
      <c r="Y2926">
        <v>653</v>
      </c>
      <c r="Z2926">
        <v>108.2792411420544</v>
      </c>
      <c r="AA2926">
        <v>198</v>
      </c>
      <c r="AB2926">
        <v>332</v>
      </c>
      <c r="AC2926">
        <v>536</v>
      </c>
      <c r="AD2926">
        <v>26.86</v>
      </c>
      <c r="AE2926">
        <v>542</v>
      </c>
      <c r="AF2926">
        <v>15</v>
      </c>
      <c r="AG2926">
        <v>178</v>
      </c>
      <c r="AH2926">
        <v>129</v>
      </c>
      <c r="AI2926">
        <v>2.77</v>
      </c>
      <c r="AJ2926">
        <v>32.840000000000003</v>
      </c>
      <c r="AK2926">
        <v>23.8</v>
      </c>
      <c r="AL2926">
        <v>-20.14802099999994</v>
      </c>
      <c r="AM2926">
        <v>-44.880951206225959</v>
      </c>
      <c r="AN2926">
        <v>-20.14802099999994</v>
      </c>
      <c r="AO2926">
        <v>-44.880951206225959</v>
      </c>
      <c r="AP2926">
        <v>-20.148</v>
      </c>
      <c r="AQ2926">
        <v>-44.880944999999997</v>
      </c>
      <c r="AR2926">
        <v>2.4260288619737169</v>
      </c>
      <c r="AS2926" t="s">
        <v>65</v>
      </c>
      <c r="AT2926">
        <v>1</v>
      </c>
      <c r="AU2926" t="s">
        <v>1336</v>
      </c>
      <c r="AV2926" t="s">
        <v>1337</v>
      </c>
      <c r="AW2926" t="s">
        <v>60</v>
      </c>
      <c r="AX2926" t="s">
        <v>68</v>
      </c>
      <c r="AY2926" t="s">
        <v>69</v>
      </c>
      <c r="AZ2926" t="b">
        <v>1</v>
      </c>
    </row>
    <row r="2927" spans="1:52" x14ac:dyDescent="0.3">
      <c r="A2927" t="s">
        <v>52</v>
      </c>
      <c r="B2927" t="s">
        <v>53</v>
      </c>
      <c r="C2927" t="s">
        <v>54</v>
      </c>
      <c r="D2927" t="s">
        <v>55</v>
      </c>
      <c r="E2927" t="s">
        <v>2162</v>
      </c>
      <c r="F2927" t="s">
        <v>1247</v>
      </c>
      <c r="G2927" t="s">
        <v>479</v>
      </c>
      <c r="H2927" t="s">
        <v>1338</v>
      </c>
      <c r="I2927" t="s">
        <v>1338</v>
      </c>
      <c r="J2927" t="s">
        <v>60</v>
      </c>
      <c r="K2927" t="s">
        <v>1302</v>
      </c>
      <c r="L2927" t="s">
        <v>62</v>
      </c>
      <c r="M2927" t="s">
        <v>1302</v>
      </c>
      <c r="N2927" t="s">
        <v>481</v>
      </c>
      <c r="O2927" t="s">
        <v>1339</v>
      </c>
      <c r="P2927">
        <v>-20.165590000000002</v>
      </c>
      <c r="Q2927">
        <v>-44.907876000000002</v>
      </c>
      <c r="R2927" s="2" t="str">
        <f>HYPERLINK("https://www.google.com/maps?q=-20.1655900,-44.9078760","Abrir no Google Maps")</f>
        <v>Abrir no Google Maps</v>
      </c>
      <c r="S2927">
        <v>3</v>
      </c>
      <c r="T2927">
        <v>626.07643944893005</v>
      </c>
      <c r="U2927">
        <v>2</v>
      </c>
      <c r="V2927">
        <v>0.4284336156764576</v>
      </c>
      <c r="W2927">
        <v>0.85</v>
      </c>
      <c r="X2927">
        <v>0.36416857332498898</v>
      </c>
      <c r="Y2927">
        <v>639</v>
      </c>
      <c r="Z2927">
        <v>723.2656461789519</v>
      </c>
      <c r="AA2927">
        <v>198</v>
      </c>
      <c r="AB2927">
        <v>332</v>
      </c>
      <c r="AC2927">
        <v>536</v>
      </c>
      <c r="AD2927">
        <v>26.86</v>
      </c>
      <c r="AE2927">
        <v>542</v>
      </c>
      <c r="AF2927">
        <v>15</v>
      </c>
      <c r="AG2927">
        <v>178</v>
      </c>
      <c r="AH2927">
        <v>129</v>
      </c>
      <c r="AI2927">
        <v>2.77</v>
      </c>
      <c r="AJ2927">
        <v>32.840000000000003</v>
      </c>
      <c r="AK2927">
        <v>23.8</v>
      </c>
      <c r="AL2927">
        <v>-20.16561419999994</v>
      </c>
      <c r="AM2927">
        <v>-44.907783360572083</v>
      </c>
      <c r="AN2927">
        <v>-20.16561419999994</v>
      </c>
      <c r="AO2927">
        <v>-44.907783360572083</v>
      </c>
      <c r="AP2927">
        <v>-20.165590000000002</v>
      </c>
      <c r="AQ2927">
        <v>-44.907876000000002</v>
      </c>
      <c r="AR2927">
        <v>10.04831364257741</v>
      </c>
      <c r="AS2927" t="s">
        <v>65</v>
      </c>
      <c r="AT2927">
        <v>1</v>
      </c>
      <c r="AU2927" t="s">
        <v>1340</v>
      </c>
      <c r="AV2927" t="s">
        <v>1341</v>
      </c>
      <c r="AW2927" t="s">
        <v>60</v>
      </c>
      <c r="AX2927" t="s">
        <v>68</v>
      </c>
      <c r="AY2927" t="s">
        <v>69</v>
      </c>
      <c r="AZ2927" t="b">
        <v>1</v>
      </c>
    </row>
    <row r="2928" spans="1:52" x14ac:dyDescent="0.3">
      <c r="A2928" t="s">
        <v>52</v>
      </c>
      <c r="B2928" t="s">
        <v>53</v>
      </c>
      <c r="C2928" t="s">
        <v>54</v>
      </c>
      <c r="D2928" t="s">
        <v>55</v>
      </c>
      <c r="E2928" t="s">
        <v>2162</v>
      </c>
      <c r="F2928" t="s">
        <v>1247</v>
      </c>
      <c r="G2928" t="s">
        <v>1342</v>
      </c>
      <c r="H2928" t="s">
        <v>1343</v>
      </c>
      <c r="I2928" t="s">
        <v>1343</v>
      </c>
      <c r="J2928" t="s">
        <v>60</v>
      </c>
      <c r="K2928" t="s">
        <v>462</v>
      </c>
      <c r="L2928" t="s">
        <v>62</v>
      </c>
      <c r="M2928" t="s">
        <v>462</v>
      </c>
      <c r="N2928" t="s">
        <v>921</v>
      </c>
      <c r="O2928" t="s">
        <v>1344</v>
      </c>
      <c r="P2928">
        <v>-20.137526000000001</v>
      </c>
      <c r="Q2928">
        <v>-44.912452999999999</v>
      </c>
      <c r="R2928" s="2" t="str">
        <f>HYPERLINK("https://www.google.com/maps?q=-20.1375260,-44.9124530","Abrir no Google Maps")</f>
        <v>Abrir no Google Maps</v>
      </c>
      <c r="S2928">
        <v>3</v>
      </c>
      <c r="T2928">
        <v>446.95091416730708</v>
      </c>
      <c r="U2928">
        <v>2</v>
      </c>
      <c r="V2928">
        <v>0.42711844873599492</v>
      </c>
      <c r="W2928">
        <v>0.85</v>
      </c>
      <c r="X2928">
        <v>0.36305068142559571</v>
      </c>
      <c r="Y2928">
        <v>581</v>
      </c>
      <c r="Z2928">
        <v>507.4747778269288</v>
      </c>
      <c r="AA2928">
        <v>198</v>
      </c>
      <c r="AB2928">
        <v>332</v>
      </c>
      <c r="AC2928">
        <v>536</v>
      </c>
      <c r="AD2928">
        <v>26.86</v>
      </c>
      <c r="AE2928">
        <v>542</v>
      </c>
      <c r="AF2928">
        <v>15</v>
      </c>
      <c r="AG2928">
        <v>178</v>
      </c>
      <c r="AH2928">
        <v>129</v>
      </c>
      <c r="AI2928">
        <v>2.77</v>
      </c>
      <c r="AJ2928">
        <v>32.840000000000003</v>
      </c>
      <c r="AK2928">
        <v>23.8</v>
      </c>
      <c r="AL2928">
        <v>-20.136672649999959</v>
      </c>
      <c r="AM2928">
        <v>-44.911825104396357</v>
      </c>
      <c r="AN2928">
        <v>-20.136672649999959</v>
      </c>
      <c r="AO2928">
        <v>-44.911825104396357</v>
      </c>
      <c r="AP2928">
        <v>-20.137526000000001</v>
      </c>
      <c r="AQ2928">
        <v>-44.912452999999999</v>
      </c>
      <c r="AR2928">
        <v>115.45843265992529</v>
      </c>
      <c r="AS2928" t="s">
        <v>65</v>
      </c>
      <c r="AT2928">
        <v>1</v>
      </c>
      <c r="AU2928" t="s">
        <v>1345</v>
      </c>
      <c r="AV2928" t="s">
        <v>1346</v>
      </c>
      <c r="AW2928" t="s">
        <v>60</v>
      </c>
      <c r="AX2928" t="s">
        <v>68</v>
      </c>
      <c r="AY2928" t="s">
        <v>69</v>
      </c>
      <c r="AZ2928" t="b">
        <v>1</v>
      </c>
    </row>
    <row r="2929" spans="1:52" x14ac:dyDescent="0.3">
      <c r="A2929" t="s">
        <v>52</v>
      </c>
      <c r="B2929" t="s">
        <v>53</v>
      </c>
      <c r="C2929" t="s">
        <v>54</v>
      </c>
      <c r="D2929" t="s">
        <v>55</v>
      </c>
      <c r="E2929" t="s">
        <v>2162</v>
      </c>
      <c r="F2929" t="s">
        <v>1247</v>
      </c>
      <c r="G2929" t="s">
        <v>1354</v>
      </c>
      <c r="H2929" t="s">
        <v>1355</v>
      </c>
      <c r="I2929" t="s">
        <v>1355</v>
      </c>
      <c r="J2929" t="s">
        <v>60</v>
      </c>
      <c r="K2929" t="s">
        <v>1356</v>
      </c>
      <c r="L2929" t="s">
        <v>62</v>
      </c>
      <c r="M2929" t="s">
        <v>1356</v>
      </c>
      <c r="N2929" t="s">
        <v>1357</v>
      </c>
      <c r="O2929" t="s">
        <v>315</v>
      </c>
      <c r="P2929">
        <v>-20.132080999999999</v>
      </c>
      <c r="Q2929">
        <v>-44.908614</v>
      </c>
      <c r="R2929" s="2" t="str">
        <f>HYPERLINK("https://www.google.com/maps?q=-20.1320810,-44.9086140","Abrir no Google Maps")</f>
        <v>Abrir no Google Maps</v>
      </c>
      <c r="S2929">
        <v>3</v>
      </c>
      <c r="T2929">
        <v>701.02570959373259</v>
      </c>
      <c r="U2929">
        <v>2</v>
      </c>
      <c r="V2929">
        <v>0.38713122904382008</v>
      </c>
      <c r="W2929">
        <v>0.85</v>
      </c>
      <c r="X2929">
        <v>0.32906154468724708</v>
      </c>
      <c r="Y2929">
        <v>581</v>
      </c>
      <c r="Z2929">
        <v>811.38061352229215</v>
      </c>
      <c r="AA2929">
        <v>198</v>
      </c>
      <c r="AB2929">
        <v>332</v>
      </c>
      <c r="AC2929">
        <v>536</v>
      </c>
      <c r="AD2929">
        <v>26.86</v>
      </c>
      <c r="AE2929">
        <v>542</v>
      </c>
      <c r="AF2929">
        <v>15</v>
      </c>
      <c r="AG2929">
        <v>178</v>
      </c>
      <c r="AH2929">
        <v>129</v>
      </c>
      <c r="AI2929">
        <v>2.77</v>
      </c>
      <c r="AJ2929">
        <v>32.840000000000003</v>
      </c>
      <c r="AK2929">
        <v>23.8</v>
      </c>
      <c r="AL2929">
        <v>-20.132063499999951</v>
      </c>
      <c r="AM2929">
        <v>-44.908630454878519</v>
      </c>
      <c r="AN2929">
        <v>-20.132063499999951</v>
      </c>
      <c r="AO2929">
        <v>-44.908630454878519</v>
      </c>
      <c r="AP2929">
        <v>-20.132080999999999</v>
      </c>
      <c r="AQ2929">
        <v>-44.908614</v>
      </c>
      <c r="AR2929">
        <v>2.5986425761911551</v>
      </c>
      <c r="AS2929" t="s">
        <v>65</v>
      </c>
      <c r="AT2929">
        <v>1</v>
      </c>
      <c r="AU2929" t="s">
        <v>1358</v>
      </c>
      <c r="AV2929" t="s">
        <v>1359</v>
      </c>
      <c r="AW2929" t="s">
        <v>60</v>
      </c>
      <c r="AX2929" t="s">
        <v>68</v>
      </c>
      <c r="AY2929" t="s">
        <v>69</v>
      </c>
      <c r="AZ2929" t="b">
        <v>1</v>
      </c>
    </row>
    <row r="2930" spans="1:52" x14ac:dyDescent="0.3">
      <c r="A2930" t="s">
        <v>52</v>
      </c>
      <c r="B2930" t="s">
        <v>53</v>
      </c>
      <c r="C2930" t="s">
        <v>54</v>
      </c>
      <c r="D2930" t="s">
        <v>55</v>
      </c>
      <c r="E2930" t="s">
        <v>2162</v>
      </c>
      <c r="F2930" t="s">
        <v>1247</v>
      </c>
      <c r="G2930" t="s">
        <v>858</v>
      </c>
      <c r="H2930" t="s">
        <v>1360</v>
      </c>
      <c r="I2930" t="s">
        <v>1360</v>
      </c>
      <c r="J2930" t="s">
        <v>60</v>
      </c>
      <c r="K2930" t="s">
        <v>1356</v>
      </c>
      <c r="L2930" t="s">
        <v>62</v>
      </c>
      <c r="M2930" t="s">
        <v>1356</v>
      </c>
      <c r="N2930" t="s">
        <v>860</v>
      </c>
      <c r="O2930" t="s">
        <v>1361</v>
      </c>
      <c r="P2930">
        <v>-20.134969000000002</v>
      </c>
      <c r="Q2930">
        <v>-44.909384000000003</v>
      </c>
      <c r="R2930" s="2" t="str">
        <f>HYPERLINK("https://www.google.com/maps?q=-20.1349690,-44.9093840","Abrir no Google Maps")</f>
        <v>Abrir no Google Maps</v>
      </c>
      <c r="S2930">
        <v>3</v>
      </c>
      <c r="T2930">
        <v>413.6655911675532</v>
      </c>
      <c r="U2930">
        <v>2</v>
      </c>
      <c r="V2930">
        <v>0.42626021796671798</v>
      </c>
      <c r="W2930">
        <v>0.85</v>
      </c>
      <c r="X2930">
        <v>0.36232118527171031</v>
      </c>
      <c r="Y2930">
        <v>581</v>
      </c>
      <c r="Z2930">
        <v>555.30228470489919</v>
      </c>
      <c r="AA2930">
        <v>198</v>
      </c>
      <c r="AB2930">
        <v>332</v>
      </c>
      <c r="AC2930">
        <v>536</v>
      </c>
      <c r="AD2930">
        <v>26.86</v>
      </c>
      <c r="AE2930">
        <v>542</v>
      </c>
      <c r="AF2930">
        <v>15</v>
      </c>
      <c r="AG2930">
        <v>178</v>
      </c>
      <c r="AH2930">
        <v>129</v>
      </c>
      <c r="AI2930">
        <v>2.77</v>
      </c>
      <c r="AJ2930">
        <v>32.840000000000003</v>
      </c>
      <c r="AK2930">
        <v>23.8</v>
      </c>
      <c r="AL2930">
        <v>-20.134922099999951</v>
      </c>
      <c r="AM2930">
        <v>-44.909483975879112</v>
      </c>
      <c r="AN2930">
        <v>-20.134922099999951</v>
      </c>
      <c r="AO2930">
        <v>-44.909483975879112</v>
      </c>
      <c r="AP2930">
        <v>-20.134969000000002</v>
      </c>
      <c r="AQ2930">
        <v>-44.909384000000003</v>
      </c>
      <c r="AR2930">
        <v>11.68085867639515</v>
      </c>
      <c r="AS2930" t="s">
        <v>65</v>
      </c>
      <c r="AT2930">
        <v>1</v>
      </c>
      <c r="AU2930" t="s">
        <v>1362</v>
      </c>
      <c r="AV2930" t="s">
        <v>1363</v>
      </c>
      <c r="AW2930" t="s">
        <v>60</v>
      </c>
      <c r="AX2930" t="s">
        <v>68</v>
      </c>
      <c r="AY2930" t="s">
        <v>69</v>
      </c>
      <c r="AZ2930" t="b">
        <v>1</v>
      </c>
    </row>
    <row r="2931" spans="1:52" x14ac:dyDescent="0.3">
      <c r="A2931" t="s">
        <v>52</v>
      </c>
      <c r="B2931" t="s">
        <v>53</v>
      </c>
      <c r="C2931" t="s">
        <v>54</v>
      </c>
      <c r="D2931" t="s">
        <v>55</v>
      </c>
      <c r="E2931" t="s">
        <v>2162</v>
      </c>
      <c r="F2931" t="s">
        <v>1247</v>
      </c>
      <c r="G2931" t="s">
        <v>1364</v>
      </c>
      <c r="H2931" t="s">
        <v>1365</v>
      </c>
      <c r="I2931" t="s">
        <v>1365</v>
      </c>
      <c r="J2931" t="s">
        <v>60</v>
      </c>
      <c r="K2931" t="s">
        <v>1356</v>
      </c>
      <c r="L2931" t="s">
        <v>62</v>
      </c>
      <c r="M2931" t="s">
        <v>1356</v>
      </c>
      <c r="N2931" t="s">
        <v>1366</v>
      </c>
      <c r="O2931" t="s">
        <v>548</v>
      </c>
      <c r="P2931">
        <v>-20.131240999999999</v>
      </c>
      <c r="Q2931">
        <v>-44.910567999999998</v>
      </c>
      <c r="R2931" s="2" t="str">
        <f>HYPERLINK("https://www.google.com/maps?q=-20.1312410,-44.9105680","Abrir no Google Maps")</f>
        <v>Abrir no Google Maps</v>
      </c>
      <c r="S2931">
        <v>3</v>
      </c>
      <c r="T2931">
        <v>822.61354861726704</v>
      </c>
      <c r="U2931">
        <v>2</v>
      </c>
      <c r="V2931">
        <v>0.39427003442915681</v>
      </c>
      <c r="W2931">
        <v>0.85</v>
      </c>
      <c r="X2931">
        <v>0.33512952926478329</v>
      </c>
      <c r="Y2931">
        <v>581</v>
      </c>
      <c r="Z2931">
        <v>982.3990834787046</v>
      </c>
      <c r="AA2931">
        <v>198</v>
      </c>
      <c r="AB2931">
        <v>332</v>
      </c>
      <c r="AC2931">
        <v>536</v>
      </c>
      <c r="AD2931">
        <v>26.86</v>
      </c>
      <c r="AE2931">
        <v>542</v>
      </c>
      <c r="AF2931">
        <v>15</v>
      </c>
      <c r="AG2931">
        <v>178</v>
      </c>
      <c r="AH2931">
        <v>129</v>
      </c>
      <c r="AI2931">
        <v>2.77</v>
      </c>
      <c r="AJ2931">
        <v>32.840000000000003</v>
      </c>
      <c r="AK2931">
        <v>23.8</v>
      </c>
      <c r="AL2931">
        <v>-20.131367099999981</v>
      </c>
      <c r="AM2931">
        <v>-44.910597350758543</v>
      </c>
      <c r="AN2931">
        <v>-20.131367099999981</v>
      </c>
      <c r="AO2931">
        <v>-44.910597350758543</v>
      </c>
      <c r="AP2931">
        <v>-20.131240999999999</v>
      </c>
      <c r="AQ2931">
        <v>-44.910567999999998</v>
      </c>
      <c r="AR2931">
        <v>14.36874794070623</v>
      </c>
      <c r="AS2931" t="s">
        <v>65</v>
      </c>
      <c r="AT2931">
        <v>1</v>
      </c>
      <c r="AU2931" t="s">
        <v>1367</v>
      </c>
      <c r="AV2931" t="s">
        <v>1368</v>
      </c>
      <c r="AW2931" t="s">
        <v>60</v>
      </c>
      <c r="AX2931" t="s">
        <v>68</v>
      </c>
      <c r="AY2931" t="s">
        <v>69</v>
      </c>
      <c r="AZ2931" t="b">
        <v>1</v>
      </c>
    </row>
    <row r="2932" spans="1:52" x14ac:dyDescent="0.3">
      <c r="A2932" t="s">
        <v>52</v>
      </c>
      <c r="B2932" t="s">
        <v>53</v>
      </c>
      <c r="C2932" t="s">
        <v>54</v>
      </c>
      <c r="D2932" t="s">
        <v>55</v>
      </c>
      <c r="E2932" t="s">
        <v>2162</v>
      </c>
      <c r="F2932" t="s">
        <v>1247</v>
      </c>
      <c r="G2932" t="s">
        <v>1364</v>
      </c>
      <c r="H2932" t="s">
        <v>1369</v>
      </c>
      <c r="I2932" t="s">
        <v>1369</v>
      </c>
      <c r="J2932" t="s">
        <v>60</v>
      </c>
      <c r="K2932" t="s">
        <v>1370</v>
      </c>
      <c r="L2932" t="s">
        <v>62</v>
      </c>
      <c r="M2932" t="s">
        <v>1370</v>
      </c>
      <c r="N2932" t="s">
        <v>1366</v>
      </c>
      <c r="O2932" t="s">
        <v>989</v>
      </c>
      <c r="P2932">
        <v>-20.141185</v>
      </c>
      <c r="Q2932">
        <v>-44.914200999999998</v>
      </c>
      <c r="R2932" s="2" t="str">
        <f>HYPERLINK("https://www.google.com/maps?q=-20.1411850,-44.9142010","Abrir no Google Maps")</f>
        <v>Abrir no Google Maps</v>
      </c>
      <c r="S2932">
        <v>3</v>
      </c>
      <c r="T2932">
        <v>512.52588459346453</v>
      </c>
      <c r="U2932">
        <v>2</v>
      </c>
      <c r="V2932">
        <v>0.41177691652416831</v>
      </c>
      <c r="W2932">
        <v>0.85</v>
      </c>
      <c r="X2932">
        <v>0.35001037904554311</v>
      </c>
      <c r="Y2932">
        <v>581</v>
      </c>
      <c r="Z2932">
        <v>473.10673043319349</v>
      </c>
      <c r="AA2932">
        <v>198</v>
      </c>
      <c r="AB2932">
        <v>332</v>
      </c>
      <c r="AC2932">
        <v>536</v>
      </c>
      <c r="AD2932">
        <v>26.86</v>
      </c>
      <c r="AE2932">
        <v>542</v>
      </c>
      <c r="AF2932">
        <v>15</v>
      </c>
      <c r="AG2932">
        <v>178</v>
      </c>
      <c r="AH2932">
        <v>129</v>
      </c>
      <c r="AI2932">
        <v>2.77</v>
      </c>
      <c r="AJ2932">
        <v>32.840000000000003</v>
      </c>
      <c r="AK2932">
        <v>23.8</v>
      </c>
      <c r="AL2932">
        <v>-20.14133909999995</v>
      </c>
      <c r="AM2932">
        <v>-44.913910219286038</v>
      </c>
      <c r="AN2932">
        <v>-20.14133909999995</v>
      </c>
      <c r="AO2932">
        <v>-44.913910219286038</v>
      </c>
      <c r="AP2932">
        <v>-20.141185</v>
      </c>
      <c r="AQ2932">
        <v>-44.914200999999998</v>
      </c>
      <c r="AR2932">
        <v>34.897514361429593</v>
      </c>
      <c r="AS2932" t="s">
        <v>65</v>
      </c>
      <c r="AT2932">
        <v>1</v>
      </c>
      <c r="AU2932" t="s">
        <v>1371</v>
      </c>
      <c r="AV2932" t="s">
        <v>863</v>
      </c>
      <c r="AW2932" t="s">
        <v>60</v>
      </c>
      <c r="AX2932" t="s">
        <v>68</v>
      </c>
      <c r="AY2932" t="s">
        <v>69</v>
      </c>
      <c r="AZ2932" t="b">
        <v>1</v>
      </c>
    </row>
    <row r="2933" spans="1:52" x14ac:dyDescent="0.3">
      <c r="A2933" t="s">
        <v>52</v>
      </c>
      <c r="B2933" t="s">
        <v>53</v>
      </c>
      <c r="C2933" t="s">
        <v>54</v>
      </c>
      <c r="D2933" t="s">
        <v>55</v>
      </c>
      <c r="E2933" t="s">
        <v>2162</v>
      </c>
      <c r="F2933" t="s">
        <v>1247</v>
      </c>
      <c r="G2933" t="s">
        <v>1376</v>
      </c>
      <c r="H2933" t="s">
        <v>1377</v>
      </c>
      <c r="I2933" t="s">
        <v>1377</v>
      </c>
      <c r="J2933" t="s">
        <v>60</v>
      </c>
      <c r="K2933" t="s">
        <v>475</v>
      </c>
      <c r="L2933" t="s">
        <v>62</v>
      </c>
      <c r="M2933" t="s">
        <v>475</v>
      </c>
      <c r="N2933" t="s">
        <v>1378</v>
      </c>
      <c r="O2933" t="s">
        <v>1379</v>
      </c>
      <c r="P2933">
        <v>-20.175298000000002</v>
      </c>
      <c r="Q2933">
        <v>-44.904794000000003</v>
      </c>
      <c r="R2933" s="2" t="str">
        <f>HYPERLINK("https://www.google.com/maps?q=-20.1752980,-44.9047940","Abrir no Google Maps")</f>
        <v>Abrir no Google Maps</v>
      </c>
      <c r="S2933">
        <v>3</v>
      </c>
      <c r="T2933">
        <v>497.7557906927301</v>
      </c>
      <c r="U2933">
        <v>2</v>
      </c>
      <c r="V2933">
        <v>0.38048620894987051</v>
      </c>
      <c r="W2933">
        <v>0.85</v>
      </c>
      <c r="X2933">
        <v>0.32341327760738992</v>
      </c>
      <c r="Y2933">
        <v>578</v>
      </c>
      <c r="Z2933">
        <v>363.80816567363502</v>
      </c>
      <c r="AA2933">
        <v>198</v>
      </c>
      <c r="AB2933">
        <v>332</v>
      </c>
      <c r="AC2933">
        <v>536</v>
      </c>
      <c r="AD2933">
        <v>26.86</v>
      </c>
      <c r="AE2933">
        <v>542</v>
      </c>
      <c r="AF2933">
        <v>15</v>
      </c>
      <c r="AG2933">
        <v>178</v>
      </c>
      <c r="AH2933">
        <v>129</v>
      </c>
      <c r="AI2933">
        <v>2.77</v>
      </c>
      <c r="AJ2933">
        <v>32.840000000000003</v>
      </c>
      <c r="AK2933">
        <v>23.8</v>
      </c>
      <c r="AL2933">
        <v>-20.17530484999995</v>
      </c>
      <c r="AM2933">
        <v>-44.904834224351781</v>
      </c>
      <c r="AN2933">
        <v>-20.17530484999995</v>
      </c>
      <c r="AO2933">
        <v>-44.904834224351781</v>
      </c>
      <c r="AP2933">
        <v>-20.175298000000002</v>
      </c>
      <c r="AQ2933">
        <v>-44.904794000000003</v>
      </c>
      <c r="AR2933">
        <v>4.2716392411563806</v>
      </c>
      <c r="AS2933" t="s">
        <v>65</v>
      </c>
      <c r="AT2933">
        <v>1</v>
      </c>
      <c r="AU2933" t="s">
        <v>1380</v>
      </c>
      <c r="AV2933" t="s">
        <v>1381</v>
      </c>
      <c r="AW2933" t="s">
        <v>60</v>
      </c>
      <c r="AX2933" t="s">
        <v>68</v>
      </c>
      <c r="AY2933" t="s">
        <v>69</v>
      </c>
      <c r="AZ2933" t="b">
        <v>1</v>
      </c>
    </row>
    <row r="2934" spans="1:52" x14ac:dyDescent="0.3">
      <c r="A2934" t="s">
        <v>52</v>
      </c>
      <c r="B2934" t="s">
        <v>53</v>
      </c>
      <c r="C2934" t="s">
        <v>54</v>
      </c>
      <c r="D2934" t="s">
        <v>55</v>
      </c>
      <c r="E2934" t="s">
        <v>2162</v>
      </c>
      <c r="F2934" t="s">
        <v>1247</v>
      </c>
      <c r="G2934" t="s">
        <v>870</v>
      </c>
      <c r="H2934" t="s">
        <v>871</v>
      </c>
      <c r="I2934" t="s">
        <v>871</v>
      </c>
      <c r="J2934" t="s">
        <v>60</v>
      </c>
      <c r="K2934" t="s">
        <v>475</v>
      </c>
      <c r="L2934" t="s">
        <v>62</v>
      </c>
      <c r="M2934" t="s">
        <v>475</v>
      </c>
      <c r="N2934" t="s">
        <v>872</v>
      </c>
      <c r="O2934" t="s">
        <v>507</v>
      </c>
      <c r="P2934">
        <v>-20.176269999999999</v>
      </c>
      <c r="Q2934">
        <v>-44.909323999999998</v>
      </c>
      <c r="R2934" s="2" t="str">
        <f>HYPERLINK("https://www.google.com/maps?q=-20.1762700,-44.9093240","Abrir no Google Maps")</f>
        <v>Abrir no Google Maps</v>
      </c>
      <c r="S2934">
        <v>3</v>
      </c>
      <c r="T2934">
        <v>472.42731136821368</v>
      </c>
      <c r="U2934">
        <v>2</v>
      </c>
      <c r="V2934">
        <v>0.36785799237210959</v>
      </c>
      <c r="W2934">
        <v>1</v>
      </c>
      <c r="X2934">
        <v>0.36785799237210959</v>
      </c>
      <c r="Y2934">
        <v>578</v>
      </c>
      <c r="Z2934">
        <v>495.19726726344601</v>
      </c>
      <c r="AA2934">
        <v>198</v>
      </c>
      <c r="AB2934">
        <v>332</v>
      </c>
      <c r="AC2934">
        <v>536</v>
      </c>
      <c r="AD2934">
        <v>26.86</v>
      </c>
      <c r="AE2934">
        <v>542</v>
      </c>
      <c r="AF2934">
        <v>15</v>
      </c>
      <c r="AG2934">
        <v>178</v>
      </c>
      <c r="AH2934">
        <v>129</v>
      </c>
      <c r="AI2934">
        <v>2.77</v>
      </c>
      <c r="AJ2934">
        <v>32.840000000000003</v>
      </c>
      <c r="AK2934">
        <v>23.8</v>
      </c>
      <c r="AL2934">
        <v>-20.17630284999996</v>
      </c>
      <c r="AM2934">
        <v>-44.909199064318948</v>
      </c>
      <c r="AN2934">
        <v>-20.17630284999996</v>
      </c>
      <c r="AO2934">
        <v>-44.909199064318948</v>
      </c>
      <c r="AP2934">
        <v>-20.176269999999999</v>
      </c>
      <c r="AQ2934">
        <v>-44.909323999999998</v>
      </c>
      <c r="AR2934">
        <v>13.55691308737447</v>
      </c>
      <c r="AS2934" t="s">
        <v>65</v>
      </c>
      <c r="AT2934">
        <v>1</v>
      </c>
      <c r="AU2934" t="s">
        <v>873</v>
      </c>
      <c r="AV2934" t="s">
        <v>874</v>
      </c>
      <c r="AW2934" t="s">
        <v>60</v>
      </c>
      <c r="AX2934" t="s">
        <v>68</v>
      </c>
      <c r="AY2934" t="s">
        <v>69</v>
      </c>
      <c r="AZ2934" t="b">
        <v>1</v>
      </c>
    </row>
    <row r="2935" spans="1:52" x14ac:dyDescent="0.3">
      <c r="A2935" t="s">
        <v>52</v>
      </c>
      <c r="B2935" t="s">
        <v>53</v>
      </c>
      <c r="C2935" t="s">
        <v>54</v>
      </c>
      <c r="D2935" t="s">
        <v>55</v>
      </c>
      <c r="E2935" t="s">
        <v>2162</v>
      </c>
      <c r="F2935" t="s">
        <v>1247</v>
      </c>
      <c r="G2935" t="s">
        <v>1382</v>
      </c>
      <c r="H2935" t="s">
        <v>1383</v>
      </c>
      <c r="I2935" t="s">
        <v>1383</v>
      </c>
      <c r="J2935" t="s">
        <v>60</v>
      </c>
      <c r="K2935" t="s">
        <v>1384</v>
      </c>
      <c r="L2935" t="s">
        <v>62</v>
      </c>
      <c r="M2935" t="s">
        <v>1384</v>
      </c>
      <c r="N2935" t="s">
        <v>1385</v>
      </c>
      <c r="O2935" t="s">
        <v>1379</v>
      </c>
      <c r="P2935">
        <v>-20.168914999999998</v>
      </c>
      <c r="Q2935">
        <v>-44.897015000000003</v>
      </c>
      <c r="R2935" s="2" t="str">
        <f>HYPERLINK("https://www.google.com/maps?q=-20.1689150,-44.8970150","Abrir no Google Maps")</f>
        <v>Abrir no Google Maps</v>
      </c>
      <c r="S2935">
        <v>3</v>
      </c>
      <c r="T2935">
        <v>1082.4313448281291</v>
      </c>
      <c r="U2935">
        <v>2</v>
      </c>
      <c r="V2935">
        <v>0.39777300529842602</v>
      </c>
      <c r="W2935">
        <v>0.85</v>
      </c>
      <c r="X2935">
        <v>0.33810705450366207</v>
      </c>
      <c r="Y2935">
        <v>578</v>
      </c>
      <c r="Z2935">
        <v>1085.6751638476369</v>
      </c>
      <c r="AA2935">
        <v>198</v>
      </c>
      <c r="AB2935">
        <v>332</v>
      </c>
      <c r="AC2935">
        <v>536</v>
      </c>
      <c r="AD2935">
        <v>26.86</v>
      </c>
      <c r="AE2935">
        <v>542</v>
      </c>
      <c r="AF2935">
        <v>15</v>
      </c>
      <c r="AG2935">
        <v>178</v>
      </c>
      <c r="AH2935">
        <v>129</v>
      </c>
      <c r="AI2935">
        <v>2.77</v>
      </c>
      <c r="AJ2935">
        <v>32.840000000000003</v>
      </c>
      <c r="AK2935">
        <v>23.8</v>
      </c>
      <c r="AL2935">
        <v>-20.168195549999979</v>
      </c>
      <c r="AM2935">
        <v>-44.895555997240763</v>
      </c>
      <c r="AN2935">
        <v>-20.168195549999979</v>
      </c>
      <c r="AO2935">
        <v>-44.895555997240763</v>
      </c>
      <c r="AP2935">
        <v>-20.168914999999998</v>
      </c>
      <c r="AQ2935">
        <v>-44.897015000000003</v>
      </c>
      <c r="AR2935">
        <v>172.21377736735809</v>
      </c>
      <c r="AS2935" t="s">
        <v>65</v>
      </c>
      <c r="AT2935">
        <v>1</v>
      </c>
      <c r="AU2935" t="s">
        <v>1386</v>
      </c>
      <c r="AV2935" t="s">
        <v>1387</v>
      </c>
      <c r="AW2935" t="s">
        <v>60</v>
      </c>
      <c r="AX2935" t="s">
        <v>68</v>
      </c>
      <c r="AY2935" t="s">
        <v>69</v>
      </c>
      <c r="AZ2935" t="b">
        <v>1</v>
      </c>
    </row>
    <row r="2936" spans="1:52" x14ac:dyDescent="0.3">
      <c r="A2936" t="s">
        <v>52</v>
      </c>
      <c r="B2936" t="s">
        <v>53</v>
      </c>
      <c r="C2936" t="s">
        <v>54</v>
      </c>
      <c r="D2936" t="s">
        <v>55</v>
      </c>
      <c r="E2936" t="s">
        <v>2162</v>
      </c>
      <c r="F2936" t="s">
        <v>1247</v>
      </c>
      <c r="G2936" t="s">
        <v>1388</v>
      </c>
      <c r="H2936" t="s">
        <v>1389</v>
      </c>
      <c r="I2936" t="s">
        <v>1389</v>
      </c>
      <c r="J2936" t="s">
        <v>60</v>
      </c>
      <c r="K2936" t="s">
        <v>475</v>
      </c>
      <c r="L2936" t="s">
        <v>62</v>
      </c>
      <c r="M2936" t="s">
        <v>475</v>
      </c>
      <c r="N2936" t="s">
        <v>1390</v>
      </c>
      <c r="O2936" t="s">
        <v>855</v>
      </c>
      <c r="P2936">
        <v>-20.173748</v>
      </c>
      <c r="Q2936">
        <v>-44.894596999999997</v>
      </c>
      <c r="R2936" s="2" t="str">
        <f>HYPERLINK("https://www.google.com/maps?q=-20.1737480,-44.8945970","Abrir no Google Maps")</f>
        <v>Abrir no Google Maps</v>
      </c>
      <c r="S2936">
        <v>3</v>
      </c>
      <c r="T2936">
        <v>1217.388518792701</v>
      </c>
      <c r="U2936">
        <v>2</v>
      </c>
      <c r="V2936">
        <v>0.41082669617163559</v>
      </c>
      <c r="W2936">
        <v>0.85</v>
      </c>
      <c r="X2936">
        <v>0.34920269174589019</v>
      </c>
      <c r="Y2936">
        <v>578</v>
      </c>
      <c r="Z2936">
        <v>1268.0048337091989</v>
      </c>
      <c r="AA2936">
        <v>198</v>
      </c>
      <c r="AB2936">
        <v>332</v>
      </c>
      <c r="AC2936">
        <v>536</v>
      </c>
      <c r="AD2936">
        <v>26.86</v>
      </c>
      <c r="AE2936">
        <v>542</v>
      </c>
      <c r="AF2936">
        <v>15</v>
      </c>
      <c r="AG2936">
        <v>178</v>
      </c>
      <c r="AH2936">
        <v>129</v>
      </c>
      <c r="AI2936">
        <v>2.77</v>
      </c>
      <c r="AJ2936">
        <v>32.840000000000003</v>
      </c>
      <c r="AK2936">
        <v>23.8</v>
      </c>
      <c r="AL2936">
        <v>-20.173821999999941</v>
      </c>
      <c r="AM2936">
        <v>-44.894306105833543</v>
      </c>
      <c r="AN2936">
        <v>-20.173821999999941</v>
      </c>
      <c r="AO2936">
        <v>-44.894306105833543</v>
      </c>
      <c r="AP2936">
        <v>-20.173748</v>
      </c>
      <c r="AQ2936">
        <v>-44.894596999999997</v>
      </c>
      <c r="AR2936">
        <v>31.492193006406161</v>
      </c>
      <c r="AS2936" t="s">
        <v>65</v>
      </c>
      <c r="AT2936">
        <v>1</v>
      </c>
      <c r="AU2936" t="s">
        <v>1391</v>
      </c>
      <c r="AV2936" t="s">
        <v>1392</v>
      </c>
      <c r="AW2936" t="s">
        <v>60</v>
      </c>
      <c r="AX2936" t="s">
        <v>68</v>
      </c>
      <c r="AY2936" t="s">
        <v>69</v>
      </c>
      <c r="AZ2936" t="b">
        <v>1</v>
      </c>
    </row>
    <row r="2937" spans="1:52" x14ac:dyDescent="0.3">
      <c r="A2937" t="s">
        <v>52</v>
      </c>
      <c r="B2937" t="s">
        <v>53</v>
      </c>
      <c r="C2937" t="s">
        <v>54</v>
      </c>
      <c r="D2937" t="s">
        <v>55</v>
      </c>
      <c r="E2937" t="s">
        <v>2162</v>
      </c>
      <c r="F2937" t="s">
        <v>1247</v>
      </c>
      <c r="G2937" t="s">
        <v>1393</v>
      </c>
      <c r="H2937" t="s">
        <v>1394</v>
      </c>
      <c r="I2937" t="s">
        <v>1394</v>
      </c>
      <c r="J2937" t="s">
        <v>60</v>
      </c>
      <c r="K2937" t="s">
        <v>388</v>
      </c>
      <c r="L2937" t="s">
        <v>62</v>
      </c>
      <c r="M2937" t="s">
        <v>388</v>
      </c>
      <c r="N2937" t="s">
        <v>1395</v>
      </c>
      <c r="O2937" t="s">
        <v>1396</v>
      </c>
      <c r="P2937">
        <v>-20.167425000000001</v>
      </c>
      <c r="Q2937">
        <v>-44.907733999999998</v>
      </c>
      <c r="R2937" s="2" t="str">
        <f>HYPERLINK("https://www.google.com/maps?q=-20.1674250,-44.9077340","Abrir no Google Maps")</f>
        <v>Abrir no Google Maps</v>
      </c>
      <c r="S2937">
        <v>3</v>
      </c>
      <c r="T2937">
        <v>424.62372109792739</v>
      </c>
      <c r="U2937">
        <v>2</v>
      </c>
      <c r="V2937">
        <v>0.42224241931503748</v>
      </c>
      <c r="W2937">
        <v>0.85</v>
      </c>
      <c r="X2937">
        <v>0.35890605641778178</v>
      </c>
      <c r="Y2937">
        <v>578</v>
      </c>
      <c r="Z2937">
        <v>559.08337206965382</v>
      </c>
      <c r="AA2937">
        <v>198</v>
      </c>
      <c r="AB2937">
        <v>332</v>
      </c>
      <c r="AC2937">
        <v>536</v>
      </c>
      <c r="AD2937">
        <v>26.86</v>
      </c>
      <c r="AE2937">
        <v>542</v>
      </c>
      <c r="AF2937">
        <v>15</v>
      </c>
      <c r="AG2937">
        <v>178</v>
      </c>
      <c r="AH2937">
        <v>129</v>
      </c>
      <c r="AI2937">
        <v>2.77</v>
      </c>
      <c r="AJ2937">
        <v>32.840000000000003</v>
      </c>
      <c r="AK2937">
        <v>23.8</v>
      </c>
      <c r="AL2937">
        <v>-20.167592099999951</v>
      </c>
      <c r="AM2937">
        <v>-44.907664214502859</v>
      </c>
      <c r="AN2937">
        <v>-20.167592099999951</v>
      </c>
      <c r="AO2937">
        <v>-44.907664214502859</v>
      </c>
      <c r="AP2937">
        <v>-20.167425000000001</v>
      </c>
      <c r="AQ2937">
        <v>-44.907733999999998</v>
      </c>
      <c r="AR2937">
        <v>19.979863459652229</v>
      </c>
      <c r="AS2937" t="s">
        <v>65</v>
      </c>
      <c r="AT2937">
        <v>1</v>
      </c>
      <c r="AU2937" t="s">
        <v>1397</v>
      </c>
      <c r="AV2937" t="s">
        <v>1398</v>
      </c>
      <c r="AW2937" t="s">
        <v>60</v>
      </c>
      <c r="AX2937" t="s">
        <v>68</v>
      </c>
      <c r="AY2937" t="s">
        <v>69</v>
      </c>
      <c r="AZ2937" t="b">
        <v>1</v>
      </c>
    </row>
    <row r="2938" spans="1:52" x14ac:dyDescent="0.3">
      <c r="A2938" t="s">
        <v>52</v>
      </c>
      <c r="B2938" t="s">
        <v>53</v>
      </c>
      <c r="C2938" t="s">
        <v>54</v>
      </c>
      <c r="D2938" t="s">
        <v>55</v>
      </c>
      <c r="E2938" t="s">
        <v>2162</v>
      </c>
      <c r="F2938" t="s">
        <v>1247</v>
      </c>
      <c r="G2938" t="s">
        <v>1399</v>
      </c>
      <c r="H2938" t="s">
        <v>1400</v>
      </c>
      <c r="I2938" t="s">
        <v>1400</v>
      </c>
      <c r="J2938" t="s">
        <v>60</v>
      </c>
      <c r="K2938" t="s">
        <v>475</v>
      </c>
      <c r="L2938" t="s">
        <v>62</v>
      </c>
      <c r="M2938" t="s">
        <v>475</v>
      </c>
      <c r="N2938" t="s">
        <v>1401</v>
      </c>
      <c r="O2938" t="s">
        <v>1080</v>
      </c>
      <c r="P2938">
        <v>-20.178809000000001</v>
      </c>
      <c r="Q2938">
        <v>-44.900204000000002</v>
      </c>
      <c r="R2938" s="2" t="str">
        <f>HYPERLINK("https://www.google.com/maps?q=-20.1788090,-44.9002040","Abrir no Google Maps")</f>
        <v>Abrir no Google Maps</v>
      </c>
      <c r="S2938">
        <v>3</v>
      </c>
      <c r="T2938">
        <v>1015.86498565614</v>
      </c>
      <c r="U2938">
        <v>2</v>
      </c>
      <c r="V2938">
        <v>0.38991497446157508</v>
      </c>
      <c r="W2938">
        <v>0.85</v>
      </c>
      <c r="X2938">
        <v>0.3314277282923388</v>
      </c>
      <c r="Y2938">
        <v>578</v>
      </c>
      <c r="Z2938">
        <v>954.77111474428102</v>
      </c>
      <c r="AA2938">
        <v>198</v>
      </c>
      <c r="AB2938">
        <v>332</v>
      </c>
      <c r="AC2938">
        <v>536</v>
      </c>
      <c r="AD2938">
        <v>26.86</v>
      </c>
      <c r="AE2938">
        <v>542</v>
      </c>
      <c r="AF2938">
        <v>15</v>
      </c>
      <c r="AG2938">
        <v>178</v>
      </c>
      <c r="AH2938">
        <v>129</v>
      </c>
      <c r="AI2938">
        <v>2.77</v>
      </c>
      <c r="AJ2938">
        <v>32.840000000000003</v>
      </c>
      <c r="AK2938">
        <v>23.8</v>
      </c>
      <c r="AL2938">
        <v>-20.178590099999951</v>
      </c>
      <c r="AM2938">
        <v>-44.90029029928732</v>
      </c>
      <c r="AN2938">
        <v>-20.178590099999951</v>
      </c>
      <c r="AO2938">
        <v>-44.90029029928732</v>
      </c>
      <c r="AP2938">
        <v>-20.178809000000001</v>
      </c>
      <c r="AQ2938">
        <v>-44.900204000000002</v>
      </c>
      <c r="AR2938">
        <v>25.982812999798391</v>
      </c>
      <c r="AS2938" t="s">
        <v>65</v>
      </c>
      <c r="AT2938">
        <v>1</v>
      </c>
      <c r="AU2938" t="s">
        <v>1402</v>
      </c>
      <c r="AV2938" t="s">
        <v>1403</v>
      </c>
      <c r="AW2938" t="s">
        <v>60</v>
      </c>
      <c r="AX2938" t="s">
        <v>68</v>
      </c>
      <c r="AY2938" t="s">
        <v>69</v>
      </c>
      <c r="AZ2938" t="b">
        <v>1</v>
      </c>
    </row>
    <row r="2939" spans="1:52" x14ac:dyDescent="0.3">
      <c r="A2939" t="s">
        <v>52</v>
      </c>
      <c r="B2939" t="s">
        <v>53</v>
      </c>
      <c r="C2939" t="s">
        <v>54</v>
      </c>
      <c r="D2939" t="s">
        <v>55</v>
      </c>
      <c r="E2939" t="s">
        <v>2162</v>
      </c>
      <c r="F2939" t="s">
        <v>1247</v>
      </c>
      <c r="G2939" t="s">
        <v>815</v>
      </c>
      <c r="H2939" t="s">
        <v>1404</v>
      </c>
      <c r="I2939" t="s">
        <v>1404</v>
      </c>
      <c r="J2939" t="s">
        <v>60</v>
      </c>
      <c r="K2939" t="s">
        <v>512</v>
      </c>
      <c r="L2939" t="s">
        <v>62</v>
      </c>
      <c r="M2939" t="s">
        <v>512</v>
      </c>
      <c r="N2939" t="s">
        <v>817</v>
      </c>
      <c r="O2939" t="s">
        <v>1405</v>
      </c>
      <c r="P2939">
        <v>-20.129069999999999</v>
      </c>
      <c r="Q2939">
        <v>-44.888452000000001</v>
      </c>
      <c r="R2939" s="2" t="str">
        <f>HYPERLINK("https://www.google.com/maps?q=-20.1290700,-44.8884520","Abrir no Google Maps")</f>
        <v>Abrir no Google Maps</v>
      </c>
      <c r="S2939">
        <v>3</v>
      </c>
      <c r="T2939">
        <v>0</v>
      </c>
      <c r="U2939">
        <v>2</v>
      </c>
      <c r="V2939">
        <v>0.4309134267785279</v>
      </c>
      <c r="W2939">
        <v>0.85</v>
      </c>
      <c r="X2939">
        <v>0.36627641276174872</v>
      </c>
      <c r="Y2939">
        <v>564</v>
      </c>
      <c r="Z2939">
        <v>95.870354837220688</v>
      </c>
      <c r="AA2939">
        <v>198</v>
      </c>
      <c r="AB2939">
        <v>332</v>
      </c>
      <c r="AC2939">
        <v>536</v>
      </c>
      <c r="AD2939">
        <v>26.86</v>
      </c>
      <c r="AE2939">
        <v>542</v>
      </c>
      <c r="AF2939">
        <v>15</v>
      </c>
      <c r="AG2939">
        <v>178</v>
      </c>
      <c r="AH2939">
        <v>129</v>
      </c>
      <c r="AI2939">
        <v>2.77</v>
      </c>
      <c r="AJ2939">
        <v>32.840000000000003</v>
      </c>
      <c r="AK2939">
        <v>23.8</v>
      </c>
      <c r="AL2939">
        <v>-20.12899334999997</v>
      </c>
      <c r="AM2939">
        <v>-44.888406102471222</v>
      </c>
      <c r="AN2939">
        <v>-20.12899334999997</v>
      </c>
      <c r="AO2939">
        <v>-44.888406102471222</v>
      </c>
      <c r="AP2939">
        <v>-20.129069999999999</v>
      </c>
      <c r="AQ2939">
        <v>-44.888452000000001</v>
      </c>
      <c r="AR2939">
        <v>9.7887731150376265</v>
      </c>
      <c r="AS2939" t="s">
        <v>65</v>
      </c>
      <c r="AT2939">
        <v>1</v>
      </c>
      <c r="AU2939" t="s">
        <v>1406</v>
      </c>
      <c r="AV2939" t="s">
        <v>1407</v>
      </c>
      <c r="AW2939" t="s">
        <v>60</v>
      </c>
      <c r="AX2939" t="s">
        <v>68</v>
      </c>
      <c r="AY2939" t="s">
        <v>69</v>
      </c>
      <c r="AZ2939" t="b">
        <v>1</v>
      </c>
    </row>
    <row r="2940" spans="1:52" x14ac:dyDescent="0.3">
      <c r="A2940" t="s">
        <v>52</v>
      </c>
      <c r="B2940" t="s">
        <v>53</v>
      </c>
      <c r="C2940" t="s">
        <v>54</v>
      </c>
      <c r="D2940" t="s">
        <v>55</v>
      </c>
      <c r="E2940" t="s">
        <v>2162</v>
      </c>
      <c r="F2940" t="s">
        <v>1247</v>
      </c>
      <c r="G2940" t="s">
        <v>1408</v>
      </c>
      <c r="H2940" t="s">
        <v>1409</v>
      </c>
      <c r="I2940" t="s">
        <v>1409</v>
      </c>
      <c r="J2940" t="s">
        <v>60</v>
      </c>
      <c r="K2940" t="s">
        <v>200</v>
      </c>
      <c r="L2940" t="s">
        <v>62</v>
      </c>
      <c r="M2940" t="s">
        <v>200</v>
      </c>
      <c r="N2940" t="s">
        <v>1410</v>
      </c>
      <c r="O2940" t="s">
        <v>1001</v>
      </c>
      <c r="P2940">
        <v>-20.126062999999998</v>
      </c>
      <c r="Q2940">
        <v>-44.894936999999999</v>
      </c>
      <c r="R2940" s="2" t="str">
        <f>HYPERLINK("https://www.google.com/maps?q=-20.1260630,-44.8949370","Abrir no Google Maps")</f>
        <v>Abrir no Google Maps</v>
      </c>
      <c r="S2940">
        <v>3</v>
      </c>
      <c r="T2940">
        <v>747.3122077966558</v>
      </c>
      <c r="U2940">
        <v>2</v>
      </c>
      <c r="V2940">
        <v>0.38819832155050621</v>
      </c>
      <c r="W2940">
        <v>0.85</v>
      </c>
      <c r="X2940">
        <v>0.32996857331793028</v>
      </c>
      <c r="Y2940">
        <v>564</v>
      </c>
      <c r="Z2940">
        <v>693.80888866206885</v>
      </c>
      <c r="AA2940">
        <v>198</v>
      </c>
      <c r="AB2940">
        <v>332</v>
      </c>
      <c r="AC2940">
        <v>536</v>
      </c>
      <c r="AD2940">
        <v>26.86</v>
      </c>
      <c r="AE2940">
        <v>542</v>
      </c>
      <c r="AF2940">
        <v>15</v>
      </c>
      <c r="AG2940">
        <v>178</v>
      </c>
      <c r="AH2940">
        <v>129</v>
      </c>
      <c r="AI2940">
        <v>2.77</v>
      </c>
      <c r="AJ2940">
        <v>32.840000000000003</v>
      </c>
      <c r="AK2940">
        <v>23.8</v>
      </c>
      <c r="AL2940">
        <v>-20.126099149999959</v>
      </c>
      <c r="AM2940">
        <v>-44.894866076436763</v>
      </c>
      <c r="AN2940">
        <v>-20.126099149999959</v>
      </c>
      <c r="AO2940">
        <v>-44.894866076436749</v>
      </c>
      <c r="AP2940">
        <v>-20.126062999999998</v>
      </c>
      <c r="AQ2940">
        <v>-44.894936999999999</v>
      </c>
      <c r="AR2940">
        <v>8.4349593682699737</v>
      </c>
      <c r="AS2940" t="s">
        <v>65</v>
      </c>
      <c r="AT2940">
        <v>1</v>
      </c>
      <c r="AU2940" t="s">
        <v>1411</v>
      </c>
      <c r="AV2940" t="s">
        <v>1003</v>
      </c>
      <c r="AW2940" t="s">
        <v>60</v>
      </c>
      <c r="AX2940" t="s">
        <v>68</v>
      </c>
      <c r="AY2940" t="s">
        <v>69</v>
      </c>
      <c r="AZ2940" t="b">
        <v>1</v>
      </c>
    </row>
    <row r="2941" spans="1:52" x14ac:dyDescent="0.3">
      <c r="A2941" t="s">
        <v>52</v>
      </c>
      <c r="B2941" t="s">
        <v>53</v>
      </c>
      <c r="C2941" t="s">
        <v>54</v>
      </c>
      <c r="D2941" t="s">
        <v>55</v>
      </c>
      <c r="E2941" t="s">
        <v>2162</v>
      </c>
      <c r="F2941" t="s">
        <v>1247</v>
      </c>
      <c r="G2941" t="s">
        <v>1412</v>
      </c>
      <c r="H2941" t="s">
        <v>1413</v>
      </c>
      <c r="I2941" t="s">
        <v>1413</v>
      </c>
      <c r="J2941" t="s">
        <v>60</v>
      </c>
      <c r="K2941" t="s">
        <v>892</v>
      </c>
      <c r="L2941" t="s">
        <v>62</v>
      </c>
      <c r="M2941" t="s">
        <v>892</v>
      </c>
      <c r="N2941" t="s">
        <v>1414</v>
      </c>
      <c r="O2941" t="s">
        <v>293</v>
      </c>
      <c r="P2941">
        <v>-20.150780999999998</v>
      </c>
      <c r="Q2941">
        <v>-44.897972000000003</v>
      </c>
      <c r="R2941" s="2" t="str">
        <f>HYPERLINK("https://www.google.com/maps?q=-20.1507810,-44.8979720","Abrir no Google Maps")</f>
        <v>Abrir no Google Maps</v>
      </c>
      <c r="S2941">
        <v>3</v>
      </c>
      <c r="T2941">
        <v>306.36394634674508</v>
      </c>
      <c r="U2941">
        <v>2</v>
      </c>
      <c r="V2941">
        <v>0.386881574921563</v>
      </c>
      <c r="W2941">
        <v>0.85</v>
      </c>
      <c r="X2941">
        <v>0.32884933868332861</v>
      </c>
      <c r="Y2941">
        <v>556</v>
      </c>
      <c r="Z2941">
        <v>233.85692443628571</v>
      </c>
      <c r="AA2941">
        <v>198</v>
      </c>
      <c r="AB2941">
        <v>332</v>
      </c>
      <c r="AC2941">
        <v>536</v>
      </c>
      <c r="AD2941">
        <v>26.86</v>
      </c>
      <c r="AE2941">
        <v>542</v>
      </c>
      <c r="AF2941">
        <v>15</v>
      </c>
      <c r="AG2941">
        <v>178</v>
      </c>
      <c r="AH2941">
        <v>129</v>
      </c>
      <c r="AI2941">
        <v>2.77</v>
      </c>
      <c r="AJ2941">
        <v>32.840000000000003</v>
      </c>
      <c r="AK2941">
        <v>23.8</v>
      </c>
      <c r="AL2941">
        <v>-20.15074609999996</v>
      </c>
      <c r="AM2941">
        <v>-44.89795774234689</v>
      </c>
      <c r="AN2941">
        <v>-20.15074609999996</v>
      </c>
      <c r="AO2941">
        <v>-44.89795774234689</v>
      </c>
      <c r="AP2941">
        <v>-20.150780999999998</v>
      </c>
      <c r="AQ2941">
        <v>-44.897972000000003</v>
      </c>
      <c r="AR2941">
        <v>4.160995809097348</v>
      </c>
      <c r="AS2941" t="s">
        <v>65</v>
      </c>
      <c r="AT2941">
        <v>1</v>
      </c>
      <c r="AU2941" t="s">
        <v>1415</v>
      </c>
      <c r="AV2941" t="s">
        <v>1416</v>
      </c>
      <c r="AW2941" t="s">
        <v>60</v>
      </c>
      <c r="AX2941" t="s">
        <v>68</v>
      </c>
      <c r="AY2941" t="s">
        <v>69</v>
      </c>
      <c r="AZ2941" t="b">
        <v>1</v>
      </c>
    </row>
    <row r="2942" spans="1:52" x14ac:dyDescent="0.3">
      <c r="A2942" t="s">
        <v>52</v>
      </c>
      <c r="B2942" t="s">
        <v>53</v>
      </c>
      <c r="C2942" t="s">
        <v>54</v>
      </c>
      <c r="D2942" t="s">
        <v>55</v>
      </c>
      <c r="E2942" t="s">
        <v>2162</v>
      </c>
      <c r="F2942" t="s">
        <v>1247</v>
      </c>
      <c r="G2942" t="s">
        <v>1417</v>
      </c>
      <c r="H2942" t="s">
        <v>1418</v>
      </c>
      <c r="I2942" t="s">
        <v>1418</v>
      </c>
      <c r="J2942" t="s">
        <v>60</v>
      </c>
      <c r="K2942" t="s">
        <v>1419</v>
      </c>
      <c r="L2942" t="s">
        <v>62</v>
      </c>
      <c r="M2942" t="s">
        <v>1419</v>
      </c>
      <c r="N2942" t="s">
        <v>1420</v>
      </c>
      <c r="O2942" t="s">
        <v>1421</v>
      </c>
      <c r="P2942">
        <v>-20.159427000000001</v>
      </c>
      <c r="Q2942">
        <v>-44.897143</v>
      </c>
      <c r="R2942" s="2" t="str">
        <f>HYPERLINK("https://www.google.com/maps?q=-20.1594270,-44.8971430","Abrir no Google Maps")</f>
        <v>Abrir no Google Maps</v>
      </c>
      <c r="S2942">
        <v>3</v>
      </c>
      <c r="T2942">
        <v>392.64349875646298</v>
      </c>
      <c r="U2942">
        <v>1</v>
      </c>
      <c r="V2942">
        <v>0.36967214570247658</v>
      </c>
      <c r="W2942">
        <v>0.85</v>
      </c>
      <c r="X2942">
        <v>0.31422132384710511</v>
      </c>
      <c r="Y2942">
        <v>729</v>
      </c>
      <c r="Z2942">
        <v>550.20062797366995</v>
      </c>
      <c r="AA2942">
        <v>198</v>
      </c>
      <c r="AB2942">
        <v>332</v>
      </c>
      <c r="AC2942">
        <v>536</v>
      </c>
      <c r="AD2942">
        <v>26.86</v>
      </c>
      <c r="AE2942">
        <v>542</v>
      </c>
      <c r="AF2942">
        <v>15</v>
      </c>
      <c r="AG2942">
        <v>178</v>
      </c>
      <c r="AH2942">
        <v>129</v>
      </c>
      <c r="AI2942">
        <v>2.77</v>
      </c>
      <c r="AJ2942">
        <v>32.840000000000003</v>
      </c>
      <c r="AK2942">
        <v>23.8</v>
      </c>
      <c r="AL2942">
        <v>-20.15946549999995</v>
      </c>
      <c r="AM2942">
        <v>-44.89709959354267</v>
      </c>
      <c r="AN2942">
        <v>-20.15946549999995</v>
      </c>
      <c r="AO2942">
        <v>-44.89709959354267</v>
      </c>
      <c r="AP2942">
        <v>-20.159427000000001</v>
      </c>
      <c r="AQ2942">
        <v>-44.897143</v>
      </c>
      <c r="AR2942">
        <v>6.2404649979039286</v>
      </c>
      <c r="AS2942" t="s">
        <v>65</v>
      </c>
      <c r="AT2942">
        <v>1</v>
      </c>
      <c r="AU2942" t="s">
        <v>1422</v>
      </c>
      <c r="AV2942" t="s">
        <v>1423</v>
      </c>
      <c r="AW2942" t="s">
        <v>60</v>
      </c>
      <c r="AX2942" t="s">
        <v>68</v>
      </c>
      <c r="AY2942" t="s">
        <v>69</v>
      </c>
      <c r="AZ2942" t="b">
        <v>1</v>
      </c>
    </row>
    <row r="2943" spans="1:52" x14ac:dyDescent="0.3">
      <c r="A2943" t="s">
        <v>52</v>
      </c>
      <c r="B2943" t="s">
        <v>53</v>
      </c>
      <c r="C2943" t="s">
        <v>54</v>
      </c>
      <c r="D2943" t="s">
        <v>55</v>
      </c>
      <c r="E2943" t="s">
        <v>2162</v>
      </c>
      <c r="F2943" t="s">
        <v>1247</v>
      </c>
      <c r="G2943" t="s">
        <v>1424</v>
      </c>
      <c r="H2943" t="s">
        <v>1425</v>
      </c>
      <c r="I2943" t="s">
        <v>1425</v>
      </c>
      <c r="J2943" t="s">
        <v>60</v>
      </c>
      <c r="K2943" t="s">
        <v>1324</v>
      </c>
      <c r="L2943" t="s">
        <v>62</v>
      </c>
      <c r="M2943" t="s">
        <v>1324</v>
      </c>
      <c r="N2943" t="s">
        <v>1426</v>
      </c>
      <c r="O2943" t="s">
        <v>938</v>
      </c>
      <c r="P2943">
        <v>-20.172844999999999</v>
      </c>
      <c r="Q2943">
        <v>-44.909215000000003</v>
      </c>
      <c r="R2943" s="2" t="str">
        <f>HYPERLINK("https://www.google.com/maps?q=-20.1728450,-44.9092150","Abrir no Google Maps")</f>
        <v>Abrir no Google Maps</v>
      </c>
      <c r="S2943">
        <v>3</v>
      </c>
      <c r="T2943">
        <v>0</v>
      </c>
      <c r="U2943">
        <v>1</v>
      </c>
      <c r="V2943">
        <v>0.35569965277777771</v>
      </c>
      <c r="W2943">
        <v>0.85</v>
      </c>
      <c r="X2943">
        <v>0.30234470486111098</v>
      </c>
      <c r="Y2943">
        <v>578</v>
      </c>
      <c r="Z2943">
        <v>365.56549317689053</v>
      </c>
      <c r="AA2943">
        <v>198</v>
      </c>
      <c r="AB2943">
        <v>332</v>
      </c>
      <c r="AC2943">
        <v>536</v>
      </c>
      <c r="AD2943">
        <v>26.86</v>
      </c>
      <c r="AE2943">
        <v>542</v>
      </c>
      <c r="AF2943">
        <v>15</v>
      </c>
      <c r="AG2943">
        <v>178</v>
      </c>
      <c r="AH2943">
        <v>129</v>
      </c>
      <c r="AI2943">
        <v>2.77</v>
      </c>
      <c r="AJ2943">
        <v>32.840000000000003</v>
      </c>
      <c r="AK2943">
        <v>23.8</v>
      </c>
      <c r="AL2943">
        <v>-20.172197349999941</v>
      </c>
      <c r="AM2943">
        <v>-44.910438675762883</v>
      </c>
      <c r="AN2943">
        <v>-20.172197349999941</v>
      </c>
      <c r="AO2943">
        <v>-44.910438675762883</v>
      </c>
      <c r="AP2943">
        <v>-20.172844999999999</v>
      </c>
      <c r="AQ2943">
        <v>-44.909215000000003</v>
      </c>
      <c r="AR2943">
        <v>146.78922919749749</v>
      </c>
      <c r="AS2943" t="s">
        <v>65</v>
      </c>
      <c r="AT2943">
        <v>1</v>
      </c>
      <c r="AU2943" t="s">
        <v>1427</v>
      </c>
      <c r="AV2943" t="s">
        <v>1428</v>
      </c>
      <c r="AW2943" t="s">
        <v>60</v>
      </c>
      <c r="AX2943" t="s">
        <v>68</v>
      </c>
      <c r="AY2943" t="s">
        <v>69</v>
      </c>
      <c r="AZ2943" t="b">
        <v>1</v>
      </c>
    </row>
    <row r="2944" spans="1:52" x14ac:dyDescent="0.3">
      <c r="A2944" t="s">
        <v>52</v>
      </c>
      <c r="B2944" t="s">
        <v>53</v>
      </c>
      <c r="C2944" t="s">
        <v>54</v>
      </c>
      <c r="D2944" t="s">
        <v>55</v>
      </c>
      <c r="E2944" t="s">
        <v>2162</v>
      </c>
      <c r="F2944" t="s">
        <v>1247</v>
      </c>
      <c r="G2944" t="s">
        <v>1429</v>
      </c>
      <c r="H2944" t="s">
        <v>1430</v>
      </c>
      <c r="I2944" t="s">
        <v>1430</v>
      </c>
      <c r="J2944" t="s">
        <v>60</v>
      </c>
      <c r="K2944" t="s">
        <v>505</v>
      </c>
      <c r="L2944" t="s">
        <v>62</v>
      </c>
      <c r="M2944" t="s">
        <v>505</v>
      </c>
      <c r="N2944" t="s">
        <v>1431</v>
      </c>
      <c r="O2944" t="s">
        <v>1432</v>
      </c>
      <c r="P2944">
        <v>-20.132069000000001</v>
      </c>
      <c r="Q2944">
        <v>-44.891694000000001</v>
      </c>
      <c r="R2944" s="2" t="str">
        <f>HYPERLINK("https://www.google.com/maps?q=-20.1320690,-44.8916940","Abrir no Google Maps")</f>
        <v>Abrir no Google Maps</v>
      </c>
      <c r="S2944">
        <v>3</v>
      </c>
      <c r="T2944">
        <v>463.84477613866852</v>
      </c>
      <c r="U2944">
        <v>1</v>
      </c>
      <c r="V2944">
        <v>0.3679987884816025</v>
      </c>
      <c r="W2944">
        <v>0.85</v>
      </c>
      <c r="X2944">
        <v>0.31279897020936209</v>
      </c>
      <c r="Y2944">
        <v>564</v>
      </c>
      <c r="Z2944">
        <v>349.6044774510159</v>
      </c>
      <c r="AA2944">
        <v>198</v>
      </c>
      <c r="AB2944">
        <v>332</v>
      </c>
      <c r="AC2944">
        <v>536</v>
      </c>
      <c r="AD2944">
        <v>26.86</v>
      </c>
      <c r="AE2944">
        <v>542</v>
      </c>
      <c r="AF2944">
        <v>15</v>
      </c>
      <c r="AG2944">
        <v>178</v>
      </c>
      <c r="AH2944">
        <v>129</v>
      </c>
      <c r="AI2944">
        <v>2.77</v>
      </c>
      <c r="AJ2944">
        <v>32.840000000000003</v>
      </c>
      <c r="AK2944">
        <v>23.8</v>
      </c>
      <c r="AL2944">
        <v>-20.131860799999941</v>
      </c>
      <c r="AM2944">
        <v>-44.891643045551348</v>
      </c>
      <c r="AN2944">
        <v>-20.131860799999941</v>
      </c>
      <c r="AO2944">
        <v>-44.891643045551348</v>
      </c>
      <c r="AP2944">
        <v>-20.132069000000001</v>
      </c>
      <c r="AQ2944">
        <v>-44.891694000000001</v>
      </c>
      <c r="AR2944">
        <v>23.780836080569209</v>
      </c>
      <c r="AS2944" t="s">
        <v>65</v>
      </c>
      <c r="AT2944">
        <v>1</v>
      </c>
      <c r="AU2944" t="s">
        <v>1433</v>
      </c>
      <c r="AV2944" t="s">
        <v>1434</v>
      </c>
      <c r="AW2944" t="s">
        <v>60</v>
      </c>
      <c r="AX2944" t="s">
        <v>68</v>
      </c>
      <c r="AY2944" t="s">
        <v>69</v>
      </c>
      <c r="AZ2944" t="b">
        <v>1</v>
      </c>
    </row>
    <row r="2945" spans="1:52" x14ac:dyDescent="0.3">
      <c r="A2945" t="s">
        <v>52</v>
      </c>
      <c r="B2945" t="s">
        <v>53</v>
      </c>
      <c r="C2945" t="s">
        <v>54</v>
      </c>
      <c r="D2945" t="s">
        <v>55</v>
      </c>
      <c r="E2945" t="s">
        <v>2162</v>
      </c>
      <c r="F2945" t="s">
        <v>1247</v>
      </c>
      <c r="G2945" t="s">
        <v>1435</v>
      </c>
      <c r="H2945" t="s">
        <v>1436</v>
      </c>
      <c r="I2945" t="s">
        <v>1436</v>
      </c>
      <c r="J2945" t="s">
        <v>60</v>
      </c>
      <c r="K2945" t="s">
        <v>886</v>
      </c>
      <c r="L2945" t="s">
        <v>62</v>
      </c>
      <c r="M2945" t="s">
        <v>886</v>
      </c>
      <c r="N2945" t="s">
        <v>1437</v>
      </c>
      <c r="O2945" t="s">
        <v>1438</v>
      </c>
      <c r="P2945">
        <v>-20.131108000000001</v>
      </c>
      <c r="Q2945">
        <v>-44.893228000000001</v>
      </c>
      <c r="R2945" s="2" t="str">
        <f>HYPERLINK("https://www.google.com/maps?q=-20.1311080,-44.8932280","Abrir no Google Maps")</f>
        <v>Abrir no Google Maps</v>
      </c>
      <c r="S2945">
        <v>3</v>
      </c>
      <c r="T2945">
        <v>548.07497919430136</v>
      </c>
      <c r="U2945">
        <v>1</v>
      </c>
      <c r="V2945">
        <v>0.34611000339142578</v>
      </c>
      <c r="W2945">
        <v>0.85</v>
      </c>
      <c r="X2945">
        <v>0.2941935028827119</v>
      </c>
      <c r="Y2945">
        <v>564</v>
      </c>
      <c r="Z2945">
        <v>369.17139216388432</v>
      </c>
      <c r="AA2945">
        <v>198</v>
      </c>
      <c r="AB2945">
        <v>332</v>
      </c>
      <c r="AC2945">
        <v>536</v>
      </c>
      <c r="AD2945">
        <v>26.86</v>
      </c>
      <c r="AE2945">
        <v>542</v>
      </c>
      <c r="AF2945">
        <v>15</v>
      </c>
      <c r="AG2945">
        <v>178</v>
      </c>
      <c r="AH2945">
        <v>129</v>
      </c>
      <c r="AI2945">
        <v>2.77</v>
      </c>
      <c r="AJ2945">
        <v>32.840000000000003</v>
      </c>
      <c r="AK2945">
        <v>23.8</v>
      </c>
      <c r="AL2945">
        <v>-20.13103294999997</v>
      </c>
      <c r="AM2945">
        <v>-44.89318457893738</v>
      </c>
      <c r="AN2945">
        <v>-20.13103294999997</v>
      </c>
      <c r="AO2945">
        <v>-44.89318457893738</v>
      </c>
      <c r="AP2945">
        <v>-20.131108000000001</v>
      </c>
      <c r="AQ2945">
        <v>-44.893228000000001</v>
      </c>
      <c r="AR2945">
        <v>9.5076426885244203</v>
      </c>
      <c r="AS2945" t="s">
        <v>65</v>
      </c>
      <c r="AT2945">
        <v>1</v>
      </c>
      <c r="AU2945" t="s">
        <v>1439</v>
      </c>
      <c r="AV2945" t="s">
        <v>1440</v>
      </c>
      <c r="AW2945" t="s">
        <v>60</v>
      </c>
      <c r="AX2945" t="s">
        <v>68</v>
      </c>
      <c r="AY2945" t="s">
        <v>69</v>
      </c>
      <c r="AZ2945" t="b">
        <v>1</v>
      </c>
    </row>
    <row r="2946" spans="1:52" x14ac:dyDescent="0.3">
      <c r="A2946" t="s">
        <v>52</v>
      </c>
      <c r="B2946" t="s">
        <v>53</v>
      </c>
      <c r="C2946" t="s">
        <v>54</v>
      </c>
      <c r="D2946" t="s">
        <v>55</v>
      </c>
      <c r="E2946" t="s">
        <v>2162</v>
      </c>
      <c r="F2946" t="s">
        <v>1247</v>
      </c>
      <c r="G2946" t="s">
        <v>503</v>
      </c>
      <c r="H2946" t="s">
        <v>1441</v>
      </c>
      <c r="I2946" t="s">
        <v>1441</v>
      </c>
      <c r="J2946" t="s">
        <v>60</v>
      </c>
      <c r="K2946" t="s">
        <v>512</v>
      </c>
      <c r="L2946" t="s">
        <v>62</v>
      </c>
      <c r="M2946" t="s">
        <v>512</v>
      </c>
      <c r="N2946" t="s">
        <v>506</v>
      </c>
      <c r="O2946" t="s">
        <v>1442</v>
      </c>
      <c r="P2946">
        <v>-20.13036</v>
      </c>
      <c r="Q2946">
        <v>-44.891019</v>
      </c>
      <c r="R2946" s="2" t="str">
        <f>HYPERLINK("https://www.google.com/maps?q=-20.1303600,-44.8910190","Abrir no Google Maps")</f>
        <v>Abrir no Google Maps</v>
      </c>
      <c r="S2946">
        <v>3</v>
      </c>
      <c r="T2946">
        <v>313.17410616307359</v>
      </c>
      <c r="U2946">
        <v>1</v>
      </c>
      <c r="V2946">
        <v>0.37210373496833937</v>
      </c>
      <c r="W2946">
        <v>0.85</v>
      </c>
      <c r="X2946">
        <v>0.31628817472308851</v>
      </c>
      <c r="Y2946">
        <v>564</v>
      </c>
      <c r="Z2946">
        <v>208.43159293494489</v>
      </c>
      <c r="AA2946">
        <v>198</v>
      </c>
      <c r="AB2946">
        <v>332</v>
      </c>
      <c r="AC2946">
        <v>536</v>
      </c>
      <c r="AD2946">
        <v>26.86</v>
      </c>
      <c r="AE2946">
        <v>542</v>
      </c>
      <c r="AF2946">
        <v>15</v>
      </c>
      <c r="AG2946">
        <v>178</v>
      </c>
      <c r="AH2946">
        <v>129</v>
      </c>
      <c r="AI2946">
        <v>2.77</v>
      </c>
      <c r="AJ2946">
        <v>32.840000000000003</v>
      </c>
      <c r="AK2946">
        <v>23.8</v>
      </c>
      <c r="AL2946">
        <v>-20.130100449999961</v>
      </c>
      <c r="AM2946">
        <v>-44.891163633475301</v>
      </c>
      <c r="AN2946">
        <v>-20.130100449999961</v>
      </c>
      <c r="AO2946">
        <v>-44.891163633475301</v>
      </c>
      <c r="AP2946">
        <v>-20.13036</v>
      </c>
      <c r="AQ2946">
        <v>-44.891019</v>
      </c>
      <c r="AR2946">
        <v>32.608854575381159</v>
      </c>
      <c r="AS2946" t="s">
        <v>65</v>
      </c>
      <c r="AT2946">
        <v>1</v>
      </c>
      <c r="AU2946" t="s">
        <v>1443</v>
      </c>
      <c r="AV2946" t="s">
        <v>1444</v>
      </c>
      <c r="AW2946" t="s">
        <v>60</v>
      </c>
      <c r="AX2946" t="s">
        <v>68</v>
      </c>
      <c r="AY2946" t="s">
        <v>69</v>
      </c>
      <c r="AZ2946" t="b">
        <v>1</v>
      </c>
    </row>
    <row r="2947" spans="1:52" x14ac:dyDescent="0.3">
      <c r="A2947" t="s">
        <v>52</v>
      </c>
      <c r="B2947" t="s">
        <v>53</v>
      </c>
      <c r="C2947" t="s">
        <v>54</v>
      </c>
      <c r="D2947" t="s">
        <v>55</v>
      </c>
      <c r="E2947" t="s">
        <v>2162</v>
      </c>
      <c r="F2947" t="s">
        <v>1247</v>
      </c>
      <c r="G2947" t="s">
        <v>473</v>
      </c>
      <c r="H2947" t="s">
        <v>1445</v>
      </c>
      <c r="I2947" t="s">
        <v>1445</v>
      </c>
      <c r="J2947" t="s">
        <v>60</v>
      </c>
      <c r="K2947" t="s">
        <v>892</v>
      </c>
      <c r="L2947" t="s">
        <v>62</v>
      </c>
      <c r="M2947" t="s">
        <v>892</v>
      </c>
      <c r="N2947" t="s">
        <v>406</v>
      </c>
      <c r="O2947" t="s">
        <v>1446</v>
      </c>
      <c r="P2947">
        <v>-20.14941</v>
      </c>
      <c r="Q2947">
        <v>-44.899535</v>
      </c>
      <c r="R2947" s="2" t="str">
        <f>HYPERLINK("https://www.google.com/maps?q=-20.1494100,-44.8995350","Abrir no Google Maps")</f>
        <v>Abrir no Google Maps</v>
      </c>
      <c r="S2947">
        <v>3</v>
      </c>
      <c r="T2947">
        <v>249.83945591849931</v>
      </c>
      <c r="U2947">
        <v>1</v>
      </c>
      <c r="V2947">
        <v>0.36295785131031227</v>
      </c>
      <c r="W2947">
        <v>0.85</v>
      </c>
      <c r="X2947">
        <v>0.30851417361376537</v>
      </c>
      <c r="Y2947">
        <v>556</v>
      </c>
      <c r="Z2947">
        <v>156.62360082488701</v>
      </c>
      <c r="AA2947">
        <v>198</v>
      </c>
      <c r="AB2947">
        <v>332</v>
      </c>
      <c r="AC2947">
        <v>536</v>
      </c>
      <c r="AD2947">
        <v>26.86</v>
      </c>
      <c r="AE2947">
        <v>542</v>
      </c>
      <c r="AF2947">
        <v>15</v>
      </c>
      <c r="AG2947">
        <v>178</v>
      </c>
      <c r="AH2947">
        <v>129</v>
      </c>
      <c r="AI2947">
        <v>2.77</v>
      </c>
      <c r="AJ2947">
        <v>32.840000000000003</v>
      </c>
      <c r="AK2947">
        <v>23.8</v>
      </c>
      <c r="AL2947">
        <v>-20.149341899999939</v>
      </c>
      <c r="AM2947">
        <v>-44.899575902083967</v>
      </c>
      <c r="AN2947">
        <v>-20.149341899999939</v>
      </c>
      <c r="AO2947">
        <v>-44.899575902083967</v>
      </c>
      <c r="AP2947">
        <v>-20.14941</v>
      </c>
      <c r="AQ2947">
        <v>-44.899535</v>
      </c>
      <c r="AR2947">
        <v>8.7029725999778709</v>
      </c>
      <c r="AS2947" t="s">
        <v>65</v>
      </c>
      <c r="AT2947">
        <v>1</v>
      </c>
      <c r="AU2947" t="s">
        <v>1447</v>
      </c>
      <c r="AV2947" t="s">
        <v>1448</v>
      </c>
      <c r="AW2947" t="s">
        <v>60</v>
      </c>
      <c r="AX2947" t="s">
        <v>68</v>
      </c>
      <c r="AY2947" t="s">
        <v>69</v>
      </c>
      <c r="AZ2947" t="b">
        <v>1</v>
      </c>
    </row>
    <row r="2948" spans="1:52" x14ac:dyDescent="0.3">
      <c r="A2948" t="s">
        <v>52</v>
      </c>
      <c r="B2948" t="s">
        <v>53</v>
      </c>
      <c r="C2948" t="s">
        <v>54</v>
      </c>
      <c r="D2948" t="s">
        <v>55</v>
      </c>
      <c r="E2948" t="s">
        <v>2162</v>
      </c>
      <c r="F2948" t="s">
        <v>1247</v>
      </c>
      <c r="G2948" t="s">
        <v>1127</v>
      </c>
      <c r="H2948" t="s">
        <v>1449</v>
      </c>
      <c r="I2948" t="s">
        <v>1449</v>
      </c>
      <c r="J2948" t="s">
        <v>60</v>
      </c>
      <c r="K2948" t="s">
        <v>1450</v>
      </c>
      <c r="L2948" t="s">
        <v>62</v>
      </c>
      <c r="M2948" t="s">
        <v>1450</v>
      </c>
      <c r="N2948" t="s">
        <v>1451</v>
      </c>
      <c r="O2948" t="s">
        <v>1452</v>
      </c>
      <c r="P2948">
        <v>-20.152612000000001</v>
      </c>
      <c r="Q2948">
        <v>-44.897098</v>
      </c>
      <c r="R2948" s="2" t="str">
        <f>HYPERLINK("https://www.google.com/maps?q=-20.1526120,-44.8970980","Abrir no Google Maps")</f>
        <v>Abrir no Google Maps</v>
      </c>
      <c r="S2948">
        <v>3</v>
      </c>
      <c r="T2948">
        <v>418.6283592063233</v>
      </c>
      <c r="U2948">
        <v>1</v>
      </c>
      <c r="V2948">
        <v>0.37378160913073483</v>
      </c>
      <c r="W2948">
        <v>0.85</v>
      </c>
      <c r="X2948">
        <v>0.31771436776112461</v>
      </c>
      <c r="Y2948">
        <v>556</v>
      </c>
      <c r="Z2948">
        <v>387.16462225830952</v>
      </c>
      <c r="AA2948">
        <v>198</v>
      </c>
      <c r="AB2948">
        <v>332</v>
      </c>
      <c r="AC2948">
        <v>536</v>
      </c>
      <c r="AD2948">
        <v>26.86</v>
      </c>
      <c r="AE2948">
        <v>542</v>
      </c>
      <c r="AF2948">
        <v>15</v>
      </c>
      <c r="AG2948">
        <v>178</v>
      </c>
      <c r="AH2948">
        <v>129</v>
      </c>
      <c r="AI2948">
        <v>2.77</v>
      </c>
      <c r="AJ2948">
        <v>32.840000000000003</v>
      </c>
      <c r="AK2948">
        <v>23.8</v>
      </c>
      <c r="AL2948">
        <v>-20.15253669999996</v>
      </c>
      <c r="AM2948">
        <v>-44.897068126936119</v>
      </c>
      <c r="AN2948">
        <v>-20.15253669999996</v>
      </c>
      <c r="AO2948">
        <v>-44.897068126936119</v>
      </c>
      <c r="AP2948">
        <v>-20.152612000000001</v>
      </c>
      <c r="AQ2948">
        <v>-44.897098</v>
      </c>
      <c r="AR2948">
        <v>8.9448699164987104</v>
      </c>
      <c r="AS2948" t="s">
        <v>65</v>
      </c>
      <c r="AT2948">
        <v>1</v>
      </c>
      <c r="AU2948" t="s">
        <v>1453</v>
      </c>
      <c r="AV2948" t="s">
        <v>1454</v>
      </c>
      <c r="AW2948" t="s">
        <v>60</v>
      </c>
      <c r="AX2948" t="s">
        <v>68</v>
      </c>
      <c r="AY2948" t="s">
        <v>69</v>
      </c>
      <c r="AZ2948" t="b">
        <v>1</v>
      </c>
    </row>
    <row r="2949" spans="1:52" x14ac:dyDescent="0.3">
      <c r="A2949" t="s">
        <v>52</v>
      </c>
      <c r="B2949" t="s">
        <v>53</v>
      </c>
      <c r="C2949" t="s">
        <v>54</v>
      </c>
      <c r="D2949" t="s">
        <v>55</v>
      </c>
      <c r="E2949" t="s">
        <v>2162</v>
      </c>
      <c r="F2949" t="s">
        <v>1247</v>
      </c>
      <c r="G2949" t="s">
        <v>1127</v>
      </c>
      <c r="H2949" t="s">
        <v>1455</v>
      </c>
      <c r="I2949" t="s">
        <v>1455</v>
      </c>
      <c r="J2949" t="s">
        <v>60</v>
      </c>
      <c r="K2949" t="s">
        <v>431</v>
      </c>
      <c r="L2949" t="s">
        <v>62</v>
      </c>
      <c r="M2949" t="s">
        <v>431</v>
      </c>
      <c r="N2949" t="s">
        <v>1456</v>
      </c>
      <c r="O2949" t="s">
        <v>1001</v>
      </c>
      <c r="P2949">
        <v>-20.168237999999999</v>
      </c>
      <c r="Q2949">
        <v>-44.924250999999998</v>
      </c>
      <c r="R2949" s="2" t="str">
        <f>HYPERLINK("https://www.google.com/maps?q=-20.1682380,-44.9242510","Abrir no Google Maps")</f>
        <v>Abrir no Google Maps</v>
      </c>
      <c r="S2949">
        <v>2</v>
      </c>
      <c r="T2949">
        <v>1220.188820430971</v>
      </c>
      <c r="U2949">
        <v>4</v>
      </c>
      <c r="V2949">
        <v>0.57466163612408672</v>
      </c>
      <c r="W2949">
        <v>0.85</v>
      </c>
      <c r="X2949">
        <v>0.4884623907054737</v>
      </c>
      <c r="Y2949">
        <v>723</v>
      </c>
      <c r="Z2949">
        <v>1092.4377883150901</v>
      </c>
      <c r="AA2949">
        <v>198</v>
      </c>
      <c r="AB2949">
        <v>332</v>
      </c>
      <c r="AC2949">
        <v>536</v>
      </c>
      <c r="AD2949">
        <v>26.86</v>
      </c>
      <c r="AE2949">
        <v>542</v>
      </c>
      <c r="AF2949">
        <v>15</v>
      </c>
      <c r="AG2949">
        <v>178</v>
      </c>
      <c r="AH2949">
        <v>129</v>
      </c>
      <c r="AI2949">
        <v>2.77</v>
      </c>
      <c r="AJ2949">
        <v>32.840000000000003</v>
      </c>
      <c r="AK2949">
        <v>23.8</v>
      </c>
      <c r="AL2949">
        <v>-20.168394999999951</v>
      </c>
      <c r="AM2949">
        <v>-44.923548168580673</v>
      </c>
      <c r="AN2949">
        <v>-20.168394999999951</v>
      </c>
      <c r="AO2949">
        <v>-44.923548168580673</v>
      </c>
      <c r="AP2949">
        <v>-20.168237999999999</v>
      </c>
      <c r="AQ2949">
        <v>-44.924250999999998</v>
      </c>
      <c r="AR2949">
        <v>75.492755104934275</v>
      </c>
      <c r="AS2949" t="s">
        <v>65</v>
      </c>
      <c r="AT2949">
        <v>1</v>
      </c>
      <c r="AU2949" t="s">
        <v>1457</v>
      </c>
      <c r="AV2949" t="s">
        <v>1458</v>
      </c>
      <c r="AW2949" t="s">
        <v>60</v>
      </c>
      <c r="AX2949" t="s">
        <v>68</v>
      </c>
      <c r="AY2949" t="s">
        <v>69</v>
      </c>
      <c r="AZ2949" t="b">
        <v>1</v>
      </c>
    </row>
    <row r="2950" spans="1:52" x14ac:dyDescent="0.3">
      <c r="A2950" t="s">
        <v>52</v>
      </c>
      <c r="B2950" t="s">
        <v>53</v>
      </c>
      <c r="C2950" t="s">
        <v>54</v>
      </c>
      <c r="D2950" t="s">
        <v>55</v>
      </c>
      <c r="E2950" t="s">
        <v>2162</v>
      </c>
      <c r="F2950" t="s">
        <v>1247</v>
      </c>
      <c r="G2950" t="s">
        <v>1459</v>
      </c>
      <c r="H2950" t="s">
        <v>1460</v>
      </c>
      <c r="I2950" t="s">
        <v>1460</v>
      </c>
      <c r="J2950" t="s">
        <v>60</v>
      </c>
      <c r="K2950" t="s">
        <v>431</v>
      </c>
      <c r="L2950" t="s">
        <v>62</v>
      </c>
      <c r="M2950" t="s">
        <v>431</v>
      </c>
      <c r="N2950" t="s">
        <v>1461</v>
      </c>
      <c r="O2950" t="s">
        <v>1462</v>
      </c>
      <c r="P2950">
        <v>-20.170182</v>
      </c>
      <c r="Q2950">
        <v>-44.922556999999998</v>
      </c>
      <c r="R2950" s="2" t="str">
        <f>HYPERLINK("https://www.google.com/maps?q=-20.1701820,-44.9225570","Abrir no Google Maps")</f>
        <v>Abrir no Google Maps</v>
      </c>
      <c r="S2950">
        <v>2</v>
      </c>
      <c r="T2950">
        <v>1189.3885679843149</v>
      </c>
      <c r="U2950">
        <v>4</v>
      </c>
      <c r="V2950">
        <v>0.5531191575190606</v>
      </c>
      <c r="W2950">
        <v>0.85</v>
      </c>
      <c r="X2950">
        <v>0.47015128389120148</v>
      </c>
      <c r="Y2950">
        <v>723</v>
      </c>
      <c r="Z2950">
        <v>961.89164604479117</v>
      </c>
      <c r="AA2950">
        <v>198</v>
      </c>
      <c r="AB2950">
        <v>332</v>
      </c>
      <c r="AC2950">
        <v>536</v>
      </c>
      <c r="AD2950">
        <v>26.86</v>
      </c>
      <c r="AE2950">
        <v>542</v>
      </c>
      <c r="AF2950">
        <v>15</v>
      </c>
      <c r="AG2950">
        <v>178</v>
      </c>
      <c r="AH2950">
        <v>129</v>
      </c>
      <c r="AI2950">
        <v>2.77</v>
      </c>
      <c r="AJ2950">
        <v>32.840000000000003</v>
      </c>
      <c r="AK2950">
        <v>23.8</v>
      </c>
      <c r="AL2950">
        <v>-20.169385449999961</v>
      </c>
      <c r="AM2950">
        <v>-44.922107101898007</v>
      </c>
      <c r="AN2950">
        <v>-20.169385449999961</v>
      </c>
      <c r="AO2950">
        <v>-44.922107101898007</v>
      </c>
      <c r="AP2950">
        <v>-20.170182</v>
      </c>
      <c r="AQ2950">
        <v>-44.922556999999998</v>
      </c>
      <c r="AR2950">
        <v>100.36329580049031</v>
      </c>
      <c r="AS2950" t="s">
        <v>65</v>
      </c>
      <c r="AT2950">
        <v>1</v>
      </c>
      <c r="AU2950" t="s">
        <v>1463</v>
      </c>
      <c r="AV2950" t="s">
        <v>1458</v>
      </c>
      <c r="AW2950" t="s">
        <v>60</v>
      </c>
      <c r="AX2950" t="s">
        <v>68</v>
      </c>
      <c r="AY2950" t="s">
        <v>69</v>
      </c>
      <c r="AZ2950" t="b">
        <v>1</v>
      </c>
    </row>
    <row r="2951" spans="1:52" x14ac:dyDescent="0.3">
      <c r="A2951" t="s">
        <v>52</v>
      </c>
      <c r="B2951" t="s">
        <v>53</v>
      </c>
      <c r="C2951" t="s">
        <v>54</v>
      </c>
      <c r="D2951" t="s">
        <v>55</v>
      </c>
      <c r="E2951" t="s">
        <v>2162</v>
      </c>
      <c r="F2951" t="s">
        <v>1247</v>
      </c>
      <c r="G2951" t="s">
        <v>1464</v>
      </c>
      <c r="H2951" t="s">
        <v>1465</v>
      </c>
      <c r="I2951" t="s">
        <v>1465</v>
      </c>
      <c r="J2951" t="s">
        <v>60</v>
      </c>
      <c r="K2951" t="s">
        <v>1466</v>
      </c>
      <c r="L2951" t="s">
        <v>62</v>
      </c>
      <c r="M2951" t="s">
        <v>1466</v>
      </c>
      <c r="N2951" t="s">
        <v>1467</v>
      </c>
      <c r="O2951" t="s">
        <v>145</v>
      </c>
      <c r="P2951">
        <v>-20.160509999999999</v>
      </c>
      <c r="Q2951">
        <v>-44.884123000000002</v>
      </c>
      <c r="R2951" s="2" t="str">
        <f>HYPERLINK("https://www.google.com/maps?q=-20.1605100,-44.8841230","Abrir no Google Maps")</f>
        <v>Abrir no Google Maps</v>
      </c>
      <c r="S2951">
        <v>2</v>
      </c>
      <c r="T2951">
        <v>650.04961276595373</v>
      </c>
      <c r="U2951">
        <v>4</v>
      </c>
      <c r="V2951">
        <v>0.41770371056638678</v>
      </c>
      <c r="W2951">
        <v>1</v>
      </c>
      <c r="X2951">
        <v>0.41770371056638678</v>
      </c>
      <c r="Y2951">
        <v>671</v>
      </c>
      <c r="Z2951">
        <v>591.49066685698506</v>
      </c>
      <c r="AA2951">
        <v>198</v>
      </c>
      <c r="AB2951">
        <v>332</v>
      </c>
      <c r="AC2951">
        <v>536</v>
      </c>
      <c r="AD2951">
        <v>26.86</v>
      </c>
      <c r="AE2951">
        <v>542</v>
      </c>
      <c r="AF2951">
        <v>15</v>
      </c>
      <c r="AG2951">
        <v>178</v>
      </c>
      <c r="AH2951">
        <v>129</v>
      </c>
      <c r="AI2951">
        <v>2.77</v>
      </c>
      <c r="AJ2951">
        <v>32.840000000000003</v>
      </c>
      <c r="AK2951">
        <v>23.8</v>
      </c>
      <c r="AL2951">
        <v>-20.16056479999995</v>
      </c>
      <c r="AM2951">
        <v>-44.88424978393428</v>
      </c>
      <c r="AN2951">
        <v>-20.160564799999939</v>
      </c>
      <c r="AO2951">
        <v>-44.88424978393428</v>
      </c>
      <c r="AP2951">
        <v>-20.160509999999999</v>
      </c>
      <c r="AQ2951">
        <v>-44.884123000000002</v>
      </c>
      <c r="AR2951">
        <v>14.585823463739541</v>
      </c>
      <c r="AS2951" t="s">
        <v>65</v>
      </c>
      <c r="AT2951">
        <v>1</v>
      </c>
      <c r="AU2951" t="s">
        <v>1468</v>
      </c>
      <c r="AV2951" t="s">
        <v>1469</v>
      </c>
      <c r="AW2951" t="s">
        <v>60</v>
      </c>
      <c r="AX2951" t="s">
        <v>68</v>
      </c>
      <c r="AY2951" t="s">
        <v>69</v>
      </c>
      <c r="AZ2951" t="b">
        <v>1</v>
      </c>
    </row>
    <row r="2952" spans="1:52" x14ac:dyDescent="0.3">
      <c r="A2952" t="s">
        <v>52</v>
      </c>
      <c r="B2952" t="s">
        <v>53</v>
      </c>
      <c r="C2952" t="s">
        <v>54</v>
      </c>
      <c r="D2952" t="s">
        <v>55</v>
      </c>
      <c r="E2952" t="s">
        <v>2162</v>
      </c>
      <c r="F2952" t="s">
        <v>1247</v>
      </c>
      <c r="G2952" t="s">
        <v>1333</v>
      </c>
      <c r="H2952" t="s">
        <v>1470</v>
      </c>
      <c r="I2952" t="s">
        <v>1470</v>
      </c>
      <c r="J2952" t="s">
        <v>60</v>
      </c>
      <c r="K2952" t="s">
        <v>437</v>
      </c>
      <c r="L2952" t="s">
        <v>62</v>
      </c>
      <c r="M2952" t="s">
        <v>437</v>
      </c>
      <c r="N2952" t="s">
        <v>1335</v>
      </c>
      <c r="O2952" t="s">
        <v>900</v>
      </c>
      <c r="P2952">
        <v>-20.147047000000001</v>
      </c>
      <c r="Q2952">
        <v>-44.883921999999998</v>
      </c>
      <c r="R2952" s="2" t="str">
        <f>HYPERLINK("https://www.google.com/maps?q=-20.1470470,-44.8839220","Abrir no Google Maps")</f>
        <v>Abrir no Google Maps</v>
      </c>
      <c r="S2952">
        <v>2</v>
      </c>
      <c r="T2952">
        <v>296.4098018832658</v>
      </c>
      <c r="U2952">
        <v>4</v>
      </c>
      <c r="V2952">
        <v>0.45012656548779151</v>
      </c>
      <c r="W2952">
        <v>1</v>
      </c>
      <c r="X2952">
        <v>0.45012656548779151</v>
      </c>
      <c r="Y2952">
        <v>653</v>
      </c>
      <c r="Z2952">
        <v>299.72271006042178</v>
      </c>
      <c r="AA2952">
        <v>198</v>
      </c>
      <c r="AB2952">
        <v>332</v>
      </c>
      <c r="AC2952">
        <v>536</v>
      </c>
      <c r="AD2952">
        <v>26.86</v>
      </c>
      <c r="AE2952">
        <v>542</v>
      </c>
      <c r="AF2952">
        <v>15</v>
      </c>
      <c r="AG2952">
        <v>178</v>
      </c>
      <c r="AH2952">
        <v>129</v>
      </c>
      <c r="AI2952">
        <v>2.77</v>
      </c>
      <c r="AJ2952">
        <v>32.840000000000003</v>
      </c>
      <c r="AK2952">
        <v>23.8</v>
      </c>
      <c r="AL2952">
        <v>-20.147074949999929</v>
      </c>
      <c r="AM2952">
        <v>-44.883796511502347</v>
      </c>
      <c r="AN2952">
        <v>-20.147074949999929</v>
      </c>
      <c r="AO2952">
        <v>-44.883796511502347</v>
      </c>
      <c r="AP2952">
        <v>-20.147047000000001</v>
      </c>
      <c r="AQ2952">
        <v>-44.883921999999998</v>
      </c>
      <c r="AR2952">
        <v>13.47864632994</v>
      </c>
      <c r="AS2952" t="s">
        <v>65</v>
      </c>
      <c r="AT2952">
        <v>1</v>
      </c>
      <c r="AU2952" t="s">
        <v>1471</v>
      </c>
      <c r="AV2952" t="s">
        <v>1472</v>
      </c>
      <c r="AW2952" t="s">
        <v>60</v>
      </c>
      <c r="AX2952" t="s">
        <v>68</v>
      </c>
      <c r="AY2952" t="s">
        <v>69</v>
      </c>
      <c r="AZ2952" t="b">
        <v>1</v>
      </c>
    </row>
    <row r="2953" spans="1:52" x14ac:dyDescent="0.3">
      <c r="A2953" t="s">
        <v>52</v>
      </c>
      <c r="B2953" t="s">
        <v>53</v>
      </c>
      <c r="C2953" t="s">
        <v>54</v>
      </c>
      <c r="D2953" t="s">
        <v>55</v>
      </c>
      <c r="E2953" t="s">
        <v>2162</v>
      </c>
      <c r="F2953" t="s">
        <v>1247</v>
      </c>
      <c r="G2953" t="s">
        <v>1473</v>
      </c>
      <c r="H2953" t="s">
        <v>1474</v>
      </c>
      <c r="I2953" t="s">
        <v>1474</v>
      </c>
      <c r="J2953" t="s">
        <v>60</v>
      </c>
      <c r="K2953" t="s">
        <v>1302</v>
      </c>
      <c r="L2953" t="s">
        <v>62</v>
      </c>
      <c r="M2953" t="s">
        <v>1302</v>
      </c>
      <c r="N2953" t="s">
        <v>1475</v>
      </c>
      <c r="O2953" t="s">
        <v>1476</v>
      </c>
      <c r="P2953">
        <v>-20.161372</v>
      </c>
      <c r="Q2953">
        <v>-44.914636999999999</v>
      </c>
      <c r="R2953" s="2" t="str">
        <f>HYPERLINK("https://www.google.com/maps?q=-20.1613720,-44.9146370","Abrir no Google Maps")</f>
        <v>Abrir no Google Maps</v>
      </c>
      <c r="S2953">
        <v>2</v>
      </c>
      <c r="T2953">
        <v>0</v>
      </c>
      <c r="U2953">
        <v>4</v>
      </c>
      <c r="V2953">
        <v>0.45104127398385763</v>
      </c>
      <c r="W2953">
        <v>1</v>
      </c>
      <c r="X2953">
        <v>0.45104127398385763</v>
      </c>
      <c r="Y2953">
        <v>639</v>
      </c>
      <c r="Z2953">
        <v>81.742669907651447</v>
      </c>
      <c r="AA2953">
        <v>198</v>
      </c>
      <c r="AB2953">
        <v>332</v>
      </c>
      <c r="AC2953">
        <v>536</v>
      </c>
      <c r="AD2953">
        <v>26.86</v>
      </c>
      <c r="AE2953">
        <v>542</v>
      </c>
      <c r="AF2953">
        <v>15</v>
      </c>
      <c r="AG2953">
        <v>178</v>
      </c>
      <c r="AH2953">
        <v>129</v>
      </c>
      <c r="AI2953">
        <v>2.77</v>
      </c>
      <c r="AJ2953">
        <v>32.840000000000003</v>
      </c>
      <c r="AK2953">
        <v>23.8</v>
      </c>
      <c r="AL2953">
        <v>-20.161294499999961</v>
      </c>
      <c r="AM2953">
        <v>-44.914614684493202</v>
      </c>
      <c r="AN2953">
        <v>-20.161294499999961</v>
      </c>
      <c r="AO2953">
        <v>-44.914614684493202</v>
      </c>
      <c r="AP2953">
        <v>-20.161372</v>
      </c>
      <c r="AQ2953">
        <v>-44.914636999999999</v>
      </c>
      <c r="AR2953">
        <v>8.9369058443944862</v>
      </c>
      <c r="AS2953" t="s">
        <v>65</v>
      </c>
      <c r="AT2953">
        <v>1</v>
      </c>
      <c r="AU2953" t="s">
        <v>1477</v>
      </c>
      <c r="AV2953" t="s">
        <v>1478</v>
      </c>
      <c r="AW2953" t="s">
        <v>60</v>
      </c>
      <c r="AX2953" t="s">
        <v>68</v>
      </c>
      <c r="AY2953" t="s">
        <v>69</v>
      </c>
      <c r="AZ2953" t="b">
        <v>1</v>
      </c>
    </row>
    <row r="2954" spans="1:52" x14ac:dyDescent="0.3">
      <c r="A2954" t="s">
        <v>52</v>
      </c>
      <c r="B2954" t="s">
        <v>53</v>
      </c>
      <c r="C2954" t="s">
        <v>54</v>
      </c>
      <c r="D2954" t="s">
        <v>55</v>
      </c>
      <c r="E2954" t="s">
        <v>2162</v>
      </c>
      <c r="F2954" t="s">
        <v>1247</v>
      </c>
      <c r="G2954" t="s">
        <v>1479</v>
      </c>
      <c r="H2954" t="s">
        <v>1480</v>
      </c>
      <c r="I2954" t="s">
        <v>1480</v>
      </c>
      <c r="J2954" t="s">
        <v>60</v>
      </c>
      <c r="K2954" t="s">
        <v>1302</v>
      </c>
      <c r="L2954" t="s">
        <v>62</v>
      </c>
      <c r="M2954" t="s">
        <v>1302</v>
      </c>
      <c r="N2954" t="s">
        <v>1481</v>
      </c>
      <c r="O2954" t="s">
        <v>1482</v>
      </c>
      <c r="P2954">
        <v>-20.164655</v>
      </c>
      <c r="Q2954">
        <v>-44.912697000000001</v>
      </c>
      <c r="R2954" s="2" t="str">
        <f>HYPERLINK("https://www.google.com/maps?q=-20.1646550,-44.9126970","Abrir no Google Maps")</f>
        <v>Abrir no Google Maps</v>
      </c>
      <c r="S2954">
        <v>2</v>
      </c>
      <c r="T2954">
        <v>441.50274004930441</v>
      </c>
      <c r="U2954">
        <v>4</v>
      </c>
      <c r="V2954">
        <v>0.42803364799565879</v>
      </c>
      <c r="W2954">
        <v>1</v>
      </c>
      <c r="X2954">
        <v>0.42803364799565879</v>
      </c>
      <c r="Y2954">
        <v>639</v>
      </c>
      <c r="Z2954">
        <v>311.03317029936522</v>
      </c>
      <c r="AA2954">
        <v>198</v>
      </c>
      <c r="AB2954">
        <v>332</v>
      </c>
      <c r="AC2954">
        <v>536</v>
      </c>
      <c r="AD2954">
        <v>26.86</v>
      </c>
      <c r="AE2954">
        <v>542</v>
      </c>
      <c r="AF2954">
        <v>15</v>
      </c>
      <c r="AG2954">
        <v>178</v>
      </c>
      <c r="AH2954">
        <v>129</v>
      </c>
      <c r="AI2954">
        <v>2.77</v>
      </c>
      <c r="AJ2954">
        <v>32.840000000000003</v>
      </c>
      <c r="AK2954">
        <v>23.8</v>
      </c>
      <c r="AL2954">
        <v>-20.164702999999971</v>
      </c>
      <c r="AM2954">
        <v>-44.912418857911163</v>
      </c>
      <c r="AN2954">
        <v>-20.164702999999971</v>
      </c>
      <c r="AO2954">
        <v>-44.912418857911163</v>
      </c>
      <c r="AP2954">
        <v>-20.164655</v>
      </c>
      <c r="AQ2954">
        <v>-44.912697000000001</v>
      </c>
      <c r="AR2954">
        <v>29.552017409892429</v>
      </c>
      <c r="AS2954" t="s">
        <v>65</v>
      </c>
      <c r="AT2954">
        <v>1</v>
      </c>
      <c r="AU2954" t="s">
        <v>1483</v>
      </c>
      <c r="AV2954" t="s">
        <v>1484</v>
      </c>
      <c r="AW2954" t="s">
        <v>60</v>
      </c>
      <c r="AX2954" t="s">
        <v>68</v>
      </c>
      <c r="AY2954" t="s">
        <v>69</v>
      </c>
      <c r="AZ2954" t="b">
        <v>1</v>
      </c>
    </row>
    <row r="2955" spans="1:52" x14ac:dyDescent="0.3">
      <c r="A2955" t="s">
        <v>52</v>
      </c>
      <c r="B2955" t="s">
        <v>53</v>
      </c>
      <c r="C2955" t="s">
        <v>54</v>
      </c>
      <c r="D2955" t="s">
        <v>55</v>
      </c>
      <c r="E2955" t="s">
        <v>2162</v>
      </c>
      <c r="F2955" t="s">
        <v>1247</v>
      </c>
      <c r="G2955" t="s">
        <v>1518</v>
      </c>
      <c r="H2955" t="s">
        <v>1519</v>
      </c>
      <c r="I2955" t="s">
        <v>1519</v>
      </c>
      <c r="J2955" t="s">
        <v>60</v>
      </c>
      <c r="K2955" t="s">
        <v>1302</v>
      </c>
      <c r="L2955" t="s">
        <v>62</v>
      </c>
      <c r="M2955" t="s">
        <v>1302</v>
      </c>
      <c r="N2955" t="s">
        <v>1520</v>
      </c>
      <c r="O2955" t="s">
        <v>1521</v>
      </c>
      <c r="P2955">
        <v>-20.16263</v>
      </c>
      <c r="Q2955">
        <v>-44.910342999999997</v>
      </c>
      <c r="R2955" s="2" t="str">
        <f>HYPERLINK("https://www.google.com/maps?q=-20.1626300,-44.9103430","Abrir no Google Maps")</f>
        <v>Abrir no Google Maps</v>
      </c>
      <c r="S2955">
        <v>2</v>
      </c>
      <c r="T2955">
        <v>492.63980270666781</v>
      </c>
      <c r="U2955">
        <v>4</v>
      </c>
      <c r="V2955">
        <v>0.41035322440046879</v>
      </c>
      <c r="W2955">
        <v>1</v>
      </c>
      <c r="X2955">
        <v>0.41035322440046879</v>
      </c>
      <c r="Y2955">
        <v>639</v>
      </c>
      <c r="Z2955">
        <v>412.49960371731271</v>
      </c>
      <c r="AA2955">
        <v>198</v>
      </c>
      <c r="AB2955">
        <v>332</v>
      </c>
      <c r="AC2955">
        <v>536</v>
      </c>
      <c r="AD2955">
        <v>26.86</v>
      </c>
      <c r="AE2955">
        <v>542</v>
      </c>
      <c r="AF2955">
        <v>15</v>
      </c>
      <c r="AG2955">
        <v>178</v>
      </c>
      <c r="AH2955">
        <v>129</v>
      </c>
      <c r="AI2955">
        <v>2.77</v>
      </c>
      <c r="AJ2955">
        <v>32.840000000000003</v>
      </c>
      <c r="AK2955">
        <v>23.8</v>
      </c>
      <c r="AL2955">
        <v>-20.162579949999952</v>
      </c>
      <c r="AM2955">
        <v>-44.910101148008863</v>
      </c>
      <c r="AN2955">
        <v>-20.162579949999952</v>
      </c>
      <c r="AO2955">
        <v>-44.910101148008863</v>
      </c>
      <c r="AP2955">
        <v>-20.16263</v>
      </c>
      <c r="AQ2955">
        <v>-44.910342999999997</v>
      </c>
      <c r="AR2955">
        <v>25.879932474893501</v>
      </c>
      <c r="AS2955" t="s">
        <v>65</v>
      </c>
      <c r="AT2955">
        <v>1</v>
      </c>
      <c r="AU2955" t="s">
        <v>1522</v>
      </c>
      <c r="AV2955" t="s">
        <v>1523</v>
      </c>
      <c r="AW2955" t="s">
        <v>60</v>
      </c>
      <c r="AX2955" t="s">
        <v>68</v>
      </c>
      <c r="AY2955" t="s">
        <v>69</v>
      </c>
      <c r="AZ2955" t="b">
        <v>1</v>
      </c>
    </row>
    <row r="2956" spans="1:52" x14ac:dyDescent="0.3">
      <c r="A2956" t="s">
        <v>52</v>
      </c>
      <c r="B2956" t="s">
        <v>53</v>
      </c>
      <c r="C2956" t="s">
        <v>54</v>
      </c>
      <c r="D2956" t="s">
        <v>55</v>
      </c>
      <c r="E2956" t="s">
        <v>2162</v>
      </c>
      <c r="F2956" t="s">
        <v>1247</v>
      </c>
      <c r="G2956" t="s">
        <v>1464</v>
      </c>
      <c r="H2956" t="s">
        <v>1485</v>
      </c>
      <c r="I2956" t="s">
        <v>1485</v>
      </c>
      <c r="J2956" t="s">
        <v>60</v>
      </c>
      <c r="K2956" t="s">
        <v>1486</v>
      </c>
      <c r="L2956" t="s">
        <v>62</v>
      </c>
      <c r="M2956" t="s">
        <v>1486</v>
      </c>
      <c r="N2956" t="s">
        <v>1467</v>
      </c>
      <c r="O2956" t="s">
        <v>1487</v>
      </c>
      <c r="P2956">
        <v>-20.162842000000001</v>
      </c>
      <c r="Q2956">
        <v>-44.883769999999998</v>
      </c>
      <c r="R2956" s="2" t="str">
        <f>HYPERLINK("https://www.google.com/maps?q=-20.1628420,-44.8837700","Abrir no Google Maps")</f>
        <v>Abrir no Google Maps</v>
      </c>
      <c r="S2956">
        <v>2</v>
      </c>
      <c r="T2956">
        <v>659.67909450906006</v>
      </c>
      <c r="U2956">
        <v>3</v>
      </c>
      <c r="V2956">
        <v>0.37370510480201857</v>
      </c>
      <c r="W2956">
        <v>1</v>
      </c>
      <c r="X2956">
        <v>0.37370510480201857</v>
      </c>
      <c r="Y2956">
        <v>671</v>
      </c>
      <c r="Z2956">
        <v>566.23107864368092</v>
      </c>
      <c r="AA2956">
        <v>198</v>
      </c>
      <c r="AB2956">
        <v>332</v>
      </c>
      <c r="AC2956">
        <v>536</v>
      </c>
      <c r="AD2956">
        <v>26.86</v>
      </c>
      <c r="AE2956">
        <v>542</v>
      </c>
      <c r="AF2956">
        <v>15</v>
      </c>
      <c r="AG2956">
        <v>178</v>
      </c>
      <c r="AH2956">
        <v>129</v>
      </c>
      <c r="AI2956">
        <v>2.77</v>
      </c>
      <c r="AJ2956">
        <v>32.840000000000003</v>
      </c>
      <c r="AK2956">
        <v>23.8</v>
      </c>
      <c r="AL2956">
        <v>-20.162791299999949</v>
      </c>
      <c r="AM2956">
        <v>-44.883966852092939</v>
      </c>
      <c r="AN2956">
        <v>-20.162791299999949</v>
      </c>
      <c r="AO2956">
        <v>-44.883966852092939</v>
      </c>
      <c r="AP2956">
        <v>-20.162842000000001</v>
      </c>
      <c r="AQ2956">
        <v>-44.883769999999998</v>
      </c>
      <c r="AR2956">
        <v>21.33085532825611</v>
      </c>
      <c r="AS2956" t="s">
        <v>65</v>
      </c>
      <c r="AT2956">
        <v>1</v>
      </c>
      <c r="AU2956" t="s">
        <v>1488</v>
      </c>
      <c r="AV2956" t="s">
        <v>1489</v>
      </c>
      <c r="AW2956" t="s">
        <v>60</v>
      </c>
      <c r="AX2956" t="s">
        <v>68</v>
      </c>
      <c r="AY2956" t="s">
        <v>69</v>
      </c>
      <c r="AZ2956" t="b">
        <v>1</v>
      </c>
    </row>
    <row r="2957" spans="1:52" x14ac:dyDescent="0.3">
      <c r="A2957" t="s">
        <v>52</v>
      </c>
      <c r="B2957" t="s">
        <v>53</v>
      </c>
      <c r="C2957" t="s">
        <v>54</v>
      </c>
      <c r="D2957" t="s">
        <v>55</v>
      </c>
      <c r="E2957" t="s">
        <v>2162</v>
      </c>
      <c r="F2957" t="s">
        <v>1247</v>
      </c>
      <c r="G2957" t="s">
        <v>1490</v>
      </c>
      <c r="H2957" t="s">
        <v>1491</v>
      </c>
      <c r="I2957" t="s">
        <v>1491</v>
      </c>
      <c r="J2957" t="s">
        <v>60</v>
      </c>
      <c r="K2957" t="s">
        <v>336</v>
      </c>
      <c r="L2957" t="s">
        <v>62</v>
      </c>
      <c r="M2957" t="s">
        <v>336</v>
      </c>
      <c r="N2957" t="s">
        <v>1492</v>
      </c>
      <c r="O2957" t="s">
        <v>842</v>
      </c>
      <c r="P2957">
        <v>-20.164228999999999</v>
      </c>
      <c r="Q2957">
        <v>-44.876455999999997</v>
      </c>
      <c r="R2957" s="2" t="str">
        <f>HYPERLINK("https://www.google.com/maps?q=-20.1642290,-44.8764560","Abrir no Google Maps")</f>
        <v>Abrir no Google Maps</v>
      </c>
      <c r="S2957">
        <v>2</v>
      </c>
      <c r="T2957">
        <v>420.00990411628987</v>
      </c>
      <c r="U2957">
        <v>3</v>
      </c>
      <c r="V2957">
        <v>0.3823824940892292</v>
      </c>
      <c r="W2957">
        <v>1</v>
      </c>
      <c r="X2957">
        <v>0.3823824940892292</v>
      </c>
      <c r="Y2957">
        <v>671</v>
      </c>
      <c r="Z2957">
        <v>375.90194920648611</v>
      </c>
      <c r="AA2957">
        <v>198</v>
      </c>
      <c r="AB2957">
        <v>332</v>
      </c>
      <c r="AC2957">
        <v>536</v>
      </c>
      <c r="AD2957">
        <v>26.86</v>
      </c>
      <c r="AE2957">
        <v>542</v>
      </c>
      <c r="AF2957">
        <v>15</v>
      </c>
      <c r="AG2957">
        <v>178</v>
      </c>
      <c r="AH2957">
        <v>129</v>
      </c>
      <c r="AI2957">
        <v>2.77</v>
      </c>
      <c r="AJ2957">
        <v>32.840000000000003</v>
      </c>
      <c r="AK2957">
        <v>23.8</v>
      </c>
      <c r="AL2957">
        <v>-20.164255749999938</v>
      </c>
      <c r="AM2957">
        <v>-44.876471676086922</v>
      </c>
      <c r="AN2957">
        <v>-20.164255749999938</v>
      </c>
      <c r="AO2957">
        <v>-44.876471676086922</v>
      </c>
      <c r="AP2957">
        <v>-20.164228999999999</v>
      </c>
      <c r="AQ2957">
        <v>-44.876455999999997</v>
      </c>
      <c r="AR2957">
        <v>3.3986375813953771</v>
      </c>
      <c r="AS2957" t="s">
        <v>65</v>
      </c>
      <c r="AT2957">
        <v>1</v>
      </c>
      <c r="AU2957" t="s">
        <v>1493</v>
      </c>
      <c r="AV2957" t="s">
        <v>1494</v>
      </c>
      <c r="AW2957" t="s">
        <v>60</v>
      </c>
      <c r="AX2957" t="s">
        <v>68</v>
      </c>
      <c r="AY2957" t="s">
        <v>69</v>
      </c>
      <c r="AZ2957" t="b">
        <v>1</v>
      </c>
    </row>
    <row r="2958" spans="1:52" x14ac:dyDescent="0.3">
      <c r="A2958" t="s">
        <v>52</v>
      </c>
      <c r="B2958" t="s">
        <v>53</v>
      </c>
      <c r="C2958" t="s">
        <v>54</v>
      </c>
      <c r="D2958" t="s">
        <v>55</v>
      </c>
      <c r="E2958" t="s">
        <v>2162</v>
      </c>
      <c r="F2958" t="s">
        <v>1247</v>
      </c>
      <c r="G2958" t="s">
        <v>1495</v>
      </c>
      <c r="H2958" t="s">
        <v>1496</v>
      </c>
      <c r="I2958" t="s">
        <v>1496</v>
      </c>
      <c r="J2958" t="s">
        <v>60</v>
      </c>
      <c r="K2958" t="s">
        <v>1466</v>
      </c>
      <c r="L2958" t="s">
        <v>62</v>
      </c>
      <c r="M2958" t="s">
        <v>1466</v>
      </c>
      <c r="N2958" t="s">
        <v>1497</v>
      </c>
      <c r="O2958" t="s">
        <v>1498</v>
      </c>
      <c r="P2958">
        <v>-20.163160999999999</v>
      </c>
      <c r="Q2958">
        <v>-44.880460999999997</v>
      </c>
      <c r="R2958" s="2" t="str">
        <f>HYPERLINK("https://www.google.com/maps?q=-20.1631610,-44.8804610","Abrir no Google Maps")</f>
        <v>Abrir no Google Maps</v>
      </c>
      <c r="S2958">
        <v>2</v>
      </c>
      <c r="T2958">
        <v>372.63783804650222</v>
      </c>
      <c r="U2958">
        <v>3</v>
      </c>
      <c r="V2958">
        <v>0.38586649614743618</v>
      </c>
      <c r="W2958">
        <v>1</v>
      </c>
      <c r="X2958">
        <v>0.38586649614743618</v>
      </c>
      <c r="Y2958">
        <v>671</v>
      </c>
      <c r="Z2958">
        <v>250.43144487082299</v>
      </c>
      <c r="AA2958">
        <v>198</v>
      </c>
      <c r="AB2958">
        <v>332</v>
      </c>
      <c r="AC2958">
        <v>536</v>
      </c>
      <c r="AD2958">
        <v>26.86</v>
      </c>
      <c r="AE2958">
        <v>542</v>
      </c>
      <c r="AF2958">
        <v>15</v>
      </c>
      <c r="AG2958">
        <v>178</v>
      </c>
      <c r="AH2958">
        <v>129</v>
      </c>
      <c r="AI2958">
        <v>2.77</v>
      </c>
      <c r="AJ2958">
        <v>32.840000000000003</v>
      </c>
      <c r="AK2958">
        <v>23.8</v>
      </c>
      <c r="AL2958">
        <v>-20.163296749999969</v>
      </c>
      <c r="AM2958">
        <v>-44.88037544059182</v>
      </c>
      <c r="AN2958">
        <v>-20.163296749999969</v>
      </c>
      <c r="AO2958">
        <v>-44.88037544059182</v>
      </c>
      <c r="AP2958">
        <v>-20.163160999999999</v>
      </c>
      <c r="AQ2958">
        <v>-44.880460999999997</v>
      </c>
      <c r="AR2958">
        <v>17.558482416121191</v>
      </c>
      <c r="AS2958" t="s">
        <v>65</v>
      </c>
      <c r="AT2958">
        <v>1</v>
      </c>
      <c r="AU2958" t="s">
        <v>1499</v>
      </c>
      <c r="AV2958" t="s">
        <v>1500</v>
      </c>
      <c r="AW2958" t="s">
        <v>60</v>
      </c>
      <c r="AX2958" t="s">
        <v>68</v>
      </c>
      <c r="AY2958" t="s">
        <v>69</v>
      </c>
      <c r="AZ2958" t="b">
        <v>1</v>
      </c>
    </row>
    <row r="2959" spans="1:52" x14ac:dyDescent="0.3">
      <c r="A2959" t="s">
        <v>52</v>
      </c>
      <c r="B2959" t="s">
        <v>53</v>
      </c>
      <c r="C2959" t="s">
        <v>54</v>
      </c>
      <c r="D2959" t="s">
        <v>55</v>
      </c>
      <c r="E2959" t="s">
        <v>2162</v>
      </c>
      <c r="F2959" t="s">
        <v>1247</v>
      </c>
      <c r="G2959" t="s">
        <v>1501</v>
      </c>
      <c r="H2959" t="s">
        <v>1502</v>
      </c>
      <c r="I2959" t="s">
        <v>1502</v>
      </c>
      <c r="J2959" t="s">
        <v>60</v>
      </c>
      <c r="K2959" t="s">
        <v>1466</v>
      </c>
      <c r="L2959" t="s">
        <v>62</v>
      </c>
      <c r="M2959" t="s">
        <v>1466</v>
      </c>
      <c r="N2959" t="s">
        <v>1503</v>
      </c>
      <c r="O2959" t="s">
        <v>1504</v>
      </c>
      <c r="P2959">
        <v>-20.159618999999999</v>
      </c>
      <c r="Q2959">
        <v>-44.880065000000002</v>
      </c>
      <c r="R2959" s="2" t="str">
        <f>HYPERLINK("https://www.google.com/maps?q=-20.1596190,-44.8800650","Abrir no Google Maps")</f>
        <v>Abrir no Google Maps</v>
      </c>
      <c r="S2959">
        <v>2</v>
      </c>
      <c r="T2959">
        <v>243.9950282285559</v>
      </c>
      <c r="U2959">
        <v>3</v>
      </c>
      <c r="V2959">
        <v>0.38770114310894249</v>
      </c>
      <c r="W2959">
        <v>1</v>
      </c>
      <c r="X2959">
        <v>0.38770114310894249</v>
      </c>
      <c r="Y2959">
        <v>671</v>
      </c>
      <c r="Z2959">
        <v>265.31354384517681</v>
      </c>
      <c r="AA2959">
        <v>198</v>
      </c>
      <c r="AB2959">
        <v>332</v>
      </c>
      <c r="AC2959">
        <v>536</v>
      </c>
      <c r="AD2959">
        <v>26.86</v>
      </c>
      <c r="AE2959">
        <v>542</v>
      </c>
      <c r="AF2959">
        <v>15</v>
      </c>
      <c r="AG2959">
        <v>178</v>
      </c>
      <c r="AH2959">
        <v>129</v>
      </c>
      <c r="AI2959">
        <v>2.77</v>
      </c>
      <c r="AJ2959">
        <v>32.840000000000003</v>
      </c>
      <c r="AK2959">
        <v>23.8</v>
      </c>
      <c r="AL2959">
        <v>-20.159689949999969</v>
      </c>
      <c r="AM2959">
        <v>-44.880075072344489</v>
      </c>
      <c r="AN2959">
        <v>-20.159689949999969</v>
      </c>
      <c r="AO2959">
        <v>-44.880075072344489</v>
      </c>
      <c r="AP2959">
        <v>-20.159618999999999</v>
      </c>
      <c r="AQ2959">
        <v>-44.880065000000002</v>
      </c>
      <c r="AR2959">
        <v>7.9679809486040876</v>
      </c>
      <c r="AS2959" t="s">
        <v>65</v>
      </c>
      <c r="AT2959">
        <v>1</v>
      </c>
      <c r="AU2959" t="s">
        <v>1505</v>
      </c>
      <c r="AV2959" t="s">
        <v>1506</v>
      </c>
      <c r="AW2959" t="s">
        <v>60</v>
      </c>
      <c r="AX2959" t="s">
        <v>68</v>
      </c>
      <c r="AY2959" t="s">
        <v>69</v>
      </c>
      <c r="AZ2959" t="b">
        <v>1</v>
      </c>
    </row>
    <row r="2960" spans="1:52" x14ac:dyDescent="0.3">
      <c r="A2960" t="s">
        <v>52</v>
      </c>
      <c r="B2960" t="s">
        <v>53</v>
      </c>
      <c r="C2960" t="s">
        <v>54</v>
      </c>
      <c r="D2960" t="s">
        <v>55</v>
      </c>
      <c r="E2960" t="s">
        <v>2162</v>
      </c>
      <c r="F2960" t="s">
        <v>1247</v>
      </c>
      <c r="G2960" t="s">
        <v>1507</v>
      </c>
      <c r="H2960" t="s">
        <v>1508</v>
      </c>
      <c r="I2960" t="s">
        <v>1508</v>
      </c>
      <c r="J2960" t="s">
        <v>60</v>
      </c>
      <c r="K2960" t="s">
        <v>1466</v>
      </c>
      <c r="L2960" t="s">
        <v>62</v>
      </c>
      <c r="M2960" t="s">
        <v>1466</v>
      </c>
      <c r="N2960" t="s">
        <v>1509</v>
      </c>
      <c r="O2960" t="s">
        <v>270</v>
      </c>
      <c r="P2960">
        <v>-20.164501999999999</v>
      </c>
      <c r="Q2960">
        <v>-44.883226999999998</v>
      </c>
      <c r="R2960" s="2" t="str">
        <f>HYPERLINK("https://www.google.com/maps?q=-20.1645020,-44.8832270","Abrir no Google Maps")</f>
        <v>Abrir no Google Maps</v>
      </c>
      <c r="S2960">
        <v>2</v>
      </c>
      <c r="T2960">
        <v>691.62667420887726</v>
      </c>
      <c r="U2960">
        <v>3</v>
      </c>
      <c r="V2960">
        <v>0.38711729659401189</v>
      </c>
      <c r="W2960">
        <v>1</v>
      </c>
      <c r="X2960">
        <v>0.38711729659401189</v>
      </c>
      <c r="Y2960">
        <v>671</v>
      </c>
      <c r="Z2960">
        <v>591.13935302436732</v>
      </c>
      <c r="AA2960">
        <v>198</v>
      </c>
      <c r="AB2960">
        <v>332</v>
      </c>
      <c r="AC2960">
        <v>536</v>
      </c>
      <c r="AD2960">
        <v>26.86</v>
      </c>
      <c r="AE2960">
        <v>542</v>
      </c>
      <c r="AF2960">
        <v>15</v>
      </c>
      <c r="AG2960">
        <v>178</v>
      </c>
      <c r="AH2960">
        <v>129</v>
      </c>
      <c r="AI2960">
        <v>2.77</v>
      </c>
      <c r="AJ2960">
        <v>32.840000000000003</v>
      </c>
      <c r="AK2960">
        <v>23.8</v>
      </c>
      <c r="AL2960">
        <v>-20.164470149999939</v>
      </c>
      <c r="AM2960">
        <v>-44.883357321672527</v>
      </c>
      <c r="AN2960">
        <v>-20.164470149999939</v>
      </c>
      <c r="AO2960">
        <v>-44.883357321672527</v>
      </c>
      <c r="AP2960">
        <v>-20.164501999999999</v>
      </c>
      <c r="AQ2960">
        <v>-44.883226999999998</v>
      </c>
      <c r="AR2960">
        <v>14.072184947340521</v>
      </c>
      <c r="AS2960" t="s">
        <v>65</v>
      </c>
      <c r="AT2960">
        <v>1</v>
      </c>
      <c r="AU2960" t="s">
        <v>1510</v>
      </c>
      <c r="AV2960" t="s">
        <v>1511</v>
      </c>
      <c r="AW2960" t="s">
        <v>60</v>
      </c>
      <c r="AX2960" t="s">
        <v>68</v>
      </c>
      <c r="AY2960" t="s">
        <v>69</v>
      </c>
      <c r="AZ2960" t="b">
        <v>1</v>
      </c>
    </row>
    <row r="2961" spans="1:52" x14ac:dyDescent="0.3">
      <c r="A2961" t="s">
        <v>52</v>
      </c>
      <c r="B2961" t="s">
        <v>53</v>
      </c>
      <c r="C2961" t="s">
        <v>54</v>
      </c>
      <c r="D2961" t="s">
        <v>55</v>
      </c>
      <c r="E2961" t="s">
        <v>2162</v>
      </c>
      <c r="F2961" t="s">
        <v>1247</v>
      </c>
      <c r="G2961" t="s">
        <v>1512</v>
      </c>
      <c r="H2961" t="s">
        <v>1513</v>
      </c>
      <c r="I2961" t="s">
        <v>1513</v>
      </c>
      <c r="J2961" t="s">
        <v>60</v>
      </c>
      <c r="K2961" t="s">
        <v>1302</v>
      </c>
      <c r="L2961" t="s">
        <v>62</v>
      </c>
      <c r="M2961" t="s">
        <v>1302</v>
      </c>
      <c r="N2961" t="s">
        <v>1514</v>
      </c>
      <c r="O2961" t="s">
        <v>1515</v>
      </c>
      <c r="P2961">
        <v>-20.163709000000001</v>
      </c>
      <c r="Q2961">
        <v>-44.916074999999999</v>
      </c>
      <c r="R2961" s="2" t="str">
        <f>HYPERLINK("https://www.google.com/maps?q=-20.1637090,-44.9160750","Abrir no Google Maps")</f>
        <v>Abrir no Google Maps</v>
      </c>
      <c r="S2961">
        <v>2</v>
      </c>
      <c r="T2961">
        <v>305.09593452131332</v>
      </c>
      <c r="U2961">
        <v>3</v>
      </c>
      <c r="V2961">
        <v>0.38131316931774512</v>
      </c>
      <c r="W2961">
        <v>1</v>
      </c>
      <c r="X2961">
        <v>0.38131316931774512</v>
      </c>
      <c r="Y2961">
        <v>639</v>
      </c>
      <c r="Z2961">
        <v>289.37841230131949</v>
      </c>
      <c r="AA2961">
        <v>198</v>
      </c>
      <c r="AB2961">
        <v>332</v>
      </c>
      <c r="AC2961">
        <v>536</v>
      </c>
      <c r="AD2961">
        <v>26.86</v>
      </c>
      <c r="AE2961">
        <v>542</v>
      </c>
      <c r="AF2961">
        <v>15</v>
      </c>
      <c r="AG2961">
        <v>178</v>
      </c>
      <c r="AH2961">
        <v>129</v>
      </c>
      <c r="AI2961">
        <v>2.77</v>
      </c>
      <c r="AJ2961">
        <v>32.840000000000003</v>
      </c>
      <c r="AK2961">
        <v>23.8</v>
      </c>
      <c r="AL2961">
        <v>-20.163666449999969</v>
      </c>
      <c r="AM2961">
        <v>-44.916102906827042</v>
      </c>
      <c r="AN2961">
        <v>-20.163666449999969</v>
      </c>
      <c r="AO2961">
        <v>-44.916102906827042</v>
      </c>
      <c r="AP2961">
        <v>-20.163709000000001</v>
      </c>
      <c r="AQ2961">
        <v>-44.916074999999999</v>
      </c>
      <c r="AR2961">
        <v>5.5623892025550603</v>
      </c>
      <c r="AS2961" t="s">
        <v>65</v>
      </c>
      <c r="AT2961">
        <v>1</v>
      </c>
      <c r="AU2961" t="s">
        <v>1516</v>
      </c>
      <c r="AV2961" t="s">
        <v>1517</v>
      </c>
      <c r="AW2961" t="s">
        <v>60</v>
      </c>
      <c r="AX2961" t="s">
        <v>68</v>
      </c>
      <c r="AY2961" t="s">
        <v>69</v>
      </c>
      <c r="AZ2961" t="b">
        <v>1</v>
      </c>
    </row>
    <row r="2962" spans="1:52" x14ac:dyDescent="0.3">
      <c r="A2962" t="s">
        <v>52</v>
      </c>
      <c r="B2962" t="s">
        <v>53</v>
      </c>
      <c r="C2962" t="s">
        <v>54</v>
      </c>
      <c r="D2962" t="s">
        <v>55</v>
      </c>
      <c r="E2962" t="s">
        <v>2162</v>
      </c>
      <c r="F2962" t="s">
        <v>1247</v>
      </c>
      <c r="G2962" t="s">
        <v>1524</v>
      </c>
      <c r="H2962" t="s">
        <v>1525</v>
      </c>
      <c r="I2962" t="s">
        <v>1525</v>
      </c>
      <c r="J2962" t="s">
        <v>60</v>
      </c>
      <c r="K2962" t="s">
        <v>1302</v>
      </c>
      <c r="L2962" t="s">
        <v>62</v>
      </c>
      <c r="M2962" t="s">
        <v>1302</v>
      </c>
      <c r="N2962" t="s">
        <v>1526</v>
      </c>
      <c r="O2962" t="s">
        <v>303</v>
      </c>
      <c r="P2962">
        <v>-20.159873000000001</v>
      </c>
      <c r="Q2962">
        <v>-44.911431999999998</v>
      </c>
      <c r="R2962" s="2" t="str">
        <f>HYPERLINK("https://www.google.com/maps?q=-20.1598730,-44.9114320","Abrir no Google Maps")</f>
        <v>Abrir no Google Maps</v>
      </c>
      <c r="S2962">
        <v>2</v>
      </c>
      <c r="T2962">
        <v>359.34785817593553</v>
      </c>
      <c r="U2962">
        <v>3</v>
      </c>
      <c r="V2962">
        <v>0.39420544879615022</v>
      </c>
      <c r="W2962">
        <v>1</v>
      </c>
      <c r="X2962">
        <v>0.39420544879615022</v>
      </c>
      <c r="Y2962">
        <v>639</v>
      </c>
      <c r="Z2962">
        <v>388.13505700247691</v>
      </c>
      <c r="AA2962">
        <v>198</v>
      </c>
      <c r="AB2962">
        <v>332</v>
      </c>
      <c r="AC2962">
        <v>536</v>
      </c>
      <c r="AD2962">
        <v>26.86</v>
      </c>
      <c r="AE2962">
        <v>542</v>
      </c>
      <c r="AF2962">
        <v>15</v>
      </c>
      <c r="AG2962">
        <v>178</v>
      </c>
      <c r="AH2962">
        <v>129</v>
      </c>
      <c r="AI2962">
        <v>2.77</v>
      </c>
      <c r="AJ2962">
        <v>32.840000000000003</v>
      </c>
      <c r="AK2962">
        <v>23.8</v>
      </c>
      <c r="AL2962">
        <v>-20.159583599999969</v>
      </c>
      <c r="AM2962">
        <v>-44.911691929105316</v>
      </c>
      <c r="AN2962">
        <v>-20.159583599999969</v>
      </c>
      <c r="AO2962">
        <v>-44.911691929105316</v>
      </c>
      <c r="AP2962">
        <v>-20.159873000000001</v>
      </c>
      <c r="AQ2962">
        <v>-44.911431999999998</v>
      </c>
      <c r="AR2962">
        <v>42.138811218570019</v>
      </c>
      <c r="AS2962" t="s">
        <v>65</v>
      </c>
      <c r="AT2962">
        <v>1</v>
      </c>
      <c r="AU2962" t="s">
        <v>1527</v>
      </c>
      <c r="AV2962" t="s">
        <v>1528</v>
      </c>
      <c r="AW2962" t="s">
        <v>60</v>
      </c>
      <c r="AX2962" t="s">
        <v>68</v>
      </c>
      <c r="AY2962" t="s">
        <v>69</v>
      </c>
      <c r="AZ2962" t="b">
        <v>1</v>
      </c>
    </row>
    <row r="2963" spans="1:52" x14ac:dyDescent="0.3">
      <c r="A2963" t="s">
        <v>52</v>
      </c>
      <c r="B2963" t="s">
        <v>53</v>
      </c>
      <c r="C2963" t="s">
        <v>54</v>
      </c>
      <c r="D2963" t="s">
        <v>55</v>
      </c>
      <c r="E2963" t="s">
        <v>2162</v>
      </c>
      <c r="F2963" t="s">
        <v>1247</v>
      </c>
      <c r="G2963" t="s">
        <v>1529</v>
      </c>
      <c r="H2963" t="s">
        <v>1530</v>
      </c>
      <c r="I2963" t="s">
        <v>1530</v>
      </c>
      <c r="J2963" t="s">
        <v>60</v>
      </c>
      <c r="K2963" t="s">
        <v>1466</v>
      </c>
      <c r="L2963" t="s">
        <v>62</v>
      </c>
      <c r="M2963" t="s">
        <v>1466</v>
      </c>
      <c r="N2963" t="s">
        <v>1531</v>
      </c>
      <c r="O2963" t="s">
        <v>145</v>
      </c>
      <c r="P2963">
        <v>-20.162952000000001</v>
      </c>
      <c r="Q2963">
        <v>-44.877612999999997</v>
      </c>
      <c r="R2963" s="2" t="str">
        <f>HYPERLINK("https://www.google.com/maps?q=-20.1629520,-44.8776130","Abrir no Google Maps")</f>
        <v>Abrir no Google Maps</v>
      </c>
      <c r="S2963">
        <v>2</v>
      </c>
      <c r="T2963">
        <v>229.91388913695721</v>
      </c>
      <c r="U2963">
        <v>2</v>
      </c>
      <c r="V2963">
        <v>0.40184332739556528</v>
      </c>
      <c r="W2963">
        <v>0.85</v>
      </c>
      <c r="X2963">
        <v>0.34156682828623047</v>
      </c>
      <c r="Y2963">
        <v>671</v>
      </c>
      <c r="Z2963">
        <v>157.6775523644973</v>
      </c>
      <c r="AA2963">
        <v>198</v>
      </c>
      <c r="AB2963">
        <v>332</v>
      </c>
      <c r="AC2963">
        <v>536</v>
      </c>
      <c r="AD2963">
        <v>26.86</v>
      </c>
      <c r="AE2963">
        <v>542</v>
      </c>
      <c r="AF2963">
        <v>15</v>
      </c>
      <c r="AG2963">
        <v>178</v>
      </c>
      <c r="AH2963">
        <v>129</v>
      </c>
      <c r="AI2963">
        <v>2.77</v>
      </c>
      <c r="AJ2963">
        <v>32.840000000000003</v>
      </c>
      <c r="AK2963">
        <v>23.8</v>
      </c>
      <c r="AL2963">
        <v>-20.16278829999996</v>
      </c>
      <c r="AM2963">
        <v>-44.877564655204168</v>
      </c>
      <c r="AN2963">
        <v>-20.16278829999996</v>
      </c>
      <c r="AO2963">
        <v>-44.877564655204168</v>
      </c>
      <c r="AP2963">
        <v>-20.162952000000001</v>
      </c>
      <c r="AQ2963">
        <v>-44.877612999999997</v>
      </c>
      <c r="AR2963">
        <v>18.91038935762678</v>
      </c>
      <c r="AS2963" t="s">
        <v>65</v>
      </c>
      <c r="AT2963">
        <v>1</v>
      </c>
      <c r="AU2963" t="s">
        <v>1532</v>
      </c>
      <c r="AV2963" t="s">
        <v>1533</v>
      </c>
      <c r="AW2963" t="s">
        <v>60</v>
      </c>
      <c r="AX2963" t="s">
        <v>68</v>
      </c>
      <c r="AY2963" t="s">
        <v>69</v>
      </c>
      <c r="AZ2963" t="b">
        <v>1</v>
      </c>
    </row>
    <row r="2964" spans="1:52" x14ac:dyDescent="0.3">
      <c r="A2964" t="s">
        <v>52</v>
      </c>
      <c r="B2964" t="s">
        <v>53</v>
      </c>
      <c r="C2964" t="s">
        <v>54</v>
      </c>
      <c r="D2964" t="s">
        <v>55</v>
      </c>
      <c r="E2964" t="s">
        <v>2162</v>
      </c>
      <c r="F2964" t="s">
        <v>1247</v>
      </c>
      <c r="G2964" t="s">
        <v>1534</v>
      </c>
      <c r="H2964" t="s">
        <v>1535</v>
      </c>
      <c r="I2964" t="s">
        <v>1535</v>
      </c>
      <c r="J2964" t="s">
        <v>60</v>
      </c>
      <c r="K2964" t="s">
        <v>1536</v>
      </c>
      <c r="L2964" t="s">
        <v>62</v>
      </c>
      <c r="M2964" t="s">
        <v>1536</v>
      </c>
      <c r="N2964" t="s">
        <v>1537</v>
      </c>
      <c r="O2964" t="s">
        <v>1538</v>
      </c>
      <c r="P2964">
        <v>-20.164618999999998</v>
      </c>
      <c r="Q2964">
        <v>-44.921776999999999</v>
      </c>
      <c r="R2964" s="2" t="str">
        <f>HYPERLINK("https://www.google.com/maps?q=-20.1646190,-44.9217770","Abrir no Google Maps")</f>
        <v>Abrir no Google Maps</v>
      </c>
      <c r="S2964">
        <v>2</v>
      </c>
      <c r="T2964">
        <v>835.70698013544222</v>
      </c>
      <c r="U2964">
        <v>2</v>
      </c>
      <c r="V2964">
        <v>0.39015020741676171</v>
      </c>
      <c r="W2964">
        <v>0.85</v>
      </c>
      <c r="X2964">
        <v>0.33162767630424739</v>
      </c>
      <c r="Y2964">
        <v>639</v>
      </c>
      <c r="Z2964">
        <v>821.59880323911125</v>
      </c>
      <c r="AA2964">
        <v>198</v>
      </c>
      <c r="AB2964">
        <v>332</v>
      </c>
      <c r="AC2964">
        <v>536</v>
      </c>
      <c r="AD2964">
        <v>26.86</v>
      </c>
      <c r="AE2964">
        <v>542</v>
      </c>
      <c r="AF2964">
        <v>15</v>
      </c>
      <c r="AG2964">
        <v>178</v>
      </c>
      <c r="AH2964">
        <v>129</v>
      </c>
      <c r="AI2964">
        <v>2.77</v>
      </c>
      <c r="AJ2964">
        <v>32.840000000000003</v>
      </c>
      <c r="AK2964">
        <v>23.8</v>
      </c>
      <c r="AL2964">
        <v>-20.164312499999969</v>
      </c>
      <c r="AM2964">
        <v>-44.921945691824099</v>
      </c>
      <c r="AN2964">
        <v>-20.164312499999969</v>
      </c>
      <c r="AO2964">
        <v>-44.921945691824099</v>
      </c>
      <c r="AP2964">
        <v>-20.164618999999998</v>
      </c>
      <c r="AQ2964">
        <v>-44.921776999999999</v>
      </c>
      <c r="AR2964">
        <v>38.404224975746608</v>
      </c>
      <c r="AS2964" t="s">
        <v>65</v>
      </c>
      <c r="AT2964">
        <v>1</v>
      </c>
      <c r="AU2964" t="s">
        <v>1539</v>
      </c>
      <c r="AV2964" t="s">
        <v>1540</v>
      </c>
      <c r="AW2964" t="s">
        <v>60</v>
      </c>
      <c r="AX2964" t="s">
        <v>68</v>
      </c>
      <c r="AY2964" t="s">
        <v>69</v>
      </c>
      <c r="AZ2964" t="b">
        <v>1</v>
      </c>
    </row>
    <row r="2965" spans="1:52" x14ac:dyDescent="0.3">
      <c r="A2965" t="s">
        <v>52</v>
      </c>
      <c r="B2965" t="s">
        <v>53</v>
      </c>
      <c r="C2965" t="s">
        <v>54</v>
      </c>
      <c r="D2965" t="s">
        <v>55</v>
      </c>
      <c r="E2965" t="s">
        <v>2162</v>
      </c>
      <c r="F2965" t="s">
        <v>1247</v>
      </c>
      <c r="G2965" t="s">
        <v>1541</v>
      </c>
      <c r="H2965" t="s">
        <v>1542</v>
      </c>
      <c r="I2965" t="s">
        <v>1542</v>
      </c>
      <c r="J2965" t="s">
        <v>60</v>
      </c>
      <c r="K2965" t="s">
        <v>1302</v>
      </c>
      <c r="L2965" t="s">
        <v>62</v>
      </c>
      <c r="M2965" t="s">
        <v>1302</v>
      </c>
      <c r="N2965" t="s">
        <v>1543</v>
      </c>
      <c r="O2965" t="s">
        <v>1544</v>
      </c>
      <c r="P2965">
        <v>-20.166267999999999</v>
      </c>
      <c r="Q2965">
        <v>-44.916902</v>
      </c>
      <c r="R2965" s="2" t="str">
        <f>HYPERLINK("https://www.google.com/maps?q=-20.1662680,-44.9169020","Abrir no Google Maps")</f>
        <v>Abrir no Google Maps</v>
      </c>
      <c r="S2965">
        <v>2</v>
      </c>
      <c r="T2965">
        <v>580.14556008922216</v>
      </c>
      <c r="U2965">
        <v>2</v>
      </c>
      <c r="V2965">
        <v>0.39181932581238388</v>
      </c>
      <c r="W2965">
        <v>0.85</v>
      </c>
      <c r="X2965">
        <v>0.33304642694052627</v>
      </c>
      <c r="Y2965">
        <v>639</v>
      </c>
      <c r="Z2965">
        <v>590.87477783185614</v>
      </c>
      <c r="AA2965">
        <v>198</v>
      </c>
      <c r="AB2965">
        <v>332</v>
      </c>
      <c r="AC2965">
        <v>536</v>
      </c>
      <c r="AD2965">
        <v>26.86</v>
      </c>
      <c r="AE2965">
        <v>542</v>
      </c>
      <c r="AF2965">
        <v>15</v>
      </c>
      <c r="AG2965">
        <v>178</v>
      </c>
      <c r="AH2965">
        <v>129</v>
      </c>
      <c r="AI2965">
        <v>2.77</v>
      </c>
      <c r="AJ2965">
        <v>32.840000000000003</v>
      </c>
      <c r="AK2965">
        <v>23.8</v>
      </c>
      <c r="AL2965">
        <v>-20.165891749999961</v>
      </c>
      <c r="AM2965">
        <v>-44.917283075074913</v>
      </c>
      <c r="AN2965">
        <v>-20.165891749999961</v>
      </c>
      <c r="AO2965">
        <v>-44.917283075074913</v>
      </c>
      <c r="AP2965">
        <v>-20.166267999999999</v>
      </c>
      <c r="AQ2965">
        <v>-44.916902</v>
      </c>
      <c r="AR2965">
        <v>57.792534087281872</v>
      </c>
      <c r="AS2965" t="s">
        <v>65</v>
      </c>
      <c r="AT2965">
        <v>1</v>
      </c>
      <c r="AU2965" t="s">
        <v>1545</v>
      </c>
      <c r="AV2965" t="s">
        <v>1546</v>
      </c>
      <c r="AW2965" t="s">
        <v>60</v>
      </c>
      <c r="AX2965" t="s">
        <v>68</v>
      </c>
      <c r="AY2965" t="s">
        <v>69</v>
      </c>
      <c r="AZ2965" t="b">
        <v>1</v>
      </c>
    </row>
    <row r="2966" spans="1:52" x14ac:dyDescent="0.3">
      <c r="A2966" t="s">
        <v>52</v>
      </c>
      <c r="B2966" t="s">
        <v>53</v>
      </c>
      <c r="C2966" t="s">
        <v>54</v>
      </c>
      <c r="D2966" t="s">
        <v>55</v>
      </c>
      <c r="E2966" t="s">
        <v>2162</v>
      </c>
      <c r="F2966" t="s">
        <v>1247</v>
      </c>
      <c r="G2966" t="s">
        <v>1547</v>
      </c>
      <c r="H2966" t="s">
        <v>1548</v>
      </c>
      <c r="I2966" t="s">
        <v>1548</v>
      </c>
      <c r="J2966" t="s">
        <v>60</v>
      </c>
      <c r="K2966" t="s">
        <v>1549</v>
      </c>
      <c r="L2966" t="s">
        <v>62</v>
      </c>
      <c r="M2966" t="s">
        <v>1549</v>
      </c>
      <c r="N2966" t="s">
        <v>1550</v>
      </c>
      <c r="O2966" t="s">
        <v>1551</v>
      </c>
      <c r="P2966">
        <v>-20.173258000000001</v>
      </c>
      <c r="Q2966">
        <v>-44.930354000000001</v>
      </c>
      <c r="R2966" s="2" t="str">
        <f>HYPERLINK("https://www.google.com/maps?q=-20.1732580,-44.9303540","Abrir no Google Maps")</f>
        <v>Abrir no Google Maps</v>
      </c>
      <c r="S2966">
        <v>2</v>
      </c>
      <c r="T2966">
        <v>2023.802197028052</v>
      </c>
      <c r="U2966">
        <v>1</v>
      </c>
      <c r="V2966">
        <v>0.36314105561790738</v>
      </c>
      <c r="W2966">
        <v>0.85</v>
      </c>
      <c r="X2966">
        <v>0.30866989727522132</v>
      </c>
      <c r="Y2966">
        <v>723</v>
      </c>
      <c r="Z2966">
        <v>1727.7445576555911</v>
      </c>
      <c r="AA2966">
        <v>198</v>
      </c>
      <c r="AB2966">
        <v>332</v>
      </c>
      <c r="AC2966">
        <v>536</v>
      </c>
      <c r="AD2966">
        <v>26.86</v>
      </c>
      <c r="AE2966">
        <v>542</v>
      </c>
      <c r="AF2966">
        <v>15</v>
      </c>
      <c r="AG2966">
        <v>178</v>
      </c>
      <c r="AH2966">
        <v>129</v>
      </c>
      <c r="AI2966">
        <v>2.77</v>
      </c>
      <c r="AJ2966">
        <v>32.840000000000003</v>
      </c>
      <c r="AK2966">
        <v>23.8</v>
      </c>
      <c r="AL2966">
        <v>-20.172996449999939</v>
      </c>
      <c r="AM2966">
        <v>-44.930058436825973</v>
      </c>
      <c r="AN2966">
        <v>-20.172996449999939</v>
      </c>
      <c r="AO2966">
        <v>-44.930058436825973</v>
      </c>
      <c r="AP2966">
        <v>-20.173258000000001</v>
      </c>
      <c r="AQ2966">
        <v>-44.930354000000001</v>
      </c>
      <c r="AR2966">
        <v>42.444455141884362</v>
      </c>
      <c r="AS2966" t="s">
        <v>65</v>
      </c>
      <c r="AT2966">
        <v>1</v>
      </c>
      <c r="AU2966" t="s">
        <v>1552</v>
      </c>
      <c r="AV2966" t="s">
        <v>1553</v>
      </c>
      <c r="AW2966" t="s">
        <v>60</v>
      </c>
      <c r="AX2966" t="s">
        <v>68</v>
      </c>
      <c r="AY2966" t="s">
        <v>69</v>
      </c>
      <c r="AZ2966" t="b">
        <v>1</v>
      </c>
    </row>
    <row r="2967" spans="1:52" x14ac:dyDescent="0.3">
      <c r="A2967" t="s">
        <v>52</v>
      </c>
      <c r="B2967" t="s">
        <v>53</v>
      </c>
      <c r="C2967" t="s">
        <v>54</v>
      </c>
      <c r="D2967" t="s">
        <v>55</v>
      </c>
      <c r="E2967" t="s">
        <v>2162</v>
      </c>
      <c r="F2967" t="s">
        <v>1247</v>
      </c>
      <c r="G2967" t="s">
        <v>1554</v>
      </c>
      <c r="H2967" t="s">
        <v>1555</v>
      </c>
      <c r="I2967" t="s">
        <v>1555</v>
      </c>
      <c r="J2967" t="s">
        <v>60</v>
      </c>
      <c r="K2967" t="s">
        <v>1466</v>
      </c>
      <c r="L2967" t="s">
        <v>62</v>
      </c>
      <c r="M2967" t="s">
        <v>1466</v>
      </c>
      <c r="N2967" t="s">
        <v>1556</v>
      </c>
      <c r="O2967" t="s">
        <v>989</v>
      </c>
      <c r="P2967">
        <v>-20.160997999999999</v>
      </c>
      <c r="Q2967">
        <v>-44.878385999999999</v>
      </c>
      <c r="R2967" s="2" t="str">
        <f>HYPERLINK("https://www.google.com/maps?q=-20.1609980,-44.8783860","Abrir no Google Maps")</f>
        <v>Abrir no Google Maps</v>
      </c>
      <c r="S2967">
        <v>2</v>
      </c>
      <c r="T2967">
        <v>0</v>
      </c>
      <c r="U2967">
        <v>1</v>
      </c>
      <c r="V2967">
        <v>0.36578275736045351</v>
      </c>
      <c r="W2967">
        <v>0.85</v>
      </c>
      <c r="X2967">
        <v>0.31091534375638552</v>
      </c>
      <c r="Y2967">
        <v>671</v>
      </c>
      <c r="Z2967">
        <v>74.014802531188664</v>
      </c>
      <c r="AA2967">
        <v>198</v>
      </c>
      <c r="AB2967">
        <v>332</v>
      </c>
      <c r="AC2967">
        <v>536</v>
      </c>
      <c r="AD2967">
        <v>26.86</v>
      </c>
      <c r="AE2967">
        <v>542</v>
      </c>
      <c r="AF2967">
        <v>15</v>
      </c>
      <c r="AG2967">
        <v>178</v>
      </c>
      <c r="AH2967">
        <v>129</v>
      </c>
      <c r="AI2967">
        <v>2.77</v>
      </c>
      <c r="AJ2967">
        <v>32.840000000000003</v>
      </c>
      <c r="AK2967">
        <v>23.8</v>
      </c>
      <c r="AL2967">
        <v>-20.160758199999979</v>
      </c>
      <c r="AM2967">
        <v>-44.878032519747983</v>
      </c>
      <c r="AN2967">
        <v>-20.160758199999979</v>
      </c>
      <c r="AO2967">
        <v>-44.878032519747983</v>
      </c>
      <c r="AP2967">
        <v>-20.160997999999999</v>
      </c>
      <c r="AQ2967">
        <v>-44.878385999999999</v>
      </c>
      <c r="AR2967">
        <v>45.574638830261883</v>
      </c>
      <c r="AS2967" t="s">
        <v>65</v>
      </c>
      <c r="AT2967">
        <v>1</v>
      </c>
      <c r="AU2967" t="s">
        <v>1557</v>
      </c>
      <c r="AV2967" t="s">
        <v>1558</v>
      </c>
      <c r="AW2967" t="s">
        <v>60</v>
      </c>
      <c r="AX2967" t="s">
        <v>68</v>
      </c>
      <c r="AY2967" t="s">
        <v>69</v>
      </c>
      <c r="AZ2967" t="b">
        <v>1</v>
      </c>
    </row>
    <row r="2968" spans="1:52" x14ac:dyDescent="0.3">
      <c r="A2968" t="s">
        <v>52</v>
      </c>
      <c r="B2968" t="s">
        <v>53</v>
      </c>
      <c r="C2968" t="s">
        <v>54</v>
      </c>
      <c r="D2968" t="s">
        <v>55</v>
      </c>
      <c r="E2968" t="s">
        <v>2162</v>
      </c>
      <c r="F2968" t="s">
        <v>1247</v>
      </c>
      <c r="G2968" t="s">
        <v>1559</v>
      </c>
      <c r="H2968" t="s">
        <v>1560</v>
      </c>
      <c r="I2968" t="s">
        <v>1560</v>
      </c>
      <c r="J2968" t="s">
        <v>60</v>
      </c>
      <c r="K2968" t="s">
        <v>61</v>
      </c>
      <c r="L2968" t="s">
        <v>62</v>
      </c>
      <c r="M2968" t="s">
        <v>61</v>
      </c>
      <c r="N2968" t="s">
        <v>1561</v>
      </c>
      <c r="O2968" t="s">
        <v>1562</v>
      </c>
      <c r="P2968">
        <v>-20.154959000000002</v>
      </c>
      <c r="Q2968">
        <v>-44.91525</v>
      </c>
      <c r="R2968" s="2" t="str">
        <f>HYPERLINK("https://www.google.com/maps?q=-20.1549590,-44.9152500","Abrir no Google Maps")</f>
        <v>Abrir no Google Maps</v>
      </c>
      <c r="S2968">
        <v>2</v>
      </c>
      <c r="T2968">
        <v>738.36411213380245</v>
      </c>
      <c r="U2968">
        <v>1</v>
      </c>
      <c r="V2968">
        <v>0</v>
      </c>
      <c r="W2968">
        <v>0.85</v>
      </c>
      <c r="X2968">
        <v>0</v>
      </c>
      <c r="Y2968">
        <v>639</v>
      </c>
      <c r="Z2968">
        <v>860.82840850294542</v>
      </c>
      <c r="AA2968">
        <v>198</v>
      </c>
      <c r="AB2968">
        <v>332</v>
      </c>
      <c r="AC2968">
        <v>536</v>
      </c>
      <c r="AD2968">
        <v>26.86</v>
      </c>
      <c r="AE2968">
        <v>542</v>
      </c>
      <c r="AF2968">
        <v>15</v>
      </c>
      <c r="AG2968">
        <v>178</v>
      </c>
      <c r="AH2968">
        <v>129</v>
      </c>
      <c r="AI2968">
        <v>2.77</v>
      </c>
      <c r="AJ2968">
        <v>32.840000000000003</v>
      </c>
      <c r="AK2968">
        <v>23.8</v>
      </c>
      <c r="AL2968">
        <v>-20.154629849999939</v>
      </c>
      <c r="AM2968">
        <v>-44.914951620624052</v>
      </c>
      <c r="AN2968">
        <v>-20.154629849999939</v>
      </c>
      <c r="AO2968">
        <v>-44.914951620624052</v>
      </c>
      <c r="AP2968">
        <v>-20.154959000000002</v>
      </c>
      <c r="AQ2968">
        <v>-44.91525</v>
      </c>
      <c r="AR2968">
        <v>48.11297170616912</v>
      </c>
      <c r="AS2968" t="s">
        <v>65</v>
      </c>
      <c r="AT2968">
        <v>1</v>
      </c>
      <c r="AU2968" t="s">
        <v>1563</v>
      </c>
      <c r="AV2968" t="s">
        <v>1564</v>
      </c>
      <c r="AW2968" t="s">
        <v>60</v>
      </c>
      <c r="AX2968" t="s">
        <v>68</v>
      </c>
      <c r="AY2968" t="s">
        <v>69</v>
      </c>
      <c r="AZ2968" t="b">
        <v>1</v>
      </c>
    </row>
    <row r="2969" spans="1:52" x14ac:dyDescent="0.3">
      <c r="A2969" t="s">
        <v>52</v>
      </c>
      <c r="B2969" t="s">
        <v>53</v>
      </c>
      <c r="C2969" t="s">
        <v>54</v>
      </c>
      <c r="D2969" t="s">
        <v>55</v>
      </c>
      <c r="E2969" t="s">
        <v>2162</v>
      </c>
      <c r="F2969" t="s">
        <v>1247</v>
      </c>
      <c r="G2969" t="s">
        <v>631</v>
      </c>
      <c r="H2969" t="s">
        <v>1565</v>
      </c>
      <c r="I2969" t="s">
        <v>1565</v>
      </c>
      <c r="J2969" t="s">
        <v>60</v>
      </c>
      <c r="K2969" t="s">
        <v>530</v>
      </c>
      <c r="L2969" t="s">
        <v>62</v>
      </c>
      <c r="M2969" t="s">
        <v>530</v>
      </c>
      <c r="N2969" t="s">
        <v>633</v>
      </c>
      <c r="O2969" t="s">
        <v>1566</v>
      </c>
      <c r="P2969">
        <v>-20.143915</v>
      </c>
      <c r="Q2969">
        <v>-44.8947</v>
      </c>
      <c r="R2969" s="2" t="str">
        <f>HYPERLINK("https://www.google.com/maps?q=-20.1439150,-44.8947000","Abrir no Google Maps")</f>
        <v>Abrir no Google Maps</v>
      </c>
      <c r="S2969">
        <v>1</v>
      </c>
      <c r="T2969">
        <v>327.74435325417051</v>
      </c>
      <c r="U2969">
        <v>4</v>
      </c>
      <c r="V2969">
        <v>0.51449892756680726</v>
      </c>
      <c r="W2969">
        <v>1</v>
      </c>
      <c r="X2969">
        <v>0.51449892756680726</v>
      </c>
      <c r="Y2969">
        <v>602</v>
      </c>
      <c r="Z2969">
        <v>236.41345279429891</v>
      </c>
      <c r="AA2969">
        <v>198</v>
      </c>
      <c r="AB2969">
        <v>332</v>
      </c>
      <c r="AC2969">
        <v>536</v>
      </c>
      <c r="AD2969">
        <v>26.86</v>
      </c>
      <c r="AE2969">
        <v>542</v>
      </c>
      <c r="AF2969">
        <v>15</v>
      </c>
      <c r="AG2969">
        <v>178</v>
      </c>
      <c r="AH2969">
        <v>129</v>
      </c>
      <c r="AI2969">
        <v>2.77</v>
      </c>
      <c r="AJ2969">
        <v>32.840000000000003</v>
      </c>
      <c r="AK2969">
        <v>23.8</v>
      </c>
      <c r="AL2969">
        <v>-20.143900549999959</v>
      </c>
      <c r="AM2969">
        <v>-44.894835636584318</v>
      </c>
      <c r="AN2969">
        <v>-20.143900549999959</v>
      </c>
      <c r="AO2969">
        <v>-44.894835636584318</v>
      </c>
      <c r="AP2969">
        <v>-20.143915</v>
      </c>
      <c r="AQ2969">
        <v>-44.8947</v>
      </c>
      <c r="AR2969">
        <v>14.266440053785869</v>
      </c>
      <c r="AS2969" t="s">
        <v>65</v>
      </c>
      <c r="AT2969">
        <v>1</v>
      </c>
      <c r="AU2969" t="s">
        <v>1567</v>
      </c>
      <c r="AV2969" t="s">
        <v>1568</v>
      </c>
      <c r="AW2969" t="s">
        <v>60</v>
      </c>
      <c r="AX2969" t="s">
        <v>68</v>
      </c>
      <c r="AY2969" t="s">
        <v>69</v>
      </c>
      <c r="AZ2969" t="b">
        <v>1</v>
      </c>
    </row>
    <row r="2970" spans="1:52" x14ac:dyDescent="0.3">
      <c r="A2970" t="s">
        <v>52</v>
      </c>
      <c r="B2970" t="s">
        <v>53</v>
      </c>
      <c r="C2970" t="s">
        <v>54</v>
      </c>
      <c r="D2970" t="s">
        <v>55</v>
      </c>
      <c r="E2970" t="s">
        <v>2162</v>
      </c>
      <c r="F2970" t="s">
        <v>1247</v>
      </c>
      <c r="G2970" t="s">
        <v>1569</v>
      </c>
      <c r="H2970" t="s">
        <v>1570</v>
      </c>
      <c r="I2970" t="s">
        <v>1570</v>
      </c>
      <c r="J2970" t="s">
        <v>60</v>
      </c>
      <c r="K2970" t="s">
        <v>530</v>
      </c>
      <c r="L2970" t="s">
        <v>62</v>
      </c>
      <c r="M2970" t="s">
        <v>530</v>
      </c>
      <c r="N2970" t="s">
        <v>1571</v>
      </c>
      <c r="O2970" t="s">
        <v>598</v>
      </c>
      <c r="P2970">
        <v>-20.146418000000001</v>
      </c>
      <c r="Q2970">
        <v>-44.893861999999999</v>
      </c>
      <c r="R2970" s="2" t="str">
        <f>HYPERLINK("https://www.google.com/maps?q=-20.1464180,-44.8938620","Abrir no Google Maps")</f>
        <v>Abrir no Google Maps</v>
      </c>
      <c r="S2970">
        <v>1</v>
      </c>
      <c r="T2970">
        <v>0</v>
      </c>
      <c r="U2970">
        <v>4</v>
      </c>
      <c r="V2970">
        <v>0.53014874547445312</v>
      </c>
      <c r="W2970">
        <v>0.85</v>
      </c>
      <c r="X2970">
        <v>0.45062643365328509</v>
      </c>
      <c r="Y2970">
        <v>602</v>
      </c>
      <c r="Z2970">
        <v>124.5475134899211</v>
      </c>
      <c r="AA2970">
        <v>198</v>
      </c>
      <c r="AB2970">
        <v>332</v>
      </c>
      <c r="AC2970">
        <v>536</v>
      </c>
      <c r="AD2970">
        <v>26.86</v>
      </c>
      <c r="AE2970">
        <v>542</v>
      </c>
      <c r="AF2970">
        <v>15</v>
      </c>
      <c r="AG2970">
        <v>178</v>
      </c>
      <c r="AH2970">
        <v>129</v>
      </c>
      <c r="AI2970">
        <v>2.77</v>
      </c>
      <c r="AJ2970">
        <v>32.840000000000003</v>
      </c>
      <c r="AK2970">
        <v>23.8</v>
      </c>
      <c r="AL2970">
        <v>-20.146753399999941</v>
      </c>
      <c r="AM2970">
        <v>-44.893993355901941</v>
      </c>
      <c r="AN2970">
        <v>-20.146753399999941</v>
      </c>
      <c r="AO2970">
        <v>-44.893993355901941</v>
      </c>
      <c r="AP2970">
        <v>-20.146418000000001</v>
      </c>
      <c r="AQ2970">
        <v>-44.893861999999999</v>
      </c>
      <c r="AR2970">
        <v>39.780457157851913</v>
      </c>
      <c r="AS2970" t="s">
        <v>65</v>
      </c>
      <c r="AT2970">
        <v>1</v>
      </c>
      <c r="AU2970" t="s">
        <v>1572</v>
      </c>
      <c r="AV2970" t="s">
        <v>1573</v>
      </c>
      <c r="AW2970" t="s">
        <v>60</v>
      </c>
      <c r="AX2970" t="s">
        <v>68</v>
      </c>
      <c r="AY2970" t="s">
        <v>69</v>
      </c>
      <c r="AZ2970" t="b">
        <v>1</v>
      </c>
    </row>
    <row r="2971" spans="1:52" x14ac:dyDescent="0.3">
      <c r="A2971" t="s">
        <v>52</v>
      </c>
      <c r="B2971" t="s">
        <v>53</v>
      </c>
      <c r="C2971" t="s">
        <v>54</v>
      </c>
      <c r="D2971" t="s">
        <v>55</v>
      </c>
      <c r="E2971" t="s">
        <v>2162</v>
      </c>
      <c r="F2971" t="s">
        <v>1247</v>
      </c>
      <c r="G2971" t="s">
        <v>1569</v>
      </c>
      <c r="H2971" t="s">
        <v>1574</v>
      </c>
      <c r="I2971" t="s">
        <v>1574</v>
      </c>
      <c r="J2971" t="s">
        <v>60</v>
      </c>
      <c r="K2971" t="s">
        <v>530</v>
      </c>
      <c r="L2971" t="s">
        <v>62</v>
      </c>
      <c r="M2971" t="s">
        <v>530</v>
      </c>
      <c r="N2971" t="s">
        <v>1571</v>
      </c>
      <c r="O2971" t="s">
        <v>1575</v>
      </c>
      <c r="P2971">
        <v>-20.14554</v>
      </c>
      <c r="Q2971">
        <v>-44.895606000000001</v>
      </c>
      <c r="R2971" s="2" t="str">
        <f>HYPERLINK("https://www.google.com/maps?q=-20.1455400,-44.8956060","Abrir no Google Maps")</f>
        <v>Abrir no Google Maps</v>
      </c>
      <c r="S2971">
        <v>1</v>
      </c>
      <c r="T2971">
        <v>218.66647838959381</v>
      </c>
      <c r="U2971">
        <v>4</v>
      </c>
      <c r="V2971">
        <v>0.50902268244575932</v>
      </c>
      <c r="W2971">
        <v>1</v>
      </c>
      <c r="X2971">
        <v>0.50902268244575932</v>
      </c>
      <c r="Y2971">
        <v>602</v>
      </c>
      <c r="Z2971">
        <v>263.6501043391637</v>
      </c>
      <c r="AA2971">
        <v>198</v>
      </c>
      <c r="AB2971">
        <v>332</v>
      </c>
      <c r="AC2971">
        <v>536</v>
      </c>
      <c r="AD2971">
        <v>26.86</v>
      </c>
      <c r="AE2971">
        <v>542</v>
      </c>
      <c r="AF2971">
        <v>15</v>
      </c>
      <c r="AG2971">
        <v>178</v>
      </c>
      <c r="AH2971">
        <v>129</v>
      </c>
      <c r="AI2971">
        <v>2.77</v>
      </c>
      <c r="AJ2971">
        <v>32.840000000000003</v>
      </c>
      <c r="AK2971">
        <v>23.8</v>
      </c>
      <c r="AL2971">
        <v>-20.145504749999962</v>
      </c>
      <c r="AM2971">
        <v>-44.89561499588882</v>
      </c>
      <c r="AN2971">
        <v>-20.145504749999962</v>
      </c>
      <c r="AO2971">
        <v>-44.89561499588882</v>
      </c>
      <c r="AP2971">
        <v>-20.14554</v>
      </c>
      <c r="AQ2971">
        <v>-44.895606000000001</v>
      </c>
      <c r="AR2971">
        <v>4.0350843151508604</v>
      </c>
      <c r="AS2971" t="s">
        <v>65</v>
      </c>
      <c r="AT2971">
        <v>1</v>
      </c>
      <c r="AU2971" t="s">
        <v>1576</v>
      </c>
      <c r="AV2971" t="s">
        <v>1577</v>
      </c>
      <c r="AW2971" t="s">
        <v>60</v>
      </c>
      <c r="AX2971" t="s">
        <v>68</v>
      </c>
      <c r="AY2971" t="s">
        <v>69</v>
      </c>
      <c r="AZ2971" t="b">
        <v>1</v>
      </c>
    </row>
    <row r="2972" spans="1:52" x14ac:dyDescent="0.3">
      <c r="A2972" t="s">
        <v>52</v>
      </c>
      <c r="B2972" t="s">
        <v>53</v>
      </c>
      <c r="C2972" t="s">
        <v>54</v>
      </c>
      <c r="D2972" t="s">
        <v>55</v>
      </c>
      <c r="E2972" t="s">
        <v>2162</v>
      </c>
      <c r="F2972" t="s">
        <v>1247</v>
      </c>
      <c r="G2972" t="s">
        <v>1578</v>
      </c>
      <c r="H2972" t="s">
        <v>1579</v>
      </c>
      <c r="I2972" t="s">
        <v>1579</v>
      </c>
      <c r="J2972" t="s">
        <v>60</v>
      </c>
      <c r="K2972" t="s">
        <v>530</v>
      </c>
      <c r="L2972" t="s">
        <v>62</v>
      </c>
      <c r="M2972" t="s">
        <v>530</v>
      </c>
      <c r="N2972" t="s">
        <v>1580</v>
      </c>
      <c r="O2972" t="s">
        <v>1581</v>
      </c>
      <c r="P2972">
        <v>-20.143713999999999</v>
      </c>
      <c r="Q2972">
        <v>-44.897387999999999</v>
      </c>
      <c r="R2972" s="2" t="str">
        <f>HYPERLINK("https://www.google.com/maps?q=-20.1437140,-44.8973880","Abrir no Google Maps")</f>
        <v>Abrir no Google Maps</v>
      </c>
      <c r="S2972">
        <v>1</v>
      </c>
      <c r="T2972">
        <v>354.74438118735611</v>
      </c>
      <c r="U2972">
        <v>4</v>
      </c>
      <c r="V2972">
        <v>0.53563855342087519</v>
      </c>
      <c r="W2972">
        <v>1</v>
      </c>
      <c r="X2972">
        <v>0.53563855342087519</v>
      </c>
      <c r="Y2972">
        <v>588</v>
      </c>
      <c r="Z2972">
        <v>336.29881064197872</v>
      </c>
      <c r="AA2972">
        <v>198</v>
      </c>
      <c r="AB2972">
        <v>332</v>
      </c>
      <c r="AC2972">
        <v>536</v>
      </c>
      <c r="AD2972">
        <v>26.86</v>
      </c>
      <c r="AE2972">
        <v>542</v>
      </c>
      <c r="AF2972">
        <v>15</v>
      </c>
      <c r="AG2972">
        <v>178</v>
      </c>
      <c r="AH2972">
        <v>129</v>
      </c>
      <c r="AI2972">
        <v>2.77</v>
      </c>
      <c r="AJ2972">
        <v>32.840000000000003</v>
      </c>
      <c r="AK2972">
        <v>23.8</v>
      </c>
      <c r="AL2972">
        <v>-20.14371329999997</v>
      </c>
      <c r="AM2972">
        <v>-44.897384604125257</v>
      </c>
      <c r="AN2972">
        <v>-20.14371329999997</v>
      </c>
      <c r="AO2972">
        <v>-44.897384604125257</v>
      </c>
      <c r="AP2972">
        <v>-20.143713999999999</v>
      </c>
      <c r="AQ2972">
        <v>-44.897387999999999</v>
      </c>
      <c r="AR2972">
        <v>0.36335934693921551</v>
      </c>
      <c r="AS2972" t="s">
        <v>65</v>
      </c>
      <c r="AT2972">
        <v>1</v>
      </c>
      <c r="AU2972" t="s">
        <v>1582</v>
      </c>
      <c r="AV2972" t="s">
        <v>1583</v>
      </c>
      <c r="AW2972" t="s">
        <v>60</v>
      </c>
      <c r="AX2972" t="s">
        <v>68</v>
      </c>
      <c r="AY2972" t="s">
        <v>69</v>
      </c>
      <c r="AZ2972" t="b">
        <v>1</v>
      </c>
    </row>
    <row r="2973" spans="1:52" x14ac:dyDescent="0.3">
      <c r="A2973" t="s">
        <v>52</v>
      </c>
      <c r="B2973" t="s">
        <v>53</v>
      </c>
      <c r="C2973" t="s">
        <v>54</v>
      </c>
      <c r="D2973" t="s">
        <v>55</v>
      </c>
      <c r="E2973" t="s">
        <v>2162</v>
      </c>
      <c r="F2973" t="s">
        <v>1247</v>
      </c>
      <c r="G2973" t="s">
        <v>1584</v>
      </c>
      <c r="H2973" t="s">
        <v>1585</v>
      </c>
      <c r="I2973" t="s">
        <v>1585</v>
      </c>
      <c r="J2973" t="s">
        <v>60</v>
      </c>
      <c r="K2973" t="s">
        <v>530</v>
      </c>
      <c r="L2973" t="s">
        <v>62</v>
      </c>
      <c r="M2973" t="s">
        <v>530</v>
      </c>
      <c r="N2973" t="s">
        <v>406</v>
      </c>
      <c r="O2973" t="s">
        <v>1586</v>
      </c>
      <c r="P2973">
        <v>-20.141316</v>
      </c>
      <c r="Q2973">
        <v>-44.896424000000003</v>
      </c>
      <c r="R2973" s="2" t="str">
        <f>HYPERLINK("https://www.google.com/maps?q=-20.1413160,-44.8964240","Abrir no Google Maps")</f>
        <v>Abrir no Google Maps</v>
      </c>
      <c r="S2973">
        <v>1</v>
      </c>
      <c r="T2973">
        <v>236.6687095166524</v>
      </c>
      <c r="U2973">
        <v>4</v>
      </c>
      <c r="V2973">
        <v>0.50992175037564758</v>
      </c>
      <c r="W2973">
        <v>1</v>
      </c>
      <c r="X2973">
        <v>0.50992175037564758</v>
      </c>
      <c r="Y2973">
        <v>588</v>
      </c>
      <c r="Z2973">
        <v>255.50729797374251</v>
      </c>
      <c r="AA2973">
        <v>198</v>
      </c>
      <c r="AB2973">
        <v>332</v>
      </c>
      <c r="AC2973">
        <v>536</v>
      </c>
      <c r="AD2973">
        <v>26.86</v>
      </c>
      <c r="AE2973">
        <v>542</v>
      </c>
      <c r="AF2973">
        <v>15</v>
      </c>
      <c r="AG2973">
        <v>178</v>
      </c>
      <c r="AH2973">
        <v>129</v>
      </c>
      <c r="AI2973">
        <v>2.77</v>
      </c>
      <c r="AJ2973">
        <v>32.840000000000003</v>
      </c>
      <c r="AK2973">
        <v>23.8</v>
      </c>
      <c r="AL2973">
        <v>-20.141468299999961</v>
      </c>
      <c r="AM2973">
        <v>-44.896566678331098</v>
      </c>
      <c r="AN2973">
        <v>-20.141468299999961</v>
      </c>
      <c r="AO2973">
        <v>-44.896566678331098</v>
      </c>
      <c r="AP2973">
        <v>-20.141316</v>
      </c>
      <c r="AQ2973">
        <v>-44.896424000000003</v>
      </c>
      <c r="AR2973">
        <v>22.578666373759301</v>
      </c>
      <c r="AS2973" t="s">
        <v>65</v>
      </c>
      <c r="AT2973">
        <v>1</v>
      </c>
      <c r="AU2973" t="s">
        <v>1587</v>
      </c>
      <c r="AV2973" t="s">
        <v>1588</v>
      </c>
      <c r="AW2973" t="s">
        <v>60</v>
      </c>
      <c r="AX2973" t="s">
        <v>68</v>
      </c>
      <c r="AY2973" t="s">
        <v>69</v>
      </c>
      <c r="AZ2973" t="b">
        <v>1</v>
      </c>
    </row>
    <row r="2974" spans="1:52" x14ac:dyDescent="0.3">
      <c r="A2974" t="s">
        <v>52</v>
      </c>
      <c r="B2974" t="s">
        <v>53</v>
      </c>
      <c r="C2974" t="s">
        <v>54</v>
      </c>
      <c r="D2974" t="s">
        <v>55</v>
      </c>
      <c r="E2974" t="s">
        <v>2162</v>
      </c>
      <c r="F2974" t="s">
        <v>1247</v>
      </c>
      <c r="G2974" t="s">
        <v>1589</v>
      </c>
      <c r="H2974" t="s">
        <v>1590</v>
      </c>
      <c r="I2974" t="s">
        <v>1590</v>
      </c>
      <c r="J2974" t="s">
        <v>60</v>
      </c>
      <c r="K2974" t="s">
        <v>1591</v>
      </c>
      <c r="L2974" t="s">
        <v>62</v>
      </c>
      <c r="M2974" t="s">
        <v>1591</v>
      </c>
      <c r="N2974" t="s">
        <v>1592</v>
      </c>
      <c r="O2974" t="s">
        <v>659</v>
      </c>
      <c r="P2974">
        <v>-20.140789000000002</v>
      </c>
      <c r="Q2974">
        <v>-44.898631000000002</v>
      </c>
      <c r="R2974" s="2" t="str">
        <f>HYPERLINK("https://www.google.com/maps?q=-20.1407890,-44.8986310","Abrir no Google Maps")</f>
        <v>Abrir no Google Maps</v>
      </c>
      <c r="S2974">
        <v>1</v>
      </c>
      <c r="T2974">
        <v>0</v>
      </c>
      <c r="U2974">
        <v>4</v>
      </c>
      <c r="V2974">
        <v>0.4632456253390152</v>
      </c>
      <c r="W2974">
        <v>1</v>
      </c>
      <c r="X2974">
        <v>0.4632456253390152</v>
      </c>
      <c r="Y2974">
        <v>588</v>
      </c>
      <c r="Z2974">
        <v>51.152636251897107</v>
      </c>
      <c r="AA2974">
        <v>198</v>
      </c>
      <c r="AB2974">
        <v>332</v>
      </c>
      <c r="AC2974">
        <v>536</v>
      </c>
      <c r="AD2974">
        <v>26.86</v>
      </c>
      <c r="AE2974">
        <v>542</v>
      </c>
      <c r="AF2974">
        <v>15</v>
      </c>
      <c r="AG2974">
        <v>178</v>
      </c>
      <c r="AH2974">
        <v>129</v>
      </c>
      <c r="AI2974">
        <v>2.77</v>
      </c>
      <c r="AJ2974">
        <v>32.840000000000003</v>
      </c>
      <c r="AK2974">
        <v>23.8</v>
      </c>
      <c r="AL2974">
        <v>-20.140759399999951</v>
      </c>
      <c r="AM2974">
        <v>-44.898703172474903</v>
      </c>
      <c r="AN2974">
        <v>-20.140759399999951</v>
      </c>
      <c r="AO2974">
        <v>-44.898703172474903</v>
      </c>
      <c r="AP2974">
        <v>-20.140789000000002</v>
      </c>
      <c r="AQ2974">
        <v>-44.898631000000002</v>
      </c>
      <c r="AR2974">
        <v>8.2312502179962053</v>
      </c>
      <c r="AS2974" t="s">
        <v>65</v>
      </c>
      <c r="AT2974">
        <v>1</v>
      </c>
      <c r="AU2974" t="s">
        <v>1593</v>
      </c>
      <c r="AV2974" t="s">
        <v>1594</v>
      </c>
      <c r="AW2974" t="s">
        <v>60</v>
      </c>
      <c r="AX2974" t="s">
        <v>68</v>
      </c>
      <c r="AY2974" t="s">
        <v>69</v>
      </c>
      <c r="AZ2974" t="b">
        <v>1</v>
      </c>
    </row>
    <row r="2975" spans="1:52" x14ac:dyDescent="0.3">
      <c r="A2975" t="s">
        <v>52</v>
      </c>
      <c r="B2975" t="s">
        <v>53</v>
      </c>
      <c r="C2975" t="s">
        <v>54</v>
      </c>
      <c r="D2975" t="s">
        <v>55</v>
      </c>
      <c r="E2975" t="s">
        <v>2162</v>
      </c>
      <c r="F2975" t="s">
        <v>1247</v>
      </c>
      <c r="G2975" t="s">
        <v>1595</v>
      </c>
      <c r="H2975" t="s">
        <v>1596</v>
      </c>
      <c r="I2975" t="s">
        <v>1596</v>
      </c>
      <c r="J2975" t="s">
        <v>60</v>
      </c>
      <c r="K2975" t="s">
        <v>530</v>
      </c>
      <c r="L2975" t="s">
        <v>62</v>
      </c>
      <c r="M2975" t="s">
        <v>530</v>
      </c>
      <c r="N2975" t="s">
        <v>1006</v>
      </c>
      <c r="O2975" t="s">
        <v>1597</v>
      </c>
      <c r="P2975">
        <v>-20.139135</v>
      </c>
      <c r="Q2975">
        <v>-44.895907000000001</v>
      </c>
      <c r="R2975" s="2" t="str">
        <f>HYPERLINK("https://www.google.com/maps?q=-20.1391350,-44.8959070","Abrir no Google Maps")</f>
        <v>Abrir no Google Maps</v>
      </c>
      <c r="S2975">
        <v>1</v>
      </c>
      <c r="T2975">
        <v>324.98342996447241</v>
      </c>
      <c r="U2975">
        <v>4</v>
      </c>
      <c r="V2975">
        <v>0.49363003768521119</v>
      </c>
      <c r="W2975">
        <v>1</v>
      </c>
      <c r="X2975">
        <v>0.49363003768521119</v>
      </c>
      <c r="Y2975">
        <v>588</v>
      </c>
      <c r="Z2975">
        <v>411.69998599301618</v>
      </c>
      <c r="AA2975">
        <v>198</v>
      </c>
      <c r="AB2975">
        <v>332</v>
      </c>
      <c r="AC2975">
        <v>536</v>
      </c>
      <c r="AD2975">
        <v>26.86</v>
      </c>
      <c r="AE2975">
        <v>542</v>
      </c>
      <c r="AF2975">
        <v>15</v>
      </c>
      <c r="AG2975">
        <v>178</v>
      </c>
      <c r="AH2975">
        <v>129</v>
      </c>
      <c r="AI2975">
        <v>2.77</v>
      </c>
      <c r="AJ2975">
        <v>32.840000000000003</v>
      </c>
      <c r="AK2975">
        <v>23.8</v>
      </c>
      <c r="AL2975">
        <v>-20.139299649999941</v>
      </c>
      <c r="AM2975">
        <v>-44.896005009217312</v>
      </c>
      <c r="AN2975">
        <v>-20.139299649999941</v>
      </c>
      <c r="AO2975">
        <v>-44.896005009217312</v>
      </c>
      <c r="AP2975">
        <v>-20.139135</v>
      </c>
      <c r="AQ2975">
        <v>-44.895907000000001</v>
      </c>
      <c r="AR2975">
        <v>20.996943428875841</v>
      </c>
      <c r="AS2975" t="s">
        <v>65</v>
      </c>
      <c r="AT2975">
        <v>1</v>
      </c>
      <c r="AU2975" t="s">
        <v>1598</v>
      </c>
      <c r="AV2975" t="s">
        <v>1599</v>
      </c>
      <c r="AW2975" t="s">
        <v>60</v>
      </c>
      <c r="AX2975" t="s">
        <v>68</v>
      </c>
      <c r="AY2975" t="s">
        <v>69</v>
      </c>
      <c r="AZ2975" t="b">
        <v>1</v>
      </c>
    </row>
    <row r="2976" spans="1:52" x14ac:dyDescent="0.3">
      <c r="A2976" t="s">
        <v>52</v>
      </c>
      <c r="B2976" t="s">
        <v>53</v>
      </c>
      <c r="C2976" t="s">
        <v>54</v>
      </c>
      <c r="D2976" t="s">
        <v>55</v>
      </c>
      <c r="E2976" t="s">
        <v>2162</v>
      </c>
      <c r="F2976" t="s">
        <v>1247</v>
      </c>
      <c r="G2976" t="s">
        <v>1342</v>
      </c>
      <c r="H2976" t="s">
        <v>1600</v>
      </c>
      <c r="I2976" t="s">
        <v>1600</v>
      </c>
      <c r="J2976" t="s">
        <v>60</v>
      </c>
      <c r="K2976" t="s">
        <v>462</v>
      </c>
      <c r="L2976" t="s">
        <v>62</v>
      </c>
      <c r="M2976" t="s">
        <v>462</v>
      </c>
      <c r="N2976" t="s">
        <v>921</v>
      </c>
      <c r="O2976" t="s">
        <v>1601</v>
      </c>
      <c r="P2976">
        <v>-20.140741999999999</v>
      </c>
      <c r="Q2976">
        <v>-44.902729000000001</v>
      </c>
      <c r="R2976" s="2" t="str">
        <f>HYPERLINK("https://www.google.com/maps?q=-20.1407420,-44.9027290","Abrir no Google Maps")</f>
        <v>Abrir no Google Maps</v>
      </c>
      <c r="S2976">
        <v>1</v>
      </c>
      <c r="T2976">
        <v>373.97936588503438</v>
      </c>
      <c r="U2976">
        <v>4</v>
      </c>
      <c r="V2976">
        <v>0.46555487563794701</v>
      </c>
      <c r="W2976">
        <v>1</v>
      </c>
      <c r="X2976">
        <v>0.46555487563794701</v>
      </c>
      <c r="Y2976">
        <v>588</v>
      </c>
      <c r="Z2976">
        <v>427.55758539734131</v>
      </c>
      <c r="AA2976">
        <v>198</v>
      </c>
      <c r="AB2976">
        <v>332</v>
      </c>
      <c r="AC2976">
        <v>536</v>
      </c>
      <c r="AD2976">
        <v>26.86</v>
      </c>
      <c r="AE2976">
        <v>542</v>
      </c>
      <c r="AF2976">
        <v>15</v>
      </c>
      <c r="AG2976">
        <v>178</v>
      </c>
      <c r="AH2976">
        <v>129</v>
      </c>
      <c r="AI2976">
        <v>2.77</v>
      </c>
      <c r="AJ2976">
        <v>32.840000000000003</v>
      </c>
      <c r="AK2976">
        <v>23.8</v>
      </c>
      <c r="AL2976">
        <v>-20.140729549999971</v>
      </c>
      <c r="AM2976">
        <v>-44.902779454814521</v>
      </c>
      <c r="AN2976">
        <v>-20.140729549999971</v>
      </c>
      <c r="AO2976">
        <v>-44.902779454814521</v>
      </c>
      <c r="AP2976">
        <v>-20.140741999999999</v>
      </c>
      <c r="AQ2976">
        <v>-44.902729000000001</v>
      </c>
      <c r="AR2976">
        <v>5.4522610212697993</v>
      </c>
      <c r="AS2976" t="s">
        <v>65</v>
      </c>
      <c r="AT2976">
        <v>1</v>
      </c>
      <c r="AU2976" t="s">
        <v>1602</v>
      </c>
      <c r="AV2976" t="s">
        <v>1603</v>
      </c>
      <c r="AW2976" t="s">
        <v>60</v>
      </c>
      <c r="AX2976" t="s">
        <v>68</v>
      </c>
      <c r="AY2976" t="s">
        <v>69</v>
      </c>
      <c r="AZ2976" t="b">
        <v>1</v>
      </c>
    </row>
    <row r="2977" spans="1:52" x14ac:dyDescent="0.3">
      <c r="A2977" t="s">
        <v>52</v>
      </c>
      <c r="B2977" t="s">
        <v>53</v>
      </c>
      <c r="C2977" t="s">
        <v>54</v>
      </c>
      <c r="D2977" t="s">
        <v>55</v>
      </c>
      <c r="E2977" t="s">
        <v>2162</v>
      </c>
      <c r="F2977" t="s">
        <v>1247</v>
      </c>
      <c r="G2977" t="s">
        <v>1612</v>
      </c>
      <c r="H2977" t="s">
        <v>1613</v>
      </c>
      <c r="I2977" t="s">
        <v>1613</v>
      </c>
      <c r="J2977" t="s">
        <v>60</v>
      </c>
      <c r="K2977" t="s">
        <v>1349</v>
      </c>
      <c r="L2977" t="s">
        <v>62</v>
      </c>
      <c r="M2977" t="s">
        <v>1349</v>
      </c>
      <c r="N2977" t="s">
        <v>1614</v>
      </c>
      <c r="O2977" t="s">
        <v>710</v>
      </c>
      <c r="P2977">
        <v>-20.141335999999999</v>
      </c>
      <c r="Q2977">
        <v>-44.901133000000002</v>
      </c>
      <c r="R2977" s="2" t="str">
        <f>HYPERLINK("https://www.google.com/maps?q=-20.1413360,-44.9011330","Abrir no Google Maps")</f>
        <v>Abrir no Google Maps</v>
      </c>
      <c r="S2977">
        <v>1</v>
      </c>
      <c r="T2977">
        <v>257.92927430829218</v>
      </c>
      <c r="U2977">
        <v>4</v>
      </c>
      <c r="V2977">
        <v>0.48046198038279769</v>
      </c>
      <c r="W2977">
        <v>0.85</v>
      </c>
      <c r="X2977">
        <v>0.40839268332537798</v>
      </c>
      <c r="Y2977">
        <v>588</v>
      </c>
      <c r="Z2977">
        <v>252.62617475231269</v>
      </c>
      <c r="AA2977">
        <v>198</v>
      </c>
      <c r="AB2977">
        <v>332</v>
      </c>
      <c r="AC2977">
        <v>536</v>
      </c>
      <c r="AD2977">
        <v>26.86</v>
      </c>
      <c r="AE2977">
        <v>542</v>
      </c>
      <c r="AF2977">
        <v>15</v>
      </c>
      <c r="AG2977">
        <v>178</v>
      </c>
      <c r="AH2977">
        <v>129</v>
      </c>
      <c r="AI2977">
        <v>2.77</v>
      </c>
      <c r="AJ2977">
        <v>32.840000000000003</v>
      </c>
      <c r="AK2977">
        <v>23.8</v>
      </c>
      <c r="AL2977">
        <v>-20.141297649999959</v>
      </c>
      <c r="AM2977">
        <v>-44.901104406351408</v>
      </c>
      <c r="AN2977">
        <v>-20.141297649999959</v>
      </c>
      <c r="AO2977">
        <v>-44.901104406351408</v>
      </c>
      <c r="AP2977">
        <v>-20.141335999999999</v>
      </c>
      <c r="AQ2977">
        <v>-44.901133000000002</v>
      </c>
      <c r="AR2977">
        <v>5.211130154459668</v>
      </c>
      <c r="AS2977" t="s">
        <v>65</v>
      </c>
      <c r="AT2977">
        <v>1</v>
      </c>
      <c r="AU2977" t="s">
        <v>1615</v>
      </c>
      <c r="AV2977" t="s">
        <v>1616</v>
      </c>
      <c r="AW2977" t="s">
        <v>60</v>
      </c>
      <c r="AX2977" t="s">
        <v>68</v>
      </c>
      <c r="AY2977" t="s">
        <v>69</v>
      </c>
      <c r="AZ2977" t="b">
        <v>1</v>
      </c>
    </row>
    <row r="2978" spans="1:52" x14ac:dyDescent="0.3">
      <c r="A2978" t="s">
        <v>52</v>
      </c>
      <c r="B2978" t="s">
        <v>53</v>
      </c>
      <c r="C2978" t="s">
        <v>54</v>
      </c>
      <c r="D2978" t="s">
        <v>55</v>
      </c>
      <c r="E2978" t="s">
        <v>2162</v>
      </c>
      <c r="F2978" t="s">
        <v>1247</v>
      </c>
      <c r="G2978" t="s">
        <v>1584</v>
      </c>
      <c r="H2978" t="s">
        <v>1604</v>
      </c>
      <c r="I2978" t="s">
        <v>1604</v>
      </c>
      <c r="J2978" t="s">
        <v>60</v>
      </c>
      <c r="K2978" t="s">
        <v>530</v>
      </c>
      <c r="L2978" t="s">
        <v>62</v>
      </c>
      <c r="M2978" t="s">
        <v>530</v>
      </c>
      <c r="N2978" t="s">
        <v>406</v>
      </c>
      <c r="O2978" t="s">
        <v>1267</v>
      </c>
      <c r="P2978">
        <v>-20.147068000000001</v>
      </c>
      <c r="Q2978">
        <v>-44.898629999999997</v>
      </c>
      <c r="R2978" s="2" t="str">
        <f>HYPERLINK("https://www.google.com/maps?q=-20.1470680,-44.8986300","Abrir no Google Maps")</f>
        <v>Abrir no Google Maps</v>
      </c>
      <c r="S2978">
        <v>1</v>
      </c>
      <c r="T2978">
        <v>468.5580266389448</v>
      </c>
      <c r="U2978">
        <v>4</v>
      </c>
      <c r="V2978">
        <v>0.4745903432646365</v>
      </c>
      <c r="W2978">
        <v>1</v>
      </c>
      <c r="X2978">
        <v>0.4745903432646365</v>
      </c>
      <c r="Y2978">
        <v>556</v>
      </c>
      <c r="Z2978">
        <v>447.77738134922419</v>
      </c>
      <c r="AA2978">
        <v>198</v>
      </c>
      <c r="AB2978">
        <v>332</v>
      </c>
      <c r="AC2978">
        <v>536</v>
      </c>
      <c r="AD2978">
        <v>26.86</v>
      </c>
      <c r="AE2978">
        <v>542</v>
      </c>
      <c r="AF2978">
        <v>15</v>
      </c>
      <c r="AG2978">
        <v>178</v>
      </c>
      <c r="AH2978">
        <v>129</v>
      </c>
      <c r="AI2978">
        <v>2.77</v>
      </c>
      <c r="AJ2978">
        <v>32.840000000000003</v>
      </c>
      <c r="AK2978">
        <v>23.8</v>
      </c>
      <c r="AL2978">
        <v>-20.14701759999997</v>
      </c>
      <c r="AM2978">
        <v>-44.898633710342303</v>
      </c>
      <c r="AN2978">
        <v>-20.14701759999997</v>
      </c>
      <c r="AO2978">
        <v>-44.898633710342303</v>
      </c>
      <c r="AP2978">
        <v>-20.147068000000001</v>
      </c>
      <c r="AQ2978">
        <v>-44.898629999999997</v>
      </c>
      <c r="AR2978">
        <v>5.6239118246064832</v>
      </c>
      <c r="AS2978" t="s">
        <v>65</v>
      </c>
      <c r="AT2978">
        <v>1</v>
      </c>
      <c r="AU2978" t="s">
        <v>1605</v>
      </c>
      <c r="AV2978" t="s">
        <v>1606</v>
      </c>
      <c r="AW2978" t="s">
        <v>60</v>
      </c>
      <c r="AX2978" t="s">
        <v>68</v>
      </c>
      <c r="AY2978" t="s">
        <v>69</v>
      </c>
      <c r="AZ2978" t="b">
        <v>1</v>
      </c>
    </row>
    <row r="2979" spans="1:52" x14ac:dyDescent="0.3">
      <c r="A2979" t="s">
        <v>52</v>
      </c>
      <c r="B2979" t="s">
        <v>53</v>
      </c>
      <c r="C2979" t="s">
        <v>54</v>
      </c>
      <c r="D2979" t="s">
        <v>55</v>
      </c>
      <c r="E2979" t="s">
        <v>2162</v>
      </c>
      <c r="F2979" t="s">
        <v>1247</v>
      </c>
      <c r="G2979" t="s">
        <v>1607</v>
      </c>
      <c r="H2979" t="s">
        <v>1608</v>
      </c>
      <c r="I2979" t="s">
        <v>1608</v>
      </c>
      <c r="J2979" t="s">
        <v>60</v>
      </c>
      <c r="K2979" t="s">
        <v>1486</v>
      </c>
      <c r="L2979" t="s">
        <v>62</v>
      </c>
      <c r="M2979" t="s">
        <v>1486</v>
      </c>
      <c r="N2979" t="s">
        <v>1609</v>
      </c>
      <c r="O2979" t="s">
        <v>1255</v>
      </c>
      <c r="P2979">
        <v>-20.157689000000001</v>
      </c>
      <c r="Q2979">
        <v>-44.883887000000001</v>
      </c>
      <c r="R2979" s="2" t="str">
        <f>HYPERLINK("https://www.google.com/maps?q=-20.1576890,-44.8838870","Abrir no Google Maps")</f>
        <v>Abrir no Google Maps</v>
      </c>
      <c r="S2979">
        <v>1</v>
      </c>
      <c r="T2979">
        <v>603.38424821205774</v>
      </c>
      <c r="U2979">
        <v>3</v>
      </c>
      <c r="V2979">
        <v>0.38424095959426541</v>
      </c>
      <c r="W2979">
        <v>1</v>
      </c>
      <c r="X2979">
        <v>0.38424095959426541</v>
      </c>
      <c r="Y2979">
        <v>671</v>
      </c>
      <c r="Z2979">
        <v>682.48636898467089</v>
      </c>
      <c r="AA2979">
        <v>198</v>
      </c>
      <c r="AB2979">
        <v>332</v>
      </c>
      <c r="AC2979">
        <v>536</v>
      </c>
      <c r="AD2979">
        <v>26.86</v>
      </c>
      <c r="AE2979">
        <v>542</v>
      </c>
      <c r="AF2979">
        <v>15</v>
      </c>
      <c r="AG2979">
        <v>178</v>
      </c>
      <c r="AH2979">
        <v>129</v>
      </c>
      <c r="AI2979">
        <v>2.77</v>
      </c>
      <c r="AJ2979">
        <v>32.840000000000003</v>
      </c>
      <c r="AK2979">
        <v>23.8</v>
      </c>
      <c r="AL2979">
        <v>-20.157732249999949</v>
      </c>
      <c r="AM2979">
        <v>-44.883829923283272</v>
      </c>
      <c r="AN2979">
        <v>-20.157732249999949</v>
      </c>
      <c r="AO2979">
        <v>-44.883829923283272</v>
      </c>
      <c r="AP2979">
        <v>-20.157689000000001</v>
      </c>
      <c r="AQ2979">
        <v>-44.883887000000001</v>
      </c>
      <c r="AR2979">
        <v>7.6652901074925257</v>
      </c>
      <c r="AS2979" t="s">
        <v>65</v>
      </c>
      <c r="AT2979">
        <v>1</v>
      </c>
      <c r="AU2979" t="s">
        <v>1610</v>
      </c>
      <c r="AV2979" t="s">
        <v>1611</v>
      </c>
      <c r="AW2979" t="s">
        <v>60</v>
      </c>
      <c r="AX2979" t="s">
        <v>68</v>
      </c>
      <c r="AY2979" t="s">
        <v>69</v>
      </c>
      <c r="AZ2979" t="b">
        <v>1</v>
      </c>
    </row>
    <row r="2980" spans="1:52" x14ac:dyDescent="0.3">
      <c r="A2980" t="s">
        <v>52</v>
      </c>
      <c r="B2980" t="s">
        <v>53</v>
      </c>
      <c r="C2980" t="s">
        <v>54</v>
      </c>
      <c r="D2980" t="s">
        <v>55</v>
      </c>
      <c r="E2980" t="s">
        <v>2163</v>
      </c>
      <c r="F2980" t="s">
        <v>57</v>
      </c>
      <c r="G2980" t="s">
        <v>58</v>
      </c>
      <c r="H2980" t="s">
        <v>59</v>
      </c>
      <c r="I2980" t="s">
        <v>59</v>
      </c>
      <c r="J2980" t="s">
        <v>60</v>
      </c>
      <c r="K2980" t="s">
        <v>61</v>
      </c>
      <c r="L2980" t="s">
        <v>62</v>
      </c>
      <c r="M2980" t="s">
        <v>61</v>
      </c>
      <c r="N2980" t="s">
        <v>63</v>
      </c>
      <c r="O2980" t="s">
        <v>64</v>
      </c>
      <c r="P2980">
        <v>-20.147940999999999</v>
      </c>
      <c r="Q2980">
        <v>-44.906514000000001</v>
      </c>
      <c r="R2980" s="2" t="str">
        <f>HYPERLINK("https://www.google.com/maps?q=-20.1479410,-44.9065140","Abrir no Google Maps")</f>
        <v>Abrir no Google Maps</v>
      </c>
      <c r="S2980">
        <v>4</v>
      </c>
      <c r="T2980">
        <v>308.67004994113421</v>
      </c>
      <c r="U2980">
        <v>4</v>
      </c>
      <c r="V2980">
        <v>0.47798426192650878</v>
      </c>
      <c r="W2980">
        <v>1</v>
      </c>
      <c r="X2980">
        <v>0.47798426192650878</v>
      </c>
      <c r="Y2980">
        <v>747</v>
      </c>
      <c r="Z2980">
        <v>274.71440454502522</v>
      </c>
      <c r="AA2980">
        <v>198</v>
      </c>
      <c r="AB2980">
        <v>332</v>
      </c>
      <c r="AC2980">
        <v>536</v>
      </c>
      <c r="AD2980">
        <v>26.35</v>
      </c>
      <c r="AE2980">
        <v>542</v>
      </c>
      <c r="AF2980">
        <v>15</v>
      </c>
      <c r="AG2980">
        <v>174</v>
      </c>
      <c r="AH2980">
        <v>129</v>
      </c>
      <c r="AI2980">
        <v>2.77</v>
      </c>
      <c r="AJ2980">
        <v>32.1</v>
      </c>
      <c r="AK2980">
        <v>23.8</v>
      </c>
      <c r="AL2980">
        <v>-20.147947799999969</v>
      </c>
      <c r="AM2980">
        <v>-44.906591596129203</v>
      </c>
      <c r="AN2980">
        <v>-20.147947799999969</v>
      </c>
      <c r="AO2980">
        <v>-44.906591596129203</v>
      </c>
      <c r="AP2980">
        <v>-20.147940999999999</v>
      </c>
      <c r="AQ2980">
        <v>-44.906514000000001</v>
      </c>
      <c r="AR2980">
        <v>8.1446636170570326</v>
      </c>
      <c r="AS2980" t="s">
        <v>65</v>
      </c>
      <c r="AT2980">
        <v>1</v>
      </c>
      <c r="AU2980" t="s">
        <v>66</v>
      </c>
      <c r="AV2980" t="s">
        <v>67</v>
      </c>
      <c r="AW2980" t="s">
        <v>60</v>
      </c>
      <c r="AX2980" t="s">
        <v>68</v>
      </c>
      <c r="AY2980" t="s">
        <v>69</v>
      </c>
      <c r="AZ2980" t="b">
        <v>1</v>
      </c>
    </row>
    <row r="2981" spans="1:52" x14ac:dyDescent="0.3">
      <c r="A2981" t="s">
        <v>52</v>
      </c>
      <c r="B2981" t="s">
        <v>53</v>
      </c>
      <c r="C2981" t="s">
        <v>54</v>
      </c>
      <c r="D2981" t="s">
        <v>55</v>
      </c>
      <c r="E2981" t="s">
        <v>2163</v>
      </c>
      <c r="F2981" t="s">
        <v>57</v>
      </c>
      <c r="G2981" t="s">
        <v>70</v>
      </c>
      <c r="H2981" t="s">
        <v>71</v>
      </c>
      <c r="I2981" t="s">
        <v>71</v>
      </c>
      <c r="J2981" t="s">
        <v>60</v>
      </c>
      <c r="K2981" t="s">
        <v>72</v>
      </c>
      <c r="L2981" t="s">
        <v>62</v>
      </c>
      <c r="M2981" t="s">
        <v>72</v>
      </c>
      <c r="N2981" t="s">
        <v>73</v>
      </c>
      <c r="O2981" t="s">
        <v>74</v>
      </c>
      <c r="P2981">
        <v>-20.149349000000001</v>
      </c>
      <c r="Q2981">
        <v>-44.910784</v>
      </c>
      <c r="R2981" s="2" t="str">
        <f>HYPERLINK("https://www.google.com/maps?q=-20.1493490,-44.9107840","Abrir no Google Maps")</f>
        <v>Abrir no Google Maps</v>
      </c>
      <c r="S2981">
        <v>4</v>
      </c>
      <c r="T2981">
        <v>472.43876549769578</v>
      </c>
      <c r="U2981">
        <v>4</v>
      </c>
      <c r="V2981">
        <v>0.46259689922480618</v>
      </c>
      <c r="W2981">
        <v>1</v>
      </c>
      <c r="X2981">
        <v>0.46259689922480618</v>
      </c>
      <c r="Y2981">
        <v>747</v>
      </c>
      <c r="Z2981">
        <v>441.03921887407779</v>
      </c>
      <c r="AA2981">
        <v>198</v>
      </c>
      <c r="AB2981">
        <v>332</v>
      </c>
      <c r="AC2981">
        <v>536</v>
      </c>
      <c r="AD2981">
        <v>26.35</v>
      </c>
      <c r="AE2981">
        <v>542</v>
      </c>
      <c r="AF2981">
        <v>15</v>
      </c>
      <c r="AG2981">
        <v>174</v>
      </c>
      <c r="AH2981">
        <v>129</v>
      </c>
      <c r="AI2981">
        <v>2.77</v>
      </c>
      <c r="AJ2981">
        <v>32.1</v>
      </c>
      <c r="AK2981">
        <v>23.8</v>
      </c>
      <c r="AL2981">
        <v>-20.149403999999951</v>
      </c>
      <c r="AM2981">
        <v>-44.91080895147438</v>
      </c>
      <c r="AN2981">
        <v>-20.149403999999951</v>
      </c>
      <c r="AO2981">
        <v>-44.91080895147438</v>
      </c>
      <c r="AP2981">
        <v>-20.149349000000001</v>
      </c>
      <c r="AQ2981">
        <v>-44.910784</v>
      </c>
      <c r="AR2981">
        <v>6.6547592699416382</v>
      </c>
      <c r="AS2981" t="s">
        <v>65</v>
      </c>
      <c r="AT2981">
        <v>1</v>
      </c>
      <c r="AU2981" t="s">
        <v>75</v>
      </c>
      <c r="AV2981" t="s">
        <v>76</v>
      </c>
      <c r="AW2981" t="s">
        <v>60</v>
      </c>
      <c r="AX2981" t="s">
        <v>68</v>
      </c>
      <c r="AY2981" t="s">
        <v>69</v>
      </c>
      <c r="AZ2981" t="b">
        <v>1</v>
      </c>
    </row>
    <row r="2982" spans="1:52" x14ac:dyDescent="0.3">
      <c r="A2982" t="s">
        <v>52</v>
      </c>
      <c r="B2982" t="s">
        <v>53</v>
      </c>
      <c r="C2982" t="s">
        <v>54</v>
      </c>
      <c r="D2982" t="s">
        <v>55</v>
      </c>
      <c r="E2982" t="s">
        <v>2163</v>
      </c>
      <c r="F2982" t="s">
        <v>57</v>
      </c>
      <c r="G2982" t="s">
        <v>77</v>
      </c>
      <c r="H2982" t="s">
        <v>78</v>
      </c>
      <c r="I2982" t="s">
        <v>78</v>
      </c>
      <c r="J2982" t="s">
        <v>60</v>
      </c>
      <c r="K2982" t="s">
        <v>72</v>
      </c>
      <c r="L2982" t="s">
        <v>62</v>
      </c>
      <c r="M2982" t="s">
        <v>72</v>
      </c>
      <c r="N2982" t="s">
        <v>79</v>
      </c>
      <c r="O2982" t="s">
        <v>80</v>
      </c>
      <c r="P2982">
        <v>-20.147821</v>
      </c>
      <c r="Q2982">
        <v>-44.908887</v>
      </c>
      <c r="R2982" s="2" t="str">
        <f>HYPERLINK("https://www.google.com/maps?q=-20.1478210,-44.9088870","Abrir no Google Maps")</f>
        <v>Abrir no Google Maps</v>
      </c>
      <c r="S2982">
        <v>4</v>
      </c>
      <c r="T2982">
        <v>232.2893841532152</v>
      </c>
      <c r="U2982">
        <v>4</v>
      </c>
      <c r="V2982">
        <v>0.52293971924029725</v>
      </c>
      <c r="W2982">
        <v>1</v>
      </c>
      <c r="X2982">
        <v>0.52293971924029725</v>
      </c>
      <c r="Y2982">
        <v>747</v>
      </c>
      <c r="Z2982">
        <v>195.3668648953757</v>
      </c>
      <c r="AA2982">
        <v>198</v>
      </c>
      <c r="AB2982">
        <v>332</v>
      </c>
      <c r="AC2982">
        <v>536</v>
      </c>
      <c r="AD2982">
        <v>26.35</v>
      </c>
      <c r="AE2982">
        <v>542</v>
      </c>
      <c r="AF2982">
        <v>15</v>
      </c>
      <c r="AG2982">
        <v>174</v>
      </c>
      <c r="AH2982">
        <v>129</v>
      </c>
      <c r="AI2982">
        <v>2.77</v>
      </c>
      <c r="AJ2982">
        <v>32.1</v>
      </c>
      <c r="AK2982">
        <v>23.8</v>
      </c>
      <c r="AL2982">
        <v>-20.147802849999952</v>
      </c>
      <c r="AM2982">
        <v>-44.908989919229477</v>
      </c>
      <c r="AN2982">
        <v>-20.147802849999952</v>
      </c>
      <c r="AO2982">
        <v>-44.908989919229491</v>
      </c>
      <c r="AP2982">
        <v>-20.147821</v>
      </c>
      <c r="AQ2982">
        <v>-44.908887</v>
      </c>
      <c r="AR2982">
        <v>10.944007761262529</v>
      </c>
      <c r="AS2982" t="s">
        <v>65</v>
      </c>
      <c r="AT2982">
        <v>1</v>
      </c>
      <c r="AU2982" t="s">
        <v>81</v>
      </c>
      <c r="AV2982" t="s">
        <v>82</v>
      </c>
      <c r="AW2982" t="s">
        <v>60</v>
      </c>
      <c r="AX2982" t="s">
        <v>68</v>
      </c>
      <c r="AY2982" t="s">
        <v>69</v>
      </c>
      <c r="AZ2982" t="b">
        <v>1</v>
      </c>
    </row>
    <row r="2983" spans="1:52" x14ac:dyDescent="0.3">
      <c r="A2983" t="s">
        <v>52</v>
      </c>
      <c r="B2983" t="s">
        <v>53</v>
      </c>
      <c r="C2983" t="s">
        <v>54</v>
      </c>
      <c r="D2983" t="s">
        <v>55</v>
      </c>
      <c r="E2983" t="s">
        <v>2163</v>
      </c>
      <c r="F2983" t="s">
        <v>57</v>
      </c>
      <c r="G2983" t="s">
        <v>83</v>
      </c>
      <c r="H2983" t="s">
        <v>84</v>
      </c>
      <c r="I2983" t="s">
        <v>84</v>
      </c>
      <c r="J2983" t="s">
        <v>60</v>
      </c>
      <c r="K2983" t="s">
        <v>61</v>
      </c>
      <c r="L2983" t="s">
        <v>62</v>
      </c>
      <c r="M2983" t="s">
        <v>61</v>
      </c>
      <c r="N2983" t="s">
        <v>85</v>
      </c>
      <c r="O2983" t="s">
        <v>86</v>
      </c>
      <c r="P2983">
        <v>-20.149799000000002</v>
      </c>
      <c r="Q2983">
        <v>-44.906517000000001</v>
      </c>
      <c r="R2983" s="2" t="str">
        <f>HYPERLINK("https://www.google.com/maps?q=-20.1497990,-44.9065170","Abrir no Google Maps")</f>
        <v>Abrir no Google Maps</v>
      </c>
      <c r="S2983">
        <v>4</v>
      </c>
      <c r="T2983">
        <v>487.90051105537998</v>
      </c>
      <c r="U2983">
        <v>4</v>
      </c>
      <c r="V2983">
        <v>0.39968416031764448</v>
      </c>
      <c r="W2983">
        <v>1</v>
      </c>
      <c r="X2983">
        <v>0.39968416031764448</v>
      </c>
      <c r="Y2983">
        <v>747</v>
      </c>
      <c r="Z2983">
        <v>365.93785960107078</v>
      </c>
      <c r="AA2983">
        <v>198</v>
      </c>
      <c r="AB2983">
        <v>332</v>
      </c>
      <c r="AC2983">
        <v>536</v>
      </c>
      <c r="AD2983">
        <v>26.35</v>
      </c>
      <c r="AE2983">
        <v>542</v>
      </c>
      <c r="AF2983">
        <v>15</v>
      </c>
      <c r="AG2983">
        <v>174</v>
      </c>
      <c r="AH2983">
        <v>129</v>
      </c>
      <c r="AI2983">
        <v>2.77</v>
      </c>
      <c r="AJ2983">
        <v>32.1</v>
      </c>
      <c r="AK2983">
        <v>23.8</v>
      </c>
      <c r="AL2983">
        <v>-20.149879599999959</v>
      </c>
      <c r="AM2983">
        <v>-44.906746466068469</v>
      </c>
      <c r="AN2983">
        <v>-20.149879599999959</v>
      </c>
      <c r="AO2983">
        <v>-44.906746466068469</v>
      </c>
      <c r="AP2983">
        <v>-20.149799000000002</v>
      </c>
      <c r="AQ2983">
        <v>-44.906517000000001</v>
      </c>
      <c r="AR2983">
        <v>25.604276856970429</v>
      </c>
      <c r="AS2983" t="s">
        <v>65</v>
      </c>
      <c r="AT2983">
        <v>1</v>
      </c>
      <c r="AU2983" t="s">
        <v>87</v>
      </c>
      <c r="AV2983" t="s">
        <v>88</v>
      </c>
      <c r="AW2983" t="s">
        <v>60</v>
      </c>
      <c r="AX2983" t="s">
        <v>68</v>
      </c>
      <c r="AY2983" t="s">
        <v>69</v>
      </c>
      <c r="AZ2983" t="b">
        <v>1</v>
      </c>
    </row>
    <row r="2984" spans="1:52" x14ac:dyDescent="0.3">
      <c r="A2984" t="s">
        <v>52</v>
      </c>
      <c r="B2984" t="s">
        <v>53</v>
      </c>
      <c r="C2984" t="s">
        <v>54</v>
      </c>
      <c r="D2984" t="s">
        <v>55</v>
      </c>
      <c r="E2984" t="s">
        <v>2163</v>
      </c>
      <c r="F2984" t="s">
        <v>57</v>
      </c>
      <c r="G2984" t="s">
        <v>89</v>
      </c>
      <c r="H2984" t="s">
        <v>90</v>
      </c>
      <c r="I2984" t="s">
        <v>90</v>
      </c>
      <c r="J2984" t="s">
        <v>60</v>
      </c>
      <c r="K2984" t="s">
        <v>72</v>
      </c>
      <c r="L2984" t="s">
        <v>62</v>
      </c>
      <c r="M2984" t="s">
        <v>72</v>
      </c>
      <c r="N2984" t="s">
        <v>91</v>
      </c>
      <c r="O2984" t="s">
        <v>92</v>
      </c>
      <c r="P2984">
        <v>-20.145848999999998</v>
      </c>
      <c r="Q2984">
        <v>-44.908419000000002</v>
      </c>
      <c r="R2984" s="2" t="str">
        <f>HYPERLINK("https://www.google.com/maps?q=-20.1458490,-44.9084190","Abrir no Google Maps")</f>
        <v>Abrir no Google Maps</v>
      </c>
      <c r="S2984">
        <v>4</v>
      </c>
      <c r="T2984">
        <v>0</v>
      </c>
      <c r="U2984">
        <v>4</v>
      </c>
      <c r="V2984">
        <v>0.45685077607334118</v>
      </c>
      <c r="W2984">
        <v>1</v>
      </c>
      <c r="X2984">
        <v>0.45685077607334118</v>
      </c>
      <c r="Y2984">
        <v>747</v>
      </c>
      <c r="Z2984">
        <v>136.08168502765241</v>
      </c>
      <c r="AA2984">
        <v>198</v>
      </c>
      <c r="AB2984">
        <v>332</v>
      </c>
      <c r="AC2984">
        <v>536</v>
      </c>
      <c r="AD2984">
        <v>26.35</v>
      </c>
      <c r="AE2984">
        <v>542</v>
      </c>
      <c r="AF2984">
        <v>15</v>
      </c>
      <c r="AG2984">
        <v>174</v>
      </c>
      <c r="AH2984">
        <v>129</v>
      </c>
      <c r="AI2984">
        <v>2.77</v>
      </c>
      <c r="AJ2984">
        <v>32.1</v>
      </c>
      <c r="AK2984">
        <v>23.8</v>
      </c>
      <c r="AL2984">
        <v>-20.14576979999995</v>
      </c>
      <c r="AM2984">
        <v>-44.908436775053183</v>
      </c>
      <c r="AN2984">
        <v>-20.14576979999995</v>
      </c>
      <c r="AO2984">
        <v>-44.908436775053183</v>
      </c>
      <c r="AP2984">
        <v>-20.145848999999998</v>
      </c>
      <c r="AQ2984">
        <v>-44.908419000000002</v>
      </c>
      <c r="AR2984">
        <v>9.0101247482327356</v>
      </c>
      <c r="AS2984" t="s">
        <v>65</v>
      </c>
      <c r="AT2984">
        <v>1</v>
      </c>
      <c r="AU2984" t="s">
        <v>93</v>
      </c>
      <c r="AV2984" t="s">
        <v>94</v>
      </c>
      <c r="AW2984" t="s">
        <v>60</v>
      </c>
      <c r="AX2984" t="s">
        <v>68</v>
      </c>
      <c r="AY2984" t="s">
        <v>69</v>
      </c>
      <c r="AZ2984" t="b">
        <v>1</v>
      </c>
    </row>
    <row r="2985" spans="1:52" x14ac:dyDescent="0.3">
      <c r="A2985" t="s">
        <v>52</v>
      </c>
      <c r="B2985" t="s">
        <v>53</v>
      </c>
      <c r="C2985" t="s">
        <v>54</v>
      </c>
      <c r="D2985" t="s">
        <v>55</v>
      </c>
      <c r="E2985" t="s">
        <v>2163</v>
      </c>
      <c r="F2985" t="s">
        <v>57</v>
      </c>
      <c r="G2985" t="s">
        <v>95</v>
      </c>
      <c r="H2985" t="s">
        <v>96</v>
      </c>
      <c r="I2985" t="s">
        <v>96</v>
      </c>
      <c r="J2985" t="s">
        <v>60</v>
      </c>
      <c r="K2985" t="s">
        <v>72</v>
      </c>
      <c r="L2985" t="s">
        <v>62</v>
      </c>
      <c r="M2985" t="s">
        <v>72</v>
      </c>
      <c r="N2985" t="s">
        <v>97</v>
      </c>
      <c r="O2985" t="s">
        <v>98</v>
      </c>
      <c r="P2985">
        <v>-20.144062999999999</v>
      </c>
      <c r="Q2985">
        <v>-44.909627999999998</v>
      </c>
      <c r="R2985" s="2" t="str">
        <f>HYPERLINK("https://www.google.com/maps?q=-20.1440630,-44.9096280","Abrir no Google Maps")</f>
        <v>Abrir no Google Maps</v>
      </c>
      <c r="S2985">
        <v>4</v>
      </c>
      <c r="T2985">
        <v>205.27083326529291</v>
      </c>
      <c r="U2985">
        <v>4</v>
      </c>
      <c r="V2985">
        <v>0.43255240757210001</v>
      </c>
      <c r="W2985">
        <v>1</v>
      </c>
      <c r="X2985">
        <v>0.43255240757210001</v>
      </c>
      <c r="Y2985">
        <v>747</v>
      </c>
      <c r="Z2985">
        <v>336.75785483480968</v>
      </c>
      <c r="AA2985">
        <v>198</v>
      </c>
      <c r="AB2985">
        <v>332</v>
      </c>
      <c r="AC2985">
        <v>536</v>
      </c>
      <c r="AD2985">
        <v>26.35</v>
      </c>
      <c r="AE2985">
        <v>542</v>
      </c>
      <c r="AF2985">
        <v>15</v>
      </c>
      <c r="AG2985">
        <v>174</v>
      </c>
      <c r="AH2985">
        <v>129</v>
      </c>
      <c r="AI2985">
        <v>2.77</v>
      </c>
      <c r="AJ2985">
        <v>32.1</v>
      </c>
      <c r="AK2985">
        <v>23.8</v>
      </c>
      <c r="AL2985">
        <v>-20.144164099999951</v>
      </c>
      <c r="AM2985">
        <v>-44.909420167767642</v>
      </c>
      <c r="AN2985">
        <v>-20.144164099999951</v>
      </c>
      <c r="AO2985">
        <v>-44.909420167767642</v>
      </c>
      <c r="AP2985">
        <v>-20.144062999999999</v>
      </c>
      <c r="AQ2985">
        <v>-44.909627999999998</v>
      </c>
      <c r="AR2985">
        <v>24.46321571724976</v>
      </c>
      <c r="AS2985" t="s">
        <v>65</v>
      </c>
      <c r="AT2985">
        <v>1</v>
      </c>
      <c r="AU2985" t="s">
        <v>99</v>
      </c>
      <c r="AV2985" t="s">
        <v>94</v>
      </c>
      <c r="AW2985" t="s">
        <v>60</v>
      </c>
      <c r="AX2985" t="s">
        <v>68</v>
      </c>
      <c r="AY2985" t="s">
        <v>69</v>
      </c>
      <c r="AZ2985" t="b">
        <v>1</v>
      </c>
    </row>
    <row r="2986" spans="1:52" x14ac:dyDescent="0.3">
      <c r="A2986" t="s">
        <v>52</v>
      </c>
      <c r="B2986" t="s">
        <v>53</v>
      </c>
      <c r="C2986" t="s">
        <v>54</v>
      </c>
      <c r="D2986" t="s">
        <v>55</v>
      </c>
      <c r="E2986" t="s">
        <v>2163</v>
      </c>
      <c r="F2986" t="s">
        <v>57</v>
      </c>
      <c r="G2986" t="s">
        <v>100</v>
      </c>
      <c r="H2986" t="s">
        <v>101</v>
      </c>
      <c r="I2986" t="s">
        <v>101</v>
      </c>
      <c r="J2986" t="s">
        <v>60</v>
      </c>
      <c r="K2986" t="s">
        <v>61</v>
      </c>
      <c r="L2986" t="s">
        <v>62</v>
      </c>
      <c r="M2986" t="s">
        <v>61</v>
      </c>
      <c r="N2986" t="s">
        <v>102</v>
      </c>
      <c r="O2986" t="s">
        <v>103</v>
      </c>
      <c r="P2986">
        <v>-20.151098999999999</v>
      </c>
      <c r="Q2986">
        <v>-44.909699000000003</v>
      </c>
      <c r="R2986" s="2" t="str">
        <f>HYPERLINK("https://www.google.com/maps?q=-20.1510990,-44.9096990","Abrir no Google Maps")</f>
        <v>Abrir no Google Maps</v>
      </c>
      <c r="S2986">
        <v>4</v>
      </c>
      <c r="T2986">
        <v>628.5023128813533</v>
      </c>
      <c r="U2986">
        <v>4</v>
      </c>
      <c r="V2986">
        <v>0.59250744047619042</v>
      </c>
      <c r="W2986">
        <v>1</v>
      </c>
      <c r="X2986">
        <v>0.59250744047619042</v>
      </c>
      <c r="Y2986">
        <v>747</v>
      </c>
      <c r="Z2986">
        <v>563.16456625265948</v>
      </c>
      <c r="AA2986">
        <v>198</v>
      </c>
      <c r="AB2986">
        <v>332</v>
      </c>
      <c r="AC2986">
        <v>536</v>
      </c>
      <c r="AD2986">
        <v>26.35</v>
      </c>
      <c r="AE2986">
        <v>542</v>
      </c>
      <c r="AF2986">
        <v>15</v>
      </c>
      <c r="AG2986">
        <v>174</v>
      </c>
      <c r="AH2986">
        <v>129</v>
      </c>
      <c r="AI2986">
        <v>2.77</v>
      </c>
      <c r="AJ2986">
        <v>32.1</v>
      </c>
      <c r="AK2986">
        <v>23.8</v>
      </c>
      <c r="AL2986">
        <v>-20.151307349999971</v>
      </c>
      <c r="AM2986">
        <v>-44.909772836123523</v>
      </c>
      <c r="AN2986">
        <v>-20.151307349999971</v>
      </c>
      <c r="AO2986">
        <v>-44.909772836123523</v>
      </c>
      <c r="AP2986">
        <v>-20.151098999999999</v>
      </c>
      <c r="AQ2986">
        <v>-44.909699000000003</v>
      </c>
      <c r="AR2986">
        <v>24.443417349564811</v>
      </c>
      <c r="AS2986" t="s">
        <v>65</v>
      </c>
      <c r="AT2986">
        <v>1</v>
      </c>
      <c r="AU2986" t="s">
        <v>104</v>
      </c>
      <c r="AV2986" t="s">
        <v>105</v>
      </c>
      <c r="AW2986" t="s">
        <v>60</v>
      </c>
      <c r="AX2986" t="s">
        <v>68</v>
      </c>
      <c r="AY2986" t="s">
        <v>69</v>
      </c>
      <c r="AZ2986" t="b">
        <v>1</v>
      </c>
    </row>
    <row r="2987" spans="1:52" x14ac:dyDescent="0.3">
      <c r="A2987" t="s">
        <v>52</v>
      </c>
      <c r="B2987" t="s">
        <v>53</v>
      </c>
      <c r="C2987" t="s">
        <v>54</v>
      </c>
      <c r="D2987" t="s">
        <v>55</v>
      </c>
      <c r="E2987" t="s">
        <v>2163</v>
      </c>
      <c r="F2987" t="s">
        <v>57</v>
      </c>
      <c r="G2987" t="s">
        <v>100</v>
      </c>
      <c r="H2987" t="s">
        <v>106</v>
      </c>
      <c r="I2987" t="s">
        <v>106</v>
      </c>
      <c r="J2987" t="s">
        <v>60</v>
      </c>
      <c r="K2987" t="s">
        <v>61</v>
      </c>
      <c r="L2987" t="s">
        <v>62</v>
      </c>
      <c r="M2987" t="s">
        <v>61</v>
      </c>
      <c r="N2987" t="s">
        <v>102</v>
      </c>
      <c r="O2987" t="s">
        <v>103</v>
      </c>
      <c r="P2987">
        <v>-20.151107</v>
      </c>
      <c r="Q2987">
        <v>-44.908918</v>
      </c>
      <c r="R2987" s="2" t="str">
        <f>HYPERLINK("https://www.google.com/maps?q=-20.1511070,-44.9089180","Abrir no Google Maps")</f>
        <v>Abrir no Google Maps</v>
      </c>
      <c r="S2987">
        <v>4</v>
      </c>
      <c r="T2987">
        <v>615.86400245321579</v>
      </c>
      <c r="U2987">
        <v>4</v>
      </c>
      <c r="V2987">
        <v>0.6778687522913357</v>
      </c>
      <c r="W2987">
        <v>0.85</v>
      </c>
      <c r="X2987">
        <v>0.57618843944763531</v>
      </c>
      <c r="Y2987">
        <v>747</v>
      </c>
      <c r="Z2987">
        <v>535.34543763764702</v>
      </c>
      <c r="AA2987">
        <v>198</v>
      </c>
      <c r="AB2987">
        <v>332</v>
      </c>
      <c r="AC2987">
        <v>536</v>
      </c>
      <c r="AD2987">
        <v>26.35</v>
      </c>
      <c r="AE2987">
        <v>542</v>
      </c>
      <c r="AF2987">
        <v>15</v>
      </c>
      <c r="AG2987">
        <v>174</v>
      </c>
      <c r="AH2987">
        <v>129</v>
      </c>
      <c r="AI2987">
        <v>2.77</v>
      </c>
      <c r="AJ2987">
        <v>32.1</v>
      </c>
      <c r="AK2987">
        <v>23.8</v>
      </c>
      <c r="AL2987">
        <v>-20.151307349999971</v>
      </c>
      <c r="AM2987">
        <v>-44.909024234051429</v>
      </c>
      <c r="AN2987">
        <v>-20.151307349999971</v>
      </c>
      <c r="AO2987">
        <v>-44.909024234051429</v>
      </c>
      <c r="AP2987">
        <v>-20.151107</v>
      </c>
      <c r="AQ2987">
        <v>-44.908918</v>
      </c>
      <c r="AR2987">
        <v>24.91340747371116</v>
      </c>
      <c r="AS2987" t="s">
        <v>65</v>
      </c>
      <c r="AT2987">
        <v>1</v>
      </c>
      <c r="AU2987" t="s">
        <v>107</v>
      </c>
      <c r="AV2987" t="s">
        <v>105</v>
      </c>
      <c r="AW2987" t="s">
        <v>60</v>
      </c>
      <c r="AX2987" t="s">
        <v>68</v>
      </c>
      <c r="AY2987" t="s">
        <v>69</v>
      </c>
      <c r="AZ2987" t="b">
        <v>1</v>
      </c>
    </row>
    <row r="2988" spans="1:52" x14ac:dyDescent="0.3">
      <c r="A2988" t="s">
        <v>52</v>
      </c>
      <c r="B2988" t="s">
        <v>53</v>
      </c>
      <c r="C2988" t="s">
        <v>54</v>
      </c>
      <c r="D2988" t="s">
        <v>55</v>
      </c>
      <c r="E2988" t="s">
        <v>2163</v>
      </c>
      <c r="F2988" t="s">
        <v>57</v>
      </c>
      <c r="G2988" t="s">
        <v>108</v>
      </c>
      <c r="H2988" t="s">
        <v>109</v>
      </c>
      <c r="I2988" t="s">
        <v>109</v>
      </c>
      <c r="J2988" t="s">
        <v>60</v>
      </c>
      <c r="K2988" t="s">
        <v>110</v>
      </c>
      <c r="L2988" t="s">
        <v>62</v>
      </c>
      <c r="M2988" t="s">
        <v>110</v>
      </c>
      <c r="N2988" t="s">
        <v>111</v>
      </c>
      <c r="O2988" t="s">
        <v>112</v>
      </c>
      <c r="P2988">
        <v>-20.122233999999999</v>
      </c>
      <c r="Q2988">
        <v>-44.909194999999997</v>
      </c>
      <c r="R2988" s="2" t="str">
        <f>HYPERLINK("https://www.google.com/maps?q=-20.1222340,-44.9091950","Abrir no Google Maps")</f>
        <v>Abrir no Google Maps</v>
      </c>
      <c r="S2988">
        <v>4</v>
      </c>
      <c r="T2988">
        <v>1171.396020763932</v>
      </c>
      <c r="U2988">
        <v>4</v>
      </c>
      <c r="V2988">
        <v>0.49810402684563748</v>
      </c>
      <c r="W2988">
        <v>0.85</v>
      </c>
      <c r="X2988">
        <v>0.42338842281879191</v>
      </c>
      <c r="Y2988">
        <v>567</v>
      </c>
      <c r="Z2988">
        <v>1238.711234283244</v>
      </c>
      <c r="AA2988">
        <v>198</v>
      </c>
      <c r="AB2988">
        <v>332</v>
      </c>
      <c r="AC2988">
        <v>536</v>
      </c>
      <c r="AD2988">
        <v>26.35</v>
      </c>
      <c r="AE2988">
        <v>542</v>
      </c>
      <c r="AF2988">
        <v>15</v>
      </c>
      <c r="AG2988">
        <v>174</v>
      </c>
      <c r="AH2988">
        <v>129</v>
      </c>
      <c r="AI2988">
        <v>2.77</v>
      </c>
      <c r="AJ2988">
        <v>32.1</v>
      </c>
      <c r="AK2988">
        <v>23.8</v>
      </c>
      <c r="AL2988">
        <v>-20.121881249999941</v>
      </c>
      <c r="AM2988">
        <v>-44.909273766094323</v>
      </c>
      <c r="AN2988">
        <v>-20.121881249999941</v>
      </c>
      <c r="AO2988">
        <v>-44.909273766094323</v>
      </c>
      <c r="AP2988">
        <v>-20.122233999999999</v>
      </c>
      <c r="AQ2988">
        <v>-44.909194999999997</v>
      </c>
      <c r="AR2988">
        <v>40.12192930593006</v>
      </c>
      <c r="AS2988" t="s">
        <v>65</v>
      </c>
      <c r="AT2988">
        <v>1</v>
      </c>
      <c r="AU2988" t="s">
        <v>113</v>
      </c>
      <c r="AV2988" t="s">
        <v>114</v>
      </c>
      <c r="AW2988" t="s">
        <v>60</v>
      </c>
      <c r="AX2988" t="s">
        <v>68</v>
      </c>
      <c r="AY2988" t="s">
        <v>69</v>
      </c>
      <c r="AZ2988" t="b">
        <v>1</v>
      </c>
    </row>
    <row r="2989" spans="1:52" x14ac:dyDescent="0.3">
      <c r="A2989" t="s">
        <v>52</v>
      </c>
      <c r="B2989" t="s">
        <v>53</v>
      </c>
      <c r="C2989" t="s">
        <v>54</v>
      </c>
      <c r="D2989" t="s">
        <v>55</v>
      </c>
      <c r="E2989" t="s">
        <v>2163</v>
      </c>
      <c r="F2989" t="s">
        <v>57</v>
      </c>
      <c r="G2989" t="s">
        <v>198</v>
      </c>
      <c r="H2989" t="s">
        <v>199</v>
      </c>
      <c r="I2989" t="s">
        <v>199</v>
      </c>
      <c r="J2989" t="s">
        <v>60</v>
      </c>
      <c r="K2989" t="s">
        <v>200</v>
      </c>
      <c r="L2989" t="s">
        <v>62</v>
      </c>
      <c r="M2989" t="s">
        <v>200</v>
      </c>
      <c r="N2989" t="s">
        <v>201</v>
      </c>
      <c r="O2989" t="s">
        <v>202</v>
      </c>
      <c r="P2989">
        <v>-20.122433000000001</v>
      </c>
      <c r="Q2989">
        <v>-44.897013999999999</v>
      </c>
      <c r="R2989" s="2" t="str">
        <f>HYPERLINK("https://www.google.com/maps?q=-20.1224330,-44.8970140","Abrir no Google Maps")</f>
        <v>Abrir no Google Maps</v>
      </c>
      <c r="S2989">
        <v>4</v>
      </c>
      <c r="T2989">
        <v>616.04759279207849</v>
      </c>
      <c r="U2989">
        <v>4</v>
      </c>
      <c r="V2989">
        <v>0.4782007962262888</v>
      </c>
      <c r="W2989">
        <v>0.85</v>
      </c>
      <c r="X2989">
        <v>0.4064706767923455</v>
      </c>
      <c r="Y2989">
        <v>567</v>
      </c>
      <c r="Z2989">
        <v>655.51024138861465</v>
      </c>
      <c r="AA2989">
        <v>198</v>
      </c>
      <c r="AB2989">
        <v>332</v>
      </c>
      <c r="AC2989">
        <v>536</v>
      </c>
      <c r="AD2989">
        <v>26.35</v>
      </c>
      <c r="AE2989">
        <v>542</v>
      </c>
      <c r="AF2989">
        <v>15</v>
      </c>
      <c r="AG2989">
        <v>174</v>
      </c>
      <c r="AH2989">
        <v>129</v>
      </c>
      <c r="AI2989">
        <v>2.77</v>
      </c>
      <c r="AJ2989">
        <v>32.1</v>
      </c>
      <c r="AK2989">
        <v>23.8</v>
      </c>
      <c r="AL2989">
        <v>-20.122144949999949</v>
      </c>
      <c r="AM2989">
        <v>-44.896761973125983</v>
      </c>
      <c r="AN2989">
        <v>-20.122144949999949</v>
      </c>
      <c r="AO2989">
        <v>-44.896761973125983</v>
      </c>
      <c r="AP2989">
        <v>-20.122433000000001</v>
      </c>
      <c r="AQ2989">
        <v>-44.897013999999999</v>
      </c>
      <c r="AR2989">
        <v>41.499066772735389</v>
      </c>
      <c r="AS2989" t="s">
        <v>65</v>
      </c>
      <c r="AT2989">
        <v>1</v>
      </c>
      <c r="AU2989" t="s">
        <v>203</v>
      </c>
      <c r="AV2989" t="s">
        <v>204</v>
      </c>
      <c r="AW2989" t="s">
        <v>60</v>
      </c>
      <c r="AX2989" t="s">
        <v>68</v>
      </c>
      <c r="AY2989" t="s">
        <v>69</v>
      </c>
      <c r="AZ2989" t="b">
        <v>1</v>
      </c>
    </row>
    <row r="2990" spans="1:52" x14ac:dyDescent="0.3">
      <c r="A2990" t="s">
        <v>52</v>
      </c>
      <c r="B2990" t="s">
        <v>53</v>
      </c>
      <c r="C2990" t="s">
        <v>54</v>
      </c>
      <c r="D2990" t="s">
        <v>55</v>
      </c>
      <c r="E2990" t="s">
        <v>2163</v>
      </c>
      <c r="F2990" t="s">
        <v>57</v>
      </c>
      <c r="G2990" t="s">
        <v>205</v>
      </c>
      <c r="H2990" t="s">
        <v>206</v>
      </c>
      <c r="I2990" t="s">
        <v>206</v>
      </c>
      <c r="J2990" t="s">
        <v>60</v>
      </c>
      <c r="K2990" t="s">
        <v>207</v>
      </c>
      <c r="L2990" t="s">
        <v>62</v>
      </c>
      <c r="M2990" t="s">
        <v>207</v>
      </c>
      <c r="N2990" t="s">
        <v>208</v>
      </c>
      <c r="O2990" t="s">
        <v>209</v>
      </c>
      <c r="P2990">
        <v>-20.117533999999999</v>
      </c>
      <c r="Q2990">
        <v>-44.892943000000002</v>
      </c>
      <c r="R2990" s="2" t="str">
        <f>HYPERLINK("https://www.google.com/maps?q=-20.1175340,-44.8929430","Abrir no Google Maps")</f>
        <v>Abrir no Google Maps</v>
      </c>
      <c r="S2990">
        <v>4</v>
      </c>
      <c r="T2990">
        <v>601.98486688021592</v>
      </c>
      <c r="U2990">
        <v>4</v>
      </c>
      <c r="V2990">
        <v>0.48760330578512401</v>
      </c>
      <c r="W2990">
        <v>0.85</v>
      </c>
      <c r="X2990">
        <v>0.4144628099173554</v>
      </c>
      <c r="Y2990">
        <v>567</v>
      </c>
      <c r="Z2990">
        <v>574.59225706016446</v>
      </c>
      <c r="AA2990">
        <v>198</v>
      </c>
      <c r="AB2990">
        <v>332</v>
      </c>
      <c r="AC2990">
        <v>536</v>
      </c>
      <c r="AD2990">
        <v>26.35</v>
      </c>
      <c r="AE2990">
        <v>542</v>
      </c>
      <c r="AF2990">
        <v>15</v>
      </c>
      <c r="AG2990">
        <v>174</v>
      </c>
      <c r="AH2990">
        <v>129</v>
      </c>
      <c r="AI2990">
        <v>2.77</v>
      </c>
      <c r="AJ2990">
        <v>32.1</v>
      </c>
      <c r="AK2990">
        <v>23.8</v>
      </c>
      <c r="AL2990">
        <v>-20.11671494999996</v>
      </c>
      <c r="AM2990">
        <v>-44.89352717833448</v>
      </c>
      <c r="AN2990">
        <v>-20.11671494999996</v>
      </c>
      <c r="AO2990">
        <v>-44.89352717833448</v>
      </c>
      <c r="AP2990">
        <v>-20.117533999999999</v>
      </c>
      <c r="AQ2990">
        <v>-44.892943000000002</v>
      </c>
      <c r="AR2990">
        <v>109.7357164799156</v>
      </c>
      <c r="AS2990" t="s">
        <v>65</v>
      </c>
      <c r="AT2990">
        <v>1</v>
      </c>
      <c r="AU2990" t="s">
        <v>210</v>
      </c>
      <c r="AV2990" t="s">
        <v>211</v>
      </c>
      <c r="AW2990" t="s">
        <v>60</v>
      </c>
      <c r="AX2990" t="s">
        <v>68</v>
      </c>
      <c r="AY2990" t="s">
        <v>69</v>
      </c>
      <c r="AZ2990" t="b">
        <v>1</v>
      </c>
    </row>
    <row r="2991" spans="1:52" x14ac:dyDescent="0.3">
      <c r="A2991" t="s">
        <v>52</v>
      </c>
      <c r="B2991" t="s">
        <v>53</v>
      </c>
      <c r="C2991" t="s">
        <v>54</v>
      </c>
      <c r="D2991" t="s">
        <v>55</v>
      </c>
      <c r="E2991" t="s">
        <v>2163</v>
      </c>
      <c r="F2991" t="s">
        <v>57</v>
      </c>
      <c r="G2991" t="s">
        <v>115</v>
      </c>
      <c r="H2991" t="s">
        <v>116</v>
      </c>
      <c r="I2991" t="s">
        <v>116</v>
      </c>
      <c r="J2991" t="s">
        <v>60</v>
      </c>
      <c r="K2991" t="s">
        <v>117</v>
      </c>
      <c r="L2991" t="s">
        <v>62</v>
      </c>
      <c r="M2991" t="s">
        <v>117</v>
      </c>
      <c r="N2991" t="s">
        <v>118</v>
      </c>
      <c r="O2991" t="s">
        <v>119</v>
      </c>
      <c r="P2991">
        <v>-20.116992</v>
      </c>
      <c r="Q2991">
        <v>-44.899355</v>
      </c>
      <c r="R2991" s="2" t="str">
        <f>HYPERLINK("https://www.google.com/maps?q=-20.1169920,-44.8993550","Abrir no Google Maps")</f>
        <v>Abrir no Google Maps</v>
      </c>
      <c r="S2991">
        <v>4</v>
      </c>
      <c r="T2991">
        <v>0</v>
      </c>
      <c r="U2991">
        <v>4</v>
      </c>
      <c r="V2991">
        <v>0.41483416277703927</v>
      </c>
      <c r="W2991">
        <v>1</v>
      </c>
      <c r="X2991">
        <v>0.41483416277703927</v>
      </c>
      <c r="Y2991">
        <v>567</v>
      </c>
      <c r="Z2991">
        <v>54.913678078353321</v>
      </c>
      <c r="AA2991">
        <v>198</v>
      </c>
      <c r="AB2991">
        <v>332</v>
      </c>
      <c r="AC2991">
        <v>536</v>
      </c>
      <c r="AD2991">
        <v>26.35</v>
      </c>
      <c r="AE2991">
        <v>542</v>
      </c>
      <c r="AF2991">
        <v>15</v>
      </c>
      <c r="AG2991">
        <v>174</v>
      </c>
      <c r="AH2991">
        <v>129</v>
      </c>
      <c r="AI2991">
        <v>2.77</v>
      </c>
      <c r="AJ2991">
        <v>32.1</v>
      </c>
      <c r="AK2991">
        <v>23.8</v>
      </c>
      <c r="AL2991">
        <v>-20.117107749999949</v>
      </c>
      <c r="AM2991">
        <v>-44.899271226243108</v>
      </c>
      <c r="AN2991">
        <v>-20.117107749999949</v>
      </c>
      <c r="AO2991">
        <v>-44.899271226243108</v>
      </c>
      <c r="AP2991">
        <v>-20.116992</v>
      </c>
      <c r="AQ2991">
        <v>-44.899355</v>
      </c>
      <c r="AR2991">
        <v>15.579196044083419</v>
      </c>
      <c r="AS2991" t="s">
        <v>65</v>
      </c>
      <c r="AT2991">
        <v>1</v>
      </c>
      <c r="AU2991" t="s">
        <v>120</v>
      </c>
      <c r="AV2991" t="s">
        <v>121</v>
      </c>
      <c r="AW2991" t="s">
        <v>60</v>
      </c>
      <c r="AX2991" t="s">
        <v>68</v>
      </c>
      <c r="AY2991" t="s">
        <v>69</v>
      </c>
      <c r="AZ2991" t="b">
        <v>1</v>
      </c>
    </row>
    <row r="2992" spans="1:52" x14ac:dyDescent="0.3">
      <c r="A2992" t="s">
        <v>52</v>
      </c>
      <c r="B2992" t="s">
        <v>53</v>
      </c>
      <c r="C2992" t="s">
        <v>54</v>
      </c>
      <c r="D2992" t="s">
        <v>55</v>
      </c>
      <c r="E2992" t="s">
        <v>2163</v>
      </c>
      <c r="F2992" t="s">
        <v>57</v>
      </c>
      <c r="G2992" t="s">
        <v>122</v>
      </c>
      <c r="H2992" t="s">
        <v>123</v>
      </c>
      <c r="I2992" t="s">
        <v>123</v>
      </c>
      <c r="J2992" t="s">
        <v>60</v>
      </c>
      <c r="K2992" t="s">
        <v>117</v>
      </c>
      <c r="L2992" t="s">
        <v>62</v>
      </c>
      <c r="M2992" t="s">
        <v>117</v>
      </c>
      <c r="N2992" t="s">
        <v>124</v>
      </c>
      <c r="O2992" t="s">
        <v>125</v>
      </c>
      <c r="P2992">
        <v>-20.11853</v>
      </c>
      <c r="Q2992">
        <v>-44.896925000000003</v>
      </c>
      <c r="R2992" s="2" t="str">
        <f>HYPERLINK("https://www.google.com/maps?q=-20.1185300,-44.8969250","Abrir no Google Maps")</f>
        <v>Abrir no Google Maps</v>
      </c>
      <c r="S2992">
        <v>4</v>
      </c>
      <c r="T2992">
        <v>325.32255721093247</v>
      </c>
      <c r="U2992">
        <v>4</v>
      </c>
      <c r="V2992">
        <v>0.42441848142849559</v>
      </c>
      <c r="W2992">
        <v>1</v>
      </c>
      <c r="X2992">
        <v>0.42441848142849559</v>
      </c>
      <c r="Y2992">
        <v>567</v>
      </c>
      <c r="Z2992">
        <v>306.04423478678871</v>
      </c>
      <c r="AA2992">
        <v>198</v>
      </c>
      <c r="AB2992">
        <v>332</v>
      </c>
      <c r="AC2992">
        <v>536</v>
      </c>
      <c r="AD2992">
        <v>26.35</v>
      </c>
      <c r="AE2992">
        <v>542</v>
      </c>
      <c r="AF2992">
        <v>15</v>
      </c>
      <c r="AG2992">
        <v>174</v>
      </c>
      <c r="AH2992">
        <v>129</v>
      </c>
      <c r="AI2992">
        <v>2.77</v>
      </c>
      <c r="AJ2992">
        <v>32.1</v>
      </c>
      <c r="AK2992">
        <v>23.8</v>
      </c>
      <c r="AL2992">
        <v>-20.118682499999949</v>
      </c>
      <c r="AM2992">
        <v>-44.896643089287927</v>
      </c>
      <c r="AN2992">
        <v>-20.118682499999949</v>
      </c>
      <c r="AO2992">
        <v>-44.896643089287927</v>
      </c>
      <c r="AP2992">
        <v>-20.11853</v>
      </c>
      <c r="AQ2992">
        <v>-44.896925000000003</v>
      </c>
      <c r="AR2992">
        <v>34.007698996886518</v>
      </c>
      <c r="AS2992" t="s">
        <v>65</v>
      </c>
      <c r="AT2992">
        <v>1</v>
      </c>
      <c r="AU2992" t="s">
        <v>126</v>
      </c>
      <c r="AV2992" t="s">
        <v>121</v>
      </c>
      <c r="AW2992" t="s">
        <v>60</v>
      </c>
      <c r="AX2992" t="s">
        <v>68</v>
      </c>
      <c r="AY2992" t="s">
        <v>69</v>
      </c>
      <c r="AZ2992" t="b">
        <v>1</v>
      </c>
    </row>
    <row r="2993" spans="1:52" x14ac:dyDescent="0.3">
      <c r="A2993" t="s">
        <v>52</v>
      </c>
      <c r="B2993" t="s">
        <v>53</v>
      </c>
      <c r="C2993" t="s">
        <v>54</v>
      </c>
      <c r="D2993" t="s">
        <v>55</v>
      </c>
      <c r="E2993" t="s">
        <v>2163</v>
      </c>
      <c r="F2993" t="s">
        <v>57</v>
      </c>
      <c r="G2993" t="s">
        <v>127</v>
      </c>
      <c r="H2993" t="s">
        <v>128</v>
      </c>
      <c r="I2993" t="s">
        <v>128</v>
      </c>
      <c r="J2993" t="s">
        <v>60</v>
      </c>
      <c r="K2993" t="s">
        <v>129</v>
      </c>
      <c r="L2993" t="s">
        <v>62</v>
      </c>
      <c r="M2993" t="s">
        <v>129</v>
      </c>
      <c r="N2993" t="s">
        <v>130</v>
      </c>
      <c r="O2993" t="s">
        <v>131</v>
      </c>
      <c r="P2993">
        <v>-20.130752000000001</v>
      </c>
      <c r="Q2993">
        <v>-44.865676999999998</v>
      </c>
      <c r="R2993" s="2" t="str">
        <f>HYPERLINK("https://www.google.com/maps?q=-20.1307520,-44.8656770","Abrir no Google Maps")</f>
        <v>Abrir no Google Maps</v>
      </c>
      <c r="S2993">
        <v>4</v>
      </c>
      <c r="T2993">
        <v>666.25741128624747</v>
      </c>
      <c r="U2993">
        <v>4</v>
      </c>
      <c r="V2993">
        <v>0.40018396846254928</v>
      </c>
      <c r="W2993">
        <v>1</v>
      </c>
      <c r="X2993">
        <v>0.40018396846254928</v>
      </c>
      <c r="Y2993">
        <v>387</v>
      </c>
      <c r="Z2993">
        <v>838.7193965949632</v>
      </c>
      <c r="AA2993">
        <v>198</v>
      </c>
      <c r="AB2993">
        <v>332</v>
      </c>
      <c r="AC2993">
        <v>536</v>
      </c>
      <c r="AD2993">
        <v>26.35</v>
      </c>
      <c r="AE2993">
        <v>542</v>
      </c>
      <c r="AF2993">
        <v>15</v>
      </c>
      <c r="AG2993">
        <v>174</v>
      </c>
      <c r="AH2993">
        <v>129</v>
      </c>
      <c r="AI2993">
        <v>2.77</v>
      </c>
      <c r="AJ2993">
        <v>32.1</v>
      </c>
      <c r="AK2993">
        <v>23.8</v>
      </c>
      <c r="AL2993">
        <v>-20.130734049999969</v>
      </c>
      <c r="AM2993">
        <v>-44.86564904282416</v>
      </c>
      <c r="AN2993">
        <v>-20.130734049999969</v>
      </c>
      <c r="AO2993">
        <v>-44.86564904282416</v>
      </c>
      <c r="AP2993">
        <v>-20.130752000000001</v>
      </c>
      <c r="AQ2993">
        <v>-44.865676999999998</v>
      </c>
      <c r="AR2993">
        <v>3.539952280780454</v>
      </c>
      <c r="AS2993" t="s">
        <v>65</v>
      </c>
      <c r="AT2993">
        <v>1</v>
      </c>
      <c r="AU2993" t="s">
        <v>132</v>
      </c>
      <c r="AV2993" t="s">
        <v>133</v>
      </c>
      <c r="AW2993" t="s">
        <v>60</v>
      </c>
      <c r="AX2993" t="s">
        <v>68</v>
      </c>
      <c r="AY2993" t="s">
        <v>69</v>
      </c>
      <c r="AZ2993" t="b">
        <v>1</v>
      </c>
    </row>
    <row r="2994" spans="1:52" x14ac:dyDescent="0.3">
      <c r="A2994" t="s">
        <v>52</v>
      </c>
      <c r="B2994" t="s">
        <v>53</v>
      </c>
      <c r="C2994" t="s">
        <v>54</v>
      </c>
      <c r="D2994" t="s">
        <v>55</v>
      </c>
      <c r="E2994" t="s">
        <v>2163</v>
      </c>
      <c r="F2994" t="s">
        <v>57</v>
      </c>
      <c r="G2994" t="s">
        <v>169</v>
      </c>
      <c r="H2994" t="s">
        <v>170</v>
      </c>
      <c r="I2994" t="s">
        <v>170</v>
      </c>
      <c r="J2994" t="s">
        <v>60</v>
      </c>
      <c r="K2994" t="s">
        <v>171</v>
      </c>
      <c r="L2994" t="s">
        <v>62</v>
      </c>
      <c r="M2994" t="s">
        <v>171</v>
      </c>
      <c r="N2994" t="s">
        <v>172</v>
      </c>
      <c r="O2994" t="s">
        <v>173</v>
      </c>
      <c r="P2994">
        <v>-20.15334</v>
      </c>
      <c r="Q2994">
        <v>-44.891691000000002</v>
      </c>
      <c r="R2994" s="2" t="str">
        <f>HYPERLINK("https://www.google.com/maps?q=-20.1533400,-44.8916910","Abrir no Google Maps")</f>
        <v>Abrir no Google Maps</v>
      </c>
      <c r="S2994">
        <v>4</v>
      </c>
      <c r="T2994">
        <v>263.82013116084107</v>
      </c>
      <c r="U2994">
        <v>4</v>
      </c>
      <c r="V2994">
        <v>0.43879773343187978</v>
      </c>
      <c r="W2994">
        <v>1</v>
      </c>
      <c r="X2994">
        <v>0.43879773343187978</v>
      </c>
      <c r="Y2994">
        <v>129</v>
      </c>
      <c r="Z2994">
        <v>72.771047355993247</v>
      </c>
      <c r="AA2994">
        <v>198</v>
      </c>
      <c r="AB2994">
        <v>332</v>
      </c>
      <c r="AC2994">
        <v>536</v>
      </c>
      <c r="AD2994">
        <v>26.35</v>
      </c>
      <c r="AE2994">
        <v>542</v>
      </c>
      <c r="AF2994">
        <v>15</v>
      </c>
      <c r="AG2994">
        <v>174</v>
      </c>
      <c r="AH2994">
        <v>129</v>
      </c>
      <c r="AI2994">
        <v>2.77</v>
      </c>
      <c r="AJ2994">
        <v>32.1</v>
      </c>
      <c r="AK2994">
        <v>23.8</v>
      </c>
      <c r="AL2994">
        <v>-20.153531799999971</v>
      </c>
      <c r="AM2994">
        <v>-44.89196779651779</v>
      </c>
      <c r="AN2994">
        <v>-20.153531799999971</v>
      </c>
      <c r="AO2994">
        <v>-44.89196779651779</v>
      </c>
      <c r="AP2994">
        <v>-20.15334</v>
      </c>
      <c r="AQ2994">
        <v>-44.891691000000002</v>
      </c>
      <c r="AR2994">
        <v>35.952871813310509</v>
      </c>
      <c r="AS2994" t="s">
        <v>65</v>
      </c>
      <c r="AT2994">
        <v>1</v>
      </c>
      <c r="AU2994" t="s">
        <v>174</v>
      </c>
      <c r="AV2994" t="s">
        <v>175</v>
      </c>
      <c r="AW2994" t="s">
        <v>60</v>
      </c>
      <c r="AX2994" t="s">
        <v>68</v>
      </c>
      <c r="AY2994" t="s">
        <v>69</v>
      </c>
      <c r="AZ2994" t="b">
        <v>1</v>
      </c>
    </row>
    <row r="2995" spans="1:52" x14ac:dyDescent="0.3">
      <c r="A2995" t="s">
        <v>52</v>
      </c>
      <c r="B2995" t="s">
        <v>53</v>
      </c>
      <c r="C2995" t="s">
        <v>54</v>
      </c>
      <c r="D2995" t="s">
        <v>55</v>
      </c>
      <c r="E2995" t="s">
        <v>2163</v>
      </c>
      <c r="F2995" t="s">
        <v>190</v>
      </c>
      <c r="G2995" t="s">
        <v>191</v>
      </c>
      <c r="H2995" t="s">
        <v>192</v>
      </c>
      <c r="I2995" t="s">
        <v>192</v>
      </c>
      <c r="J2995" t="s">
        <v>60</v>
      </c>
      <c r="K2995" t="s">
        <v>193</v>
      </c>
      <c r="L2995" t="s">
        <v>62</v>
      </c>
      <c r="M2995" t="s">
        <v>193</v>
      </c>
      <c r="N2995" t="s">
        <v>194</v>
      </c>
      <c r="O2995" t="s">
        <v>195</v>
      </c>
      <c r="P2995">
        <v>-20.143266000000001</v>
      </c>
      <c r="Q2995">
        <v>-44.912075000000002</v>
      </c>
      <c r="R2995" s="2" t="str">
        <f>HYPERLINK("https://www.google.com/maps?q=-20.1432660,-44.9120750","Abrir no Google Maps")</f>
        <v>Abrir no Google Maps</v>
      </c>
      <c r="S2995">
        <v>4</v>
      </c>
      <c r="T2995">
        <v>467.04339396175408</v>
      </c>
      <c r="U2995">
        <v>3</v>
      </c>
      <c r="V2995">
        <v>0.37317060670126201</v>
      </c>
      <c r="W2995">
        <v>1</v>
      </c>
      <c r="X2995">
        <v>0.37317060670126201</v>
      </c>
      <c r="Y2995">
        <v>747</v>
      </c>
      <c r="Z2995">
        <v>585.1742452866996</v>
      </c>
      <c r="AA2995">
        <v>198</v>
      </c>
      <c r="AB2995">
        <v>332</v>
      </c>
      <c r="AC2995">
        <v>536</v>
      </c>
      <c r="AD2995">
        <v>26.35</v>
      </c>
      <c r="AE2995">
        <v>542</v>
      </c>
      <c r="AF2995">
        <v>15</v>
      </c>
      <c r="AG2995">
        <v>174</v>
      </c>
      <c r="AH2995">
        <v>129</v>
      </c>
      <c r="AI2995">
        <v>2.77</v>
      </c>
      <c r="AJ2995">
        <v>32.1</v>
      </c>
      <c r="AK2995">
        <v>23.8</v>
      </c>
      <c r="AL2995">
        <v>-20.143307949999951</v>
      </c>
      <c r="AM2995">
        <v>-44.912066629431067</v>
      </c>
      <c r="AN2995">
        <v>-20.143307949999951</v>
      </c>
      <c r="AO2995">
        <v>-44.912066629431067</v>
      </c>
      <c r="AP2995">
        <v>-20.143266000000001</v>
      </c>
      <c r="AQ2995">
        <v>-44.912075000000002</v>
      </c>
      <c r="AR2995">
        <v>4.751108024498329</v>
      </c>
      <c r="AS2995" t="s">
        <v>65</v>
      </c>
      <c r="AT2995">
        <v>1</v>
      </c>
      <c r="AU2995" t="s">
        <v>196</v>
      </c>
      <c r="AV2995" t="s">
        <v>197</v>
      </c>
      <c r="AW2995" t="s">
        <v>60</v>
      </c>
      <c r="AX2995" t="s">
        <v>68</v>
      </c>
      <c r="AY2995" t="s">
        <v>69</v>
      </c>
      <c r="AZ2995" t="b">
        <v>1</v>
      </c>
    </row>
    <row r="2996" spans="1:52" x14ac:dyDescent="0.3">
      <c r="A2996" t="s">
        <v>52</v>
      </c>
      <c r="B2996" t="s">
        <v>53</v>
      </c>
      <c r="C2996" t="s">
        <v>54</v>
      </c>
      <c r="D2996" t="s">
        <v>55</v>
      </c>
      <c r="E2996" t="s">
        <v>2163</v>
      </c>
      <c r="F2996" t="s">
        <v>190</v>
      </c>
      <c r="G2996" t="s">
        <v>83</v>
      </c>
      <c r="H2996" t="s">
        <v>1253</v>
      </c>
      <c r="I2996" t="s">
        <v>1253</v>
      </c>
      <c r="J2996" t="s">
        <v>60</v>
      </c>
      <c r="K2996" t="s">
        <v>72</v>
      </c>
      <c r="L2996" t="s">
        <v>62</v>
      </c>
      <c r="M2996" t="s">
        <v>72</v>
      </c>
      <c r="N2996" t="s">
        <v>1254</v>
      </c>
      <c r="O2996" t="s">
        <v>1255</v>
      </c>
      <c r="P2996">
        <v>-20.147164</v>
      </c>
      <c r="Q2996">
        <v>-44.905259000000001</v>
      </c>
      <c r="R2996" s="2" t="str">
        <f>HYPERLINK("https://www.google.com/maps?q=-20.1471640,-44.9052590","Abrir no Google Maps")</f>
        <v>Abrir no Google Maps</v>
      </c>
      <c r="S2996">
        <v>4</v>
      </c>
      <c r="T2996">
        <v>364.08569180502712</v>
      </c>
      <c r="U2996">
        <v>3</v>
      </c>
      <c r="V2996">
        <v>0.3810819342803845</v>
      </c>
      <c r="W2996">
        <v>0.85</v>
      </c>
      <c r="X2996">
        <v>0.3239196441383268</v>
      </c>
      <c r="Y2996">
        <v>747</v>
      </c>
      <c r="Z2996">
        <v>309.89238988435022</v>
      </c>
      <c r="AA2996">
        <v>198</v>
      </c>
      <c r="AB2996">
        <v>332</v>
      </c>
      <c r="AC2996">
        <v>536</v>
      </c>
      <c r="AD2996">
        <v>26.35</v>
      </c>
      <c r="AE2996">
        <v>542</v>
      </c>
      <c r="AF2996">
        <v>15</v>
      </c>
      <c r="AG2996">
        <v>174</v>
      </c>
      <c r="AH2996">
        <v>129</v>
      </c>
      <c r="AI2996">
        <v>2.77</v>
      </c>
      <c r="AJ2996">
        <v>32.1</v>
      </c>
      <c r="AK2996">
        <v>23.8</v>
      </c>
      <c r="AL2996">
        <v>-20.14718674999995</v>
      </c>
      <c r="AM2996">
        <v>-44.905292621565764</v>
      </c>
      <c r="AN2996">
        <v>-20.147186749999939</v>
      </c>
      <c r="AO2996">
        <v>-44.905292621565764</v>
      </c>
      <c r="AP2996">
        <v>-20.147164</v>
      </c>
      <c r="AQ2996">
        <v>-44.905259000000001</v>
      </c>
      <c r="AR2996">
        <v>4.3312880650984971</v>
      </c>
      <c r="AS2996" t="s">
        <v>65</v>
      </c>
      <c r="AT2996">
        <v>1</v>
      </c>
      <c r="AU2996" t="s">
        <v>1256</v>
      </c>
      <c r="AV2996" t="s">
        <v>1257</v>
      </c>
      <c r="AW2996" t="s">
        <v>60</v>
      </c>
      <c r="AX2996" t="s">
        <v>68</v>
      </c>
      <c r="AY2996" t="s">
        <v>69</v>
      </c>
      <c r="AZ2996" t="b">
        <v>1</v>
      </c>
    </row>
    <row r="2997" spans="1:52" x14ac:dyDescent="0.3">
      <c r="A2997" t="s">
        <v>52</v>
      </c>
      <c r="B2997" t="s">
        <v>53</v>
      </c>
      <c r="C2997" t="s">
        <v>54</v>
      </c>
      <c r="D2997" t="s">
        <v>55</v>
      </c>
      <c r="E2997" t="s">
        <v>2163</v>
      </c>
      <c r="F2997" t="s">
        <v>190</v>
      </c>
      <c r="G2997" t="s">
        <v>212</v>
      </c>
      <c r="H2997" t="s">
        <v>213</v>
      </c>
      <c r="I2997" t="s">
        <v>213</v>
      </c>
      <c r="J2997" t="s">
        <v>60</v>
      </c>
      <c r="K2997" t="s">
        <v>214</v>
      </c>
      <c r="L2997" t="s">
        <v>62</v>
      </c>
      <c r="M2997" t="s">
        <v>214</v>
      </c>
      <c r="N2997" t="s">
        <v>215</v>
      </c>
      <c r="O2997" t="s">
        <v>216</v>
      </c>
      <c r="P2997">
        <v>-20.158149000000002</v>
      </c>
      <c r="Q2997">
        <v>-44.872593000000002</v>
      </c>
      <c r="R2997" s="2" t="str">
        <f>HYPERLINK("https://www.google.com/maps?q=-20.1581490,-44.8725930","Abrir no Google Maps")</f>
        <v>Abrir no Google Maps</v>
      </c>
      <c r="S2997">
        <v>4</v>
      </c>
      <c r="T2997">
        <v>0</v>
      </c>
      <c r="U2997">
        <v>3</v>
      </c>
      <c r="V2997">
        <v>0.36472396776369509</v>
      </c>
      <c r="W2997">
        <v>1</v>
      </c>
      <c r="X2997">
        <v>0.36472396776369509</v>
      </c>
      <c r="Y2997">
        <v>531</v>
      </c>
      <c r="Z2997">
        <v>127.8805352974544</v>
      </c>
      <c r="AA2997">
        <v>198</v>
      </c>
      <c r="AB2997">
        <v>332</v>
      </c>
      <c r="AC2997">
        <v>536</v>
      </c>
      <c r="AD2997">
        <v>26.35</v>
      </c>
      <c r="AE2997">
        <v>542</v>
      </c>
      <c r="AF2997">
        <v>15</v>
      </c>
      <c r="AG2997">
        <v>174</v>
      </c>
      <c r="AH2997">
        <v>129</v>
      </c>
      <c r="AI2997">
        <v>2.77</v>
      </c>
      <c r="AJ2997">
        <v>32.1</v>
      </c>
      <c r="AK2997">
        <v>23.8</v>
      </c>
      <c r="AL2997">
        <v>-20.158114249999951</v>
      </c>
      <c r="AM2997">
        <v>-44.872583123264782</v>
      </c>
      <c r="AN2997">
        <v>-20.158114249999951</v>
      </c>
      <c r="AO2997">
        <v>-44.872583123264782</v>
      </c>
      <c r="AP2997">
        <v>-20.158149000000002</v>
      </c>
      <c r="AQ2997">
        <v>-44.872593000000002</v>
      </c>
      <c r="AR2997">
        <v>4.0036956087599238</v>
      </c>
      <c r="AS2997" t="s">
        <v>65</v>
      </c>
      <c r="AT2997">
        <v>1</v>
      </c>
      <c r="AU2997" t="s">
        <v>217</v>
      </c>
      <c r="AV2997" t="s">
        <v>218</v>
      </c>
      <c r="AW2997" t="s">
        <v>60</v>
      </c>
      <c r="AX2997" t="s">
        <v>68</v>
      </c>
      <c r="AY2997" t="s">
        <v>69</v>
      </c>
      <c r="AZ2997" t="b">
        <v>1</v>
      </c>
    </row>
    <row r="2998" spans="1:52" x14ac:dyDescent="0.3">
      <c r="A2998" t="s">
        <v>52</v>
      </c>
      <c r="B2998" t="s">
        <v>53</v>
      </c>
      <c r="C2998" t="s">
        <v>54</v>
      </c>
      <c r="D2998" t="s">
        <v>55</v>
      </c>
      <c r="E2998" t="s">
        <v>2163</v>
      </c>
      <c r="F2998" t="s">
        <v>190</v>
      </c>
      <c r="G2998" t="s">
        <v>219</v>
      </c>
      <c r="H2998" t="s">
        <v>220</v>
      </c>
      <c r="I2998" t="s">
        <v>220</v>
      </c>
      <c r="J2998" t="s">
        <v>60</v>
      </c>
      <c r="K2998" t="s">
        <v>214</v>
      </c>
      <c r="L2998" t="s">
        <v>62</v>
      </c>
      <c r="M2998" t="s">
        <v>214</v>
      </c>
      <c r="N2998" t="s">
        <v>221</v>
      </c>
      <c r="O2998" t="s">
        <v>222</v>
      </c>
      <c r="P2998">
        <v>-20.158049999999999</v>
      </c>
      <c r="Q2998">
        <v>-44.868823999999996</v>
      </c>
      <c r="R2998" s="2" t="str">
        <f>HYPERLINK("https://www.google.com/maps?q=-20.1580500,-44.8688240","Abrir no Google Maps")</f>
        <v>Abrir no Google Maps</v>
      </c>
      <c r="S2998">
        <v>4</v>
      </c>
      <c r="T2998">
        <v>400.85705002223079</v>
      </c>
      <c r="U2998">
        <v>3</v>
      </c>
      <c r="V2998">
        <v>0.35493073828751159</v>
      </c>
      <c r="W2998">
        <v>1</v>
      </c>
      <c r="X2998">
        <v>0.35493073828751159</v>
      </c>
      <c r="Y2998">
        <v>531</v>
      </c>
      <c r="Z2998">
        <v>493.98501624607121</v>
      </c>
      <c r="AA2998">
        <v>198</v>
      </c>
      <c r="AB2998">
        <v>332</v>
      </c>
      <c r="AC2998">
        <v>536</v>
      </c>
      <c r="AD2998">
        <v>26.35</v>
      </c>
      <c r="AE2998">
        <v>542</v>
      </c>
      <c r="AF2998">
        <v>15</v>
      </c>
      <c r="AG2998">
        <v>174</v>
      </c>
      <c r="AH2998">
        <v>129</v>
      </c>
      <c r="AI2998">
        <v>2.77</v>
      </c>
      <c r="AJ2998">
        <v>32.1</v>
      </c>
      <c r="AK2998">
        <v>23.8</v>
      </c>
      <c r="AL2998">
        <v>-20.158020649999969</v>
      </c>
      <c r="AM2998">
        <v>-44.868748475381317</v>
      </c>
      <c r="AN2998">
        <v>-20.158020649999969</v>
      </c>
      <c r="AO2998">
        <v>-44.868748475381331</v>
      </c>
      <c r="AP2998">
        <v>-20.158049999999999</v>
      </c>
      <c r="AQ2998">
        <v>-44.868823999999996</v>
      </c>
      <c r="AR2998">
        <v>8.5419571471718818</v>
      </c>
      <c r="AS2998" t="s">
        <v>65</v>
      </c>
      <c r="AT2998">
        <v>1</v>
      </c>
      <c r="AU2998" t="s">
        <v>223</v>
      </c>
      <c r="AV2998" t="s">
        <v>224</v>
      </c>
      <c r="AW2998" t="s">
        <v>60</v>
      </c>
      <c r="AX2998" t="s">
        <v>68</v>
      </c>
      <c r="AY2998" t="s">
        <v>69</v>
      </c>
      <c r="AZ2998" t="b">
        <v>1</v>
      </c>
    </row>
    <row r="2999" spans="1:52" x14ac:dyDescent="0.3">
      <c r="A2999" t="s">
        <v>52</v>
      </c>
      <c r="B2999" t="s">
        <v>53</v>
      </c>
      <c r="C2999" t="s">
        <v>54</v>
      </c>
      <c r="D2999" t="s">
        <v>55</v>
      </c>
      <c r="E2999" t="s">
        <v>2163</v>
      </c>
      <c r="F2999" t="s">
        <v>190</v>
      </c>
      <c r="G2999" t="s">
        <v>225</v>
      </c>
      <c r="H2999" t="s">
        <v>226</v>
      </c>
      <c r="I2999" t="s">
        <v>226</v>
      </c>
      <c r="J2999" t="s">
        <v>60</v>
      </c>
      <c r="K2999" t="s">
        <v>227</v>
      </c>
      <c r="L2999" t="s">
        <v>62</v>
      </c>
      <c r="M2999" t="s">
        <v>227</v>
      </c>
      <c r="N2999" t="s">
        <v>228</v>
      </c>
      <c r="O2999" t="s">
        <v>229</v>
      </c>
      <c r="P2999">
        <v>-20.156986</v>
      </c>
      <c r="Q2999">
        <v>-44.857474000000003</v>
      </c>
      <c r="R2999" s="2" t="str">
        <f>HYPERLINK("https://www.google.com/maps?q=-20.1569860,-44.8574740","Abrir no Google Maps")</f>
        <v>Abrir no Google Maps</v>
      </c>
      <c r="S2999">
        <v>4</v>
      </c>
      <c r="T2999">
        <v>270.52797591847911</v>
      </c>
      <c r="U2999">
        <v>3</v>
      </c>
      <c r="V2999">
        <v>0.33624296057924369</v>
      </c>
      <c r="W2999">
        <v>1</v>
      </c>
      <c r="X2999">
        <v>0.33624296057924369</v>
      </c>
      <c r="Y2999">
        <v>518</v>
      </c>
      <c r="Z2999">
        <v>441.86584449256071</v>
      </c>
      <c r="AA2999">
        <v>198</v>
      </c>
      <c r="AB2999">
        <v>332</v>
      </c>
      <c r="AC2999">
        <v>536</v>
      </c>
      <c r="AD2999">
        <v>26.35</v>
      </c>
      <c r="AE2999">
        <v>542</v>
      </c>
      <c r="AF2999">
        <v>15</v>
      </c>
      <c r="AG2999">
        <v>174</v>
      </c>
      <c r="AH2999">
        <v>129</v>
      </c>
      <c r="AI2999">
        <v>2.77</v>
      </c>
      <c r="AJ2999">
        <v>32.1</v>
      </c>
      <c r="AK2999">
        <v>23.8</v>
      </c>
      <c r="AL2999">
        <v>-20.156957249999952</v>
      </c>
      <c r="AM2999">
        <v>-44.857396682659299</v>
      </c>
      <c r="AN2999">
        <v>-20.156957249999952</v>
      </c>
      <c r="AO2999">
        <v>-44.857396682659299</v>
      </c>
      <c r="AP2999">
        <v>-20.156986</v>
      </c>
      <c r="AQ2999">
        <v>-44.857474000000003</v>
      </c>
      <c r="AR2999">
        <v>8.6905800579264607</v>
      </c>
      <c r="AS2999" t="s">
        <v>65</v>
      </c>
      <c r="AT2999">
        <v>1</v>
      </c>
      <c r="AU2999" t="s">
        <v>230</v>
      </c>
      <c r="AV2999" t="s">
        <v>231</v>
      </c>
      <c r="AW2999" t="s">
        <v>60</v>
      </c>
      <c r="AX2999" t="s">
        <v>68</v>
      </c>
      <c r="AY2999" t="s">
        <v>69</v>
      </c>
      <c r="AZ2999" t="b">
        <v>1</v>
      </c>
    </row>
    <row r="3000" spans="1:52" x14ac:dyDescent="0.3">
      <c r="A3000" t="s">
        <v>52</v>
      </c>
      <c r="B3000" t="s">
        <v>53</v>
      </c>
      <c r="C3000" t="s">
        <v>54</v>
      </c>
      <c r="D3000" t="s">
        <v>55</v>
      </c>
      <c r="E3000" t="s">
        <v>2163</v>
      </c>
      <c r="F3000" t="s">
        <v>190</v>
      </c>
      <c r="G3000" t="s">
        <v>232</v>
      </c>
      <c r="H3000" t="s">
        <v>233</v>
      </c>
      <c r="I3000" t="s">
        <v>233</v>
      </c>
      <c r="J3000" t="s">
        <v>60</v>
      </c>
      <c r="K3000" t="s">
        <v>227</v>
      </c>
      <c r="L3000" t="s">
        <v>62</v>
      </c>
      <c r="M3000" t="s">
        <v>227</v>
      </c>
      <c r="N3000" t="s">
        <v>234</v>
      </c>
      <c r="O3000" t="s">
        <v>235</v>
      </c>
      <c r="P3000">
        <v>-20.158666</v>
      </c>
      <c r="Q3000">
        <v>-44.861398999999999</v>
      </c>
      <c r="R3000" s="2" t="str">
        <f>HYPERLINK("https://www.google.com/maps?q=-20.1586660,-44.8613990","Abrir no Google Maps")</f>
        <v>Abrir no Google Maps</v>
      </c>
      <c r="S3000">
        <v>4</v>
      </c>
      <c r="T3000">
        <v>330.01505397941582</v>
      </c>
      <c r="U3000">
        <v>3</v>
      </c>
      <c r="V3000">
        <v>0.3559297973932119</v>
      </c>
      <c r="W3000">
        <v>1</v>
      </c>
      <c r="X3000">
        <v>0.3559297973932119</v>
      </c>
      <c r="Y3000">
        <v>518</v>
      </c>
      <c r="Z3000">
        <v>251.8092920281106</v>
      </c>
      <c r="AA3000">
        <v>198</v>
      </c>
      <c r="AB3000">
        <v>332</v>
      </c>
      <c r="AC3000">
        <v>536</v>
      </c>
      <c r="AD3000">
        <v>26.35</v>
      </c>
      <c r="AE3000">
        <v>542</v>
      </c>
      <c r="AF3000">
        <v>15</v>
      </c>
      <c r="AG3000">
        <v>174</v>
      </c>
      <c r="AH3000">
        <v>129</v>
      </c>
      <c r="AI3000">
        <v>2.77</v>
      </c>
      <c r="AJ3000">
        <v>32.1</v>
      </c>
      <c r="AK3000">
        <v>23.8</v>
      </c>
      <c r="AL3000">
        <v>-20.158631449999969</v>
      </c>
      <c r="AM3000">
        <v>-44.861424574758061</v>
      </c>
      <c r="AN3000">
        <v>-20.158631449999969</v>
      </c>
      <c r="AO3000">
        <v>-44.861424574758061</v>
      </c>
      <c r="AP3000">
        <v>-20.158666</v>
      </c>
      <c r="AQ3000">
        <v>-44.861398999999999</v>
      </c>
      <c r="AR3000">
        <v>4.6835056709567411</v>
      </c>
      <c r="AS3000" t="s">
        <v>65</v>
      </c>
      <c r="AT3000">
        <v>1</v>
      </c>
      <c r="AU3000" t="s">
        <v>236</v>
      </c>
      <c r="AV3000" t="s">
        <v>237</v>
      </c>
      <c r="AW3000" t="s">
        <v>60</v>
      </c>
      <c r="AX3000" t="s">
        <v>68</v>
      </c>
      <c r="AY3000" t="s">
        <v>69</v>
      </c>
      <c r="AZ3000" t="b">
        <v>1</v>
      </c>
    </row>
    <row r="3001" spans="1:52" x14ac:dyDescent="0.3">
      <c r="A3001" t="s">
        <v>52</v>
      </c>
      <c r="B3001" t="s">
        <v>53</v>
      </c>
      <c r="C3001" t="s">
        <v>54</v>
      </c>
      <c r="D3001" t="s">
        <v>55</v>
      </c>
      <c r="E3001" t="s">
        <v>2163</v>
      </c>
      <c r="F3001" t="s">
        <v>190</v>
      </c>
      <c r="G3001" t="s">
        <v>238</v>
      </c>
      <c r="H3001" t="s">
        <v>239</v>
      </c>
      <c r="I3001" t="s">
        <v>239</v>
      </c>
      <c r="J3001" t="s">
        <v>60</v>
      </c>
      <c r="K3001" t="s">
        <v>227</v>
      </c>
      <c r="L3001" t="s">
        <v>62</v>
      </c>
      <c r="M3001" t="s">
        <v>227</v>
      </c>
      <c r="N3001" t="s">
        <v>240</v>
      </c>
      <c r="O3001" t="s">
        <v>202</v>
      </c>
      <c r="P3001">
        <v>-20.155833999999999</v>
      </c>
      <c r="Q3001">
        <v>-44.859437999999997</v>
      </c>
      <c r="R3001" s="2" t="str">
        <f>HYPERLINK("https://www.google.com/maps?q=-20.1558340,-44.8594380","Abrir no Google Maps")</f>
        <v>Abrir no Google Maps</v>
      </c>
      <c r="S3001">
        <v>4</v>
      </c>
      <c r="T3001">
        <v>381.00646482339403</v>
      </c>
      <c r="U3001">
        <v>3</v>
      </c>
      <c r="V3001">
        <v>0.33305263157894738</v>
      </c>
      <c r="W3001">
        <v>1</v>
      </c>
      <c r="X3001">
        <v>0.33305263157894738</v>
      </c>
      <c r="Y3001">
        <v>518</v>
      </c>
      <c r="Z3001">
        <v>484.9275363207239</v>
      </c>
      <c r="AA3001">
        <v>198</v>
      </c>
      <c r="AB3001">
        <v>332</v>
      </c>
      <c r="AC3001">
        <v>536</v>
      </c>
      <c r="AD3001">
        <v>26.35</v>
      </c>
      <c r="AE3001">
        <v>542</v>
      </c>
      <c r="AF3001">
        <v>15</v>
      </c>
      <c r="AG3001">
        <v>174</v>
      </c>
      <c r="AH3001">
        <v>129</v>
      </c>
      <c r="AI3001">
        <v>2.77</v>
      </c>
      <c r="AJ3001">
        <v>32.1</v>
      </c>
      <c r="AK3001">
        <v>23.8</v>
      </c>
      <c r="AL3001">
        <v>-20.155935399999979</v>
      </c>
      <c r="AM3001">
        <v>-44.859367525422847</v>
      </c>
      <c r="AN3001">
        <v>-20.155935399999979</v>
      </c>
      <c r="AO3001">
        <v>-44.859367525422847</v>
      </c>
      <c r="AP3001">
        <v>-20.155833999999999</v>
      </c>
      <c r="AQ3001">
        <v>-44.859437999999997</v>
      </c>
      <c r="AR3001">
        <v>13.477960508152201</v>
      </c>
      <c r="AS3001" t="s">
        <v>65</v>
      </c>
      <c r="AT3001">
        <v>1</v>
      </c>
      <c r="AU3001" t="s">
        <v>241</v>
      </c>
      <c r="AV3001" t="s">
        <v>242</v>
      </c>
      <c r="AW3001" t="s">
        <v>60</v>
      </c>
      <c r="AX3001" t="s">
        <v>68</v>
      </c>
      <c r="AY3001" t="s">
        <v>69</v>
      </c>
      <c r="AZ3001" t="b">
        <v>1</v>
      </c>
    </row>
    <row r="3002" spans="1:52" x14ac:dyDescent="0.3">
      <c r="A3002" t="s">
        <v>52</v>
      </c>
      <c r="B3002" t="s">
        <v>53</v>
      </c>
      <c r="C3002" t="s">
        <v>54</v>
      </c>
      <c r="D3002" t="s">
        <v>55</v>
      </c>
      <c r="E3002" t="s">
        <v>2163</v>
      </c>
      <c r="F3002" t="s">
        <v>190</v>
      </c>
      <c r="G3002" t="s">
        <v>243</v>
      </c>
      <c r="H3002" t="s">
        <v>244</v>
      </c>
      <c r="I3002" t="s">
        <v>244</v>
      </c>
      <c r="J3002" t="s">
        <v>60</v>
      </c>
      <c r="K3002" t="s">
        <v>214</v>
      </c>
      <c r="L3002" t="s">
        <v>62</v>
      </c>
      <c r="M3002" t="s">
        <v>214</v>
      </c>
      <c r="N3002" t="s">
        <v>245</v>
      </c>
      <c r="O3002" t="s">
        <v>246</v>
      </c>
      <c r="P3002">
        <v>-20.156296999999999</v>
      </c>
      <c r="Q3002">
        <v>-44.873035999999999</v>
      </c>
      <c r="R3002" s="2" t="str">
        <f>HYPERLINK("https://www.google.com/maps?q=-20.1562970,-44.8730360","Abrir no Google Maps")</f>
        <v>Abrir no Google Maps</v>
      </c>
      <c r="S3002">
        <v>4</v>
      </c>
      <c r="T3002">
        <v>198.04479306725889</v>
      </c>
      <c r="U3002">
        <v>3</v>
      </c>
      <c r="V3002">
        <v>0.37107963875205252</v>
      </c>
      <c r="W3002">
        <v>1</v>
      </c>
      <c r="X3002">
        <v>0.37107963875205252</v>
      </c>
      <c r="Y3002">
        <v>305</v>
      </c>
      <c r="Z3002">
        <v>267.7765515134916</v>
      </c>
      <c r="AA3002">
        <v>198</v>
      </c>
      <c r="AB3002">
        <v>332</v>
      </c>
      <c r="AC3002">
        <v>536</v>
      </c>
      <c r="AD3002">
        <v>26.35</v>
      </c>
      <c r="AE3002">
        <v>542</v>
      </c>
      <c r="AF3002">
        <v>15</v>
      </c>
      <c r="AG3002">
        <v>174</v>
      </c>
      <c r="AH3002">
        <v>129</v>
      </c>
      <c r="AI3002">
        <v>2.77</v>
      </c>
      <c r="AJ3002">
        <v>32.1</v>
      </c>
      <c r="AK3002">
        <v>23.8</v>
      </c>
      <c r="AL3002">
        <v>-20.156361349999941</v>
      </c>
      <c r="AM3002">
        <v>-44.87296512500793</v>
      </c>
      <c r="AN3002">
        <v>-20.156361349999941</v>
      </c>
      <c r="AO3002">
        <v>-44.87296512500793</v>
      </c>
      <c r="AP3002">
        <v>-20.156296999999999</v>
      </c>
      <c r="AQ3002">
        <v>-44.873035999999999</v>
      </c>
      <c r="AR3002">
        <v>10.304009356726979</v>
      </c>
      <c r="AS3002" t="s">
        <v>65</v>
      </c>
      <c r="AT3002">
        <v>1</v>
      </c>
      <c r="AU3002" t="s">
        <v>247</v>
      </c>
      <c r="AV3002" t="s">
        <v>248</v>
      </c>
      <c r="AW3002" t="s">
        <v>60</v>
      </c>
      <c r="AX3002" t="s">
        <v>68</v>
      </c>
      <c r="AY3002" t="s">
        <v>69</v>
      </c>
      <c r="AZ3002" t="b">
        <v>1</v>
      </c>
    </row>
    <row r="3003" spans="1:52" x14ac:dyDescent="0.3">
      <c r="A3003" t="s">
        <v>52</v>
      </c>
      <c r="B3003" t="s">
        <v>53</v>
      </c>
      <c r="C3003" t="s">
        <v>54</v>
      </c>
      <c r="D3003" t="s">
        <v>55</v>
      </c>
      <c r="E3003" t="s">
        <v>2163</v>
      </c>
      <c r="F3003" t="s">
        <v>190</v>
      </c>
      <c r="G3003" t="s">
        <v>212</v>
      </c>
      <c r="H3003" t="s">
        <v>249</v>
      </c>
      <c r="I3003" t="s">
        <v>249</v>
      </c>
      <c r="J3003" t="s">
        <v>60</v>
      </c>
      <c r="K3003" t="s">
        <v>214</v>
      </c>
      <c r="L3003" t="s">
        <v>62</v>
      </c>
      <c r="M3003" t="s">
        <v>214</v>
      </c>
      <c r="N3003" t="s">
        <v>215</v>
      </c>
      <c r="O3003" t="s">
        <v>250</v>
      </c>
      <c r="P3003">
        <v>-20.153901000000001</v>
      </c>
      <c r="Q3003">
        <v>-44.873201000000002</v>
      </c>
      <c r="R3003" s="2" t="str">
        <f>HYPERLINK("https://www.google.com/maps?q=-20.1539010,-44.8732010","Abrir no Google Maps")</f>
        <v>Abrir no Google Maps</v>
      </c>
      <c r="S3003">
        <v>4</v>
      </c>
      <c r="T3003">
        <v>478.23282142593177</v>
      </c>
      <c r="U3003">
        <v>3</v>
      </c>
      <c r="V3003">
        <v>0.3540540540540541</v>
      </c>
      <c r="W3003">
        <v>1</v>
      </c>
      <c r="X3003">
        <v>0.3540540540540541</v>
      </c>
      <c r="Y3003">
        <v>305</v>
      </c>
      <c r="Z3003">
        <v>392.82025973713081</v>
      </c>
      <c r="AA3003">
        <v>198</v>
      </c>
      <c r="AB3003">
        <v>332</v>
      </c>
      <c r="AC3003">
        <v>536</v>
      </c>
      <c r="AD3003">
        <v>26.35</v>
      </c>
      <c r="AE3003">
        <v>542</v>
      </c>
      <c r="AF3003">
        <v>15</v>
      </c>
      <c r="AG3003">
        <v>174</v>
      </c>
      <c r="AH3003">
        <v>129</v>
      </c>
      <c r="AI3003">
        <v>2.77</v>
      </c>
      <c r="AJ3003">
        <v>32.1</v>
      </c>
      <c r="AK3003">
        <v>23.8</v>
      </c>
      <c r="AL3003">
        <v>-20.153814849999971</v>
      </c>
      <c r="AM3003">
        <v>-44.87304592111829</v>
      </c>
      <c r="AN3003">
        <v>-20.153814849999971</v>
      </c>
      <c r="AO3003">
        <v>-44.87304592111829</v>
      </c>
      <c r="AP3003">
        <v>-20.153901000000001</v>
      </c>
      <c r="AQ3003">
        <v>-44.873201000000002</v>
      </c>
      <c r="AR3003">
        <v>18.831316146831309</v>
      </c>
      <c r="AS3003" t="s">
        <v>65</v>
      </c>
      <c r="AT3003">
        <v>1</v>
      </c>
      <c r="AU3003" t="s">
        <v>251</v>
      </c>
      <c r="AV3003" t="s">
        <v>252</v>
      </c>
      <c r="AW3003" t="s">
        <v>60</v>
      </c>
      <c r="AX3003" t="s">
        <v>68</v>
      </c>
      <c r="AY3003" t="s">
        <v>69</v>
      </c>
      <c r="AZ3003" t="b">
        <v>1</v>
      </c>
    </row>
    <row r="3004" spans="1:52" x14ac:dyDescent="0.3">
      <c r="A3004" t="s">
        <v>52</v>
      </c>
      <c r="B3004" t="s">
        <v>53</v>
      </c>
      <c r="C3004" t="s">
        <v>54</v>
      </c>
      <c r="D3004" t="s">
        <v>55</v>
      </c>
      <c r="E3004" t="s">
        <v>2163</v>
      </c>
      <c r="F3004" t="s">
        <v>190</v>
      </c>
      <c r="G3004" t="s">
        <v>134</v>
      </c>
      <c r="H3004" t="s">
        <v>135</v>
      </c>
      <c r="I3004" t="s">
        <v>135</v>
      </c>
      <c r="J3004" t="s">
        <v>60</v>
      </c>
      <c r="K3004" t="s">
        <v>136</v>
      </c>
      <c r="L3004" t="s">
        <v>62</v>
      </c>
      <c r="M3004" t="s">
        <v>136</v>
      </c>
      <c r="N3004" t="s">
        <v>137</v>
      </c>
      <c r="O3004" t="s">
        <v>138</v>
      </c>
      <c r="P3004">
        <v>-20.165773000000002</v>
      </c>
      <c r="Q3004">
        <v>-44.847566999999998</v>
      </c>
      <c r="R3004" s="2" t="str">
        <f>HYPERLINK("https://www.google.com/maps?q=-20.1657730,-44.8475670","Abrir no Google Maps")</f>
        <v>Abrir no Google Maps</v>
      </c>
      <c r="S3004">
        <v>4</v>
      </c>
      <c r="T3004">
        <v>0</v>
      </c>
      <c r="U3004">
        <v>3</v>
      </c>
      <c r="V3004">
        <v>0.3284347681905691</v>
      </c>
      <c r="W3004">
        <v>1</v>
      </c>
      <c r="X3004">
        <v>0.3284347681905691</v>
      </c>
      <c r="Y3004">
        <v>292</v>
      </c>
      <c r="Z3004">
        <v>98.987346341524855</v>
      </c>
      <c r="AA3004">
        <v>198</v>
      </c>
      <c r="AB3004">
        <v>332</v>
      </c>
      <c r="AC3004">
        <v>536</v>
      </c>
      <c r="AD3004">
        <v>26.35</v>
      </c>
      <c r="AE3004">
        <v>542</v>
      </c>
      <c r="AF3004">
        <v>15</v>
      </c>
      <c r="AG3004">
        <v>174</v>
      </c>
      <c r="AH3004">
        <v>129</v>
      </c>
      <c r="AI3004">
        <v>2.77</v>
      </c>
      <c r="AJ3004">
        <v>32.1</v>
      </c>
      <c r="AK3004">
        <v>23.8</v>
      </c>
      <c r="AL3004">
        <v>-20.16565029999995</v>
      </c>
      <c r="AM3004">
        <v>-44.847556627666897</v>
      </c>
      <c r="AN3004">
        <v>-20.16565029999995</v>
      </c>
      <c r="AO3004">
        <v>-44.847556627666897</v>
      </c>
      <c r="AP3004">
        <v>-20.165773000000002</v>
      </c>
      <c r="AQ3004">
        <v>-44.847566999999998</v>
      </c>
      <c r="AR3004">
        <v>13.701900146251189</v>
      </c>
      <c r="AS3004" t="s">
        <v>65</v>
      </c>
      <c r="AT3004">
        <v>1</v>
      </c>
      <c r="AU3004" t="s">
        <v>139</v>
      </c>
      <c r="AV3004" t="s">
        <v>140</v>
      </c>
      <c r="AW3004" t="s">
        <v>60</v>
      </c>
      <c r="AX3004" t="s">
        <v>68</v>
      </c>
      <c r="AY3004" t="s">
        <v>69</v>
      </c>
      <c r="AZ3004" t="b">
        <v>1</v>
      </c>
    </row>
    <row r="3005" spans="1:52" x14ac:dyDescent="0.3">
      <c r="A3005" t="s">
        <v>52</v>
      </c>
      <c r="B3005" t="s">
        <v>53</v>
      </c>
      <c r="C3005" t="s">
        <v>54</v>
      </c>
      <c r="D3005" t="s">
        <v>55</v>
      </c>
      <c r="E3005" t="s">
        <v>2163</v>
      </c>
      <c r="F3005" t="s">
        <v>190</v>
      </c>
      <c r="G3005" t="s">
        <v>141</v>
      </c>
      <c r="H3005" t="s">
        <v>142</v>
      </c>
      <c r="I3005" t="s">
        <v>142</v>
      </c>
      <c r="J3005" t="s">
        <v>60</v>
      </c>
      <c r="K3005" t="s">
        <v>143</v>
      </c>
      <c r="L3005" t="s">
        <v>62</v>
      </c>
      <c r="M3005" t="s">
        <v>143</v>
      </c>
      <c r="N3005" t="s">
        <v>144</v>
      </c>
      <c r="O3005" t="s">
        <v>145</v>
      </c>
      <c r="P3005">
        <v>-20.163377000000001</v>
      </c>
      <c r="Q3005">
        <v>-44.843598</v>
      </c>
      <c r="R3005" s="2" t="str">
        <f>HYPERLINK("https://www.google.com/maps?q=-20.1633770,-44.8435980","Abrir no Google Maps")</f>
        <v>Abrir no Google Maps</v>
      </c>
      <c r="S3005">
        <v>4</v>
      </c>
      <c r="T3005">
        <v>481.58374128635978</v>
      </c>
      <c r="U3005">
        <v>3</v>
      </c>
      <c r="V3005">
        <v>0.32804693458492229</v>
      </c>
      <c r="W3005">
        <v>1</v>
      </c>
      <c r="X3005">
        <v>0.32804693458492229</v>
      </c>
      <c r="Y3005">
        <v>292</v>
      </c>
      <c r="Z3005">
        <v>575.44522663909652</v>
      </c>
      <c r="AA3005">
        <v>198</v>
      </c>
      <c r="AB3005">
        <v>332</v>
      </c>
      <c r="AC3005">
        <v>536</v>
      </c>
      <c r="AD3005">
        <v>26.35</v>
      </c>
      <c r="AE3005">
        <v>542</v>
      </c>
      <c r="AF3005">
        <v>15</v>
      </c>
      <c r="AG3005">
        <v>174</v>
      </c>
      <c r="AH3005">
        <v>129</v>
      </c>
      <c r="AI3005">
        <v>2.77</v>
      </c>
      <c r="AJ3005">
        <v>32.1</v>
      </c>
      <c r="AK3005">
        <v>23.8</v>
      </c>
      <c r="AL3005">
        <v>-20.16343344999996</v>
      </c>
      <c r="AM3005">
        <v>-44.843590796247732</v>
      </c>
      <c r="AN3005">
        <v>-20.16343344999996</v>
      </c>
      <c r="AO3005">
        <v>-44.843590796247732</v>
      </c>
      <c r="AP3005">
        <v>-20.163377000000001</v>
      </c>
      <c r="AQ3005">
        <v>-44.843598</v>
      </c>
      <c r="AR3005">
        <v>6.3289415646640057</v>
      </c>
      <c r="AS3005" t="s">
        <v>65</v>
      </c>
      <c r="AT3005">
        <v>1</v>
      </c>
      <c r="AU3005" t="s">
        <v>146</v>
      </c>
      <c r="AV3005" t="s">
        <v>147</v>
      </c>
      <c r="AW3005" t="s">
        <v>60</v>
      </c>
      <c r="AX3005" t="s">
        <v>68</v>
      </c>
      <c r="AY3005" t="s">
        <v>69</v>
      </c>
      <c r="AZ3005" t="b">
        <v>1</v>
      </c>
    </row>
    <row r="3006" spans="1:52" x14ac:dyDescent="0.3">
      <c r="A3006" t="s">
        <v>52</v>
      </c>
      <c r="B3006" t="s">
        <v>53</v>
      </c>
      <c r="C3006" t="s">
        <v>54</v>
      </c>
      <c r="D3006" t="s">
        <v>55</v>
      </c>
      <c r="E3006" t="s">
        <v>2163</v>
      </c>
      <c r="F3006" t="s">
        <v>190</v>
      </c>
      <c r="G3006" t="s">
        <v>290</v>
      </c>
      <c r="H3006" t="s">
        <v>291</v>
      </c>
      <c r="I3006" t="s">
        <v>291</v>
      </c>
      <c r="J3006" t="s">
        <v>60</v>
      </c>
      <c r="K3006" t="s">
        <v>143</v>
      </c>
      <c r="L3006" t="s">
        <v>62</v>
      </c>
      <c r="M3006" t="s">
        <v>143</v>
      </c>
      <c r="N3006" t="s">
        <v>292</v>
      </c>
      <c r="O3006" t="s">
        <v>293</v>
      </c>
      <c r="P3006">
        <v>-20.164380999999999</v>
      </c>
      <c r="Q3006">
        <v>-44.841638000000003</v>
      </c>
      <c r="R3006" s="2" t="str">
        <f>HYPERLINK("https://www.google.com/maps?q=-20.1643810,-44.8416380","Abrir no Google Maps")</f>
        <v>Abrir no Google Maps</v>
      </c>
      <c r="S3006">
        <v>4</v>
      </c>
      <c r="T3006">
        <v>653.87342410001406</v>
      </c>
      <c r="U3006">
        <v>3</v>
      </c>
      <c r="V3006">
        <v>0.3309238728750924</v>
      </c>
      <c r="W3006">
        <v>1</v>
      </c>
      <c r="X3006">
        <v>0.3309238728750924</v>
      </c>
      <c r="Y3006">
        <v>292</v>
      </c>
      <c r="Z3006">
        <v>761.66023684754805</v>
      </c>
      <c r="AA3006">
        <v>198</v>
      </c>
      <c r="AB3006">
        <v>332</v>
      </c>
      <c r="AC3006">
        <v>536</v>
      </c>
      <c r="AD3006">
        <v>26.35</v>
      </c>
      <c r="AE3006">
        <v>542</v>
      </c>
      <c r="AF3006">
        <v>15</v>
      </c>
      <c r="AG3006">
        <v>174</v>
      </c>
      <c r="AH3006">
        <v>129</v>
      </c>
      <c r="AI3006">
        <v>2.77</v>
      </c>
      <c r="AJ3006">
        <v>32.1</v>
      </c>
      <c r="AK3006">
        <v>23.8</v>
      </c>
      <c r="AL3006">
        <v>-20.16420624999995</v>
      </c>
      <c r="AM3006">
        <v>-44.841488984995642</v>
      </c>
      <c r="AN3006">
        <v>-20.16420624999995</v>
      </c>
      <c r="AO3006">
        <v>-44.841488984995642</v>
      </c>
      <c r="AP3006">
        <v>-20.164380999999999</v>
      </c>
      <c r="AQ3006">
        <v>-44.841638000000003</v>
      </c>
      <c r="AR3006">
        <v>24.91789254993785</v>
      </c>
      <c r="AS3006" t="s">
        <v>65</v>
      </c>
      <c r="AT3006">
        <v>1</v>
      </c>
      <c r="AU3006" t="s">
        <v>294</v>
      </c>
      <c r="AV3006" t="s">
        <v>295</v>
      </c>
      <c r="AW3006" t="s">
        <v>60</v>
      </c>
      <c r="AX3006" t="s">
        <v>68</v>
      </c>
      <c r="AY3006" t="s">
        <v>69</v>
      </c>
      <c r="AZ3006" t="b">
        <v>1</v>
      </c>
    </row>
    <row r="3007" spans="1:52" x14ac:dyDescent="0.3">
      <c r="A3007" t="s">
        <v>52</v>
      </c>
      <c r="B3007" t="s">
        <v>53</v>
      </c>
      <c r="C3007" t="s">
        <v>54</v>
      </c>
      <c r="D3007" t="s">
        <v>55</v>
      </c>
      <c r="E3007" t="s">
        <v>2163</v>
      </c>
      <c r="F3007" t="s">
        <v>190</v>
      </c>
      <c r="G3007" t="s">
        <v>328</v>
      </c>
      <c r="H3007" t="s">
        <v>329</v>
      </c>
      <c r="I3007" t="s">
        <v>329</v>
      </c>
      <c r="J3007" t="s">
        <v>60</v>
      </c>
      <c r="K3007" t="s">
        <v>157</v>
      </c>
      <c r="L3007" t="s">
        <v>62</v>
      </c>
      <c r="M3007" t="s">
        <v>157</v>
      </c>
      <c r="N3007" t="s">
        <v>330</v>
      </c>
      <c r="O3007" t="s">
        <v>331</v>
      </c>
      <c r="P3007">
        <v>-20.167981999999999</v>
      </c>
      <c r="Q3007">
        <v>-44.885706999999996</v>
      </c>
      <c r="R3007" s="2" t="str">
        <f>HYPERLINK("https://www.google.com/maps?q=-20.1679820,-44.8857070","Abrir no Google Maps")</f>
        <v>Abrir no Google Maps</v>
      </c>
      <c r="S3007">
        <v>4</v>
      </c>
      <c r="T3007">
        <v>594.70112534633722</v>
      </c>
      <c r="U3007">
        <v>3</v>
      </c>
      <c r="V3007">
        <v>0.33797672141847052</v>
      </c>
      <c r="W3007">
        <v>1</v>
      </c>
      <c r="X3007">
        <v>0.33797672141847052</v>
      </c>
      <c r="Y3007">
        <v>232</v>
      </c>
      <c r="Z3007">
        <v>560.38516624860983</v>
      </c>
      <c r="AA3007">
        <v>198</v>
      </c>
      <c r="AB3007">
        <v>332</v>
      </c>
      <c r="AC3007">
        <v>536</v>
      </c>
      <c r="AD3007">
        <v>26.35</v>
      </c>
      <c r="AE3007">
        <v>542</v>
      </c>
      <c r="AF3007">
        <v>15</v>
      </c>
      <c r="AG3007">
        <v>174</v>
      </c>
      <c r="AH3007">
        <v>129</v>
      </c>
      <c r="AI3007">
        <v>2.77</v>
      </c>
      <c r="AJ3007">
        <v>32.1</v>
      </c>
      <c r="AK3007">
        <v>23.8</v>
      </c>
      <c r="AL3007">
        <v>-20.167931149999959</v>
      </c>
      <c r="AM3007">
        <v>-44.885606821741909</v>
      </c>
      <c r="AN3007">
        <v>-20.167931149999959</v>
      </c>
      <c r="AO3007">
        <v>-44.885606821741909</v>
      </c>
      <c r="AP3007">
        <v>-20.167981999999999</v>
      </c>
      <c r="AQ3007">
        <v>-44.885706999999996</v>
      </c>
      <c r="AR3007">
        <v>11.90056149590643</v>
      </c>
      <c r="AS3007" t="s">
        <v>65</v>
      </c>
      <c r="AT3007">
        <v>1</v>
      </c>
      <c r="AU3007" t="s">
        <v>332</v>
      </c>
      <c r="AV3007" t="s">
        <v>333</v>
      </c>
      <c r="AW3007" t="s">
        <v>60</v>
      </c>
      <c r="AX3007" t="s">
        <v>68</v>
      </c>
      <c r="AY3007" t="s">
        <v>69</v>
      </c>
      <c r="AZ3007" t="b">
        <v>1</v>
      </c>
    </row>
    <row r="3008" spans="1:52" x14ac:dyDescent="0.3">
      <c r="A3008" t="s">
        <v>52</v>
      </c>
      <c r="B3008" t="s">
        <v>53</v>
      </c>
      <c r="C3008" t="s">
        <v>54</v>
      </c>
      <c r="D3008" t="s">
        <v>55</v>
      </c>
      <c r="E3008" t="s">
        <v>2163</v>
      </c>
      <c r="F3008" t="s">
        <v>190</v>
      </c>
      <c r="G3008" t="s">
        <v>334</v>
      </c>
      <c r="H3008" t="s">
        <v>335</v>
      </c>
      <c r="I3008" t="s">
        <v>335</v>
      </c>
      <c r="J3008" t="s">
        <v>60</v>
      </c>
      <c r="K3008" t="s">
        <v>336</v>
      </c>
      <c r="L3008" t="s">
        <v>62</v>
      </c>
      <c r="M3008" t="s">
        <v>336</v>
      </c>
      <c r="N3008" t="s">
        <v>337</v>
      </c>
      <c r="O3008" t="s">
        <v>338</v>
      </c>
      <c r="P3008">
        <v>-20.168142</v>
      </c>
      <c r="Q3008">
        <v>-44.875697000000002</v>
      </c>
      <c r="R3008" s="2" t="str">
        <f>HYPERLINK("https://www.google.com/maps?q=-20.1681420,-44.8756970","Abrir no Google Maps")</f>
        <v>Abrir no Google Maps</v>
      </c>
      <c r="S3008">
        <v>4</v>
      </c>
      <c r="T3008">
        <v>678.04878367834192</v>
      </c>
      <c r="U3008">
        <v>3</v>
      </c>
      <c r="V3008">
        <v>0.34509540101744002</v>
      </c>
      <c r="W3008">
        <v>1</v>
      </c>
      <c r="X3008">
        <v>0.34509540101744002</v>
      </c>
      <c r="Y3008">
        <v>232</v>
      </c>
      <c r="Z3008">
        <v>595.98467532792097</v>
      </c>
      <c r="AA3008">
        <v>198</v>
      </c>
      <c r="AB3008">
        <v>332</v>
      </c>
      <c r="AC3008">
        <v>536</v>
      </c>
      <c r="AD3008">
        <v>26.35</v>
      </c>
      <c r="AE3008">
        <v>542</v>
      </c>
      <c r="AF3008">
        <v>15</v>
      </c>
      <c r="AG3008">
        <v>174</v>
      </c>
      <c r="AH3008">
        <v>129</v>
      </c>
      <c r="AI3008">
        <v>2.77</v>
      </c>
      <c r="AJ3008">
        <v>32.1</v>
      </c>
      <c r="AK3008">
        <v>23.8</v>
      </c>
      <c r="AL3008">
        <v>-20.16787839999995</v>
      </c>
      <c r="AM3008">
        <v>-44.875681825945229</v>
      </c>
      <c r="AN3008">
        <v>-20.16787839999995</v>
      </c>
      <c r="AO3008">
        <v>-44.875681825945229</v>
      </c>
      <c r="AP3008">
        <v>-20.168142</v>
      </c>
      <c r="AQ3008">
        <v>-44.875697000000002</v>
      </c>
      <c r="AR3008">
        <v>29.386760063894371</v>
      </c>
      <c r="AS3008" t="s">
        <v>65</v>
      </c>
      <c r="AT3008">
        <v>1</v>
      </c>
      <c r="AU3008" t="s">
        <v>339</v>
      </c>
      <c r="AV3008" t="s">
        <v>340</v>
      </c>
      <c r="AW3008" t="s">
        <v>60</v>
      </c>
      <c r="AX3008" t="s">
        <v>68</v>
      </c>
      <c r="AY3008" t="s">
        <v>69</v>
      </c>
      <c r="AZ3008" t="b">
        <v>1</v>
      </c>
    </row>
    <row r="3009" spans="1:52" x14ac:dyDescent="0.3">
      <c r="A3009" t="s">
        <v>52</v>
      </c>
      <c r="B3009" t="s">
        <v>53</v>
      </c>
      <c r="C3009" t="s">
        <v>54</v>
      </c>
      <c r="D3009" t="s">
        <v>55</v>
      </c>
      <c r="E3009" t="s">
        <v>2163</v>
      </c>
      <c r="F3009" t="s">
        <v>190</v>
      </c>
      <c r="G3009" t="s">
        <v>155</v>
      </c>
      <c r="H3009" t="s">
        <v>156</v>
      </c>
      <c r="I3009" t="s">
        <v>156</v>
      </c>
      <c r="J3009" t="s">
        <v>60</v>
      </c>
      <c r="K3009" t="s">
        <v>157</v>
      </c>
      <c r="L3009" t="s">
        <v>62</v>
      </c>
      <c r="M3009" t="s">
        <v>157</v>
      </c>
      <c r="N3009" t="s">
        <v>158</v>
      </c>
      <c r="O3009" t="s">
        <v>159</v>
      </c>
      <c r="P3009">
        <v>-20.166302999999999</v>
      </c>
      <c r="Q3009">
        <v>-44.880659999999999</v>
      </c>
      <c r="R3009" s="2" t="str">
        <f>HYPERLINK("https://www.google.com/maps?q=-20.1663030,-44.8806600","Abrir no Google Maps")</f>
        <v>Abrir no Google Maps</v>
      </c>
      <c r="S3009">
        <v>4</v>
      </c>
      <c r="T3009">
        <v>504.41812426451338</v>
      </c>
      <c r="U3009">
        <v>3</v>
      </c>
      <c r="V3009">
        <v>0.35348444102958121</v>
      </c>
      <c r="W3009">
        <v>1</v>
      </c>
      <c r="X3009">
        <v>0.35348444102958121</v>
      </c>
      <c r="Y3009">
        <v>232</v>
      </c>
      <c r="Z3009">
        <v>279.57571553948952</v>
      </c>
      <c r="AA3009">
        <v>198</v>
      </c>
      <c r="AB3009">
        <v>332</v>
      </c>
      <c r="AC3009">
        <v>536</v>
      </c>
      <c r="AD3009">
        <v>26.35</v>
      </c>
      <c r="AE3009">
        <v>542</v>
      </c>
      <c r="AF3009">
        <v>15</v>
      </c>
      <c r="AG3009">
        <v>174</v>
      </c>
      <c r="AH3009">
        <v>129</v>
      </c>
      <c r="AI3009">
        <v>2.77</v>
      </c>
      <c r="AJ3009">
        <v>32.1</v>
      </c>
      <c r="AK3009">
        <v>23.8</v>
      </c>
      <c r="AL3009">
        <v>-20.166700449999951</v>
      </c>
      <c r="AM3009">
        <v>-44.880573341714289</v>
      </c>
      <c r="AN3009">
        <v>-20.166700449999951</v>
      </c>
      <c r="AO3009">
        <v>-44.880573341714289</v>
      </c>
      <c r="AP3009">
        <v>-20.166302999999999</v>
      </c>
      <c r="AQ3009">
        <v>-44.880659999999999</v>
      </c>
      <c r="AR3009">
        <v>45.161304979350312</v>
      </c>
      <c r="AS3009" t="s">
        <v>65</v>
      </c>
      <c r="AT3009">
        <v>1</v>
      </c>
      <c r="AU3009" t="s">
        <v>160</v>
      </c>
      <c r="AV3009" t="s">
        <v>161</v>
      </c>
      <c r="AW3009" t="s">
        <v>60</v>
      </c>
      <c r="AX3009" t="s">
        <v>68</v>
      </c>
      <c r="AY3009" t="s">
        <v>69</v>
      </c>
      <c r="AZ3009" t="b">
        <v>1</v>
      </c>
    </row>
    <row r="3010" spans="1:52" x14ac:dyDescent="0.3">
      <c r="A3010" t="s">
        <v>52</v>
      </c>
      <c r="B3010" t="s">
        <v>53</v>
      </c>
      <c r="C3010" t="s">
        <v>54</v>
      </c>
      <c r="D3010" t="s">
        <v>55</v>
      </c>
      <c r="E3010" t="s">
        <v>2163</v>
      </c>
      <c r="F3010" t="s">
        <v>190</v>
      </c>
      <c r="G3010" t="s">
        <v>341</v>
      </c>
      <c r="H3010" t="s">
        <v>342</v>
      </c>
      <c r="I3010" t="s">
        <v>342</v>
      </c>
      <c r="J3010" t="s">
        <v>60</v>
      </c>
      <c r="K3010" t="s">
        <v>164</v>
      </c>
      <c r="L3010" t="s">
        <v>62</v>
      </c>
      <c r="M3010" t="s">
        <v>164</v>
      </c>
      <c r="N3010" t="s">
        <v>343</v>
      </c>
      <c r="O3010" t="s">
        <v>344</v>
      </c>
      <c r="P3010">
        <v>-20.17606</v>
      </c>
      <c r="Q3010">
        <v>-44.880409999999998</v>
      </c>
      <c r="R3010" s="2" t="str">
        <f>HYPERLINK("https://www.google.com/maps?q=-20.1760600,-44.8804100","Abrir no Google Maps")</f>
        <v>Abrir no Google Maps</v>
      </c>
      <c r="S3010">
        <v>4</v>
      </c>
      <c r="T3010">
        <v>556.35468246023754</v>
      </c>
      <c r="U3010">
        <v>3</v>
      </c>
      <c r="V3010">
        <v>0.32517553129036048</v>
      </c>
      <c r="W3010">
        <v>1</v>
      </c>
      <c r="X3010">
        <v>0.32517553129036048</v>
      </c>
      <c r="Y3010">
        <v>232</v>
      </c>
      <c r="Z3010">
        <v>674.22003156100322</v>
      </c>
      <c r="AA3010">
        <v>198</v>
      </c>
      <c r="AB3010">
        <v>332</v>
      </c>
      <c r="AC3010">
        <v>536</v>
      </c>
      <c r="AD3010">
        <v>26.35</v>
      </c>
      <c r="AE3010">
        <v>542</v>
      </c>
      <c r="AF3010">
        <v>15</v>
      </c>
      <c r="AG3010">
        <v>174</v>
      </c>
      <c r="AH3010">
        <v>129</v>
      </c>
      <c r="AI3010">
        <v>2.77</v>
      </c>
      <c r="AJ3010">
        <v>32.1</v>
      </c>
      <c r="AK3010">
        <v>23.8</v>
      </c>
      <c r="AL3010">
        <v>-20.176226899999961</v>
      </c>
      <c r="AM3010">
        <v>-44.880527903427911</v>
      </c>
      <c r="AN3010">
        <v>-20.176226899999961</v>
      </c>
      <c r="AO3010">
        <v>-44.880527903427911</v>
      </c>
      <c r="AP3010">
        <v>-20.17606</v>
      </c>
      <c r="AQ3010">
        <v>-44.880409999999998</v>
      </c>
      <c r="AR3010">
        <v>22.292677247804349</v>
      </c>
      <c r="AS3010" t="s">
        <v>65</v>
      </c>
      <c r="AT3010">
        <v>1</v>
      </c>
      <c r="AU3010" t="s">
        <v>345</v>
      </c>
      <c r="AV3010" t="s">
        <v>346</v>
      </c>
      <c r="AW3010" t="s">
        <v>60</v>
      </c>
      <c r="AX3010" t="s">
        <v>68</v>
      </c>
      <c r="AY3010" t="s">
        <v>69</v>
      </c>
      <c r="AZ3010" t="b">
        <v>1</v>
      </c>
    </row>
    <row r="3011" spans="1:52" x14ac:dyDescent="0.3">
      <c r="A3011" t="s">
        <v>52</v>
      </c>
      <c r="B3011" t="s">
        <v>53</v>
      </c>
      <c r="C3011" t="s">
        <v>54</v>
      </c>
      <c r="D3011" t="s">
        <v>55</v>
      </c>
      <c r="E3011" t="s">
        <v>2163</v>
      </c>
      <c r="F3011" t="s">
        <v>190</v>
      </c>
      <c r="G3011" t="s">
        <v>347</v>
      </c>
      <c r="H3011" t="s">
        <v>348</v>
      </c>
      <c r="I3011" t="s">
        <v>348</v>
      </c>
      <c r="J3011" t="s">
        <v>60</v>
      </c>
      <c r="K3011" t="s">
        <v>157</v>
      </c>
      <c r="L3011" t="s">
        <v>62</v>
      </c>
      <c r="M3011" t="s">
        <v>157</v>
      </c>
      <c r="N3011" t="s">
        <v>349</v>
      </c>
      <c r="O3011" t="s">
        <v>350</v>
      </c>
      <c r="P3011">
        <v>-20.171206999999999</v>
      </c>
      <c r="Q3011">
        <v>-44.881143999999999</v>
      </c>
      <c r="R3011" s="2" t="str">
        <f>HYPERLINK("https://www.google.com/maps?q=-20.1712070,-44.8811440","Abrir no Google Maps")</f>
        <v>Abrir no Google Maps</v>
      </c>
      <c r="S3011">
        <v>4</v>
      </c>
      <c r="T3011">
        <v>0</v>
      </c>
      <c r="U3011">
        <v>3</v>
      </c>
      <c r="V3011">
        <v>0.331345029239766</v>
      </c>
      <c r="W3011">
        <v>1</v>
      </c>
      <c r="X3011">
        <v>0.331345029239766</v>
      </c>
      <c r="Y3011">
        <v>232</v>
      </c>
      <c r="Z3011">
        <v>184.81719774496389</v>
      </c>
      <c r="AA3011">
        <v>198</v>
      </c>
      <c r="AB3011">
        <v>332</v>
      </c>
      <c r="AC3011">
        <v>536</v>
      </c>
      <c r="AD3011">
        <v>26.35</v>
      </c>
      <c r="AE3011">
        <v>542</v>
      </c>
      <c r="AF3011">
        <v>15</v>
      </c>
      <c r="AG3011">
        <v>174</v>
      </c>
      <c r="AH3011">
        <v>129</v>
      </c>
      <c r="AI3011">
        <v>2.77</v>
      </c>
      <c r="AJ3011">
        <v>32.1</v>
      </c>
      <c r="AK3011">
        <v>23.8</v>
      </c>
      <c r="AL3011">
        <v>-20.171229949999969</v>
      </c>
      <c r="AM3011">
        <v>-44.881113944480241</v>
      </c>
      <c r="AN3011">
        <v>-20.171229949999969</v>
      </c>
      <c r="AO3011">
        <v>-44.881113944480241</v>
      </c>
      <c r="AP3011">
        <v>-20.171206999999999</v>
      </c>
      <c r="AQ3011">
        <v>-44.881143999999999</v>
      </c>
      <c r="AR3011">
        <v>4.0484763362859333</v>
      </c>
      <c r="AS3011" t="s">
        <v>65</v>
      </c>
      <c r="AT3011">
        <v>1</v>
      </c>
      <c r="AU3011" t="s">
        <v>351</v>
      </c>
      <c r="AV3011" t="s">
        <v>352</v>
      </c>
      <c r="AW3011" t="s">
        <v>60</v>
      </c>
      <c r="AX3011" t="s">
        <v>68</v>
      </c>
      <c r="AY3011" t="s">
        <v>69</v>
      </c>
      <c r="AZ3011" t="b">
        <v>1</v>
      </c>
    </row>
    <row r="3012" spans="1:52" x14ac:dyDescent="0.3">
      <c r="A3012" t="s">
        <v>52</v>
      </c>
      <c r="B3012" t="s">
        <v>53</v>
      </c>
      <c r="C3012" t="s">
        <v>54</v>
      </c>
      <c r="D3012" t="s">
        <v>55</v>
      </c>
      <c r="E3012" t="s">
        <v>2163</v>
      </c>
      <c r="F3012" t="s">
        <v>190</v>
      </c>
      <c r="G3012" t="s">
        <v>353</v>
      </c>
      <c r="H3012" t="s">
        <v>354</v>
      </c>
      <c r="I3012" t="s">
        <v>354</v>
      </c>
      <c r="J3012" t="s">
        <v>60</v>
      </c>
      <c r="K3012" t="s">
        <v>355</v>
      </c>
      <c r="L3012" t="s">
        <v>62</v>
      </c>
      <c r="M3012" t="s">
        <v>355</v>
      </c>
      <c r="N3012" t="s">
        <v>356</v>
      </c>
      <c r="O3012" t="s">
        <v>357</v>
      </c>
      <c r="P3012">
        <v>-20.147373999999999</v>
      </c>
      <c r="Q3012">
        <v>-44.875141999999997</v>
      </c>
      <c r="R3012" s="2" t="str">
        <f>HYPERLINK("https://www.google.com/maps?q=-20.1473740,-44.8751420","Abrir no Google Maps")</f>
        <v>Abrir no Google Maps</v>
      </c>
      <c r="S3012">
        <v>4</v>
      </c>
      <c r="T3012">
        <v>394.29708169591709</v>
      </c>
      <c r="U3012">
        <v>3</v>
      </c>
      <c r="V3012">
        <v>0.34106591865357638</v>
      </c>
      <c r="W3012">
        <v>1</v>
      </c>
      <c r="X3012">
        <v>0.34106591865357638</v>
      </c>
      <c r="Y3012">
        <v>209</v>
      </c>
      <c r="Z3012">
        <v>326.95034461828868</v>
      </c>
      <c r="AA3012">
        <v>198</v>
      </c>
      <c r="AB3012">
        <v>332</v>
      </c>
      <c r="AC3012">
        <v>536</v>
      </c>
      <c r="AD3012">
        <v>26.35</v>
      </c>
      <c r="AE3012">
        <v>542</v>
      </c>
      <c r="AF3012">
        <v>15</v>
      </c>
      <c r="AG3012">
        <v>174</v>
      </c>
      <c r="AH3012">
        <v>129</v>
      </c>
      <c r="AI3012">
        <v>2.77</v>
      </c>
      <c r="AJ3012">
        <v>32.1</v>
      </c>
      <c r="AK3012">
        <v>23.8</v>
      </c>
      <c r="AL3012">
        <v>-20.147207999999949</v>
      </c>
      <c r="AM3012">
        <v>-44.875152120336942</v>
      </c>
      <c r="AN3012">
        <v>-20.147207999999949</v>
      </c>
      <c r="AO3012">
        <v>-44.875152120336942</v>
      </c>
      <c r="AP3012">
        <v>-20.147373999999999</v>
      </c>
      <c r="AQ3012">
        <v>-44.875141999999997</v>
      </c>
      <c r="AR3012">
        <v>18.509363081081169</v>
      </c>
      <c r="AS3012" t="s">
        <v>65</v>
      </c>
      <c r="AT3012">
        <v>1</v>
      </c>
      <c r="AU3012" t="s">
        <v>358</v>
      </c>
      <c r="AV3012" t="s">
        <v>359</v>
      </c>
      <c r="AW3012" t="s">
        <v>60</v>
      </c>
      <c r="AX3012" t="s">
        <v>68</v>
      </c>
      <c r="AY3012" t="s">
        <v>69</v>
      </c>
      <c r="AZ3012" t="b">
        <v>1</v>
      </c>
    </row>
    <row r="3013" spans="1:52" x14ac:dyDescent="0.3">
      <c r="A3013" t="s">
        <v>52</v>
      </c>
      <c r="B3013" t="s">
        <v>53</v>
      </c>
      <c r="C3013" t="s">
        <v>54</v>
      </c>
      <c r="D3013" t="s">
        <v>55</v>
      </c>
      <c r="E3013" t="s">
        <v>2163</v>
      </c>
      <c r="F3013" t="s">
        <v>190</v>
      </c>
      <c r="G3013" t="s">
        <v>360</v>
      </c>
      <c r="H3013" t="s">
        <v>361</v>
      </c>
      <c r="I3013" t="s">
        <v>361</v>
      </c>
      <c r="J3013" t="s">
        <v>60</v>
      </c>
      <c r="K3013" t="s">
        <v>362</v>
      </c>
      <c r="L3013" t="s">
        <v>62</v>
      </c>
      <c r="M3013" t="s">
        <v>362</v>
      </c>
      <c r="N3013" t="s">
        <v>363</v>
      </c>
      <c r="O3013" t="s">
        <v>235</v>
      </c>
      <c r="P3013">
        <v>-20.143716999999999</v>
      </c>
      <c r="Q3013">
        <v>-44.875278000000002</v>
      </c>
      <c r="R3013" s="2" t="str">
        <f>HYPERLINK("https://www.google.com/maps?q=-20.1437170,-44.8752780","Abrir no Google Maps")</f>
        <v>Abrir no Google Maps</v>
      </c>
      <c r="S3013">
        <v>4</v>
      </c>
      <c r="T3013">
        <v>0</v>
      </c>
      <c r="U3013">
        <v>3</v>
      </c>
      <c r="V3013">
        <v>0.36471494607087829</v>
      </c>
      <c r="W3013">
        <v>1</v>
      </c>
      <c r="X3013">
        <v>0.36471494607087829</v>
      </c>
      <c r="Y3013">
        <v>209</v>
      </c>
      <c r="Z3013">
        <v>121.8438559354383</v>
      </c>
      <c r="AA3013">
        <v>198</v>
      </c>
      <c r="AB3013">
        <v>332</v>
      </c>
      <c r="AC3013">
        <v>536</v>
      </c>
      <c r="AD3013">
        <v>26.35</v>
      </c>
      <c r="AE3013">
        <v>542</v>
      </c>
      <c r="AF3013">
        <v>15</v>
      </c>
      <c r="AG3013">
        <v>174</v>
      </c>
      <c r="AH3013">
        <v>129</v>
      </c>
      <c r="AI3013">
        <v>2.77</v>
      </c>
      <c r="AJ3013">
        <v>32.1</v>
      </c>
      <c r="AK3013">
        <v>23.8</v>
      </c>
      <c r="AL3013">
        <v>-20.143665999999961</v>
      </c>
      <c r="AM3013">
        <v>-44.875561853046079</v>
      </c>
      <c r="AN3013">
        <v>-20.143665999999961</v>
      </c>
      <c r="AO3013">
        <v>-44.875561853046079</v>
      </c>
      <c r="AP3013">
        <v>-20.143716999999999</v>
      </c>
      <c r="AQ3013">
        <v>-44.875278000000002</v>
      </c>
      <c r="AR3013">
        <v>30.20407282671313</v>
      </c>
      <c r="AS3013" t="s">
        <v>65</v>
      </c>
      <c r="AT3013">
        <v>1</v>
      </c>
      <c r="AU3013" t="s">
        <v>364</v>
      </c>
      <c r="AV3013" t="s">
        <v>365</v>
      </c>
      <c r="AW3013" t="s">
        <v>60</v>
      </c>
      <c r="AX3013" t="s">
        <v>68</v>
      </c>
      <c r="AY3013" t="s">
        <v>69</v>
      </c>
      <c r="AZ3013" t="b">
        <v>1</v>
      </c>
    </row>
    <row r="3014" spans="1:52" x14ac:dyDescent="0.3">
      <c r="A3014" t="s">
        <v>52</v>
      </c>
      <c r="B3014" t="s">
        <v>53</v>
      </c>
      <c r="C3014" t="s">
        <v>54</v>
      </c>
      <c r="D3014" t="s">
        <v>55</v>
      </c>
      <c r="E3014" t="s">
        <v>2163</v>
      </c>
      <c r="F3014" t="s">
        <v>190</v>
      </c>
      <c r="G3014" t="s">
        <v>366</v>
      </c>
      <c r="H3014" t="s">
        <v>367</v>
      </c>
      <c r="I3014" t="s">
        <v>367</v>
      </c>
      <c r="J3014" t="s">
        <v>60</v>
      </c>
      <c r="K3014" t="s">
        <v>368</v>
      </c>
      <c r="L3014" t="s">
        <v>62</v>
      </c>
      <c r="M3014" t="s">
        <v>368</v>
      </c>
      <c r="N3014" t="s">
        <v>369</v>
      </c>
      <c r="O3014" t="s">
        <v>370</v>
      </c>
      <c r="P3014">
        <v>-20.144553999999999</v>
      </c>
      <c r="Q3014">
        <v>-44.868183000000002</v>
      </c>
      <c r="R3014" s="2" t="str">
        <f>HYPERLINK("https://www.google.com/maps?q=-20.1445540,-44.8681830","Abrir no Google Maps")</f>
        <v>Abrir no Google Maps</v>
      </c>
      <c r="S3014">
        <v>4</v>
      </c>
      <c r="T3014">
        <v>783.87848835431373</v>
      </c>
      <c r="U3014">
        <v>3</v>
      </c>
      <c r="V3014">
        <v>0.35326977922259228</v>
      </c>
      <c r="W3014">
        <v>1</v>
      </c>
      <c r="X3014">
        <v>0.35326977922259228</v>
      </c>
      <c r="Y3014">
        <v>198</v>
      </c>
      <c r="Z3014">
        <v>360.68413994394842</v>
      </c>
      <c r="AA3014">
        <v>198</v>
      </c>
      <c r="AB3014">
        <v>332</v>
      </c>
      <c r="AC3014">
        <v>536</v>
      </c>
      <c r="AD3014">
        <v>26.35</v>
      </c>
      <c r="AE3014">
        <v>542</v>
      </c>
      <c r="AF3014">
        <v>15</v>
      </c>
      <c r="AG3014">
        <v>174</v>
      </c>
      <c r="AH3014">
        <v>129</v>
      </c>
      <c r="AI3014">
        <v>2.77</v>
      </c>
      <c r="AJ3014">
        <v>32.1</v>
      </c>
      <c r="AK3014">
        <v>23.8</v>
      </c>
      <c r="AL3014">
        <v>-20.144487399999949</v>
      </c>
      <c r="AM3014">
        <v>-44.868111936674481</v>
      </c>
      <c r="AN3014">
        <v>-20.144487399999939</v>
      </c>
      <c r="AO3014">
        <v>-44.868111936674481</v>
      </c>
      <c r="AP3014">
        <v>-20.144553999999999</v>
      </c>
      <c r="AQ3014">
        <v>-44.868183000000002</v>
      </c>
      <c r="AR3014">
        <v>10.49400387332288</v>
      </c>
      <c r="AS3014" t="s">
        <v>65</v>
      </c>
      <c r="AT3014">
        <v>1</v>
      </c>
      <c r="AU3014" t="s">
        <v>371</v>
      </c>
      <c r="AV3014" t="s">
        <v>372</v>
      </c>
      <c r="AW3014" t="s">
        <v>60</v>
      </c>
      <c r="AX3014" t="s">
        <v>68</v>
      </c>
      <c r="AY3014" t="s">
        <v>69</v>
      </c>
      <c r="AZ3014" t="b">
        <v>1</v>
      </c>
    </row>
    <row r="3015" spans="1:52" x14ac:dyDescent="0.3">
      <c r="A3015" t="s">
        <v>52</v>
      </c>
      <c r="B3015" t="s">
        <v>53</v>
      </c>
      <c r="C3015" t="s">
        <v>54</v>
      </c>
      <c r="D3015" t="s">
        <v>55</v>
      </c>
      <c r="E3015" t="s">
        <v>2163</v>
      </c>
      <c r="F3015" t="s">
        <v>190</v>
      </c>
      <c r="G3015" t="s">
        <v>1728</v>
      </c>
      <c r="H3015" t="s">
        <v>1729</v>
      </c>
      <c r="I3015" t="s">
        <v>1729</v>
      </c>
      <c r="J3015" t="s">
        <v>60</v>
      </c>
      <c r="K3015" t="s">
        <v>171</v>
      </c>
      <c r="L3015" t="s">
        <v>62</v>
      </c>
      <c r="M3015" t="s">
        <v>171</v>
      </c>
      <c r="N3015" t="s">
        <v>1730</v>
      </c>
      <c r="O3015" t="s">
        <v>1731</v>
      </c>
      <c r="P3015">
        <v>-20.153237000000001</v>
      </c>
      <c r="Q3015">
        <v>-44.893830999999999</v>
      </c>
      <c r="R3015" s="2" t="str">
        <f>HYPERLINK("https://www.google.com/maps?q=-20.1532370,-44.8938310","Abrir no Google Maps")</f>
        <v>Abrir no Google Maps</v>
      </c>
      <c r="S3015">
        <v>4</v>
      </c>
      <c r="T3015">
        <v>413.69072684661631</v>
      </c>
      <c r="U3015">
        <v>3</v>
      </c>
      <c r="V3015">
        <v>0.3728545501685247</v>
      </c>
      <c r="W3015">
        <v>1</v>
      </c>
      <c r="X3015">
        <v>0.3728545501685247</v>
      </c>
      <c r="Y3015">
        <v>129</v>
      </c>
      <c r="Z3015">
        <v>276.95856023076033</v>
      </c>
      <c r="AA3015">
        <v>198</v>
      </c>
      <c r="AB3015">
        <v>332</v>
      </c>
      <c r="AC3015">
        <v>536</v>
      </c>
      <c r="AD3015">
        <v>26.35</v>
      </c>
      <c r="AE3015">
        <v>542</v>
      </c>
      <c r="AF3015">
        <v>15</v>
      </c>
      <c r="AG3015">
        <v>174</v>
      </c>
      <c r="AH3015">
        <v>129</v>
      </c>
      <c r="AI3015">
        <v>2.77</v>
      </c>
      <c r="AJ3015">
        <v>32.1</v>
      </c>
      <c r="AK3015">
        <v>23.8</v>
      </c>
      <c r="AL3015">
        <v>-20.15278304999995</v>
      </c>
      <c r="AM3015">
        <v>-44.894325691070982</v>
      </c>
      <c r="AN3015">
        <v>-20.15278304999995</v>
      </c>
      <c r="AO3015">
        <v>-44.894325691070982</v>
      </c>
      <c r="AP3015">
        <v>-20.153237000000001</v>
      </c>
      <c r="AQ3015">
        <v>-44.893830999999999</v>
      </c>
      <c r="AR3015">
        <v>72.293093135883012</v>
      </c>
      <c r="AS3015" t="s">
        <v>65</v>
      </c>
      <c r="AT3015">
        <v>1</v>
      </c>
      <c r="AU3015" t="s">
        <v>1732</v>
      </c>
      <c r="AV3015" t="s">
        <v>1733</v>
      </c>
      <c r="AW3015" t="s">
        <v>60</v>
      </c>
      <c r="AX3015" t="s">
        <v>68</v>
      </c>
      <c r="AY3015" t="s">
        <v>69</v>
      </c>
      <c r="AZ3015" t="b">
        <v>1</v>
      </c>
    </row>
    <row r="3016" spans="1:52" x14ac:dyDescent="0.3">
      <c r="A3016" t="s">
        <v>52</v>
      </c>
      <c r="B3016" t="s">
        <v>53</v>
      </c>
      <c r="C3016" t="s">
        <v>54</v>
      </c>
      <c r="D3016" t="s">
        <v>55</v>
      </c>
      <c r="E3016" t="s">
        <v>2163</v>
      </c>
      <c r="F3016" t="s">
        <v>190</v>
      </c>
      <c r="G3016" t="s">
        <v>2164</v>
      </c>
      <c r="H3016" t="s">
        <v>2165</v>
      </c>
      <c r="I3016" t="s">
        <v>2165</v>
      </c>
      <c r="J3016" t="s">
        <v>60</v>
      </c>
      <c r="K3016" t="s">
        <v>171</v>
      </c>
      <c r="L3016" t="s">
        <v>62</v>
      </c>
      <c r="M3016" t="s">
        <v>171</v>
      </c>
      <c r="N3016" t="s">
        <v>2166</v>
      </c>
      <c r="O3016" t="s">
        <v>2167</v>
      </c>
      <c r="P3016">
        <v>-20.155996999999999</v>
      </c>
      <c r="Q3016">
        <v>-44.888176000000001</v>
      </c>
      <c r="R3016" s="2" t="str">
        <f>HYPERLINK("https://www.google.com/maps?q=-20.1559970,-44.8881760","Abrir no Google Maps")</f>
        <v>Abrir no Google Maps</v>
      </c>
      <c r="S3016">
        <v>4</v>
      </c>
      <c r="T3016">
        <v>403.08038332223549</v>
      </c>
      <c r="U3016">
        <v>3</v>
      </c>
      <c r="V3016">
        <v>0.40808601317318871</v>
      </c>
      <c r="W3016">
        <v>0.85</v>
      </c>
      <c r="X3016">
        <v>0.34687311119721043</v>
      </c>
      <c r="Y3016">
        <v>129</v>
      </c>
      <c r="Z3016">
        <v>412.52134593699662</v>
      </c>
      <c r="AA3016">
        <v>198</v>
      </c>
      <c r="AB3016">
        <v>332</v>
      </c>
      <c r="AC3016">
        <v>536</v>
      </c>
      <c r="AD3016">
        <v>26.35</v>
      </c>
      <c r="AE3016">
        <v>542</v>
      </c>
      <c r="AF3016">
        <v>15</v>
      </c>
      <c r="AG3016">
        <v>174</v>
      </c>
      <c r="AH3016">
        <v>129</v>
      </c>
      <c r="AI3016">
        <v>2.77</v>
      </c>
      <c r="AJ3016">
        <v>32.1</v>
      </c>
      <c r="AK3016">
        <v>23.8</v>
      </c>
      <c r="AL3016">
        <v>-20.155924449999961</v>
      </c>
      <c r="AM3016">
        <v>-44.88829789676695</v>
      </c>
      <c r="AN3016">
        <v>-20.155924449999961</v>
      </c>
      <c r="AO3016">
        <v>-44.88829789676695</v>
      </c>
      <c r="AP3016">
        <v>-20.155996999999999</v>
      </c>
      <c r="AQ3016">
        <v>-44.888176000000001</v>
      </c>
      <c r="AR3016">
        <v>15.08297514010393</v>
      </c>
      <c r="AS3016" t="s">
        <v>65</v>
      </c>
      <c r="AT3016">
        <v>1</v>
      </c>
      <c r="AU3016" t="s">
        <v>2168</v>
      </c>
      <c r="AV3016" t="s">
        <v>2169</v>
      </c>
      <c r="AW3016" t="s">
        <v>60</v>
      </c>
      <c r="AX3016" t="s">
        <v>68</v>
      </c>
      <c r="AY3016" t="s">
        <v>69</v>
      </c>
      <c r="AZ3016" t="b">
        <v>1</v>
      </c>
    </row>
    <row r="3017" spans="1:52" x14ac:dyDescent="0.3">
      <c r="A3017" t="s">
        <v>52</v>
      </c>
      <c r="B3017" t="s">
        <v>53</v>
      </c>
      <c r="C3017" t="s">
        <v>54</v>
      </c>
      <c r="D3017" t="s">
        <v>55</v>
      </c>
      <c r="E3017" t="s">
        <v>2163</v>
      </c>
      <c r="F3017" t="s">
        <v>190</v>
      </c>
      <c r="G3017" t="s">
        <v>1212</v>
      </c>
      <c r="H3017" t="s">
        <v>2170</v>
      </c>
      <c r="I3017" t="s">
        <v>2170</v>
      </c>
      <c r="J3017" t="s">
        <v>60</v>
      </c>
      <c r="K3017" t="s">
        <v>171</v>
      </c>
      <c r="L3017" t="s">
        <v>62</v>
      </c>
      <c r="M3017" t="s">
        <v>171</v>
      </c>
      <c r="N3017" t="s">
        <v>1214</v>
      </c>
      <c r="O3017" t="s">
        <v>617</v>
      </c>
      <c r="P3017">
        <v>-20.155850000000001</v>
      </c>
      <c r="Q3017">
        <v>-44.892339999999997</v>
      </c>
      <c r="R3017" s="2" t="str">
        <f>HYPERLINK("https://www.google.com/maps?q=-20.1558500,-44.8923400","Abrir no Google Maps")</f>
        <v>Abrir no Google Maps</v>
      </c>
      <c r="S3017">
        <v>4</v>
      </c>
      <c r="T3017">
        <v>0</v>
      </c>
      <c r="U3017">
        <v>3</v>
      </c>
      <c r="V3017">
        <v>0.414985014985015</v>
      </c>
      <c r="W3017">
        <v>0.85</v>
      </c>
      <c r="X3017">
        <v>0.35273726273726269</v>
      </c>
      <c r="Y3017">
        <v>129</v>
      </c>
      <c r="Z3017">
        <v>201.87604905413269</v>
      </c>
      <c r="AA3017">
        <v>198</v>
      </c>
      <c r="AB3017">
        <v>332</v>
      </c>
      <c r="AC3017">
        <v>536</v>
      </c>
      <c r="AD3017">
        <v>26.35</v>
      </c>
      <c r="AE3017">
        <v>542</v>
      </c>
      <c r="AF3017">
        <v>15</v>
      </c>
      <c r="AG3017">
        <v>174</v>
      </c>
      <c r="AH3017">
        <v>129</v>
      </c>
      <c r="AI3017">
        <v>2.77</v>
      </c>
      <c r="AJ3017">
        <v>32.1</v>
      </c>
      <c r="AK3017">
        <v>23.8</v>
      </c>
      <c r="AL3017">
        <v>-20.155909249999979</v>
      </c>
      <c r="AM3017">
        <v>-44.892155017263562</v>
      </c>
      <c r="AN3017">
        <v>-20.155909249999979</v>
      </c>
      <c r="AO3017">
        <v>-44.892155017263562</v>
      </c>
      <c r="AP3017">
        <v>-20.155850000000001</v>
      </c>
      <c r="AQ3017">
        <v>-44.892339999999997</v>
      </c>
      <c r="AR3017">
        <v>20.425418813653319</v>
      </c>
      <c r="AS3017" t="s">
        <v>65</v>
      </c>
      <c r="AT3017">
        <v>1</v>
      </c>
      <c r="AU3017" t="s">
        <v>2171</v>
      </c>
      <c r="AV3017" t="s">
        <v>2172</v>
      </c>
      <c r="AW3017" t="s">
        <v>60</v>
      </c>
      <c r="AX3017" t="s">
        <v>68</v>
      </c>
      <c r="AY3017" t="s">
        <v>69</v>
      </c>
      <c r="AZ3017" t="b">
        <v>1</v>
      </c>
    </row>
    <row r="3018" spans="1:52" x14ac:dyDescent="0.3">
      <c r="A3018" t="s">
        <v>52</v>
      </c>
      <c r="B3018" t="s">
        <v>53</v>
      </c>
      <c r="C3018" t="s">
        <v>54</v>
      </c>
      <c r="D3018" t="s">
        <v>55</v>
      </c>
      <c r="E3018" t="s">
        <v>2163</v>
      </c>
      <c r="F3018" t="s">
        <v>190</v>
      </c>
      <c r="G3018" t="s">
        <v>1679</v>
      </c>
      <c r="H3018" t="s">
        <v>1680</v>
      </c>
      <c r="I3018" t="s">
        <v>1680</v>
      </c>
      <c r="J3018" t="s">
        <v>60</v>
      </c>
      <c r="K3018" t="s">
        <v>1681</v>
      </c>
      <c r="L3018" t="s">
        <v>62</v>
      </c>
      <c r="M3018" t="s">
        <v>1681</v>
      </c>
      <c r="N3018" t="s">
        <v>1682</v>
      </c>
      <c r="O3018" t="s">
        <v>315</v>
      </c>
      <c r="P3018">
        <v>-20.136075999999999</v>
      </c>
      <c r="Q3018">
        <v>-44.854410999999999</v>
      </c>
      <c r="R3018" s="2" t="str">
        <f>HYPERLINK("https://www.google.com/maps?q=-20.1360760,-44.8544110","Abrir no Google Maps")</f>
        <v>Abrir no Google Maps</v>
      </c>
      <c r="S3018">
        <v>4</v>
      </c>
      <c r="T3018">
        <v>923.14535705095284</v>
      </c>
      <c r="U3018">
        <v>3</v>
      </c>
      <c r="V3018">
        <v>0.32405858832618201</v>
      </c>
      <c r="W3018">
        <v>1</v>
      </c>
      <c r="X3018">
        <v>0.32405858832618201</v>
      </c>
      <c r="Y3018">
        <v>95</v>
      </c>
      <c r="Z3018">
        <v>512.25410822465881</v>
      </c>
      <c r="AA3018">
        <v>198</v>
      </c>
      <c r="AB3018">
        <v>332</v>
      </c>
      <c r="AC3018">
        <v>536</v>
      </c>
      <c r="AD3018">
        <v>26.35</v>
      </c>
      <c r="AE3018">
        <v>542</v>
      </c>
      <c r="AF3018">
        <v>15</v>
      </c>
      <c r="AG3018">
        <v>174</v>
      </c>
      <c r="AH3018">
        <v>129</v>
      </c>
      <c r="AI3018">
        <v>2.77</v>
      </c>
      <c r="AJ3018">
        <v>32.1</v>
      </c>
      <c r="AK3018">
        <v>23.8</v>
      </c>
      <c r="AL3018">
        <v>-20.13612434999996</v>
      </c>
      <c r="AM3018">
        <v>-44.854448179058288</v>
      </c>
      <c r="AN3018">
        <v>-20.13612434999996</v>
      </c>
      <c r="AO3018">
        <v>-44.854448179058288</v>
      </c>
      <c r="AP3018">
        <v>-20.136075999999999</v>
      </c>
      <c r="AQ3018">
        <v>-44.854410999999999</v>
      </c>
      <c r="AR3018">
        <v>6.6384360450222868</v>
      </c>
      <c r="AS3018" t="s">
        <v>65</v>
      </c>
      <c r="AT3018">
        <v>1</v>
      </c>
      <c r="AU3018" t="s">
        <v>1683</v>
      </c>
      <c r="AV3018" t="s">
        <v>1684</v>
      </c>
      <c r="AW3018" t="s">
        <v>60</v>
      </c>
      <c r="AX3018" t="s">
        <v>68</v>
      </c>
      <c r="AY3018" t="s">
        <v>69</v>
      </c>
      <c r="AZ3018" t="b">
        <v>1</v>
      </c>
    </row>
    <row r="3019" spans="1:52" x14ac:dyDescent="0.3">
      <c r="A3019" t="s">
        <v>52</v>
      </c>
      <c r="B3019" t="s">
        <v>53</v>
      </c>
      <c r="C3019" t="s">
        <v>54</v>
      </c>
      <c r="D3019" t="s">
        <v>55</v>
      </c>
      <c r="E3019" t="s">
        <v>2163</v>
      </c>
      <c r="F3019" t="s">
        <v>190</v>
      </c>
      <c r="G3019" t="s">
        <v>183</v>
      </c>
      <c r="H3019" t="s">
        <v>184</v>
      </c>
      <c r="I3019" t="s">
        <v>184</v>
      </c>
      <c r="J3019" t="s">
        <v>60</v>
      </c>
      <c r="K3019" t="s">
        <v>185</v>
      </c>
      <c r="L3019" t="s">
        <v>62</v>
      </c>
      <c r="M3019" t="s">
        <v>185</v>
      </c>
      <c r="N3019" t="s">
        <v>186</v>
      </c>
      <c r="O3019" t="s">
        <v>187</v>
      </c>
      <c r="P3019">
        <v>-20.134855000000002</v>
      </c>
      <c r="Q3019">
        <v>-44.860174000000001</v>
      </c>
      <c r="R3019" s="2" t="str">
        <f>HYPERLINK("https://www.google.com/maps?q=-20.1348550,-44.8601740","Abrir no Google Maps")</f>
        <v>Abrir no Google Maps</v>
      </c>
      <c r="S3019">
        <v>4</v>
      </c>
      <c r="T3019">
        <v>625.96998974571841</v>
      </c>
      <c r="U3019">
        <v>3</v>
      </c>
      <c r="V3019">
        <v>0.35443069003554351</v>
      </c>
      <c r="W3019">
        <v>1</v>
      </c>
      <c r="X3019">
        <v>0.35443069003554351</v>
      </c>
      <c r="Y3019">
        <v>95</v>
      </c>
      <c r="Z3019">
        <v>257.67818504656498</v>
      </c>
      <c r="AA3019">
        <v>198</v>
      </c>
      <c r="AB3019">
        <v>332</v>
      </c>
      <c r="AC3019">
        <v>536</v>
      </c>
      <c r="AD3019">
        <v>26.35</v>
      </c>
      <c r="AE3019">
        <v>542</v>
      </c>
      <c r="AF3019">
        <v>15</v>
      </c>
      <c r="AG3019">
        <v>174</v>
      </c>
      <c r="AH3019">
        <v>129</v>
      </c>
      <c r="AI3019">
        <v>2.77</v>
      </c>
      <c r="AJ3019">
        <v>32.1</v>
      </c>
      <c r="AK3019">
        <v>23.8</v>
      </c>
      <c r="AL3019">
        <v>-20.134903999999981</v>
      </c>
      <c r="AM3019">
        <v>-44.859880285335962</v>
      </c>
      <c r="AN3019">
        <v>-20.134903999999981</v>
      </c>
      <c r="AO3019">
        <v>-44.859880285335962</v>
      </c>
      <c r="AP3019">
        <v>-20.134855000000002</v>
      </c>
      <c r="AQ3019">
        <v>-44.860174000000001</v>
      </c>
      <c r="AR3019">
        <v>31.178921696823132</v>
      </c>
      <c r="AS3019" t="s">
        <v>65</v>
      </c>
      <c r="AT3019">
        <v>1</v>
      </c>
      <c r="AU3019" t="s">
        <v>188</v>
      </c>
      <c r="AV3019" t="s">
        <v>189</v>
      </c>
      <c r="AW3019" t="s">
        <v>60</v>
      </c>
      <c r="AX3019" t="s">
        <v>68</v>
      </c>
      <c r="AY3019" t="s">
        <v>69</v>
      </c>
      <c r="AZ3019" t="b">
        <v>1</v>
      </c>
    </row>
    <row r="3020" spans="1:52" x14ac:dyDescent="0.3">
      <c r="A3020" t="s">
        <v>52</v>
      </c>
      <c r="B3020" t="s">
        <v>53</v>
      </c>
      <c r="C3020" t="s">
        <v>54</v>
      </c>
      <c r="D3020" t="s">
        <v>55</v>
      </c>
      <c r="E3020" t="s">
        <v>2163</v>
      </c>
      <c r="F3020" t="s">
        <v>190</v>
      </c>
      <c r="G3020" t="s">
        <v>2173</v>
      </c>
      <c r="H3020" t="s">
        <v>2174</v>
      </c>
      <c r="I3020" t="s">
        <v>2174</v>
      </c>
      <c r="J3020" t="s">
        <v>60</v>
      </c>
      <c r="K3020" t="s">
        <v>2175</v>
      </c>
      <c r="L3020" t="s">
        <v>62</v>
      </c>
      <c r="M3020" t="s">
        <v>2175</v>
      </c>
      <c r="N3020" t="s">
        <v>2176</v>
      </c>
      <c r="O3020" t="s">
        <v>315</v>
      </c>
      <c r="P3020">
        <v>-20.065525000000001</v>
      </c>
      <c r="Q3020">
        <v>-45.021079999999998</v>
      </c>
      <c r="R3020" s="2" t="str">
        <f>HYPERLINK("https://www.google.com/maps?q=-20.0655250,-45.0210800","Abrir no Google Maps")</f>
        <v>Abrir no Google Maps</v>
      </c>
      <c r="S3020">
        <v>4</v>
      </c>
      <c r="T3020">
        <v>0</v>
      </c>
      <c r="U3020">
        <v>3</v>
      </c>
      <c r="V3020">
        <v>0.39690982776089151</v>
      </c>
      <c r="W3020">
        <v>0.85</v>
      </c>
      <c r="X3020">
        <v>0.3373733535967578</v>
      </c>
      <c r="Y3020">
        <v>34</v>
      </c>
      <c r="Z3020">
        <v>112.0787145944731</v>
      </c>
      <c r="AA3020">
        <v>198</v>
      </c>
      <c r="AB3020">
        <v>332</v>
      </c>
      <c r="AC3020">
        <v>536</v>
      </c>
      <c r="AD3020">
        <v>26.35</v>
      </c>
      <c r="AE3020">
        <v>542</v>
      </c>
      <c r="AF3020">
        <v>15</v>
      </c>
      <c r="AG3020">
        <v>174</v>
      </c>
      <c r="AH3020">
        <v>129</v>
      </c>
      <c r="AI3020">
        <v>2.77</v>
      </c>
      <c r="AJ3020">
        <v>32.1</v>
      </c>
      <c r="AK3020">
        <v>23.8</v>
      </c>
      <c r="AL3020">
        <v>-20.065411799999939</v>
      </c>
      <c r="AM3020">
        <v>-45.020883795497078</v>
      </c>
      <c r="AN3020">
        <v>-20.065411799999939</v>
      </c>
      <c r="AO3020">
        <v>-45.020883795497078</v>
      </c>
      <c r="AP3020">
        <v>-20.065525000000001</v>
      </c>
      <c r="AQ3020">
        <v>-45.021079999999998</v>
      </c>
      <c r="AR3020">
        <v>24.076783547382998</v>
      </c>
      <c r="AS3020" t="s">
        <v>65</v>
      </c>
      <c r="AT3020">
        <v>1</v>
      </c>
      <c r="AU3020" t="s">
        <v>2177</v>
      </c>
      <c r="AV3020" t="s">
        <v>2178</v>
      </c>
      <c r="AW3020" t="s">
        <v>60</v>
      </c>
      <c r="AX3020" t="s">
        <v>68</v>
      </c>
      <c r="AY3020" t="s">
        <v>69</v>
      </c>
      <c r="AZ3020" t="b">
        <v>1</v>
      </c>
    </row>
    <row r="3021" spans="1:52" x14ac:dyDescent="0.3">
      <c r="A3021" t="s">
        <v>52</v>
      </c>
      <c r="B3021" t="s">
        <v>53</v>
      </c>
      <c r="C3021" t="s">
        <v>54</v>
      </c>
      <c r="D3021" t="s">
        <v>55</v>
      </c>
      <c r="E3021" t="s">
        <v>2163</v>
      </c>
      <c r="F3021" t="s">
        <v>190</v>
      </c>
      <c r="G3021" t="s">
        <v>386</v>
      </c>
      <c r="H3021" t="s">
        <v>387</v>
      </c>
      <c r="I3021" t="s">
        <v>387</v>
      </c>
      <c r="J3021" t="s">
        <v>60</v>
      </c>
      <c r="K3021" t="s">
        <v>388</v>
      </c>
      <c r="L3021" t="s">
        <v>62</v>
      </c>
      <c r="M3021" t="s">
        <v>388</v>
      </c>
      <c r="N3021" t="s">
        <v>389</v>
      </c>
      <c r="O3021" t="s">
        <v>357</v>
      </c>
      <c r="P3021">
        <v>-20.161041999999998</v>
      </c>
      <c r="Q3021">
        <v>-44.901242000000003</v>
      </c>
      <c r="R3021" s="2" t="str">
        <f>HYPERLINK("https://www.google.com/maps?q=-20.1610420,-44.9012420","Abrir no Google Maps")</f>
        <v>Abrir no Google Maps</v>
      </c>
      <c r="S3021">
        <v>3</v>
      </c>
      <c r="T3021">
        <v>440.22183232279212</v>
      </c>
      <c r="U3021">
        <v>4</v>
      </c>
      <c r="V3021">
        <v>0.40939666939666941</v>
      </c>
      <c r="W3021">
        <v>1</v>
      </c>
      <c r="X3021">
        <v>0.40939666939666941</v>
      </c>
      <c r="Y3021">
        <v>729</v>
      </c>
      <c r="Z3021">
        <v>398.48306829302379</v>
      </c>
      <c r="AA3021">
        <v>198</v>
      </c>
      <c r="AB3021">
        <v>332</v>
      </c>
      <c r="AC3021">
        <v>536</v>
      </c>
      <c r="AD3021">
        <v>26.35</v>
      </c>
      <c r="AE3021">
        <v>542</v>
      </c>
      <c r="AF3021">
        <v>15</v>
      </c>
      <c r="AG3021">
        <v>174</v>
      </c>
      <c r="AH3021">
        <v>129</v>
      </c>
      <c r="AI3021">
        <v>2.77</v>
      </c>
      <c r="AJ3021">
        <v>32.1</v>
      </c>
      <c r="AK3021">
        <v>23.8</v>
      </c>
      <c r="AL3021">
        <v>-20.16176629999995</v>
      </c>
      <c r="AM3021">
        <v>-44.901582787827898</v>
      </c>
      <c r="AN3021">
        <v>-20.16176629999995</v>
      </c>
      <c r="AO3021">
        <v>-44.901582787827898</v>
      </c>
      <c r="AP3021">
        <v>-20.161041999999998</v>
      </c>
      <c r="AQ3021">
        <v>-44.901242000000003</v>
      </c>
      <c r="AR3021">
        <v>88.143369157892835</v>
      </c>
      <c r="AS3021" t="s">
        <v>65</v>
      </c>
      <c r="AT3021">
        <v>1</v>
      </c>
      <c r="AU3021" t="s">
        <v>390</v>
      </c>
      <c r="AV3021" t="s">
        <v>391</v>
      </c>
      <c r="AW3021" t="s">
        <v>60</v>
      </c>
      <c r="AX3021" t="s">
        <v>68</v>
      </c>
      <c r="AY3021" t="s">
        <v>69</v>
      </c>
      <c r="AZ3021" t="b">
        <v>1</v>
      </c>
    </row>
    <row r="3022" spans="1:52" x14ac:dyDescent="0.3">
      <c r="A3022" t="s">
        <v>52</v>
      </c>
      <c r="B3022" t="s">
        <v>53</v>
      </c>
      <c r="C3022" t="s">
        <v>54</v>
      </c>
      <c r="D3022" t="s">
        <v>55</v>
      </c>
      <c r="E3022" t="s">
        <v>2163</v>
      </c>
      <c r="F3022" t="s">
        <v>190</v>
      </c>
      <c r="G3022" t="s">
        <v>392</v>
      </c>
      <c r="H3022" t="s">
        <v>393</v>
      </c>
      <c r="I3022" t="s">
        <v>393</v>
      </c>
      <c r="J3022" t="s">
        <v>60</v>
      </c>
      <c r="K3022" t="s">
        <v>388</v>
      </c>
      <c r="L3022" t="s">
        <v>62</v>
      </c>
      <c r="M3022" t="s">
        <v>388</v>
      </c>
      <c r="N3022" t="s">
        <v>394</v>
      </c>
      <c r="O3022" t="s">
        <v>395</v>
      </c>
      <c r="P3022">
        <v>-20.158066999999999</v>
      </c>
      <c r="Q3022">
        <v>-44.908164999999997</v>
      </c>
      <c r="R3022" s="2" t="str">
        <f>HYPERLINK("https://www.google.com/maps?q=-20.1580670,-44.9081650","Abrir no Google Maps")</f>
        <v>Abrir no Google Maps</v>
      </c>
      <c r="S3022">
        <v>3</v>
      </c>
      <c r="T3022">
        <v>666.74434317993041</v>
      </c>
      <c r="U3022">
        <v>4</v>
      </c>
      <c r="V3022">
        <v>0.40501769388761538</v>
      </c>
      <c r="W3022">
        <v>1</v>
      </c>
      <c r="X3022">
        <v>0.40501769388761538</v>
      </c>
      <c r="Y3022">
        <v>729</v>
      </c>
      <c r="Z3022">
        <v>612.4323328215396</v>
      </c>
      <c r="AA3022">
        <v>198</v>
      </c>
      <c r="AB3022">
        <v>332</v>
      </c>
      <c r="AC3022">
        <v>536</v>
      </c>
      <c r="AD3022">
        <v>26.35</v>
      </c>
      <c r="AE3022">
        <v>542</v>
      </c>
      <c r="AF3022">
        <v>15</v>
      </c>
      <c r="AG3022">
        <v>174</v>
      </c>
      <c r="AH3022">
        <v>129</v>
      </c>
      <c r="AI3022">
        <v>2.77</v>
      </c>
      <c r="AJ3022">
        <v>32.1</v>
      </c>
      <c r="AK3022">
        <v>23.8</v>
      </c>
      <c r="AL3022">
        <v>-20.158151449999959</v>
      </c>
      <c r="AM3022">
        <v>-44.908107718360938</v>
      </c>
      <c r="AN3022">
        <v>-20.158151449999959</v>
      </c>
      <c r="AO3022">
        <v>-44.908107718360938</v>
      </c>
      <c r="AP3022">
        <v>-20.158066999999999</v>
      </c>
      <c r="AQ3022">
        <v>-44.908164999999997</v>
      </c>
      <c r="AR3022">
        <v>11.14497345894574</v>
      </c>
      <c r="AS3022" t="s">
        <v>65</v>
      </c>
      <c r="AT3022">
        <v>1</v>
      </c>
      <c r="AU3022" t="s">
        <v>396</v>
      </c>
      <c r="AV3022" t="s">
        <v>397</v>
      </c>
      <c r="AW3022" t="s">
        <v>60</v>
      </c>
      <c r="AX3022" t="s">
        <v>68</v>
      </c>
      <c r="AY3022" t="s">
        <v>69</v>
      </c>
      <c r="AZ3022" t="b">
        <v>1</v>
      </c>
    </row>
    <row r="3023" spans="1:52" x14ac:dyDescent="0.3">
      <c r="A3023" t="s">
        <v>52</v>
      </c>
      <c r="B3023" t="s">
        <v>53</v>
      </c>
      <c r="C3023" t="s">
        <v>54</v>
      </c>
      <c r="D3023" t="s">
        <v>55</v>
      </c>
      <c r="E3023" t="s">
        <v>2163</v>
      </c>
      <c r="F3023" t="s">
        <v>190</v>
      </c>
      <c r="G3023" t="s">
        <v>398</v>
      </c>
      <c r="H3023" t="s">
        <v>399</v>
      </c>
      <c r="I3023" t="s">
        <v>399</v>
      </c>
      <c r="J3023" t="s">
        <v>60</v>
      </c>
      <c r="K3023" t="s">
        <v>388</v>
      </c>
      <c r="L3023" t="s">
        <v>62</v>
      </c>
      <c r="M3023" t="s">
        <v>388</v>
      </c>
      <c r="N3023" t="s">
        <v>400</v>
      </c>
      <c r="O3023" t="s">
        <v>401</v>
      </c>
      <c r="P3023">
        <v>-20.160157000000002</v>
      </c>
      <c r="Q3023">
        <v>-44.904347999999999</v>
      </c>
      <c r="R3023" s="2" t="str">
        <f>HYPERLINK("https://www.google.com/maps?q=-20.1601570,-44.9043480","Abrir no Google Maps")</f>
        <v>Abrir no Google Maps</v>
      </c>
      <c r="S3023">
        <v>3</v>
      </c>
      <c r="T3023">
        <v>469.26088527154809</v>
      </c>
      <c r="U3023">
        <v>4</v>
      </c>
      <c r="V3023">
        <v>0.48580837428299167</v>
      </c>
      <c r="W3023">
        <v>1</v>
      </c>
      <c r="X3023">
        <v>0.48580837428299167</v>
      </c>
      <c r="Y3023">
        <v>729</v>
      </c>
      <c r="Z3023">
        <v>253.57832452309071</v>
      </c>
      <c r="AA3023">
        <v>198</v>
      </c>
      <c r="AB3023">
        <v>332</v>
      </c>
      <c r="AC3023">
        <v>536</v>
      </c>
      <c r="AD3023">
        <v>26.35</v>
      </c>
      <c r="AE3023">
        <v>542</v>
      </c>
      <c r="AF3023">
        <v>15</v>
      </c>
      <c r="AG3023">
        <v>174</v>
      </c>
      <c r="AH3023">
        <v>129</v>
      </c>
      <c r="AI3023">
        <v>2.77</v>
      </c>
      <c r="AJ3023">
        <v>32.1</v>
      </c>
      <c r="AK3023">
        <v>23.8</v>
      </c>
      <c r="AL3023">
        <v>-20.160007949999969</v>
      </c>
      <c r="AM3023">
        <v>-44.904396608560482</v>
      </c>
      <c r="AN3023">
        <v>-20.160007949999969</v>
      </c>
      <c r="AO3023">
        <v>-44.904396608560482</v>
      </c>
      <c r="AP3023">
        <v>-20.160157000000002</v>
      </c>
      <c r="AQ3023">
        <v>-44.904347999999999</v>
      </c>
      <c r="AR3023">
        <v>17.35237255387942</v>
      </c>
      <c r="AS3023" t="s">
        <v>65</v>
      </c>
      <c r="AT3023">
        <v>1</v>
      </c>
      <c r="AU3023" t="s">
        <v>402</v>
      </c>
      <c r="AV3023" t="s">
        <v>403</v>
      </c>
      <c r="AW3023" t="s">
        <v>60</v>
      </c>
      <c r="AX3023" t="s">
        <v>68</v>
      </c>
      <c r="AY3023" t="s">
        <v>69</v>
      </c>
      <c r="AZ3023" t="b">
        <v>1</v>
      </c>
    </row>
    <row r="3024" spans="1:52" x14ac:dyDescent="0.3">
      <c r="A3024" t="s">
        <v>52</v>
      </c>
      <c r="B3024" t="s">
        <v>53</v>
      </c>
      <c r="C3024" t="s">
        <v>54</v>
      </c>
      <c r="D3024" t="s">
        <v>55</v>
      </c>
      <c r="E3024" t="s">
        <v>2163</v>
      </c>
      <c r="F3024" t="s">
        <v>190</v>
      </c>
      <c r="G3024" t="s">
        <v>404</v>
      </c>
      <c r="H3024" t="s">
        <v>405</v>
      </c>
      <c r="I3024" t="s">
        <v>405</v>
      </c>
      <c r="J3024" t="s">
        <v>60</v>
      </c>
      <c r="K3024" t="s">
        <v>388</v>
      </c>
      <c r="L3024" t="s">
        <v>62</v>
      </c>
      <c r="M3024" t="s">
        <v>388</v>
      </c>
      <c r="N3024" t="s">
        <v>406</v>
      </c>
      <c r="O3024" t="s">
        <v>407</v>
      </c>
      <c r="P3024">
        <v>-20.162780999999999</v>
      </c>
      <c r="Q3024">
        <v>-44.904437999999999</v>
      </c>
      <c r="R3024" s="2" t="str">
        <f>HYPERLINK("https://www.google.com/maps?q=-20.1627810,-44.9044380","Abrir no Google Maps")</f>
        <v>Abrir no Google Maps</v>
      </c>
      <c r="S3024">
        <v>3</v>
      </c>
      <c r="T3024">
        <v>681.0891377731482</v>
      </c>
      <c r="U3024">
        <v>4</v>
      </c>
      <c r="V3024">
        <v>0.46244546034723027</v>
      </c>
      <c r="W3024">
        <v>1</v>
      </c>
      <c r="X3024">
        <v>0.46244546034723027</v>
      </c>
      <c r="Y3024">
        <v>729</v>
      </c>
      <c r="Z3024">
        <v>564.17713687218622</v>
      </c>
      <c r="AA3024">
        <v>198</v>
      </c>
      <c r="AB3024">
        <v>332</v>
      </c>
      <c r="AC3024">
        <v>536</v>
      </c>
      <c r="AD3024">
        <v>26.35</v>
      </c>
      <c r="AE3024">
        <v>542</v>
      </c>
      <c r="AF3024">
        <v>15</v>
      </c>
      <c r="AG3024">
        <v>174</v>
      </c>
      <c r="AH3024">
        <v>129</v>
      </c>
      <c r="AI3024">
        <v>2.77</v>
      </c>
      <c r="AJ3024">
        <v>32.1</v>
      </c>
      <c r="AK3024">
        <v>23.8</v>
      </c>
      <c r="AL3024">
        <v>-20.16295434999995</v>
      </c>
      <c r="AM3024">
        <v>-44.904242686956152</v>
      </c>
      <c r="AN3024">
        <v>-20.16295434999995</v>
      </c>
      <c r="AO3024">
        <v>-44.904242686956152</v>
      </c>
      <c r="AP3024">
        <v>-20.162780999999999</v>
      </c>
      <c r="AQ3024">
        <v>-44.904437999999999</v>
      </c>
      <c r="AR3024">
        <v>28.088191280523411</v>
      </c>
      <c r="AS3024" t="s">
        <v>65</v>
      </c>
      <c r="AT3024">
        <v>1</v>
      </c>
      <c r="AU3024" t="s">
        <v>408</v>
      </c>
      <c r="AV3024" t="s">
        <v>409</v>
      </c>
      <c r="AW3024" t="s">
        <v>60</v>
      </c>
      <c r="AX3024" t="s">
        <v>68</v>
      </c>
      <c r="AY3024" t="s">
        <v>69</v>
      </c>
      <c r="AZ3024" t="b">
        <v>1</v>
      </c>
    </row>
    <row r="3025" spans="1:52" x14ac:dyDescent="0.3">
      <c r="A3025" t="s">
        <v>52</v>
      </c>
      <c r="B3025" t="s">
        <v>53</v>
      </c>
      <c r="C3025" t="s">
        <v>54</v>
      </c>
      <c r="D3025" t="s">
        <v>55</v>
      </c>
      <c r="E3025" t="s">
        <v>2163</v>
      </c>
      <c r="F3025" t="s">
        <v>190</v>
      </c>
      <c r="G3025" t="s">
        <v>410</v>
      </c>
      <c r="H3025" t="s">
        <v>411</v>
      </c>
      <c r="I3025" t="s">
        <v>411</v>
      </c>
      <c r="J3025" t="s">
        <v>60</v>
      </c>
      <c r="K3025" t="s">
        <v>388</v>
      </c>
      <c r="L3025" t="s">
        <v>62</v>
      </c>
      <c r="M3025" t="s">
        <v>388</v>
      </c>
      <c r="N3025" t="s">
        <v>412</v>
      </c>
      <c r="O3025" t="s">
        <v>413</v>
      </c>
      <c r="P3025">
        <v>-20.161394000000001</v>
      </c>
      <c r="Q3025">
        <v>-44.906725999999999</v>
      </c>
      <c r="R3025" s="2" t="str">
        <f>HYPERLINK("https://www.google.com/maps?q=-20.1613940,-44.9067260","Abrir no Google Maps")</f>
        <v>Abrir no Google Maps</v>
      </c>
      <c r="S3025">
        <v>3</v>
      </c>
      <c r="T3025">
        <v>763.68157548493457</v>
      </c>
      <c r="U3025">
        <v>4</v>
      </c>
      <c r="V3025">
        <v>0.46043754727685321</v>
      </c>
      <c r="W3025">
        <v>1</v>
      </c>
      <c r="X3025">
        <v>0.46043754727685321</v>
      </c>
      <c r="Y3025">
        <v>729</v>
      </c>
      <c r="Z3025">
        <v>551.70379325948545</v>
      </c>
      <c r="AA3025">
        <v>198</v>
      </c>
      <c r="AB3025">
        <v>332</v>
      </c>
      <c r="AC3025">
        <v>536</v>
      </c>
      <c r="AD3025">
        <v>26.35</v>
      </c>
      <c r="AE3025">
        <v>542</v>
      </c>
      <c r="AF3025">
        <v>15</v>
      </c>
      <c r="AG3025">
        <v>174</v>
      </c>
      <c r="AH3025">
        <v>129</v>
      </c>
      <c r="AI3025">
        <v>2.77</v>
      </c>
      <c r="AJ3025">
        <v>32.1</v>
      </c>
      <c r="AK3025">
        <v>23.8</v>
      </c>
      <c r="AL3025">
        <v>-20.161371049999929</v>
      </c>
      <c r="AM3025">
        <v>-44.906816797310228</v>
      </c>
      <c r="AN3025">
        <v>-20.161371049999929</v>
      </c>
      <c r="AO3025">
        <v>-44.906816797310228</v>
      </c>
      <c r="AP3025">
        <v>-20.161394000000001</v>
      </c>
      <c r="AQ3025">
        <v>-44.906725999999999</v>
      </c>
      <c r="AR3025">
        <v>9.8261555662022495</v>
      </c>
      <c r="AS3025" t="s">
        <v>65</v>
      </c>
      <c r="AT3025">
        <v>1</v>
      </c>
      <c r="AU3025" t="s">
        <v>414</v>
      </c>
      <c r="AV3025" t="s">
        <v>415</v>
      </c>
      <c r="AW3025" t="s">
        <v>60</v>
      </c>
      <c r="AX3025" t="s">
        <v>68</v>
      </c>
      <c r="AY3025" t="s">
        <v>69</v>
      </c>
      <c r="AZ3025" t="b">
        <v>1</v>
      </c>
    </row>
    <row r="3026" spans="1:52" x14ac:dyDescent="0.3">
      <c r="A3026" t="s">
        <v>52</v>
      </c>
      <c r="B3026" t="s">
        <v>53</v>
      </c>
      <c r="C3026" t="s">
        <v>54</v>
      </c>
      <c r="D3026" t="s">
        <v>55</v>
      </c>
      <c r="E3026" t="s">
        <v>2163</v>
      </c>
      <c r="F3026" t="s">
        <v>190</v>
      </c>
      <c r="G3026" t="s">
        <v>416</v>
      </c>
      <c r="H3026" t="s">
        <v>417</v>
      </c>
      <c r="I3026" t="s">
        <v>417</v>
      </c>
      <c r="J3026" t="s">
        <v>60</v>
      </c>
      <c r="K3026" t="s">
        <v>418</v>
      </c>
      <c r="L3026" t="s">
        <v>62</v>
      </c>
      <c r="M3026" t="s">
        <v>418</v>
      </c>
      <c r="N3026" t="s">
        <v>419</v>
      </c>
      <c r="O3026" t="s">
        <v>202</v>
      </c>
      <c r="P3026">
        <v>-20.169886000000002</v>
      </c>
      <c r="Q3026">
        <v>-44.913288000000001</v>
      </c>
      <c r="R3026" s="2" t="str">
        <f>HYPERLINK("https://www.google.com/maps?q=-20.1698860,-44.9132880","Abrir no Google Maps")</f>
        <v>Abrir no Google Maps</v>
      </c>
      <c r="S3026">
        <v>3</v>
      </c>
      <c r="T3026">
        <v>422.88733632898152</v>
      </c>
      <c r="U3026">
        <v>4</v>
      </c>
      <c r="V3026">
        <v>0.44069203877324009</v>
      </c>
      <c r="W3026">
        <v>1</v>
      </c>
      <c r="X3026">
        <v>0.44069203877324009</v>
      </c>
      <c r="Y3026">
        <v>723</v>
      </c>
      <c r="Z3026">
        <v>128.65003864232261</v>
      </c>
      <c r="AA3026">
        <v>198</v>
      </c>
      <c r="AB3026">
        <v>332</v>
      </c>
      <c r="AC3026">
        <v>536</v>
      </c>
      <c r="AD3026">
        <v>26.35</v>
      </c>
      <c r="AE3026">
        <v>542</v>
      </c>
      <c r="AF3026">
        <v>15</v>
      </c>
      <c r="AG3026">
        <v>174</v>
      </c>
      <c r="AH3026">
        <v>129</v>
      </c>
      <c r="AI3026">
        <v>2.77</v>
      </c>
      <c r="AJ3026">
        <v>32.1</v>
      </c>
      <c r="AK3026">
        <v>23.8</v>
      </c>
      <c r="AL3026">
        <v>-20.16970024999998</v>
      </c>
      <c r="AM3026">
        <v>-44.913502201257437</v>
      </c>
      <c r="AN3026">
        <v>-20.16970024999998</v>
      </c>
      <c r="AO3026">
        <v>-44.913502201257437</v>
      </c>
      <c r="AP3026">
        <v>-20.169886000000002</v>
      </c>
      <c r="AQ3026">
        <v>-44.913288000000001</v>
      </c>
      <c r="AR3026">
        <v>30.47208587597606</v>
      </c>
      <c r="AS3026" t="s">
        <v>65</v>
      </c>
      <c r="AT3026">
        <v>1</v>
      </c>
      <c r="AU3026" t="s">
        <v>420</v>
      </c>
      <c r="AV3026" t="s">
        <v>421</v>
      </c>
      <c r="AW3026" t="s">
        <v>60</v>
      </c>
      <c r="AX3026" t="s">
        <v>68</v>
      </c>
      <c r="AY3026" t="s">
        <v>69</v>
      </c>
      <c r="AZ3026" t="b">
        <v>1</v>
      </c>
    </row>
    <row r="3027" spans="1:52" x14ac:dyDescent="0.3">
      <c r="A3027" t="s">
        <v>52</v>
      </c>
      <c r="B3027" t="s">
        <v>53</v>
      </c>
      <c r="C3027" t="s">
        <v>54</v>
      </c>
      <c r="D3027" t="s">
        <v>55</v>
      </c>
      <c r="E3027" t="s">
        <v>2163</v>
      </c>
      <c r="F3027" t="s">
        <v>190</v>
      </c>
      <c r="G3027" t="s">
        <v>1307</v>
      </c>
      <c r="H3027" t="s">
        <v>1308</v>
      </c>
      <c r="I3027" t="s">
        <v>1308</v>
      </c>
      <c r="J3027" t="s">
        <v>60</v>
      </c>
      <c r="K3027" t="s">
        <v>1302</v>
      </c>
      <c r="L3027" t="s">
        <v>62</v>
      </c>
      <c r="M3027" t="s">
        <v>1302</v>
      </c>
      <c r="N3027" t="s">
        <v>558</v>
      </c>
      <c r="O3027" t="s">
        <v>1309</v>
      </c>
      <c r="P3027">
        <v>-20.169051</v>
      </c>
      <c r="Q3027">
        <v>-44.910093000000003</v>
      </c>
      <c r="R3027" s="2" t="str">
        <f>HYPERLINK("https://www.google.com/maps?q=-20.1690510,-44.9100930","Abrir no Google Maps")</f>
        <v>Abrir no Google Maps</v>
      </c>
      <c r="S3027">
        <v>3</v>
      </c>
      <c r="T3027">
        <v>375.90504489887479</v>
      </c>
      <c r="U3027">
        <v>4</v>
      </c>
      <c r="V3027">
        <v>0.5368873199837555</v>
      </c>
      <c r="W3027">
        <v>0.85</v>
      </c>
      <c r="X3027">
        <v>0.45635422198619208</v>
      </c>
      <c r="Y3027">
        <v>723</v>
      </c>
      <c r="Z3027">
        <v>456.19893675176831</v>
      </c>
      <c r="AA3027">
        <v>198</v>
      </c>
      <c r="AB3027">
        <v>332</v>
      </c>
      <c r="AC3027">
        <v>536</v>
      </c>
      <c r="AD3027">
        <v>26.35</v>
      </c>
      <c r="AE3027">
        <v>542</v>
      </c>
      <c r="AF3027">
        <v>15</v>
      </c>
      <c r="AG3027">
        <v>174</v>
      </c>
      <c r="AH3027">
        <v>129</v>
      </c>
      <c r="AI3027">
        <v>2.77</v>
      </c>
      <c r="AJ3027">
        <v>32.1</v>
      </c>
      <c r="AK3027">
        <v>23.8</v>
      </c>
      <c r="AL3027">
        <v>-20.168810949999941</v>
      </c>
      <c r="AM3027">
        <v>-44.910156475447927</v>
      </c>
      <c r="AN3027">
        <v>-20.168810949999941</v>
      </c>
      <c r="AO3027">
        <v>-44.910156475447927</v>
      </c>
      <c r="AP3027">
        <v>-20.169051</v>
      </c>
      <c r="AQ3027">
        <v>-44.910093000000003</v>
      </c>
      <c r="AR3027">
        <v>27.533232396417059</v>
      </c>
      <c r="AS3027" t="s">
        <v>65</v>
      </c>
      <c r="AT3027">
        <v>1</v>
      </c>
      <c r="AU3027" t="s">
        <v>1310</v>
      </c>
      <c r="AV3027" t="s">
        <v>1311</v>
      </c>
      <c r="AW3027" t="s">
        <v>60</v>
      </c>
      <c r="AX3027" t="s">
        <v>68</v>
      </c>
      <c r="AY3027" t="s">
        <v>69</v>
      </c>
      <c r="AZ3027" t="b">
        <v>1</v>
      </c>
    </row>
    <row r="3028" spans="1:52" x14ac:dyDescent="0.3">
      <c r="A3028" t="s">
        <v>52</v>
      </c>
      <c r="B3028" t="s">
        <v>53</v>
      </c>
      <c r="C3028" t="s">
        <v>54</v>
      </c>
      <c r="D3028" t="s">
        <v>55</v>
      </c>
      <c r="E3028" t="s">
        <v>2163</v>
      </c>
      <c r="F3028" t="s">
        <v>190</v>
      </c>
      <c r="G3028" t="s">
        <v>845</v>
      </c>
      <c r="H3028" t="s">
        <v>846</v>
      </c>
      <c r="I3028" t="s">
        <v>846</v>
      </c>
      <c r="J3028" t="s">
        <v>60</v>
      </c>
      <c r="K3028" t="s">
        <v>424</v>
      </c>
      <c r="L3028" t="s">
        <v>62</v>
      </c>
      <c r="M3028" t="s">
        <v>424</v>
      </c>
      <c r="N3028" t="s">
        <v>847</v>
      </c>
      <c r="O3028" t="s">
        <v>848</v>
      </c>
      <c r="P3028">
        <v>-20.175523999999999</v>
      </c>
      <c r="Q3028">
        <v>-44.918016999999999</v>
      </c>
      <c r="R3028" s="2" t="str">
        <f>HYPERLINK("https://www.google.com/maps?q=-20.1755240,-44.9180170","Abrir no Google Maps")</f>
        <v>Abrir no Google Maps</v>
      </c>
      <c r="S3028">
        <v>3</v>
      </c>
      <c r="T3028">
        <v>833.59191671824021</v>
      </c>
      <c r="U3028">
        <v>4</v>
      </c>
      <c r="V3028">
        <v>0.46382079459002529</v>
      </c>
      <c r="W3028">
        <v>0.85</v>
      </c>
      <c r="X3028">
        <v>0.3942476754015215</v>
      </c>
      <c r="Y3028">
        <v>723</v>
      </c>
      <c r="Z3028">
        <v>701.05790658871581</v>
      </c>
      <c r="AA3028">
        <v>198</v>
      </c>
      <c r="AB3028">
        <v>332</v>
      </c>
      <c r="AC3028">
        <v>536</v>
      </c>
      <c r="AD3028">
        <v>26.35</v>
      </c>
      <c r="AE3028">
        <v>542</v>
      </c>
      <c r="AF3028">
        <v>15</v>
      </c>
      <c r="AG3028">
        <v>174</v>
      </c>
      <c r="AH3028">
        <v>129</v>
      </c>
      <c r="AI3028">
        <v>2.77</v>
      </c>
      <c r="AJ3028">
        <v>32.1</v>
      </c>
      <c r="AK3028">
        <v>23.8</v>
      </c>
      <c r="AL3028">
        <v>-20.17533859999995</v>
      </c>
      <c r="AM3028">
        <v>-44.917689627873088</v>
      </c>
      <c r="AN3028">
        <v>-20.17533859999995</v>
      </c>
      <c r="AO3028">
        <v>-44.917689627873088</v>
      </c>
      <c r="AP3028">
        <v>-20.175523999999999</v>
      </c>
      <c r="AQ3028">
        <v>-44.918016999999999</v>
      </c>
      <c r="AR3028">
        <v>39.950898228213873</v>
      </c>
      <c r="AS3028" t="s">
        <v>65</v>
      </c>
      <c r="AT3028">
        <v>1</v>
      </c>
      <c r="AU3028" t="s">
        <v>849</v>
      </c>
      <c r="AV3028" t="s">
        <v>850</v>
      </c>
      <c r="AW3028" t="s">
        <v>60</v>
      </c>
      <c r="AX3028" t="s">
        <v>68</v>
      </c>
      <c r="AY3028" t="s">
        <v>69</v>
      </c>
      <c r="AZ3028" t="b">
        <v>1</v>
      </c>
    </row>
    <row r="3029" spans="1:52" x14ac:dyDescent="0.3">
      <c r="A3029" t="s">
        <v>52</v>
      </c>
      <c r="B3029" t="s">
        <v>53</v>
      </c>
      <c r="C3029" t="s">
        <v>54</v>
      </c>
      <c r="D3029" t="s">
        <v>55</v>
      </c>
      <c r="E3029" t="s">
        <v>2163</v>
      </c>
      <c r="F3029" t="s">
        <v>190</v>
      </c>
      <c r="G3029" t="s">
        <v>429</v>
      </c>
      <c r="H3029" t="s">
        <v>430</v>
      </c>
      <c r="I3029" t="s">
        <v>430</v>
      </c>
      <c r="J3029" t="s">
        <v>60</v>
      </c>
      <c r="K3029" t="s">
        <v>431</v>
      </c>
      <c r="L3029" t="s">
        <v>62</v>
      </c>
      <c r="M3029" t="s">
        <v>431</v>
      </c>
      <c r="N3029" t="s">
        <v>432</v>
      </c>
      <c r="O3029" t="s">
        <v>315</v>
      </c>
      <c r="P3029">
        <v>-20.172698</v>
      </c>
      <c r="Q3029">
        <v>-44.923842</v>
      </c>
      <c r="R3029" s="2" t="str">
        <f>HYPERLINK("https://www.google.com/maps?q=-20.1726980,-44.9238420","Abrir no Google Maps")</f>
        <v>Abrir no Google Maps</v>
      </c>
      <c r="S3029">
        <v>3</v>
      </c>
      <c r="T3029">
        <v>1376.1843173402931</v>
      </c>
      <c r="U3029">
        <v>4</v>
      </c>
      <c r="V3029">
        <v>0.55659738075213272</v>
      </c>
      <c r="W3029">
        <v>0.85</v>
      </c>
      <c r="X3029">
        <v>0.47310777363931278</v>
      </c>
      <c r="Y3029">
        <v>723</v>
      </c>
      <c r="Z3029">
        <v>1101.340635002096</v>
      </c>
      <c r="AA3029">
        <v>198</v>
      </c>
      <c r="AB3029">
        <v>332</v>
      </c>
      <c r="AC3029">
        <v>536</v>
      </c>
      <c r="AD3029">
        <v>26.35</v>
      </c>
      <c r="AE3029">
        <v>542</v>
      </c>
      <c r="AF3029">
        <v>15</v>
      </c>
      <c r="AG3029">
        <v>174</v>
      </c>
      <c r="AH3029">
        <v>129</v>
      </c>
      <c r="AI3029">
        <v>2.77</v>
      </c>
      <c r="AJ3029">
        <v>32.1</v>
      </c>
      <c r="AK3029">
        <v>23.8</v>
      </c>
      <c r="AL3029">
        <v>-20.172942799999959</v>
      </c>
      <c r="AM3029">
        <v>-44.923585372665762</v>
      </c>
      <c r="AN3029">
        <v>-20.172942799999959</v>
      </c>
      <c r="AO3029">
        <v>-44.923585372665762</v>
      </c>
      <c r="AP3029">
        <v>-20.172698</v>
      </c>
      <c r="AQ3029">
        <v>-44.923842</v>
      </c>
      <c r="AR3029">
        <v>38.231981408478958</v>
      </c>
      <c r="AS3029" t="s">
        <v>65</v>
      </c>
      <c r="AT3029">
        <v>1</v>
      </c>
      <c r="AU3029" t="s">
        <v>433</v>
      </c>
      <c r="AV3029" t="s">
        <v>434</v>
      </c>
      <c r="AW3029" t="s">
        <v>60</v>
      </c>
      <c r="AX3029" t="s">
        <v>68</v>
      </c>
      <c r="AY3029" t="s">
        <v>69</v>
      </c>
      <c r="AZ3029" t="b">
        <v>1</v>
      </c>
    </row>
    <row r="3030" spans="1:52" x14ac:dyDescent="0.3">
      <c r="A3030" t="s">
        <v>52</v>
      </c>
      <c r="B3030" t="s">
        <v>53</v>
      </c>
      <c r="C3030" t="s">
        <v>54</v>
      </c>
      <c r="D3030" t="s">
        <v>55</v>
      </c>
      <c r="E3030" t="s">
        <v>2163</v>
      </c>
      <c r="F3030" t="s">
        <v>190</v>
      </c>
      <c r="G3030" t="s">
        <v>435</v>
      </c>
      <c r="H3030" t="s">
        <v>436</v>
      </c>
      <c r="I3030" t="s">
        <v>436</v>
      </c>
      <c r="J3030" t="s">
        <v>60</v>
      </c>
      <c r="K3030" t="s">
        <v>437</v>
      </c>
      <c r="L3030" t="s">
        <v>62</v>
      </c>
      <c r="M3030" t="s">
        <v>437</v>
      </c>
      <c r="N3030" t="s">
        <v>438</v>
      </c>
      <c r="O3030" t="s">
        <v>439</v>
      </c>
      <c r="P3030">
        <v>-20.145613000000001</v>
      </c>
      <c r="Q3030">
        <v>-44.882375000000003</v>
      </c>
      <c r="R3030" s="2" t="str">
        <f>HYPERLINK("https://www.google.com/maps?q=-20.1456130,-44.8823750","Abrir no Google Maps")</f>
        <v>Abrir no Google Maps</v>
      </c>
      <c r="S3030">
        <v>3</v>
      </c>
      <c r="T3030">
        <v>305.65092112314198</v>
      </c>
      <c r="U3030">
        <v>4</v>
      </c>
      <c r="V3030">
        <v>0.43998160429878491</v>
      </c>
      <c r="W3030">
        <v>1</v>
      </c>
      <c r="X3030">
        <v>0.43998160429878491</v>
      </c>
      <c r="Y3030">
        <v>653</v>
      </c>
      <c r="Z3030">
        <v>349.55297035282501</v>
      </c>
      <c r="AA3030">
        <v>198</v>
      </c>
      <c r="AB3030">
        <v>332</v>
      </c>
      <c r="AC3030">
        <v>536</v>
      </c>
      <c r="AD3030">
        <v>26.35</v>
      </c>
      <c r="AE3030">
        <v>542</v>
      </c>
      <c r="AF3030">
        <v>15</v>
      </c>
      <c r="AG3030">
        <v>174</v>
      </c>
      <c r="AH3030">
        <v>129</v>
      </c>
      <c r="AI3030">
        <v>2.77</v>
      </c>
      <c r="AJ3030">
        <v>32.1</v>
      </c>
      <c r="AK3030">
        <v>23.8</v>
      </c>
      <c r="AL3030">
        <v>-20.14550464999996</v>
      </c>
      <c r="AM3030">
        <v>-44.882157007077737</v>
      </c>
      <c r="AN3030">
        <v>-20.14550464999996</v>
      </c>
      <c r="AO3030">
        <v>-44.882157007077737</v>
      </c>
      <c r="AP3030">
        <v>-20.145613000000001</v>
      </c>
      <c r="AQ3030">
        <v>-44.882375000000003</v>
      </c>
      <c r="AR3030">
        <v>25.77819791856259</v>
      </c>
      <c r="AS3030" t="s">
        <v>65</v>
      </c>
      <c r="AT3030">
        <v>1</v>
      </c>
      <c r="AU3030" t="s">
        <v>440</v>
      </c>
      <c r="AV3030" t="s">
        <v>441</v>
      </c>
      <c r="AW3030" t="s">
        <v>60</v>
      </c>
      <c r="AX3030" t="s">
        <v>68</v>
      </c>
      <c r="AY3030" t="s">
        <v>69</v>
      </c>
      <c r="AZ3030" t="b">
        <v>1</v>
      </c>
    </row>
    <row r="3031" spans="1:52" x14ac:dyDescent="0.3">
      <c r="A3031" t="s">
        <v>52</v>
      </c>
      <c r="B3031" t="s">
        <v>53</v>
      </c>
      <c r="C3031" t="s">
        <v>54</v>
      </c>
      <c r="D3031" t="s">
        <v>55</v>
      </c>
      <c r="E3031" t="s">
        <v>2163</v>
      </c>
      <c r="F3031" t="s">
        <v>190</v>
      </c>
      <c r="G3031" t="s">
        <v>442</v>
      </c>
      <c r="H3031" t="s">
        <v>443</v>
      </c>
      <c r="I3031" t="s">
        <v>443</v>
      </c>
      <c r="J3031" t="s">
        <v>60</v>
      </c>
      <c r="K3031" t="s">
        <v>437</v>
      </c>
      <c r="L3031" t="s">
        <v>62</v>
      </c>
      <c r="M3031" t="s">
        <v>437</v>
      </c>
      <c r="N3031" t="s">
        <v>444</v>
      </c>
      <c r="O3031" t="s">
        <v>445</v>
      </c>
      <c r="P3031">
        <v>-20.149744999999999</v>
      </c>
      <c r="Q3031">
        <v>-44.881385000000002</v>
      </c>
      <c r="R3031" s="2" t="str">
        <f>HYPERLINK("https://www.google.com/maps?q=-20.1497450,-44.8813850","Abrir no Google Maps")</f>
        <v>Abrir no Google Maps</v>
      </c>
      <c r="S3031">
        <v>3</v>
      </c>
      <c r="T3031">
        <v>188.80690546111239</v>
      </c>
      <c r="U3031">
        <v>4</v>
      </c>
      <c r="V3031">
        <v>0.47697825570875862</v>
      </c>
      <c r="W3031">
        <v>1</v>
      </c>
      <c r="X3031">
        <v>0.47697825570875862</v>
      </c>
      <c r="Y3031">
        <v>653</v>
      </c>
      <c r="Z3031">
        <v>86.575080390731017</v>
      </c>
      <c r="AA3031">
        <v>198</v>
      </c>
      <c r="AB3031">
        <v>332</v>
      </c>
      <c r="AC3031">
        <v>536</v>
      </c>
      <c r="AD3031">
        <v>26.35</v>
      </c>
      <c r="AE3031">
        <v>542</v>
      </c>
      <c r="AF3031">
        <v>15</v>
      </c>
      <c r="AG3031">
        <v>174</v>
      </c>
      <c r="AH3031">
        <v>129</v>
      </c>
      <c r="AI3031">
        <v>2.77</v>
      </c>
      <c r="AJ3031">
        <v>32.1</v>
      </c>
      <c r="AK3031">
        <v>23.8</v>
      </c>
      <c r="AL3031">
        <v>-20.149645149999941</v>
      </c>
      <c r="AM3031">
        <v>-44.881504585149607</v>
      </c>
      <c r="AN3031">
        <v>-20.149645149999941</v>
      </c>
      <c r="AO3031">
        <v>-44.881504585149607</v>
      </c>
      <c r="AP3031">
        <v>-20.149744999999999</v>
      </c>
      <c r="AQ3031">
        <v>-44.881385000000002</v>
      </c>
      <c r="AR3031">
        <v>16.725323110840389</v>
      </c>
      <c r="AS3031" t="s">
        <v>65</v>
      </c>
      <c r="AT3031">
        <v>1</v>
      </c>
      <c r="AU3031" t="s">
        <v>446</v>
      </c>
      <c r="AV3031" t="s">
        <v>447</v>
      </c>
      <c r="AW3031" t="s">
        <v>60</v>
      </c>
      <c r="AX3031" t="s">
        <v>68</v>
      </c>
      <c r="AY3031" t="s">
        <v>69</v>
      </c>
      <c r="AZ3031" t="b">
        <v>1</v>
      </c>
    </row>
    <row r="3032" spans="1:52" x14ac:dyDescent="0.3">
      <c r="A3032" t="s">
        <v>52</v>
      </c>
      <c r="B3032" t="s">
        <v>53</v>
      </c>
      <c r="C3032" t="s">
        <v>54</v>
      </c>
      <c r="D3032" t="s">
        <v>55</v>
      </c>
      <c r="E3032" t="s">
        <v>2163</v>
      </c>
      <c r="F3032" t="s">
        <v>190</v>
      </c>
      <c r="G3032" t="s">
        <v>448</v>
      </c>
      <c r="H3032" t="s">
        <v>449</v>
      </c>
      <c r="I3032" t="s">
        <v>449</v>
      </c>
      <c r="J3032" t="s">
        <v>60</v>
      </c>
      <c r="K3032" t="s">
        <v>388</v>
      </c>
      <c r="L3032" t="s">
        <v>62</v>
      </c>
      <c r="M3032" t="s">
        <v>388</v>
      </c>
      <c r="N3032" t="s">
        <v>450</v>
      </c>
      <c r="O3032" t="s">
        <v>451</v>
      </c>
      <c r="P3032">
        <v>-20.163981</v>
      </c>
      <c r="Q3032">
        <v>-44.907128999999998</v>
      </c>
      <c r="R3032" s="2" t="str">
        <f>HYPERLINK("https://www.google.com/maps?q=-20.1639810,-44.9071290","Abrir no Google Maps")</f>
        <v>Abrir no Google Maps</v>
      </c>
      <c r="S3032">
        <v>3</v>
      </c>
      <c r="T3032">
        <v>782.50730806588319</v>
      </c>
      <c r="U3032">
        <v>4</v>
      </c>
      <c r="V3032">
        <v>0.47534830782732701</v>
      </c>
      <c r="W3032">
        <v>1</v>
      </c>
      <c r="X3032">
        <v>0.47534830782732701</v>
      </c>
      <c r="Y3032">
        <v>639</v>
      </c>
      <c r="Z3032">
        <v>710.90621453796166</v>
      </c>
      <c r="AA3032">
        <v>198</v>
      </c>
      <c r="AB3032">
        <v>332</v>
      </c>
      <c r="AC3032">
        <v>536</v>
      </c>
      <c r="AD3032">
        <v>26.35</v>
      </c>
      <c r="AE3032">
        <v>542</v>
      </c>
      <c r="AF3032">
        <v>15</v>
      </c>
      <c r="AG3032">
        <v>174</v>
      </c>
      <c r="AH3032">
        <v>129</v>
      </c>
      <c r="AI3032">
        <v>2.77</v>
      </c>
      <c r="AJ3032">
        <v>32.1</v>
      </c>
      <c r="AK3032">
        <v>23.8</v>
      </c>
      <c r="AL3032">
        <v>-20.163958349999969</v>
      </c>
      <c r="AM3032">
        <v>-44.907180923930973</v>
      </c>
      <c r="AN3032">
        <v>-20.163958349999969</v>
      </c>
      <c r="AO3032">
        <v>-44.907180923930973</v>
      </c>
      <c r="AP3032">
        <v>-20.163981</v>
      </c>
      <c r="AQ3032">
        <v>-44.907128999999998</v>
      </c>
      <c r="AR3032">
        <v>5.9831345092457884</v>
      </c>
      <c r="AS3032" t="s">
        <v>65</v>
      </c>
      <c r="AT3032">
        <v>1</v>
      </c>
      <c r="AU3032" t="s">
        <v>452</v>
      </c>
      <c r="AV3032" t="s">
        <v>453</v>
      </c>
      <c r="AW3032" t="s">
        <v>60</v>
      </c>
      <c r="AX3032" t="s">
        <v>68</v>
      </c>
      <c r="AY3032" t="s">
        <v>69</v>
      </c>
      <c r="AZ3032" t="b">
        <v>1</v>
      </c>
    </row>
    <row r="3033" spans="1:52" x14ac:dyDescent="0.3">
      <c r="A3033" t="s">
        <v>52</v>
      </c>
      <c r="B3033" t="s">
        <v>53</v>
      </c>
      <c r="C3033" t="s">
        <v>54</v>
      </c>
      <c r="D3033" t="s">
        <v>55</v>
      </c>
      <c r="E3033" t="s">
        <v>2163</v>
      </c>
      <c r="F3033" t="s">
        <v>190</v>
      </c>
      <c r="G3033" t="s">
        <v>454</v>
      </c>
      <c r="H3033" t="s">
        <v>455</v>
      </c>
      <c r="I3033" t="s">
        <v>455</v>
      </c>
      <c r="J3033" t="s">
        <v>60</v>
      </c>
      <c r="K3033" t="s">
        <v>456</v>
      </c>
      <c r="L3033" t="s">
        <v>62</v>
      </c>
      <c r="M3033" t="s">
        <v>456</v>
      </c>
      <c r="N3033" t="s">
        <v>102</v>
      </c>
      <c r="O3033" t="s">
        <v>457</v>
      </c>
      <c r="P3033">
        <v>-20.138373999999999</v>
      </c>
      <c r="Q3033">
        <v>-44.903756999999999</v>
      </c>
      <c r="R3033" s="2" t="str">
        <f>HYPERLINK("https://www.google.com/maps?q=-20.1383740,-44.9037570","Abrir no Google Maps")</f>
        <v>Abrir no Google Maps</v>
      </c>
      <c r="S3033">
        <v>3</v>
      </c>
      <c r="T3033">
        <v>357.59466273594461</v>
      </c>
      <c r="U3033">
        <v>4</v>
      </c>
      <c r="V3033">
        <v>0.50220899470899472</v>
      </c>
      <c r="W3033">
        <v>1</v>
      </c>
      <c r="X3033">
        <v>0.50220899470899472</v>
      </c>
      <c r="Y3033">
        <v>581</v>
      </c>
      <c r="Z3033">
        <v>406.92482694505992</v>
      </c>
      <c r="AA3033">
        <v>198</v>
      </c>
      <c r="AB3033">
        <v>332</v>
      </c>
      <c r="AC3033">
        <v>536</v>
      </c>
      <c r="AD3033">
        <v>26.35</v>
      </c>
      <c r="AE3033">
        <v>542</v>
      </c>
      <c r="AF3033">
        <v>15</v>
      </c>
      <c r="AG3033">
        <v>174</v>
      </c>
      <c r="AH3033">
        <v>129</v>
      </c>
      <c r="AI3033">
        <v>2.77</v>
      </c>
      <c r="AJ3033">
        <v>32.1</v>
      </c>
      <c r="AK3033">
        <v>23.8</v>
      </c>
      <c r="AL3033">
        <v>-20.138338199999961</v>
      </c>
      <c r="AM3033">
        <v>-44.903768618976301</v>
      </c>
      <c r="AN3033">
        <v>-20.138338199999961</v>
      </c>
      <c r="AO3033">
        <v>-44.903768618976301</v>
      </c>
      <c r="AP3033">
        <v>-20.138373999999999</v>
      </c>
      <c r="AQ3033">
        <v>-44.903756999999999</v>
      </c>
      <c r="AR3033">
        <v>4.1661625938922704</v>
      </c>
      <c r="AS3033" t="s">
        <v>65</v>
      </c>
      <c r="AT3033">
        <v>1</v>
      </c>
      <c r="AU3033" t="s">
        <v>458</v>
      </c>
      <c r="AV3033" t="s">
        <v>459</v>
      </c>
      <c r="AW3033" t="s">
        <v>60</v>
      </c>
      <c r="AX3033" t="s">
        <v>68</v>
      </c>
      <c r="AY3033" t="s">
        <v>69</v>
      </c>
      <c r="AZ3033" t="b">
        <v>1</v>
      </c>
    </row>
    <row r="3034" spans="1:52" x14ac:dyDescent="0.3">
      <c r="A3034" t="s">
        <v>52</v>
      </c>
      <c r="B3034" t="s">
        <v>53</v>
      </c>
      <c r="C3034" t="s">
        <v>54</v>
      </c>
      <c r="D3034" t="s">
        <v>55</v>
      </c>
      <c r="E3034" t="s">
        <v>2163</v>
      </c>
      <c r="F3034" t="s">
        <v>190</v>
      </c>
      <c r="G3034" t="s">
        <v>460</v>
      </c>
      <c r="H3034" t="s">
        <v>461</v>
      </c>
      <c r="I3034" t="s">
        <v>461</v>
      </c>
      <c r="J3034" t="s">
        <v>60</v>
      </c>
      <c r="K3034" t="s">
        <v>462</v>
      </c>
      <c r="L3034" t="s">
        <v>62</v>
      </c>
      <c r="M3034" t="s">
        <v>462</v>
      </c>
      <c r="N3034" t="s">
        <v>463</v>
      </c>
      <c r="O3034" t="s">
        <v>464</v>
      </c>
      <c r="P3034">
        <v>-20.137919</v>
      </c>
      <c r="Q3034">
        <v>-44.905591000000001</v>
      </c>
      <c r="R3034" s="2" t="str">
        <f>HYPERLINK("https://www.google.com/maps?q=-20.1379190,-44.9055910","Abrir no Google Maps")</f>
        <v>Abrir no Google Maps</v>
      </c>
      <c r="S3034">
        <v>3</v>
      </c>
      <c r="T3034">
        <v>262.01115919461103</v>
      </c>
      <c r="U3034">
        <v>4</v>
      </c>
      <c r="V3034">
        <v>0.50042734656632004</v>
      </c>
      <c r="W3034">
        <v>1</v>
      </c>
      <c r="X3034">
        <v>0.50042734656632004</v>
      </c>
      <c r="Y3034">
        <v>581</v>
      </c>
      <c r="Z3034">
        <v>318.63337303219271</v>
      </c>
      <c r="AA3034">
        <v>198</v>
      </c>
      <c r="AB3034">
        <v>332</v>
      </c>
      <c r="AC3034">
        <v>536</v>
      </c>
      <c r="AD3034">
        <v>26.35</v>
      </c>
      <c r="AE3034">
        <v>542</v>
      </c>
      <c r="AF3034">
        <v>15</v>
      </c>
      <c r="AG3034">
        <v>174</v>
      </c>
      <c r="AH3034">
        <v>129</v>
      </c>
      <c r="AI3034">
        <v>2.77</v>
      </c>
      <c r="AJ3034">
        <v>32.1</v>
      </c>
      <c r="AK3034">
        <v>23.8</v>
      </c>
      <c r="AL3034">
        <v>-20.13789079999998</v>
      </c>
      <c r="AM3034">
        <v>-44.90548593520333</v>
      </c>
      <c r="AN3034">
        <v>-20.13789079999998</v>
      </c>
      <c r="AO3034">
        <v>-44.90548593520333</v>
      </c>
      <c r="AP3034">
        <v>-20.137919</v>
      </c>
      <c r="AQ3034">
        <v>-44.905591000000001</v>
      </c>
      <c r="AR3034">
        <v>11.42072348298178</v>
      </c>
      <c r="AS3034" t="s">
        <v>65</v>
      </c>
      <c r="AT3034">
        <v>1</v>
      </c>
      <c r="AU3034" t="s">
        <v>465</v>
      </c>
      <c r="AV3034" t="s">
        <v>466</v>
      </c>
      <c r="AW3034" t="s">
        <v>60</v>
      </c>
      <c r="AX3034" t="s">
        <v>68</v>
      </c>
      <c r="AY3034" t="s">
        <v>69</v>
      </c>
      <c r="AZ3034" t="b">
        <v>1</v>
      </c>
    </row>
    <row r="3035" spans="1:52" x14ac:dyDescent="0.3">
      <c r="A3035" t="s">
        <v>52</v>
      </c>
      <c r="B3035" t="s">
        <v>53</v>
      </c>
      <c r="C3035" t="s">
        <v>54</v>
      </c>
      <c r="D3035" t="s">
        <v>55</v>
      </c>
      <c r="E3035" t="s">
        <v>2163</v>
      </c>
      <c r="F3035" t="s">
        <v>190</v>
      </c>
      <c r="G3035" t="s">
        <v>1347</v>
      </c>
      <c r="H3035" t="s">
        <v>1348</v>
      </c>
      <c r="I3035" t="s">
        <v>1348</v>
      </c>
      <c r="J3035" t="s">
        <v>60</v>
      </c>
      <c r="K3035" t="s">
        <v>1349</v>
      </c>
      <c r="L3035" t="s">
        <v>62</v>
      </c>
      <c r="M3035" t="s">
        <v>1349</v>
      </c>
      <c r="N3035" t="s">
        <v>1350</v>
      </c>
      <c r="O3035" t="s">
        <v>1351</v>
      </c>
      <c r="P3035">
        <v>-20.140426999999999</v>
      </c>
      <c r="Q3035">
        <v>-44.905327999999997</v>
      </c>
      <c r="R3035" s="2" t="str">
        <f>HYPERLINK("https://www.google.com/maps?q=-20.1404270,-44.9053280","Abrir no Google Maps")</f>
        <v>Abrir no Google Maps</v>
      </c>
      <c r="S3035">
        <v>3</v>
      </c>
      <c r="T3035">
        <v>359.5810968231857</v>
      </c>
      <c r="U3035">
        <v>4</v>
      </c>
      <c r="V3035">
        <v>0.50601048810004035</v>
      </c>
      <c r="W3035">
        <v>0.85</v>
      </c>
      <c r="X3035">
        <v>0.43010891488503428</v>
      </c>
      <c r="Y3035">
        <v>581</v>
      </c>
      <c r="Z3035">
        <v>292.370097058873</v>
      </c>
      <c r="AA3035">
        <v>198</v>
      </c>
      <c r="AB3035">
        <v>332</v>
      </c>
      <c r="AC3035">
        <v>536</v>
      </c>
      <c r="AD3035">
        <v>26.35</v>
      </c>
      <c r="AE3035">
        <v>542</v>
      </c>
      <c r="AF3035">
        <v>15</v>
      </c>
      <c r="AG3035">
        <v>174</v>
      </c>
      <c r="AH3035">
        <v>129</v>
      </c>
      <c r="AI3035">
        <v>2.77</v>
      </c>
      <c r="AJ3035">
        <v>32.1</v>
      </c>
      <c r="AK3035">
        <v>23.8</v>
      </c>
      <c r="AL3035">
        <v>-20.140465449999969</v>
      </c>
      <c r="AM3035">
        <v>-44.905317129037229</v>
      </c>
      <c r="AN3035">
        <v>-20.140465449999969</v>
      </c>
      <c r="AO3035">
        <v>-44.905317129037229</v>
      </c>
      <c r="AP3035">
        <v>-20.140426999999999</v>
      </c>
      <c r="AQ3035">
        <v>-44.905327999999997</v>
      </c>
      <c r="AR3035">
        <v>4.4284788644958706</v>
      </c>
      <c r="AS3035" t="s">
        <v>65</v>
      </c>
      <c r="AT3035">
        <v>1</v>
      </c>
      <c r="AU3035" t="s">
        <v>1352</v>
      </c>
      <c r="AV3035" t="s">
        <v>1353</v>
      </c>
      <c r="AW3035" t="s">
        <v>60</v>
      </c>
      <c r="AX3035" t="s">
        <v>68</v>
      </c>
      <c r="AY3035" t="s">
        <v>69</v>
      </c>
      <c r="AZ3035" t="b">
        <v>1</v>
      </c>
    </row>
    <row r="3036" spans="1:52" x14ac:dyDescent="0.3">
      <c r="A3036" t="s">
        <v>52</v>
      </c>
      <c r="B3036" t="s">
        <v>53</v>
      </c>
      <c r="C3036" t="s">
        <v>54</v>
      </c>
      <c r="D3036" t="s">
        <v>55</v>
      </c>
      <c r="E3036" t="s">
        <v>2163</v>
      </c>
      <c r="F3036" t="s">
        <v>190</v>
      </c>
      <c r="G3036" t="s">
        <v>467</v>
      </c>
      <c r="H3036" t="s">
        <v>468</v>
      </c>
      <c r="I3036" t="s">
        <v>468</v>
      </c>
      <c r="J3036" t="s">
        <v>60</v>
      </c>
      <c r="K3036" t="s">
        <v>462</v>
      </c>
      <c r="L3036" t="s">
        <v>62</v>
      </c>
      <c r="M3036" t="s">
        <v>462</v>
      </c>
      <c r="N3036" t="s">
        <v>469</v>
      </c>
      <c r="O3036" t="s">
        <v>470</v>
      </c>
      <c r="P3036">
        <v>-20.138233</v>
      </c>
      <c r="Q3036">
        <v>-44.908200000000001</v>
      </c>
      <c r="R3036" s="2" t="str">
        <f>HYPERLINK("https://www.google.com/maps?q=-20.1382330,-44.9082000","Abrir no Google Maps")</f>
        <v>Abrir no Google Maps</v>
      </c>
      <c r="S3036">
        <v>3</v>
      </c>
      <c r="T3036">
        <v>0</v>
      </c>
      <c r="U3036">
        <v>4</v>
      </c>
      <c r="V3036">
        <v>0.49541779306955031</v>
      </c>
      <c r="W3036">
        <v>1</v>
      </c>
      <c r="X3036">
        <v>0.49541779306955031</v>
      </c>
      <c r="Y3036">
        <v>581</v>
      </c>
      <c r="Z3036">
        <v>153.18688302958171</v>
      </c>
      <c r="AA3036">
        <v>198</v>
      </c>
      <c r="AB3036">
        <v>332</v>
      </c>
      <c r="AC3036">
        <v>536</v>
      </c>
      <c r="AD3036">
        <v>26.35</v>
      </c>
      <c r="AE3036">
        <v>542</v>
      </c>
      <c r="AF3036">
        <v>15</v>
      </c>
      <c r="AG3036">
        <v>174</v>
      </c>
      <c r="AH3036">
        <v>129</v>
      </c>
      <c r="AI3036">
        <v>2.77</v>
      </c>
      <c r="AJ3036">
        <v>32.1</v>
      </c>
      <c r="AK3036">
        <v>23.8</v>
      </c>
      <c r="AL3036">
        <v>-20.138364899999971</v>
      </c>
      <c r="AM3036">
        <v>-44.907942114873997</v>
      </c>
      <c r="AN3036">
        <v>-20.138364899999971</v>
      </c>
      <c r="AO3036">
        <v>-44.907942114873997</v>
      </c>
      <c r="AP3036">
        <v>-20.138233</v>
      </c>
      <c r="AQ3036">
        <v>-44.908200000000001</v>
      </c>
      <c r="AR3036">
        <v>30.692690617986941</v>
      </c>
      <c r="AS3036" t="s">
        <v>65</v>
      </c>
      <c r="AT3036">
        <v>1</v>
      </c>
      <c r="AU3036" t="s">
        <v>471</v>
      </c>
      <c r="AV3036" t="s">
        <v>472</v>
      </c>
      <c r="AW3036" t="s">
        <v>60</v>
      </c>
      <c r="AX3036" t="s">
        <v>68</v>
      </c>
      <c r="AY3036" t="s">
        <v>69</v>
      </c>
      <c r="AZ3036" t="b">
        <v>1</v>
      </c>
    </row>
    <row r="3037" spans="1:52" x14ac:dyDescent="0.3">
      <c r="A3037" t="s">
        <v>52</v>
      </c>
      <c r="B3037" t="s">
        <v>53</v>
      </c>
      <c r="C3037" t="s">
        <v>54</v>
      </c>
      <c r="D3037" t="s">
        <v>55</v>
      </c>
      <c r="E3037" t="s">
        <v>2163</v>
      </c>
      <c r="F3037" t="s">
        <v>190</v>
      </c>
      <c r="G3037" t="s">
        <v>858</v>
      </c>
      <c r="H3037" t="s">
        <v>859</v>
      </c>
      <c r="I3037" t="s">
        <v>859</v>
      </c>
      <c r="J3037" t="s">
        <v>60</v>
      </c>
      <c r="K3037" t="s">
        <v>462</v>
      </c>
      <c r="L3037" t="s">
        <v>62</v>
      </c>
      <c r="M3037" t="s">
        <v>462</v>
      </c>
      <c r="N3037" t="s">
        <v>860</v>
      </c>
      <c r="O3037" t="s">
        <v>861</v>
      </c>
      <c r="P3037">
        <v>-20.139693999999999</v>
      </c>
      <c r="Q3037">
        <v>-44.911256000000002</v>
      </c>
      <c r="R3037" s="2" t="str">
        <f>HYPERLINK("https://www.google.com/maps?q=-20.1396940,-44.9112560","Abrir no Google Maps")</f>
        <v>Abrir no Google Maps</v>
      </c>
      <c r="S3037">
        <v>3</v>
      </c>
      <c r="T3037">
        <v>380.48036838042862</v>
      </c>
      <c r="U3037">
        <v>4</v>
      </c>
      <c r="V3037">
        <v>0.57333754740834386</v>
      </c>
      <c r="W3037">
        <v>0.85</v>
      </c>
      <c r="X3037">
        <v>0.48733691529709228</v>
      </c>
      <c r="Y3037">
        <v>581</v>
      </c>
      <c r="Z3037">
        <v>374.61146000000178</v>
      </c>
      <c r="AA3037">
        <v>198</v>
      </c>
      <c r="AB3037">
        <v>332</v>
      </c>
      <c r="AC3037">
        <v>536</v>
      </c>
      <c r="AD3037">
        <v>26.35</v>
      </c>
      <c r="AE3037">
        <v>542</v>
      </c>
      <c r="AF3037">
        <v>15</v>
      </c>
      <c r="AG3037">
        <v>174</v>
      </c>
      <c r="AH3037">
        <v>129</v>
      </c>
      <c r="AI3037">
        <v>2.77</v>
      </c>
      <c r="AJ3037">
        <v>32.1</v>
      </c>
      <c r="AK3037">
        <v>23.8</v>
      </c>
      <c r="AL3037">
        <v>-20.139768699999959</v>
      </c>
      <c r="AM3037">
        <v>-44.911265351587588</v>
      </c>
      <c r="AN3037">
        <v>-20.139768699999959</v>
      </c>
      <c r="AO3037">
        <v>-44.911265351587588</v>
      </c>
      <c r="AP3037">
        <v>-20.139693999999999</v>
      </c>
      <c r="AQ3037">
        <v>-44.911256000000002</v>
      </c>
      <c r="AR3037">
        <v>8.3728438666521061</v>
      </c>
      <c r="AS3037" t="s">
        <v>65</v>
      </c>
      <c r="AT3037">
        <v>1</v>
      </c>
      <c r="AU3037" t="s">
        <v>862</v>
      </c>
      <c r="AV3037" t="s">
        <v>863</v>
      </c>
      <c r="AW3037" t="s">
        <v>60</v>
      </c>
      <c r="AX3037" t="s">
        <v>68</v>
      </c>
      <c r="AY3037" t="s">
        <v>69</v>
      </c>
      <c r="AZ3037" t="b">
        <v>1</v>
      </c>
    </row>
    <row r="3038" spans="1:52" x14ac:dyDescent="0.3">
      <c r="A3038" t="s">
        <v>52</v>
      </c>
      <c r="B3038" t="s">
        <v>53</v>
      </c>
      <c r="C3038" t="s">
        <v>54</v>
      </c>
      <c r="D3038" t="s">
        <v>55</v>
      </c>
      <c r="E3038" t="s">
        <v>2163</v>
      </c>
      <c r="F3038" t="s">
        <v>190</v>
      </c>
      <c r="G3038" t="s">
        <v>864</v>
      </c>
      <c r="H3038" t="s">
        <v>865</v>
      </c>
      <c r="I3038" t="s">
        <v>865</v>
      </c>
      <c r="J3038" t="s">
        <v>60</v>
      </c>
      <c r="K3038" t="s">
        <v>486</v>
      </c>
      <c r="L3038" t="s">
        <v>62</v>
      </c>
      <c r="M3038" t="s">
        <v>486</v>
      </c>
      <c r="N3038" t="s">
        <v>866</v>
      </c>
      <c r="O3038" t="s">
        <v>867</v>
      </c>
      <c r="P3038">
        <v>-20.170919000000001</v>
      </c>
      <c r="Q3038">
        <v>-44.905451999999997</v>
      </c>
      <c r="R3038" s="2" t="str">
        <f>HYPERLINK("https://www.google.com/maps?q=-20.1709190,-44.9054520","Abrir no Google Maps")</f>
        <v>Abrir no Google Maps</v>
      </c>
      <c r="S3038">
        <v>3</v>
      </c>
      <c r="T3038">
        <v>0</v>
      </c>
      <c r="U3038">
        <v>4</v>
      </c>
      <c r="V3038">
        <v>0.39170137074067207</v>
      </c>
      <c r="W3038">
        <v>1</v>
      </c>
      <c r="X3038">
        <v>0.39170137074067207</v>
      </c>
      <c r="Y3038">
        <v>578</v>
      </c>
      <c r="Z3038">
        <v>205.34598855748419</v>
      </c>
      <c r="AA3038">
        <v>198</v>
      </c>
      <c r="AB3038">
        <v>332</v>
      </c>
      <c r="AC3038">
        <v>536</v>
      </c>
      <c r="AD3038">
        <v>26.35</v>
      </c>
      <c r="AE3038">
        <v>542</v>
      </c>
      <c r="AF3038">
        <v>15</v>
      </c>
      <c r="AG3038">
        <v>174</v>
      </c>
      <c r="AH3038">
        <v>129</v>
      </c>
      <c r="AI3038">
        <v>2.77</v>
      </c>
      <c r="AJ3038">
        <v>32.1</v>
      </c>
      <c r="AK3038">
        <v>23.8</v>
      </c>
      <c r="AL3038">
        <v>-20.170854399999939</v>
      </c>
      <c r="AM3038">
        <v>-44.905524839633358</v>
      </c>
      <c r="AN3038">
        <v>-20.170854399999939</v>
      </c>
      <c r="AO3038">
        <v>-44.905524839633358</v>
      </c>
      <c r="AP3038">
        <v>-20.170919000000001</v>
      </c>
      <c r="AQ3038">
        <v>-44.905451999999997</v>
      </c>
      <c r="AR3038">
        <v>10.471140355179269</v>
      </c>
      <c r="AS3038" t="s">
        <v>65</v>
      </c>
      <c r="AT3038">
        <v>1</v>
      </c>
      <c r="AU3038" t="s">
        <v>868</v>
      </c>
      <c r="AV3038" t="s">
        <v>869</v>
      </c>
      <c r="AW3038" t="s">
        <v>60</v>
      </c>
      <c r="AX3038" t="s">
        <v>68</v>
      </c>
      <c r="AY3038" t="s">
        <v>69</v>
      </c>
      <c r="AZ3038" t="b">
        <v>1</v>
      </c>
    </row>
    <row r="3039" spans="1:52" x14ac:dyDescent="0.3">
      <c r="A3039" t="s">
        <v>52</v>
      </c>
      <c r="B3039" t="s">
        <v>53</v>
      </c>
      <c r="C3039" t="s">
        <v>54</v>
      </c>
      <c r="D3039" t="s">
        <v>55</v>
      </c>
      <c r="E3039" t="s">
        <v>2163</v>
      </c>
      <c r="F3039" t="s">
        <v>190</v>
      </c>
      <c r="G3039" t="s">
        <v>479</v>
      </c>
      <c r="H3039" t="s">
        <v>480</v>
      </c>
      <c r="I3039" t="s">
        <v>480</v>
      </c>
      <c r="J3039" t="s">
        <v>60</v>
      </c>
      <c r="K3039" t="s">
        <v>388</v>
      </c>
      <c r="L3039" t="s">
        <v>62</v>
      </c>
      <c r="M3039" t="s">
        <v>388</v>
      </c>
      <c r="N3039" t="s">
        <v>481</v>
      </c>
      <c r="O3039" t="s">
        <v>315</v>
      </c>
      <c r="P3039">
        <v>-20.166903999999999</v>
      </c>
      <c r="Q3039">
        <v>-44.903492</v>
      </c>
      <c r="R3039" s="2" t="str">
        <f>HYPERLINK("https://www.google.com/maps?q=-20.1669040,-44.9034920","Abrir no Google Maps")</f>
        <v>Abrir no Google Maps</v>
      </c>
      <c r="S3039">
        <v>3</v>
      </c>
      <c r="T3039">
        <v>517.12253532511602</v>
      </c>
      <c r="U3039">
        <v>4</v>
      </c>
      <c r="V3039">
        <v>0.40134005117518268</v>
      </c>
      <c r="W3039">
        <v>1</v>
      </c>
      <c r="X3039">
        <v>0.40134005117518268</v>
      </c>
      <c r="Y3039">
        <v>578</v>
      </c>
      <c r="Z3039">
        <v>721.79551240050432</v>
      </c>
      <c r="AA3039">
        <v>198</v>
      </c>
      <c r="AB3039">
        <v>332</v>
      </c>
      <c r="AC3039">
        <v>536</v>
      </c>
      <c r="AD3039">
        <v>26.35</v>
      </c>
      <c r="AE3039">
        <v>542</v>
      </c>
      <c r="AF3039">
        <v>15</v>
      </c>
      <c r="AG3039">
        <v>174</v>
      </c>
      <c r="AH3039">
        <v>129</v>
      </c>
      <c r="AI3039">
        <v>2.77</v>
      </c>
      <c r="AJ3039">
        <v>32.1</v>
      </c>
      <c r="AK3039">
        <v>23.8</v>
      </c>
      <c r="AL3039">
        <v>-20.166610649999971</v>
      </c>
      <c r="AM3039">
        <v>-44.903452988928308</v>
      </c>
      <c r="AN3039">
        <v>-20.166610649999971</v>
      </c>
      <c r="AO3039">
        <v>-44.903452988928308</v>
      </c>
      <c r="AP3039">
        <v>-20.166903999999999</v>
      </c>
      <c r="AQ3039">
        <v>-44.903492</v>
      </c>
      <c r="AR3039">
        <v>32.909175876856217</v>
      </c>
      <c r="AS3039" t="s">
        <v>65</v>
      </c>
      <c r="AT3039">
        <v>1</v>
      </c>
      <c r="AU3039" t="s">
        <v>482</v>
      </c>
      <c r="AV3039" t="s">
        <v>483</v>
      </c>
      <c r="AW3039" t="s">
        <v>60</v>
      </c>
      <c r="AX3039" t="s">
        <v>68</v>
      </c>
      <c r="AY3039" t="s">
        <v>69</v>
      </c>
      <c r="AZ3039" t="b">
        <v>1</v>
      </c>
    </row>
    <row r="3040" spans="1:52" x14ac:dyDescent="0.3">
      <c r="A3040" t="s">
        <v>52</v>
      </c>
      <c r="B3040" t="s">
        <v>53</v>
      </c>
      <c r="C3040" t="s">
        <v>54</v>
      </c>
      <c r="D3040" t="s">
        <v>55</v>
      </c>
      <c r="E3040" t="s">
        <v>2163</v>
      </c>
      <c r="F3040" t="s">
        <v>190</v>
      </c>
      <c r="G3040" t="s">
        <v>503</v>
      </c>
      <c r="H3040" t="s">
        <v>504</v>
      </c>
      <c r="I3040" t="s">
        <v>504</v>
      </c>
      <c r="J3040" t="s">
        <v>60</v>
      </c>
      <c r="K3040" t="s">
        <v>505</v>
      </c>
      <c r="L3040" t="s">
        <v>62</v>
      </c>
      <c r="M3040" t="s">
        <v>505</v>
      </c>
      <c r="N3040" t="s">
        <v>506</v>
      </c>
      <c r="O3040" t="s">
        <v>507</v>
      </c>
      <c r="P3040">
        <v>-20.131428</v>
      </c>
      <c r="Q3040">
        <v>-44.888921000000003</v>
      </c>
      <c r="R3040" s="2" t="str">
        <f>HYPERLINK("https://www.google.com/maps?q=-20.1314280,-44.8889210","Abrir no Google Maps")</f>
        <v>Abrir no Google Maps</v>
      </c>
      <c r="S3040">
        <v>3</v>
      </c>
      <c r="T3040">
        <v>250.64150698244501</v>
      </c>
      <c r="U3040">
        <v>4</v>
      </c>
      <c r="V3040">
        <v>0.42579006851734119</v>
      </c>
      <c r="W3040">
        <v>1</v>
      </c>
      <c r="X3040">
        <v>0.42579006851734119</v>
      </c>
      <c r="Y3040">
        <v>564</v>
      </c>
      <c r="Z3040">
        <v>189.93933888952441</v>
      </c>
      <c r="AA3040">
        <v>198</v>
      </c>
      <c r="AB3040">
        <v>332</v>
      </c>
      <c r="AC3040">
        <v>536</v>
      </c>
      <c r="AD3040">
        <v>26.35</v>
      </c>
      <c r="AE3040">
        <v>542</v>
      </c>
      <c r="AF3040">
        <v>15</v>
      </c>
      <c r="AG3040">
        <v>174</v>
      </c>
      <c r="AH3040">
        <v>129</v>
      </c>
      <c r="AI3040">
        <v>2.77</v>
      </c>
      <c r="AJ3040">
        <v>32.1</v>
      </c>
      <c r="AK3040">
        <v>23.8</v>
      </c>
      <c r="AL3040">
        <v>-20.13123589999995</v>
      </c>
      <c r="AM3040">
        <v>-44.888742396501762</v>
      </c>
      <c r="AN3040">
        <v>-20.13123589999995</v>
      </c>
      <c r="AO3040">
        <v>-44.888742396501762</v>
      </c>
      <c r="AP3040">
        <v>-20.131428</v>
      </c>
      <c r="AQ3040">
        <v>-44.888921000000003</v>
      </c>
      <c r="AR3040">
        <v>28.386169462917032</v>
      </c>
      <c r="AS3040" t="s">
        <v>65</v>
      </c>
      <c r="AT3040">
        <v>1</v>
      </c>
      <c r="AU3040" t="s">
        <v>508</v>
      </c>
      <c r="AV3040" t="s">
        <v>509</v>
      </c>
      <c r="AW3040" t="s">
        <v>60</v>
      </c>
      <c r="AX3040" t="s">
        <v>68</v>
      </c>
      <c r="AY3040" t="s">
        <v>69</v>
      </c>
      <c r="AZ3040" t="b">
        <v>1</v>
      </c>
    </row>
    <row r="3041" spans="1:52" x14ac:dyDescent="0.3">
      <c r="A3041" t="s">
        <v>52</v>
      </c>
      <c r="B3041" t="s">
        <v>53</v>
      </c>
      <c r="C3041" t="s">
        <v>54</v>
      </c>
      <c r="D3041" t="s">
        <v>55</v>
      </c>
      <c r="E3041" t="s">
        <v>2163</v>
      </c>
      <c r="F3041" t="s">
        <v>190</v>
      </c>
      <c r="G3041" t="s">
        <v>510</v>
      </c>
      <c r="H3041" t="s">
        <v>511</v>
      </c>
      <c r="I3041" t="s">
        <v>511</v>
      </c>
      <c r="J3041" t="s">
        <v>60</v>
      </c>
      <c r="K3041" t="s">
        <v>512</v>
      </c>
      <c r="L3041" t="s">
        <v>62</v>
      </c>
      <c r="M3041" t="s">
        <v>512</v>
      </c>
      <c r="N3041" t="s">
        <v>406</v>
      </c>
      <c r="O3041" t="s">
        <v>513</v>
      </c>
      <c r="P3041">
        <v>-20.127853000000002</v>
      </c>
      <c r="Q3041">
        <v>-44.891415000000002</v>
      </c>
      <c r="R3041" s="2" t="str">
        <f>HYPERLINK("https://www.google.com/maps?q=-20.1278530,-44.8914150","Abrir no Google Maps")</f>
        <v>Abrir no Google Maps</v>
      </c>
      <c r="S3041">
        <v>3</v>
      </c>
      <c r="T3041">
        <v>340.86994528233612</v>
      </c>
      <c r="U3041">
        <v>4</v>
      </c>
      <c r="V3041">
        <v>0.41576863996218838</v>
      </c>
      <c r="W3041">
        <v>1</v>
      </c>
      <c r="X3041">
        <v>0.41576863996218838</v>
      </c>
      <c r="Y3041">
        <v>564</v>
      </c>
      <c r="Z3041">
        <v>294.18108015916812</v>
      </c>
      <c r="AA3041">
        <v>198</v>
      </c>
      <c r="AB3041">
        <v>332</v>
      </c>
      <c r="AC3041">
        <v>536</v>
      </c>
      <c r="AD3041">
        <v>26.35</v>
      </c>
      <c r="AE3041">
        <v>542</v>
      </c>
      <c r="AF3041">
        <v>15</v>
      </c>
      <c r="AG3041">
        <v>174</v>
      </c>
      <c r="AH3041">
        <v>129</v>
      </c>
      <c r="AI3041">
        <v>2.77</v>
      </c>
      <c r="AJ3041">
        <v>32.1</v>
      </c>
      <c r="AK3041">
        <v>23.8</v>
      </c>
      <c r="AL3041">
        <v>-20.12777399999996</v>
      </c>
      <c r="AM3041">
        <v>-44.891400975758501</v>
      </c>
      <c r="AN3041">
        <v>-20.12777399999996</v>
      </c>
      <c r="AO3041">
        <v>-44.891400975758501</v>
      </c>
      <c r="AP3041">
        <v>-20.127853000000002</v>
      </c>
      <c r="AQ3041">
        <v>-44.891415000000002</v>
      </c>
      <c r="AR3041">
        <v>8.9156059162975616</v>
      </c>
      <c r="AS3041" t="s">
        <v>65</v>
      </c>
      <c r="AT3041">
        <v>1</v>
      </c>
      <c r="AU3041" t="s">
        <v>514</v>
      </c>
      <c r="AV3041" t="s">
        <v>515</v>
      </c>
      <c r="AW3041" t="s">
        <v>60</v>
      </c>
      <c r="AX3041" t="s">
        <v>68</v>
      </c>
      <c r="AY3041" t="s">
        <v>69</v>
      </c>
      <c r="AZ3041" t="b">
        <v>1</v>
      </c>
    </row>
    <row r="3042" spans="1:52" x14ac:dyDescent="0.3">
      <c r="A3042" t="s">
        <v>52</v>
      </c>
      <c r="B3042" t="s">
        <v>53</v>
      </c>
      <c r="C3042" t="s">
        <v>54</v>
      </c>
      <c r="D3042" t="s">
        <v>55</v>
      </c>
      <c r="E3042" t="s">
        <v>2163</v>
      </c>
      <c r="F3042" t="s">
        <v>190</v>
      </c>
      <c r="G3042" t="s">
        <v>516</v>
      </c>
      <c r="H3042" t="s">
        <v>517</v>
      </c>
      <c r="I3042" t="s">
        <v>517</v>
      </c>
      <c r="J3042" t="s">
        <v>60</v>
      </c>
      <c r="K3042" t="s">
        <v>518</v>
      </c>
      <c r="L3042" t="s">
        <v>62</v>
      </c>
      <c r="M3042" t="s">
        <v>518</v>
      </c>
      <c r="N3042" t="s">
        <v>519</v>
      </c>
      <c r="O3042" t="s">
        <v>520</v>
      </c>
      <c r="P3042">
        <v>-20.124502</v>
      </c>
      <c r="Q3042">
        <v>-44.888424000000001</v>
      </c>
      <c r="R3042" s="2" t="str">
        <f>HYPERLINK("https://www.google.com/maps?q=-20.1245020,-44.8884240","Abrir no Google Maps")</f>
        <v>Abrir no Google Maps</v>
      </c>
      <c r="S3042">
        <v>3</v>
      </c>
      <c r="T3042">
        <v>483.42298121929559</v>
      </c>
      <c r="U3042">
        <v>4</v>
      </c>
      <c r="V3042">
        <v>0.50106741869168725</v>
      </c>
      <c r="W3042">
        <v>1</v>
      </c>
      <c r="X3042">
        <v>0.50106741869168725</v>
      </c>
      <c r="Y3042">
        <v>564</v>
      </c>
      <c r="Z3042">
        <v>565.43074237076587</v>
      </c>
      <c r="AA3042">
        <v>198</v>
      </c>
      <c r="AB3042">
        <v>332</v>
      </c>
      <c r="AC3042">
        <v>536</v>
      </c>
      <c r="AD3042">
        <v>26.35</v>
      </c>
      <c r="AE3042">
        <v>542</v>
      </c>
      <c r="AF3042">
        <v>15</v>
      </c>
      <c r="AG3042">
        <v>174</v>
      </c>
      <c r="AH3042">
        <v>129</v>
      </c>
      <c r="AI3042">
        <v>2.77</v>
      </c>
      <c r="AJ3042">
        <v>32.1</v>
      </c>
      <c r="AK3042">
        <v>23.8</v>
      </c>
      <c r="AL3042">
        <v>-20.124624949999941</v>
      </c>
      <c r="AM3042">
        <v>-44.888432821777258</v>
      </c>
      <c r="AN3042">
        <v>-20.124624949999941</v>
      </c>
      <c r="AO3042">
        <v>-44.888432821777258</v>
      </c>
      <c r="AP3042">
        <v>-20.124502</v>
      </c>
      <c r="AQ3042">
        <v>-44.888424000000001</v>
      </c>
      <c r="AR3042">
        <v>13.717819333897451</v>
      </c>
      <c r="AS3042" t="s">
        <v>65</v>
      </c>
      <c r="AT3042">
        <v>1</v>
      </c>
      <c r="AU3042" t="s">
        <v>521</v>
      </c>
      <c r="AV3042" t="s">
        <v>522</v>
      </c>
      <c r="AW3042" t="s">
        <v>60</v>
      </c>
      <c r="AX3042" t="s">
        <v>68</v>
      </c>
      <c r="AY3042" t="s">
        <v>69</v>
      </c>
      <c r="AZ3042" t="b">
        <v>1</v>
      </c>
    </row>
    <row r="3043" spans="1:52" x14ac:dyDescent="0.3">
      <c r="A3043" t="s">
        <v>52</v>
      </c>
      <c r="B3043" t="s">
        <v>53</v>
      </c>
      <c r="C3043" t="s">
        <v>54</v>
      </c>
      <c r="D3043" t="s">
        <v>55</v>
      </c>
      <c r="E3043" t="s">
        <v>2163</v>
      </c>
      <c r="F3043" t="s">
        <v>190</v>
      </c>
      <c r="G3043" t="s">
        <v>523</v>
      </c>
      <c r="H3043" t="s">
        <v>524</v>
      </c>
      <c r="I3043" t="s">
        <v>524</v>
      </c>
      <c r="J3043" t="s">
        <v>60</v>
      </c>
      <c r="K3043" t="s">
        <v>518</v>
      </c>
      <c r="L3043" t="s">
        <v>62</v>
      </c>
      <c r="M3043" t="s">
        <v>518</v>
      </c>
      <c r="N3043" t="s">
        <v>525</v>
      </c>
      <c r="O3043" t="s">
        <v>331</v>
      </c>
      <c r="P3043">
        <v>-20.126553000000001</v>
      </c>
      <c r="Q3043">
        <v>-44.888599999999997</v>
      </c>
      <c r="R3043" s="2" t="str">
        <f>HYPERLINK("https://www.google.com/maps?q=-20.1265530,-44.8886000","Abrir no Google Maps")</f>
        <v>Abrir no Google Maps</v>
      </c>
      <c r="S3043">
        <v>3</v>
      </c>
      <c r="T3043">
        <v>256.34043440603853</v>
      </c>
      <c r="U3043">
        <v>4</v>
      </c>
      <c r="V3043">
        <v>0.44475019478915262</v>
      </c>
      <c r="W3043">
        <v>1</v>
      </c>
      <c r="X3043">
        <v>0.44475019478915262</v>
      </c>
      <c r="Y3043">
        <v>564</v>
      </c>
      <c r="Z3043">
        <v>325.4404273055876</v>
      </c>
      <c r="AA3043">
        <v>198</v>
      </c>
      <c r="AB3043">
        <v>332</v>
      </c>
      <c r="AC3043">
        <v>536</v>
      </c>
      <c r="AD3043">
        <v>26.35</v>
      </c>
      <c r="AE3043">
        <v>542</v>
      </c>
      <c r="AF3043">
        <v>15</v>
      </c>
      <c r="AG3043">
        <v>174</v>
      </c>
      <c r="AH3043">
        <v>129</v>
      </c>
      <c r="AI3043">
        <v>2.77</v>
      </c>
      <c r="AJ3043">
        <v>32.1</v>
      </c>
      <c r="AK3043">
        <v>23.8</v>
      </c>
      <c r="AL3043">
        <v>-20.12669049999997</v>
      </c>
      <c r="AM3043">
        <v>-44.888671289876577</v>
      </c>
      <c r="AN3043">
        <v>-20.12669049999997</v>
      </c>
      <c r="AO3043">
        <v>-44.888671289876577</v>
      </c>
      <c r="AP3043">
        <v>-20.126553000000001</v>
      </c>
      <c r="AQ3043">
        <v>-44.888599999999997</v>
      </c>
      <c r="AR3043">
        <v>17.023861591720589</v>
      </c>
      <c r="AS3043" t="s">
        <v>65</v>
      </c>
      <c r="AT3043">
        <v>1</v>
      </c>
      <c r="AU3043" t="s">
        <v>526</v>
      </c>
      <c r="AV3043" t="s">
        <v>527</v>
      </c>
      <c r="AW3043" t="s">
        <v>60</v>
      </c>
      <c r="AX3043" t="s">
        <v>68</v>
      </c>
      <c r="AY3043" t="s">
        <v>69</v>
      </c>
      <c r="AZ3043" t="b">
        <v>1</v>
      </c>
    </row>
    <row r="3044" spans="1:52" x14ac:dyDescent="0.3">
      <c r="A3044" t="s">
        <v>52</v>
      </c>
      <c r="B3044" t="s">
        <v>53</v>
      </c>
      <c r="C3044" t="s">
        <v>54</v>
      </c>
      <c r="D3044" t="s">
        <v>55</v>
      </c>
      <c r="E3044" t="s">
        <v>2163</v>
      </c>
      <c r="F3044" t="s">
        <v>190</v>
      </c>
      <c r="G3044" t="s">
        <v>649</v>
      </c>
      <c r="H3044" t="s">
        <v>885</v>
      </c>
      <c r="I3044" t="s">
        <v>885</v>
      </c>
      <c r="J3044" t="s">
        <v>60</v>
      </c>
      <c r="K3044" t="s">
        <v>886</v>
      </c>
      <c r="L3044" t="s">
        <v>62</v>
      </c>
      <c r="M3044" t="s">
        <v>886</v>
      </c>
      <c r="N3044" t="s">
        <v>652</v>
      </c>
      <c r="O3044" t="s">
        <v>887</v>
      </c>
      <c r="P3044">
        <v>-20.132252000000001</v>
      </c>
      <c r="Q3044">
        <v>-44.894159000000002</v>
      </c>
      <c r="R3044" s="2" t="str">
        <f>HYPERLINK("https://www.google.com/maps?q=-20.1322520,-44.8941590","Abrir no Google Maps")</f>
        <v>Abrir no Google Maps</v>
      </c>
      <c r="S3044">
        <v>3</v>
      </c>
      <c r="T3044">
        <v>699.5004749448899</v>
      </c>
      <c r="U3044">
        <v>4</v>
      </c>
      <c r="V3044">
        <v>0.48169207317073159</v>
      </c>
      <c r="W3044">
        <v>0.85</v>
      </c>
      <c r="X3044">
        <v>0.40943826219512192</v>
      </c>
      <c r="Y3044">
        <v>564</v>
      </c>
      <c r="Z3044">
        <v>522.21103586457991</v>
      </c>
      <c r="AA3044">
        <v>198</v>
      </c>
      <c r="AB3044">
        <v>332</v>
      </c>
      <c r="AC3044">
        <v>536</v>
      </c>
      <c r="AD3044">
        <v>26.35</v>
      </c>
      <c r="AE3044">
        <v>542</v>
      </c>
      <c r="AF3044">
        <v>15</v>
      </c>
      <c r="AG3044">
        <v>174</v>
      </c>
      <c r="AH3044">
        <v>129</v>
      </c>
      <c r="AI3044">
        <v>2.77</v>
      </c>
      <c r="AJ3044">
        <v>32.1</v>
      </c>
      <c r="AK3044">
        <v>23.8</v>
      </c>
      <c r="AL3044">
        <v>-20.132285999999969</v>
      </c>
      <c r="AM3044">
        <v>-44.894119001288672</v>
      </c>
      <c r="AN3044">
        <v>-20.132285999999969</v>
      </c>
      <c r="AO3044">
        <v>-44.894119001288672</v>
      </c>
      <c r="AP3044">
        <v>-20.132252000000001</v>
      </c>
      <c r="AQ3044">
        <v>-44.894159000000002</v>
      </c>
      <c r="AR3044">
        <v>5.6393921063261629</v>
      </c>
      <c r="AS3044" t="s">
        <v>65</v>
      </c>
      <c r="AT3044">
        <v>1</v>
      </c>
      <c r="AU3044" t="s">
        <v>888</v>
      </c>
      <c r="AV3044" t="s">
        <v>889</v>
      </c>
      <c r="AW3044" t="s">
        <v>60</v>
      </c>
      <c r="AX3044" t="s">
        <v>68</v>
      </c>
      <c r="AY3044" t="s">
        <v>69</v>
      </c>
      <c r="AZ3044" t="b">
        <v>1</v>
      </c>
    </row>
    <row r="3045" spans="1:52" x14ac:dyDescent="0.3">
      <c r="A3045" t="s">
        <v>52</v>
      </c>
      <c r="B3045" t="s">
        <v>53</v>
      </c>
      <c r="C3045" t="s">
        <v>54</v>
      </c>
      <c r="D3045" t="s">
        <v>55</v>
      </c>
      <c r="E3045" t="s">
        <v>2163</v>
      </c>
      <c r="F3045" t="s">
        <v>190</v>
      </c>
      <c r="G3045" t="s">
        <v>528</v>
      </c>
      <c r="H3045" t="s">
        <v>529</v>
      </c>
      <c r="I3045" t="s">
        <v>529</v>
      </c>
      <c r="J3045" t="s">
        <v>60</v>
      </c>
      <c r="K3045" t="s">
        <v>530</v>
      </c>
      <c r="L3045" t="s">
        <v>62</v>
      </c>
      <c r="M3045" t="s">
        <v>530</v>
      </c>
      <c r="N3045" t="s">
        <v>531</v>
      </c>
      <c r="O3045" t="s">
        <v>532</v>
      </c>
      <c r="P3045">
        <v>-20.142457</v>
      </c>
      <c r="Q3045">
        <v>-44.891688000000002</v>
      </c>
      <c r="R3045" s="2" t="str">
        <f>HYPERLINK("https://www.google.com/maps?q=-20.1424570,-44.8916880","Abrir no Google Maps")</f>
        <v>Abrir no Google Maps</v>
      </c>
      <c r="S3045">
        <v>3</v>
      </c>
      <c r="T3045">
        <v>0</v>
      </c>
      <c r="U3045">
        <v>4</v>
      </c>
      <c r="V3045">
        <v>0.58235876825540589</v>
      </c>
      <c r="W3045">
        <v>1</v>
      </c>
      <c r="X3045">
        <v>0.58235876825540589</v>
      </c>
      <c r="Y3045">
        <v>557</v>
      </c>
      <c r="Z3045">
        <v>42.611952255679803</v>
      </c>
      <c r="AA3045">
        <v>198</v>
      </c>
      <c r="AB3045">
        <v>332</v>
      </c>
      <c r="AC3045">
        <v>536</v>
      </c>
      <c r="AD3045">
        <v>26.35</v>
      </c>
      <c r="AE3045">
        <v>542</v>
      </c>
      <c r="AF3045">
        <v>15</v>
      </c>
      <c r="AG3045">
        <v>174</v>
      </c>
      <c r="AH3045">
        <v>129</v>
      </c>
      <c r="AI3045">
        <v>2.77</v>
      </c>
      <c r="AJ3045">
        <v>32.1</v>
      </c>
      <c r="AK3045">
        <v>23.8</v>
      </c>
      <c r="AL3045">
        <v>-20.142523099999948</v>
      </c>
      <c r="AM3045">
        <v>-44.891523817588819</v>
      </c>
      <c r="AN3045">
        <v>-20.142523099999948</v>
      </c>
      <c r="AO3045">
        <v>-44.891523817588819</v>
      </c>
      <c r="AP3045">
        <v>-20.142457</v>
      </c>
      <c r="AQ3045">
        <v>-44.891688000000002</v>
      </c>
      <c r="AR3045">
        <v>18.670129248632971</v>
      </c>
      <c r="AS3045" t="s">
        <v>65</v>
      </c>
      <c r="AT3045">
        <v>1</v>
      </c>
      <c r="AU3045" t="s">
        <v>533</v>
      </c>
      <c r="AV3045" t="s">
        <v>534</v>
      </c>
      <c r="AW3045" t="s">
        <v>60</v>
      </c>
      <c r="AX3045" t="s">
        <v>68</v>
      </c>
      <c r="AY3045" t="s">
        <v>69</v>
      </c>
      <c r="AZ3045" t="b">
        <v>1</v>
      </c>
    </row>
    <row r="3046" spans="1:52" x14ac:dyDescent="0.3">
      <c r="A3046" t="s">
        <v>52</v>
      </c>
      <c r="B3046" t="s">
        <v>53</v>
      </c>
      <c r="C3046" t="s">
        <v>54</v>
      </c>
      <c r="D3046" t="s">
        <v>55</v>
      </c>
      <c r="E3046" t="s">
        <v>2163</v>
      </c>
      <c r="F3046" t="s">
        <v>190</v>
      </c>
      <c r="G3046" t="s">
        <v>535</v>
      </c>
      <c r="H3046" t="s">
        <v>536</v>
      </c>
      <c r="I3046" t="s">
        <v>536</v>
      </c>
      <c r="J3046" t="s">
        <v>60</v>
      </c>
      <c r="K3046" t="s">
        <v>388</v>
      </c>
      <c r="L3046" t="s">
        <v>62</v>
      </c>
      <c r="M3046" t="s">
        <v>388</v>
      </c>
      <c r="N3046" t="s">
        <v>537</v>
      </c>
      <c r="O3046" t="s">
        <v>538</v>
      </c>
      <c r="P3046">
        <v>-20.150061999999998</v>
      </c>
      <c r="Q3046">
        <v>-44.903379000000001</v>
      </c>
      <c r="R3046" s="2" t="str">
        <f>HYPERLINK("https://www.google.com/maps?q=-20.1500620,-44.9033790","Abrir no Google Maps")</f>
        <v>Abrir no Google Maps</v>
      </c>
      <c r="S3046">
        <v>3</v>
      </c>
      <c r="T3046">
        <v>286.20313674219977</v>
      </c>
      <c r="U3046">
        <v>4</v>
      </c>
      <c r="V3046">
        <v>0.48513501970689799</v>
      </c>
      <c r="W3046">
        <v>1</v>
      </c>
      <c r="X3046">
        <v>0.48513501970689799</v>
      </c>
      <c r="Y3046">
        <v>556</v>
      </c>
      <c r="Z3046">
        <v>315.81851898667401</v>
      </c>
      <c r="AA3046">
        <v>198</v>
      </c>
      <c r="AB3046">
        <v>332</v>
      </c>
      <c r="AC3046">
        <v>536</v>
      </c>
      <c r="AD3046">
        <v>26.35</v>
      </c>
      <c r="AE3046">
        <v>542</v>
      </c>
      <c r="AF3046">
        <v>15</v>
      </c>
      <c r="AG3046">
        <v>174</v>
      </c>
      <c r="AH3046">
        <v>129</v>
      </c>
      <c r="AI3046">
        <v>2.77</v>
      </c>
      <c r="AJ3046">
        <v>32.1</v>
      </c>
      <c r="AK3046">
        <v>23.8</v>
      </c>
      <c r="AL3046">
        <v>-20.150084299999971</v>
      </c>
      <c r="AM3046">
        <v>-44.903278407568479</v>
      </c>
      <c r="AN3046">
        <v>-20.150084299999971</v>
      </c>
      <c r="AO3046">
        <v>-44.903278407568479</v>
      </c>
      <c r="AP3046">
        <v>-20.150061999999998</v>
      </c>
      <c r="AQ3046">
        <v>-44.903379000000001</v>
      </c>
      <c r="AR3046">
        <v>10.801687336134639</v>
      </c>
      <c r="AS3046" t="s">
        <v>65</v>
      </c>
      <c r="AT3046">
        <v>1</v>
      </c>
      <c r="AU3046" t="s">
        <v>539</v>
      </c>
      <c r="AV3046" t="s">
        <v>540</v>
      </c>
      <c r="AW3046" t="s">
        <v>60</v>
      </c>
      <c r="AX3046" t="s">
        <v>68</v>
      </c>
      <c r="AY3046" t="s">
        <v>69</v>
      </c>
      <c r="AZ3046" t="b">
        <v>1</v>
      </c>
    </row>
    <row r="3047" spans="1:52" x14ac:dyDescent="0.3">
      <c r="A3047" t="s">
        <v>52</v>
      </c>
      <c r="B3047" t="s">
        <v>53</v>
      </c>
      <c r="C3047" t="s">
        <v>54</v>
      </c>
      <c r="D3047" t="s">
        <v>55</v>
      </c>
      <c r="E3047" t="s">
        <v>2163</v>
      </c>
      <c r="F3047" t="s">
        <v>190</v>
      </c>
      <c r="G3047" t="s">
        <v>398</v>
      </c>
      <c r="H3047" t="s">
        <v>541</v>
      </c>
      <c r="I3047" t="s">
        <v>541</v>
      </c>
      <c r="J3047" t="s">
        <v>60</v>
      </c>
      <c r="K3047" t="s">
        <v>388</v>
      </c>
      <c r="L3047" t="s">
        <v>62</v>
      </c>
      <c r="M3047" t="s">
        <v>388</v>
      </c>
      <c r="N3047" t="s">
        <v>400</v>
      </c>
      <c r="O3047" t="s">
        <v>542</v>
      </c>
      <c r="P3047">
        <v>-20.151335</v>
      </c>
      <c r="Q3047">
        <v>-44.901041999999997</v>
      </c>
      <c r="R3047" s="2" t="str">
        <f>HYPERLINK("https://www.google.com/maps?q=-20.1513350,-44.9010420","Abrir no Google Maps")</f>
        <v>Abrir no Google Maps</v>
      </c>
      <c r="S3047">
        <v>3</v>
      </c>
      <c r="T3047">
        <v>0</v>
      </c>
      <c r="U3047">
        <v>4</v>
      </c>
      <c r="V3047">
        <v>0.42621807683766377</v>
      </c>
      <c r="W3047">
        <v>1</v>
      </c>
      <c r="X3047">
        <v>0.42621807683766377</v>
      </c>
      <c r="Y3047">
        <v>556</v>
      </c>
      <c r="Z3047">
        <v>137.71609036908939</v>
      </c>
      <c r="AA3047">
        <v>198</v>
      </c>
      <c r="AB3047">
        <v>332</v>
      </c>
      <c r="AC3047">
        <v>536</v>
      </c>
      <c r="AD3047">
        <v>26.35</v>
      </c>
      <c r="AE3047">
        <v>542</v>
      </c>
      <c r="AF3047">
        <v>15</v>
      </c>
      <c r="AG3047">
        <v>174</v>
      </c>
      <c r="AH3047">
        <v>129</v>
      </c>
      <c r="AI3047">
        <v>2.77</v>
      </c>
      <c r="AJ3047">
        <v>32.1</v>
      </c>
      <c r="AK3047">
        <v>23.8</v>
      </c>
      <c r="AL3047">
        <v>-20.15125899999995</v>
      </c>
      <c r="AM3047">
        <v>-44.900838557594433</v>
      </c>
      <c r="AN3047">
        <v>-20.15125899999995</v>
      </c>
      <c r="AO3047">
        <v>-44.900838557594433</v>
      </c>
      <c r="AP3047">
        <v>-20.151335</v>
      </c>
      <c r="AQ3047">
        <v>-44.901041999999997</v>
      </c>
      <c r="AR3047">
        <v>22.882363139483491</v>
      </c>
      <c r="AS3047" t="s">
        <v>65</v>
      </c>
      <c r="AT3047">
        <v>1</v>
      </c>
      <c r="AU3047" t="s">
        <v>543</v>
      </c>
      <c r="AV3047" t="s">
        <v>544</v>
      </c>
      <c r="AW3047" t="s">
        <v>60</v>
      </c>
      <c r="AX3047" t="s">
        <v>68</v>
      </c>
      <c r="AY3047" t="s">
        <v>69</v>
      </c>
      <c r="AZ3047" t="b">
        <v>1</v>
      </c>
    </row>
    <row r="3048" spans="1:52" x14ac:dyDescent="0.3">
      <c r="A3048" t="s">
        <v>52</v>
      </c>
      <c r="B3048" t="s">
        <v>53</v>
      </c>
      <c r="C3048" t="s">
        <v>54</v>
      </c>
      <c r="D3048" t="s">
        <v>55</v>
      </c>
      <c r="E3048" t="s">
        <v>2163</v>
      </c>
      <c r="F3048" t="s">
        <v>190</v>
      </c>
      <c r="G3048" t="s">
        <v>545</v>
      </c>
      <c r="H3048" t="s">
        <v>546</v>
      </c>
      <c r="I3048" t="s">
        <v>546</v>
      </c>
      <c r="J3048" t="s">
        <v>60</v>
      </c>
      <c r="K3048" t="s">
        <v>388</v>
      </c>
      <c r="L3048" t="s">
        <v>62</v>
      </c>
      <c r="M3048" t="s">
        <v>388</v>
      </c>
      <c r="N3048" t="s">
        <v>547</v>
      </c>
      <c r="O3048" t="s">
        <v>548</v>
      </c>
      <c r="P3048">
        <v>-20.155839</v>
      </c>
      <c r="Q3048">
        <v>-44.905655000000003</v>
      </c>
      <c r="R3048" s="2" t="str">
        <f>HYPERLINK("https://www.google.com/maps?q=-20.1558390,-44.9056550","Abrir no Google Maps")</f>
        <v>Abrir no Google Maps</v>
      </c>
      <c r="S3048">
        <v>3</v>
      </c>
      <c r="T3048">
        <v>309.7643089121122</v>
      </c>
      <c r="U3048">
        <v>4</v>
      </c>
      <c r="V3048">
        <v>0.46025078369905947</v>
      </c>
      <c r="W3048">
        <v>1</v>
      </c>
      <c r="X3048">
        <v>0.46025078369905947</v>
      </c>
      <c r="Y3048">
        <v>548</v>
      </c>
      <c r="Z3048">
        <v>284.24281731793161</v>
      </c>
      <c r="AA3048">
        <v>198</v>
      </c>
      <c r="AB3048">
        <v>332</v>
      </c>
      <c r="AC3048">
        <v>536</v>
      </c>
      <c r="AD3048">
        <v>26.35</v>
      </c>
      <c r="AE3048">
        <v>542</v>
      </c>
      <c r="AF3048">
        <v>15</v>
      </c>
      <c r="AG3048">
        <v>174</v>
      </c>
      <c r="AH3048">
        <v>129</v>
      </c>
      <c r="AI3048">
        <v>2.77</v>
      </c>
      <c r="AJ3048">
        <v>32.1</v>
      </c>
      <c r="AK3048">
        <v>23.8</v>
      </c>
      <c r="AL3048">
        <v>-20.155913549999951</v>
      </c>
      <c r="AM3048">
        <v>-44.905554508392683</v>
      </c>
      <c r="AN3048">
        <v>-20.155913549999951</v>
      </c>
      <c r="AO3048">
        <v>-44.905554508392669</v>
      </c>
      <c r="AP3048">
        <v>-20.155839</v>
      </c>
      <c r="AQ3048">
        <v>-44.905655000000003</v>
      </c>
      <c r="AR3048">
        <v>13.384922093797449</v>
      </c>
      <c r="AS3048" t="s">
        <v>65</v>
      </c>
      <c r="AT3048">
        <v>1</v>
      </c>
      <c r="AU3048" t="s">
        <v>549</v>
      </c>
      <c r="AV3048" t="s">
        <v>550</v>
      </c>
      <c r="AW3048" t="s">
        <v>60</v>
      </c>
      <c r="AX3048" t="s">
        <v>68</v>
      </c>
      <c r="AY3048" t="s">
        <v>69</v>
      </c>
      <c r="AZ3048" t="b">
        <v>1</v>
      </c>
    </row>
    <row r="3049" spans="1:52" x14ac:dyDescent="0.3">
      <c r="A3049" t="s">
        <v>52</v>
      </c>
      <c r="B3049" t="s">
        <v>53</v>
      </c>
      <c r="C3049" t="s">
        <v>54</v>
      </c>
      <c r="D3049" t="s">
        <v>55</v>
      </c>
      <c r="E3049" t="s">
        <v>2163</v>
      </c>
      <c r="F3049" t="s">
        <v>190</v>
      </c>
      <c r="G3049" t="s">
        <v>551</v>
      </c>
      <c r="H3049" t="s">
        <v>552</v>
      </c>
      <c r="I3049" t="s">
        <v>552</v>
      </c>
      <c r="J3049" t="s">
        <v>60</v>
      </c>
      <c r="K3049" t="s">
        <v>388</v>
      </c>
      <c r="L3049" t="s">
        <v>62</v>
      </c>
      <c r="M3049" t="s">
        <v>388</v>
      </c>
      <c r="N3049" t="s">
        <v>553</v>
      </c>
      <c r="O3049" t="s">
        <v>315</v>
      </c>
      <c r="P3049">
        <v>-20.153086999999999</v>
      </c>
      <c r="Q3049">
        <v>-44.905451999999997</v>
      </c>
      <c r="R3049" s="2" t="str">
        <f>HYPERLINK("https://www.google.com/maps?q=-20.1530870,-44.9054520","Abrir no Google Maps")</f>
        <v>Abrir no Google Maps</v>
      </c>
      <c r="S3049">
        <v>3</v>
      </c>
      <c r="T3049">
        <v>313.69387682409018</v>
      </c>
      <c r="U3049">
        <v>4</v>
      </c>
      <c r="V3049">
        <v>0.41692331019610479</v>
      </c>
      <c r="W3049">
        <v>1</v>
      </c>
      <c r="X3049">
        <v>0.41692331019610479</v>
      </c>
      <c r="Y3049">
        <v>548</v>
      </c>
      <c r="Z3049">
        <v>319.51605309906859</v>
      </c>
      <c r="AA3049">
        <v>198</v>
      </c>
      <c r="AB3049">
        <v>332</v>
      </c>
      <c r="AC3049">
        <v>536</v>
      </c>
      <c r="AD3049">
        <v>26.35</v>
      </c>
      <c r="AE3049">
        <v>542</v>
      </c>
      <c r="AF3049">
        <v>15</v>
      </c>
      <c r="AG3049">
        <v>174</v>
      </c>
      <c r="AH3049">
        <v>129</v>
      </c>
      <c r="AI3049">
        <v>2.77</v>
      </c>
      <c r="AJ3049">
        <v>32.1</v>
      </c>
      <c r="AK3049">
        <v>23.8</v>
      </c>
      <c r="AL3049">
        <v>-20.153043049999951</v>
      </c>
      <c r="AM3049">
        <v>-44.905348275899513</v>
      </c>
      <c r="AN3049">
        <v>-20.153043049999951</v>
      </c>
      <c r="AO3049">
        <v>-44.905348275899513</v>
      </c>
      <c r="AP3049">
        <v>-20.153086999999999</v>
      </c>
      <c r="AQ3049">
        <v>-44.905451999999997</v>
      </c>
      <c r="AR3049">
        <v>11.892619975648341</v>
      </c>
      <c r="AS3049" t="s">
        <v>65</v>
      </c>
      <c r="AT3049">
        <v>1</v>
      </c>
      <c r="AU3049" t="s">
        <v>554</v>
      </c>
      <c r="AV3049" t="s">
        <v>555</v>
      </c>
      <c r="AW3049" t="s">
        <v>60</v>
      </c>
      <c r="AX3049" t="s">
        <v>68</v>
      </c>
      <c r="AY3049" t="s">
        <v>69</v>
      </c>
      <c r="AZ3049" t="b">
        <v>1</v>
      </c>
    </row>
    <row r="3050" spans="1:52" x14ac:dyDescent="0.3">
      <c r="A3050" t="s">
        <v>52</v>
      </c>
      <c r="B3050" t="s">
        <v>53</v>
      </c>
      <c r="C3050" t="s">
        <v>54</v>
      </c>
      <c r="D3050" t="s">
        <v>55</v>
      </c>
      <c r="E3050" t="s">
        <v>2163</v>
      </c>
      <c r="F3050" t="s">
        <v>190</v>
      </c>
      <c r="G3050" t="s">
        <v>556</v>
      </c>
      <c r="H3050" t="s">
        <v>557</v>
      </c>
      <c r="I3050" t="s">
        <v>557</v>
      </c>
      <c r="J3050" t="s">
        <v>60</v>
      </c>
      <c r="K3050" t="s">
        <v>388</v>
      </c>
      <c r="L3050" t="s">
        <v>62</v>
      </c>
      <c r="M3050" t="s">
        <v>388</v>
      </c>
      <c r="N3050" t="s">
        <v>558</v>
      </c>
      <c r="O3050" t="s">
        <v>559</v>
      </c>
      <c r="P3050">
        <v>-20.152670000000001</v>
      </c>
      <c r="Q3050">
        <v>-44.902557999999999</v>
      </c>
      <c r="R3050" s="2" t="str">
        <f>HYPERLINK("https://www.google.com/maps?q=-20.1526700,-44.9025580","Abrir no Google Maps")</f>
        <v>Abrir no Google Maps</v>
      </c>
      <c r="S3050">
        <v>3</v>
      </c>
      <c r="T3050">
        <v>228.56195217678911</v>
      </c>
      <c r="U3050">
        <v>4</v>
      </c>
      <c r="V3050">
        <v>0.47572649572649572</v>
      </c>
      <c r="W3050">
        <v>1</v>
      </c>
      <c r="X3050">
        <v>0.47572649572649572</v>
      </c>
      <c r="Y3050">
        <v>548</v>
      </c>
      <c r="Z3050">
        <v>250.63133895224919</v>
      </c>
      <c r="AA3050">
        <v>198</v>
      </c>
      <c r="AB3050">
        <v>332</v>
      </c>
      <c r="AC3050">
        <v>536</v>
      </c>
      <c r="AD3050">
        <v>26.35</v>
      </c>
      <c r="AE3050">
        <v>542</v>
      </c>
      <c r="AF3050">
        <v>15</v>
      </c>
      <c r="AG3050">
        <v>174</v>
      </c>
      <c r="AH3050">
        <v>129</v>
      </c>
      <c r="AI3050">
        <v>2.77</v>
      </c>
      <c r="AJ3050">
        <v>32.1</v>
      </c>
      <c r="AK3050">
        <v>23.8</v>
      </c>
      <c r="AL3050">
        <v>-20.152629799999939</v>
      </c>
      <c r="AM3050">
        <v>-44.902604744705201</v>
      </c>
      <c r="AN3050">
        <v>-20.152629799999939</v>
      </c>
      <c r="AO3050">
        <v>-44.902604744705201</v>
      </c>
      <c r="AP3050">
        <v>-20.152670000000001</v>
      </c>
      <c r="AQ3050">
        <v>-44.902557999999999</v>
      </c>
      <c r="AR3050">
        <v>6.6249428037111509</v>
      </c>
      <c r="AS3050" t="s">
        <v>65</v>
      </c>
      <c r="AT3050">
        <v>1</v>
      </c>
      <c r="AU3050" t="s">
        <v>560</v>
      </c>
      <c r="AV3050" t="s">
        <v>561</v>
      </c>
      <c r="AW3050" t="s">
        <v>60</v>
      </c>
      <c r="AX3050" t="s">
        <v>68</v>
      </c>
      <c r="AY3050" t="s">
        <v>69</v>
      </c>
      <c r="AZ3050" t="b">
        <v>1</v>
      </c>
    </row>
    <row r="3051" spans="1:52" x14ac:dyDescent="0.3">
      <c r="A3051" t="s">
        <v>52</v>
      </c>
      <c r="B3051" t="s">
        <v>53</v>
      </c>
      <c r="C3051" t="s">
        <v>54</v>
      </c>
      <c r="D3051" t="s">
        <v>55</v>
      </c>
      <c r="E3051" t="s">
        <v>2163</v>
      </c>
      <c r="F3051" t="s">
        <v>190</v>
      </c>
      <c r="G3051" t="s">
        <v>562</v>
      </c>
      <c r="H3051" t="s">
        <v>563</v>
      </c>
      <c r="I3051" t="s">
        <v>563</v>
      </c>
      <c r="J3051" t="s">
        <v>60</v>
      </c>
      <c r="K3051" t="s">
        <v>388</v>
      </c>
      <c r="L3051" t="s">
        <v>62</v>
      </c>
      <c r="M3051" t="s">
        <v>388</v>
      </c>
      <c r="N3051" t="s">
        <v>564</v>
      </c>
      <c r="O3051" t="s">
        <v>565</v>
      </c>
      <c r="P3051">
        <v>-20.154432</v>
      </c>
      <c r="Q3051">
        <v>-44.902977999999997</v>
      </c>
      <c r="R3051" s="2" t="str">
        <f>HYPERLINK("https://www.google.com/maps?q=-20.1544320,-44.9029780","Abrir no Google Maps")</f>
        <v>Abrir no Google Maps</v>
      </c>
      <c r="S3051">
        <v>3</v>
      </c>
      <c r="T3051">
        <v>0</v>
      </c>
      <c r="U3051">
        <v>4</v>
      </c>
      <c r="V3051">
        <v>0.47802936185685702</v>
      </c>
      <c r="W3051">
        <v>1</v>
      </c>
      <c r="X3051">
        <v>0.47802936185685702</v>
      </c>
      <c r="Y3051">
        <v>548</v>
      </c>
      <c r="Z3051">
        <v>29.424211042533759</v>
      </c>
      <c r="AA3051">
        <v>198</v>
      </c>
      <c r="AB3051">
        <v>332</v>
      </c>
      <c r="AC3051">
        <v>536</v>
      </c>
      <c r="AD3051">
        <v>26.35</v>
      </c>
      <c r="AE3051">
        <v>542</v>
      </c>
      <c r="AF3051">
        <v>15</v>
      </c>
      <c r="AG3051">
        <v>174</v>
      </c>
      <c r="AH3051">
        <v>129</v>
      </c>
      <c r="AI3051">
        <v>2.77</v>
      </c>
      <c r="AJ3051">
        <v>32.1</v>
      </c>
      <c r="AK3051">
        <v>23.8</v>
      </c>
      <c r="AL3051">
        <v>-20.15467689999997</v>
      </c>
      <c r="AM3051">
        <v>-44.902895281771222</v>
      </c>
      <c r="AN3051">
        <v>-20.15467689999997</v>
      </c>
      <c r="AO3051">
        <v>-44.902895281771222</v>
      </c>
      <c r="AP3051">
        <v>-20.154432</v>
      </c>
      <c r="AQ3051">
        <v>-44.902977999999997</v>
      </c>
      <c r="AR3051">
        <v>28.5999270636025</v>
      </c>
      <c r="AS3051" t="s">
        <v>65</v>
      </c>
      <c r="AT3051">
        <v>1</v>
      </c>
      <c r="AU3051" t="s">
        <v>566</v>
      </c>
      <c r="AV3051" t="s">
        <v>567</v>
      </c>
      <c r="AW3051" t="s">
        <v>60</v>
      </c>
      <c r="AX3051" t="s">
        <v>68</v>
      </c>
      <c r="AY3051" t="s">
        <v>69</v>
      </c>
      <c r="AZ3051" t="b">
        <v>1</v>
      </c>
    </row>
    <row r="3052" spans="1:52" x14ac:dyDescent="0.3">
      <c r="A3052" t="s">
        <v>52</v>
      </c>
      <c r="B3052" t="s">
        <v>53</v>
      </c>
      <c r="C3052" t="s">
        <v>54</v>
      </c>
      <c r="D3052" t="s">
        <v>55</v>
      </c>
      <c r="E3052" t="s">
        <v>2163</v>
      </c>
      <c r="F3052" t="s">
        <v>190</v>
      </c>
      <c r="G3052" t="s">
        <v>568</v>
      </c>
      <c r="H3052" t="s">
        <v>569</v>
      </c>
      <c r="I3052" t="s">
        <v>569</v>
      </c>
      <c r="J3052" t="s">
        <v>60</v>
      </c>
      <c r="K3052" t="s">
        <v>61</v>
      </c>
      <c r="L3052" t="s">
        <v>62</v>
      </c>
      <c r="M3052" t="s">
        <v>61</v>
      </c>
      <c r="N3052" t="s">
        <v>570</v>
      </c>
      <c r="O3052" t="s">
        <v>548</v>
      </c>
      <c r="P3052">
        <v>-20.151508</v>
      </c>
      <c r="Q3052">
        <v>-44.907826</v>
      </c>
      <c r="R3052" s="2" t="str">
        <f>HYPERLINK("https://www.google.com/maps?q=-20.1515080,-44.9078260","Abrir no Google Maps")</f>
        <v>Abrir no Google Maps</v>
      </c>
      <c r="S3052">
        <v>3</v>
      </c>
      <c r="T3052">
        <v>567.15905416240514</v>
      </c>
      <c r="U3052">
        <v>4</v>
      </c>
      <c r="V3052">
        <v>0.56585858585858584</v>
      </c>
      <c r="W3052">
        <v>0.85</v>
      </c>
      <c r="X3052">
        <v>0.48097979797979801</v>
      </c>
      <c r="Y3052">
        <v>548</v>
      </c>
      <c r="Z3052">
        <v>560.49158010771464</v>
      </c>
      <c r="AA3052">
        <v>198</v>
      </c>
      <c r="AB3052">
        <v>332</v>
      </c>
      <c r="AC3052">
        <v>536</v>
      </c>
      <c r="AD3052">
        <v>26.35</v>
      </c>
      <c r="AE3052">
        <v>542</v>
      </c>
      <c r="AF3052">
        <v>15</v>
      </c>
      <c r="AG3052">
        <v>174</v>
      </c>
      <c r="AH3052">
        <v>129</v>
      </c>
      <c r="AI3052">
        <v>2.77</v>
      </c>
      <c r="AJ3052">
        <v>32.1</v>
      </c>
      <c r="AK3052">
        <v>23.8</v>
      </c>
      <c r="AL3052">
        <v>-20.15211779999996</v>
      </c>
      <c r="AM3052">
        <v>-44.907597469593128</v>
      </c>
      <c r="AN3052">
        <v>-20.15211779999996</v>
      </c>
      <c r="AO3052">
        <v>-44.907597469593128</v>
      </c>
      <c r="AP3052">
        <v>-20.151508</v>
      </c>
      <c r="AQ3052">
        <v>-44.907826</v>
      </c>
      <c r="AR3052">
        <v>71.961597929314735</v>
      </c>
      <c r="AS3052" t="s">
        <v>65</v>
      </c>
      <c r="AT3052">
        <v>1</v>
      </c>
      <c r="AU3052" t="s">
        <v>571</v>
      </c>
      <c r="AV3052" t="s">
        <v>572</v>
      </c>
      <c r="AW3052" t="s">
        <v>60</v>
      </c>
      <c r="AX3052" t="s">
        <v>68</v>
      </c>
      <c r="AY3052" t="s">
        <v>69</v>
      </c>
      <c r="AZ3052" t="b">
        <v>1</v>
      </c>
    </row>
    <row r="3053" spans="1:52" x14ac:dyDescent="0.3">
      <c r="A3053" t="s">
        <v>52</v>
      </c>
      <c r="B3053" t="s">
        <v>53</v>
      </c>
      <c r="C3053" t="s">
        <v>54</v>
      </c>
      <c r="D3053" t="s">
        <v>55</v>
      </c>
      <c r="E3053" t="s">
        <v>2163</v>
      </c>
      <c r="F3053" t="s">
        <v>190</v>
      </c>
      <c r="G3053" t="s">
        <v>573</v>
      </c>
      <c r="H3053" t="s">
        <v>574</v>
      </c>
      <c r="I3053" t="s">
        <v>574</v>
      </c>
      <c r="J3053" t="s">
        <v>60</v>
      </c>
      <c r="K3053" t="s">
        <v>207</v>
      </c>
      <c r="L3053" t="s">
        <v>62</v>
      </c>
      <c r="M3053" t="s">
        <v>207</v>
      </c>
      <c r="N3053" t="s">
        <v>575</v>
      </c>
      <c r="O3053" t="s">
        <v>576</v>
      </c>
      <c r="P3053">
        <v>-20.121252999999999</v>
      </c>
      <c r="Q3053">
        <v>-44.887988999999997</v>
      </c>
      <c r="R3053" s="2" t="str">
        <f>HYPERLINK("https://www.google.com/maps?q=-20.1212530,-44.8879890","Abrir no Google Maps")</f>
        <v>Abrir no Google Maps</v>
      </c>
      <c r="S3053">
        <v>3</v>
      </c>
      <c r="T3053">
        <v>310.5511884274041</v>
      </c>
      <c r="U3053">
        <v>4</v>
      </c>
      <c r="V3053">
        <v>0.4969345238095238</v>
      </c>
      <c r="W3053">
        <v>1</v>
      </c>
      <c r="X3053">
        <v>0.4969345238095238</v>
      </c>
      <c r="Y3053">
        <v>536</v>
      </c>
      <c r="Z3053">
        <v>292.13362593122162</v>
      </c>
      <c r="AA3053">
        <v>198</v>
      </c>
      <c r="AB3053">
        <v>332</v>
      </c>
      <c r="AC3053">
        <v>536</v>
      </c>
      <c r="AD3053">
        <v>26.35</v>
      </c>
      <c r="AE3053">
        <v>542</v>
      </c>
      <c r="AF3053">
        <v>15</v>
      </c>
      <c r="AG3053">
        <v>174</v>
      </c>
      <c r="AH3053">
        <v>129</v>
      </c>
      <c r="AI3053">
        <v>2.77</v>
      </c>
      <c r="AJ3053">
        <v>32.1</v>
      </c>
      <c r="AK3053">
        <v>23.8</v>
      </c>
      <c r="AL3053">
        <v>-20.121103699999939</v>
      </c>
      <c r="AM3053">
        <v>-44.888116617806723</v>
      </c>
      <c r="AN3053">
        <v>-20.121103699999939</v>
      </c>
      <c r="AO3053">
        <v>-44.888116617806723</v>
      </c>
      <c r="AP3053">
        <v>-20.121252999999999</v>
      </c>
      <c r="AQ3053">
        <v>-44.887988999999997</v>
      </c>
      <c r="AR3053">
        <v>21.311159673382519</v>
      </c>
      <c r="AS3053" t="s">
        <v>65</v>
      </c>
      <c r="AT3053">
        <v>1</v>
      </c>
      <c r="AU3053" t="s">
        <v>577</v>
      </c>
      <c r="AV3053" t="s">
        <v>578</v>
      </c>
      <c r="AW3053" t="s">
        <v>60</v>
      </c>
      <c r="AX3053" t="s">
        <v>68</v>
      </c>
      <c r="AY3053" t="s">
        <v>69</v>
      </c>
      <c r="AZ3053" t="b">
        <v>1</v>
      </c>
    </row>
    <row r="3054" spans="1:52" x14ac:dyDescent="0.3">
      <c r="A3054" t="s">
        <v>52</v>
      </c>
      <c r="B3054" t="s">
        <v>53</v>
      </c>
      <c r="C3054" t="s">
        <v>54</v>
      </c>
      <c r="D3054" t="s">
        <v>55</v>
      </c>
      <c r="E3054" t="s">
        <v>2163</v>
      </c>
      <c r="F3054" t="s">
        <v>190</v>
      </c>
      <c r="G3054" t="s">
        <v>579</v>
      </c>
      <c r="H3054" t="s">
        <v>580</v>
      </c>
      <c r="I3054" t="s">
        <v>580</v>
      </c>
      <c r="J3054" t="s">
        <v>60</v>
      </c>
      <c r="K3054" t="s">
        <v>117</v>
      </c>
      <c r="L3054" t="s">
        <v>62</v>
      </c>
      <c r="M3054" t="s">
        <v>117</v>
      </c>
      <c r="N3054" t="s">
        <v>581</v>
      </c>
      <c r="O3054" t="s">
        <v>338</v>
      </c>
      <c r="P3054">
        <v>-20.119333000000001</v>
      </c>
      <c r="Q3054">
        <v>-44.892454999999998</v>
      </c>
      <c r="R3054" s="2" t="str">
        <f>HYPERLINK("https://www.google.com/maps?q=-20.1193330,-44.8924550","Abrir no Google Maps")</f>
        <v>Abrir no Google Maps</v>
      </c>
      <c r="S3054">
        <v>3</v>
      </c>
      <c r="T3054">
        <v>545.06582215852734</v>
      </c>
      <c r="U3054">
        <v>4</v>
      </c>
      <c r="V3054">
        <v>0.41717216152246162</v>
      </c>
      <c r="W3054">
        <v>1</v>
      </c>
      <c r="X3054">
        <v>0.41717216152246162</v>
      </c>
      <c r="Y3054">
        <v>536</v>
      </c>
      <c r="Z3054">
        <v>583.72689769042404</v>
      </c>
      <c r="AA3054">
        <v>198</v>
      </c>
      <c r="AB3054">
        <v>332</v>
      </c>
      <c r="AC3054">
        <v>536</v>
      </c>
      <c r="AD3054">
        <v>26.35</v>
      </c>
      <c r="AE3054">
        <v>542</v>
      </c>
      <c r="AF3054">
        <v>15</v>
      </c>
      <c r="AG3054">
        <v>174</v>
      </c>
      <c r="AH3054">
        <v>129</v>
      </c>
      <c r="AI3054">
        <v>2.77</v>
      </c>
      <c r="AJ3054">
        <v>32.1</v>
      </c>
      <c r="AK3054">
        <v>23.8</v>
      </c>
      <c r="AL3054">
        <v>-20.11966729999995</v>
      </c>
      <c r="AM3054">
        <v>-44.892529474102908</v>
      </c>
      <c r="AN3054">
        <v>-20.119667299999939</v>
      </c>
      <c r="AO3054">
        <v>-44.892529474102908</v>
      </c>
      <c r="AP3054">
        <v>-20.119333000000001</v>
      </c>
      <c r="AQ3054">
        <v>-44.892454999999998</v>
      </c>
      <c r="AR3054">
        <v>38.019750592693072</v>
      </c>
      <c r="AS3054" t="s">
        <v>65</v>
      </c>
      <c r="AT3054">
        <v>1</v>
      </c>
      <c r="AU3054" t="s">
        <v>582</v>
      </c>
      <c r="AV3054" t="s">
        <v>583</v>
      </c>
      <c r="AW3054" t="s">
        <v>60</v>
      </c>
      <c r="AX3054" t="s">
        <v>68</v>
      </c>
      <c r="AY3054" t="s">
        <v>69</v>
      </c>
      <c r="AZ3054" t="b">
        <v>1</v>
      </c>
    </row>
    <row r="3055" spans="1:52" x14ac:dyDescent="0.3">
      <c r="A3055" t="s">
        <v>52</v>
      </c>
      <c r="B3055" t="s">
        <v>53</v>
      </c>
      <c r="C3055" t="s">
        <v>54</v>
      </c>
      <c r="D3055" t="s">
        <v>55</v>
      </c>
      <c r="E3055" t="s">
        <v>2163</v>
      </c>
      <c r="F3055" t="s">
        <v>190</v>
      </c>
      <c r="G3055" t="s">
        <v>584</v>
      </c>
      <c r="H3055" t="s">
        <v>585</v>
      </c>
      <c r="I3055" t="s">
        <v>585</v>
      </c>
      <c r="J3055" t="s">
        <v>60</v>
      </c>
      <c r="K3055" t="s">
        <v>207</v>
      </c>
      <c r="L3055" t="s">
        <v>62</v>
      </c>
      <c r="M3055" t="s">
        <v>207</v>
      </c>
      <c r="N3055" t="s">
        <v>586</v>
      </c>
      <c r="O3055" t="s">
        <v>587</v>
      </c>
      <c r="P3055">
        <v>-20.122596999999999</v>
      </c>
      <c r="Q3055">
        <v>-44.889994999999999</v>
      </c>
      <c r="R3055" s="2" t="str">
        <f>HYPERLINK("https://www.google.com/maps?q=-20.1225970,-44.8899950","Abrir no Google Maps")</f>
        <v>Abrir no Google Maps</v>
      </c>
      <c r="S3055">
        <v>3</v>
      </c>
      <c r="T3055">
        <v>548.23336486960989</v>
      </c>
      <c r="U3055">
        <v>4</v>
      </c>
      <c r="V3055">
        <v>0.42403841505663958</v>
      </c>
      <c r="W3055">
        <v>1</v>
      </c>
      <c r="X3055">
        <v>0.42403841505663958</v>
      </c>
      <c r="Y3055">
        <v>536</v>
      </c>
      <c r="Z3055">
        <v>547.28307523929982</v>
      </c>
      <c r="AA3055">
        <v>198</v>
      </c>
      <c r="AB3055">
        <v>332</v>
      </c>
      <c r="AC3055">
        <v>536</v>
      </c>
      <c r="AD3055">
        <v>26.35</v>
      </c>
      <c r="AE3055">
        <v>542</v>
      </c>
      <c r="AF3055">
        <v>15</v>
      </c>
      <c r="AG3055">
        <v>174</v>
      </c>
      <c r="AH3055">
        <v>129</v>
      </c>
      <c r="AI3055">
        <v>2.77</v>
      </c>
      <c r="AJ3055">
        <v>32.1</v>
      </c>
      <c r="AK3055">
        <v>23.8</v>
      </c>
      <c r="AL3055">
        <v>-20.122693899999941</v>
      </c>
      <c r="AM3055">
        <v>-44.890039706276887</v>
      </c>
      <c r="AN3055">
        <v>-20.122693899999941</v>
      </c>
      <c r="AO3055">
        <v>-44.890039706276887</v>
      </c>
      <c r="AP3055">
        <v>-20.122596999999999</v>
      </c>
      <c r="AQ3055">
        <v>-44.889994999999999</v>
      </c>
      <c r="AR3055">
        <v>11.75557400261394</v>
      </c>
      <c r="AS3055" t="s">
        <v>65</v>
      </c>
      <c r="AT3055">
        <v>1</v>
      </c>
      <c r="AU3055" t="s">
        <v>588</v>
      </c>
      <c r="AV3055" t="s">
        <v>589</v>
      </c>
      <c r="AW3055" t="s">
        <v>60</v>
      </c>
      <c r="AX3055" t="s">
        <v>68</v>
      </c>
      <c r="AY3055" t="s">
        <v>69</v>
      </c>
      <c r="AZ3055" t="b">
        <v>1</v>
      </c>
    </row>
    <row r="3056" spans="1:52" x14ac:dyDescent="0.3">
      <c r="A3056" t="s">
        <v>52</v>
      </c>
      <c r="B3056" t="s">
        <v>53</v>
      </c>
      <c r="C3056" t="s">
        <v>54</v>
      </c>
      <c r="D3056" t="s">
        <v>55</v>
      </c>
      <c r="E3056" t="s">
        <v>2163</v>
      </c>
      <c r="F3056" t="s">
        <v>190</v>
      </c>
      <c r="G3056" t="s">
        <v>590</v>
      </c>
      <c r="H3056" t="s">
        <v>591</v>
      </c>
      <c r="I3056" t="s">
        <v>591</v>
      </c>
      <c r="J3056" t="s">
        <v>60</v>
      </c>
      <c r="K3056" t="s">
        <v>207</v>
      </c>
      <c r="L3056" t="s">
        <v>62</v>
      </c>
      <c r="M3056" t="s">
        <v>207</v>
      </c>
      <c r="N3056" t="s">
        <v>592</v>
      </c>
      <c r="O3056" t="s">
        <v>565</v>
      </c>
      <c r="P3056">
        <v>-20.118652000000001</v>
      </c>
      <c r="Q3056">
        <v>-44.890574999999998</v>
      </c>
      <c r="R3056" s="2" t="str">
        <f>HYPERLINK("https://www.google.com/maps?q=-20.1186520,-44.8905750","Abrir no Google Maps")</f>
        <v>Abrir no Google Maps</v>
      </c>
      <c r="S3056">
        <v>3</v>
      </c>
      <c r="T3056">
        <v>305.97870753615422</v>
      </c>
      <c r="U3056">
        <v>4</v>
      </c>
      <c r="V3056">
        <v>0.41877339363693072</v>
      </c>
      <c r="W3056">
        <v>1</v>
      </c>
      <c r="X3056">
        <v>0.41877339363693072</v>
      </c>
      <c r="Y3056">
        <v>536</v>
      </c>
      <c r="Z3056">
        <v>368.07356795447242</v>
      </c>
      <c r="AA3056">
        <v>198</v>
      </c>
      <c r="AB3056">
        <v>332</v>
      </c>
      <c r="AC3056">
        <v>536</v>
      </c>
      <c r="AD3056">
        <v>26.35</v>
      </c>
      <c r="AE3056">
        <v>542</v>
      </c>
      <c r="AF3056">
        <v>15</v>
      </c>
      <c r="AG3056">
        <v>174</v>
      </c>
      <c r="AH3056">
        <v>129</v>
      </c>
      <c r="AI3056">
        <v>2.77</v>
      </c>
      <c r="AJ3056">
        <v>32.1</v>
      </c>
      <c r="AK3056">
        <v>23.8</v>
      </c>
      <c r="AL3056">
        <v>-20.118589699999941</v>
      </c>
      <c r="AM3056">
        <v>-44.890419442196389</v>
      </c>
      <c r="AN3056">
        <v>-20.118589699999941</v>
      </c>
      <c r="AO3056">
        <v>-44.890419442196389</v>
      </c>
      <c r="AP3056">
        <v>-20.118652000000001</v>
      </c>
      <c r="AQ3056">
        <v>-44.890574999999998</v>
      </c>
      <c r="AR3056">
        <v>17.67731866347437</v>
      </c>
      <c r="AS3056" t="s">
        <v>65</v>
      </c>
      <c r="AT3056">
        <v>1</v>
      </c>
      <c r="AU3056" t="s">
        <v>593</v>
      </c>
      <c r="AV3056" t="s">
        <v>594</v>
      </c>
      <c r="AW3056" t="s">
        <v>60</v>
      </c>
      <c r="AX3056" t="s">
        <v>68</v>
      </c>
      <c r="AY3056" t="s">
        <v>69</v>
      </c>
      <c r="AZ3056" t="b">
        <v>1</v>
      </c>
    </row>
    <row r="3057" spans="1:52" x14ac:dyDescent="0.3">
      <c r="A3057" t="s">
        <v>52</v>
      </c>
      <c r="B3057" t="s">
        <v>53</v>
      </c>
      <c r="C3057" t="s">
        <v>54</v>
      </c>
      <c r="D3057" t="s">
        <v>55</v>
      </c>
      <c r="E3057" t="s">
        <v>2163</v>
      </c>
      <c r="F3057" t="s">
        <v>190</v>
      </c>
      <c r="G3057" t="s">
        <v>595</v>
      </c>
      <c r="H3057" t="s">
        <v>596</v>
      </c>
      <c r="I3057" t="s">
        <v>596</v>
      </c>
      <c r="J3057" t="s">
        <v>60</v>
      </c>
      <c r="K3057" t="s">
        <v>207</v>
      </c>
      <c r="L3057" t="s">
        <v>62</v>
      </c>
      <c r="M3057" t="s">
        <v>207</v>
      </c>
      <c r="N3057" t="s">
        <v>597</v>
      </c>
      <c r="O3057" t="s">
        <v>598</v>
      </c>
      <c r="P3057">
        <v>-20.118335999999999</v>
      </c>
      <c r="Q3057">
        <v>-44.887441000000003</v>
      </c>
      <c r="R3057" s="2" t="str">
        <f>HYPERLINK("https://www.google.com/maps?q=-20.1183360,-44.8874410","Abrir no Google Maps")</f>
        <v>Abrir no Google Maps</v>
      </c>
      <c r="S3057">
        <v>3</v>
      </c>
      <c r="T3057">
        <v>0</v>
      </c>
      <c r="U3057">
        <v>4</v>
      </c>
      <c r="V3057">
        <v>0.43786293178062791</v>
      </c>
      <c r="W3057">
        <v>1</v>
      </c>
      <c r="X3057">
        <v>0.43786293178062791</v>
      </c>
      <c r="Y3057">
        <v>536</v>
      </c>
      <c r="Z3057">
        <v>70.729031566967279</v>
      </c>
      <c r="AA3057">
        <v>198</v>
      </c>
      <c r="AB3057">
        <v>332</v>
      </c>
      <c r="AC3057">
        <v>536</v>
      </c>
      <c r="AD3057">
        <v>26.35</v>
      </c>
      <c r="AE3057">
        <v>542</v>
      </c>
      <c r="AF3057">
        <v>15</v>
      </c>
      <c r="AG3057">
        <v>174</v>
      </c>
      <c r="AH3057">
        <v>129</v>
      </c>
      <c r="AI3057">
        <v>2.77</v>
      </c>
      <c r="AJ3057">
        <v>32.1</v>
      </c>
      <c r="AK3057">
        <v>23.8</v>
      </c>
      <c r="AL3057">
        <v>-20.118357999999969</v>
      </c>
      <c r="AM3057">
        <v>-44.88750246616479</v>
      </c>
      <c r="AN3057">
        <v>-20.118357999999969</v>
      </c>
      <c r="AO3057">
        <v>-44.88750246616479</v>
      </c>
      <c r="AP3057">
        <v>-20.118335999999999</v>
      </c>
      <c r="AQ3057">
        <v>-44.887441000000003</v>
      </c>
      <c r="AR3057">
        <v>6.875853437004074</v>
      </c>
      <c r="AS3057" t="s">
        <v>65</v>
      </c>
      <c r="AT3057">
        <v>1</v>
      </c>
      <c r="AU3057" t="s">
        <v>599</v>
      </c>
      <c r="AV3057" t="s">
        <v>600</v>
      </c>
      <c r="AW3057" t="s">
        <v>60</v>
      </c>
      <c r="AX3057" t="s">
        <v>68</v>
      </c>
      <c r="AY3057" t="s">
        <v>69</v>
      </c>
      <c r="AZ3057" t="b">
        <v>1</v>
      </c>
    </row>
    <row r="3058" spans="1:52" x14ac:dyDescent="0.3">
      <c r="A3058" t="s">
        <v>52</v>
      </c>
      <c r="B3058" t="s">
        <v>53</v>
      </c>
      <c r="C3058" t="s">
        <v>54</v>
      </c>
      <c r="D3058" t="s">
        <v>55</v>
      </c>
      <c r="E3058" t="s">
        <v>2163</v>
      </c>
      <c r="F3058" t="s">
        <v>190</v>
      </c>
      <c r="G3058" t="s">
        <v>601</v>
      </c>
      <c r="H3058" t="s">
        <v>602</v>
      </c>
      <c r="I3058" t="s">
        <v>602</v>
      </c>
      <c r="J3058" t="s">
        <v>60</v>
      </c>
      <c r="K3058" t="s">
        <v>117</v>
      </c>
      <c r="L3058" t="s">
        <v>62</v>
      </c>
      <c r="M3058" t="s">
        <v>117</v>
      </c>
      <c r="N3058" t="s">
        <v>603</v>
      </c>
      <c r="O3058" t="s">
        <v>604</v>
      </c>
      <c r="P3058">
        <v>-20.122198999999998</v>
      </c>
      <c r="Q3058">
        <v>-44.893118999999999</v>
      </c>
      <c r="R3058" s="2" t="str">
        <f>HYPERLINK("https://www.google.com/maps?q=-20.1221990,-44.8931190","Abrir no Google Maps")</f>
        <v>Abrir no Google Maps</v>
      </c>
      <c r="S3058">
        <v>3</v>
      </c>
      <c r="T3058">
        <v>737.41475740297403</v>
      </c>
      <c r="U3058">
        <v>4</v>
      </c>
      <c r="V3058">
        <v>0.4309257629300719</v>
      </c>
      <c r="W3058">
        <v>1</v>
      </c>
      <c r="X3058">
        <v>0.4309257629300719</v>
      </c>
      <c r="Y3058">
        <v>536</v>
      </c>
      <c r="Z3058">
        <v>753.81321098979549</v>
      </c>
      <c r="AA3058">
        <v>198</v>
      </c>
      <c r="AB3058">
        <v>332</v>
      </c>
      <c r="AC3058">
        <v>536</v>
      </c>
      <c r="AD3058">
        <v>26.35</v>
      </c>
      <c r="AE3058">
        <v>542</v>
      </c>
      <c r="AF3058">
        <v>15</v>
      </c>
      <c r="AG3058">
        <v>174</v>
      </c>
      <c r="AH3058">
        <v>129</v>
      </c>
      <c r="AI3058">
        <v>2.77</v>
      </c>
      <c r="AJ3058">
        <v>32.1</v>
      </c>
      <c r="AK3058">
        <v>23.8</v>
      </c>
      <c r="AL3058">
        <v>-20.122192249999959</v>
      </c>
      <c r="AM3058">
        <v>-44.893272469204263</v>
      </c>
      <c r="AN3058">
        <v>-20.122192249999959</v>
      </c>
      <c r="AO3058">
        <v>-44.893272469204263</v>
      </c>
      <c r="AP3058">
        <v>-20.122198999999998</v>
      </c>
      <c r="AQ3058">
        <v>-44.893118999999999</v>
      </c>
      <c r="AR3058">
        <v>16.058980187178161</v>
      </c>
      <c r="AS3058" t="s">
        <v>65</v>
      </c>
      <c r="AT3058">
        <v>1</v>
      </c>
      <c r="AU3058" t="s">
        <v>605</v>
      </c>
      <c r="AV3058" t="s">
        <v>606</v>
      </c>
      <c r="AW3058" t="s">
        <v>60</v>
      </c>
      <c r="AX3058" t="s">
        <v>68</v>
      </c>
      <c r="AY3058" t="s">
        <v>69</v>
      </c>
      <c r="AZ3058" t="b">
        <v>1</v>
      </c>
    </row>
    <row r="3059" spans="1:52" x14ac:dyDescent="0.3">
      <c r="A3059" t="s">
        <v>52</v>
      </c>
      <c r="B3059" t="s">
        <v>53</v>
      </c>
      <c r="C3059" t="s">
        <v>54</v>
      </c>
      <c r="D3059" t="s">
        <v>55</v>
      </c>
      <c r="E3059" t="s">
        <v>2163</v>
      </c>
      <c r="F3059" t="s">
        <v>190</v>
      </c>
      <c r="G3059" t="s">
        <v>607</v>
      </c>
      <c r="H3059" t="s">
        <v>608</v>
      </c>
      <c r="I3059" t="s">
        <v>608</v>
      </c>
      <c r="J3059" t="s">
        <v>60</v>
      </c>
      <c r="K3059" t="s">
        <v>609</v>
      </c>
      <c r="L3059" t="s">
        <v>62</v>
      </c>
      <c r="M3059" t="s">
        <v>609</v>
      </c>
      <c r="N3059" t="s">
        <v>610</v>
      </c>
      <c r="O3059" t="s">
        <v>611</v>
      </c>
      <c r="P3059">
        <v>-20.110476999999999</v>
      </c>
      <c r="Q3059">
        <v>-44.887531000000003</v>
      </c>
      <c r="R3059" s="2" t="str">
        <f>HYPERLINK("https://www.google.com/maps?q=-20.1104770,-44.8875310","Abrir no Google Maps")</f>
        <v>Abrir no Google Maps</v>
      </c>
      <c r="S3059">
        <v>3</v>
      </c>
      <c r="T3059">
        <v>862.67854008986569</v>
      </c>
      <c r="U3059">
        <v>4</v>
      </c>
      <c r="V3059">
        <v>0.40954155502015271</v>
      </c>
      <c r="W3059">
        <v>1</v>
      </c>
      <c r="X3059">
        <v>0.40954155502015271</v>
      </c>
      <c r="Y3059">
        <v>536</v>
      </c>
      <c r="Z3059">
        <v>797.51469292431113</v>
      </c>
      <c r="AA3059">
        <v>198</v>
      </c>
      <c r="AB3059">
        <v>332</v>
      </c>
      <c r="AC3059">
        <v>536</v>
      </c>
      <c r="AD3059">
        <v>26.35</v>
      </c>
      <c r="AE3059">
        <v>542</v>
      </c>
      <c r="AF3059">
        <v>15</v>
      </c>
      <c r="AG3059">
        <v>174</v>
      </c>
      <c r="AH3059">
        <v>129</v>
      </c>
      <c r="AI3059">
        <v>2.77</v>
      </c>
      <c r="AJ3059">
        <v>32.1</v>
      </c>
      <c r="AK3059">
        <v>23.8</v>
      </c>
      <c r="AL3059">
        <v>-20.11057859999994</v>
      </c>
      <c r="AM3059">
        <v>-44.888034950185293</v>
      </c>
      <c r="AN3059">
        <v>-20.11057859999994</v>
      </c>
      <c r="AO3059">
        <v>-44.888034950185293</v>
      </c>
      <c r="AP3059">
        <v>-20.110476999999999</v>
      </c>
      <c r="AQ3059">
        <v>-44.887531000000003</v>
      </c>
      <c r="AR3059">
        <v>53.879824494602957</v>
      </c>
      <c r="AS3059" t="s">
        <v>65</v>
      </c>
      <c r="AT3059">
        <v>1</v>
      </c>
      <c r="AU3059" t="s">
        <v>612</v>
      </c>
      <c r="AV3059" t="s">
        <v>613</v>
      </c>
      <c r="AW3059" t="s">
        <v>60</v>
      </c>
      <c r="AX3059" t="s">
        <v>68</v>
      </c>
      <c r="AY3059" t="s">
        <v>69</v>
      </c>
      <c r="AZ3059" t="b">
        <v>1</v>
      </c>
    </row>
    <row r="3060" spans="1:52" x14ac:dyDescent="0.3">
      <c r="A3060" t="s">
        <v>52</v>
      </c>
      <c r="B3060" t="s">
        <v>53</v>
      </c>
      <c r="C3060" t="s">
        <v>54</v>
      </c>
      <c r="D3060" t="s">
        <v>55</v>
      </c>
      <c r="E3060" t="s">
        <v>2163</v>
      </c>
      <c r="F3060" t="s">
        <v>190</v>
      </c>
      <c r="G3060" t="s">
        <v>614</v>
      </c>
      <c r="H3060" t="s">
        <v>615</v>
      </c>
      <c r="I3060" t="s">
        <v>615</v>
      </c>
      <c r="J3060" t="s">
        <v>60</v>
      </c>
      <c r="K3060" t="s">
        <v>207</v>
      </c>
      <c r="L3060" t="s">
        <v>62</v>
      </c>
      <c r="M3060" t="s">
        <v>207</v>
      </c>
      <c r="N3060" t="s">
        <v>616</v>
      </c>
      <c r="O3060" t="s">
        <v>617</v>
      </c>
      <c r="P3060">
        <v>-20.123118999999999</v>
      </c>
      <c r="Q3060">
        <v>-44.886259000000003</v>
      </c>
      <c r="R3060" s="2" t="str">
        <f>HYPERLINK("https://www.google.com/maps?q=-20.1231190,-44.8862590","Abrir no Google Maps")</f>
        <v>Abrir no Google Maps</v>
      </c>
      <c r="S3060">
        <v>3</v>
      </c>
      <c r="T3060">
        <v>534.91642326845545</v>
      </c>
      <c r="U3060">
        <v>4</v>
      </c>
      <c r="V3060">
        <v>0.49502138160674741</v>
      </c>
      <c r="W3060">
        <v>1</v>
      </c>
      <c r="X3060">
        <v>0.49502138160674741</v>
      </c>
      <c r="Y3060">
        <v>536</v>
      </c>
      <c r="Z3060">
        <v>478.9192959851456</v>
      </c>
      <c r="AA3060">
        <v>198</v>
      </c>
      <c r="AB3060">
        <v>332</v>
      </c>
      <c r="AC3060">
        <v>536</v>
      </c>
      <c r="AD3060">
        <v>26.35</v>
      </c>
      <c r="AE3060">
        <v>542</v>
      </c>
      <c r="AF3060">
        <v>15</v>
      </c>
      <c r="AG3060">
        <v>174</v>
      </c>
      <c r="AH3060">
        <v>129</v>
      </c>
      <c r="AI3060">
        <v>2.77</v>
      </c>
      <c r="AJ3060">
        <v>32.1</v>
      </c>
      <c r="AK3060">
        <v>23.8</v>
      </c>
      <c r="AL3060">
        <v>-20.12305974999995</v>
      </c>
      <c r="AM3060">
        <v>-44.886314469108633</v>
      </c>
      <c r="AN3060">
        <v>-20.12305974999995</v>
      </c>
      <c r="AO3060">
        <v>-44.886314469108633</v>
      </c>
      <c r="AP3060">
        <v>-20.123118999999999</v>
      </c>
      <c r="AQ3060">
        <v>-44.886259000000003</v>
      </c>
      <c r="AR3060">
        <v>8.7817342078334093</v>
      </c>
      <c r="AS3060" t="s">
        <v>65</v>
      </c>
      <c r="AT3060">
        <v>1</v>
      </c>
      <c r="AU3060" t="s">
        <v>618</v>
      </c>
      <c r="AV3060" t="s">
        <v>619</v>
      </c>
      <c r="AW3060" t="s">
        <v>60</v>
      </c>
      <c r="AX3060" t="s">
        <v>68</v>
      </c>
      <c r="AY3060" t="s">
        <v>69</v>
      </c>
      <c r="AZ3060" t="b">
        <v>1</v>
      </c>
    </row>
    <row r="3061" spans="1:52" x14ac:dyDescent="0.3">
      <c r="A3061" t="s">
        <v>52</v>
      </c>
      <c r="B3061" t="s">
        <v>53</v>
      </c>
      <c r="C3061" t="s">
        <v>54</v>
      </c>
      <c r="D3061" t="s">
        <v>55</v>
      </c>
      <c r="E3061" t="s">
        <v>2163</v>
      </c>
      <c r="F3061" t="s">
        <v>190</v>
      </c>
      <c r="G3061" t="s">
        <v>620</v>
      </c>
      <c r="H3061" t="s">
        <v>621</v>
      </c>
      <c r="I3061" t="s">
        <v>621</v>
      </c>
      <c r="J3061" t="s">
        <v>60</v>
      </c>
      <c r="K3061" t="s">
        <v>207</v>
      </c>
      <c r="L3061" t="s">
        <v>62</v>
      </c>
      <c r="M3061" t="s">
        <v>207</v>
      </c>
      <c r="N3061" t="s">
        <v>622</v>
      </c>
      <c r="O3061" t="s">
        <v>623</v>
      </c>
      <c r="P3061">
        <v>-20.120775999999999</v>
      </c>
      <c r="Q3061">
        <v>-44.885562999999998</v>
      </c>
      <c r="R3061" s="2" t="str">
        <f>HYPERLINK("https://www.google.com/maps?q=-20.1207760,-44.8855630","Abrir no Google Maps")</f>
        <v>Abrir no Google Maps</v>
      </c>
      <c r="S3061">
        <v>3</v>
      </c>
      <c r="T3061">
        <v>332.24231777761912</v>
      </c>
      <c r="U3061">
        <v>4</v>
      </c>
      <c r="V3061">
        <v>0.45266977864779401</v>
      </c>
      <c r="W3061">
        <v>1</v>
      </c>
      <c r="X3061">
        <v>0.45266977864779401</v>
      </c>
      <c r="Y3061">
        <v>536</v>
      </c>
      <c r="Z3061">
        <v>255.48165096313261</v>
      </c>
      <c r="AA3061">
        <v>198</v>
      </c>
      <c r="AB3061">
        <v>332</v>
      </c>
      <c r="AC3061">
        <v>536</v>
      </c>
      <c r="AD3061">
        <v>26.35</v>
      </c>
      <c r="AE3061">
        <v>542</v>
      </c>
      <c r="AF3061">
        <v>15</v>
      </c>
      <c r="AG3061">
        <v>174</v>
      </c>
      <c r="AH3061">
        <v>129</v>
      </c>
      <c r="AI3061">
        <v>2.77</v>
      </c>
      <c r="AJ3061">
        <v>32.1</v>
      </c>
      <c r="AK3061">
        <v>23.8</v>
      </c>
      <c r="AL3061">
        <v>-20.120783799999941</v>
      </c>
      <c r="AM3061">
        <v>-44.885629603396453</v>
      </c>
      <c r="AN3061">
        <v>-20.120783799999941</v>
      </c>
      <c r="AO3061">
        <v>-44.885629603396453</v>
      </c>
      <c r="AP3061">
        <v>-20.120775999999999</v>
      </c>
      <c r="AQ3061">
        <v>-44.885562999999998</v>
      </c>
      <c r="AR3061">
        <v>7.0157317818911196</v>
      </c>
      <c r="AS3061" t="s">
        <v>65</v>
      </c>
      <c r="AT3061">
        <v>1</v>
      </c>
      <c r="AU3061" t="s">
        <v>624</v>
      </c>
      <c r="AV3061" t="s">
        <v>619</v>
      </c>
      <c r="AW3061" t="s">
        <v>60</v>
      </c>
      <c r="AX3061" t="s">
        <v>68</v>
      </c>
      <c r="AY3061" t="s">
        <v>69</v>
      </c>
      <c r="AZ3061" t="b">
        <v>1</v>
      </c>
    </row>
    <row r="3062" spans="1:52" x14ac:dyDescent="0.3">
      <c r="A3062" t="s">
        <v>52</v>
      </c>
      <c r="B3062" t="s">
        <v>53</v>
      </c>
      <c r="C3062" t="s">
        <v>54</v>
      </c>
      <c r="D3062" t="s">
        <v>55</v>
      </c>
      <c r="E3062" t="s">
        <v>2163</v>
      </c>
      <c r="F3062" t="s">
        <v>190</v>
      </c>
      <c r="G3062" t="s">
        <v>637</v>
      </c>
      <c r="H3062" t="s">
        <v>915</v>
      </c>
      <c r="I3062" t="s">
        <v>915</v>
      </c>
      <c r="J3062" t="s">
        <v>60</v>
      </c>
      <c r="K3062" t="s">
        <v>530</v>
      </c>
      <c r="L3062" t="s">
        <v>62</v>
      </c>
      <c r="M3062" t="s">
        <v>530</v>
      </c>
      <c r="N3062" t="s">
        <v>639</v>
      </c>
      <c r="O3062" t="s">
        <v>916</v>
      </c>
      <c r="P3062">
        <v>-20.144821</v>
      </c>
      <c r="Q3062">
        <v>-44.88937</v>
      </c>
      <c r="R3062" s="2" t="str">
        <f>HYPERLINK("https://www.google.com/maps?q=-20.1448210,-44.8893700","Abrir no Google Maps")</f>
        <v>Abrir no Google Maps</v>
      </c>
      <c r="S3062">
        <v>3</v>
      </c>
      <c r="T3062">
        <v>256.58219197259177</v>
      </c>
      <c r="U3062">
        <v>4</v>
      </c>
      <c r="V3062">
        <v>0.57726342710997436</v>
      </c>
      <c r="W3062">
        <v>0.85</v>
      </c>
      <c r="X3062">
        <v>0.49067391304347818</v>
      </c>
      <c r="Y3062">
        <v>527</v>
      </c>
      <c r="Z3062">
        <v>177.1895281295705</v>
      </c>
      <c r="AA3062">
        <v>198</v>
      </c>
      <c r="AB3062">
        <v>332</v>
      </c>
      <c r="AC3062">
        <v>536</v>
      </c>
      <c r="AD3062">
        <v>26.35</v>
      </c>
      <c r="AE3062">
        <v>542</v>
      </c>
      <c r="AF3062">
        <v>15</v>
      </c>
      <c r="AG3062">
        <v>174</v>
      </c>
      <c r="AH3062">
        <v>129</v>
      </c>
      <c r="AI3062">
        <v>2.77</v>
      </c>
      <c r="AJ3062">
        <v>32.1</v>
      </c>
      <c r="AK3062">
        <v>23.8</v>
      </c>
      <c r="AL3062">
        <v>-20.144812799999951</v>
      </c>
      <c r="AM3062">
        <v>-44.8892780390361</v>
      </c>
      <c r="AN3062">
        <v>-20.144812799999951</v>
      </c>
      <c r="AO3062">
        <v>-44.8892780390361</v>
      </c>
      <c r="AP3062">
        <v>-20.144821</v>
      </c>
      <c r="AQ3062">
        <v>-44.88937</v>
      </c>
      <c r="AR3062">
        <v>9.6540941010892158</v>
      </c>
      <c r="AS3062" t="s">
        <v>65</v>
      </c>
      <c r="AT3062">
        <v>1</v>
      </c>
      <c r="AU3062" t="s">
        <v>917</v>
      </c>
      <c r="AV3062" t="s">
        <v>918</v>
      </c>
      <c r="AW3062" t="s">
        <v>60</v>
      </c>
      <c r="AX3062" t="s">
        <v>68</v>
      </c>
      <c r="AY3062" t="s">
        <v>69</v>
      </c>
      <c r="AZ3062" t="b">
        <v>1</v>
      </c>
    </row>
    <row r="3063" spans="1:52" x14ac:dyDescent="0.3">
      <c r="A3063" t="s">
        <v>52</v>
      </c>
      <c r="B3063" t="s">
        <v>53</v>
      </c>
      <c r="C3063" t="s">
        <v>54</v>
      </c>
      <c r="D3063" t="s">
        <v>55</v>
      </c>
      <c r="E3063" t="s">
        <v>2163</v>
      </c>
      <c r="F3063" t="s">
        <v>190</v>
      </c>
      <c r="G3063" t="s">
        <v>919</v>
      </c>
      <c r="H3063" t="s">
        <v>920</v>
      </c>
      <c r="I3063" t="s">
        <v>920</v>
      </c>
      <c r="J3063" t="s">
        <v>60</v>
      </c>
      <c r="K3063" t="s">
        <v>530</v>
      </c>
      <c r="L3063" t="s">
        <v>62</v>
      </c>
      <c r="M3063" t="s">
        <v>530</v>
      </c>
      <c r="N3063" t="s">
        <v>921</v>
      </c>
      <c r="O3063" t="s">
        <v>922</v>
      </c>
      <c r="P3063">
        <v>-20.144537</v>
      </c>
      <c r="Q3063">
        <v>-44.891530000000003</v>
      </c>
      <c r="R3063" s="2" t="str">
        <f>HYPERLINK("https://www.google.com/maps?q=-20.1445370,-44.8915300","Abrir no Google Maps")</f>
        <v>Abrir no Google Maps</v>
      </c>
      <c r="S3063">
        <v>3</v>
      </c>
      <c r="T3063">
        <v>0</v>
      </c>
      <c r="U3063">
        <v>4</v>
      </c>
      <c r="V3063">
        <v>0.56760315156541574</v>
      </c>
      <c r="W3063">
        <v>0.85</v>
      </c>
      <c r="X3063">
        <v>0.48246267883060329</v>
      </c>
      <c r="Y3063">
        <v>527</v>
      </c>
      <c r="Z3063">
        <v>80.350679251421383</v>
      </c>
      <c r="AA3063">
        <v>198</v>
      </c>
      <c r="AB3063">
        <v>332</v>
      </c>
      <c r="AC3063">
        <v>536</v>
      </c>
      <c r="AD3063">
        <v>26.35</v>
      </c>
      <c r="AE3063">
        <v>542</v>
      </c>
      <c r="AF3063">
        <v>15</v>
      </c>
      <c r="AG3063">
        <v>174</v>
      </c>
      <c r="AH3063">
        <v>129</v>
      </c>
      <c r="AI3063">
        <v>2.77</v>
      </c>
      <c r="AJ3063">
        <v>32.1</v>
      </c>
      <c r="AK3063">
        <v>23.8</v>
      </c>
      <c r="AL3063">
        <v>-20.144700699999959</v>
      </c>
      <c r="AM3063">
        <v>-44.891730278075883</v>
      </c>
      <c r="AN3063">
        <v>-20.144700699999959</v>
      </c>
      <c r="AO3063">
        <v>-44.891730278075883</v>
      </c>
      <c r="AP3063">
        <v>-20.144537</v>
      </c>
      <c r="AQ3063">
        <v>-44.891530000000003</v>
      </c>
      <c r="AR3063">
        <v>27.752313800143739</v>
      </c>
      <c r="AS3063" t="s">
        <v>65</v>
      </c>
      <c r="AT3063">
        <v>1</v>
      </c>
      <c r="AU3063" t="s">
        <v>923</v>
      </c>
      <c r="AV3063" t="s">
        <v>924</v>
      </c>
      <c r="AW3063" t="s">
        <v>60</v>
      </c>
      <c r="AX3063" t="s">
        <v>68</v>
      </c>
      <c r="AY3063" t="s">
        <v>69</v>
      </c>
      <c r="AZ3063" t="b">
        <v>1</v>
      </c>
    </row>
    <row r="3064" spans="1:52" x14ac:dyDescent="0.3">
      <c r="A3064" t="s">
        <v>52</v>
      </c>
      <c r="B3064" t="s">
        <v>53</v>
      </c>
      <c r="C3064" t="s">
        <v>54</v>
      </c>
      <c r="D3064" t="s">
        <v>55</v>
      </c>
      <c r="E3064" t="s">
        <v>2163</v>
      </c>
      <c r="F3064" t="s">
        <v>190</v>
      </c>
      <c r="G3064" t="s">
        <v>631</v>
      </c>
      <c r="H3064" t="s">
        <v>632</v>
      </c>
      <c r="I3064" t="s">
        <v>632</v>
      </c>
      <c r="J3064" t="s">
        <v>60</v>
      </c>
      <c r="K3064" t="s">
        <v>530</v>
      </c>
      <c r="L3064" t="s">
        <v>62</v>
      </c>
      <c r="M3064" t="s">
        <v>530</v>
      </c>
      <c r="N3064" t="s">
        <v>633</v>
      </c>
      <c r="O3064" t="s">
        <v>634</v>
      </c>
      <c r="P3064">
        <v>-20.142136000000001</v>
      </c>
      <c r="Q3064">
        <v>-44.893895999999998</v>
      </c>
      <c r="R3064" s="2" t="str">
        <f>HYPERLINK("https://www.google.com/maps?q=-20.1421360,-44.8938960","Abrir no Google Maps")</f>
        <v>Abrir no Google Maps</v>
      </c>
      <c r="S3064">
        <v>3</v>
      </c>
      <c r="T3064">
        <v>252.77776243958951</v>
      </c>
      <c r="U3064">
        <v>4</v>
      </c>
      <c r="V3064">
        <v>0.58216373174252545</v>
      </c>
      <c r="W3064">
        <v>1</v>
      </c>
      <c r="X3064">
        <v>0.58216373174252545</v>
      </c>
      <c r="Y3064">
        <v>505</v>
      </c>
      <c r="Z3064">
        <v>331.79497003706751</v>
      </c>
      <c r="AA3064">
        <v>198</v>
      </c>
      <c r="AB3064">
        <v>332</v>
      </c>
      <c r="AC3064">
        <v>536</v>
      </c>
      <c r="AD3064">
        <v>26.35</v>
      </c>
      <c r="AE3064">
        <v>542</v>
      </c>
      <c r="AF3064">
        <v>15</v>
      </c>
      <c r="AG3064">
        <v>174</v>
      </c>
      <c r="AH3064">
        <v>129</v>
      </c>
      <c r="AI3064">
        <v>2.77</v>
      </c>
      <c r="AJ3064">
        <v>32.1</v>
      </c>
      <c r="AK3064">
        <v>23.8</v>
      </c>
      <c r="AL3064">
        <v>-20.142209999999949</v>
      </c>
      <c r="AM3064">
        <v>-44.893919659400702</v>
      </c>
      <c r="AN3064">
        <v>-20.142209999999949</v>
      </c>
      <c r="AO3064">
        <v>-44.893919659400702</v>
      </c>
      <c r="AP3064">
        <v>-20.142136000000001</v>
      </c>
      <c r="AQ3064">
        <v>-44.893895999999998</v>
      </c>
      <c r="AR3064">
        <v>8.6007875127343159</v>
      </c>
      <c r="AS3064" t="s">
        <v>65</v>
      </c>
      <c r="AT3064">
        <v>1</v>
      </c>
      <c r="AU3064" t="s">
        <v>635</v>
      </c>
      <c r="AV3064" t="s">
        <v>636</v>
      </c>
      <c r="AW3064" t="s">
        <v>60</v>
      </c>
      <c r="AX3064" t="s">
        <v>68</v>
      </c>
      <c r="AY3064" t="s">
        <v>69</v>
      </c>
      <c r="AZ3064" t="b">
        <v>1</v>
      </c>
    </row>
    <row r="3065" spans="1:52" x14ac:dyDescent="0.3">
      <c r="A3065" t="s">
        <v>52</v>
      </c>
      <c r="B3065" t="s">
        <v>53</v>
      </c>
      <c r="C3065" t="s">
        <v>54</v>
      </c>
      <c r="D3065" t="s">
        <v>55</v>
      </c>
      <c r="E3065" t="s">
        <v>2163</v>
      </c>
      <c r="F3065" t="s">
        <v>190</v>
      </c>
      <c r="G3065" t="s">
        <v>637</v>
      </c>
      <c r="H3065" t="s">
        <v>638</v>
      </c>
      <c r="I3065" t="s">
        <v>638</v>
      </c>
      <c r="J3065" t="s">
        <v>60</v>
      </c>
      <c r="K3065" t="s">
        <v>530</v>
      </c>
      <c r="L3065" t="s">
        <v>62</v>
      </c>
      <c r="M3065" t="s">
        <v>530</v>
      </c>
      <c r="N3065" t="s">
        <v>639</v>
      </c>
      <c r="O3065" t="s">
        <v>640</v>
      </c>
      <c r="P3065">
        <v>-20.143090000000001</v>
      </c>
      <c r="Q3065">
        <v>-44.888948999999997</v>
      </c>
      <c r="R3065" s="2" t="str">
        <f>HYPERLINK("https://www.google.com/maps?q=-20.1430900,-44.8889490","Abrir no Google Maps")</f>
        <v>Abrir no Google Maps</v>
      </c>
      <c r="S3065">
        <v>3</v>
      </c>
      <c r="T3065">
        <v>264.88903234377068</v>
      </c>
      <c r="U3065">
        <v>4</v>
      </c>
      <c r="V3065">
        <v>0.56848635235732004</v>
      </c>
      <c r="W3065">
        <v>1</v>
      </c>
      <c r="X3065">
        <v>0.56848635235732004</v>
      </c>
      <c r="Y3065">
        <v>478</v>
      </c>
      <c r="Z3065">
        <v>216.60886577490871</v>
      </c>
      <c r="AA3065">
        <v>198</v>
      </c>
      <c r="AB3065">
        <v>332</v>
      </c>
      <c r="AC3065">
        <v>536</v>
      </c>
      <c r="AD3065">
        <v>26.35</v>
      </c>
      <c r="AE3065">
        <v>542</v>
      </c>
      <c r="AF3065">
        <v>15</v>
      </c>
      <c r="AG3065">
        <v>174</v>
      </c>
      <c r="AH3065">
        <v>129</v>
      </c>
      <c r="AI3065">
        <v>2.77</v>
      </c>
      <c r="AJ3065">
        <v>32.1</v>
      </c>
      <c r="AK3065">
        <v>23.8</v>
      </c>
      <c r="AL3065">
        <v>-20.14306029999997</v>
      </c>
      <c r="AM3065">
        <v>-44.889053908028878</v>
      </c>
      <c r="AN3065">
        <v>-20.14306029999997</v>
      </c>
      <c r="AO3065">
        <v>-44.889053908028878</v>
      </c>
      <c r="AP3065">
        <v>-20.143090000000001</v>
      </c>
      <c r="AQ3065">
        <v>-44.888948999999997</v>
      </c>
      <c r="AR3065">
        <v>11.451710102611671</v>
      </c>
      <c r="AS3065" t="s">
        <v>65</v>
      </c>
      <c r="AT3065">
        <v>1</v>
      </c>
      <c r="AU3065" t="s">
        <v>641</v>
      </c>
      <c r="AV3065" t="s">
        <v>642</v>
      </c>
      <c r="AW3065" t="s">
        <v>60</v>
      </c>
      <c r="AX3065" t="s">
        <v>68</v>
      </c>
      <c r="AY3065" t="s">
        <v>69</v>
      </c>
      <c r="AZ3065" t="b">
        <v>1</v>
      </c>
    </row>
    <row r="3066" spans="1:52" x14ac:dyDescent="0.3">
      <c r="A3066" t="s">
        <v>52</v>
      </c>
      <c r="B3066" t="s">
        <v>53</v>
      </c>
      <c r="C3066" t="s">
        <v>54</v>
      </c>
      <c r="D3066" t="s">
        <v>55</v>
      </c>
      <c r="E3066" t="s">
        <v>2163</v>
      </c>
      <c r="F3066" t="s">
        <v>190</v>
      </c>
      <c r="G3066" t="s">
        <v>992</v>
      </c>
      <c r="H3066" t="s">
        <v>993</v>
      </c>
      <c r="I3066" t="s">
        <v>993</v>
      </c>
      <c r="J3066" t="s">
        <v>60</v>
      </c>
      <c r="K3066" t="s">
        <v>530</v>
      </c>
      <c r="L3066" t="s">
        <v>62</v>
      </c>
      <c r="M3066" t="s">
        <v>530</v>
      </c>
      <c r="N3066" t="s">
        <v>994</v>
      </c>
      <c r="O3066" t="s">
        <v>995</v>
      </c>
      <c r="P3066">
        <v>-20.144141000000001</v>
      </c>
      <c r="Q3066">
        <v>-44.884635000000003</v>
      </c>
      <c r="R3066" s="2" t="str">
        <f>HYPERLINK("https://www.google.com/maps?q=-20.1441410,-44.8846350","Abrir no Google Maps")</f>
        <v>Abrir no Google Maps</v>
      </c>
      <c r="S3066">
        <v>3</v>
      </c>
      <c r="T3066">
        <v>0</v>
      </c>
      <c r="U3066">
        <v>4</v>
      </c>
      <c r="V3066">
        <v>0.54390649876972064</v>
      </c>
      <c r="W3066">
        <v>0.85</v>
      </c>
      <c r="X3066">
        <v>0.46232052395426249</v>
      </c>
      <c r="Y3066">
        <v>478</v>
      </c>
      <c r="Z3066">
        <v>252.29400768218821</v>
      </c>
      <c r="AA3066">
        <v>198</v>
      </c>
      <c r="AB3066">
        <v>332</v>
      </c>
      <c r="AC3066">
        <v>536</v>
      </c>
      <c r="AD3066">
        <v>26.35</v>
      </c>
      <c r="AE3066">
        <v>542</v>
      </c>
      <c r="AF3066">
        <v>15</v>
      </c>
      <c r="AG3066">
        <v>174</v>
      </c>
      <c r="AH3066">
        <v>129</v>
      </c>
      <c r="AI3066">
        <v>2.77</v>
      </c>
      <c r="AJ3066">
        <v>32.1</v>
      </c>
      <c r="AK3066">
        <v>23.8</v>
      </c>
      <c r="AL3066">
        <v>-20.144119999999951</v>
      </c>
      <c r="AM3066">
        <v>-44.884814928637752</v>
      </c>
      <c r="AN3066">
        <v>-20.144119999999951</v>
      </c>
      <c r="AO3066">
        <v>-44.884814928637752</v>
      </c>
      <c r="AP3066">
        <v>-20.144141000000001</v>
      </c>
      <c r="AQ3066">
        <v>-44.884635000000003</v>
      </c>
      <c r="AR3066">
        <v>18.949181367223549</v>
      </c>
      <c r="AS3066" t="s">
        <v>65</v>
      </c>
      <c r="AT3066">
        <v>1</v>
      </c>
      <c r="AU3066" t="s">
        <v>996</v>
      </c>
      <c r="AV3066" t="s">
        <v>997</v>
      </c>
      <c r="AW3066" t="s">
        <v>60</v>
      </c>
      <c r="AX3066" t="s">
        <v>68</v>
      </c>
      <c r="AY3066" t="s">
        <v>69</v>
      </c>
      <c r="AZ3066" t="b">
        <v>1</v>
      </c>
    </row>
    <row r="3067" spans="1:52" x14ac:dyDescent="0.3">
      <c r="A3067" t="s">
        <v>52</v>
      </c>
      <c r="B3067" t="s">
        <v>53</v>
      </c>
      <c r="C3067" t="s">
        <v>54</v>
      </c>
      <c r="D3067" t="s">
        <v>55</v>
      </c>
      <c r="E3067" t="s">
        <v>2163</v>
      </c>
      <c r="F3067" t="s">
        <v>190</v>
      </c>
      <c r="G3067" t="s">
        <v>643</v>
      </c>
      <c r="H3067" t="s">
        <v>644</v>
      </c>
      <c r="I3067" t="s">
        <v>644</v>
      </c>
      <c r="J3067" t="s">
        <v>60</v>
      </c>
      <c r="K3067" t="s">
        <v>462</v>
      </c>
      <c r="L3067" t="s">
        <v>62</v>
      </c>
      <c r="M3067" t="s">
        <v>462</v>
      </c>
      <c r="N3067" t="s">
        <v>645</v>
      </c>
      <c r="O3067" t="s">
        <v>646</v>
      </c>
      <c r="P3067">
        <v>-20.138680000000001</v>
      </c>
      <c r="Q3067">
        <v>-44.901313000000002</v>
      </c>
      <c r="R3067" s="2" t="str">
        <f>HYPERLINK("https://www.google.com/maps?q=-20.1386800,-44.9013130","Abrir no Google Maps")</f>
        <v>Abrir no Google Maps</v>
      </c>
      <c r="S3067">
        <v>3</v>
      </c>
      <c r="T3067">
        <v>322.91859681380862</v>
      </c>
      <c r="U3067">
        <v>4</v>
      </c>
      <c r="V3067">
        <v>0.51169213223954491</v>
      </c>
      <c r="W3067">
        <v>1</v>
      </c>
      <c r="X3067">
        <v>0.51169213223954491</v>
      </c>
      <c r="Y3067">
        <v>435</v>
      </c>
      <c r="Z3067">
        <v>299.891766434874</v>
      </c>
      <c r="AA3067">
        <v>198</v>
      </c>
      <c r="AB3067">
        <v>332</v>
      </c>
      <c r="AC3067">
        <v>536</v>
      </c>
      <c r="AD3067">
        <v>26.35</v>
      </c>
      <c r="AE3067">
        <v>542</v>
      </c>
      <c r="AF3067">
        <v>15</v>
      </c>
      <c r="AG3067">
        <v>174</v>
      </c>
      <c r="AH3067">
        <v>129</v>
      </c>
      <c r="AI3067">
        <v>2.77</v>
      </c>
      <c r="AJ3067">
        <v>32.1</v>
      </c>
      <c r="AK3067">
        <v>23.8</v>
      </c>
      <c r="AL3067">
        <v>-20.13865734999996</v>
      </c>
      <c r="AM3067">
        <v>-44.901255803238627</v>
      </c>
      <c r="AN3067">
        <v>-20.13865734999996</v>
      </c>
      <c r="AO3067">
        <v>-44.901255803238627</v>
      </c>
      <c r="AP3067">
        <v>-20.138680000000001</v>
      </c>
      <c r="AQ3067">
        <v>-44.901313000000002</v>
      </c>
      <c r="AR3067">
        <v>6.4878640135702481</v>
      </c>
      <c r="AS3067" t="s">
        <v>65</v>
      </c>
      <c r="AT3067">
        <v>1</v>
      </c>
      <c r="AU3067" t="s">
        <v>647</v>
      </c>
      <c r="AV3067" t="s">
        <v>648</v>
      </c>
      <c r="AW3067" t="s">
        <v>60</v>
      </c>
      <c r="AX3067" t="s">
        <v>68</v>
      </c>
      <c r="AY3067" t="s">
        <v>69</v>
      </c>
      <c r="AZ3067" t="b">
        <v>1</v>
      </c>
    </row>
    <row r="3068" spans="1:52" x14ac:dyDescent="0.3">
      <c r="A3068" t="s">
        <v>52</v>
      </c>
      <c r="B3068" t="s">
        <v>53</v>
      </c>
      <c r="C3068" t="s">
        <v>54</v>
      </c>
      <c r="D3068" t="s">
        <v>55</v>
      </c>
      <c r="E3068" t="s">
        <v>2163</v>
      </c>
      <c r="F3068" t="s">
        <v>190</v>
      </c>
      <c r="G3068" t="s">
        <v>649</v>
      </c>
      <c r="H3068" t="s">
        <v>650</v>
      </c>
      <c r="I3068" t="s">
        <v>650</v>
      </c>
      <c r="J3068" t="s">
        <v>60</v>
      </c>
      <c r="K3068" t="s">
        <v>651</v>
      </c>
      <c r="L3068" t="s">
        <v>62</v>
      </c>
      <c r="M3068" t="s">
        <v>651</v>
      </c>
      <c r="N3068" t="s">
        <v>652</v>
      </c>
      <c r="O3068" t="s">
        <v>653</v>
      </c>
      <c r="P3068">
        <v>-20.134566</v>
      </c>
      <c r="Q3068">
        <v>-44.894970999999998</v>
      </c>
      <c r="R3068" s="2" t="str">
        <f>HYPERLINK("https://www.google.com/maps?q=-20.1345660,-44.8949710","Abrir no Google Maps")</f>
        <v>Abrir no Google Maps</v>
      </c>
      <c r="S3068">
        <v>3</v>
      </c>
      <c r="T3068">
        <v>722.088947634291</v>
      </c>
      <c r="U3068">
        <v>4</v>
      </c>
      <c r="V3068">
        <v>0.56091187739463599</v>
      </c>
      <c r="W3068">
        <v>1</v>
      </c>
      <c r="X3068">
        <v>0.56091187739463599</v>
      </c>
      <c r="Y3068">
        <v>435</v>
      </c>
      <c r="Z3068">
        <v>510.93480096112631</v>
      </c>
      <c r="AA3068">
        <v>198</v>
      </c>
      <c r="AB3068">
        <v>332</v>
      </c>
      <c r="AC3068">
        <v>536</v>
      </c>
      <c r="AD3068">
        <v>26.35</v>
      </c>
      <c r="AE3068">
        <v>542</v>
      </c>
      <c r="AF3068">
        <v>15</v>
      </c>
      <c r="AG3068">
        <v>174</v>
      </c>
      <c r="AH3068">
        <v>129</v>
      </c>
      <c r="AI3068">
        <v>2.77</v>
      </c>
      <c r="AJ3068">
        <v>32.1</v>
      </c>
      <c r="AK3068">
        <v>23.8</v>
      </c>
      <c r="AL3068">
        <v>-20.134477649999951</v>
      </c>
      <c r="AM3068">
        <v>-44.894921468906077</v>
      </c>
      <c r="AN3068">
        <v>-20.134477649999951</v>
      </c>
      <c r="AO3068">
        <v>-44.894921468906077</v>
      </c>
      <c r="AP3068">
        <v>-20.134566</v>
      </c>
      <c r="AQ3068">
        <v>-44.894970999999998</v>
      </c>
      <c r="AR3068">
        <v>11.114372522967921</v>
      </c>
      <c r="AS3068" t="s">
        <v>65</v>
      </c>
      <c r="AT3068">
        <v>1</v>
      </c>
      <c r="AU3068" t="s">
        <v>654</v>
      </c>
      <c r="AV3068" t="s">
        <v>655</v>
      </c>
      <c r="AW3068" t="s">
        <v>60</v>
      </c>
      <c r="AX3068" t="s">
        <v>68</v>
      </c>
      <c r="AY3068" t="s">
        <v>69</v>
      </c>
      <c r="AZ3068" t="b">
        <v>1</v>
      </c>
    </row>
    <row r="3069" spans="1:52" x14ac:dyDescent="0.3">
      <c r="A3069" t="s">
        <v>52</v>
      </c>
      <c r="B3069" t="s">
        <v>53</v>
      </c>
      <c r="C3069" t="s">
        <v>54</v>
      </c>
      <c r="D3069" t="s">
        <v>55</v>
      </c>
      <c r="E3069" t="s">
        <v>2163</v>
      </c>
      <c r="F3069" t="s">
        <v>190</v>
      </c>
      <c r="G3069" t="s">
        <v>656</v>
      </c>
      <c r="H3069" t="s">
        <v>657</v>
      </c>
      <c r="I3069" t="s">
        <v>657</v>
      </c>
      <c r="J3069" t="s">
        <v>60</v>
      </c>
      <c r="K3069" t="s">
        <v>651</v>
      </c>
      <c r="L3069" t="s">
        <v>62</v>
      </c>
      <c r="M3069" t="s">
        <v>651</v>
      </c>
      <c r="N3069" t="s">
        <v>658</v>
      </c>
      <c r="O3069" t="s">
        <v>659</v>
      </c>
      <c r="P3069">
        <v>-20.134922</v>
      </c>
      <c r="Q3069">
        <v>-44.893098000000002</v>
      </c>
      <c r="R3069" s="2" t="str">
        <f>HYPERLINK("https://www.google.com/maps?q=-20.1349220,-44.8930980","Abrir no Google Maps")</f>
        <v>Abrir no Google Maps</v>
      </c>
      <c r="S3069">
        <v>3</v>
      </c>
      <c r="T3069">
        <v>589.83980259734562</v>
      </c>
      <c r="U3069">
        <v>4</v>
      </c>
      <c r="V3069">
        <v>0.58502923417066199</v>
      </c>
      <c r="W3069">
        <v>1</v>
      </c>
      <c r="X3069">
        <v>0.58502923417066199</v>
      </c>
      <c r="Y3069">
        <v>435</v>
      </c>
      <c r="Z3069">
        <v>663.80986080131709</v>
      </c>
      <c r="AA3069">
        <v>198</v>
      </c>
      <c r="AB3069">
        <v>332</v>
      </c>
      <c r="AC3069">
        <v>536</v>
      </c>
      <c r="AD3069">
        <v>26.35</v>
      </c>
      <c r="AE3069">
        <v>542</v>
      </c>
      <c r="AF3069">
        <v>15</v>
      </c>
      <c r="AG3069">
        <v>174</v>
      </c>
      <c r="AH3069">
        <v>129</v>
      </c>
      <c r="AI3069">
        <v>2.77</v>
      </c>
      <c r="AJ3069">
        <v>32.1</v>
      </c>
      <c r="AK3069">
        <v>23.8</v>
      </c>
      <c r="AL3069">
        <v>-20.135021049999949</v>
      </c>
      <c r="AM3069">
        <v>-44.893227478208203</v>
      </c>
      <c r="AN3069">
        <v>-20.135021049999949</v>
      </c>
      <c r="AO3069">
        <v>-44.893227478208203</v>
      </c>
      <c r="AP3069">
        <v>-20.134922</v>
      </c>
      <c r="AQ3069">
        <v>-44.893098000000002</v>
      </c>
      <c r="AR3069">
        <v>17.455940349902249</v>
      </c>
      <c r="AS3069" t="s">
        <v>65</v>
      </c>
      <c r="AT3069">
        <v>1</v>
      </c>
      <c r="AU3069" t="s">
        <v>660</v>
      </c>
      <c r="AV3069" t="s">
        <v>661</v>
      </c>
      <c r="AW3069" t="s">
        <v>60</v>
      </c>
      <c r="AX3069" t="s">
        <v>68</v>
      </c>
      <c r="AY3069" t="s">
        <v>69</v>
      </c>
      <c r="AZ3069" t="b">
        <v>1</v>
      </c>
    </row>
    <row r="3070" spans="1:52" x14ac:dyDescent="0.3">
      <c r="A3070" t="s">
        <v>52</v>
      </c>
      <c r="B3070" t="s">
        <v>53</v>
      </c>
      <c r="C3070" t="s">
        <v>54</v>
      </c>
      <c r="D3070" t="s">
        <v>55</v>
      </c>
      <c r="E3070" t="s">
        <v>2163</v>
      </c>
      <c r="F3070" t="s">
        <v>190</v>
      </c>
      <c r="G3070" t="s">
        <v>998</v>
      </c>
      <c r="H3070" t="s">
        <v>999</v>
      </c>
      <c r="I3070" t="s">
        <v>999</v>
      </c>
      <c r="J3070" t="s">
        <v>60</v>
      </c>
      <c r="K3070" t="s">
        <v>200</v>
      </c>
      <c r="L3070" t="s">
        <v>62</v>
      </c>
      <c r="M3070" t="s">
        <v>200</v>
      </c>
      <c r="N3070" t="s">
        <v>1000</v>
      </c>
      <c r="O3070" t="s">
        <v>1001</v>
      </c>
      <c r="P3070">
        <v>-20.128198000000001</v>
      </c>
      <c r="Q3070">
        <v>-44.897989000000003</v>
      </c>
      <c r="R3070" s="2" t="str">
        <f>HYPERLINK("https://www.google.com/maps?q=-20.1281980,-44.8979890","Abrir no Google Maps")</f>
        <v>Abrir no Google Maps</v>
      </c>
      <c r="S3070">
        <v>3</v>
      </c>
      <c r="T3070">
        <v>764.99274209740315</v>
      </c>
      <c r="U3070">
        <v>4</v>
      </c>
      <c r="V3070">
        <v>0.52264573991031393</v>
      </c>
      <c r="W3070">
        <v>0.85</v>
      </c>
      <c r="X3070">
        <v>0.44424887892376691</v>
      </c>
      <c r="Y3070">
        <v>435</v>
      </c>
      <c r="Z3070">
        <v>666.56370235056943</v>
      </c>
      <c r="AA3070">
        <v>198</v>
      </c>
      <c r="AB3070">
        <v>332</v>
      </c>
      <c r="AC3070">
        <v>536</v>
      </c>
      <c r="AD3070">
        <v>26.35</v>
      </c>
      <c r="AE3070">
        <v>542</v>
      </c>
      <c r="AF3070">
        <v>15</v>
      </c>
      <c r="AG3070">
        <v>174</v>
      </c>
      <c r="AH3070">
        <v>129</v>
      </c>
      <c r="AI3070">
        <v>2.77</v>
      </c>
      <c r="AJ3070">
        <v>32.1</v>
      </c>
      <c r="AK3070">
        <v>23.8</v>
      </c>
      <c r="AL3070">
        <v>-20.129869449999941</v>
      </c>
      <c r="AM3070">
        <v>-44.897878269453869</v>
      </c>
      <c r="AN3070">
        <v>-20.129869449999941</v>
      </c>
      <c r="AO3070">
        <v>-44.897878269453869</v>
      </c>
      <c r="AP3070">
        <v>-20.128198000000001</v>
      </c>
      <c r="AQ3070">
        <v>-44.897989000000003</v>
      </c>
      <c r="AR3070">
        <v>186.42541239811899</v>
      </c>
      <c r="AS3070" t="s">
        <v>65</v>
      </c>
      <c r="AT3070">
        <v>1</v>
      </c>
      <c r="AU3070" t="s">
        <v>1002</v>
      </c>
      <c r="AV3070" t="s">
        <v>1003</v>
      </c>
      <c r="AW3070" t="s">
        <v>60</v>
      </c>
      <c r="AX3070" t="s">
        <v>68</v>
      </c>
      <c r="AY3070" t="s">
        <v>69</v>
      </c>
      <c r="AZ3070" t="b">
        <v>1</v>
      </c>
    </row>
    <row r="3071" spans="1:52" x14ac:dyDescent="0.3">
      <c r="A3071" t="s">
        <v>52</v>
      </c>
      <c r="B3071" t="s">
        <v>53</v>
      </c>
      <c r="C3071" t="s">
        <v>54</v>
      </c>
      <c r="D3071" t="s">
        <v>55</v>
      </c>
      <c r="E3071" t="s">
        <v>2163</v>
      </c>
      <c r="F3071" t="s">
        <v>190</v>
      </c>
      <c r="G3071" t="s">
        <v>1004</v>
      </c>
      <c r="H3071" t="s">
        <v>1005</v>
      </c>
      <c r="I3071" t="s">
        <v>1005</v>
      </c>
      <c r="J3071" t="s">
        <v>60</v>
      </c>
      <c r="K3071" t="s">
        <v>664</v>
      </c>
      <c r="L3071" t="s">
        <v>62</v>
      </c>
      <c r="M3071" t="s">
        <v>664</v>
      </c>
      <c r="N3071" t="s">
        <v>1006</v>
      </c>
      <c r="O3071" t="s">
        <v>1007</v>
      </c>
      <c r="P3071">
        <v>-20.136424000000002</v>
      </c>
      <c r="Q3071">
        <v>-44.902287999999999</v>
      </c>
      <c r="R3071" s="2" t="str">
        <f>HYPERLINK("https://www.google.com/maps?q=-20.1364240,-44.9022880","Abrir no Google Maps")</f>
        <v>Abrir no Google Maps</v>
      </c>
      <c r="S3071">
        <v>3</v>
      </c>
      <c r="T3071">
        <v>0</v>
      </c>
      <c r="U3071">
        <v>4</v>
      </c>
      <c r="V3071">
        <v>0.5299576449040333</v>
      </c>
      <c r="W3071">
        <v>0.85</v>
      </c>
      <c r="X3071">
        <v>0.4504639981684283</v>
      </c>
      <c r="Y3071">
        <v>435</v>
      </c>
      <c r="Z3071">
        <v>273.7310860392941</v>
      </c>
      <c r="AA3071">
        <v>198</v>
      </c>
      <c r="AB3071">
        <v>332</v>
      </c>
      <c r="AC3071">
        <v>536</v>
      </c>
      <c r="AD3071">
        <v>26.35</v>
      </c>
      <c r="AE3071">
        <v>542</v>
      </c>
      <c r="AF3071">
        <v>15</v>
      </c>
      <c r="AG3071">
        <v>174</v>
      </c>
      <c r="AH3071">
        <v>129</v>
      </c>
      <c r="AI3071">
        <v>2.77</v>
      </c>
      <c r="AJ3071">
        <v>32.1</v>
      </c>
      <c r="AK3071">
        <v>23.8</v>
      </c>
      <c r="AL3071">
        <v>-20.135768749999951</v>
      </c>
      <c r="AM3071">
        <v>-44.901693772064696</v>
      </c>
      <c r="AN3071">
        <v>-20.135768749999951</v>
      </c>
      <c r="AO3071">
        <v>-44.901693772064696</v>
      </c>
      <c r="AP3071">
        <v>-20.136424000000002</v>
      </c>
      <c r="AQ3071">
        <v>-44.902287999999999</v>
      </c>
      <c r="AR3071">
        <v>95.800830031045166</v>
      </c>
      <c r="AS3071" t="s">
        <v>65</v>
      </c>
      <c r="AT3071">
        <v>1</v>
      </c>
      <c r="AU3071" t="s">
        <v>1008</v>
      </c>
      <c r="AV3071" t="s">
        <v>668</v>
      </c>
      <c r="AW3071" t="s">
        <v>60</v>
      </c>
      <c r="AX3071" t="s">
        <v>68</v>
      </c>
      <c r="AY3071" t="s">
        <v>69</v>
      </c>
      <c r="AZ3071" t="b">
        <v>1</v>
      </c>
    </row>
    <row r="3072" spans="1:52" x14ac:dyDescent="0.3">
      <c r="A3072" t="s">
        <v>52</v>
      </c>
      <c r="B3072" t="s">
        <v>53</v>
      </c>
      <c r="C3072" t="s">
        <v>54</v>
      </c>
      <c r="D3072" t="s">
        <v>55</v>
      </c>
      <c r="E3072" t="s">
        <v>2163</v>
      </c>
      <c r="F3072" t="s">
        <v>190</v>
      </c>
      <c r="G3072" t="s">
        <v>662</v>
      </c>
      <c r="H3072" t="s">
        <v>663</v>
      </c>
      <c r="I3072" t="s">
        <v>663</v>
      </c>
      <c r="J3072" t="s">
        <v>60</v>
      </c>
      <c r="K3072" t="s">
        <v>664</v>
      </c>
      <c r="L3072" t="s">
        <v>62</v>
      </c>
      <c r="M3072" t="s">
        <v>664</v>
      </c>
      <c r="N3072" t="s">
        <v>665</v>
      </c>
      <c r="O3072" t="s">
        <v>666</v>
      </c>
      <c r="P3072">
        <v>-20.13401</v>
      </c>
      <c r="Q3072">
        <v>-44.896515999999998</v>
      </c>
      <c r="R3072" s="2" t="str">
        <f>HYPERLINK("https://www.google.com/maps?q=-20.1340100,-44.8965160","Abrir no Google Maps")</f>
        <v>Abrir no Google Maps</v>
      </c>
      <c r="S3072">
        <v>3</v>
      </c>
      <c r="T3072">
        <v>577.93085469739992</v>
      </c>
      <c r="U3072">
        <v>4</v>
      </c>
      <c r="V3072">
        <v>0.60692326814716613</v>
      </c>
      <c r="W3072">
        <v>0.85</v>
      </c>
      <c r="X3072">
        <v>0.51588477792509124</v>
      </c>
      <c r="Y3072">
        <v>435</v>
      </c>
      <c r="Z3072">
        <v>334.84976208093428</v>
      </c>
      <c r="AA3072">
        <v>198</v>
      </c>
      <c r="AB3072">
        <v>332</v>
      </c>
      <c r="AC3072">
        <v>536</v>
      </c>
      <c r="AD3072">
        <v>26.35</v>
      </c>
      <c r="AE3072">
        <v>542</v>
      </c>
      <c r="AF3072">
        <v>15</v>
      </c>
      <c r="AG3072">
        <v>174</v>
      </c>
      <c r="AH3072">
        <v>129</v>
      </c>
      <c r="AI3072">
        <v>2.77</v>
      </c>
      <c r="AJ3072">
        <v>32.1</v>
      </c>
      <c r="AK3072">
        <v>23.8</v>
      </c>
      <c r="AL3072">
        <v>-20.134194999999949</v>
      </c>
      <c r="AM3072">
        <v>-44.896421210298939</v>
      </c>
      <c r="AN3072">
        <v>-20.134194999999949</v>
      </c>
      <c r="AO3072">
        <v>-44.896421210298939</v>
      </c>
      <c r="AP3072">
        <v>-20.13401</v>
      </c>
      <c r="AQ3072">
        <v>-44.896515999999998</v>
      </c>
      <c r="AR3072">
        <v>22.853284872316269</v>
      </c>
      <c r="AS3072" t="s">
        <v>65</v>
      </c>
      <c r="AT3072">
        <v>1</v>
      </c>
      <c r="AU3072" t="s">
        <v>667</v>
      </c>
      <c r="AV3072" t="s">
        <v>668</v>
      </c>
      <c r="AW3072" t="s">
        <v>60</v>
      </c>
      <c r="AX3072" t="s">
        <v>68</v>
      </c>
      <c r="AY3072" t="s">
        <v>69</v>
      </c>
      <c r="AZ3072" t="b">
        <v>1</v>
      </c>
    </row>
    <row r="3073" spans="1:52" x14ac:dyDescent="0.3">
      <c r="A3073" t="s">
        <v>52</v>
      </c>
      <c r="B3073" t="s">
        <v>53</v>
      </c>
      <c r="C3073" t="s">
        <v>54</v>
      </c>
      <c r="D3073" t="s">
        <v>55</v>
      </c>
      <c r="E3073" t="s">
        <v>2163</v>
      </c>
      <c r="F3073" t="s">
        <v>190</v>
      </c>
      <c r="G3073" t="s">
        <v>669</v>
      </c>
      <c r="H3073" t="s">
        <v>670</v>
      </c>
      <c r="I3073" t="s">
        <v>670</v>
      </c>
      <c r="J3073" t="s">
        <v>60</v>
      </c>
      <c r="K3073" t="s">
        <v>530</v>
      </c>
      <c r="L3073" t="s">
        <v>62</v>
      </c>
      <c r="M3073" t="s">
        <v>530</v>
      </c>
      <c r="N3073" t="s">
        <v>671</v>
      </c>
      <c r="O3073" t="s">
        <v>672</v>
      </c>
      <c r="P3073">
        <v>-20.139036999999998</v>
      </c>
      <c r="Q3073">
        <v>-44.889187</v>
      </c>
      <c r="R3073" s="2" t="str">
        <f>HYPERLINK("https://www.google.com/maps?q=-20.1390370,-44.8891870","Abrir no Google Maps")</f>
        <v>Abrir no Google Maps</v>
      </c>
      <c r="S3073">
        <v>3</v>
      </c>
      <c r="T3073">
        <v>162.03713995333371</v>
      </c>
      <c r="U3073">
        <v>4</v>
      </c>
      <c r="V3073">
        <v>0.59711128967456806</v>
      </c>
      <c r="W3073">
        <v>1</v>
      </c>
      <c r="X3073">
        <v>0.59711128967456806</v>
      </c>
      <c r="Y3073">
        <v>428</v>
      </c>
      <c r="Z3073">
        <v>126.21352118044651</v>
      </c>
      <c r="AA3073">
        <v>198</v>
      </c>
      <c r="AB3073">
        <v>332</v>
      </c>
      <c r="AC3073">
        <v>536</v>
      </c>
      <c r="AD3073">
        <v>26.35</v>
      </c>
      <c r="AE3073">
        <v>542</v>
      </c>
      <c r="AF3073">
        <v>15</v>
      </c>
      <c r="AG3073">
        <v>174</v>
      </c>
      <c r="AH3073">
        <v>129</v>
      </c>
      <c r="AI3073">
        <v>2.77</v>
      </c>
      <c r="AJ3073">
        <v>32.1</v>
      </c>
      <c r="AK3073">
        <v>23.8</v>
      </c>
      <c r="AL3073">
        <v>-20.13900394999996</v>
      </c>
      <c r="AM3073">
        <v>-44.889298503583859</v>
      </c>
      <c r="AN3073">
        <v>-20.13900394999996</v>
      </c>
      <c r="AO3073">
        <v>-44.889298503583859</v>
      </c>
      <c r="AP3073">
        <v>-20.139036999999998</v>
      </c>
      <c r="AQ3073">
        <v>-44.889187</v>
      </c>
      <c r="AR3073">
        <v>12.220642731957311</v>
      </c>
      <c r="AS3073" t="s">
        <v>65</v>
      </c>
      <c r="AT3073">
        <v>1</v>
      </c>
      <c r="AU3073" t="s">
        <v>673</v>
      </c>
      <c r="AV3073" t="s">
        <v>674</v>
      </c>
      <c r="AW3073" t="s">
        <v>60</v>
      </c>
      <c r="AX3073" t="s">
        <v>68</v>
      </c>
      <c r="AY3073" t="s">
        <v>69</v>
      </c>
      <c r="AZ3073" t="b">
        <v>1</v>
      </c>
    </row>
    <row r="3074" spans="1:52" x14ac:dyDescent="0.3">
      <c r="A3074" t="s">
        <v>52</v>
      </c>
      <c r="B3074" t="s">
        <v>53</v>
      </c>
      <c r="C3074" t="s">
        <v>54</v>
      </c>
      <c r="D3074" t="s">
        <v>55</v>
      </c>
      <c r="E3074" t="s">
        <v>2163</v>
      </c>
      <c r="F3074" t="s">
        <v>190</v>
      </c>
      <c r="G3074" t="s">
        <v>675</v>
      </c>
      <c r="H3074" t="s">
        <v>676</v>
      </c>
      <c r="I3074" t="s">
        <v>676</v>
      </c>
      <c r="J3074" t="s">
        <v>60</v>
      </c>
      <c r="K3074" t="s">
        <v>530</v>
      </c>
      <c r="L3074" t="s">
        <v>62</v>
      </c>
      <c r="M3074" t="s">
        <v>530</v>
      </c>
      <c r="N3074" t="s">
        <v>677</v>
      </c>
      <c r="O3074" t="s">
        <v>678</v>
      </c>
      <c r="P3074">
        <v>-20.140103</v>
      </c>
      <c r="Q3074">
        <v>-44.887059999999998</v>
      </c>
      <c r="R3074" s="2" t="str">
        <f>HYPERLINK("https://www.google.com/maps?q=-20.1401030,-44.8870600","Abrir no Google Maps")</f>
        <v>Abrir no Google Maps</v>
      </c>
      <c r="S3074">
        <v>3</v>
      </c>
      <c r="T3074">
        <v>202.19329492684349</v>
      </c>
      <c r="U3074">
        <v>4</v>
      </c>
      <c r="V3074">
        <v>0.60587435443227466</v>
      </c>
      <c r="W3074">
        <v>1</v>
      </c>
      <c r="X3074">
        <v>0.60587435443227466</v>
      </c>
      <c r="Y3074">
        <v>428</v>
      </c>
      <c r="Z3074">
        <v>144.95603883960419</v>
      </c>
      <c r="AA3074">
        <v>198</v>
      </c>
      <c r="AB3074">
        <v>332</v>
      </c>
      <c r="AC3074">
        <v>536</v>
      </c>
      <c r="AD3074">
        <v>26.35</v>
      </c>
      <c r="AE3074">
        <v>542</v>
      </c>
      <c r="AF3074">
        <v>15</v>
      </c>
      <c r="AG3074">
        <v>174</v>
      </c>
      <c r="AH3074">
        <v>129</v>
      </c>
      <c r="AI3074">
        <v>2.77</v>
      </c>
      <c r="AJ3074">
        <v>32.1</v>
      </c>
      <c r="AK3074">
        <v>23.8</v>
      </c>
      <c r="AL3074">
        <v>-20.13997164999995</v>
      </c>
      <c r="AM3074">
        <v>-44.887075246455773</v>
      </c>
      <c r="AN3074">
        <v>-20.13997164999995</v>
      </c>
      <c r="AO3074">
        <v>-44.887075246455773</v>
      </c>
      <c r="AP3074">
        <v>-20.140103</v>
      </c>
      <c r="AQ3074">
        <v>-44.887059999999998</v>
      </c>
      <c r="AR3074">
        <v>14.7084512385181</v>
      </c>
      <c r="AS3074" t="s">
        <v>65</v>
      </c>
      <c r="AT3074">
        <v>1</v>
      </c>
      <c r="AU3074" t="s">
        <v>679</v>
      </c>
      <c r="AV3074" t="s">
        <v>680</v>
      </c>
      <c r="AW3074" t="s">
        <v>60</v>
      </c>
      <c r="AX3074" t="s">
        <v>68</v>
      </c>
      <c r="AY3074" t="s">
        <v>69</v>
      </c>
      <c r="AZ3074" t="b">
        <v>1</v>
      </c>
    </row>
    <row r="3075" spans="1:52" x14ac:dyDescent="0.3">
      <c r="A3075" t="s">
        <v>52</v>
      </c>
      <c r="B3075" t="s">
        <v>53</v>
      </c>
      <c r="C3075" t="s">
        <v>54</v>
      </c>
      <c r="D3075" t="s">
        <v>55</v>
      </c>
      <c r="E3075" t="s">
        <v>2163</v>
      </c>
      <c r="F3075" t="s">
        <v>190</v>
      </c>
      <c r="G3075" t="s">
        <v>1009</v>
      </c>
      <c r="H3075" t="s">
        <v>1010</v>
      </c>
      <c r="I3075" t="s">
        <v>1010</v>
      </c>
      <c r="J3075" t="s">
        <v>60</v>
      </c>
      <c r="K3075" t="s">
        <v>530</v>
      </c>
      <c r="L3075" t="s">
        <v>62</v>
      </c>
      <c r="M3075" t="s">
        <v>530</v>
      </c>
      <c r="N3075" t="s">
        <v>1011</v>
      </c>
      <c r="O3075" t="s">
        <v>315</v>
      </c>
      <c r="P3075">
        <v>-20.141300999999999</v>
      </c>
      <c r="Q3075">
        <v>-44.887509999999999</v>
      </c>
      <c r="R3075" s="2" t="str">
        <f>HYPERLINK("https://www.google.com/maps?q=-20.1413010,-44.8875100","Abrir no Google Maps")</f>
        <v>Abrir no Google Maps</v>
      </c>
      <c r="S3075">
        <v>3</v>
      </c>
      <c r="T3075">
        <v>351.30731383872319</v>
      </c>
      <c r="U3075">
        <v>4</v>
      </c>
      <c r="V3075">
        <v>0.5984462424022865</v>
      </c>
      <c r="W3075">
        <v>0.85</v>
      </c>
      <c r="X3075">
        <v>0.50867930604194356</v>
      </c>
      <c r="Y3075">
        <v>428</v>
      </c>
      <c r="Z3075">
        <v>285.79917278216982</v>
      </c>
      <c r="AA3075">
        <v>198</v>
      </c>
      <c r="AB3075">
        <v>332</v>
      </c>
      <c r="AC3075">
        <v>536</v>
      </c>
      <c r="AD3075">
        <v>26.35</v>
      </c>
      <c r="AE3075">
        <v>542</v>
      </c>
      <c r="AF3075">
        <v>15</v>
      </c>
      <c r="AG3075">
        <v>174</v>
      </c>
      <c r="AH3075">
        <v>129</v>
      </c>
      <c r="AI3075">
        <v>2.77</v>
      </c>
      <c r="AJ3075">
        <v>32.1</v>
      </c>
      <c r="AK3075">
        <v>23.8</v>
      </c>
      <c r="AL3075">
        <v>-20.141454249999949</v>
      </c>
      <c r="AM3075">
        <v>-44.887331612944081</v>
      </c>
      <c r="AN3075">
        <v>-20.141454249999949</v>
      </c>
      <c r="AO3075">
        <v>-44.887331612944081</v>
      </c>
      <c r="AP3075">
        <v>-20.141300999999999</v>
      </c>
      <c r="AQ3075">
        <v>-44.887509999999999</v>
      </c>
      <c r="AR3075">
        <v>25.270963110561588</v>
      </c>
      <c r="AS3075" t="s">
        <v>65</v>
      </c>
      <c r="AT3075">
        <v>1</v>
      </c>
      <c r="AU3075" t="s">
        <v>1012</v>
      </c>
      <c r="AV3075" t="s">
        <v>1013</v>
      </c>
      <c r="AW3075" t="s">
        <v>60</v>
      </c>
      <c r="AX3075" t="s">
        <v>68</v>
      </c>
      <c r="AY3075" t="s">
        <v>69</v>
      </c>
      <c r="AZ3075" t="b">
        <v>1</v>
      </c>
    </row>
    <row r="3076" spans="1:52" x14ac:dyDescent="0.3">
      <c r="A3076" t="s">
        <v>52</v>
      </c>
      <c r="B3076" t="s">
        <v>53</v>
      </c>
      <c r="C3076" t="s">
        <v>54</v>
      </c>
      <c r="D3076" t="s">
        <v>55</v>
      </c>
      <c r="E3076" t="s">
        <v>2163</v>
      </c>
      <c r="F3076" t="s">
        <v>190</v>
      </c>
      <c r="G3076" t="s">
        <v>681</v>
      </c>
      <c r="H3076" t="s">
        <v>682</v>
      </c>
      <c r="I3076" t="s">
        <v>682</v>
      </c>
      <c r="J3076" t="s">
        <v>60</v>
      </c>
      <c r="K3076" t="s">
        <v>530</v>
      </c>
      <c r="L3076" t="s">
        <v>62</v>
      </c>
      <c r="M3076" t="s">
        <v>530</v>
      </c>
      <c r="N3076" t="s">
        <v>683</v>
      </c>
      <c r="O3076" t="s">
        <v>173</v>
      </c>
      <c r="P3076">
        <v>-20.138342999999999</v>
      </c>
      <c r="Q3076">
        <v>-44.887732</v>
      </c>
      <c r="R3076" s="2" t="str">
        <f>HYPERLINK("https://www.google.com/maps?q=-20.1383430,-44.8877320","Abrir no Google Maps")</f>
        <v>Abrir no Google Maps</v>
      </c>
      <c r="S3076">
        <v>3</v>
      </c>
      <c r="T3076">
        <v>0</v>
      </c>
      <c r="U3076">
        <v>4</v>
      </c>
      <c r="V3076">
        <v>0.58587516485328062</v>
      </c>
      <c r="W3076">
        <v>1</v>
      </c>
      <c r="X3076">
        <v>0.58587516485328062</v>
      </c>
      <c r="Y3076">
        <v>428</v>
      </c>
      <c r="Z3076">
        <v>82.685534812530861</v>
      </c>
      <c r="AA3076">
        <v>198</v>
      </c>
      <c r="AB3076">
        <v>332</v>
      </c>
      <c r="AC3076">
        <v>536</v>
      </c>
      <c r="AD3076">
        <v>26.35</v>
      </c>
      <c r="AE3076">
        <v>542</v>
      </c>
      <c r="AF3076">
        <v>15</v>
      </c>
      <c r="AG3076">
        <v>174</v>
      </c>
      <c r="AH3076">
        <v>129</v>
      </c>
      <c r="AI3076">
        <v>2.77</v>
      </c>
      <c r="AJ3076">
        <v>32.1</v>
      </c>
      <c r="AK3076">
        <v>23.8</v>
      </c>
      <c r="AL3076">
        <v>-20.138329099999961</v>
      </c>
      <c r="AM3076">
        <v>-44.887922589375549</v>
      </c>
      <c r="AN3076">
        <v>-20.138329099999961</v>
      </c>
      <c r="AO3076">
        <v>-44.887922589375549</v>
      </c>
      <c r="AP3076">
        <v>-20.138342999999999</v>
      </c>
      <c r="AQ3076">
        <v>-44.887732</v>
      </c>
      <c r="AR3076">
        <v>19.979335127307191</v>
      </c>
      <c r="AS3076" t="s">
        <v>65</v>
      </c>
      <c r="AT3076">
        <v>1</v>
      </c>
      <c r="AU3076" t="s">
        <v>684</v>
      </c>
      <c r="AV3076" t="s">
        <v>685</v>
      </c>
      <c r="AW3076" t="s">
        <v>60</v>
      </c>
      <c r="AX3076" t="s">
        <v>68</v>
      </c>
      <c r="AY3076" t="s">
        <v>69</v>
      </c>
      <c r="AZ3076" t="b">
        <v>1</v>
      </c>
    </row>
    <row r="3077" spans="1:52" x14ac:dyDescent="0.3">
      <c r="A3077" t="s">
        <v>52</v>
      </c>
      <c r="B3077" t="s">
        <v>53</v>
      </c>
      <c r="C3077" t="s">
        <v>54</v>
      </c>
      <c r="D3077" t="s">
        <v>55</v>
      </c>
      <c r="E3077" t="s">
        <v>2163</v>
      </c>
      <c r="F3077" t="s">
        <v>190</v>
      </c>
      <c r="G3077" t="s">
        <v>686</v>
      </c>
      <c r="H3077" t="s">
        <v>687</v>
      </c>
      <c r="I3077" t="s">
        <v>687</v>
      </c>
      <c r="J3077" t="s">
        <v>60</v>
      </c>
      <c r="K3077" t="s">
        <v>688</v>
      </c>
      <c r="L3077" t="s">
        <v>62</v>
      </c>
      <c r="M3077" t="s">
        <v>688</v>
      </c>
      <c r="N3077" t="s">
        <v>689</v>
      </c>
      <c r="O3077" t="s">
        <v>690</v>
      </c>
      <c r="P3077">
        <v>-20.136451999999998</v>
      </c>
      <c r="Q3077">
        <v>-44.891254000000004</v>
      </c>
      <c r="R3077" s="2" t="str">
        <f>HYPERLINK("https://www.google.com/maps?q=-20.1364520,-44.8912540","Abrir no Google Maps")</f>
        <v>Abrir no Google Maps</v>
      </c>
      <c r="S3077">
        <v>3</v>
      </c>
      <c r="T3077">
        <v>397.58661308638909</v>
      </c>
      <c r="U3077">
        <v>4</v>
      </c>
      <c r="V3077">
        <v>0.59585094854175846</v>
      </c>
      <c r="W3077">
        <v>1</v>
      </c>
      <c r="X3077">
        <v>0.59585094854175846</v>
      </c>
      <c r="Y3077">
        <v>428</v>
      </c>
      <c r="Z3077">
        <v>449.62002896840892</v>
      </c>
      <c r="AA3077">
        <v>198</v>
      </c>
      <c r="AB3077">
        <v>332</v>
      </c>
      <c r="AC3077">
        <v>536</v>
      </c>
      <c r="AD3077">
        <v>26.35</v>
      </c>
      <c r="AE3077">
        <v>542</v>
      </c>
      <c r="AF3077">
        <v>15</v>
      </c>
      <c r="AG3077">
        <v>174</v>
      </c>
      <c r="AH3077">
        <v>129</v>
      </c>
      <c r="AI3077">
        <v>2.77</v>
      </c>
      <c r="AJ3077">
        <v>32.1</v>
      </c>
      <c r="AK3077">
        <v>23.8</v>
      </c>
      <c r="AL3077">
        <v>-20.136400499999951</v>
      </c>
      <c r="AM3077">
        <v>-44.891173264034883</v>
      </c>
      <c r="AN3077">
        <v>-20.136400499999951</v>
      </c>
      <c r="AO3077">
        <v>-44.891173264034883</v>
      </c>
      <c r="AP3077">
        <v>-20.136451999999998</v>
      </c>
      <c r="AQ3077">
        <v>-44.891254000000004</v>
      </c>
      <c r="AR3077">
        <v>10.20146066113916</v>
      </c>
      <c r="AS3077" t="s">
        <v>65</v>
      </c>
      <c r="AT3077">
        <v>1</v>
      </c>
      <c r="AU3077" t="s">
        <v>691</v>
      </c>
      <c r="AV3077" t="s">
        <v>692</v>
      </c>
      <c r="AW3077" t="s">
        <v>60</v>
      </c>
      <c r="AX3077" t="s">
        <v>68</v>
      </c>
      <c r="AY3077" t="s">
        <v>69</v>
      </c>
      <c r="AZ3077" t="b">
        <v>1</v>
      </c>
    </row>
    <row r="3078" spans="1:52" x14ac:dyDescent="0.3">
      <c r="A3078" t="s">
        <v>52</v>
      </c>
      <c r="B3078" t="s">
        <v>53</v>
      </c>
      <c r="C3078" t="s">
        <v>54</v>
      </c>
      <c r="D3078" t="s">
        <v>55</v>
      </c>
      <c r="E3078" t="s">
        <v>2163</v>
      </c>
      <c r="F3078" t="s">
        <v>190</v>
      </c>
      <c r="G3078" t="s">
        <v>706</v>
      </c>
      <c r="H3078" t="s">
        <v>707</v>
      </c>
      <c r="I3078" t="s">
        <v>707</v>
      </c>
      <c r="J3078" t="s">
        <v>60</v>
      </c>
      <c r="K3078" t="s">
        <v>708</v>
      </c>
      <c r="L3078" t="s">
        <v>62</v>
      </c>
      <c r="M3078" t="s">
        <v>708</v>
      </c>
      <c r="N3078" t="s">
        <v>709</v>
      </c>
      <c r="O3078" t="s">
        <v>710</v>
      </c>
      <c r="P3078">
        <v>-20.127054999999999</v>
      </c>
      <c r="Q3078">
        <v>-44.872073</v>
      </c>
      <c r="R3078" s="2" t="str">
        <f>HYPERLINK("https://www.google.com/maps?q=-20.1270550,-44.8720730","Abrir no Google Maps")</f>
        <v>Abrir no Google Maps</v>
      </c>
      <c r="S3078">
        <v>3</v>
      </c>
      <c r="T3078">
        <v>395.91108553086929</v>
      </c>
      <c r="U3078">
        <v>4</v>
      </c>
      <c r="V3078">
        <v>0.40997710567538259</v>
      </c>
      <c r="W3078">
        <v>1</v>
      </c>
      <c r="X3078">
        <v>0.40997710567538259</v>
      </c>
      <c r="Y3078">
        <v>387</v>
      </c>
      <c r="Z3078">
        <v>518.31496622382247</v>
      </c>
      <c r="AA3078">
        <v>198</v>
      </c>
      <c r="AB3078">
        <v>332</v>
      </c>
      <c r="AC3078">
        <v>536</v>
      </c>
      <c r="AD3078">
        <v>26.35</v>
      </c>
      <c r="AE3078">
        <v>542</v>
      </c>
      <c r="AF3078">
        <v>15</v>
      </c>
      <c r="AG3078">
        <v>174</v>
      </c>
      <c r="AH3078">
        <v>129</v>
      </c>
      <c r="AI3078">
        <v>2.77</v>
      </c>
      <c r="AJ3078">
        <v>32.1</v>
      </c>
      <c r="AK3078">
        <v>23.8</v>
      </c>
      <c r="AL3078">
        <v>-20.126854749999978</v>
      </c>
      <c r="AM3078">
        <v>-44.871712455027861</v>
      </c>
      <c r="AN3078">
        <v>-20.126854749999978</v>
      </c>
      <c r="AO3078">
        <v>-44.871712455027861</v>
      </c>
      <c r="AP3078">
        <v>-20.127054999999999</v>
      </c>
      <c r="AQ3078">
        <v>-44.872073</v>
      </c>
      <c r="AR3078">
        <v>43.784435535392717</v>
      </c>
      <c r="AS3078" t="s">
        <v>65</v>
      </c>
      <c r="AT3078">
        <v>1</v>
      </c>
      <c r="AU3078" t="s">
        <v>711</v>
      </c>
      <c r="AV3078" t="s">
        <v>712</v>
      </c>
      <c r="AW3078" t="s">
        <v>60</v>
      </c>
      <c r="AX3078" t="s">
        <v>68</v>
      </c>
      <c r="AY3078" t="s">
        <v>69</v>
      </c>
      <c r="AZ3078" t="b">
        <v>1</v>
      </c>
    </row>
    <row r="3079" spans="1:52" x14ac:dyDescent="0.3">
      <c r="A3079" t="s">
        <v>52</v>
      </c>
      <c r="B3079" t="s">
        <v>53</v>
      </c>
      <c r="C3079" t="s">
        <v>54</v>
      </c>
      <c r="D3079" t="s">
        <v>55</v>
      </c>
      <c r="E3079" t="s">
        <v>2163</v>
      </c>
      <c r="F3079" t="s">
        <v>190</v>
      </c>
      <c r="G3079" t="s">
        <v>713</v>
      </c>
      <c r="H3079" t="s">
        <v>714</v>
      </c>
      <c r="I3079" t="s">
        <v>714</v>
      </c>
      <c r="J3079" t="s">
        <v>60</v>
      </c>
      <c r="K3079" t="s">
        <v>708</v>
      </c>
      <c r="L3079" t="s">
        <v>62</v>
      </c>
      <c r="M3079" t="s">
        <v>708</v>
      </c>
      <c r="N3079" t="s">
        <v>715</v>
      </c>
      <c r="O3079" t="s">
        <v>604</v>
      </c>
      <c r="P3079">
        <v>-20.133372000000001</v>
      </c>
      <c r="Q3079">
        <v>-44.878864</v>
      </c>
      <c r="R3079" s="2" t="str">
        <f>HYPERLINK("https://www.google.com/maps?q=-20.1333720,-44.8788640","Abrir no Google Maps")</f>
        <v>Abrir no Google Maps</v>
      </c>
      <c r="S3079">
        <v>3</v>
      </c>
      <c r="T3079">
        <v>719.22842848296966</v>
      </c>
      <c r="U3079">
        <v>4</v>
      </c>
      <c r="V3079">
        <v>0.45878126863778768</v>
      </c>
      <c r="W3079">
        <v>1</v>
      </c>
      <c r="X3079">
        <v>0.45878126863778768</v>
      </c>
      <c r="Y3079">
        <v>387</v>
      </c>
      <c r="Z3079">
        <v>630.8628365125652</v>
      </c>
      <c r="AA3079">
        <v>198</v>
      </c>
      <c r="AB3079">
        <v>332</v>
      </c>
      <c r="AC3079">
        <v>536</v>
      </c>
      <c r="AD3079">
        <v>26.35</v>
      </c>
      <c r="AE3079">
        <v>542</v>
      </c>
      <c r="AF3079">
        <v>15</v>
      </c>
      <c r="AG3079">
        <v>174</v>
      </c>
      <c r="AH3079">
        <v>129</v>
      </c>
      <c r="AI3079">
        <v>2.77</v>
      </c>
      <c r="AJ3079">
        <v>32.1</v>
      </c>
      <c r="AK3079">
        <v>23.8</v>
      </c>
      <c r="AL3079">
        <v>-20.133312349999951</v>
      </c>
      <c r="AM3079">
        <v>-44.879452111094892</v>
      </c>
      <c r="AN3079">
        <v>-20.133312349999951</v>
      </c>
      <c r="AO3079">
        <v>-44.879452111094892</v>
      </c>
      <c r="AP3079">
        <v>-20.133372000000001</v>
      </c>
      <c r="AQ3079">
        <v>-44.878864</v>
      </c>
      <c r="AR3079">
        <v>61.825649864116713</v>
      </c>
      <c r="AS3079" t="s">
        <v>65</v>
      </c>
      <c r="AT3079">
        <v>1</v>
      </c>
      <c r="AU3079" t="s">
        <v>716</v>
      </c>
      <c r="AV3079" t="s">
        <v>717</v>
      </c>
      <c r="AW3079" t="s">
        <v>60</v>
      </c>
      <c r="AX3079" t="s">
        <v>68</v>
      </c>
      <c r="AY3079" t="s">
        <v>69</v>
      </c>
      <c r="AZ3079" t="b">
        <v>1</v>
      </c>
    </row>
    <row r="3080" spans="1:52" x14ac:dyDescent="0.3">
      <c r="A3080" t="s">
        <v>52</v>
      </c>
      <c r="B3080" t="s">
        <v>53</v>
      </c>
      <c r="C3080" t="s">
        <v>54</v>
      </c>
      <c r="D3080" t="s">
        <v>55</v>
      </c>
      <c r="E3080" t="s">
        <v>2163</v>
      </c>
      <c r="F3080" t="s">
        <v>190</v>
      </c>
      <c r="G3080" t="s">
        <v>718</v>
      </c>
      <c r="H3080" t="s">
        <v>719</v>
      </c>
      <c r="I3080" t="s">
        <v>719</v>
      </c>
      <c r="J3080" t="s">
        <v>60</v>
      </c>
      <c r="K3080" t="s">
        <v>708</v>
      </c>
      <c r="L3080" t="s">
        <v>62</v>
      </c>
      <c r="M3080" t="s">
        <v>708</v>
      </c>
      <c r="N3080" t="s">
        <v>720</v>
      </c>
      <c r="O3080" t="s">
        <v>721</v>
      </c>
      <c r="P3080">
        <v>-20.130344000000001</v>
      </c>
      <c r="Q3080">
        <v>-44.878869000000002</v>
      </c>
      <c r="R3080" s="2" t="str">
        <f>HYPERLINK("https://www.google.com/maps?q=-20.1303440,-44.8788690","Abrir no Google Maps")</f>
        <v>Abrir no Google Maps</v>
      </c>
      <c r="S3080">
        <v>3</v>
      </c>
      <c r="T3080">
        <v>556.14753541089829</v>
      </c>
      <c r="U3080">
        <v>4</v>
      </c>
      <c r="V3080">
        <v>0.52531939605110334</v>
      </c>
      <c r="W3080">
        <v>1</v>
      </c>
      <c r="X3080">
        <v>0.52531939605110334</v>
      </c>
      <c r="Y3080">
        <v>387</v>
      </c>
      <c r="Z3080">
        <v>521.53850378132177</v>
      </c>
      <c r="AA3080">
        <v>198</v>
      </c>
      <c r="AB3080">
        <v>332</v>
      </c>
      <c r="AC3080">
        <v>536</v>
      </c>
      <c r="AD3080">
        <v>26.35</v>
      </c>
      <c r="AE3080">
        <v>542</v>
      </c>
      <c r="AF3080">
        <v>15</v>
      </c>
      <c r="AG3080">
        <v>174</v>
      </c>
      <c r="AH3080">
        <v>129</v>
      </c>
      <c r="AI3080">
        <v>2.77</v>
      </c>
      <c r="AJ3080">
        <v>32.1</v>
      </c>
      <c r="AK3080">
        <v>23.8</v>
      </c>
      <c r="AL3080">
        <v>-20.13050289999995</v>
      </c>
      <c r="AM3080">
        <v>-44.878831282856943</v>
      </c>
      <c r="AN3080">
        <v>-20.13050289999995</v>
      </c>
      <c r="AO3080">
        <v>-44.878831282856943</v>
      </c>
      <c r="AP3080">
        <v>-20.130344000000001</v>
      </c>
      <c r="AQ3080">
        <v>-44.878869000000002</v>
      </c>
      <c r="AR3080">
        <v>18.122709277240279</v>
      </c>
      <c r="AS3080" t="s">
        <v>65</v>
      </c>
      <c r="AT3080">
        <v>1</v>
      </c>
      <c r="AU3080" t="s">
        <v>722</v>
      </c>
      <c r="AV3080" t="s">
        <v>723</v>
      </c>
      <c r="AW3080" t="s">
        <v>60</v>
      </c>
      <c r="AX3080" t="s">
        <v>68</v>
      </c>
      <c r="AY3080" t="s">
        <v>69</v>
      </c>
      <c r="AZ3080" t="b">
        <v>1</v>
      </c>
    </row>
    <row r="3081" spans="1:52" x14ac:dyDescent="0.3">
      <c r="A3081" t="s">
        <v>52</v>
      </c>
      <c r="B3081" t="s">
        <v>53</v>
      </c>
      <c r="C3081" t="s">
        <v>54</v>
      </c>
      <c r="D3081" t="s">
        <v>55</v>
      </c>
      <c r="E3081" t="s">
        <v>2163</v>
      </c>
      <c r="F3081" t="s">
        <v>190</v>
      </c>
      <c r="G3081" t="s">
        <v>724</v>
      </c>
      <c r="H3081" t="s">
        <v>725</v>
      </c>
      <c r="I3081" t="s">
        <v>725</v>
      </c>
      <c r="J3081" t="s">
        <v>60</v>
      </c>
      <c r="K3081" t="s">
        <v>708</v>
      </c>
      <c r="L3081" t="s">
        <v>62</v>
      </c>
      <c r="M3081" t="s">
        <v>708</v>
      </c>
      <c r="N3081" t="s">
        <v>726</v>
      </c>
      <c r="O3081" t="s">
        <v>727</v>
      </c>
      <c r="P3081">
        <v>-20.131702000000001</v>
      </c>
      <c r="Q3081">
        <v>-44.873930999999999</v>
      </c>
      <c r="R3081" s="2" t="str">
        <f>HYPERLINK("https://www.google.com/maps?q=-20.1317020,-44.8739310","Abrir no Google Maps")</f>
        <v>Abrir no Google Maps</v>
      </c>
      <c r="S3081">
        <v>3</v>
      </c>
      <c r="T3081">
        <v>207.9085436463628</v>
      </c>
      <c r="U3081">
        <v>4</v>
      </c>
      <c r="V3081">
        <v>0.43548691739347811</v>
      </c>
      <c r="W3081">
        <v>1</v>
      </c>
      <c r="X3081">
        <v>0.43548691739347811</v>
      </c>
      <c r="Y3081">
        <v>387</v>
      </c>
      <c r="Z3081">
        <v>213.98086855276571</v>
      </c>
      <c r="AA3081">
        <v>198</v>
      </c>
      <c r="AB3081">
        <v>332</v>
      </c>
      <c r="AC3081">
        <v>536</v>
      </c>
      <c r="AD3081">
        <v>26.35</v>
      </c>
      <c r="AE3081">
        <v>542</v>
      </c>
      <c r="AF3081">
        <v>15</v>
      </c>
      <c r="AG3081">
        <v>174</v>
      </c>
      <c r="AH3081">
        <v>129</v>
      </c>
      <c r="AI3081">
        <v>2.77</v>
      </c>
      <c r="AJ3081">
        <v>32.1</v>
      </c>
      <c r="AK3081">
        <v>23.8</v>
      </c>
      <c r="AL3081">
        <v>-20.131807549999959</v>
      </c>
      <c r="AM3081">
        <v>-44.874039553784442</v>
      </c>
      <c r="AN3081">
        <v>-20.131807549999959</v>
      </c>
      <c r="AO3081">
        <v>-44.874039553784442</v>
      </c>
      <c r="AP3081">
        <v>-20.131702000000001</v>
      </c>
      <c r="AQ3081">
        <v>-44.873930999999999</v>
      </c>
      <c r="AR3081">
        <v>16.333643574998401</v>
      </c>
      <c r="AS3081" t="s">
        <v>65</v>
      </c>
      <c r="AT3081">
        <v>1</v>
      </c>
      <c r="AU3081" t="s">
        <v>728</v>
      </c>
      <c r="AV3081" t="s">
        <v>729</v>
      </c>
      <c r="AW3081" t="s">
        <v>60</v>
      </c>
      <c r="AX3081" t="s">
        <v>68</v>
      </c>
      <c r="AY3081" t="s">
        <v>69</v>
      </c>
      <c r="AZ3081" t="b">
        <v>1</v>
      </c>
    </row>
    <row r="3082" spans="1:52" x14ac:dyDescent="0.3">
      <c r="A3082" t="s">
        <v>52</v>
      </c>
      <c r="B3082" t="s">
        <v>53</v>
      </c>
      <c r="C3082" t="s">
        <v>54</v>
      </c>
      <c r="D3082" t="s">
        <v>55</v>
      </c>
      <c r="E3082" t="s">
        <v>2163</v>
      </c>
      <c r="F3082" t="s">
        <v>190</v>
      </c>
      <c r="G3082" t="s">
        <v>1054</v>
      </c>
      <c r="H3082" t="s">
        <v>1055</v>
      </c>
      <c r="I3082" t="s">
        <v>1055</v>
      </c>
      <c r="J3082" t="s">
        <v>60</v>
      </c>
      <c r="K3082" t="s">
        <v>708</v>
      </c>
      <c r="L3082" t="s">
        <v>62</v>
      </c>
      <c r="M3082" t="s">
        <v>708</v>
      </c>
      <c r="N3082" t="s">
        <v>1056</v>
      </c>
      <c r="O3082" t="s">
        <v>315</v>
      </c>
      <c r="P3082">
        <v>-20.130849000000001</v>
      </c>
      <c r="Q3082">
        <v>-44.870922999999998</v>
      </c>
      <c r="R3082" s="2" t="str">
        <f>HYPERLINK("https://www.google.com/maps?q=-20.1308490,-44.8709230","Abrir no Google Maps")</f>
        <v>Abrir no Google Maps</v>
      </c>
      <c r="S3082">
        <v>3</v>
      </c>
      <c r="T3082">
        <v>288.83865075380498</v>
      </c>
      <c r="U3082">
        <v>4</v>
      </c>
      <c r="V3082">
        <v>0.4915459681561376</v>
      </c>
      <c r="W3082">
        <v>0.85</v>
      </c>
      <c r="X3082">
        <v>0.41781407293271688</v>
      </c>
      <c r="Y3082">
        <v>387</v>
      </c>
      <c r="Z3082">
        <v>347.59283577270531</v>
      </c>
      <c r="AA3082">
        <v>198</v>
      </c>
      <c r="AB3082">
        <v>332</v>
      </c>
      <c r="AC3082">
        <v>536</v>
      </c>
      <c r="AD3082">
        <v>26.35</v>
      </c>
      <c r="AE3082">
        <v>542</v>
      </c>
      <c r="AF3082">
        <v>15</v>
      </c>
      <c r="AG3082">
        <v>174</v>
      </c>
      <c r="AH3082">
        <v>129</v>
      </c>
      <c r="AI3082">
        <v>2.77</v>
      </c>
      <c r="AJ3082">
        <v>32.1</v>
      </c>
      <c r="AK3082">
        <v>23.8</v>
      </c>
      <c r="AL3082">
        <v>-20.130950899999959</v>
      </c>
      <c r="AM3082">
        <v>-44.87096892838121</v>
      </c>
      <c r="AN3082">
        <v>-20.130950899999959</v>
      </c>
      <c r="AO3082">
        <v>-44.87096892838121</v>
      </c>
      <c r="AP3082">
        <v>-20.130849000000001</v>
      </c>
      <c r="AQ3082">
        <v>-44.870922999999998</v>
      </c>
      <c r="AR3082">
        <v>12.31742795843153</v>
      </c>
      <c r="AS3082" t="s">
        <v>65</v>
      </c>
      <c r="AT3082">
        <v>1</v>
      </c>
      <c r="AU3082" t="s">
        <v>1057</v>
      </c>
      <c r="AV3082" t="s">
        <v>1058</v>
      </c>
      <c r="AW3082" t="s">
        <v>60</v>
      </c>
      <c r="AX3082" t="s">
        <v>68</v>
      </c>
      <c r="AY3082" t="s">
        <v>69</v>
      </c>
      <c r="AZ3082" t="b">
        <v>1</v>
      </c>
    </row>
    <row r="3083" spans="1:52" x14ac:dyDescent="0.3">
      <c r="A3083" t="s">
        <v>52</v>
      </c>
      <c r="B3083" t="s">
        <v>53</v>
      </c>
      <c r="C3083" t="s">
        <v>54</v>
      </c>
      <c r="D3083" t="s">
        <v>55</v>
      </c>
      <c r="E3083" t="s">
        <v>2163</v>
      </c>
      <c r="F3083" t="s">
        <v>190</v>
      </c>
      <c r="G3083" t="s">
        <v>706</v>
      </c>
      <c r="H3083" t="s">
        <v>730</v>
      </c>
      <c r="I3083" t="s">
        <v>730</v>
      </c>
      <c r="J3083" t="s">
        <v>60</v>
      </c>
      <c r="K3083" t="s">
        <v>708</v>
      </c>
      <c r="L3083" t="s">
        <v>62</v>
      </c>
      <c r="M3083" t="s">
        <v>708</v>
      </c>
      <c r="N3083" t="s">
        <v>709</v>
      </c>
      <c r="O3083" t="s">
        <v>731</v>
      </c>
      <c r="P3083">
        <v>-20.130037999999999</v>
      </c>
      <c r="Q3083">
        <v>-44.873514</v>
      </c>
      <c r="R3083" s="2" t="str">
        <f>HYPERLINK("https://www.google.com/maps?q=-20.1300380,-44.8735140","Abrir no Google Maps")</f>
        <v>Abrir no Google Maps</v>
      </c>
      <c r="S3083">
        <v>3</v>
      </c>
      <c r="T3083">
        <v>0</v>
      </c>
      <c r="U3083">
        <v>4</v>
      </c>
      <c r="V3083">
        <v>0.48327575668996298</v>
      </c>
      <c r="W3083">
        <v>1</v>
      </c>
      <c r="X3083">
        <v>0.48327575668996298</v>
      </c>
      <c r="Y3083">
        <v>387</v>
      </c>
      <c r="Z3083">
        <v>108.0014931591698</v>
      </c>
      <c r="AA3083">
        <v>198</v>
      </c>
      <c r="AB3083">
        <v>332</v>
      </c>
      <c r="AC3083">
        <v>536</v>
      </c>
      <c r="AD3083">
        <v>26.35</v>
      </c>
      <c r="AE3083">
        <v>542</v>
      </c>
      <c r="AF3083">
        <v>15</v>
      </c>
      <c r="AG3083">
        <v>174</v>
      </c>
      <c r="AH3083">
        <v>129</v>
      </c>
      <c r="AI3083">
        <v>2.77</v>
      </c>
      <c r="AJ3083">
        <v>32.1</v>
      </c>
      <c r="AK3083">
        <v>23.8</v>
      </c>
      <c r="AL3083">
        <v>-20.12998944999995</v>
      </c>
      <c r="AM3083">
        <v>-44.873538114227337</v>
      </c>
      <c r="AN3083">
        <v>-20.12998944999995</v>
      </c>
      <c r="AO3083">
        <v>-44.873538114227337</v>
      </c>
      <c r="AP3083">
        <v>-20.130037999999999</v>
      </c>
      <c r="AQ3083">
        <v>-44.873514</v>
      </c>
      <c r="AR3083">
        <v>5.9633928268280867</v>
      </c>
      <c r="AS3083" t="s">
        <v>65</v>
      </c>
      <c r="AT3083">
        <v>1</v>
      </c>
      <c r="AU3083" t="s">
        <v>732</v>
      </c>
      <c r="AV3083" t="s">
        <v>733</v>
      </c>
      <c r="AW3083" t="s">
        <v>60</v>
      </c>
      <c r="AX3083" t="s">
        <v>68</v>
      </c>
      <c r="AY3083" t="s">
        <v>69</v>
      </c>
      <c r="AZ3083" t="b">
        <v>1</v>
      </c>
    </row>
    <row r="3084" spans="1:52" x14ac:dyDescent="0.3">
      <c r="A3084" t="s">
        <v>52</v>
      </c>
      <c r="B3084" t="s">
        <v>53</v>
      </c>
      <c r="C3084" t="s">
        <v>54</v>
      </c>
      <c r="D3084" t="s">
        <v>55</v>
      </c>
      <c r="E3084" t="s">
        <v>2163</v>
      </c>
      <c r="F3084" t="s">
        <v>190</v>
      </c>
      <c r="G3084" t="s">
        <v>741</v>
      </c>
      <c r="H3084" t="s">
        <v>742</v>
      </c>
      <c r="I3084" t="s">
        <v>742</v>
      </c>
      <c r="J3084" t="s">
        <v>60</v>
      </c>
      <c r="K3084" t="s">
        <v>688</v>
      </c>
      <c r="L3084" t="s">
        <v>62</v>
      </c>
      <c r="M3084" t="s">
        <v>688</v>
      </c>
      <c r="N3084" t="s">
        <v>743</v>
      </c>
      <c r="O3084" t="s">
        <v>744</v>
      </c>
      <c r="P3084">
        <v>-20.136733</v>
      </c>
      <c r="Q3084">
        <v>-44.888140999999997</v>
      </c>
      <c r="R3084" s="2" t="str">
        <f>HYPERLINK("https://www.google.com/maps?q=-20.1367330,-44.8881410","Abrir no Google Maps")</f>
        <v>Abrir no Google Maps</v>
      </c>
      <c r="S3084">
        <v>3</v>
      </c>
      <c r="T3084">
        <v>175.84339996559589</v>
      </c>
      <c r="U3084">
        <v>4</v>
      </c>
      <c r="V3084">
        <v>0.54276533342681199</v>
      </c>
      <c r="W3084">
        <v>1</v>
      </c>
      <c r="X3084">
        <v>0.54276533342681199</v>
      </c>
      <c r="Y3084">
        <v>350</v>
      </c>
      <c r="Z3084">
        <v>171.90575296051961</v>
      </c>
      <c r="AA3084">
        <v>198</v>
      </c>
      <c r="AB3084">
        <v>332</v>
      </c>
      <c r="AC3084">
        <v>536</v>
      </c>
      <c r="AD3084">
        <v>26.35</v>
      </c>
      <c r="AE3084">
        <v>542</v>
      </c>
      <c r="AF3084">
        <v>15</v>
      </c>
      <c r="AG3084">
        <v>174</v>
      </c>
      <c r="AH3084">
        <v>129</v>
      </c>
      <c r="AI3084">
        <v>2.77</v>
      </c>
      <c r="AJ3084">
        <v>32.1</v>
      </c>
      <c r="AK3084">
        <v>23.8</v>
      </c>
      <c r="AL3084">
        <v>-20.136726099999979</v>
      </c>
      <c r="AM3084">
        <v>-44.888062077766982</v>
      </c>
      <c r="AN3084">
        <v>-20.136726099999979</v>
      </c>
      <c r="AO3084">
        <v>-44.888062077766982</v>
      </c>
      <c r="AP3084">
        <v>-20.136733</v>
      </c>
      <c r="AQ3084">
        <v>-44.888140999999997</v>
      </c>
      <c r="AR3084">
        <v>8.2842769013797852</v>
      </c>
      <c r="AS3084" t="s">
        <v>65</v>
      </c>
      <c r="AT3084">
        <v>1</v>
      </c>
      <c r="AU3084" t="s">
        <v>745</v>
      </c>
      <c r="AV3084" t="s">
        <v>746</v>
      </c>
      <c r="AW3084" t="s">
        <v>60</v>
      </c>
      <c r="AX3084" t="s">
        <v>68</v>
      </c>
      <c r="AY3084" t="s">
        <v>69</v>
      </c>
      <c r="AZ3084" t="b">
        <v>1</v>
      </c>
    </row>
    <row r="3085" spans="1:52" x14ac:dyDescent="0.3">
      <c r="A3085" t="s">
        <v>52</v>
      </c>
      <c r="B3085" t="s">
        <v>53</v>
      </c>
      <c r="C3085" t="s">
        <v>54</v>
      </c>
      <c r="D3085" t="s">
        <v>55</v>
      </c>
      <c r="E3085" t="s">
        <v>2163</v>
      </c>
      <c r="F3085" t="s">
        <v>190</v>
      </c>
      <c r="G3085" t="s">
        <v>1009</v>
      </c>
      <c r="H3085" t="s">
        <v>1073</v>
      </c>
      <c r="I3085" t="s">
        <v>1073</v>
      </c>
      <c r="J3085" t="s">
        <v>60</v>
      </c>
      <c r="K3085" t="s">
        <v>805</v>
      </c>
      <c r="L3085" t="s">
        <v>62</v>
      </c>
      <c r="M3085" t="s">
        <v>805</v>
      </c>
      <c r="N3085" t="s">
        <v>1011</v>
      </c>
      <c r="O3085" t="s">
        <v>1074</v>
      </c>
      <c r="P3085">
        <v>-20.137049000000001</v>
      </c>
      <c r="Q3085">
        <v>-44.885832000000001</v>
      </c>
      <c r="R3085" s="2" t="str">
        <f>HYPERLINK("https://www.google.com/maps?q=-20.1370490,-44.8858320","Abrir no Google Maps")</f>
        <v>Abrir no Google Maps</v>
      </c>
      <c r="S3085">
        <v>3</v>
      </c>
      <c r="T3085">
        <v>255.2207994789398</v>
      </c>
      <c r="U3085">
        <v>4</v>
      </c>
      <c r="V3085">
        <v>0.57452300785634125</v>
      </c>
      <c r="W3085">
        <v>0.85</v>
      </c>
      <c r="X3085">
        <v>0.48834455667789012</v>
      </c>
      <c r="Y3085">
        <v>350</v>
      </c>
      <c r="Z3085">
        <v>122.85075315998721</v>
      </c>
      <c r="AA3085">
        <v>198</v>
      </c>
      <c r="AB3085">
        <v>332</v>
      </c>
      <c r="AC3085">
        <v>536</v>
      </c>
      <c r="AD3085">
        <v>26.35</v>
      </c>
      <c r="AE3085">
        <v>542</v>
      </c>
      <c r="AF3085">
        <v>15</v>
      </c>
      <c r="AG3085">
        <v>174</v>
      </c>
      <c r="AH3085">
        <v>129</v>
      </c>
      <c r="AI3085">
        <v>2.77</v>
      </c>
      <c r="AJ3085">
        <v>32.1</v>
      </c>
      <c r="AK3085">
        <v>23.8</v>
      </c>
      <c r="AL3085">
        <v>-20.136876799999978</v>
      </c>
      <c r="AM3085">
        <v>-44.885908665033703</v>
      </c>
      <c r="AN3085">
        <v>-20.136876799999989</v>
      </c>
      <c r="AO3085">
        <v>-44.885908665033703</v>
      </c>
      <c r="AP3085">
        <v>-20.137049000000001</v>
      </c>
      <c r="AQ3085">
        <v>-44.885832000000001</v>
      </c>
      <c r="AR3085">
        <v>20.776552041735069</v>
      </c>
      <c r="AS3085" t="s">
        <v>65</v>
      </c>
      <c r="AT3085">
        <v>1</v>
      </c>
      <c r="AU3085" t="s">
        <v>1075</v>
      </c>
      <c r="AV3085" t="s">
        <v>1076</v>
      </c>
      <c r="AW3085" t="s">
        <v>60</v>
      </c>
      <c r="AX3085" t="s">
        <v>68</v>
      </c>
      <c r="AY3085" t="s">
        <v>69</v>
      </c>
      <c r="AZ3085" t="b">
        <v>1</v>
      </c>
    </row>
    <row r="3086" spans="1:52" x14ac:dyDescent="0.3">
      <c r="A3086" t="s">
        <v>52</v>
      </c>
      <c r="B3086" t="s">
        <v>53</v>
      </c>
      <c r="C3086" t="s">
        <v>54</v>
      </c>
      <c r="D3086" t="s">
        <v>55</v>
      </c>
      <c r="E3086" t="s">
        <v>2163</v>
      </c>
      <c r="F3086" t="s">
        <v>190</v>
      </c>
      <c r="G3086" t="s">
        <v>747</v>
      </c>
      <c r="H3086" t="s">
        <v>748</v>
      </c>
      <c r="I3086" t="s">
        <v>748</v>
      </c>
      <c r="J3086" t="s">
        <v>60</v>
      </c>
      <c r="K3086" t="s">
        <v>505</v>
      </c>
      <c r="L3086" t="s">
        <v>62</v>
      </c>
      <c r="M3086" t="s">
        <v>505</v>
      </c>
      <c r="N3086" t="s">
        <v>749</v>
      </c>
      <c r="O3086" t="s">
        <v>750</v>
      </c>
      <c r="P3086">
        <v>-20.135107000000001</v>
      </c>
      <c r="Q3086">
        <v>-44.887521</v>
      </c>
      <c r="R3086" s="2" t="str">
        <f>HYPERLINK("https://www.google.com/maps?q=-20.1351070,-44.8875210","Abrir no Google Maps")</f>
        <v>Abrir no Google Maps</v>
      </c>
      <c r="S3086">
        <v>3</v>
      </c>
      <c r="T3086">
        <v>0</v>
      </c>
      <c r="U3086">
        <v>4</v>
      </c>
      <c r="V3086">
        <v>0.46150555763706758</v>
      </c>
      <c r="W3086">
        <v>1</v>
      </c>
      <c r="X3086">
        <v>0.46150555763706758</v>
      </c>
      <c r="Y3086">
        <v>350</v>
      </c>
      <c r="Z3086">
        <v>162.3716242776689</v>
      </c>
      <c r="AA3086">
        <v>198</v>
      </c>
      <c r="AB3086">
        <v>332</v>
      </c>
      <c r="AC3086">
        <v>536</v>
      </c>
      <c r="AD3086">
        <v>26.35</v>
      </c>
      <c r="AE3086">
        <v>542</v>
      </c>
      <c r="AF3086">
        <v>15</v>
      </c>
      <c r="AG3086">
        <v>174</v>
      </c>
      <c r="AH3086">
        <v>129</v>
      </c>
      <c r="AI3086">
        <v>2.77</v>
      </c>
      <c r="AJ3086">
        <v>32.1</v>
      </c>
      <c r="AK3086">
        <v>23.8</v>
      </c>
      <c r="AL3086">
        <v>-20.13520169999995</v>
      </c>
      <c r="AM3086">
        <v>-44.887587176802917</v>
      </c>
      <c r="AN3086">
        <v>-20.13520169999995</v>
      </c>
      <c r="AO3086">
        <v>-44.887587176802931</v>
      </c>
      <c r="AP3086">
        <v>-20.135107000000001</v>
      </c>
      <c r="AQ3086">
        <v>-44.887521</v>
      </c>
      <c r="AR3086">
        <v>12.608438103029821</v>
      </c>
      <c r="AS3086" t="s">
        <v>65</v>
      </c>
      <c r="AT3086">
        <v>1</v>
      </c>
      <c r="AU3086" t="s">
        <v>751</v>
      </c>
      <c r="AV3086" t="s">
        <v>752</v>
      </c>
      <c r="AW3086" t="s">
        <v>60</v>
      </c>
      <c r="AX3086" t="s">
        <v>68</v>
      </c>
      <c r="AY3086" t="s">
        <v>69</v>
      </c>
      <c r="AZ3086" t="b">
        <v>1</v>
      </c>
    </row>
    <row r="3087" spans="1:52" x14ac:dyDescent="0.3">
      <c r="A3087" t="s">
        <v>52</v>
      </c>
      <c r="B3087" t="s">
        <v>53</v>
      </c>
      <c r="C3087" t="s">
        <v>54</v>
      </c>
      <c r="D3087" t="s">
        <v>55</v>
      </c>
      <c r="E3087" t="s">
        <v>2163</v>
      </c>
      <c r="F3087" t="s">
        <v>190</v>
      </c>
      <c r="G3087" t="s">
        <v>753</v>
      </c>
      <c r="H3087" t="s">
        <v>754</v>
      </c>
      <c r="I3087" t="s">
        <v>754</v>
      </c>
      <c r="J3087" t="s">
        <v>60</v>
      </c>
      <c r="K3087" t="s">
        <v>688</v>
      </c>
      <c r="L3087" t="s">
        <v>62</v>
      </c>
      <c r="M3087" t="s">
        <v>688</v>
      </c>
      <c r="N3087" t="s">
        <v>755</v>
      </c>
      <c r="O3087" t="s">
        <v>756</v>
      </c>
      <c r="P3087">
        <v>-20.135238000000001</v>
      </c>
      <c r="Q3087">
        <v>-44.890405999999999</v>
      </c>
      <c r="R3087" s="2" t="str">
        <f>HYPERLINK("https://www.google.com/maps?q=-20.1352380,-44.8904060","Abrir no Google Maps")</f>
        <v>Abrir no Google Maps</v>
      </c>
      <c r="S3087">
        <v>3</v>
      </c>
      <c r="T3087">
        <v>314.49904475975598</v>
      </c>
      <c r="U3087">
        <v>4</v>
      </c>
      <c r="V3087">
        <v>0.48532767781202008</v>
      </c>
      <c r="W3087">
        <v>1</v>
      </c>
      <c r="X3087">
        <v>0.48532767781202008</v>
      </c>
      <c r="Y3087">
        <v>350</v>
      </c>
      <c r="Z3087">
        <v>443.96798796176353</v>
      </c>
      <c r="AA3087">
        <v>198</v>
      </c>
      <c r="AB3087">
        <v>332</v>
      </c>
      <c r="AC3087">
        <v>536</v>
      </c>
      <c r="AD3087">
        <v>26.35</v>
      </c>
      <c r="AE3087">
        <v>542</v>
      </c>
      <c r="AF3087">
        <v>15</v>
      </c>
      <c r="AG3087">
        <v>174</v>
      </c>
      <c r="AH3087">
        <v>129</v>
      </c>
      <c r="AI3087">
        <v>2.77</v>
      </c>
      <c r="AJ3087">
        <v>32.1</v>
      </c>
      <c r="AK3087">
        <v>23.8</v>
      </c>
      <c r="AL3087">
        <v>-20.134851099999931</v>
      </c>
      <c r="AM3087">
        <v>-44.890573293408117</v>
      </c>
      <c r="AN3087">
        <v>-20.134851099999931</v>
      </c>
      <c r="AO3087">
        <v>-44.890573293408131</v>
      </c>
      <c r="AP3087">
        <v>-20.135238000000001</v>
      </c>
      <c r="AQ3087">
        <v>-44.890405999999999</v>
      </c>
      <c r="AR3087">
        <v>46.483580940434933</v>
      </c>
      <c r="AS3087" t="s">
        <v>65</v>
      </c>
      <c r="AT3087">
        <v>1</v>
      </c>
      <c r="AU3087" t="s">
        <v>757</v>
      </c>
      <c r="AV3087" t="s">
        <v>758</v>
      </c>
      <c r="AW3087" t="s">
        <v>60</v>
      </c>
      <c r="AX3087" t="s">
        <v>68</v>
      </c>
      <c r="AY3087" t="s">
        <v>69</v>
      </c>
      <c r="AZ3087" t="b">
        <v>1</v>
      </c>
    </row>
    <row r="3088" spans="1:52" x14ac:dyDescent="0.3">
      <c r="A3088" t="s">
        <v>52</v>
      </c>
      <c r="B3088" t="s">
        <v>53</v>
      </c>
      <c r="C3088" t="s">
        <v>54</v>
      </c>
      <c r="D3088" t="s">
        <v>55</v>
      </c>
      <c r="E3088" t="s">
        <v>2163</v>
      </c>
      <c r="F3088" t="s">
        <v>190</v>
      </c>
      <c r="G3088" t="s">
        <v>766</v>
      </c>
      <c r="H3088" t="s">
        <v>767</v>
      </c>
      <c r="I3088" t="s">
        <v>767</v>
      </c>
      <c r="J3088" t="s">
        <v>60</v>
      </c>
      <c r="K3088" t="s">
        <v>768</v>
      </c>
      <c r="L3088" t="s">
        <v>62</v>
      </c>
      <c r="M3088" t="s">
        <v>768</v>
      </c>
      <c r="N3088" t="s">
        <v>769</v>
      </c>
      <c r="O3088" t="s">
        <v>770</v>
      </c>
      <c r="P3088">
        <v>-20.135211000000002</v>
      </c>
      <c r="Q3088">
        <v>-44.875359000000003</v>
      </c>
      <c r="R3088" s="2" t="str">
        <f>HYPERLINK("https://www.google.com/maps?q=-20.1352110,-44.8753590","Abrir no Google Maps")</f>
        <v>Abrir no Google Maps</v>
      </c>
      <c r="S3088">
        <v>3</v>
      </c>
      <c r="T3088">
        <v>383.44405482521267</v>
      </c>
      <c r="U3088">
        <v>4</v>
      </c>
      <c r="V3088">
        <v>0.453954334208931</v>
      </c>
      <c r="W3088">
        <v>1</v>
      </c>
      <c r="X3088">
        <v>0.453954334208931</v>
      </c>
      <c r="Y3088">
        <v>332</v>
      </c>
      <c r="Z3088">
        <v>219.0766044611764</v>
      </c>
      <c r="AA3088">
        <v>198</v>
      </c>
      <c r="AB3088">
        <v>332</v>
      </c>
      <c r="AC3088">
        <v>536</v>
      </c>
      <c r="AD3088">
        <v>26.35</v>
      </c>
      <c r="AE3088">
        <v>542</v>
      </c>
      <c r="AF3088">
        <v>15</v>
      </c>
      <c r="AG3088">
        <v>174</v>
      </c>
      <c r="AH3088">
        <v>129</v>
      </c>
      <c r="AI3088">
        <v>2.77</v>
      </c>
      <c r="AJ3088">
        <v>32.1</v>
      </c>
      <c r="AK3088">
        <v>23.8</v>
      </c>
      <c r="AL3088">
        <v>-20.135125549999941</v>
      </c>
      <c r="AM3088">
        <v>-44.875534947489427</v>
      </c>
      <c r="AN3088">
        <v>-20.135125549999941</v>
      </c>
      <c r="AO3088">
        <v>-44.875534947489427</v>
      </c>
      <c r="AP3088">
        <v>-20.135211000000002</v>
      </c>
      <c r="AQ3088">
        <v>-44.875359000000003</v>
      </c>
      <c r="AR3088">
        <v>20.703969313709418</v>
      </c>
      <c r="AS3088" t="s">
        <v>65</v>
      </c>
      <c r="AT3088">
        <v>1</v>
      </c>
      <c r="AU3088" t="s">
        <v>771</v>
      </c>
      <c r="AV3088" t="s">
        <v>772</v>
      </c>
      <c r="AW3088" t="s">
        <v>60</v>
      </c>
      <c r="AX3088" t="s">
        <v>68</v>
      </c>
      <c r="AY3088" t="s">
        <v>69</v>
      </c>
      <c r="AZ3088" t="b">
        <v>1</v>
      </c>
    </row>
    <row r="3089" spans="1:52" x14ac:dyDescent="0.3">
      <c r="A3089" t="s">
        <v>52</v>
      </c>
      <c r="B3089" t="s">
        <v>53</v>
      </c>
      <c r="C3089" t="s">
        <v>54</v>
      </c>
      <c r="D3089" t="s">
        <v>55</v>
      </c>
      <c r="E3089" t="s">
        <v>2163</v>
      </c>
      <c r="F3089" t="s">
        <v>190</v>
      </c>
      <c r="G3089" t="s">
        <v>1099</v>
      </c>
      <c r="H3089" t="s">
        <v>1100</v>
      </c>
      <c r="I3089" t="s">
        <v>1100</v>
      </c>
      <c r="J3089" t="s">
        <v>60</v>
      </c>
      <c r="K3089" t="s">
        <v>781</v>
      </c>
      <c r="L3089" t="s">
        <v>62</v>
      </c>
      <c r="M3089" t="s">
        <v>781</v>
      </c>
      <c r="N3089" t="s">
        <v>1101</v>
      </c>
      <c r="O3089" t="s">
        <v>235</v>
      </c>
      <c r="P3089">
        <v>-20.136811999999999</v>
      </c>
      <c r="Q3089">
        <v>-44.872388000000001</v>
      </c>
      <c r="R3089" s="2" t="str">
        <f>HYPERLINK("https://www.google.com/maps?q=-20.1368120,-44.8723880","Abrir no Google Maps")</f>
        <v>Abrir no Google Maps</v>
      </c>
      <c r="S3089">
        <v>3</v>
      </c>
      <c r="T3089">
        <v>0</v>
      </c>
      <c r="U3089">
        <v>4</v>
      </c>
      <c r="V3089">
        <v>0.39801373160041548</v>
      </c>
      <c r="W3089">
        <v>1</v>
      </c>
      <c r="X3089">
        <v>0.39801373160041548</v>
      </c>
      <c r="Y3089">
        <v>332</v>
      </c>
      <c r="Z3089">
        <v>121.0319884418894</v>
      </c>
      <c r="AA3089">
        <v>198</v>
      </c>
      <c r="AB3089">
        <v>332</v>
      </c>
      <c r="AC3089">
        <v>536</v>
      </c>
      <c r="AD3089">
        <v>26.35</v>
      </c>
      <c r="AE3089">
        <v>542</v>
      </c>
      <c r="AF3089">
        <v>15</v>
      </c>
      <c r="AG3089">
        <v>174</v>
      </c>
      <c r="AH3089">
        <v>129</v>
      </c>
      <c r="AI3089">
        <v>2.77</v>
      </c>
      <c r="AJ3089">
        <v>32.1</v>
      </c>
      <c r="AK3089">
        <v>23.8</v>
      </c>
      <c r="AL3089">
        <v>-20.136943099999939</v>
      </c>
      <c r="AM3089">
        <v>-44.872411407897907</v>
      </c>
      <c r="AN3089">
        <v>-20.136943099999939</v>
      </c>
      <c r="AO3089">
        <v>-44.872411407897907</v>
      </c>
      <c r="AP3089">
        <v>-20.136811999999999</v>
      </c>
      <c r="AQ3089">
        <v>-44.872388000000001</v>
      </c>
      <c r="AR3089">
        <v>14.79769012694347</v>
      </c>
      <c r="AS3089" t="s">
        <v>65</v>
      </c>
      <c r="AT3089">
        <v>1</v>
      </c>
      <c r="AU3089" t="s">
        <v>1102</v>
      </c>
      <c r="AV3089" t="s">
        <v>1103</v>
      </c>
      <c r="AW3089" t="s">
        <v>60</v>
      </c>
      <c r="AX3089" t="s">
        <v>68</v>
      </c>
      <c r="AY3089" t="s">
        <v>69</v>
      </c>
      <c r="AZ3089" t="b">
        <v>1</v>
      </c>
    </row>
    <row r="3090" spans="1:52" x14ac:dyDescent="0.3">
      <c r="A3090" t="s">
        <v>52</v>
      </c>
      <c r="B3090" t="s">
        <v>53</v>
      </c>
      <c r="C3090" t="s">
        <v>54</v>
      </c>
      <c r="D3090" t="s">
        <v>55</v>
      </c>
      <c r="E3090" t="s">
        <v>2163</v>
      </c>
      <c r="F3090" t="s">
        <v>190</v>
      </c>
      <c r="G3090" t="s">
        <v>1115</v>
      </c>
      <c r="H3090" t="s">
        <v>1116</v>
      </c>
      <c r="I3090" t="s">
        <v>1116</v>
      </c>
      <c r="J3090" t="s">
        <v>60</v>
      </c>
      <c r="K3090" t="s">
        <v>1117</v>
      </c>
      <c r="L3090" t="s">
        <v>62</v>
      </c>
      <c r="M3090" t="s">
        <v>1117</v>
      </c>
      <c r="N3090" t="s">
        <v>1118</v>
      </c>
      <c r="O3090" t="s">
        <v>74</v>
      </c>
      <c r="P3090">
        <v>-20.171123000000001</v>
      </c>
      <c r="Q3090">
        <v>-44.944929999999999</v>
      </c>
      <c r="R3090" s="2" t="str">
        <f>HYPERLINK("https://www.google.com/maps?q=-20.1711230,-44.9449300","Abrir no Google Maps")</f>
        <v>Abrir no Google Maps</v>
      </c>
      <c r="S3090">
        <v>3</v>
      </c>
      <c r="T3090">
        <v>2450.5355520785151</v>
      </c>
      <c r="U3090">
        <v>4</v>
      </c>
      <c r="V3090">
        <v>0.52428571428571424</v>
      </c>
      <c r="W3090">
        <v>0.85</v>
      </c>
      <c r="X3090">
        <v>0.44564285714285712</v>
      </c>
      <c r="Y3090">
        <v>331</v>
      </c>
      <c r="Z3090">
        <v>2306.317072968428</v>
      </c>
      <c r="AA3090">
        <v>198</v>
      </c>
      <c r="AB3090">
        <v>332</v>
      </c>
      <c r="AC3090">
        <v>536</v>
      </c>
      <c r="AD3090">
        <v>26.35</v>
      </c>
      <c r="AE3090">
        <v>542</v>
      </c>
      <c r="AF3090">
        <v>15</v>
      </c>
      <c r="AG3090">
        <v>174</v>
      </c>
      <c r="AH3090">
        <v>129</v>
      </c>
      <c r="AI3090">
        <v>2.77</v>
      </c>
      <c r="AJ3090">
        <v>32.1</v>
      </c>
      <c r="AK3090">
        <v>23.8</v>
      </c>
      <c r="AL3090">
        <v>-20.170858699999972</v>
      </c>
      <c r="AM3090">
        <v>-44.945018498005382</v>
      </c>
      <c r="AN3090">
        <v>-20.170858699999972</v>
      </c>
      <c r="AO3090">
        <v>-44.945018498005382</v>
      </c>
      <c r="AP3090">
        <v>-20.171123000000001</v>
      </c>
      <c r="AQ3090">
        <v>-44.944929999999999</v>
      </c>
      <c r="AR3090">
        <v>30.840896798881371</v>
      </c>
      <c r="AS3090" t="s">
        <v>65</v>
      </c>
      <c r="AT3090">
        <v>1</v>
      </c>
      <c r="AU3090" t="s">
        <v>1119</v>
      </c>
      <c r="AV3090" t="s">
        <v>1120</v>
      </c>
      <c r="AW3090" t="s">
        <v>60</v>
      </c>
      <c r="AX3090" t="s">
        <v>68</v>
      </c>
      <c r="AY3090" t="s">
        <v>69</v>
      </c>
      <c r="AZ3090" t="b">
        <v>1</v>
      </c>
    </row>
    <row r="3091" spans="1:52" x14ac:dyDescent="0.3">
      <c r="A3091" t="s">
        <v>52</v>
      </c>
      <c r="B3091" t="s">
        <v>53</v>
      </c>
      <c r="C3091" t="s">
        <v>54</v>
      </c>
      <c r="D3091" t="s">
        <v>55</v>
      </c>
      <c r="E3091" t="s">
        <v>2163</v>
      </c>
      <c r="F3091" t="s">
        <v>190</v>
      </c>
      <c r="G3091" t="s">
        <v>803</v>
      </c>
      <c r="H3091" t="s">
        <v>804</v>
      </c>
      <c r="I3091" t="s">
        <v>804</v>
      </c>
      <c r="J3091" t="s">
        <v>60</v>
      </c>
      <c r="K3091" t="s">
        <v>805</v>
      </c>
      <c r="L3091" t="s">
        <v>62</v>
      </c>
      <c r="M3091" t="s">
        <v>805</v>
      </c>
      <c r="N3091" t="s">
        <v>806</v>
      </c>
      <c r="O3091" t="s">
        <v>807</v>
      </c>
      <c r="P3091">
        <v>-20.133293999999999</v>
      </c>
      <c r="Q3091">
        <v>-44.886302000000001</v>
      </c>
      <c r="R3091" s="2" t="str">
        <f>HYPERLINK("https://www.google.com/maps?q=-20.1332940,-44.8863020","Abrir no Google Maps")</f>
        <v>Abrir no Google Maps</v>
      </c>
      <c r="S3091">
        <v>3</v>
      </c>
      <c r="T3091">
        <v>0</v>
      </c>
      <c r="U3091">
        <v>4</v>
      </c>
      <c r="V3091">
        <v>0.44197503671071958</v>
      </c>
      <c r="W3091">
        <v>1</v>
      </c>
      <c r="X3091">
        <v>0.44197503671071958</v>
      </c>
      <c r="Y3091">
        <v>259</v>
      </c>
      <c r="Z3091">
        <v>76.358812960729097</v>
      </c>
      <c r="AA3091">
        <v>198</v>
      </c>
      <c r="AB3091">
        <v>332</v>
      </c>
      <c r="AC3091">
        <v>536</v>
      </c>
      <c r="AD3091">
        <v>26.35</v>
      </c>
      <c r="AE3091">
        <v>542</v>
      </c>
      <c r="AF3091">
        <v>15</v>
      </c>
      <c r="AG3091">
        <v>174</v>
      </c>
      <c r="AH3091">
        <v>129</v>
      </c>
      <c r="AI3091">
        <v>2.77</v>
      </c>
      <c r="AJ3091">
        <v>32.1</v>
      </c>
      <c r="AK3091">
        <v>23.8</v>
      </c>
      <c r="AL3091">
        <v>-20.133281749999949</v>
      </c>
      <c r="AM3091">
        <v>-44.886395047959027</v>
      </c>
      <c r="AN3091">
        <v>-20.133281749999949</v>
      </c>
      <c r="AO3091">
        <v>-44.886395047959027</v>
      </c>
      <c r="AP3091">
        <v>-20.133293999999999</v>
      </c>
      <c r="AQ3091">
        <v>-44.886302000000001</v>
      </c>
      <c r="AR3091">
        <v>9.8203037443031231</v>
      </c>
      <c r="AS3091" t="s">
        <v>65</v>
      </c>
      <c r="AT3091">
        <v>1</v>
      </c>
      <c r="AU3091" t="s">
        <v>808</v>
      </c>
      <c r="AV3091" t="s">
        <v>809</v>
      </c>
      <c r="AW3091" t="s">
        <v>60</v>
      </c>
      <c r="AX3091" t="s">
        <v>68</v>
      </c>
      <c r="AY3091" t="s">
        <v>69</v>
      </c>
      <c r="AZ3091" t="b">
        <v>1</v>
      </c>
    </row>
    <row r="3092" spans="1:52" x14ac:dyDescent="0.3">
      <c r="A3092" t="s">
        <v>52</v>
      </c>
      <c r="B3092" t="s">
        <v>53</v>
      </c>
      <c r="C3092" t="s">
        <v>54</v>
      </c>
      <c r="D3092" t="s">
        <v>55</v>
      </c>
      <c r="E3092" t="s">
        <v>2163</v>
      </c>
      <c r="F3092" t="s">
        <v>190</v>
      </c>
      <c r="G3092" t="s">
        <v>1182</v>
      </c>
      <c r="H3092" t="s">
        <v>1183</v>
      </c>
      <c r="I3092" t="s">
        <v>1183</v>
      </c>
      <c r="J3092" t="s">
        <v>60</v>
      </c>
      <c r="K3092" t="s">
        <v>207</v>
      </c>
      <c r="L3092" t="s">
        <v>62</v>
      </c>
      <c r="M3092" t="s">
        <v>207</v>
      </c>
      <c r="N3092" t="s">
        <v>1184</v>
      </c>
      <c r="O3092" t="s">
        <v>257</v>
      </c>
      <c r="P3092">
        <v>-20.126885000000001</v>
      </c>
      <c r="Q3092">
        <v>-44.884162000000003</v>
      </c>
      <c r="R3092" s="2" t="str">
        <f>HYPERLINK("https://www.google.com/maps?q=-20.1268850,-44.8841620","Abrir no Google Maps")</f>
        <v>Abrir no Google Maps</v>
      </c>
      <c r="S3092">
        <v>3</v>
      </c>
      <c r="T3092">
        <v>514.13587937491741</v>
      </c>
      <c r="U3092">
        <v>4</v>
      </c>
      <c r="V3092">
        <v>0.53322521991252647</v>
      </c>
      <c r="W3092">
        <v>0.85</v>
      </c>
      <c r="X3092">
        <v>0.4532414369256475</v>
      </c>
      <c r="Y3092">
        <v>259</v>
      </c>
      <c r="Z3092">
        <v>611.64962394743804</v>
      </c>
      <c r="AA3092">
        <v>198</v>
      </c>
      <c r="AB3092">
        <v>332</v>
      </c>
      <c r="AC3092">
        <v>536</v>
      </c>
      <c r="AD3092">
        <v>26.35</v>
      </c>
      <c r="AE3092">
        <v>542</v>
      </c>
      <c r="AF3092">
        <v>15</v>
      </c>
      <c r="AG3092">
        <v>174</v>
      </c>
      <c r="AH3092">
        <v>129</v>
      </c>
      <c r="AI3092">
        <v>2.77</v>
      </c>
      <c r="AJ3092">
        <v>32.1</v>
      </c>
      <c r="AK3092">
        <v>23.8</v>
      </c>
      <c r="AL3092">
        <v>-20.12682359999997</v>
      </c>
      <c r="AM3092">
        <v>-44.884056486492632</v>
      </c>
      <c r="AN3092">
        <v>-20.12682359999997</v>
      </c>
      <c r="AO3092">
        <v>-44.884056486492632</v>
      </c>
      <c r="AP3092">
        <v>-20.126885000000001</v>
      </c>
      <c r="AQ3092">
        <v>-44.884162000000003</v>
      </c>
      <c r="AR3092">
        <v>12.97479989794236</v>
      </c>
      <c r="AS3092" t="s">
        <v>65</v>
      </c>
      <c r="AT3092">
        <v>1</v>
      </c>
      <c r="AU3092" t="s">
        <v>1185</v>
      </c>
      <c r="AV3092" t="s">
        <v>1186</v>
      </c>
      <c r="AW3092" t="s">
        <v>60</v>
      </c>
      <c r="AX3092" t="s">
        <v>68</v>
      </c>
      <c r="AY3092" t="s">
        <v>69</v>
      </c>
      <c r="AZ3092" t="b">
        <v>1</v>
      </c>
    </row>
    <row r="3093" spans="1:52" x14ac:dyDescent="0.3">
      <c r="A3093" t="s">
        <v>52</v>
      </c>
      <c r="B3093" t="s">
        <v>53</v>
      </c>
      <c r="C3093" t="s">
        <v>54</v>
      </c>
      <c r="D3093" t="s">
        <v>55</v>
      </c>
      <c r="E3093" t="s">
        <v>2163</v>
      </c>
      <c r="F3093" t="s">
        <v>190</v>
      </c>
      <c r="G3093" t="s">
        <v>810</v>
      </c>
      <c r="H3093" t="s">
        <v>811</v>
      </c>
      <c r="I3093" t="s">
        <v>811</v>
      </c>
      <c r="J3093" t="s">
        <v>60</v>
      </c>
      <c r="K3093" t="s">
        <v>805</v>
      </c>
      <c r="L3093" t="s">
        <v>62</v>
      </c>
      <c r="M3093" t="s">
        <v>805</v>
      </c>
      <c r="N3093" t="s">
        <v>812</v>
      </c>
      <c r="O3093" t="s">
        <v>309</v>
      </c>
      <c r="P3093">
        <v>-20.129868999999999</v>
      </c>
      <c r="Q3093">
        <v>-44.884247999999999</v>
      </c>
      <c r="R3093" s="2" t="str">
        <f>HYPERLINK("https://www.google.com/maps?q=-20.1298690,-44.8842480","Abrir no Google Maps")</f>
        <v>Abrir no Google Maps</v>
      </c>
      <c r="S3093">
        <v>3</v>
      </c>
      <c r="T3093">
        <v>434.82198084080329</v>
      </c>
      <c r="U3093">
        <v>4</v>
      </c>
      <c r="V3093">
        <v>0.569120885591474</v>
      </c>
      <c r="W3093">
        <v>1</v>
      </c>
      <c r="X3093">
        <v>0.569120885591474</v>
      </c>
      <c r="Y3093">
        <v>259</v>
      </c>
      <c r="Z3093">
        <v>281.76247768049842</v>
      </c>
      <c r="AA3093">
        <v>198</v>
      </c>
      <c r="AB3093">
        <v>332</v>
      </c>
      <c r="AC3093">
        <v>536</v>
      </c>
      <c r="AD3093">
        <v>26.35</v>
      </c>
      <c r="AE3093">
        <v>542</v>
      </c>
      <c r="AF3093">
        <v>15</v>
      </c>
      <c r="AG3093">
        <v>174</v>
      </c>
      <c r="AH3093">
        <v>129</v>
      </c>
      <c r="AI3093">
        <v>2.77</v>
      </c>
      <c r="AJ3093">
        <v>32.1</v>
      </c>
      <c r="AK3093">
        <v>23.8</v>
      </c>
      <c r="AL3093">
        <v>-20.129927549999959</v>
      </c>
      <c r="AM3093">
        <v>-44.884228133573217</v>
      </c>
      <c r="AN3093">
        <v>-20.129927549999959</v>
      </c>
      <c r="AO3093">
        <v>-44.884228133573217</v>
      </c>
      <c r="AP3093">
        <v>-20.129868999999999</v>
      </c>
      <c r="AQ3093">
        <v>-44.884247999999999</v>
      </c>
      <c r="AR3093">
        <v>6.8405504803478081</v>
      </c>
      <c r="AS3093" t="s">
        <v>65</v>
      </c>
      <c r="AT3093">
        <v>1</v>
      </c>
      <c r="AU3093" t="s">
        <v>813</v>
      </c>
      <c r="AV3093" t="s">
        <v>814</v>
      </c>
      <c r="AW3093" t="s">
        <v>60</v>
      </c>
      <c r="AX3093" t="s">
        <v>68</v>
      </c>
      <c r="AY3093" t="s">
        <v>69</v>
      </c>
      <c r="AZ3093" t="b">
        <v>1</v>
      </c>
    </row>
    <row r="3094" spans="1:52" x14ac:dyDescent="0.3">
      <c r="A3094" t="s">
        <v>52</v>
      </c>
      <c r="B3094" t="s">
        <v>53</v>
      </c>
      <c r="C3094" t="s">
        <v>54</v>
      </c>
      <c r="D3094" t="s">
        <v>55</v>
      </c>
      <c r="E3094" t="s">
        <v>2163</v>
      </c>
      <c r="F3094" t="s">
        <v>190</v>
      </c>
      <c r="G3094" t="s">
        <v>815</v>
      </c>
      <c r="H3094" t="s">
        <v>816</v>
      </c>
      <c r="I3094" t="s">
        <v>816</v>
      </c>
      <c r="J3094" t="s">
        <v>60</v>
      </c>
      <c r="K3094" t="s">
        <v>805</v>
      </c>
      <c r="L3094" t="s">
        <v>62</v>
      </c>
      <c r="M3094" t="s">
        <v>805</v>
      </c>
      <c r="N3094" t="s">
        <v>817</v>
      </c>
      <c r="O3094" t="s">
        <v>818</v>
      </c>
      <c r="P3094">
        <v>-20.129894</v>
      </c>
      <c r="Q3094">
        <v>-44.886285000000001</v>
      </c>
      <c r="R3094" s="2" t="str">
        <f>HYPERLINK("https://www.google.com/maps?q=-20.1298940,-44.8862850","Abrir no Google Maps")</f>
        <v>Abrir no Google Maps</v>
      </c>
      <c r="S3094">
        <v>3</v>
      </c>
      <c r="T3094">
        <v>245.88570896460399</v>
      </c>
      <c r="U3094">
        <v>4</v>
      </c>
      <c r="V3094">
        <v>0.55815016778523496</v>
      </c>
      <c r="W3094">
        <v>1</v>
      </c>
      <c r="X3094">
        <v>0.55815016778523496</v>
      </c>
      <c r="Y3094">
        <v>259</v>
      </c>
      <c r="Z3094">
        <v>274.53833463725539</v>
      </c>
      <c r="AA3094">
        <v>198</v>
      </c>
      <c r="AB3094">
        <v>332</v>
      </c>
      <c r="AC3094">
        <v>536</v>
      </c>
      <c r="AD3094">
        <v>26.35</v>
      </c>
      <c r="AE3094">
        <v>542</v>
      </c>
      <c r="AF3094">
        <v>15</v>
      </c>
      <c r="AG3094">
        <v>174</v>
      </c>
      <c r="AH3094">
        <v>129</v>
      </c>
      <c r="AI3094">
        <v>2.77</v>
      </c>
      <c r="AJ3094">
        <v>32.1</v>
      </c>
      <c r="AK3094">
        <v>23.8</v>
      </c>
      <c r="AL3094">
        <v>-20.129900749999969</v>
      </c>
      <c r="AM3094">
        <v>-44.886258682425179</v>
      </c>
      <c r="AN3094">
        <v>-20.129900749999969</v>
      </c>
      <c r="AO3094">
        <v>-44.886258682425179</v>
      </c>
      <c r="AP3094">
        <v>-20.129894</v>
      </c>
      <c r="AQ3094">
        <v>-44.886285000000001</v>
      </c>
      <c r="AR3094">
        <v>2.851497427576585</v>
      </c>
      <c r="AS3094" t="s">
        <v>65</v>
      </c>
      <c r="AT3094">
        <v>1</v>
      </c>
      <c r="AU3094" t="s">
        <v>819</v>
      </c>
      <c r="AV3094" t="s">
        <v>814</v>
      </c>
      <c r="AW3094" t="s">
        <v>60</v>
      </c>
      <c r="AX3094" t="s">
        <v>68</v>
      </c>
      <c r="AY3094" t="s">
        <v>69</v>
      </c>
      <c r="AZ3094" t="b">
        <v>1</v>
      </c>
    </row>
    <row r="3095" spans="1:52" x14ac:dyDescent="0.3">
      <c r="A3095" t="s">
        <v>52</v>
      </c>
      <c r="B3095" t="s">
        <v>53</v>
      </c>
      <c r="C3095" t="s">
        <v>54</v>
      </c>
      <c r="D3095" t="s">
        <v>55</v>
      </c>
      <c r="E3095" t="s">
        <v>2163</v>
      </c>
      <c r="F3095" t="s">
        <v>190</v>
      </c>
      <c r="G3095" t="s">
        <v>820</v>
      </c>
      <c r="H3095" t="s">
        <v>821</v>
      </c>
      <c r="I3095" t="s">
        <v>821</v>
      </c>
      <c r="J3095" t="s">
        <v>60</v>
      </c>
      <c r="K3095" t="s">
        <v>822</v>
      </c>
      <c r="L3095" t="s">
        <v>62</v>
      </c>
      <c r="M3095" t="s">
        <v>822</v>
      </c>
      <c r="N3095" t="s">
        <v>823</v>
      </c>
      <c r="O3095" t="s">
        <v>187</v>
      </c>
      <c r="P3095">
        <v>-20.182960999999999</v>
      </c>
      <c r="Q3095">
        <v>-44.902512999999999</v>
      </c>
      <c r="R3095" s="2" t="str">
        <f>HYPERLINK("https://www.google.com/maps?q=-20.1829610,-44.9025130","Abrir no Google Maps")</f>
        <v>Abrir no Google Maps</v>
      </c>
      <c r="S3095">
        <v>3</v>
      </c>
      <c r="T3095">
        <v>908.09917748271926</v>
      </c>
      <c r="U3095">
        <v>4</v>
      </c>
      <c r="V3095">
        <v>0.59345104493989731</v>
      </c>
      <c r="W3095">
        <v>1</v>
      </c>
      <c r="X3095">
        <v>0.59345104493989731</v>
      </c>
      <c r="Y3095">
        <v>135</v>
      </c>
      <c r="Z3095">
        <v>562.42494356837676</v>
      </c>
      <c r="AA3095">
        <v>198</v>
      </c>
      <c r="AB3095">
        <v>332</v>
      </c>
      <c r="AC3095">
        <v>536</v>
      </c>
      <c r="AD3095">
        <v>26.35</v>
      </c>
      <c r="AE3095">
        <v>542</v>
      </c>
      <c r="AF3095">
        <v>15</v>
      </c>
      <c r="AG3095">
        <v>174</v>
      </c>
      <c r="AH3095">
        <v>129</v>
      </c>
      <c r="AI3095">
        <v>2.77</v>
      </c>
      <c r="AJ3095">
        <v>32.1</v>
      </c>
      <c r="AK3095">
        <v>23.8</v>
      </c>
      <c r="AL3095">
        <v>-20.18277184999997</v>
      </c>
      <c r="AM3095">
        <v>-44.902421436048833</v>
      </c>
      <c r="AN3095">
        <v>-20.18277184999997</v>
      </c>
      <c r="AO3095">
        <v>-44.902421436048833</v>
      </c>
      <c r="AP3095">
        <v>-20.182960999999999</v>
      </c>
      <c r="AQ3095">
        <v>-44.902512999999999</v>
      </c>
      <c r="AR3095">
        <v>23.127700959037089</v>
      </c>
      <c r="AS3095" t="s">
        <v>65</v>
      </c>
      <c r="AT3095">
        <v>1</v>
      </c>
      <c r="AU3095" t="s">
        <v>824</v>
      </c>
      <c r="AV3095" t="s">
        <v>825</v>
      </c>
      <c r="AW3095" t="s">
        <v>60</v>
      </c>
      <c r="AX3095" t="s">
        <v>68</v>
      </c>
      <c r="AY3095" t="s">
        <v>69</v>
      </c>
      <c r="AZ3095" t="b">
        <v>1</v>
      </c>
    </row>
    <row r="3096" spans="1:52" x14ac:dyDescent="0.3">
      <c r="A3096" t="s">
        <v>52</v>
      </c>
      <c r="B3096" t="s">
        <v>53</v>
      </c>
      <c r="C3096" t="s">
        <v>54</v>
      </c>
      <c r="D3096" t="s">
        <v>55</v>
      </c>
      <c r="E3096" t="s">
        <v>2163</v>
      </c>
      <c r="F3096" t="s">
        <v>190</v>
      </c>
      <c r="G3096" t="s">
        <v>1212</v>
      </c>
      <c r="H3096" t="s">
        <v>1213</v>
      </c>
      <c r="I3096" t="s">
        <v>1213</v>
      </c>
      <c r="J3096" t="s">
        <v>60</v>
      </c>
      <c r="K3096" t="s">
        <v>171</v>
      </c>
      <c r="L3096" t="s">
        <v>62</v>
      </c>
      <c r="M3096" t="s">
        <v>171</v>
      </c>
      <c r="N3096" t="s">
        <v>1214</v>
      </c>
      <c r="O3096" t="s">
        <v>1215</v>
      </c>
      <c r="P3096">
        <v>-20.152812999999998</v>
      </c>
      <c r="Q3096">
        <v>-44.889853000000002</v>
      </c>
      <c r="R3096" s="2" t="str">
        <f>HYPERLINK("https://www.google.com/maps?q=-20.1528130,-44.8898530","Abrir no Google Maps")</f>
        <v>Abrir no Google Maps</v>
      </c>
      <c r="S3096">
        <v>3</v>
      </c>
      <c r="T3096">
        <v>404.11054739579231</v>
      </c>
      <c r="U3096">
        <v>4</v>
      </c>
      <c r="V3096">
        <v>0.40230491596288309</v>
      </c>
      <c r="W3096">
        <v>1</v>
      </c>
      <c r="X3096">
        <v>0.40230491596288309</v>
      </c>
      <c r="Y3096">
        <v>129</v>
      </c>
      <c r="Z3096">
        <v>222.94297160630171</v>
      </c>
      <c r="AA3096">
        <v>198</v>
      </c>
      <c r="AB3096">
        <v>332</v>
      </c>
      <c r="AC3096">
        <v>536</v>
      </c>
      <c r="AD3096">
        <v>26.35</v>
      </c>
      <c r="AE3096">
        <v>542</v>
      </c>
      <c r="AF3096">
        <v>15</v>
      </c>
      <c r="AG3096">
        <v>174</v>
      </c>
      <c r="AH3096">
        <v>129</v>
      </c>
      <c r="AI3096">
        <v>2.77</v>
      </c>
      <c r="AJ3096">
        <v>32.1</v>
      </c>
      <c r="AK3096">
        <v>23.8</v>
      </c>
      <c r="AL3096">
        <v>-20.152851999999971</v>
      </c>
      <c r="AM3096">
        <v>-44.889864659228088</v>
      </c>
      <c r="AN3096">
        <v>-20.152851999999971</v>
      </c>
      <c r="AO3096">
        <v>-44.889864659228088</v>
      </c>
      <c r="AP3096">
        <v>-20.152812999999998</v>
      </c>
      <c r="AQ3096">
        <v>-44.889853000000002</v>
      </c>
      <c r="AR3096">
        <v>4.5092186597325066</v>
      </c>
      <c r="AS3096" t="s">
        <v>65</v>
      </c>
      <c r="AT3096">
        <v>1</v>
      </c>
      <c r="AU3096" t="s">
        <v>1216</v>
      </c>
      <c r="AV3096" t="s">
        <v>1217</v>
      </c>
      <c r="AW3096" t="s">
        <v>60</v>
      </c>
      <c r="AX3096" t="s">
        <v>68</v>
      </c>
      <c r="AY3096" t="s">
        <v>69</v>
      </c>
      <c r="AZ3096" t="b">
        <v>1</v>
      </c>
    </row>
    <row r="3097" spans="1:52" x14ac:dyDescent="0.3">
      <c r="A3097" t="s">
        <v>52</v>
      </c>
      <c r="B3097" t="s">
        <v>53</v>
      </c>
      <c r="C3097" t="s">
        <v>54</v>
      </c>
      <c r="D3097" t="s">
        <v>55</v>
      </c>
      <c r="E3097" t="s">
        <v>2163</v>
      </c>
      <c r="F3097" t="s">
        <v>190</v>
      </c>
      <c r="G3097" t="s">
        <v>380</v>
      </c>
      <c r="H3097" t="s">
        <v>381</v>
      </c>
      <c r="I3097" t="s">
        <v>381</v>
      </c>
      <c r="J3097" t="s">
        <v>60</v>
      </c>
      <c r="K3097" t="s">
        <v>72</v>
      </c>
      <c r="L3097" t="s">
        <v>62</v>
      </c>
      <c r="M3097" t="s">
        <v>72</v>
      </c>
      <c r="N3097" t="s">
        <v>382</v>
      </c>
      <c r="O3097" t="s">
        <v>383</v>
      </c>
      <c r="P3097">
        <v>-20.147182000000001</v>
      </c>
      <c r="Q3097">
        <v>-44.912728999999999</v>
      </c>
      <c r="R3097" s="2" t="str">
        <f>HYPERLINK("https://www.google.com/maps?q=-20.1471820,-44.9127290","Abrir no Google Maps")</f>
        <v>Abrir no Google Maps</v>
      </c>
      <c r="S3097">
        <v>3</v>
      </c>
      <c r="T3097">
        <v>478.0141981540923</v>
      </c>
      <c r="U3097">
        <v>3</v>
      </c>
      <c r="V3097">
        <v>0.38944326148530561</v>
      </c>
      <c r="W3097">
        <v>1</v>
      </c>
      <c r="X3097">
        <v>0.38944326148530561</v>
      </c>
      <c r="Y3097">
        <v>747</v>
      </c>
      <c r="Z3097">
        <v>494.0254290673729</v>
      </c>
      <c r="AA3097">
        <v>198</v>
      </c>
      <c r="AB3097">
        <v>332</v>
      </c>
      <c r="AC3097">
        <v>536</v>
      </c>
      <c r="AD3097">
        <v>26.35</v>
      </c>
      <c r="AE3097">
        <v>542</v>
      </c>
      <c r="AF3097">
        <v>15</v>
      </c>
      <c r="AG3097">
        <v>174</v>
      </c>
      <c r="AH3097">
        <v>129</v>
      </c>
      <c r="AI3097">
        <v>2.77</v>
      </c>
      <c r="AJ3097">
        <v>32.1</v>
      </c>
      <c r="AK3097">
        <v>23.8</v>
      </c>
      <c r="AL3097">
        <v>-20.147375599999979</v>
      </c>
      <c r="AM3097">
        <v>-44.912907472879468</v>
      </c>
      <c r="AN3097">
        <v>-20.147375599999979</v>
      </c>
      <c r="AO3097">
        <v>-44.912907472879468</v>
      </c>
      <c r="AP3097">
        <v>-20.147182000000001</v>
      </c>
      <c r="AQ3097">
        <v>-44.912728999999999</v>
      </c>
      <c r="AR3097">
        <v>28.50197694184326</v>
      </c>
      <c r="AS3097" t="s">
        <v>65</v>
      </c>
      <c r="AT3097">
        <v>1</v>
      </c>
      <c r="AU3097" t="s">
        <v>384</v>
      </c>
      <c r="AV3097" t="s">
        <v>385</v>
      </c>
      <c r="AW3097" t="s">
        <v>60</v>
      </c>
      <c r="AX3097" t="s">
        <v>68</v>
      </c>
      <c r="AY3097" t="s">
        <v>69</v>
      </c>
      <c r="AZ3097" t="b">
        <v>1</v>
      </c>
    </row>
    <row r="3098" spans="1:52" x14ac:dyDescent="0.3">
      <c r="A3098" t="s">
        <v>52</v>
      </c>
      <c r="B3098" t="s">
        <v>53</v>
      </c>
      <c r="C3098" t="s">
        <v>54</v>
      </c>
      <c r="D3098" t="s">
        <v>55</v>
      </c>
      <c r="E3098" t="s">
        <v>2163</v>
      </c>
      <c r="F3098" t="s">
        <v>190</v>
      </c>
      <c r="G3098" t="s">
        <v>833</v>
      </c>
      <c r="H3098" t="s">
        <v>834</v>
      </c>
      <c r="I3098" t="s">
        <v>834</v>
      </c>
      <c r="J3098" t="s">
        <v>60</v>
      </c>
      <c r="K3098" t="s">
        <v>388</v>
      </c>
      <c r="L3098" t="s">
        <v>62</v>
      </c>
      <c r="M3098" t="s">
        <v>388</v>
      </c>
      <c r="N3098" t="s">
        <v>835</v>
      </c>
      <c r="O3098" t="s">
        <v>836</v>
      </c>
      <c r="P3098">
        <v>-20.157906000000001</v>
      </c>
      <c r="Q3098">
        <v>-44.900458999999998</v>
      </c>
      <c r="R3098" s="2" t="str">
        <f>HYPERLINK("https://www.google.com/maps?q=-20.1579060,-44.9004590","Abrir no Google Maps")</f>
        <v>Abrir no Google Maps</v>
      </c>
      <c r="S3098">
        <v>3</v>
      </c>
      <c r="T3098">
        <v>0</v>
      </c>
      <c r="U3098">
        <v>3</v>
      </c>
      <c r="V3098">
        <v>0.3756077229980051</v>
      </c>
      <c r="W3098">
        <v>1</v>
      </c>
      <c r="X3098">
        <v>0.3756077229980051</v>
      </c>
      <c r="Y3098">
        <v>729</v>
      </c>
      <c r="Z3098">
        <v>203.63168486652771</v>
      </c>
      <c r="AA3098">
        <v>198</v>
      </c>
      <c r="AB3098">
        <v>332</v>
      </c>
      <c r="AC3098">
        <v>536</v>
      </c>
      <c r="AD3098">
        <v>26.35</v>
      </c>
      <c r="AE3098">
        <v>542</v>
      </c>
      <c r="AF3098">
        <v>15</v>
      </c>
      <c r="AG3098">
        <v>174</v>
      </c>
      <c r="AH3098">
        <v>129</v>
      </c>
      <c r="AI3098">
        <v>2.77</v>
      </c>
      <c r="AJ3098">
        <v>32.1</v>
      </c>
      <c r="AK3098">
        <v>23.8</v>
      </c>
      <c r="AL3098">
        <v>-20.157925749999951</v>
      </c>
      <c r="AM3098">
        <v>-44.900484707799812</v>
      </c>
      <c r="AN3098">
        <v>-20.157925749999951</v>
      </c>
      <c r="AO3098">
        <v>-44.900484707799812</v>
      </c>
      <c r="AP3098">
        <v>-20.157906000000001</v>
      </c>
      <c r="AQ3098">
        <v>-44.900458999999998</v>
      </c>
      <c r="AR3098">
        <v>3.4714515960382508</v>
      </c>
      <c r="AS3098" t="s">
        <v>65</v>
      </c>
      <c r="AT3098">
        <v>1</v>
      </c>
      <c r="AU3098" t="s">
        <v>837</v>
      </c>
      <c r="AV3098" t="s">
        <v>838</v>
      </c>
      <c r="AW3098" t="s">
        <v>60</v>
      </c>
      <c r="AX3098" t="s">
        <v>68</v>
      </c>
      <c r="AY3098" t="s">
        <v>69</v>
      </c>
      <c r="AZ3098" t="b">
        <v>1</v>
      </c>
    </row>
    <row r="3099" spans="1:52" x14ac:dyDescent="0.3">
      <c r="A3099" t="s">
        <v>52</v>
      </c>
      <c r="B3099" t="s">
        <v>53</v>
      </c>
      <c r="C3099" t="s">
        <v>54</v>
      </c>
      <c r="D3099" t="s">
        <v>55</v>
      </c>
      <c r="E3099" t="s">
        <v>2163</v>
      </c>
      <c r="F3099" t="s">
        <v>190</v>
      </c>
      <c r="G3099" t="s">
        <v>839</v>
      </c>
      <c r="H3099" t="s">
        <v>840</v>
      </c>
      <c r="I3099" t="s">
        <v>840</v>
      </c>
      <c r="J3099" t="s">
        <v>60</v>
      </c>
      <c r="K3099" t="s">
        <v>388</v>
      </c>
      <c r="L3099" t="s">
        <v>62</v>
      </c>
      <c r="M3099" t="s">
        <v>388</v>
      </c>
      <c r="N3099" t="s">
        <v>841</v>
      </c>
      <c r="O3099" t="s">
        <v>842</v>
      </c>
      <c r="P3099">
        <v>-20.159977999999999</v>
      </c>
      <c r="Q3099">
        <v>-44.900207000000002</v>
      </c>
      <c r="R3099" s="2" t="str">
        <f>HYPERLINK("https://www.google.com/maps?q=-20.1599780,-44.9002070","Abrir no Google Maps")</f>
        <v>Abrir no Google Maps</v>
      </c>
      <c r="S3099">
        <v>3</v>
      </c>
      <c r="T3099">
        <v>213.24333517300789</v>
      </c>
      <c r="U3099">
        <v>3</v>
      </c>
      <c r="V3099">
        <v>0.38841376015289059</v>
      </c>
      <c r="W3099">
        <v>1</v>
      </c>
      <c r="X3099">
        <v>0.38841376015289059</v>
      </c>
      <c r="Y3099">
        <v>729</v>
      </c>
      <c r="Z3099">
        <v>315.47173727880028</v>
      </c>
      <c r="AA3099">
        <v>198</v>
      </c>
      <c r="AB3099">
        <v>332</v>
      </c>
      <c r="AC3099">
        <v>536</v>
      </c>
      <c r="AD3099">
        <v>26.35</v>
      </c>
      <c r="AE3099">
        <v>542</v>
      </c>
      <c r="AF3099">
        <v>15</v>
      </c>
      <c r="AG3099">
        <v>174</v>
      </c>
      <c r="AH3099">
        <v>129</v>
      </c>
      <c r="AI3099">
        <v>2.77</v>
      </c>
      <c r="AJ3099">
        <v>32.1</v>
      </c>
      <c r="AK3099">
        <v>23.8</v>
      </c>
      <c r="AL3099">
        <v>-20.159825649999959</v>
      </c>
      <c r="AM3099">
        <v>-44.900143828909613</v>
      </c>
      <c r="AN3099">
        <v>-20.159825649999959</v>
      </c>
      <c r="AO3099">
        <v>-44.900143828909613</v>
      </c>
      <c r="AP3099">
        <v>-20.159977999999999</v>
      </c>
      <c r="AQ3099">
        <v>-44.900207000000002</v>
      </c>
      <c r="AR3099">
        <v>18.199073573580371</v>
      </c>
      <c r="AS3099" t="s">
        <v>65</v>
      </c>
      <c r="AT3099">
        <v>1</v>
      </c>
      <c r="AU3099" t="s">
        <v>843</v>
      </c>
      <c r="AV3099" t="s">
        <v>844</v>
      </c>
      <c r="AW3099" t="s">
        <v>60</v>
      </c>
      <c r="AX3099" t="s">
        <v>68</v>
      </c>
      <c r="AY3099" t="s">
        <v>69</v>
      </c>
      <c r="AZ3099" t="b">
        <v>1</v>
      </c>
    </row>
    <row r="3100" spans="1:52" x14ac:dyDescent="0.3">
      <c r="A3100" t="s">
        <v>52</v>
      </c>
      <c r="B3100" t="s">
        <v>53</v>
      </c>
      <c r="C3100" t="s">
        <v>54</v>
      </c>
      <c r="D3100" t="s">
        <v>55</v>
      </c>
      <c r="E3100" t="s">
        <v>2163</v>
      </c>
      <c r="F3100" t="s">
        <v>190</v>
      </c>
      <c r="G3100" t="s">
        <v>839</v>
      </c>
      <c r="H3100" t="s">
        <v>1274</v>
      </c>
      <c r="I3100" t="s">
        <v>1274</v>
      </c>
      <c r="J3100" t="s">
        <v>60</v>
      </c>
      <c r="K3100" t="s">
        <v>388</v>
      </c>
      <c r="L3100" t="s">
        <v>62</v>
      </c>
      <c r="M3100" t="s">
        <v>388</v>
      </c>
      <c r="N3100" t="s">
        <v>841</v>
      </c>
      <c r="O3100" t="s">
        <v>1275</v>
      </c>
      <c r="P3100">
        <v>-20.157979999999998</v>
      </c>
      <c r="Q3100">
        <v>-44.906365999999998</v>
      </c>
      <c r="R3100" s="2" t="str">
        <f>HYPERLINK("https://www.google.com/maps?q=-20.1579800,-44.9063660","Abrir no Google Maps")</f>
        <v>Abrir no Google Maps</v>
      </c>
      <c r="S3100">
        <v>3</v>
      </c>
      <c r="T3100">
        <v>519.48953004348823</v>
      </c>
      <c r="U3100">
        <v>3</v>
      </c>
      <c r="V3100">
        <v>0.40677470677470667</v>
      </c>
      <c r="W3100">
        <v>0.85</v>
      </c>
      <c r="X3100">
        <v>0.34575850075850068</v>
      </c>
      <c r="Y3100">
        <v>729</v>
      </c>
      <c r="Z3100">
        <v>393.22938248316768</v>
      </c>
      <c r="AA3100">
        <v>198</v>
      </c>
      <c r="AB3100">
        <v>332</v>
      </c>
      <c r="AC3100">
        <v>536</v>
      </c>
      <c r="AD3100">
        <v>26.35</v>
      </c>
      <c r="AE3100">
        <v>542</v>
      </c>
      <c r="AF3100">
        <v>15</v>
      </c>
      <c r="AG3100">
        <v>174</v>
      </c>
      <c r="AH3100">
        <v>129</v>
      </c>
      <c r="AI3100">
        <v>2.77</v>
      </c>
      <c r="AJ3100">
        <v>32.1</v>
      </c>
      <c r="AK3100">
        <v>23.8</v>
      </c>
      <c r="AL3100">
        <v>-20.157977799999941</v>
      </c>
      <c r="AM3100">
        <v>-44.906429896327573</v>
      </c>
      <c r="AN3100">
        <v>-20.157977799999941</v>
      </c>
      <c r="AO3100">
        <v>-44.906429896327573</v>
      </c>
      <c r="AP3100">
        <v>-20.157979999999998</v>
      </c>
      <c r="AQ3100">
        <v>-44.906365999999998</v>
      </c>
      <c r="AR3100">
        <v>6.6817330699236734</v>
      </c>
      <c r="AS3100" t="s">
        <v>65</v>
      </c>
      <c r="AT3100">
        <v>1</v>
      </c>
      <c r="AU3100" t="s">
        <v>1276</v>
      </c>
      <c r="AV3100" t="s">
        <v>1277</v>
      </c>
      <c r="AW3100" t="s">
        <v>60</v>
      </c>
      <c r="AX3100" t="s">
        <v>68</v>
      </c>
      <c r="AY3100" t="s">
        <v>69</v>
      </c>
      <c r="AZ3100" t="b">
        <v>1</v>
      </c>
    </row>
    <row r="3101" spans="1:52" x14ac:dyDescent="0.3">
      <c r="A3101" t="s">
        <v>52</v>
      </c>
      <c r="B3101" t="s">
        <v>53</v>
      </c>
      <c r="C3101" t="s">
        <v>54</v>
      </c>
      <c r="D3101" t="s">
        <v>55</v>
      </c>
      <c r="E3101" t="s">
        <v>2163</v>
      </c>
      <c r="F3101" t="s">
        <v>190</v>
      </c>
      <c r="G3101" t="s">
        <v>1283</v>
      </c>
      <c r="H3101" t="s">
        <v>1284</v>
      </c>
      <c r="I3101" t="s">
        <v>1284</v>
      </c>
      <c r="J3101" t="s">
        <v>60</v>
      </c>
      <c r="K3101" t="s">
        <v>388</v>
      </c>
      <c r="L3101" t="s">
        <v>62</v>
      </c>
      <c r="M3101" t="s">
        <v>388</v>
      </c>
      <c r="N3101" t="s">
        <v>400</v>
      </c>
      <c r="O3101" t="s">
        <v>1285</v>
      </c>
      <c r="P3101">
        <v>-20.156977999999999</v>
      </c>
      <c r="Q3101">
        <v>-44.90325</v>
      </c>
      <c r="R3101" s="2" t="str">
        <f>HYPERLINK("https://www.google.com/maps?q=-20.1569780,-44.9032500","Abrir no Google Maps")</f>
        <v>Abrir no Google Maps</v>
      </c>
      <c r="S3101">
        <v>3</v>
      </c>
      <c r="T3101">
        <v>256.05633739092571</v>
      </c>
      <c r="U3101">
        <v>3</v>
      </c>
      <c r="V3101">
        <v>0.39084331814875778</v>
      </c>
      <c r="W3101">
        <v>0.85</v>
      </c>
      <c r="X3101">
        <v>0.33221682042644413</v>
      </c>
      <c r="Y3101">
        <v>729</v>
      </c>
      <c r="Z3101">
        <v>162.99447055889971</v>
      </c>
      <c r="AA3101">
        <v>198</v>
      </c>
      <c r="AB3101">
        <v>332</v>
      </c>
      <c r="AC3101">
        <v>536</v>
      </c>
      <c r="AD3101">
        <v>26.35</v>
      </c>
      <c r="AE3101">
        <v>542</v>
      </c>
      <c r="AF3101">
        <v>15</v>
      </c>
      <c r="AG3101">
        <v>174</v>
      </c>
      <c r="AH3101">
        <v>129</v>
      </c>
      <c r="AI3101">
        <v>2.77</v>
      </c>
      <c r="AJ3101">
        <v>32.1</v>
      </c>
      <c r="AK3101">
        <v>23.8</v>
      </c>
      <c r="AL3101">
        <v>-20.15696524999996</v>
      </c>
      <c r="AM3101">
        <v>-44.903258102626708</v>
      </c>
      <c r="AN3101">
        <v>-20.15696524999996</v>
      </c>
      <c r="AO3101">
        <v>-44.903258102626708</v>
      </c>
      <c r="AP3101">
        <v>-20.156977999999999</v>
      </c>
      <c r="AQ3101">
        <v>-44.90325</v>
      </c>
      <c r="AR3101">
        <v>1.6527147033629741</v>
      </c>
      <c r="AS3101" t="s">
        <v>65</v>
      </c>
      <c r="AT3101">
        <v>1</v>
      </c>
      <c r="AU3101" t="s">
        <v>1286</v>
      </c>
      <c r="AV3101" t="s">
        <v>1287</v>
      </c>
      <c r="AW3101" t="s">
        <v>60</v>
      </c>
      <c r="AX3101" t="s">
        <v>68</v>
      </c>
      <c r="AY3101" t="s">
        <v>69</v>
      </c>
      <c r="AZ3101" t="b">
        <v>1</v>
      </c>
    </row>
    <row r="3102" spans="1:52" x14ac:dyDescent="0.3">
      <c r="A3102" t="s">
        <v>52</v>
      </c>
      <c r="B3102" t="s">
        <v>53</v>
      </c>
      <c r="C3102" t="s">
        <v>54</v>
      </c>
      <c r="D3102" t="s">
        <v>55</v>
      </c>
      <c r="E3102" t="s">
        <v>2163</v>
      </c>
      <c r="F3102" t="s">
        <v>190</v>
      </c>
      <c r="G3102" t="s">
        <v>1288</v>
      </c>
      <c r="H3102" t="s">
        <v>1289</v>
      </c>
      <c r="I3102" t="s">
        <v>1289</v>
      </c>
      <c r="J3102" t="s">
        <v>60</v>
      </c>
      <c r="K3102" t="s">
        <v>1290</v>
      </c>
      <c r="L3102" t="s">
        <v>62</v>
      </c>
      <c r="M3102" t="s">
        <v>1290</v>
      </c>
      <c r="N3102" t="s">
        <v>1291</v>
      </c>
      <c r="O3102" t="s">
        <v>315</v>
      </c>
      <c r="P3102">
        <v>-20.171008</v>
      </c>
      <c r="Q3102">
        <v>-44.918908999999999</v>
      </c>
      <c r="R3102" s="2" t="str">
        <f>HYPERLINK("https://www.google.com/maps?q=-20.1710080,-44.9189090","Abrir no Google Maps")</f>
        <v>Abrir no Google Maps</v>
      </c>
      <c r="S3102">
        <v>3</v>
      </c>
      <c r="T3102">
        <v>972.86786700299888</v>
      </c>
      <c r="U3102">
        <v>3</v>
      </c>
      <c r="V3102">
        <v>0.42686715135492398</v>
      </c>
      <c r="W3102">
        <v>0.85</v>
      </c>
      <c r="X3102">
        <v>0.36283707865168541</v>
      </c>
      <c r="Y3102">
        <v>723</v>
      </c>
      <c r="Z3102">
        <v>690.55600110253613</v>
      </c>
      <c r="AA3102">
        <v>198</v>
      </c>
      <c r="AB3102">
        <v>332</v>
      </c>
      <c r="AC3102">
        <v>536</v>
      </c>
      <c r="AD3102">
        <v>26.35</v>
      </c>
      <c r="AE3102">
        <v>542</v>
      </c>
      <c r="AF3102">
        <v>15</v>
      </c>
      <c r="AG3102">
        <v>174</v>
      </c>
      <c r="AH3102">
        <v>129</v>
      </c>
      <c r="AI3102">
        <v>2.77</v>
      </c>
      <c r="AJ3102">
        <v>32.1</v>
      </c>
      <c r="AK3102">
        <v>23.8</v>
      </c>
      <c r="AL3102">
        <v>-20.171738249999979</v>
      </c>
      <c r="AM3102">
        <v>-44.919736490382917</v>
      </c>
      <c r="AN3102">
        <v>-20.171738249999979</v>
      </c>
      <c r="AO3102">
        <v>-44.919736490382931</v>
      </c>
      <c r="AP3102">
        <v>-20.171008</v>
      </c>
      <c r="AQ3102">
        <v>-44.918908999999999</v>
      </c>
      <c r="AR3102">
        <v>118.678920061485</v>
      </c>
      <c r="AS3102" t="s">
        <v>65</v>
      </c>
      <c r="AT3102">
        <v>1</v>
      </c>
      <c r="AU3102" t="s">
        <v>1292</v>
      </c>
      <c r="AV3102" t="s">
        <v>1293</v>
      </c>
      <c r="AW3102" t="s">
        <v>60</v>
      </c>
      <c r="AX3102" t="s">
        <v>68</v>
      </c>
      <c r="AY3102" t="s">
        <v>69</v>
      </c>
      <c r="AZ3102" t="b">
        <v>1</v>
      </c>
    </row>
    <row r="3103" spans="1:52" x14ac:dyDescent="0.3">
      <c r="A3103" t="s">
        <v>52</v>
      </c>
      <c r="B3103" t="s">
        <v>53</v>
      </c>
      <c r="C3103" t="s">
        <v>54</v>
      </c>
      <c r="D3103" t="s">
        <v>55</v>
      </c>
      <c r="E3103" t="s">
        <v>2163</v>
      </c>
      <c r="F3103" t="s">
        <v>190</v>
      </c>
      <c r="G3103" t="s">
        <v>1294</v>
      </c>
      <c r="H3103" t="s">
        <v>1295</v>
      </c>
      <c r="I3103" t="s">
        <v>1295</v>
      </c>
      <c r="J3103" t="s">
        <v>60</v>
      </c>
      <c r="K3103" t="s">
        <v>418</v>
      </c>
      <c r="L3103" t="s">
        <v>62</v>
      </c>
      <c r="M3103" t="s">
        <v>418</v>
      </c>
      <c r="N3103" t="s">
        <v>1296</v>
      </c>
      <c r="O3103" t="s">
        <v>1297</v>
      </c>
      <c r="P3103">
        <v>-20.169899999999998</v>
      </c>
      <c r="Q3103">
        <v>-44.916176999999998</v>
      </c>
      <c r="R3103" s="2" t="str">
        <f>HYPERLINK("https://www.google.com/maps?q=-20.1699000,-44.9161770","Abrir no Google Maps")</f>
        <v>Abrir no Google Maps</v>
      </c>
      <c r="S3103">
        <v>3</v>
      </c>
      <c r="T3103">
        <v>658.15251036568407</v>
      </c>
      <c r="U3103">
        <v>3</v>
      </c>
      <c r="V3103">
        <v>0.38051569629996151</v>
      </c>
      <c r="W3103">
        <v>0.85</v>
      </c>
      <c r="X3103">
        <v>0.32343834185496728</v>
      </c>
      <c r="Y3103">
        <v>723</v>
      </c>
      <c r="Z3103">
        <v>400.39092274559039</v>
      </c>
      <c r="AA3103">
        <v>198</v>
      </c>
      <c r="AB3103">
        <v>332</v>
      </c>
      <c r="AC3103">
        <v>536</v>
      </c>
      <c r="AD3103">
        <v>26.35</v>
      </c>
      <c r="AE3103">
        <v>542</v>
      </c>
      <c r="AF3103">
        <v>15</v>
      </c>
      <c r="AG3103">
        <v>174</v>
      </c>
      <c r="AH3103">
        <v>129</v>
      </c>
      <c r="AI3103">
        <v>2.77</v>
      </c>
      <c r="AJ3103">
        <v>32.1</v>
      </c>
      <c r="AK3103">
        <v>23.8</v>
      </c>
      <c r="AL3103">
        <v>-20.169898399999941</v>
      </c>
      <c r="AM3103">
        <v>-44.916247682868359</v>
      </c>
      <c r="AN3103">
        <v>-20.169898399999941</v>
      </c>
      <c r="AO3103">
        <v>-44.916247682868359</v>
      </c>
      <c r="AP3103">
        <v>-20.169899999999998</v>
      </c>
      <c r="AQ3103">
        <v>-44.916176999999998</v>
      </c>
      <c r="AR3103">
        <v>7.388028048308902</v>
      </c>
      <c r="AS3103" t="s">
        <v>65</v>
      </c>
      <c r="AT3103">
        <v>1</v>
      </c>
      <c r="AU3103" t="s">
        <v>1298</v>
      </c>
      <c r="AV3103" t="s">
        <v>1299</v>
      </c>
      <c r="AW3103" t="s">
        <v>60</v>
      </c>
      <c r="AX3103" t="s">
        <v>68</v>
      </c>
      <c r="AY3103" t="s">
        <v>69</v>
      </c>
      <c r="AZ3103" t="b">
        <v>1</v>
      </c>
    </row>
    <row r="3104" spans="1:52" x14ac:dyDescent="0.3">
      <c r="A3104" t="s">
        <v>52</v>
      </c>
      <c r="B3104" t="s">
        <v>53</v>
      </c>
      <c r="C3104" t="s">
        <v>54</v>
      </c>
      <c r="D3104" t="s">
        <v>55</v>
      </c>
      <c r="E3104" t="s">
        <v>2163</v>
      </c>
      <c r="F3104" t="s">
        <v>190</v>
      </c>
      <c r="G3104" t="s">
        <v>1300</v>
      </c>
      <c r="H3104" t="s">
        <v>1301</v>
      </c>
      <c r="I3104" t="s">
        <v>1301</v>
      </c>
      <c r="J3104" t="s">
        <v>60</v>
      </c>
      <c r="K3104" t="s">
        <v>1302</v>
      </c>
      <c r="L3104" t="s">
        <v>62</v>
      </c>
      <c r="M3104" t="s">
        <v>1302</v>
      </c>
      <c r="N3104" t="s">
        <v>1303</v>
      </c>
      <c r="O3104" t="s">
        <v>1304</v>
      </c>
      <c r="P3104">
        <v>-20.166618</v>
      </c>
      <c r="Q3104">
        <v>-44.912920999999997</v>
      </c>
      <c r="R3104" s="2" t="str">
        <f>HYPERLINK("https://www.google.com/maps?q=-20.1666180,-44.9129210","Abrir no Google Maps")</f>
        <v>Abrir no Google Maps</v>
      </c>
      <c r="S3104">
        <v>3</v>
      </c>
      <c r="T3104">
        <v>636.32880156364706</v>
      </c>
      <c r="U3104">
        <v>3</v>
      </c>
      <c r="V3104">
        <v>0.37891954134838379</v>
      </c>
      <c r="W3104">
        <v>0.85</v>
      </c>
      <c r="X3104">
        <v>0.32208161014612618</v>
      </c>
      <c r="Y3104">
        <v>723</v>
      </c>
      <c r="Z3104">
        <v>407.62145176971592</v>
      </c>
      <c r="AA3104">
        <v>198</v>
      </c>
      <c r="AB3104">
        <v>332</v>
      </c>
      <c r="AC3104">
        <v>536</v>
      </c>
      <c r="AD3104">
        <v>26.35</v>
      </c>
      <c r="AE3104">
        <v>542</v>
      </c>
      <c r="AF3104">
        <v>15</v>
      </c>
      <c r="AG3104">
        <v>174</v>
      </c>
      <c r="AH3104">
        <v>129</v>
      </c>
      <c r="AI3104">
        <v>2.77</v>
      </c>
      <c r="AJ3104">
        <v>32.1</v>
      </c>
      <c r="AK3104">
        <v>23.8</v>
      </c>
      <c r="AL3104">
        <v>-20.166924799999951</v>
      </c>
      <c r="AM3104">
        <v>-44.912868681724092</v>
      </c>
      <c r="AN3104">
        <v>-20.166924799999951</v>
      </c>
      <c r="AO3104">
        <v>-44.912868681724092</v>
      </c>
      <c r="AP3104">
        <v>-20.166618</v>
      </c>
      <c r="AQ3104">
        <v>-44.912920999999997</v>
      </c>
      <c r="AR3104">
        <v>34.587771860198139</v>
      </c>
      <c r="AS3104" t="s">
        <v>65</v>
      </c>
      <c r="AT3104">
        <v>1</v>
      </c>
      <c r="AU3104" t="s">
        <v>1305</v>
      </c>
      <c r="AV3104" t="s">
        <v>1306</v>
      </c>
      <c r="AW3104" t="s">
        <v>60</v>
      </c>
      <c r="AX3104" t="s">
        <v>68</v>
      </c>
      <c r="AY3104" t="s">
        <v>69</v>
      </c>
      <c r="AZ3104" t="b">
        <v>1</v>
      </c>
    </row>
    <row r="3105" spans="1:52" x14ac:dyDescent="0.3">
      <c r="A3105" t="s">
        <v>52</v>
      </c>
      <c r="B3105" t="s">
        <v>53</v>
      </c>
      <c r="C3105" t="s">
        <v>54</v>
      </c>
      <c r="D3105" t="s">
        <v>55</v>
      </c>
      <c r="E3105" t="s">
        <v>2163</v>
      </c>
      <c r="F3105" t="s">
        <v>190</v>
      </c>
      <c r="G3105" t="s">
        <v>422</v>
      </c>
      <c r="H3105" t="s">
        <v>423</v>
      </c>
      <c r="I3105" t="s">
        <v>423</v>
      </c>
      <c r="J3105" t="s">
        <v>60</v>
      </c>
      <c r="K3105" t="s">
        <v>424</v>
      </c>
      <c r="L3105" t="s">
        <v>62</v>
      </c>
      <c r="M3105" t="s">
        <v>424</v>
      </c>
      <c r="N3105" t="s">
        <v>425</v>
      </c>
      <c r="O3105" t="s">
        <v>426</v>
      </c>
      <c r="P3105">
        <v>-20.177748000000001</v>
      </c>
      <c r="Q3105">
        <v>-44.912475000000001</v>
      </c>
      <c r="R3105" s="2" t="str">
        <f>HYPERLINK("https://www.google.com/maps?q=-20.1777480,-44.9124750","Abrir no Google Maps")</f>
        <v>Abrir no Google Maps</v>
      </c>
      <c r="S3105">
        <v>3</v>
      </c>
      <c r="T3105">
        <v>657.07560140436533</v>
      </c>
      <c r="U3105">
        <v>3</v>
      </c>
      <c r="V3105">
        <v>0.37095418792980611</v>
      </c>
      <c r="W3105">
        <v>1</v>
      </c>
      <c r="X3105">
        <v>0.37095418792980611</v>
      </c>
      <c r="Y3105">
        <v>723</v>
      </c>
      <c r="Z3105">
        <v>796.94198000561175</v>
      </c>
      <c r="AA3105">
        <v>198</v>
      </c>
      <c r="AB3105">
        <v>332</v>
      </c>
      <c r="AC3105">
        <v>536</v>
      </c>
      <c r="AD3105">
        <v>26.35</v>
      </c>
      <c r="AE3105">
        <v>542</v>
      </c>
      <c r="AF3105">
        <v>15</v>
      </c>
      <c r="AG3105">
        <v>174</v>
      </c>
      <c r="AH3105">
        <v>129</v>
      </c>
      <c r="AI3105">
        <v>2.77</v>
      </c>
      <c r="AJ3105">
        <v>32.1</v>
      </c>
      <c r="AK3105">
        <v>23.8</v>
      </c>
      <c r="AL3105">
        <v>-20.177761749999949</v>
      </c>
      <c r="AM3105">
        <v>-44.91263311624418</v>
      </c>
      <c r="AN3105">
        <v>-20.177761749999949</v>
      </c>
      <c r="AO3105">
        <v>-44.91263311624418</v>
      </c>
      <c r="AP3105">
        <v>-20.177748000000001</v>
      </c>
      <c r="AQ3105">
        <v>-44.912475000000001</v>
      </c>
      <c r="AR3105">
        <v>16.591996803075372</v>
      </c>
      <c r="AS3105" t="s">
        <v>65</v>
      </c>
      <c r="AT3105">
        <v>1</v>
      </c>
      <c r="AU3105" t="s">
        <v>427</v>
      </c>
      <c r="AV3105" t="s">
        <v>428</v>
      </c>
      <c r="AW3105" t="s">
        <v>60</v>
      </c>
      <c r="AX3105" t="s">
        <v>68</v>
      </c>
      <c r="AY3105" t="s">
        <v>69</v>
      </c>
      <c r="AZ3105" t="b">
        <v>1</v>
      </c>
    </row>
    <row r="3106" spans="1:52" x14ac:dyDescent="0.3">
      <c r="A3106" t="s">
        <v>52</v>
      </c>
      <c r="B3106" t="s">
        <v>53</v>
      </c>
      <c r="C3106" t="s">
        <v>54</v>
      </c>
      <c r="D3106" t="s">
        <v>55</v>
      </c>
      <c r="E3106" t="s">
        <v>2163</v>
      </c>
      <c r="F3106" t="s">
        <v>190</v>
      </c>
      <c r="G3106" t="s">
        <v>422</v>
      </c>
      <c r="H3106" t="s">
        <v>1323</v>
      </c>
      <c r="I3106" t="s">
        <v>1323</v>
      </c>
      <c r="J3106" t="s">
        <v>60</v>
      </c>
      <c r="K3106" t="s">
        <v>1324</v>
      </c>
      <c r="L3106" t="s">
        <v>62</v>
      </c>
      <c r="M3106" t="s">
        <v>1324</v>
      </c>
      <c r="N3106" t="s">
        <v>425</v>
      </c>
      <c r="O3106" t="s">
        <v>1325</v>
      </c>
      <c r="P3106">
        <v>-20.175142000000001</v>
      </c>
      <c r="Q3106">
        <v>-44.913783000000002</v>
      </c>
      <c r="R3106" s="2" t="str">
        <f>HYPERLINK("https://www.google.com/maps?q=-20.1751420,-44.9137830","Abrir no Google Maps")</f>
        <v>Abrir no Google Maps</v>
      </c>
      <c r="S3106">
        <v>3</v>
      </c>
      <c r="T3106">
        <v>495.73888273066677</v>
      </c>
      <c r="U3106">
        <v>3</v>
      </c>
      <c r="V3106">
        <v>0.40204743790557168</v>
      </c>
      <c r="W3106">
        <v>0.85</v>
      </c>
      <c r="X3106">
        <v>0.34174032221973588</v>
      </c>
      <c r="Y3106">
        <v>723</v>
      </c>
      <c r="Z3106">
        <v>488.51574748236328</v>
      </c>
      <c r="AA3106">
        <v>198</v>
      </c>
      <c r="AB3106">
        <v>332</v>
      </c>
      <c r="AC3106">
        <v>536</v>
      </c>
      <c r="AD3106">
        <v>26.35</v>
      </c>
      <c r="AE3106">
        <v>542</v>
      </c>
      <c r="AF3106">
        <v>15</v>
      </c>
      <c r="AG3106">
        <v>174</v>
      </c>
      <c r="AH3106">
        <v>129</v>
      </c>
      <c r="AI3106">
        <v>2.77</v>
      </c>
      <c r="AJ3106">
        <v>32.1</v>
      </c>
      <c r="AK3106">
        <v>23.8</v>
      </c>
      <c r="AL3106">
        <v>-20.175195199999958</v>
      </c>
      <c r="AM3106">
        <v>-44.913964122548052</v>
      </c>
      <c r="AN3106">
        <v>-20.175195199999958</v>
      </c>
      <c r="AO3106">
        <v>-44.913964122548052</v>
      </c>
      <c r="AP3106">
        <v>-20.175142000000001</v>
      </c>
      <c r="AQ3106">
        <v>-44.913783000000002</v>
      </c>
      <c r="AR3106">
        <v>19.830402633152101</v>
      </c>
      <c r="AS3106" t="s">
        <v>65</v>
      </c>
      <c r="AT3106">
        <v>1</v>
      </c>
      <c r="AU3106" t="s">
        <v>1326</v>
      </c>
      <c r="AV3106" t="s">
        <v>1327</v>
      </c>
      <c r="AW3106" t="s">
        <v>60</v>
      </c>
      <c r="AX3106" t="s">
        <v>68</v>
      </c>
      <c r="AY3106" t="s">
        <v>69</v>
      </c>
      <c r="AZ3106" t="b">
        <v>1</v>
      </c>
    </row>
    <row r="3107" spans="1:52" x14ac:dyDescent="0.3">
      <c r="A3107" t="s">
        <v>52</v>
      </c>
      <c r="B3107" t="s">
        <v>53</v>
      </c>
      <c r="C3107" t="s">
        <v>54</v>
      </c>
      <c r="D3107" t="s">
        <v>55</v>
      </c>
      <c r="E3107" t="s">
        <v>2163</v>
      </c>
      <c r="F3107" t="s">
        <v>190</v>
      </c>
      <c r="G3107" t="s">
        <v>1328</v>
      </c>
      <c r="H3107" t="s">
        <v>1329</v>
      </c>
      <c r="I3107" t="s">
        <v>1329</v>
      </c>
      <c r="J3107" t="s">
        <v>60</v>
      </c>
      <c r="K3107" t="s">
        <v>1324</v>
      </c>
      <c r="L3107" t="s">
        <v>62</v>
      </c>
      <c r="M3107" t="s">
        <v>1324</v>
      </c>
      <c r="N3107" t="s">
        <v>1330</v>
      </c>
      <c r="O3107" t="s">
        <v>1331</v>
      </c>
      <c r="P3107">
        <v>-20.172984</v>
      </c>
      <c r="Q3107">
        <v>-44.915225999999997</v>
      </c>
      <c r="R3107" s="2" t="str">
        <f>HYPERLINK("https://www.google.com/maps?q=-20.1729840,-44.9152260","Abrir no Google Maps")</f>
        <v>Abrir no Google Maps</v>
      </c>
      <c r="S3107">
        <v>3</v>
      </c>
      <c r="T3107">
        <v>498.21203543103741</v>
      </c>
      <c r="U3107">
        <v>3</v>
      </c>
      <c r="V3107">
        <v>0.430929866036249</v>
      </c>
      <c r="W3107">
        <v>0.85</v>
      </c>
      <c r="X3107">
        <v>0.36629038613081172</v>
      </c>
      <c r="Y3107">
        <v>723</v>
      </c>
      <c r="Z3107">
        <v>297.36167326949931</v>
      </c>
      <c r="AA3107">
        <v>198</v>
      </c>
      <c r="AB3107">
        <v>332</v>
      </c>
      <c r="AC3107">
        <v>536</v>
      </c>
      <c r="AD3107">
        <v>26.35</v>
      </c>
      <c r="AE3107">
        <v>542</v>
      </c>
      <c r="AF3107">
        <v>15</v>
      </c>
      <c r="AG3107">
        <v>174</v>
      </c>
      <c r="AH3107">
        <v>129</v>
      </c>
      <c r="AI3107">
        <v>2.77</v>
      </c>
      <c r="AJ3107">
        <v>32.1</v>
      </c>
      <c r="AK3107">
        <v>23.8</v>
      </c>
      <c r="AL3107">
        <v>-20.172838899999959</v>
      </c>
      <c r="AM3107">
        <v>-44.915158011603552</v>
      </c>
      <c r="AN3107">
        <v>-20.172838899999959</v>
      </c>
      <c r="AO3107">
        <v>-44.915158011603552</v>
      </c>
      <c r="AP3107">
        <v>-20.172984</v>
      </c>
      <c r="AQ3107">
        <v>-44.915225999999997</v>
      </c>
      <c r="AR3107">
        <v>17.645788305942119</v>
      </c>
      <c r="AS3107" t="s">
        <v>65</v>
      </c>
      <c r="AT3107">
        <v>1</v>
      </c>
      <c r="AU3107" t="s">
        <v>1332</v>
      </c>
      <c r="AV3107" t="s">
        <v>1327</v>
      </c>
      <c r="AW3107" t="s">
        <v>60</v>
      </c>
      <c r="AX3107" t="s">
        <v>68</v>
      </c>
      <c r="AY3107" t="s">
        <v>69</v>
      </c>
      <c r="AZ3107" t="b">
        <v>1</v>
      </c>
    </row>
    <row r="3108" spans="1:52" x14ac:dyDescent="0.3">
      <c r="A3108" t="s">
        <v>52</v>
      </c>
      <c r="B3108" t="s">
        <v>53</v>
      </c>
      <c r="C3108" t="s">
        <v>54</v>
      </c>
      <c r="D3108" t="s">
        <v>55</v>
      </c>
      <c r="E3108" t="s">
        <v>2163</v>
      </c>
      <c r="F3108" t="s">
        <v>190</v>
      </c>
      <c r="G3108" t="s">
        <v>1333</v>
      </c>
      <c r="H3108" t="s">
        <v>1334</v>
      </c>
      <c r="I3108" t="s">
        <v>1334</v>
      </c>
      <c r="J3108" t="s">
        <v>60</v>
      </c>
      <c r="K3108" t="s">
        <v>437</v>
      </c>
      <c r="L3108" t="s">
        <v>62</v>
      </c>
      <c r="M3108" t="s">
        <v>437</v>
      </c>
      <c r="N3108" t="s">
        <v>1335</v>
      </c>
      <c r="O3108" t="s">
        <v>807</v>
      </c>
      <c r="P3108">
        <v>-20.148</v>
      </c>
      <c r="Q3108">
        <v>-44.880944999999997</v>
      </c>
      <c r="R3108" s="2" t="str">
        <f>HYPERLINK("https://www.google.com/maps?q=-20.1480000,-44.8809450","Abrir no Google Maps")</f>
        <v>Abrir no Google Maps</v>
      </c>
      <c r="S3108">
        <v>3</v>
      </c>
      <c r="T3108">
        <v>0</v>
      </c>
      <c r="U3108">
        <v>3</v>
      </c>
      <c r="V3108">
        <v>0.4208605390925832</v>
      </c>
      <c r="W3108">
        <v>0.85</v>
      </c>
      <c r="X3108">
        <v>0.35773145822869568</v>
      </c>
      <c r="Y3108">
        <v>653</v>
      </c>
      <c r="Z3108">
        <v>108.2792411420544</v>
      </c>
      <c r="AA3108">
        <v>198</v>
      </c>
      <c r="AB3108">
        <v>332</v>
      </c>
      <c r="AC3108">
        <v>536</v>
      </c>
      <c r="AD3108">
        <v>26.35</v>
      </c>
      <c r="AE3108">
        <v>542</v>
      </c>
      <c r="AF3108">
        <v>15</v>
      </c>
      <c r="AG3108">
        <v>174</v>
      </c>
      <c r="AH3108">
        <v>129</v>
      </c>
      <c r="AI3108">
        <v>2.77</v>
      </c>
      <c r="AJ3108">
        <v>32.1</v>
      </c>
      <c r="AK3108">
        <v>23.8</v>
      </c>
      <c r="AL3108">
        <v>-20.14802099999994</v>
      </c>
      <c r="AM3108">
        <v>-44.880951206225959</v>
      </c>
      <c r="AN3108">
        <v>-20.14802099999994</v>
      </c>
      <c r="AO3108">
        <v>-44.880951206225959</v>
      </c>
      <c r="AP3108">
        <v>-20.148</v>
      </c>
      <c r="AQ3108">
        <v>-44.880944999999997</v>
      </c>
      <c r="AR3108">
        <v>2.4260288619737169</v>
      </c>
      <c r="AS3108" t="s">
        <v>65</v>
      </c>
      <c r="AT3108">
        <v>1</v>
      </c>
      <c r="AU3108" t="s">
        <v>1336</v>
      </c>
      <c r="AV3108" t="s">
        <v>1337</v>
      </c>
      <c r="AW3108" t="s">
        <v>60</v>
      </c>
      <c r="AX3108" t="s">
        <v>68</v>
      </c>
      <c r="AY3108" t="s">
        <v>69</v>
      </c>
      <c r="AZ3108" t="b">
        <v>1</v>
      </c>
    </row>
    <row r="3109" spans="1:52" x14ac:dyDescent="0.3">
      <c r="A3109" t="s">
        <v>52</v>
      </c>
      <c r="B3109" t="s">
        <v>53</v>
      </c>
      <c r="C3109" t="s">
        <v>54</v>
      </c>
      <c r="D3109" t="s">
        <v>55</v>
      </c>
      <c r="E3109" t="s">
        <v>2163</v>
      </c>
      <c r="F3109" t="s">
        <v>190</v>
      </c>
      <c r="G3109" t="s">
        <v>479</v>
      </c>
      <c r="H3109" t="s">
        <v>1338</v>
      </c>
      <c r="I3109" t="s">
        <v>1338</v>
      </c>
      <c r="J3109" t="s">
        <v>60</v>
      </c>
      <c r="K3109" t="s">
        <v>1302</v>
      </c>
      <c r="L3109" t="s">
        <v>62</v>
      </c>
      <c r="M3109" t="s">
        <v>1302</v>
      </c>
      <c r="N3109" t="s">
        <v>481</v>
      </c>
      <c r="O3109" t="s">
        <v>1339</v>
      </c>
      <c r="P3109">
        <v>-20.165590000000002</v>
      </c>
      <c r="Q3109">
        <v>-44.907876000000002</v>
      </c>
      <c r="R3109" s="2" t="str">
        <f>HYPERLINK("https://www.google.com/maps?q=-20.1655900,-44.9078760","Abrir no Google Maps")</f>
        <v>Abrir no Google Maps</v>
      </c>
      <c r="S3109">
        <v>3</v>
      </c>
      <c r="T3109">
        <v>626.07643944893005</v>
      </c>
      <c r="U3109">
        <v>3</v>
      </c>
      <c r="V3109">
        <v>0.44426937249078807</v>
      </c>
      <c r="W3109">
        <v>0.85</v>
      </c>
      <c r="X3109">
        <v>0.37762896661716983</v>
      </c>
      <c r="Y3109">
        <v>639</v>
      </c>
      <c r="Z3109">
        <v>723.2656461789519</v>
      </c>
      <c r="AA3109">
        <v>198</v>
      </c>
      <c r="AB3109">
        <v>332</v>
      </c>
      <c r="AC3109">
        <v>536</v>
      </c>
      <c r="AD3109">
        <v>26.35</v>
      </c>
      <c r="AE3109">
        <v>542</v>
      </c>
      <c r="AF3109">
        <v>15</v>
      </c>
      <c r="AG3109">
        <v>174</v>
      </c>
      <c r="AH3109">
        <v>129</v>
      </c>
      <c r="AI3109">
        <v>2.77</v>
      </c>
      <c r="AJ3109">
        <v>32.1</v>
      </c>
      <c r="AK3109">
        <v>23.8</v>
      </c>
      <c r="AL3109">
        <v>-20.16561419999994</v>
      </c>
      <c r="AM3109">
        <v>-44.907783360572083</v>
      </c>
      <c r="AN3109">
        <v>-20.16561419999994</v>
      </c>
      <c r="AO3109">
        <v>-44.907783360572083</v>
      </c>
      <c r="AP3109">
        <v>-20.165590000000002</v>
      </c>
      <c r="AQ3109">
        <v>-44.907876000000002</v>
      </c>
      <c r="AR3109">
        <v>10.04831364257741</v>
      </c>
      <c r="AS3109" t="s">
        <v>65</v>
      </c>
      <c r="AT3109">
        <v>1</v>
      </c>
      <c r="AU3109" t="s">
        <v>1340</v>
      </c>
      <c r="AV3109" t="s">
        <v>1341</v>
      </c>
      <c r="AW3109" t="s">
        <v>60</v>
      </c>
      <c r="AX3109" t="s">
        <v>68</v>
      </c>
      <c r="AY3109" t="s">
        <v>69</v>
      </c>
      <c r="AZ3109" t="b">
        <v>1</v>
      </c>
    </row>
    <row r="3110" spans="1:52" x14ac:dyDescent="0.3">
      <c r="A3110" t="s">
        <v>52</v>
      </c>
      <c r="B3110" t="s">
        <v>53</v>
      </c>
      <c r="C3110" t="s">
        <v>54</v>
      </c>
      <c r="D3110" t="s">
        <v>55</v>
      </c>
      <c r="E3110" t="s">
        <v>2163</v>
      </c>
      <c r="F3110" t="s">
        <v>190</v>
      </c>
      <c r="G3110" t="s">
        <v>1342</v>
      </c>
      <c r="H3110" t="s">
        <v>1343</v>
      </c>
      <c r="I3110" t="s">
        <v>1343</v>
      </c>
      <c r="J3110" t="s">
        <v>60</v>
      </c>
      <c r="K3110" t="s">
        <v>462</v>
      </c>
      <c r="L3110" t="s">
        <v>62</v>
      </c>
      <c r="M3110" t="s">
        <v>462</v>
      </c>
      <c r="N3110" t="s">
        <v>921</v>
      </c>
      <c r="O3110" t="s">
        <v>1344</v>
      </c>
      <c r="P3110">
        <v>-20.137526000000001</v>
      </c>
      <c r="Q3110">
        <v>-44.912452999999999</v>
      </c>
      <c r="R3110" s="2" t="str">
        <f>HYPERLINK("https://www.google.com/maps?q=-20.1375260,-44.9124530","Abrir no Google Maps")</f>
        <v>Abrir no Google Maps</v>
      </c>
      <c r="S3110">
        <v>3</v>
      </c>
      <c r="T3110">
        <v>446.95091416730708</v>
      </c>
      <c r="U3110">
        <v>3</v>
      </c>
      <c r="V3110">
        <v>0.4311546840958605</v>
      </c>
      <c r="W3110">
        <v>0.85</v>
      </c>
      <c r="X3110">
        <v>0.36648148148148141</v>
      </c>
      <c r="Y3110">
        <v>581</v>
      </c>
      <c r="Z3110">
        <v>507.4747778269288</v>
      </c>
      <c r="AA3110">
        <v>198</v>
      </c>
      <c r="AB3110">
        <v>332</v>
      </c>
      <c r="AC3110">
        <v>536</v>
      </c>
      <c r="AD3110">
        <v>26.35</v>
      </c>
      <c r="AE3110">
        <v>542</v>
      </c>
      <c r="AF3110">
        <v>15</v>
      </c>
      <c r="AG3110">
        <v>174</v>
      </c>
      <c r="AH3110">
        <v>129</v>
      </c>
      <c r="AI3110">
        <v>2.77</v>
      </c>
      <c r="AJ3110">
        <v>32.1</v>
      </c>
      <c r="AK3110">
        <v>23.8</v>
      </c>
      <c r="AL3110">
        <v>-20.136672649999959</v>
      </c>
      <c r="AM3110">
        <v>-44.911825104396357</v>
      </c>
      <c r="AN3110">
        <v>-20.136672649999959</v>
      </c>
      <c r="AO3110">
        <v>-44.911825104396357</v>
      </c>
      <c r="AP3110">
        <v>-20.137526000000001</v>
      </c>
      <c r="AQ3110">
        <v>-44.912452999999999</v>
      </c>
      <c r="AR3110">
        <v>115.45843265992529</v>
      </c>
      <c r="AS3110" t="s">
        <v>65</v>
      </c>
      <c r="AT3110">
        <v>1</v>
      </c>
      <c r="AU3110" t="s">
        <v>1345</v>
      </c>
      <c r="AV3110" t="s">
        <v>1346</v>
      </c>
      <c r="AW3110" t="s">
        <v>60</v>
      </c>
      <c r="AX3110" t="s">
        <v>68</v>
      </c>
      <c r="AY3110" t="s">
        <v>69</v>
      </c>
      <c r="AZ3110" t="b">
        <v>1</v>
      </c>
    </row>
    <row r="3111" spans="1:52" x14ac:dyDescent="0.3">
      <c r="A3111" t="s">
        <v>52</v>
      </c>
      <c r="B3111" t="s">
        <v>53</v>
      </c>
      <c r="C3111" t="s">
        <v>54</v>
      </c>
      <c r="D3111" t="s">
        <v>55</v>
      </c>
      <c r="E3111" t="s">
        <v>2163</v>
      </c>
      <c r="F3111" t="s">
        <v>190</v>
      </c>
      <c r="G3111" t="s">
        <v>851</v>
      </c>
      <c r="H3111" t="s">
        <v>852</v>
      </c>
      <c r="I3111" t="s">
        <v>852</v>
      </c>
      <c r="J3111" t="s">
        <v>60</v>
      </c>
      <c r="K3111" t="s">
        <v>853</v>
      </c>
      <c r="L3111" t="s">
        <v>62</v>
      </c>
      <c r="M3111" t="s">
        <v>853</v>
      </c>
      <c r="N3111" t="s">
        <v>854</v>
      </c>
      <c r="O3111" t="s">
        <v>855</v>
      </c>
      <c r="P3111">
        <v>-20.127835000000001</v>
      </c>
      <c r="Q3111">
        <v>-44.909329</v>
      </c>
      <c r="R3111" s="2" t="str">
        <f>HYPERLINK("https://www.google.com/maps?q=-20.1278350,-44.9093290","Abrir no Google Maps")</f>
        <v>Abrir no Google Maps</v>
      </c>
      <c r="S3111">
        <v>3</v>
      </c>
      <c r="T3111">
        <v>1173.033690896357</v>
      </c>
      <c r="U3111">
        <v>3</v>
      </c>
      <c r="V3111">
        <v>0.34919379315577809</v>
      </c>
      <c r="W3111">
        <v>1</v>
      </c>
      <c r="X3111">
        <v>0.34919379315577809</v>
      </c>
      <c r="Y3111">
        <v>581</v>
      </c>
      <c r="Z3111">
        <v>1296.5011565926129</v>
      </c>
      <c r="AA3111">
        <v>198</v>
      </c>
      <c r="AB3111">
        <v>332</v>
      </c>
      <c r="AC3111">
        <v>536</v>
      </c>
      <c r="AD3111">
        <v>26.35</v>
      </c>
      <c r="AE3111">
        <v>542</v>
      </c>
      <c r="AF3111">
        <v>15</v>
      </c>
      <c r="AG3111">
        <v>174</v>
      </c>
      <c r="AH3111">
        <v>129</v>
      </c>
      <c r="AI3111">
        <v>2.77</v>
      </c>
      <c r="AJ3111">
        <v>32.1</v>
      </c>
      <c r="AK3111">
        <v>23.8</v>
      </c>
      <c r="AL3111">
        <v>-20.127852899999969</v>
      </c>
      <c r="AM3111">
        <v>-44.909386667699948</v>
      </c>
      <c r="AN3111">
        <v>-20.127852899999969</v>
      </c>
      <c r="AO3111">
        <v>-44.909386667699948</v>
      </c>
      <c r="AP3111">
        <v>-20.127835000000001</v>
      </c>
      <c r="AQ3111">
        <v>-44.909329</v>
      </c>
      <c r="AR3111">
        <v>6.3483385067119924</v>
      </c>
      <c r="AS3111" t="s">
        <v>65</v>
      </c>
      <c r="AT3111">
        <v>1</v>
      </c>
      <c r="AU3111" t="s">
        <v>856</v>
      </c>
      <c r="AV3111" t="s">
        <v>857</v>
      </c>
      <c r="AW3111" t="s">
        <v>60</v>
      </c>
      <c r="AX3111" t="s">
        <v>68</v>
      </c>
      <c r="AY3111" t="s">
        <v>69</v>
      </c>
      <c r="AZ3111" t="b">
        <v>1</v>
      </c>
    </row>
    <row r="3112" spans="1:52" x14ac:dyDescent="0.3">
      <c r="A3112" t="s">
        <v>52</v>
      </c>
      <c r="B3112" t="s">
        <v>53</v>
      </c>
      <c r="C3112" t="s">
        <v>54</v>
      </c>
      <c r="D3112" t="s">
        <v>55</v>
      </c>
      <c r="E3112" t="s">
        <v>2163</v>
      </c>
      <c r="F3112" t="s">
        <v>190</v>
      </c>
      <c r="G3112" t="s">
        <v>858</v>
      </c>
      <c r="H3112" t="s">
        <v>1360</v>
      </c>
      <c r="I3112" t="s">
        <v>1360</v>
      </c>
      <c r="J3112" t="s">
        <v>60</v>
      </c>
      <c r="K3112" t="s">
        <v>1356</v>
      </c>
      <c r="L3112" t="s">
        <v>62</v>
      </c>
      <c r="M3112" t="s">
        <v>1356</v>
      </c>
      <c r="N3112" t="s">
        <v>860</v>
      </c>
      <c r="O3112" t="s">
        <v>1361</v>
      </c>
      <c r="P3112">
        <v>-20.134969000000002</v>
      </c>
      <c r="Q3112">
        <v>-44.909384000000003</v>
      </c>
      <c r="R3112" s="2" t="str">
        <f>HYPERLINK("https://www.google.com/maps?q=-20.1349690,-44.9093840","Abrir no Google Maps")</f>
        <v>Abrir no Google Maps</v>
      </c>
      <c r="S3112">
        <v>3</v>
      </c>
      <c r="T3112">
        <v>413.6655911675532</v>
      </c>
      <c r="U3112">
        <v>3</v>
      </c>
      <c r="V3112">
        <v>0.4229625180545426</v>
      </c>
      <c r="W3112">
        <v>0.85</v>
      </c>
      <c r="X3112">
        <v>0.3595181403463612</v>
      </c>
      <c r="Y3112">
        <v>581</v>
      </c>
      <c r="Z3112">
        <v>555.30228470489919</v>
      </c>
      <c r="AA3112">
        <v>198</v>
      </c>
      <c r="AB3112">
        <v>332</v>
      </c>
      <c r="AC3112">
        <v>536</v>
      </c>
      <c r="AD3112">
        <v>26.35</v>
      </c>
      <c r="AE3112">
        <v>542</v>
      </c>
      <c r="AF3112">
        <v>15</v>
      </c>
      <c r="AG3112">
        <v>174</v>
      </c>
      <c r="AH3112">
        <v>129</v>
      </c>
      <c r="AI3112">
        <v>2.77</v>
      </c>
      <c r="AJ3112">
        <v>32.1</v>
      </c>
      <c r="AK3112">
        <v>23.8</v>
      </c>
      <c r="AL3112">
        <v>-20.134922099999951</v>
      </c>
      <c r="AM3112">
        <v>-44.909483975879112</v>
      </c>
      <c r="AN3112">
        <v>-20.134922099999951</v>
      </c>
      <c r="AO3112">
        <v>-44.909483975879112</v>
      </c>
      <c r="AP3112">
        <v>-20.134969000000002</v>
      </c>
      <c r="AQ3112">
        <v>-44.909384000000003</v>
      </c>
      <c r="AR3112">
        <v>11.68085867639515</v>
      </c>
      <c r="AS3112" t="s">
        <v>65</v>
      </c>
      <c r="AT3112">
        <v>1</v>
      </c>
      <c r="AU3112" t="s">
        <v>1362</v>
      </c>
      <c r="AV3112" t="s">
        <v>1363</v>
      </c>
      <c r="AW3112" t="s">
        <v>60</v>
      </c>
      <c r="AX3112" t="s">
        <v>68</v>
      </c>
      <c r="AY3112" t="s">
        <v>69</v>
      </c>
      <c r="AZ3112" t="b">
        <v>1</v>
      </c>
    </row>
    <row r="3113" spans="1:52" x14ac:dyDescent="0.3">
      <c r="A3113" t="s">
        <v>52</v>
      </c>
      <c r="B3113" t="s">
        <v>53</v>
      </c>
      <c r="C3113" t="s">
        <v>54</v>
      </c>
      <c r="D3113" t="s">
        <v>55</v>
      </c>
      <c r="E3113" t="s">
        <v>2163</v>
      </c>
      <c r="F3113" t="s">
        <v>190</v>
      </c>
      <c r="G3113" t="s">
        <v>1364</v>
      </c>
      <c r="H3113" t="s">
        <v>1369</v>
      </c>
      <c r="I3113" t="s">
        <v>1369</v>
      </c>
      <c r="J3113" t="s">
        <v>60</v>
      </c>
      <c r="K3113" t="s">
        <v>1370</v>
      </c>
      <c r="L3113" t="s">
        <v>62</v>
      </c>
      <c r="M3113" t="s">
        <v>1370</v>
      </c>
      <c r="N3113" t="s">
        <v>1366</v>
      </c>
      <c r="O3113" t="s">
        <v>989</v>
      </c>
      <c r="P3113">
        <v>-20.141185</v>
      </c>
      <c r="Q3113">
        <v>-44.914200999999998</v>
      </c>
      <c r="R3113" s="2" t="str">
        <f>HYPERLINK("https://www.google.com/maps?q=-20.1411850,-44.9142010","Abrir no Google Maps")</f>
        <v>Abrir no Google Maps</v>
      </c>
      <c r="S3113">
        <v>3</v>
      </c>
      <c r="T3113">
        <v>512.52588459346453</v>
      </c>
      <c r="U3113">
        <v>3</v>
      </c>
      <c r="V3113">
        <v>0.40545915778792491</v>
      </c>
      <c r="W3113">
        <v>0.85</v>
      </c>
      <c r="X3113">
        <v>0.34464028411973618</v>
      </c>
      <c r="Y3113">
        <v>581</v>
      </c>
      <c r="Z3113">
        <v>473.10673043319349</v>
      </c>
      <c r="AA3113">
        <v>198</v>
      </c>
      <c r="AB3113">
        <v>332</v>
      </c>
      <c r="AC3113">
        <v>536</v>
      </c>
      <c r="AD3113">
        <v>26.35</v>
      </c>
      <c r="AE3113">
        <v>542</v>
      </c>
      <c r="AF3113">
        <v>15</v>
      </c>
      <c r="AG3113">
        <v>174</v>
      </c>
      <c r="AH3113">
        <v>129</v>
      </c>
      <c r="AI3113">
        <v>2.77</v>
      </c>
      <c r="AJ3113">
        <v>32.1</v>
      </c>
      <c r="AK3113">
        <v>23.8</v>
      </c>
      <c r="AL3113">
        <v>-20.14133909999995</v>
      </c>
      <c r="AM3113">
        <v>-44.913910219286038</v>
      </c>
      <c r="AN3113">
        <v>-20.14133909999995</v>
      </c>
      <c r="AO3113">
        <v>-44.913910219286038</v>
      </c>
      <c r="AP3113">
        <v>-20.141185</v>
      </c>
      <c r="AQ3113">
        <v>-44.914200999999998</v>
      </c>
      <c r="AR3113">
        <v>34.897514361429593</v>
      </c>
      <c r="AS3113" t="s">
        <v>65</v>
      </c>
      <c r="AT3113">
        <v>1</v>
      </c>
      <c r="AU3113" t="s">
        <v>1371</v>
      </c>
      <c r="AV3113" t="s">
        <v>863</v>
      </c>
      <c r="AW3113" t="s">
        <v>60</v>
      </c>
      <c r="AX3113" t="s">
        <v>68</v>
      </c>
      <c r="AY3113" t="s">
        <v>69</v>
      </c>
      <c r="AZ3113" t="b">
        <v>1</v>
      </c>
    </row>
    <row r="3114" spans="1:52" x14ac:dyDescent="0.3">
      <c r="A3114" t="s">
        <v>52</v>
      </c>
      <c r="B3114" t="s">
        <v>53</v>
      </c>
      <c r="C3114" t="s">
        <v>54</v>
      </c>
      <c r="D3114" t="s">
        <v>55</v>
      </c>
      <c r="E3114" t="s">
        <v>2163</v>
      </c>
      <c r="F3114" t="s">
        <v>190</v>
      </c>
      <c r="G3114" t="s">
        <v>1300</v>
      </c>
      <c r="H3114" t="s">
        <v>1372</v>
      </c>
      <c r="I3114" t="s">
        <v>1372</v>
      </c>
      <c r="J3114" t="s">
        <v>60</v>
      </c>
      <c r="K3114" t="s">
        <v>486</v>
      </c>
      <c r="L3114" t="s">
        <v>62</v>
      </c>
      <c r="M3114" t="s">
        <v>486</v>
      </c>
      <c r="N3114" t="s">
        <v>1303</v>
      </c>
      <c r="O3114" t="s">
        <v>1373</v>
      </c>
      <c r="P3114">
        <v>-20.170458</v>
      </c>
      <c r="Q3114">
        <v>-44.900936000000002</v>
      </c>
      <c r="R3114" s="2" t="str">
        <f>HYPERLINK("https://www.google.com/maps?q=-20.1704580,-44.9009360","Abrir no Google Maps")</f>
        <v>Abrir no Google Maps</v>
      </c>
      <c r="S3114">
        <v>3</v>
      </c>
      <c r="T3114">
        <v>470.55793133653339</v>
      </c>
      <c r="U3114">
        <v>3</v>
      </c>
      <c r="V3114">
        <v>0.44227041993539462</v>
      </c>
      <c r="W3114">
        <v>0.85</v>
      </c>
      <c r="X3114">
        <v>0.37592985694508541</v>
      </c>
      <c r="Y3114">
        <v>578</v>
      </c>
      <c r="Z3114">
        <v>645.48909402437766</v>
      </c>
      <c r="AA3114">
        <v>198</v>
      </c>
      <c r="AB3114">
        <v>332</v>
      </c>
      <c r="AC3114">
        <v>536</v>
      </c>
      <c r="AD3114">
        <v>26.35</v>
      </c>
      <c r="AE3114">
        <v>542</v>
      </c>
      <c r="AF3114">
        <v>15</v>
      </c>
      <c r="AG3114">
        <v>174</v>
      </c>
      <c r="AH3114">
        <v>129</v>
      </c>
      <c r="AI3114">
        <v>2.77</v>
      </c>
      <c r="AJ3114">
        <v>32.1</v>
      </c>
      <c r="AK3114">
        <v>23.8</v>
      </c>
      <c r="AL3114">
        <v>-20.17025029999996</v>
      </c>
      <c r="AM3114">
        <v>-44.901067235372473</v>
      </c>
      <c r="AN3114">
        <v>-20.17025029999996</v>
      </c>
      <c r="AO3114">
        <v>-44.901067235372473</v>
      </c>
      <c r="AP3114">
        <v>-20.170458</v>
      </c>
      <c r="AQ3114">
        <v>-44.900936000000002</v>
      </c>
      <c r="AR3114">
        <v>26.88195352459519</v>
      </c>
      <c r="AS3114" t="s">
        <v>65</v>
      </c>
      <c r="AT3114">
        <v>1</v>
      </c>
      <c r="AU3114" t="s">
        <v>1374</v>
      </c>
      <c r="AV3114" t="s">
        <v>1375</v>
      </c>
      <c r="AW3114" t="s">
        <v>60</v>
      </c>
      <c r="AX3114" t="s">
        <v>68</v>
      </c>
      <c r="AY3114" t="s">
        <v>69</v>
      </c>
      <c r="AZ3114" t="b">
        <v>1</v>
      </c>
    </row>
    <row r="3115" spans="1:52" x14ac:dyDescent="0.3">
      <c r="A3115" t="s">
        <v>52</v>
      </c>
      <c r="B3115" t="s">
        <v>53</v>
      </c>
      <c r="C3115" t="s">
        <v>54</v>
      </c>
      <c r="D3115" t="s">
        <v>55</v>
      </c>
      <c r="E3115" t="s">
        <v>2163</v>
      </c>
      <c r="F3115" t="s">
        <v>190</v>
      </c>
      <c r="G3115" t="s">
        <v>473</v>
      </c>
      <c r="H3115" t="s">
        <v>474</v>
      </c>
      <c r="I3115" t="s">
        <v>474</v>
      </c>
      <c r="J3115" t="s">
        <v>60</v>
      </c>
      <c r="K3115" t="s">
        <v>475</v>
      </c>
      <c r="L3115" t="s">
        <v>62</v>
      </c>
      <c r="M3115" t="s">
        <v>475</v>
      </c>
      <c r="N3115" t="s">
        <v>406</v>
      </c>
      <c r="O3115" t="s">
        <v>476</v>
      </c>
      <c r="P3115">
        <v>-20.177902</v>
      </c>
      <c r="Q3115">
        <v>-44.908504000000001</v>
      </c>
      <c r="R3115" s="2" t="str">
        <f>HYPERLINK("https://www.google.com/maps?q=-20.1779020,-44.9085040","Abrir no Google Maps")</f>
        <v>Abrir no Google Maps</v>
      </c>
      <c r="S3115">
        <v>3</v>
      </c>
      <c r="T3115">
        <v>656.92307673247149</v>
      </c>
      <c r="U3115">
        <v>3</v>
      </c>
      <c r="V3115">
        <v>0.32689768548561537</v>
      </c>
      <c r="W3115">
        <v>1</v>
      </c>
      <c r="X3115">
        <v>0.32689768548561537</v>
      </c>
      <c r="Y3115">
        <v>578</v>
      </c>
      <c r="Z3115">
        <v>635.01982153722327</v>
      </c>
      <c r="AA3115">
        <v>198</v>
      </c>
      <c r="AB3115">
        <v>332</v>
      </c>
      <c r="AC3115">
        <v>536</v>
      </c>
      <c r="AD3115">
        <v>26.35</v>
      </c>
      <c r="AE3115">
        <v>542</v>
      </c>
      <c r="AF3115">
        <v>15</v>
      </c>
      <c r="AG3115">
        <v>174</v>
      </c>
      <c r="AH3115">
        <v>129</v>
      </c>
      <c r="AI3115">
        <v>2.77</v>
      </c>
      <c r="AJ3115">
        <v>32.1</v>
      </c>
      <c r="AK3115">
        <v>23.8</v>
      </c>
      <c r="AL3115">
        <v>-20.177800399999938</v>
      </c>
      <c r="AM3115">
        <v>-44.908361879701268</v>
      </c>
      <c r="AN3115">
        <v>-20.177800399999938</v>
      </c>
      <c r="AO3115">
        <v>-44.908361879701268</v>
      </c>
      <c r="AP3115">
        <v>-20.177902</v>
      </c>
      <c r="AQ3115">
        <v>-44.908504000000001</v>
      </c>
      <c r="AR3115">
        <v>18.666463141775541</v>
      </c>
      <c r="AS3115" t="s">
        <v>65</v>
      </c>
      <c r="AT3115">
        <v>1</v>
      </c>
      <c r="AU3115" t="s">
        <v>477</v>
      </c>
      <c r="AV3115" t="s">
        <v>478</v>
      </c>
      <c r="AW3115" t="s">
        <v>60</v>
      </c>
      <c r="AX3115" t="s">
        <v>68</v>
      </c>
      <c r="AY3115" t="s">
        <v>69</v>
      </c>
      <c r="AZ3115" t="b">
        <v>1</v>
      </c>
    </row>
    <row r="3116" spans="1:52" x14ac:dyDescent="0.3">
      <c r="A3116" t="s">
        <v>52</v>
      </c>
      <c r="B3116" t="s">
        <v>53</v>
      </c>
      <c r="C3116" t="s">
        <v>54</v>
      </c>
      <c r="D3116" t="s">
        <v>55</v>
      </c>
      <c r="E3116" t="s">
        <v>2163</v>
      </c>
      <c r="F3116" t="s">
        <v>190</v>
      </c>
      <c r="G3116" t="s">
        <v>484</v>
      </c>
      <c r="H3116" t="s">
        <v>485</v>
      </c>
      <c r="I3116" t="s">
        <v>485</v>
      </c>
      <c r="J3116" t="s">
        <v>60</v>
      </c>
      <c r="K3116" t="s">
        <v>486</v>
      </c>
      <c r="L3116" t="s">
        <v>62</v>
      </c>
      <c r="M3116" t="s">
        <v>486</v>
      </c>
      <c r="N3116" t="s">
        <v>487</v>
      </c>
      <c r="O3116" t="s">
        <v>488</v>
      </c>
      <c r="P3116">
        <v>-20.173000999999999</v>
      </c>
      <c r="Q3116">
        <v>-44.901876999999999</v>
      </c>
      <c r="R3116" s="2" t="str">
        <f>HYPERLINK("https://www.google.com/maps?q=-20.1730010,-44.9018770","Abrir no Google Maps")</f>
        <v>Abrir no Google Maps</v>
      </c>
      <c r="S3116">
        <v>3</v>
      </c>
      <c r="T3116">
        <v>437.59695450783011</v>
      </c>
      <c r="U3116">
        <v>3</v>
      </c>
      <c r="V3116">
        <v>0.37340503769075201</v>
      </c>
      <c r="W3116">
        <v>1</v>
      </c>
      <c r="X3116">
        <v>0.37340503769075201</v>
      </c>
      <c r="Y3116">
        <v>578</v>
      </c>
      <c r="Z3116">
        <v>440.53629183653243</v>
      </c>
      <c r="AA3116">
        <v>198</v>
      </c>
      <c r="AB3116">
        <v>332</v>
      </c>
      <c r="AC3116">
        <v>536</v>
      </c>
      <c r="AD3116">
        <v>26.35</v>
      </c>
      <c r="AE3116">
        <v>542</v>
      </c>
      <c r="AF3116">
        <v>15</v>
      </c>
      <c r="AG3116">
        <v>174</v>
      </c>
      <c r="AH3116">
        <v>129</v>
      </c>
      <c r="AI3116">
        <v>2.77</v>
      </c>
      <c r="AJ3116">
        <v>32.1</v>
      </c>
      <c r="AK3116">
        <v>23.8</v>
      </c>
      <c r="AL3116">
        <v>-20.173065299999969</v>
      </c>
      <c r="AM3116">
        <v>-44.902052686008687</v>
      </c>
      <c r="AN3116">
        <v>-20.173065299999969</v>
      </c>
      <c r="AO3116">
        <v>-44.902052686008687</v>
      </c>
      <c r="AP3116">
        <v>-20.173000999999999</v>
      </c>
      <c r="AQ3116">
        <v>-44.901876999999999</v>
      </c>
      <c r="AR3116">
        <v>19.703745070768829</v>
      </c>
      <c r="AS3116" t="s">
        <v>65</v>
      </c>
      <c r="AT3116">
        <v>1</v>
      </c>
      <c r="AU3116" t="s">
        <v>489</v>
      </c>
      <c r="AV3116" t="s">
        <v>490</v>
      </c>
      <c r="AW3116" t="s">
        <v>60</v>
      </c>
      <c r="AX3116" t="s">
        <v>68</v>
      </c>
      <c r="AY3116" t="s">
        <v>69</v>
      </c>
      <c r="AZ3116" t="b">
        <v>1</v>
      </c>
    </row>
    <row r="3117" spans="1:52" x14ac:dyDescent="0.3">
      <c r="A3117" t="s">
        <v>52</v>
      </c>
      <c r="B3117" t="s">
        <v>53</v>
      </c>
      <c r="C3117" t="s">
        <v>54</v>
      </c>
      <c r="D3117" t="s">
        <v>55</v>
      </c>
      <c r="E3117" t="s">
        <v>2163</v>
      </c>
      <c r="F3117" t="s">
        <v>190</v>
      </c>
      <c r="G3117" t="s">
        <v>491</v>
      </c>
      <c r="H3117" t="s">
        <v>492</v>
      </c>
      <c r="I3117" t="s">
        <v>492</v>
      </c>
      <c r="J3117" t="s">
        <v>60</v>
      </c>
      <c r="K3117" t="s">
        <v>475</v>
      </c>
      <c r="L3117" t="s">
        <v>62</v>
      </c>
      <c r="M3117" t="s">
        <v>475</v>
      </c>
      <c r="N3117" t="s">
        <v>493</v>
      </c>
      <c r="O3117" t="s">
        <v>494</v>
      </c>
      <c r="P3117">
        <v>-20.175250999999999</v>
      </c>
      <c r="Q3117">
        <v>-44.897357</v>
      </c>
      <c r="R3117" s="2" t="str">
        <f>HYPERLINK("https://www.google.com/maps?q=-20.1752510,-44.8973570","Abrir no Google Maps")</f>
        <v>Abrir no Google Maps</v>
      </c>
      <c r="S3117">
        <v>3</v>
      </c>
      <c r="T3117">
        <v>992.29631678149951</v>
      </c>
      <c r="U3117">
        <v>3</v>
      </c>
      <c r="V3117">
        <v>0.36002629272567921</v>
      </c>
      <c r="W3117">
        <v>1</v>
      </c>
      <c r="X3117">
        <v>0.36002629272567921</v>
      </c>
      <c r="Y3117">
        <v>578</v>
      </c>
      <c r="Z3117">
        <v>1008.5871064168319</v>
      </c>
      <c r="AA3117">
        <v>198</v>
      </c>
      <c r="AB3117">
        <v>332</v>
      </c>
      <c r="AC3117">
        <v>536</v>
      </c>
      <c r="AD3117">
        <v>26.35</v>
      </c>
      <c r="AE3117">
        <v>542</v>
      </c>
      <c r="AF3117">
        <v>15</v>
      </c>
      <c r="AG3117">
        <v>174</v>
      </c>
      <c r="AH3117">
        <v>129</v>
      </c>
      <c r="AI3117">
        <v>2.77</v>
      </c>
      <c r="AJ3117">
        <v>32.1</v>
      </c>
      <c r="AK3117">
        <v>23.8</v>
      </c>
      <c r="AL3117">
        <v>-20.175290599999951</v>
      </c>
      <c r="AM3117">
        <v>-44.897271931010721</v>
      </c>
      <c r="AN3117">
        <v>-20.175290599999951</v>
      </c>
      <c r="AO3117">
        <v>-44.897271931010721</v>
      </c>
      <c r="AP3117">
        <v>-20.175250999999999</v>
      </c>
      <c r="AQ3117">
        <v>-44.897357</v>
      </c>
      <c r="AR3117">
        <v>9.921899108467926</v>
      </c>
      <c r="AS3117" t="s">
        <v>65</v>
      </c>
      <c r="AT3117">
        <v>1</v>
      </c>
      <c r="AU3117" t="s">
        <v>495</v>
      </c>
      <c r="AV3117" t="s">
        <v>496</v>
      </c>
      <c r="AW3117" t="s">
        <v>60</v>
      </c>
      <c r="AX3117" t="s">
        <v>68</v>
      </c>
      <c r="AY3117" t="s">
        <v>69</v>
      </c>
      <c r="AZ3117" t="b">
        <v>1</v>
      </c>
    </row>
    <row r="3118" spans="1:52" x14ac:dyDescent="0.3">
      <c r="A3118" t="s">
        <v>52</v>
      </c>
      <c r="B3118" t="s">
        <v>53</v>
      </c>
      <c r="C3118" t="s">
        <v>54</v>
      </c>
      <c r="D3118" t="s">
        <v>55</v>
      </c>
      <c r="E3118" t="s">
        <v>2163</v>
      </c>
      <c r="F3118" t="s">
        <v>190</v>
      </c>
      <c r="G3118" t="s">
        <v>1393</v>
      </c>
      <c r="H3118" t="s">
        <v>1394</v>
      </c>
      <c r="I3118" t="s">
        <v>1394</v>
      </c>
      <c r="J3118" t="s">
        <v>60</v>
      </c>
      <c r="K3118" t="s">
        <v>388</v>
      </c>
      <c r="L3118" t="s">
        <v>62</v>
      </c>
      <c r="M3118" t="s">
        <v>388</v>
      </c>
      <c r="N3118" t="s">
        <v>1395</v>
      </c>
      <c r="O3118" t="s">
        <v>1396</v>
      </c>
      <c r="P3118">
        <v>-20.167425000000001</v>
      </c>
      <c r="Q3118">
        <v>-44.907733999999998</v>
      </c>
      <c r="R3118" s="2" t="str">
        <f>HYPERLINK("https://www.google.com/maps?q=-20.1674250,-44.9077340","Abrir no Google Maps")</f>
        <v>Abrir no Google Maps</v>
      </c>
      <c r="S3118">
        <v>3</v>
      </c>
      <c r="T3118">
        <v>424.62372109792739</v>
      </c>
      <c r="U3118">
        <v>3</v>
      </c>
      <c r="V3118">
        <v>0.42668844327495992</v>
      </c>
      <c r="W3118">
        <v>0.85</v>
      </c>
      <c r="X3118">
        <v>0.36268517678371592</v>
      </c>
      <c r="Y3118">
        <v>578</v>
      </c>
      <c r="Z3118">
        <v>559.08337206965382</v>
      </c>
      <c r="AA3118">
        <v>198</v>
      </c>
      <c r="AB3118">
        <v>332</v>
      </c>
      <c r="AC3118">
        <v>536</v>
      </c>
      <c r="AD3118">
        <v>26.35</v>
      </c>
      <c r="AE3118">
        <v>542</v>
      </c>
      <c r="AF3118">
        <v>15</v>
      </c>
      <c r="AG3118">
        <v>174</v>
      </c>
      <c r="AH3118">
        <v>129</v>
      </c>
      <c r="AI3118">
        <v>2.77</v>
      </c>
      <c r="AJ3118">
        <v>32.1</v>
      </c>
      <c r="AK3118">
        <v>23.8</v>
      </c>
      <c r="AL3118">
        <v>-20.167592099999951</v>
      </c>
      <c r="AM3118">
        <v>-44.907664214502859</v>
      </c>
      <c r="AN3118">
        <v>-20.167592099999951</v>
      </c>
      <c r="AO3118">
        <v>-44.907664214502859</v>
      </c>
      <c r="AP3118">
        <v>-20.167425000000001</v>
      </c>
      <c r="AQ3118">
        <v>-44.907733999999998</v>
      </c>
      <c r="AR3118">
        <v>19.979863459652229</v>
      </c>
      <c r="AS3118" t="s">
        <v>65</v>
      </c>
      <c r="AT3118">
        <v>1</v>
      </c>
      <c r="AU3118" t="s">
        <v>1397</v>
      </c>
      <c r="AV3118" t="s">
        <v>1398</v>
      </c>
      <c r="AW3118" t="s">
        <v>60</v>
      </c>
      <c r="AX3118" t="s">
        <v>68</v>
      </c>
      <c r="AY3118" t="s">
        <v>69</v>
      </c>
      <c r="AZ3118" t="b">
        <v>1</v>
      </c>
    </row>
    <row r="3119" spans="1:52" x14ac:dyDescent="0.3">
      <c r="A3119" t="s">
        <v>52</v>
      </c>
      <c r="B3119" t="s">
        <v>53</v>
      </c>
      <c r="C3119" t="s">
        <v>54</v>
      </c>
      <c r="D3119" t="s">
        <v>55</v>
      </c>
      <c r="E3119" t="s">
        <v>2163</v>
      </c>
      <c r="F3119" t="s">
        <v>190</v>
      </c>
      <c r="G3119" t="s">
        <v>497</v>
      </c>
      <c r="H3119" t="s">
        <v>875</v>
      </c>
      <c r="I3119" t="s">
        <v>875</v>
      </c>
      <c r="J3119" t="s">
        <v>60</v>
      </c>
      <c r="K3119" t="s">
        <v>475</v>
      </c>
      <c r="L3119" t="s">
        <v>62</v>
      </c>
      <c r="M3119" t="s">
        <v>475</v>
      </c>
      <c r="N3119" t="s">
        <v>499</v>
      </c>
      <c r="O3119" t="s">
        <v>876</v>
      </c>
      <c r="P3119">
        <v>-20.177212999999998</v>
      </c>
      <c r="Q3119">
        <v>-44.904026999999999</v>
      </c>
      <c r="R3119" s="2" t="str">
        <f>HYPERLINK("https://www.google.com/maps?q=-20.1772130,-44.9040270","Abrir no Google Maps")</f>
        <v>Abrir no Google Maps</v>
      </c>
      <c r="S3119">
        <v>3</v>
      </c>
      <c r="T3119">
        <v>706.4159561113795</v>
      </c>
      <c r="U3119">
        <v>3</v>
      </c>
      <c r="V3119">
        <v>0.34510640452709801</v>
      </c>
      <c r="W3119">
        <v>1</v>
      </c>
      <c r="X3119">
        <v>0.34510640452709801</v>
      </c>
      <c r="Y3119">
        <v>578</v>
      </c>
      <c r="Z3119">
        <v>588.7160518608398</v>
      </c>
      <c r="AA3119">
        <v>198</v>
      </c>
      <c r="AB3119">
        <v>332</v>
      </c>
      <c r="AC3119">
        <v>536</v>
      </c>
      <c r="AD3119">
        <v>26.35</v>
      </c>
      <c r="AE3119">
        <v>542</v>
      </c>
      <c r="AF3119">
        <v>15</v>
      </c>
      <c r="AG3119">
        <v>174</v>
      </c>
      <c r="AH3119">
        <v>129</v>
      </c>
      <c r="AI3119">
        <v>2.77</v>
      </c>
      <c r="AJ3119">
        <v>32.1</v>
      </c>
      <c r="AK3119">
        <v>23.8</v>
      </c>
      <c r="AL3119">
        <v>-20.177090199999949</v>
      </c>
      <c r="AM3119">
        <v>-44.904078820930181</v>
      </c>
      <c r="AN3119">
        <v>-20.177090199999949</v>
      </c>
      <c r="AO3119">
        <v>-44.904078820930181</v>
      </c>
      <c r="AP3119">
        <v>-20.177212999999998</v>
      </c>
      <c r="AQ3119">
        <v>-44.904026999999999</v>
      </c>
      <c r="AR3119">
        <v>14.7034129632295</v>
      </c>
      <c r="AS3119" t="s">
        <v>65</v>
      </c>
      <c r="AT3119">
        <v>1</v>
      </c>
      <c r="AU3119" t="s">
        <v>877</v>
      </c>
      <c r="AV3119" t="s">
        <v>878</v>
      </c>
      <c r="AW3119" t="s">
        <v>60</v>
      </c>
      <c r="AX3119" t="s">
        <v>68</v>
      </c>
      <c r="AY3119" t="s">
        <v>69</v>
      </c>
      <c r="AZ3119" t="b">
        <v>1</v>
      </c>
    </row>
    <row r="3120" spans="1:52" x14ac:dyDescent="0.3">
      <c r="A3120" t="s">
        <v>52</v>
      </c>
      <c r="B3120" t="s">
        <v>53</v>
      </c>
      <c r="C3120" t="s">
        <v>54</v>
      </c>
      <c r="D3120" t="s">
        <v>55</v>
      </c>
      <c r="E3120" t="s">
        <v>2163</v>
      </c>
      <c r="F3120" t="s">
        <v>190</v>
      </c>
      <c r="G3120" t="s">
        <v>497</v>
      </c>
      <c r="H3120" t="s">
        <v>498</v>
      </c>
      <c r="I3120" t="s">
        <v>498</v>
      </c>
      <c r="J3120" t="s">
        <v>60</v>
      </c>
      <c r="K3120" t="s">
        <v>475</v>
      </c>
      <c r="L3120" t="s">
        <v>62</v>
      </c>
      <c r="M3120" t="s">
        <v>475</v>
      </c>
      <c r="N3120" t="s">
        <v>499</v>
      </c>
      <c r="O3120" t="s">
        <v>500</v>
      </c>
      <c r="P3120">
        <v>-20.175492999999999</v>
      </c>
      <c r="Q3120">
        <v>-44.900759000000001</v>
      </c>
      <c r="R3120" s="2" t="str">
        <f>HYPERLINK("https://www.google.com/maps?q=-20.1754930,-44.9007590","Abrir no Google Maps")</f>
        <v>Abrir no Google Maps</v>
      </c>
      <c r="S3120">
        <v>3</v>
      </c>
      <c r="T3120">
        <v>753.30732354720431</v>
      </c>
      <c r="U3120">
        <v>3</v>
      </c>
      <c r="V3120">
        <v>0.36667837078651688</v>
      </c>
      <c r="W3120">
        <v>1</v>
      </c>
      <c r="X3120">
        <v>0.36667837078651688</v>
      </c>
      <c r="Y3120">
        <v>578</v>
      </c>
      <c r="Z3120">
        <v>695.28903655431702</v>
      </c>
      <c r="AA3120">
        <v>198</v>
      </c>
      <c r="AB3120">
        <v>332</v>
      </c>
      <c r="AC3120">
        <v>536</v>
      </c>
      <c r="AD3120">
        <v>26.35</v>
      </c>
      <c r="AE3120">
        <v>542</v>
      </c>
      <c r="AF3120">
        <v>15</v>
      </c>
      <c r="AG3120">
        <v>174</v>
      </c>
      <c r="AH3120">
        <v>129</v>
      </c>
      <c r="AI3120">
        <v>2.77</v>
      </c>
      <c r="AJ3120">
        <v>32.1</v>
      </c>
      <c r="AK3120">
        <v>23.8</v>
      </c>
      <c r="AL3120">
        <v>-20.175825999999969</v>
      </c>
      <c r="AM3120">
        <v>-44.900600234646973</v>
      </c>
      <c r="AN3120">
        <v>-20.175825999999969</v>
      </c>
      <c r="AO3120">
        <v>-44.900600234646973</v>
      </c>
      <c r="AP3120">
        <v>-20.175492999999999</v>
      </c>
      <c r="AQ3120">
        <v>-44.900759000000001</v>
      </c>
      <c r="AR3120">
        <v>40.612267304645073</v>
      </c>
      <c r="AS3120" t="s">
        <v>65</v>
      </c>
      <c r="AT3120">
        <v>1</v>
      </c>
      <c r="AU3120" t="s">
        <v>501</v>
      </c>
      <c r="AV3120" t="s">
        <v>502</v>
      </c>
      <c r="AW3120" t="s">
        <v>60</v>
      </c>
      <c r="AX3120" t="s">
        <v>68</v>
      </c>
      <c r="AY3120" t="s">
        <v>69</v>
      </c>
      <c r="AZ3120" t="b">
        <v>1</v>
      </c>
    </row>
    <row r="3121" spans="1:52" x14ac:dyDescent="0.3">
      <c r="A3121" t="s">
        <v>52</v>
      </c>
      <c r="B3121" t="s">
        <v>53</v>
      </c>
      <c r="C3121" t="s">
        <v>54</v>
      </c>
      <c r="D3121" t="s">
        <v>55</v>
      </c>
      <c r="E3121" t="s">
        <v>2163</v>
      </c>
      <c r="F3121" t="s">
        <v>190</v>
      </c>
      <c r="G3121" t="s">
        <v>879</v>
      </c>
      <c r="H3121" t="s">
        <v>880</v>
      </c>
      <c r="I3121" t="s">
        <v>880</v>
      </c>
      <c r="J3121" t="s">
        <v>60</v>
      </c>
      <c r="K3121" t="s">
        <v>505</v>
      </c>
      <c r="L3121" t="s">
        <v>62</v>
      </c>
      <c r="M3121" t="s">
        <v>505</v>
      </c>
      <c r="N3121" t="s">
        <v>881</v>
      </c>
      <c r="O3121" t="s">
        <v>882</v>
      </c>
      <c r="P3121">
        <v>-20.133452999999999</v>
      </c>
      <c r="Q3121">
        <v>-44.890571999999999</v>
      </c>
      <c r="R3121" s="2" t="str">
        <f>HYPERLINK("https://www.google.com/maps?q=-20.1334530,-44.8905720","Abrir no Google Maps")</f>
        <v>Abrir no Google Maps</v>
      </c>
      <c r="S3121">
        <v>3</v>
      </c>
      <c r="T3121">
        <v>373.51332104809921</v>
      </c>
      <c r="U3121">
        <v>3</v>
      </c>
      <c r="V3121">
        <v>0.38415300546448089</v>
      </c>
      <c r="W3121">
        <v>1</v>
      </c>
      <c r="X3121">
        <v>0.38415300546448089</v>
      </c>
      <c r="Y3121">
        <v>564</v>
      </c>
      <c r="Z3121">
        <v>422.34693311930448</v>
      </c>
      <c r="AA3121">
        <v>198</v>
      </c>
      <c r="AB3121">
        <v>332</v>
      </c>
      <c r="AC3121">
        <v>536</v>
      </c>
      <c r="AD3121">
        <v>26.35</v>
      </c>
      <c r="AE3121">
        <v>542</v>
      </c>
      <c r="AF3121">
        <v>15</v>
      </c>
      <c r="AG3121">
        <v>174</v>
      </c>
      <c r="AH3121">
        <v>129</v>
      </c>
      <c r="AI3121">
        <v>2.77</v>
      </c>
      <c r="AJ3121">
        <v>32.1</v>
      </c>
      <c r="AK3121">
        <v>23.8</v>
      </c>
      <c r="AL3121">
        <v>-20.133421549999952</v>
      </c>
      <c r="AM3121">
        <v>-44.890623456009052</v>
      </c>
      <c r="AN3121">
        <v>-20.133421549999952</v>
      </c>
      <c r="AO3121">
        <v>-44.890623456009052</v>
      </c>
      <c r="AP3121">
        <v>-20.133452999999999</v>
      </c>
      <c r="AQ3121">
        <v>-44.890571999999999</v>
      </c>
      <c r="AR3121">
        <v>6.4172139275452773</v>
      </c>
      <c r="AS3121" t="s">
        <v>65</v>
      </c>
      <c r="AT3121">
        <v>1</v>
      </c>
      <c r="AU3121" t="s">
        <v>883</v>
      </c>
      <c r="AV3121" t="s">
        <v>884</v>
      </c>
      <c r="AW3121" t="s">
        <v>60</v>
      </c>
      <c r="AX3121" t="s">
        <v>68</v>
      </c>
      <c r="AY3121" t="s">
        <v>69</v>
      </c>
      <c r="AZ3121" t="b">
        <v>1</v>
      </c>
    </row>
    <row r="3122" spans="1:52" x14ac:dyDescent="0.3">
      <c r="A3122" t="s">
        <v>52</v>
      </c>
      <c r="B3122" t="s">
        <v>53</v>
      </c>
      <c r="C3122" t="s">
        <v>54</v>
      </c>
      <c r="D3122" t="s">
        <v>55</v>
      </c>
      <c r="E3122" t="s">
        <v>2163</v>
      </c>
      <c r="F3122" t="s">
        <v>190</v>
      </c>
      <c r="G3122" t="s">
        <v>815</v>
      </c>
      <c r="H3122" t="s">
        <v>1404</v>
      </c>
      <c r="I3122" t="s">
        <v>1404</v>
      </c>
      <c r="J3122" t="s">
        <v>60</v>
      </c>
      <c r="K3122" t="s">
        <v>512</v>
      </c>
      <c r="L3122" t="s">
        <v>62</v>
      </c>
      <c r="M3122" t="s">
        <v>512</v>
      </c>
      <c r="N3122" t="s">
        <v>817</v>
      </c>
      <c r="O3122" t="s">
        <v>1405</v>
      </c>
      <c r="P3122">
        <v>-20.129069999999999</v>
      </c>
      <c r="Q3122">
        <v>-44.888452000000001</v>
      </c>
      <c r="R3122" s="2" t="str">
        <f>HYPERLINK("https://www.google.com/maps?q=-20.1290700,-44.8884520","Abrir no Google Maps")</f>
        <v>Abrir no Google Maps</v>
      </c>
      <c r="S3122">
        <v>3</v>
      </c>
      <c r="T3122">
        <v>0</v>
      </c>
      <c r="U3122">
        <v>3</v>
      </c>
      <c r="V3122">
        <v>0.4365295682422754</v>
      </c>
      <c r="W3122">
        <v>0.85</v>
      </c>
      <c r="X3122">
        <v>0.37105013300593409</v>
      </c>
      <c r="Y3122">
        <v>564</v>
      </c>
      <c r="Z3122">
        <v>95.870354837220688</v>
      </c>
      <c r="AA3122">
        <v>198</v>
      </c>
      <c r="AB3122">
        <v>332</v>
      </c>
      <c r="AC3122">
        <v>536</v>
      </c>
      <c r="AD3122">
        <v>26.35</v>
      </c>
      <c r="AE3122">
        <v>542</v>
      </c>
      <c r="AF3122">
        <v>15</v>
      </c>
      <c r="AG3122">
        <v>174</v>
      </c>
      <c r="AH3122">
        <v>129</v>
      </c>
      <c r="AI3122">
        <v>2.77</v>
      </c>
      <c r="AJ3122">
        <v>32.1</v>
      </c>
      <c r="AK3122">
        <v>23.8</v>
      </c>
      <c r="AL3122">
        <v>-20.12899334999997</v>
      </c>
      <c r="AM3122">
        <v>-44.888406102471222</v>
      </c>
      <c r="AN3122">
        <v>-20.12899334999997</v>
      </c>
      <c r="AO3122">
        <v>-44.888406102471222</v>
      </c>
      <c r="AP3122">
        <v>-20.129069999999999</v>
      </c>
      <c r="AQ3122">
        <v>-44.888452000000001</v>
      </c>
      <c r="AR3122">
        <v>9.7887731150376265</v>
      </c>
      <c r="AS3122" t="s">
        <v>65</v>
      </c>
      <c r="AT3122">
        <v>1</v>
      </c>
      <c r="AU3122" t="s">
        <v>1406</v>
      </c>
      <c r="AV3122" t="s">
        <v>1407</v>
      </c>
      <c r="AW3122" t="s">
        <v>60</v>
      </c>
      <c r="AX3122" t="s">
        <v>68</v>
      </c>
      <c r="AY3122" t="s">
        <v>69</v>
      </c>
      <c r="AZ3122" t="b">
        <v>1</v>
      </c>
    </row>
    <row r="3123" spans="1:52" x14ac:dyDescent="0.3">
      <c r="A3123" t="s">
        <v>52</v>
      </c>
      <c r="B3123" t="s">
        <v>53</v>
      </c>
      <c r="C3123" t="s">
        <v>54</v>
      </c>
      <c r="D3123" t="s">
        <v>55</v>
      </c>
      <c r="E3123" t="s">
        <v>2163</v>
      </c>
      <c r="F3123" t="s">
        <v>190</v>
      </c>
      <c r="G3123" t="s">
        <v>890</v>
      </c>
      <c r="H3123" t="s">
        <v>891</v>
      </c>
      <c r="I3123" t="s">
        <v>891</v>
      </c>
      <c r="J3123" t="s">
        <v>60</v>
      </c>
      <c r="K3123" t="s">
        <v>892</v>
      </c>
      <c r="L3123" t="s">
        <v>62</v>
      </c>
      <c r="M3123" t="s">
        <v>892</v>
      </c>
      <c r="N3123" t="s">
        <v>893</v>
      </c>
      <c r="O3123" t="s">
        <v>894</v>
      </c>
      <c r="P3123">
        <v>-20.152519000000002</v>
      </c>
      <c r="Q3123">
        <v>-44.899177000000002</v>
      </c>
      <c r="R3123" s="2" t="str">
        <f>HYPERLINK("https://www.google.com/maps?q=-20.1525190,-44.8991770","Abrir no Google Maps")</f>
        <v>Abrir no Google Maps</v>
      </c>
      <c r="S3123">
        <v>3</v>
      </c>
      <c r="T3123">
        <v>211.80188552994721</v>
      </c>
      <c r="U3123">
        <v>3</v>
      </c>
      <c r="V3123">
        <v>0.3563432835820895</v>
      </c>
      <c r="W3123">
        <v>1</v>
      </c>
      <c r="X3123">
        <v>0.3563432835820895</v>
      </c>
      <c r="Y3123">
        <v>556</v>
      </c>
      <c r="Z3123">
        <v>290.34804137107091</v>
      </c>
      <c r="AA3123">
        <v>198</v>
      </c>
      <c r="AB3123">
        <v>332</v>
      </c>
      <c r="AC3123">
        <v>536</v>
      </c>
      <c r="AD3123">
        <v>26.35</v>
      </c>
      <c r="AE3123">
        <v>542</v>
      </c>
      <c r="AF3123">
        <v>15</v>
      </c>
      <c r="AG3123">
        <v>174</v>
      </c>
      <c r="AH3123">
        <v>129</v>
      </c>
      <c r="AI3123">
        <v>2.77</v>
      </c>
      <c r="AJ3123">
        <v>32.1</v>
      </c>
      <c r="AK3123">
        <v>23.8</v>
      </c>
      <c r="AL3123">
        <v>-20.152516249999959</v>
      </c>
      <c r="AM3123">
        <v>-44.899310431333959</v>
      </c>
      <c r="AN3123">
        <v>-20.152516249999959</v>
      </c>
      <c r="AO3123">
        <v>-44.899310431333959</v>
      </c>
      <c r="AP3123">
        <v>-20.152519000000002</v>
      </c>
      <c r="AQ3123">
        <v>-44.899177000000002</v>
      </c>
      <c r="AR3123">
        <v>13.947583284957719</v>
      </c>
      <c r="AS3123" t="s">
        <v>65</v>
      </c>
      <c r="AT3123">
        <v>1</v>
      </c>
      <c r="AU3123" t="s">
        <v>895</v>
      </c>
      <c r="AV3123" t="s">
        <v>896</v>
      </c>
      <c r="AW3123" t="s">
        <v>60</v>
      </c>
      <c r="AX3123" t="s">
        <v>68</v>
      </c>
      <c r="AY3123" t="s">
        <v>69</v>
      </c>
      <c r="AZ3123" t="b">
        <v>1</v>
      </c>
    </row>
    <row r="3124" spans="1:52" x14ac:dyDescent="0.3">
      <c r="A3124" t="s">
        <v>52</v>
      </c>
      <c r="B3124" t="s">
        <v>53</v>
      </c>
      <c r="C3124" t="s">
        <v>54</v>
      </c>
      <c r="D3124" t="s">
        <v>55</v>
      </c>
      <c r="E3124" t="s">
        <v>2163</v>
      </c>
      <c r="F3124" t="s">
        <v>190</v>
      </c>
      <c r="G3124" t="s">
        <v>897</v>
      </c>
      <c r="H3124" t="s">
        <v>898</v>
      </c>
      <c r="I3124" t="s">
        <v>898</v>
      </c>
      <c r="J3124" t="s">
        <v>60</v>
      </c>
      <c r="K3124" t="s">
        <v>892</v>
      </c>
      <c r="L3124" t="s">
        <v>62</v>
      </c>
      <c r="M3124" t="s">
        <v>892</v>
      </c>
      <c r="N3124" t="s">
        <v>899</v>
      </c>
      <c r="O3124" t="s">
        <v>900</v>
      </c>
      <c r="P3124">
        <v>-20.154885</v>
      </c>
      <c r="Q3124">
        <v>-44.899890999999997</v>
      </c>
      <c r="R3124" s="2" t="str">
        <f>HYPERLINK("https://www.google.com/maps?q=-20.1548850,-44.8998910","Abrir no Google Maps")</f>
        <v>Abrir no Google Maps</v>
      </c>
      <c r="S3124">
        <v>3</v>
      </c>
      <c r="T3124">
        <v>314.66339661014308</v>
      </c>
      <c r="U3124">
        <v>3</v>
      </c>
      <c r="V3124">
        <v>0.36832897093263528</v>
      </c>
      <c r="W3124">
        <v>1</v>
      </c>
      <c r="X3124">
        <v>0.36832897093263528</v>
      </c>
      <c r="Y3124">
        <v>548</v>
      </c>
      <c r="Z3124">
        <v>319.02252584834253</v>
      </c>
      <c r="AA3124">
        <v>198</v>
      </c>
      <c r="AB3124">
        <v>332</v>
      </c>
      <c r="AC3124">
        <v>536</v>
      </c>
      <c r="AD3124">
        <v>26.35</v>
      </c>
      <c r="AE3124">
        <v>542</v>
      </c>
      <c r="AF3124">
        <v>15</v>
      </c>
      <c r="AG3124">
        <v>174</v>
      </c>
      <c r="AH3124">
        <v>129</v>
      </c>
      <c r="AI3124">
        <v>2.77</v>
      </c>
      <c r="AJ3124">
        <v>32.1</v>
      </c>
      <c r="AK3124">
        <v>23.8</v>
      </c>
      <c r="AL3124">
        <v>-20.154906649999951</v>
      </c>
      <c r="AM3124">
        <v>-44.899894072543653</v>
      </c>
      <c r="AN3124">
        <v>-20.154906649999951</v>
      </c>
      <c r="AO3124">
        <v>-44.899894072543653</v>
      </c>
      <c r="AP3124">
        <v>-20.154885</v>
      </c>
      <c r="AQ3124">
        <v>-44.899890999999997</v>
      </c>
      <c r="AR3124">
        <v>2.431373123904943</v>
      </c>
      <c r="AS3124" t="s">
        <v>65</v>
      </c>
      <c r="AT3124">
        <v>1</v>
      </c>
      <c r="AU3124" t="s">
        <v>901</v>
      </c>
      <c r="AV3124" t="s">
        <v>902</v>
      </c>
      <c r="AW3124" t="s">
        <v>60</v>
      </c>
      <c r="AX3124" t="s">
        <v>68</v>
      </c>
      <c r="AY3124" t="s">
        <v>69</v>
      </c>
      <c r="AZ3124" t="b">
        <v>1</v>
      </c>
    </row>
    <row r="3125" spans="1:52" x14ac:dyDescent="0.3">
      <c r="A3125" t="s">
        <v>52</v>
      </c>
      <c r="B3125" t="s">
        <v>53</v>
      </c>
      <c r="C3125" t="s">
        <v>54</v>
      </c>
      <c r="D3125" t="s">
        <v>55</v>
      </c>
      <c r="E3125" t="s">
        <v>2163</v>
      </c>
      <c r="F3125" t="s">
        <v>190</v>
      </c>
      <c r="G3125" t="s">
        <v>910</v>
      </c>
      <c r="H3125" t="s">
        <v>911</v>
      </c>
      <c r="I3125" t="s">
        <v>911</v>
      </c>
      <c r="J3125" t="s">
        <v>60</v>
      </c>
      <c r="K3125" t="s">
        <v>207</v>
      </c>
      <c r="L3125" t="s">
        <v>62</v>
      </c>
      <c r="M3125" t="s">
        <v>207</v>
      </c>
      <c r="N3125" t="s">
        <v>912</v>
      </c>
      <c r="O3125" t="s">
        <v>548</v>
      </c>
      <c r="P3125">
        <v>-20.116987000000002</v>
      </c>
      <c r="Q3125">
        <v>-44.885240000000003</v>
      </c>
      <c r="R3125" s="2" t="str">
        <f>HYPERLINK("https://www.google.com/maps?q=-20.1169870,-44.8852400","Abrir no Google Maps")</f>
        <v>Abrir no Google Maps</v>
      </c>
      <c r="S3125">
        <v>3</v>
      </c>
      <c r="T3125">
        <v>283.94804862214067</v>
      </c>
      <c r="U3125">
        <v>3</v>
      </c>
      <c r="V3125">
        <v>0.37249455337690629</v>
      </c>
      <c r="W3125">
        <v>1</v>
      </c>
      <c r="X3125">
        <v>0.37249455337690629</v>
      </c>
      <c r="Y3125">
        <v>536</v>
      </c>
      <c r="Z3125">
        <v>297.39410031170689</v>
      </c>
      <c r="AA3125">
        <v>198</v>
      </c>
      <c r="AB3125">
        <v>332</v>
      </c>
      <c r="AC3125">
        <v>536</v>
      </c>
      <c r="AD3125">
        <v>26.35</v>
      </c>
      <c r="AE3125">
        <v>542</v>
      </c>
      <c r="AF3125">
        <v>15</v>
      </c>
      <c r="AG3125">
        <v>174</v>
      </c>
      <c r="AH3125">
        <v>129</v>
      </c>
      <c r="AI3125">
        <v>2.77</v>
      </c>
      <c r="AJ3125">
        <v>32.1</v>
      </c>
      <c r="AK3125">
        <v>23.8</v>
      </c>
      <c r="AL3125">
        <v>-20.116999599999961</v>
      </c>
      <c r="AM3125">
        <v>-44.885197873315192</v>
      </c>
      <c r="AN3125">
        <v>-20.116999599999961</v>
      </c>
      <c r="AO3125">
        <v>-44.885197873315192</v>
      </c>
      <c r="AP3125">
        <v>-20.116987000000002</v>
      </c>
      <c r="AQ3125">
        <v>-44.885240000000003</v>
      </c>
      <c r="AR3125">
        <v>4.6214387870334246</v>
      </c>
      <c r="AS3125" t="s">
        <v>65</v>
      </c>
      <c r="AT3125">
        <v>1</v>
      </c>
      <c r="AU3125" t="s">
        <v>913</v>
      </c>
      <c r="AV3125" t="s">
        <v>914</v>
      </c>
      <c r="AW3125" t="s">
        <v>60</v>
      </c>
      <c r="AX3125" t="s">
        <v>68</v>
      </c>
      <c r="AY3125" t="s">
        <v>69</v>
      </c>
      <c r="AZ3125" t="b">
        <v>1</v>
      </c>
    </row>
    <row r="3126" spans="1:52" x14ac:dyDescent="0.3">
      <c r="A3126" t="s">
        <v>52</v>
      </c>
      <c r="B3126" t="s">
        <v>53</v>
      </c>
      <c r="C3126" t="s">
        <v>54</v>
      </c>
      <c r="D3126" t="s">
        <v>55</v>
      </c>
      <c r="E3126" t="s">
        <v>2163</v>
      </c>
      <c r="F3126" t="s">
        <v>190</v>
      </c>
      <c r="G3126" t="s">
        <v>2150</v>
      </c>
      <c r="H3126" t="s">
        <v>2151</v>
      </c>
      <c r="I3126" t="s">
        <v>2151</v>
      </c>
      <c r="J3126" t="s">
        <v>60</v>
      </c>
      <c r="K3126" t="s">
        <v>207</v>
      </c>
      <c r="L3126" t="s">
        <v>62</v>
      </c>
      <c r="M3126" t="s">
        <v>207</v>
      </c>
      <c r="N3126" t="s">
        <v>2152</v>
      </c>
      <c r="O3126" t="s">
        <v>325</v>
      </c>
      <c r="P3126">
        <v>-20.123899999999999</v>
      </c>
      <c r="Q3126">
        <v>-44.883932999999999</v>
      </c>
      <c r="R3126" s="2" t="str">
        <f>HYPERLINK("https://www.google.com/maps?q=-20.1239000,-44.8839330","Abrir no Google Maps")</f>
        <v>Abrir no Google Maps</v>
      </c>
      <c r="S3126">
        <v>3</v>
      </c>
      <c r="T3126">
        <v>716.43785561804941</v>
      </c>
      <c r="U3126">
        <v>3</v>
      </c>
      <c r="V3126">
        <v>0.46072863053789481</v>
      </c>
      <c r="W3126">
        <v>0.85</v>
      </c>
      <c r="X3126">
        <v>0.3916193359572106</v>
      </c>
      <c r="Y3126">
        <v>536</v>
      </c>
      <c r="Z3126">
        <v>680.78895299280759</v>
      </c>
      <c r="AA3126">
        <v>198</v>
      </c>
      <c r="AB3126">
        <v>332</v>
      </c>
      <c r="AC3126">
        <v>536</v>
      </c>
      <c r="AD3126">
        <v>26.35</v>
      </c>
      <c r="AE3126">
        <v>542</v>
      </c>
      <c r="AF3126">
        <v>15</v>
      </c>
      <c r="AG3126">
        <v>174</v>
      </c>
      <c r="AH3126">
        <v>129</v>
      </c>
      <c r="AI3126">
        <v>2.77</v>
      </c>
      <c r="AJ3126">
        <v>32.1</v>
      </c>
      <c r="AK3126">
        <v>23.8</v>
      </c>
      <c r="AL3126">
        <v>-20.12393434999996</v>
      </c>
      <c r="AM3126">
        <v>-44.884020194978177</v>
      </c>
      <c r="AN3126">
        <v>-20.12393434999996</v>
      </c>
      <c r="AO3126">
        <v>-44.884020194978177</v>
      </c>
      <c r="AP3126">
        <v>-20.123899999999999</v>
      </c>
      <c r="AQ3126">
        <v>-44.883932999999999</v>
      </c>
      <c r="AR3126">
        <v>9.8836304106829154</v>
      </c>
      <c r="AS3126" t="s">
        <v>65</v>
      </c>
      <c r="AT3126">
        <v>1</v>
      </c>
      <c r="AU3126" t="s">
        <v>2153</v>
      </c>
      <c r="AV3126" t="s">
        <v>2154</v>
      </c>
      <c r="AW3126" t="s">
        <v>60</v>
      </c>
      <c r="AX3126" t="s">
        <v>68</v>
      </c>
      <c r="AY3126" t="s">
        <v>69</v>
      </c>
      <c r="AZ3126" t="b">
        <v>1</v>
      </c>
    </row>
    <row r="3127" spans="1:52" x14ac:dyDescent="0.3">
      <c r="A3127" t="s">
        <v>52</v>
      </c>
      <c r="B3127" t="s">
        <v>53</v>
      </c>
      <c r="C3127" t="s">
        <v>54</v>
      </c>
      <c r="D3127" t="s">
        <v>55</v>
      </c>
      <c r="E3127" t="s">
        <v>2163</v>
      </c>
      <c r="F3127" t="s">
        <v>190</v>
      </c>
      <c r="G3127" t="s">
        <v>2179</v>
      </c>
      <c r="H3127" t="s">
        <v>2180</v>
      </c>
      <c r="I3127" t="s">
        <v>2180</v>
      </c>
      <c r="J3127" t="s">
        <v>60</v>
      </c>
      <c r="K3127" t="s">
        <v>207</v>
      </c>
      <c r="L3127" t="s">
        <v>62</v>
      </c>
      <c r="M3127" t="s">
        <v>207</v>
      </c>
      <c r="N3127" t="s">
        <v>2181</v>
      </c>
      <c r="O3127" t="s">
        <v>488</v>
      </c>
      <c r="P3127">
        <v>-20.118973</v>
      </c>
      <c r="Q3127">
        <v>-44.884065</v>
      </c>
      <c r="R3127" s="2" t="str">
        <f>HYPERLINK("https://www.google.com/maps?q=-20.1189730,-44.8840650","Abrir no Google Maps")</f>
        <v>Abrir no Google Maps</v>
      </c>
      <c r="S3127">
        <v>3</v>
      </c>
      <c r="T3127">
        <v>356.38828672017752</v>
      </c>
      <c r="U3127">
        <v>3</v>
      </c>
      <c r="V3127">
        <v>0.387440171645486</v>
      </c>
      <c r="W3127">
        <v>0.85</v>
      </c>
      <c r="X3127">
        <v>0.3293241458986631</v>
      </c>
      <c r="Y3127">
        <v>536</v>
      </c>
      <c r="Z3127">
        <v>324.27803269306071</v>
      </c>
      <c r="AA3127">
        <v>198</v>
      </c>
      <c r="AB3127">
        <v>332</v>
      </c>
      <c r="AC3127">
        <v>536</v>
      </c>
      <c r="AD3127">
        <v>26.35</v>
      </c>
      <c r="AE3127">
        <v>542</v>
      </c>
      <c r="AF3127">
        <v>15</v>
      </c>
      <c r="AG3127">
        <v>174</v>
      </c>
      <c r="AH3127">
        <v>129</v>
      </c>
      <c r="AI3127">
        <v>2.77</v>
      </c>
      <c r="AJ3127">
        <v>32.1</v>
      </c>
      <c r="AK3127">
        <v>23.8</v>
      </c>
      <c r="AL3127">
        <v>-20.119171499999961</v>
      </c>
      <c r="AM3127">
        <v>-44.884203491969302</v>
      </c>
      <c r="AN3127">
        <v>-20.119171499999961</v>
      </c>
      <c r="AO3127">
        <v>-44.884203491969302</v>
      </c>
      <c r="AP3127">
        <v>-20.118973</v>
      </c>
      <c r="AQ3127">
        <v>-44.884065</v>
      </c>
      <c r="AR3127">
        <v>26.416621235303019</v>
      </c>
      <c r="AS3127" t="s">
        <v>65</v>
      </c>
      <c r="AT3127">
        <v>1</v>
      </c>
      <c r="AU3127" t="s">
        <v>2182</v>
      </c>
      <c r="AV3127" t="s">
        <v>2183</v>
      </c>
      <c r="AW3127" t="s">
        <v>60</v>
      </c>
      <c r="AX3127" t="s">
        <v>68</v>
      </c>
      <c r="AY3127" t="s">
        <v>69</v>
      </c>
      <c r="AZ3127" t="b">
        <v>1</v>
      </c>
    </row>
    <row r="3128" spans="1:52" x14ac:dyDescent="0.3">
      <c r="A3128" t="s">
        <v>52</v>
      </c>
      <c r="B3128" t="s">
        <v>53</v>
      </c>
      <c r="C3128" t="s">
        <v>54</v>
      </c>
      <c r="D3128" t="s">
        <v>55</v>
      </c>
      <c r="E3128" t="s">
        <v>2163</v>
      </c>
      <c r="F3128" t="s">
        <v>190</v>
      </c>
      <c r="G3128" t="s">
        <v>232</v>
      </c>
      <c r="H3128" t="s">
        <v>925</v>
      </c>
      <c r="I3128" t="s">
        <v>925</v>
      </c>
      <c r="J3128" t="s">
        <v>60</v>
      </c>
      <c r="K3128" t="s">
        <v>702</v>
      </c>
      <c r="L3128" t="s">
        <v>62</v>
      </c>
      <c r="M3128" t="s">
        <v>702</v>
      </c>
      <c r="N3128" t="s">
        <v>234</v>
      </c>
      <c r="O3128" t="s">
        <v>926</v>
      </c>
      <c r="P3128">
        <v>-20.165887999999999</v>
      </c>
      <c r="Q3128">
        <v>-44.865220000000001</v>
      </c>
      <c r="R3128" s="2" t="str">
        <f>HYPERLINK("https://www.google.com/maps?q=-20.1658880,-44.8652200","Abrir no Google Maps")</f>
        <v>Abrir no Google Maps</v>
      </c>
      <c r="S3128">
        <v>3</v>
      </c>
      <c r="T3128">
        <v>711.71706763776342</v>
      </c>
      <c r="U3128">
        <v>3</v>
      </c>
      <c r="V3128">
        <v>0.36432411772200279</v>
      </c>
      <c r="W3128">
        <v>1</v>
      </c>
      <c r="X3128">
        <v>0.36432411772200279</v>
      </c>
      <c r="Y3128">
        <v>518</v>
      </c>
      <c r="Z3128">
        <v>801.45781285603209</v>
      </c>
      <c r="AA3128">
        <v>198</v>
      </c>
      <c r="AB3128">
        <v>332</v>
      </c>
      <c r="AC3128">
        <v>536</v>
      </c>
      <c r="AD3128">
        <v>26.35</v>
      </c>
      <c r="AE3128">
        <v>542</v>
      </c>
      <c r="AF3128">
        <v>15</v>
      </c>
      <c r="AG3128">
        <v>174</v>
      </c>
      <c r="AH3128">
        <v>129</v>
      </c>
      <c r="AI3128">
        <v>2.77</v>
      </c>
      <c r="AJ3128">
        <v>32.1</v>
      </c>
      <c r="AK3128">
        <v>23.8</v>
      </c>
      <c r="AL3128">
        <v>-20.165865449999959</v>
      </c>
      <c r="AM3128">
        <v>-44.865240434761468</v>
      </c>
      <c r="AN3128">
        <v>-20.165865449999959</v>
      </c>
      <c r="AO3128">
        <v>-44.865240434761468</v>
      </c>
      <c r="AP3128">
        <v>-20.165887999999999</v>
      </c>
      <c r="AQ3128">
        <v>-44.865220000000001</v>
      </c>
      <c r="AR3128">
        <v>3.2956262004279409</v>
      </c>
      <c r="AS3128" t="s">
        <v>65</v>
      </c>
      <c r="AT3128">
        <v>1</v>
      </c>
      <c r="AU3128" t="s">
        <v>927</v>
      </c>
      <c r="AV3128" t="s">
        <v>928</v>
      </c>
      <c r="AW3128" t="s">
        <v>60</v>
      </c>
      <c r="AX3128" t="s">
        <v>68</v>
      </c>
      <c r="AY3128" t="s">
        <v>69</v>
      </c>
      <c r="AZ3128" t="b">
        <v>1</v>
      </c>
    </row>
    <row r="3129" spans="1:52" x14ac:dyDescent="0.3">
      <c r="A3129" t="s">
        <v>52</v>
      </c>
      <c r="B3129" t="s">
        <v>53</v>
      </c>
      <c r="C3129" t="s">
        <v>54</v>
      </c>
      <c r="D3129" t="s">
        <v>55</v>
      </c>
      <c r="E3129" t="s">
        <v>2163</v>
      </c>
      <c r="F3129" t="s">
        <v>190</v>
      </c>
      <c r="G3129" t="s">
        <v>929</v>
      </c>
      <c r="H3129" t="s">
        <v>930</v>
      </c>
      <c r="I3129" t="s">
        <v>930</v>
      </c>
      <c r="J3129" t="s">
        <v>60</v>
      </c>
      <c r="K3129" t="s">
        <v>72</v>
      </c>
      <c r="L3129" t="s">
        <v>62</v>
      </c>
      <c r="M3129" t="s">
        <v>72</v>
      </c>
      <c r="N3129" t="s">
        <v>931</v>
      </c>
      <c r="O3129" t="s">
        <v>932</v>
      </c>
      <c r="P3129">
        <v>-20.144780999999998</v>
      </c>
      <c r="Q3129">
        <v>-44.914259000000001</v>
      </c>
      <c r="R3129" s="2" t="str">
        <f>HYPERLINK("https://www.google.com/maps?q=-20.1447810,-44.9142590","Abrir no Google Maps")</f>
        <v>Abrir no Google Maps</v>
      </c>
      <c r="S3129">
        <v>3</v>
      </c>
      <c r="T3129">
        <v>256.09363485874093</v>
      </c>
      <c r="U3129">
        <v>3</v>
      </c>
      <c r="V3129">
        <v>0.39043516596557609</v>
      </c>
      <c r="W3129">
        <v>1</v>
      </c>
      <c r="X3129">
        <v>0.39043516596557609</v>
      </c>
      <c r="Y3129">
        <v>508</v>
      </c>
      <c r="Z3129">
        <v>318.29766547935321</v>
      </c>
      <c r="AA3129">
        <v>198</v>
      </c>
      <c r="AB3129">
        <v>332</v>
      </c>
      <c r="AC3129">
        <v>536</v>
      </c>
      <c r="AD3129">
        <v>26.35</v>
      </c>
      <c r="AE3129">
        <v>542</v>
      </c>
      <c r="AF3129">
        <v>15</v>
      </c>
      <c r="AG3129">
        <v>174</v>
      </c>
      <c r="AH3129">
        <v>129</v>
      </c>
      <c r="AI3129">
        <v>2.77</v>
      </c>
      <c r="AJ3129">
        <v>32.1</v>
      </c>
      <c r="AK3129">
        <v>23.8</v>
      </c>
      <c r="AL3129">
        <v>-20.144721899999951</v>
      </c>
      <c r="AM3129">
        <v>-44.914368749511411</v>
      </c>
      <c r="AN3129">
        <v>-20.144721899999951</v>
      </c>
      <c r="AO3129">
        <v>-44.914368749511411</v>
      </c>
      <c r="AP3129">
        <v>-20.144780999999998</v>
      </c>
      <c r="AQ3129">
        <v>-44.914259000000001</v>
      </c>
      <c r="AR3129">
        <v>13.22280973360979</v>
      </c>
      <c r="AS3129" t="s">
        <v>65</v>
      </c>
      <c r="AT3129">
        <v>1</v>
      </c>
      <c r="AU3129" t="s">
        <v>933</v>
      </c>
      <c r="AV3129" t="s">
        <v>934</v>
      </c>
      <c r="AW3129" t="s">
        <v>60</v>
      </c>
      <c r="AX3129" t="s">
        <v>68</v>
      </c>
      <c r="AY3129" t="s">
        <v>69</v>
      </c>
      <c r="AZ3129" t="b">
        <v>1</v>
      </c>
    </row>
    <row r="3130" spans="1:52" x14ac:dyDescent="0.3">
      <c r="A3130" t="s">
        <v>52</v>
      </c>
      <c r="B3130" t="s">
        <v>53</v>
      </c>
      <c r="C3130" t="s">
        <v>54</v>
      </c>
      <c r="D3130" t="s">
        <v>55</v>
      </c>
      <c r="E3130" t="s">
        <v>2163</v>
      </c>
      <c r="F3130" t="s">
        <v>190</v>
      </c>
      <c r="G3130" t="s">
        <v>935</v>
      </c>
      <c r="H3130" t="s">
        <v>936</v>
      </c>
      <c r="I3130" t="s">
        <v>936</v>
      </c>
      <c r="J3130" t="s">
        <v>60</v>
      </c>
      <c r="K3130" t="s">
        <v>193</v>
      </c>
      <c r="L3130" t="s">
        <v>62</v>
      </c>
      <c r="M3130" t="s">
        <v>193</v>
      </c>
      <c r="N3130" t="s">
        <v>937</v>
      </c>
      <c r="O3130" t="s">
        <v>938</v>
      </c>
      <c r="P3130">
        <v>-20.144727</v>
      </c>
      <c r="Q3130">
        <v>-44.919978999999998</v>
      </c>
      <c r="R3130" s="2" t="str">
        <f>HYPERLINK("https://www.google.com/maps?q=-20.1447270,-44.9199790","Abrir no Google Maps")</f>
        <v>Abrir no Google Maps</v>
      </c>
      <c r="S3130">
        <v>3</v>
      </c>
      <c r="T3130">
        <v>341.13992759662477</v>
      </c>
      <c r="U3130">
        <v>3</v>
      </c>
      <c r="V3130">
        <v>0.33494065915300542</v>
      </c>
      <c r="W3130">
        <v>1</v>
      </c>
      <c r="X3130">
        <v>0.33494065915300542</v>
      </c>
      <c r="Y3130">
        <v>508</v>
      </c>
      <c r="Z3130">
        <v>274.58151985101409</v>
      </c>
      <c r="AA3130">
        <v>198</v>
      </c>
      <c r="AB3130">
        <v>332</v>
      </c>
      <c r="AC3130">
        <v>536</v>
      </c>
      <c r="AD3130">
        <v>26.35</v>
      </c>
      <c r="AE3130">
        <v>542</v>
      </c>
      <c r="AF3130">
        <v>15</v>
      </c>
      <c r="AG3130">
        <v>174</v>
      </c>
      <c r="AH3130">
        <v>129</v>
      </c>
      <c r="AI3130">
        <v>2.77</v>
      </c>
      <c r="AJ3130">
        <v>32.1</v>
      </c>
      <c r="AK3130">
        <v>23.8</v>
      </c>
      <c r="AL3130">
        <v>-20.144771099999961</v>
      </c>
      <c r="AM3130">
        <v>-44.92003491095209</v>
      </c>
      <c r="AN3130">
        <v>-20.144771099999961</v>
      </c>
      <c r="AO3130">
        <v>-44.92003491095209</v>
      </c>
      <c r="AP3130">
        <v>-20.144727</v>
      </c>
      <c r="AQ3130">
        <v>-44.919978999999998</v>
      </c>
      <c r="AR3130">
        <v>7.6317760459664177</v>
      </c>
      <c r="AS3130" t="s">
        <v>65</v>
      </c>
      <c r="AT3130">
        <v>1</v>
      </c>
      <c r="AU3130" t="s">
        <v>939</v>
      </c>
      <c r="AV3130" t="s">
        <v>940</v>
      </c>
      <c r="AW3130" t="s">
        <v>60</v>
      </c>
      <c r="AX3130" t="s">
        <v>68</v>
      </c>
      <c r="AY3130" t="s">
        <v>69</v>
      </c>
      <c r="AZ3130" t="b">
        <v>1</v>
      </c>
    </row>
    <row r="3131" spans="1:52" x14ac:dyDescent="0.3">
      <c r="A3131" t="s">
        <v>52</v>
      </c>
      <c r="B3131" t="s">
        <v>53</v>
      </c>
      <c r="C3131" t="s">
        <v>54</v>
      </c>
      <c r="D3131" t="s">
        <v>55</v>
      </c>
      <c r="E3131" t="s">
        <v>2163</v>
      </c>
      <c r="F3131" t="s">
        <v>190</v>
      </c>
      <c r="G3131" t="s">
        <v>941</v>
      </c>
      <c r="H3131" t="s">
        <v>942</v>
      </c>
      <c r="I3131" t="s">
        <v>942</v>
      </c>
      <c r="J3131" t="s">
        <v>60</v>
      </c>
      <c r="K3131" t="s">
        <v>193</v>
      </c>
      <c r="L3131" t="s">
        <v>62</v>
      </c>
      <c r="M3131" t="s">
        <v>193</v>
      </c>
      <c r="N3131" t="s">
        <v>943</v>
      </c>
      <c r="O3131" t="s">
        <v>257</v>
      </c>
      <c r="P3131">
        <v>-20.142042</v>
      </c>
      <c r="Q3131">
        <v>-44.917906000000002</v>
      </c>
      <c r="R3131" s="2" t="str">
        <f>HYPERLINK("https://www.google.com/maps?q=-20.1420420,-44.9179060","Abrir no Google Maps")</f>
        <v>Abrir no Google Maps</v>
      </c>
      <c r="S3131">
        <v>3</v>
      </c>
      <c r="T3131">
        <v>373.14048213045743</v>
      </c>
      <c r="U3131">
        <v>3</v>
      </c>
      <c r="V3131">
        <v>0.32483377659574469</v>
      </c>
      <c r="W3131">
        <v>1</v>
      </c>
      <c r="X3131">
        <v>0.32483377659574469</v>
      </c>
      <c r="Y3131">
        <v>508</v>
      </c>
      <c r="Z3131">
        <v>271.52693841106122</v>
      </c>
      <c r="AA3131">
        <v>198</v>
      </c>
      <c r="AB3131">
        <v>332</v>
      </c>
      <c r="AC3131">
        <v>536</v>
      </c>
      <c r="AD3131">
        <v>26.35</v>
      </c>
      <c r="AE3131">
        <v>542</v>
      </c>
      <c r="AF3131">
        <v>15</v>
      </c>
      <c r="AG3131">
        <v>174</v>
      </c>
      <c r="AH3131">
        <v>129</v>
      </c>
      <c r="AI3131">
        <v>2.77</v>
      </c>
      <c r="AJ3131">
        <v>32.1</v>
      </c>
      <c r="AK3131">
        <v>23.8</v>
      </c>
      <c r="AL3131">
        <v>-20.14198914999994</v>
      </c>
      <c r="AM3131">
        <v>-44.918192618397512</v>
      </c>
      <c r="AN3131">
        <v>-20.14198914999994</v>
      </c>
      <c r="AO3131">
        <v>-44.918192618397512</v>
      </c>
      <c r="AP3131">
        <v>-20.142042</v>
      </c>
      <c r="AQ3131">
        <v>-44.917906000000002</v>
      </c>
      <c r="AR3131">
        <v>30.527314493281139</v>
      </c>
      <c r="AS3131" t="s">
        <v>65</v>
      </c>
      <c r="AT3131">
        <v>1</v>
      </c>
      <c r="AU3131" t="s">
        <v>944</v>
      </c>
      <c r="AV3131" t="s">
        <v>945</v>
      </c>
      <c r="AW3131" t="s">
        <v>60</v>
      </c>
      <c r="AX3131" t="s">
        <v>68</v>
      </c>
      <c r="AY3131" t="s">
        <v>69</v>
      </c>
      <c r="AZ3131" t="b">
        <v>1</v>
      </c>
    </row>
    <row r="3132" spans="1:52" x14ac:dyDescent="0.3">
      <c r="A3132" t="s">
        <v>52</v>
      </c>
      <c r="B3132" t="s">
        <v>53</v>
      </c>
      <c r="C3132" t="s">
        <v>54</v>
      </c>
      <c r="D3132" t="s">
        <v>55</v>
      </c>
      <c r="E3132" t="s">
        <v>2163</v>
      </c>
      <c r="F3132" t="s">
        <v>190</v>
      </c>
      <c r="G3132" t="s">
        <v>946</v>
      </c>
      <c r="H3132" t="s">
        <v>947</v>
      </c>
      <c r="I3132" t="s">
        <v>947</v>
      </c>
      <c r="J3132" t="s">
        <v>60</v>
      </c>
      <c r="K3132" t="s">
        <v>193</v>
      </c>
      <c r="L3132" t="s">
        <v>62</v>
      </c>
      <c r="M3132" t="s">
        <v>193</v>
      </c>
      <c r="N3132" t="s">
        <v>948</v>
      </c>
      <c r="O3132" t="s">
        <v>949</v>
      </c>
      <c r="P3132">
        <v>-20.141646000000001</v>
      </c>
      <c r="Q3132">
        <v>-44.920682999999997</v>
      </c>
      <c r="R3132" s="2" t="str">
        <f>HYPERLINK("https://www.google.com/maps?q=-20.1416460,-44.9206830","Abrir no Google Maps")</f>
        <v>Abrir no Google Maps</v>
      </c>
      <c r="S3132">
        <v>3</v>
      </c>
      <c r="T3132">
        <v>538.41742581974165</v>
      </c>
      <c r="U3132">
        <v>3</v>
      </c>
      <c r="V3132">
        <v>0.34475155729393009</v>
      </c>
      <c r="W3132">
        <v>1</v>
      </c>
      <c r="X3132">
        <v>0.34475155729393009</v>
      </c>
      <c r="Y3132">
        <v>508</v>
      </c>
      <c r="Z3132">
        <v>459.99626097363068</v>
      </c>
      <c r="AA3132">
        <v>198</v>
      </c>
      <c r="AB3132">
        <v>332</v>
      </c>
      <c r="AC3132">
        <v>536</v>
      </c>
      <c r="AD3132">
        <v>26.35</v>
      </c>
      <c r="AE3132">
        <v>542</v>
      </c>
      <c r="AF3132">
        <v>15</v>
      </c>
      <c r="AG3132">
        <v>174</v>
      </c>
      <c r="AH3132">
        <v>129</v>
      </c>
      <c r="AI3132">
        <v>2.77</v>
      </c>
      <c r="AJ3132">
        <v>32.1</v>
      </c>
      <c r="AK3132">
        <v>23.8</v>
      </c>
      <c r="AL3132">
        <v>-20.141877549999979</v>
      </c>
      <c r="AM3132">
        <v>-44.920658074778594</v>
      </c>
      <c r="AN3132">
        <v>-20.141877549999979</v>
      </c>
      <c r="AO3132">
        <v>-44.920658074778594</v>
      </c>
      <c r="AP3132">
        <v>-20.141646000000001</v>
      </c>
      <c r="AQ3132">
        <v>-44.920682999999997</v>
      </c>
      <c r="AR3132">
        <v>25.907443828287509</v>
      </c>
      <c r="AS3132" t="s">
        <v>65</v>
      </c>
      <c r="AT3132">
        <v>1</v>
      </c>
      <c r="AU3132" t="s">
        <v>950</v>
      </c>
      <c r="AV3132" t="s">
        <v>951</v>
      </c>
      <c r="AW3132" t="s">
        <v>60</v>
      </c>
      <c r="AX3132" t="s">
        <v>68</v>
      </c>
      <c r="AY3132" t="s">
        <v>69</v>
      </c>
      <c r="AZ3132" t="b">
        <v>1</v>
      </c>
    </row>
    <row r="3133" spans="1:52" x14ac:dyDescent="0.3">
      <c r="A3133" t="s">
        <v>52</v>
      </c>
      <c r="B3133" t="s">
        <v>53</v>
      </c>
      <c r="C3133" t="s">
        <v>54</v>
      </c>
      <c r="D3133" t="s">
        <v>55</v>
      </c>
      <c r="E3133" t="s">
        <v>2163</v>
      </c>
      <c r="F3133" t="s">
        <v>190</v>
      </c>
      <c r="G3133" t="s">
        <v>625</v>
      </c>
      <c r="H3133" t="s">
        <v>626</v>
      </c>
      <c r="I3133" t="s">
        <v>626</v>
      </c>
      <c r="J3133" t="s">
        <v>60</v>
      </c>
      <c r="K3133" t="s">
        <v>193</v>
      </c>
      <c r="L3133" t="s">
        <v>62</v>
      </c>
      <c r="M3133" t="s">
        <v>193</v>
      </c>
      <c r="N3133" t="s">
        <v>627</v>
      </c>
      <c r="O3133" t="s">
        <v>628</v>
      </c>
      <c r="P3133">
        <v>-20.145171999999999</v>
      </c>
      <c r="Q3133">
        <v>-44.916764000000001</v>
      </c>
      <c r="R3133" s="2" t="str">
        <f>HYPERLINK("https://www.google.com/maps?q=-20.1451720,-44.9167640","Abrir no Google Maps")</f>
        <v>Abrir no Google Maps</v>
      </c>
      <c r="S3133">
        <v>3</v>
      </c>
      <c r="T3133">
        <v>0</v>
      </c>
      <c r="U3133">
        <v>3</v>
      </c>
      <c r="V3133">
        <v>0.36554215015753477</v>
      </c>
      <c r="W3133">
        <v>1</v>
      </c>
      <c r="X3133">
        <v>0.36554215015753477</v>
      </c>
      <c r="Y3133">
        <v>508</v>
      </c>
      <c r="Z3133">
        <v>79.403393114466795</v>
      </c>
      <c r="AA3133">
        <v>198</v>
      </c>
      <c r="AB3133">
        <v>332</v>
      </c>
      <c r="AC3133">
        <v>536</v>
      </c>
      <c r="AD3133">
        <v>26.35</v>
      </c>
      <c r="AE3133">
        <v>542</v>
      </c>
      <c r="AF3133">
        <v>15</v>
      </c>
      <c r="AG3133">
        <v>174</v>
      </c>
      <c r="AH3133">
        <v>129</v>
      </c>
      <c r="AI3133">
        <v>2.77</v>
      </c>
      <c r="AJ3133">
        <v>32.1</v>
      </c>
      <c r="AK3133">
        <v>23.8</v>
      </c>
      <c r="AL3133">
        <v>-20.145089199999969</v>
      </c>
      <c r="AM3133">
        <v>-44.916788127791321</v>
      </c>
      <c r="AN3133">
        <v>-20.145089199999969</v>
      </c>
      <c r="AO3133">
        <v>-44.916788127791321</v>
      </c>
      <c r="AP3133">
        <v>-20.145171999999999</v>
      </c>
      <c r="AQ3133">
        <v>-44.916764000000001</v>
      </c>
      <c r="AR3133">
        <v>9.555991267747272</v>
      </c>
      <c r="AS3133" t="s">
        <v>65</v>
      </c>
      <c r="AT3133">
        <v>1</v>
      </c>
      <c r="AU3133" t="s">
        <v>629</v>
      </c>
      <c r="AV3133" t="s">
        <v>630</v>
      </c>
      <c r="AW3133" t="s">
        <v>60</v>
      </c>
      <c r="AX3133" t="s">
        <v>68</v>
      </c>
      <c r="AY3133" t="s">
        <v>69</v>
      </c>
      <c r="AZ3133" t="b">
        <v>1</v>
      </c>
    </row>
    <row r="3134" spans="1:52" x14ac:dyDescent="0.3">
      <c r="A3134" t="s">
        <v>52</v>
      </c>
      <c r="B3134" t="s">
        <v>53</v>
      </c>
      <c r="C3134" t="s">
        <v>54</v>
      </c>
      <c r="D3134" t="s">
        <v>55</v>
      </c>
      <c r="E3134" t="s">
        <v>2163</v>
      </c>
      <c r="F3134" t="s">
        <v>190</v>
      </c>
      <c r="G3134" t="s">
        <v>935</v>
      </c>
      <c r="H3134" t="s">
        <v>952</v>
      </c>
      <c r="I3134" t="s">
        <v>952</v>
      </c>
      <c r="J3134" t="s">
        <v>60</v>
      </c>
      <c r="K3134" t="s">
        <v>953</v>
      </c>
      <c r="L3134" t="s">
        <v>62</v>
      </c>
      <c r="M3134" t="s">
        <v>953</v>
      </c>
      <c r="N3134" t="s">
        <v>937</v>
      </c>
      <c r="O3134" t="s">
        <v>954</v>
      </c>
      <c r="P3134">
        <v>-20.147273999999999</v>
      </c>
      <c r="Q3134">
        <v>-44.920006000000001</v>
      </c>
      <c r="R3134" s="2" t="str">
        <f>HYPERLINK("https://www.google.com/maps?q=-20.1472740,-44.9200060","Abrir no Google Maps")</f>
        <v>Abrir no Google Maps</v>
      </c>
      <c r="S3134">
        <v>3</v>
      </c>
      <c r="T3134">
        <v>459.0606352701667</v>
      </c>
      <c r="U3134">
        <v>3</v>
      </c>
      <c r="V3134">
        <v>0.41063372717508051</v>
      </c>
      <c r="W3134">
        <v>0.85</v>
      </c>
      <c r="X3134">
        <v>0.34903866809881839</v>
      </c>
      <c r="Y3134">
        <v>508</v>
      </c>
      <c r="Z3134">
        <v>450.79650119449559</v>
      </c>
      <c r="AA3134">
        <v>198</v>
      </c>
      <c r="AB3134">
        <v>332</v>
      </c>
      <c r="AC3134">
        <v>536</v>
      </c>
      <c r="AD3134">
        <v>26.35</v>
      </c>
      <c r="AE3134">
        <v>542</v>
      </c>
      <c r="AF3134">
        <v>15</v>
      </c>
      <c r="AG3134">
        <v>174</v>
      </c>
      <c r="AH3134">
        <v>129</v>
      </c>
      <c r="AI3134">
        <v>2.77</v>
      </c>
      <c r="AJ3134">
        <v>32.1</v>
      </c>
      <c r="AK3134">
        <v>23.8</v>
      </c>
      <c r="AL3134">
        <v>-20.14804539999994</v>
      </c>
      <c r="AM3134">
        <v>-44.919869714952483</v>
      </c>
      <c r="AN3134">
        <v>-20.14804539999994</v>
      </c>
      <c r="AO3134">
        <v>-44.919869714952483</v>
      </c>
      <c r="AP3134">
        <v>-20.147273999999999</v>
      </c>
      <c r="AQ3134">
        <v>-44.920006000000001</v>
      </c>
      <c r="AR3134">
        <v>87.045401840517783</v>
      </c>
      <c r="AS3134" t="s">
        <v>65</v>
      </c>
      <c r="AT3134">
        <v>1</v>
      </c>
      <c r="AU3134" t="s">
        <v>955</v>
      </c>
      <c r="AV3134" t="s">
        <v>956</v>
      </c>
      <c r="AW3134" t="s">
        <v>60</v>
      </c>
      <c r="AX3134" t="s">
        <v>68</v>
      </c>
      <c r="AY3134" t="s">
        <v>69</v>
      </c>
      <c r="AZ3134" t="b">
        <v>1</v>
      </c>
    </row>
    <row r="3135" spans="1:52" x14ac:dyDescent="0.3">
      <c r="A3135" t="s">
        <v>52</v>
      </c>
      <c r="B3135" t="s">
        <v>53</v>
      </c>
      <c r="C3135" t="s">
        <v>54</v>
      </c>
      <c r="D3135" t="s">
        <v>55</v>
      </c>
      <c r="E3135" t="s">
        <v>2163</v>
      </c>
      <c r="F3135" t="s">
        <v>190</v>
      </c>
      <c r="G3135" t="s">
        <v>957</v>
      </c>
      <c r="H3135" t="s">
        <v>1750</v>
      </c>
      <c r="I3135" t="s">
        <v>1750</v>
      </c>
      <c r="J3135" t="s">
        <v>60</v>
      </c>
      <c r="K3135" t="s">
        <v>982</v>
      </c>
      <c r="L3135" t="s">
        <v>62</v>
      </c>
      <c r="M3135" t="s">
        <v>982</v>
      </c>
      <c r="N3135" t="s">
        <v>959</v>
      </c>
      <c r="O3135" t="s">
        <v>1751</v>
      </c>
      <c r="P3135">
        <v>-20.164285</v>
      </c>
      <c r="Q3135">
        <v>-44.857562000000001</v>
      </c>
      <c r="R3135" s="2" t="str">
        <f>HYPERLINK("https://www.google.com/maps?q=-20.1642850,-44.8575620","Abrir no Google Maps")</f>
        <v>Abrir no Google Maps</v>
      </c>
      <c r="S3135">
        <v>3</v>
      </c>
      <c r="T3135">
        <v>275.89108588842112</v>
      </c>
      <c r="U3135">
        <v>3</v>
      </c>
      <c r="V3135">
        <v>0.3286980554515625</v>
      </c>
      <c r="W3135">
        <v>1</v>
      </c>
      <c r="X3135">
        <v>0.3286980554515625</v>
      </c>
      <c r="Y3135">
        <v>491</v>
      </c>
      <c r="Z3135">
        <v>150.50906778215881</v>
      </c>
      <c r="AA3135">
        <v>198</v>
      </c>
      <c r="AB3135">
        <v>332</v>
      </c>
      <c r="AC3135">
        <v>536</v>
      </c>
      <c r="AD3135">
        <v>26.35</v>
      </c>
      <c r="AE3135">
        <v>542</v>
      </c>
      <c r="AF3135">
        <v>15</v>
      </c>
      <c r="AG3135">
        <v>174</v>
      </c>
      <c r="AH3135">
        <v>129</v>
      </c>
      <c r="AI3135">
        <v>2.77</v>
      </c>
      <c r="AJ3135">
        <v>32.1</v>
      </c>
      <c r="AK3135">
        <v>23.8</v>
      </c>
      <c r="AL3135">
        <v>-20.164333749999969</v>
      </c>
      <c r="AM3135">
        <v>-44.857568319333943</v>
      </c>
      <c r="AN3135">
        <v>-20.164333749999969</v>
      </c>
      <c r="AO3135">
        <v>-44.857568319333943</v>
      </c>
      <c r="AP3135">
        <v>-20.164285</v>
      </c>
      <c r="AQ3135">
        <v>-44.857562000000001</v>
      </c>
      <c r="AR3135">
        <v>5.4668788625524281</v>
      </c>
      <c r="AS3135" t="s">
        <v>65</v>
      </c>
      <c r="AT3135">
        <v>1</v>
      </c>
      <c r="AU3135" t="s">
        <v>1752</v>
      </c>
      <c r="AV3135" t="s">
        <v>1753</v>
      </c>
      <c r="AW3135" t="s">
        <v>60</v>
      </c>
      <c r="AX3135" t="s">
        <v>68</v>
      </c>
      <c r="AY3135" t="s">
        <v>69</v>
      </c>
      <c r="AZ3135" t="b">
        <v>1</v>
      </c>
    </row>
    <row r="3136" spans="1:52" x14ac:dyDescent="0.3">
      <c r="A3136" t="s">
        <v>52</v>
      </c>
      <c r="B3136" t="s">
        <v>53</v>
      </c>
      <c r="C3136" t="s">
        <v>54</v>
      </c>
      <c r="D3136" t="s">
        <v>55</v>
      </c>
      <c r="E3136" t="s">
        <v>2163</v>
      </c>
      <c r="F3136" t="s">
        <v>190</v>
      </c>
      <c r="G3136" t="s">
        <v>963</v>
      </c>
      <c r="H3136" t="s">
        <v>964</v>
      </c>
      <c r="I3136" t="s">
        <v>964</v>
      </c>
      <c r="J3136" t="s">
        <v>60</v>
      </c>
      <c r="K3136" t="s">
        <v>702</v>
      </c>
      <c r="L3136" t="s">
        <v>62</v>
      </c>
      <c r="M3136" t="s">
        <v>702</v>
      </c>
      <c r="N3136" t="s">
        <v>965</v>
      </c>
      <c r="O3136" t="s">
        <v>960</v>
      </c>
      <c r="P3136">
        <v>-20.164622000000001</v>
      </c>
      <c r="Q3136">
        <v>-44.860289999999999</v>
      </c>
      <c r="R3136" s="2" t="str">
        <f>HYPERLINK("https://www.google.com/maps?q=-20.1646220,-44.8602900","Abrir no Google Maps")</f>
        <v>Abrir no Google Maps</v>
      </c>
      <c r="S3136">
        <v>3</v>
      </c>
      <c r="T3136">
        <v>393.43725605569188</v>
      </c>
      <c r="U3136">
        <v>3</v>
      </c>
      <c r="V3136">
        <v>0.35027462686567162</v>
      </c>
      <c r="W3136">
        <v>1</v>
      </c>
      <c r="X3136">
        <v>0.35027462686567162</v>
      </c>
      <c r="Y3136">
        <v>491</v>
      </c>
      <c r="Z3136">
        <v>358.96336458076678</v>
      </c>
      <c r="AA3136">
        <v>198</v>
      </c>
      <c r="AB3136">
        <v>332</v>
      </c>
      <c r="AC3136">
        <v>536</v>
      </c>
      <c r="AD3136">
        <v>26.35</v>
      </c>
      <c r="AE3136">
        <v>542</v>
      </c>
      <c r="AF3136">
        <v>15</v>
      </c>
      <c r="AG3136">
        <v>174</v>
      </c>
      <c r="AH3136">
        <v>129</v>
      </c>
      <c r="AI3136">
        <v>2.77</v>
      </c>
      <c r="AJ3136">
        <v>32.1</v>
      </c>
      <c r="AK3136">
        <v>23.8</v>
      </c>
      <c r="AL3136">
        <v>-20.164560849999951</v>
      </c>
      <c r="AM3136">
        <v>-44.860330680844072</v>
      </c>
      <c r="AN3136">
        <v>-20.164560849999951</v>
      </c>
      <c r="AO3136">
        <v>-44.860330680844072</v>
      </c>
      <c r="AP3136">
        <v>-20.164622000000001</v>
      </c>
      <c r="AQ3136">
        <v>-44.860289999999999</v>
      </c>
      <c r="AR3136">
        <v>8.0255448908437454</v>
      </c>
      <c r="AS3136" t="s">
        <v>65</v>
      </c>
      <c r="AT3136">
        <v>1</v>
      </c>
      <c r="AU3136" t="s">
        <v>966</v>
      </c>
      <c r="AV3136" t="s">
        <v>967</v>
      </c>
      <c r="AW3136" t="s">
        <v>60</v>
      </c>
      <c r="AX3136" t="s">
        <v>68</v>
      </c>
      <c r="AY3136" t="s">
        <v>69</v>
      </c>
      <c r="AZ3136" t="b">
        <v>1</v>
      </c>
    </row>
    <row r="3137" spans="1:52" x14ac:dyDescent="0.3">
      <c r="A3137" t="s">
        <v>52</v>
      </c>
      <c r="B3137" t="s">
        <v>53</v>
      </c>
      <c r="C3137" t="s">
        <v>54</v>
      </c>
      <c r="D3137" t="s">
        <v>55</v>
      </c>
      <c r="E3137" t="s">
        <v>2163</v>
      </c>
      <c r="F3137" t="s">
        <v>190</v>
      </c>
      <c r="G3137" t="s">
        <v>968</v>
      </c>
      <c r="H3137" t="s">
        <v>969</v>
      </c>
      <c r="I3137" t="s">
        <v>969</v>
      </c>
      <c r="J3137" t="s">
        <v>60</v>
      </c>
      <c r="K3137" t="s">
        <v>262</v>
      </c>
      <c r="L3137" t="s">
        <v>62</v>
      </c>
      <c r="M3137" t="s">
        <v>262</v>
      </c>
      <c r="N3137" t="s">
        <v>970</v>
      </c>
      <c r="O3137" t="s">
        <v>971</v>
      </c>
      <c r="P3137">
        <v>-20.163060999999999</v>
      </c>
      <c r="Q3137">
        <v>-44.854047000000001</v>
      </c>
      <c r="R3137" s="2" t="str">
        <f>HYPERLINK("https://www.google.com/maps?q=-20.1630610,-44.8540470","Abrir no Google Maps")</f>
        <v>Abrir no Google Maps</v>
      </c>
      <c r="S3137">
        <v>3</v>
      </c>
      <c r="T3137">
        <v>418.63868463200271</v>
      </c>
      <c r="U3137">
        <v>3</v>
      </c>
      <c r="V3137">
        <v>0.32775925925925931</v>
      </c>
      <c r="W3137">
        <v>1</v>
      </c>
      <c r="X3137">
        <v>0.32775925925925931</v>
      </c>
      <c r="Y3137">
        <v>491</v>
      </c>
      <c r="Z3137">
        <v>339.19068595447408</v>
      </c>
      <c r="AA3137">
        <v>198</v>
      </c>
      <c r="AB3137">
        <v>332</v>
      </c>
      <c r="AC3137">
        <v>536</v>
      </c>
      <c r="AD3137">
        <v>26.35</v>
      </c>
      <c r="AE3137">
        <v>542</v>
      </c>
      <c r="AF3137">
        <v>15</v>
      </c>
      <c r="AG3137">
        <v>174</v>
      </c>
      <c r="AH3137">
        <v>129</v>
      </c>
      <c r="AI3137">
        <v>2.77</v>
      </c>
      <c r="AJ3137">
        <v>32.1</v>
      </c>
      <c r="AK3137">
        <v>23.8</v>
      </c>
      <c r="AL3137">
        <v>-20.163118949999959</v>
      </c>
      <c r="AM3137">
        <v>-44.854106723889032</v>
      </c>
      <c r="AN3137">
        <v>-20.163118949999959</v>
      </c>
      <c r="AO3137">
        <v>-44.854106723889032</v>
      </c>
      <c r="AP3137">
        <v>-20.163060999999999</v>
      </c>
      <c r="AQ3137">
        <v>-44.854047000000001</v>
      </c>
      <c r="AR3137">
        <v>8.9758322935491428</v>
      </c>
      <c r="AS3137" t="s">
        <v>65</v>
      </c>
      <c r="AT3137">
        <v>1</v>
      </c>
      <c r="AU3137" t="s">
        <v>972</v>
      </c>
      <c r="AV3137" t="s">
        <v>973</v>
      </c>
      <c r="AW3137" t="s">
        <v>60</v>
      </c>
      <c r="AX3137" t="s">
        <v>68</v>
      </c>
      <c r="AY3137" t="s">
        <v>69</v>
      </c>
      <c r="AZ3137" t="b">
        <v>1</v>
      </c>
    </row>
    <row r="3138" spans="1:52" x14ac:dyDescent="0.3">
      <c r="A3138" t="s">
        <v>52</v>
      </c>
      <c r="B3138" t="s">
        <v>53</v>
      </c>
      <c r="C3138" t="s">
        <v>54</v>
      </c>
      <c r="D3138" t="s">
        <v>55</v>
      </c>
      <c r="E3138" t="s">
        <v>2163</v>
      </c>
      <c r="F3138" t="s">
        <v>190</v>
      </c>
      <c r="G3138" t="s">
        <v>1021</v>
      </c>
      <c r="H3138" t="s">
        <v>1022</v>
      </c>
      <c r="I3138" t="s">
        <v>1022</v>
      </c>
      <c r="J3138" t="s">
        <v>60</v>
      </c>
      <c r="K3138" t="s">
        <v>1023</v>
      </c>
      <c r="L3138" t="s">
        <v>62</v>
      </c>
      <c r="M3138" t="s">
        <v>1023</v>
      </c>
      <c r="N3138" t="s">
        <v>1024</v>
      </c>
      <c r="O3138" t="s">
        <v>1025</v>
      </c>
      <c r="P3138">
        <v>-20.169588999999998</v>
      </c>
      <c r="Q3138">
        <v>-44.866636</v>
      </c>
      <c r="R3138" s="2" t="str">
        <f>HYPERLINK("https://www.google.com/maps?q=-20.1695890,-44.8666360","Abrir no Google Maps")</f>
        <v>Abrir no Google Maps</v>
      </c>
      <c r="S3138">
        <v>3</v>
      </c>
      <c r="T3138">
        <v>326.02709617860302</v>
      </c>
      <c r="U3138">
        <v>3</v>
      </c>
      <c r="V3138">
        <v>0.32569484611403698</v>
      </c>
      <c r="W3138">
        <v>1</v>
      </c>
      <c r="X3138">
        <v>0.32569484611403698</v>
      </c>
      <c r="Y3138">
        <v>422</v>
      </c>
      <c r="Z3138">
        <v>333.05362278862168</v>
      </c>
      <c r="AA3138">
        <v>198</v>
      </c>
      <c r="AB3138">
        <v>332</v>
      </c>
      <c r="AC3138">
        <v>536</v>
      </c>
      <c r="AD3138">
        <v>26.35</v>
      </c>
      <c r="AE3138">
        <v>542</v>
      </c>
      <c r="AF3138">
        <v>15</v>
      </c>
      <c r="AG3138">
        <v>174</v>
      </c>
      <c r="AH3138">
        <v>129</v>
      </c>
      <c r="AI3138">
        <v>2.77</v>
      </c>
      <c r="AJ3138">
        <v>32.1</v>
      </c>
      <c r="AK3138">
        <v>23.8</v>
      </c>
      <c r="AL3138">
        <v>-20.16956104999997</v>
      </c>
      <c r="AM3138">
        <v>-44.866560528183591</v>
      </c>
      <c r="AN3138">
        <v>-20.16956104999997</v>
      </c>
      <c r="AO3138">
        <v>-44.866560528183591</v>
      </c>
      <c r="AP3138">
        <v>-20.169588999999998</v>
      </c>
      <c r="AQ3138">
        <v>-44.866636</v>
      </c>
      <c r="AR3138">
        <v>8.4778927137831293</v>
      </c>
      <c r="AS3138" t="s">
        <v>65</v>
      </c>
      <c r="AT3138">
        <v>1</v>
      </c>
      <c r="AU3138" t="s">
        <v>1026</v>
      </c>
      <c r="AV3138" t="s">
        <v>1027</v>
      </c>
      <c r="AW3138" t="s">
        <v>60</v>
      </c>
      <c r="AX3138" t="s">
        <v>68</v>
      </c>
      <c r="AY3138" t="s">
        <v>69</v>
      </c>
      <c r="AZ3138" t="b">
        <v>1</v>
      </c>
    </row>
    <row r="3139" spans="1:52" x14ac:dyDescent="0.3">
      <c r="A3139" t="s">
        <v>52</v>
      </c>
      <c r="B3139" t="s">
        <v>53</v>
      </c>
      <c r="C3139" t="s">
        <v>54</v>
      </c>
      <c r="D3139" t="s">
        <v>55</v>
      </c>
      <c r="E3139" t="s">
        <v>2163</v>
      </c>
      <c r="F3139" t="s">
        <v>190</v>
      </c>
      <c r="G3139" t="s">
        <v>1028</v>
      </c>
      <c r="H3139" t="s">
        <v>1029</v>
      </c>
      <c r="I3139" t="s">
        <v>1029</v>
      </c>
      <c r="J3139" t="s">
        <v>60</v>
      </c>
      <c r="K3139" t="s">
        <v>1016</v>
      </c>
      <c r="L3139" t="s">
        <v>62</v>
      </c>
      <c r="M3139" t="s">
        <v>1016</v>
      </c>
      <c r="N3139" t="s">
        <v>1030</v>
      </c>
      <c r="O3139" t="s">
        <v>855</v>
      </c>
      <c r="P3139">
        <v>-20.169778000000001</v>
      </c>
      <c r="Q3139">
        <v>-44.871940000000002</v>
      </c>
      <c r="R3139" s="2" t="str">
        <f>HYPERLINK("https://www.google.com/maps?q=-20.1697780,-44.8719400","Abrir no Google Maps")</f>
        <v>Abrir no Google Maps</v>
      </c>
      <c r="S3139">
        <v>3</v>
      </c>
      <c r="T3139">
        <v>730.45462447863167</v>
      </c>
      <c r="U3139">
        <v>3</v>
      </c>
      <c r="V3139">
        <v>0.33829915752662532</v>
      </c>
      <c r="W3139">
        <v>1</v>
      </c>
      <c r="X3139">
        <v>0.33829915752662532</v>
      </c>
      <c r="Y3139">
        <v>422</v>
      </c>
      <c r="Z3139">
        <v>600.74952959765801</v>
      </c>
      <c r="AA3139">
        <v>198</v>
      </c>
      <c r="AB3139">
        <v>332</v>
      </c>
      <c r="AC3139">
        <v>536</v>
      </c>
      <c r="AD3139">
        <v>26.35</v>
      </c>
      <c r="AE3139">
        <v>542</v>
      </c>
      <c r="AF3139">
        <v>15</v>
      </c>
      <c r="AG3139">
        <v>174</v>
      </c>
      <c r="AH3139">
        <v>129</v>
      </c>
      <c r="AI3139">
        <v>2.77</v>
      </c>
      <c r="AJ3139">
        <v>32.1</v>
      </c>
      <c r="AK3139">
        <v>23.8</v>
      </c>
      <c r="AL3139">
        <v>-20.169770599999961</v>
      </c>
      <c r="AM3139">
        <v>-44.871857291666629</v>
      </c>
      <c r="AN3139">
        <v>-20.169770599999961</v>
      </c>
      <c r="AO3139">
        <v>-44.871857291666629</v>
      </c>
      <c r="AP3139">
        <v>-20.169778000000001</v>
      </c>
      <c r="AQ3139">
        <v>-44.871940000000002</v>
      </c>
      <c r="AR3139">
        <v>8.6816379320830315</v>
      </c>
      <c r="AS3139" t="s">
        <v>65</v>
      </c>
      <c r="AT3139">
        <v>1</v>
      </c>
      <c r="AU3139" t="s">
        <v>1031</v>
      </c>
      <c r="AV3139" t="s">
        <v>1032</v>
      </c>
      <c r="AW3139" t="s">
        <v>60</v>
      </c>
      <c r="AX3139" t="s">
        <v>68</v>
      </c>
      <c r="AY3139" t="s">
        <v>69</v>
      </c>
      <c r="AZ3139" t="b">
        <v>1</v>
      </c>
    </row>
    <row r="3140" spans="1:52" x14ac:dyDescent="0.3">
      <c r="A3140" t="s">
        <v>52</v>
      </c>
      <c r="B3140" t="s">
        <v>53</v>
      </c>
      <c r="C3140" t="s">
        <v>54</v>
      </c>
      <c r="D3140" t="s">
        <v>55</v>
      </c>
      <c r="E3140" t="s">
        <v>2163</v>
      </c>
      <c r="F3140" t="s">
        <v>190</v>
      </c>
      <c r="G3140" t="s">
        <v>693</v>
      </c>
      <c r="H3140" t="s">
        <v>694</v>
      </c>
      <c r="I3140" t="s">
        <v>694</v>
      </c>
      <c r="J3140" t="s">
        <v>60</v>
      </c>
      <c r="K3140" t="s">
        <v>695</v>
      </c>
      <c r="L3140" t="s">
        <v>62</v>
      </c>
      <c r="M3140" t="s">
        <v>695</v>
      </c>
      <c r="N3140" t="s">
        <v>696</v>
      </c>
      <c r="O3140" t="s">
        <v>697</v>
      </c>
      <c r="P3140">
        <v>-20.174917000000001</v>
      </c>
      <c r="Q3140">
        <v>-44.857677000000002</v>
      </c>
      <c r="R3140" s="2" t="str">
        <f>HYPERLINK("https://www.google.com/maps?q=-20.1749170,-44.8576770","Abrir no Google Maps")</f>
        <v>Abrir no Google Maps</v>
      </c>
      <c r="S3140">
        <v>3</v>
      </c>
      <c r="T3140">
        <v>850.52349144267646</v>
      </c>
      <c r="U3140">
        <v>3</v>
      </c>
      <c r="V3140">
        <v>0.33210931306253788</v>
      </c>
      <c r="W3140">
        <v>1</v>
      </c>
      <c r="X3140">
        <v>0.33210931306253788</v>
      </c>
      <c r="Y3140">
        <v>422</v>
      </c>
      <c r="Z3140">
        <v>1042.4685698911451</v>
      </c>
      <c r="AA3140">
        <v>198</v>
      </c>
      <c r="AB3140">
        <v>332</v>
      </c>
      <c r="AC3140">
        <v>536</v>
      </c>
      <c r="AD3140">
        <v>26.35</v>
      </c>
      <c r="AE3140">
        <v>542</v>
      </c>
      <c r="AF3140">
        <v>15</v>
      </c>
      <c r="AG3140">
        <v>174</v>
      </c>
      <c r="AH3140">
        <v>129</v>
      </c>
      <c r="AI3140">
        <v>2.77</v>
      </c>
      <c r="AJ3140">
        <v>32.1</v>
      </c>
      <c r="AK3140">
        <v>23.8</v>
      </c>
      <c r="AL3140">
        <v>-20.17483459999994</v>
      </c>
      <c r="AM3140">
        <v>-44.857715667542379</v>
      </c>
      <c r="AN3140">
        <v>-20.17483459999994</v>
      </c>
      <c r="AO3140">
        <v>-44.857715667542379</v>
      </c>
      <c r="AP3140">
        <v>-20.174917000000001</v>
      </c>
      <c r="AQ3140">
        <v>-44.857677000000002</v>
      </c>
      <c r="AR3140">
        <v>10.02318555136439</v>
      </c>
      <c r="AS3140" t="s">
        <v>65</v>
      </c>
      <c r="AT3140">
        <v>1</v>
      </c>
      <c r="AU3140" t="s">
        <v>698</v>
      </c>
      <c r="AV3140" t="s">
        <v>699</v>
      </c>
      <c r="AW3140" t="s">
        <v>60</v>
      </c>
      <c r="AX3140" t="s">
        <v>68</v>
      </c>
      <c r="AY3140" t="s">
        <v>69</v>
      </c>
      <c r="AZ3140" t="b">
        <v>1</v>
      </c>
    </row>
    <row r="3141" spans="1:52" x14ac:dyDescent="0.3">
      <c r="A3141" t="s">
        <v>52</v>
      </c>
      <c r="B3141" t="s">
        <v>53</v>
      </c>
      <c r="C3141" t="s">
        <v>54</v>
      </c>
      <c r="D3141" t="s">
        <v>55</v>
      </c>
      <c r="E3141" t="s">
        <v>2163</v>
      </c>
      <c r="F3141" t="s">
        <v>190</v>
      </c>
      <c r="G3141" t="s">
        <v>1039</v>
      </c>
      <c r="H3141" t="s">
        <v>1040</v>
      </c>
      <c r="I3141" t="s">
        <v>1040</v>
      </c>
      <c r="J3141" t="s">
        <v>60</v>
      </c>
      <c r="K3141" t="s">
        <v>1023</v>
      </c>
      <c r="L3141" t="s">
        <v>62</v>
      </c>
      <c r="M3141" t="s">
        <v>1023</v>
      </c>
      <c r="N3141" t="s">
        <v>1041</v>
      </c>
      <c r="O3141" t="s">
        <v>738</v>
      </c>
      <c r="P3141">
        <v>-20.172284000000001</v>
      </c>
      <c r="Q3141">
        <v>-44.865392999999997</v>
      </c>
      <c r="R3141" s="2" t="str">
        <f>HYPERLINK("https://www.google.com/maps?q=-20.1722840,-44.8653930","Abrir no Google Maps")</f>
        <v>Abrir no Google Maps</v>
      </c>
      <c r="S3141">
        <v>3</v>
      </c>
      <c r="T3141">
        <v>0</v>
      </c>
      <c r="U3141">
        <v>3</v>
      </c>
      <c r="V3141">
        <v>0.32857214798898809</v>
      </c>
      <c r="W3141">
        <v>1</v>
      </c>
      <c r="X3141">
        <v>0.32857214798898809</v>
      </c>
      <c r="Y3141">
        <v>422</v>
      </c>
      <c r="Z3141">
        <v>202.96804500763591</v>
      </c>
      <c r="AA3141">
        <v>198</v>
      </c>
      <c r="AB3141">
        <v>332</v>
      </c>
      <c r="AC3141">
        <v>536</v>
      </c>
      <c r="AD3141">
        <v>26.35</v>
      </c>
      <c r="AE3141">
        <v>542</v>
      </c>
      <c r="AF3141">
        <v>15</v>
      </c>
      <c r="AG3141">
        <v>174</v>
      </c>
      <c r="AH3141">
        <v>129</v>
      </c>
      <c r="AI3141">
        <v>2.77</v>
      </c>
      <c r="AJ3141">
        <v>32.1</v>
      </c>
      <c r="AK3141">
        <v>23.8</v>
      </c>
      <c r="AL3141">
        <v>-20.17229514999994</v>
      </c>
      <c r="AM3141">
        <v>-44.865398249858011</v>
      </c>
      <c r="AN3141">
        <v>-20.17229514999994</v>
      </c>
      <c r="AO3141">
        <v>-44.865398249858011</v>
      </c>
      <c r="AP3141">
        <v>-20.172284000000001</v>
      </c>
      <c r="AQ3141">
        <v>-44.865392999999997</v>
      </c>
      <c r="AR3141">
        <v>1.357036084497409</v>
      </c>
      <c r="AS3141" t="s">
        <v>65</v>
      </c>
      <c r="AT3141">
        <v>1</v>
      </c>
      <c r="AU3141" t="s">
        <v>1042</v>
      </c>
      <c r="AV3141" t="s">
        <v>1043</v>
      </c>
      <c r="AW3141" t="s">
        <v>60</v>
      </c>
      <c r="AX3141" t="s">
        <v>68</v>
      </c>
      <c r="AY3141" t="s">
        <v>69</v>
      </c>
      <c r="AZ3141" t="b">
        <v>1</v>
      </c>
    </row>
    <row r="3142" spans="1:52" x14ac:dyDescent="0.3">
      <c r="A3142" t="s">
        <v>52</v>
      </c>
      <c r="B3142" t="s">
        <v>53</v>
      </c>
      <c r="C3142" t="s">
        <v>54</v>
      </c>
      <c r="D3142" t="s">
        <v>55</v>
      </c>
      <c r="E3142" t="s">
        <v>2163</v>
      </c>
      <c r="F3142" t="s">
        <v>190</v>
      </c>
      <c r="G3142" t="s">
        <v>700</v>
      </c>
      <c r="H3142" t="s">
        <v>701</v>
      </c>
      <c r="I3142" t="s">
        <v>701</v>
      </c>
      <c r="J3142" t="s">
        <v>60</v>
      </c>
      <c r="K3142" t="s">
        <v>702</v>
      </c>
      <c r="L3142" t="s">
        <v>62</v>
      </c>
      <c r="M3142" t="s">
        <v>702</v>
      </c>
      <c r="N3142" t="s">
        <v>703</v>
      </c>
      <c r="O3142" t="s">
        <v>315</v>
      </c>
      <c r="P3142">
        <v>-20.172599000000002</v>
      </c>
      <c r="Q3142">
        <v>-44.85915</v>
      </c>
      <c r="R3142" s="2" t="str">
        <f>HYPERLINK("https://www.google.com/maps?q=-20.1725990,-44.8591500","Abrir no Google Maps")</f>
        <v>Abrir no Google Maps</v>
      </c>
      <c r="S3142">
        <v>3</v>
      </c>
      <c r="T3142">
        <v>665.1003223445598</v>
      </c>
      <c r="U3142">
        <v>3</v>
      </c>
      <c r="V3142">
        <v>0.33275324451236798</v>
      </c>
      <c r="W3142">
        <v>1</v>
      </c>
      <c r="X3142">
        <v>0.33275324451236798</v>
      </c>
      <c r="Y3142">
        <v>422</v>
      </c>
      <c r="Z3142">
        <v>843.09189615634341</v>
      </c>
      <c r="AA3142">
        <v>198</v>
      </c>
      <c r="AB3142">
        <v>332</v>
      </c>
      <c r="AC3142">
        <v>536</v>
      </c>
      <c r="AD3142">
        <v>26.35</v>
      </c>
      <c r="AE3142">
        <v>542</v>
      </c>
      <c r="AF3142">
        <v>15</v>
      </c>
      <c r="AG3142">
        <v>174</v>
      </c>
      <c r="AH3142">
        <v>129</v>
      </c>
      <c r="AI3142">
        <v>2.77</v>
      </c>
      <c r="AJ3142">
        <v>32.1</v>
      </c>
      <c r="AK3142">
        <v>23.8</v>
      </c>
      <c r="AL3142">
        <v>-20.172576899999971</v>
      </c>
      <c r="AM3142">
        <v>-44.859040110359317</v>
      </c>
      <c r="AN3142">
        <v>-20.172576899999971</v>
      </c>
      <c r="AO3142">
        <v>-44.859040110359317</v>
      </c>
      <c r="AP3142">
        <v>-20.172599000000002</v>
      </c>
      <c r="AQ3142">
        <v>-44.85915</v>
      </c>
      <c r="AR3142">
        <v>11.743118835828479</v>
      </c>
      <c r="AS3142" t="s">
        <v>65</v>
      </c>
      <c r="AT3142">
        <v>1</v>
      </c>
      <c r="AU3142" t="s">
        <v>704</v>
      </c>
      <c r="AV3142" t="s">
        <v>705</v>
      </c>
      <c r="AW3142" t="s">
        <v>60</v>
      </c>
      <c r="AX3142" t="s">
        <v>68</v>
      </c>
      <c r="AY3142" t="s">
        <v>69</v>
      </c>
      <c r="AZ3142" t="b">
        <v>1</v>
      </c>
    </row>
    <row r="3143" spans="1:52" x14ac:dyDescent="0.3">
      <c r="A3143" t="s">
        <v>52</v>
      </c>
      <c r="B3143" t="s">
        <v>53</v>
      </c>
      <c r="C3143" t="s">
        <v>54</v>
      </c>
      <c r="D3143" t="s">
        <v>55</v>
      </c>
      <c r="E3143" t="s">
        <v>2163</v>
      </c>
      <c r="F3143" t="s">
        <v>190</v>
      </c>
      <c r="G3143" t="s">
        <v>1044</v>
      </c>
      <c r="H3143" t="s">
        <v>1045</v>
      </c>
      <c r="I3143" t="s">
        <v>1045</v>
      </c>
      <c r="J3143" t="s">
        <v>60</v>
      </c>
      <c r="K3143" t="s">
        <v>702</v>
      </c>
      <c r="L3143" t="s">
        <v>62</v>
      </c>
      <c r="M3143" t="s">
        <v>702</v>
      </c>
      <c r="N3143" t="s">
        <v>983</v>
      </c>
      <c r="O3143" t="s">
        <v>1046</v>
      </c>
      <c r="P3143">
        <v>-20.172056000000001</v>
      </c>
      <c r="Q3143">
        <v>-44.861556999999998</v>
      </c>
      <c r="R3143" s="2" t="str">
        <f>HYPERLINK("https://www.google.com/maps?q=-20.1720560,-44.8615570","Abrir no Google Maps")</f>
        <v>Abrir no Google Maps</v>
      </c>
      <c r="S3143">
        <v>3</v>
      </c>
      <c r="T3143">
        <v>387.50881633442719</v>
      </c>
      <c r="U3143">
        <v>3</v>
      </c>
      <c r="V3143">
        <v>0.33590899774543959</v>
      </c>
      <c r="W3143">
        <v>1</v>
      </c>
      <c r="X3143">
        <v>0.33590899774543959</v>
      </c>
      <c r="Y3143">
        <v>422</v>
      </c>
      <c r="Z3143">
        <v>592.01060063884404</v>
      </c>
      <c r="AA3143">
        <v>198</v>
      </c>
      <c r="AB3143">
        <v>332</v>
      </c>
      <c r="AC3143">
        <v>536</v>
      </c>
      <c r="AD3143">
        <v>26.35</v>
      </c>
      <c r="AE3143">
        <v>542</v>
      </c>
      <c r="AF3143">
        <v>15</v>
      </c>
      <c r="AG3143">
        <v>174</v>
      </c>
      <c r="AH3143">
        <v>129</v>
      </c>
      <c r="AI3143">
        <v>2.77</v>
      </c>
      <c r="AJ3143">
        <v>32.1</v>
      </c>
      <c r="AK3143">
        <v>23.8</v>
      </c>
      <c r="AL3143">
        <v>-20.171880149999961</v>
      </c>
      <c r="AM3143">
        <v>-44.861715860253369</v>
      </c>
      <c r="AN3143">
        <v>-20.171880149999961</v>
      </c>
      <c r="AO3143">
        <v>-44.861715860253369</v>
      </c>
      <c r="AP3143">
        <v>-20.172056000000001</v>
      </c>
      <c r="AQ3143">
        <v>-44.861556999999998</v>
      </c>
      <c r="AR3143">
        <v>25.66616443825145</v>
      </c>
      <c r="AS3143" t="s">
        <v>65</v>
      </c>
      <c r="AT3143">
        <v>1</v>
      </c>
      <c r="AU3143" t="s">
        <v>1047</v>
      </c>
      <c r="AV3143" t="s">
        <v>705</v>
      </c>
      <c r="AW3143" t="s">
        <v>60</v>
      </c>
      <c r="AX3143" t="s">
        <v>68</v>
      </c>
      <c r="AY3143" t="s">
        <v>69</v>
      </c>
      <c r="AZ3143" t="b">
        <v>1</v>
      </c>
    </row>
    <row r="3144" spans="1:52" x14ac:dyDescent="0.3">
      <c r="A3144" t="s">
        <v>52</v>
      </c>
      <c r="B3144" t="s">
        <v>53</v>
      </c>
      <c r="C3144" t="s">
        <v>54</v>
      </c>
      <c r="D3144" t="s">
        <v>55</v>
      </c>
      <c r="E3144" t="s">
        <v>2163</v>
      </c>
      <c r="F3144" t="s">
        <v>190</v>
      </c>
      <c r="G3144" t="s">
        <v>1048</v>
      </c>
      <c r="H3144" t="s">
        <v>1049</v>
      </c>
      <c r="I3144" t="s">
        <v>1049</v>
      </c>
      <c r="J3144" t="s">
        <v>60</v>
      </c>
      <c r="K3144" t="s">
        <v>708</v>
      </c>
      <c r="L3144" t="s">
        <v>62</v>
      </c>
      <c r="M3144" t="s">
        <v>708</v>
      </c>
      <c r="N3144" t="s">
        <v>1050</v>
      </c>
      <c r="O3144" t="s">
        <v>1051</v>
      </c>
      <c r="P3144">
        <v>-20.128316000000002</v>
      </c>
      <c r="Q3144">
        <v>-44.878137000000002</v>
      </c>
      <c r="R3144" s="2" t="str">
        <f>HYPERLINK("https://www.google.com/maps?q=-20.1283160,-44.8781370","Abrir no Google Maps")</f>
        <v>Abrir no Google Maps</v>
      </c>
      <c r="S3144">
        <v>3</v>
      </c>
      <c r="T3144">
        <v>513.28053815499243</v>
      </c>
      <c r="U3144">
        <v>3</v>
      </c>
      <c r="V3144">
        <v>0.36682701117830308</v>
      </c>
      <c r="W3144">
        <v>1</v>
      </c>
      <c r="X3144">
        <v>0.36682701117830308</v>
      </c>
      <c r="Y3144">
        <v>387</v>
      </c>
      <c r="Z3144">
        <v>385.74604528561741</v>
      </c>
      <c r="AA3144">
        <v>198</v>
      </c>
      <c r="AB3144">
        <v>332</v>
      </c>
      <c r="AC3144">
        <v>536</v>
      </c>
      <c r="AD3144">
        <v>26.35</v>
      </c>
      <c r="AE3144">
        <v>542</v>
      </c>
      <c r="AF3144">
        <v>15</v>
      </c>
      <c r="AG3144">
        <v>174</v>
      </c>
      <c r="AH3144">
        <v>129</v>
      </c>
      <c r="AI3144">
        <v>2.77</v>
      </c>
      <c r="AJ3144">
        <v>32.1</v>
      </c>
      <c r="AK3144">
        <v>23.8</v>
      </c>
      <c r="AL3144">
        <v>-20.128308349999969</v>
      </c>
      <c r="AM3144">
        <v>-44.878115052779357</v>
      </c>
      <c r="AN3144">
        <v>-20.128308349999969</v>
      </c>
      <c r="AO3144">
        <v>-44.878115052779357</v>
      </c>
      <c r="AP3144">
        <v>-20.128316000000002</v>
      </c>
      <c r="AQ3144">
        <v>-44.878137000000002</v>
      </c>
      <c r="AR3144">
        <v>2.4469186172207671</v>
      </c>
      <c r="AS3144" t="s">
        <v>65</v>
      </c>
      <c r="AT3144">
        <v>1</v>
      </c>
      <c r="AU3144" t="s">
        <v>1052</v>
      </c>
      <c r="AV3144" t="s">
        <v>1053</v>
      </c>
      <c r="AW3144" t="s">
        <v>60</v>
      </c>
      <c r="AX3144" t="s">
        <v>68</v>
      </c>
      <c r="AY3144" t="s">
        <v>69</v>
      </c>
      <c r="AZ3144" t="b">
        <v>1</v>
      </c>
    </row>
    <row r="3145" spans="1:52" x14ac:dyDescent="0.3">
      <c r="A3145" t="s">
        <v>52</v>
      </c>
      <c r="B3145" t="s">
        <v>53</v>
      </c>
      <c r="C3145" t="s">
        <v>54</v>
      </c>
      <c r="D3145" t="s">
        <v>55</v>
      </c>
      <c r="E3145" t="s">
        <v>2163</v>
      </c>
      <c r="F3145" t="s">
        <v>190</v>
      </c>
      <c r="G3145" t="s">
        <v>127</v>
      </c>
      <c r="H3145" t="s">
        <v>2100</v>
      </c>
      <c r="I3145" t="s">
        <v>2100</v>
      </c>
      <c r="J3145" t="s">
        <v>60</v>
      </c>
      <c r="K3145" t="s">
        <v>708</v>
      </c>
      <c r="L3145" t="s">
        <v>62</v>
      </c>
      <c r="M3145" t="s">
        <v>708</v>
      </c>
      <c r="N3145" t="s">
        <v>130</v>
      </c>
      <c r="O3145" t="s">
        <v>2101</v>
      </c>
      <c r="P3145">
        <v>-20.126211000000001</v>
      </c>
      <c r="Q3145">
        <v>-44.876140999999997</v>
      </c>
      <c r="R3145" s="2" t="str">
        <f>HYPERLINK("https://www.google.com/maps?q=-20.1262110,-44.8761410","Abrir no Google Maps")</f>
        <v>Abrir no Google Maps</v>
      </c>
      <c r="S3145">
        <v>3</v>
      </c>
      <c r="T3145">
        <v>491.23729716823732</v>
      </c>
      <c r="U3145">
        <v>3</v>
      </c>
      <c r="V3145">
        <v>0.39427733859427311</v>
      </c>
      <c r="W3145">
        <v>0.85</v>
      </c>
      <c r="X3145">
        <v>0.33513573780513212</v>
      </c>
      <c r="Y3145">
        <v>387</v>
      </c>
      <c r="Z3145">
        <v>484.37443137695487</v>
      </c>
      <c r="AA3145">
        <v>198</v>
      </c>
      <c r="AB3145">
        <v>332</v>
      </c>
      <c r="AC3145">
        <v>536</v>
      </c>
      <c r="AD3145">
        <v>26.35</v>
      </c>
      <c r="AE3145">
        <v>542</v>
      </c>
      <c r="AF3145">
        <v>15</v>
      </c>
      <c r="AG3145">
        <v>174</v>
      </c>
      <c r="AH3145">
        <v>129</v>
      </c>
      <c r="AI3145">
        <v>2.77</v>
      </c>
      <c r="AJ3145">
        <v>32.1</v>
      </c>
      <c r="AK3145">
        <v>23.8</v>
      </c>
      <c r="AL3145">
        <v>-20.126304899999951</v>
      </c>
      <c r="AM3145">
        <v>-44.876159380076217</v>
      </c>
      <c r="AN3145">
        <v>-20.126304899999951</v>
      </c>
      <c r="AO3145">
        <v>-44.876159380076217</v>
      </c>
      <c r="AP3145">
        <v>-20.126211000000001</v>
      </c>
      <c r="AQ3145">
        <v>-44.876140999999997</v>
      </c>
      <c r="AR3145">
        <v>10.628022432940419</v>
      </c>
      <c r="AS3145" t="s">
        <v>65</v>
      </c>
      <c r="AT3145">
        <v>1</v>
      </c>
      <c r="AU3145" t="s">
        <v>2102</v>
      </c>
      <c r="AV3145" t="s">
        <v>2103</v>
      </c>
      <c r="AW3145" t="s">
        <v>60</v>
      </c>
      <c r="AX3145" t="s">
        <v>68</v>
      </c>
      <c r="AY3145" t="s">
        <v>69</v>
      </c>
      <c r="AZ3145" t="b">
        <v>1</v>
      </c>
    </row>
    <row r="3146" spans="1:52" x14ac:dyDescent="0.3">
      <c r="A3146" t="s">
        <v>52</v>
      </c>
      <c r="B3146" t="s">
        <v>53</v>
      </c>
      <c r="C3146" t="s">
        <v>54</v>
      </c>
      <c r="D3146" t="s">
        <v>55</v>
      </c>
      <c r="E3146" t="s">
        <v>2163</v>
      </c>
      <c r="F3146" t="s">
        <v>190</v>
      </c>
      <c r="G3146" t="s">
        <v>127</v>
      </c>
      <c r="H3146" t="s">
        <v>2184</v>
      </c>
      <c r="I3146" t="s">
        <v>2184</v>
      </c>
      <c r="J3146" t="s">
        <v>60</v>
      </c>
      <c r="K3146" t="s">
        <v>708</v>
      </c>
      <c r="L3146" t="s">
        <v>62</v>
      </c>
      <c r="M3146" t="s">
        <v>708</v>
      </c>
      <c r="N3146" t="s">
        <v>130</v>
      </c>
      <c r="O3146" t="s">
        <v>2185</v>
      </c>
      <c r="P3146">
        <v>-20.126859</v>
      </c>
      <c r="Q3146">
        <v>-44.874597000000001</v>
      </c>
      <c r="R3146" s="2" t="str">
        <f>HYPERLINK("https://www.google.com/maps?q=-20.1268590,-44.8745970","Abrir no Google Maps")</f>
        <v>Abrir no Google Maps</v>
      </c>
      <c r="S3146">
        <v>3</v>
      </c>
      <c r="T3146">
        <v>358.22675401518308</v>
      </c>
      <c r="U3146">
        <v>3</v>
      </c>
      <c r="V3146">
        <v>0.38953240657158328</v>
      </c>
      <c r="W3146">
        <v>0.85</v>
      </c>
      <c r="X3146">
        <v>0.33110254558584579</v>
      </c>
      <c r="Y3146">
        <v>387</v>
      </c>
      <c r="Z3146">
        <v>343.7492501899834</v>
      </c>
      <c r="AA3146">
        <v>198</v>
      </c>
      <c r="AB3146">
        <v>332</v>
      </c>
      <c r="AC3146">
        <v>536</v>
      </c>
      <c r="AD3146">
        <v>26.35</v>
      </c>
      <c r="AE3146">
        <v>542</v>
      </c>
      <c r="AF3146">
        <v>15</v>
      </c>
      <c r="AG3146">
        <v>174</v>
      </c>
      <c r="AH3146">
        <v>129</v>
      </c>
      <c r="AI3146">
        <v>2.77</v>
      </c>
      <c r="AJ3146">
        <v>32.1</v>
      </c>
      <c r="AK3146">
        <v>23.8</v>
      </c>
      <c r="AL3146">
        <v>-20.126927849999959</v>
      </c>
      <c r="AM3146">
        <v>-44.87465137995278</v>
      </c>
      <c r="AN3146">
        <v>-20.126927849999959</v>
      </c>
      <c r="AO3146">
        <v>-44.87465137995278</v>
      </c>
      <c r="AP3146">
        <v>-20.126859</v>
      </c>
      <c r="AQ3146">
        <v>-44.874597000000001</v>
      </c>
      <c r="AR3146">
        <v>9.5419848567578072</v>
      </c>
      <c r="AS3146" t="s">
        <v>65</v>
      </c>
      <c r="AT3146">
        <v>1</v>
      </c>
      <c r="AU3146" t="s">
        <v>2186</v>
      </c>
      <c r="AV3146" t="s">
        <v>2187</v>
      </c>
      <c r="AW3146" t="s">
        <v>60</v>
      </c>
      <c r="AX3146" t="s">
        <v>68</v>
      </c>
      <c r="AY3146" t="s">
        <v>69</v>
      </c>
      <c r="AZ3146" t="b">
        <v>1</v>
      </c>
    </row>
    <row r="3147" spans="1:52" x14ac:dyDescent="0.3">
      <c r="A3147" t="s">
        <v>52</v>
      </c>
      <c r="B3147" t="s">
        <v>53</v>
      </c>
      <c r="C3147" t="s">
        <v>54</v>
      </c>
      <c r="D3147" t="s">
        <v>55</v>
      </c>
      <c r="E3147" t="s">
        <v>2163</v>
      </c>
      <c r="F3147" t="s">
        <v>190</v>
      </c>
      <c r="G3147" t="s">
        <v>734</v>
      </c>
      <c r="H3147" t="s">
        <v>1059</v>
      </c>
      <c r="I3147" t="s">
        <v>1059</v>
      </c>
      <c r="J3147" t="s">
        <v>60</v>
      </c>
      <c r="K3147" t="s">
        <v>736</v>
      </c>
      <c r="L3147" t="s">
        <v>62</v>
      </c>
      <c r="M3147" t="s">
        <v>736</v>
      </c>
      <c r="N3147" t="s">
        <v>1060</v>
      </c>
      <c r="O3147" t="s">
        <v>1061</v>
      </c>
      <c r="P3147">
        <v>-20.104700000000001</v>
      </c>
      <c r="Q3147">
        <v>-44.972988000000001</v>
      </c>
      <c r="R3147" s="2" t="str">
        <f>HYPERLINK("https://www.google.com/maps?q=-20.1047000,-44.9729880","Abrir no Google Maps")</f>
        <v>Abrir no Google Maps</v>
      </c>
      <c r="S3147">
        <v>3</v>
      </c>
      <c r="T3147">
        <v>0</v>
      </c>
      <c r="U3147">
        <v>3</v>
      </c>
      <c r="V3147">
        <v>0.39115815691158151</v>
      </c>
      <c r="W3147">
        <v>1</v>
      </c>
      <c r="X3147">
        <v>0.39115815691158151</v>
      </c>
      <c r="Y3147">
        <v>385</v>
      </c>
      <c r="Z3147">
        <v>130.87424695814411</v>
      </c>
      <c r="AA3147">
        <v>198</v>
      </c>
      <c r="AB3147">
        <v>332</v>
      </c>
      <c r="AC3147">
        <v>536</v>
      </c>
      <c r="AD3147">
        <v>26.35</v>
      </c>
      <c r="AE3147">
        <v>542</v>
      </c>
      <c r="AF3147">
        <v>15</v>
      </c>
      <c r="AG3147">
        <v>174</v>
      </c>
      <c r="AH3147">
        <v>129</v>
      </c>
      <c r="AI3147">
        <v>2.77</v>
      </c>
      <c r="AJ3147">
        <v>32.1</v>
      </c>
      <c r="AK3147">
        <v>23.8</v>
      </c>
      <c r="AL3147">
        <v>-20.104640449999948</v>
      </c>
      <c r="AM3147">
        <v>-44.972990283032523</v>
      </c>
      <c r="AN3147">
        <v>-20.104640449999948</v>
      </c>
      <c r="AO3147">
        <v>-44.972990283032509</v>
      </c>
      <c r="AP3147">
        <v>-20.104700000000001</v>
      </c>
      <c r="AQ3147">
        <v>-44.972988000000001</v>
      </c>
      <c r="AR3147">
        <v>6.6334007529191332</v>
      </c>
      <c r="AS3147" t="s">
        <v>65</v>
      </c>
      <c r="AT3147">
        <v>1</v>
      </c>
      <c r="AU3147" t="s">
        <v>1062</v>
      </c>
      <c r="AV3147" t="s">
        <v>1063</v>
      </c>
      <c r="AW3147" t="s">
        <v>60</v>
      </c>
      <c r="AX3147" t="s">
        <v>68</v>
      </c>
      <c r="AY3147" t="s">
        <v>69</v>
      </c>
      <c r="AZ3147" t="b">
        <v>1</v>
      </c>
    </row>
    <row r="3148" spans="1:52" x14ac:dyDescent="0.3">
      <c r="A3148" t="s">
        <v>52</v>
      </c>
      <c r="B3148" t="s">
        <v>53</v>
      </c>
      <c r="C3148" t="s">
        <v>54</v>
      </c>
      <c r="D3148" t="s">
        <v>55</v>
      </c>
      <c r="E3148" t="s">
        <v>2163</v>
      </c>
      <c r="F3148" t="s">
        <v>190</v>
      </c>
      <c r="G3148" t="s">
        <v>734</v>
      </c>
      <c r="H3148" t="s">
        <v>1064</v>
      </c>
      <c r="I3148" t="s">
        <v>1064</v>
      </c>
      <c r="J3148" t="s">
        <v>60</v>
      </c>
      <c r="K3148" t="s">
        <v>530</v>
      </c>
      <c r="L3148" t="s">
        <v>62</v>
      </c>
      <c r="M3148" t="s">
        <v>530</v>
      </c>
      <c r="N3148" t="s">
        <v>1060</v>
      </c>
      <c r="O3148" t="s">
        <v>1065</v>
      </c>
      <c r="P3148">
        <v>-20.102878</v>
      </c>
      <c r="Q3148">
        <v>-44.974297</v>
      </c>
      <c r="R3148" s="2" t="str">
        <f>HYPERLINK("https://www.google.com/maps?q=-20.1028780,-44.9742970","Abrir no Google Maps")</f>
        <v>Abrir no Google Maps</v>
      </c>
      <c r="S3148">
        <v>3</v>
      </c>
      <c r="T3148">
        <v>261.64376156647683</v>
      </c>
      <c r="U3148">
        <v>3</v>
      </c>
      <c r="V3148">
        <v>0.36149857402126001</v>
      </c>
      <c r="W3148">
        <v>1</v>
      </c>
      <c r="X3148">
        <v>0.36149857402126001</v>
      </c>
      <c r="Y3148">
        <v>385</v>
      </c>
      <c r="Z3148">
        <v>272.78931550338098</v>
      </c>
      <c r="AA3148">
        <v>198</v>
      </c>
      <c r="AB3148">
        <v>332</v>
      </c>
      <c r="AC3148">
        <v>536</v>
      </c>
      <c r="AD3148">
        <v>26.35</v>
      </c>
      <c r="AE3148">
        <v>542</v>
      </c>
      <c r="AF3148">
        <v>15</v>
      </c>
      <c r="AG3148">
        <v>174</v>
      </c>
      <c r="AH3148">
        <v>129</v>
      </c>
      <c r="AI3148">
        <v>2.77</v>
      </c>
      <c r="AJ3148">
        <v>32.1</v>
      </c>
      <c r="AK3148">
        <v>23.8</v>
      </c>
      <c r="AL3148">
        <v>-20.102914199999962</v>
      </c>
      <c r="AM3148">
        <v>-44.974700580584418</v>
      </c>
      <c r="AN3148">
        <v>-20.102914199999962</v>
      </c>
      <c r="AO3148">
        <v>-44.974700580584418</v>
      </c>
      <c r="AP3148">
        <v>-20.102878</v>
      </c>
      <c r="AQ3148">
        <v>-44.974297</v>
      </c>
      <c r="AR3148">
        <v>42.381535645626968</v>
      </c>
      <c r="AS3148" t="s">
        <v>65</v>
      </c>
      <c r="AT3148">
        <v>1</v>
      </c>
      <c r="AU3148" t="s">
        <v>1066</v>
      </c>
      <c r="AV3148" t="s">
        <v>1067</v>
      </c>
      <c r="AW3148" t="s">
        <v>60</v>
      </c>
      <c r="AX3148" t="s">
        <v>68</v>
      </c>
      <c r="AY3148" t="s">
        <v>69</v>
      </c>
      <c r="AZ3148" t="b">
        <v>1</v>
      </c>
    </row>
    <row r="3149" spans="1:52" x14ac:dyDescent="0.3">
      <c r="A3149" t="s">
        <v>52</v>
      </c>
      <c r="B3149" t="s">
        <v>53</v>
      </c>
      <c r="C3149" t="s">
        <v>54</v>
      </c>
      <c r="D3149" t="s">
        <v>55</v>
      </c>
      <c r="E3149" t="s">
        <v>2163</v>
      </c>
      <c r="F3149" t="s">
        <v>190</v>
      </c>
      <c r="G3149" t="s">
        <v>734</v>
      </c>
      <c r="H3149" t="s">
        <v>735</v>
      </c>
      <c r="I3149" t="s">
        <v>735</v>
      </c>
      <c r="J3149" t="s">
        <v>60</v>
      </c>
      <c r="K3149" t="s">
        <v>736</v>
      </c>
      <c r="L3149" t="s">
        <v>62</v>
      </c>
      <c r="M3149" t="s">
        <v>736</v>
      </c>
      <c r="N3149" t="s">
        <v>737</v>
      </c>
      <c r="O3149" t="s">
        <v>738</v>
      </c>
      <c r="P3149">
        <v>-20.113050000000001</v>
      </c>
      <c r="Q3149">
        <v>-44.977640999999998</v>
      </c>
      <c r="R3149" s="2" t="str">
        <f>HYPERLINK("https://www.google.com/maps?q=-20.1130500,-44.9776410","Abrir no Google Maps")</f>
        <v>Abrir no Google Maps</v>
      </c>
      <c r="S3149">
        <v>3</v>
      </c>
      <c r="T3149">
        <v>1057.751631532733</v>
      </c>
      <c r="U3149">
        <v>3</v>
      </c>
      <c r="V3149">
        <v>0.33814247475088288</v>
      </c>
      <c r="W3149">
        <v>1</v>
      </c>
      <c r="X3149">
        <v>0.33814247475088288</v>
      </c>
      <c r="Y3149">
        <v>385</v>
      </c>
      <c r="Z3149">
        <v>1001.029655866156</v>
      </c>
      <c r="AA3149">
        <v>198</v>
      </c>
      <c r="AB3149">
        <v>332</v>
      </c>
      <c r="AC3149">
        <v>536</v>
      </c>
      <c r="AD3149">
        <v>26.35</v>
      </c>
      <c r="AE3149">
        <v>542</v>
      </c>
      <c r="AF3149">
        <v>15</v>
      </c>
      <c r="AG3149">
        <v>174</v>
      </c>
      <c r="AH3149">
        <v>129</v>
      </c>
      <c r="AI3149">
        <v>2.77</v>
      </c>
      <c r="AJ3149">
        <v>32.1</v>
      </c>
      <c r="AK3149">
        <v>23.8</v>
      </c>
      <c r="AL3149">
        <v>-20.112977499999939</v>
      </c>
      <c r="AM3149">
        <v>-44.977939579895221</v>
      </c>
      <c r="AN3149">
        <v>-20.112977499999939</v>
      </c>
      <c r="AO3149">
        <v>-44.977939579895221</v>
      </c>
      <c r="AP3149">
        <v>-20.113050000000001</v>
      </c>
      <c r="AQ3149">
        <v>-44.977640999999998</v>
      </c>
      <c r="AR3149">
        <v>32.23754556505741</v>
      </c>
      <c r="AS3149" t="s">
        <v>65</v>
      </c>
      <c r="AT3149">
        <v>1</v>
      </c>
      <c r="AU3149" t="s">
        <v>739</v>
      </c>
      <c r="AV3149" t="s">
        <v>740</v>
      </c>
      <c r="AW3149" t="s">
        <v>60</v>
      </c>
      <c r="AX3149" t="s">
        <v>68</v>
      </c>
      <c r="AY3149" t="s">
        <v>69</v>
      </c>
      <c r="AZ3149" t="b">
        <v>1</v>
      </c>
    </row>
    <row r="3150" spans="1:52" x14ac:dyDescent="0.3">
      <c r="A3150" t="s">
        <v>52</v>
      </c>
      <c r="B3150" t="s">
        <v>53</v>
      </c>
      <c r="C3150" t="s">
        <v>54</v>
      </c>
      <c r="D3150" t="s">
        <v>55</v>
      </c>
      <c r="E3150" t="s">
        <v>2163</v>
      </c>
      <c r="F3150" t="s">
        <v>190</v>
      </c>
      <c r="G3150" t="s">
        <v>759</v>
      </c>
      <c r="H3150" t="s">
        <v>760</v>
      </c>
      <c r="I3150" t="s">
        <v>760</v>
      </c>
      <c r="J3150" t="s">
        <v>60</v>
      </c>
      <c r="K3150" t="s">
        <v>761</v>
      </c>
      <c r="L3150" t="s">
        <v>62</v>
      </c>
      <c r="M3150" t="s">
        <v>761</v>
      </c>
      <c r="N3150" t="s">
        <v>762</v>
      </c>
      <c r="O3150" t="s">
        <v>763</v>
      </c>
      <c r="P3150">
        <v>-20.118755</v>
      </c>
      <c r="Q3150">
        <v>-44.850627000000003</v>
      </c>
      <c r="R3150" s="2" t="str">
        <f>HYPERLINK("https://www.google.com/maps?q=-20.1187550,-44.8506270","Abrir no Google Maps")</f>
        <v>Abrir no Google Maps</v>
      </c>
      <c r="S3150">
        <v>3</v>
      </c>
      <c r="T3150">
        <v>848.81670834514034</v>
      </c>
      <c r="U3150">
        <v>3</v>
      </c>
      <c r="V3150">
        <v>0.33215917602996259</v>
      </c>
      <c r="W3150">
        <v>1</v>
      </c>
      <c r="X3150">
        <v>0.33215917602996259</v>
      </c>
      <c r="Y3150">
        <v>350</v>
      </c>
      <c r="Z3150">
        <v>443.51354125420028</v>
      </c>
      <c r="AA3150">
        <v>198</v>
      </c>
      <c r="AB3150">
        <v>332</v>
      </c>
      <c r="AC3150">
        <v>536</v>
      </c>
      <c r="AD3150">
        <v>26.35</v>
      </c>
      <c r="AE3150">
        <v>542</v>
      </c>
      <c r="AF3150">
        <v>15</v>
      </c>
      <c r="AG3150">
        <v>174</v>
      </c>
      <c r="AH3150">
        <v>129</v>
      </c>
      <c r="AI3150">
        <v>2.77</v>
      </c>
      <c r="AJ3150">
        <v>32.1</v>
      </c>
      <c r="AK3150">
        <v>23.8</v>
      </c>
      <c r="AL3150">
        <v>-20.11882464999994</v>
      </c>
      <c r="AM3150">
        <v>-44.850497004056017</v>
      </c>
      <c r="AN3150">
        <v>-20.11882464999994</v>
      </c>
      <c r="AO3150">
        <v>-44.850497004056017</v>
      </c>
      <c r="AP3150">
        <v>-20.118755</v>
      </c>
      <c r="AQ3150">
        <v>-44.850627000000003</v>
      </c>
      <c r="AR3150">
        <v>15.6445928866994</v>
      </c>
      <c r="AS3150" t="s">
        <v>65</v>
      </c>
      <c r="AT3150">
        <v>1</v>
      </c>
      <c r="AU3150" t="s">
        <v>764</v>
      </c>
      <c r="AV3150" t="s">
        <v>765</v>
      </c>
      <c r="AW3150" t="s">
        <v>60</v>
      </c>
      <c r="AX3150" t="s">
        <v>68</v>
      </c>
      <c r="AY3150" t="s">
        <v>69</v>
      </c>
      <c r="AZ3150" t="b">
        <v>1</v>
      </c>
    </row>
    <row r="3151" spans="1:52" x14ac:dyDescent="0.3">
      <c r="A3151" t="s">
        <v>52</v>
      </c>
      <c r="B3151" t="s">
        <v>53</v>
      </c>
      <c r="C3151" t="s">
        <v>54</v>
      </c>
      <c r="D3151" t="s">
        <v>55</v>
      </c>
      <c r="E3151" t="s">
        <v>2163</v>
      </c>
      <c r="F3151" t="s">
        <v>190</v>
      </c>
      <c r="G3151" t="s">
        <v>773</v>
      </c>
      <c r="H3151" t="s">
        <v>774</v>
      </c>
      <c r="I3151" t="s">
        <v>774</v>
      </c>
      <c r="J3151" t="s">
        <v>60</v>
      </c>
      <c r="K3151" t="s">
        <v>775</v>
      </c>
      <c r="L3151" t="s">
        <v>62</v>
      </c>
      <c r="M3151" t="s">
        <v>775</v>
      </c>
      <c r="N3151" t="s">
        <v>776</v>
      </c>
      <c r="O3151" t="s">
        <v>250</v>
      </c>
      <c r="P3151">
        <v>-20.135413</v>
      </c>
      <c r="Q3151">
        <v>-44.868969999999997</v>
      </c>
      <c r="R3151" s="2" t="str">
        <f>HYPERLINK("https://www.google.com/maps?q=-20.1354130,-44.8689700","Abrir no Google Maps")</f>
        <v>Abrir no Google Maps</v>
      </c>
      <c r="S3151">
        <v>3</v>
      </c>
      <c r="T3151">
        <v>403.5118397372845</v>
      </c>
      <c r="U3151">
        <v>3</v>
      </c>
      <c r="V3151">
        <v>0.38755299539170501</v>
      </c>
      <c r="W3151">
        <v>1</v>
      </c>
      <c r="X3151">
        <v>0.38755299539170501</v>
      </c>
      <c r="Y3151">
        <v>332</v>
      </c>
      <c r="Z3151">
        <v>455.74614750795899</v>
      </c>
      <c r="AA3151">
        <v>198</v>
      </c>
      <c r="AB3151">
        <v>332</v>
      </c>
      <c r="AC3151">
        <v>536</v>
      </c>
      <c r="AD3151">
        <v>26.35</v>
      </c>
      <c r="AE3151">
        <v>542</v>
      </c>
      <c r="AF3151">
        <v>15</v>
      </c>
      <c r="AG3151">
        <v>174</v>
      </c>
      <c r="AH3151">
        <v>129</v>
      </c>
      <c r="AI3151">
        <v>2.77</v>
      </c>
      <c r="AJ3151">
        <v>32.1</v>
      </c>
      <c r="AK3151">
        <v>23.8</v>
      </c>
      <c r="AL3151">
        <v>-20.13561149999995</v>
      </c>
      <c r="AM3151">
        <v>-44.868817260088647</v>
      </c>
      <c r="AN3151">
        <v>-20.13561149999995</v>
      </c>
      <c r="AO3151">
        <v>-44.868817260088647</v>
      </c>
      <c r="AP3151">
        <v>-20.135413</v>
      </c>
      <c r="AQ3151">
        <v>-44.868969999999997</v>
      </c>
      <c r="AR3151">
        <v>27.26024434808955</v>
      </c>
      <c r="AS3151" t="s">
        <v>65</v>
      </c>
      <c r="AT3151">
        <v>1</v>
      </c>
      <c r="AU3151" t="s">
        <v>777</v>
      </c>
      <c r="AV3151" t="s">
        <v>778</v>
      </c>
      <c r="AW3151" t="s">
        <v>60</v>
      </c>
      <c r="AX3151" t="s">
        <v>68</v>
      </c>
      <c r="AY3151" t="s">
        <v>69</v>
      </c>
      <c r="AZ3151" t="b">
        <v>1</v>
      </c>
    </row>
    <row r="3152" spans="1:52" x14ac:dyDescent="0.3">
      <c r="A3152" t="s">
        <v>52</v>
      </c>
      <c r="B3152" t="s">
        <v>53</v>
      </c>
      <c r="C3152" t="s">
        <v>54</v>
      </c>
      <c r="D3152" t="s">
        <v>55</v>
      </c>
      <c r="E3152" t="s">
        <v>2163</v>
      </c>
      <c r="F3152" t="s">
        <v>190</v>
      </c>
      <c r="G3152" t="s">
        <v>779</v>
      </c>
      <c r="H3152" t="s">
        <v>780</v>
      </c>
      <c r="I3152" t="s">
        <v>780</v>
      </c>
      <c r="J3152" t="s">
        <v>60</v>
      </c>
      <c r="K3152" t="s">
        <v>781</v>
      </c>
      <c r="L3152" t="s">
        <v>62</v>
      </c>
      <c r="M3152" t="s">
        <v>781</v>
      </c>
      <c r="N3152" t="s">
        <v>782</v>
      </c>
      <c r="O3152" t="s">
        <v>783</v>
      </c>
      <c r="P3152">
        <v>-20.137938999999999</v>
      </c>
      <c r="Q3152">
        <v>-44.865873000000001</v>
      </c>
      <c r="R3152" s="2" t="str">
        <f>HYPERLINK("https://www.google.com/maps?q=-20.1379390,-44.8658730","Abrir no Google Maps")</f>
        <v>Abrir no Google Maps</v>
      </c>
      <c r="S3152">
        <v>3</v>
      </c>
      <c r="T3152">
        <v>663.24596349877265</v>
      </c>
      <c r="U3152">
        <v>3</v>
      </c>
      <c r="V3152">
        <v>0.3671365234673597</v>
      </c>
      <c r="W3152">
        <v>1</v>
      </c>
      <c r="X3152">
        <v>0.3671365234673597</v>
      </c>
      <c r="Y3152">
        <v>332</v>
      </c>
      <c r="Z3152">
        <v>724.72470227972997</v>
      </c>
      <c r="AA3152">
        <v>198</v>
      </c>
      <c r="AB3152">
        <v>332</v>
      </c>
      <c r="AC3152">
        <v>536</v>
      </c>
      <c r="AD3152">
        <v>26.35</v>
      </c>
      <c r="AE3152">
        <v>542</v>
      </c>
      <c r="AF3152">
        <v>15</v>
      </c>
      <c r="AG3152">
        <v>174</v>
      </c>
      <c r="AH3152">
        <v>129</v>
      </c>
      <c r="AI3152">
        <v>2.77</v>
      </c>
      <c r="AJ3152">
        <v>32.1</v>
      </c>
      <c r="AK3152">
        <v>23.8</v>
      </c>
      <c r="AL3152">
        <v>-20.137865449999961</v>
      </c>
      <c r="AM3152">
        <v>-44.866141027847057</v>
      </c>
      <c r="AN3152">
        <v>-20.137865449999961</v>
      </c>
      <c r="AO3152">
        <v>-44.866141027847057</v>
      </c>
      <c r="AP3152">
        <v>-20.137938999999999</v>
      </c>
      <c r="AQ3152">
        <v>-44.865873000000001</v>
      </c>
      <c r="AR3152">
        <v>29.184856191831059</v>
      </c>
      <c r="AS3152" t="s">
        <v>65</v>
      </c>
      <c r="AT3152">
        <v>1</v>
      </c>
      <c r="AU3152" t="s">
        <v>784</v>
      </c>
      <c r="AV3152" t="s">
        <v>785</v>
      </c>
      <c r="AW3152" t="s">
        <v>60</v>
      </c>
      <c r="AX3152" t="s">
        <v>68</v>
      </c>
      <c r="AY3152" t="s">
        <v>69</v>
      </c>
      <c r="AZ3152" t="b">
        <v>1</v>
      </c>
    </row>
    <row r="3153" spans="1:52" x14ac:dyDescent="0.3">
      <c r="A3153" t="s">
        <v>52</v>
      </c>
      <c r="B3153" t="s">
        <v>53</v>
      </c>
      <c r="C3153" t="s">
        <v>54</v>
      </c>
      <c r="D3153" t="s">
        <v>55</v>
      </c>
      <c r="E3153" t="s">
        <v>2163</v>
      </c>
      <c r="F3153" t="s">
        <v>190</v>
      </c>
      <c r="G3153" t="s">
        <v>1104</v>
      </c>
      <c r="H3153" t="s">
        <v>1105</v>
      </c>
      <c r="I3153" t="s">
        <v>1105</v>
      </c>
      <c r="J3153" t="s">
        <v>60</v>
      </c>
      <c r="K3153" t="s">
        <v>781</v>
      </c>
      <c r="L3153" t="s">
        <v>62</v>
      </c>
      <c r="M3153" t="s">
        <v>781</v>
      </c>
      <c r="N3153" t="s">
        <v>1106</v>
      </c>
      <c r="O3153" t="s">
        <v>1080</v>
      </c>
      <c r="P3153">
        <v>-20.138683</v>
      </c>
      <c r="Q3153">
        <v>-44.868507999999999</v>
      </c>
      <c r="R3153" s="2" t="str">
        <f>HYPERLINK("https://www.google.com/maps?q=-20.1386830,-44.8685080","Abrir no Google Maps")</f>
        <v>Abrir no Google Maps</v>
      </c>
      <c r="S3153">
        <v>3</v>
      </c>
      <c r="T3153">
        <v>450.88210098833099</v>
      </c>
      <c r="U3153">
        <v>3</v>
      </c>
      <c r="V3153">
        <v>0.3416019505147192</v>
      </c>
      <c r="W3153">
        <v>1</v>
      </c>
      <c r="X3153">
        <v>0.3416019505147192</v>
      </c>
      <c r="Y3153">
        <v>332</v>
      </c>
      <c r="Z3153">
        <v>601.27669048153166</v>
      </c>
      <c r="AA3153">
        <v>198</v>
      </c>
      <c r="AB3153">
        <v>332</v>
      </c>
      <c r="AC3153">
        <v>536</v>
      </c>
      <c r="AD3153">
        <v>26.35</v>
      </c>
      <c r="AE3153">
        <v>542</v>
      </c>
      <c r="AF3153">
        <v>15</v>
      </c>
      <c r="AG3153">
        <v>174</v>
      </c>
      <c r="AH3153">
        <v>129</v>
      </c>
      <c r="AI3153">
        <v>2.77</v>
      </c>
      <c r="AJ3153">
        <v>32.1</v>
      </c>
      <c r="AK3153">
        <v>23.8</v>
      </c>
      <c r="AL3153">
        <v>-20.13870544999995</v>
      </c>
      <c r="AM3153">
        <v>-44.868521774012208</v>
      </c>
      <c r="AN3153">
        <v>-20.138705449999939</v>
      </c>
      <c r="AO3153">
        <v>-44.868521774012208</v>
      </c>
      <c r="AP3153">
        <v>-20.138683</v>
      </c>
      <c r="AQ3153">
        <v>-44.868507999999999</v>
      </c>
      <c r="AR3153">
        <v>2.8841042175322271</v>
      </c>
      <c r="AS3153" t="s">
        <v>65</v>
      </c>
      <c r="AT3153">
        <v>1</v>
      </c>
      <c r="AU3153" t="s">
        <v>1107</v>
      </c>
      <c r="AV3153" t="s">
        <v>1108</v>
      </c>
      <c r="AW3153" t="s">
        <v>60</v>
      </c>
      <c r="AX3153" t="s">
        <v>68</v>
      </c>
      <c r="AY3153" t="s">
        <v>69</v>
      </c>
      <c r="AZ3153" t="b">
        <v>1</v>
      </c>
    </row>
    <row r="3154" spans="1:52" x14ac:dyDescent="0.3">
      <c r="A3154" t="s">
        <v>52</v>
      </c>
      <c r="B3154" t="s">
        <v>53</v>
      </c>
      <c r="C3154" t="s">
        <v>54</v>
      </c>
      <c r="D3154" t="s">
        <v>55</v>
      </c>
      <c r="E3154" t="s">
        <v>2163</v>
      </c>
      <c r="F3154" t="s">
        <v>190</v>
      </c>
      <c r="G3154" t="s">
        <v>1109</v>
      </c>
      <c r="H3154" t="s">
        <v>1110</v>
      </c>
      <c r="I3154" t="s">
        <v>1110</v>
      </c>
      <c r="J3154" t="s">
        <v>60</v>
      </c>
      <c r="K3154" t="s">
        <v>768</v>
      </c>
      <c r="L3154" t="s">
        <v>62</v>
      </c>
      <c r="M3154" t="s">
        <v>768</v>
      </c>
      <c r="N3154" t="s">
        <v>1111</v>
      </c>
      <c r="O3154" t="s">
        <v>1112</v>
      </c>
      <c r="P3154">
        <v>-20.135508000000002</v>
      </c>
      <c r="Q3154">
        <v>-44.871786999999998</v>
      </c>
      <c r="R3154" s="2" t="str">
        <f>HYPERLINK("https://www.google.com/maps?q=-20.1355080,-44.8717870","Abrir no Google Maps")</f>
        <v>Abrir no Google Maps</v>
      </c>
      <c r="S3154">
        <v>3</v>
      </c>
      <c r="T3154">
        <v>167.5382405548801</v>
      </c>
      <c r="U3154">
        <v>3</v>
      </c>
      <c r="V3154">
        <v>0.38830443159922928</v>
      </c>
      <c r="W3154">
        <v>1</v>
      </c>
      <c r="X3154">
        <v>0.38830443159922928</v>
      </c>
      <c r="Y3154">
        <v>332</v>
      </c>
      <c r="Z3154">
        <v>179.76671916562941</v>
      </c>
      <c r="AA3154">
        <v>198</v>
      </c>
      <c r="AB3154">
        <v>332</v>
      </c>
      <c r="AC3154">
        <v>536</v>
      </c>
      <c r="AD3154">
        <v>26.35</v>
      </c>
      <c r="AE3154">
        <v>542</v>
      </c>
      <c r="AF3154">
        <v>15</v>
      </c>
      <c r="AG3154">
        <v>174</v>
      </c>
      <c r="AH3154">
        <v>129</v>
      </c>
      <c r="AI3154">
        <v>2.77</v>
      </c>
      <c r="AJ3154">
        <v>32.1</v>
      </c>
      <c r="AK3154">
        <v>23.8</v>
      </c>
      <c r="AL3154">
        <v>-20.135532899999959</v>
      </c>
      <c r="AM3154">
        <v>-44.871828172735903</v>
      </c>
      <c r="AN3154">
        <v>-20.135532899999959</v>
      </c>
      <c r="AO3154">
        <v>-44.871828172735903</v>
      </c>
      <c r="AP3154">
        <v>-20.135508000000002</v>
      </c>
      <c r="AQ3154">
        <v>-44.871786999999998</v>
      </c>
      <c r="AR3154">
        <v>5.1186859635787858</v>
      </c>
      <c r="AS3154" t="s">
        <v>65</v>
      </c>
      <c r="AT3154">
        <v>1</v>
      </c>
      <c r="AU3154" t="s">
        <v>1113</v>
      </c>
      <c r="AV3154" t="s">
        <v>1114</v>
      </c>
      <c r="AW3154" t="s">
        <v>60</v>
      </c>
      <c r="AX3154" t="s">
        <v>68</v>
      </c>
      <c r="AY3154" t="s">
        <v>69</v>
      </c>
      <c r="AZ3154" t="b">
        <v>1</v>
      </c>
    </row>
    <row r="3155" spans="1:52" x14ac:dyDescent="0.3">
      <c r="A3155" t="s">
        <v>52</v>
      </c>
      <c r="B3155" t="s">
        <v>53</v>
      </c>
      <c r="C3155" t="s">
        <v>54</v>
      </c>
      <c r="D3155" t="s">
        <v>55</v>
      </c>
      <c r="E3155" t="s">
        <v>2163</v>
      </c>
      <c r="F3155" t="s">
        <v>190</v>
      </c>
      <c r="G3155" t="s">
        <v>1133</v>
      </c>
      <c r="H3155" t="s">
        <v>1134</v>
      </c>
      <c r="I3155" t="s">
        <v>1134</v>
      </c>
      <c r="J3155" t="s">
        <v>60</v>
      </c>
      <c r="K3155" t="s">
        <v>1123</v>
      </c>
      <c r="L3155" t="s">
        <v>62</v>
      </c>
      <c r="M3155" t="s">
        <v>1123</v>
      </c>
      <c r="N3155" t="s">
        <v>1135</v>
      </c>
      <c r="O3155" t="s">
        <v>138</v>
      </c>
      <c r="P3155">
        <v>-20.106113000000001</v>
      </c>
      <c r="Q3155">
        <v>-44.876035999999999</v>
      </c>
      <c r="R3155" s="2" t="str">
        <f>HYPERLINK("https://www.google.com/maps?q=-20.1061130,-44.8760360","Abrir no Google Maps")</f>
        <v>Abrir no Google Maps</v>
      </c>
      <c r="S3155">
        <v>3</v>
      </c>
      <c r="T3155">
        <v>0</v>
      </c>
      <c r="U3155">
        <v>3</v>
      </c>
      <c r="V3155">
        <v>0.32392211880646038</v>
      </c>
      <c r="W3155">
        <v>1</v>
      </c>
      <c r="X3155">
        <v>0.32392211880646038</v>
      </c>
      <c r="Y3155">
        <v>314</v>
      </c>
      <c r="Z3155">
        <v>98.504848991092999</v>
      </c>
      <c r="AA3155">
        <v>198</v>
      </c>
      <c r="AB3155">
        <v>332</v>
      </c>
      <c r="AC3155">
        <v>536</v>
      </c>
      <c r="AD3155">
        <v>26.35</v>
      </c>
      <c r="AE3155">
        <v>542</v>
      </c>
      <c r="AF3155">
        <v>15</v>
      </c>
      <c r="AG3155">
        <v>174</v>
      </c>
      <c r="AH3155">
        <v>129</v>
      </c>
      <c r="AI3155">
        <v>2.77</v>
      </c>
      <c r="AJ3155">
        <v>32.1</v>
      </c>
      <c r="AK3155">
        <v>23.8</v>
      </c>
      <c r="AL3155">
        <v>-20.106190249999941</v>
      </c>
      <c r="AM3155">
        <v>-44.876327742253288</v>
      </c>
      <c r="AN3155">
        <v>-20.106190249999941</v>
      </c>
      <c r="AO3155">
        <v>-44.876327742253288</v>
      </c>
      <c r="AP3155">
        <v>-20.106113000000001</v>
      </c>
      <c r="AQ3155">
        <v>-44.876035999999999</v>
      </c>
      <c r="AR3155">
        <v>31.686742853465731</v>
      </c>
      <c r="AS3155" t="s">
        <v>65</v>
      </c>
      <c r="AT3155">
        <v>1</v>
      </c>
      <c r="AU3155" t="s">
        <v>1136</v>
      </c>
      <c r="AV3155" t="s">
        <v>1137</v>
      </c>
      <c r="AW3155" t="s">
        <v>60</v>
      </c>
      <c r="AX3155" t="s">
        <v>68</v>
      </c>
      <c r="AY3155" t="s">
        <v>69</v>
      </c>
      <c r="AZ3155" t="b">
        <v>1</v>
      </c>
    </row>
    <row r="3156" spans="1:52" x14ac:dyDescent="0.3">
      <c r="A3156" t="s">
        <v>52</v>
      </c>
      <c r="B3156" t="s">
        <v>53</v>
      </c>
      <c r="C3156" t="s">
        <v>54</v>
      </c>
      <c r="D3156" t="s">
        <v>55</v>
      </c>
      <c r="E3156" t="s">
        <v>2163</v>
      </c>
      <c r="F3156" t="s">
        <v>190</v>
      </c>
      <c r="G3156" t="s">
        <v>1138</v>
      </c>
      <c r="H3156" t="s">
        <v>1139</v>
      </c>
      <c r="I3156" t="s">
        <v>1139</v>
      </c>
      <c r="J3156" t="s">
        <v>60</v>
      </c>
      <c r="K3156" t="s">
        <v>1140</v>
      </c>
      <c r="L3156" t="s">
        <v>62</v>
      </c>
      <c r="M3156" t="s">
        <v>1140</v>
      </c>
      <c r="N3156" t="s">
        <v>1141</v>
      </c>
      <c r="O3156" t="s">
        <v>293</v>
      </c>
      <c r="P3156">
        <v>-20.103041999999999</v>
      </c>
      <c r="Q3156">
        <v>-44.882694999999998</v>
      </c>
      <c r="R3156" s="2" t="str">
        <f>HYPERLINK("https://www.google.com/maps?q=-20.1030420,-44.8826950","Abrir no Google Maps")</f>
        <v>Abrir no Google Maps</v>
      </c>
      <c r="S3156">
        <v>3</v>
      </c>
      <c r="T3156">
        <v>764.07293048598467</v>
      </c>
      <c r="U3156">
        <v>3</v>
      </c>
      <c r="V3156">
        <v>0.34649257552483359</v>
      </c>
      <c r="W3156">
        <v>1</v>
      </c>
      <c r="X3156">
        <v>0.34649257552483359</v>
      </c>
      <c r="Y3156">
        <v>314</v>
      </c>
      <c r="Z3156">
        <v>696.03268335706969</v>
      </c>
      <c r="AA3156">
        <v>198</v>
      </c>
      <c r="AB3156">
        <v>332</v>
      </c>
      <c r="AC3156">
        <v>536</v>
      </c>
      <c r="AD3156">
        <v>26.35</v>
      </c>
      <c r="AE3156">
        <v>542</v>
      </c>
      <c r="AF3156">
        <v>15</v>
      </c>
      <c r="AG3156">
        <v>174</v>
      </c>
      <c r="AH3156">
        <v>129</v>
      </c>
      <c r="AI3156">
        <v>2.77</v>
      </c>
      <c r="AJ3156">
        <v>32.1</v>
      </c>
      <c r="AK3156">
        <v>23.8</v>
      </c>
      <c r="AL3156">
        <v>-20.10298734999995</v>
      </c>
      <c r="AM3156">
        <v>-44.882802925792483</v>
      </c>
      <c r="AN3156">
        <v>-20.10298734999995</v>
      </c>
      <c r="AO3156">
        <v>-44.882802925792483</v>
      </c>
      <c r="AP3156">
        <v>-20.103041999999999</v>
      </c>
      <c r="AQ3156">
        <v>-44.882694999999998</v>
      </c>
      <c r="AR3156">
        <v>12.8180317775525</v>
      </c>
      <c r="AS3156" t="s">
        <v>65</v>
      </c>
      <c r="AT3156">
        <v>1</v>
      </c>
      <c r="AU3156" t="s">
        <v>1142</v>
      </c>
      <c r="AV3156" t="s">
        <v>1143</v>
      </c>
      <c r="AW3156" t="s">
        <v>60</v>
      </c>
      <c r="AX3156" t="s">
        <v>68</v>
      </c>
      <c r="AY3156" t="s">
        <v>69</v>
      </c>
      <c r="AZ3156" t="b">
        <v>1</v>
      </c>
    </row>
    <row r="3157" spans="1:52" x14ac:dyDescent="0.3">
      <c r="A3157" t="s">
        <v>52</v>
      </c>
      <c r="B3157" t="s">
        <v>53</v>
      </c>
      <c r="C3157" t="s">
        <v>54</v>
      </c>
      <c r="D3157" t="s">
        <v>55</v>
      </c>
      <c r="E3157" t="s">
        <v>2163</v>
      </c>
      <c r="F3157" t="s">
        <v>190</v>
      </c>
      <c r="G3157" t="s">
        <v>607</v>
      </c>
      <c r="H3157" t="s">
        <v>786</v>
      </c>
      <c r="I3157" t="s">
        <v>786</v>
      </c>
      <c r="J3157" t="s">
        <v>60</v>
      </c>
      <c r="K3157" t="s">
        <v>609</v>
      </c>
      <c r="L3157" t="s">
        <v>62</v>
      </c>
      <c r="M3157" t="s">
        <v>609</v>
      </c>
      <c r="N3157" t="s">
        <v>610</v>
      </c>
      <c r="O3157" t="s">
        <v>315</v>
      </c>
      <c r="P3157">
        <v>-20.108561999999999</v>
      </c>
      <c r="Q3157">
        <v>-44.883811000000001</v>
      </c>
      <c r="R3157" s="2" t="str">
        <f>HYPERLINK("https://www.google.com/maps?q=-20.1085620,-44.8838110","Abrir no Google Maps")</f>
        <v>Abrir no Google Maps</v>
      </c>
      <c r="S3157">
        <v>3</v>
      </c>
      <c r="T3157">
        <v>875.82813532572072</v>
      </c>
      <c r="U3157">
        <v>3</v>
      </c>
      <c r="V3157">
        <v>0.35398558392570367</v>
      </c>
      <c r="W3157">
        <v>1</v>
      </c>
      <c r="X3157">
        <v>0.35398558392570367</v>
      </c>
      <c r="Y3157">
        <v>314</v>
      </c>
      <c r="Z3157">
        <v>824.504668554717</v>
      </c>
      <c r="AA3157">
        <v>198</v>
      </c>
      <c r="AB3157">
        <v>332</v>
      </c>
      <c r="AC3157">
        <v>536</v>
      </c>
      <c r="AD3157">
        <v>26.35</v>
      </c>
      <c r="AE3157">
        <v>542</v>
      </c>
      <c r="AF3157">
        <v>15</v>
      </c>
      <c r="AG3157">
        <v>174</v>
      </c>
      <c r="AH3157">
        <v>129</v>
      </c>
      <c r="AI3157">
        <v>2.77</v>
      </c>
      <c r="AJ3157">
        <v>32.1</v>
      </c>
      <c r="AK3157">
        <v>23.8</v>
      </c>
      <c r="AL3157">
        <v>-20.108622949999951</v>
      </c>
      <c r="AM3157">
        <v>-44.884300516660261</v>
      </c>
      <c r="AN3157">
        <v>-20.108622949999951</v>
      </c>
      <c r="AO3157">
        <v>-44.884300516660261</v>
      </c>
      <c r="AP3157">
        <v>-20.108561999999999</v>
      </c>
      <c r="AQ3157">
        <v>-44.883811000000001</v>
      </c>
      <c r="AR3157">
        <v>51.619098272465493</v>
      </c>
      <c r="AS3157" t="s">
        <v>65</v>
      </c>
      <c r="AT3157">
        <v>1</v>
      </c>
      <c r="AU3157" t="s">
        <v>787</v>
      </c>
      <c r="AV3157" t="s">
        <v>788</v>
      </c>
      <c r="AW3157" t="s">
        <v>60</v>
      </c>
      <c r="AX3157" t="s">
        <v>68</v>
      </c>
      <c r="AY3157" t="s">
        <v>69</v>
      </c>
      <c r="AZ3157" t="b">
        <v>1</v>
      </c>
    </row>
    <row r="3158" spans="1:52" x14ac:dyDescent="0.3">
      <c r="A3158" t="s">
        <v>52</v>
      </c>
      <c r="B3158" t="s">
        <v>53</v>
      </c>
      <c r="C3158" t="s">
        <v>54</v>
      </c>
      <c r="D3158" t="s">
        <v>55</v>
      </c>
      <c r="E3158" t="s">
        <v>2163</v>
      </c>
      <c r="F3158" t="s">
        <v>190</v>
      </c>
      <c r="G3158" t="s">
        <v>789</v>
      </c>
      <c r="H3158" t="s">
        <v>790</v>
      </c>
      <c r="I3158" t="s">
        <v>790</v>
      </c>
      <c r="J3158" t="s">
        <v>60</v>
      </c>
      <c r="K3158" t="s">
        <v>791</v>
      </c>
      <c r="L3158" t="s">
        <v>62</v>
      </c>
      <c r="M3158" t="s">
        <v>791</v>
      </c>
      <c r="N3158" t="s">
        <v>792</v>
      </c>
      <c r="O3158" t="s">
        <v>793</v>
      </c>
      <c r="P3158">
        <v>-20.114263000000001</v>
      </c>
      <c r="Q3158">
        <v>-44.910150000000002</v>
      </c>
      <c r="R3158" s="2" t="str">
        <f>HYPERLINK("https://www.google.com/maps?q=-20.1142630,-44.9101500","Abrir no Google Maps")</f>
        <v>Abrir no Google Maps</v>
      </c>
      <c r="S3158">
        <v>3</v>
      </c>
      <c r="T3158">
        <v>1039.6249825628629</v>
      </c>
      <c r="U3158">
        <v>3</v>
      </c>
      <c r="V3158">
        <v>0.35281195999371628</v>
      </c>
      <c r="W3158">
        <v>1</v>
      </c>
      <c r="X3158">
        <v>0.35281195999371628</v>
      </c>
      <c r="Y3158">
        <v>300</v>
      </c>
      <c r="Z3158">
        <v>1156.8405524690361</v>
      </c>
      <c r="AA3158">
        <v>198</v>
      </c>
      <c r="AB3158">
        <v>332</v>
      </c>
      <c r="AC3158">
        <v>536</v>
      </c>
      <c r="AD3158">
        <v>26.35</v>
      </c>
      <c r="AE3158">
        <v>542</v>
      </c>
      <c r="AF3158">
        <v>15</v>
      </c>
      <c r="AG3158">
        <v>174</v>
      </c>
      <c r="AH3158">
        <v>129</v>
      </c>
      <c r="AI3158">
        <v>2.77</v>
      </c>
      <c r="AJ3158">
        <v>32.1</v>
      </c>
      <c r="AK3158">
        <v>23.8</v>
      </c>
      <c r="AL3158">
        <v>-20.113823899999939</v>
      </c>
      <c r="AM3158">
        <v>-44.910704705968108</v>
      </c>
      <c r="AN3158">
        <v>-20.113823899999939</v>
      </c>
      <c r="AO3158">
        <v>-44.910704705968108</v>
      </c>
      <c r="AP3158">
        <v>-20.114263000000001</v>
      </c>
      <c r="AQ3158">
        <v>-44.910150000000002</v>
      </c>
      <c r="AR3158">
        <v>75.838236800419978</v>
      </c>
      <c r="AS3158" t="s">
        <v>65</v>
      </c>
      <c r="AT3158">
        <v>1</v>
      </c>
      <c r="AU3158" t="s">
        <v>794</v>
      </c>
      <c r="AV3158" t="s">
        <v>795</v>
      </c>
      <c r="AW3158" t="s">
        <v>60</v>
      </c>
      <c r="AX3158" t="s">
        <v>68</v>
      </c>
      <c r="AY3158" t="s">
        <v>69</v>
      </c>
      <c r="AZ3158" t="b">
        <v>1</v>
      </c>
    </row>
    <row r="3159" spans="1:52" x14ac:dyDescent="0.3">
      <c r="A3159" t="s">
        <v>52</v>
      </c>
      <c r="B3159" t="s">
        <v>53</v>
      </c>
      <c r="C3159" t="s">
        <v>54</v>
      </c>
      <c r="D3159" t="s">
        <v>55</v>
      </c>
      <c r="E3159" t="s">
        <v>2163</v>
      </c>
      <c r="F3159" t="s">
        <v>190</v>
      </c>
      <c r="G3159" t="s">
        <v>796</v>
      </c>
      <c r="H3159" t="s">
        <v>797</v>
      </c>
      <c r="I3159" t="s">
        <v>797</v>
      </c>
      <c r="J3159" t="s">
        <v>60</v>
      </c>
      <c r="K3159" t="s">
        <v>798</v>
      </c>
      <c r="L3159" t="s">
        <v>62</v>
      </c>
      <c r="M3159" t="s">
        <v>798</v>
      </c>
      <c r="N3159" t="s">
        <v>799</v>
      </c>
      <c r="O3159" t="s">
        <v>800</v>
      </c>
      <c r="P3159">
        <v>-20.105681000000001</v>
      </c>
      <c r="Q3159">
        <v>-44.902771999999999</v>
      </c>
      <c r="R3159" s="2" t="str">
        <f>HYPERLINK("https://www.google.com/maps?q=-20.1056810,-44.9027720","Abrir no Google Maps")</f>
        <v>Abrir no Google Maps</v>
      </c>
      <c r="S3159">
        <v>3</v>
      </c>
      <c r="T3159">
        <v>654.76334876090721</v>
      </c>
      <c r="U3159">
        <v>3</v>
      </c>
      <c r="V3159">
        <v>0.32685350682776859</v>
      </c>
      <c r="W3159">
        <v>1</v>
      </c>
      <c r="X3159">
        <v>0.32685350682776859</v>
      </c>
      <c r="Y3159">
        <v>300</v>
      </c>
      <c r="Z3159">
        <v>473.90209409135377</v>
      </c>
      <c r="AA3159">
        <v>198</v>
      </c>
      <c r="AB3159">
        <v>332</v>
      </c>
      <c r="AC3159">
        <v>536</v>
      </c>
      <c r="AD3159">
        <v>26.35</v>
      </c>
      <c r="AE3159">
        <v>542</v>
      </c>
      <c r="AF3159">
        <v>15</v>
      </c>
      <c r="AG3159">
        <v>174</v>
      </c>
      <c r="AH3159">
        <v>129</v>
      </c>
      <c r="AI3159">
        <v>2.77</v>
      </c>
      <c r="AJ3159">
        <v>32.1</v>
      </c>
      <c r="AK3159">
        <v>23.8</v>
      </c>
      <c r="AL3159">
        <v>-20.105710249999959</v>
      </c>
      <c r="AM3159">
        <v>-44.902887601574513</v>
      </c>
      <c r="AN3159">
        <v>-20.105710249999959</v>
      </c>
      <c r="AO3159">
        <v>-44.902887601574513</v>
      </c>
      <c r="AP3159">
        <v>-20.105681000000001</v>
      </c>
      <c r="AQ3159">
        <v>-44.902771999999999</v>
      </c>
      <c r="AR3159">
        <v>12.5155291382583</v>
      </c>
      <c r="AS3159" t="s">
        <v>65</v>
      </c>
      <c r="AT3159">
        <v>1</v>
      </c>
      <c r="AU3159" t="s">
        <v>801</v>
      </c>
      <c r="AV3159" t="s">
        <v>802</v>
      </c>
      <c r="AW3159" t="s">
        <v>60</v>
      </c>
      <c r="AX3159" t="s">
        <v>68</v>
      </c>
      <c r="AY3159" t="s">
        <v>69</v>
      </c>
      <c r="AZ3159" t="b">
        <v>1</v>
      </c>
    </row>
    <row r="3160" spans="1:52" x14ac:dyDescent="0.3">
      <c r="A3160" t="s">
        <v>52</v>
      </c>
      <c r="B3160" t="s">
        <v>53</v>
      </c>
      <c r="C3160" t="s">
        <v>54</v>
      </c>
      <c r="D3160" t="s">
        <v>55</v>
      </c>
      <c r="E3160" t="s">
        <v>2163</v>
      </c>
      <c r="F3160" t="s">
        <v>190</v>
      </c>
      <c r="G3160" t="s">
        <v>2188</v>
      </c>
      <c r="H3160" t="s">
        <v>2189</v>
      </c>
      <c r="I3160" t="s">
        <v>2189</v>
      </c>
      <c r="J3160" t="s">
        <v>60</v>
      </c>
      <c r="K3160" t="s">
        <v>2190</v>
      </c>
      <c r="L3160" t="s">
        <v>62</v>
      </c>
      <c r="M3160" t="s">
        <v>2190</v>
      </c>
      <c r="N3160" t="s">
        <v>2191</v>
      </c>
      <c r="O3160" t="s">
        <v>315</v>
      </c>
      <c r="P3160">
        <v>-20.132472</v>
      </c>
      <c r="Q3160">
        <v>-44.912818999999999</v>
      </c>
      <c r="R3160" s="2" t="str">
        <f>HYPERLINK("https://www.google.com/maps?q=-20.1324720,-44.9128190","Abrir no Google Maps")</f>
        <v>Abrir no Google Maps</v>
      </c>
      <c r="S3160">
        <v>3</v>
      </c>
      <c r="T3160">
        <v>825.45561411863662</v>
      </c>
      <c r="U3160">
        <v>3</v>
      </c>
      <c r="V3160">
        <v>0.40941710712424612</v>
      </c>
      <c r="W3160">
        <v>0.85</v>
      </c>
      <c r="X3160">
        <v>0.34800454105560918</v>
      </c>
      <c r="Y3160">
        <v>277</v>
      </c>
      <c r="Z3160">
        <v>874.14453205298469</v>
      </c>
      <c r="AA3160">
        <v>198</v>
      </c>
      <c r="AB3160">
        <v>332</v>
      </c>
      <c r="AC3160">
        <v>536</v>
      </c>
      <c r="AD3160">
        <v>26.35</v>
      </c>
      <c r="AE3160">
        <v>542</v>
      </c>
      <c r="AF3160">
        <v>15</v>
      </c>
      <c r="AG3160">
        <v>174</v>
      </c>
      <c r="AH3160">
        <v>129</v>
      </c>
      <c r="AI3160">
        <v>2.77</v>
      </c>
      <c r="AJ3160">
        <v>32.1</v>
      </c>
      <c r="AK3160">
        <v>23.8</v>
      </c>
      <c r="AL3160">
        <v>-20.132673899999961</v>
      </c>
      <c r="AM3160">
        <v>-44.913047842225232</v>
      </c>
      <c r="AN3160">
        <v>-20.132673899999961</v>
      </c>
      <c r="AO3160">
        <v>-44.913047842225232</v>
      </c>
      <c r="AP3160">
        <v>-20.132472</v>
      </c>
      <c r="AQ3160">
        <v>-44.912818999999999</v>
      </c>
      <c r="AR3160">
        <v>32.821136542650258</v>
      </c>
      <c r="AS3160" t="s">
        <v>65</v>
      </c>
      <c r="AT3160">
        <v>1</v>
      </c>
      <c r="AU3160" t="s">
        <v>2192</v>
      </c>
      <c r="AV3160" t="s">
        <v>2193</v>
      </c>
      <c r="AW3160" t="s">
        <v>60</v>
      </c>
      <c r="AX3160" t="s">
        <v>68</v>
      </c>
      <c r="AY3160" t="s">
        <v>69</v>
      </c>
      <c r="AZ3160" t="b">
        <v>1</v>
      </c>
    </row>
    <row r="3161" spans="1:52" x14ac:dyDescent="0.3">
      <c r="A3161" t="s">
        <v>52</v>
      </c>
      <c r="B3161" t="s">
        <v>53</v>
      </c>
      <c r="C3161" t="s">
        <v>54</v>
      </c>
      <c r="D3161" t="s">
        <v>55</v>
      </c>
      <c r="E3161" t="s">
        <v>2163</v>
      </c>
      <c r="F3161" t="s">
        <v>190</v>
      </c>
      <c r="G3161" t="s">
        <v>1163</v>
      </c>
      <c r="H3161" t="s">
        <v>1164</v>
      </c>
      <c r="I3161" t="s">
        <v>1164</v>
      </c>
      <c r="J3161" t="s">
        <v>60</v>
      </c>
      <c r="K3161" t="s">
        <v>1165</v>
      </c>
      <c r="L3161" t="s">
        <v>62</v>
      </c>
      <c r="M3161" t="s">
        <v>1165</v>
      </c>
      <c r="N3161" t="s">
        <v>1166</v>
      </c>
      <c r="O3161" t="s">
        <v>1167</v>
      </c>
      <c r="P3161">
        <v>-20.155543000000002</v>
      </c>
      <c r="Q3161">
        <v>-44.863444000000001</v>
      </c>
      <c r="R3161" s="2" t="str">
        <f>HYPERLINK("https://www.google.com/maps?q=-20.1555430,-44.8634440","Abrir no Google Maps")</f>
        <v>Abrir no Google Maps</v>
      </c>
      <c r="S3161">
        <v>3</v>
      </c>
      <c r="T3161">
        <v>314.02353400254742</v>
      </c>
      <c r="U3161">
        <v>3</v>
      </c>
      <c r="V3161">
        <v>0.3247832167832167</v>
      </c>
      <c r="W3161">
        <v>1</v>
      </c>
      <c r="X3161">
        <v>0.3247832167832167</v>
      </c>
      <c r="Y3161">
        <v>264</v>
      </c>
      <c r="Z3161">
        <v>282.65065866463459</v>
      </c>
      <c r="AA3161">
        <v>198</v>
      </c>
      <c r="AB3161">
        <v>332</v>
      </c>
      <c r="AC3161">
        <v>536</v>
      </c>
      <c r="AD3161">
        <v>26.35</v>
      </c>
      <c r="AE3161">
        <v>542</v>
      </c>
      <c r="AF3161">
        <v>15</v>
      </c>
      <c r="AG3161">
        <v>174</v>
      </c>
      <c r="AH3161">
        <v>129</v>
      </c>
      <c r="AI3161">
        <v>2.77</v>
      </c>
      <c r="AJ3161">
        <v>32.1</v>
      </c>
      <c r="AK3161">
        <v>23.8</v>
      </c>
      <c r="AL3161">
        <v>-20.155436449999939</v>
      </c>
      <c r="AM3161">
        <v>-44.863557722691183</v>
      </c>
      <c r="AN3161">
        <v>-20.155436449999939</v>
      </c>
      <c r="AO3161">
        <v>-44.863557722691183</v>
      </c>
      <c r="AP3161">
        <v>-20.155543000000002</v>
      </c>
      <c r="AQ3161">
        <v>-44.863444000000001</v>
      </c>
      <c r="AR3161">
        <v>16.790610674079979</v>
      </c>
      <c r="AS3161" t="s">
        <v>65</v>
      </c>
      <c r="AT3161">
        <v>1</v>
      </c>
      <c r="AU3161" t="s">
        <v>1168</v>
      </c>
      <c r="AV3161" t="s">
        <v>1169</v>
      </c>
      <c r="AW3161" t="s">
        <v>60</v>
      </c>
      <c r="AX3161" t="s">
        <v>68</v>
      </c>
      <c r="AY3161" t="s">
        <v>69</v>
      </c>
      <c r="AZ3161" t="b">
        <v>1</v>
      </c>
    </row>
    <row r="3162" spans="1:52" x14ac:dyDescent="0.3">
      <c r="A3162" t="s">
        <v>52</v>
      </c>
      <c r="B3162" t="s">
        <v>53</v>
      </c>
      <c r="C3162" t="s">
        <v>54</v>
      </c>
      <c r="D3162" t="s">
        <v>55</v>
      </c>
      <c r="E3162" t="s">
        <v>2163</v>
      </c>
      <c r="F3162" t="s">
        <v>190</v>
      </c>
      <c r="G3162" t="s">
        <v>1170</v>
      </c>
      <c r="H3162" t="s">
        <v>1171</v>
      </c>
      <c r="I3162" t="s">
        <v>1171</v>
      </c>
      <c r="J3162" t="s">
        <v>60</v>
      </c>
      <c r="K3162" t="s">
        <v>1165</v>
      </c>
      <c r="L3162" t="s">
        <v>62</v>
      </c>
      <c r="M3162" t="s">
        <v>1165</v>
      </c>
      <c r="N3162" t="s">
        <v>1172</v>
      </c>
      <c r="O3162" t="s">
        <v>1160</v>
      </c>
      <c r="P3162">
        <v>-20.158208999999999</v>
      </c>
      <c r="Q3162">
        <v>-44.865242000000002</v>
      </c>
      <c r="R3162" s="2" t="str">
        <f>HYPERLINK("https://www.google.com/maps?q=-20.1582090,-44.8652420","Abrir no Google Maps")</f>
        <v>Abrir no Google Maps</v>
      </c>
      <c r="S3162">
        <v>3</v>
      </c>
      <c r="T3162">
        <v>529.55269054560301</v>
      </c>
      <c r="U3162">
        <v>3</v>
      </c>
      <c r="V3162">
        <v>0.3305523661967934</v>
      </c>
      <c r="W3162">
        <v>1</v>
      </c>
      <c r="X3162">
        <v>0.3305523661967934</v>
      </c>
      <c r="Y3162">
        <v>264</v>
      </c>
      <c r="Z3162">
        <v>576.82525833351326</v>
      </c>
      <c r="AA3162">
        <v>198</v>
      </c>
      <c r="AB3162">
        <v>332</v>
      </c>
      <c r="AC3162">
        <v>536</v>
      </c>
      <c r="AD3162">
        <v>26.35</v>
      </c>
      <c r="AE3162">
        <v>542</v>
      </c>
      <c r="AF3162">
        <v>15</v>
      </c>
      <c r="AG3162">
        <v>174</v>
      </c>
      <c r="AH3162">
        <v>129</v>
      </c>
      <c r="AI3162">
        <v>2.77</v>
      </c>
      <c r="AJ3162">
        <v>32.1</v>
      </c>
      <c r="AK3162">
        <v>23.8</v>
      </c>
      <c r="AL3162">
        <v>-20.15813384999996</v>
      </c>
      <c r="AM3162">
        <v>-44.865189279062598</v>
      </c>
      <c r="AN3162">
        <v>-20.15813384999996</v>
      </c>
      <c r="AO3162">
        <v>-44.865189279062598</v>
      </c>
      <c r="AP3162">
        <v>-20.158208999999999</v>
      </c>
      <c r="AQ3162">
        <v>-44.865242000000002</v>
      </c>
      <c r="AR3162">
        <v>10.01690313145691</v>
      </c>
      <c r="AS3162" t="s">
        <v>65</v>
      </c>
      <c r="AT3162">
        <v>1</v>
      </c>
      <c r="AU3162" t="s">
        <v>1173</v>
      </c>
      <c r="AV3162" t="s">
        <v>1174</v>
      </c>
      <c r="AW3162" t="s">
        <v>60</v>
      </c>
      <c r="AX3162" t="s">
        <v>68</v>
      </c>
      <c r="AY3162" t="s">
        <v>69</v>
      </c>
      <c r="AZ3162" t="b">
        <v>1</v>
      </c>
    </row>
    <row r="3163" spans="1:52" x14ac:dyDescent="0.3">
      <c r="A3163" t="s">
        <v>52</v>
      </c>
      <c r="B3163" t="s">
        <v>53</v>
      </c>
      <c r="C3163" t="s">
        <v>54</v>
      </c>
      <c r="D3163" t="s">
        <v>55</v>
      </c>
      <c r="E3163" t="s">
        <v>2163</v>
      </c>
      <c r="F3163" t="s">
        <v>190</v>
      </c>
      <c r="G3163" t="s">
        <v>2194</v>
      </c>
      <c r="H3163" t="s">
        <v>2195</v>
      </c>
      <c r="I3163" t="s">
        <v>2195</v>
      </c>
      <c r="J3163" t="s">
        <v>60</v>
      </c>
      <c r="K3163" t="s">
        <v>805</v>
      </c>
      <c r="L3163" t="s">
        <v>62</v>
      </c>
      <c r="M3163" t="s">
        <v>805</v>
      </c>
      <c r="N3163" t="s">
        <v>2196</v>
      </c>
      <c r="O3163" t="s">
        <v>2197</v>
      </c>
      <c r="P3163">
        <v>-20.132123</v>
      </c>
      <c r="Q3163">
        <v>-44.883763000000002</v>
      </c>
      <c r="R3163" s="2" t="str">
        <f>HYPERLINK("https://www.google.com/maps?q=-20.1321230,-44.8837630","Abrir no Google Maps")</f>
        <v>Abrir no Google Maps</v>
      </c>
      <c r="S3163">
        <v>3</v>
      </c>
      <c r="T3163">
        <v>296.38508902412269</v>
      </c>
      <c r="U3163">
        <v>3</v>
      </c>
      <c r="V3163">
        <v>0.42497078132890848</v>
      </c>
      <c r="W3163">
        <v>0.85</v>
      </c>
      <c r="X3163">
        <v>0.36122516412957217</v>
      </c>
      <c r="Y3163">
        <v>259</v>
      </c>
      <c r="Z3163">
        <v>250.76457563973119</v>
      </c>
      <c r="AA3163">
        <v>198</v>
      </c>
      <c r="AB3163">
        <v>332</v>
      </c>
      <c r="AC3163">
        <v>536</v>
      </c>
      <c r="AD3163">
        <v>26.35</v>
      </c>
      <c r="AE3163">
        <v>542</v>
      </c>
      <c r="AF3163">
        <v>15</v>
      </c>
      <c r="AG3163">
        <v>174</v>
      </c>
      <c r="AH3163">
        <v>129</v>
      </c>
      <c r="AI3163">
        <v>2.77</v>
      </c>
      <c r="AJ3163">
        <v>32.1</v>
      </c>
      <c r="AK3163">
        <v>23.8</v>
      </c>
      <c r="AL3163">
        <v>-20.13228164999995</v>
      </c>
      <c r="AM3163">
        <v>-44.883764418762581</v>
      </c>
      <c r="AN3163">
        <v>-20.13228164999995</v>
      </c>
      <c r="AO3163">
        <v>-44.883764418762581</v>
      </c>
      <c r="AP3163">
        <v>-20.132123</v>
      </c>
      <c r="AQ3163">
        <v>-44.883763000000002</v>
      </c>
      <c r="AR3163">
        <v>17.661540515852561</v>
      </c>
      <c r="AS3163" t="s">
        <v>65</v>
      </c>
      <c r="AT3163">
        <v>1</v>
      </c>
      <c r="AU3163" t="s">
        <v>2198</v>
      </c>
      <c r="AV3163" t="s">
        <v>2199</v>
      </c>
      <c r="AW3163" t="s">
        <v>60</v>
      </c>
      <c r="AX3163" t="s">
        <v>68</v>
      </c>
      <c r="AY3163" t="s">
        <v>69</v>
      </c>
      <c r="AZ3163" t="b">
        <v>1</v>
      </c>
    </row>
    <row r="3164" spans="1:52" x14ac:dyDescent="0.3">
      <c r="A3164" t="s">
        <v>52</v>
      </c>
      <c r="B3164" t="s">
        <v>53</v>
      </c>
      <c r="C3164" t="s">
        <v>54</v>
      </c>
      <c r="D3164" t="s">
        <v>55</v>
      </c>
      <c r="E3164" t="s">
        <v>2163</v>
      </c>
      <c r="F3164" t="s">
        <v>190</v>
      </c>
      <c r="G3164" t="s">
        <v>1187</v>
      </c>
      <c r="H3164" t="s">
        <v>1188</v>
      </c>
      <c r="I3164" t="s">
        <v>1188</v>
      </c>
      <c r="J3164" t="s">
        <v>60</v>
      </c>
      <c r="K3164" t="s">
        <v>1177</v>
      </c>
      <c r="L3164" t="s">
        <v>62</v>
      </c>
      <c r="M3164" t="s">
        <v>1177</v>
      </c>
      <c r="N3164" t="s">
        <v>1189</v>
      </c>
      <c r="O3164" t="s">
        <v>1190</v>
      </c>
      <c r="P3164">
        <v>-20.151606999999998</v>
      </c>
      <c r="Q3164">
        <v>-44.870784999999998</v>
      </c>
      <c r="R3164" s="2" t="str">
        <f>HYPERLINK("https://www.google.com/maps?q=-20.1516070,-44.8707850","Abrir no Google Maps")</f>
        <v>Abrir no Google Maps</v>
      </c>
      <c r="S3164">
        <v>3</v>
      </c>
      <c r="T3164">
        <v>592.7601508996878</v>
      </c>
      <c r="U3164">
        <v>3</v>
      </c>
      <c r="V3164">
        <v>0.3367675327760859</v>
      </c>
      <c r="W3164">
        <v>1</v>
      </c>
      <c r="X3164">
        <v>0.3367675327760859</v>
      </c>
      <c r="Y3164">
        <v>198</v>
      </c>
      <c r="Z3164">
        <v>605.75141653963317</v>
      </c>
      <c r="AA3164">
        <v>198</v>
      </c>
      <c r="AB3164">
        <v>332</v>
      </c>
      <c r="AC3164">
        <v>536</v>
      </c>
      <c r="AD3164">
        <v>26.35</v>
      </c>
      <c r="AE3164">
        <v>542</v>
      </c>
      <c r="AF3164">
        <v>15</v>
      </c>
      <c r="AG3164">
        <v>174</v>
      </c>
      <c r="AH3164">
        <v>129</v>
      </c>
      <c r="AI3164">
        <v>2.77</v>
      </c>
      <c r="AJ3164">
        <v>32.1</v>
      </c>
      <c r="AK3164">
        <v>23.8</v>
      </c>
      <c r="AL3164">
        <v>-20.151457849999961</v>
      </c>
      <c r="AM3164">
        <v>-44.870912038726253</v>
      </c>
      <c r="AN3164">
        <v>-20.151457849999961</v>
      </c>
      <c r="AO3164">
        <v>-44.870912038726253</v>
      </c>
      <c r="AP3164">
        <v>-20.151606999999998</v>
      </c>
      <c r="AQ3164">
        <v>-44.870784999999998</v>
      </c>
      <c r="AR3164">
        <v>21.258671186047941</v>
      </c>
      <c r="AS3164" t="s">
        <v>65</v>
      </c>
      <c r="AT3164">
        <v>1</v>
      </c>
      <c r="AU3164" t="s">
        <v>1191</v>
      </c>
      <c r="AV3164" t="s">
        <v>1192</v>
      </c>
      <c r="AW3164" t="s">
        <v>60</v>
      </c>
      <c r="AX3164" t="s">
        <v>68</v>
      </c>
      <c r="AY3164" t="s">
        <v>69</v>
      </c>
      <c r="AZ3164" t="b">
        <v>1</v>
      </c>
    </row>
    <row r="3165" spans="1:52" x14ac:dyDescent="0.3">
      <c r="A3165" t="s">
        <v>52</v>
      </c>
      <c r="B3165" t="s">
        <v>53</v>
      </c>
      <c r="C3165" t="s">
        <v>54</v>
      </c>
      <c r="D3165" t="s">
        <v>55</v>
      </c>
      <c r="E3165" t="s">
        <v>2163</v>
      </c>
      <c r="F3165" t="s">
        <v>190</v>
      </c>
      <c r="G3165" t="s">
        <v>1193</v>
      </c>
      <c r="H3165" t="s">
        <v>1194</v>
      </c>
      <c r="I3165" t="s">
        <v>1194</v>
      </c>
      <c r="J3165" t="s">
        <v>60</v>
      </c>
      <c r="K3165" t="s">
        <v>1195</v>
      </c>
      <c r="L3165" t="s">
        <v>62</v>
      </c>
      <c r="M3165" t="s">
        <v>1195</v>
      </c>
      <c r="N3165" t="s">
        <v>1196</v>
      </c>
      <c r="O3165" t="s">
        <v>1197</v>
      </c>
      <c r="P3165">
        <v>-20.105342</v>
      </c>
      <c r="Q3165">
        <v>-44.964716000000003</v>
      </c>
      <c r="R3165" s="2" t="str">
        <f>HYPERLINK("https://www.google.com/maps?q=-20.1053420,-44.9647160","Abrir no Google Maps")</f>
        <v>Abrir no Google Maps</v>
      </c>
      <c r="S3165">
        <v>3</v>
      </c>
      <c r="T3165">
        <v>893.28710125086457</v>
      </c>
      <c r="U3165">
        <v>3</v>
      </c>
      <c r="V3165">
        <v>0.32856900471682099</v>
      </c>
      <c r="W3165">
        <v>1</v>
      </c>
      <c r="X3165">
        <v>0.32856900471682099</v>
      </c>
      <c r="Y3165">
        <v>187</v>
      </c>
      <c r="Z3165">
        <v>592.18957175243293</v>
      </c>
      <c r="AA3165">
        <v>198</v>
      </c>
      <c r="AB3165">
        <v>332</v>
      </c>
      <c r="AC3165">
        <v>536</v>
      </c>
      <c r="AD3165">
        <v>26.35</v>
      </c>
      <c r="AE3165">
        <v>542</v>
      </c>
      <c r="AF3165">
        <v>15</v>
      </c>
      <c r="AG3165">
        <v>174</v>
      </c>
      <c r="AH3165">
        <v>129</v>
      </c>
      <c r="AI3165">
        <v>2.77</v>
      </c>
      <c r="AJ3165">
        <v>32.1</v>
      </c>
      <c r="AK3165">
        <v>23.8</v>
      </c>
      <c r="AL3165">
        <v>-20.105505699999949</v>
      </c>
      <c r="AM3165">
        <v>-44.964494228377532</v>
      </c>
      <c r="AN3165">
        <v>-20.105505699999949</v>
      </c>
      <c r="AO3165">
        <v>-44.964494228377532</v>
      </c>
      <c r="AP3165">
        <v>-20.105342</v>
      </c>
      <c r="AQ3165">
        <v>-44.964716000000003</v>
      </c>
      <c r="AR3165">
        <v>29.48797728637869</v>
      </c>
      <c r="AS3165" t="s">
        <v>65</v>
      </c>
      <c r="AT3165">
        <v>1</v>
      </c>
      <c r="AU3165" t="s">
        <v>1198</v>
      </c>
      <c r="AV3165" t="s">
        <v>1199</v>
      </c>
      <c r="AW3165" t="s">
        <v>60</v>
      </c>
      <c r="AX3165" t="s">
        <v>68</v>
      </c>
      <c r="AY3165" t="s">
        <v>69</v>
      </c>
      <c r="AZ3165" t="b">
        <v>1</v>
      </c>
    </row>
    <row r="3166" spans="1:52" x14ac:dyDescent="0.3">
      <c r="A3166" t="s">
        <v>52</v>
      </c>
      <c r="B3166" t="s">
        <v>53</v>
      </c>
      <c r="C3166" t="s">
        <v>54</v>
      </c>
      <c r="D3166" t="s">
        <v>55</v>
      </c>
      <c r="E3166" t="s">
        <v>2163</v>
      </c>
      <c r="F3166" t="s">
        <v>190</v>
      </c>
      <c r="G3166" t="s">
        <v>845</v>
      </c>
      <c r="H3166" t="s">
        <v>2124</v>
      </c>
      <c r="I3166" t="s">
        <v>2124</v>
      </c>
      <c r="J3166" t="s">
        <v>60</v>
      </c>
      <c r="K3166" t="s">
        <v>424</v>
      </c>
      <c r="L3166" t="s">
        <v>62</v>
      </c>
      <c r="M3166" t="s">
        <v>424</v>
      </c>
      <c r="N3166" t="s">
        <v>847</v>
      </c>
      <c r="O3166" t="s">
        <v>2125</v>
      </c>
      <c r="P3166">
        <v>-20.180002999999999</v>
      </c>
      <c r="Q3166">
        <v>-44.915557999999997</v>
      </c>
      <c r="R3166" s="2" t="str">
        <f>HYPERLINK("https://www.google.com/maps?q=-20.1800030,-44.9155580","Abrir no Google Maps")</f>
        <v>Abrir no Google Maps</v>
      </c>
      <c r="S3166">
        <v>3</v>
      </c>
      <c r="T3166">
        <v>849.07837312552761</v>
      </c>
      <c r="U3166">
        <v>3</v>
      </c>
      <c r="V3166">
        <v>0.39171971763890689</v>
      </c>
      <c r="W3166">
        <v>0.85</v>
      </c>
      <c r="X3166">
        <v>0.33296175999307093</v>
      </c>
      <c r="Y3166">
        <v>135</v>
      </c>
      <c r="Z3166">
        <v>1017.379067015247</v>
      </c>
      <c r="AA3166">
        <v>198</v>
      </c>
      <c r="AB3166">
        <v>332</v>
      </c>
      <c r="AC3166">
        <v>536</v>
      </c>
      <c r="AD3166">
        <v>26.35</v>
      </c>
      <c r="AE3166">
        <v>542</v>
      </c>
      <c r="AF3166">
        <v>15</v>
      </c>
      <c r="AG3166">
        <v>174</v>
      </c>
      <c r="AH3166">
        <v>129</v>
      </c>
      <c r="AI3166">
        <v>2.77</v>
      </c>
      <c r="AJ3166">
        <v>32.1</v>
      </c>
      <c r="AK3166">
        <v>23.8</v>
      </c>
      <c r="AL3166">
        <v>-20.180131649999961</v>
      </c>
      <c r="AM3166">
        <v>-44.916107332085438</v>
      </c>
      <c r="AN3166">
        <v>-20.180131649999961</v>
      </c>
      <c r="AO3166">
        <v>-44.916107332085438</v>
      </c>
      <c r="AP3166">
        <v>-20.180002999999999</v>
      </c>
      <c r="AQ3166">
        <v>-44.915557999999997</v>
      </c>
      <c r="AR3166">
        <v>59.157397370141183</v>
      </c>
      <c r="AS3166" t="s">
        <v>65</v>
      </c>
      <c r="AT3166">
        <v>1</v>
      </c>
      <c r="AU3166" t="s">
        <v>2126</v>
      </c>
      <c r="AV3166" t="s">
        <v>2127</v>
      </c>
      <c r="AW3166" t="s">
        <v>60</v>
      </c>
      <c r="AX3166" t="s">
        <v>68</v>
      </c>
      <c r="AY3166" t="s">
        <v>69</v>
      </c>
      <c r="AZ3166" t="b">
        <v>1</v>
      </c>
    </row>
    <row r="3167" spans="1:52" x14ac:dyDescent="0.3">
      <c r="A3167" t="s">
        <v>52</v>
      </c>
      <c r="B3167" t="s">
        <v>53</v>
      </c>
      <c r="C3167" t="s">
        <v>54</v>
      </c>
      <c r="D3167" t="s">
        <v>55</v>
      </c>
      <c r="E3167" t="s">
        <v>2163</v>
      </c>
      <c r="F3167" t="s">
        <v>190</v>
      </c>
      <c r="G3167" t="s">
        <v>1206</v>
      </c>
      <c r="H3167" t="s">
        <v>1207</v>
      </c>
      <c r="I3167" t="s">
        <v>1207</v>
      </c>
      <c r="J3167" t="s">
        <v>60</v>
      </c>
      <c r="K3167" t="s">
        <v>475</v>
      </c>
      <c r="L3167" t="s">
        <v>62</v>
      </c>
      <c r="M3167" t="s">
        <v>475</v>
      </c>
      <c r="N3167" t="s">
        <v>1208</v>
      </c>
      <c r="O3167" t="s">
        <v>1209</v>
      </c>
      <c r="P3167">
        <v>-20.180554999999998</v>
      </c>
      <c r="Q3167">
        <v>-44.905642999999998</v>
      </c>
      <c r="R3167" s="2" t="str">
        <f>HYPERLINK("https://www.google.com/maps?q=-20.1805550,-44.9056430","Abrir no Google Maps")</f>
        <v>Abrir no Google Maps</v>
      </c>
      <c r="S3167">
        <v>3</v>
      </c>
      <c r="T3167">
        <v>768.13826761541702</v>
      </c>
      <c r="U3167">
        <v>3</v>
      </c>
      <c r="V3167">
        <v>0.34493733951634531</v>
      </c>
      <c r="W3167">
        <v>1</v>
      </c>
      <c r="X3167">
        <v>0.34493733951634531</v>
      </c>
      <c r="Y3167">
        <v>135</v>
      </c>
      <c r="Z3167">
        <v>442.64437152702573</v>
      </c>
      <c r="AA3167">
        <v>198</v>
      </c>
      <c r="AB3167">
        <v>332</v>
      </c>
      <c r="AC3167">
        <v>536</v>
      </c>
      <c r="AD3167">
        <v>26.35</v>
      </c>
      <c r="AE3167">
        <v>542</v>
      </c>
      <c r="AF3167">
        <v>15</v>
      </c>
      <c r="AG3167">
        <v>174</v>
      </c>
      <c r="AH3167">
        <v>129</v>
      </c>
      <c r="AI3167">
        <v>2.77</v>
      </c>
      <c r="AJ3167">
        <v>32.1</v>
      </c>
      <c r="AK3167">
        <v>23.8</v>
      </c>
      <c r="AL3167">
        <v>-20.180439499999949</v>
      </c>
      <c r="AM3167">
        <v>-44.905757266135502</v>
      </c>
      <c r="AN3167">
        <v>-20.180439499999949</v>
      </c>
      <c r="AO3167">
        <v>-44.905757266135502</v>
      </c>
      <c r="AP3167">
        <v>-20.180554999999998</v>
      </c>
      <c r="AQ3167">
        <v>-44.905642999999998</v>
      </c>
      <c r="AR3167">
        <v>17.545924993698129</v>
      </c>
      <c r="AS3167" t="s">
        <v>65</v>
      </c>
      <c r="AT3167">
        <v>1</v>
      </c>
      <c r="AU3167" t="s">
        <v>1210</v>
      </c>
      <c r="AV3167" t="s">
        <v>1211</v>
      </c>
      <c r="AW3167" t="s">
        <v>60</v>
      </c>
      <c r="AX3167" t="s">
        <v>68</v>
      </c>
      <c r="AY3167" t="s">
        <v>69</v>
      </c>
      <c r="AZ3167" t="b">
        <v>1</v>
      </c>
    </row>
    <row r="3168" spans="1:52" x14ac:dyDescent="0.3">
      <c r="A3168" t="s">
        <v>52</v>
      </c>
      <c r="B3168" t="s">
        <v>53</v>
      </c>
      <c r="C3168" t="s">
        <v>54</v>
      </c>
      <c r="D3168" t="s">
        <v>55</v>
      </c>
      <c r="E3168" t="s">
        <v>2163</v>
      </c>
      <c r="F3168" t="s">
        <v>190</v>
      </c>
      <c r="G3168" t="s">
        <v>1830</v>
      </c>
      <c r="H3168" t="s">
        <v>1831</v>
      </c>
      <c r="I3168" t="s">
        <v>1831</v>
      </c>
      <c r="J3168" t="s">
        <v>60</v>
      </c>
      <c r="K3168" t="s">
        <v>1243</v>
      </c>
      <c r="L3168" t="s">
        <v>62</v>
      </c>
      <c r="M3168" t="s">
        <v>1243</v>
      </c>
      <c r="N3168" t="s">
        <v>1832</v>
      </c>
      <c r="O3168" t="s">
        <v>1833</v>
      </c>
      <c r="P3168">
        <v>-20.196815999999998</v>
      </c>
      <c r="Q3168">
        <v>-44.940482000000003</v>
      </c>
      <c r="R3168" s="2" t="str">
        <f>HYPERLINK("https://www.google.com/maps?q=-20.1968160,-44.9404820","Abrir no Google Maps")</f>
        <v>Abrir no Google Maps</v>
      </c>
      <c r="S3168">
        <v>3</v>
      </c>
      <c r="T3168">
        <v>536.34378309151361</v>
      </c>
      <c r="U3168">
        <v>3</v>
      </c>
      <c r="V3168">
        <v>0.32377312952534187</v>
      </c>
      <c r="W3168">
        <v>1</v>
      </c>
      <c r="X3168">
        <v>0.32377312952534187</v>
      </c>
      <c r="Y3168">
        <v>113</v>
      </c>
      <c r="Z3168">
        <v>376.90325621866373</v>
      </c>
      <c r="AA3168">
        <v>198</v>
      </c>
      <c r="AB3168">
        <v>332</v>
      </c>
      <c r="AC3168">
        <v>536</v>
      </c>
      <c r="AD3168">
        <v>26.35</v>
      </c>
      <c r="AE3168">
        <v>542</v>
      </c>
      <c r="AF3168">
        <v>15</v>
      </c>
      <c r="AG3168">
        <v>174</v>
      </c>
      <c r="AH3168">
        <v>129</v>
      </c>
      <c r="AI3168">
        <v>2.77</v>
      </c>
      <c r="AJ3168">
        <v>32.1</v>
      </c>
      <c r="AK3168">
        <v>23.8</v>
      </c>
      <c r="AL3168">
        <v>-20.196517149999949</v>
      </c>
      <c r="AM3168">
        <v>-44.94010487355537</v>
      </c>
      <c r="AN3168">
        <v>-20.196517149999949</v>
      </c>
      <c r="AO3168">
        <v>-44.94010487355537</v>
      </c>
      <c r="AP3168">
        <v>-20.196815999999998</v>
      </c>
      <c r="AQ3168">
        <v>-44.940482000000003</v>
      </c>
      <c r="AR3168">
        <v>51.566969969189948</v>
      </c>
      <c r="AS3168" t="s">
        <v>65</v>
      </c>
      <c r="AT3168">
        <v>1</v>
      </c>
      <c r="AU3168" t="s">
        <v>1834</v>
      </c>
      <c r="AV3168" t="s">
        <v>1835</v>
      </c>
      <c r="AW3168" t="s">
        <v>60</v>
      </c>
      <c r="AX3168" t="s">
        <v>68</v>
      </c>
      <c r="AY3168" t="s">
        <v>69</v>
      </c>
      <c r="AZ3168" t="b">
        <v>1</v>
      </c>
    </row>
    <row r="3169" spans="1:52" x14ac:dyDescent="0.3">
      <c r="A3169" t="s">
        <v>52</v>
      </c>
      <c r="B3169" t="s">
        <v>53</v>
      </c>
      <c r="C3169" t="s">
        <v>54</v>
      </c>
      <c r="D3169" t="s">
        <v>55</v>
      </c>
      <c r="E3169" t="s">
        <v>2163</v>
      </c>
      <c r="F3169" t="s">
        <v>1247</v>
      </c>
      <c r="G3169" t="s">
        <v>58</v>
      </c>
      <c r="H3169" t="s">
        <v>59</v>
      </c>
      <c r="I3169" t="s">
        <v>59</v>
      </c>
      <c r="J3169" t="s">
        <v>60</v>
      </c>
      <c r="K3169" t="s">
        <v>61</v>
      </c>
      <c r="L3169" t="s">
        <v>62</v>
      </c>
      <c r="M3169" t="s">
        <v>61</v>
      </c>
      <c r="N3169" t="s">
        <v>63</v>
      </c>
      <c r="O3169" t="s">
        <v>64</v>
      </c>
      <c r="P3169">
        <v>-20.147940999999999</v>
      </c>
      <c r="Q3169">
        <v>-44.906514000000001</v>
      </c>
      <c r="R3169" s="2" t="str">
        <f>HYPERLINK("https://www.google.com/maps?q=-20.1479410,-44.9065140","Abrir no Google Maps")</f>
        <v>Abrir no Google Maps</v>
      </c>
      <c r="S3169">
        <v>4</v>
      </c>
      <c r="T3169">
        <v>308.67004994113421</v>
      </c>
      <c r="U3169">
        <v>4</v>
      </c>
      <c r="V3169">
        <v>0.47798426192650878</v>
      </c>
      <c r="W3169">
        <v>1</v>
      </c>
      <c r="X3169">
        <v>0.47798426192650878</v>
      </c>
      <c r="Y3169">
        <v>747</v>
      </c>
      <c r="Z3169">
        <v>274.71440454502522</v>
      </c>
      <c r="AA3169">
        <v>198</v>
      </c>
      <c r="AB3169">
        <v>332</v>
      </c>
      <c r="AC3169">
        <v>536</v>
      </c>
      <c r="AD3169">
        <v>26.35</v>
      </c>
      <c r="AE3169">
        <v>542</v>
      </c>
      <c r="AF3169">
        <v>15</v>
      </c>
      <c r="AG3169">
        <v>174</v>
      </c>
      <c r="AH3169">
        <v>129</v>
      </c>
      <c r="AI3169">
        <v>2.77</v>
      </c>
      <c r="AJ3169">
        <v>32.1</v>
      </c>
      <c r="AK3169">
        <v>23.8</v>
      </c>
      <c r="AL3169">
        <v>-20.147947799999969</v>
      </c>
      <c r="AM3169">
        <v>-44.906591596129203</v>
      </c>
      <c r="AN3169">
        <v>-20.147947799999969</v>
      </c>
      <c r="AO3169">
        <v>-44.906591596129203</v>
      </c>
      <c r="AP3169">
        <v>-20.147940999999999</v>
      </c>
      <c r="AQ3169">
        <v>-44.906514000000001</v>
      </c>
      <c r="AR3169">
        <v>8.1446636170570326</v>
      </c>
      <c r="AS3169" t="s">
        <v>65</v>
      </c>
      <c r="AT3169">
        <v>1</v>
      </c>
      <c r="AU3169" t="s">
        <v>66</v>
      </c>
      <c r="AV3169" t="s">
        <v>67</v>
      </c>
      <c r="AW3169" t="s">
        <v>60</v>
      </c>
      <c r="AX3169" t="s">
        <v>68</v>
      </c>
      <c r="AY3169" t="s">
        <v>69</v>
      </c>
      <c r="AZ3169" t="b">
        <v>1</v>
      </c>
    </row>
    <row r="3170" spans="1:52" x14ac:dyDescent="0.3">
      <c r="A3170" t="s">
        <v>52</v>
      </c>
      <c r="B3170" t="s">
        <v>53</v>
      </c>
      <c r="C3170" t="s">
        <v>54</v>
      </c>
      <c r="D3170" t="s">
        <v>55</v>
      </c>
      <c r="E3170" t="s">
        <v>2163</v>
      </c>
      <c r="F3170" t="s">
        <v>1247</v>
      </c>
      <c r="G3170" t="s">
        <v>70</v>
      </c>
      <c r="H3170" t="s">
        <v>71</v>
      </c>
      <c r="I3170" t="s">
        <v>71</v>
      </c>
      <c r="J3170" t="s">
        <v>60</v>
      </c>
      <c r="K3170" t="s">
        <v>72</v>
      </c>
      <c r="L3170" t="s">
        <v>62</v>
      </c>
      <c r="M3170" t="s">
        <v>72</v>
      </c>
      <c r="N3170" t="s">
        <v>73</v>
      </c>
      <c r="O3170" t="s">
        <v>74</v>
      </c>
      <c r="P3170">
        <v>-20.149349000000001</v>
      </c>
      <c r="Q3170">
        <v>-44.910784</v>
      </c>
      <c r="R3170" s="2" t="str">
        <f>HYPERLINK("https://www.google.com/maps?q=-20.1493490,-44.9107840","Abrir no Google Maps")</f>
        <v>Abrir no Google Maps</v>
      </c>
      <c r="S3170">
        <v>4</v>
      </c>
      <c r="T3170">
        <v>472.43876549769578</v>
      </c>
      <c r="U3170">
        <v>4</v>
      </c>
      <c r="V3170">
        <v>0.46259689922480618</v>
      </c>
      <c r="W3170">
        <v>1</v>
      </c>
      <c r="X3170">
        <v>0.46259689922480618</v>
      </c>
      <c r="Y3170">
        <v>747</v>
      </c>
      <c r="Z3170">
        <v>441.03921887407779</v>
      </c>
      <c r="AA3170">
        <v>198</v>
      </c>
      <c r="AB3170">
        <v>332</v>
      </c>
      <c r="AC3170">
        <v>536</v>
      </c>
      <c r="AD3170">
        <v>26.35</v>
      </c>
      <c r="AE3170">
        <v>542</v>
      </c>
      <c r="AF3170">
        <v>15</v>
      </c>
      <c r="AG3170">
        <v>174</v>
      </c>
      <c r="AH3170">
        <v>129</v>
      </c>
      <c r="AI3170">
        <v>2.77</v>
      </c>
      <c r="AJ3170">
        <v>32.1</v>
      </c>
      <c r="AK3170">
        <v>23.8</v>
      </c>
      <c r="AL3170">
        <v>-20.149403999999951</v>
      </c>
      <c r="AM3170">
        <v>-44.91080895147438</v>
      </c>
      <c r="AN3170">
        <v>-20.149403999999951</v>
      </c>
      <c r="AO3170">
        <v>-44.91080895147438</v>
      </c>
      <c r="AP3170">
        <v>-20.149349000000001</v>
      </c>
      <c r="AQ3170">
        <v>-44.910784</v>
      </c>
      <c r="AR3170">
        <v>6.6547592699416382</v>
      </c>
      <c r="AS3170" t="s">
        <v>65</v>
      </c>
      <c r="AT3170">
        <v>1</v>
      </c>
      <c r="AU3170" t="s">
        <v>75</v>
      </c>
      <c r="AV3170" t="s">
        <v>76</v>
      </c>
      <c r="AW3170" t="s">
        <v>60</v>
      </c>
      <c r="AX3170" t="s">
        <v>68</v>
      </c>
      <c r="AY3170" t="s">
        <v>69</v>
      </c>
      <c r="AZ3170" t="b">
        <v>1</v>
      </c>
    </row>
    <row r="3171" spans="1:52" x14ac:dyDescent="0.3">
      <c r="A3171" t="s">
        <v>52</v>
      </c>
      <c r="B3171" t="s">
        <v>53</v>
      </c>
      <c r="C3171" t="s">
        <v>54</v>
      </c>
      <c r="D3171" t="s">
        <v>55</v>
      </c>
      <c r="E3171" t="s">
        <v>2163</v>
      </c>
      <c r="F3171" t="s">
        <v>1247</v>
      </c>
      <c r="G3171" t="s">
        <v>77</v>
      </c>
      <c r="H3171" t="s">
        <v>78</v>
      </c>
      <c r="I3171" t="s">
        <v>78</v>
      </c>
      <c r="J3171" t="s">
        <v>60</v>
      </c>
      <c r="K3171" t="s">
        <v>72</v>
      </c>
      <c r="L3171" t="s">
        <v>62</v>
      </c>
      <c r="M3171" t="s">
        <v>72</v>
      </c>
      <c r="N3171" t="s">
        <v>79</v>
      </c>
      <c r="O3171" t="s">
        <v>80</v>
      </c>
      <c r="P3171">
        <v>-20.147821</v>
      </c>
      <c r="Q3171">
        <v>-44.908887</v>
      </c>
      <c r="R3171" s="2" t="str">
        <f>HYPERLINK("https://www.google.com/maps?q=-20.1478210,-44.9088870","Abrir no Google Maps")</f>
        <v>Abrir no Google Maps</v>
      </c>
      <c r="S3171">
        <v>4</v>
      </c>
      <c r="T3171">
        <v>232.2893841532152</v>
      </c>
      <c r="U3171">
        <v>4</v>
      </c>
      <c r="V3171">
        <v>0.52293971924029725</v>
      </c>
      <c r="W3171">
        <v>1</v>
      </c>
      <c r="X3171">
        <v>0.52293971924029725</v>
      </c>
      <c r="Y3171">
        <v>747</v>
      </c>
      <c r="Z3171">
        <v>195.3668648953757</v>
      </c>
      <c r="AA3171">
        <v>198</v>
      </c>
      <c r="AB3171">
        <v>332</v>
      </c>
      <c r="AC3171">
        <v>536</v>
      </c>
      <c r="AD3171">
        <v>26.35</v>
      </c>
      <c r="AE3171">
        <v>542</v>
      </c>
      <c r="AF3171">
        <v>15</v>
      </c>
      <c r="AG3171">
        <v>174</v>
      </c>
      <c r="AH3171">
        <v>129</v>
      </c>
      <c r="AI3171">
        <v>2.77</v>
      </c>
      <c r="AJ3171">
        <v>32.1</v>
      </c>
      <c r="AK3171">
        <v>23.8</v>
      </c>
      <c r="AL3171">
        <v>-20.147802849999952</v>
      </c>
      <c r="AM3171">
        <v>-44.908989919229477</v>
      </c>
      <c r="AN3171">
        <v>-20.147802849999952</v>
      </c>
      <c r="AO3171">
        <v>-44.908989919229491</v>
      </c>
      <c r="AP3171">
        <v>-20.147821</v>
      </c>
      <c r="AQ3171">
        <v>-44.908887</v>
      </c>
      <c r="AR3171">
        <v>10.944007761262529</v>
      </c>
      <c r="AS3171" t="s">
        <v>65</v>
      </c>
      <c r="AT3171">
        <v>1</v>
      </c>
      <c r="AU3171" t="s">
        <v>81</v>
      </c>
      <c r="AV3171" t="s">
        <v>82</v>
      </c>
      <c r="AW3171" t="s">
        <v>60</v>
      </c>
      <c r="AX3171" t="s">
        <v>68</v>
      </c>
      <c r="AY3171" t="s">
        <v>69</v>
      </c>
      <c r="AZ3171" t="b">
        <v>1</v>
      </c>
    </row>
    <row r="3172" spans="1:52" x14ac:dyDescent="0.3">
      <c r="A3172" t="s">
        <v>52</v>
      </c>
      <c r="B3172" t="s">
        <v>53</v>
      </c>
      <c r="C3172" t="s">
        <v>54</v>
      </c>
      <c r="D3172" t="s">
        <v>55</v>
      </c>
      <c r="E3172" t="s">
        <v>2163</v>
      </c>
      <c r="F3172" t="s">
        <v>1247</v>
      </c>
      <c r="G3172" t="s">
        <v>83</v>
      </c>
      <c r="H3172" t="s">
        <v>84</v>
      </c>
      <c r="I3172" t="s">
        <v>84</v>
      </c>
      <c r="J3172" t="s">
        <v>60</v>
      </c>
      <c r="K3172" t="s">
        <v>61</v>
      </c>
      <c r="L3172" t="s">
        <v>62</v>
      </c>
      <c r="M3172" t="s">
        <v>61</v>
      </c>
      <c r="N3172" t="s">
        <v>85</v>
      </c>
      <c r="O3172" t="s">
        <v>86</v>
      </c>
      <c r="P3172">
        <v>-20.149799000000002</v>
      </c>
      <c r="Q3172">
        <v>-44.906517000000001</v>
      </c>
      <c r="R3172" s="2" t="str">
        <f>HYPERLINK("https://www.google.com/maps?q=-20.1497990,-44.9065170","Abrir no Google Maps")</f>
        <v>Abrir no Google Maps</v>
      </c>
      <c r="S3172">
        <v>4</v>
      </c>
      <c r="T3172">
        <v>487.90051105537998</v>
      </c>
      <c r="U3172">
        <v>4</v>
      </c>
      <c r="V3172">
        <v>0.39968416031764448</v>
      </c>
      <c r="W3172">
        <v>1</v>
      </c>
      <c r="X3172">
        <v>0.39968416031764448</v>
      </c>
      <c r="Y3172">
        <v>747</v>
      </c>
      <c r="Z3172">
        <v>365.93785960107078</v>
      </c>
      <c r="AA3172">
        <v>198</v>
      </c>
      <c r="AB3172">
        <v>332</v>
      </c>
      <c r="AC3172">
        <v>536</v>
      </c>
      <c r="AD3172">
        <v>26.35</v>
      </c>
      <c r="AE3172">
        <v>542</v>
      </c>
      <c r="AF3172">
        <v>15</v>
      </c>
      <c r="AG3172">
        <v>174</v>
      </c>
      <c r="AH3172">
        <v>129</v>
      </c>
      <c r="AI3172">
        <v>2.77</v>
      </c>
      <c r="AJ3172">
        <v>32.1</v>
      </c>
      <c r="AK3172">
        <v>23.8</v>
      </c>
      <c r="AL3172">
        <v>-20.149879599999959</v>
      </c>
      <c r="AM3172">
        <v>-44.906746466068469</v>
      </c>
      <c r="AN3172">
        <v>-20.149879599999959</v>
      </c>
      <c r="AO3172">
        <v>-44.906746466068469</v>
      </c>
      <c r="AP3172">
        <v>-20.149799000000002</v>
      </c>
      <c r="AQ3172">
        <v>-44.906517000000001</v>
      </c>
      <c r="AR3172">
        <v>25.604276856970429</v>
      </c>
      <c r="AS3172" t="s">
        <v>65</v>
      </c>
      <c r="AT3172">
        <v>1</v>
      </c>
      <c r="AU3172" t="s">
        <v>87</v>
      </c>
      <c r="AV3172" t="s">
        <v>88</v>
      </c>
      <c r="AW3172" t="s">
        <v>60</v>
      </c>
      <c r="AX3172" t="s">
        <v>68</v>
      </c>
      <c r="AY3172" t="s">
        <v>69</v>
      </c>
      <c r="AZ3172" t="b">
        <v>1</v>
      </c>
    </row>
    <row r="3173" spans="1:52" x14ac:dyDescent="0.3">
      <c r="A3173" t="s">
        <v>52</v>
      </c>
      <c r="B3173" t="s">
        <v>53</v>
      </c>
      <c r="C3173" t="s">
        <v>54</v>
      </c>
      <c r="D3173" t="s">
        <v>55</v>
      </c>
      <c r="E3173" t="s">
        <v>2163</v>
      </c>
      <c r="F3173" t="s">
        <v>1247</v>
      </c>
      <c r="G3173" t="s">
        <v>89</v>
      </c>
      <c r="H3173" t="s">
        <v>90</v>
      </c>
      <c r="I3173" t="s">
        <v>90</v>
      </c>
      <c r="J3173" t="s">
        <v>60</v>
      </c>
      <c r="K3173" t="s">
        <v>72</v>
      </c>
      <c r="L3173" t="s">
        <v>62</v>
      </c>
      <c r="M3173" t="s">
        <v>72</v>
      </c>
      <c r="N3173" t="s">
        <v>91</v>
      </c>
      <c r="O3173" t="s">
        <v>92</v>
      </c>
      <c r="P3173">
        <v>-20.145848999999998</v>
      </c>
      <c r="Q3173">
        <v>-44.908419000000002</v>
      </c>
      <c r="R3173" s="2" t="str">
        <f>HYPERLINK("https://www.google.com/maps?q=-20.1458490,-44.9084190","Abrir no Google Maps")</f>
        <v>Abrir no Google Maps</v>
      </c>
      <c r="S3173">
        <v>4</v>
      </c>
      <c r="T3173">
        <v>0</v>
      </c>
      <c r="U3173">
        <v>4</v>
      </c>
      <c r="V3173">
        <v>0.45685077607334118</v>
      </c>
      <c r="W3173">
        <v>1</v>
      </c>
      <c r="X3173">
        <v>0.45685077607334118</v>
      </c>
      <c r="Y3173">
        <v>747</v>
      </c>
      <c r="Z3173">
        <v>136.08168502765241</v>
      </c>
      <c r="AA3173">
        <v>198</v>
      </c>
      <c r="AB3173">
        <v>332</v>
      </c>
      <c r="AC3173">
        <v>536</v>
      </c>
      <c r="AD3173">
        <v>26.35</v>
      </c>
      <c r="AE3173">
        <v>542</v>
      </c>
      <c r="AF3173">
        <v>15</v>
      </c>
      <c r="AG3173">
        <v>174</v>
      </c>
      <c r="AH3173">
        <v>129</v>
      </c>
      <c r="AI3173">
        <v>2.77</v>
      </c>
      <c r="AJ3173">
        <v>32.1</v>
      </c>
      <c r="AK3173">
        <v>23.8</v>
      </c>
      <c r="AL3173">
        <v>-20.14576979999995</v>
      </c>
      <c r="AM3173">
        <v>-44.908436775053183</v>
      </c>
      <c r="AN3173">
        <v>-20.14576979999995</v>
      </c>
      <c r="AO3173">
        <v>-44.908436775053183</v>
      </c>
      <c r="AP3173">
        <v>-20.145848999999998</v>
      </c>
      <c r="AQ3173">
        <v>-44.908419000000002</v>
      </c>
      <c r="AR3173">
        <v>9.0101247482327356</v>
      </c>
      <c r="AS3173" t="s">
        <v>65</v>
      </c>
      <c r="AT3173">
        <v>1</v>
      </c>
      <c r="AU3173" t="s">
        <v>93</v>
      </c>
      <c r="AV3173" t="s">
        <v>94</v>
      </c>
      <c r="AW3173" t="s">
        <v>60</v>
      </c>
      <c r="AX3173" t="s">
        <v>68</v>
      </c>
      <c r="AY3173" t="s">
        <v>69</v>
      </c>
      <c r="AZ3173" t="b">
        <v>1</v>
      </c>
    </row>
    <row r="3174" spans="1:52" x14ac:dyDescent="0.3">
      <c r="A3174" t="s">
        <v>52</v>
      </c>
      <c r="B3174" t="s">
        <v>53</v>
      </c>
      <c r="C3174" t="s">
        <v>54</v>
      </c>
      <c r="D3174" t="s">
        <v>55</v>
      </c>
      <c r="E3174" t="s">
        <v>2163</v>
      </c>
      <c r="F3174" t="s">
        <v>1247</v>
      </c>
      <c r="G3174" t="s">
        <v>95</v>
      </c>
      <c r="H3174" t="s">
        <v>96</v>
      </c>
      <c r="I3174" t="s">
        <v>96</v>
      </c>
      <c r="J3174" t="s">
        <v>60</v>
      </c>
      <c r="K3174" t="s">
        <v>72</v>
      </c>
      <c r="L3174" t="s">
        <v>62</v>
      </c>
      <c r="M3174" t="s">
        <v>72</v>
      </c>
      <c r="N3174" t="s">
        <v>97</v>
      </c>
      <c r="O3174" t="s">
        <v>98</v>
      </c>
      <c r="P3174">
        <v>-20.144062999999999</v>
      </c>
      <c r="Q3174">
        <v>-44.909627999999998</v>
      </c>
      <c r="R3174" s="2" t="str">
        <f>HYPERLINK("https://www.google.com/maps?q=-20.1440630,-44.9096280","Abrir no Google Maps")</f>
        <v>Abrir no Google Maps</v>
      </c>
      <c r="S3174">
        <v>4</v>
      </c>
      <c r="T3174">
        <v>205.27083326529291</v>
      </c>
      <c r="U3174">
        <v>4</v>
      </c>
      <c r="V3174">
        <v>0.43255240757210001</v>
      </c>
      <c r="W3174">
        <v>1</v>
      </c>
      <c r="X3174">
        <v>0.43255240757210001</v>
      </c>
      <c r="Y3174">
        <v>747</v>
      </c>
      <c r="Z3174">
        <v>336.75785483480968</v>
      </c>
      <c r="AA3174">
        <v>198</v>
      </c>
      <c r="AB3174">
        <v>332</v>
      </c>
      <c r="AC3174">
        <v>536</v>
      </c>
      <c r="AD3174">
        <v>26.35</v>
      </c>
      <c r="AE3174">
        <v>542</v>
      </c>
      <c r="AF3174">
        <v>15</v>
      </c>
      <c r="AG3174">
        <v>174</v>
      </c>
      <c r="AH3174">
        <v>129</v>
      </c>
      <c r="AI3174">
        <v>2.77</v>
      </c>
      <c r="AJ3174">
        <v>32.1</v>
      </c>
      <c r="AK3174">
        <v>23.8</v>
      </c>
      <c r="AL3174">
        <v>-20.144164099999951</v>
      </c>
      <c r="AM3174">
        <v>-44.909420167767642</v>
      </c>
      <c r="AN3174">
        <v>-20.144164099999951</v>
      </c>
      <c r="AO3174">
        <v>-44.909420167767642</v>
      </c>
      <c r="AP3174">
        <v>-20.144062999999999</v>
      </c>
      <c r="AQ3174">
        <v>-44.909627999999998</v>
      </c>
      <c r="AR3174">
        <v>24.46321571724976</v>
      </c>
      <c r="AS3174" t="s">
        <v>65</v>
      </c>
      <c r="AT3174">
        <v>1</v>
      </c>
      <c r="AU3174" t="s">
        <v>99</v>
      </c>
      <c r="AV3174" t="s">
        <v>94</v>
      </c>
      <c r="AW3174" t="s">
        <v>60</v>
      </c>
      <c r="AX3174" t="s">
        <v>68</v>
      </c>
      <c r="AY3174" t="s">
        <v>69</v>
      </c>
      <c r="AZ3174" t="b">
        <v>1</v>
      </c>
    </row>
    <row r="3175" spans="1:52" x14ac:dyDescent="0.3">
      <c r="A3175" t="s">
        <v>52</v>
      </c>
      <c r="B3175" t="s">
        <v>53</v>
      </c>
      <c r="C3175" t="s">
        <v>54</v>
      </c>
      <c r="D3175" t="s">
        <v>55</v>
      </c>
      <c r="E3175" t="s">
        <v>2163</v>
      </c>
      <c r="F3175" t="s">
        <v>1247</v>
      </c>
      <c r="G3175" t="s">
        <v>100</v>
      </c>
      <c r="H3175" t="s">
        <v>101</v>
      </c>
      <c r="I3175" t="s">
        <v>101</v>
      </c>
      <c r="J3175" t="s">
        <v>60</v>
      </c>
      <c r="K3175" t="s">
        <v>61</v>
      </c>
      <c r="L3175" t="s">
        <v>62</v>
      </c>
      <c r="M3175" t="s">
        <v>61</v>
      </c>
      <c r="N3175" t="s">
        <v>102</v>
      </c>
      <c r="O3175" t="s">
        <v>103</v>
      </c>
      <c r="P3175">
        <v>-20.151098999999999</v>
      </c>
      <c r="Q3175">
        <v>-44.909699000000003</v>
      </c>
      <c r="R3175" s="2" t="str">
        <f>HYPERLINK("https://www.google.com/maps?q=-20.1510990,-44.9096990","Abrir no Google Maps")</f>
        <v>Abrir no Google Maps</v>
      </c>
      <c r="S3175">
        <v>4</v>
      </c>
      <c r="T3175">
        <v>628.5023128813533</v>
      </c>
      <c r="U3175">
        <v>4</v>
      </c>
      <c r="V3175">
        <v>0.59250744047619042</v>
      </c>
      <c r="W3175">
        <v>1</v>
      </c>
      <c r="X3175">
        <v>0.59250744047619042</v>
      </c>
      <c r="Y3175">
        <v>747</v>
      </c>
      <c r="Z3175">
        <v>563.16456625265948</v>
      </c>
      <c r="AA3175">
        <v>198</v>
      </c>
      <c r="AB3175">
        <v>332</v>
      </c>
      <c r="AC3175">
        <v>536</v>
      </c>
      <c r="AD3175">
        <v>26.35</v>
      </c>
      <c r="AE3175">
        <v>542</v>
      </c>
      <c r="AF3175">
        <v>15</v>
      </c>
      <c r="AG3175">
        <v>174</v>
      </c>
      <c r="AH3175">
        <v>129</v>
      </c>
      <c r="AI3175">
        <v>2.77</v>
      </c>
      <c r="AJ3175">
        <v>32.1</v>
      </c>
      <c r="AK3175">
        <v>23.8</v>
      </c>
      <c r="AL3175">
        <v>-20.151307349999971</v>
      </c>
      <c r="AM3175">
        <v>-44.909772836123523</v>
      </c>
      <c r="AN3175">
        <v>-20.151307349999971</v>
      </c>
      <c r="AO3175">
        <v>-44.909772836123523</v>
      </c>
      <c r="AP3175">
        <v>-20.151098999999999</v>
      </c>
      <c r="AQ3175">
        <v>-44.909699000000003</v>
      </c>
      <c r="AR3175">
        <v>24.443417349564811</v>
      </c>
      <c r="AS3175" t="s">
        <v>65</v>
      </c>
      <c r="AT3175">
        <v>1</v>
      </c>
      <c r="AU3175" t="s">
        <v>104</v>
      </c>
      <c r="AV3175" t="s">
        <v>105</v>
      </c>
      <c r="AW3175" t="s">
        <v>60</v>
      </c>
      <c r="AX3175" t="s">
        <v>68</v>
      </c>
      <c r="AY3175" t="s">
        <v>69</v>
      </c>
      <c r="AZ3175" t="b">
        <v>1</v>
      </c>
    </row>
    <row r="3176" spans="1:52" x14ac:dyDescent="0.3">
      <c r="A3176" t="s">
        <v>52</v>
      </c>
      <c r="B3176" t="s">
        <v>53</v>
      </c>
      <c r="C3176" t="s">
        <v>54</v>
      </c>
      <c r="D3176" t="s">
        <v>55</v>
      </c>
      <c r="E3176" t="s">
        <v>2163</v>
      </c>
      <c r="F3176" t="s">
        <v>1247</v>
      </c>
      <c r="G3176" t="s">
        <v>100</v>
      </c>
      <c r="H3176" t="s">
        <v>106</v>
      </c>
      <c r="I3176" t="s">
        <v>106</v>
      </c>
      <c r="J3176" t="s">
        <v>60</v>
      </c>
      <c r="K3176" t="s">
        <v>61</v>
      </c>
      <c r="L3176" t="s">
        <v>62</v>
      </c>
      <c r="M3176" t="s">
        <v>61</v>
      </c>
      <c r="N3176" t="s">
        <v>102</v>
      </c>
      <c r="O3176" t="s">
        <v>103</v>
      </c>
      <c r="P3176">
        <v>-20.151107</v>
      </c>
      <c r="Q3176">
        <v>-44.908918</v>
      </c>
      <c r="R3176" s="2" t="str">
        <f>HYPERLINK("https://www.google.com/maps?q=-20.1511070,-44.9089180","Abrir no Google Maps")</f>
        <v>Abrir no Google Maps</v>
      </c>
      <c r="S3176">
        <v>4</v>
      </c>
      <c r="T3176">
        <v>615.86400245321579</v>
      </c>
      <c r="U3176">
        <v>4</v>
      </c>
      <c r="V3176">
        <v>0.6778687522913357</v>
      </c>
      <c r="W3176">
        <v>0.85</v>
      </c>
      <c r="X3176">
        <v>0.57618843944763531</v>
      </c>
      <c r="Y3176">
        <v>747</v>
      </c>
      <c r="Z3176">
        <v>535.34543763764702</v>
      </c>
      <c r="AA3176">
        <v>198</v>
      </c>
      <c r="AB3176">
        <v>332</v>
      </c>
      <c r="AC3176">
        <v>536</v>
      </c>
      <c r="AD3176">
        <v>26.35</v>
      </c>
      <c r="AE3176">
        <v>542</v>
      </c>
      <c r="AF3176">
        <v>15</v>
      </c>
      <c r="AG3176">
        <v>174</v>
      </c>
      <c r="AH3176">
        <v>129</v>
      </c>
      <c r="AI3176">
        <v>2.77</v>
      </c>
      <c r="AJ3176">
        <v>32.1</v>
      </c>
      <c r="AK3176">
        <v>23.8</v>
      </c>
      <c r="AL3176">
        <v>-20.151307349999971</v>
      </c>
      <c r="AM3176">
        <v>-44.909024234051429</v>
      </c>
      <c r="AN3176">
        <v>-20.151307349999971</v>
      </c>
      <c r="AO3176">
        <v>-44.909024234051429</v>
      </c>
      <c r="AP3176">
        <v>-20.151107</v>
      </c>
      <c r="AQ3176">
        <v>-44.908918</v>
      </c>
      <c r="AR3176">
        <v>24.91340747371116</v>
      </c>
      <c r="AS3176" t="s">
        <v>65</v>
      </c>
      <c r="AT3176">
        <v>1</v>
      </c>
      <c r="AU3176" t="s">
        <v>107</v>
      </c>
      <c r="AV3176" t="s">
        <v>105</v>
      </c>
      <c r="AW3176" t="s">
        <v>60</v>
      </c>
      <c r="AX3176" t="s">
        <v>68</v>
      </c>
      <c r="AY3176" t="s">
        <v>69</v>
      </c>
      <c r="AZ3176" t="b">
        <v>1</v>
      </c>
    </row>
    <row r="3177" spans="1:52" x14ac:dyDescent="0.3">
      <c r="A3177" t="s">
        <v>52</v>
      </c>
      <c r="B3177" t="s">
        <v>53</v>
      </c>
      <c r="C3177" t="s">
        <v>54</v>
      </c>
      <c r="D3177" t="s">
        <v>55</v>
      </c>
      <c r="E3177" t="s">
        <v>2163</v>
      </c>
      <c r="F3177" t="s">
        <v>1247</v>
      </c>
      <c r="G3177" t="s">
        <v>108</v>
      </c>
      <c r="H3177" t="s">
        <v>109</v>
      </c>
      <c r="I3177" t="s">
        <v>109</v>
      </c>
      <c r="J3177" t="s">
        <v>60</v>
      </c>
      <c r="K3177" t="s">
        <v>110</v>
      </c>
      <c r="L3177" t="s">
        <v>62</v>
      </c>
      <c r="M3177" t="s">
        <v>110</v>
      </c>
      <c r="N3177" t="s">
        <v>111</v>
      </c>
      <c r="O3177" t="s">
        <v>112</v>
      </c>
      <c r="P3177">
        <v>-20.122233999999999</v>
      </c>
      <c r="Q3177">
        <v>-44.909194999999997</v>
      </c>
      <c r="R3177" s="2" t="str">
        <f>HYPERLINK("https://www.google.com/maps?q=-20.1222340,-44.9091950","Abrir no Google Maps")</f>
        <v>Abrir no Google Maps</v>
      </c>
      <c r="S3177">
        <v>4</v>
      </c>
      <c r="T3177">
        <v>1171.396020763932</v>
      </c>
      <c r="U3177">
        <v>4</v>
      </c>
      <c r="V3177">
        <v>0.49810402684563748</v>
      </c>
      <c r="W3177">
        <v>0.85</v>
      </c>
      <c r="X3177">
        <v>0.42338842281879191</v>
      </c>
      <c r="Y3177">
        <v>567</v>
      </c>
      <c r="Z3177">
        <v>1238.711234283244</v>
      </c>
      <c r="AA3177">
        <v>198</v>
      </c>
      <c r="AB3177">
        <v>332</v>
      </c>
      <c r="AC3177">
        <v>536</v>
      </c>
      <c r="AD3177">
        <v>26.35</v>
      </c>
      <c r="AE3177">
        <v>542</v>
      </c>
      <c r="AF3177">
        <v>15</v>
      </c>
      <c r="AG3177">
        <v>174</v>
      </c>
      <c r="AH3177">
        <v>129</v>
      </c>
      <c r="AI3177">
        <v>2.77</v>
      </c>
      <c r="AJ3177">
        <v>32.1</v>
      </c>
      <c r="AK3177">
        <v>23.8</v>
      </c>
      <c r="AL3177">
        <v>-20.121881249999941</v>
      </c>
      <c r="AM3177">
        <v>-44.909273766094323</v>
      </c>
      <c r="AN3177">
        <v>-20.121881249999941</v>
      </c>
      <c r="AO3177">
        <v>-44.909273766094323</v>
      </c>
      <c r="AP3177">
        <v>-20.122233999999999</v>
      </c>
      <c r="AQ3177">
        <v>-44.909194999999997</v>
      </c>
      <c r="AR3177">
        <v>40.12192930593006</v>
      </c>
      <c r="AS3177" t="s">
        <v>65</v>
      </c>
      <c r="AT3177">
        <v>1</v>
      </c>
      <c r="AU3177" t="s">
        <v>113</v>
      </c>
      <c r="AV3177" t="s">
        <v>114</v>
      </c>
      <c r="AW3177" t="s">
        <v>60</v>
      </c>
      <c r="AX3177" t="s">
        <v>68</v>
      </c>
      <c r="AY3177" t="s">
        <v>69</v>
      </c>
      <c r="AZ3177" t="b">
        <v>1</v>
      </c>
    </row>
    <row r="3178" spans="1:52" x14ac:dyDescent="0.3">
      <c r="A3178" t="s">
        <v>52</v>
      </c>
      <c r="B3178" t="s">
        <v>53</v>
      </c>
      <c r="C3178" t="s">
        <v>54</v>
      </c>
      <c r="D3178" t="s">
        <v>55</v>
      </c>
      <c r="E3178" t="s">
        <v>2163</v>
      </c>
      <c r="F3178" t="s">
        <v>1247</v>
      </c>
      <c r="G3178" t="s">
        <v>198</v>
      </c>
      <c r="H3178" t="s">
        <v>199</v>
      </c>
      <c r="I3178" t="s">
        <v>199</v>
      </c>
      <c r="J3178" t="s">
        <v>60</v>
      </c>
      <c r="K3178" t="s">
        <v>200</v>
      </c>
      <c r="L3178" t="s">
        <v>62</v>
      </c>
      <c r="M3178" t="s">
        <v>200</v>
      </c>
      <c r="N3178" t="s">
        <v>201</v>
      </c>
      <c r="O3178" t="s">
        <v>202</v>
      </c>
      <c r="P3178">
        <v>-20.122433000000001</v>
      </c>
      <c r="Q3178">
        <v>-44.897013999999999</v>
      </c>
      <c r="R3178" s="2" t="str">
        <f>HYPERLINK("https://www.google.com/maps?q=-20.1224330,-44.8970140","Abrir no Google Maps")</f>
        <v>Abrir no Google Maps</v>
      </c>
      <c r="S3178">
        <v>4</v>
      </c>
      <c r="T3178">
        <v>616.04759279207849</v>
      </c>
      <c r="U3178">
        <v>4</v>
      </c>
      <c r="V3178">
        <v>0.4782007962262888</v>
      </c>
      <c r="W3178">
        <v>0.85</v>
      </c>
      <c r="X3178">
        <v>0.4064706767923455</v>
      </c>
      <c r="Y3178">
        <v>567</v>
      </c>
      <c r="Z3178">
        <v>655.51024138861465</v>
      </c>
      <c r="AA3178">
        <v>198</v>
      </c>
      <c r="AB3178">
        <v>332</v>
      </c>
      <c r="AC3178">
        <v>536</v>
      </c>
      <c r="AD3178">
        <v>26.35</v>
      </c>
      <c r="AE3178">
        <v>542</v>
      </c>
      <c r="AF3178">
        <v>15</v>
      </c>
      <c r="AG3178">
        <v>174</v>
      </c>
      <c r="AH3178">
        <v>129</v>
      </c>
      <c r="AI3178">
        <v>2.77</v>
      </c>
      <c r="AJ3178">
        <v>32.1</v>
      </c>
      <c r="AK3178">
        <v>23.8</v>
      </c>
      <c r="AL3178">
        <v>-20.122144949999949</v>
      </c>
      <c r="AM3178">
        <v>-44.896761973125983</v>
      </c>
      <c r="AN3178">
        <v>-20.122144949999949</v>
      </c>
      <c r="AO3178">
        <v>-44.896761973125983</v>
      </c>
      <c r="AP3178">
        <v>-20.122433000000001</v>
      </c>
      <c r="AQ3178">
        <v>-44.897013999999999</v>
      </c>
      <c r="AR3178">
        <v>41.499066772735389</v>
      </c>
      <c r="AS3178" t="s">
        <v>65</v>
      </c>
      <c r="AT3178">
        <v>1</v>
      </c>
      <c r="AU3178" t="s">
        <v>203</v>
      </c>
      <c r="AV3178" t="s">
        <v>204</v>
      </c>
      <c r="AW3178" t="s">
        <v>60</v>
      </c>
      <c r="AX3178" t="s">
        <v>68</v>
      </c>
      <c r="AY3178" t="s">
        <v>69</v>
      </c>
      <c r="AZ3178" t="b">
        <v>1</v>
      </c>
    </row>
    <row r="3179" spans="1:52" x14ac:dyDescent="0.3">
      <c r="A3179" t="s">
        <v>52</v>
      </c>
      <c r="B3179" t="s">
        <v>53</v>
      </c>
      <c r="C3179" t="s">
        <v>54</v>
      </c>
      <c r="D3179" t="s">
        <v>55</v>
      </c>
      <c r="E3179" t="s">
        <v>2163</v>
      </c>
      <c r="F3179" t="s">
        <v>1247</v>
      </c>
      <c r="G3179" t="s">
        <v>205</v>
      </c>
      <c r="H3179" t="s">
        <v>206</v>
      </c>
      <c r="I3179" t="s">
        <v>206</v>
      </c>
      <c r="J3179" t="s">
        <v>60</v>
      </c>
      <c r="K3179" t="s">
        <v>207</v>
      </c>
      <c r="L3179" t="s">
        <v>62</v>
      </c>
      <c r="M3179" t="s">
        <v>207</v>
      </c>
      <c r="N3179" t="s">
        <v>208</v>
      </c>
      <c r="O3179" t="s">
        <v>209</v>
      </c>
      <c r="P3179">
        <v>-20.117533999999999</v>
      </c>
      <c r="Q3179">
        <v>-44.892943000000002</v>
      </c>
      <c r="R3179" s="2" t="str">
        <f>HYPERLINK("https://www.google.com/maps?q=-20.1175340,-44.8929430","Abrir no Google Maps")</f>
        <v>Abrir no Google Maps</v>
      </c>
      <c r="S3179">
        <v>4</v>
      </c>
      <c r="T3179">
        <v>601.98486688021592</v>
      </c>
      <c r="U3179">
        <v>4</v>
      </c>
      <c r="V3179">
        <v>0.48760330578512401</v>
      </c>
      <c r="W3179">
        <v>0.85</v>
      </c>
      <c r="X3179">
        <v>0.4144628099173554</v>
      </c>
      <c r="Y3179">
        <v>567</v>
      </c>
      <c r="Z3179">
        <v>574.59225706016446</v>
      </c>
      <c r="AA3179">
        <v>198</v>
      </c>
      <c r="AB3179">
        <v>332</v>
      </c>
      <c r="AC3179">
        <v>536</v>
      </c>
      <c r="AD3179">
        <v>26.35</v>
      </c>
      <c r="AE3179">
        <v>542</v>
      </c>
      <c r="AF3179">
        <v>15</v>
      </c>
      <c r="AG3179">
        <v>174</v>
      </c>
      <c r="AH3179">
        <v>129</v>
      </c>
      <c r="AI3179">
        <v>2.77</v>
      </c>
      <c r="AJ3179">
        <v>32.1</v>
      </c>
      <c r="AK3179">
        <v>23.8</v>
      </c>
      <c r="AL3179">
        <v>-20.11671494999996</v>
      </c>
      <c r="AM3179">
        <v>-44.89352717833448</v>
      </c>
      <c r="AN3179">
        <v>-20.11671494999996</v>
      </c>
      <c r="AO3179">
        <v>-44.89352717833448</v>
      </c>
      <c r="AP3179">
        <v>-20.117533999999999</v>
      </c>
      <c r="AQ3179">
        <v>-44.892943000000002</v>
      </c>
      <c r="AR3179">
        <v>109.7357164799156</v>
      </c>
      <c r="AS3179" t="s">
        <v>65</v>
      </c>
      <c r="AT3179">
        <v>1</v>
      </c>
      <c r="AU3179" t="s">
        <v>210</v>
      </c>
      <c r="AV3179" t="s">
        <v>211</v>
      </c>
      <c r="AW3179" t="s">
        <v>60</v>
      </c>
      <c r="AX3179" t="s">
        <v>68</v>
      </c>
      <c r="AY3179" t="s">
        <v>69</v>
      </c>
      <c r="AZ3179" t="b">
        <v>1</v>
      </c>
    </row>
    <row r="3180" spans="1:52" x14ac:dyDescent="0.3">
      <c r="A3180" t="s">
        <v>52</v>
      </c>
      <c r="B3180" t="s">
        <v>53</v>
      </c>
      <c r="C3180" t="s">
        <v>54</v>
      </c>
      <c r="D3180" t="s">
        <v>55</v>
      </c>
      <c r="E3180" t="s">
        <v>2163</v>
      </c>
      <c r="F3180" t="s">
        <v>1247</v>
      </c>
      <c r="G3180" t="s">
        <v>115</v>
      </c>
      <c r="H3180" t="s">
        <v>116</v>
      </c>
      <c r="I3180" t="s">
        <v>116</v>
      </c>
      <c r="J3180" t="s">
        <v>60</v>
      </c>
      <c r="K3180" t="s">
        <v>117</v>
      </c>
      <c r="L3180" t="s">
        <v>62</v>
      </c>
      <c r="M3180" t="s">
        <v>117</v>
      </c>
      <c r="N3180" t="s">
        <v>118</v>
      </c>
      <c r="O3180" t="s">
        <v>119</v>
      </c>
      <c r="P3180">
        <v>-20.116992</v>
      </c>
      <c r="Q3180">
        <v>-44.899355</v>
      </c>
      <c r="R3180" s="2" t="str">
        <f>HYPERLINK("https://www.google.com/maps?q=-20.1169920,-44.8993550","Abrir no Google Maps")</f>
        <v>Abrir no Google Maps</v>
      </c>
      <c r="S3180">
        <v>4</v>
      </c>
      <c r="T3180">
        <v>0</v>
      </c>
      <c r="U3180">
        <v>4</v>
      </c>
      <c r="V3180">
        <v>0.41483416277703927</v>
      </c>
      <c r="W3180">
        <v>1</v>
      </c>
      <c r="X3180">
        <v>0.41483416277703927</v>
      </c>
      <c r="Y3180">
        <v>567</v>
      </c>
      <c r="Z3180">
        <v>54.913678078353321</v>
      </c>
      <c r="AA3180">
        <v>198</v>
      </c>
      <c r="AB3180">
        <v>332</v>
      </c>
      <c r="AC3180">
        <v>536</v>
      </c>
      <c r="AD3180">
        <v>26.35</v>
      </c>
      <c r="AE3180">
        <v>542</v>
      </c>
      <c r="AF3180">
        <v>15</v>
      </c>
      <c r="AG3180">
        <v>174</v>
      </c>
      <c r="AH3180">
        <v>129</v>
      </c>
      <c r="AI3180">
        <v>2.77</v>
      </c>
      <c r="AJ3180">
        <v>32.1</v>
      </c>
      <c r="AK3180">
        <v>23.8</v>
      </c>
      <c r="AL3180">
        <v>-20.117107749999949</v>
      </c>
      <c r="AM3180">
        <v>-44.899271226243108</v>
      </c>
      <c r="AN3180">
        <v>-20.117107749999949</v>
      </c>
      <c r="AO3180">
        <v>-44.899271226243108</v>
      </c>
      <c r="AP3180">
        <v>-20.116992</v>
      </c>
      <c r="AQ3180">
        <v>-44.899355</v>
      </c>
      <c r="AR3180">
        <v>15.579196044083419</v>
      </c>
      <c r="AS3180" t="s">
        <v>65</v>
      </c>
      <c r="AT3180">
        <v>1</v>
      </c>
      <c r="AU3180" t="s">
        <v>120</v>
      </c>
      <c r="AV3180" t="s">
        <v>121</v>
      </c>
      <c r="AW3180" t="s">
        <v>60</v>
      </c>
      <c r="AX3180" t="s">
        <v>68</v>
      </c>
      <c r="AY3180" t="s">
        <v>69</v>
      </c>
      <c r="AZ3180" t="b">
        <v>1</v>
      </c>
    </row>
    <row r="3181" spans="1:52" x14ac:dyDescent="0.3">
      <c r="A3181" t="s">
        <v>52</v>
      </c>
      <c r="B3181" t="s">
        <v>53</v>
      </c>
      <c r="C3181" t="s">
        <v>54</v>
      </c>
      <c r="D3181" t="s">
        <v>55</v>
      </c>
      <c r="E3181" t="s">
        <v>2163</v>
      </c>
      <c r="F3181" t="s">
        <v>1247</v>
      </c>
      <c r="G3181" t="s">
        <v>122</v>
      </c>
      <c r="H3181" t="s">
        <v>123</v>
      </c>
      <c r="I3181" t="s">
        <v>123</v>
      </c>
      <c r="J3181" t="s">
        <v>60</v>
      </c>
      <c r="K3181" t="s">
        <v>117</v>
      </c>
      <c r="L3181" t="s">
        <v>62</v>
      </c>
      <c r="M3181" t="s">
        <v>117</v>
      </c>
      <c r="N3181" t="s">
        <v>124</v>
      </c>
      <c r="O3181" t="s">
        <v>125</v>
      </c>
      <c r="P3181">
        <v>-20.11853</v>
      </c>
      <c r="Q3181">
        <v>-44.896925000000003</v>
      </c>
      <c r="R3181" s="2" t="str">
        <f>HYPERLINK("https://www.google.com/maps?q=-20.1185300,-44.8969250","Abrir no Google Maps")</f>
        <v>Abrir no Google Maps</v>
      </c>
      <c r="S3181">
        <v>4</v>
      </c>
      <c r="T3181">
        <v>325.32255721093247</v>
      </c>
      <c r="U3181">
        <v>4</v>
      </c>
      <c r="V3181">
        <v>0.42441848142849559</v>
      </c>
      <c r="W3181">
        <v>1</v>
      </c>
      <c r="X3181">
        <v>0.42441848142849559</v>
      </c>
      <c r="Y3181">
        <v>567</v>
      </c>
      <c r="Z3181">
        <v>306.04423478678871</v>
      </c>
      <c r="AA3181">
        <v>198</v>
      </c>
      <c r="AB3181">
        <v>332</v>
      </c>
      <c r="AC3181">
        <v>536</v>
      </c>
      <c r="AD3181">
        <v>26.35</v>
      </c>
      <c r="AE3181">
        <v>542</v>
      </c>
      <c r="AF3181">
        <v>15</v>
      </c>
      <c r="AG3181">
        <v>174</v>
      </c>
      <c r="AH3181">
        <v>129</v>
      </c>
      <c r="AI3181">
        <v>2.77</v>
      </c>
      <c r="AJ3181">
        <v>32.1</v>
      </c>
      <c r="AK3181">
        <v>23.8</v>
      </c>
      <c r="AL3181">
        <v>-20.118682499999949</v>
      </c>
      <c r="AM3181">
        <v>-44.896643089287927</v>
      </c>
      <c r="AN3181">
        <v>-20.118682499999949</v>
      </c>
      <c r="AO3181">
        <v>-44.896643089287927</v>
      </c>
      <c r="AP3181">
        <v>-20.11853</v>
      </c>
      <c r="AQ3181">
        <v>-44.896925000000003</v>
      </c>
      <c r="AR3181">
        <v>34.007698996886518</v>
      </c>
      <c r="AS3181" t="s">
        <v>65</v>
      </c>
      <c r="AT3181">
        <v>1</v>
      </c>
      <c r="AU3181" t="s">
        <v>126</v>
      </c>
      <c r="AV3181" t="s">
        <v>121</v>
      </c>
      <c r="AW3181" t="s">
        <v>60</v>
      </c>
      <c r="AX3181" t="s">
        <v>68</v>
      </c>
      <c r="AY3181" t="s">
        <v>69</v>
      </c>
      <c r="AZ3181" t="b">
        <v>1</v>
      </c>
    </row>
    <row r="3182" spans="1:52" x14ac:dyDescent="0.3">
      <c r="A3182" t="s">
        <v>52</v>
      </c>
      <c r="B3182" t="s">
        <v>53</v>
      </c>
      <c r="C3182" t="s">
        <v>54</v>
      </c>
      <c r="D3182" t="s">
        <v>55</v>
      </c>
      <c r="E3182" t="s">
        <v>2163</v>
      </c>
      <c r="F3182" t="s">
        <v>1247</v>
      </c>
      <c r="G3182" t="s">
        <v>191</v>
      </c>
      <c r="H3182" t="s">
        <v>192</v>
      </c>
      <c r="I3182" t="s">
        <v>192</v>
      </c>
      <c r="J3182" t="s">
        <v>60</v>
      </c>
      <c r="K3182" t="s">
        <v>193</v>
      </c>
      <c r="L3182" t="s">
        <v>62</v>
      </c>
      <c r="M3182" t="s">
        <v>193</v>
      </c>
      <c r="N3182" t="s">
        <v>194</v>
      </c>
      <c r="O3182" t="s">
        <v>195</v>
      </c>
      <c r="P3182">
        <v>-20.143266000000001</v>
      </c>
      <c r="Q3182">
        <v>-44.912075000000002</v>
      </c>
      <c r="R3182" s="2" t="str">
        <f>HYPERLINK("https://www.google.com/maps?q=-20.1432660,-44.9120750","Abrir no Google Maps")</f>
        <v>Abrir no Google Maps</v>
      </c>
      <c r="S3182">
        <v>4</v>
      </c>
      <c r="T3182">
        <v>467.04339396175408</v>
      </c>
      <c r="U3182">
        <v>3</v>
      </c>
      <c r="V3182">
        <v>0.37317060670126201</v>
      </c>
      <c r="W3182">
        <v>1</v>
      </c>
      <c r="X3182">
        <v>0.37317060670126201</v>
      </c>
      <c r="Y3182">
        <v>747</v>
      </c>
      <c r="Z3182">
        <v>585.1742452866996</v>
      </c>
      <c r="AA3182">
        <v>198</v>
      </c>
      <c r="AB3182">
        <v>332</v>
      </c>
      <c r="AC3182">
        <v>536</v>
      </c>
      <c r="AD3182">
        <v>26.35</v>
      </c>
      <c r="AE3182">
        <v>542</v>
      </c>
      <c r="AF3182">
        <v>15</v>
      </c>
      <c r="AG3182">
        <v>174</v>
      </c>
      <c r="AH3182">
        <v>129</v>
      </c>
      <c r="AI3182">
        <v>2.77</v>
      </c>
      <c r="AJ3182">
        <v>32.1</v>
      </c>
      <c r="AK3182">
        <v>23.8</v>
      </c>
      <c r="AL3182">
        <v>-20.143307949999951</v>
      </c>
      <c r="AM3182">
        <v>-44.912066629431067</v>
      </c>
      <c r="AN3182">
        <v>-20.143307949999951</v>
      </c>
      <c r="AO3182">
        <v>-44.912066629431067</v>
      </c>
      <c r="AP3182">
        <v>-20.143266000000001</v>
      </c>
      <c r="AQ3182">
        <v>-44.912075000000002</v>
      </c>
      <c r="AR3182">
        <v>4.751108024498329</v>
      </c>
      <c r="AS3182" t="s">
        <v>65</v>
      </c>
      <c r="AT3182">
        <v>1</v>
      </c>
      <c r="AU3182" t="s">
        <v>196</v>
      </c>
      <c r="AV3182" t="s">
        <v>197</v>
      </c>
      <c r="AW3182" t="s">
        <v>60</v>
      </c>
      <c r="AX3182" t="s">
        <v>68</v>
      </c>
      <c r="AY3182" t="s">
        <v>69</v>
      </c>
      <c r="AZ3182" t="b">
        <v>1</v>
      </c>
    </row>
    <row r="3183" spans="1:52" x14ac:dyDescent="0.3">
      <c r="A3183" t="s">
        <v>52</v>
      </c>
      <c r="B3183" t="s">
        <v>53</v>
      </c>
      <c r="C3183" t="s">
        <v>54</v>
      </c>
      <c r="D3183" t="s">
        <v>55</v>
      </c>
      <c r="E3183" t="s">
        <v>2163</v>
      </c>
      <c r="F3183" t="s">
        <v>1247</v>
      </c>
      <c r="G3183" t="s">
        <v>83</v>
      </c>
      <c r="H3183" t="s">
        <v>1253</v>
      </c>
      <c r="I3183" t="s">
        <v>1253</v>
      </c>
      <c r="J3183" t="s">
        <v>60</v>
      </c>
      <c r="K3183" t="s">
        <v>72</v>
      </c>
      <c r="L3183" t="s">
        <v>62</v>
      </c>
      <c r="M3183" t="s">
        <v>72</v>
      </c>
      <c r="N3183" t="s">
        <v>1254</v>
      </c>
      <c r="O3183" t="s">
        <v>1255</v>
      </c>
      <c r="P3183">
        <v>-20.147164</v>
      </c>
      <c r="Q3183">
        <v>-44.905259000000001</v>
      </c>
      <c r="R3183" s="2" t="str">
        <f>HYPERLINK("https://www.google.com/maps?q=-20.1471640,-44.9052590","Abrir no Google Maps")</f>
        <v>Abrir no Google Maps</v>
      </c>
      <c r="S3183">
        <v>4</v>
      </c>
      <c r="T3183">
        <v>364.08569180502712</v>
      </c>
      <c r="U3183">
        <v>3</v>
      </c>
      <c r="V3183">
        <v>0.3810819342803845</v>
      </c>
      <c r="W3183">
        <v>0.85</v>
      </c>
      <c r="X3183">
        <v>0.3239196441383268</v>
      </c>
      <c r="Y3183">
        <v>747</v>
      </c>
      <c r="Z3183">
        <v>309.89238988435022</v>
      </c>
      <c r="AA3183">
        <v>198</v>
      </c>
      <c r="AB3183">
        <v>332</v>
      </c>
      <c r="AC3183">
        <v>536</v>
      </c>
      <c r="AD3183">
        <v>26.35</v>
      </c>
      <c r="AE3183">
        <v>542</v>
      </c>
      <c r="AF3183">
        <v>15</v>
      </c>
      <c r="AG3183">
        <v>174</v>
      </c>
      <c r="AH3183">
        <v>129</v>
      </c>
      <c r="AI3183">
        <v>2.77</v>
      </c>
      <c r="AJ3183">
        <v>32.1</v>
      </c>
      <c r="AK3183">
        <v>23.8</v>
      </c>
      <c r="AL3183">
        <v>-20.14718674999995</v>
      </c>
      <c r="AM3183">
        <v>-44.905292621565764</v>
      </c>
      <c r="AN3183">
        <v>-20.147186749999939</v>
      </c>
      <c r="AO3183">
        <v>-44.905292621565764</v>
      </c>
      <c r="AP3183">
        <v>-20.147164</v>
      </c>
      <c r="AQ3183">
        <v>-44.905259000000001</v>
      </c>
      <c r="AR3183">
        <v>4.3312880650984971</v>
      </c>
      <c r="AS3183" t="s">
        <v>65</v>
      </c>
      <c r="AT3183">
        <v>1</v>
      </c>
      <c r="AU3183" t="s">
        <v>1256</v>
      </c>
      <c r="AV3183" t="s">
        <v>1257</v>
      </c>
      <c r="AW3183" t="s">
        <v>60</v>
      </c>
      <c r="AX3183" t="s">
        <v>68</v>
      </c>
      <c r="AY3183" t="s">
        <v>69</v>
      </c>
      <c r="AZ3183" t="b">
        <v>1</v>
      </c>
    </row>
    <row r="3184" spans="1:52" x14ac:dyDescent="0.3">
      <c r="A3184" t="s">
        <v>52</v>
      </c>
      <c r="B3184" t="s">
        <v>53</v>
      </c>
      <c r="C3184" t="s">
        <v>54</v>
      </c>
      <c r="D3184" t="s">
        <v>55</v>
      </c>
      <c r="E3184" t="s">
        <v>2163</v>
      </c>
      <c r="F3184" t="s">
        <v>1247</v>
      </c>
      <c r="G3184" t="s">
        <v>1258</v>
      </c>
      <c r="H3184" t="s">
        <v>1259</v>
      </c>
      <c r="I3184" t="s">
        <v>1259</v>
      </c>
      <c r="J3184" t="s">
        <v>60</v>
      </c>
      <c r="K3184" t="s">
        <v>905</v>
      </c>
      <c r="L3184" t="s">
        <v>62</v>
      </c>
      <c r="M3184" t="s">
        <v>905</v>
      </c>
      <c r="N3184" t="s">
        <v>1260</v>
      </c>
      <c r="O3184" t="s">
        <v>628</v>
      </c>
      <c r="P3184">
        <v>-20.113569999999999</v>
      </c>
      <c r="Q3184">
        <v>-44.897216</v>
      </c>
      <c r="R3184" s="2" t="str">
        <f>HYPERLINK("https://www.google.com/maps?q=-20.1135700,-44.8972160","Abrir no Google Maps")</f>
        <v>Abrir no Google Maps</v>
      </c>
      <c r="S3184">
        <v>4</v>
      </c>
      <c r="T3184">
        <v>418.54368277643368</v>
      </c>
      <c r="U3184">
        <v>2</v>
      </c>
      <c r="V3184">
        <v>0.35020164094006401</v>
      </c>
      <c r="W3184">
        <v>0.85</v>
      </c>
      <c r="X3184">
        <v>0.29767139479905441</v>
      </c>
      <c r="Y3184">
        <v>567</v>
      </c>
      <c r="Z3184">
        <v>315.02989622191018</v>
      </c>
      <c r="AA3184">
        <v>198</v>
      </c>
      <c r="AB3184">
        <v>332</v>
      </c>
      <c r="AC3184">
        <v>536</v>
      </c>
      <c r="AD3184">
        <v>26.35</v>
      </c>
      <c r="AE3184">
        <v>542</v>
      </c>
      <c r="AF3184">
        <v>15</v>
      </c>
      <c r="AG3184">
        <v>174</v>
      </c>
      <c r="AH3184">
        <v>129</v>
      </c>
      <c r="AI3184">
        <v>2.77</v>
      </c>
      <c r="AJ3184">
        <v>32.1</v>
      </c>
      <c r="AK3184">
        <v>23.8</v>
      </c>
      <c r="AL3184">
        <v>-20.113750149999959</v>
      </c>
      <c r="AM3184">
        <v>-44.897427949999937</v>
      </c>
      <c r="AN3184">
        <v>-20.113750149999959</v>
      </c>
      <c r="AO3184">
        <v>-44.897427949999937</v>
      </c>
      <c r="AP3184">
        <v>-20.113569999999999</v>
      </c>
      <c r="AQ3184">
        <v>-44.897216</v>
      </c>
      <c r="AR3184">
        <v>29.883644534822711</v>
      </c>
      <c r="AS3184" t="s">
        <v>65</v>
      </c>
      <c r="AT3184">
        <v>1</v>
      </c>
      <c r="AU3184" t="s">
        <v>1261</v>
      </c>
      <c r="AV3184" t="s">
        <v>1262</v>
      </c>
      <c r="AW3184" t="s">
        <v>60</v>
      </c>
      <c r="AX3184" t="s">
        <v>68</v>
      </c>
      <c r="AY3184" t="s">
        <v>69</v>
      </c>
      <c r="AZ3184" t="b">
        <v>1</v>
      </c>
    </row>
    <row r="3185" spans="1:52" x14ac:dyDescent="0.3">
      <c r="A3185" t="s">
        <v>52</v>
      </c>
      <c r="B3185" t="s">
        <v>53</v>
      </c>
      <c r="C3185" t="s">
        <v>54</v>
      </c>
      <c r="D3185" t="s">
        <v>55</v>
      </c>
      <c r="E3185" t="s">
        <v>2163</v>
      </c>
      <c r="F3185" t="s">
        <v>1247</v>
      </c>
      <c r="G3185" t="s">
        <v>1263</v>
      </c>
      <c r="H3185" t="s">
        <v>1264</v>
      </c>
      <c r="I3185" t="s">
        <v>1264</v>
      </c>
      <c r="J3185" t="s">
        <v>60</v>
      </c>
      <c r="K3185" t="s">
        <v>1265</v>
      </c>
      <c r="L3185" t="s">
        <v>62</v>
      </c>
      <c r="M3185" t="s">
        <v>1265</v>
      </c>
      <c r="N3185" t="s">
        <v>1266</v>
      </c>
      <c r="O3185" t="s">
        <v>1267</v>
      </c>
      <c r="P3185">
        <v>-20.116924000000001</v>
      </c>
      <c r="Q3185">
        <v>-44.906587000000002</v>
      </c>
      <c r="R3185" s="2" t="str">
        <f>HYPERLINK("https://www.google.com/maps?q=-20.1169240,-44.9065870","Abrir no Google Maps")</f>
        <v>Abrir no Google Maps</v>
      </c>
      <c r="S3185">
        <v>4</v>
      </c>
      <c r="T3185">
        <v>745.10453961787857</v>
      </c>
      <c r="U3185">
        <v>2</v>
      </c>
      <c r="V3185">
        <v>0.362330623306233</v>
      </c>
      <c r="W3185">
        <v>0.85</v>
      </c>
      <c r="X3185">
        <v>0.30798102981029812</v>
      </c>
      <c r="Y3185">
        <v>567</v>
      </c>
      <c r="Z3185">
        <v>816.44456345071217</v>
      </c>
      <c r="AA3185">
        <v>198</v>
      </c>
      <c r="AB3185">
        <v>332</v>
      </c>
      <c r="AC3185">
        <v>536</v>
      </c>
      <c r="AD3185">
        <v>26.35</v>
      </c>
      <c r="AE3185">
        <v>542</v>
      </c>
      <c r="AF3185">
        <v>15</v>
      </c>
      <c r="AG3185">
        <v>174</v>
      </c>
      <c r="AH3185">
        <v>129</v>
      </c>
      <c r="AI3185">
        <v>2.77</v>
      </c>
      <c r="AJ3185">
        <v>32.1</v>
      </c>
      <c r="AK3185">
        <v>23.8</v>
      </c>
      <c r="AL3185">
        <v>-20.117279149999941</v>
      </c>
      <c r="AM3185">
        <v>-44.906397211815133</v>
      </c>
      <c r="AN3185">
        <v>-20.117279149999941</v>
      </c>
      <c r="AO3185">
        <v>-44.906397211815133</v>
      </c>
      <c r="AP3185">
        <v>-20.116924000000001</v>
      </c>
      <c r="AQ3185">
        <v>-44.906587000000002</v>
      </c>
      <c r="AR3185">
        <v>44.233430660980403</v>
      </c>
      <c r="AS3185" t="s">
        <v>65</v>
      </c>
      <c r="AT3185">
        <v>1</v>
      </c>
      <c r="AU3185" t="s">
        <v>1268</v>
      </c>
      <c r="AV3185" t="s">
        <v>1269</v>
      </c>
      <c r="AW3185" t="s">
        <v>60</v>
      </c>
      <c r="AX3185" t="s">
        <v>68</v>
      </c>
      <c r="AY3185" t="s">
        <v>69</v>
      </c>
      <c r="AZ3185" t="b">
        <v>1</v>
      </c>
    </row>
    <row r="3186" spans="1:52" x14ac:dyDescent="0.3">
      <c r="A3186" t="s">
        <v>52</v>
      </c>
      <c r="B3186" t="s">
        <v>53</v>
      </c>
      <c r="C3186" t="s">
        <v>54</v>
      </c>
      <c r="D3186" t="s">
        <v>55</v>
      </c>
      <c r="E3186" t="s">
        <v>2163</v>
      </c>
      <c r="F3186" t="s">
        <v>1247</v>
      </c>
      <c r="G3186" t="s">
        <v>1248</v>
      </c>
      <c r="H3186" t="s">
        <v>1249</v>
      </c>
      <c r="I3186" t="s">
        <v>1249</v>
      </c>
      <c r="J3186" t="s">
        <v>60</v>
      </c>
      <c r="K3186" t="s">
        <v>61</v>
      </c>
      <c r="L3186" t="s">
        <v>62</v>
      </c>
      <c r="M3186" t="s">
        <v>61</v>
      </c>
      <c r="N3186" t="s">
        <v>1250</v>
      </c>
      <c r="O3186" t="s">
        <v>202</v>
      </c>
      <c r="P3186">
        <v>-20.145337999999999</v>
      </c>
      <c r="Q3186">
        <v>-44.906260000000003</v>
      </c>
      <c r="R3186" s="2" t="str">
        <f>HYPERLINK("https://www.google.com/maps?q=-20.1453380,-44.9062600","Abrir no Google Maps")</f>
        <v>Abrir no Google Maps</v>
      </c>
      <c r="S3186">
        <v>4</v>
      </c>
      <c r="T3186">
        <v>231.8105263092443</v>
      </c>
      <c r="U3186">
        <v>1</v>
      </c>
      <c r="V3186">
        <v>0.32700778152987808</v>
      </c>
      <c r="W3186">
        <v>0.85</v>
      </c>
      <c r="X3186">
        <v>0.27795661430039642</v>
      </c>
      <c r="Y3186">
        <v>747</v>
      </c>
      <c r="Z3186">
        <v>210.09098260239841</v>
      </c>
      <c r="AA3186">
        <v>198</v>
      </c>
      <c r="AB3186">
        <v>332</v>
      </c>
      <c r="AC3186">
        <v>536</v>
      </c>
      <c r="AD3186">
        <v>26.35</v>
      </c>
      <c r="AE3186">
        <v>542</v>
      </c>
      <c r="AF3186">
        <v>15</v>
      </c>
      <c r="AG3186">
        <v>174</v>
      </c>
      <c r="AH3186">
        <v>129</v>
      </c>
      <c r="AI3186">
        <v>2.77</v>
      </c>
      <c r="AJ3186">
        <v>32.1</v>
      </c>
      <c r="AK3186">
        <v>23.8</v>
      </c>
      <c r="AL3186">
        <v>-20.14545934999995</v>
      </c>
      <c r="AM3186">
        <v>-44.906243174283489</v>
      </c>
      <c r="AN3186">
        <v>-20.14545934999995</v>
      </c>
      <c r="AO3186">
        <v>-44.906243174283489</v>
      </c>
      <c r="AP3186">
        <v>-20.145337999999999</v>
      </c>
      <c r="AQ3186">
        <v>-44.906260000000003</v>
      </c>
      <c r="AR3186">
        <v>13.622651392262521</v>
      </c>
      <c r="AS3186" t="s">
        <v>65</v>
      </c>
      <c r="AT3186">
        <v>1</v>
      </c>
      <c r="AU3186" t="s">
        <v>1251</v>
      </c>
      <c r="AV3186" t="s">
        <v>1252</v>
      </c>
      <c r="AW3186" t="s">
        <v>60</v>
      </c>
      <c r="AX3186" t="s">
        <v>68</v>
      </c>
      <c r="AY3186" t="s">
        <v>69</v>
      </c>
      <c r="AZ3186" t="b">
        <v>1</v>
      </c>
    </row>
    <row r="3187" spans="1:52" x14ac:dyDescent="0.3">
      <c r="A3187" t="s">
        <v>52</v>
      </c>
      <c r="B3187" t="s">
        <v>53</v>
      </c>
      <c r="C3187" t="s">
        <v>54</v>
      </c>
      <c r="D3187" t="s">
        <v>55</v>
      </c>
      <c r="E3187" t="s">
        <v>2163</v>
      </c>
      <c r="F3187" t="s">
        <v>1247</v>
      </c>
      <c r="G3187" t="s">
        <v>1127</v>
      </c>
      <c r="H3187" t="s">
        <v>1270</v>
      </c>
      <c r="I3187" t="s">
        <v>1270</v>
      </c>
      <c r="J3187" t="s">
        <v>60</v>
      </c>
      <c r="K3187" t="s">
        <v>200</v>
      </c>
      <c r="L3187" t="s">
        <v>62</v>
      </c>
      <c r="M3187" t="s">
        <v>200</v>
      </c>
      <c r="N3187" t="s">
        <v>1271</v>
      </c>
      <c r="O3187" t="s">
        <v>315</v>
      </c>
      <c r="P3187">
        <v>-20.123483</v>
      </c>
      <c r="Q3187">
        <v>-44.904159</v>
      </c>
      <c r="R3187" s="2" t="str">
        <f>HYPERLINK("https://www.google.com/maps?q=-20.1234830,-44.9041590","Abrir no Google Maps")</f>
        <v>Abrir no Google Maps</v>
      </c>
      <c r="S3187">
        <v>4</v>
      </c>
      <c r="T3187">
        <v>1046.2792913459141</v>
      </c>
      <c r="U3187">
        <v>1</v>
      </c>
      <c r="V3187">
        <v>0.2</v>
      </c>
      <c r="W3187">
        <v>0.85</v>
      </c>
      <c r="X3187">
        <v>0.17</v>
      </c>
      <c r="Y3187">
        <v>567</v>
      </c>
      <c r="Z3187">
        <v>1072.1273144328541</v>
      </c>
      <c r="AA3187">
        <v>198</v>
      </c>
      <c r="AB3187">
        <v>332</v>
      </c>
      <c r="AC3187">
        <v>536</v>
      </c>
      <c r="AD3187">
        <v>26.35</v>
      </c>
      <c r="AE3187">
        <v>542</v>
      </c>
      <c r="AF3187">
        <v>15</v>
      </c>
      <c r="AG3187">
        <v>174</v>
      </c>
      <c r="AH3187">
        <v>129</v>
      </c>
      <c r="AI3187">
        <v>2.77</v>
      </c>
      <c r="AJ3187">
        <v>32.1</v>
      </c>
      <c r="AK3187">
        <v>23.8</v>
      </c>
      <c r="AL3187">
        <v>-20.12548399999994</v>
      </c>
      <c r="AM3187">
        <v>-44.903913990586467</v>
      </c>
      <c r="AN3187">
        <v>-20.12548399999994</v>
      </c>
      <c r="AO3187">
        <v>-44.903913990586467</v>
      </c>
      <c r="AP3187">
        <v>-20.123483</v>
      </c>
      <c r="AQ3187">
        <v>-44.904159</v>
      </c>
      <c r="AR3187">
        <v>224.218591682908</v>
      </c>
      <c r="AS3187" t="s">
        <v>65</v>
      </c>
      <c r="AT3187">
        <v>1</v>
      </c>
      <c r="AU3187" t="s">
        <v>1272</v>
      </c>
      <c r="AV3187" t="s">
        <v>1273</v>
      </c>
      <c r="AW3187" t="s">
        <v>60</v>
      </c>
      <c r="AX3187" t="s">
        <v>68</v>
      </c>
      <c r="AY3187" t="s">
        <v>69</v>
      </c>
      <c r="AZ3187" t="b">
        <v>1</v>
      </c>
    </row>
    <row r="3188" spans="1:52" x14ac:dyDescent="0.3">
      <c r="A3188" t="s">
        <v>52</v>
      </c>
      <c r="B3188" t="s">
        <v>53</v>
      </c>
      <c r="C3188" t="s">
        <v>54</v>
      </c>
      <c r="D3188" t="s">
        <v>55</v>
      </c>
      <c r="E3188" t="s">
        <v>2163</v>
      </c>
      <c r="F3188" t="s">
        <v>1247</v>
      </c>
      <c r="G3188" t="s">
        <v>386</v>
      </c>
      <c r="H3188" t="s">
        <v>387</v>
      </c>
      <c r="I3188" t="s">
        <v>387</v>
      </c>
      <c r="J3188" t="s">
        <v>60</v>
      </c>
      <c r="K3188" t="s">
        <v>388</v>
      </c>
      <c r="L3188" t="s">
        <v>62</v>
      </c>
      <c r="M3188" t="s">
        <v>388</v>
      </c>
      <c r="N3188" t="s">
        <v>389</v>
      </c>
      <c r="O3188" t="s">
        <v>357</v>
      </c>
      <c r="P3188">
        <v>-20.161041999999998</v>
      </c>
      <c r="Q3188">
        <v>-44.901242000000003</v>
      </c>
      <c r="R3188" s="2" t="str">
        <f>HYPERLINK("https://www.google.com/maps?q=-20.1610420,-44.9012420","Abrir no Google Maps")</f>
        <v>Abrir no Google Maps</v>
      </c>
      <c r="S3188">
        <v>3</v>
      </c>
      <c r="T3188">
        <v>440.22183232279212</v>
      </c>
      <c r="U3188">
        <v>4</v>
      </c>
      <c r="V3188">
        <v>0.40939666939666941</v>
      </c>
      <c r="W3188">
        <v>1</v>
      </c>
      <c r="X3188">
        <v>0.40939666939666941</v>
      </c>
      <c r="Y3188">
        <v>729</v>
      </c>
      <c r="Z3188">
        <v>398.48306829302379</v>
      </c>
      <c r="AA3188">
        <v>198</v>
      </c>
      <c r="AB3188">
        <v>332</v>
      </c>
      <c r="AC3188">
        <v>536</v>
      </c>
      <c r="AD3188">
        <v>26.35</v>
      </c>
      <c r="AE3188">
        <v>542</v>
      </c>
      <c r="AF3188">
        <v>15</v>
      </c>
      <c r="AG3188">
        <v>174</v>
      </c>
      <c r="AH3188">
        <v>129</v>
      </c>
      <c r="AI3188">
        <v>2.77</v>
      </c>
      <c r="AJ3188">
        <v>32.1</v>
      </c>
      <c r="AK3188">
        <v>23.8</v>
      </c>
      <c r="AL3188">
        <v>-20.16176629999995</v>
      </c>
      <c r="AM3188">
        <v>-44.901582787827898</v>
      </c>
      <c r="AN3188">
        <v>-20.16176629999995</v>
      </c>
      <c r="AO3188">
        <v>-44.901582787827898</v>
      </c>
      <c r="AP3188">
        <v>-20.161041999999998</v>
      </c>
      <c r="AQ3188">
        <v>-44.901242000000003</v>
      </c>
      <c r="AR3188">
        <v>88.143369157892835</v>
      </c>
      <c r="AS3188" t="s">
        <v>65</v>
      </c>
      <c r="AT3188">
        <v>1</v>
      </c>
      <c r="AU3188" t="s">
        <v>390</v>
      </c>
      <c r="AV3188" t="s">
        <v>391</v>
      </c>
      <c r="AW3188" t="s">
        <v>60</v>
      </c>
      <c r="AX3188" t="s">
        <v>68</v>
      </c>
      <c r="AY3188" t="s">
        <v>69</v>
      </c>
      <c r="AZ3188" t="b">
        <v>1</v>
      </c>
    </row>
    <row r="3189" spans="1:52" x14ac:dyDescent="0.3">
      <c r="A3189" t="s">
        <v>52</v>
      </c>
      <c r="B3189" t="s">
        <v>53</v>
      </c>
      <c r="C3189" t="s">
        <v>54</v>
      </c>
      <c r="D3189" t="s">
        <v>55</v>
      </c>
      <c r="E3189" t="s">
        <v>2163</v>
      </c>
      <c r="F3189" t="s">
        <v>1247</v>
      </c>
      <c r="G3189" t="s">
        <v>392</v>
      </c>
      <c r="H3189" t="s">
        <v>393</v>
      </c>
      <c r="I3189" t="s">
        <v>393</v>
      </c>
      <c r="J3189" t="s">
        <v>60</v>
      </c>
      <c r="K3189" t="s">
        <v>388</v>
      </c>
      <c r="L3189" t="s">
        <v>62</v>
      </c>
      <c r="M3189" t="s">
        <v>388</v>
      </c>
      <c r="N3189" t="s">
        <v>394</v>
      </c>
      <c r="O3189" t="s">
        <v>395</v>
      </c>
      <c r="P3189">
        <v>-20.158066999999999</v>
      </c>
      <c r="Q3189">
        <v>-44.908164999999997</v>
      </c>
      <c r="R3189" s="2" t="str">
        <f>HYPERLINK("https://www.google.com/maps?q=-20.1580670,-44.9081650","Abrir no Google Maps")</f>
        <v>Abrir no Google Maps</v>
      </c>
      <c r="S3189">
        <v>3</v>
      </c>
      <c r="T3189">
        <v>666.74434317993041</v>
      </c>
      <c r="U3189">
        <v>4</v>
      </c>
      <c r="V3189">
        <v>0.40501769388761538</v>
      </c>
      <c r="W3189">
        <v>1</v>
      </c>
      <c r="X3189">
        <v>0.40501769388761538</v>
      </c>
      <c r="Y3189">
        <v>729</v>
      </c>
      <c r="Z3189">
        <v>612.4323328215396</v>
      </c>
      <c r="AA3189">
        <v>198</v>
      </c>
      <c r="AB3189">
        <v>332</v>
      </c>
      <c r="AC3189">
        <v>536</v>
      </c>
      <c r="AD3189">
        <v>26.35</v>
      </c>
      <c r="AE3189">
        <v>542</v>
      </c>
      <c r="AF3189">
        <v>15</v>
      </c>
      <c r="AG3189">
        <v>174</v>
      </c>
      <c r="AH3189">
        <v>129</v>
      </c>
      <c r="AI3189">
        <v>2.77</v>
      </c>
      <c r="AJ3189">
        <v>32.1</v>
      </c>
      <c r="AK3189">
        <v>23.8</v>
      </c>
      <c r="AL3189">
        <v>-20.158151449999959</v>
      </c>
      <c r="AM3189">
        <v>-44.908107718360938</v>
      </c>
      <c r="AN3189">
        <v>-20.158151449999959</v>
      </c>
      <c r="AO3189">
        <v>-44.908107718360938</v>
      </c>
      <c r="AP3189">
        <v>-20.158066999999999</v>
      </c>
      <c r="AQ3189">
        <v>-44.908164999999997</v>
      </c>
      <c r="AR3189">
        <v>11.14497345894574</v>
      </c>
      <c r="AS3189" t="s">
        <v>65</v>
      </c>
      <c r="AT3189">
        <v>1</v>
      </c>
      <c r="AU3189" t="s">
        <v>396</v>
      </c>
      <c r="AV3189" t="s">
        <v>397</v>
      </c>
      <c r="AW3189" t="s">
        <v>60</v>
      </c>
      <c r="AX3189" t="s">
        <v>68</v>
      </c>
      <c r="AY3189" t="s">
        <v>69</v>
      </c>
      <c r="AZ3189" t="b">
        <v>1</v>
      </c>
    </row>
    <row r="3190" spans="1:52" x14ac:dyDescent="0.3">
      <c r="A3190" t="s">
        <v>52</v>
      </c>
      <c r="B3190" t="s">
        <v>53</v>
      </c>
      <c r="C3190" t="s">
        <v>54</v>
      </c>
      <c r="D3190" t="s">
        <v>55</v>
      </c>
      <c r="E3190" t="s">
        <v>2163</v>
      </c>
      <c r="F3190" t="s">
        <v>1247</v>
      </c>
      <c r="G3190" t="s">
        <v>398</v>
      </c>
      <c r="H3190" t="s">
        <v>399</v>
      </c>
      <c r="I3190" t="s">
        <v>399</v>
      </c>
      <c r="J3190" t="s">
        <v>60</v>
      </c>
      <c r="K3190" t="s">
        <v>388</v>
      </c>
      <c r="L3190" t="s">
        <v>62</v>
      </c>
      <c r="M3190" t="s">
        <v>388</v>
      </c>
      <c r="N3190" t="s">
        <v>400</v>
      </c>
      <c r="O3190" t="s">
        <v>401</v>
      </c>
      <c r="P3190">
        <v>-20.160157000000002</v>
      </c>
      <c r="Q3190">
        <v>-44.904347999999999</v>
      </c>
      <c r="R3190" s="2" t="str">
        <f>HYPERLINK("https://www.google.com/maps?q=-20.1601570,-44.9043480","Abrir no Google Maps")</f>
        <v>Abrir no Google Maps</v>
      </c>
      <c r="S3190">
        <v>3</v>
      </c>
      <c r="T3190">
        <v>469.26088527154809</v>
      </c>
      <c r="U3190">
        <v>4</v>
      </c>
      <c r="V3190">
        <v>0.48580837428299167</v>
      </c>
      <c r="W3190">
        <v>1</v>
      </c>
      <c r="X3190">
        <v>0.48580837428299167</v>
      </c>
      <c r="Y3190">
        <v>729</v>
      </c>
      <c r="Z3190">
        <v>253.57832452309071</v>
      </c>
      <c r="AA3190">
        <v>198</v>
      </c>
      <c r="AB3190">
        <v>332</v>
      </c>
      <c r="AC3190">
        <v>536</v>
      </c>
      <c r="AD3190">
        <v>26.35</v>
      </c>
      <c r="AE3190">
        <v>542</v>
      </c>
      <c r="AF3190">
        <v>15</v>
      </c>
      <c r="AG3190">
        <v>174</v>
      </c>
      <c r="AH3190">
        <v>129</v>
      </c>
      <c r="AI3190">
        <v>2.77</v>
      </c>
      <c r="AJ3190">
        <v>32.1</v>
      </c>
      <c r="AK3190">
        <v>23.8</v>
      </c>
      <c r="AL3190">
        <v>-20.160007949999969</v>
      </c>
      <c r="AM3190">
        <v>-44.904396608560482</v>
      </c>
      <c r="AN3190">
        <v>-20.160007949999969</v>
      </c>
      <c r="AO3190">
        <v>-44.904396608560482</v>
      </c>
      <c r="AP3190">
        <v>-20.160157000000002</v>
      </c>
      <c r="AQ3190">
        <v>-44.904347999999999</v>
      </c>
      <c r="AR3190">
        <v>17.35237255387942</v>
      </c>
      <c r="AS3190" t="s">
        <v>65</v>
      </c>
      <c r="AT3190">
        <v>1</v>
      </c>
      <c r="AU3190" t="s">
        <v>402</v>
      </c>
      <c r="AV3190" t="s">
        <v>403</v>
      </c>
      <c r="AW3190" t="s">
        <v>60</v>
      </c>
      <c r="AX3190" t="s">
        <v>68</v>
      </c>
      <c r="AY3190" t="s">
        <v>69</v>
      </c>
      <c r="AZ3190" t="b">
        <v>1</v>
      </c>
    </row>
    <row r="3191" spans="1:52" x14ac:dyDescent="0.3">
      <c r="A3191" t="s">
        <v>52</v>
      </c>
      <c r="B3191" t="s">
        <v>53</v>
      </c>
      <c r="C3191" t="s">
        <v>54</v>
      </c>
      <c r="D3191" t="s">
        <v>55</v>
      </c>
      <c r="E3191" t="s">
        <v>2163</v>
      </c>
      <c r="F3191" t="s">
        <v>1247</v>
      </c>
      <c r="G3191" t="s">
        <v>404</v>
      </c>
      <c r="H3191" t="s">
        <v>405</v>
      </c>
      <c r="I3191" t="s">
        <v>405</v>
      </c>
      <c r="J3191" t="s">
        <v>60</v>
      </c>
      <c r="K3191" t="s">
        <v>388</v>
      </c>
      <c r="L3191" t="s">
        <v>62</v>
      </c>
      <c r="M3191" t="s">
        <v>388</v>
      </c>
      <c r="N3191" t="s">
        <v>406</v>
      </c>
      <c r="O3191" t="s">
        <v>407</v>
      </c>
      <c r="P3191">
        <v>-20.162780999999999</v>
      </c>
      <c r="Q3191">
        <v>-44.904437999999999</v>
      </c>
      <c r="R3191" s="2" t="str">
        <f>HYPERLINK("https://www.google.com/maps?q=-20.1627810,-44.9044380","Abrir no Google Maps")</f>
        <v>Abrir no Google Maps</v>
      </c>
      <c r="S3191">
        <v>3</v>
      </c>
      <c r="T3191">
        <v>681.0891377731482</v>
      </c>
      <c r="U3191">
        <v>4</v>
      </c>
      <c r="V3191">
        <v>0.46244546034723027</v>
      </c>
      <c r="W3191">
        <v>1</v>
      </c>
      <c r="X3191">
        <v>0.46244546034723027</v>
      </c>
      <c r="Y3191">
        <v>729</v>
      </c>
      <c r="Z3191">
        <v>564.17713687218622</v>
      </c>
      <c r="AA3191">
        <v>198</v>
      </c>
      <c r="AB3191">
        <v>332</v>
      </c>
      <c r="AC3191">
        <v>536</v>
      </c>
      <c r="AD3191">
        <v>26.35</v>
      </c>
      <c r="AE3191">
        <v>542</v>
      </c>
      <c r="AF3191">
        <v>15</v>
      </c>
      <c r="AG3191">
        <v>174</v>
      </c>
      <c r="AH3191">
        <v>129</v>
      </c>
      <c r="AI3191">
        <v>2.77</v>
      </c>
      <c r="AJ3191">
        <v>32.1</v>
      </c>
      <c r="AK3191">
        <v>23.8</v>
      </c>
      <c r="AL3191">
        <v>-20.16295434999995</v>
      </c>
      <c r="AM3191">
        <v>-44.904242686956152</v>
      </c>
      <c r="AN3191">
        <v>-20.16295434999995</v>
      </c>
      <c r="AO3191">
        <v>-44.904242686956152</v>
      </c>
      <c r="AP3191">
        <v>-20.162780999999999</v>
      </c>
      <c r="AQ3191">
        <v>-44.904437999999999</v>
      </c>
      <c r="AR3191">
        <v>28.088191280523411</v>
      </c>
      <c r="AS3191" t="s">
        <v>65</v>
      </c>
      <c r="AT3191">
        <v>1</v>
      </c>
      <c r="AU3191" t="s">
        <v>408</v>
      </c>
      <c r="AV3191" t="s">
        <v>409</v>
      </c>
      <c r="AW3191" t="s">
        <v>60</v>
      </c>
      <c r="AX3191" t="s">
        <v>68</v>
      </c>
      <c r="AY3191" t="s">
        <v>69</v>
      </c>
      <c r="AZ3191" t="b">
        <v>1</v>
      </c>
    </row>
    <row r="3192" spans="1:52" x14ac:dyDescent="0.3">
      <c r="A3192" t="s">
        <v>52</v>
      </c>
      <c r="B3192" t="s">
        <v>53</v>
      </c>
      <c r="C3192" t="s">
        <v>54</v>
      </c>
      <c r="D3192" t="s">
        <v>55</v>
      </c>
      <c r="E3192" t="s">
        <v>2163</v>
      </c>
      <c r="F3192" t="s">
        <v>1247</v>
      </c>
      <c r="G3192" t="s">
        <v>410</v>
      </c>
      <c r="H3192" t="s">
        <v>411</v>
      </c>
      <c r="I3192" t="s">
        <v>411</v>
      </c>
      <c r="J3192" t="s">
        <v>60</v>
      </c>
      <c r="K3192" t="s">
        <v>388</v>
      </c>
      <c r="L3192" t="s">
        <v>62</v>
      </c>
      <c r="M3192" t="s">
        <v>388</v>
      </c>
      <c r="N3192" t="s">
        <v>412</v>
      </c>
      <c r="O3192" t="s">
        <v>413</v>
      </c>
      <c r="P3192">
        <v>-20.161394000000001</v>
      </c>
      <c r="Q3192">
        <v>-44.906725999999999</v>
      </c>
      <c r="R3192" s="2" t="str">
        <f>HYPERLINK("https://www.google.com/maps?q=-20.1613940,-44.9067260","Abrir no Google Maps")</f>
        <v>Abrir no Google Maps</v>
      </c>
      <c r="S3192">
        <v>3</v>
      </c>
      <c r="T3192">
        <v>763.68157548493457</v>
      </c>
      <c r="U3192">
        <v>4</v>
      </c>
      <c r="V3192">
        <v>0.46043754727685321</v>
      </c>
      <c r="W3192">
        <v>1</v>
      </c>
      <c r="X3192">
        <v>0.46043754727685321</v>
      </c>
      <c r="Y3192">
        <v>729</v>
      </c>
      <c r="Z3192">
        <v>551.70379325948545</v>
      </c>
      <c r="AA3192">
        <v>198</v>
      </c>
      <c r="AB3192">
        <v>332</v>
      </c>
      <c r="AC3192">
        <v>536</v>
      </c>
      <c r="AD3192">
        <v>26.35</v>
      </c>
      <c r="AE3192">
        <v>542</v>
      </c>
      <c r="AF3192">
        <v>15</v>
      </c>
      <c r="AG3192">
        <v>174</v>
      </c>
      <c r="AH3192">
        <v>129</v>
      </c>
      <c r="AI3192">
        <v>2.77</v>
      </c>
      <c r="AJ3192">
        <v>32.1</v>
      </c>
      <c r="AK3192">
        <v>23.8</v>
      </c>
      <c r="AL3192">
        <v>-20.161371049999929</v>
      </c>
      <c r="AM3192">
        <v>-44.906816797310228</v>
      </c>
      <c r="AN3192">
        <v>-20.161371049999929</v>
      </c>
      <c r="AO3192">
        <v>-44.906816797310228</v>
      </c>
      <c r="AP3192">
        <v>-20.161394000000001</v>
      </c>
      <c r="AQ3192">
        <v>-44.906725999999999</v>
      </c>
      <c r="AR3192">
        <v>9.8261555662022495</v>
      </c>
      <c r="AS3192" t="s">
        <v>65</v>
      </c>
      <c r="AT3192">
        <v>1</v>
      </c>
      <c r="AU3192" t="s">
        <v>414</v>
      </c>
      <c r="AV3192" t="s">
        <v>415</v>
      </c>
      <c r="AW3192" t="s">
        <v>60</v>
      </c>
      <c r="AX3192" t="s">
        <v>68</v>
      </c>
      <c r="AY3192" t="s">
        <v>69</v>
      </c>
      <c r="AZ3192" t="b">
        <v>1</v>
      </c>
    </row>
    <row r="3193" spans="1:52" x14ac:dyDescent="0.3">
      <c r="A3193" t="s">
        <v>52</v>
      </c>
      <c r="B3193" t="s">
        <v>53</v>
      </c>
      <c r="C3193" t="s">
        <v>54</v>
      </c>
      <c r="D3193" t="s">
        <v>55</v>
      </c>
      <c r="E3193" t="s">
        <v>2163</v>
      </c>
      <c r="F3193" t="s">
        <v>1247</v>
      </c>
      <c r="G3193" t="s">
        <v>416</v>
      </c>
      <c r="H3193" t="s">
        <v>417</v>
      </c>
      <c r="I3193" t="s">
        <v>417</v>
      </c>
      <c r="J3193" t="s">
        <v>60</v>
      </c>
      <c r="K3193" t="s">
        <v>418</v>
      </c>
      <c r="L3193" t="s">
        <v>62</v>
      </c>
      <c r="M3193" t="s">
        <v>418</v>
      </c>
      <c r="N3193" t="s">
        <v>419</v>
      </c>
      <c r="O3193" t="s">
        <v>202</v>
      </c>
      <c r="P3193">
        <v>-20.169886000000002</v>
      </c>
      <c r="Q3193">
        <v>-44.913288000000001</v>
      </c>
      <c r="R3193" s="2" t="str">
        <f>HYPERLINK("https://www.google.com/maps?q=-20.1698860,-44.9132880","Abrir no Google Maps")</f>
        <v>Abrir no Google Maps</v>
      </c>
      <c r="S3193">
        <v>3</v>
      </c>
      <c r="T3193">
        <v>422.88733632898152</v>
      </c>
      <c r="U3193">
        <v>4</v>
      </c>
      <c r="V3193">
        <v>0.44069203877324009</v>
      </c>
      <c r="W3193">
        <v>1</v>
      </c>
      <c r="X3193">
        <v>0.44069203877324009</v>
      </c>
      <c r="Y3193">
        <v>723</v>
      </c>
      <c r="Z3193">
        <v>128.65003864232261</v>
      </c>
      <c r="AA3193">
        <v>198</v>
      </c>
      <c r="AB3193">
        <v>332</v>
      </c>
      <c r="AC3193">
        <v>536</v>
      </c>
      <c r="AD3193">
        <v>26.35</v>
      </c>
      <c r="AE3193">
        <v>542</v>
      </c>
      <c r="AF3193">
        <v>15</v>
      </c>
      <c r="AG3193">
        <v>174</v>
      </c>
      <c r="AH3193">
        <v>129</v>
      </c>
      <c r="AI3193">
        <v>2.77</v>
      </c>
      <c r="AJ3193">
        <v>32.1</v>
      </c>
      <c r="AK3193">
        <v>23.8</v>
      </c>
      <c r="AL3193">
        <v>-20.16970024999998</v>
      </c>
      <c r="AM3193">
        <v>-44.913502201257437</v>
      </c>
      <c r="AN3193">
        <v>-20.16970024999998</v>
      </c>
      <c r="AO3193">
        <v>-44.913502201257437</v>
      </c>
      <c r="AP3193">
        <v>-20.169886000000002</v>
      </c>
      <c r="AQ3193">
        <v>-44.913288000000001</v>
      </c>
      <c r="AR3193">
        <v>30.47208587597606</v>
      </c>
      <c r="AS3193" t="s">
        <v>65</v>
      </c>
      <c r="AT3193">
        <v>1</v>
      </c>
      <c r="AU3193" t="s">
        <v>420</v>
      </c>
      <c r="AV3193" t="s">
        <v>421</v>
      </c>
      <c r="AW3193" t="s">
        <v>60</v>
      </c>
      <c r="AX3193" t="s">
        <v>68</v>
      </c>
      <c r="AY3193" t="s">
        <v>69</v>
      </c>
      <c r="AZ3193" t="b">
        <v>1</v>
      </c>
    </row>
    <row r="3194" spans="1:52" x14ac:dyDescent="0.3">
      <c r="A3194" t="s">
        <v>52</v>
      </c>
      <c r="B3194" t="s">
        <v>53</v>
      </c>
      <c r="C3194" t="s">
        <v>54</v>
      </c>
      <c r="D3194" t="s">
        <v>55</v>
      </c>
      <c r="E3194" t="s">
        <v>2163</v>
      </c>
      <c r="F3194" t="s">
        <v>1247</v>
      </c>
      <c r="G3194" t="s">
        <v>1307</v>
      </c>
      <c r="H3194" t="s">
        <v>1308</v>
      </c>
      <c r="I3194" t="s">
        <v>1308</v>
      </c>
      <c r="J3194" t="s">
        <v>60</v>
      </c>
      <c r="K3194" t="s">
        <v>1302</v>
      </c>
      <c r="L3194" t="s">
        <v>62</v>
      </c>
      <c r="M3194" t="s">
        <v>1302</v>
      </c>
      <c r="N3194" t="s">
        <v>558</v>
      </c>
      <c r="O3194" t="s">
        <v>1309</v>
      </c>
      <c r="P3194">
        <v>-20.169051</v>
      </c>
      <c r="Q3194">
        <v>-44.910093000000003</v>
      </c>
      <c r="R3194" s="2" t="str">
        <f>HYPERLINK("https://www.google.com/maps?q=-20.1690510,-44.9100930","Abrir no Google Maps")</f>
        <v>Abrir no Google Maps</v>
      </c>
      <c r="S3194">
        <v>3</v>
      </c>
      <c r="T3194">
        <v>375.90504489887479</v>
      </c>
      <c r="U3194">
        <v>4</v>
      </c>
      <c r="V3194">
        <v>0.5368873199837555</v>
      </c>
      <c r="W3194">
        <v>0.85</v>
      </c>
      <c r="X3194">
        <v>0.45635422198619208</v>
      </c>
      <c r="Y3194">
        <v>723</v>
      </c>
      <c r="Z3194">
        <v>456.19893675176831</v>
      </c>
      <c r="AA3194">
        <v>198</v>
      </c>
      <c r="AB3194">
        <v>332</v>
      </c>
      <c r="AC3194">
        <v>536</v>
      </c>
      <c r="AD3194">
        <v>26.35</v>
      </c>
      <c r="AE3194">
        <v>542</v>
      </c>
      <c r="AF3194">
        <v>15</v>
      </c>
      <c r="AG3194">
        <v>174</v>
      </c>
      <c r="AH3194">
        <v>129</v>
      </c>
      <c r="AI3194">
        <v>2.77</v>
      </c>
      <c r="AJ3194">
        <v>32.1</v>
      </c>
      <c r="AK3194">
        <v>23.8</v>
      </c>
      <c r="AL3194">
        <v>-20.168810949999941</v>
      </c>
      <c r="AM3194">
        <v>-44.910156475447927</v>
      </c>
      <c r="AN3194">
        <v>-20.168810949999941</v>
      </c>
      <c r="AO3194">
        <v>-44.910156475447927</v>
      </c>
      <c r="AP3194">
        <v>-20.169051</v>
      </c>
      <c r="AQ3194">
        <v>-44.910093000000003</v>
      </c>
      <c r="AR3194">
        <v>27.533232396417059</v>
      </c>
      <c r="AS3194" t="s">
        <v>65</v>
      </c>
      <c r="AT3194">
        <v>1</v>
      </c>
      <c r="AU3194" t="s">
        <v>1310</v>
      </c>
      <c r="AV3194" t="s">
        <v>1311</v>
      </c>
      <c r="AW3194" t="s">
        <v>60</v>
      </c>
      <c r="AX3194" t="s">
        <v>68</v>
      </c>
      <c r="AY3194" t="s">
        <v>69</v>
      </c>
      <c r="AZ3194" t="b">
        <v>1</v>
      </c>
    </row>
    <row r="3195" spans="1:52" x14ac:dyDescent="0.3">
      <c r="A3195" t="s">
        <v>52</v>
      </c>
      <c r="B3195" t="s">
        <v>53</v>
      </c>
      <c r="C3195" t="s">
        <v>54</v>
      </c>
      <c r="D3195" t="s">
        <v>55</v>
      </c>
      <c r="E3195" t="s">
        <v>2163</v>
      </c>
      <c r="F3195" t="s">
        <v>1247</v>
      </c>
      <c r="G3195" t="s">
        <v>845</v>
      </c>
      <c r="H3195" t="s">
        <v>846</v>
      </c>
      <c r="I3195" t="s">
        <v>846</v>
      </c>
      <c r="J3195" t="s">
        <v>60</v>
      </c>
      <c r="K3195" t="s">
        <v>424</v>
      </c>
      <c r="L3195" t="s">
        <v>62</v>
      </c>
      <c r="M3195" t="s">
        <v>424</v>
      </c>
      <c r="N3195" t="s">
        <v>847</v>
      </c>
      <c r="O3195" t="s">
        <v>848</v>
      </c>
      <c r="P3195">
        <v>-20.175523999999999</v>
      </c>
      <c r="Q3195">
        <v>-44.918016999999999</v>
      </c>
      <c r="R3195" s="2" t="str">
        <f>HYPERLINK("https://www.google.com/maps?q=-20.1755240,-44.9180170","Abrir no Google Maps")</f>
        <v>Abrir no Google Maps</v>
      </c>
      <c r="S3195">
        <v>3</v>
      </c>
      <c r="T3195">
        <v>833.59191671824021</v>
      </c>
      <c r="U3195">
        <v>4</v>
      </c>
      <c r="V3195">
        <v>0.46382079459002529</v>
      </c>
      <c r="W3195">
        <v>0.85</v>
      </c>
      <c r="X3195">
        <v>0.3942476754015215</v>
      </c>
      <c r="Y3195">
        <v>723</v>
      </c>
      <c r="Z3195">
        <v>701.05790658871581</v>
      </c>
      <c r="AA3195">
        <v>198</v>
      </c>
      <c r="AB3195">
        <v>332</v>
      </c>
      <c r="AC3195">
        <v>536</v>
      </c>
      <c r="AD3195">
        <v>26.35</v>
      </c>
      <c r="AE3195">
        <v>542</v>
      </c>
      <c r="AF3195">
        <v>15</v>
      </c>
      <c r="AG3195">
        <v>174</v>
      </c>
      <c r="AH3195">
        <v>129</v>
      </c>
      <c r="AI3195">
        <v>2.77</v>
      </c>
      <c r="AJ3195">
        <v>32.1</v>
      </c>
      <c r="AK3195">
        <v>23.8</v>
      </c>
      <c r="AL3195">
        <v>-20.17533859999995</v>
      </c>
      <c r="AM3195">
        <v>-44.917689627873088</v>
      </c>
      <c r="AN3195">
        <v>-20.17533859999995</v>
      </c>
      <c r="AO3195">
        <v>-44.917689627873088</v>
      </c>
      <c r="AP3195">
        <v>-20.175523999999999</v>
      </c>
      <c r="AQ3195">
        <v>-44.918016999999999</v>
      </c>
      <c r="AR3195">
        <v>39.950898228213873</v>
      </c>
      <c r="AS3195" t="s">
        <v>65</v>
      </c>
      <c r="AT3195">
        <v>1</v>
      </c>
      <c r="AU3195" t="s">
        <v>849</v>
      </c>
      <c r="AV3195" t="s">
        <v>850</v>
      </c>
      <c r="AW3195" t="s">
        <v>60</v>
      </c>
      <c r="AX3195" t="s">
        <v>68</v>
      </c>
      <c r="AY3195" t="s">
        <v>69</v>
      </c>
      <c r="AZ3195" t="b">
        <v>1</v>
      </c>
    </row>
    <row r="3196" spans="1:52" x14ac:dyDescent="0.3">
      <c r="A3196" t="s">
        <v>52</v>
      </c>
      <c r="B3196" t="s">
        <v>53</v>
      </c>
      <c r="C3196" t="s">
        <v>54</v>
      </c>
      <c r="D3196" t="s">
        <v>55</v>
      </c>
      <c r="E3196" t="s">
        <v>2163</v>
      </c>
      <c r="F3196" t="s">
        <v>1247</v>
      </c>
      <c r="G3196" t="s">
        <v>429</v>
      </c>
      <c r="H3196" t="s">
        <v>430</v>
      </c>
      <c r="I3196" t="s">
        <v>430</v>
      </c>
      <c r="J3196" t="s">
        <v>60</v>
      </c>
      <c r="K3196" t="s">
        <v>431</v>
      </c>
      <c r="L3196" t="s">
        <v>62</v>
      </c>
      <c r="M3196" t="s">
        <v>431</v>
      </c>
      <c r="N3196" t="s">
        <v>432</v>
      </c>
      <c r="O3196" t="s">
        <v>315</v>
      </c>
      <c r="P3196">
        <v>-20.172698</v>
      </c>
      <c r="Q3196">
        <v>-44.923842</v>
      </c>
      <c r="R3196" s="2" t="str">
        <f>HYPERLINK("https://www.google.com/maps?q=-20.1726980,-44.9238420","Abrir no Google Maps")</f>
        <v>Abrir no Google Maps</v>
      </c>
      <c r="S3196">
        <v>3</v>
      </c>
      <c r="T3196">
        <v>1376.1843173402931</v>
      </c>
      <c r="U3196">
        <v>4</v>
      </c>
      <c r="V3196">
        <v>0.55659738075213272</v>
      </c>
      <c r="W3196">
        <v>0.85</v>
      </c>
      <c r="X3196">
        <v>0.47310777363931278</v>
      </c>
      <c r="Y3196">
        <v>723</v>
      </c>
      <c r="Z3196">
        <v>1101.340635002096</v>
      </c>
      <c r="AA3196">
        <v>198</v>
      </c>
      <c r="AB3196">
        <v>332</v>
      </c>
      <c r="AC3196">
        <v>536</v>
      </c>
      <c r="AD3196">
        <v>26.35</v>
      </c>
      <c r="AE3196">
        <v>542</v>
      </c>
      <c r="AF3196">
        <v>15</v>
      </c>
      <c r="AG3196">
        <v>174</v>
      </c>
      <c r="AH3196">
        <v>129</v>
      </c>
      <c r="AI3196">
        <v>2.77</v>
      </c>
      <c r="AJ3196">
        <v>32.1</v>
      </c>
      <c r="AK3196">
        <v>23.8</v>
      </c>
      <c r="AL3196">
        <v>-20.172942799999959</v>
      </c>
      <c r="AM3196">
        <v>-44.923585372665762</v>
      </c>
      <c r="AN3196">
        <v>-20.172942799999959</v>
      </c>
      <c r="AO3196">
        <v>-44.923585372665762</v>
      </c>
      <c r="AP3196">
        <v>-20.172698</v>
      </c>
      <c r="AQ3196">
        <v>-44.923842</v>
      </c>
      <c r="AR3196">
        <v>38.231981408478958</v>
      </c>
      <c r="AS3196" t="s">
        <v>65</v>
      </c>
      <c r="AT3196">
        <v>1</v>
      </c>
      <c r="AU3196" t="s">
        <v>433</v>
      </c>
      <c r="AV3196" t="s">
        <v>434</v>
      </c>
      <c r="AW3196" t="s">
        <v>60</v>
      </c>
      <c r="AX3196" t="s">
        <v>68</v>
      </c>
      <c r="AY3196" t="s">
        <v>69</v>
      </c>
      <c r="AZ3196" t="b">
        <v>1</v>
      </c>
    </row>
    <row r="3197" spans="1:52" x14ac:dyDescent="0.3">
      <c r="A3197" t="s">
        <v>52</v>
      </c>
      <c r="B3197" t="s">
        <v>53</v>
      </c>
      <c r="C3197" t="s">
        <v>54</v>
      </c>
      <c r="D3197" t="s">
        <v>55</v>
      </c>
      <c r="E3197" t="s">
        <v>2163</v>
      </c>
      <c r="F3197" t="s">
        <v>1247</v>
      </c>
      <c r="G3197" t="s">
        <v>435</v>
      </c>
      <c r="H3197" t="s">
        <v>436</v>
      </c>
      <c r="I3197" t="s">
        <v>436</v>
      </c>
      <c r="J3197" t="s">
        <v>60</v>
      </c>
      <c r="K3197" t="s">
        <v>437</v>
      </c>
      <c r="L3197" t="s">
        <v>62</v>
      </c>
      <c r="M3197" t="s">
        <v>437</v>
      </c>
      <c r="N3197" t="s">
        <v>438</v>
      </c>
      <c r="O3197" t="s">
        <v>439</v>
      </c>
      <c r="P3197">
        <v>-20.145613000000001</v>
      </c>
      <c r="Q3197">
        <v>-44.882375000000003</v>
      </c>
      <c r="R3197" s="2" t="str">
        <f>HYPERLINK("https://www.google.com/maps?q=-20.1456130,-44.8823750","Abrir no Google Maps")</f>
        <v>Abrir no Google Maps</v>
      </c>
      <c r="S3197">
        <v>3</v>
      </c>
      <c r="T3197">
        <v>305.65092112314198</v>
      </c>
      <c r="U3197">
        <v>4</v>
      </c>
      <c r="V3197">
        <v>0.43998160429878491</v>
      </c>
      <c r="W3197">
        <v>1</v>
      </c>
      <c r="X3197">
        <v>0.43998160429878491</v>
      </c>
      <c r="Y3197">
        <v>653</v>
      </c>
      <c r="Z3197">
        <v>349.55297035282501</v>
      </c>
      <c r="AA3197">
        <v>198</v>
      </c>
      <c r="AB3197">
        <v>332</v>
      </c>
      <c r="AC3197">
        <v>536</v>
      </c>
      <c r="AD3197">
        <v>26.35</v>
      </c>
      <c r="AE3197">
        <v>542</v>
      </c>
      <c r="AF3197">
        <v>15</v>
      </c>
      <c r="AG3197">
        <v>174</v>
      </c>
      <c r="AH3197">
        <v>129</v>
      </c>
      <c r="AI3197">
        <v>2.77</v>
      </c>
      <c r="AJ3197">
        <v>32.1</v>
      </c>
      <c r="AK3197">
        <v>23.8</v>
      </c>
      <c r="AL3197">
        <v>-20.14550464999996</v>
      </c>
      <c r="AM3197">
        <v>-44.882157007077737</v>
      </c>
      <c r="AN3197">
        <v>-20.14550464999996</v>
      </c>
      <c r="AO3197">
        <v>-44.882157007077737</v>
      </c>
      <c r="AP3197">
        <v>-20.145613000000001</v>
      </c>
      <c r="AQ3197">
        <v>-44.882375000000003</v>
      </c>
      <c r="AR3197">
        <v>25.77819791856259</v>
      </c>
      <c r="AS3197" t="s">
        <v>65</v>
      </c>
      <c r="AT3197">
        <v>1</v>
      </c>
      <c r="AU3197" t="s">
        <v>440</v>
      </c>
      <c r="AV3197" t="s">
        <v>441</v>
      </c>
      <c r="AW3197" t="s">
        <v>60</v>
      </c>
      <c r="AX3197" t="s">
        <v>68</v>
      </c>
      <c r="AY3197" t="s">
        <v>69</v>
      </c>
      <c r="AZ3197" t="b">
        <v>1</v>
      </c>
    </row>
    <row r="3198" spans="1:52" x14ac:dyDescent="0.3">
      <c r="A3198" t="s">
        <v>52</v>
      </c>
      <c r="B3198" t="s">
        <v>53</v>
      </c>
      <c r="C3198" t="s">
        <v>54</v>
      </c>
      <c r="D3198" t="s">
        <v>55</v>
      </c>
      <c r="E3198" t="s">
        <v>2163</v>
      </c>
      <c r="F3198" t="s">
        <v>1247</v>
      </c>
      <c r="G3198" t="s">
        <v>442</v>
      </c>
      <c r="H3198" t="s">
        <v>443</v>
      </c>
      <c r="I3198" t="s">
        <v>443</v>
      </c>
      <c r="J3198" t="s">
        <v>60</v>
      </c>
      <c r="K3198" t="s">
        <v>437</v>
      </c>
      <c r="L3198" t="s">
        <v>62</v>
      </c>
      <c r="M3198" t="s">
        <v>437</v>
      </c>
      <c r="N3198" t="s">
        <v>444</v>
      </c>
      <c r="O3198" t="s">
        <v>445</v>
      </c>
      <c r="P3198">
        <v>-20.149744999999999</v>
      </c>
      <c r="Q3198">
        <v>-44.881385000000002</v>
      </c>
      <c r="R3198" s="2" t="str">
        <f>HYPERLINK("https://www.google.com/maps?q=-20.1497450,-44.8813850","Abrir no Google Maps")</f>
        <v>Abrir no Google Maps</v>
      </c>
      <c r="S3198">
        <v>3</v>
      </c>
      <c r="T3198">
        <v>188.80690546111239</v>
      </c>
      <c r="U3198">
        <v>4</v>
      </c>
      <c r="V3198">
        <v>0.47697825570875862</v>
      </c>
      <c r="W3198">
        <v>1</v>
      </c>
      <c r="X3198">
        <v>0.47697825570875862</v>
      </c>
      <c r="Y3198">
        <v>653</v>
      </c>
      <c r="Z3198">
        <v>86.575080390731017</v>
      </c>
      <c r="AA3198">
        <v>198</v>
      </c>
      <c r="AB3198">
        <v>332</v>
      </c>
      <c r="AC3198">
        <v>536</v>
      </c>
      <c r="AD3198">
        <v>26.35</v>
      </c>
      <c r="AE3198">
        <v>542</v>
      </c>
      <c r="AF3198">
        <v>15</v>
      </c>
      <c r="AG3198">
        <v>174</v>
      </c>
      <c r="AH3198">
        <v>129</v>
      </c>
      <c r="AI3198">
        <v>2.77</v>
      </c>
      <c r="AJ3198">
        <v>32.1</v>
      </c>
      <c r="AK3198">
        <v>23.8</v>
      </c>
      <c r="AL3198">
        <v>-20.149645149999941</v>
      </c>
      <c r="AM3198">
        <v>-44.881504585149607</v>
      </c>
      <c r="AN3198">
        <v>-20.149645149999941</v>
      </c>
      <c r="AO3198">
        <v>-44.881504585149607</v>
      </c>
      <c r="AP3198">
        <v>-20.149744999999999</v>
      </c>
      <c r="AQ3198">
        <v>-44.881385000000002</v>
      </c>
      <c r="AR3198">
        <v>16.725323110840389</v>
      </c>
      <c r="AS3198" t="s">
        <v>65</v>
      </c>
      <c r="AT3198">
        <v>1</v>
      </c>
      <c r="AU3198" t="s">
        <v>446</v>
      </c>
      <c r="AV3198" t="s">
        <v>447</v>
      </c>
      <c r="AW3198" t="s">
        <v>60</v>
      </c>
      <c r="AX3198" t="s">
        <v>68</v>
      </c>
      <c r="AY3198" t="s">
        <v>69</v>
      </c>
      <c r="AZ3198" t="b">
        <v>1</v>
      </c>
    </row>
    <row r="3199" spans="1:52" x14ac:dyDescent="0.3">
      <c r="A3199" t="s">
        <v>52</v>
      </c>
      <c r="B3199" t="s">
        <v>53</v>
      </c>
      <c r="C3199" t="s">
        <v>54</v>
      </c>
      <c r="D3199" t="s">
        <v>55</v>
      </c>
      <c r="E3199" t="s">
        <v>2163</v>
      </c>
      <c r="F3199" t="s">
        <v>1247</v>
      </c>
      <c r="G3199" t="s">
        <v>448</v>
      </c>
      <c r="H3199" t="s">
        <v>449</v>
      </c>
      <c r="I3199" t="s">
        <v>449</v>
      </c>
      <c r="J3199" t="s">
        <v>60</v>
      </c>
      <c r="K3199" t="s">
        <v>388</v>
      </c>
      <c r="L3199" t="s">
        <v>62</v>
      </c>
      <c r="M3199" t="s">
        <v>388</v>
      </c>
      <c r="N3199" t="s">
        <v>450</v>
      </c>
      <c r="O3199" t="s">
        <v>451</v>
      </c>
      <c r="P3199">
        <v>-20.163981</v>
      </c>
      <c r="Q3199">
        <v>-44.907128999999998</v>
      </c>
      <c r="R3199" s="2" t="str">
        <f>HYPERLINK("https://www.google.com/maps?q=-20.1639810,-44.9071290","Abrir no Google Maps")</f>
        <v>Abrir no Google Maps</v>
      </c>
      <c r="S3199">
        <v>3</v>
      </c>
      <c r="T3199">
        <v>782.50730806588319</v>
      </c>
      <c r="U3199">
        <v>4</v>
      </c>
      <c r="V3199">
        <v>0.47534830782732701</v>
      </c>
      <c r="W3199">
        <v>1</v>
      </c>
      <c r="X3199">
        <v>0.47534830782732701</v>
      </c>
      <c r="Y3199">
        <v>639</v>
      </c>
      <c r="Z3199">
        <v>710.90621453796166</v>
      </c>
      <c r="AA3199">
        <v>198</v>
      </c>
      <c r="AB3199">
        <v>332</v>
      </c>
      <c r="AC3199">
        <v>536</v>
      </c>
      <c r="AD3199">
        <v>26.35</v>
      </c>
      <c r="AE3199">
        <v>542</v>
      </c>
      <c r="AF3199">
        <v>15</v>
      </c>
      <c r="AG3199">
        <v>174</v>
      </c>
      <c r="AH3199">
        <v>129</v>
      </c>
      <c r="AI3199">
        <v>2.77</v>
      </c>
      <c r="AJ3199">
        <v>32.1</v>
      </c>
      <c r="AK3199">
        <v>23.8</v>
      </c>
      <c r="AL3199">
        <v>-20.163958349999969</v>
      </c>
      <c r="AM3199">
        <v>-44.907180923930973</v>
      </c>
      <c r="AN3199">
        <v>-20.163958349999969</v>
      </c>
      <c r="AO3199">
        <v>-44.907180923930973</v>
      </c>
      <c r="AP3199">
        <v>-20.163981</v>
      </c>
      <c r="AQ3199">
        <v>-44.907128999999998</v>
      </c>
      <c r="AR3199">
        <v>5.9831345092457884</v>
      </c>
      <c r="AS3199" t="s">
        <v>65</v>
      </c>
      <c r="AT3199">
        <v>1</v>
      </c>
      <c r="AU3199" t="s">
        <v>452</v>
      </c>
      <c r="AV3199" t="s">
        <v>453</v>
      </c>
      <c r="AW3199" t="s">
        <v>60</v>
      </c>
      <c r="AX3199" t="s">
        <v>68</v>
      </c>
      <c r="AY3199" t="s">
        <v>69</v>
      </c>
      <c r="AZ3199" t="b">
        <v>1</v>
      </c>
    </row>
    <row r="3200" spans="1:52" x14ac:dyDescent="0.3">
      <c r="A3200" t="s">
        <v>52</v>
      </c>
      <c r="B3200" t="s">
        <v>53</v>
      </c>
      <c r="C3200" t="s">
        <v>54</v>
      </c>
      <c r="D3200" t="s">
        <v>55</v>
      </c>
      <c r="E3200" t="s">
        <v>2163</v>
      </c>
      <c r="F3200" t="s">
        <v>1247</v>
      </c>
      <c r="G3200" t="s">
        <v>454</v>
      </c>
      <c r="H3200" t="s">
        <v>455</v>
      </c>
      <c r="I3200" t="s">
        <v>455</v>
      </c>
      <c r="J3200" t="s">
        <v>60</v>
      </c>
      <c r="K3200" t="s">
        <v>456</v>
      </c>
      <c r="L3200" t="s">
        <v>62</v>
      </c>
      <c r="M3200" t="s">
        <v>456</v>
      </c>
      <c r="N3200" t="s">
        <v>102</v>
      </c>
      <c r="O3200" t="s">
        <v>457</v>
      </c>
      <c r="P3200">
        <v>-20.138373999999999</v>
      </c>
      <c r="Q3200">
        <v>-44.903756999999999</v>
      </c>
      <c r="R3200" s="2" t="str">
        <f>HYPERLINK("https://www.google.com/maps?q=-20.1383740,-44.9037570","Abrir no Google Maps")</f>
        <v>Abrir no Google Maps</v>
      </c>
      <c r="S3200">
        <v>3</v>
      </c>
      <c r="T3200">
        <v>357.59466273594461</v>
      </c>
      <c r="U3200">
        <v>4</v>
      </c>
      <c r="V3200">
        <v>0.50220899470899472</v>
      </c>
      <c r="W3200">
        <v>1</v>
      </c>
      <c r="X3200">
        <v>0.50220899470899472</v>
      </c>
      <c r="Y3200">
        <v>581</v>
      </c>
      <c r="Z3200">
        <v>406.92482694505992</v>
      </c>
      <c r="AA3200">
        <v>198</v>
      </c>
      <c r="AB3200">
        <v>332</v>
      </c>
      <c r="AC3200">
        <v>536</v>
      </c>
      <c r="AD3200">
        <v>26.35</v>
      </c>
      <c r="AE3200">
        <v>542</v>
      </c>
      <c r="AF3200">
        <v>15</v>
      </c>
      <c r="AG3200">
        <v>174</v>
      </c>
      <c r="AH3200">
        <v>129</v>
      </c>
      <c r="AI3200">
        <v>2.77</v>
      </c>
      <c r="AJ3200">
        <v>32.1</v>
      </c>
      <c r="AK3200">
        <v>23.8</v>
      </c>
      <c r="AL3200">
        <v>-20.138338199999961</v>
      </c>
      <c r="AM3200">
        <v>-44.903768618976301</v>
      </c>
      <c r="AN3200">
        <v>-20.138338199999961</v>
      </c>
      <c r="AO3200">
        <v>-44.903768618976301</v>
      </c>
      <c r="AP3200">
        <v>-20.138373999999999</v>
      </c>
      <c r="AQ3200">
        <v>-44.903756999999999</v>
      </c>
      <c r="AR3200">
        <v>4.1661625938922704</v>
      </c>
      <c r="AS3200" t="s">
        <v>65</v>
      </c>
      <c r="AT3200">
        <v>1</v>
      </c>
      <c r="AU3200" t="s">
        <v>458</v>
      </c>
      <c r="AV3200" t="s">
        <v>459</v>
      </c>
      <c r="AW3200" t="s">
        <v>60</v>
      </c>
      <c r="AX3200" t="s">
        <v>68</v>
      </c>
      <c r="AY3200" t="s">
        <v>69</v>
      </c>
      <c r="AZ3200" t="b">
        <v>1</v>
      </c>
    </row>
    <row r="3201" spans="1:52" x14ac:dyDescent="0.3">
      <c r="A3201" t="s">
        <v>52</v>
      </c>
      <c r="B3201" t="s">
        <v>53</v>
      </c>
      <c r="C3201" t="s">
        <v>54</v>
      </c>
      <c r="D3201" t="s">
        <v>55</v>
      </c>
      <c r="E3201" t="s">
        <v>2163</v>
      </c>
      <c r="F3201" t="s">
        <v>1247</v>
      </c>
      <c r="G3201" t="s">
        <v>460</v>
      </c>
      <c r="H3201" t="s">
        <v>461</v>
      </c>
      <c r="I3201" t="s">
        <v>461</v>
      </c>
      <c r="J3201" t="s">
        <v>60</v>
      </c>
      <c r="K3201" t="s">
        <v>462</v>
      </c>
      <c r="L3201" t="s">
        <v>62</v>
      </c>
      <c r="M3201" t="s">
        <v>462</v>
      </c>
      <c r="N3201" t="s">
        <v>463</v>
      </c>
      <c r="O3201" t="s">
        <v>464</v>
      </c>
      <c r="P3201">
        <v>-20.137919</v>
      </c>
      <c r="Q3201">
        <v>-44.905591000000001</v>
      </c>
      <c r="R3201" s="2" t="str">
        <f>HYPERLINK("https://www.google.com/maps?q=-20.1379190,-44.9055910","Abrir no Google Maps")</f>
        <v>Abrir no Google Maps</v>
      </c>
      <c r="S3201">
        <v>3</v>
      </c>
      <c r="T3201">
        <v>262.01115919461103</v>
      </c>
      <c r="U3201">
        <v>4</v>
      </c>
      <c r="V3201">
        <v>0.50042734656632004</v>
      </c>
      <c r="W3201">
        <v>1</v>
      </c>
      <c r="X3201">
        <v>0.50042734656632004</v>
      </c>
      <c r="Y3201">
        <v>581</v>
      </c>
      <c r="Z3201">
        <v>318.63337303219271</v>
      </c>
      <c r="AA3201">
        <v>198</v>
      </c>
      <c r="AB3201">
        <v>332</v>
      </c>
      <c r="AC3201">
        <v>536</v>
      </c>
      <c r="AD3201">
        <v>26.35</v>
      </c>
      <c r="AE3201">
        <v>542</v>
      </c>
      <c r="AF3201">
        <v>15</v>
      </c>
      <c r="AG3201">
        <v>174</v>
      </c>
      <c r="AH3201">
        <v>129</v>
      </c>
      <c r="AI3201">
        <v>2.77</v>
      </c>
      <c r="AJ3201">
        <v>32.1</v>
      </c>
      <c r="AK3201">
        <v>23.8</v>
      </c>
      <c r="AL3201">
        <v>-20.13789079999998</v>
      </c>
      <c r="AM3201">
        <v>-44.90548593520333</v>
      </c>
      <c r="AN3201">
        <v>-20.13789079999998</v>
      </c>
      <c r="AO3201">
        <v>-44.90548593520333</v>
      </c>
      <c r="AP3201">
        <v>-20.137919</v>
      </c>
      <c r="AQ3201">
        <v>-44.905591000000001</v>
      </c>
      <c r="AR3201">
        <v>11.42072348298178</v>
      </c>
      <c r="AS3201" t="s">
        <v>65</v>
      </c>
      <c r="AT3201">
        <v>1</v>
      </c>
      <c r="AU3201" t="s">
        <v>465</v>
      </c>
      <c r="AV3201" t="s">
        <v>466</v>
      </c>
      <c r="AW3201" t="s">
        <v>60</v>
      </c>
      <c r="AX3201" t="s">
        <v>68</v>
      </c>
      <c r="AY3201" t="s">
        <v>69</v>
      </c>
      <c r="AZ3201" t="b">
        <v>1</v>
      </c>
    </row>
    <row r="3202" spans="1:52" x14ac:dyDescent="0.3">
      <c r="A3202" t="s">
        <v>52</v>
      </c>
      <c r="B3202" t="s">
        <v>53</v>
      </c>
      <c r="C3202" t="s">
        <v>54</v>
      </c>
      <c r="D3202" t="s">
        <v>55</v>
      </c>
      <c r="E3202" t="s">
        <v>2163</v>
      </c>
      <c r="F3202" t="s">
        <v>1247</v>
      </c>
      <c r="G3202" t="s">
        <v>1347</v>
      </c>
      <c r="H3202" t="s">
        <v>1348</v>
      </c>
      <c r="I3202" t="s">
        <v>1348</v>
      </c>
      <c r="J3202" t="s">
        <v>60</v>
      </c>
      <c r="K3202" t="s">
        <v>1349</v>
      </c>
      <c r="L3202" t="s">
        <v>62</v>
      </c>
      <c r="M3202" t="s">
        <v>1349</v>
      </c>
      <c r="N3202" t="s">
        <v>1350</v>
      </c>
      <c r="O3202" t="s">
        <v>1351</v>
      </c>
      <c r="P3202">
        <v>-20.140426999999999</v>
      </c>
      <c r="Q3202">
        <v>-44.905327999999997</v>
      </c>
      <c r="R3202" s="2" t="str">
        <f>HYPERLINK("https://www.google.com/maps?q=-20.1404270,-44.9053280","Abrir no Google Maps")</f>
        <v>Abrir no Google Maps</v>
      </c>
      <c r="S3202">
        <v>3</v>
      </c>
      <c r="T3202">
        <v>359.5810968231857</v>
      </c>
      <c r="U3202">
        <v>4</v>
      </c>
      <c r="V3202">
        <v>0.50601048810004035</v>
      </c>
      <c r="W3202">
        <v>0.85</v>
      </c>
      <c r="X3202">
        <v>0.43010891488503428</v>
      </c>
      <c r="Y3202">
        <v>581</v>
      </c>
      <c r="Z3202">
        <v>292.370097058873</v>
      </c>
      <c r="AA3202">
        <v>198</v>
      </c>
      <c r="AB3202">
        <v>332</v>
      </c>
      <c r="AC3202">
        <v>536</v>
      </c>
      <c r="AD3202">
        <v>26.35</v>
      </c>
      <c r="AE3202">
        <v>542</v>
      </c>
      <c r="AF3202">
        <v>15</v>
      </c>
      <c r="AG3202">
        <v>174</v>
      </c>
      <c r="AH3202">
        <v>129</v>
      </c>
      <c r="AI3202">
        <v>2.77</v>
      </c>
      <c r="AJ3202">
        <v>32.1</v>
      </c>
      <c r="AK3202">
        <v>23.8</v>
      </c>
      <c r="AL3202">
        <v>-20.140465449999969</v>
      </c>
      <c r="AM3202">
        <v>-44.905317129037229</v>
      </c>
      <c r="AN3202">
        <v>-20.140465449999969</v>
      </c>
      <c r="AO3202">
        <v>-44.905317129037229</v>
      </c>
      <c r="AP3202">
        <v>-20.140426999999999</v>
      </c>
      <c r="AQ3202">
        <v>-44.905327999999997</v>
      </c>
      <c r="AR3202">
        <v>4.4284788644958706</v>
      </c>
      <c r="AS3202" t="s">
        <v>65</v>
      </c>
      <c r="AT3202">
        <v>1</v>
      </c>
      <c r="AU3202" t="s">
        <v>1352</v>
      </c>
      <c r="AV3202" t="s">
        <v>1353</v>
      </c>
      <c r="AW3202" t="s">
        <v>60</v>
      </c>
      <c r="AX3202" t="s">
        <v>68</v>
      </c>
      <c r="AY3202" t="s">
        <v>69</v>
      </c>
      <c r="AZ3202" t="b">
        <v>1</v>
      </c>
    </row>
    <row r="3203" spans="1:52" x14ac:dyDescent="0.3">
      <c r="A3203" t="s">
        <v>52</v>
      </c>
      <c r="B3203" t="s">
        <v>53</v>
      </c>
      <c r="C3203" t="s">
        <v>54</v>
      </c>
      <c r="D3203" t="s">
        <v>55</v>
      </c>
      <c r="E3203" t="s">
        <v>2163</v>
      </c>
      <c r="F3203" t="s">
        <v>1247</v>
      </c>
      <c r="G3203" t="s">
        <v>467</v>
      </c>
      <c r="H3203" t="s">
        <v>468</v>
      </c>
      <c r="I3203" t="s">
        <v>468</v>
      </c>
      <c r="J3203" t="s">
        <v>60</v>
      </c>
      <c r="K3203" t="s">
        <v>462</v>
      </c>
      <c r="L3203" t="s">
        <v>62</v>
      </c>
      <c r="M3203" t="s">
        <v>462</v>
      </c>
      <c r="N3203" t="s">
        <v>469</v>
      </c>
      <c r="O3203" t="s">
        <v>470</v>
      </c>
      <c r="P3203">
        <v>-20.138233</v>
      </c>
      <c r="Q3203">
        <v>-44.908200000000001</v>
      </c>
      <c r="R3203" s="2" t="str">
        <f>HYPERLINK("https://www.google.com/maps?q=-20.1382330,-44.9082000","Abrir no Google Maps")</f>
        <v>Abrir no Google Maps</v>
      </c>
      <c r="S3203">
        <v>3</v>
      </c>
      <c r="T3203">
        <v>0</v>
      </c>
      <c r="U3203">
        <v>4</v>
      </c>
      <c r="V3203">
        <v>0.49541779306955031</v>
      </c>
      <c r="W3203">
        <v>1</v>
      </c>
      <c r="X3203">
        <v>0.49541779306955031</v>
      </c>
      <c r="Y3203">
        <v>581</v>
      </c>
      <c r="Z3203">
        <v>153.18688302958171</v>
      </c>
      <c r="AA3203">
        <v>198</v>
      </c>
      <c r="AB3203">
        <v>332</v>
      </c>
      <c r="AC3203">
        <v>536</v>
      </c>
      <c r="AD3203">
        <v>26.35</v>
      </c>
      <c r="AE3203">
        <v>542</v>
      </c>
      <c r="AF3203">
        <v>15</v>
      </c>
      <c r="AG3203">
        <v>174</v>
      </c>
      <c r="AH3203">
        <v>129</v>
      </c>
      <c r="AI3203">
        <v>2.77</v>
      </c>
      <c r="AJ3203">
        <v>32.1</v>
      </c>
      <c r="AK3203">
        <v>23.8</v>
      </c>
      <c r="AL3203">
        <v>-20.138364899999971</v>
      </c>
      <c r="AM3203">
        <v>-44.907942114873997</v>
      </c>
      <c r="AN3203">
        <v>-20.138364899999971</v>
      </c>
      <c r="AO3203">
        <v>-44.907942114873997</v>
      </c>
      <c r="AP3203">
        <v>-20.138233</v>
      </c>
      <c r="AQ3203">
        <v>-44.908200000000001</v>
      </c>
      <c r="AR3203">
        <v>30.692690617986941</v>
      </c>
      <c r="AS3203" t="s">
        <v>65</v>
      </c>
      <c r="AT3203">
        <v>1</v>
      </c>
      <c r="AU3203" t="s">
        <v>471</v>
      </c>
      <c r="AV3203" t="s">
        <v>472</v>
      </c>
      <c r="AW3203" t="s">
        <v>60</v>
      </c>
      <c r="AX3203" t="s">
        <v>68</v>
      </c>
      <c r="AY3203" t="s">
        <v>69</v>
      </c>
      <c r="AZ3203" t="b">
        <v>1</v>
      </c>
    </row>
    <row r="3204" spans="1:52" x14ac:dyDescent="0.3">
      <c r="A3204" t="s">
        <v>52</v>
      </c>
      <c r="B3204" t="s">
        <v>53</v>
      </c>
      <c r="C3204" t="s">
        <v>54</v>
      </c>
      <c r="D3204" t="s">
        <v>55</v>
      </c>
      <c r="E3204" t="s">
        <v>2163</v>
      </c>
      <c r="F3204" t="s">
        <v>1247</v>
      </c>
      <c r="G3204" t="s">
        <v>858</v>
      </c>
      <c r="H3204" t="s">
        <v>859</v>
      </c>
      <c r="I3204" t="s">
        <v>859</v>
      </c>
      <c r="J3204" t="s">
        <v>60</v>
      </c>
      <c r="K3204" t="s">
        <v>462</v>
      </c>
      <c r="L3204" t="s">
        <v>62</v>
      </c>
      <c r="M3204" t="s">
        <v>462</v>
      </c>
      <c r="N3204" t="s">
        <v>860</v>
      </c>
      <c r="O3204" t="s">
        <v>861</v>
      </c>
      <c r="P3204">
        <v>-20.139693999999999</v>
      </c>
      <c r="Q3204">
        <v>-44.911256000000002</v>
      </c>
      <c r="R3204" s="2" t="str">
        <f>HYPERLINK("https://www.google.com/maps?q=-20.1396940,-44.9112560","Abrir no Google Maps")</f>
        <v>Abrir no Google Maps</v>
      </c>
      <c r="S3204">
        <v>3</v>
      </c>
      <c r="T3204">
        <v>380.48036838042862</v>
      </c>
      <c r="U3204">
        <v>4</v>
      </c>
      <c r="V3204">
        <v>0.57333754740834386</v>
      </c>
      <c r="W3204">
        <v>0.85</v>
      </c>
      <c r="X3204">
        <v>0.48733691529709228</v>
      </c>
      <c r="Y3204">
        <v>581</v>
      </c>
      <c r="Z3204">
        <v>374.61146000000178</v>
      </c>
      <c r="AA3204">
        <v>198</v>
      </c>
      <c r="AB3204">
        <v>332</v>
      </c>
      <c r="AC3204">
        <v>536</v>
      </c>
      <c r="AD3204">
        <v>26.35</v>
      </c>
      <c r="AE3204">
        <v>542</v>
      </c>
      <c r="AF3204">
        <v>15</v>
      </c>
      <c r="AG3204">
        <v>174</v>
      </c>
      <c r="AH3204">
        <v>129</v>
      </c>
      <c r="AI3204">
        <v>2.77</v>
      </c>
      <c r="AJ3204">
        <v>32.1</v>
      </c>
      <c r="AK3204">
        <v>23.8</v>
      </c>
      <c r="AL3204">
        <v>-20.139768699999959</v>
      </c>
      <c r="AM3204">
        <v>-44.911265351587588</v>
      </c>
      <c r="AN3204">
        <v>-20.139768699999959</v>
      </c>
      <c r="AO3204">
        <v>-44.911265351587588</v>
      </c>
      <c r="AP3204">
        <v>-20.139693999999999</v>
      </c>
      <c r="AQ3204">
        <v>-44.911256000000002</v>
      </c>
      <c r="AR3204">
        <v>8.3728438666521061</v>
      </c>
      <c r="AS3204" t="s">
        <v>65</v>
      </c>
      <c r="AT3204">
        <v>1</v>
      </c>
      <c r="AU3204" t="s">
        <v>862</v>
      </c>
      <c r="AV3204" t="s">
        <v>863</v>
      </c>
      <c r="AW3204" t="s">
        <v>60</v>
      </c>
      <c r="AX3204" t="s">
        <v>68</v>
      </c>
      <c r="AY3204" t="s">
        <v>69</v>
      </c>
      <c r="AZ3204" t="b">
        <v>1</v>
      </c>
    </row>
    <row r="3205" spans="1:52" x14ac:dyDescent="0.3">
      <c r="A3205" t="s">
        <v>52</v>
      </c>
      <c r="B3205" t="s">
        <v>53</v>
      </c>
      <c r="C3205" t="s">
        <v>54</v>
      </c>
      <c r="D3205" t="s">
        <v>55</v>
      </c>
      <c r="E3205" t="s">
        <v>2163</v>
      </c>
      <c r="F3205" t="s">
        <v>1247</v>
      </c>
      <c r="G3205" t="s">
        <v>864</v>
      </c>
      <c r="H3205" t="s">
        <v>865</v>
      </c>
      <c r="I3205" t="s">
        <v>865</v>
      </c>
      <c r="J3205" t="s">
        <v>60</v>
      </c>
      <c r="K3205" t="s">
        <v>486</v>
      </c>
      <c r="L3205" t="s">
        <v>62</v>
      </c>
      <c r="M3205" t="s">
        <v>486</v>
      </c>
      <c r="N3205" t="s">
        <v>866</v>
      </c>
      <c r="O3205" t="s">
        <v>867</v>
      </c>
      <c r="P3205">
        <v>-20.170919000000001</v>
      </c>
      <c r="Q3205">
        <v>-44.905451999999997</v>
      </c>
      <c r="R3205" s="2" t="str">
        <f>HYPERLINK("https://www.google.com/maps?q=-20.1709190,-44.9054520","Abrir no Google Maps")</f>
        <v>Abrir no Google Maps</v>
      </c>
      <c r="S3205">
        <v>3</v>
      </c>
      <c r="T3205">
        <v>0</v>
      </c>
      <c r="U3205">
        <v>4</v>
      </c>
      <c r="V3205">
        <v>0.39170137074067207</v>
      </c>
      <c r="W3205">
        <v>1</v>
      </c>
      <c r="X3205">
        <v>0.39170137074067207</v>
      </c>
      <c r="Y3205">
        <v>578</v>
      </c>
      <c r="Z3205">
        <v>205.34598855748419</v>
      </c>
      <c r="AA3205">
        <v>198</v>
      </c>
      <c r="AB3205">
        <v>332</v>
      </c>
      <c r="AC3205">
        <v>536</v>
      </c>
      <c r="AD3205">
        <v>26.35</v>
      </c>
      <c r="AE3205">
        <v>542</v>
      </c>
      <c r="AF3205">
        <v>15</v>
      </c>
      <c r="AG3205">
        <v>174</v>
      </c>
      <c r="AH3205">
        <v>129</v>
      </c>
      <c r="AI3205">
        <v>2.77</v>
      </c>
      <c r="AJ3205">
        <v>32.1</v>
      </c>
      <c r="AK3205">
        <v>23.8</v>
      </c>
      <c r="AL3205">
        <v>-20.170854399999939</v>
      </c>
      <c r="AM3205">
        <v>-44.905524839633358</v>
      </c>
      <c r="AN3205">
        <v>-20.170854399999939</v>
      </c>
      <c r="AO3205">
        <v>-44.905524839633358</v>
      </c>
      <c r="AP3205">
        <v>-20.170919000000001</v>
      </c>
      <c r="AQ3205">
        <v>-44.905451999999997</v>
      </c>
      <c r="AR3205">
        <v>10.471140355179269</v>
      </c>
      <c r="AS3205" t="s">
        <v>65</v>
      </c>
      <c r="AT3205">
        <v>1</v>
      </c>
      <c r="AU3205" t="s">
        <v>868</v>
      </c>
      <c r="AV3205" t="s">
        <v>869</v>
      </c>
      <c r="AW3205" t="s">
        <v>60</v>
      </c>
      <c r="AX3205" t="s">
        <v>68</v>
      </c>
      <c r="AY3205" t="s">
        <v>69</v>
      </c>
      <c r="AZ3205" t="b">
        <v>1</v>
      </c>
    </row>
    <row r="3206" spans="1:52" x14ac:dyDescent="0.3">
      <c r="A3206" t="s">
        <v>52</v>
      </c>
      <c r="B3206" t="s">
        <v>53</v>
      </c>
      <c r="C3206" t="s">
        <v>54</v>
      </c>
      <c r="D3206" t="s">
        <v>55</v>
      </c>
      <c r="E3206" t="s">
        <v>2163</v>
      </c>
      <c r="F3206" t="s">
        <v>1247</v>
      </c>
      <c r="G3206" t="s">
        <v>479</v>
      </c>
      <c r="H3206" t="s">
        <v>480</v>
      </c>
      <c r="I3206" t="s">
        <v>480</v>
      </c>
      <c r="J3206" t="s">
        <v>60</v>
      </c>
      <c r="K3206" t="s">
        <v>388</v>
      </c>
      <c r="L3206" t="s">
        <v>62</v>
      </c>
      <c r="M3206" t="s">
        <v>388</v>
      </c>
      <c r="N3206" t="s">
        <v>481</v>
      </c>
      <c r="O3206" t="s">
        <v>315</v>
      </c>
      <c r="P3206">
        <v>-20.166903999999999</v>
      </c>
      <c r="Q3206">
        <v>-44.903492</v>
      </c>
      <c r="R3206" s="2" t="str">
        <f>HYPERLINK("https://www.google.com/maps?q=-20.1669040,-44.9034920","Abrir no Google Maps")</f>
        <v>Abrir no Google Maps</v>
      </c>
      <c r="S3206">
        <v>3</v>
      </c>
      <c r="T3206">
        <v>517.12253532511602</v>
      </c>
      <c r="U3206">
        <v>4</v>
      </c>
      <c r="V3206">
        <v>0.40134005117518268</v>
      </c>
      <c r="W3206">
        <v>1</v>
      </c>
      <c r="X3206">
        <v>0.40134005117518268</v>
      </c>
      <c r="Y3206">
        <v>578</v>
      </c>
      <c r="Z3206">
        <v>721.79551240050432</v>
      </c>
      <c r="AA3206">
        <v>198</v>
      </c>
      <c r="AB3206">
        <v>332</v>
      </c>
      <c r="AC3206">
        <v>536</v>
      </c>
      <c r="AD3206">
        <v>26.35</v>
      </c>
      <c r="AE3206">
        <v>542</v>
      </c>
      <c r="AF3206">
        <v>15</v>
      </c>
      <c r="AG3206">
        <v>174</v>
      </c>
      <c r="AH3206">
        <v>129</v>
      </c>
      <c r="AI3206">
        <v>2.77</v>
      </c>
      <c r="AJ3206">
        <v>32.1</v>
      </c>
      <c r="AK3206">
        <v>23.8</v>
      </c>
      <c r="AL3206">
        <v>-20.166610649999971</v>
      </c>
      <c r="AM3206">
        <v>-44.903452988928308</v>
      </c>
      <c r="AN3206">
        <v>-20.166610649999971</v>
      </c>
      <c r="AO3206">
        <v>-44.903452988928308</v>
      </c>
      <c r="AP3206">
        <v>-20.166903999999999</v>
      </c>
      <c r="AQ3206">
        <v>-44.903492</v>
      </c>
      <c r="AR3206">
        <v>32.909175876856217</v>
      </c>
      <c r="AS3206" t="s">
        <v>65</v>
      </c>
      <c r="AT3206">
        <v>1</v>
      </c>
      <c r="AU3206" t="s">
        <v>482</v>
      </c>
      <c r="AV3206" t="s">
        <v>483</v>
      </c>
      <c r="AW3206" t="s">
        <v>60</v>
      </c>
      <c r="AX3206" t="s">
        <v>68</v>
      </c>
      <c r="AY3206" t="s">
        <v>69</v>
      </c>
      <c r="AZ3206" t="b">
        <v>1</v>
      </c>
    </row>
    <row r="3207" spans="1:52" x14ac:dyDescent="0.3">
      <c r="A3207" t="s">
        <v>52</v>
      </c>
      <c r="B3207" t="s">
        <v>53</v>
      </c>
      <c r="C3207" t="s">
        <v>54</v>
      </c>
      <c r="D3207" t="s">
        <v>55</v>
      </c>
      <c r="E3207" t="s">
        <v>2163</v>
      </c>
      <c r="F3207" t="s">
        <v>1247</v>
      </c>
      <c r="G3207" t="s">
        <v>503</v>
      </c>
      <c r="H3207" t="s">
        <v>504</v>
      </c>
      <c r="I3207" t="s">
        <v>504</v>
      </c>
      <c r="J3207" t="s">
        <v>60</v>
      </c>
      <c r="K3207" t="s">
        <v>505</v>
      </c>
      <c r="L3207" t="s">
        <v>62</v>
      </c>
      <c r="M3207" t="s">
        <v>505</v>
      </c>
      <c r="N3207" t="s">
        <v>506</v>
      </c>
      <c r="O3207" t="s">
        <v>507</v>
      </c>
      <c r="P3207">
        <v>-20.131428</v>
      </c>
      <c r="Q3207">
        <v>-44.888921000000003</v>
      </c>
      <c r="R3207" s="2" t="str">
        <f>HYPERLINK("https://www.google.com/maps?q=-20.1314280,-44.8889210","Abrir no Google Maps")</f>
        <v>Abrir no Google Maps</v>
      </c>
      <c r="S3207">
        <v>3</v>
      </c>
      <c r="T3207">
        <v>250.64150698244501</v>
      </c>
      <c r="U3207">
        <v>4</v>
      </c>
      <c r="V3207">
        <v>0.42579006851734119</v>
      </c>
      <c r="W3207">
        <v>1</v>
      </c>
      <c r="X3207">
        <v>0.42579006851734119</v>
      </c>
      <c r="Y3207">
        <v>564</v>
      </c>
      <c r="Z3207">
        <v>189.93933888952441</v>
      </c>
      <c r="AA3207">
        <v>198</v>
      </c>
      <c r="AB3207">
        <v>332</v>
      </c>
      <c r="AC3207">
        <v>536</v>
      </c>
      <c r="AD3207">
        <v>26.35</v>
      </c>
      <c r="AE3207">
        <v>542</v>
      </c>
      <c r="AF3207">
        <v>15</v>
      </c>
      <c r="AG3207">
        <v>174</v>
      </c>
      <c r="AH3207">
        <v>129</v>
      </c>
      <c r="AI3207">
        <v>2.77</v>
      </c>
      <c r="AJ3207">
        <v>32.1</v>
      </c>
      <c r="AK3207">
        <v>23.8</v>
      </c>
      <c r="AL3207">
        <v>-20.13123589999995</v>
      </c>
      <c r="AM3207">
        <v>-44.888742396501762</v>
      </c>
      <c r="AN3207">
        <v>-20.13123589999995</v>
      </c>
      <c r="AO3207">
        <v>-44.888742396501762</v>
      </c>
      <c r="AP3207">
        <v>-20.131428</v>
      </c>
      <c r="AQ3207">
        <v>-44.888921000000003</v>
      </c>
      <c r="AR3207">
        <v>28.386169462917032</v>
      </c>
      <c r="AS3207" t="s">
        <v>65</v>
      </c>
      <c r="AT3207">
        <v>1</v>
      </c>
      <c r="AU3207" t="s">
        <v>508</v>
      </c>
      <c r="AV3207" t="s">
        <v>509</v>
      </c>
      <c r="AW3207" t="s">
        <v>60</v>
      </c>
      <c r="AX3207" t="s">
        <v>68</v>
      </c>
      <c r="AY3207" t="s">
        <v>69</v>
      </c>
      <c r="AZ3207" t="b">
        <v>1</v>
      </c>
    </row>
    <row r="3208" spans="1:52" x14ac:dyDescent="0.3">
      <c r="A3208" t="s">
        <v>52</v>
      </c>
      <c r="B3208" t="s">
        <v>53</v>
      </c>
      <c r="C3208" t="s">
        <v>54</v>
      </c>
      <c r="D3208" t="s">
        <v>55</v>
      </c>
      <c r="E3208" t="s">
        <v>2163</v>
      </c>
      <c r="F3208" t="s">
        <v>1247</v>
      </c>
      <c r="G3208" t="s">
        <v>510</v>
      </c>
      <c r="H3208" t="s">
        <v>511</v>
      </c>
      <c r="I3208" t="s">
        <v>511</v>
      </c>
      <c r="J3208" t="s">
        <v>60</v>
      </c>
      <c r="K3208" t="s">
        <v>512</v>
      </c>
      <c r="L3208" t="s">
        <v>62</v>
      </c>
      <c r="M3208" t="s">
        <v>512</v>
      </c>
      <c r="N3208" t="s">
        <v>406</v>
      </c>
      <c r="O3208" t="s">
        <v>513</v>
      </c>
      <c r="P3208">
        <v>-20.127853000000002</v>
      </c>
      <c r="Q3208">
        <v>-44.891415000000002</v>
      </c>
      <c r="R3208" s="2" t="str">
        <f>HYPERLINK("https://www.google.com/maps?q=-20.1278530,-44.8914150","Abrir no Google Maps")</f>
        <v>Abrir no Google Maps</v>
      </c>
      <c r="S3208">
        <v>3</v>
      </c>
      <c r="T3208">
        <v>340.86994528233612</v>
      </c>
      <c r="U3208">
        <v>4</v>
      </c>
      <c r="V3208">
        <v>0.41576863996218838</v>
      </c>
      <c r="W3208">
        <v>1</v>
      </c>
      <c r="X3208">
        <v>0.41576863996218838</v>
      </c>
      <c r="Y3208">
        <v>564</v>
      </c>
      <c r="Z3208">
        <v>294.18108015916812</v>
      </c>
      <c r="AA3208">
        <v>198</v>
      </c>
      <c r="AB3208">
        <v>332</v>
      </c>
      <c r="AC3208">
        <v>536</v>
      </c>
      <c r="AD3208">
        <v>26.35</v>
      </c>
      <c r="AE3208">
        <v>542</v>
      </c>
      <c r="AF3208">
        <v>15</v>
      </c>
      <c r="AG3208">
        <v>174</v>
      </c>
      <c r="AH3208">
        <v>129</v>
      </c>
      <c r="AI3208">
        <v>2.77</v>
      </c>
      <c r="AJ3208">
        <v>32.1</v>
      </c>
      <c r="AK3208">
        <v>23.8</v>
      </c>
      <c r="AL3208">
        <v>-20.12777399999996</v>
      </c>
      <c r="AM3208">
        <v>-44.891400975758501</v>
      </c>
      <c r="AN3208">
        <v>-20.12777399999996</v>
      </c>
      <c r="AO3208">
        <v>-44.891400975758501</v>
      </c>
      <c r="AP3208">
        <v>-20.127853000000002</v>
      </c>
      <c r="AQ3208">
        <v>-44.891415000000002</v>
      </c>
      <c r="AR3208">
        <v>8.9156059162975616</v>
      </c>
      <c r="AS3208" t="s">
        <v>65</v>
      </c>
      <c r="AT3208">
        <v>1</v>
      </c>
      <c r="AU3208" t="s">
        <v>514</v>
      </c>
      <c r="AV3208" t="s">
        <v>515</v>
      </c>
      <c r="AW3208" t="s">
        <v>60</v>
      </c>
      <c r="AX3208" t="s">
        <v>68</v>
      </c>
      <c r="AY3208" t="s">
        <v>69</v>
      </c>
      <c r="AZ3208" t="b">
        <v>1</v>
      </c>
    </row>
    <row r="3209" spans="1:52" x14ac:dyDescent="0.3">
      <c r="A3209" t="s">
        <v>52</v>
      </c>
      <c r="B3209" t="s">
        <v>53</v>
      </c>
      <c r="C3209" t="s">
        <v>54</v>
      </c>
      <c r="D3209" t="s">
        <v>55</v>
      </c>
      <c r="E3209" t="s">
        <v>2163</v>
      </c>
      <c r="F3209" t="s">
        <v>1247</v>
      </c>
      <c r="G3209" t="s">
        <v>516</v>
      </c>
      <c r="H3209" t="s">
        <v>517</v>
      </c>
      <c r="I3209" t="s">
        <v>517</v>
      </c>
      <c r="J3209" t="s">
        <v>60</v>
      </c>
      <c r="K3209" t="s">
        <v>518</v>
      </c>
      <c r="L3209" t="s">
        <v>62</v>
      </c>
      <c r="M3209" t="s">
        <v>518</v>
      </c>
      <c r="N3209" t="s">
        <v>519</v>
      </c>
      <c r="O3209" t="s">
        <v>520</v>
      </c>
      <c r="P3209">
        <v>-20.124502</v>
      </c>
      <c r="Q3209">
        <v>-44.888424000000001</v>
      </c>
      <c r="R3209" s="2" t="str">
        <f>HYPERLINK("https://www.google.com/maps?q=-20.1245020,-44.8884240","Abrir no Google Maps")</f>
        <v>Abrir no Google Maps</v>
      </c>
      <c r="S3209">
        <v>3</v>
      </c>
      <c r="T3209">
        <v>483.42298121929559</v>
      </c>
      <c r="U3209">
        <v>4</v>
      </c>
      <c r="V3209">
        <v>0.50106741869168725</v>
      </c>
      <c r="W3209">
        <v>1</v>
      </c>
      <c r="X3209">
        <v>0.50106741869168725</v>
      </c>
      <c r="Y3209">
        <v>564</v>
      </c>
      <c r="Z3209">
        <v>565.43074237076587</v>
      </c>
      <c r="AA3209">
        <v>198</v>
      </c>
      <c r="AB3209">
        <v>332</v>
      </c>
      <c r="AC3209">
        <v>536</v>
      </c>
      <c r="AD3209">
        <v>26.35</v>
      </c>
      <c r="AE3209">
        <v>542</v>
      </c>
      <c r="AF3209">
        <v>15</v>
      </c>
      <c r="AG3209">
        <v>174</v>
      </c>
      <c r="AH3209">
        <v>129</v>
      </c>
      <c r="AI3209">
        <v>2.77</v>
      </c>
      <c r="AJ3209">
        <v>32.1</v>
      </c>
      <c r="AK3209">
        <v>23.8</v>
      </c>
      <c r="AL3209">
        <v>-20.124624949999941</v>
      </c>
      <c r="AM3209">
        <v>-44.888432821777258</v>
      </c>
      <c r="AN3209">
        <v>-20.124624949999941</v>
      </c>
      <c r="AO3209">
        <v>-44.888432821777258</v>
      </c>
      <c r="AP3209">
        <v>-20.124502</v>
      </c>
      <c r="AQ3209">
        <v>-44.888424000000001</v>
      </c>
      <c r="AR3209">
        <v>13.717819333897451</v>
      </c>
      <c r="AS3209" t="s">
        <v>65</v>
      </c>
      <c r="AT3209">
        <v>1</v>
      </c>
      <c r="AU3209" t="s">
        <v>521</v>
      </c>
      <c r="AV3209" t="s">
        <v>522</v>
      </c>
      <c r="AW3209" t="s">
        <v>60</v>
      </c>
      <c r="AX3209" t="s">
        <v>68</v>
      </c>
      <c r="AY3209" t="s">
        <v>69</v>
      </c>
      <c r="AZ3209" t="b">
        <v>1</v>
      </c>
    </row>
    <row r="3210" spans="1:52" x14ac:dyDescent="0.3">
      <c r="A3210" t="s">
        <v>52</v>
      </c>
      <c r="B3210" t="s">
        <v>53</v>
      </c>
      <c r="C3210" t="s">
        <v>54</v>
      </c>
      <c r="D3210" t="s">
        <v>55</v>
      </c>
      <c r="E3210" t="s">
        <v>2163</v>
      </c>
      <c r="F3210" t="s">
        <v>1247</v>
      </c>
      <c r="G3210" t="s">
        <v>523</v>
      </c>
      <c r="H3210" t="s">
        <v>524</v>
      </c>
      <c r="I3210" t="s">
        <v>524</v>
      </c>
      <c r="J3210" t="s">
        <v>60</v>
      </c>
      <c r="K3210" t="s">
        <v>518</v>
      </c>
      <c r="L3210" t="s">
        <v>62</v>
      </c>
      <c r="M3210" t="s">
        <v>518</v>
      </c>
      <c r="N3210" t="s">
        <v>525</v>
      </c>
      <c r="O3210" t="s">
        <v>331</v>
      </c>
      <c r="P3210">
        <v>-20.126553000000001</v>
      </c>
      <c r="Q3210">
        <v>-44.888599999999997</v>
      </c>
      <c r="R3210" s="2" t="str">
        <f>HYPERLINK("https://www.google.com/maps?q=-20.1265530,-44.8886000","Abrir no Google Maps")</f>
        <v>Abrir no Google Maps</v>
      </c>
      <c r="S3210">
        <v>3</v>
      </c>
      <c r="T3210">
        <v>256.34043440603853</v>
      </c>
      <c r="U3210">
        <v>4</v>
      </c>
      <c r="V3210">
        <v>0.44475019478915262</v>
      </c>
      <c r="W3210">
        <v>1</v>
      </c>
      <c r="X3210">
        <v>0.44475019478915262</v>
      </c>
      <c r="Y3210">
        <v>564</v>
      </c>
      <c r="Z3210">
        <v>325.4404273055876</v>
      </c>
      <c r="AA3210">
        <v>198</v>
      </c>
      <c r="AB3210">
        <v>332</v>
      </c>
      <c r="AC3210">
        <v>536</v>
      </c>
      <c r="AD3210">
        <v>26.35</v>
      </c>
      <c r="AE3210">
        <v>542</v>
      </c>
      <c r="AF3210">
        <v>15</v>
      </c>
      <c r="AG3210">
        <v>174</v>
      </c>
      <c r="AH3210">
        <v>129</v>
      </c>
      <c r="AI3210">
        <v>2.77</v>
      </c>
      <c r="AJ3210">
        <v>32.1</v>
      </c>
      <c r="AK3210">
        <v>23.8</v>
      </c>
      <c r="AL3210">
        <v>-20.12669049999997</v>
      </c>
      <c r="AM3210">
        <v>-44.888671289876577</v>
      </c>
      <c r="AN3210">
        <v>-20.12669049999997</v>
      </c>
      <c r="AO3210">
        <v>-44.888671289876577</v>
      </c>
      <c r="AP3210">
        <v>-20.126553000000001</v>
      </c>
      <c r="AQ3210">
        <v>-44.888599999999997</v>
      </c>
      <c r="AR3210">
        <v>17.023861591720589</v>
      </c>
      <c r="AS3210" t="s">
        <v>65</v>
      </c>
      <c r="AT3210">
        <v>1</v>
      </c>
      <c r="AU3210" t="s">
        <v>526</v>
      </c>
      <c r="AV3210" t="s">
        <v>527</v>
      </c>
      <c r="AW3210" t="s">
        <v>60</v>
      </c>
      <c r="AX3210" t="s">
        <v>68</v>
      </c>
      <c r="AY3210" t="s">
        <v>69</v>
      </c>
      <c r="AZ3210" t="b">
        <v>1</v>
      </c>
    </row>
    <row r="3211" spans="1:52" x14ac:dyDescent="0.3">
      <c r="A3211" t="s">
        <v>52</v>
      </c>
      <c r="B3211" t="s">
        <v>53</v>
      </c>
      <c r="C3211" t="s">
        <v>54</v>
      </c>
      <c r="D3211" t="s">
        <v>55</v>
      </c>
      <c r="E3211" t="s">
        <v>2163</v>
      </c>
      <c r="F3211" t="s">
        <v>1247</v>
      </c>
      <c r="G3211" t="s">
        <v>649</v>
      </c>
      <c r="H3211" t="s">
        <v>885</v>
      </c>
      <c r="I3211" t="s">
        <v>885</v>
      </c>
      <c r="J3211" t="s">
        <v>60</v>
      </c>
      <c r="K3211" t="s">
        <v>886</v>
      </c>
      <c r="L3211" t="s">
        <v>62</v>
      </c>
      <c r="M3211" t="s">
        <v>886</v>
      </c>
      <c r="N3211" t="s">
        <v>652</v>
      </c>
      <c r="O3211" t="s">
        <v>887</v>
      </c>
      <c r="P3211">
        <v>-20.132252000000001</v>
      </c>
      <c r="Q3211">
        <v>-44.894159000000002</v>
      </c>
      <c r="R3211" s="2" t="str">
        <f>HYPERLINK("https://www.google.com/maps?q=-20.1322520,-44.8941590","Abrir no Google Maps")</f>
        <v>Abrir no Google Maps</v>
      </c>
      <c r="S3211">
        <v>3</v>
      </c>
      <c r="T3211">
        <v>699.5004749448899</v>
      </c>
      <c r="U3211">
        <v>4</v>
      </c>
      <c r="V3211">
        <v>0.48169207317073159</v>
      </c>
      <c r="W3211">
        <v>0.85</v>
      </c>
      <c r="X3211">
        <v>0.40943826219512192</v>
      </c>
      <c r="Y3211">
        <v>564</v>
      </c>
      <c r="Z3211">
        <v>522.21103586457991</v>
      </c>
      <c r="AA3211">
        <v>198</v>
      </c>
      <c r="AB3211">
        <v>332</v>
      </c>
      <c r="AC3211">
        <v>536</v>
      </c>
      <c r="AD3211">
        <v>26.35</v>
      </c>
      <c r="AE3211">
        <v>542</v>
      </c>
      <c r="AF3211">
        <v>15</v>
      </c>
      <c r="AG3211">
        <v>174</v>
      </c>
      <c r="AH3211">
        <v>129</v>
      </c>
      <c r="AI3211">
        <v>2.77</v>
      </c>
      <c r="AJ3211">
        <v>32.1</v>
      </c>
      <c r="AK3211">
        <v>23.8</v>
      </c>
      <c r="AL3211">
        <v>-20.132285999999969</v>
      </c>
      <c r="AM3211">
        <v>-44.894119001288672</v>
      </c>
      <c r="AN3211">
        <v>-20.132285999999969</v>
      </c>
      <c r="AO3211">
        <v>-44.894119001288672</v>
      </c>
      <c r="AP3211">
        <v>-20.132252000000001</v>
      </c>
      <c r="AQ3211">
        <v>-44.894159000000002</v>
      </c>
      <c r="AR3211">
        <v>5.6393921063261629</v>
      </c>
      <c r="AS3211" t="s">
        <v>65</v>
      </c>
      <c r="AT3211">
        <v>1</v>
      </c>
      <c r="AU3211" t="s">
        <v>888</v>
      </c>
      <c r="AV3211" t="s">
        <v>889</v>
      </c>
      <c r="AW3211" t="s">
        <v>60</v>
      </c>
      <c r="AX3211" t="s">
        <v>68</v>
      </c>
      <c r="AY3211" t="s">
        <v>69</v>
      </c>
      <c r="AZ3211" t="b">
        <v>1</v>
      </c>
    </row>
    <row r="3212" spans="1:52" x14ac:dyDescent="0.3">
      <c r="A3212" t="s">
        <v>52</v>
      </c>
      <c r="B3212" t="s">
        <v>53</v>
      </c>
      <c r="C3212" t="s">
        <v>54</v>
      </c>
      <c r="D3212" t="s">
        <v>55</v>
      </c>
      <c r="E3212" t="s">
        <v>2163</v>
      </c>
      <c r="F3212" t="s">
        <v>1247</v>
      </c>
      <c r="G3212" t="s">
        <v>528</v>
      </c>
      <c r="H3212" t="s">
        <v>529</v>
      </c>
      <c r="I3212" t="s">
        <v>529</v>
      </c>
      <c r="J3212" t="s">
        <v>60</v>
      </c>
      <c r="K3212" t="s">
        <v>530</v>
      </c>
      <c r="L3212" t="s">
        <v>62</v>
      </c>
      <c r="M3212" t="s">
        <v>530</v>
      </c>
      <c r="N3212" t="s">
        <v>531</v>
      </c>
      <c r="O3212" t="s">
        <v>532</v>
      </c>
      <c r="P3212">
        <v>-20.142457</v>
      </c>
      <c r="Q3212">
        <v>-44.891688000000002</v>
      </c>
      <c r="R3212" s="2" t="str">
        <f>HYPERLINK("https://www.google.com/maps?q=-20.1424570,-44.8916880","Abrir no Google Maps")</f>
        <v>Abrir no Google Maps</v>
      </c>
      <c r="S3212">
        <v>3</v>
      </c>
      <c r="T3212">
        <v>0</v>
      </c>
      <c r="U3212">
        <v>4</v>
      </c>
      <c r="V3212">
        <v>0.58235876825540589</v>
      </c>
      <c r="W3212">
        <v>1</v>
      </c>
      <c r="X3212">
        <v>0.58235876825540589</v>
      </c>
      <c r="Y3212">
        <v>557</v>
      </c>
      <c r="Z3212">
        <v>42.611952255679803</v>
      </c>
      <c r="AA3212">
        <v>198</v>
      </c>
      <c r="AB3212">
        <v>332</v>
      </c>
      <c r="AC3212">
        <v>536</v>
      </c>
      <c r="AD3212">
        <v>26.35</v>
      </c>
      <c r="AE3212">
        <v>542</v>
      </c>
      <c r="AF3212">
        <v>15</v>
      </c>
      <c r="AG3212">
        <v>174</v>
      </c>
      <c r="AH3212">
        <v>129</v>
      </c>
      <c r="AI3212">
        <v>2.77</v>
      </c>
      <c r="AJ3212">
        <v>32.1</v>
      </c>
      <c r="AK3212">
        <v>23.8</v>
      </c>
      <c r="AL3212">
        <v>-20.142523099999948</v>
      </c>
      <c r="AM3212">
        <v>-44.891523817588819</v>
      </c>
      <c r="AN3212">
        <v>-20.142523099999948</v>
      </c>
      <c r="AO3212">
        <v>-44.891523817588819</v>
      </c>
      <c r="AP3212">
        <v>-20.142457</v>
      </c>
      <c r="AQ3212">
        <v>-44.891688000000002</v>
      </c>
      <c r="AR3212">
        <v>18.670129248632971</v>
      </c>
      <c r="AS3212" t="s">
        <v>65</v>
      </c>
      <c r="AT3212">
        <v>1</v>
      </c>
      <c r="AU3212" t="s">
        <v>533</v>
      </c>
      <c r="AV3212" t="s">
        <v>534</v>
      </c>
      <c r="AW3212" t="s">
        <v>60</v>
      </c>
      <c r="AX3212" t="s">
        <v>68</v>
      </c>
      <c r="AY3212" t="s">
        <v>69</v>
      </c>
      <c r="AZ3212" t="b">
        <v>1</v>
      </c>
    </row>
    <row r="3213" spans="1:52" x14ac:dyDescent="0.3">
      <c r="A3213" t="s">
        <v>52</v>
      </c>
      <c r="B3213" t="s">
        <v>53</v>
      </c>
      <c r="C3213" t="s">
        <v>54</v>
      </c>
      <c r="D3213" t="s">
        <v>55</v>
      </c>
      <c r="E3213" t="s">
        <v>2163</v>
      </c>
      <c r="F3213" t="s">
        <v>1247</v>
      </c>
      <c r="G3213" t="s">
        <v>535</v>
      </c>
      <c r="H3213" t="s">
        <v>536</v>
      </c>
      <c r="I3213" t="s">
        <v>536</v>
      </c>
      <c r="J3213" t="s">
        <v>60</v>
      </c>
      <c r="K3213" t="s">
        <v>388</v>
      </c>
      <c r="L3213" t="s">
        <v>62</v>
      </c>
      <c r="M3213" t="s">
        <v>388</v>
      </c>
      <c r="N3213" t="s">
        <v>537</v>
      </c>
      <c r="O3213" t="s">
        <v>538</v>
      </c>
      <c r="P3213">
        <v>-20.150061999999998</v>
      </c>
      <c r="Q3213">
        <v>-44.903379000000001</v>
      </c>
      <c r="R3213" s="2" t="str">
        <f>HYPERLINK("https://www.google.com/maps?q=-20.1500620,-44.9033790","Abrir no Google Maps")</f>
        <v>Abrir no Google Maps</v>
      </c>
      <c r="S3213">
        <v>3</v>
      </c>
      <c r="T3213">
        <v>286.20313674219977</v>
      </c>
      <c r="U3213">
        <v>4</v>
      </c>
      <c r="V3213">
        <v>0.48513501970689799</v>
      </c>
      <c r="W3213">
        <v>1</v>
      </c>
      <c r="X3213">
        <v>0.48513501970689799</v>
      </c>
      <c r="Y3213">
        <v>556</v>
      </c>
      <c r="Z3213">
        <v>315.81851898667401</v>
      </c>
      <c r="AA3213">
        <v>198</v>
      </c>
      <c r="AB3213">
        <v>332</v>
      </c>
      <c r="AC3213">
        <v>536</v>
      </c>
      <c r="AD3213">
        <v>26.35</v>
      </c>
      <c r="AE3213">
        <v>542</v>
      </c>
      <c r="AF3213">
        <v>15</v>
      </c>
      <c r="AG3213">
        <v>174</v>
      </c>
      <c r="AH3213">
        <v>129</v>
      </c>
      <c r="AI3213">
        <v>2.77</v>
      </c>
      <c r="AJ3213">
        <v>32.1</v>
      </c>
      <c r="AK3213">
        <v>23.8</v>
      </c>
      <c r="AL3213">
        <v>-20.150084299999971</v>
      </c>
      <c r="AM3213">
        <v>-44.903278407568479</v>
      </c>
      <c r="AN3213">
        <v>-20.150084299999971</v>
      </c>
      <c r="AO3213">
        <v>-44.903278407568479</v>
      </c>
      <c r="AP3213">
        <v>-20.150061999999998</v>
      </c>
      <c r="AQ3213">
        <v>-44.903379000000001</v>
      </c>
      <c r="AR3213">
        <v>10.801687336134639</v>
      </c>
      <c r="AS3213" t="s">
        <v>65</v>
      </c>
      <c r="AT3213">
        <v>1</v>
      </c>
      <c r="AU3213" t="s">
        <v>539</v>
      </c>
      <c r="AV3213" t="s">
        <v>540</v>
      </c>
      <c r="AW3213" t="s">
        <v>60</v>
      </c>
      <c r="AX3213" t="s">
        <v>68</v>
      </c>
      <c r="AY3213" t="s">
        <v>69</v>
      </c>
      <c r="AZ3213" t="b">
        <v>1</v>
      </c>
    </row>
    <row r="3214" spans="1:52" x14ac:dyDescent="0.3">
      <c r="A3214" t="s">
        <v>52</v>
      </c>
      <c r="B3214" t="s">
        <v>53</v>
      </c>
      <c r="C3214" t="s">
        <v>54</v>
      </c>
      <c r="D3214" t="s">
        <v>55</v>
      </c>
      <c r="E3214" t="s">
        <v>2163</v>
      </c>
      <c r="F3214" t="s">
        <v>1247</v>
      </c>
      <c r="G3214" t="s">
        <v>398</v>
      </c>
      <c r="H3214" t="s">
        <v>541</v>
      </c>
      <c r="I3214" t="s">
        <v>541</v>
      </c>
      <c r="J3214" t="s">
        <v>60</v>
      </c>
      <c r="K3214" t="s">
        <v>388</v>
      </c>
      <c r="L3214" t="s">
        <v>62</v>
      </c>
      <c r="M3214" t="s">
        <v>388</v>
      </c>
      <c r="N3214" t="s">
        <v>400</v>
      </c>
      <c r="O3214" t="s">
        <v>542</v>
      </c>
      <c r="P3214">
        <v>-20.151335</v>
      </c>
      <c r="Q3214">
        <v>-44.901041999999997</v>
      </c>
      <c r="R3214" s="2" t="str">
        <f>HYPERLINK("https://www.google.com/maps?q=-20.1513350,-44.9010420","Abrir no Google Maps")</f>
        <v>Abrir no Google Maps</v>
      </c>
      <c r="S3214">
        <v>3</v>
      </c>
      <c r="T3214">
        <v>0</v>
      </c>
      <c r="U3214">
        <v>4</v>
      </c>
      <c r="V3214">
        <v>0.42621807683766377</v>
      </c>
      <c r="W3214">
        <v>1</v>
      </c>
      <c r="X3214">
        <v>0.42621807683766377</v>
      </c>
      <c r="Y3214">
        <v>556</v>
      </c>
      <c r="Z3214">
        <v>137.71609036908939</v>
      </c>
      <c r="AA3214">
        <v>198</v>
      </c>
      <c r="AB3214">
        <v>332</v>
      </c>
      <c r="AC3214">
        <v>536</v>
      </c>
      <c r="AD3214">
        <v>26.35</v>
      </c>
      <c r="AE3214">
        <v>542</v>
      </c>
      <c r="AF3214">
        <v>15</v>
      </c>
      <c r="AG3214">
        <v>174</v>
      </c>
      <c r="AH3214">
        <v>129</v>
      </c>
      <c r="AI3214">
        <v>2.77</v>
      </c>
      <c r="AJ3214">
        <v>32.1</v>
      </c>
      <c r="AK3214">
        <v>23.8</v>
      </c>
      <c r="AL3214">
        <v>-20.15125899999995</v>
      </c>
      <c r="AM3214">
        <v>-44.900838557594433</v>
      </c>
      <c r="AN3214">
        <v>-20.15125899999995</v>
      </c>
      <c r="AO3214">
        <v>-44.900838557594433</v>
      </c>
      <c r="AP3214">
        <v>-20.151335</v>
      </c>
      <c r="AQ3214">
        <v>-44.901041999999997</v>
      </c>
      <c r="AR3214">
        <v>22.882363139483491</v>
      </c>
      <c r="AS3214" t="s">
        <v>65</v>
      </c>
      <c r="AT3214">
        <v>1</v>
      </c>
      <c r="AU3214" t="s">
        <v>543</v>
      </c>
      <c r="AV3214" t="s">
        <v>544</v>
      </c>
      <c r="AW3214" t="s">
        <v>60</v>
      </c>
      <c r="AX3214" t="s">
        <v>68</v>
      </c>
      <c r="AY3214" t="s">
        <v>69</v>
      </c>
      <c r="AZ3214" t="b">
        <v>1</v>
      </c>
    </row>
    <row r="3215" spans="1:52" x14ac:dyDescent="0.3">
      <c r="A3215" t="s">
        <v>52</v>
      </c>
      <c r="B3215" t="s">
        <v>53</v>
      </c>
      <c r="C3215" t="s">
        <v>54</v>
      </c>
      <c r="D3215" t="s">
        <v>55</v>
      </c>
      <c r="E3215" t="s">
        <v>2163</v>
      </c>
      <c r="F3215" t="s">
        <v>1247</v>
      </c>
      <c r="G3215" t="s">
        <v>545</v>
      </c>
      <c r="H3215" t="s">
        <v>546</v>
      </c>
      <c r="I3215" t="s">
        <v>546</v>
      </c>
      <c r="J3215" t="s">
        <v>60</v>
      </c>
      <c r="K3215" t="s">
        <v>388</v>
      </c>
      <c r="L3215" t="s">
        <v>62</v>
      </c>
      <c r="M3215" t="s">
        <v>388</v>
      </c>
      <c r="N3215" t="s">
        <v>547</v>
      </c>
      <c r="O3215" t="s">
        <v>548</v>
      </c>
      <c r="P3215">
        <v>-20.155839</v>
      </c>
      <c r="Q3215">
        <v>-44.905655000000003</v>
      </c>
      <c r="R3215" s="2" t="str">
        <f>HYPERLINK("https://www.google.com/maps?q=-20.1558390,-44.9056550","Abrir no Google Maps")</f>
        <v>Abrir no Google Maps</v>
      </c>
      <c r="S3215">
        <v>3</v>
      </c>
      <c r="T3215">
        <v>309.7643089121122</v>
      </c>
      <c r="U3215">
        <v>4</v>
      </c>
      <c r="V3215">
        <v>0.46025078369905947</v>
      </c>
      <c r="W3215">
        <v>1</v>
      </c>
      <c r="X3215">
        <v>0.46025078369905947</v>
      </c>
      <c r="Y3215">
        <v>548</v>
      </c>
      <c r="Z3215">
        <v>284.24281731793161</v>
      </c>
      <c r="AA3215">
        <v>198</v>
      </c>
      <c r="AB3215">
        <v>332</v>
      </c>
      <c r="AC3215">
        <v>536</v>
      </c>
      <c r="AD3215">
        <v>26.35</v>
      </c>
      <c r="AE3215">
        <v>542</v>
      </c>
      <c r="AF3215">
        <v>15</v>
      </c>
      <c r="AG3215">
        <v>174</v>
      </c>
      <c r="AH3215">
        <v>129</v>
      </c>
      <c r="AI3215">
        <v>2.77</v>
      </c>
      <c r="AJ3215">
        <v>32.1</v>
      </c>
      <c r="AK3215">
        <v>23.8</v>
      </c>
      <c r="AL3215">
        <v>-20.155913549999951</v>
      </c>
      <c r="AM3215">
        <v>-44.905554508392683</v>
      </c>
      <c r="AN3215">
        <v>-20.155913549999951</v>
      </c>
      <c r="AO3215">
        <v>-44.905554508392669</v>
      </c>
      <c r="AP3215">
        <v>-20.155839</v>
      </c>
      <c r="AQ3215">
        <v>-44.905655000000003</v>
      </c>
      <c r="AR3215">
        <v>13.384922093797449</v>
      </c>
      <c r="AS3215" t="s">
        <v>65</v>
      </c>
      <c r="AT3215">
        <v>1</v>
      </c>
      <c r="AU3215" t="s">
        <v>549</v>
      </c>
      <c r="AV3215" t="s">
        <v>550</v>
      </c>
      <c r="AW3215" t="s">
        <v>60</v>
      </c>
      <c r="AX3215" t="s">
        <v>68</v>
      </c>
      <c r="AY3215" t="s">
        <v>69</v>
      </c>
      <c r="AZ3215" t="b">
        <v>1</v>
      </c>
    </row>
    <row r="3216" spans="1:52" x14ac:dyDescent="0.3">
      <c r="A3216" t="s">
        <v>52</v>
      </c>
      <c r="B3216" t="s">
        <v>53</v>
      </c>
      <c r="C3216" t="s">
        <v>54</v>
      </c>
      <c r="D3216" t="s">
        <v>55</v>
      </c>
      <c r="E3216" t="s">
        <v>2163</v>
      </c>
      <c r="F3216" t="s">
        <v>1247</v>
      </c>
      <c r="G3216" t="s">
        <v>551</v>
      </c>
      <c r="H3216" t="s">
        <v>552</v>
      </c>
      <c r="I3216" t="s">
        <v>552</v>
      </c>
      <c r="J3216" t="s">
        <v>60</v>
      </c>
      <c r="K3216" t="s">
        <v>388</v>
      </c>
      <c r="L3216" t="s">
        <v>62</v>
      </c>
      <c r="M3216" t="s">
        <v>388</v>
      </c>
      <c r="N3216" t="s">
        <v>553</v>
      </c>
      <c r="O3216" t="s">
        <v>315</v>
      </c>
      <c r="P3216">
        <v>-20.153086999999999</v>
      </c>
      <c r="Q3216">
        <v>-44.905451999999997</v>
      </c>
      <c r="R3216" s="2" t="str">
        <f>HYPERLINK("https://www.google.com/maps?q=-20.1530870,-44.9054520","Abrir no Google Maps")</f>
        <v>Abrir no Google Maps</v>
      </c>
      <c r="S3216">
        <v>3</v>
      </c>
      <c r="T3216">
        <v>313.69387682409018</v>
      </c>
      <c r="U3216">
        <v>4</v>
      </c>
      <c r="V3216">
        <v>0.41692331019610479</v>
      </c>
      <c r="W3216">
        <v>1</v>
      </c>
      <c r="X3216">
        <v>0.41692331019610479</v>
      </c>
      <c r="Y3216">
        <v>548</v>
      </c>
      <c r="Z3216">
        <v>319.51605309906859</v>
      </c>
      <c r="AA3216">
        <v>198</v>
      </c>
      <c r="AB3216">
        <v>332</v>
      </c>
      <c r="AC3216">
        <v>536</v>
      </c>
      <c r="AD3216">
        <v>26.35</v>
      </c>
      <c r="AE3216">
        <v>542</v>
      </c>
      <c r="AF3216">
        <v>15</v>
      </c>
      <c r="AG3216">
        <v>174</v>
      </c>
      <c r="AH3216">
        <v>129</v>
      </c>
      <c r="AI3216">
        <v>2.77</v>
      </c>
      <c r="AJ3216">
        <v>32.1</v>
      </c>
      <c r="AK3216">
        <v>23.8</v>
      </c>
      <c r="AL3216">
        <v>-20.153043049999951</v>
      </c>
      <c r="AM3216">
        <v>-44.905348275899513</v>
      </c>
      <c r="AN3216">
        <v>-20.153043049999951</v>
      </c>
      <c r="AO3216">
        <v>-44.905348275899513</v>
      </c>
      <c r="AP3216">
        <v>-20.153086999999999</v>
      </c>
      <c r="AQ3216">
        <v>-44.905451999999997</v>
      </c>
      <c r="AR3216">
        <v>11.892619975648341</v>
      </c>
      <c r="AS3216" t="s">
        <v>65</v>
      </c>
      <c r="AT3216">
        <v>1</v>
      </c>
      <c r="AU3216" t="s">
        <v>554</v>
      </c>
      <c r="AV3216" t="s">
        <v>555</v>
      </c>
      <c r="AW3216" t="s">
        <v>60</v>
      </c>
      <c r="AX3216" t="s">
        <v>68</v>
      </c>
      <c r="AY3216" t="s">
        <v>69</v>
      </c>
      <c r="AZ3216" t="b">
        <v>1</v>
      </c>
    </row>
    <row r="3217" spans="1:52" x14ac:dyDescent="0.3">
      <c r="A3217" t="s">
        <v>52</v>
      </c>
      <c r="B3217" t="s">
        <v>53</v>
      </c>
      <c r="C3217" t="s">
        <v>54</v>
      </c>
      <c r="D3217" t="s">
        <v>55</v>
      </c>
      <c r="E3217" t="s">
        <v>2163</v>
      </c>
      <c r="F3217" t="s">
        <v>1247</v>
      </c>
      <c r="G3217" t="s">
        <v>556</v>
      </c>
      <c r="H3217" t="s">
        <v>557</v>
      </c>
      <c r="I3217" t="s">
        <v>557</v>
      </c>
      <c r="J3217" t="s">
        <v>60</v>
      </c>
      <c r="K3217" t="s">
        <v>388</v>
      </c>
      <c r="L3217" t="s">
        <v>62</v>
      </c>
      <c r="M3217" t="s">
        <v>388</v>
      </c>
      <c r="N3217" t="s">
        <v>558</v>
      </c>
      <c r="O3217" t="s">
        <v>559</v>
      </c>
      <c r="P3217">
        <v>-20.152670000000001</v>
      </c>
      <c r="Q3217">
        <v>-44.902557999999999</v>
      </c>
      <c r="R3217" s="2" t="str">
        <f>HYPERLINK("https://www.google.com/maps?q=-20.1526700,-44.9025580","Abrir no Google Maps")</f>
        <v>Abrir no Google Maps</v>
      </c>
      <c r="S3217">
        <v>3</v>
      </c>
      <c r="T3217">
        <v>228.56195217678911</v>
      </c>
      <c r="U3217">
        <v>4</v>
      </c>
      <c r="V3217">
        <v>0.47572649572649572</v>
      </c>
      <c r="W3217">
        <v>1</v>
      </c>
      <c r="X3217">
        <v>0.47572649572649572</v>
      </c>
      <c r="Y3217">
        <v>548</v>
      </c>
      <c r="Z3217">
        <v>250.63133895224919</v>
      </c>
      <c r="AA3217">
        <v>198</v>
      </c>
      <c r="AB3217">
        <v>332</v>
      </c>
      <c r="AC3217">
        <v>536</v>
      </c>
      <c r="AD3217">
        <v>26.35</v>
      </c>
      <c r="AE3217">
        <v>542</v>
      </c>
      <c r="AF3217">
        <v>15</v>
      </c>
      <c r="AG3217">
        <v>174</v>
      </c>
      <c r="AH3217">
        <v>129</v>
      </c>
      <c r="AI3217">
        <v>2.77</v>
      </c>
      <c r="AJ3217">
        <v>32.1</v>
      </c>
      <c r="AK3217">
        <v>23.8</v>
      </c>
      <c r="AL3217">
        <v>-20.152629799999939</v>
      </c>
      <c r="AM3217">
        <v>-44.902604744705201</v>
      </c>
      <c r="AN3217">
        <v>-20.152629799999939</v>
      </c>
      <c r="AO3217">
        <v>-44.902604744705201</v>
      </c>
      <c r="AP3217">
        <v>-20.152670000000001</v>
      </c>
      <c r="AQ3217">
        <v>-44.902557999999999</v>
      </c>
      <c r="AR3217">
        <v>6.6249428037111509</v>
      </c>
      <c r="AS3217" t="s">
        <v>65</v>
      </c>
      <c r="AT3217">
        <v>1</v>
      </c>
      <c r="AU3217" t="s">
        <v>560</v>
      </c>
      <c r="AV3217" t="s">
        <v>561</v>
      </c>
      <c r="AW3217" t="s">
        <v>60</v>
      </c>
      <c r="AX3217" t="s">
        <v>68</v>
      </c>
      <c r="AY3217" t="s">
        <v>69</v>
      </c>
      <c r="AZ3217" t="b">
        <v>1</v>
      </c>
    </row>
    <row r="3218" spans="1:52" x14ac:dyDescent="0.3">
      <c r="A3218" t="s">
        <v>52</v>
      </c>
      <c r="B3218" t="s">
        <v>53</v>
      </c>
      <c r="C3218" t="s">
        <v>54</v>
      </c>
      <c r="D3218" t="s">
        <v>55</v>
      </c>
      <c r="E3218" t="s">
        <v>2163</v>
      </c>
      <c r="F3218" t="s">
        <v>1247</v>
      </c>
      <c r="G3218" t="s">
        <v>562</v>
      </c>
      <c r="H3218" t="s">
        <v>563</v>
      </c>
      <c r="I3218" t="s">
        <v>563</v>
      </c>
      <c r="J3218" t="s">
        <v>60</v>
      </c>
      <c r="K3218" t="s">
        <v>388</v>
      </c>
      <c r="L3218" t="s">
        <v>62</v>
      </c>
      <c r="M3218" t="s">
        <v>388</v>
      </c>
      <c r="N3218" t="s">
        <v>564</v>
      </c>
      <c r="O3218" t="s">
        <v>565</v>
      </c>
      <c r="P3218">
        <v>-20.154432</v>
      </c>
      <c r="Q3218">
        <v>-44.902977999999997</v>
      </c>
      <c r="R3218" s="2" t="str">
        <f>HYPERLINK("https://www.google.com/maps?q=-20.1544320,-44.9029780","Abrir no Google Maps")</f>
        <v>Abrir no Google Maps</v>
      </c>
      <c r="S3218">
        <v>3</v>
      </c>
      <c r="T3218">
        <v>0</v>
      </c>
      <c r="U3218">
        <v>4</v>
      </c>
      <c r="V3218">
        <v>0.47802936185685702</v>
      </c>
      <c r="W3218">
        <v>1</v>
      </c>
      <c r="X3218">
        <v>0.47802936185685702</v>
      </c>
      <c r="Y3218">
        <v>548</v>
      </c>
      <c r="Z3218">
        <v>29.424211042533759</v>
      </c>
      <c r="AA3218">
        <v>198</v>
      </c>
      <c r="AB3218">
        <v>332</v>
      </c>
      <c r="AC3218">
        <v>536</v>
      </c>
      <c r="AD3218">
        <v>26.35</v>
      </c>
      <c r="AE3218">
        <v>542</v>
      </c>
      <c r="AF3218">
        <v>15</v>
      </c>
      <c r="AG3218">
        <v>174</v>
      </c>
      <c r="AH3218">
        <v>129</v>
      </c>
      <c r="AI3218">
        <v>2.77</v>
      </c>
      <c r="AJ3218">
        <v>32.1</v>
      </c>
      <c r="AK3218">
        <v>23.8</v>
      </c>
      <c r="AL3218">
        <v>-20.15467689999997</v>
      </c>
      <c r="AM3218">
        <v>-44.902895281771222</v>
      </c>
      <c r="AN3218">
        <v>-20.15467689999997</v>
      </c>
      <c r="AO3218">
        <v>-44.902895281771222</v>
      </c>
      <c r="AP3218">
        <v>-20.154432</v>
      </c>
      <c r="AQ3218">
        <v>-44.902977999999997</v>
      </c>
      <c r="AR3218">
        <v>28.5999270636025</v>
      </c>
      <c r="AS3218" t="s">
        <v>65</v>
      </c>
      <c r="AT3218">
        <v>1</v>
      </c>
      <c r="AU3218" t="s">
        <v>566</v>
      </c>
      <c r="AV3218" t="s">
        <v>567</v>
      </c>
      <c r="AW3218" t="s">
        <v>60</v>
      </c>
      <c r="AX3218" t="s">
        <v>68</v>
      </c>
      <c r="AY3218" t="s">
        <v>69</v>
      </c>
      <c r="AZ3218" t="b">
        <v>1</v>
      </c>
    </row>
    <row r="3219" spans="1:52" x14ac:dyDescent="0.3">
      <c r="A3219" t="s">
        <v>52</v>
      </c>
      <c r="B3219" t="s">
        <v>53</v>
      </c>
      <c r="C3219" t="s">
        <v>54</v>
      </c>
      <c r="D3219" t="s">
        <v>55</v>
      </c>
      <c r="E3219" t="s">
        <v>2163</v>
      </c>
      <c r="F3219" t="s">
        <v>1247</v>
      </c>
      <c r="G3219" t="s">
        <v>568</v>
      </c>
      <c r="H3219" t="s">
        <v>569</v>
      </c>
      <c r="I3219" t="s">
        <v>569</v>
      </c>
      <c r="J3219" t="s">
        <v>60</v>
      </c>
      <c r="K3219" t="s">
        <v>61</v>
      </c>
      <c r="L3219" t="s">
        <v>62</v>
      </c>
      <c r="M3219" t="s">
        <v>61</v>
      </c>
      <c r="N3219" t="s">
        <v>570</v>
      </c>
      <c r="O3219" t="s">
        <v>548</v>
      </c>
      <c r="P3219">
        <v>-20.151508</v>
      </c>
      <c r="Q3219">
        <v>-44.907826</v>
      </c>
      <c r="R3219" s="2" t="str">
        <f>HYPERLINK("https://www.google.com/maps?q=-20.1515080,-44.9078260","Abrir no Google Maps")</f>
        <v>Abrir no Google Maps</v>
      </c>
      <c r="S3219">
        <v>3</v>
      </c>
      <c r="T3219">
        <v>567.15905416240514</v>
      </c>
      <c r="U3219">
        <v>4</v>
      </c>
      <c r="V3219">
        <v>0.56585858585858584</v>
      </c>
      <c r="W3219">
        <v>0.85</v>
      </c>
      <c r="X3219">
        <v>0.48097979797979801</v>
      </c>
      <c r="Y3219">
        <v>548</v>
      </c>
      <c r="Z3219">
        <v>560.49158010771464</v>
      </c>
      <c r="AA3219">
        <v>198</v>
      </c>
      <c r="AB3219">
        <v>332</v>
      </c>
      <c r="AC3219">
        <v>536</v>
      </c>
      <c r="AD3219">
        <v>26.35</v>
      </c>
      <c r="AE3219">
        <v>542</v>
      </c>
      <c r="AF3219">
        <v>15</v>
      </c>
      <c r="AG3219">
        <v>174</v>
      </c>
      <c r="AH3219">
        <v>129</v>
      </c>
      <c r="AI3219">
        <v>2.77</v>
      </c>
      <c r="AJ3219">
        <v>32.1</v>
      </c>
      <c r="AK3219">
        <v>23.8</v>
      </c>
      <c r="AL3219">
        <v>-20.15211779999996</v>
      </c>
      <c r="AM3219">
        <v>-44.907597469593128</v>
      </c>
      <c r="AN3219">
        <v>-20.15211779999996</v>
      </c>
      <c r="AO3219">
        <v>-44.907597469593128</v>
      </c>
      <c r="AP3219">
        <v>-20.151508</v>
      </c>
      <c r="AQ3219">
        <v>-44.907826</v>
      </c>
      <c r="AR3219">
        <v>71.961597929314735</v>
      </c>
      <c r="AS3219" t="s">
        <v>65</v>
      </c>
      <c r="AT3219">
        <v>1</v>
      </c>
      <c r="AU3219" t="s">
        <v>571</v>
      </c>
      <c r="AV3219" t="s">
        <v>572</v>
      </c>
      <c r="AW3219" t="s">
        <v>60</v>
      </c>
      <c r="AX3219" t="s">
        <v>68</v>
      </c>
      <c r="AY3219" t="s">
        <v>69</v>
      </c>
      <c r="AZ3219" t="b">
        <v>1</v>
      </c>
    </row>
    <row r="3220" spans="1:52" x14ac:dyDescent="0.3">
      <c r="A3220" t="s">
        <v>52</v>
      </c>
      <c r="B3220" t="s">
        <v>53</v>
      </c>
      <c r="C3220" t="s">
        <v>54</v>
      </c>
      <c r="D3220" t="s">
        <v>55</v>
      </c>
      <c r="E3220" t="s">
        <v>2163</v>
      </c>
      <c r="F3220" t="s">
        <v>1247</v>
      </c>
      <c r="G3220" t="s">
        <v>380</v>
      </c>
      <c r="H3220" t="s">
        <v>381</v>
      </c>
      <c r="I3220" t="s">
        <v>381</v>
      </c>
      <c r="J3220" t="s">
        <v>60</v>
      </c>
      <c r="K3220" t="s">
        <v>72</v>
      </c>
      <c r="L3220" t="s">
        <v>62</v>
      </c>
      <c r="M3220" t="s">
        <v>72</v>
      </c>
      <c r="N3220" t="s">
        <v>382</v>
      </c>
      <c r="O3220" t="s">
        <v>383</v>
      </c>
      <c r="P3220">
        <v>-20.147182000000001</v>
      </c>
      <c r="Q3220">
        <v>-44.912728999999999</v>
      </c>
      <c r="R3220" s="2" t="str">
        <f>HYPERLINK("https://www.google.com/maps?q=-20.1471820,-44.9127290","Abrir no Google Maps")</f>
        <v>Abrir no Google Maps</v>
      </c>
      <c r="S3220">
        <v>3</v>
      </c>
      <c r="T3220">
        <v>478.0141981540923</v>
      </c>
      <c r="U3220">
        <v>3</v>
      </c>
      <c r="V3220">
        <v>0.38944326148530561</v>
      </c>
      <c r="W3220">
        <v>1</v>
      </c>
      <c r="X3220">
        <v>0.38944326148530561</v>
      </c>
      <c r="Y3220">
        <v>747</v>
      </c>
      <c r="Z3220">
        <v>494.0254290673729</v>
      </c>
      <c r="AA3220">
        <v>198</v>
      </c>
      <c r="AB3220">
        <v>332</v>
      </c>
      <c r="AC3220">
        <v>536</v>
      </c>
      <c r="AD3220">
        <v>26.35</v>
      </c>
      <c r="AE3220">
        <v>542</v>
      </c>
      <c r="AF3220">
        <v>15</v>
      </c>
      <c r="AG3220">
        <v>174</v>
      </c>
      <c r="AH3220">
        <v>129</v>
      </c>
      <c r="AI3220">
        <v>2.77</v>
      </c>
      <c r="AJ3220">
        <v>32.1</v>
      </c>
      <c r="AK3220">
        <v>23.8</v>
      </c>
      <c r="AL3220">
        <v>-20.147375599999979</v>
      </c>
      <c r="AM3220">
        <v>-44.912907472879468</v>
      </c>
      <c r="AN3220">
        <v>-20.147375599999979</v>
      </c>
      <c r="AO3220">
        <v>-44.912907472879468</v>
      </c>
      <c r="AP3220">
        <v>-20.147182000000001</v>
      </c>
      <c r="AQ3220">
        <v>-44.912728999999999</v>
      </c>
      <c r="AR3220">
        <v>28.50197694184326</v>
      </c>
      <c r="AS3220" t="s">
        <v>65</v>
      </c>
      <c r="AT3220">
        <v>1</v>
      </c>
      <c r="AU3220" t="s">
        <v>384</v>
      </c>
      <c r="AV3220" t="s">
        <v>385</v>
      </c>
      <c r="AW3220" t="s">
        <v>60</v>
      </c>
      <c r="AX3220" t="s">
        <v>68</v>
      </c>
      <c r="AY3220" t="s">
        <v>69</v>
      </c>
      <c r="AZ3220" t="b">
        <v>1</v>
      </c>
    </row>
    <row r="3221" spans="1:52" x14ac:dyDescent="0.3">
      <c r="A3221" t="s">
        <v>52</v>
      </c>
      <c r="B3221" t="s">
        <v>53</v>
      </c>
      <c r="C3221" t="s">
        <v>54</v>
      </c>
      <c r="D3221" t="s">
        <v>55</v>
      </c>
      <c r="E3221" t="s">
        <v>2163</v>
      </c>
      <c r="F3221" t="s">
        <v>1247</v>
      </c>
      <c r="G3221" t="s">
        <v>833</v>
      </c>
      <c r="H3221" t="s">
        <v>834</v>
      </c>
      <c r="I3221" t="s">
        <v>834</v>
      </c>
      <c r="J3221" t="s">
        <v>60</v>
      </c>
      <c r="K3221" t="s">
        <v>388</v>
      </c>
      <c r="L3221" t="s">
        <v>62</v>
      </c>
      <c r="M3221" t="s">
        <v>388</v>
      </c>
      <c r="N3221" t="s">
        <v>835</v>
      </c>
      <c r="O3221" t="s">
        <v>836</v>
      </c>
      <c r="P3221">
        <v>-20.157906000000001</v>
      </c>
      <c r="Q3221">
        <v>-44.900458999999998</v>
      </c>
      <c r="R3221" s="2" t="str">
        <f>HYPERLINK("https://www.google.com/maps?q=-20.1579060,-44.9004590","Abrir no Google Maps")</f>
        <v>Abrir no Google Maps</v>
      </c>
      <c r="S3221">
        <v>3</v>
      </c>
      <c r="T3221">
        <v>0</v>
      </c>
      <c r="U3221">
        <v>3</v>
      </c>
      <c r="V3221">
        <v>0.3756077229980051</v>
      </c>
      <c r="W3221">
        <v>1</v>
      </c>
      <c r="X3221">
        <v>0.3756077229980051</v>
      </c>
      <c r="Y3221">
        <v>729</v>
      </c>
      <c r="Z3221">
        <v>203.63168486652771</v>
      </c>
      <c r="AA3221">
        <v>198</v>
      </c>
      <c r="AB3221">
        <v>332</v>
      </c>
      <c r="AC3221">
        <v>536</v>
      </c>
      <c r="AD3221">
        <v>26.35</v>
      </c>
      <c r="AE3221">
        <v>542</v>
      </c>
      <c r="AF3221">
        <v>15</v>
      </c>
      <c r="AG3221">
        <v>174</v>
      </c>
      <c r="AH3221">
        <v>129</v>
      </c>
      <c r="AI3221">
        <v>2.77</v>
      </c>
      <c r="AJ3221">
        <v>32.1</v>
      </c>
      <c r="AK3221">
        <v>23.8</v>
      </c>
      <c r="AL3221">
        <v>-20.157925749999951</v>
      </c>
      <c r="AM3221">
        <v>-44.900484707799812</v>
      </c>
      <c r="AN3221">
        <v>-20.157925749999951</v>
      </c>
      <c r="AO3221">
        <v>-44.900484707799812</v>
      </c>
      <c r="AP3221">
        <v>-20.157906000000001</v>
      </c>
      <c r="AQ3221">
        <v>-44.900458999999998</v>
      </c>
      <c r="AR3221">
        <v>3.4714515960382508</v>
      </c>
      <c r="AS3221" t="s">
        <v>65</v>
      </c>
      <c r="AT3221">
        <v>1</v>
      </c>
      <c r="AU3221" t="s">
        <v>837</v>
      </c>
      <c r="AV3221" t="s">
        <v>838</v>
      </c>
      <c r="AW3221" t="s">
        <v>60</v>
      </c>
      <c r="AX3221" t="s">
        <v>68</v>
      </c>
      <c r="AY3221" t="s">
        <v>69</v>
      </c>
      <c r="AZ3221" t="b">
        <v>1</v>
      </c>
    </row>
    <row r="3222" spans="1:52" x14ac:dyDescent="0.3">
      <c r="A3222" t="s">
        <v>52</v>
      </c>
      <c r="B3222" t="s">
        <v>53</v>
      </c>
      <c r="C3222" t="s">
        <v>54</v>
      </c>
      <c r="D3222" t="s">
        <v>55</v>
      </c>
      <c r="E3222" t="s">
        <v>2163</v>
      </c>
      <c r="F3222" t="s">
        <v>1247</v>
      </c>
      <c r="G3222" t="s">
        <v>839</v>
      </c>
      <c r="H3222" t="s">
        <v>840</v>
      </c>
      <c r="I3222" t="s">
        <v>840</v>
      </c>
      <c r="J3222" t="s">
        <v>60</v>
      </c>
      <c r="K3222" t="s">
        <v>388</v>
      </c>
      <c r="L3222" t="s">
        <v>62</v>
      </c>
      <c r="M3222" t="s">
        <v>388</v>
      </c>
      <c r="N3222" t="s">
        <v>841</v>
      </c>
      <c r="O3222" t="s">
        <v>842</v>
      </c>
      <c r="P3222">
        <v>-20.159977999999999</v>
      </c>
      <c r="Q3222">
        <v>-44.900207000000002</v>
      </c>
      <c r="R3222" s="2" t="str">
        <f>HYPERLINK("https://www.google.com/maps?q=-20.1599780,-44.9002070","Abrir no Google Maps")</f>
        <v>Abrir no Google Maps</v>
      </c>
      <c r="S3222">
        <v>3</v>
      </c>
      <c r="T3222">
        <v>213.24333517300789</v>
      </c>
      <c r="U3222">
        <v>3</v>
      </c>
      <c r="V3222">
        <v>0.38841376015289059</v>
      </c>
      <c r="W3222">
        <v>1</v>
      </c>
      <c r="X3222">
        <v>0.38841376015289059</v>
      </c>
      <c r="Y3222">
        <v>729</v>
      </c>
      <c r="Z3222">
        <v>315.47173727880028</v>
      </c>
      <c r="AA3222">
        <v>198</v>
      </c>
      <c r="AB3222">
        <v>332</v>
      </c>
      <c r="AC3222">
        <v>536</v>
      </c>
      <c r="AD3222">
        <v>26.35</v>
      </c>
      <c r="AE3222">
        <v>542</v>
      </c>
      <c r="AF3222">
        <v>15</v>
      </c>
      <c r="AG3222">
        <v>174</v>
      </c>
      <c r="AH3222">
        <v>129</v>
      </c>
      <c r="AI3222">
        <v>2.77</v>
      </c>
      <c r="AJ3222">
        <v>32.1</v>
      </c>
      <c r="AK3222">
        <v>23.8</v>
      </c>
      <c r="AL3222">
        <v>-20.159825649999959</v>
      </c>
      <c r="AM3222">
        <v>-44.900143828909613</v>
      </c>
      <c r="AN3222">
        <v>-20.159825649999959</v>
      </c>
      <c r="AO3222">
        <v>-44.900143828909613</v>
      </c>
      <c r="AP3222">
        <v>-20.159977999999999</v>
      </c>
      <c r="AQ3222">
        <v>-44.900207000000002</v>
      </c>
      <c r="AR3222">
        <v>18.199073573580371</v>
      </c>
      <c r="AS3222" t="s">
        <v>65</v>
      </c>
      <c r="AT3222">
        <v>1</v>
      </c>
      <c r="AU3222" t="s">
        <v>843</v>
      </c>
      <c r="AV3222" t="s">
        <v>844</v>
      </c>
      <c r="AW3222" t="s">
        <v>60</v>
      </c>
      <c r="AX3222" t="s">
        <v>68</v>
      </c>
      <c r="AY3222" t="s">
        <v>69</v>
      </c>
      <c r="AZ3222" t="b">
        <v>1</v>
      </c>
    </row>
    <row r="3223" spans="1:52" x14ac:dyDescent="0.3">
      <c r="A3223" t="s">
        <v>52</v>
      </c>
      <c r="B3223" t="s">
        <v>53</v>
      </c>
      <c r="C3223" t="s">
        <v>54</v>
      </c>
      <c r="D3223" t="s">
        <v>55</v>
      </c>
      <c r="E3223" t="s">
        <v>2163</v>
      </c>
      <c r="F3223" t="s">
        <v>1247</v>
      </c>
      <c r="G3223" t="s">
        <v>839</v>
      </c>
      <c r="H3223" t="s">
        <v>1274</v>
      </c>
      <c r="I3223" t="s">
        <v>1274</v>
      </c>
      <c r="J3223" t="s">
        <v>60</v>
      </c>
      <c r="K3223" t="s">
        <v>388</v>
      </c>
      <c r="L3223" t="s">
        <v>62</v>
      </c>
      <c r="M3223" t="s">
        <v>388</v>
      </c>
      <c r="N3223" t="s">
        <v>841</v>
      </c>
      <c r="O3223" t="s">
        <v>1275</v>
      </c>
      <c r="P3223">
        <v>-20.157979999999998</v>
      </c>
      <c r="Q3223">
        <v>-44.906365999999998</v>
      </c>
      <c r="R3223" s="2" t="str">
        <f>HYPERLINK("https://www.google.com/maps?q=-20.1579800,-44.9063660","Abrir no Google Maps")</f>
        <v>Abrir no Google Maps</v>
      </c>
      <c r="S3223">
        <v>3</v>
      </c>
      <c r="T3223">
        <v>519.48953004348823</v>
      </c>
      <c r="U3223">
        <v>3</v>
      </c>
      <c r="V3223">
        <v>0.40677470677470667</v>
      </c>
      <c r="W3223">
        <v>0.85</v>
      </c>
      <c r="X3223">
        <v>0.34575850075850068</v>
      </c>
      <c r="Y3223">
        <v>729</v>
      </c>
      <c r="Z3223">
        <v>393.22938248316768</v>
      </c>
      <c r="AA3223">
        <v>198</v>
      </c>
      <c r="AB3223">
        <v>332</v>
      </c>
      <c r="AC3223">
        <v>536</v>
      </c>
      <c r="AD3223">
        <v>26.35</v>
      </c>
      <c r="AE3223">
        <v>542</v>
      </c>
      <c r="AF3223">
        <v>15</v>
      </c>
      <c r="AG3223">
        <v>174</v>
      </c>
      <c r="AH3223">
        <v>129</v>
      </c>
      <c r="AI3223">
        <v>2.77</v>
      </c>
      <c r="AJ3223">
        <v>32.1</v>
      </c>
      <c r="AK3223">
        <v>23.8</v>
      </c>
      <c r="AL3223">
        <v>-20.157977799999941</v>
      </c>
      <c r="AM3223">
        <v>-44.906429896327573</v>
      </c>
      <c r="AN3223">
        <v>-20.157977799999941</v>
      </c>
      <c r="AO3223">
        <v>-44.906429896327573</v>
      </c>
      <c r="AP3223">
        <v>-20.157979999999998</v>
      </c>
      <c r="AQ3223">
        <v>-44.906365999999998</v>
      </c>
      <c r="AR3223">
        <v>6.6817330699236734</v>
      </c>
      <c r="AS3223" t="s">
        <v>65</v>
      </c>
      <c r="AT3223">
        <v>1</v>
      </c>
      <c r="AU3223" t="s">
        <v>1276</v>
      </c>
      <c r="AV3223" t="s">
        <v>1277</v>
      </c>
      <c r="AW3223" t="s">
        <v>60</v>
      </c>
      <c r="AX3223" t="s">
        <v>68</v>
      </c>
      <c r="AY3223" t="s">
        <v>69</v>
      </c>
      <c r="AZ3223" t="b">
        <v>1</v>
      </c>
    </row>
    <row r="3224" spans="1:52" x14ac:dyDescent="0.3">
      <c r="A3224" t="s">
        <v>52</v>
      </c>
      <c r="B3224" t="s">
        <v>53</v>
      </c>
      <c r="C3224" t="s">
        <v>54</v>
      </c>
      <c r="D3224" t="s">
        <v>55</v>
      </c>
      <c r="E3224" t="s">
        <v>2163</v>
      </c>
      <c r="F3224" t="s">
        <v>1247</v>
      </c>
      <c r="G3224" t="s">
        <v>1283</v>
      </c>
      <c r="H3224" t="s">
        <v>1284</v>
      </c>
      <c r="I3224" t="s">
        <v>1284</v>
      </c>
      <c r="J3224" t="s">
        <v>60</v>
      </c>
      <c r="K3224" t="s">
        <v>388</v>
      </c>
      <c r="L3224" t="s">
        <v>62</v>
      </c>
      <c r="M3224" t="s">
        <v>388</v>
      </c>
      <c r="N3224" t="s">
        <v>400</v>
      </c>
      <c r="O3224" t="s">
        <v>1285</v>
      </c>
      <c r="P3224">
        <v>-20.156977999999999</v>
      </c>
      <c r="Q3224">
        <v>-44.90325</v>
      </c>
      <c r="R3224" s="2" t="str">
        <f>HYPERLINK("https://www.google.com/maps?q=-20.1569780,-44.9032500","Abrir no Google Maps")</f>
        <v>Abrir no Google Maps</v>
      </c>
      <c r="S3224">
        <v>3</v>
      </c>
      <c r="T3224">
        <v>256.05633739092571</v>
      </c>
      <c r="U3224">
        <v>3</v>
      </c>
      <c r="V3224">
        <v>0.39084331814875778</v>
      </c>
      <c r="W3224">
        <v>0.85</v>
      </c>
      <c r="X3224">
        <v>0.33221682042644413</v>
      </c>
      <c r="Y3224">
        <v>729</v>
      </c>
      <c r="Z3224">
        <v>162.99447055889971</v>
      </c>
      <c r="AA3224">
        <v>198</v>
      </c>
      <c r="AB3224">
        <v>332</v>
      </c>
      <c r="AC3224">
        <v>536</v>
      </c>
      <c r="AD3224">
        <v>26.35</v>
      </c>
      <c r="AE3224">
        <v>542</v>
      </c>
      <c r="AF3224">
        <v>15</v>
      </c>
      <c r="AG3224">
        <v>174</v>
      </c>
      <c r="AH3224">
        <v>129</v>
      </c>
      <c r="AI3224">
        <v>2.77</v>
      </c>
      <c r="AJ3224">
        <v>32.1</v>
      </c>
      <c r="AK3224">
        <v>23.8</v>
      </c>
      <c r="AL3224">
        <v>-20.15696524999996</v>
      </c>
      <c r="AM3224">
        <v>-44.903258102626708</v>
      </c>
      <c r="AN3224">
        <v>-20.15696524999996</v>
      </c>
      <c r="AO3224">
        <v>-44.903258102626708</v>
      </c>
      <c r="AP3224">
        <v>-20.156977999999999</v>
      </c>
      <c r="AQ3224">
        <v>-44.90325</v>
      </c>
      <c r="AR3224">
        <v>1.6527147033629741</v>
      </c>
      <c r="AS3224" t="s">
        <v>65</v>
      </c>
      <c r="AT3224">
        <v>1</v>
      </c>
      <c r="AU3224" t="s">
        <v>1286</v>
      </c>
      <c r="AV3224" t="s">
        <v>1287</v>
      </c>
      <c r="AW3224" t="s">
        <v>60</v>
      </c>
      <c r="AX3224" t="s">
        <v>68</v>
      </c>
      <c r="AY3224" t="s">
        <v>69</v>
      </c>
      <c r="AZ3224" t="b">
        <v>1</v>
      </c>
    </row>
    <row r="3225" spans="1:52" x14ac:dyDescent="0.3">
      <c r="A3225" t="s">
        <v>52</v>
      </c>
      <c r="B3225" t="s">
        <v>53</v>
      </c>
      <c r="C3225" t="s">
        <v>54</v>
      </c>
      <c r="D3225" t="s">
        <v>55</v>
      </c>
      <c r="E3225" t="s">
        <v>2163</v>
      </c>
      <c r="F3225" t="s">
        <v>1247</v>
      </c>
      <c r="G3225" t="s">
        <v>1288</v>
      </c>
      <c r="H3225" t="s">
        <v>1289</v>
      </c>
      <c r="I3225" t="s">
        <v>1289</v>
      </c>
      <c r="J3225" t="s">
        <v>60</v>
      </c>
      <c r="K3225" t="s">
        <v>1290</v>
      </c>
      <c r="L3225" t="s">
        <v>62</v>
      </c>
      <c r="M3225" t="s">
        <v>1290</v>
      </c>
      <c r="N3225" t="s">
        <v>1291</v>
      </c>
      <c r="O3225" t="s">
        <v>315</v>
      </c>
      <c r="P3225">
        <v>-20.171008</v>
      </c>
      <c r="Q3225">
        <v>-44.918908999999999</v>
      </c>
      <c r="R3225" s="2" t="str">
        <f>HYPERLINK("https://www.google.com/maps?q=-20.1710080,-44.9189090","Abrir no Google Maps")</f>
        <v>Abrir no Google Maps</v>
      </c>
      <c r="S3225">
        <v>3</v>
      </c>
      <c r="T3225">
        <v>972.86786700299888</v>
      </c>
      <c r="U3225">
        <v>3</v>
      </c>
      <c r="V3225">
        <v>0.42686715135492398</v>
      </c>
      <c r="W3225">
        <v>0.85</v>
      </c>
      <c r="X3225">
        <v>0.36283707865168541</v>
      </c>
      <c r="Y3225">
        <v>723</v>
      </c>
      <c r="Z3225">
        <v>690.55600110253613</v>
      </c>
      <c r="AA3225">
        <v>198</v>
      </c>
      <c r="AB3225">
        <v>332</v>
      </c>
      <c r="AC3225">
        <v>536</v>
      </c>
      <c r="AD3225">
        <v>26.35</v>
      </c>
      <c r="AE3225">
        <v>542</v>
      </c>
      <c r="AF3225">
        <v>15</v>
      </c>
      <c r="AG3225">
        <v>174</v>
      </c>
      <c r="AH3225">
        <v>129</v>
      </c>
      <c r="AI3225">
        <v>2.77</v>
      </c>
      <c r="AJ3225">
        <v>32.1</v>
      </c>
      <c r="AK3225">
        <v>23.8</v>
      </c>
      <c r="AL3225">
        <v>-20.171738249999979</v>
      </c>
      <c r="AM3225">
        <v>-44.919736490382917</v>
      </c>
      <c r="AN3225">
        <v>-20.171738249999979</v>
      </c>
      <c r="AO3225">
        <v>-44.919736490382931</v>
      </c>
      <c r="AP3225">
        <v>-20.171008</v>
      </c>
      <c r="AQ3225">
        <v>-44.918908999999999</v>
      </c>
      <c r="AR3225">
        <v>118.678920061485</v>
      </c>
      <c r="AS3225" t="s">
        <v>65</v>
      </c>
      <c r="AT3225">
        <v>1</v>
      </c>
      <c r="AU3225" t="s">
        <v>1292</v>
      </c>
      <c r="AV3225" t="s">
        <v>1293</v>
      </c>
      <c r="AW3225" t="s">
        <v>60</v>
      </c>
      <c r="AX3225" t="s">
        <v>68</v>
      </c>
      <c r="AY3225" t="s">
        <v>69</v>
      </c>
      <c r="AZ3225" t="b">
        <v>1</v>
      </c>
    </row>
    <row r="3226" spans="1:52" x14ac:dyDescent="0.3">
      <c r="A3226" t="s">
        <v>52</v>
      </c>
      <c r="B3226" t="s">
        <v>53</v>
      </c>
      <c r="C3226" t="s">
        <v>54</v>
      </c>
      <c r="D3226" t="s">
        <v>55</v>
      </c>
      <c r="E3226" t="s">
        <v>2163</v>
      </c>
      <c r="F3226" t="s">
        <v>1247</v>
      </c>
      <c r="G3226" t="s">
        <v>1294</v>
      </c>
      <c r="H3226" t="s">
        <v>1295</v>
      </c>
      <c r="I3226" t="s">
        <v>1295</v>
      </c>
      <c r="J3226" t="s">
        <v>60</v>
      </c>
      <c r="K3226" t="s">
        <v>418</v>
      </c>
      <c r="L3226" t="s">
        <v>62</v>
      </c>
      <c r="M3226" t="s">
        <v>418</v>
      </c>
      <c r="N3226" t="s">
        <v>1296</v>
      </c>
      <c r="O3226" t="s">
        <v>1297</v>
      </c>
      <c r="P3226">
        <v>-20.169899999999998</v>
      </c>
      <c r="Q3226">
        <v>-44.916176999999998</v>
      </c>
      <c r="R3226" s="2" t="str">
        <f>HYPERLINK("https://www.google.com/maps?q=-20.1699000,-44.9161770","Abrir no Google Maps")</f>
        <v>Abrir no Google Maps</v>
      </c>
      <c r="S3226">
        <v>3</v>
      </c>
      <c r="T3226">
        <v>658.15251036568407</v>
      </c>
      <c r="U3226">
        <v>3</v>
      </c>
      <c r="V3226">
        <v>0.38051569629996151</v>
      </c>
      <c r="W3226">
        <v>0.85</v>
      </c>
      <c r="X3226">
        <v>0.32343834185496728</v>
      </c>
      <c r="Y3226">
        <v>723</v>
      </c>
      <c r="Z3226">
        <v>400.39092274559039</v>
      </c>
      <c r="AA3226">
        <v>198</v>
      </c>
      <c r="AB3226">
        <v>332</v>
      </c>
      <c r="AC3226">
        <v>536</v>
      </c>
      <c r="AD3226">
        <v>26.35</v>
      </c>
      <c r="AE3226">
        <v>542</v>
      </c>
      <c r="AF3226">
        <v>15</v>
      </c>
      <c r="AG3226">
        <v>174</v>
      </c>
      <c r="AH3226">
        <v>129</v>
      </c>
      <c r="AI3226">
        <v>2.77</v>
      </c>
      <c r="AJ3226">
        <v>32.1</v>
      </c>
      <c r="AK3226">
        <v>23.8</v>
      </c>
      <c r="AL3226">
        <v>-20.169898399999941</v>
      </c>
      <c r="AM3226">
        <v>-44.916247682868359</v>
      </c>
      <c r="AN3226">
        <v>-20.169898399999941</v>
      </c>
      <c r="AO3226">
        <v>-44.916247682868359</v>
      </c>
      <c r="AP3226">
        <v>-20.169899999999998</v>
      </c>
      <c r="AQ3226">
        <v>-44.916176999999998</v>
      </c>
      <c r="AR3226">
        <v>7.388028048308902</v>
      </c>
      <c r="AS3226" t="s">
        <v>65</v>
      </c>
      <c r="AT3226">
        <v>1</v>
      </c>
      <c r="AU3226" t="s">
        <v>1298</v>
      </c>
      <c r="AV3226" t="s">
        <v>1299</v>
      </c>
      <c r="AW3226" t="s">
        <v>60</v>
      </c>
      <c r="AX3226" t="s">
        <v>68</v>
      </c>
      <c r="AY3226" t="s">
        <v>69</v>
      </c>
      <c r="AZ3226" t="b">
        <v>1</v>
      </c>
    </row>
    <row r="3227" spans="1:52" x14ac:dyDescent="0.3">
      <c r="A3227" t="s">
        <v>52</v>
      </c>
      <c r="B3227" t="s">
        <v>53</v>
      </c>
      <c r="C3227" t="s">
        <v>54</v>
      </c>
      <c r="D3227" t="s">
        <v>55</v>
      </c>
      <c r="E3227" t="s">
        <v>2163</v>
      </c>
      <c r="F3227" t="s">
        <v>1247</v>
      </c>
      <c r="G3227" t="s">
        <v>1300</v>
      </c>
      <c r="H3227" t="s">
        <v>1301</v>
      </c>
      <c r="I3227" t="s">
        <v>1301</v>
      </c>
      <c r="J3227" t="s">
        <v>60</v>
      </c>
      <c r="K3227" t="s">
        <v>1302</v>
      </c>
      <c r="L3227" t="s">
        <v>62</v>
      </c>
      <c r="M3227" t="s">
        <v>1302</v>
      </c>
      <c r="N3227" t="s">
        <v>1303</v>
      </c>
      <c r="O3227" t="s">
        <v>1304</v>
      </c>
      <c r="P3227">
        <v>-20.166618</v>
      </c>
      <c r="Q3227">
        <v>-44.912920999999997</v>
      </c>
      <c r="R3227" s="2" t="str">
        <f>HYPERLINK("https://www.google.com/maps?q=-20.1666180,-44.9129210","Abrir no Google Maps")</f>
        <v>Abrir no Google Maps</v>
      </c>
      <c r="S3227">
        <v>3</v>
      </c>
      <c r="T3227">
        <v>636.32880156364706</v>
      </c>
      <c r="U3227">
        <v>3</v>
      </c>
      <c r="V3227">
        <v>0.37891954134838379</v>
      </c>
      <c r="W3227">
        <v>0.85</v>
      </c>
      <c r="X3227">
        <v>0.32208161014612618</v>
      </c>
      <c r="Y3227">
        <v>723</v>
      </c>
      <c r="Z3227">
        <v>407.62145176971592</v>
      </c>
      <c r="AA3227">
        <v>198</v>
      </c>
      <c r="AB3227">
        <v>332</v>
      </c>
      <c r="AC3227">
        <v>536</v>
      </c>
      <c r="AD3227">
        <v>26.35</v>
      </c>
      <c r="AE3227">
        <v>542</v>
      </c>
      <c r="AF3227">
        <v>15</v>
      </c>
      <c r="AG3227">
        <v>174</v>
      </c>
      <c r="AH3227">
        <v>129</v>
      </c>
      <c r="AI3227">
        <v>2.77</v>
      </c>
      <c r="AJ3227">
        <v>32.1</v>
      </c>
      <c r="AK3227">
        <v>23.8</v>
      </c>
      <c r="AL3227">
        <v>-20.166924799999951</v>
      </c>
      <c r="AM3227">
        <v>-44.912868681724092</v>
      </c>
      <c r="AN3227">
        <v>-20.166924799999951</v>
      </c>
      <c r="AO3227">
        <v>-44.912868681724092</v>
      </c>
      <c r="AP3227">
        <v>-20.166618</v>
      </c>
      <c r="AQ3227">
        <v>-44.912920999999997</v>
      </c>
      <c r="AR3227">
        <v>34.587771860198139</v>
      </c>
      <c r="AS3227" t="s">
        <v>65</v>
      </c>
      <c r="AT3227">
        <v>1</v>
      </c>
      <c r="AU3227" t="s">
        <v>1305</v>
      </c>
      <c r="AV3227" t="s">
        <v>1306</v>
      </c>
      <c r="AW3227" t="s">
        <v>60</v>
      </c>
      <c r="AX3227" t="s">
        <v>68</v>
      </c>
      <c r="AY3227" t="s">
        <v>69</v>
      </c>
      <c r="AZ3227" t="b">
        <v>1</v>
      </c>
    </row>
    <row r="3228" spans="1:52" x14ac:dyDescent="0.3">
      <c r="A3228" t="s">
        <v>52</v>
      </c>
      <c r="B3228" t="s">
        <v>53</v>
      </c>
      <c r="C3228" t="s">
        <v>54</v>
      </c>
      <c r="D3228" t="s">
        <v>55</v>
      </c>
      <c r="E3228" t="s">
        <v>2163</v>
      </c>
      <c r="F3228" t="s">
        <v>1247</v>
      </c>
      <c r="G3228" t="s">
        <v>422</v>
      </c>
      <c r="H3228" t="s">
        <v>423</v>
      </c>
      <c r="I3228" t="s">
        <v>423</v>
      </c>
      <c r="J3228" t="s">
        <v>60</v>
      </c>
      <c r="K3228" t="s">
        <v>424</v>
      </c>
      <c r="L3228" t="s">
        <v>62</v>
      </c>
      <c r="M3228" t="s">
        <v>424</v>
      </c>
      <c r="N3228" t="s">
        <v>425</v>
      </c>
      <c r="O3228" t="s">
        <v>426</v>
      </c>
      <c r="P3228">
        <v>-20.177748000000001</v>
      </c>
      <c r="Q3228">
        <v>-44.912475000000001</v>
      </c>
      <c r="R3228" s="2" t="str">
        <f>HYPERLINK("https://www.google.com/maps?q=-20.1777480,-44.9124750","Abrir no Google Maps")</f>
        <v>Abrir no Google Maps</v>
      </c>
      <c r="S3228">
        <v>3</v>
      </c>
      <c r="T3228">
        <v>657.07560140436533</v>
      </c>
      <c r="U3228">
        <v>3</v>
      </c>
      <c r="V3228">
        <v>0.37095418792980611</v>
      </c>
      <c r="W3228">
        <v>1</v>
      </c>
      <c r="X3228">
        <v>0.37095418792980611</v>
      </c>
      <c r="Y3228">
        <v>723</v>
      </c>
      <c r="Z3228">
        <v>796.94198000561175</v>
      </c>
      <c r="AA3228">
        <v>198</v>
      </c>
      <c r="AB3228">
        <v>332</v>
      </c>
      <c r="AC3228">
        <v>536</v>
      </c>
      <c r="AD3228">
        <v>26.35</v>
      </c>
      <c r="AE3228">
        <v>542</v>
      </c>
      <c r="AF3228">
        <v>15</v>
      </c>
      <c r="AG3228">
        <v>174</v>
      </c>
      <c r="AH3228">
        <v>129</v>
      </c>
      <c r="AI3228">
        <v>2.77</v>
      </c>
      <c r="AJ3228">
        <v>32.1</v>
      </c>
      <c r="AK3228">
        <v>23.8</v>
      </c>
      <c r="AL3228">
        <v>-20.177761749999949</v>
      </c>
      <c r="AM3228">
        <v>-44.91263311624418</v>
      </c>
      <c r="AN3228">
        <v>-20.177761749999949</v>
      </c>
      <c r="AO3228">
        <v>-44.91263311624418</v>
      </c>
      <c r="AP3228">
        <v>-20.177748000000001</v>
      </c>
      <c r="AQ3228">
        <v>-44.912475000000001</v>
      </c>
      <c r="AR3228">
        <v>16.591996803075372</v>
      </c>
      <c r="AS3228" t="s">
        <v>65</v>
      </c>
      <c r="AT3228">
        <v>1</v>
      </c>
      <c r="AU3228" t="s">
        <v>427</v>
      </c>
      <c r="AV3228" t="s">
        <v>428</v>
      </c>
      <c r="AW3228" t="s">
        <v>60</v>
      </c>
      <c r="AX3228" t="s">
        <v>68</v>
      </c>
      <c r="AY3228" t="s">
        <v>69</v>
      </c>
      <c r="AZ3228" t="b">
        <v>1</v>
      </c>
    </row>
    <row r="3229" spans="1:52" x14ac:dyDescent="0.3">
      <c r="A3229" t="s">
        <v>52</v>
      </c>
      <c r="B3229" t="s">
        <v>53</v>
      </c>
      <c r="C3229" t="s">
        <v>54</v>
      </c>
      <c r="D3229" t="s">
        <v>55</v>
      </c>
      <c r="E3229" t="s">
        <v>2163</v>
      </c>
      <c r="F3229" t="s">
        <v>1247</v>
      </c>
      <c r="G3229" t="s">
        <v>422</v>
      </c>
      <c r="H3229" t="s">
        <v>1323</v>
      </c>
      <c r="I3229" t="s">
        <v>1323</v>
      </c>
      <c r="J3229" t="s">
        <v>60</v>
      </c>
      <c r="K3229" t="s">
        <v>1324</v>
      </c>
      <c r="L3229" t="s">
        <v>62</v>
      </c>
      <c r="M3229" t="s">
        <v>1324</v>
      </c>
      <c r="N3229" t="s">
        <v>425</v>
      </c>
      <c r="O3229" t="s">
        <v>1325</v>
      </c>
      <c r="P3229">
        <v>-20.175142000000001</v>
      </c>
      <c r="Q3229">
        <v>-44.913783000000002</v>
      </c>
      <c r="R3229" s="2" t="str">
        <f>HYPERLINK("https://www.google.com/maps?q=-20.1751420,-44.9137830","Abrir no Google Maps")</f>
        <v>Abrir no Google Maps</v>
      </c>
      <c r="S3229">
        <v>3</v>
      </c>
      <c r="T3229">
        <v>495.73888273066677</v>
      </c>
      <c r="U3229">
        <v>3</v>
      </c>
      <c r="V3229">
        <v>0.40204743790557168</v>
      </c>
      <c r="W3229">
        <v>0.85</v>
      </c>
      <c r="X3229">
        <v>0.34174032221973588</v>
      </c>
      <c r="Y3229">
        <v>723</v>
      </c>
      <c r="Z3229">
        <v>488.51574748236328</v>
      </c>
      <c r="AA3229">
        <v>198</v>
      </c>
      <c r="AB3229">
        <v>332</v>
      </c>
      <c r="AC3229">
        <v>536</v>
      </c>
      <c r="AD3229">
        <v>26.35</v>
      </c>
      <c r="AE3229">
        <v>542</v>
      </c>
      <c r="AF3229">
        <v>15</v>
      </c>
      <c r="AG3229">
        <v>174</v>
      </c>
      <c r="AH3229">
        <v>129</v>
      </c>
      <c r="AI3229">
        <v>2.77</v>
      </c>
      <c r="AJ3229">
        <v>32.1</v>
      </c>
      <c r="AK3229">
        <v>23.8</v>
      </c>
      <c r="AL3229">
        <v>-20.175195199999958</v>
      </c>
      <c r="AM3229">
        <v>-44.913964122548052</v>
      </c>
      <c r="AN3229">
        <v>-20.175195199999958</v>
      </c>
      <c r="AO3229">
        <v>-44.913964122548052</v>
      </c>
      <c r="AP3229">
        <v>-20.175142000000001</v>
      </c>
      <c r="AQ3229">
        <v>-44.913783000000002</v>
      </c>
      <c r="AR3229">
        <v>19.830402633152101</v>
      </c>
      <c r="AS3229" t="s">
        <v>65</v>
      </c>
      <c r="AT3229">
        <v>1</v>
      </c>
      <c r="AU3229" t="s">
        <v>1326</v>
      </c>
      <c r="AV3229" t="s">
        <v>1327</v>
      </c>
      <c r="AW3229" t="s">
        <v>60</v>
      </c>
      <c r="AX3229" t="s">
        <v>68</v>
      </c>
      <c r="AY3229" t="s">
        <v>69</v>
      </c>
      <c r="AZ3229" t="b">
        <v>1</v>
      </c>
    </row>
    <row r="3230" spans="1:52" x14ac:dyDescent="0.3">
      <c r="A3230" t="s">
        <v>52</v>
      </c>
      <c r="B3230" t="s">
        <v>53</v>
      </c>
      <c r="C3230" t="s">
        <v>54</v>
      </c>
      <c r="D3230" t="s">
        <v>55</v>
      </c>
      <c r="E3230" t="s">
        <v>2163</v>
      </c>
      <c r="F3230" t="s">
        <v>1247</v>
      </c>
      <c r="G3230" t="s">
        <v>1328</v>
      </c>
      <c r="H3230" t="s">
        <v>1329</v>
      </c>
      <c r="I3230" t="s">
        <v>1329</v>
      </c>
      <c r="J3230" t="s">
        <v>60</v>
      </c>
      <c r="K3230" t="s">
        <v>1324</v>
      </c>
      <c r="L3230" t="s">
        <v>62</v>
      </c>
      <c r="M3230" t="s">
        <v>1324</v>
      </c>
      <c r="N3230" t="s">
        <v>1330</v>
      </c>
      <c r="O3230" t="s">
        <v>1331</v>
      </c>
      <c r="P3230">
        <v>-20.172984</v>
      </c>
      <c r="Q3230">
        <v>-44.915225999999997</v>
      </c>
      <c r="R3230" s="2" t="str">
        <f>HYPERLINK("https://www.google.com/maps?q=-20.1729840,-44.9152260","Abrir no Google Maps")</f>
        <v>Abrir no Google Maps</v>
      </c>
      <c r="S3230">
        <v>3</v>
      </c>
      <c r="T3230">
        <v>498.21203543103741</v>
      </c>
      <c r="U3230">
        <v>3</v>
      </c>
      <c r="V3230">
        <v>0.430929866036249</v>
      </c>
      <c r="W3230">
        <v>0.85</v>
      </c>
      <c r="X3230">
        <v>0.36629038613081172</v>
      </c>
      <c r="Y3230">
        <v>723</v>
      </c>
      <c r="Z3230">
        <v>297.36167326949931</v>
      </c>
      <c r="AA3230">
        <v>198</v>
      </c>
      <c r="AB3230">
        <v>332</v>
      </c>
      <c r="AC3230">
        <v>536</v>
      </c>
      <c r="AD3230">
        <v>26.35</v>
      </c>
      <c r="AE3230">
        <v>542</v>
      </c>
      <c r="AF3230">
        <v>15</v>
      </c>
      <c r="AG3230">
        <v>174</v>
      </c>
      <c r="AH3230">
        <v>129</v>
      </c>
      <c r="AI3230">
        <v>2.77</v>
      </c>
      <c r="AJ3230">
        <v>32.1</v>
      </c>
      <c r="AK3230">
        <v>23.8</v>
      </c>
      <c r="AL3230">
        <v>-20.172838899999959</v>
      </c>
      <c r="AM3230">
        <v>-44.915158011603552</v>
      </c>
      <c r="AN3230">
        <v>-20.172838899999959</v>
      </c>
      <c r="AO3230">
        <v>-44.915158011603552</v>
      </c>
      <c r="AP3230">
        <v>-20.172984</v>
      </c>
      <c r="AQ3230">
        <v>-44.915225999999997</v>
      </c>
      <c r="AR3230">
        <v>17.645788305942119</v>
      </c>
      <c r="AS3230" t="s">
        <v>65</v>
      </c>
      <c r="AT3230">
        <v>1</v>
      </c>
      <c r="AU3230" t="s">
        <v>1332</v>
      </c>
      <c r="AV3230" t="s">
        <v>1327</v>
      </c>
      <c r="AW3230" t="s">
        <v>60</v>
      </c>
      <c r="AX3230" t="s">
        <v>68</v>
      </c>
      <c r="AY3230" t="s">
        <v>69</v>
      </c>
      <c r="AZ3230" t="b">
        <v>1</v>
      </c>
    </row>
    <row r="3231" spans="1:52" x14ac:dyDescent="0.3">
      <c r="A3231" t="s">
        <v>52</v>
      </c>
      <c r="B3231" t="s">
        <v>53</v>
      </c>
      <c r="C3231" t="s">
        <v>54</v>
      </c>
      <c r="D3231" t="s">
        <v>55</v>
      </c>
      <c r="E3231" t="s">
        <v>2163</v>
      </c>
      <c r="F3231" t="s">
        <v>1247</v>
      </c>
      <c r="G3231" t="s">
        <v>1333</v>
      </c>
      <c r="H3231" t="s">
        <v>1334</v>
      </c>
      <c r="I3231" t="s">
        <v>1334</v>
      </c>
      <c r="J3231" t="s">
        <v>60</v>
      </c>
      <c r="K3231" t="s">
        <v>437</v>
      </c>
      <c r="L3231" t="s">
        <v>62</v>
      </c>
      <c r="M3231" t="s">
        <v>437</v>
      </c>
      <c r="N3231" t="s">
        <v>1335</v>
      </c>
      <c r="O3231" t="s">
        <v>807</v>
      </c>
      <c r="P3231">
        <v>-20.148</v>
      </c>
      <c r="Q3231">
        <v>-44.880944999999997</v>
      </c>
      <c r="R3231" s="2" t="str">
        <f>HYPERLINK("https://www.google.com/maps?q=-20.1480000,-44.8809450","Abrir no Google Maps")</f>
        <v>Abrir no Google Maps</v>
      </c>
      <c r="S3231">
        <v>3</v>
      </c>
      <c r="T3231">
        <v>0</v>
      </c>
      <c r="U3231">
        <v>3</v>
      </c>
      <c r="V3231">
        <v>0.4208605390925832</v>
      </c>
      <c r="W3231">
        <v>0.85</v>
      </c>
      <c r="X3231">
        <v>0.35773145822869568</v>
      </c>
      <c r="Y3231">
        <v>653</v>
      </c>
      <c r="Z3231">
        <v>108.2792411420544</v>
      </c>
      <c r="AA3231">
        <v>198</v>
      </c>
      <c r="AB3231">
        <v>332</v>
      </c>
      <c r="AC3231">
        <v>536</v>
      </c>
      <c r="AD3231">
        <v>26.35</v>
      </c>
      <c r="AE3231">
        <v>542</v>
      </c>
      <c r="AF3231">
        <v>15</v>
      </c>
      <c r="AG3231">
        <v>174</v>
      </c>
      <c r="AH3231">
        <v>129</v>
      </c>
      <c r="AI3231">
        <v>2.77</v>
      </c>
      <c r="AJ3231">
        <v>32.1</v>
      </c>
      <c r="AK3231">
        <v>23.8</v>
      </c>
      <c r="AL3231">
        <v>-20.14802099999994</v>
      </c>
      <c r="AM3231">
        <v>-44.880951206225959</v>
      </c>
      <c r="AN3231">
        <v>-20.14802099999994</v>
      </c>
      <c r="AO3231">
        <v>-44.880951206225959</v>
      </c>
      <c r="AP3231">
        <v>-20.148</v>
      </c>
      <c r="AQ3231">
        <v>-44.880944999999997</v>
      </c>
      <c r="AR3231">
        <v>2.4260288619737169</v>
      </c>
      <c r="AS3231" t="s">
        <v>65</v>
      </c>
      <c r="AT3231">
        <v>1</v>
      </c>
      <c r="AU3231" t="s">
        <v>1336</v>
      </c>
      <c r="AV3231" t="s">
        <v>1337</v>
      </c>
      <c r="AW3231" t="s">
        <v>60</v>
      </c>
      <c r="AX3231" t="s">
        <v>68</v>
      </c>
      <c r="AY3231" t="s">
        <v>69</v>
      </c>
      <c r="AZ3231" t="b">
        <v>1</v>
      </c>
    </row>
    <row r="3232" spans="1:52" x14ac:dyDescent="0.3">
      <c r="A3232" t="s">
        <v>52</v>
      </c>
      <c r="B3232" t="s">
        <v>53</v>
      </c>
      <c r="C3232" t="s">
        <v>54</v>
      </c>
      <c r="D3232" t="s">
        <v>55</v>
      </c>
      <c r="E3232" t="s">
        <v>2163</v>
      </c>
      <c r="F3232" t="s">
        <v>1247</v>
      </c>
      <c r="G3232" t="s">
        <v>479</v>
      </c>
      <c r="H3232" t="s">
        <v>1338</v>
      </c>
      <c r="I3232" t="s">
        <v>1338</v>
      </c>
      <c r="J3232" t="s">
        <v>60</v>
      </c>
      <c r="K3232" t="s">
        <v>1302</v>
      </c>
      <c r="L3232" t="s">
        <v>62</v>
      </c>
      <c r="M3232" t="s">
        <v>1302</v>
      </c>
      <c r="N3232" t="s">
        <v>481</v>
      </c>
      <c r="O3232" t="s">
        <v>1339</v>
      </c>
      <c r="P3232">
        <v>-20.165590000000002</v>
      </c>
      <c r="Q3232">
        <v>-44.907876000000002</v>
      </c>
      <c r="R3232" s="2" t="str">
        <f>HYPERLINK("https://www.google.com/maps?q=-20.1655900,-44.9078760","Abrir no Google Maps")</f>
        <v>Abrir no Google Maps</v>
      </c>
      <c r="S3232">
        <v>3</v>
      </c>
      <c r="T3232">
        <v>626.07643944893005</v>
      </c>
      <c r="U3232">
        <v>3</v>
      </c>
      <c r="V3232">
        <v>0.44426937249078807</v>
      </c>
      <c r="W3232">
        <v>0.85</v>
      </c>
      <c r="X3232">
        <v>0.37762896661716983</v>
      </c>
      <c r="Y3232">
        <v>639</v>
      </c>
      <c r="Z3232">
        <v>723.2656461789519</v>
      </c>
      <c r="AA3232">
        <v>198</v>
      </c>
      <c r="AB3232">
        <v>332</v>
      </c>
      <c r="AC3232">
        <v>536</v>
      </c>
      <c r="AD3232">
        <v>26.35</v>
      </c>
      <c r="AE3232">
        <v>542</v>
      </c>
      <c r="AF3232">
        <v>15</v>
      </c>
      <c r="AG3232">
        <v>174</v>
      </c>
      <c r="AH3232">
        <v>129</v>
      </c>
      <c r="AI3232">
        <v>2.77</v>
      </c>
      <c r="AJ3232">
        <v>32.1</v>
      </c>
      <c r="AK3232">
        <v>23.8</v>
      </c>
      <c r="AL3232">
        <v>-20.16561419999994</v>
      </c>
      <c r="AM3232">
        <v>-44.907783360572083</v>
      </c>
      <c r="AN3232">
        <v>-20.16561419999994</v>
      </c>
      <c r="AO3232">
        <v>-44.907783360572083</v>
      </c>
      <c r="AP3232">
        <v>-20.165590000000002</v>
      </c>
      <c r="AQ3232">
        <v>-44.907876000000002</v>
      </c>
      <c r="AR3232">
        <v>10.04831364257741</v>
      </c>
      <c r="AS3232" t="s">
        <v>65</v>
      </c>
      <c r="AT3232">
        <v>1</v>
      </c>
      <c r="AU3232" t="s">
        <v>1340</v>
      </c>
      <c r="AV3232" t="s">
        <v>1341</v>
      </c>
      <c r="AW3232" t="s">
        <v>60</v>
      </c>
      <c r="AX3232" t="s">
        <v>68</v>
      </c>
      <c r="AY3232" t="s">
        <v>69</v>
      </c>
      <c r="AZ3232" t="b">
        <v>1</v>
      </c>
    </row>
    <row r="3233" spans="1:52" x14ac:dyDescent="0.3">
      <c r="A3233" t="s">
        <v>52</v>
      </c>
      <c r="B3233" t="s">
        <v>53</v>
      </c>
      <c r="C3233" t="s">
        <v>54</v>
      </c>
      <c r="D3233" t="s">
        <v>55</v>
      </c>
      <c r="E3233" t="s">
        <v>2163</v>
      </c>
      <c r="F3233" t="s">
        <v>1247</v>
      </c>
      <c r="G3233" t="s">
        <v>1342</v>
      </c>
      <c r="H3233" t="s">
        <v>1343</v>
      </c>
      <c r="I3233" t="s">
        <v>1343</v>
      </c>
      <c r="J3233" t="s">
        <v>60</v>
      </c>
      <c r="K3233" t="s">
        <v>462</v>
      </c>
      <c r="L3233" t="s">
        <v>62</v>
      </c>
      <c r="M3233" t="s">
        <v>462</v>
      </c>
      <c r="N3233" t="s">
        <v>921</v>
      </c>
      <c r="O3233" t="s">
        <v>1344</v>
      </c>
      <c r="P3233">
        <v>-20.137526000000001</v>
      </c>
      <c r="Q3233">
        <v>-44.912452999999999</v>
      </c>
      <c r="R3233" s="2" t="str">
        <f>HYPERLINK("https://www.google.com/maps?q=-20.1375260,-44.9124530","Abrir no Google Maps")</f>
        <v>Abrir no Google Maps</v>
      </c>
      <c r="S3233">
        <v>3</v>
      </c>
      <c r="T3233">
        <v>446.95091416730708</v>
      </c>
      <c r="U3233">
        <v>3</v>
      </c>
      <c r="V3233">
        <v>0.4311546840958605</v>
      </c>
      <c r="W3233">
        <v>0.85</v>
      </c>
      <c r="X3233">
        <v>0.36648148148148141</v>
      </c>
      <c r="Y3233">
        <v>581</v>
      </c>
      <c r="Z3233">
        <v>507.4747778269288</v>
      </c>
      <c r="AA3233">
        <v>198</v>
      </c>
      <c r="AB3233">
        <v>332</v>
      </c>
      <c r="AC3233">
        <v>536</v>
      </c>
      <c r="AD3233">
        <v>26.35</v>
      </c>
      <c r="AE3233">
        <v>542</v>
      </c>
      <c r="AF3233">
        <v>15</v>
      </c>
      <c r="AG3233">
        <v>174</v>
      </c>
      <c r="AH3233">
        <v>129</v>
      </c>
      <c r="AI3233">
        <v>2.77</v>
      </c>
      <c r="AJ3233">
        <v>32.1</v>
      </c>
      <c r="AK3233">
        <v>23.8</v>
      </c>
      <c r="AL3233">
        <v>-20.136672649999959</v>
      </c>
      <c r="AM3233">
        <v>-44.911825104396357</v>
      </c>
      <c r="AN3233">
        <v>-20.136672649999959</v>
      </c>
      <c r="AO3233">
        <v>-44.911825104396357</v>
      </c>
      <c r="AP3233">
        <v>-20.137526000000001</v>
      </c>
      <c r="AQ3233">
        <v>-44.912452999999999</v>
      </c>
      <c r="AR3233">
        <v>115.45843265992529</v>
      </c>
      <c r="AS3233" t="s">
        <v>65</v>
      </c>
      <c r="AT3233">
        <v>1</v>
      </c>
      <c r="AU3233" t="s">
        <v>1345</v>
      </c>
      <c r="AV3233" t="s">
        <v>1346</v>
      </c>
      <c r="AW3233" t="s">
        <v>60</v>
      </c>
      <c r="AX3233" t="s">
        <v>68</v>
      </c>
      <c r="AY3233" t="s">
        <v>69</v>
      </c>
      <c r="AZ3233" t="b">
        <v>1</v>
      </c>
    </row>
    <row r="3234" spans="1:52" x14ac:dyDescent="0.3">
      <c r="A3234" t="s">
        <v>52</v>
      </c>
      <c r="B3234" t="s">
        <v>53</v>
      </c>
      <c r="C3234" t="s">
        <v>54</v>
      </c>
      <c r="D3234" t="s">
        <v>55</v>
      </c>
      <c r="E3234" t="s">
        <v>2163</v>
      </c>
      <c r="F3234" t="s">
        <v>1247</v>
      </c>
      <c r="G3234" t="s">
        <v>851</v>
      </c>
      <c r="H3234" t="s">
        <v>852</v>
      </c>
      <c r="I3234" t="s">
        <v>852</v>
      </c>
      <c r="J3234" t="s">
        <v>60</v>
      </c>
      <c r="K3234" t="s">
        <v>853</v>
      </c>
      <c r="L3234" t="s">
        <v>62</v>
      </c>
      <c r="M3234" t="s">
        <v>853</v>
      </c>
      <c r="N3234" t="s">
        <v>854</v>
      </c>
      <c r="O3234" t="s">
        <v>855</v>
      </c>
      <c r="P3234">
        <v>-20.127835000000001</v>
      </c>
      <c r="Q3234">
        <v>-44.909329</v>
      </c>
      <c r="R3234" s="2" t="str">
        <f>HYPERLINK("https://www.google.com/maps?q=-20.1278350,-44.9093290","Abrir no Google Maps")</f>
        <v>Abrir no Google Maps</v>
      </c>
      <c r="S3234">
        <v>3</v>
      </c>
      <c r="T3234">
        <v>1173.033690896357</v>
      </c>
      <c r="U3234">
        <v>3</v>
      </c>
      <c r="V3234">
        <v>0.34919379315577809</v>
      </c>
      <c r="W3234">
        <v>1</v>
      </c>
      <c r="X3234">
        <v>0.34919379315577809</v>
      </c>
      <c r="Y3234">
        <v>581</v>
      </c>
      <c r="Z3234">
        <v>1296.5011565926129</v>
      </c>
      <c r="AA3234">
        <v>198</v>
      </c>
      <c r="AB3234">
        <v>332</v>
      </c>
      <c r="AC3234">
        <v>536</v>
      </c>
      <c r="AD3234">
        <v>26.35</v>
      </c>
      <c r="AE3234">
        <v>542</v>
      </c>
      <c r="AF3234">
        <v>15</v>
      </c>
      <c r="AG3234">
        <v>174</v>
      </c>
      <c r="AH3234">
        <v>129</v>
      </c>
      <c r="AI3234">
        <v>2.77</v>
      </c>
      <c r="AJ3234">
        <v>32.1</v>
      </c>
      <c r="AK3234">
        <v>23.8</v>
      </c>
      <c r="AL3234">
        <v>-20.127852899999969</v>
      </c>
      <c r="AM3234">
        <v>-44.909386667699948</v>
      </c>
      <c r="AN3234">
        <v>-20.127852899999969</v>
      </c>
      <c r="AO3234">
        <v>-44.909386667699948</v>
      </c>
      <c r="AP3234">
        <v>-20.127835000000001</v>
      </c>
      <c r="AQ3234">
        <v>-44.909329</v>
      </c>
      <c r="AR3234">
        <v>6.3483385067119924</v>
      </c>
      <c r="AS3234" t="s">
        <v>65</v>
      </c>
      <c r="AT3234">
        <v>1</v>
      </c>
      <c r="AU3234" t="s">
        <v>856</v>
      </c>
      <c r="AV3234" t="s">
        <v>857</v>
      </c>
      <c r="AW3234" t="s">
        <v>60</v>
      </c>
      <c r="AX3234" t="s">
        <v>68</v>
      </c>
      <c r="AY3234" t="s">
        <v>69</v>
      </c>
      <c r="AZ3234" t="b">
        <v>1</v>
      </c>
    </row>
    <row r="3235" spans="1:52" x14ac:dyDescent="0.3">
      <c r="A3235" t="s">
        <v>52</v>
      </c>
      <c r="B3235" t="s">
        <v>53</v>
      </c>
      <c r="C3235" t="s">
        <v>54</v>
      </c>
      <c r="D3235" t="s">
        <v>55</v>
      </c>
      <c r="E3235" t="s">
        <v>2163</v>
      </c>
      <c r="F3235" t="s">
        <v>1247</v>
      </c>
      <c r="G3235" t="s">
        <v>858</v>
      </c>
      <c r="H3235" t="s">
        <v>1360</v>
      </c>
      <c r="I3235" t="s">
        <v>1360</v>
      </c>
      <c r="J3235" t="s">
        <v>60</v>
      </c>
      <c r="K3235" t="s">
        <v>1356</v>
      </c>
      <c r="L3235" t="s">
        <v>62</v>
      </c>
      <c r="M3235" t="s">
        <v>1356</v>
      </c>
      <c r="N3235" t="s">
        <v>860</v>
      </c>
      <c r="O3235" t="s">
        <v>1361</v>
      </c>
      <c r="P3235">
        <v>-20.134969000000002</v>
      </c>
      <c r="Q3235">
        <v>-44.909384000000003</v>
      </c>
      <c r="R3235" s="2" t="str">
        <f>HYPERLINK("https://www.google.com/maps?q=-20.1349690,-44.9093840","Abrir no Google Maps")</f>
        <v>Abrir no Google Maps</v>
      </c>
      <c r="S3235">
        <v>3</v>
      </c>
      <c r="T3235">
        <v>413.6655911675532</v>
      </c>
      <c r="U3235">
        <v>3</v>
      </c>
      <c r="V3235">
        <v>0.4229625180545426</v>
      </c>
      <c r="W3235">
        <v>0.85</v>
      </c>
      <c r="X3235">
        <v>0.3595181403463612</v>
      </c>
      <c r="Y3235">
        <v>581</v>
      </c>
      <c r="Z3235">
        <v>555.30228470489919</v>
      </c>
      <c r="AA3235">
        <v>198</v>
      </c>
      <c r="AB3235">
        <v>332</v>
      </c>
      <c r="AC3235">
        <v>536</v>
      </c>
      <c r="AD3235">
        <v>26.35</v>
      </c>
      <c r="AE3235">
        <v>542</v>
      </c>
      <c r="AF3235">
        <v>15</v>
      </c>
      <c r="AG3235">
        <v>174</v>
      </c>
      <c r="AH3235">
        <v>129</v>
      </c>
      <c r="AI3235">
        <v>2.77</v>
      </c>
      <c r="AJ3235">
        <v>32.1</v>
      </c>
      <c r="AK3235">
        <v>23.8</v>
      </c>
      <c r="AL3235">
        <v>-20.134922099999951</v>
      </c>
      <c r="AM3235">
        <v>-44.909483975879112</v>
      </c>
      <c r="AN3235">
        <v>-20.134922099999951</v>
      </c>
      <c r="AO3235">
        <v>-44.909483975879112</v>
      </c>
      <c r="AP3235">
        <v>-20.134969000000002</v>
      </c>
      <c r="AQ3235">
        <v>-44.909384000000003</v>
      </c>
      <c r="AR3235">
        <v>11.68085867639515</v>
      </c>
      <c r="AS3235" t="s">
        <v>65</v>
      </c>
      <c r="AT3235">
        <v>1</v>
      </c>
      <c r="AU3235" t="s">
        <v>1362</v>
      </c>
      <c r="AV3235" t="s">
        <v>1363</v>
      </c>
      <c r="AW3235" t="s">
        <v>60</v>
      </c>
      <c r="AX3235" t="s">
        <v>68</v>
      </c>
      <c r="AY3235" t="s">
        <v>69</v>
      </c>
      <c r="AZ3235" t="b">
        <v>1</v>
      </c>
    </row>
    <row r="3236" spans="1:52" x14ac:dyDescent="0.3">
      <c r="A3236" t="s">
        <v>52</v>
      </c>
      <c r="B3236" t="s">
        <v>53</v>
      </c>
      <c r="C3236" t="s">
        <v>54</v>
      </c>
      <c r="D3236" t="s">
        <v>55</v>
      </c>
      <c r="E3236" t="s">
        <v>2163</v>
      </c>
      <c r="F3236" t="s">
        <v>1247</v>
      </c>
      <c r="G3236" t="s">
        <v>1364</v>
      </c>
      <c r="H3236" t="s">
        <v>1369</v>
      </c>
      <c r="I3236" t="s">
        <v>1369</v>
      </c>
      <c r="J3236" t="s">
        <v>60</v>
      </c>
      <c r="K3236" t="s">
        <v>1370</v>
      </c>
      <c r="L3236" t="s">
        <v>62</v>
      </c>
      <c r="M3236" t="s">
        <v>1370</v>
      </c>
      <c r="N3236" t="s">
        <v>1366</v>
      </c>
      <c r="O3236" t="s">
        <v>989</v>
      </c>
      <c r="P3236">
        <v>-20.141185</v>
      </c>
      <c r="Q3236">
        <v>-44.914200999999998</v>
      </c>
      <c r="R3236" s="2" t="str">
        <f>HYPERLINK("https://www.google.com/maps?q=-20.1411850,-44.9142010","Abrir no Google Maps")</f>
        <v>Abrir no Google Maps</v>
      </c>
      <c r="S3236">
        <v>3</v>
      </c>
      <c r="T3236">
        <v>512.52588459346453</v>
      </c>
      <c r="U3236">
        <v>3</v>
      </c>
      <c r="V3236">
        <v>0.40545915778792491</v>
      </c>
      <c r="W3236">
        <v>0.85</v>
      </c>
      <c r="X3236">
        <v>0.34464028411973618</v>
      </c>
      <c r="Y3236">
        <v>581</v>
      </c>
      <c r="Z3236">
        <v>473.10673043319349</v>
      </c>
      <c r="AA3236">
        <v>198</v>
      </c>
      <c r="AB3236">
        <v>332</v>
      </c>
      <c r="AC3236">
        <v>536</v>
      </c>
      <c r="AD3236">
        <v>26.35</v>
      </c>
      <c r="AE3236">
        <v>542</v>
      </c>
      <c r="AF3236">
        <v>15</v>
      </c>
      <c r="AG3236">
        <v>174</v>
      </c>
      <c r="AH3236">
        <v>129</v>
      </c>
      <c r="AI3236">
        <v>2.77</v>
      </c>
      <c r="AJ3236">
        <v>32.1</v>
      </c>
      <c r="AK3236">
        <v>23.8</v>
      </c>
      <c r="AL3236">
        <v>-20.14133909999995</v>
      </c>
      <c r="AM3236">
        <v>-44.913910219286038</v>
      </c>
      <c r="AN3236">
        <v>-20.14133909999995</v>
      </c>
      <c r="AO3236">
        <v>-44.913910219286038</v>
      </c>
      <c r="AP3236">
        <v>-20.141185</v>
      </c>
      <c r="AQ3236">
        <v>-44.914200999999998</v>
      </c>
      <c r="AR3236">
        <v>34.897514361429593</v>
      </c>
      <c r="AS3236" t="s">
        <v>65</v>
      </c>
      <c r="AT3236">
        <v>1</v>
      </c>
      <c r="AU3236" t="s">
        <v>1371</v>
      </c>
      <c r="AV3236" t="s">
        <v>863</v>
      </c>
      <c r="AW3236" t="s">
        <v>60</v>
      </c>
      <c r="AX3236" t="s">
        <v>68</v>
      </c>
      <c r="AY3236" t="s">
        <v>69</v>
      </c>
      <c r="AZ3236" t="b">
        <v>1</v>
      </c>
    </row>
    <row r="3237" spans="1:52" x14ac:dyDescent="0.3">
      <c r="A3237" t="s">
        <v>52</v>
      </c>
      <c r="B3237" t="s">
        <v>53</v>
      </c>
      <c r="C3237" t="s">
        <v>54</v>
      </c>
      <c r="D3237" t="s">
        <v>55</v>
      </c>
      <c r="E3237" t="s">
        <v>2163</v>
      </c>
      <c r="F3237" t="s">
        <v>1247</v>
      </c>
      <c r="G3237" t="s">
        <v>1300</v>
      </c>
      <c r="H3237" t="s">
        <v>1372</v>
      </c>
      <c r="I3237" t="s">
        <v>1372</v>
      </c>
      <c r="J3237" t="s">
        <v>60</v>
      </c>
      <c r="K3237" t="s">
        <v>486</v>
      </c>
      <c r="L3237" t="s">
        <v>62</v>
      </c>
      <c r="M3237" t="s">
        <v>486</v>
      </c>
      <c r="N3237" t="s">
        <v>1303</v>
      </c>
      <c r="O3237" t="s">
        <v>1373</v>
      </c>
      <c r="P3237">
        <v>-20.170458</v>
      </c>
      <c r="Q3237">
        <v>-44.900936000000002</v>
      </c>
      <c r="R3237" s="2" t="str">
        <f>HYPERLINK("https://www.google.com/maps?q=-20.1704580,-44.9009360","Abrir no Google Maps")</f>
        <v>Abrir no Google Maps</v>
      </c>
      <c r="S3237">
        <v>3</v>
      </c>
      <c r="T3237">
        <v>470.55793133653339</v>
      </c>
      <c r="U3237">
        <v>3</v>
      </c>
      <c r="V3237">
        <v>0.44227041993539462</v>
      </c>
      <c r="W3237">
        <v>0.85</v>
      </c>
      <c r="X3237">
        <v>0.37592985694508541</v>
      </c>
      <c r="Y3237">
        <v>578</v>
      </c>
      <c r="Z3237">
        <v>645.48909402437766</v>
      </c>
      <c r="AA3237">
        <v>198</v>
      </c>
      <c r="AB3237">
        <v>332</v>
      </c>
      <c r="AC3237">
        <v>536</v>
      </c>
      <c r="AD3237">
        <v>26.35</v>
      </c>
      <c r="AE3237">
        <v>542</v>
      </c>
      <c r="AF3237">
        <v>15</v>
      </c>
      <c r="AG3237">
        <v>174</v>
      </c>
      <c r="AH3237">
        <v>129</v>
      </c>
      <c r="AI3237">
        <v>2.77</v>
      </c>
      <c r="AJ3237">
        <v>32.1</v>
      </c>
      <c r="AK3237">
        <v>23.8</v>
      </c>
      <c r="AL3237">
        <v>-20.17025029999996</v>
      </c>
      <c r="AM3237">
        <v>-44.901067235372473</v>
      </c>
      <c r="AN3237">
        <v>-20.17025029999996</v>
      </c>
      <c r="AO3237">
        <v>-44.901067235372473</v>
      </c>
      <c r="AP3237">
        <v>-20.170458</v>
      </c>
      <c r="AQ3237">
        <v>-44.900936000000002</v>
      </c>
      <c r="AR3237">
        <v>26.88195352459519</v>
      </c>
      <c r="AS3237" t="s">
        <v>65</v>
      </c>
      <c r="AT3237">
        <v>1</v>
      </c>
      <c r="AU3237" t="s">
        <v>1374</v>
      </c>
      <c r="AV3237" t="s">
        <v>1375</v>
      </c>
      <c r="AW3237" t="s">
        <v>60</v>
      </c>
      <c r="AX3237" t="s">
        <v>68</v>
      </c>
      <c r="AY3237" t="s">
        <v>69</v>
      </c>
      <c r="AZ3237" t="b">
        <v>1</v>
      </c>
    </row>
    <row r="3238" spans="1:52" x14ac:dyDescent="0.3">
      <c r="A3238" t="s">
        <v>52</v>
      </c>
      <c r="B3238" t="s">
        <v>53</v>
      </c>
      <c r="C3238" t="s">
        <v>54</v>
      </c>
      <c r="D3238" t="s">
        <v>55</v>
      </c>
      <c r="E3238" t="s">
        <v>2163</v>
      </c>
      <c r="F3238" t="s">
        <v>1247</v>
      </c>
      <c r="G3238" t="s">
        <v>473</v>
      </c>
      <c r="H3238" t="s">
        <v>474</v>
      </c>
      <c r="I3238" t="s">
        <v>474</v>
      </c>
      <c r="J3238" t="s">
        <v>60</v>
      </c>
      <c r="K3238" t="s">
        <v>475</v>
      </c>
      <c r="L3238" t="s">
        <v>62</v>
      </c>
      <c r="M3238" t="s">
        <v>475</v>
      </c>
      <c r="N3238" t="s">
        <v>406</v>
      </c>
      <c r="O3238" t="s">
        <v>476</v>
      </c>
      <c r="P3238">
        <v>-20.177902</v>
      </c>
      <c r="Q3238">
        <v>-44.908504000000001</v>
      </c>
      <c r="R3238" s="2" t="str">
        <f>HYPERLINK("https://www.google.com/maps?q=-20.1779020,-44.9085040","Abrir no Google Maps")</f>
        <v>Abrir no Google Maps</v>
      </c>
      <c r="S3238">
        <v>3</v>
      </c>
      <c r="T3238">
        <v>656.92307673247149</v>
      </c>
      <c r="U3238">
        <v>3</v>
      </c>
      <c r="V3238">
        <v>0.32689768548561537</v>
      </c>
      <c r="W3238">
        <v>1</v>
      </c>
      <c r="X3238">
        <v>0.32689768548561537</v>
      </c>
      <c r="Y3238">
        <v>578</v>
      </c>
      <c r="Z3238">
        <v>635.01982153722327</v>
      </c>
      <c r="AA3238">
        <v>198</v>
      </c>
      <c r="AB3238">
        <v>332</v>
      </c>
      <c r="AC3238">
        <v>536</v>
      </c>
      <c r="AD3238">
        <v>26.35</v>
      </c>
      <c r="AE3238">
        <v>542</v>
      </c>
      <c r="AF3238">
        <v>15</v>
      </c>
      <c r="AG3238">
        <v>174</v>
      </c>
      <c r="AH3238">
        <v>129</v>
      </c>
      <c r="AI3238">
        <v>2.77</v>
      </c>
      <c r="AJ3238">
        <v>32.1</v>
      </c>
      <c r="AK3238">
        <v>23.8</v>
      </c>
      <c r="AL3238">
        <v>-20.177800399999938</v>
      </c>
      <c r="AM3238">
        <v>-44.908361879701268</v>
      </c>
      <c r="AN3238">
        <v>-20.177800399999938</v>
      </c>
      <c r="AO3238">
        <v>-44.908361879701268</v>
      </c>
      <c r="AP3238">
        <v>-20.177902</v>
      </c>
      <c r="AQ3238">
        <v>-44.908504000000001</v>
      </c>
      <c r="AR3238">
        <v>18.666463141775541</v>
      </c>
      <c r="AS3238" t="s">
        <v>65</v>
      </c>
      <c r="AT3238">
        <v>1</v>
      </c>
      <c r="AU3238" t="s">
        <v>477</v>
      </c>
      <c r="AV3238" t="s">
        <v>478</v>
      </c>
      <c r="AW3238" t="s">
        <v>60</v>
      </c>
      <c r="AX3238" t="s">
        <v>68</v>
      </c>
      <c r="AY3238" t="s">
        <v>69</v>
      </c>
      <c r="AZ3238" t="b">
        <v>1</v>
      </c>
    </row>
    <row r="3239" spans="1:52" x14ac:dyDescent="0.3">
      <c r="A3239" t="s">
        <v>52</v>
      </c>
      <c r="B3239" t="s">
        <v>53</v>
      </c>
      <c r="C3239" t="s">
        <v>54</v>
      </c>
      <c r="D3239" t="s">
        <v>55</v>
      </c>
      <c r="E3239" t="s">
        <v>2163</v>
      </c>
      <c r="F3239" t="s">
        <v>1247</v>
      </c>
      <c r="G3239" t="s">
        <v>484</v>
      </c>
      <c r="H3239" t="s">
        <v>485</v>
      </c>
      <c r="I3239" t="s">
        <v>485</v>
      </c>
      <c r="J3239" t="s">
        <v>60</v>
      </c>
      <c r="K3239" t="s">
        <v>486</v>
      </c>
      <c r="L3239" t="s">
        <v>62</v>
      </c>
      <c r="M3239" t="s">
        <v>486</v>
      </c>
      <c r="N3239" t="s">
        <v>487</v>
      </c>
      <c r="O3239" t="s">
        <v>488</v>
      </c>
      <c r="P3239">
        <v>-20.173000999999999</v>
      </c>
      <c r="Q3239">
        <v>-44.901876999999999</v>
      </c>
      <c r="R3239" s="2" t="str">
        <f>HYPERLINK("https://www.google.com/maps?q=-20.1730010,-44.9018770","Abrir no Google Maps")</f>
        <v>Abrir no Google Maps</v>
      </c>
      <c r="S3239">
        <v>3</v>
      </c>
      <c r="T3239">
        <v>437.59695450783011</v>
      </c>
      <c r="U3239">
        <v>3</v>
      </c>
      <c r="V3239">
        <v>0.37340503769075201</v>
      </c>
      <c r="W3239">
        <v>1</v>
      </c>
      <c r="X3239">
        <v>0.37340503769075201</v>
      </c>
      <c r="Y3239">
        <v>578</v>
      </c>
      <c r="Z3239">
        <v>440.53629183653243</v>
      </c>
      <c r="AA3239">
        <v>198</v>
      </c>
      <c r="AB3239">
        <v>332</v>
      </c>
      <c r="AC3239">
        <v>536</v>
      </c>
      <c r="AD3239">
        <v>26.35</v>
      </c>
      <c r="AE3239">
        <v>542</v>
      </c>
      <c r="AF3239">
        <v>15</v>
      </c>
      <c r="AG3239">
        <v>174</v>
      </c>
      <c r="AH3239">
        <v>129</v>
      </c>
      <c r="AI3239">
        <v>2.77</v>
      </c>
      <c r="AJ3239">
        <v>32.1</v>
      </c>
      <c r="AK3239">
        <v>23.8</v>
      </c>
      <c r="AL3239">
        <v>-20.173065299999969</v>
      </c>
      <c r="AM3239">
        <v>-44.902052686008687</v>
      </c>
      <c r="AN3239">
        <v>-20.173065299999969</v>
      </c>
      <c r="AO3239">
        <v>-44.902052686008687</v>
      </c>
      <c r="AP3239">
        <v>-20.173000999999999</v>
      </c>
      <c r="AQ3239">
        <v>-44.901876999999999</v>
      </c>
      <c r="AR3239">
        <v>19.703745070768829</v>
      </c>
      <c r="AS3239" t="s">
        <v>65</v>
      </c>
      <c r="AT3239">
        <v>1</v>
      </c>
      <c r="AU3239" t="s">
        <v>489</v>
      </c>
      <c r="AV3239" t="s">
        <v>490</v>
      </c>
      <c r="AW3239" t="s">
        <v>60</v>
      </c>
      <c r="AX3239" t="s">
        <v>68</v>
      </c>
      <c r="AY3239" t="s">
        <v>69</v>
      </c>
      <c r="AZ3239" t="b">
        <v>1</v>
      </c>
    </row>
    <row r="3240" spans="1:52" x14ac:dyDescent="0.3">
      <c r="A3240" t="s">
        <v>52</v>
      </c>
      <c r="B3240" t="s">
        <v>53</v>
      </c>
      <c r="C3240" t="s">
        <v>54</v>
      </c>
      <c r="D3240" t="s">
        <v>55</v>
      </c>
      <c r="E3240" t="s">
        <v>2163</v>
      </c>
      <c r="F3240" t="s">
        <v>1247</v>
      </c>
      <c r="G3240" t="s">
        <v>491</v>
      </c>
      <c r="H3240" t="s">
        <v>492</v>
      </c>
      <c r="I3240" t="s">
        <v>492</v>
      </c>
      <c r="J3240" t="s">
        <v>60</v>
      </c>
      <c r="K3240" t="s">
        <v>475</v>
      </c>
      <c r="L3240" t="s">
        <v>62</v>
      </c>
      <c r="M3240" t="s">
        <v>475</v>
      </c>
      <c r="N3240" t="s">
        <v>493</v>
      </c>
      <c r="O3240" t="s">
        <v>494</v>
      </c>
      <c r="P3240">
        <v>-20.175250999999999</v>
      </c>
      <c r="Q3240">
        <v>-44.897357</v>
      </c>
      <c r="R3240" s="2" t="str">
        <f>HYPERLINK("https://www.google.com/maps?q=-20.1752510,-44.8973570","Abrir no Google Maps")</f>
        <v>Abrir no Google Maps</v>
      </c>
      <c r="S3240">
        <v>3</v>
      </c>
      <c r="T3240">
        <v>992.29631678149951</v>
      </c>
      <c r="U3240">
        <v>3</v>
      </c>
      <c r="V3240">
        <v>0.36002629272567921</v>
      </c>
      <c r="W3240">
        <v>1</v>
      </c>
      <c r="X3240">
        <v>0.36002629272567921</v>
      </c>
      <c r="Y3240">
        <v>578</v>
      </c>
      <c r="Z3240">
        <v>1008.5871064168319</v>
      </c>
      <c r="AA3240">
        <v>198</v>
      </c>
      <c r="AB3240">
        <v>332</v>
      </c>
      <c r="AC3240">
        <v>536</v>
      </c>
      <c r="AD3240">
        <v>26.35</v>
      </c>
      <c r="AE3240">
        <v>542</v>
      </c>
      <c r="AF3240">
        <v>15</v>
      </c>
      <c r="AG3240">
        <v>174</v>
      </c>
      <c r="AH3240">
        <v>129</v>
      </c>
      <c r="AI3240">
        <v>2.77</v>
      </c>
      <c r="AJ3240">
        <v>32.1</v>
      </c>
      <c r="AK3240">
        <v>23.8</v>
      </c>
      <c r="AL3240">
        <v>-20.175290599999951</v>
      </c>
      <c r="AM3240">
        <v>-44.897271931010721</v>
      </c>
      <c r="AN3240">
        <v>-20.175290599999951</v>
      </c>
      <c r="AO3240">
        <v>-44.897271931010721</v>
      </c>
      <c r="AP3240">
        <v>-20.175250999999999</v>
      </c>
      <c r="AQ3240">
        <v>-44.897357</v>
      </c>
      <c r="AR3240">
        <v>9.921899108467926</v>
      </c>
      <c r="AS3240" t="s">
        <v>65</v>
      </c>
      <c r="AT3240">
        <v>1</v>
      </c>
      <c r="AU3240" t="s">
        <v>495</v>
      </c>
      <c r="AV3240" t="s">
        <v>496</v>
      </c>
      <c r="AW3240" t="s">
        <v>60</v>
      </c>
      <c r="AX3240" t="s">
        <v>68</v>
      </c>
      <c r="AY3240" t="s">
        <v>69</v>
      </c>
      <c r="AZ3240" t="b">
        <v>1</v>
      </c>
    </row>
    <row r="3241" spans="1:52" x14ac:dyDescent="0.3">
      <c r="A3241" t="s">
        <v>52</v>
      </c>
      <c r="B3241" t="s">
        <v>53</v>
      </c>
      <c r="C3241" t="s">
        <v>54</v>
      </c>
      <c r="D3241" t="s">
        <v>55</v>
      </c>
      <c r="E3241" t="s">
        <v>2163</v>
      </c>
      <c r="F3241" t="s">
        <v>1247</v>
      </c>
      <c r="G3241" t="s">
        <v>1393</v>
      </c>
      <c r="H3241" t="s">
        <v>1394</v>
      </c>
      <c r="I3241" t="s">
        <v>1394</v>
      </c>
      <c r="J3241" t="s">
        <v>60</v>
      </c>
      <c r="K3241" t="s">
        <v>388</v>
      </c>
      <c r="L3241" t="s">
        <v>62</v>
      </c>
      <c r="M3241" t="s">
        <v>388</v>
      </c>
      <c r="N3241" t="s">
        <v>1395</v>
      </c>
      <c r="O3241" t="s">
        <v>1396</v>
      </c>
      <c r="P3241">
        <v>-20.167425000000001</v>
      </c>
      <c r="Q3241">
        <v>-44.907733999999998</v>
      </c>
      <c r="R3241" s="2" t="str">
        <f>HYPERLINK("https://www.google.com/maps?q=-20.1674250,-44.9077340","Abrir no Google Maps")</f>
        <v>Abrir no Google Maps</v>
      </c>
      <c r="S3241">
        <v>3</v>
      </c>
      <c r="T3241">
        <v>424.62372109792739</v>
      </c>
      <c r="U3241">
        <v>3</v>
      </c>
      <c r="V3241">
        <v>0.42668844327495992</v>
      </c>
      <c r="W3241">
        <v>0.85</v>
      </c>
      <c r="X3241">
        <v>0.36268517678371592</v>
      </c>
      <c r="Y3241">
        <v>578</v>
      </c>
      <c r="Z3241">
        <v>559.08337206965382</v>
      </c>
      <c r="AA3241">
        <v>198</v>
      </c>
      <c r="AB3241">
        <v>332</v>
      </c>
      <c r="AC3241">
        <v>536</v>
      </c>
      <c r="AD3241">
        <v>26.35</v>
      </c>
      <c r="AE3241">
        <v>542</v>
      </c>
      <c r="AF3241">
        <v>15</v>
      </c>
      <c r="AG3241">
        <v>174</v>
      </c>
      <c r="AH3241">
        <v>129</v>
      </c>
      <c r="AI3241">
        <v>2.77</v>
      </c>
      <c r="AJ3241">
        <v>32.1</v>
      </c>
      <c r="AK3241">
        <v>23.8</v>
      </c>
      <c r="AL3241">
        <v>-20.167592099999951</v>
      </c>
      <c r="AM3241">
        <v>-44.907664214502859</v>
      </c>
      <c r="AN3241">
        <v>-20.167592099999951</v>
      </c>
      <c r="AO3241">
        <v>-44.907664214502859</v>
      </c>
      <c r="AP3241">
        <v>-20.167425000000001</v>
      </c>
      <c r="AQ3241">
        <v>-44.907733999999998</v>
      </c>
      <c r="AR3241">
        <v>19.979863459652229</v>
      </c>
      <c r="AS3241" t="s">
        <v>65</v>
      </c>
      <c r="AT3241">
        <v>1</v>
      </c>
      <c r="AU3241" t="s">
        <v>1397</v>
      </c>
      <c r="AV3241" t="s">
        <v>1398</v>
      </c>
      <c r="AW3241" t="s">
        <v>60</v>
      </c>
      <c r="AX3241" t="s">
        <v>68</v>
      </c>
      <c r="AY3241" t="s">
        <v>69</v>
      </c>
      <c r="AZ3241" t="b">
        <v>1</v>
      </c>
    </row>
    <row r="3242" spans="1:52" x14ac:dyDescent="0.3">
      <c r="A3242" t="s">
        <v>52</v>
      </c>
      <c r="B3242" t="s">
        <v>53</v>
      </c>
      <c r="C3242" t="s">
        <v>54</v>
      </c>
      <c r="D3242" t="s">
        <v>55</v>
      </c>
      <c r="E3242" t="s">
        <v>2163</v>
      </c>
      <c r="F3242" t="s">
        <v>1247</v>
      </c>
      <c r="G3242" t="s">
        <v>497</v>
      </c>
      <c r="H3242" t="s">
        <v>875</v>
      </c>
      <c r="I3242" t="s">
        <v>875</v>
      </c>
      <c r="J3242" t="s">
        <v>60</v>
      </c>
      <c r="K3242" t="s">
        <v>475</v>
      </c>
      <c r="L3242" t="s">
        <v>62</v>
      </c>
      <c r="M3242" t="s">
        <v>475</v>
      </c>
      <c r="N3242" t="s">
        <v>499</v>
      </c>
      <c r="O3242" t="s">
        <v>876</v>
      </c>
      <c r="P3242">
        <v>-20.177212999999998</v>
      </c>
      <c r="Q3242">
        <v>-44.904026999999999</v>
      </c>
      <c r="R3242" s="2" t="str">
        <f>HYPERLINK("https://www.google.com/maps?q=-20.1772130,-44.9040270","Abrir no Google Maps")</f>
        <v>Abrir no Google Maps</v>
      </c>
      <c r="S3242">
        <v>3</v>
      </c>
      <c r="T3242">
        <v>706.4159561113795</v>
      </c>
      <c r="U3242">
        <v>3</v>
      </c>
      <c r="V3242">
        <v>0.34510640452709801</v>
      </c>
      <c r="W3242">
        <v>1</v>
      </c>
      <c r="X3242">
        <v>0.34510640452709801</v>
      </c>
      <c r="Y3242">
        <v>578</v>
      </c>
      <c r="Z3242">
        <v>588.7160518608398</v>
      </c>
      <c r="AA3242">
        <v>198</v>
      </c>
      <c r="AB3242">
        <v>332</v>
      </c>
      <c r="AC3242">
        <v>536</v>
      </c>
      <c r="AD3242">
        <v>26.35</v>
      </c>
      <c r="AE3242">
        <v>542</v>
      </c>
      <c r="AF3242">
        <v>15</v>
      </c>
      <c r="AG3242">
        <v>174</v>
      </c>
      <c r="AH3242">
        <v>129</v>
      </c>
      <c r="AI3242">
        <v>2.77</v>
      </c>
      <c r="AJ3242">
        <v>32.1</v>
      </c>
      <c r="AK3242">
        <v>23.8</v>
      </c>
      <c r="AL3242">
        <v>-20.177090199999949</v>
      </c>
      <c r="AM3242">
        <v>-44.904078820930181</v>
      </c>
      <c r="AN3242">
        <v>-20.177090199999949</v>
      </c>
      <c r="AO3242">
        <v>-44.904078820930181</v>
      </c>
      <c r="AP3242">
        <v>-20.177212999999998</v>
      </c>
      <c r="AQ3242">
        <v>-44.904026999999999</v>
      </c>
      <c r="AR3242">
        <v>14.7034129632295</v>
      </c>
      <c r="AS3242" t="s">
        <v>65</v>
      </c>
      <c r="AT3242">
        <v>1</v>
      </c>
      <c r="AU3242" t="s">
        <v>877</v>
      </c>
      <c r="AV3242" t="s">
        <v>878</v>
      </c>
      <c r="AW3242" t="s">
        <v>60</v>
      </c>
      <c r="AX3242" t="s">
        <v>68</v>
      </c>
      <c r="AY3242" t="s">
        <v>69</v>
      </c>
      <c r="AZ3242" t="b">
        <v>1</v>
      </c>
    </row>
    <row r="3243" spans="1:52" x14ac:dyDescent="0.3">
      <c r="A3243" t="s">
        <v>52</v>
      </c>
      <c r="B3243" t="s">
        <v>53</v>
      </c>
      <c r="C3243" t="s">
        <v>54</v>
      </c>
      <c r="D3243" t="s">
        <v>55</v>
      </c>
      <c r="E3243" t="s">
        <v>2163</v>
      </c>
      <c r="F3243" t="s">
        <v>1247</v>
      </c>
      <c r="G3243" t="s">
        <v>497</v>
      </c>
      <c r="H3243" t="s">
        <v>498</v>
      </c>
      <c r="I3243" t="s">
        <v>498</v>
      </c>
      <c r="J3243" t="s">
        <v>60</v>
      </c>
      <c r="K3243" t="s">
        <v>475</v>
      </c>
      <c r="L3243" t="s">
        <v>62</v>
      </c>
      <c r="M3243" t="s">
        <v>475</v>
      </c>
      <c r="N3243" t="s">
        <v>499</v>
      </c>
      <c r="O3243" t="s">
        <v>500</v>
      </c>
      <c r="P3243">
        <v>-20.175492999999999</v>
      </c>
      <c r="Q3243">
        <v>-44.900759000000001</v>
      </c>
      <c r="R3243" s="2" t="str">
        <f>HYPERLINK("https://www.google.com/maps?q=-20.1754930,-44.9007590","Abrir no Google Maps")</f>
        <v>Abrir no Google Maps</v>
      </c>
      <c r="S3243">
        <v>3</v>
      </c>
      <c r="T3243">
        <v>753.30732354720431</v>
      </c>
      <c r="U3243">
        <v>3</v>
      </c>
      <c r="V3243">
        <v>0.36667837078651688</v>
      </c>
      <c r="W3243">
        <v>1</v>
      </c>
      <c r="X3243">
        <v>0.36667837078651688</v>
      </c>
      <c r="Y3243">
        <v>578</v>
      </c>
      <c r="Z3243">
        <v>695.28903655431702</v>
      </c>
      <c r="AA3243">
        <v>198</v>
      </c>
      <c r="AB3243">
        <v>332</v>
      </c>
      <c r="AC3243">
        <v>536</v>
      </c>
      <c r="AD3243">
        <v>26.35</v>
      </c>
      <c r="AE3243">
        <v>542</v>
      </c>
      <c r="AF3243">
        <v>15</v>
      </c>
      <c r="AG3243">
        <v>174</v>
      </c>
      <c r="AH3243">
        <v>129</v>
      </c>
      <c r="AI3243">
        <v>2.77</v>
      </c>
      <c r="AJ3243">
        <v>32.1</v>
      </c>
      <c r="AK3243">
        <v>23.8</v>
      </c>
      <c r="AL3243">
        <v>-20.175825999999969</v>
      </c>
      <c r="AM3243">
        <v>-44.900600234646973</v>
      </c>
      <c r="AN3243">
        <v>-20.175825999999969</v>
      </c>
      <c r="AO3243">
        <v>-44.900600234646973</v>
      </c>
      <c r="AP3243">
        <v>-20.175492999999999</v>
      </c>
      <c r="AQ3243">
        <v>-44.900759000000001</v>
      </c>
      <c r="AR3243">
        <v>40.612267304645073</v>
      </c>
      <c r="AS3243" t="s">
        <v>65</v>
      </c>
      <c r="AT3243">
        <v>1</v>
      </c>
      <c r="AU3243" t="s">
        <v>501</v>
      </c>
      <c r="AV3243" t="s">
        <v>502</v>
      </c>
      <c r="AW3243" t="s">
        <v>60</v>
      </c>
      <c r="AX3243" t="s">
        <v>68</v>
      </c>
      <c r="AY3243" t="s">
        <v>69</v>
      </c>
      <c r="AZ3243" t="b">
        <v>1</v>
      </c>
    </row>
    <row r="3244" spans="1:52" x14ac:dyDescent="0.3">
      <c r="A3244" t="s">
        <v>52</v>
      </c>
      <c r="B3244" t="s">
        <v>53</v>
      </c>
      <c r="C3244" t="s">
        <v>54</v>
      </c>
      <c r="D3244" t="s">
        <v>55</v>
      </c>
      <c r="E3244" t="s">
        <v>2163</v>
      </c>
      <c r="F3244" t="s">
        <v>1247</v>
      </c>
      <c r="G3244" t="s">
        <v>879</v>
      </c>
      <c r="H3244" t="s">
        <v>880</v>
      </c>
      <c r="I3244" t="s">
        <v>880</v>
      </c>
      <c r="J3244" t="s">
        <v>60</v>
      </c>
      <c r="K3244" t="s">
        <v>505</v>
      </c>
      <c r="L3244" t="s">
        <v>62</v>
      </c>
      <c r="M3244" t="s">
        <v>505</v>
      </c>
      <c r="N3244" t="s">
        <v>881</v>
      </c>
      <c r="O3244" t="s">
        <v>882</v>
      </c>
      <c r="P3244">
        <v>-20.133452999999999</v>
      </c>
      <c r="Q3244">
        <v>-44.890571999999999</v>
      </c>
      <c r="R3244" s="2" t="str">
        <f>HYPERLINK("https://www.google.com/maps?q=-20.1334530,-44.8905720","Abrir no Google Maps")</f>
        <v>Abrir no Google Maps</v>
      </c>
      <c r="S3244">
        <v>3</v>
      </c>
      <c r="T3244">
        <v>373.51332104809921</v>
      </c>
      <c r="U3244">
        <v>3</v>
      </c>
      <c r="V3244">
        <v>0.38415300546448089</v>
      </c>
      <c r="W3244">
        <v>1</v>
      </c>
      <c r="X3244">
        <v>0.38415300546448089</v>
      </c>
      <c r="Y3244">
        <v>564</v>
      </c>
      <c r="Z3244">
        <v>422.34693311930448</v>
      </c>
      <c r="AA3244">
        <v>198</v>
      </c>
      <c r="AB3244">
        <v>332</v>
      </c>
      <c r="AC3244">
        <v>536</v>
      </c>
      <c r="AD3244">
        <v>26.35</v>
      </c>
      <c r="AE3244">
        <v>542</v>
      </c>
      <c r="AF3244">
        <v>15</v>
      </c>
      <c r="AG3244">
        <v>174</v>
      </c>
      <c r="AH3244">
        <v>129</v>
      </c>
      <c r="AI3244">
        <v>2.77</v>
      </c>
      <c r="AJ3244">
        <v>32.1</v>
      </c>
      <c r="AK3244">
        <v>23.8</v>
      </c>
      <c r="AL3244">
        <v>-20.133421549999952</v>
      </c>
      <c r="AM3244">
        <v>-44.890623456009052</v>
      </c>
      <c r="AN3244">
        <v>-20.133421549999952</v>
      </c>
      <c r="AO3244">
        <v>-44.890623456009052</v>
      </c>
      <c r="AP3244">
        <v>-20.133452999999999</v>
      </c>
      <c r="AQ3244">
        <v>-44.890571999999999</v>
      </c>
      <c r="AR3244">
        <v>6.4172139275452773</v>
      </c>
      <c r="AS3244" t="s">
        <v>65</v>
      </c>
      <c r="AT3244">
        <v>1</v>
      </c>
      <c r="AU3244" t="s">
        <v>883</v>
      </c>
      <c r="AV3244" t="s">
        <v>884</v>
      </c>
      <c r="AW3244" t="s">
        <v>60</v>
      </c>
      <c r="AX3244" t="s">
        <v>68</v>
      </c>
      <c r="AY3244" t="s">
        <v>69</v>
      </c>
      <c r="AZ3244" t="b">
        <v>1</v>
      </c>
    </row>
    <row r="3245" spans="1:52" x14ac:dyDescent="0.3">
      <c r="A3245" t="s">
        <v>52</v>
      </c>
      <c r="B3245" t="s">
        <v>53</v>
      </c>
      <c r="C3245" t="s">
        <v>54</v>
      </c>
      <c r="D3245" t="s">
        <v>55</v>
      </c>
      <c r="E3245" t="s">
        <v>2163</v>
      </c>
      <c r="F3245" t="s">
        <v>1247</v>
      </c>
      <c r="G3245" t="s">
        <v>815</v>
      </c>
      <c r="H3245" t="s">
        <v>1404</v>
      </c>
      <c r="I3245" t="s">
        <v>1404</v>
      </c>
      <c r="J3245" t="s">
        <v>60</v>
      </c>
      <c r="K3245" t="s">
        <v>512</v>
      </c>
      <c r="L3245" t="s">
        <v>62</v>
      </c>
      <c r="M3245" t="s">
        <v>512</v>
      </c>
      <c r="N3245" t="s">
        <v>817</v>
      </c>
      <c r="O3245" t="s">
        <v>1405</v>
      </c>
      <c r="P3245">
        <v>-20.129069999999999</v>
      </c>
      <c r="Q3245">
        <v>-44.888452000000001</v>
      </c>
      <c r="R3245" s="2" t="str">
        <f>HYPERLINK("https://www.google.com/maps?q=-20.1290700,-44.8884520","Abrir no Google Maps")</f>
        <v>Abrir no Google Maps</v>
      </c>
      <c r="S3245">
        <v>3</v>
      </c>
      <c r="T3245">
        <v>0</v>
      </c>
      <c r="U3245">
        <v>3</v>
      </c>
      <c r="V3245">
        <v>0.4365295682422754</v>
      </c>
      <c r="W3245">
        <v>0.85</v>
      </c>
      <c r="X3245">
        <v>0.37105013300593409</v>
      </c>
      <c r="Y3245">
        <v>564</v>
      </c>
      <c r="Z3245">
        <v>95.870354837220688</v>
      </c>
      <c r="AA3245">
        <v>198</v>
      </c>
      <c r="AB3245">
        <v>332</v>
      </c>
      <c r="AC3245">
        <v>536</v>
      </c>
      <c r="AD3245">
        <v>26.35</v>
      </c>
      <c r="AE3245">
        <v>542</v>
      </c>
      <c r="AF3245">
        <v>15</v>
      </c>
      <c r="AG3245">
        <v>174</v>
      </c>
      <c r="AH3245">
        <v>129</v>
      </c>
      <c r="AI3245">
        <v>2.77</v>
      </c>
      <c r="AJ3245">
        <v>32.1</v>
      </c>
      <c r="AK3245">
        <v>23.8</v>
      </c>
      <c r="AL3245">
        <v>-20.12899334999997</v>
      </c>
      <c r="AM3245">
        <v>-44.888406102471222</v>
      </c>
      <c r="AN3245">
        <v>-20.12899334999997</v>
      </c>
      <c r="AO3245">
        <v>-44.888406102471222</v>
      </c>
      <c r="AP3245">
        <v>-20.129069999999999</v>
      </c>
      <c r="AQ3245">
        <v>-44.888452000000001</v>
      </c>
      <c r="AR3245">
        <v>9.7887731150376265</v>
      </c>
      <c r="AS3245" t="s">
        <v>65</v>
      </c>
      <c r="AT3245">
        <v>1</v>
      </c>
      <c r="AU3245" t="s">
        <v>1406</v>
      </c>
      <c r="AV3245" t="s">
        <v>1407</v>
      </c>
      <c r="AW3245" t="s">
        <v>60</v>
      </c>
      <c r="AX3245" t="s">
        <v>68</v>
      </c>
      <c r="AY3245" t="s">
        <v>69</v>
      </c>
      <c r="AZ3245" t="b">
        <v>1</v>
      </c>
    </row>
    <row r="3246" spans="1:52" x14ac:dyDescent="0.3">
      <c r="A3246" t="s">
        <v>52</v>
      </c>
      <c r="B3246" t="s">
        <v>53</v>
      </c>
      <c r="C3246" t="s">
        <v>54</v>
      </c>
      <c r="D3246" t="s">
        <v>55</v>
      </c>
      <c r="E3246" t="s">
        <v>2163</v>
      </c>
      <c r="F3246" t="s">
        <v>1247</v>
      </c>
      <c r="G3246" t="s">
        <v>890</v>
      </c>
      <c r="H3246" t="s">
        <v>891</v>
      </c>
      <c r="I3246" t="s">
        <v>891</v>
      </c>
      <c r="J3246" t="s">
        <v>60</v>
      </c>
      <c r="K3246" t="s">
        <v>892</v>
      </c>
      <c r="L3246" t="s">
        <v>62</v>
      </c>
      <c r="M3246" t="s">
        <v>892</v>
      </c>
      <c r="N3246" t="s">
        <v>893</v>
      </c>
      <c r="O3246" t="s">
        <v>894</v>
      </c>
      <c r="P3246">
        <v>-20.152519000000002</v>
      </c>
      <c r="Q3246">
        <v>-44.899177000000002</v>
      </c>
      <c r="R3246" s="2" t="str">
        <f>HYPERLINK("https://www.google.com/maps?q=-20.1525190,-44.8991770","Abrir no Google Maps")</f>
        <v>Abrir no Google Maps</v>
      </c>
      <c r="S3246">
        <v>3</v>
      </c>
      <c r="T3246">
        <v>211.80188552994721</v>
      </c>
      <c r="U3246">
        <v>3</v>
      </c>
      <c r="V3246">
        <v>0.3563432835820895</v>
      </c>
      <c r="W3246">
        <v>1</v>
      </c>
      <c r="X3246">
        <v>0.3563432835820895</v>
      </c>
      <c r="Y3246">
        <v>556</v>
      </c>
      <c r="Z3246">
        <v>290.34804137107091</v>
      </c>
      <c r="AA3246">
        <v>198</v>
      </c>
      <c r="AB3246">
        <v>332</v>
      </c>
      <c r="AC3246">
        <v>536</v>
      </c>
      <c r="AD3246">
        <v>26.35</v>
      </c>
      <c r="AE3246">
        <v>542</v>
      </c>
      <c r="AF3246">
        <v>15</v>
      </c>
      <c r="AG3246">
        <v>174</v>
      </c>
      <c r="AH3246">
        <v>129</v>
      </c>
      <c r="AI3246">
        <v>2.77</v>
      </c>
      <c r="AJ3246">
        <v>32.1</v>
      </c>
      <c r="AK3246">
        <v>23.8</v>
      </c>
      <c r="AL3246">
        <v>-20.152516249999959</v>
      </c>
      <c r="AM3246">
        <v>-44.899310431333959</v>
      </c>
      <c r="AN3246">
        <v>-20.152516249999959</v>
      </c>
      <c r="AO3246">
        <v>-44.899310431333959</v>
      </c>
      <c r="AP3246">
        <v>-20.152519000000002</v>
      </c>
      <c r="AQ3246">
        <v>-44.899177000000002</v>
      </c>
      <c r="AR3246">
        <v>13.947583284957719</v>
      </c>
      <c r="AS3246" t="s">
        <v>65</v>
      </c>
      <c r="AT3246">
        <v>1</v>
      </c>
      <c r="AU3246" t="s">
        <v>895</v>
      </c>
      <c r="AV3246" t="s">
        <v>896</v>
      </c>
      <c r="AW3246" t="s">
        <v>60</v>
      </c>
      <c r="AX3246" t="s">
        <v>68</v>
      </c>
      <c r="AY3246" t="s">
        <v>69</v>
      </c>
      <c r="AZ3246" t="b">
        <v>1</v>
      </c>
    </row>
    <row r="3247" spans="1:52" x14ac:dyDescent="0.3">
      <c r="A3247" t="s">
        <v>52</v>
      </c>
      <c r="B3247" t="s">
        <v>53</v>
      </c>
      <c r="C3247" t="s">
        <v>54</v>
      </c>
      <c r="D3247" t="s">
        <v>55</v>
      </c>
      <c r="E3247" t="s">
        <v>2163</v>
      </c>
      <c r="F3247" t="s">
        <v>1247</v>
      </c>
      <c r="G3247" t="s">
        <v>897</v>
      </c>
      <c r="H3247" t="s">
        <v>898</v>
      </c>
      <c r="I3247" t="s">
        <v>898</v>
      </c>
      <c r="J3247" t="s">
        <v>60</v>
      </c>
      <c r="K3247" t="s">
        <v>892</v>
      </c>
      <c r="L3247" t="s">
        <v>62</v>
      </c>
      <c r="M3247" t="s">
        <v>892</v>
      </c>
      <c r="N3247" t="s">
        <v>899</v>
      </c>
      <c r="O3247" t="s">
        <v>900</v>
      </c>
      <c r="P3247">
        <v>-20.154885</v>
      </c>
      <c r="Q3247">
        <v>-44.899890999999997</v>
      </c>
      <c r="R3247" s="2" t="str">
        <f>HYPERLINK("https://www.google.com/maps?q=-20.1548850,-44.8998910","Abrir no Google Maps")</f>
        <v>Abrir no Google Maps</v>
      </c>
      <c r="S3247">
        <v>3</v>
      </c>
      <c r="T3247">
        <v>314.66339661014308</v>
      </c>
      <c r="U3247">
        <v>3</v>
      </c>
      <c r="V3247">
        <v>0.36832897093263528</v>
      </c>
      <c r="W3247">
        <v>1</v>
      </c>
      <c r="X3247">
        <v>0.36832897093263528</v>
      </c>
      <c r="Y3247">
        <v>548</v>
      </c>
      <c r="Z3247">
        <v>319.02252584834253</v>
      </c>
      <c r="AA3247">
        <v>198</v>
      </c>
      <c r="AB3247">
        <v>332</v>
      </c>
      <c r="AC3247">
        <v>536</v>
      </c>
      <c r="AD3247">
        <v>26.35</v>
      </c>
      <c r="AE3247">
        <v>542</v>
      </c>
      <c r="AF3247">
        <v>15</v>
      </c>
      <c r="AG3247">
        <v>174</v>
      </c>
      <c r="AH3247">
        <v>129</v>
      </c>
      <c r="AI3247">
        <v>2.77</v>
      </c>
      <c r="AJ3247">
        <v>32.1</v>
      </c>
      <c r="AK3247">
        <v>23.8</v>
      </c>
      <c r="AL3247">
        <v>-20.154906649999951</v>
      </c>
      <c r="AM3247">
        <v>-44.899894072543653</v>
      </c>
      <c r="AN3247">
        <v>-20.154906649999951</v>
      </c>
      <c r="AO3247">
        <v>-44.899894072543653</v>
      </c>
      <c r="AP3247">
        <v>-20.154885</v>
      </c>
      <c r="AQ3247">
        <v>-44.899890999999997</v>
      </c>
      <c r="AR3247">
        <v>2.431373123904943</v>
      </c>
      <c r="AS3247" t="s">
        <v>65</v>
      </c>
      <c r="AT3247">
        <v>1</v>
      </c>
      <c r="AU3247" t="s">
        <v>901</v>
      </c>
      <c r="AV3247" t="s">
        <v>902</v>
      </c>
      <c r="AW3247" t="s">
        <v>60</v>
      </c>
      <c r="AX3247" t="s">
        <v>68</v>
      </c>
      <c r="AY3247" t="s">
        <v>69</v>
      </c>
      <c r="AZ3247" t="b">
        <v>1</v>
      </c>
    </row>
    <row r="3248" spans="1:52" x14ac:dyDescent="0.3">
      <c r="A3248" t="s">
        <v>52</v>
      </c>
      <c r="B3248" t="s">
        <v>53</v>
      </c>
      <c r="C3248" t="s">
        <v>54</v>
      </c>
      <c r="D3248" t="s">
        <v>55</v>
      </c>
      <c r="E3248" t="s">
        <v>2163</v>
      </c>
      <c r="F3248" t="s">
        <v>1247</v>
      </c>
      <c r="G3248" t="s">
        <v>1278</v>
      </c>
      <c r="H3248" t="s">
        <v>1279</v>
      </c>
      <c r="I3248" t="s">
        <v>1279</v>
      </c>
      <c r="J3248" t="s">
        <v>60</v>
      </c>
      <c r="K3248" t="s">
        <v>388</v>
      </c>
      <c r="L3248" t="s">
        <v>62</v>
      </c>
      <c r="M3248" t="s">
        <v>388</v>
      </c>
      <c r="N3248" t="s">
        <v>1280</v>
      </c>
      <c r="O3248" t="s">
        <v>216</v>
      </c>
      <c r="P3248">
        <v>-20.15681</v>
      </c>
      <c r="Q3248">
        <v>-44.899290999999998</v>
      </c>
      <c r="R3248" s="2" t="str">
        <f>HYPERLINK("https://www.google.com/maps?q=-20.1568100,-44.8992910","Abrir no Google Maps")</f>
        <v>Abrir no Google Maps</v>
      </c>
      <c r="S3248">
        <v>3</v>
      </c>
      <c r="T3248">
        <v>180.10162979749811</v>
      </c>
      <c r="U3248">
        <v>2</v>
      </c>
      <c r="V3248">
        <v>0.3443258599508599</v>
      </c>
      <c r="W3248">
        <v>0.85</v>
      </c>
      <c r="X3248">
        <v>0.29267698095823091</v>
      </c>
      <c r="Y3248">
        <v>729</v>
      </c>
      <c r="Z3248">
        <v>368.06065118133841</v>
      </c>
      <c r="AA3248">
        <v>198</v>
      </c>
      <c r="AB3248">
        <v>332</v>
      </c>
      <c r="AC3248">
        <v>536</v>
      </c>
      <c r="AD3248">
        <v>26.35</v>
      </c>
      <c r="AE3248">
        <v>542</v>
      </c>
      <c r="AF3248">
        <v>15</v>
      </c>
      <c r="AG3248">
        <v>174</v>
      </c>
      <c r="AH3248">
        <v>129</v>
      </c>
      <c r="AI3248">
        <v>2.77</v>
      </c>
      <c r="AJ3248">
        <v>32.1</v>
      </c>
      <c r="AK3248">
        <v>23.8</v>
      </c>
      <c r="AL3248">
        <v>-20.156785649999961</v>
      </c>
      <c r="AM3248">
        <v>-44.899254812291332</v>
      </c>
      <c r="AN3248">
        <v>-20.156785649999961</v>
      </c>
      <c r="AO3248">
        <v>-44.899254812291332</v>
      </c>
      <c r="AP3248">
        <v>-20.15681</v>
      </c>
      <c r="AQ3248">
        <v>-44.899290999999998</v>
      </c>
      <c r="AR3248">
        <v>4.6528211992813118</v>
      </c>
      <c r="AS3248" t="s">
        <v>65</v>
      </c>
      <c r="AT3248">
        <v>1</v>
      </c>
      <c r="AU3248" t="s">
        <v>1281</v>
      </c>
      <c r="AV3248" t="s">
        <v>1282</v>
      </c>
      <c r="AW3248" t="s">
        <v>60</v>
      </c>
      <c r="AX3248" t="s">
        <v>68</v>
      </c>
      <c r="AY3248" t="s">
        <v>69</v>
      </c>
      <c r="AZ3248" t="b">
        <v>1</v>
      </c>
    </row>
    <row r="3249" spans="1:52" x14ac:dyDescent="0.3">
      <c r="A3249" t="s">
        <v>52</v>
      </c>
      <c r="B3249" t="s">
        <v>53</v>
      </c>
      <c r="C3249" t="s">
        <v>54</v>
      </c>
      <c r="D3249" t="s">
        <v>55</v>
      </c>
      <c r="E3249" t="s">
        <v>2163</v>
      </c>
      <c r="F3249" t="s">
        <v>1247</v>
      </c>
      <c r="G3249" t="s">
        <v>1312</v>
      </c>
      <c r="H3249" t="s">
        <v>1313</v>
      </c>
      <c r="I3249" t="s">
        <v>1313</v>
      </c>
      <c r="J3249" t="s">
        <v>60</v>
      </c>
      <c r="K3249" t="s">
        <v>1314</v>
      </c>
      <c r="L3249" t="s">
        <v>62</v>
      </c>
      <c r="M3249" t="s">
        <v>1314</v>
      </c>
      <c r="N3249" t="s">
        <v>1315</v>
      </c>
      <c r="O3249" t="s">
        <v>315</v>
      </c>
      <c r="P3249">
        <v>-20.179649999999999</v>
      </c>
      <c r="Q3249">
        <v>-44.927177</v>
      </c>
      <c r="R3249" s="2" t="str">
        <f>HYPERLINK("https://www.google.com/maps?q=-20.1796500,-44.9271770","Abrir no Google Maps")</f>
        <v>Abrir no Google Maps</v>
      </c>
      <c r="S3249">
        <v>3</v>
      </c>
      <c r="T3249">
        <v>1742.181438658615</v>
      </c>
      <c r="U3249">
        <v>2</v>
      </c>
      <c r="V3249">
        <v>0.34655030580492863</v>
      </c>
      <c r="W3249">
        <v>0.85</v>
      </c>
      <c r="X3249">
        <v>0.29456775993418932</v>
      </c>
      <c r="Y3249">
        <v>723</v>
      </c>
      <c r="Z3249">
        <v>1801.262037027635</v>
      </c>
      <c r="AA3249">
        <v>198</v>
      </c>
      <c r="AB3249">
        <v>332</v>
      </c>
      <c r="AC3249">
        <v>536</v>
      </c>
      <c r="AD3249">
        <v>26.35</v>
      </c>
      <c r="AE3249">
        <v>542</v>
      </c>
      <c r="AF3249">
        <v>15</v>
      </c>
      <c r="AG3249">
        <v>174</v>
      </c>
      <c r="AH3249">
        <v>129</v>
      </c>
      <c r="AI3249">
        <v>2.77</v>
      </c>
      <c r="AJ3249">
        <v>32.1</v>
      </c>
      <c r="AK3249">
        <v>23.8</v>
      </c>
      <c r="AL3249">
        <v>-20.18058599999998</v>
      </c>
      <c r="AM3249">
        <v>-44.926708474999977</v>
      </c>
      <c r="AN3249">
        <v>-20.18058599999998</v>
      </c>
      <c r="AO3249">
        <v>-44.926708474999977</v>
      </c>
      <c r="AP3249">
        <v>-20.179649999999999</v>
      </c>
      <c r="AQ3249">
        <v>-44.927177</v>
      </c>
      <c r="AR3249">
        <v>115.1226868075416</v>
      </c>
      <c r="AS3249" t="s">
        <v>65</v>
      </c>
      <c r="AT3249">
        <v>1</v>
      </c>
      <c r="AU3249" t="s">
        <v>1316</v>
      </c>
      <c r="AV3249" t="s">
        <v>1317</v>
      </c>
      <c r="AW3249" t="s">
        <v>60</v>
      </c>
      <c r="AX3249" t="s">
        <v>68</v>
      </c>
      <c r="AY3249" t="s">
        <v>69</v>
      </c>
      <c r="AZ3249" t="b">
        <v>1</v>
      </c>
    </row>
    <row r="3250" spans="1:52" x14ac:dyDescent="0.3">
      <c r="A3250" t="s">
        <v>52</v>
      </c>
      <c r="B3250" t="s">
        <v>53</v>
      </c>
      <c r="C3250" t="s">
        <v>54</v>
      </c>
      <c r="D3250" t="s">
        <v>55</v>
      </c>
      <c r="E3250" t="s">
        <v>2163</v>
      </c>
      <c r="F3250" t="s">
        <v>1247</v>
      </c>
      <c r="G3250" t="s">
        <v>1354</v>
      </c>
      <c r="H3250" t="s">
        <v>1355</v>
      </c>
      <c r="I3250" t="s">
        <v>1355</v>
      </c>
      <c r="J3250" t="s">
        <v>60</v>
      </c>
      <c r="K3250" t="s">
        <v>1356</v>
      </c>
      <c r="L3250" t="s">
        <v>62</v>
      </c>
      <c r="M3250" t="s">
        <v>1356</v>
      </c>
      <c r="N3250" t="s">
        <v>1357</v>
      </c>
      <c r="O3250" t="s">
        <v>315</v>
      </c>
      <c r="P3250">
        <v>-20.132080999999999</v>
      </c>
      <c r="Q3250">
        <v>-44.908614</v>
      </c>
      <c r="R3250" s="2" t="str">
        <f>HYPERLINK("https://www.google.com/maps?q=-20.1320810,-44.9086140","Abrir no Google Maps")</f>
        <v>Abrir no Google Maps</v>
      </c>
      <c r="S3250">
        <v>3</v>
      </c>
      <c r="T3250">
        <v>701.02570959373259</v>
      </c>
      <c r="U3250">
        <v>2</v>
      </c>
      <c r="V3250">
        <v>0.37291915571485468</v>
      </c>
      <c r="W3250">
        <v>0.85</v>
      </c>
      <c r="X3250">
        <v>0.31698128235762651</v>
      </c>
      <c r="Y3250">
        <v>581</v>
      </c>
      <c r="Z3250">
        <v>811.38061352229215</v>
      </c>
      <c r="AA3250">
        <v>198</v>
      </c>
      <c r="AB3250">
        <v>332</v>
      </c>
      <c r="AC3250">
        <v>536</v>
      </c>
      <c r="AD3250">
        <v>26.35</v>
      </c>
      <c r="AE3250">
        <v>542</v>
      </c>
      <c r="AF3250">
        <v>15</v>
      </c>
      <c r="AG3250">
        <v>174</v>
      </c>
      <c r="AH3250">
        <v>129</v>
      </c>
      <c r="AI3250">
        <v>2.77</v>
      </c>
      <c r="AJ3250">
        <v>32.1</v>
      </c>
      <c r="AK3250">
        <v>23.8</v>
      </c>
      <c r="AL3250">
        <v>-20.132063499999951</v>
      </c>
      <c r="AM3250">
        <v>-44.908630454878519</v>
      </c>
      <c r="AN3250">
        <v>-20.132063499999951</v>
      </c>
      <c r="AO3250">
        <v>-44.908630454878519</v>
      </c>
      <c r="AP3250">
        <v>-20.132080999999999</v>
      </c>
      <c r="AQ3250">
        <v>-44.908614</v>
      </c>
      <c r="AR3250">
        <v>2.5986425761911551</v>
      </c>
      <c r="AS3250" t="s">
        <v>65</v>
      </c>
      <c r="AT3250">
        <v>1</v>
      </c>
      <c r="AU3250" t="s">
        <v>1358</v>
      </c>
      <c r="AV3250" t="s">
        <v>1359</v>
      </c>
      <c r="AW3250" t="s">
        <v>60</v>
      </c>
      <c r="AX3250" t="s">
        <v>68</v>
      </c>
      <c r="AY3250" t="s">
        <v>69</v>
      </c>
      <c r="AZ3250" t="b">
        <v>1</v>
      </c>
    </row>
    <row r="3251" spans="1:52" x14ac:dyDescent="0.3">
      <c r="A3251" t="s">
        <v>52</v>
      </c>
      <c r="B3251" t="s">
        <v>53</v>
      </c>
      <c r="C3251" t="s">
        <v>54</v>
      </c>
      <c r="D3251" t="s">
        <v>55</v>
      </c>
      <c r="E3251" t="s">
        <v>2163</v>
      </c>
      <c r="F3251" t="s">
        <v>1247</v>
      </c>
      <c r="G3251" t="s">
        <v>1364</v>
      </c>
      <c r="H3251" t="s">
        <v>1365</v>
      </c>
      <c r="I3251" t="s">
        <v>1365</v>
      </c>
      <c r="J3251" t="s">
        <v>60</v>
      </c>
      <c r="K3251" t="s">
        <v>1356</v>
      </c>
      <c r="L3251" t="s">
        <v>62</v>
      </c>
      <c r="M3251" t="s">
        <v>1356</v>
      </c>
      <c r="N3251" t="s">
        <v>1366</v>
      </c>
      <c r="O3251" t="s">
        <v>548</v>
      </c>
      <c r="P3251">
        <v>-20.131240999999999</v>
      </c>
      <c r="Q3251">
        <v>-44.910567999999998</v>
      </c>
      <c r="R3251" s="2" t="str">
        <f>HYPERLINK("https://www.google.com/maps?q=-20.1312410,-44.9105680","Abrir no Google Maps")</f>
        <v>Abrir no Google Maps</v>
      </c>
      <c r="S3251">
        <v>3</v>
      </c>
      <c r="T3251">
        <v>822.61354861726704</v>
      </c>
      <c r="U3251">
        <v>2</v>
      </c>
      <c r="V3251">
        <v>0.36279569892473118</v>
      </c>
      <c r="W3251">
        <v>0.85</v>
      </c>
      <c r="X3251">
        <v>0.30837634408602149</v>
      </c>
      <c r="Y3251">
        <v>581</v>
      </c>
      <c r="Z3251">
        <v>982.3990834787046</v>
      </c>
      <c r="AA3251">
        <v>198</v>
      </c>
      <c r="AB3251">
        <v>332</v>
      </c>
      <c r="AC3251">
        <v>536</v>
      </c>
      <c r="AD3251">
        <v>26.35</v>
      </c>
      <c r="AE3251">
        <v>542</v>
      </c>
      <c r="AF3251">
        <v>15</v>
      </c>
      <c r="AG3251">
        <v>174</v>
      </c>
      <c r="AH3251">
        <v>129</v>
      </c>
      <c r="AI3251">
        <v>2.77</v>
      </c>
      <c r="AJ3251">
        <v>32.1</v>
      </c>
      <c r="AK3251">
        <v>23.8</v>
      </c>
      <c r="AL3251">
        <v>-20.131367099999981</v>
      </c>
      <c r="AM3251">
        <v>-44.910597350758543</v>
      </c>
      <c r="AN3251">
        <v>-20.131367099999981</v>
      </c>
      <c r="AO3251">
        <v>-44.910597350758543</v>
      </c>
      <c r="AP3251">
        <v>-20.131240999999999</v>
      </c>
      <c r="AQ3251">
        <v>-44.910567999999998</v>
      </c>
      <c r="AR3251">
        <v>14.36874794070623</v>
      </c>
      <c r="AS3251" t="s">
        <v>65</v>
      </c>
      <c r="AT3251">
        <v>1</v>
      </c>
      <c r="AU3251" t="s">
        <v>1367</v>
      </c>
      <c r="AV3251" t="s">
        <v>1368</v>
      </c>
      <c r="AW3251" t="s">
        <v>60</v>
      </c>
      <c r="AX3251" t="s">
        <v>68</v>
      </c>
      <c r="AY3251" t="s">
        <v>69</v>
      </c>
      <c r="AZ3251" t="b">
        <v>1</v>
      </c>
    </row>
    <row r="3252" spans="1:52" x14ac:dyDescent="0.3">
      <c r="A3252" t="s">
        <v>52</v>
      </c>
      <c r="B3252" t="s">
        <v>53</v>
      </c>
      <c r="C3252" t="s">
        <v>54</v>
      </c>
      <c r="D3252" t="s">
        <v>55</v>
      </c>
      <c r="E3252" t="s">
        <v>2163</v>
      </c>
      <c r="F3252" t="s">
        <v>1247</v>
      </c>
      <c r="G3252" t="s">
        <v>1376</v>
      </c>
      <c r="H3252" t="s">
        <v>1377</v>
      </c>
      <c r="I3252" t="s">
        <v>1377</v>
      </c>
      <c r="J3252" t="s">
        <v>60</v>
      </c>
      <c r="K3252" t="s">
        <v>475</v>
      </c>
      <c r="L3252" t="s">
        <v>62</v>
      </c>
      <c r="M3252" t="s">
        <v>475</v>
      </c>
      <c r="N3252" t="s">
        <v>1378</v>
      </c>
      <c r="O3252" t="s">
        <v>1379</v>
      </c>
      <c r="P3252">
        <v>-20.175298000000002</v>
      </c>
      <c r="Q3252">
        <v>-44.904794000000003</v>
      </c>
      <c r="R3252" s="2" t="str">
        <f>HYPERLINK("https://www.google.com/maps?q=-20.1752980,-44.9047940","Abrir no Google Maps")</f>
        <v>Abrir no Google Maps</v>
      </c>
      <c r="S3252">
        <v>3</v>
      </c>
      <c r="T3252">
        <v>497.7557906927301</v>
      </c>
      <c r="U3252">
        <v>2</v>
      </c>
      <c r="V3252">
        <v>0.34524312896405918</v>
      </c>
      <c r="W3252">
        <v>0.85</v>
      </c>
      <c r="X3252">
        <v>0.29345665961945028</v>
      </c>
      <c r="Y3252">
        <v>578</v>
      </c>
      <c r="Z3252">
        <v>363.80816567363502</v>
      </c>
      <c r="AA3252">
        <v>198</v>
      </c>
      <c r="AB3252">
        <v>332</v>
      </c>
      <c r="AC3252">
        <v>536</v>
      </c>
      <c r="AD3252">
        <v>26.35</v>
      </c>
      <c r="AE3252">
        <v>542</v>
      </c>
      <c r="AF3252">
        <v>15</v>
      </c>
      <c r="AG3252">
        <v>174</v>
      </c>
      <c r="AH3252">
        <v>129</v>
      </c>
      <c r="AI3252">
        <v>2.77</v>
      </c>
      <c r="AJ3252">
        <v>32.1</v>
      </c>
      <c r="AK3252">
        <v>23.8</v>
      </c>
      <c r="AL3252">
        <v>-20.17530484999995</v>
      </c>
      <c r="AM3252">
        <v>-44.904834224351781</v>
      </c>
      <c r="AN3252">
        <v>-20.17530484999995</v>
      </c>
      <c r="AO3252">
        <v>-44.904834224351781</v>
      </c>
      <c r="AP3252">
        <v>-20.175298000000002</v>
      </c>
      <c r="AQ3252">
        <v>-44.904794000000003</v>
      </c>
      <c r="AR3252">
        <v>4.2716392411563806</v>
      </c>
      <c r="AS3252" t="s">
        <v>65</v>
      </c>
      <c r="AT3252">
        <v>1</v>
      </c>
      <c r="AU3252" t="s">
        <v>1380</v>
      </c>
      <c r="AV3252" t="s">
        <v>1381</v>
      </c>
      <c r="AW3252" t="s">
        <v>60</v>
      </c>
      <c r="AX3252" t="s">
        <v>68</v>
      </c>
      <c r="AY3252" t="s">
        <v>69</v>
      </c>
      <c r="AZ3252" t="b">
        <v>1</v>
      </c>
    </row>
    <row r="3253" spans="1:52" x14ac:dyDescent="0.3">
      <c r="A3253" t="s">
        <v>52</v>
      </c>
      <c r="B3253" t="s">
        <v>53</v>
      </c>
      <c r="C3253" t="s">
        <v>54</v>
      </c>
      <c r="D3253" t="s">
        <v>55</v>
      </c>
      <c r="E3253" t="s">
        <v>2163</v>
      </c>
      <c r="F3253" t="s">
        <v>1247</v>
      </c>
      <c r="G3253" t="s">
        <v>870</v>
      </c>
      <c r="H3253" t="s">
        <v>871</v>
      </c>
      <c r="I3253" t="s">
        <v>871</v>
      </c>
      <c r="J3253" t="s">
        <v>60</v>
      </c>
      <c r="K3253" t="s">
        <v>475</v>
      </c>
      <c r="L3253" t="s">
        <v>62</v>
      </c>
      <c r="M3253" t="s">
        <v>475</v>
      </c>
      <c r="N3253" t="s">
        <v>872</v>
      </c>
      <c r="O3253" t="s">
        <v>507</v>
      </c>
      <c r="P3253">
        <v>-20.176269999999999</v>
      </c>
      <c r="Q3253">
        <v>-44.909323999999998</v>
      </c>
      <c r="R3253" s="2" t="str">
        <f>HYPERLINK("https://www.google.com/maps?q=-20.1762700,-44.9093240","Abrir no Google Maps")</f>
        <v>Abrir no Google Maps</v>
      </c>
      <c r="S3253">
        <v>3</v>
      </c>
      <c r="T3253">
        <v>472.42731136821368</v>
      </c>
      <c r="U3253">
        <v>2</v>
      </c>
      <c r="V3253">
        <v>0.32068182658532068</v>
      </c>
      <c r="W3253">
        <v>1</v>
      </c>
      <c r="X3253">
        <v>0.32068182658532068</v>
      </c>
      <c r="Y3253">
        <v>578</v>
      </c>
      <c r="Z3253">
        <v>495.19726726344601</v>
      </c>
      <c r="AA3253">
        <v>198</v>
      </c>
      <c r="AB3253">
        <v>332</v>
      </c>
      <c r="AC3253">
        <v>536</v>
      </c>
      <c r="AD3253">
        <v>26.35</v>
      </c>
      <c r="AE3253">
        <v>542</v>
      </c>
      <c r="AF3253">
        <v>15</v>
      </c>
      <c r="AG3253">
        <v>174</v>
      </c>
      <c r="AH3253">
        <v>129</v>
      </c>
      <c r="AI3253">
        <v>2.77</v>
      </c>
      <c r="AJ3253">
        <v>32.1</v>
      </c>
      <c r="AK3253">
        <v>23.8</v>
      </c>
      <c r="AL3253">
        <v>-20.17630284999996</v>
      </c>
      <c r="AM3253">
        <v>-44.909199064318948</v>
      </c>
      <c r="AN3253">
        <v>-20.17630284999996</v>
      </c>
      <c r="AO3253">
        <v>-44.909199064318948</v>
      </c>
      <c r="AP3253">
        <v>-20.176269999999999</v>
      </c>
      <c r="AQ3253">
        <v>-44.909323999999998</v>
      </c>
      <c r="AR3253">
        <v>13.55691308737447</v>
      </c>
      <c r="AS3253" t="s">
        <v>65</v>
      </c>
      <c r="AT3253">
        <v>1</v>
      </c>
      <c r="AU3253" t="s">
        <v>873</v>
      </c>
      <c r="AV3253" t="s">
        <v>874</v>
      </c>
      <c r="AW3253" t="s">
        <v>60</v>
      </c>
      <c r="AX3253" t="s">
        <v>68</v>
      </c>
      <c r="AY3253" t="s">
        <v>69</v>
      </c>
      <c r="AZ3253" t="b">
        <v>1</v>
      </c>
    </row>
    <row r="3254" spans="1:52" x14ac:dyDescent="0.3">
      <c r="A3254" t="s">
        <v>52</v>
      </c>
      <c r="B3254" t="s">
        <v>53</v>
      </c>
      <c r="C3254" t="s">
        <v>54</v>
      </c>
      <c r="D3254" t="s">
        <v>55</v>
      </c>
      <c r="E3254" t="s">
        <v>2163</v>
      </c>
      <c r="F3254" t="s">
        <v>1247</v>
      </c>
      <c r="G3254" t="s">
        <v>1382</v>
      </c>
      <c r="H3254" t="s">
        <v>1383</v>
      </c>
      <c r="I3254" t="s">
        <v>1383</v>
      </c>
      <c r="J3254" t="s">
        <v>60</v>
      </c>
      <c r="K3254" t="s">
        <v>1384</v>
      </c>
      <c r="L3254" t="s">
        <v>62</v>
      </c>
      <c r="M3254" t="s">
        <v>1384</v>
      </c>
      <c r="N3254" t="s">
        <v>1385</v>
      </c>
      <c r="O3254" t="s">
        <v>1379</v>
      </c>
      <c r="P3254">
        <v>-20.168914999999998</v>
      </c>
      <c r="Q3254">
        <v>-44.897015000000003</v>
      </c>
      <c r="R3254" s="2" t="str">
        <f>HYPERLINK("https://www.google.com/maps?q=-20.1689150,-44.8970150","Abrir no Google Maps")</f>
        <v>Abrir no Google Maps</v>
      </c>
      <c r="S3254">
        <v>3</v>
      </c>
      <c r="T3254">
        <v>1082.4313448281291</v>
      </c>
      <c r="U3254">
        <v>2</v>
      </c>
      <c r="V3254">
        <v>0.3583917718560074</v>
      </c>
      <c r="W3254">
        <v>0.85</v>
      </c>
      <c r="X3254">
        <v>0.30463300607760629</v>
      </c>
      <c r="Y3254">
        <v>578</v>
      </c>
      <c r="Z3254">
        <v>1085.6751638476369</v>
      </c>
      <c r="AA3254">
        <v>198</v>
      </c>
      <c r="AB3254">
        <v>332</v>
      </c>
      <c r="AC3254">
        <v>536</v>
      </c>
      <c r="AD3254">
        <v>26.35</v>
      </c>
      <c r="AE3254">
        <v>542</v>
      </c>
      <c r="AF3254">
        <v>15</v>
      </c>
      <c r="AG3254">
        <v>174</v>
      </c>
      <c r="AH3254">
        <v>129</v>
      </c>
      <c r="AI3254">
        <v>2.77</v>
      </c>
      <c r="AJ3254">
        <v>32.1</v>
      </c>
      <c r="AK3254">
        <v>23.8</v>
      </c>
      <c r="AL3254">
        <v>-20.168195549999979</v>
      </c>
      <c r="AM3254">
        <v>-44.895555997240763</v>
      </c>
      <c r="AN3254">
        <v>-20.168195549999979</v>
      </c>
      <c r="AO3254">
        <v>-44.895555997240763</v>
      </c>
      <c r="AP3254">
        <v>-20.168914999999998</v>
      </c>
      <c r="AQ3254">
        <v>-44.897015000000003</v>
      </c>
      <c r="AR3254">
        <v>172.21377736735809</v>
      </c>
      <c r="AS3254" t="s">
        <v>65</v>
      </c>
      <c r="AT3254">
        <v>1</v>
      </c>
      <c r="AU3254" t="s">
        <v>1386</v>
      </c>
      <c r="AV3254" t="s">
        <v>1387</v>
      </c>
      <c r="AW3254" t="s">
        <v>60</v>
      </c>
      <c r="AX3254" t="s">
        <v>68</v>
      </c>
      <c r="AY3254" t="s">
        <v>69</v>
      </c>
      <c r="AZ3254" t="b">
        <v>1</v>
      </c>
    </row>
    <row r="3255" spans="1:52" x14ac:dyDescent="0.3">
      <c r="A3255" t="s">
        <v>52</v>
      </c>
      <c r="B3255" t="s">
        <v>53</v>
      </c>
      <c r="C3255" t="s">
        <v>54</v>
      </c>
      <c r="D3255" t="s">
        <v>55</v>
      </c>
      <c r="E3255" t="s">
        <v>2163</v>
      </c>
      <c r="F3255" t="s">
        <v>1247</v>
      </c>
      <c r="G3255" t="s">
        <v>1388</v>
      </c>
      <c r="H3255" t="s">
        <v>1389</v>
      </c>
      <c r="I3255" t="s">
        <v>1389</v>
      </c>
      <c r="J3255" t="s">
        <v>60</v>
      </c>
      <c r="K3255" t="s">
        <v>475</v>
      </c>
      <c r="L3255" t="s">
        <v>62</v>
      </c>
      <c r="M3255" t="s">
        <v>475</v>
      </c>
      <c r="N3255" t="s">
        <v>1390</v>
      </c>
      <c r="O3255" t="s">
        <v>855</v>
      </c>
      <c r="P3255">
        <v>-20.173748</v>
      </c>
      <c r="Q3255">
        <v>-44.894596999999997</v>
      </c>
      <c r="R3255" s="2" t="str">
        <f>HYPERLINK("https://www.google.com/maps?q=-20.1737480,-44.8945970","Abrir no Google Maps")</f>
        <v>Abrir no Google Maps</v>
      </c>
      <c r="S3255">
        <v>3</v>
      </c>
      <c r="T3255">
        <v>1217.388518792701</v>
      </c>
      <c r="U3255">
        <v>2</v>
      </c>
      <c r="V3255">
        <v>0.36042424242424242</v>
      </c>
      <c r="W3255">
        <v>0.85</v>
      </c>
      <c r="X3255">
        <v>0.30636060606060611</v>
      </c>
      <c r="Y3255">
        <v>578</v>
      </c>
      <c r="Z3255">
        <v>1268.0048337091989</v>
      </c>
      <c r="AA3255">
        <v>198</v>
      </c>
      <c r="AB3255">
        <v>332</v>
      </c>
      <c r="AC3255">
        <v>536</v>
      </c>
      <c r="AD3255">
        <v>26.35</v>
      </c>
      <c r="AE3255">
        <v>542</v>
      </c>
      <c r="AF3255">
        <v>15</v>
      </c>
      <c r="AG3255">
        <v>174</v>
      </c>
      <c r="AH3255">
        <v>129</v>
      </c>
      <c r="AI3255">
        <v>2.77</v>
      </c>
      <c r="AJ3255">
        <v>32.1</v>
      </c>
      <c r="AK3255">
        <v>23.8</v>
      </c>
      <c r="AL3255">
        <v>-20.173821999999941</v>
      </c>
      <c r="AM3255">
        <v>-44.894306105833543</v>
      </c>
      <c r="AN3255">
        <v>-20.173821999999941</v>
      </c>
      <c r="AO3255">
        <v>-44.894306105833543</v>
      </c>
      <c r="AP3255">
        <v>-20.173748</v>
      </c>
      <c r="AQ3255">
        <v>-44.894596999999997</v>
      </c>
      <c r="AR3255">
        <v>31.492193006406161</v>
      </c>
      <c r="AS3255" t="s">
        <v>65</v>
      </c>
      <c r="AT3255">
        <v>1</v>
      </c>
      <c r="AU3255" t="s">
        <v>1391</v>
      </c>
      <c r="AV3255" t="s">
        <v>1392</v>
      </c>
      <c r="AW3255" t="s">
        <v>60</v>
      </c>
      <c r="AX3255" t="s">
        <v>68</v>
      </c>
      <c r="AY3255" t="s">
        <v>69</v>
      </c>
      <c r="AZ3255" t="b">
        <v>1</v>
      </c>
    </row>
    <row r="3256" spans="1:52" x14ac:dyDescent="0.3">
      <c r="A3256" t="s">
        <v>52</v>
      </c>
      <c r="B3256" t="s">
        <v>53</v>
      </c>
      <c r="C3256" t="s">
        <v>54</v>
      </c>
      <c r="D3256" t="s">
        <v>55</v>
      </c>
      <c r="E3256" t="s">
        <v>2163</v>
      </c>
      <c r="F3256" t="s">
        <v>1247</v>
      </c>
      <c r="G3256" t="s">
        <v>1399</v>
      </c>
      <c r="H3256" t="s">
        <v>1400</v>
      </c>
      <c r="I3256" t="s">
        <v>1400</v>
      </c>
      <c r="J3256" t="s">
        <v>60</v>
      </c>
      <c r="K3256" t="s">
        <v>475</v>
      </c>
      <c r="L3256" t="s">
        <v>62</v>
      </c>
      <c r="M3256" t="s">
        <v>475</v>
      </c>
      <c r="N3256" t="s">
        <v>1401</v>
      </c>
      <c r="O3256" t="s">
        <v>1080</v>
      </c>
      <c r="P3256">
        <v>-20.178809000000001</v>
      </c>
      <c r="Q3256">
        <v>-44.900204000000002</v>
      </c>
      <c r="R3256" s="2" t="str">
        <f>HYPERLINK("https://www.google.com/maps?q=-20.1788090,-44.9002040","Abrir no Google Maps")</f>
        <v>Abrir no Google Maps</v>
      </c>
      <c r="S3256">
        <v>3</v>
      </c>
      <c r="T3256">
        <v>1015.86498565614</v>
      </c>
      <c r="U3256">
        <v>2</v>
      </c>
      <c r="V3256">
        <v>0.351885731264724</v>
      </c>
      <c r="W3256">
        <v>0.85</v>
      </c>
      <c r="X3256">
        <v>0.29910287157501542</v>
      </c>
      <c r="Y3256">
        <v>578</v>
      </c>
      <c r="Z3256">
        <v>954.77111474428102</v>
      </c>
      <c r="AA3256">
        <v>198</v>
      </c>
      <c r="AB3256">
        <v>332</v>
      </c>
      <c r="AC3256">
        <v>536</v>
      </c>
      <c r="AD3256">
        <v>26.35</v>
      </c>
      <c r="AE3256">
        <v>542</v>
      </c>
      <c r="AF3256">
        <v>15</v>
      </c>
      <c r="AG3256">
        <v>174</v>
      </c>
      <c r="AH3256">
        <v>129</v>
      </c>
      <c r="AI3256">
        <v>2.77</v>
      </c>
      <c r="AJ3256">
        <v>32.1</v>
      </c>
      <c r="AK3256">
        <v>23.8</v>
      </c>
      <c r="AL3256">
        <v>-20.178590099999951</v>
      </c>
      <c r="AM3256">
        <v>-44.90029029928732</v>
      </c>
      <c r="AN3256">
        <v>-20.178590099999951</v>
      </c>
      <c r="AO3256">
        <v>-44.90029029928732</v>
      </c>
      <c r="AP3256">
        <v>-20.178809000000001</v>
      </c>
      <c r="AQ3256">
        <v>-44.900204000000002</v>
      </c>
      <c r="AR3256">
        <v>25.982812999798391</v>
      </c>
      <c r="AS3256" t="s">
        <v>65</v>
      </c>
      <c r="AT3256">
        <v>1</v>
      </c>
      <c r="AU3256" t="s">
        <v>1402</v>
      </c>
      <c r="AV3256" t="s">
        <v>1403</v>
      </c>
      <c r="AW3256" t="s">
        <v>60</v>
      </c>
      <c r="AX3256" t="s">
        <v>68</v>
      </c>
      <c r="AY3256" t="s">
        <v>69</v>
      </c>
      <c r="AZ3256" t="b">
        <v>1</v>
      </c>
    </row>
    <row r="3257" spans="1:52" x14ac:dyDescent="0.3">
      <c r="A3257" t="s">
        <v>52</v>
      </c>
      <c r="B3257" t="s">
        <v>53</v>
      </c>
      <c r="C3257" t="s">
        <v>54</v>
      </c>
      <c r="D3257" t="s">
        <v>55</v>
      </c>
      <c r="E3257" t="s">
        <v>2163</v>
      </c>
      <c r="F3257" t="s">
        <v>1247</v>
      </c>
      <c r="G3257" t="s">
        <v>503</v>
      </c>
      <c r="H3257" t="s">
        <v>1441</v>
      </c>
      <c r="I3257" t="s">
        <v>1441</v>
      </c>
      <c r="J3257" t="s">
        <v>60</v>
      </c>
      <c r="K3257" t="s">
        <v>512</v>
      </c>
      <c r="L3257" t="s">
        <v>62</v>
      </c>
      <c r="M3257" t="s">
        <v>512</v>
      </c>
      <c r="N3257" t="s">
        <v>506</v>
      </c>
      <c r="O3257" t="s">
        <v>1442</v>
      </c>
      <c r="P3257">
        <v>-20.13036</v>
      </c>
      <c r="Q3257">
        <v>-44.891019</v>
      </c>
      <c r="R3257" s="2" t="str">
        <f>HYPERLINK("https://www.google.com/maps?q=-20.1303600,-44.8910190","Abrir no Google Maps")</f>
        <v>Abrir no Google Maps</v>
      </c>
      <c r="S3257">
        <v>3</v>
      </c>
      <c r="T3257">
        <v>313.17410616307359</v>
      </c>
      <c r="U3257">
        <v>2</v>
      </c>
      <c r="V3257">
        <v>0.36270846578960231</v>
      </c>
      <c r="W3257">
        <v>0.85</v>
      </c>
      <c r="X3257">
        <v>0.30830219592116198</v>
      </c>
      <c r="Y3257">
        <v>564</v>
      </c>
      <c r="Z3257">
        <v>208.43159293494489</v>
      </c>
      <c r="AA3257">
        <v>198</v>
      </c>
      <c r="AB3257">
        <v>332</v>
      </c>
      <c r="AC3257">
        <v>536</v>
      </c>
      <c r="AD3257">
        <v>26.35</v>
      </c>
      <c r="AE3257">
        <v>542</v>
      </c>
      <c r="AF3257">
        <v>15</v>
      </c>
      <c r="AG3257">
        <v>174</v>
      </c>
      <c r="AH3257">
        <v>129</v>
      </c>
      <c r="AI3257">
        <v>2.77</v>
      </c>
      <c r="AJ3257">
        <v>32.1</v>
      </c>
      <c r="AK3257">
        <v>23.8</v>
      </c>
      <c r="AL3257">
        <v>-20.130100449999961</v>
      </c>
      <c r="AM3257">
        <v>-44.891163633475301</v>
      </c>
      <c r="AN3257">
        <v>-20.130100449999961</v>
      </c>
      <c r="AO3257">
        <v>-44.891163633475301</v>
      </c>
      <c r="AP3257">
        <v>-20.13036</v>
      </c>
      <c r="AQ3257">
        <v>-44.891019</v>
      </c>
      <c r="AR3257">
        <v>32.608854575381159</v>
      </c>
      <c r="AS3257" t="s">
        <v>65</v>
      </c>
      <c r="AT3257">
        <v>1</v>
      </c>
      <c r="AU3257" t="s">
        <v>1443</v>
      </c>
      <c r="AV3257" t="s">
        <v>1444</v>
      </c>
      <c r="AW3257" t="s">
        <v>60</v>
      </c>
      <c r="AX3257" t="s">
        <v>68</v>
      </c>
      <c r="AY3257" t="s">
        <v>69</v>
      </c>
      <c r="AZ3257" t="b">
        <v>1</v>
      </c>
    </row>
    <row r="3258" spans="1:52" x14ac:dyDescent="0.3">
      <c r="A3258" t="s">
        <v>52</v>
      </c>
      <c r="B3258" t="s">
        <v>53</v>
      </c>
      <c r="C3258" t="s">
        <v>54</v>
      </c>
      <c r="D3258" t="s">
        <v>55</v>
      </c>
      <c r="E3258" t="s">
        <v>2163</v>
      </c>
      <c r="F3258" t="s">
        <v>1247</v>
      </c>
      <c r="G3258" t="s">
        <v>1408</v>
      </c>
      <c r="H3258" t="s">
        <v>1409</v>
      </c>
      <c r="I3258" t="s">
        <v>1409</v>
      </c>
      <c r="J3258" t="s">
        <v>60</v>
      </c>
      <c r="K3258" t="s">
        <v>200</v>
      </c>
      <c r="L3258" t="s">
        <v>62</v>
      </c>
      <c r="M3258" t="s">
        <v>200</v>
      </c>
      <c r="N3258" t="s">
        <v>1410</v>
      </c>
      <c r="O3258" t="s">
        <v>1001</v>
      </c>
      <c r="P3258">
        <v>-20.126062999999998</v>
      </c>
      <c r="Q3258">
        <v>-44.894936999999999</v>
      </c>
      <c r="R3258" s="2" t="str">
        <f>HYPERLINK("https://www.google.com/maps?q=-20.1260630,-44.8949370","Abrir no Google Maps")</f>
        <v>Abrir no Google Maps</v>
      </c>
      <c r="S3258">
        <v>3</v>
      </c>
      <c r="T3258">
        <v>747.3122077966558</v>
      </c>
      <c r="U3258">
        <v>2</v>
      </c>
      <c r="V3258">
        <v>0.34639838075961421</v>
      </c>
      <c r="W3258">
        <v>0.85</v>
      </c>
      <c r="X3258">
        <v>0.29443862364567208</v>
      </c>
      <c r="Y3258">
        <v>564</v>
      </c>
      <c r="Z3258">
        <v>693.80888866206885</v>
      </c>
      <c r="AA3258">
        <v>198</v>
      </c>
      <c r="AB3258">
        <v>332</v>
      </c>
      <c r="AC3258">
        <v>536</v>
      </c>
      <c r="AD3258">
        <v>26.35</v>
      </c>
      <c r="AE3258">
        <v>542</v>
      </c>
      <c r="AF3258">
        <v>15</v>
      </c>
      <c r="AG3258">
        <v>174</v>
      </c>
      <c r="AH3258">
        <v>129</v>
      </c>
      <c r="AI3258">
        <v>2.77</v>
      </c>
      <c r="AJ3258">
        <v>32.1</v>
      </c>
      <c r="AK3258">
        <v>23.8</v>
      </c>
      <c r="AL3258">
        <v>-20.126099149999959</v>
      </c>
      <c r="AM3258">
        <v>-44.894866076436763</v>
      </c>
      <c r="AN3258">
        <v>-20.126099149999959</v>
      </c>
      <c r="AO3258">
        <v>-44.894866076436749</v>
      </c>
      <c r="AP3258">
        <v>-20.126062999999998</v>
      </c>
      <c r="AQ3258">
        <v>-44.894936999999999</v>
      </c>
      <c r="AR3258">
        <v>8.4349593682699737</v>
      </c>
      <c r="AS3258" t="s">
        <v>65</v>
      </c>
      <c r="AT3258">
        <v>1</v>
      </c>
      <c r="AU3258" t="s">
        <v>1411</v>
      </c>
      <c r="AV3258" t="s">
        <v>1003</v>
      </c>
      <c r="AW3258" t="s">
        <v>60</v>
      </c>
      <c r="AX3258" t="s">
        <v>68</v>
      </c>
      <c r="AY3258" t="s">
        <v>69</v>
      </c>
      <c r="AZ3258" t="b">
        <v>1</v>
      </c>
    </row>
    <row r="3259" spans="1:52" x14ac:dyDescent="0.3">
      <c r="A3259" t="s">
        <v>52</v>
      </c>
      <c r="B3259" t="s">
        <v>53</v>
      </c>
      <c r="C3259" t="s">
        <v>54</v>
      </c>
      <c r="D3259" t="s">
        <v>55</v>
      </c>
      <c r="E3259" t="s">
        <v>2163</v>
      </c>
      <c r="F3259" t="s">
        <v>1247</v>
      </c>
      <c r="G3259" t="s">
        <v>1412</v>
      </c>
      <c r="H3259" t="s">
        <v>1413</v>
      </c>
      <c r="I3259" t="s">
        <v>1413</v>
      </c>
      <c r="J3259" t="s">
        <v>60</v>
      </c>
      <c r="K3259" t="s">
        <v>892</v>
      </c>
      <c r="L3259" t="s">
        <v>62</v>
      </c>
      <c r="M3259" t="s">
        <v>892</v>
      </c>
      <c r="N3259" t="s">
        <v>1414</v>
      </c>
      <c r="O3259" t="s">
        <v>293</v>
      </c>
      <c r="P3259">
        <v>-20.150780999999998</v>
      </c>
      <c r="Q3259">
        <v>-44.897972000000003</v>
      </c>
      <c r="R3259" s="2" t="str">
        <f>HYPERLINK("https://www.google.com/maps?q=-20.1507810,-44.8979720","Abrir no Google Maps")</f>
        <v>Abrir no Google Maps</v>
      </c>
      <c r="S3259">
        <v>3</v>
      </c>
      <c r="T3259">
        <v>306.36394634674508</v>
      </c>
      <c r="U3259">
        <v>2</v>
      </c>
      <c r="V3259">
        <v>0.35517226245336841</v>
      </c>
      <c r="W3259">
        <v>0.85</v>
      </c>
      <c r="X3259">
        <v>0.30189642308536307</v>
      </c>
      <c r="Y3259">
        <v>556</v>
      </c>
      <c r="Z3259">
        <v>233.85692443628571</v>
      </c>
      <c r="AA3259">
        <v>198</v>
      </c>
      <c r="AB3259">
        <v>332</v>
      </c>
      <c r="AC3259">
        <v>536</v>
      </c>
      <c r="AD3259">
        <v>26.35</v>
      </c>
      <c r="AE3259">
        <v>542</v>
      </c>
      <c r="AF3259">
        <v>15</v>
      </c>
      <c r="AG3259">
        <v>174</v>
      </c>
      <c r="AH3259">
        <v>129</v>
      </c>
      <c r="AI3259">
        <v>2.77</v>
      </c>
      <c r="AJ3259">
        <v>32.1</v>
      </c>
      <c r="AK3259">
        <v>23.8</v>
      </c>
      <c r="AL3259">
        <v>-20.15074609999996</v>
      </c>
      <c r="AM3259">
        <v>-44.89795774234689</v>
      </c>
      <c r="AN3259">
        <v>-20.15074609999996</v>
      </c>
      <c r="AO3259">
        <v>-44.89795774234689</v>
      </c>
      <c r="AP3259">
        <v>-20.150780999999998</v>
      </c>
      <c r="AQ3259">
        <v>-44.897972000000003</v>
      </c>
      <c r="AR3259">
        <v>4.160995809097348</v>
      </c>
      <c r="AS3259" t="s">
        <v>65</v>
      </c>
      <c r="AT3259">
        <v>1</v>
      </c>
      <c r="AU3259" t="s">
        <v>1415</v>
      </c>
      <c r="AV3259" t="s">
        <v>1416</v>
      </c>
      <c r="AW3259" t="s">
        <v>60</v>
      </c>
      <c r="AX3259" t="s">
        <v>68</v>
      </c>
      <c r="AY3259" t="s">
        <v>69</v>
      </c>
      <c r="AZ3259" t="b">
        <v>1</v>
      </c>
    </row>
    <row r="3260" spans="1:52" x14ac:dyDescent="0.3">
      <c r="A3260" t="s">
        <v>52</v>
      </c>
      <c r="B3260" t="s">
        <v>53</v>
      </c>
      <c r="C3260" t="s">
        <v>54</v>
      </c>
      <c r="D3260" t="s">
        <v>55</v>
      </c>
      <c r="E3260" t="s">
        <v>2163</v>
      </c>
      <c r="F3260" t="s">
        <v>1247</v>
      </c>
      <c r="G3260" t="s">
        <v>1127</v>
      </c>
      <c r="H3260" t="s">
        <v>1449</v>
      </c>
      <c r="I3260" t="s">
        <v>1449</v>
      </c>
      <c r="J3260" t="s">
        <v>60</v>
      </c>
      <c r="K3260" t="s">
        <v>1450</v>
      </c>
      <c r="L3260" t="s">
        <v>62</v>
      </c>
      <c r="M3260" t="s">
        <v>1450</v>
      </c>
      <c r="N3260" t="s">
        <v>1451</v>
      </c>
      <c r="O3260" t="s">
        <v>1452</v>
      </c>
      <c r="P3260">
        <v>-20.152612000000001</v>
      </c>
      <c r="Q3260">
        <v>-44.897098</v>
      </c>
      <c r="R3260" s="2" t="str">
        <f>HYPERLINK("https://www.google.com/maps?q=-20.1526120,-44.8970980","Abrir no Google Maps")</f>
        <v>Abrir no Google Maps</v>
      </c>
      <c r="S3260">
        <v>3</v>
      </c>
      <c r="T3260">
        <v>418.6283592063233</v>
      </c>
      <c r="U3260">
        <v>2</v>
      </c>
      <c r="V3260">
        <v>0.35439958592132498</v>
      </c>
      <c r="W3260">
        <v>0.85</v>
      </c>
      <c r="X3260">
        <v>0.30123964803312631</v>
      </c>
      <c r="Y3260">
        <v>556</v>
      </c>
      <c r="Z3260">
        <v>387.16462225830952</v>
      </c>
      <c r="AA3260">
        <v>198</v>
      </c>
      <c r="AB3260">
        <v>332</v>
      </c>
      <c r="AC3260">
        <v>536</v>
      </c>
      <c r="AD3260">
        <v>26.35</v>
      </c>
      <c r="AE3260">
        <v>542</v>
      </c>
      <c r="AF3260">
        <v>15</v>
      </c>
      <c r="AG3260">
        <v>174</v>
      </c>
      <c r="AH3260">
        <v>129</v>
      </c>
      <c r="AI3260">
        <v>2.77</v>
      </c>
      <c r="AJ3260">
        <v>32.1</v>
      </c>
      <c r="AK3260">
        <v>23.8</v>
      </c>
      <c r="AL3260">
        <v>-20.15253669999996</v>
      </c>
      <c r="AM3260">
        <v>-44.897068126936119</v>
      </c>
      <c r="AN3260">
        <v>-20.15253669999996</v>
      </c>
      <c r="AO3260">
        <v>-44.897068126936119</v>
      </c>
      <c r="AP3260">
        <v>-20.152612000000001</v>
      </c>
      <c r="AQ3260">
        <v>-44.897098</v>
      </c>
      <c r="AR3260">
        <v>8.9448699164987104</v>
      </c>
      <c r="AS3260" t="s">
        <v>65</v>
      </c>
      <c r="AT3260">
        <v>1</v>
      </c>
      <c r="AU3260" t="s">
        <v>1453</v>
      </c>
      <c r="AV3260" t="s">
        <v>1454</v>
      </c>
      <c r="AW3260" t="s">
        <v>60</v>
      </c>
      <c r="AX3260" t="s">
        <v>68</v>
      </c>
      <c r="AY3260" t="s">
        <v>69</v>
      </c>
      <c r="AZ3260" t="b">
        <v>1</v>
      </c>
    </row>
    <row r="3261" spans="1:52" x14ac:dyDescent="0.3">
      <c r="A3261" t="s">
        <v>52</v>
      </c>
      <c r="B3261" t="s">
        <v>53</v>
      </c>
      <c r="C3261" t="s">
        <v>54</v>
      </c>
      <c r="D3261" t="s">
        <v>55</v>
      </c>
      <c r="E3261" t="s">
        <v>2163</v>
      </c>
      <c r="F3261" t="s">
        <v>1247</v>
      </c>
      <c r="G3261" t="s">
        <v>1417</v>
      </c>
      <c r="H3261" t="s">
        <v>1418</v>
      </c>
      <c r="I3261" t="s">
        <v>1418</v>
      </c>
      <c r="J3261" t="s">
        <v>60</v>
      </c>
      <c r="K3261" t="s">
        <v>1419</v>
      </c>
      <c r="L3261" t="s">
        <v>62</v>
      </c>
      <c r="M3261" t="s">
        <v>1419</v>
      </c>
      <c r="N3261" t="s">
        <v>1420</v>
      </c>
      <c r="O3261" t="s">
        <v>1421</v>
      </c>
      <c r="P3261">
        <v>-20.159427000000001</v>
      </c>
      <c r="Q3261">
        <v>-44.897143</v>
      </c>
      <c r="R3261" s="2" t="str">
        <f>HYPERLINK("https://www.google.com/maps?q=-20.1594270,-44.8971430","Abrir no Google Maps")</f>
        <v>Abrir no Google Maps</v>
      </c>
      <c r="S3261">
        <v>3</v>
      </c>
      <c r="T3261">
        <v>392.64349875646298</v>
      </c>
      <c r="U3261">
        <v>1</v>
      </c>
      <c r="V3261">
        <v>0.32809175531914891</v>
      </c>
      <c r="W3261">
        <v>0.85</v>
      </c>
      <c r="X3261">
        <v>0.27887799202127661</v>
      </c>
      <c r="Y3261">
        <v>729</v>
      </c>
      <c r="Z3261">
        <v>550.20062797366995</v>
      </c>
      <c r="AA3261">
        <v>198</v>
      </c>
      <c r="AB3261">
        <v>332</v>
      </c>
      <c r="AC3261">
        <v>536</v>
      </c>
      <c r="AD3261">
        <v>26.35</v>
      </c>
      <c r="AE3261">
        <v>542</v>
      </c>
      <c r="AF3261">
        <v>15</v>
      </c>
      <c r="AG3261">
        <v>174</v>
      </c>
      <c r="AH3261">
        <v>129</v>
      </c>
      <c r="AI3261">
        <v>2.77</v>
      </c>
      <c r="AJ3261">
        <v>32.1</v>
      </c>
      <c r="AK3261">
        <v>23.8</v>
      </c>
      <c r="AL3261">
        <v>-20.15946549999995</v>
      </c>
      <c r="AM3261">
        <v>-44.89709959354267</v>
      </c>
      <c r="AN3261">
        <v>-20.15946549999995</v>
      </c>
      <c r="AO3261">
        <v>-44.89709959354267</v>
      </c>
      <c r="AP3261">
        <v>-20.159427000000001</v>
      </c>
      <c r="AQ3261">
        <v>-44.897143</v>
      </c>
      <c r="AR3261">
        <v>6.2404649979039286</v>
      </c>
      <c r="AS3261" t="s">
        <v>65</v>
      </c>
      <c r="AT3261">
        <v>1</v>
      </c>
      <c r="AU3261" t="s">
        <v>1422</v>
      </c>
      <c r="AV3261" t="s">
        <v>1423</v>
      </c>
      <c r="AW3261" t="s">
        <v>60</v>
      </c>
      <c r="AX3261" t="s">
        <v>68</v>
      </c>
      <c r="AY3261" t="s">
        <v>69</v>
      </c>
      <c r="AZ3261" t="b">
        <v>1</v>
      </c>
    </row>
    <row r="3262" spans="1:52" x14ac:dyDescent="0.3">
      <c r="A3262" t="s">
        <v>52</v>
      </c>
      <c r="B3262" t="s">
        <v>53</v>
      </c>
      <c r="C3262" t="s">
        <v>54</v>
      </c>
      <c r="D3262" t="s">
        <v>55</v>
      </c>
      <c r="E3262" t="s">
        <v>2163</v>
      </c>
      <c r="F3262" t="s">
        <v>1247</v>
      </c>
      <c r="G3262" t="s">
        <v>1318</v>
      </c>
      <c r="H3262" t="s">
        <v>1319</v>
      </c>
      <c r="I3262" t="s">
        <v>1319</v>
      </c>
      <c r="J3262" t="s">
        <v>60</v>
      </c>
      <c r="K3262" t="s">
        <v>1314</v>
      </c>
      <c r="L3262" t="s">
        <v>62</v>
      </c>
      <c r="M3262" t="s">
        <v>1314</v>
      </c>
      <c r="N3262" t="s">
        <v>1320</v>
      </c>
      <c r="O3262" t="s">
        <v>1321</v>
      </c>
      <c r="P3262">
        <v>-20.178615000000001</v>
      </c>
      <c r="Q3262">
        <v>-44.924697999999999</v>
      </c>
      <c r="R3262" s="2" t="str">
        <f>HYPERLINK("https://www.google.com/maps?q=-20.1786150,-44.9246980","Abrir no Google Maps")</f>
        <v>Abrir no Google Maps</v>
      </c>
      <c r="S3262">
        <v>3</v>
      </c>
      <c r="T3262">
        <v>1583.462557226148</v>
      </c>
      <c r="U3262">
        <v>1</v>
      </c>
      <c r="V3262">
        <v>0.32299578059071732</v>
      </c>
      <c r="W3262">
        <v>0.85</v>
      </c>
      <c r="X3262">
        <v>0.27454641350210968</v>
      </c>
      <c r="Y3262">
        <v>723</v>
      </c>
      <c r="Z3262">
        <v>1414.1542726995031</v>
      </c>
      <c r="AA3262">
        <v>198</v>
      </c>
      <c r="AB3262">
        <v>332</v>
      </c>
      <c r="AC3262">
        <v>536</v>
      </c>
      <c r="AD3262">
        <v>26.35</v>
      </c>
      <c r="AE3262">
        <v>542</v>
      </c>
      <c r="AF3262">
        <v>15</v>
      </c>
      <c r="AG3262">
        <v>174</v>
      </c>
      <c r="AH3262">
        <v>129</v>
      </c>
      <c r="AI3262">
        <v>2.77</v>
      </c>
      <c r="AJ3262">
        <v>32.1</v>
      </c>
      <c r="AK3262">
        <v>23.8</v>
      </c>
      <c r="AL3262">
        <v>-20.17821329999995</v>
      </c>
      <c r="AM3262">
        <v>-44.924188563452951</v>
      </c>
      <c r="AN3262">
        <v>-20.17821329999995</v>
      </c>
      <c r="AO3262">
        <v>-44.924188563452951</v>
      </c>
      <c r="AP3262">
        <v>-20.178615000000001</v>
      </c>
      <c r="AQ3262">
        <v>-44.924697999999999</v>
      </c>
      <c r="AR3262">
        <v>69.520116290580319</v>
      </c>
      <c r="AS3262" t="s">
        <v>65</v>
      </c>
      <c r="AT3262">
        <v>1</v>
      </c>
      <c r="AU3262" t="s">
        <v>1322</v>
      </c>
      <c r="AV3262" t="s">
        <v>1317</v>
      </c>
      <c r="AW3262" t="s">
        <v>60</v>
      </c>
      <c r="AX3262" t="s">
        <v>68</v>
      </c>
      <c r="AY3262" t="s">
        <v>69</v>
      </c>
      <c r="AZ3262" t="b">
        <v>1</v>
      </c>
    </row>
    <row r="3263" spans="1:52" x14ac:dyDescent="0.3">
      <c r="A3263" t="s">
        <v>52</v>
      </c>
      <c r="B3263" t="s">
        <v>53</v>
      </c>
      <c r="C3263" t="s">
        <v>54</v>
      </c>
      <c r="D3263" t="s">
        <v>55</v>
      </c>
      <c r="E3263" t="s">
        <v>2163</v>
      </c>
      <c r="F3263" t="s">
        <v>1247</v>
      </c>
      <c r="G3263" t="s">
        <v>1424</v>
      </c>
      <c r="H3263" t="s">
        <v>1425</v>
      </c>
      <c r="I3263" t="s">
        <v>1425</v>
      </c>
      <c r="J3263" t="s">
        <v>60</v>
      </c>
      <c r="K3263" t="s">
        <v>1324</v>
      </c>
      <c r="L3263" t="s">
        <v>62</v>
      </c>
      <c r="M3263" t="s">
        <v>1324</v>
      </c>
      <c r="N3263" t="s">
        <v>1426</v>
      </c>
      <c r="O3263" t="s">
        <v>938</v>
      </c>
      <c r="P3263">
        <v>-20.172844999999999</v>
      </c>
      <c r="Q3263">
        <v>-44.909215000000003</v>
      </c>
      <c r="R3263" s="2" t="str">
        <f>HYPERLINK("https://www.google.com/maps?q=-20.1728450,-44.9092150","Abrir no Google Maps")</f>
        <v>Abrir no Google Maps</v>
      </c>
      <c r="S3263">
        <v>3</v>
      </c>
      <c r="T3263">
        <v>0</v>
      </c>
      <c r="U3263">
        <v>1</v>
      </c>
      <c r="V3263">
        <v>0.30333333333333329</v>
      </c>
      <c r="W3263">
        <v>0.85</v>
      </c>
      <c r="X3263">
        <v>0.2578333333333333</v>
      </c>
      <c r="Y3263">
        <v>578</v>
      </c>
      <c r="Z3263">
        <v>365.56549317689053</v>
      </c>
      <c r="AA3263">
        <v>198</v>
      </c>
      <c r="AB3263">
        <v>332</v>
      </c>
      <c r="AC3263">
        <v>536</v>
      </c>
      <c r="AD3263">
        <v>26.35</v>
      </c>
      <c r="AE3263">
        <v>542</v>
      </c>
      <c r="AF3263">
        <v>15</v>
      </c>
      <c r="AG3263">
        <v>174</v>
      </c>
      <c r="AH3263">
        <v>129</v>
      </c>
      <c r="AI3263">
        <v>2.77</v>
      </c>
      <c r="AJ3263">
        <v>32.1</v>
      </c>
      <c r="AK3263">
        <v>23.8</v>
      </c>
      <c r="AL3263">
        <v>-20.172197349999941</v>
      </c>
      <c r="AM3263">
        <v>-44.910438675762883</v>
      </c>
      <c r="AN3263">
        <v>-20.172197349999941</v>
      </c>
      <c r="AO3263">
        <v>-44.910438675762883</v>
      </c>
      <c r="AP3263">
        <v>-20.172844999999999</v>
      </c>
      <c r="AQ3263">
        <v>-44.909215000000003</v>
      </c>
      <c r="AR3263">
        <v>146.78922919749749</v>
      </c>
      <c r="AS3263" t="s">
        <v>65</v>
      </c>
      <c r="AT3263">
        <v>1</v>
      </c>
      <c r="AU3263" t="s">
        <v>1427</v>
      </c>
      <c r="AV3263" t="s">
        <v>1428</v>
      </c>
      <c r="AW3263" t="s">
        <v>60</v>
      </c>
      <c r="AX3263" t="s">
        <v>68</v>
      </c>
      <c r="AY3263" t="s">
        <v>69</v>
      </c>
      <c r="AZ3263" t="b">
        <v>1</v>
      </c>
    </row>
    <row r="3264" spans="1:52" x14ac:dyDescent="0.3">
      <c r="A3264" t="s">
        <v>52</v>
      </c>
      <c r="B3264" t="s">
        <v>53</v>
      </c>
      <c r="C3264" t="s">
        <v>54</v>
      </c>
      <c r="D3264" t="s">
        <v>55</v>
      </c>
      <c r="E3264" t="s">
        <v>2163</v>
      </c>
      <c r="F3264" t="s">
        <v>1247</v>
      </c>
      <c r="G3264" t="s">
        <v>1429</v>
      </c>
      <c r="H3264" t="s">
        <v>1430</v>
      </c>
      <c r="I3264" t="s">
        <v>1430</v>
      </c>
      <c r="J3264" t="s">
        <v>60</v>
      </c>
      <c r="K3264" t="s">
        <v>505</v>
      </c>
      <c r="L3264" t="s">
        <v>62</v>
      </c>
      <c r="M3264" t="s">
        <v>505</v>
      </c>
      <c r="N3264" t="s">
        <v>1431</v>
      </c>
      <c r="O3264" t="s">
        <v>1432</v>
      </c>
      <c r="P3264">
        <v>-20.132069000000001</v>
      </c>
      <c r="Q3264">
        <v>-44.891694000000001</v>
      </c>
      <c r="R3264" s="2" t="str">
        <f>HYPERLINK("https://www.google.com/maps?q=-20.1320690,-44.8916940","Abrir no Google Maps")</f>
        <v>Abrir no Google Maps</v>
      </c>
      <c r="S3264">
        <v>3</v>
      </c>
      <c r="T3264">
        <v>463.84477613866852</v>
      </c>
      <c r="U3264">
        <v>1</v>
      </c>
      <c r="V3264">
        <v>0.32654569892473118</v>
      </c>
      <c r="W3264">
        <v>0.85</v>
      </c>
      <c r="X3264">
        <v>0.27756384408602153</v>
      </c>
      <c r="Y3264">
        <v>564</v>
      </c>
      <c r="Z3264">
        <v>349.6044774510159</v>
      </c>
      <c r="AA3264">
        <v>198</v>
      </c>
      <c r="AB3264">
        <v>332</v>
      </c>
      <c r="AC3264">
        <v>536</v>
      </c>
      <c r="AD3264">
        <v>26.35</v>
      </c>
      <c r="AE3264">
        <v>542</v>
      </c>
      <c r="AF3264">
        <v>15</v>
      </c>
      <c r="AG3264">
        <v>174</v>
      </c>
      <c r="AH3264">
        <v>129</v>
      </c>
      <c r="AI3264">
        <v>2.77</v>
      </c>
      <c r="AJ3264">
        <v>32.1</v>
      </c>
      <c r="AK3264">
        <v>23.8</v>
      </c>
      <c r="AL3264">
        <v>-20.131860799999941</v>
      </c>
      <c r="AM3264">
        <v>-44.891643045551348</v>
      </c>
      <c r="AN3264">
        <v>-20.131860799999941</v>
      </c>
      <c r="AO3264">
        <v>-44.891643045551348</v>
      </c>
      <c r="AP3264">
        <v>-20.132069000000001</v>
      </c>
      <c r="AQ3264">
        <v>-44.891694000000001</v>
      </c>
      <c r="AR3264">
        <v>23.780836080569209</v>
      </c>
      <c r="AS3264" t="s">
        <v>65</v>
      </c>
      <c r="AT3264">
        <v>1</v>
      </c>
      <c r="AU3264" t="s">
        <v>1433</v>
      </c>
      <c r="AV3264" t="s">
        <v>1434</v>
      </c>
      <c r="AW3264" t="s">
        <v>60</v>
      </c>
      <c r="AX3264" t="s">
        <v>68</v>
      </c>
      <c r="AY3264" t="s">
        <v>69</v>
      </c>
      <c r="AZ3264" t="b">
        <v>1</v>
      </c>
    </row>
    <row r="3265" spans="1:52" x14ac:dyDescent="0.3">
      <c r="A3265" t="s">
        <v>52</v>
      </c>
      <c r="B3265" t="s">
        <v>53</v>
      </c>
      <c r="C3265" t="s">
        <v>54</v>
      </c>
      <c r="D3265" t="s">
        <v>55</v>
      </c>
      <c r="E3265" t="s">
        <v>2163</v>
      </c>
      <c r="F3265" t="s">
        <v>1247</v>
      </c>
      <c r="G3265" t="s">
        <v>1435</v>
      </c>
      <c r="H3265" t="s">
        <v>1436</v>
      </c>
      <c r="I3265" t="s">
        <v>1436</v>
      </c>
      <c r="J3265" t="s">
        <v>60</v>
      </c>
      <c r="K3265" t="s">
        <v>886</v>
      </c>
      <c r="L3265" t="s">
        <v>62</v>
      </c>
      <c r="M3265" t="s">
        <v>886</v>
      </c>
      <c r="N3265" t="s">
        <v>1437</v>
      </c>
      <c r="O3265" t="s">
        <v>1438</v>
      </c>
      <c r="P3265">
        <v>-20.131108000000001</v>
      </c>
      <c r="Q3265">
        <v>-44.893228000000001</v>
      </c>
      <c r="R3265" s="2" t="str">
        <f>HYPERLINK("https://www.google.com/maps?q=-20.1311080,-44.8932280","Abrir no Google Maps")</f>
        <v>Abrir no Google Maps</v>
      </c>
      <c r="S3265">
        <v>3</v>
      </c>
      <c r="T3265">
        <v>548.07497919430136</v>
      </c>
      <c r="U3265">
        <v>1</v>
      </c>
      <c r="V3265">
        <v>0.28850771869639791</v>
      </c>
      <c r="W3265">
        <v>0.85</v>
      </c>
      <c r="X3265">
        <v>0.24523156089193821</v>
      </c>
      <c r="Y3265">
        <v>564</v>
      </c>
      <c r="Z3265">
        <v>369.17139216388432</v>
      </c>
      <c r="AA3265">
        <v>198</v>
      </c>
      <c r="AB3265">
        <v>332</v>
      </c>
      <c r="AC3265">
        <v>536</v>
      </c>
      <c r="AD3265">
        <v>26.35</v>
      </c>
      <c r="AE3265">
        <v>542</v>
      </c>
      <c r="AF3265">
        <v>15</v>
      </c>
      <c r="AG3265">
        <v>174</v>
      </c>
      <c r="AH3265">
        <v>129</v>
      </c>
      <c r="AI3265">
        <v>2.77</v>
      </c>
      <c r="AJ3265">
        <v>32.1</v>
      </c>
      <c r="AK3265">
        <v>23.8</v>
      </c>
      <c r="AL3265">
        <v>-20.13103294999997</v>
      </c>
      <c r="AM3265">
        <v>-44.89318457893738</v>
      </c>
      <c r="AN3265">
        <v>-20.13103294999997</v>
      </c>
      <c r="AO3265">
        <v>-44.89318457893738</v>
      </c>
      <c r="AP3265">
        <v>-20.131108000000001</v>
      </c>
      <c r="AQ3265">
        <v>-44.893228000000001</v>
      </c>
      <c r="AR3265">
        <v>9.5076426885244203</v>
      </c>
      <c r="AS3265" t="s">
        <v>65</v>
      </c>
      <c r="AT3265">
        <v>1</v>
      </c>
      <c r="AU3265" t="s">
        <v>1439</v>
      </c>
      <c r="AV3265" t="s">
        <v>1440</v>
      </c>
      <c r="AW3265" t="s">
        <v>60</v>
      </c>
      <c r="AX3265" t="s">
        <v>68</v>
      </c>
      <c r="AY3265" t="s">
        <v>69</v>
      </c>
      <c r="AZ3265" t="b">
        <v>1</v>
      </c>
    </row>
    <row r="3266" spans="1:52" x14ac:dyDescent="0.3">
      <c r="A3266" t="s">
        <v>52</v>
      </c>
      <c r="B3266" t="s">
        <v>53</v>
      </c>
      <c r="C3266" t="s">
        <v>54</v>
      </c>
      <c r="D3266" t="s">
        <v>55</v>
      </c>
      <c r="E3266" t="s">
        <v>2163</v>
      </c>
      <c r="F3266" t="s">
        <v>1247</v>
      </c>
      <c r="G3266" t="s">
        <v>473</v>
      </c>
      <c r="H3266" t="s">
        <v>1445</v>
      </c>
      <c r="I3266" t="s">
        <v>1445</v>
      </c>
      <c r="J3266" t="s">
        <v>60</v>
      </c>
      <c r="K3266" t="s">
        <v>892</v>
      </c>
      <c r="L3266" t="s">
        <v>62</v>
      </c>
      <c r="M3266" t="s">
        <v>892</v>
      </c>
      <c r="N3266" t="s">
        <v>406</v>
      </c>
      <c r="O3266" t="s">
        <v>1446</v>
      </c>
      <c r="P3266">
        <v>-20.14941</v>
      </c>
      <c r="Q3266">
        <v>-44.899535</v>
      </c>
      <c r="R3266" s="2" t="str">
        <f>HYPERLINK("https://www.google.com/maps?q=-20.1494100,-44.8995350","Abrir no Google Maps")</f>
        <v>Abrir no Google Maps</v>
      </c>
      <c r="S3266">
        <v>3</v>
      </c>
      <c r="T3266">
        <v>249.83945591849931</v>
      </c>
      <c r="U3266">
        <v>1</v>
      </c>
      <c r="V3266">
        <v>0.32418412916523531</v>
      </c>
      <c r="W3266">
        <v>0.85</v>
      </c>
      <c r="X3266">
        <v>0.27555650979044999</v>
      </c>
      <c r="Y3266">
        <v>556</v>
      </c>
      <c r="Z3266">
        <v>156.62360082488701</v>
      </c>
      <c r="AA3266">
        <v>198</v>
      </c>
      <c r="AB3266">
        <v>332</v>
      </c>
      <c r="AC3266">
        <v>536</v>
      </c>
      <c r="AD3266">
        <v>26.35</v>
      </c>
      <c r="AE3266">
        <v>542</v>
      </c>
      <c r="AF3266">
        <v>15</v>
      </c>
      <c r="AG3266">
        <v>174</v>
      </c>
      <c r="AH3266">
        <v>129</v>
      </c>
      <c r="AI3266">
        <v>2.77</v>
      </c>
      <c r="AJ3266">
        <v>32.1</v>
      </c>
      <c r="AK3266">
        <v>23.8</v>
      </c>
      <c r="AL3266">
        <v>-20.149341899999939</v>
      </c>
      <c r="AM3266">
        <v>-44.899575902083967</v>
      </c>
      <c r="AN3266">
        <v>-20.149341899999939</v>
      </c>
      <c r="AO3266">
        <v>-44.899575902083967</v>
      </c>
      <c r="AP3266">
        <v>-20.14941</v>
      </c>
      <c r="AQ3266">
        <v>-44.899535</v>
      </c>
      <c r="AR3266">
        <v>8.7029725999778709</v>
      </c>
      <c r="AS3266" t="s">
        <v>65</v>
      </c>
      <c r="AT3266">
        <v>1</v>
      </c>
      <c r="AU3266" t="s">
        <v>1447</v>
      </c>
      <c r="AV3266" t="s">
        <v>1448</v>
      </c>
      <c r="AW3266" t="s">
        <v>60</v>
      </c>
      <c r="AX3266" t="s">
        <v>68</v>
      </c>
      <c r="AY3266" t="s">
        <v>69</v>
      </c>
      <c r="AZ3266" t="b">
        <v>1</v>
      </c>
    </row>
    <row r="3267" spans="1:52" x14ac:dyDescent="0.3">
      <c r="A3267" t="s">
        <v>52</v>
      </c>
      <c r="B3267" t="s">
        <v>53</v>
      </c>
      <c r="C3267" t="s">
        <v>54</v>
      </c>
      <c r="D3267" t="s">
        <v>55</v>
      </c>
      <c r="E3267" t="s">
        <v>2163</v>
      </c>
      <c r="F3267" t="s">
        <v>1247</v>
      </c>
      <c r="G3267" t="s">
        <v>1127</v>
      </c>
      <c r="H3267" t="s">
        <v>1455</v>
      </c>
      <c r="I3267" t="s">
        <v>1455</v>
      </c>
      <c r="J3267" t="s">
        <v>60</v>
      </c>
      <c r="K3267" t="s">
        <v>431</v>
      </c>
      <c r="L3267" t="s">
        <v>62</v>
      </c>
      <c r="M3267" t="s">
        <v>431</v>
      </c>
      <c r="N3267" t="s">
        <v>1456</v>
      </c>
      <c r="O3267" t="s">
        <v>1001</v>
      </c>
      <c r="P3267">
        <v>-20.168237999999999</v>
      </c>
      <c r="Q3267">
        <v>-44.924250999999998</v>
      </c>
      <c r="R3267" s="2" t="str">
        <f>HYPERLINK("https://www.google.com/maps?q=-20.1682380,-44.9242510","Abrir no Google Maps")</f>
        <v>Abrir no Google Maps</v>
      </c>
      <c r="S3267">
        <v>2</v>
      </c>
      <c r="T3267">
        <v>1220.188820430971</v>
      </c>
      <c r="U3267">
        <v>4</v>
      </c>
      <c r="V3267">
        <v>0.5897891963109354</v>
      </c>
      <c r="W3267">
        <v>0.85</v>
      </c>
      <c r="X3267">
        <v>0.50132081686429508</v>
      </c>
      <c r="Y3267">
        <v>723</v>
      </c>
      <c r="Z3267">
        <v>1092.4377883150901</v>
      </c>
      <c r="AA3267">
        <v>198</v>
      </c>
      <c r="AB3267">
        <v>332</v>
      </c>
      <c r="AC3267">
        <v>536</v>
      </c>
      <c r="AD3267">
        <v>26.35</v>
      </c>
      <c r="AE3267">
        <v>542</v>
      </c>
      <c r="AF3267">
        <v>15</v>
      </c>
      <c r="AG3267">
        <v>174</v>
      </c>
      <c r="AH3267">
        <v>129</v>
      </c>
      <c r="AI3267">
        <v>2.77</v>
      </c>
      <c r="AJ3267">
        <v>32.1</v>
      </c>
      <c r="AK3267">
        <v>23.8</v>
      </c>
      <c r="AL3267">
        <v>-20.168394999999951</v>
      </c>
      <c r="AM3267">
        <v>-44.923548168580673</v>
      </c>
      <c r="AN3267">
        <v>-20.168394999999951</v>
      </c>
      <c r="AO3267">
        <v>-44.923548168580673</v>
      </c>
      <c r="AP3267">
        <v>-20.168237999999999</v>
      </c>
      <c r="AQ3267">
        <v>-44.924250999999998</v>
      </c>
      <c r="AR3267">
        <v>75.492755104934275</v>
      </c>
      <c r="AS3267" t="s">
        <v>65</v>
      </c>
      <c r="AT3267">
        <v>1</v>
      </c>
      <c r="AU3267" t="s">
        <v>1457</v>
      </c>
      <c r="AV3267" t="s">
        <v>1458</v>
      </c>
      <c r="AW3267" t="s">
        <v>60</v>
      </c>
      <c r="AX3267" t="s">
        <v>68</v>
      </c>
      <c r="AY3267" t="s">
        <v>69</v>
      </c>
      <c r="AZ3267" t="b">
        <v>1</v>
      </c>
    </row>
    <row r="3268" spans="1:52" x14ac:dyDescent="0.3">
      <c r="A3268" t="s">
        <v>52</v>
      </c>
      <c r="B3268" t="s">
        <v>53</v>
      </c>
      <c r="C3268" t="s">
        <v>54</v>
      </c>
      <c r="D3268" t="s">
        <v>55</v>
      </c>
      <c r="E3268" t="s">
        <v>2163</v>
      </c>
      <c r="F3268" t="s">
        <v>1247</v>
      </c>
      <c r="G3268" t="s">
        <v>1459</v>
      </c>
      <c r="H3268" t="s">
        <v>1460</v>
      </c>
      <c r="I3268" t="s">
        <v>1460</v>
      </c>
      <c r="J3268" t="s">
        <v>60</v>
      </c>
      <c r="K3268" t="s">
        <v>431</v>
      </c>
      <c r="L3268" t="s">
        <v>62</v>
      </c>
      <c r="M3268" t="s">
        <v>431</v>
      </c>
      <c r="N3268" t="s">
        <v>1461</v>
      </c>
      <c r="O3268" t="s">
        <v>1462</v>
      </c>
      <c r="P3268">
        <v>-20.170182</v>
      </c>
      <c r="Q3268">
        <v>-44.922556999999998</v>
      </c>
      <c r="R3268" s="2" t="str">
        <f>HYPERLINK("https://www.google.com/maps?q=-20.1701820,-44.9225570","Abrir no Google Maps")</f>
        <v>Abrir no Google Maps</v>
      </c>
      <c r="S3268">
        <v>2</v>
      </c>
      <c r="T3268">
        <v>1189.3885679843149</v>
      </c>
      <c r="U3268">
        <v>4</v>
      </c>
      <c r="V3268">
        <v>0.59194004628779251</v>
      </c>
      <c r="W3268">
        <v>0.85</v>
      </c>
      <c r="X3268">
        <v>0.50314903934462363</v>
      </c>
      <c r="Y3268">
        <v>723</v>
      </c>
      <c r="Z3268">
        <v>961.89164604479117</v>
      </c>
      <c r="AA3268">
        <v>198</v>
      </c>
      <c r="AB3268">
        <v>332</v>
      </c>
      <c r="AC3268">
        <v>536</v>
      </c>
      <c r="AD3268">
        <v>26.35</v>
      </c>
      <c r="AE3268">
        <v>542</v>
      </c>
      <c r="AF3268">
        <v>15</v>
      </c>
      <c r="AG3268">
        <v>174</v>
      </c>
      <c r="AH3268">
        <v>129</v>
      </c>
      <c r="AI3268">
        <v>2.77</v>
      </c>
      <c r="AJ3268">
        <v>32.1</v>
      </c>
      <c r="AK3268">
        <v>23.8</v>
      </c>
      <c r="AL3268">
        <v>-20.169385449999961</v>
      </c>
      <c r="AM3268">
        <v>-44.922107101898007</v>
      </c>
      <c r="AN3268">
        <v>-20.169385449999961</v>
      </c>
      <c r="AO3268">
        <v>-44.922107101898007</v>
      </c>
      <c r="AP3268">
        <v>-20.170182</v>
      </c>
      <c r="AQ3268">
        <v>-44.922556999999998</v>
      </c>
      <c r="AR3268">
        <v>100.36329580049031</v>
      </c>
      <c r="AS3268" t="s">
        <v>65</v>
      </c>
      <c r="AT3268">
        <v>1</v>
      </c>
      <c r="AU3268" t="s">
        <v>1463</v>
      </c>
      <c r="AV3268" t="s">
        <v>1458</v>
      </c>
      <c r="AW3268" t="s">
        <v>60</v>
      </c>
      <c r="AX3268" t="s">
        <v>68</v>
      </c>
      <c r="AY3268" t="s">
        <v>69</v>
      </c>
      <c r="AZ3268" t="b">
        <v>1</v>
      </c>
    </row>
    <row r="3269" spans="1:52" x14ac:dyDescent="0.3">
      <c r="A3269" t="s">
        <v>52</v>
      </c>
      <c r="B3269" t="s">
        <v>53</v>
      </c>
      <c r="C3269" t="s">
        <v>54</v>
      </c>
      <c r="D3269" t="s">
        <v>55</v>
      </c>
      <c r="E3269" t="s">
        <v>2163</v>
      </c>
      <c r="F3269" t="s">
        <v>1247</v>
      </c>
      <c r="G3269" t="s">
        <v>1464</v>
      </c>
      <c r="H3269" t="s">
        <v>1465</v>
      </c>
      <c r="I3269" t="s">
        <v>1465</v>
      </c>
      <c r="J3269" t="s">
        <v>60</v>
      </c>
      <c r="K3269" t="s">
        <v>1466</v>
      </c>
      <c r="L3269" t="s">
        <v>62</v>
      </c>
      <c r="M3269" t="s">
        <v>1466</v>
      </c>
      <c r="N3269" t="s">
        <v>1467</v>
      </c>
      <c r="O3269" t="s">
        <v>145</v>
      </c>
      <c r="P3269">
        <v>-20.160509999999999</v>
      </c>
      <c r="Q3269">
        <v>-44.884123000000002</v>
      </c>
      <c r="R3269" s="2" t="str">
        <f>HYPERLINK("https://www.google.com/maps?q=-20.1605100,-44.8841230","Abrir no Google Maps")</f>
        <v>Abrir no Google Maps</v>
      </c>
      <c r="S3269">
        <v>2</v>
      </c>
      <c r="T3269">
        <v>650.04961276595373</v>
      </c>
      <c r="U3269">
        <v>4</v>
      </c>
      <c r="V3269">
        <v>0.41206127003448978</v>
      </c>
      <c r="W3269">
        <v>1</v>
      </c>
      <c r="X3269">
        <v>0.41206127003448978</v>
      </c>
      <c r="Y3269">
        <v>671</v>
      </c>
      <c r="Z3269">
        <v>591.49066685698506</v>
      </c>
      <c r="AA3269">
        <v>198</v>
      </c>
      <c r="AB3269">
        <v>332</v>
      </c>
      <c r="AC3269">
        <v>536</v>
      </c>
      <c r="AD3269">
        <v>26.35</v>
      </c>
      <c r="AE3269">
        <v>542</v>
      </c>
      <c r="AF3269">
        <v>15</v>
      </c>
      <c r="AG3269">
        <v>174</v>
      </c>
      <c r="AH3269">
        <v>129</v>
      </c>
      <c r="AI3269">
        <v>2.77</v>
      </c>
      <c r="AJ3269">
        <v>32.1</v>
      </c>
      <c r="AK3269">
        <v>23.8</v>
      </c>
      <c r="AL3269">
        <v>-20.16056479999995</v>
      </c>
      <c r="AM3269">
        <v>-44.88424978393428</v>
      </c>
      <c r="AN3269">
        <v>-20.160564799999939</v>
      </c>
      <c r="AO3269">
        <v>-44.88424978393428</v>
      </c>
      <c r="AP3269">
        <v>-20.160509999999999</v>
      </c>
      <c r="AQ3269">
        <v>-44.884123000000002</v>
      </c>
      <c r="AR3269">
        <v>14.585823463739541</v>
      </c>
      <c r="AS3269" t="s">
        <v>65</v>
      </c>
      <c r="AT3269">
        <v>1</v>
      </c>
      <c r="AU3269" t="s">
        <v>1468</v>
      </c>
      <c r="AV3269" t="s">
        <v>1469</v>
      </c>
      <c r="AW3269" t="s">
        <v>60</v>
      </c>
      <c r="AX3269" t="s">
        <v>68</v>
      </c>
      <c r="AY3269" t="s">
        <v>69</v>
      </c>
      <c r="AZ3269" t="b">
        <v>1</v>
      </c>
    </row>
    <row r="3270" spans="1:52" x14ac:dyDescent="0.3">
      <c r="A3270" t="s">
        <v>52</v>
      </c>
      <c r="B3270" t="s">
        <v>53</v>
      </c>
      <c r="C3270" t="s">
        <v>54</v>
      </c>
      <c r="D3270" t="s">
        <v>55</v>
      </c>
      <c r="E3270" t="s">
        <v>2163</v>
      </c>
      <c r="F3270" t="s">
        <v>1247</v>
      </c>
      <c r="G3270" t="s">
        <v>1333</v>
      </c>
      <c r="H3270" t="s">
        <v>1470</v>
      </c>
      <c r="I3270" t="s">
        <v>1470</v>
      </c>
      <c r="J3270" t="s">
        <v>60</v>
      </c>
      <c r="K3270" t="s">
        <v>437</v>
      </c>
      <c r="L3270" t="s">
        <v>62</v>
      </c>
      <c r="M3270" t="s">
        <v>437</v>
      </c>
      <c r="N3270" t="s">
        <v>1335</v>
      </c>
      <c r="O3270" t="s">
        <v>900</v>
      </c>
      <c r="P3270">
        <v>-20.147047000000001</v>
      </c>
      <c r="Q3270">
        <v>-44.883921999999998</v>
      </c>
      <c r="R3270" s="2" t="str">
        <f>HYPERLINK("https://www.google.com/maps?q=-20.1470470,-44.8839220","Abrir no Google Maps")</f>
        <v>Abrir no Google Maps</v>
      </c>
      <c r="S3270">
        <v>2</v>
      </c>
      <c r="T3270">
        <v>296.4098018832658</v>
      </c>
      <c r="U3270">
        <v>4</v>
      </c>
      <c r="V3270">
        <v>0.47052805280528048</v>
      </c>
      <c r="W3270">
        <v>1</v>
      </c>
      <c r="X3270">
        <v>0.47052805280528048</v>
      </c>
      <c r="Y3270">
        <v>653</v>
      </c>
      <c r="Z3270">
        <v>299.72271006042178</v>
      </c>
      <c r="AA3270">
        <v>198</v>
      </c>
      <c r="AB3270">
        <v>332</v>
      </c>
      <c r="AC3270">
        <v>536</v>
      </c>
      <c r="AD3270">
        <v>26.35</v>
      </c>
      <c r="AE3270">
        <v>542</v>
      </c>
      <c r="AF3270">
        <v>15</v>
      </c>
      <c r="AG3270">
        <v>174</v>
      </c>
      <c r="AH3270">
        <v>129</v>
      </c>
      <c r="AI3270">
        <v>2.77</v>
      </c>
      <c r="AJ3270">
        <v>32.1</v>
      </c>
      <c r="AK3270">
        <v>23.8</v>
      </c>
      <c r="AL3270">
        <v>-20.147074949999929</v>
      </c>
      <c r="AM3270">
        <v>-44.883796511502347</v>
      </c>
      <c r="AN3270">
        <v>-20.147074949999929</v>
      </c>
      <c r="AO3270">
        <v>-44.883796511502347</v>
      </c>
      <c r="AP3270">
        <v>-20.147047000000001</v>
      </c>
      <c r="AQ3270">
        <v>-44.883921999999998</v>
      </c>
      <c r="AR3270">
        <v>13.47864632994</v>
      </c>
      <c r="AS3270" t="s">
        <v>65</v>
      </c>
      <c r="AT3270">
        <v>1</v>
      </c>
      <c r="AU3270" t="s">
        <v>1471</v>
      </c>
      <c r="AV3270" t="s">
        <v>1472</v>
      </c>
      <c r="AW3270" t="s">
        <v>60</v>
      </c>
      <c r="AX3270" t="s">
        <v>68</v>
      </c>
      <c r="AY3270" t="s">
        <v>69</v>
      </c>
      <c r="AZ3270" t="b">
        <v>1</v>
      </c>
    </row>
    <row r="3271" spans="1:52" x14ac:dyDescent="0.3">
      <c r="A3271" t="s">
        <v>52</v>
      </c>
      <c r="B3271" t="s">
        <v>53</v>
      </c>
      <c r="C3271" t="s">
        <v>54</v>
      </c>
      <c r="D3271" t="s">
        <v>55</v>
      </c>
      <c r="E3271" t="s">
        <v>2163</v>
      </c>
      <c r="F3271" t="s">
        <v>1247</v>
      </c>
      <c r="G3271" t="s">
        <v>1473</v>
      </c>
      <c r="H3271" t="s">
        <v>1474</v>
      </c>
      <c r="I3271" t="s">
        <v>1474</v>
      </c>
      <c r="J3271" t="s">
        <v>60</v>
      </c>
      <c r="K3271" t="s">
        <v>1302</v>
      </c>
      <c r="L3271" t="s">
        <v>62</v>
      </c>
      <c r="M3271" t="s">
        <v>1302</v>
      </c>
      <c r="N3271" t="s">
        <v>1475</v>
      </c>
      <c r="O3271" t="s">
        <v>1476</v>
      </c>
      <c r="P3271">
        <v>-20.161372</v>
      </c>
      <c r="Q3271">
        <v>-44.914636999999999</v>
      </c>
      <c r="R3271" s="2" t="str">
        <f>HYPERLINK("https://www.google.com/maps?q=-20.1613720,-44.9146370","Abrir no Google Maps")</f>
        <v>Abrir no Google Maps</v>
      </c>
      <c r="S3271">
        <v>2</v>
      </c>
      <c r="T3271">
        <v>0</v>
      </c>
      <c r="U3271">
        <v>4</v>
      </c>
      <c r="V3271">
        <v>0.44731171362750299</v>
      </c>
      <c r="W3271">
        <v>1</v>
      </c>
      <c r="X3271">
        <v>0.44731171362750299</v>
      </c>
      <c r="Y3271">
        <v>639</v>
      </c>
      <c r="Z3271">
        <v>81.742669907651447</v>
      </c>
      <c r="AA3271">
        <v>198</v>
      </c>
      <c r="AB3271">
        <v>332</v>
      </c>
      <c r="AC3271">
        <v>536</v>
      </c>
      <c r="AD3271">
        <v>26.35</v>
      </c>
      <c r="AE3271">
        <v>542</v>
      </c>
      <c r="AF3271">
        <v>15</v>
      </c>
      <c r="AG3271">
        <v>174</v>
      </c>
      <c r="AH3271">
        <v>129</v>
      </c>
      <c r="AI3271">
        <v>2.77</v>
      </c>
      <c r="AJ3271">
        <v>32.1</v>
      </c>
      <c r="AK3271">
        <v>23.8</v>
      </c>
      <c r="AL3271">
        <v>-20.161294499999961</v>
      </c>
      <c r="AM3271">
        <v>-44.914614684493202</v>
      </c>
      <c r="AN3271">
        <v>-20.161294499999961</v>
      </c>
      <c r="AO3271">
        <v>-44.914614684493202</v>
      </c>
      <c r="AP3271">
        <v>-20.161372</v>
      </c>
      <c r="AQ3271">
        <v>-44.914636999999999</v>
      </c>
      <c r="AR3271">
        <v>8.9369058443944862</v>
      </c>
      <c r="AS3271" t="s">
        <v>65</v>
      </c>
      <c r="AT3271">
        <v>1</v>
      </c>
      <c r="AU3271" t="s">
        <v>1477</v>
      </c>
      <c r="AV3271" t="s">
        <v>1478</v>
      </c>
      <c r="AW3271" t="s">
        <v>60</v>
      </c>
      <c r="AX3271" t="s">
        <v>68</v>
      </c>
      <c r="AY3271" t="s">
        <v>69</v>
      </c>
      <c r="AZ3271" t="b">
        <v>1</v>
      </c>
    </row>
    <row r="3272" spans="1:52" x14ac:dyDescent="0.3">
      <c r="A3272" t="s">
        <v>52</v>
      </c>
      <c r="B3272" t="s">
        <v>53</v>
      </c>
      <c r="C3272" t="s">
        <v>54</v>
      </c>
      <c r="D3272" t="s">
        <v>55</v>
      </c>
      <c r="E3272" t="s">
        <v>2163</v>
      </c>
      <c r="F3272" t="s">
        <v>1247</v>
      </c>
      <c r="G3272" t="s">
        <v>1479</v>
      </c>
      <c r="H3272" t="s">
        <v>1480</v>
      </c>
      <c r="I3272" t="s">
        <v>1480</v>
      </c>
      <c r="J3272" t="s">
        <v>60</v>
      </c>
      <c r="K3272" t="s">
        <v>1302</v>
      </c>
      <c r="L3272" t="s">
        <v>62</v>
      </c>
      <c r="M3272" t="s">
        <v>1302</v>
      </c>
      <c r="N3272" t="s">
        <v>1481</v>
      </c>
      <c r="O3272" t="s">
        <v>1482</v>
      </c>
      <c r="P3272">
        <v>-20.164655</v>
      </c>
      <c r="Q3272">
        <v>-44.912697000000001</v>
      </c>
      <c r="R3272" s="2" t="str">
        <f>HYPERLINK("https://www.google.com/maps?q=-20.1646550,-44.9126970","Abrir no Google Maps")</f>
        <v>Abrir no Google Maps</v>
      </c>
      <c r="S3272">
        <v>2</v>
      </c>
      <c r="T3272">
        <v>441.50274004930441</v>
      </c>
      <c r="U3272">
        <v>4</v>
      </c>
      <c r="V3272">
        <v>0.4098754037840332</v>
      </c>
      <c r="W3272">
        <v>1</v>
      </c>
      <c r="X3272">
        <v>0.4098754037840332</v>
      </c>
      <c r="Y3272">
        <v>639</v>
      </c>
      <c r="Z3272">
        <v>311.03317029936522</v>
      </c>
      <c r="AA3272">
        <v>198</v>
      </c>
      <c r="AB3272">
        <v>332</v>
      </c>
      <c r="AC3272">
        <v>536</v>
      </c>
      <c r="AD3272">
        <v>26.35</v>
      </c>
      <c r="AE3272">
        <v>542</v>
      </c>
      <c r="AF3272">
        <v>15</v>
      </c>
      <c r="AG3272">
        <v>174</v>
      </c>
      <c r="AH3272">
        <v>129</v>
      </c>
      <c r="AI3272">
        <v>2.77</v>
      </c>
      <c r="AJ3272">
        <v>32.1</v>
      </c>
      <c r="AK3272">
        <v>23.8</v>
      </c>
      <c r="AL3272">
        <v>-20.164702999999971</v>
      </c>
      <c r="AM3272">
        <v>-44.912418857911163</v>
      </c>
      <c r="AN3272">
        <v>-20.164702999999971</v>
      </c>
      <c r="AO3272">
        <v>-44.912418857911163</v>
      </c>
      <c r="AP3272">
        <v>-20.164655</v>
      </c>
      <c r="AQ3272">
        <v>-44.912697000000001</v>
      </c>
      <c r="AR3272">
        <v>29.552017409892429</v>
      </c>
      <c r="AS3272" t="s">
        <v>65</v>
      </c>
      <c r="AT3272">
        <v>1</v>
      </c>
      <c r="AU3272" t="s">
        <v>1483</v>
      </c>
      <c r="AV3272" t="s">
        <v>1484</v>
      </c>
      <c r="AW3272" t="s">
        <v>60</v>
      </c>
      <c r="AX3272" t="s">
        <v>68</v>
      </c>
      <c r="AY3272" t="s">
        <v>69</v>
      </c>
      <c r="AZ3272" t="b">
        <v>1</v>
      </c>
    </row>
    <row r="3273" spans="1:52" x14ac:dyDescent="0.3">
      <c r="A3273" t="s">
        <v>52</v>
      </c>
      <c r="B3273" t="s">
        <v>53</v>
      </c>
      <c r="C3273" t="s">
        <v>54</v>
      </c>
      <c r="D3273" t="s">
        <v>55</v>
      </c>
      <c r="E3273" t="s">
        <v>2163</v>
      </c>
      <c r="F3273" t="s">
        <v>1247</v>
      </c>
      <c r="G3273" t="s">
        <v>1518</v>
      </c>
      <c r="H3273" t="s">
        <v>1519</v>
      </c>
      <c r="I3273" t="s">
        <v>1519</v>
      </c>
      <c r="J3273" t="s">
        <v>60</v>
      </c>
      <c r="K3273" t="s">
        <v>1302</v>
      </c>
      <c r="L3273" t="s">
        <v>62</v>
      </c>
      <c r="M3273" t="s">
        <v>1302</v>
      </c>
      <c r="N3273" t="s">
        <v>1520</v>
      </c>
      <c r="O3273" t="s">
        <v>1521</v>
      </c>
      <c r="P3273">
        <v>-20.16263</v>
      </c>
      <c r="Q3273">
        <v>-44.910342999999997</v>
      </c>
      <c r="R3273" s="2" t="str">
        <f>HYPERLINK("https://www.google.com/maps?q=-20.1626300,-44.9103430","Abrir no Google Maps")</f>
        <v>Abrir no Google Maps</v>
      </c>
      <c r="S3273">
        <v>2</v>
      </c>
      <c r="T3273">
        <v>492.63980270666781</v>
      </c>
      <c r="U3273">
        <v>4</v>
      </c>
      <c r="V3273">
        <v>0.4191455092338045</v>
      </c>
      <c r="W3273">
        <v>1</v>
      </c>
      <c r="X3273">
        <v>0.4191455092338045</v>
      </c>
      <c r="Y3273">
        <v>639</v>
      </c>
      <c r="Z3273">
        <v>412.49960371731271</v>
      </c>
      <c r="AA3273">
        <v>198</v>
      </c>
      <c r="AB3273">
        <v>332</v>
      </c>
      <c r="AC3273">
        <v>536</v>
      </c>
      <c r="AD3273">
        <v>26.35</v>
      </c>
      <c r="AE3273">
        <v>542</v>
      </c>
      <c r="AF3273">
        <v>15</v>
      </c>
      <c r="AG3273">
        <v>174</v>
      </c>
      <c r="AH3273">
        <v>129</v>
      </c>
      <c r="AI3273">
        <v>2.77</v>
      </c>
      <c r="AJ3273">
        <v>32.1</v>
      </c>
      <c r="AK3273">
        <v>23.8</v>
      </c>
      <c r="AL3273">
        <v>-20.162579949999952</v>
      </c>
      <c r="AM3273">
        <v>-44.910101148008863</v>
      </c>
      <c r="AN3273">
        <v>-20.162579949999952</v>
      </c>
      <c r="AO3273">
        <v>-44.910101148008863</v>
      </c>
      <c r="AP3273">
        <v>-20.16263</v>
      </c>
      <c r="AQ3273">
        <v>-44.910342999999997</v>
      </c>
      <c r="AR3273">
        <v>25.879932474893501</v>
      </c>
      <c r="AS3273" t="s">
        <v>65</v>
      </c>
      <c r="AT3273">
        <v>1</v>
      </c>
      <c r="AU3273" t="s">
        <v>1522</v>
      </c>
      <c r="AV3273" t="s">
        <v>1523</v>
      </c>
      <c r="AW3273" t="s">
        <v>60</v>
      </c>
      <c r="AX3273" t="s">
        <v>68</v>
      </c>
      <c r="AY3273" t="s">
        <v>69</v>
      </c>
      <c r="AZ3273" t="b">
        <v>1</v>
      </c>
    </row>
    <row r="3274" spans="1:52" x14ac:dyDescent="0.3">
      <c r="A3274" t="s">
        <v>52</v>
      </c>
      <c r="B3274" t="s">
        <v>53</v>
      </c>
      <c r="C3274" t="s">
        <v>54</v>
      </c>
      <c r="D3274" t="s">
        <v>55</v>
      </c>
      <c r="E3274" t="s">
        <v>2163</v>
      </c>
      <c r="F3274" t="s">
        <v>1247</v>
      </c>
      <c r="G3274" t="s">
        <v>1464</v>
      </c>
      <c r="H3274" t="s">
        <v>1485</v>
      </c>
      <c r="I3274" t="s">
        <v>1485</v>
      </c>
      <c r="J3274" t="s">
        <v>60</v>
      </c>
      <c r="K3274" t="s">
        <v>1486</v>
      </c>
      <c r="L3274" t="s">
        <v>62</v>
      </c>
      <c r="M3274" t="s">
        <v>1486</v>
      </c>
      <c r="N3274" t="s">
        <v>1467</v>
      </c>
      <c r="O3274" t="s">
        <v>1487</v>
      </c>
      <c r="P3274">
        <v>-20.162842000000001</v>
      </c>
      <c r="Q3274">
        <v>-44.883769999999998</v>
      </c>
      <c r="R3274" s="2" t="str">
        <f>HYPERLINK("https://www.google.com/maps?q=-20.1628420,-44.8837700","Abrir no Google Maps")</f>
        <v>Abrir no Google Maps</v>
      </c>
      <c r="S3274">
        <v>2</v>
      </c>
      <c r="T3274">
        <v>659.67909450906006</v>
      </c>
      <c r="U3274">
        <v>3</v>
      </c>
      <c r="V3274">
        <v>0.33601855627274341</v>
      </c>
      <c r="W3274">
        <v>1</v>
      </c>
      <c r="X3274">
        <v>0.33601855627274341</v>
      </c>
      <c r="Y3274">
        <v>671</v>
      </c>
      <c r="Z3274">
        <v>566.23107864368092</v>
      </c>
      <c r="AA3274">
        <v>198</v>
      </c>
      <c r="AB3274">
        <v>332</v>
      </c>
      <c r="AC3274">
        <v>536</v>
      </c>
      <c r="AD3274">
        <v>26.35</v>
      </c>
      <c r="AE3274">
        <v>542</v>
      </c>
      <c r="AF3274">
        <v>15</v>
      </c>
      <c r="AG3274">
        <v>174</v>
      </c>
      <c r="AH3274">
        <v>129</v>
      </c>
      <c r="AI3274">
        <v>2.77</v>
      </c>
      <c r="AJ3274">
        <v>32.1</v>
      </c>
      <c r="AK3274">
        <v>23.8</v>
      </c>
      <c r="AL3274">
        <v>-20.162791299999949</v>
      </c>
      <c r="AM3274">
        <v>-44.883966852092939</v>
      </c>
      <c r="AN3274">
        <v>-20.162791299999949</v>
      </c>
      <c r="AO3274">
        <v>-44.883966852092939</v>
      </c>
      <c r="AP3274">
        <v>-20.162842000000001</v>
      </c>
      <c r="AQ3274">
        <v>-44.883769999999998</v>
      </c>
      <c r="AR3274">
        <v>21.33085532825611</v>
      </c>
      <c r="AS3274" t="s">
        <v>65</v>
      </c>
      <c r="AT3274">
        <v>1</v>
      </c>
      <c r="AU3274" t="s">
        <v>1488</v>
      </c>
      <c r="AV3274" t="s">
        <v>1489</v>
      </c>
      <c r="AW3274" t="s">
        <v>60</v>
      </c>
      <c r="AX3274" t="s">
        <v>68</v>
      </c>
      <c r="AY3274" t="s">
        <v>69</v>
      </c>
      <c r="AZ3274" t="b">
        <v>1</v>
      </c>
    </row>
    <row r="3275" spans="1:52" x14ac:dyDescent="0.3">
      <c r="A3275" t="s">
        <v>52</v>
      </c>
      <c r="B3275" t="s">
        <v>53</v>
      </c>
      <c r="C3275" t="s">
        <v>54</v>
      </c>
      <c r="D3275" t="s">
        <v>55</v>
      </c>
      <c r="E3275" t="s">
        <v>2163</v>
      </c>
      <c r="F3275" t="s">
        <v>1247</v>
      </c>
      <c r="G3275" t="s">
        <v>1490</v>
      </c>
      <c r="H3275" t="s">
        <v>1491</v>
      </c>
      <c r="I3275" t="s">
        <v>1491</v>
      </c>
      <c r="J3275" t="s">
        <v>60</v>
      </c>
      <c r="K3275" t="s">
        <v>336</v>
      </c>
      <c r="L3275" t="s">
        <v>62</v>
      </c>
      <c r="M3275" t="s">
        <v>336</v>
      </c>
      <c r="N3275" t="s">
        <v>1492</v>
      </c>
      <c r="O3275" t="s">
        <v>842</v>
      </c>
      <c r="P3275">
        <v>-20.164228999999999</v>
      </c>
      <c r="Q3275">
        <v>-44.876455999999997</v>
      </c>
      <c r="R3275" s="2" t="str">
        <f>HYPERLINK("https://www.google.com/maps?q=-20.1642290,-44.8764560","Abrir no Google Maps")</f>
        <v>Abrir no Google Maps</v>
      </c>
      <c r="S3275">
        <v>2</v>
      </c>
      <c r="T3275">
        <v>420.00990411628987</v>
      </c>
      <c r="U3275">
        <v>3</v>
      </c>
      <c r="V3275">
        <v>0.33610369241799598</v>
      </c>
      <c r="W3275">
        <v>1</v>
      </c>
      <c r="X3275">
        <v>0.33610369241799598</v>
      </c>
      <c r="Y3275">
        <v>671</v>
      </c>
      <c r="Z3275">
        <v>375.90194920648611</v>
      </c>
      <c r="AA3275">
        <v>198</v>
      </c>
      <c r="AB3275">
        <v>332</v>
      </c>
      <c r="AC3275">
        <v>536</v>
      </c>
      <c r="AD3275">
        <v>26.35</v>
      </c>
      <c r="AE3275">
        <v>542</v>
      </c>
      <c r="AF3275">
        <v>15</v>
      </c>
      <c r="AG3275">
        <v>174</v>
      </c>
      <c r="AH3275">
        <v>129</v>
      </c>
      <c r="AI3275">
        <v>2.77</v>
      </c>
      <c r="AJ3275">
        <v>32.1</v>
      </c>
      <c r="AK3275">
        <v>23.8</v>
      </c>
      <c r="AL3275">
        <v>-20.164255749999938</v>
      </c>
      <c r="AM3275">
        <v>-44.876471676086922</v>
      </c>
      <c r="AN3275">
        <v>-20.164255749999938</v>
      </c>
      <c r="AO3275">
        <v>-44.876471676086922</v>
      </c>
      <c r="AP3275">
        <v>-20.164228999999999</v>
      </c>
      <c r="AQ3275">
        <v>-44.876455999999997</v>
      </c>
      <c r="AR3275">
        <v>3.3986375813953771</v>
      </c>
      <c r="AS3275" t="s">
        <v>65</v>
      </c>
      <c r="AT3275">
        <v>1</v>
      </c>
      <c r="AU3275" t="s">
        <v>1493</v>
      </c>
      <c r="AV3275" t="s">
        <v>1494</v>
      </c>
      <c r="AW3275" t="s">
        <v>60</v>
      </c>
      <c r="AX3275" t="s">
        <v>68</v>
      </c>
      <c r="AY3275" t="s">
        <v>69</v>
      </c>
      <c r="AZ3275" t="b">
        <v>1</v>
      </c>
    </row>
    <row r="3276" spans="1:52" x14ac:dyDescent="0.3">
      <c r="A3276" t="s">
        <v>52</v>
      </c>
      <c r="B3276" t="s">
        <v>53</v>
      </c>
      <c r="C3276" t="s">
        <v>54</v>
      </c>
      <c r="D3276" t="s">
        <v>55</v>
      </c>
      <c r="E3276" t="s">
        <v>2163</v>
      </c>
      <c r="F3276" t="s">
        <v>1247</v>
      </c>
      <c r="G3276" t="s">
        <v>1495</v>
      </c>
      <c r="H3276" t="s">
        <v>1496</v>
      </c>
      <c r="I3276" t="s">
        <v>1496</v>
      </c>
      <c r="J3276" t="s">
        <v>60</v>
      </c>
      <c r="K3276" t="s">
        <v>1466</v>
      </c>
      <c r="L3276" t="s">
        <v>62</v>
      </c>
      <c r="M3276" t="s">
        <v>1466</v>
      </c>
      <c r="N3276" t="s">
        <v>1497</v>
      </c>
      <c r="O3276" t="s">
        <v>1498</v>
      </c>
      <c r="P3276">
        <v>-20.163160999999999</v>
      </c>
      <c r="Q3276">
        <v>-44.880460999999997</v>
      </c>
      <c r="R3276" s="2" t="str">
        <f>HYPERLINK("https://www.google.com/maps?q=-20.1631610,-44.8804610","Abrir no Google Maps")</f>
        <v>Abrir no Google Maps</v>
      </c>
      <c r="S3276">
        <v>2</v>
      </c>
      <c r="T3276">
        <v>372.63783804650222</v>
      </c>
      <c r="U3276">
        <v>3</v>
      </c>
      <c r="V3276">
        <v>0.3594549612501588</v>
      </c>
      <c r="W3276">
        <v>1</v>
      </c>
      <c r="X3276">
        <v>0.3594549612501588</v>
      </c>
      <c r="Y3276">
        <v>671</v>
      </c>
      <c r="Z3276">
        <v>250.43144487082299</v>
      </c>
      <c r="AA3276">
        <v>198</v>
      </c>
      <c r="AB3276">
        <v>332</v>
      </c>
      <c r="AC3276">
        <v>536</v>
      </c>
      <c r="AD3276">
        <v>26.35</v>
      </c>
      <c r="AE3276">
        <v>542</v>
      </c>
      <c r="AF3276">
        <v>15</v>
      </c>
      <c r="AG3276">
        <v>174</v>
      </c>
      <c r="AH3276">
        <v>129</v>
      </c>
      <c r="AI3276">
        <v>2.77</v>
      </c>
      <c r="AJ3276">
        <v>32.1</v>
      </c>
      <c r="AK3276">
        <v>23.8</v>
      </c>
      <c r="AL3276">
        <v>-20.163296749999969</v>
      </c>
      <c r="AM3276">
        <v>-44.88037544059182</v>
      </c>
      <c r="AN3276">
        <v>-20.163296749999969</v>
      </c>
      <c r="AO3276">
        <v>-44.88037544059182</v>
      </c>
      <c r="AP3276">
        <v>-20.163160999999999</v>
      </c>
      <c r="AQ3276">
        <v>-44.880460999999997</v>
      </c>
      <c r="AR3276">
        <v>17.558482416121191</v>
      </c>
      <c r="AS3276" t="s">
        <v>65</v>
      </c>
      <c r="AT3276">
        <v>1</v>
      </c>
      <c r="AU3276" t="s">
        <v>1499</v>
      </c>
      <c r="AV3276" t="s">
        <v>1500</v>
      </c>
      <c r="AW3276" t="s">
        <v>60</v>
      </c>
      <c r="AX3276" t="s">
        <v>68</v>
      </c>
      <c r="AY3276" t="s">
        <v>69</v>
      </c>
      <c r="AZ3276" t="b">
        <v>1</v>
      </c>
    </row>
    <row r="3277" spans="1:52" x14ac:dyDescent="0.3">
      <c r="A3277" t="s">
        <v>52</v>
      </c>
      <c r="B3277" t="s">
        <v>53</v>
      </c>
      <c r="C3277" t="s">
        <v>54</v>
      </c>
      <c r="D3277" t="s">
        <v>55</v>
      </c>
      <c r="E3277" t="s">
        <v>2163</v>
      </c>
      <c r="F3277" t="s">
        <v>1247</v>
      </c>
      <c r="G3277" t="s">
        <v>1501</v>
      </c>
      <c r="H3277" t="s">
        <v>1502</v>
      </c>
      <c r="I3277" t="s">
        <v>1502</v>
      </c>
      <c r="J3277" t="s">
        <v>60</v>
      </c>
      <c r="K3277" t="s">
        <v>1466</v>
      </c>
      <c r="L3277" t="s">
        <v>62</v>
      </c>
      <c r="M3277" t="s">
        <v>1466</v>
      </c>
      <c r="N3277" t="s">
        <v>1503</v>
      </c>
      <c r="O3277" t="s">
        <v>1504</v>
      </c>
      <c r="P3277">
        <v>-20.159618999999999</v>
      </c>
      <c r="Q3277">
        <v>-44.880065000000002</v>
      </c>
      <c r="R3277" s="2" t="str">
        <f>HYPERLINK("https://www.google.com/maps?q=-20.1596190,-44.8800650","Abrir no Google Maps")</f>
        <v>Abrir no Google Maps</v>
      </c>
      <c r="S3277">
        <v>2</v>
      </c>
      <c r="T3277">
        <v>243.9950282285559</v>
      </c>
      <c r="U3277">
        <v>3</v>
      </c>
      <c r="V3277">
        <v>0.35084229079981499</v>
      </c>
      <c r="W3277">
        <v>1</v>
      </c>
      <c r="X3277">
        <v>0.35084229079981499</v>
      </c>
      <c r="Y3277">
        <v>671</v>
      </c>
      <c r="Z3277">
        <v>265.31354384517681</v>
      </c>
      <c r="AA3277">
        <v>198</v>
      </c>
      <c r="AB3277">
        <v>332</v>
      </c>
      <c r="AC3277">
        <v>536</v>
      </c>
      <c r="AD3277">
        <v>26.35</v>
      </c>
      <c r="AE3277">
        <v>542</v>
      </c>
      <c r="AF3277">
        <v>15</v>
      </c>
      <c r="AG3277">
        <v>174</v>
      </c>
      <c r="AH3277">
        <v>129</v>
      </c>
      <c r="AI3277">
        <v>2.77</v>
      </c>
      <c r="AJ3277">
        <v>32.1</v>
      </c>
      <c r="AK3277">
        <v>23.8</v>
      </c>
      <c r="AL3277">
        <v>-20.159689949999969</v>
      </c>
      <c r="AM3277">
        <v>-44.880075072344489</v>
      </c>
      <c r="AN3277">
        <v>-20.159689949999969</v>
      </c>
      <c r="AO3277">
        <v>-44.880075072344489</v>
      </c>
      <c r="AP3277">
        <v>-20.159618999999999</v>
      </c>
      <c r="AQ3277">
        <v>-44.880065000000002</v>
      </c>
      <c r="AR3277">
        <v>7.9679809486040876</v>
      </c>
      <c r="AS3277" t="s">
        <v>65</v>
      </c>
      <c r="AT3277">
        <v>1</v>
      </c>
      <c r="AU3277" t="s">
        <v>1505</v>
      </c>
      <c r="AV3277" t="s">
        <v>1506</v>
      </c>
      <c r="AW3277" t="s">
        <v>60</v>
      </c>
      <c r="AX3277" t="s">
        <v>68</v>
      </c>
      <c r="AY3277" t="s">
        <v>69</v>
      </c>
      <c r="AZ3277" t="b">
        <v>1</v>
      </c>
    </row>
    <row r="3278" spans="1:52" x14ac:dyDescent="0.3">
      <c r="A3278" t="s">
        <v>52</v>
      </c>
      <c r="B3278" t="s">
        <v>53</v>
      </c>
      <c r="C3278" t="s">
        <v>54</v>
      </c>
      <c r="D3278" t="s">
        <v>55</v>
      </c>
      <c r="E3278" t="s">
        <v>2163</v>
      </c>
      <c r="F3278" t="s">
        <v>1247</v>
      </c>
      <c r="G3278" t="s">
        <v>1507</v>
      </c>
      <c r="H3278" t="s">
        <v>1508</v>
      </c>
      <c r="I3278" t="s">
        <v>1508</v>
      </c>
      <c r="J3278" t="s">
        <v>60</v>
      </c>
      <c r="K3278" t="s">
        <v>1466</v>
      </c>
      <c r="L3278" t="s">
        <v>62</v>
      </c>
      <c r="M3278" t="s">
        <v>1466</v>
      </c>
      <c r="N3278" t="s">
        <v>1509</v>
      </c>
      <c r="O3278" t="s">
        <v>270</v>
      </c>
      <c r="P3278">
        <v>-20.164501999999999</v>
      </c>
      <c r="Q3278">
        <v>-44.883226999999998</v>
      </c>
      <c r="R3278" s="2" t="str">
        <f>HYPERLINK("https://www.google.com/maps?q=-20.1645020,-44.8832270","Abrir no Google Maps")</f>
        <v>Abrir no Google Maps</v>
      </c>
      <c r="S3278">
        <v>2</v>
      </c>
      <c r="T3278">
        <v>691.62667420887726</v>
      </c>
      <c r="U3278">
        <v>3</v>
      </c>
      <c r="V3278">
        <v>0.35016585834553438</v>
      </c>
      <c r="W3278">
        <v>1</v>
      </c>
      <c r="X3278">
        <v>0.35016585834553438</v>
      </c>
      <c r="Y3278">
        <v>671</v>
      </c>
      <c r="Z3278">
        <v>591.13935302436732</v>
      </c>
      <c r="AA3278">
        <v>198</v>
      </c>
      <c r="AB3278">
        <v>332</v>
      </c>
      <c r="AC3278">
        <v>536</v>
      </c>
      <c r="AD3278">
        <v>26.35</v>
      </c>
      <c r="AE3278">
        <v>542</v>
      </c>
      <c r="AF3278">
        <v>15</v>
      </c>
      <c r="AG3278">
        <v>174</v>
      </c>
      <c r="AH3278">
        <v>129</v>
      </c>
      <c r="AI3278">
        <v>2.77</v>
      </c>
      <c r="AJ3278">
        <v>32.1</v>
      </c>
      <c r="AK3278">
        <v>23.8</v>
      </c>
      <c r="AL3278">
        <v>-20.164470149999939</v>
      </c>
      <c r="AM3278">
        <v>-44.883357321672527</v>
      </c>
      <c r="AN3278">
        <v>-20.164470149999939</v>
      </c>
      <c r="AO3278">
        <v>-44.883357321672527</v>
      </c>
      <c r="AP3278">
        <v>-20.164501999999999</v>
      </c>
      <c r="AQ3278">
        <v>-44.883226999999998</v>
      </c>
      <c r="AR3278">
        <v>14.072184947340521</v>
      </c>
      <c r="AS3278" t="s">
        <v>65</v>
      </c>
      <c r="AT3278">
        <v>1</v>
      </c>
      <c r="AU3278" t="s">
        <v>1510</v>
      </c>
      <c r="AV3278" t="s">
        <v>1511</v>
      </c>
      <c r="AW3278" t="s">
        <v>60</v>
      </c>
      <c r="AX3278" t="s">
        <v>68</v>
      </c>
      <c r="AY3278" t="s">
        <v>69</v>
      </c>
      <c r="AZ3278" t="b">
        <v>1</v>
      </c>
    </row>
    <row r="3279" spans="1:52" x14ac:dyDescent="0.3">
      <c r="A3279" t="s">
        <v>52</v>
      </c>
      <c r="B3279" t="s">
        <v>53</v>
      </c>
      <c r="C3279" t="s">
        <v>54</v>
      </c>
      <c r="D3279" t="s">
        <v>55</v>
      </c>
      <c r="E3279" t="s">
        <v>2163</v>
      </c>
      <c r="F3279" t="s">
        <v>1247</v>
      </c>
      <c r="G3279" t="s">
        <v>1529</v>
      </c>
      <c r="H3279" t="s">
        <v>1530</v>
      </c>
      <c r="I3279" t="s">
        <v>1530</v>
      </c>
      <c r="J3279" t="s">
        <v>60</v>
      </c>
      <c r="K3279" t="s">
        <v>1466</v>
      </c>
      <c r="L3279" t="s">
        <v>62</v>
      </c>
      <c r="M3279" t="s">
        <v>1466</v>
      </c>
      <c r="N3279" t="s">
        <v>1531</v>
      </c>
      <c r="O3279" t="s">
        <v>145</v>
      </c>
      <c r="P3279">
        <v>-20.162952000000001</v>
      </c>
      <c r="Q3279">
        <v>-44.877612999999997</v>
      </c>
      <c r="R3279" s="2" t="str">
        <f>HYPERLINK("https://www.google.com/maps?q=-20.1629520,-44.8776130","Abrir no Google Maps")</f>
        <v>Abrir no Google Maps</v>
      </c>
      <c r="S3279">
        <v>2</v>
      </c>
      <c r="T3279">
        <v>229.91388913695721</v>
      </c>
      <c r="U3279">
        <v>3</v>
      </c>
      <c r="V3279">
        <v>0.3847645551727184</v>
      </c>
      <c r="W3279">
        <v>0.85</v>
      </c>
      <c r="X3279">
        <v>0.32704987189681062</v>
      </c>
      <c r="Y3279">
        <v>671</v>
      </c>
      <c r="Z3279">
        <v>157.6775523644973</v>
      </c>
      <c r="AA3279">
        <v>198</v>
      </c>
      <c r="AB3279">
        <v>332</v>
      </c>
      <c r="AC3279">
        <v>536</v>
      </c>
      <c r="AD3279">
        <v>26.35</v>
      </c>
      <c r="AE3279">
        <v>542</v>
      </c>
      <c r="AF3279">
        <v>15</v>
      </c>
      <c r="AG3279">
        <v>174</v>
      </c>
      <c r="AH3279">
        <v>129</v>
      </c>
      <c r="AI3279">
        <v>2.77</v>
      </c>
      <c r="AJ3279">
        <v>32.1</v>
      </c>
      <c r="AK3279">
        <v>23.8</v>
      </c>
      <c r="AL3279">
        <v>-20.16278829999996</v>
      </c>
      <c r="AM3279">
        <v>-44.877564655204168</v>
      </c>
      <c r="AN3279">
        <v>-20.16278829999996</v>
      </c>
      <c r="AO3279">
        <v>-44.877564655204168</v>
      </c>
      <c r="AP3279">
        <v>-20.162952000000001</v>
      </c>
      <c r="AQ3279">
        <v>-44.877612999999997</v>
      </c>
      <c r="AR3279">
        <v>18.91038935762678</v>
      </c>
      <c r="AS3279" t="s">
        <v>65</v>
      </c>
      <c r="AT3279">
        <v>1</v>
      </c>
      <c r="AU3279" t="s">
        <v>1532</v>
      </c>
      <c r="AV3279" t="s">
        <v>1533</v>
      </c>
      <c r="AW3279" t="s">
        <v>60</v>
      </c>
      <c r="AX3279" t="s">
        <v>68</v>
      </c>
      <c r="AY3279" t="s">
        <v>69</v>
      </c>
      <c r="AZ3279" t="b">
        <v>1</v>
      </c>
    </row>
    <row r="3280" spans="1:52" x14ac:dyDescent="0.3">
      <c r="A3280" t="s">
        <v>52</v>
      </c>
      <c r="B3280" t="s">
        <v>53</v>
      </c>
      <c r="C3280" t="s">
        <v>54</v>
      </c>
      <c r="D3280" t="s">
        <v>55</v>
      </c>
      <c r="E3280" t="s">
        <v>2163</v>
      </c>
      <c r="F3280" t="s">
        <v>1247</v>
      </c>
      <c r="G3280" t="s">
        <v>1512</v>
      </c>
      <c r="H3280" t="s">
        <v>1513</v>
      </c>
      <c r="I3280" t="s">
        <v>1513</v>
      </c>
      <c r="J3280" t="s">
        <v>60</v>
      </c>
      <c r="K3280" t="s">
        <v>1302</v>
      </c>
      <c r="L3280" t="s">
        <v>62</v>
      </c>
      <c r="M3280" t="s">
        <v>1302</v>
      </c>
      <c r="N3280" t="s">
        <v>1514</v>
      </c>
      <c r="O3280" t="s">
        <v>1515</v>
      </c>
      <c r="P3280">
        <v>-20.163709000000001</v>
      </c>
      <c r="Q3280">
        <v>-44.916074999999999</v>
      </c>
      <c r="R3280" s="2" t="str">
        <f>HYPERLINK("https://www.google.com/maps?q=-20.1637090,-44.9160750","Abrir no Google Maps")</f>
        <v>Abrir no Google Maps</v>
      </c>
      <c r="S3280">
        <v>2</v>
      </c>
      <c r="T3280">
        <v>305.09593452131332</v>
      </c>
      <c r="U3280">
        <v>3</v>
      </c>
      <c r="V3280">
        <v>0.35268252999796618</v>
      </c>
      <c r="W3280">
        <v>1</v>
      </c>
      <c r="X3280">
        <v>0.35268252999796618</v>
      </c>
      <c r="Y3280">
        <v>639</v>
      </c>
      <c r="Z3280">
        <v>289.37841230131949</v>
      </c>
      <c r="AA3280">
        <v>198</v>
      </c>
      <c r="AB3280">
        <v>332</v>
      </c>
      <c r="AC3280">
        <v>536</v>
      </c>
      <c r="AD3280">
        <v>26.35</v>
      </c>
      <c r="AE3280">
        <v>542</v>
      </c>
      <c r="AF3280">
        <v>15</v>
      </c>
      <c r="AG3280">
        <v>174</v>
      </c>
      <c r="AH3280">
        <v>129</v>
      </c>
      <c r="AI3280">
        <v>2.77</v>
      </c>
      <c r="AJ3280">
        <v>32.1</v>
      </c>
      <c r="AK3280">
        <v>23.8</v>
      </c>
      <c r="AL3280">
        <v>-20.163666449999969</v>
      </c>
      <c r="AM3280">
        <v>-44.916102906827042</v>
      </c>
      <c r="AN3280">
        <v>-20.163666449999969</v>
      </c>
      <c r="AO3280">
        <v>-44.916102906827042</v>
      </c>
      <c r="AP3280">
        <v>-20.163709000000001</v>
      </c>
      <c r="AQ3280">
        <v>-44.916074999999999</v>
      </c>
      <c r="AR3280">
        <v>5.5623892025550603</v>
      </c>
      <c r="AS3280" t="s">
        <v>65</v>
      </c>
      <c r="AT3280">
        <v>1</v>
      </c>
      <c r="AU3280" t="s">
        <v>1516</v>
      </c>
      <c r="AV3280" t="s">
        <v>1517</v>
      </c>
      <c r="AW3280" t="s">
        <v>60</v>
      </c>
      <c r="AX3280" t="s">
        <v>68</v>
      </c>
      <c r="AY3280" t="s">
        <v>69</v>
      </c>
      <c r="AZ3280" t="b">
        <v>1</v>
      </c>
    </row>
    <row r="3281" spans="1:52" x14ac:dyDescent="0.3">
      <c r="A3281" t="s">
        <v>52</v>
      </c>
      <c r="B3281" t="s">
        <v>53</v>
      </c>
      <c r="C3281" t="s">
        <v>54</v>
      </c>
      <c r="D3281" t="s">
        <v>55</v>
      </c>
      <c r="E3281" t="s">
        <v>2163</v>
      </c>
      <c r="F3281" t="s">
        <v>1247</v>
      </c>
      <c r="G3281" t="s">
        <v>1524</v>
      </c>
      <c r="H3281" t="s">
        <v>1525</v>
      </c>
      <c r="I3281" t="s">
        <v>1525</v>
      </c>
      <c r="J3281" t="s">
        <v>60</v>
      </c>
      <c r="K3281" t="s">
        <v>1302</v>
      </c>
      <c r="L3281" t="s">
        <v>62</v>
      </c>
      <c r="M3281" t="s">
        <v>1302</v>
      </c>
      <c r="N3281" t="s">
        <v>1526</v>
      </c>
      <c r="O3281" t="s">
        <v>303</v>
      </c>
      <c r="P3281">
        <v>-20.159873000000001</v>
      </c>
      <c r="Q3281">
        <v>-44.911431999999998</v>
      </c>
      <c r="R3281" s="2" t="str">
        <f>HYPERLINK("https://www.google.com/maps?q=-20.1598730,-44.9114320","Abrir no Google Maps")</f>
        <v>Abrir no Google Maps</v>
      </c>
      <c r="S3281">
        <v>2</v>
      </c>
      <c r="T3281">
        <v>359.34785817593553</v>
      </c>
      <c r="U3281">
        <v>3</v>
      </c>
      <c r="V3281">
        <v>0.38865007541478119</v>
      </c>
      <c r="W3281">
        <v>1</v>
      </c>
      <c r="X3281">
        <v>0.38865007541478119</v>
      </c>
      <c r="Y3281">
        <v>639</v>
      </c>
      <c r="Z3281">
        <v>388.13505700247691</v>
      </c>
      <c r="AA3281">
        <v>198</v>
      </c>
      <c r="AB3281">
        <v>332</v>
      </c>
      <c r="AC3281">
        <v>536</v>
      </c>
      <c r="AD3281">
        <v>26.35</v>
      </c>
      <c r="AE3281">
        <v>542</v>
      </c>
      <c r="AF3281">
        <v>15</v>
      </c>
      <c r="AG3281">
        <v>174</v>
      </c>
      <c r="AH3281">
        <v>129</v>
      </c>
      <c r="AI3281">
        <v>2.77</v>
      </c>
      <c r="AJ3281">
        <v>32.1</v>
      </c>
      <c r="AK3281">
        <v>23.8</v>
      </c>
      <c r="AL3281">
        <v>-20.159583599999969</v>
      </c>
      <c r="AM3281">
        <v>-44.911691929105316</v>
      </c>
      <c r="AN3281">
        <v>-20.159583599999969</v>
      </c>
      <c r="AO3281">
        <v>-44.911691929105316</v>
      </c>
      <c r="AP3281">
        <v>-20.159873000000001</v>
      </c>
      <c r="AQ3281">
        <v>-44.911431999999998</v>
      </c>
      <c r="AR3281">
        <v>42.138811218570019</v>
      </c>
      <c r="AS3281" t="s">
        <v>65</v>
      </c>
      <c r="AT3281">
        <v>1</v>
      </c>
      <c r="AU3281" t="s">
        <v>1527</v>
      </c>
      <c r="AV3281" t="s">
        <v>1528</v>
      </c>
      <c r="AW3281" t="s">
        <v>60</v>
      </c>
      <c r="AX3281" t="s">
        <v>68</v>
      </c>
      <c r="AY3281" t="s">
        <v>69</v>
      </c>
      <c r="AZ3281" t="b">
        <v>1</v>
      </c>
    </row>
    <row r="3282" spans="1:52" x14ac:dyDescent="0.3">
      <c r="A3282" t="s">
        <v>52</v>
      </c>
      <c r="B3282" t="s">
        <v>53</v>
      </c>
      <c r="C3282" t="s">
        <v>54</v>
      </c>
      <c r="D3282" t="s">
        <v>55</v>
      </c>
      <c r="E3282" t="s">
        <v>2163</v>
      </c>
      <c r="F3282" t="s">
        <v>1247</v>
      </c>
      <c r="G3282" t="s">
        <v>1541</v>
      </c>
      <c r="H3282" t="s">
        <v>1542</v>
      </c>
      <c r="I3282" t="s">
        <v>1542</v>
      </c>
      <c r="J3282" t="s">
        <v>60</v>
      </c>
      <c r="K3282" t="s">
        <v>1302</v>
      </c>
      <c r="L3282" t="s">
        <v>62</v>
      </c>
      <c r="M3282" t="s">
        <v>1302</v>
      </c>
      <c r="N3282" t="s">
        <v>1543</v>
      </c>
      <c r="O3282" t="s">
        <v>1544</v>
      </c>
      <c r="P3282">
        <v>-20.166267999999999</v>
      </c>
      <c r="Q3282">
        <v>-44.916902</v>
      </c>
      <c r="R3282" s="2" t="str">
        <f>HYPERLINK("https://www.google.com/maps?q=-20.1662680,-44.9169020","Abrir no Google Maps")</f>
        <v>Abrir no Google Maps</v>
      </c>
      <c r="S3282">
        <v>2</v>
      </c>
      <c r="T3282">
        <v>580.14556008922216</v>
      </c>
      <c r="U3282">
        <v>3</v>
      </c>
      <c r="V3282">
        <v>0.38556569522127371</v>
      </c>
      <c r="W3282">
        <v>0.85</v>
      </c>
      <c r="X3282">
        <v>0.32773084093808258</v>
      </c>
      <c r="Y3282">
        <v>639</v>
      </c>
      <c r="Z3282">
        <v>590.87477783185614</v>
      </c>
      <c r="AA3282">
        <v>198</v>
      </c>
      <c r="AB3282">
        <v>332</v>
      </c>
      <c r="AC3282">
        <v>536</v>
      </c>
      <c r="AD3282">
        <v>26.35</v>
      </c>
      <c r="AE3282">
        <v>542</v>
      </c>
      <c r="AF3282">
        <v>15</v>
      </c>
      <c r="AG3282">
        <v>174</v>
      </c>
      <c r="AH3282">
        <v>129</v>
      </c>
      <c r="AI3282">
        <v>2.77</v>
      </c>
      <c r="AJ3282">
        <v>32.1</v>
      </c>
      <c r="AK3282">
        <v>23.8</v>
      </c>
      <c r="AL3282">
        <v>-20.165891749999961</v>
      </c>
      <c r="AM3282">
        <v>-44.917283075074913</v>
      </c>
      <c r="AN3282">
        <v>-20.165891749999961</v>
      </c>
      <c r="AO3282">
        <v>-44.917283075074913</v>
      </c>
      <c r="AP3282">
        <v>-20.166267999999999</v>
      </c>
      <c r="AQ3282">
        <v>-44.916902</v>
      </c>
      <c r="AR3282">
        <v>57.792534087281872</v>
      </c>
      <c r="AS3282" t="s">
        <v>65</v>
      </c>
      <c r="AT3282">
        <v>1</v>
      </c>
      <c r="AU3282" t="s">
        <v>1545</v>
      </c>
      <c r="AV3282" t="s">
        <v>1546</v>
      </c>
      <c r="AW3282" t="s">
        <v>60</v>
      </c>
      <c r="AX3282" t="s">
        <v>68</v>
      </c>
      <c r="AY3282" t="s">
        <v>69</v>
      </c>
      <c r="AZ3282" t="b">
        <v>1</v>
      </c>
    </row>
    <row r="3283" spans="1:52" x14ac:dyDescent="0.3">
      <c r="A3283" t="s">
        <v>52</v>
      </c>
      <c r="B3283" t="s">
        <v>53</v>
      </c>
      <c r="C3283" t="s">
        <v>54</v>
      </c>
      <c r="D3283" t="s">
        <v>55</v>
      </c>
      <c r="E3283" t="s">
        <v>2163</v>
      </c>
      <c r="F3283" t="s">
        <v>1247</v>
      </c>
      <c r="G3283" t="s">
        <v>1534</v>
      </c>
      <c r="H3283" t="s">
        <v>1535</v>
      </c>
      <c r="I3283" t="s">
        <v>1535</v>
      </c>
      <c r="J3283" t="s">
        <v>60</v>
      </c>
      <c r="K3283" t="s">
        <v>1536</v>
      </c>
      <c r="L3283" t="s">
        <v>62</v>
      </c>
      <c r="M3283" t="s">
        <v>1536</v>
      </c>
      <c r="N3283" t="s">
        <v>1537</v>
      </c>
      <c r="O3283" t="s">
        <v>1538</v>
      </c>
      <c r="P3283">
        <v>-20.164618999999998</v>
      </c>
      <c r="Q3283">
        <v>-44.921776999999999</v>
      </c>
      <c r="R3283" s="2" t="str">
        <f>HYPERLINK("https://www.google.com/maps?q=-20.1646190,-44.9217770","Abrir no Google Maps")</f>
        <v>Abrir no Google Maps</v>
      </c>
      <c r="S3283">
        <v>2</v>
      </c>
      <c r="T3283">
        <v>835.70698013544222</v>
      </c>
      <c r="U3283">
        <v>2</v>
      </c>
      <c r="V3283">
        <v>0.34860681114551079</v>
      </c>
      <c r="W3283">
        <v>0.85</v>
      </c>
      <c r="X3283">
        <v>0.29631578947368409</v>
      </c>
      <c r="Y3283">
        <v>639</v>
      </c>
      <c r="Z3283">
        <v>821.59880323911125</v>
      </c>
      <c r="AA3283">
        <v>198</v>
      </c>
      <c r="AB3283">
        <v>332</v>
      </c>
      <c r="AC3283">
        <v>536</v>
      </c>
      <c r="AD3283">
        <v>26.35</v>
      </c>
      <c r="AE3283">
        <v>542</v>
      </c>
      <c r="AF3283">
        <v>15</v>
      </c>
      <c r="AG3283">
        <v>174</v>
      </c>
      <c r="AH3283">
        <v>129</v>
      </c>
      <c r="AI3283">
        <v>2.77</v>
      </c>
      <c r="AJ3283">
        <v>32.1</v>
      </c>
      <c r="AK3283">
        <v>23.8</v>
      </c>
      <c r="AL3283">
        <v>-20.164312499999969</v>
      </c>
      <c r="AM3283">
        <v>-44.921945691824099</v>
      </c>
      <c r="AN3283">
        <v>-20.164312499999969</v>
      </c>
      <c r="AO3283">
        <v>-44.921945691824099</v>
      </c>
      <c r="AP3283">
        <v>-20.164618999999998</v>
      </c>
      <c r="AQ3283">
        <v>-44.921776999999999</v>
      </c>
      <c r="AR3283">
        <v>38.404224975746608</v>
      </c>
      <c r="AS3283" t="s">
        <v>65</v>
      </c>
      <c r="AT3283">
        <v>1</v>
      </c>
      <c r="AU3283" t="s">
        <v>1539</v>
      </c>
      <c r="AV3283" t="s">
        <v>1540</v>
      </c>
      <c r="AW3283" t="s">
        <v>60</v>
      </c>
      <c r="AX3283" t="s">
        <v>68</v>
      </c>
      <c r="AY3283" t="s">
        <v>69</v>
      </c>
      <c r="AZ3283" t="b">
        <v>1</v>
      </c>
    </row>
    <row r="3284" spans="1:52" x14ac:dyDescent="0.3">
      <c r="A3284" t="s">
        <v>52</v>
      </c>
      <c r="B3284" t="s">
        <v>53</v>
      </c>
      <c r="C3284" t="s">
        <v>54</v>
      </c>
      <c r="D3284" t="s">
        <v>55</v>
      </c>
      <c r="E3284" t="s">
        <v>2163</v>
      </c>
      <c r="F3284" t="s">
        <v>1247</v>
      </c>
      <c r="G3284" t="s">
        <v>1547</v>
      </c>
      <c r="H3284" t="s">
        <v>1548</v>
      </c>
      <c r="I3284" t="s">
        <v>1548</v>
      </c>
      <c r="J3284" t="s">
        <v>60</v>
      </c>
      <c r="K3284" t="s">
        <v>1549</v>
      </c>
      <c r="L3284" t="s">
        <v>62</v>
      </c>
      <c r="M3284" t="s">
        <v>1549</v>
      </c>
      <c r="N3284" t="s">
        <v>1550</v>
      </c>
      <c r="O3284" t="s">
        <v>1551</v>
      </c>
      <c r="P3284">
        <v>-20.173258000000001</v>
      </c>
      <c r="Q3284">
        <v>-44.930354000000001</v>
      </c>
      <c r="R3284" s="2" t="str">
        <f>HYPERLINK("https://www.google.com/maps?q=-20.1732580,-44.9303540","Abrir no Google Maps")</f>
        <v>Abrir no Google Maps</v>
      </c>
      <c r="S3284">
        <v>2</v>
      </c>
      <c r="T3284">
        <v>2023.802197028052</v>
      </c>
      <c r="U3284">
        <v>1</v>
      </c>
      <c r="V3284">
        <v>0.3035690235690236</v>
      </c>
      <c r="W3284">
        <v>0.85</v>
      </c>
      <c r="X3284">
        <v>0.25803367003367012</v>
      </c>
      <c r="Y3284">
        <v>723</v>
      </c>
      <c r="Z3284">
        <v>1727.7445576555911</v>
      </c>
      <c r="AA3284">
        <v>198</v>
      </c>
      <c r="AB3284">
        <v>332</v>
      </c>
      <c r="AC3284">
        <v>536</v>
      </c>
      <c r="AD3284">
        <v>26.35</v>
      </c>
      <c r="AE3284">
        <v>542</v>
      </c>
      <c r="AF3284">
        <v>15</v>
      </c>
      <c r="AG3284">
        <v>174</v>
      </c>
      <c r="AH3284">
        <v>129</v>
      </c>
      <c r="AI3284">
        <v>2.77</v>
      </c>
      <c r="AJ3284">
        <v>32.1</v>
      </c>
      <c r="AK3284">
        <v>23.8</v>
      </c>
      <c r="AL3284">
        <v>-20.172996449999939</v>
      </c>
      <c r="AM3284">
        <v>-44.930058436825973</v>
      </c>
      <c r="AN3284">
        <v>-20.172996449999939</v>
      </c>
      <c r="AO3284">
        <v>-44.930058436825973</v>
      </c>
      <c r="AP3284">
        <v>-20.173258000000001</v>
      </c>
      <c r="AQ3284">
        <v>-44.930354000000001</v>
      </c>
      <c r="AR3284">
        <v>42.444455141884362</v>
      </c>
      <c r="AS3284" t="s">
        <v>65</v>
      </c>
      <c r="AT3284">
        <v>1</v>
      </c>
      <c r="AU3284" t="s">
        <v>1552</v>
      </c>
      <c r="AV3284" t="s">
        <v>1553</v>
      </c>
      <c r="AW3284" t="s">
        <v>60</v>
      </c>
      <c r="AX3284" t="s">
        <v>68</v>
      </c>
      <c r="AY3284" t="s">
        <v>69</v>
      </c>
      <c r="AZ3284" t="b">
        <v>1</v>
      </c>
    </row>
    <row r="3285" spans="1:52" x14ac:dyDescent="0.3">
      <c r="A3285" t="s">
        <v>52</v>
      </c>
      <c r="B3285" t="s">
        <v>53</v>
      </c>
      <c r="C3285" t="s">
        <v>54</v>
      </c>
      <c r="D3285" t="s">
        <v>55</v>
      </c>
      <c r="E3285" t="s">
        <v>2163</v>
      </c>
      <c r="F3285" t="s">
        <v>1247</v>
      </c>
      <c r="G3285" t="s">
        <v>1554</v>
      </c>
      <c r="H3285" t="s">
        <v>1555</v>
      </c>
      <c r="I3285" t="s">
        <v>1555</v>
      </c>
      <c r="J3285" t="s">
        <v>60</v>
      </c>
      <c r="K3285" t="s">
        <v>1466</v>
      </c>
      <c r="L3285" t="s">
        <v>62</v>
      </c>
      <c r="M3285" t="s">
        <v>1466</v>
      </c>
      <c r="N3285" t="s">
        <v>1556</v>
      </c>
      <c r="O3285" t="s">
        <v>989</v>
      </c>
      <c r="P3285">
        <v>-20.160997999999999</v>
      </c>
      <c r="Q3285">
        <v>-44.878385999999999</v>
      </c>
      <c r="R3285" s="2" t="str">
        <f>HYPERLINK("https://www.google.com/maps?q=-20.1609980,-44.8783860","Abrir no Google Maps")</f>
        <v>Abrir no Google Maps</v>
      </c>
      <c r="S3285">
        <v>2</v>
      </c>
      <c r="T3285">
        <v>0</v>
      </c>
      <c r="U3285">
        <v>1</v>
      </c>
      <c r="V3285">
        <v>0.33194385108330787</v>
      </c>
      <c r="W3285">
        <v>0.85</v>
      </c>
      <c r="X3285">
        <v>0.28215227342081167</v>
      </c>
      <c r="Y3285">
        <v>671</v>
      </c>
      <c r="Z3285">
        <v>74.014802531188664</v>
      </c>
      <c r="AA3285">
        <v>198</v>
      </c>
      <c r="AB3285">
        <v>332</v>
      </c>
      <c r="AC3285">
        <v>536</v>
      </c>
      <c r="AD3285">
        <v>26.35</v>
      </c>
      <c r="AE3285">
        <v>542</v>
      </c>
      <c r="AF3285">
        <v>15</v>
      </c>
      <c r="AG3285">
        <v>174</v>
      </c>
      <c r="AH3285">
        <v>129</v>
      </c>
      <c r="AI3285">
        <v>2.77</v>
      </c>
      <c r="AJ3285">
        <v>32.1</v>
      </c>
      <c r="AK3285">
        <v>23.8</v>
      </c>
      <c r="AL3285">
        <v>-20.160758199999979</v>
      </c>
      <c r="AM3285">
        <v>-44.878032519747983</v>
      </c>
      <c r="AN3285">
        <v>-20.160758199999979</v>
      </c>
      <c r="AO3285">
        <v>-44.878032519747983</v>
      </c>
      <c r="AP3285">
        <v>-20.160997999999999</v>
      </c>
      <c r="AQ3285">
        <v>-44.878385999999999</v>
      </c>
      <c r="AR3285">
        <v>45.574638830261883</v>
      </c>
      <c r="AS3285" t="s">
        <v>65</v>
      </c>
      <c r="AT3285">
        <v>1</v>
      </c>
      <c r="AU3285" t="s">
        <v>1557</v>
      </c>
      <c r="AV3285" t="s">
        <v>1558</v>
      </c>
      <c r="AW3285" t="s">
        <v>60</v>
      </c>
      <c r="AX3285" t="s">
        <v>68</v>
      </c>
      <c r="AY3285" t="s">
        <v>69</v>
      </c>
      <c r="AZ3285" t="b">
        <v>1</v>
      </c>
    </row>
    <row r="3286" spans="1:52" x14ac:dyDescent="0.3">
      <c r="A3286" t="s">
        <v>52</v>
      </c>
      <c r="B3286" t="s">
        <v>53</v>
      </c>
      <c r="C3286" t="s">
        <v>54</v>
      </c>
      <c r="D3286" t="s">
        <v>55</v>
      </c>
      <c r="E3286" t="s">
        <v>2163</v>
      </c>
      <c r="F3286" t="s">
        <v>1247</v>
      </c>
      <c r="G3286" t="s">
        <v>1559</v>
      </c>
      <c r="H3286" t="s">
        <v>1560</v>
      </c>
      <c r="I3286" t="s">
        <v>1560</v>
      </c>
      <c r="J3286" t="s">
        <v>60</v>
      </c>
      <c r="K3286" t="s">
        <v>61</v>
      </c>
      <c r="L3286" t="s">
        <v>62</v>
      </c>
      <c r="M3286" t="s">
        <v>61</v>
      </c>
      <c r="N3286" t="s">
        <v>1561</v>
      </c>
      <c r="O3286" t="s">
        <v>1562</v>
      </c>
      <c r="P3286">
        <v>-20.154959000000002</v>
      </c>
      <c r="Q3286">
        <v>-44.91525</v>
      </c>
      <c r="R3286" s="2" t="str">
        <f>HYPERLINK("https://www.google.com/maps?q=-20.1549590,-44.9152500","Abrir no Google Maps")</f>
        <v>Abrir no Google Maps</v>
      </c>
      <c r="S3286">
        <v>2</v>
      </c>
      <c r="T3286">
        <v>738.36411213380245</v>
      </c>
      <c r="U3286">
        <v>1</v>
      </c>
      <c r="V3286">
        <v>0</v>
      </c>
      <c r="W3286">
        <v>0.85</v>
      </c>
      <c r="X3286">
        <v>0</v>
      </c>
      <c r="Y3286">
        <v>639</v>
      </c>
      <c r="Z3286">
        <v>860.82840850294542</v>
      </c>
      <c r="AA3286">
        <v>198</v>
      </c>
      <c r="AB3286">
        <v>332</v>
      </c>
      <c r="AC3286">
        <v>536</v>
      </c>
      <c r="AD3286">
        <v>26.35</v>
      </c>
      <c r="AE3286">
        <v>542</v>
      </c>
      <c r="AF3286">
        <v>15</v>
      </c>
      <c r="AG3286">
        <v>174</v>
      </c>
      <c r="AH3286">
        <v>129</v>
      </c>
      <c r="AI3286">
        <v>2.77</v>
      </c>
      <c r="AJ3286">
        <v>32.1</v>
      </c>
      <c r="AK3286">
        <v>23.8</v>
      </c>
      <c r="AL3286">
        <v>-20.154629849999939</v>
      </c>
      <c r="AM3286">
        <v>-44.914951620624052</v>
      </c>
      <c r="AN3286">
        <v>-20.154629849999939</v>
      </c>
      <c r="AO3286">
        <v>-44.914951620624052</v>
      </c>
      <c r="AP3286">
        <v>-20.154959000000002</v>
      </c>
      <c r="AQ3286">
        <v>-44.91525</v>
      </c>
      <c r="AR3286">
        <v>48.11297170616912</v>
      </c>
      <c r="AS3286" t="s">
        <v>65</v>
      </c>
      <c r="AT3286">
        <v>1</v>
      </c>
      <c r="AU3286" t="s">
        <v>1563</v>
      </c>
      <c r="AV3286" t="s">
        <v>1564</v>
      </c>
      <c r="AW3286" t="s">
        <v>60</v>
      </c>
      <c r="AX3286" t="s">
        <v>68</v>
      </c>
      <c r="AY3286" t="s">
        <v>69</v>
      </c>
      <c r="AZ3286" t="b">
        <v>1</v>
      </c>
    </row>
    <row r="3287" spans="1:52" x14ac:dyDescent="0.3">
      <c r="A3287" t="s">
        <v>52</v>
      </c>
      <c r="B3287" t="s">
        <v>53</v>
      </c>
      <c r="C3287" t="s">
        <v>54</v>
      </c>
      <c r="D3287" t="s">
        <v>55</v>
      </c>
      <c r="E3287" t="s">
        <v>2163</v>
      </c>
      <c r="F3287" t="s">
        <v>1247</v>
      </c>
      <c r="G3287" t="s">
        <v>631</v>
      </c>
      <c r="H3287" t="s">
        <v>1565</v>
      </c>
      <c r="I3287" t="s">
        <v>1565</v>
      </c>
      <c r="J3287" t="s">
        <v>60</v>
      </c>
      <c r="K3287" t="s">
        <v>530</v>
      </c>
      <c r="L3287" t="s">
        <v>62</v>
      </c>
      <c r="M3287" t="s">
        <v>530</v>
      </c>
      <c r="N3287" t="s">
        <v>633</v>
      </c>
      <c r="O3287" t="s">
        <v>1566</v>
      </c>
      <c r="P3287">
        <v>-20.143915</v>
      </c>
      <c r="Q3287">
        <v>-44.8947</v>
      </c>
      <c r="R3287" s="2" t="str">
        <f>HYPERLINK("https://www.google.com/maps?q=-20.1439150,-44.8947000","Abrir no Google Maps")</f>
        <v>Abrir no Google Maps</v>
      </c>
      <c r="S3287">
        <v>1</v>
      </c>
      <c r="T3287">
        <v>327.74435325417051</v>
      </c>
      <c r="U3287">
        <v>4</v>
      </c>
      <c r="V3287">
        <v>0.59561814345991559</v>
      </c>
      <c r="W3287">
        <v>1</v>
      </c>
      <c r="X3287">
        <v>0.59561814345991559</v>
      </c>
      <c r="Y3287">
        <v>602</v>
      </c>
      <c r="Z3287">
        <v>236.41345279429891</v>
      </c>
      <c r="AA3287">
        <v>198</v>
      </c>
      <c r="AB3287">
        <v>332</v>
      </c>
      <c r="AC3287">
        <v>536</v>
      </c>
      <c r="AD3287">
        <v>26.35</v>
      </c>
      <c r="AE3287">
        <v>542</v>
      </c>
      <c r="AF3287">
        <v>15</v>
      </c>
      <c r="AG3287">
        <v>174</v>
      </c>
      <c r="AH3287">
        <v>129</v>
      </c>
      <c r="AI3287">
        <v>2.77</v>
      </c>
      <c r="AJ3287">
        <v>32.1</v>
      </c>
      <c r="AK3287">
        <v>23.8</v>
      </c>
      <c r="AL3287">
        <v>-20.143900549999959</v>
      </c>
      <c r="AM3287">
        <v>-44.894835636584318</v>
      </c>
      <c r="AN3287">
        <v>-20.143900549999959</v>
      </c>
      <c r="AO3287">
        <v>-44.894835636584318</v>
      </c>
      <c r="AP3287">
        <v>-20.143915</v>
      </c>
      <c r="AQ3287">
        <v>-44.8947</v>
      </c>
      <c r="AR3287">
        <v>14.266440053785869</v>
      </c>
      <c r="AS3287" t="s">
        <v>65</v>
      </c>
      <c r="AT3287">
        <v>1</v>
      </c>
      <c r="AU3287" t="s">
        <v>1567</v>
      </c>
      <c r="AV3287" t="s">
        <v>1568</v>
      </c>
      <c r="AW3287" t="s">
        <v>60</v>
      </c>
      <c r="AX3287" t="s">
        <v>68</v>
      </c>
      <c r="AY3287" t="s">
        <v>69</v>
      </c>
      <c r="AZ3287" t="b">
        <v>1</v>
      </c>
    </row>
    <row r="3288" spans="1:52" x14ac:dyDescent="0.3">
      <c r="A3288" t="s">
        <v>52</v>
      </c>
      <c r="B3288" t="s">
        <v>53</v>
      </c>
      <c r="C3288" t="s">
        <v>54</v>
      </c>
      <c r="D3288" t="s">
        <v>55</v>
      </c>
      <c r="E3288" t="s">
        <v>2163</v>
      </c>
      <c r="F3288" t="s">
        <v>1247</v>
      </c>
      <c r="G3288" t="s">
        <v>1569</v>
      </c>
      <c r="H3288" t="s">
        <v>1570</v>
      </c>
      <c r="I3288" t="s">
        <v>1570</v>
      </c>
      <c r="J3288" t="s">
        <v>60</v>
      </c>
      <c r="K3288" t="s">
        <v>530</v>
      </c>
      <c r="L3288" t="s">
        <v>62</v>
      </c>
      <c r="M3288" t="s">
        <v>530</v>
      </c>
      <c r="N3288" t="s">
        <v>1571</v>
      </c>
      <c r="O3288" t="s">
        <v>598</v>
      </c>
      <c r="P3288">
        <v>-20.146418000000001</v>
      </c>
      <c r="Q3288">
        <v>-44.893861999999999</v>
      </c>
      <c r="R3288" s="2" t="str">
        <f>HYPERLINK("https://www.google.com/maps?q=-20.1464180,-44.8938620","Abrir no Google Maps")</f>
        <v>Abrir no Google Maps</v>
      </c>
      <c r="S3288">
        <v>1</v>
      </c>
      <c r="T3288">
        <v>0</v>
      </c>
      <c r="U3288">
        <v>4</v>
      </c>
      <c r="V3288">
        <v>0.59114106422488322</v>
      </c>
      <c r="W3288">
        <v>0.85</v>
      </c>
      <c r="X3288">
        <v>0.50246990459115071</v>
      </c>
      <c r="Y3288">
        <v>602</v>
      </c>
      <c r="Z3288">
        <v>124.5475134899211</v>
      </c>
      <c r="AA3288">
        <v>198</v>
      </c>
      <c r="AB3288">
        <v>332</v>
      </c>
      <c r="AC3288">
        <v>536</v>
      </c>
      <c r="AD3288">
        <v>26.35</v>
      </c>
      <c r="AE3288">
        <v>542</v>
      </c>
      <c r="AF3288">
        <v>15</v>
      </c>
      <c r="AG3288">
        <v>174</v>
      </c>
      <c r="AH3288">
        <v>129</v>
      </c>
      <c r="AI3288">
        <v>2.77</v>
      </c>
      <c r="AJ3288">
        <v>32.1</v>
      </c>
      <c r="AK3288">
        <v>23.8</v>
      </c>
      <c r="AL3288">
        <v>-20.146753399999941</v>
      </c>
      <c r="AM3288">
        <v>-44.893993355901941</v>
      </c>
      <c r="AN3288">
        <v>-20.146753399999941</v>
      </c>
      <c r="AO3288">
        <v>-44.893993355901941</v>
      </c>
      <c r="AP3288">
        <v>-20.146418000000001</v>
      </c>
      <c r="AQ3288">
        <v>-44.893861999999999</v>
      </c>
      <c r="AR3288">
        <v>39.780457157851913</v>
      </c>
      <c r="AS3288" t="s">
        <v>65</v>
      </c>
      <c r="AT3288">
        <v>1</v>
      </c>
      <c r="AU3288" t="s">
        <v>1572</v>
      </c>
      <c r="AV3288" t="s">
        <v>1573</v>
      </c>
      <c r="AW3288" t="s">
        <v>60</v>
      </c>
      <c r="AX3288" t="s">
        <v>68</v>
      </c>
      <c r="AY3288" t="s">
        <v>69</v>
      </c>
      <c r="AZ3288" t="b">
        <v>1</v>
      </c>
    </row>
    <row r="3289" spans="1:52" x14ac:dyDescent="0.3">
      <c r="A3289" t="s">
        <v>52</v>
      </c>
      <c r="B3289" t="s">
        <v>53</v>
      </c>
      <c r="C3289" t="s">
        <v>54</v>
      </c>
      <c r="D3289" t="s">
        <v>55</v>
      </c>
      <c r="E3289" t="s">
        <v>2163</v>
      </c>
      <c r="F3289" t="s">
        <v>1247</v>
      </c>
      <c r="G3289" t="s">
        <v>1569</v>
      </c>
      <c r="H3289" t="s">
        <v>1574</v>
      </c>
      <c r="I3289" t="s">
        <v>1574</v>
      </c>
      <c r="J3289" t="s">
        <v>60</v>
      </c>
      <c r="K3289" t="s">
        <v>530</v>
      </c>
      <c r="L3289" t="s">
        <v>62</v>
      </c>
      <c r="M3289" t="s">
        <v>530</v>
      </c>
      <c r="N3289" t="s">
        <v>1571</v>
      </c>
      <c r="O3289" t="s">
        <v>1575</v>
      </c>
      <c r="P3289">
        <v>-20.14554</v>
      </c>
      <c r="Q3289">
        <v>-44.895606000000001</v>
      </c>
      <c r="R3289" s="2" t="str">
        <f>HYPERLINK("https://www.google.com/maps?q=-20.1455400,-44.8956060","Abrir no Google Maps")</f>
        <v>Abrir no Google Maps</v>
      </c>
      <c r="S3289">
        <v>1</v>
      </c>
      <c r="T3289">
        <v>218.66647838959381</v>
      </c>
      <c r="U3289">
        <v>4</v>
      </c>
      <c r="V3289">
        <v>0.56825641025641027</v>
      </c>
      <c r="W3289">
        <v>1</v>
      </c>
      <c r="X3289">
        <v>0.56825641025641027</v>
      </c>
      <c r="Y3289">
        <v>602</v>
      </c>
      <c r="Z3289">
        <v>263.6501043391637</v>
      </c>
      <c r="AA3289">
        <v>198</v>
      </c>
      <c r="AB3289">
        <v>332</v>
      </c>
      <c r="AC3289">
        <v>536</v>
      </c>
      <c r="AD3289">
        <v>26.35</v>
      </c>
      <c r="AE3289">
        <v>542</v>
      </c>
      <c r="AF3289">
        <v>15</v>
      </c>
      <c r="AG3289">
        <v>174</v>
      </c>
      <c r="AH3289">
        <v>129</v>
      </c>
      <c r="AI3289">
        <v>2.77</v>
      </c>
      <c r="AJ3289">
        <v>32.1</v>
      </c>
      <c r="AK3289">
        <v>23.8</v>
      </c>
      <c r="AL3289">
        <v>-20.145504749999962</v>
      </c>
      <c r="AM3289">
        <v>-44.89561499588882</v>
      </c>
      <c r="AN3289">
        <v>-20.145504749999962</v>
      </c>
      <c r="AO3289">
        <v>-44.89561499588882</v>
      </c>
      <c r="AP3289">
        <v>-20.14554</v>
      </c>
      <c r="AQ3289">
        <v>-44.895606000000001</v>
      </c>
      <c r="AR3289">
        <v>4.0350843151508604</v>
      </c>
      <c r="AS3289" t="s">
        <v>65</v>
      </c>
      <c r="AT3289">
        <v>1</v>
      </c>
      <c r="AU3289" t="s">
        <v>1576</v>
      </c>
      <c r="AV3289" t="s">
        <v>1577</v>
      </c>
      <c r="AW3289" t="s">
        <v>60</v>
      </c>
      <c r="AX3289" t="s">
        <v>68</v>
      </c>
      <c r="AY3289" t="s">
        <v>69</v>
      </c>
      <c r="AZ3289" t="b">
        <v>1</v>
      </c>
    </row>
    <row r="3290" spans="1:52" x14ac:dyDescent="0.3">
      <c r="A3290" t="s">
        <v>52</v>
      </c>
      <c r="B3290" t="s">
        <v>53</v>
      </c>
      <c r="C3290" t="s">
        <v>54</v>
      </c>
      <c r="D3290" t="s">
        <v>55</v>
      </c>
      <c r="E3290" t="s">
        <v>2163</v>
      </c>
      <c r="F3290" t="s">
        <v>1247</v>
      </c>
      <c r="G3290" t="s">
        <v>1578</v>
      </c>
      <c r="H3290" t="s">
        <v>1579</v>
      </c>
      <c r="I3290" t="s">
        <v>1579</v>
      </c>
      <c r="J3290" t="s">
        <v>60</v>
      </c>
      <c r="K3290" t="s">
        <v>530</v>
      </c>
      <c r="L3290" t="s">
        <v>62</v>
      </c>
      <c r="M3290" t="s">
        <v>530</v>
      </c>
      <c r="N3290" t="s">
        <v>1580</v>
      </c>
      <c r="O3290" t="s">
        <v>1581</v>
      </c>
      <c r="P3290">
        <v>-20.143713999999999</v>
      </c>
      <c r="Q3290">
        <v>-44.897387999999999</v>
      </c>
      <c r="R3290" s="2" t="str">
        <f>HYPERLINK("https://www.google.com/maps?q=-20.1437140,-44.8973880","Abrir no Google Maps")</f>
        <v>Abrir no Google Maps</v>
      </c>
      <c r="S3290">
        <v>1</v>
      </c>
      <c r="T3290">
        <v>354.74438118735611</v>
      </c>
      <c r="U3290">
        <v>4</v>
      </c>
      <c r="V3290">
        <v>0.6176688899653463</v>
      </c>
      <c r="W3290">
        <v>1</v>
      </c>
      <c r="X3290">
        <v>0.6176688899653463</v>
      </c>
      <c r="Y3290">
        <v>588</v>
      </c>
      <c r="Z3290">
        <v>336.29881064197872</v>
      </c>
      <c r="AA3290">
        <v>198</v>
      </c>
      <c r="AB3290">
        <v>332</v>
      </c>
      <c r="AC3290">
        <v>536</v>
      </c>
      <c r="AD3290">
        <v>26.35</v>
      </c>
      <c r="AE3290">
        <v>542</v>
      </c>
      <c r="AF3290">
        <v>15</v>
      </c>
      <c r="AG3290">
        <v>174</v>
      </c>
      <c r="AH3290">
        <v>129</v>
      </c>
      <c r="AI3290">
        <v>2.77</v>
      </c>
      <c r="AJ3290">
        <v>32.1</v>
      </c>
      <c r="AK3290">
        <v>23.8</v>
      </c>
      <c r="AL3290">
        <v>-20.14371329999997</v>
      </c>
      <c r="AM3290">
        <v>-44.897384604125257</v>
      </c>
      <c r="AN3290">
        <v>-20.14371329999997</v>
      </c>
      <c r="AO3290">
        <v>-44.897384604125257</v>
      </c>
      <c r="AP3290">
        <v>-20.143713999999999</v>
      </c>
      <c r="AQ3290">
        <v>-44.897387999999999</v>
      </c>
      <c r="AR3290">
        <v>0.36335934693921551</v>
      </c>
      <c r="AS3290" t="s">
        <v>65</v>
      </c>
      <c r="AT3290">
        <v>1</v>
      </c>
      <c r="AU3290" t="s">
        <v>1582</v>
      </c>
      <c r="AV3290" t="s">
        <v>1583</v>
      </c>
      <c r="AW3290" t="s">
        <v>60</v>
      </c>
      <c r="AX3290" t="s">
        <v>68</v>
      </c>
      <c r="AY3290" t="s">
        <v>69</v>
      </c>
      <c r="AZ3290" t="b">
        <v>1</v>
      </c>
    </row>
    <row r="3291" spans="1:52" x14ac:dyDescent="0.3">
      <c r="A3291" t="s">
        <v>52</v>
      </c>
      <c r="B3291" t="s">
        <v>53</v>
      </c>
      <c r="C3291" t="s">
        <v>54</v>
      </c>
      <c r="D3291" t="s">
        <v>55</v>
      </c>
      <c r="E3291" t="s">
        <v>2163</v>
      </c>
      <c r="F3291" t="s">
        <v>1247</v>
      </c>
      <c r="G3291" t="s">
        <v>1584</v>
      </c>
      <c r="H3291" t="s">
        <v>1585</v>
      </c>
      <c r="I3291" t="s">
        <v>1585</v>
      </c>
      <c r="J3291" t="s">
        <v>60</v>
      </c>
      <c r="K3291" t="s">
        <v>530</v>
      </c>
      <c r="L3291" t="s">
        <v>62</v>
      </c>
      <c r="M3291" t="s">
        <v>530</v>
      </c>
      <c r="N3291" t="s">
        <v>406</v>
      </c>
      <c r="O3291" t="s">
        <v>1586</v>
      </c>
      <c r="P3291">
        <v>-20.141316</v>
      </c>
      <c r="Q3291">
        <v>-44.896424000000003</v>
      </c>
      <c r="R3291" s="2" t="str">
        <f>HYPERLINK("https://www.google.com/maps?q=-20.1413160,-44.8964240","Abrir no Google Maps")</f>
        <v>Abrir no Google Maps</v>
      </c>
      <c r="S3291">
        <v>1</v>
      </c>
      <c r="T3291">
        <v>236.6687095166524</v>
      </c>
      <c r="U3291">
        <v>4</v>
      </c>
      <c r="V3291">
        <v>0.58135265700483096</v>
      </c>
      <c r="W3291">
        <v>1</v>
      </c>
      <c r="X3291">
        <v>0.58135265700483096</v>
      </c>
      <c r="Y3291">
        <v>588</v>
      </c>
      <c r="Z3291">
        <v>255.50729797374251</v>
      </c>
      <c r="AA3291">
        <v>198</v>
      </c>
      <c r="AB3291">
        <v>332</v>
      </c>
      <c r="AC3291">
        <v>536</v>
      </c>
      <c r="AD3291">
        <v>26.35</v>
      </c>
      <c r="AE3291">
        <v>542</v>
      </c>
      <c r="AF3291">
        <v>15</v>
      </c>
      <c r="AG3291">
        <v>174</v>
      </c>
      <c r="AH3291">
        <v>129</v>
      </c>
      <c r="AI3291">
        <v>2.77</v>
      </c>
      <c r="AJ3291">
        <v>32.1</v>
      </c>
      <c r="AK3291">
        <v>23.8</v>
      </c>
      <c r="AL3291">
        <v>-20.141468299999961</v>
      </c>
      <c r="AM3291">
        <v>-44.896566678331098</v>
      </c>
      <c r="AN3291">
        <v>-20.141468299999961</v>
      </c>
      <c r="AO3291">
        <v>-44.896566678331098</v>
      </c>
      <c r="AP3291">
        <v>-20.141316</v>
      </c>
      <c r="AQ3291">
        <v>-44.896424000000003</v>
      </c>
      <c r="AR3291">
        <v>22.578666373759301</v>
      </c>
      <c r="AS3291" t="s">
        <v>65</v>
      </c>
      <c r="AT3291">
        <v>1</v>
      </c>
      <c r="AU3291" t="s">
        <v>1587</v>
      </c>
      <c r="AV3291" t="s">
        <v>1588</v>
      </c>
      <c r="AW3291" t="s">
        <v>60</v>
      </c>
      <c r="AX3291" t="s">
        <v>68</v>
      </c>
      <c r="AY3291" t="s">
        <v>69</v>
      </c>
      <c r="AZ3291" t="b">
        <v>1</v>
      </c>
    </row>
    <row r="3292" spans="1:52" x14ac:dyDescent="0.3">
      <c r="A3292" t="s">
        <v>52</v>
      </c>
      <c r="B3292" t="s">
        <v>53</v>
      </c>
      <c r="C3292" t="s">
        <v>54</v>
      </c>
      <c r="D3292" t="s">
        <v>55</v>
      </c>
      <c r="E3292" t="s">
        <v>2163</v>
      </c>
      <c r="F3292" t="s">
        <v>1247</v>
      </c>
      <c r="G3292" t="s">
        <v>1589</v>
      </c>
      <c r="H3292" t="s">
        <v>1590</v>
      </c>
      <c r="I3292" t="s">
        <v>1590</v>
      </c>
      <c r="J3292" t="s">
        <v>60</v>
      </c>
      <c r="K3292" t="s">
        <v>1591</v>
      </c>
      <c r="L3292" t="s">
        <v>62</v>
      </c>
      <c r="M3292" t="s">
        <v>1591</v>
      </c>
      <c r="N3292" t="s">
        <v>1592</v>
      </c>
      <c r="O3292" t="s">
        <v>659</v>
      </c>
      <c r="P3292">
        <v>-20.140789000000002</v>
      </c>
      <c r="Q3292">
        <v>-44.898631000000002</v>
      </c>
      <c r="R3292" s="2" t="str">
        <f>HYPERLINK("https://www.google.com/maps?q=-20.1407890,-44.8986310","Abrir no Google Maps")</f>
        <v>Abrir no Google Maps</v>
      </c>
      <c r="S3292">
        <v>1</v>
      </c>
      <c r="T3292">
        <v>0</v>
      </c>
      <c r="U3292">
        <v>4</v>
      </c>
      <c r="V3292">
        <v>0.50450653901408526</v>
      </c>
      <c r="W3292">
        <v>1</v>
      </c>
      <c r="X3292">
        <v>0.50450653901408526</v>
      </c>
      <c r="Y3292">
        <v>588</v>
      </c>
      <c r="Z3292">
        <v>51.152636251897107</v>
      </c>
      <c r="AA3292">
        <v>198</v>
      </c>
      <c r="AB3292">
        <v>332</v>
      </c>
      <c r="AC3292">
        <v>536</v>
      </c>
      <c r="AD3292">
        <v>26.35</v>
      </c>
      <c r="AE3292">
        <v>542</v>
      </c>
      <c r="AF3292">
        <v>15</v>
      </c>
      <c r="AG3292">
        <v>174</v>
      </c>
      <c r="AH3292">
        <v>129</v>
      </c>
      <c r="AI3292">
        <v>2.77</v>
      </c>
      <c r="AJ3292">
        <v>32.1</v>
      </c>
      <c r="AK3292">
        <v>23.8</v>
      </c>
      <c r="AL3292">
        <v>-20.140759399999951</v>
      </c>
      <c r="AM3292">
        <v>-44.898703172474903</v>
      </c>
      <c r="AN3292">
        <v>-20.140759399999951</v>
      </c>
      <c r="AO3292">
        <v>-44.898703172474903</v>
      </c>
      <c r="AP3292">
        <v>-20.140789000000002</v>
      </c>
      <c r="AQ3292">
        <v>-44.898631000000002</v>
      </c>
      <c r="AR3292">
        <v>8.2312502179962053</v>
      </c>
      <c r="AS3292" t="s">
        <v>65</v>
      </c>
      <c r="AT3292">
        <v>1</v>
      </c>
      <c r="AU3292" t="s">
        <v>1593</v>
      </c>
      <c r="AV3292" t="s">
        <v>1594</v>
      </c>
      <c r="AW3292" t="s">
        <v>60</v>
      </c>
      <c r="AX3292" t="s">
        <v>68</v>
      </c>
      <c r="AY3292" t="s">
        <v>69</v>
      </c>
      <c r="AZ3292" t="b">
        <v>1</v>
      </c>
    </row>
    <row r="3293" spans="1:52" x14ac:dyDescent="0.3">
      <c r="A3293" t="s">
        <v>52</v>
      </c>
      <c r="B3293" t="s">
        <v>53</v>
      </c>
      <c r="C3293" t="s">
        <v>54</v>
      </c>
      <c r="D3293" t="s">
        <v>55</v>
      </c>
      <c r="E3293" t="s">
        <v>2163</v>
      </c>
      <c r="F3293" t="s">
        <v>1247</v>
      </c>
      <c r="G3293" t="s">
        <v>1595</v>
      </c>
      <c r="H3293" t="s">
        <v>1596</v>
      </c>
      <c r="I3293" t="s">
        <v>1596</v>
      </c>
      <c r="J3293" t="s">
        <v>60</v>
      </c>
      <c r="K3293" t="s">
        <v>530</v>
      </c>
      <c r="L3293" t="s">
        <v>62</v>
      </c>
      <c r="M3293" t="s">
        <v>530</v>
      </c>
      <c r="N3293" t="s">
        <v>1006</v>
      </c>
      <c r="O3293" t="s">
        <v>1597</v>
      </c>
      <c r="P3293">
        <v>-20.139135</v>
      </c>
      <c r="Q3293">
        <v>-44.895907000000001</v>
      </c>
      <c r="R3293" s="2" t="str">
        <f>HYPERLINK("https://www.google.com/maps?q=-20.1391350,-44.8959070","Abrir no Google Maps")</f>
        <v>Abrir no Google Maps</v>
      </c>
      <c r="S3293">
        <v>1</v>
      </c>
      <c r="T3293">
        <v>324.98342996447241</v>
      </c>
      <c r="U3293">
        <v>4</v>
      </c>
      <c r="V3293">
        <v>0.56363960325473661</v>
      </c>
      <c r="W3293">
        <v>1</v>
      </c>
      <c r="X3293">
        <v>0.56363960325473661</v>
      </c>
      <c r="Y3293">
        <v>588</v>
      </c>
      <c r="Z3293">
        <v>411.69998599301618</v>
      </c>
      <c r="AA3293">
        <v>198</v>
      </c>
      <c r="AB3293">
        <v>332</v>
      </c>
      <c r="AC3293">
        <v>536</v>
      </c>
      <c r="AD3293">
        <v>26.35</v>
      </c>
      <c r="AE3293">
        <v>542</v>
      </c>
      <c r="AF3293">
        <v>15</v>
      </c>
      <c r="AG3293">
        <v>174</v>
      </c>
      <c r="AH3293">
        <v>129</v>
      </c>
      <c r="AI3293">
        <v>2.77</v>
      </c>
      <c r="AJ3293">
        <v>32.1</v>
      </c>
      <c r="AK3293">
        <v>23.8</v>
      </c>
      <c r="AL3293">
        <v>-20.139299649999941</v>
      </c>
      <c r="AM3293">
        <v>-44.896005009217312</v>
      </c>
      <c r="AN3293">
        <v>-20.139299649999941</v>
      </c>
      <c r="AO3293">
        <v>-44.896005009217312</v>
      </c>
      <c r="AP3293">
        <v>-20.139135</v>
      </c>
      <c r="AQ3293">
        <v>-44.895907000000001</v>
      </c>
      <c r="AR3293">
        <v>20.996943428875841</v>
      </c>
      <c r="AS3293" t="s">
        <v>65</v>
      </c>
      <c r="AT3293">
        <v>1</v>
      </c>
      <c r="AU3293" t="s">
        <v>1598</v>
      </c>
      <c r="AV3293" t="s">
        <v>1599</v>
      </c>
      <c r="AW3293" t="s">
        <v>60</v>
      </c>
      <c r="AX3293" t="s">
        <v>68</v>
      </c>
      <c r="AY3293" t="s">
        <v>69</v>
      </c>
      <c r="AZ3293" t="b">
        <v>1</v>
      </c>
    </row>
    <row r="3294" spans="1:52" x14ac:dyDescent="0.3">
      <c r="A3294" t="s">
        <v>52</v>
      </c>
      <c r="B3294" t="s">
        <v>53</v>
      </c>
      <c r="C3294" t="s">
        <v>54</v>
      </c>
      <c r="D3294" t="s">
        <v>55</v>
      </c>
      <c r="E3294" t="s">
        <v>2163</v>
      </c>
      <c r="F3294" t="s">
        <v>1247</v>
      </c>
      <c r="G3294" t="s">
        <v>1342</v>
      </c>
      <c r="H3294" t="s">
        <v>1600</v>
      </c>
      <c r="I3294" t="s">
        <v>1600</v>
      </c>
      <c r="J3294" t="s">
        <v>60</v>
      </c>
      <c r="K3294" t="s">
        <v>462</v>
      </c>
      <c r="L3294" t="s">
        <v>62</v>
      </c>
      <c r="M3294" t="s">
        <v>462</v>
      </c>
      <c r="N3294" t="s">
        <v>921</v>
      </c>
      <c r="O3294" t="s">
        <v>1601</v>
      </c>
      <c r="P3294">
        <v>-20.140741999999999</v>
      </c>
      <c r="Q3294">
        <v>-44.902729000000001</v>
      </c>
      <c r="R3294" s="2" t="str">
        <f>HYPERLINK("https://www.google.com/maps?q=-20.1407420,-44.9027290","Abrir no Google Maps")</f>
        <v>Abrir no Google Maps</v>
      </c>
      <c r="S3294">
        <v>1</v>
      </c>
      <c r="T3294">
        <v>373.97936588503438</v>
      </c>
      <c r="U3294">
        <v>4</v>
      </c>
      <c r="V3294">
        <v>0.49272620552645841</v>
      </c>
      <c r="W3294">
        <v>1</v>
      </c>
      <c r="X3294">
        <v>0.49272620552645841</v>
      </c>
      <c r="Y3294">
        <v>588</v>
      </c>
      <c r="Z3294">
        <v>427.55758539734131</v>
      </c>
      <c r="AA3294">
        <v>198</v>
      </c>
      <c r="AB3294">
        <v>332</v>
      </c>
      <c r="AC3294">
        <v>536</v>
      </c>
      <c r="AD3294">
        <v>26.35</v>
      </c>
      <c r="AE3294">
        <v>542</v>
      </c>
      <c r="AF3294">
        <v>15</v>
      </c>
      <c r="AG3294">
        <v>174</v>
      </c>
      <c r="AH3294">
        <v>129</v>
      </c>
      <c r="AI3294">
        <v>2.77</v>
      </c>
      <c r="AJ3294">
        <v>32.1</v>
      </c>
      <c r="AK3294">
        <v>23.8</v>
      </c>
      <c r="AL3294">
        <v>-20.140729549999971</v>
      </c>
      <c r="AM3294">
        <v>-44.902779454814521</v>
      </c>
      <c r="AN3294">
        <v>-20.140729549999971</v>
      </c>
      <c r="AO3294">
        <v>-44.902779454814521</v>
      </c>
      <c r="AP3294">
        <v>-20.140741999999999</v>
      </c>
      <c r="AQ3294">
        <v>-44.902729000000001</v>
      </c>
      <c r="AR3294">
        <v>5.4522610212697993</v>
      </c>
      <c r="AS3294" t="s">
        <v>65</v>
      </c>
      <c r="AT3294">
        <v>1</v>
      </c>
      <c r="AU3294" t="s">
        <v>1602</v>
      </c>
      <c r="AV3294" t="s">
        <v>1603</v>
      </c>
      <c r="AW3294" t="s">
        <v>60</v>
      </c>
      <c r="AX3294" t="s">
        <v>68</v>
      </c>
      <c r="AY3294" t="s">
        <v>69</v>
      </c>
      <c r="AZ3294" t="b">
        <v>1</v>
      </c>
    </row>
    <row r="3295" spans="1:52" x14ac:dyDescent="0.3">
      <c r="A3295" t="s">
        <v>52</v>
      </c>
      <c r="B3295" t="s">
        <v>53</v>
      </c>
      <c r="C3295" t="s">
        <v>54</v>
      </c>
      <c r="D3295" t="s">
        <v>55</v>
      </c>
      <c r="E3295" t="s">
        <v>2163</v>
      </c>
      <c r="F3295" t="s">
        <v>1247</v>
      </c>
      <c r="G3295" t="s">
        <v>1612</v>
      </c>
      <c r="H3295" t="s">
        <v>1613</v>
      </c>
      <c r="I3295" t="s">
        <v>1613</v>
      </c>
      <c r="J3295" t="s">
        <v>60</v>
      </c>
      <c r="K3295" t="s">
        <v>1349</v>
      </c>
      <c r="L3295" t="s">
        <v>62</v>
      </c>
      <c r="M3295" t="s">
        <v>1349</v>
      </c>
      <c r="N3295" t="s">
        <v>1614</v>
      </c>
      <c r="O3295" t="s">
        <v>710</v>
      </c>
      <c r="P3295">
        <v>-20.141335999999999</v>
      </c>
      <c r="Q3295">
        <v>-44.901133000000002</v>
      </c>
      <c r="R3295" s="2" t="str">
        <f>HYPERLINK("https://www.google.com/maps?q=-20.1413360,-44.9011330","Abrir no Google Maps")</f>
        <v>Abrir no Google Maps</v>
      </c>
      <c r="S3295">
        <v>1</v>
      </c>
      <c r="T3295">
        <v>257.92927430829218</v>
      </c>
      <c r="U3295">
        <v>4</v>
      </c>
      <c r="V3295">
        <v>0.53488912109601761</v>
      </c>
      <c r="W3295">
        <v>0.85</v>
      </c>
      <c r="X3295">
        <v>0.45465575293161498</v>
      </c>
      <c r="Y3295">
        <v>588</v>
      </c>
      <c r="Z3295">
        <v>252.62617475231269</v>
      </c>
      <c r="AA3295">
        <v>198</v>
      </c>
      <c r="AB3295">
        <v>332</v>
      </c>
      <c r="AC3295">
        <v>536</v>
      </c>
      <c r="AD3295">
        <v>26.35</v>
      </c>
      <c r="AE3295">
        <v>542</v>
      </c>
      <c r="AF3295">
        <v>15</v>
      </c>
      <c r="AG3295">
        <v>174</v>
      </c>
      <c r="AH3295">
        <v>129</v>
      </c>
      <c r="AI3295">
        <v>2.77</v>
      </c>
      <c r="AJ3295">
        <v>32.1</v>
      </c>
      <c r="AK3295">
        <v>23.8</v>
      </c>
      <c r="AL3295">
        <v>-20.141297649999959</v>
      </c>
      <c r="AM3295">
        <v>-44.901104406351408</v>
      </c>
      <c r="AN3295">
        <v>-20.141297649999959</v>
      </c>
      <c r="AO3295">
        <v>-44.901104406351408</v>
      </c>
      <c r="AP3295">
        <v>-20.141335999999999</v>
      </c>
      <c r="AQ3295">
        <v>-44.901133000000002</v>
      </c>
      <c r="AR3295">
        <v>5.211130154459668</v>
      </c>
      <c r="AS3295" t="s">
        <v>65</v>
      </c>
      <c r="AT3295">
        <v>1</v>
      </c>
      <c r="AU3295" t="s">
        <v>1615</v>
      </c>
      <c r="AV3295" t="s">
        <v>1616</v>
      </c>
      <c r="AW3295" t="s">
        <v>60</v>
      </c>
      <c r="AX3295" t="s">
        <v>68</v>
      </c>
      <c r="AY3295" t="s">
        <v>69</v>
      </c>
      <c r="AZ3295" t="b">
        <v>1</v>
      </c>
    </row>
    <row r="3296" spans="1:52" x14ac:dyDescent="0.3">
      <c r="A3296" t="s">
        <v>52</v>
      </c>
      <c r="B3296" t="s">
        <v>53</v>
      </c>
      <c r="C3296" t="s">
        <v>54</v>
      </c>
      <c r="D3296" t="s">
        <v>55</v>
      </c>
      <c r="E3296" t="s">
        <v>2163</v>
      </c>
      <c r="F3296" t="s">
        <v>1247</v>
      </c>
      <c r="G3296" t="s">
        <v>1584</v>
      </c>
      <c r="H3296" t="s">
        <v>1604</v>
      </c>
      <c r="I3296" t="s">
        <v>1604</v>
      </c>
      <c r="J3296" t="s">
        <v>60</v>
      </c>
      <c r="K3296" t="s">
        <v>530</v>
      </c>
      <c r="L3296" t="s">
        <v>62</v>
      </c>
      <c r="M3296" t="s">
        <v>530</v>
      </c>
      <c r="N3296" t="s">
        <v>406</v>
      </c>
      <c r="O3296" t="s">
        <v>1267</v>
      </c>
      <c r="P3296">
        <v>-20.147068000000001</v>
      </c>
      <c r="Q3296">
        <v>-44.898629999999997</v>
      </c>
      <c r="R3296" s="2" t="str">
        <f>HYPERLINK("https://www.google.com/maps?q=-20.1470680,-44.8986300","Abrir no Google Maps")</f>
        <v>Abrir no Google Maps</v>
      </c>
      <c r="S3296">
        <v>1</v>
      </c>
      <c r="T3296">
        <v>468.5580266389448</v>
      </c>
      <c r="U3296">
        <v>4</v>
      </c>
      <c r="V3296">
        <v>0.52456653388288932</v>
      </c>
      <c r="W3296">
        <v>1</v>
      </c>
      <c r="X3296">
        <v>0.52456653388288932</v>
      </c>
      <c r="Y3296">
        <v>556</v>
      </c>
      <c r="Z3296">
        <v>447.77738134922419</v>
      </c>
      <c r="AA3296">
        <v>198</v>
      </c>
      <c r="AB3296">
        <v>332</v>
      </c>
      <c r="AC3296">
        <v>536</v>
      </c>
      <c r="AD3296">
        <v>26.35</v>
      </c>
      <c r="AE3296">
        <v>542</v>
      </c>
      <c r="AF3296">
        <v>15</v>
      </c>
      <c r="AG3296">
        <v>174</v>
      </c>
      <c r="AH3296">
        <v>129</v>
      </c>
      <c r="AI3296">
        <v>2.77</v>
      </c>
      <c r="AJ3296">
        <v>32.1</v>
      </c>
      <c r="AK3296">
        <v>23.8</v>
      </c>
      <c r="AL3296">
        <v>-20.14701759999997</v>
      </c>
      <c r="AM3296">
        <v>-44.898633710342303</v>
      </c>
      <c r="AN3296">
        <v>-20.14701759999997</v>
      </c>
      <c r="AO3296">
        <v>-44.898633710342303</v>
      </c>
      <c r="AP3296">
        <v>-20.147068000000001</v>
      </c>
      <c r="AQ3296">
        <v>-44.898629999999997</v>
      </c>
      <c r="AR3296">
        <v>5.6239118246064832</v>
      </c>
      <c r="AS3296" t="s">
        <v>65</v>
      </c>
      <c r="AT3296">
        <v>1</v>
      </c>
      <c r="AU3296" t="s">
        <v>1605</v>
      </c>
      <c r="AV3296" t="s">
        <v>1606</v>
      </c>
      <c r="AW3296" t="s">
        <v>60</v>
      </c>
      <c r="AX3296" t="s">
        <v>68</v>
      </c>
      <c r="AY3296" t="s">
        <v>69</v>
      </c>
      <c r="AZ3296" t="b">
        <v>1</v>
      </c>
    </row>
    <row r="3297" spans="1:52" x14ac:dyDescent="0.3">
      <c r="A3297" t="s">
        <v>52</v>
      </c>
      <c r="B3297" t="s">
        <v>53</v>
      </c>
      <c r="C3297" t="s">
        <v>54</v>
      </c>
      <c r="D3297" t="s">
        <v>55</v>
      </c>
      <c r="E3297" t="s">
        <v>2163</v>
      </c>
      <c r="F3297" t="s">
        <v>1247</v>
      </c>
      <c r="G3297" t="s">
        <v>1607</v>
      </c>
      <c r="H3297" t="s">
        <v>1608</v>
      </c>
      <c r="I3297" t="s">
        <v>1608</v>
      </c>
      <c r="J3297" t="s">
        <v>60</v>
      </c>
      <c r="K3297" t="s">
        <v>1486</v>
      </c>
      <c r="L3297" t="s">
        <v>62</v>
      </c>
      <c r="M3297" t="s">
        <v>1486</v>
      </c>
      <c r="N3297" t="s">
        <v>1609</v>
      </c>
      <c r="O3297" t="s">
        <v>1255</v>
      </c>
      <c r="P3297">
        <v>-20.157689000000001</v>
      </c>
      <c r="Q3297">
        <v>-44.883887000000001</v>
      </c>
      <c r="R3297" s="2" t="str">
        <f>HYPERLINK("https://www.google.com/maps?q=-20.1576890,-44.8838870","Abrir no Google Maps")</f>
        <v>Abrir no Google Maps</v>
      </c>
      <c r="S3297">
        <v>1</v>
      </c>
      <c r="T3297">
        <v>603.38424821205774</v>
      </c>
      <c r="U3297">
        <v>3</v>
      </c>
      <c r="V3297">
        <v>0.33957905984944609</v>
      </c>
      <c r="W3297">
        <v>1</v>
      </c>
      <c r="X3297">
        <v>0.33957905984944609</v>
      </c>
      <c r="Y3297">
        <v>671</v>
      </c>
      <c r="Z3297">
        <v>682.48636898467089</v>
      </c>
      <c r="AA3297">
        <v>198</v>
      </c>
      <c r="AB3297">
        <v>332</v>
      </c>
      <c r="AC3297">
        <v>536</v>
      </c>
      <c r="AD3297">
        <v>26.35</v>
      </c>
      <c r="AE3297">
        <v>542</v>
      </c>
      <c r="AF3297">
        <v>15</v>
      </c>
      <c r="AG3297">
        <v>174</v>
      </c>
      <c r="AH3297">
        <v>129</v>
      </c>
      <c r="AI3297">
        <v>2.77</v>
      </c>
      <c r="AJ3297">
        <v>32.1</v>
      </c>
      <c r="AK3297">
        <v>23.8</v>
      </c>
      <c r="AL3297">
        <v>-20.157732249999949</v>
      </c>
      <c r="AM3297">
        <v>-44.883829923283272</v>
      </c>
      <c r="AN3297">
        <v>-20.157732249999949</v>
      </c>
      <c r="AO3297">
        <v>-44.883829923283272</v>
      </c>
      <c r="AP3297">
        <v>-20.157689000000001</v>
      </c>
      <c r="AQ3297">
        <v>-44.883887000000001</v>
      </c>
      <c r="AR3297">
        <v>7.6652901074925257</v>
      </c>
      <c r="AS3297" t="s">
        <v>65</v>
      </c>
      <c r="AT3297">
        <v>1</v>
      </c>
      <c r="AU3297" t="s">
        <v>1610</v>
      </c>
      <c r="AV3297" t="s">
        <v>1611</v>
      </c>
      <c r="AW3297" t="s">
        <v>60</v>
      </c>
      <c r="AX3297" t="s">
        <v>68</v>
      </c>
      <c r="AY3297" t="s">
        <v>69</v>
      </c>
      <c r="AZ3297" t="b">
        <v>1</v>
      </c>
    </row>
    <row r="3298" spans="1:52" x14ac:dyDescent="0.3">
      <c r="A3298" t="s">
        <v>52</v>
      </c>
      <c r="B3298" t="s">
        <v>53</v>
      </c>
      <c r="C3298" t="s">
        <v>54</v>
      </c>
      <c r="D3298" t="s">
        <v>55</v>
      </c>
      <c r="E3298" t="s">
        <v>2200</v>
      </c>
      <c r="F3298" t="s">
        <v>57</v>
      </c>
      <c r="G3298" t="s">
        <v>58</v>
      </c>
      <c r="H3298" t="s">
        <v>59</v>
      </c>
      <c r="I3298" t="s">
        <v>59</v>
      </c>
      <c r="J3298" t="s">
        <v>60</v>
      </c>
      <c r="K3298" t="s">
        <v>61</v>
      </c>
      <c r="L3298" t="s">
        <v>62</v>
      </c>
      <c r="M3298" t="s">
        <v>61</v>
      </c>
      <c r="N3298" t="s">
        <v>63</v>
      </c>
      <c r="O3298" t="s">
        <v>64</v>
      </c>
      <c r="P3298">
        <v>-20.147940999999999</v>
      </c>
      <c r="Q3298">
        <v>-44.906514000000001</v>
      </c>
      <c r="R3298" s="2" t="str">
        <f>HYPERLINK("https://www.google.com/maps?q=-20.1479410,-44.9065140","Abrir no Google Maps")</f>
        <v>Abrir no Google Maps</v>
      </c>
      <c r="S3298">
        <v>4</v>
      </c>
      <c r="T3298">
        <v>308.67004994113421</v>
      </c>
      <c r="U3298">
        <v>4</v>
      </c>
      <c r="V3298">
        <v>0.51649336050024597</v>
      </c>
      <c r="W3298">
        <v>1</v>
      </c>
      <c r="X3298">
        <v>0.51649336050024597</v>
      </c>
      <c r="Y3298">
        <v>747</v>
      </c>
      <c r="Z3298">
        <v>274.71440454502522</v>
      </c>
      <c r="AA3298">
        <v>198</v>
      </c>
      <c r="AB3298">
        <v>332</v>
      </c>
      <c r="AC3298">
        <v>536</v>
      </c>
      <c r="AD3298">
        <v>28.54</v>
      </c>
      <c r="AE3298">
        <v>542</v>
      </c>
      <c r="AF3298">
        <v>20</v>
      </c>
      <c r="AG3298">
        <v>181</v>
      </c>
      <c r="AH3298">
        <v>129</v>
      </c>
      <c r="AI3298">
        <v>3.69</v>
      </c>
      <c r="AJ3298">
        <v>33.39</v>
      </c>
      <c r="AK3298">
        <v>23.8</v>
      </c>
      <c r="AL3298">
        <v>-20.147947799999969</v>
      </c>
      <c r="AM3298">
        <v>-44.906591596129203</v>
      </c>
      <c r="AN3298">
        <v>-20.147947799999969</v>
      </c>
      <c r="AO3298">
        <v>-44.906591596129203</v>
      </c>
      <c r="AP3298">
        <v>-20.147940999999999</v>
      </c>
      <c r="AQ3298">
        <v>-44.906514000000001</v>
      </c>
      <c r="AR3298">
        <v>8.1446636170570326</v>
      </c>
      <c r="AS3298" t="s">
        <v>65</v>
      </c>
      <c r="AT3298">
        <v>1</v>
      </c>
      <c r="AU3298" t="s">
        <v>66</v>
      </c>
      <c r="AV3298" t="s">
        <v>67</v>
      </c>
      <c r="AW3298" t="s">
        <v>60</v>
      </c>
      <c r="AX3298" t="s">
        <v>68</v>
      </c>
      <c r="AY3298" t="s">
        <v>69</v>
      </c>
      <c r="AZ3298" t="b">
        <v>1</v>
      </c>
    </row>
    <row r="3299" spans="1:52" x14ac:dyDescent="0.3">
      <c r="A3299" t="s">
        <v>52</v>
      </c>
      <c r="B3299" t="s">
        <v>53</v>
      </c>
      <c r="C3299" t="s">
        <v>54</v>
      </c>
      <c r="D3299" t="s">
        <v>55</v>
      </c>
      <c r="E3299" t="s">
        <v>2200</v>
      </c>
      <c r="F3299" t="s">
        <v>57</v>
      </c>
      <c r="G3299" t="s">
        <v>70</v>
      </c>
      <c r="H3299" t="s">
        <v>71</v>
      </c>
      <c r="I3299" t="s">
        <v>71</v>
      </c>
      <c r="J3299" t="s">
        <v>60</v>
      </c>
      <c r="K3299" t="s">
        <v>72</v>
      </c>
      <c r="L3299" t="s">
        <v>62</v>
      </c>
      <c r="M3299" t="s">
        <v>72</v>
      </c>
      <c r="N3299" t="s">
        <v>73</v>
      </c>
      <c r="O3299" t="s">
        <v>74</v>
      </c>
      <c r="P3299">
        <v>-20.149349000000001</v>
      </c>
      <c r="Q3299">
        <v>-44.910784</v>
      </c>
      <c r="R3299" s="2" t="str">
        <f>HYPERLINK("https://www.google.com/maps?q=-20.1493490,-44.9107840","Abrir no Google Maps")</f>
        <v>Abrir no Google Maps</v>
      </c>
      <c r="S3299">
        <v>4</v>
      </c>
      <c r="T3299">
        <v>472.43876549769578</v>
      </c>
      <c r="U3299">
        <v>4</v>
      </c>
      <c r="V3299">
        <v>0.53040213178294582</v>
      </c>
      <c r="W3299">
        <v>1</v>
      </c>
      <c r="X3299">
        <v>0.53040213178294582</v>
      </c>
      <c r="Y3299">
        <v>747</v>
      </c>
      <c r="Z3299">
        <v>441.03921887407779</v>
      </c>
      <c r="AA3299">
        <v>198</v>
      </c>
      <c r="AB3299">
        <v>332</v>
      </c>
      <c r="AC3299">
        <v>536</v>
      </c>
      <c r="AD3299">
        <v>28.54</v>
      </c>
      <c r="AE3299">
        <v>542</v>
      </c>
      <c r="AF3299">
        <v>20</v>
      </c>
      <c r="AG3299">
        <v>181</v>
      </c>
      <c r="AH3299">
        <v>129</v>
      </c>
      <c r="AI3299">
        <v>3.69</v>
      </c>
      <c r="AJ3299">
        <v>33.39</v>
      </c>
      <c r="AK3299">
        <v>23.8</v>
      </c>
      <c r="AL3299">
        <v>-20.149403999999951</v>
      </c>
      <c r="AM3299">
        <v>-44.91080895147438</v>
      </c>
      <c r="AN3299">
        <v>-20.149403999999951</v>
      </c>
      <c r="AO3299">
        <v>-44.91080895147438</v>
      </c>
      <c r="AP3299">
        <v>-20.149349000000001</v>
      </c>
      <c r="AQ3299">
        <v>-44.910784</v>
      </c>
      <c r="AR3299">
        <v>6.6547592699416382</v>
      </c>
      <c r="AS3299" t="s">
        <v>65</v>
      </c>
      <c r="AT3299">
        <v>1</v>
      </c>
      <c r="AU3299" t="s">
        <v>75</v>
      </c>
      <c r="AV3299" t="s">
        <v>76</v>
      </c>
      <c r="AW3299" t="s">
        <v>60</v>
      </c>
      <c r="AX3299" t="s">
        <v>68</v>
      </c>
      <c r="AY3299" t="s">
        <v>69</v>
      </c>
      <c r="AZ3299" t="b">
        <v>1</v>
      </c>
    </row>
    <row r="3300" spans="1:52" x14ac:dyDescent="0.3">
      <c r="A3300" t="s">
        <v>52</v>
      </c>
      <c r="B3300" t="s">
        <v>53</v>
      </c>
      <c r="C3300" t="s">
        <v>54</v>
      </c>
      <c r="D3300" t="s">
        <v>55</v>
      </c>
      <c r="E3300" t="s">
        <v>2200</v>
      </c>
      <c r="F3300" t="s">
        <v>57</v>
      </c>
      <c r="G3300" t="s">
        <v>77</v>
      </c>
      <c r="H3300" t="s">
        <v>78</v>
      </c>
      <c r="I3300" t="s">
        <v>78</v>
      </c>
      <c r="J3300" t="s">
        <v>60</v>
      </c>
      <c r="K3300" t="s">
        <v>72</v>
      </c>
      <c r="L3300" t="s">
        <v>62</v>
      </c>
      <c r="M3300" t="s">
        <v>72</v>
      </c>
      <c r="N3300" t="s">
        <v>79</v>
      </c>
      <c r="O3300" t="s">
        <v>80</v>
      </c>
      <c r="P3300">
        <v>-20.147821</v>
      </c>
      <c r="Q3300">
        <v>-44.908887</v>
      </c>
      <c r="R3300" s="2" t="str">
        <f>HYPERLINK("https://www.google.com/maps?q=-20.1478210,-44.9088870","Abrir no Google Maps")</f>
        <v>Abrir no Google Maps</v>
      </c>
      <c r="S3300">
        <v>4</v>
      </c>
      <c r="T3300">
        <v>232.2893841532152</v>
      </c>
      <c r="U3300">
        <v>4</v>
      </c>
      <c r="V3300">
        <v>0.55625417797176679</v>
      </c>
      <c r="W3300">
        <v>1</v>
      </c>
      <c r="X3300">
        <v>0.55625417797176679</v>
      </c>
      <c r="Y3300">
        <v>747</v>
      </c>
      <c r="Z3300">
        <v>195.3668648953757</v>
      </c>
      <c r="AA3300">
        <v>198</v>
      </c>
      <c r="AB3300">
        <v>332</v>
      </c>
      <c r="AC3300">
        <v>536</v>
      </c>
      <c r="AD3300">
        <v>28.54</v>
      </c>
      <c r="AE3300">
        <v>542</v>
      </c>
      <c r="AF3300">
        <v>20</v>
      </c>
      <c r="AG3300">
        <v>181</v>
      </c>
      <c r="AH3300">
        <v>129</v>
      </c>
      <c r="AI3300">
        <v>3.69</v>
      </c>
      <c r="AJ3300">
        <v>33.39</v>
      </c>
      <c r="AK3300">
        <v>23.8</v>
      </c>
      <c r="AL3300">
        <v>-20.147802849999952</v>
      </c>
      <c r="AM3300">
        <v>-44.908989919229477</v>
      </c>
      <c r="AN3300">
        <v>-20.147802849999952</v>
      </c>
      <c r="AO3300">
        <v>-44.908989919229491</v>
      </c>
      <c r="AP3300">
        <v>-20.147821</v>
      </c>
      <c r="AQ3300">
        <v>-44.908887</v>
      </c>
      <c r="AR3300">
        <v>10.944007761262529</v>
      </c>
      <c r="AS3300" t="s">
        <v>65</v>
      </c>
      <c r="AT3300">
        <v>1</v>
      </c>
      <c r="AU3300" t="s">
        <v>81</v>
      </c>
      <c r="AV3300" t="s">
        <v>82</v>
      </c>
      <c r="AW3300" t="s">
        <v>60</v>
      </c>
      <c r="AX3300" t="s">
        <v>68</v>
      </c>
      <c r="AY3300" t="s">
        <v>69</v>
      </c>
      <c r="AZ3300" t="b">
        <v>1</v>
      </c>
    </row>
    <row r="3301" spans="1:52" x14ac:dyDescent="0.3">
      <c r="A3301" t="s">
        <v>52</v>
      </c>
      <c r="B3301" t="s">
        <v>53</v>
      </c>
      <c r="C3301" t="s">
        <v>54</v>
      </c>
      <c r="D3301" t="s">
        <v>55</v>
      </c>
      <c r="E3301" t="s">
        <v>2200</v>
      </c>
      <c r="F3301" t="s">
        <v>57</v>
      </c>
      <c r="G3301" t="s">
        <v>89</v>
      </c>
      <c r="H3301" t="s">
        <v>90</v>
      </c>
      <c r="I3301" t="s">
        <v>90</v>
      </c>
      <c r="J3301" t="s">
        <v>60</v>
      </c>
      <c r="K3301" t="s">
        <v>72</v>
      </c>
      <c r="L3301" t="s">
        <v>62</v>
      </c>
      <c r="M3301" t="s">
        <v>72</v>
      </c>
      <c r="N3301" t="s">
        <v>91</v>
      </c>
      <c r="O3301" t="s">
        <v>92</v>
      </c>
      <c r="P3301">
        <v>-20.145848999999998</v>
      </c>
      <c r="Q3301">
        <v>-44.908419000000002</v>
      </c>
      <c r="R3301" s="2" t="str">
        <f>HYPERLINK("https://www.google.com/maps?q=-20.1458490,-44.9084190","Abrir no Google Maps")</f>
        <v>Abrir no Google Maps</v>
      </c>
      <c r="S3301">
        <v>4</v>
      </c>
      <c r="T3301">
        <v>0</v>
      </c>
      <c r="U3301">
        <v>4</v>
      </c>
      <c r="V3301">
        <v>0.52430334936915679</v>
      </c>
      <c r="W3301">
        <v>1</v>
      </c>
      <c r="X3301">
        <v>0.52430334936915679</v>
      </c>
      <c r="Y3301">
        <v>747</v>
      </c>
      <c r="Z3301">
        <v>136.08168502765241</v>
      </c>
      <c r="AA3301">
        <v>198</v>
      </c>
      <c r="AB3301">
        <v>332</v>
      </c>
      <c r="AC3301">
        <v>536</v>
      </c>
      <c r="AD3301">
        <v>28.54</v>
      </c>
      <c r="AE3301">
        <v>542</v>
      </c>
      <c r="AF3301">
        <v>20</v>
      </c>
      <c r="AG3301">
        <v>181</v>
      </c>
      <c r="AH3301">
        <v>129</v>
      </c>
      <c r="AI3301">
        <v>3.69</v>
      </c>
      <c r="AJ3301">
        <v>33.39</v>
      </c>
      <c r="AK3301">
        <v>23.8</v>
      </c>
      <c r="AL3301">
        <v>-20.14576979999995</v>
      </c>
      <c r="AM3301">
        <v>-44.908436775053183</v>
      </c>
      <c r="AN3301">
        <v>-20.14576979999995</v>
      </c>
      <c r="AO3301">
        <v>-44.908436775053183</v>
      </c>
      <c r="AP3301">
        <v>-20.145848999999998</v>
      </c>
      <c r="AQ3301">
        <v>-44.908419000000002</v>
      </c>
      <c r="AR3301">
        <v>9.0101247482327356</v>
      </c>
      <c r="AS3301" t="s">
        <v>65</v>
      </c>
      <c r="AT3301">
        <v>1</v>
      </c>
      <c r="AU3301" t="s">
        <v>93</v>
      </c>
      <c r="AV3301" t="s">
        <v>94</v>
      </c>
      <c r="AW3301" t="s">
        <v>60</v>
      </c>
      <c r="AX3301" t="s">
        <v>68</v>
      </c>
      <c r="AY3301" t="s">
        <v>69</v>
      </c>
      <c r="AZ3301" t="b">
        <v>1</v>
      </c>
    </row>
    <row r="3302" spans="1:52" x14ac:dyDescent="0.3">
      <c r="A3302" t="s">
        <v>52</v>
      </c>
      <c r="B3302" t="s">
        <v>53</v>
      </c>
      <c r="C3302" t="s">
        <v>54</v>
      </c>
      <c r="D3302" t="s">
        <v>55</v>
      </c>
      <c r="E3302" t="s">
        <v>2200</v>
      </c>
      <c r="F3302" t="s">
        <v>57</v>
      </c>
      <c r="G3302" t="s">
        <v>95</v>
      </c>
      <c r="H3302" t="s">
        <v>96</v>
      </c>
      <c r="I3302" t="s">
        <v>96</v>
      </c>
      <c r="J3302" t="s">
        <v>60</v>
      </c>
      <c r="K3302" t="s">
        <v>72</v>
      </c>
      <c r="L3302" t="s">
        <v>62</v>
      </c>
      <c r="M3302" t="s">
        <v>72</v>
      </c>
      <c r="N3302" t="s">
        <v>97</v>
      </c>
      <c r="O3302" t="s">
        <v>98</v>
      </c>
      <c r="P3302">
        <v>-20.144062999999999</v>
      </c>
      <c r="Q3302">
        <v>-44.909627999999998</v>
      </c>
      <c r="R3302" s="2" t="str">
        <f>HYPERLINK("https://www.google.com/maps?q=-20.1440630,-44.9096280","Abrir no Google Maps")</f>
        <v>Abrir no Google Maps</v>
      </c>
      <c r="S3302">
        <v>4</v>
      </c>
      <c r="T3302">
        <v>205.27083326529291</v>
      </c>
      <c r="U3302">
        <v>4</v>
      </c>
      <c r="V3302">
        <v>0.5158493202896709</v>
      </c>
      <c r="W3302">
        <v>1</v>
      </c>
      <c r="X3302">
        <v>0.5158493202896709</v>
      </c>
      <c r="Y3302">
        <v>747</v>
      </c>
      <c r="Z3302">
        <v>336.75785483480968</v>
      </c>
      <c r="AA3302">
        <v>198</v>
      </c>
      <c r="AB3302">
        <v>332</v>
      </c>
      <c r="AC3302">
        <v>536</v>
      </c>
      <c r="AD3302">
        <v>28.54</v>
      </c>
      <c r="AE3302">
        <v>542</v>
      </c>
      <c r="AF3302">
        <v>20</v>
      </c>
      <c r="AG3302">
        <v>181</v>
      </c>
      <c r="AH3302">
        <v>129</v>
      </c>
      <c r="AI3302">
        <v>3.69</v>
      </c>
      <c r="AJ3302">
        <v>33.39</v>
      </c>
      <c r="AK3302">
        <v>23.8</v>
      </c>
      <c r="AL3302">
        <v>-20.144164099999951</v>
      </c>
      <c r="AM3302">
        <v>-44.909420167767642</v>
      </c>
      <c r="AN3302">
        <v>-20.144164099999951</v>
      </c>
      <c r="AO3302">
        <v>-44.909420167767642</v>
      </c>
      <c r="AP3302">
        <v>-20.144062999999999</v>
      </c>
      <c r="AQ3302">
        <v>-44.909627999999998</v>
      </c>
      <c r="AR3302">
        <v>24.46321571724976</v>
      </c>
      <c r="AS3302" t="s">
        <v>65</v>
      </c>
      <c r="AT3302">
        <v>1</v>
      </c>
      <c r="AU3302" t="s">
        <v>99</v>
      </c>
      <c r="AV3302" t="s">
        <v>94</v>
      </c>
      <c r="AW3302" t="s">
        <v>60</v>
      </c>
      <c r="AX3302" t="s">
        <v>68</v>
      </c>
      <c r="AY3302" t="s">
        <v>69</v>
      </c>
      <c r="AZ3302" t="b">
        <v>1</v>
      </c>
    </row>
    <row r="3303" spans="1:52" x14ac:dyDescent="0.3">
      <c r="A3303" t="s">
        <v>52</v>
      </c>
      <c r="B3303" t="s">
        <v>53</v>
      </c>
      <c r="C3303" t="s">
        <v>54</v>
      </c>
      <c r="D3303" t="s">
        <v>55</v>
      </c>
      <c r="E3303" t="s">
        <v>2200</v>
      </c>
      <c r="F3303" t="s">
        <v>57</v>
      </c>
      <c r="G3303" t="s">
        <v>100</v>
      </c>
      <c r="H3303" t="s">
        <v>101</v>
      </c>
      <c r="I3303" t="s">
        <v>101</v>
      </c>
      <c r="J3303" t="s">
        <v>60</v>
      </c>
      <c r="K3303" t="s">
        <v>61</v>
      </c>
      <c r="L3303" t="s">
        <v>62</v>
      </c>
      <c r="M3303" t="s">
        <v>61</v>
      </c>
      <c r="N3303" t="s">
        <v>102</v>
      </c>
      <c r="O3303" t="s">
        <v>103</v>
      </c>
      <c r="P3303">
        <v>-20.151098999999999</v>
      </c>
      <c r="Q3303">
        <v>-44.909699000000003</v>
      </c>
      <c r="R3303" s="2" t="str">
        <f>HYPERLINK("https://www.google.com/maps?q=-20.1510990,-44.9096990","Abrir no Google Maps")</f>
        <v>Abrir no Google Maps</v>
      </c>
      <c r="S3303">
        <v>4</v>
      </c>
      <c r="T3303">
        <v>628.5023128813533</v>
      </c>
      <c r="U3303">
        <v>4</v>
      </c>
      <c r="V3303">
        <v>0.60141369047619053</v>
      </c>
      <c r="W3303">
        <v>1</v>
      </c>
      <c r="X3303">
        <v>0.60141369047619053</v>
      </c>
      <c r="Y3303">
        <v>747</v>
      </c>
      <c r="Z3303">
        <v>563.16456625265948</v>
      </c>
      <c r="AA3303">
        <v>198</v>
      </c>
      <c r="AB3303">
        <v>332</v>
      </c>
      <c r="AC3303">
        <v>536</v>
      </c>
      <c r="AD3303">
        <v>28.54</v>
      </c>
      <c r="AE3303">
        <v>542</v>
      </c>
      <c r="AF3303">
        <v>20</v>
      </c>
      <c r="AG3303">
        <v>181</v>
      </c>
      <c r="AH3303">
        <v>129</v>
      </c>
      <c r="AI3303">
        <v>3.69</v>
      </c>
      <c r="AJ3303">
        <v>33.39</v>
      </c>
      <c r="AK3303">
        <v>23.8</v>
      </c>
      <c r="AL3303">
        <v>-20.151307349999971</v>
      </c>
      <c r="AM3303">
        <v>-44.909772836123523</v>
      </c>
      <c r="AN3303">
        <v>-20.151307349999971</v>
      </c>
      <c r="AO3303">
        <v>-44.909772836123523</v>
      </c>
      <c r="AP3303">
        <v>-20.151098999999999</v>
      </c>
      <c r="AQ3303">
        <v>-44.909699000000003</v>
      </c>
      <c r="AR3303">
        <v>24.443417349564811</v>
      </c>
      <c r="AS3303" t="s">
        <v>65</v>
      </c>
      <c r="AT3303">
        <v>1</v>
      </c>
      <c r="AU3303" t="s">
        <v>104</v>
      </c>
      <c r="AV3303" t="s">
        <v>105</v>
      </c>
      <c r="AW3303" t="s">
        <v>60</v>
      </c>
      <c r="AX3303" t="s">
        <v>68</v>
      </c>
      <c r="AY3303" t="s">
        <v>69</v>
      </c>
      <c r="AZ3303" t="b">
        <v>1</v>
      </c>
    </row>
    <row r="3304" spans="1:52" x14ac:dyDescent="0.3">
      <c r="A3304" t="s">
        <v>52</v>
      </c>
      <c r="B3304" t="s">
        <v>53</v>
      </c>
      <c r="C3304" t="s">
        <v>54</v>
      </c>
      <c r="D3304" t="s">
        <v>55</v>
      </c>
      <c r="E3304" t="s">
        <v>2200</v>
      </c>
      <c r="F3304" t="s">
        <v>57</v>
      </c>
      <c r="G3304" t="s">
        <v>100</v>
      </c>
      <c r="H3304" t="s">
        <v>106</v>
      </c>
      <c r="I3304" t="s">
        <v>106</v>
      </c>
      <c r="J3304" t="s">
        <v>60</v>
      </c>
      <c r="K3304" t="s">
        <v>61</v>
      </c>
      <c r="L3304" t="s">
        <v>62</v>
      </c>
      <c r="M3304" t="s">
        <v>61</v>
      </c>
      <c r="N3304" t="s">
        <v>102</v>
      </c>
      <c r="O3304" t="s">
        <v>103</v>
      </c>
      <c r="P3304">
        <v>-20.151107</v>
      </c>
      <c r="Q3304">
        <v>-44.908918</v>
      </c>
      <c r="R3304" s="2" t="str">
        <f>HYPERLINK("https://www.google.com/maps?q=-20.1511070,-44.9089180","Abrir no Google Maps")</f>
        <v>Abrir no Google Maps</v>
      </c>
      <c r="S3304">
        <v>4</v>
      </c>
      <c r="T3304">
        <v>615.86400245321579</v>
      </c>
      <c r="U3304">
        <v>4</v>
      </c>
      <c r="V3304">
        <v>0.5730405079054719</v>
      </c>
      <c r="W3304">
        <v>0.85</v>
      </c>
      <c r="X3304">
        <v>0.4870844317196511</v>
      </c>
      <c r="Y3304">
        <v>747</v>
      </c>
      <c r="Z3304">
        <v>535.34543763764702</v>
      </c>
      <c r="AA3304">
        <v>198</v>
      </c>
      <c r="AB3304">
        <v>332</v>
      </c>
      <c r="AC3304">
        <v>536</v>
      </c>
      <c r="AD3304">
        <v>28.54</v>
      </c>
      <c r="AE3304">
        <v>542</v>
      </c>
      <c r="AF3304">
        <v>20</v>
      </c>
      <c r="AG3304">
        <v>181</v>
      </c>
      <c r="AH3304">
        <v>129</v>
      </c>
      <c r="AI3304">
        <v>3.69</v>
      </c>
      <c r="AJ3304">
        <v>33.39</v>
      </c>
      <c r="AK3304">
        <v>23.8</v>
      </c>
      <c r="AL3304">
        <v>-20.151307349999971</v>
      </c>
      <c r="AM3304">
        <v>-44.909024234051429</v>
      </c>
      <c r="AN3304">
        <v>-20.151307349999971</v>
      </c>
      <c r="AO3304">
        <v>-44.909024234051429</v>
      </c>
      <c r="AP3304">
        <v>-20.151107</v>
      </c>
      <c r="AQ3304">
        <v>-44.908918</v>
      </c>
      <c r="AR3304">
        <v>24.91340747371116</v>
      </c>
      <c r="AS3304" t="s">
        <v>65</v>
      </c>
      <c r="AT3304">
        <v>1</v>
      </c>
      <c r="AU3304" t="s">
        <v>107</v>
      </c>
      <c r="AV3304" t="s">
        <v>105</v>
      </c>
      <c r="AW3304" t="s">
        <v>60</v>
      </c>
      <c r="AX3304" t="s">
        <v>68</v>
      </c>
      <c r="AY3304" t="s">
        <v>69</v>
      </c>
      <c r="AZ3304" t="b">
        <v>1</v>
      </c>
    </row>
    <row r="3305" spans="1:52" x14ac:dyDescent="0.3">
      <c r="A3305" t="s">
        <v>52</v>
      </c>
      <c r="B3305" t="s">
        <v>53</v>
      </c>
      <c r="C3305" t="s">
        <v>54</v>
      </c>
      <c r="D3305" t="s">
        <v>55</v>
      </c>
      <c r="E3305" t="s">
        <v>2200</v>
      </c>
      <c r="F3305" t="s">
        <v>57</v>
      </c>
      <c r="G3305" t="s">
        <v>108</v>
      </c>
      <c r="H3305" t="s">
        <v>109</v>
      </c>
      <c r="I3305" t="s">
        <v>109</v>
      </c>
      <c r="J3305" t="s">
        <v>60</v>
      </c>
      <c r="K3305" t="s">
        <v>110</v>
      </c>
      <c r="L3305" t="s">
        <v>62</v>
      </c>
      <c r="M3305" t="s">
        <v>110</v>
      </c>
      <c r="N3305" t="s">
        <v>111</v>
      </c>
      <c r="O3305" t="s">
        <v>112</v>
      </c>
      <c r="P3305">
        <v>-20.122233999999999</v>
      </c>
      <c r="Q3305">
        <v>-44.909194999999997</v>
      </c>
      <c r="R3305" s="2" t="str">
        <f>HYPERLINK("https://www.google.com/maps?q=-20.1222340,-44.9091950","Abrir no Google Maps")</f>
        <v>Abrir no Google Maps</v>
      </c>
      <c r="S3305">
        <v>4</v>
      </c>
      <c r="T3305">
        <v>1171.396020763932</v>
      </c>
      <c r="U3305">
        <v>4</v>
      </c>
      <c r="V3305">
        <v>0.55575130499627146</v>
      </c>
      <c r="W3305">
        <v>0.85</v>
      </c>
      <c r="X3305">
        <v>0.47238860924683068</v>
      </c>
      <c r="Y3305">
        <v>567</v>
      </c>
      <c r="Z3305">
        <v>1238.711234283244</v>
      </c>
      <c r="AA3305">
        <v>198</v>
      </c>
      <c r="AB3305">
        <v>332</v>
      </c>
      <c r="AC3305">
        <v>536</v>
      </c>
      <c r="AD3305">
        <v>28.54</v>
      </c>
      <c r="AE3305">
        <v>542</v>
      </c>
      <c r="AF3305">
        <v>20</v>
      </c>
      <c r="AG3305">
        <v>181</v>
      </c>
      <c r="AH3305">
        <v>129</v>
      </c>
      <c r="AI3305">
        <v>3.69</v>
      </c>
      <c r="AJ3305">
        <v>33.39</v>
      </c>
      <c r="AK3305">
        <v>23.8</v>
      </c>
      <c r="AL3305">
        <v>-20.121881249999941</v>
      </c>
      <c r="AM3305">
        <v>-44.909273766094323</v>
      </c>
      <c r="AN3305">
        <v>-20.121881249999941</v>
      </c>
      <c r="AO3305">
        <v>-44.909273766094323</v>
      </c>
      <c r="AP3305">
        <v>-20.122233999999999</v>
      </c>
      <c r="AQ3305">
        <v>-44.909194999999997</v>
      </c>
      <c r="AR3305">
        <v>40.12192930593006</v>
      </c>
      <c r="AS3305" t="s">
        <v>65</v>
      </c>
      <c r="AT3305">
        <v>1</v>
      </c>
      <c r="AU3305" t="s">
        <v>113</v>
      </c>
      <c r="AV3305" t="s">
        <v>114</v>
      </c>
      <c r="AW3305" t="s">
        <v>60</v>
      </c>
      <c r="AX3305" t="s">
        <v>68</v>
      </c>
      <c r="AY3305" t="s">
        <v>69</v>
      </c>
      <c r="AZ3305" t="b">
        <v>1</v>
      </c>
    </row>
    <row r="3306" spans="1:52" x14ac:dyDescent="0.3">
      <c r="A3306" t="s">
        <v>52</v>
      </c>
      <c r="B3306" t="s">
        <v>53</v>
      </c>
      <c r="C3306" t="s">
        <v>54</v>
      </c>
      <c r="D3306" t="s">
        <v>55</v>
      </c>
      <c r="E3306" t="s">
        <v>2200</v>
      </c>
      <c r="F3306" t="s">
        <v>57</v>
      </c>
      <c r="G3306" t="s">
        <v>238</v>
      </c>
      <c r="H3306" t="s">
        <v>239</v>
      </c>
      <c r="I3306" t="s">
        <v>239</v>
      </c>
      <c r="J3306" t="s">
        <v>60</v>
      </c>
      <c r="K3306" t="s">
        <v>227</v>
      </c>
      <c r="L3306" t="s">
        <v>62</v>
      </c>
      <c r="M3306" t="s">
        <v>227</v>
      </c>
      <c r="N3306" t="s">
        <v>240</v>
      </c>
      <c r="O3306" t="s">
        <v>202</v>
      </c>
      <c r="P3306">
        <v>-20.155833999999999</v>
      </c>
      <c r="Q3306">
        <v>-44.859437999999997</v>
      </c>
      <c r="R3306" s="2" t="str">
        <f>HYPERLINK("https://www.google.com/maps?q=-20.1558340,-44.8594380","Abrir no Google Maps")</f>
        <v>Abrir no Google Maps</v>
      </c>
      <c r="S3306">
        <v>4</v>
      </c>
      <c r="T3306">
        <v>381.00646482339403</v>
      </c>
      <c r="U3306">
        <v>4</v>
      </c>
      <c r="V3306">
        <v>0.47920077972709552</v>
      </c>
      <c r="W3306">
        <v>1</v>
      </c>
      <c r="X3306">
        <v>0.47920077972709552</v>
      </c>
      <c r="Y3306">
        <v>518</v>
      </c>
      <c r="Z3306">
        <v>484.9275363207239</v>
      </c>
      <c r="AA3306">
        <v>198</v>
      </c>
      <c r="AB3306">
        <v>332</v>
      </c>
      <c r="AC3306">
        <v>536</v>
      </c>
      <c r="AD3306">
        <v>28.54</v>
      </c>
      <c r="AE3306">
        <v>542</v>
      </c>
      <c r="AF3306">
        <v>20</v>
      </c>
      <c r="AG3306">
        <v>181</v>
      </c>
      <c r="AH3306">
        <v>129</v>
      </c>
      <c r="AI3306">
        <v>3.69</v>
      </c>
      <c r="AJ3306">
        <v>33.39</v>
      </c>
      <c r="AK3306">
        <v>23.8</v>
      </c>
      <c r="AL3306">
        <v>-20.155935399999979</v>
      </c>
      <c r="AM3306">
        <v>-44.859367525422847</v>
      </c>
      <c r="AN3306">
        <v>-20.155935399999979</v>
      </c>
      <c r="AO3306">
        <v>-44.859367525422847</v>
      </c>
      <c r="AP3306">
        <v>-20.155833999999999</v>
      </c>
      <c r="AQ3306">
        <v>-44.859437999999997</v>
      </c>
      <c r="AR3306">
        <v>13.477960508152201</v>
      </c>
      <c r="AS3306" t="s">
        <v>65</v>
      </c>
      <c r="AT3306">
        <v>1</v>
      </c>
      <c r="AU3306" t="s">
        <v>241</v>
      </c>
      <c r="AV3306" t="s">
        <v>242</v>
      </c>
      <c r="AW3306" t="s">
        <v>60</v>
      </c>
      <c r="AX3306" t="s">
        <v>68</v>
      </c>
      <c r="AY3306" t="s">
        <v>69</v>
      </c>
      <c r="AZ3306" t="b">
        <v>1</v>
      </c>
    </row>
    <row r="3307" spans="1:52" x14ac:dyDescent="0.3">
      <c r="A3307" t="s">
        <v>52</v>
      </c>
      <c r="B3307" t="s">
        <v>53</v>
      </c>
      <c r="C3307" t="s">
        <v>54</v>
      </c>
      <c r="D3307" t="s">
        <v>55</v>
      </c>
      <c r="E3307" t="s">
        <v>2200</v>
      </c>
      <c r="F3307" t="s">
        <v>57</v>
      </c>
      <c r="G3307" t="s">
        <v>127</v>
      </c>
      <c r="H3307" t="s">
        <v>128</v>
      </c>
      <c r="I3307" t="s">
        <v>128</v>
      </c>
      <c r="J3307" t="s">
        <v>60</v>
      </c>
      <c r="K3307" t="s">
        <v>129</v>
      </c>
      <c r="L3307" t="s">
        <v>62</v>
      </c>
      <c r="M3307" t="s">
        <v>129</v>
      </c>
      <c r="N3307" t="s">
        <v>130</v>
      </c>
      <c r="O3307" t="s">
        <v>131</v>
      </c>
      <c r="P3307">
        <v>-20.130752000000001</v>
      </c>
      <c r="Q3307">
        <v>-44.865676999999998</v>
      </c>
      <c r="R3307" s="2" t="str">
        <f>HYPERLINK("https://www.google.com/maps?q=-20.1307520,-44.8656770","Abrir no Google Maps")</f>
        <v>Abrir no Google Maps</v>
      </c>
      <c r="S3307">
        <v>4</v>
      </c>
      <c r="T3307">
        <v>666.25741128624747</v>
      </c>
      <c r="U3307">
        <v>4</v>
      </c>
      <c r="V3307">
        <v>0.49418672881594061</v>
      </c>
      <c r="W3307">
        <v>1</v>
      </c>
      <c r="X3307">
        <v>0.49418672881594061</v>
      </c>
      <c r="Y3307">
        <v>387</v>
      </c>
      <c r="Z3307">
        <v>838.7193965949632</v>
      </c>
      <c r="AA3307">
        <v>198</v>
      </c>
      <c r="AB3307">
        <v>332</v>
      </c>
      <c r="AC3307">
        <v>536</v>
      </c>
      <c r="AD3307">
        <v>28.54</v>
      </c>
      <c r="AE3307">
        <v>542</v>
      </c>
      <c r="AF3307">
        <v>20</v>
      </c>
      <c r="AG3307">
        <v>181</v>
      </c>
      <c r="AH3307">
        <v>129</v>
      </c>
      <c r="AI3307">
        <v>3.69</v>
      </c>
      <c r="AJ3307">
        <v>33.39</v>
      </c>
      <c r="AK3307">
        <v>23.8</v>
      </c>
      <c r="AL3307">
        <v>-20.130734049999969</v>
      </c>
      <c r="AM3307">
        <v>-44.86564904282416</v>
      </c>
      <c r="AN3307">
        <v>-20.130734049999969</v>
      </c>
      <c r="AO3307">
        <v>-44.86564904282416</v>
      </c>
      <c r="AP3307">
        <v>-20.130752000000001</v>
      </c>
      <c r="AQ3307">
        <v>-44.865676999999998</v>
      </c>
      <c r="AR3307">
        <v>3.539952280780454</v>
      </c>
      <c r="AS3307" t="s">
        <v>65</v>
      </c>
      <c r="AT3307">
        <v>1</v>
      </c>
      <c r="AU3307" t="s">
        <v>132</v>
      </c>
      <c r="AV3307" t="s">
        <v>133</v>
      </c>
      <c r="AW3307" t="s">
        <v>60</v>
      </c>
      <c r="AX3307" t="s">
        <v>68</v>
      </c>
      <c r="AY3307" t="s">
        <v>69</v>
      </c>
      <c r="AZ3307" t="b">
        <v>1</v>
      </c>
    </row>
    <row r="3308" spans="1:52" x14ac:dyDescent="0.3">
      <c r="A3308" t="s">
        <v>52</v>
      </c>
      <c r="B3308" t="s">
        <v>53</v>
      </c>
      <c r="C3308" t="s">
        <v>54</v>
      </c>
      <c r="D3308" t="s">
        <v>55</v>
      </c>
      <c r="E3308" t="s">
        <v>2200</v>
      </c>
      <c r="F3308" t="s">
        <v>57</v>
      </c>
      <c r="G3308" t="s">
        <v>134</v>
      </c>
      <c r="H3308" t="s">
        <v>135</v>
      </c>
      <c r="I3308" t="s">
        <v>135</v>
      </c>
      <c r="J3308" t="s">
        <v>60</v>
      </c>
      <c r="K3308" t="s">
        <v>136</v>
      </c>
      <c r="L3308" t="s">
        <v>62</v>
      </c>
      <c r="M3308" t="s">
        <v>136</v>
      </c>
      <c r="N3308" t="s">
        <v>137</v>
      </c>
      <c r="O3308" t="s">
        <v>138</v>
      </c>
      <c r="P3308">
        <v>-20.165773000000002</v>
      </c>
      <c r="Q3308">
        <v>-44.847566999999998</v>
      </c>
      <c r="R3308" s="2" t="str">
        <f>HYPERLINK("https://www.google.com/maps?q=-20.1657730,-44.8475670","Abrir no Google Maps")</f>
        <v>Abrir no Google Maps</v>
      </c>
      <c r="S3308">
        <v>4</v>
      </c>
      <c r="T3308">
        <v>0</v>
      </c>
      <c r="U3308">
        <v>4</v>
      </c>
      <c r="V3308">
        <v>0.51329077583004024</v>
      </c>
      <c r="W3308">
        <v>1</v>
      </c>
      <c r="X3308">
        <v>0.51329077583004024</v>
      </c>
      <c r="Y3308">
        <v>292</v>
      </c>
      <c r="Z3308">
        <v>98.987346341524855</v>
      </c>
      <c r="AA3308">
        <v>198</v>
      </c>
      <c r="AB3308">
        <v>332</v>
      </c>
      <c r="AC3308">
        <v>536</v>
      </c>
      <c r="AD3308">
        <v>28.54</v>
      </c>
      <c r="AE3308">
        <v>542</v>
      </c>
      <c r="AF3308">
        <v>20</v>
      </c>
      <c r="AG3308">
        <v>181</v>
      </c>
      <c r="AH3308">
        <v>129</v>
      </c>
      <c r="AI3308">
        <v>3.69</v>
      </c>
      <c r="AJ3308">
        <v>33.39</v>
      </c>
      <c r="AK3308">
        <v>23.8</v>
      </c>
      <c r="AL3308">
        <v>-20.16565029999995</v>
      </c>
      <c r="AM3308">
        <v>-44.847556627666897</v>
      </c>
      <c r="AN3308">
        <v>-20.16565029999995</v>
      </c>
      <c r="AO3308">
        <v>-44.847556627666897</v>
      </c>
      <c r="AP3308">
        <v>-20.165773000000002</v>
      </c>
      <c r="AQ3308">
        <v>-44.847566999999998</v>
      </c>
      <c r="AR3308">
        <v>13.701900146251189</v>
      </c>
      <c r="AS3308" t="s">
        <v>65</v>
      </c>
      <c r="AT3308">
        <v>1</v>
      </c>
      <c r="AU3308" t="s">
        <v>139</v>
      </c>
      <c r="AV3308" t="s">
        <v>140</v>
      </c>
      <c r="AW3308" t="s">
        <v>60</v>
      </c>
      <c r="AX3308" t="s">
        <v>68</v>
      </c>
      <c r="AY3308" t="s">
        <v>69</v>
      </c>
      <c r="AZ3308" t="b">
        <v>1</v>
      </c>
    </row>
    <row r="3309" spans="1:52" x14ac:dyDescent="0.3">
      <c r="A3309" t="s">
        <v>52</v>
      </c>
      <c r="B3309" t="s">
        <v>53</v>
      </c>
      <c r="C3309" t="s">
        <v>54</v>
      </c>
      <c r="D3309" t="s">
        <v>55</v>
      </c>
      <c r="E3309" t="s">
        <v>2200</v>
      </c>
      <c r="F3309" t="s">
        <v>57</v>
      </c>
      <c r="G3309" t="s">
        <v>141</v>
      </c>
      <c r="H3309" t="s">
        <v>142</v>
      </c>
      <c r="I3309" t="s">
        <v>142</v>
      </c>
      <c r="J3309" t="s">
        <v>60</v>
      </c>
      <c r="K3309" t="s">
        <v>143</v>
      </c>
      <c r="L3309" t="s">
        <v>62</v>
      </c>
      <c r="M3309" t="s">
        <v>143</v>
      </c>
      <c r="N3309" t="s">
        <v>144</v>
      </c>
      <c r="O3309" t="s">
        <v>145</v>
      </c>
      <c r="P3309">
        <v>-20.163377000000001</v>
      </c>
      <c r="Q3309">
        <v>-44.843598</v>
      </c>
      <c r="R3309" s="2" t="str">
        <f>HYPERLINK("https://www.google.com/maps?q=-20.1633770,-44.8435980","Abrir no Google Maps")</f>
        <v>Abrir no Google Maps</v>
      </c>
      <c r="S3309">
        <v>4</v>
      </c>
      <c r="T3309">
        <v>481.58374128635978</v>
      </c>
      <c r="U3309">
        <v>4</v>
      </c>
      <c r="V3309">
        <v>0.48416935562726121</v>
      </c>
      <c r="W3309">
        <v>1</v>
      </c>
      <c r="X3309">
        <v>0.48416935562726121</v>
      </c>
      <c r="Y3309">
        <v>292</v>
      </c>
      <c r="Z3309">
        <v>575.44522663909652</v>
      </c>
      <c r="AA3309">
        <v>198</v>
      </c>
      <c r="AB3309">
        <v>332</v>
      </c>
      <c r="AC3309">
        <v>536</v>
      </c>
      <c r="AD3309">
        <v>28.54</v>
      </c>
      <c r="AE3309">
        <v>542</v>
      </c>
      <c r="AF3309">
        <v>20</v>
      </c>
      <c r="AG3309">
        <v>181</v>
      </c>
      <c r="AH3309">
        <v>129</v>
      </c>
      <c r="AI3309">
        <v>3.69</v>
      </c>
      <c r="AJ3309">
        <v>33.39</v>
      </c>
      <c r="AK3309">
        <v>23.8</v>
      </c>
      <c r="AL3309">
        <v>-20.16343344999996</v>
      </c>
      <c r="AM3309">
        <v>-44.843590796247732</v>
      </c>
      <c r="AN3309">
        <v>-20.16343344999996</v>
      </c>
      <c r="AO3309">
        <v>-44.843590796247732</v>
      </c>
      <c r="AP3309">
        <v>-20.163377000000001</v>
      </c>
      <c r="AQ3309">
        <v>-44.843598</v>
      </c>
      <c r="AR3309">
        <v>6.3289415646640057</v>
      </c>
      <c r="AS3309" t="s">
        <v>65</v>
      </c>
      <c r="AT3309">
        <v>1</v>
      </c>
      <c r="AU3309" t="s">
        <v>146</v>
      </c>
      <c r="AV3309" t="s">
        <v>147</v>
      </c>
      <c r="AW3309" t="s">
        <v>60</v>
      </c>
      <c r="AX3309" t="s">
        <v>68</v>
      </c>
      <c r="AY3309" t="s">
        <v>69</v>
      </c>
      <c r="AZ3309" t="b">
        <v>1</v>
      </c>
    </row>
    <row r="3310" spans="1:52" x14ac:dyDescent="0.3">
      <c r="A3310" t="s">
        <v>52</v>
      </c>
      <c r="B3310" t="s">
        <v>53</v>
      </c>
      <c r="C3310" t="s">
        <v>54</v>
      </c>
      <c r="D3310" t="s">
        <v>55</v>
      </c>
      <c r="E3310" t="s">
        <v>2200</v>
      </c>
      <c r="F3310" t="s">
        <v>57</v>
      </c>
      <c r="G3310" t="s">
        <v>148</v>
      </c>
      <c r="H3310" t="s">
        <v>149</v>
      </c>
      <c r="I3310" t="s">
        <v>149</v>
      </c>
      <c r="J3310" t="s">
        <v>60</v>
      </c>
      <c r="K3310" t="s">
        <v>150</v>
      </c>
      <c r="L3310" t="s">
        <v>62</v>
      </c>
      <c r="M3310" t="s">
        <v>150</v>
      </c>
      <c r="N3310" t="s">
        <v>151</v>
      </c>
      <c r="O3310" t="s">
        <v>152</v>
      </c>
      <c r="P3310">
        <v>-20.174192999999999</v>
      </c>
      <c r="Q3310">
        <v>-44.850782000000002</v>
      </c>
      <c r="R3310" s="2" t="str">
        <f>HYPERLINK("https://www.google.com/maps?q=-20.1741930,-44.8507820","Abrir no Google Maps")</f>
        <v>Abrir no Google Maps</v>
      </c>
      <c r="S3310">
        <v>4</v>
      </c>
      <c r="T3310">
        <v>994.93657848632188</v>
      </c>
      <c r="U3310">
        <v>4</v>
      </c>
      <c r="V3310">
        <v>0.48308734192685671</v>
      </c>
      <c r="W3310">
        <v>1</v>
      </c>
      <c r="X3310">
        <v>0.48308734192685671</v>
      </c>
      <c r="Y3310">
        <v>292</v>
      </c>
      <c r="Z3310">
        <v>948.95851793804729</v>
      </c>
      <c r="AA3310">
        <v>198</v>
      </c>
      <c r="AB3310">
        <v>332</v>
      </c>
      <c r="AC3310">
        <v>536</v>
      </c>
      <c r="AD3310">
        <v>28.54</v>
      </c>
      <c r="AE3310">
        <v>542</v>
      </c>
      <c r="AF3310">
        <v>20</v>
      </c>
      <c r="AG3310">
        <v>181</v>
      </c>
      <c r="AH3310">
        <v>129</v>
      </c>
      <c r="AI3310">
        <v>3.69</v>
      </c>
      <c r="AJ3310">
        <v>33.39</v>
      </c>
      <c r="AK3310">
        <v>23.8</v>
      </c>
      <c r="AL3310">
        <v>-20.174122099999941</v>
      </c>
      <c r="AM3310">
        <v>-44.850744657037339</v>
      </c>
      <c r="AN3310">
        <v>-20.174122099999941</v>
      </c>
      <c r="AO3310">
        <v>-44.850744657037339</v>
      </c>
      <c r="AP3310">
        <v>-20.174192999999999</v>
      </c>
      <c r="AQ3310">
        <v>-44.850782000000002</v>
      </c>
      <c r="AR3310">
        <v>8.8044534253701947</v>
      </c>
      <c r="AS3310" t="s">
        <v>65</v>
      </c>
      <c r="AT3310">
        <v>1</v>
      </c>
      <c r="AU3310" t="s">
        <v>153</v>
      </c>
      <c r="AV3310" t="s">
        <v>154</v>
      </c>
      <c r="AW3310" t="s">
        <v>60</v>
      </c>
      <c r="AX3310" t="s">
        <v>68</v>
      </c>
      <c r="AY3310" t="s">
        <v>69</v>
      </c>
      <c r="AZ3310" t="b">
        <v>1</v>
      </c>
    </row>
    <row r="3311" spans="1:52" x14ac:dyDescent="0.3">
      <c r="A3311" t="s">
        <v>52</v>
      </c>
      <c r="B3311" t="s">
        <v>53</v>
      </c>
      <c r="C3311" t="s">
        <v>54</v>
      </c>
      <c r="D3311" t="s">
        <v>55</v>
      </c>
      <c r="E3311" t="s">
        <v>2200</v>
      </c>
      <c r="F3311" t="s">
        <v>57</v>
      </c>
      <c r="G3311" t="s">
        <v>300</v>
      </c>
      <c r="H3311" t="s">
        <v>301</v>
      </c>
      <c r="I3311" t="s">
        <v>301</v>
      </c>
      <c r="J3311" t="s">
        <v>60</v>
      </c>
      <c r="K3311" t="s">
        <v>150</v>
      </c>
      <c r="L3311" t="s">
        <v>62</v>
      </c>
      <c r="M3311" t="s">
        <v>150</v>
      </c>
      <c r="N3311" t="s">
        <v>302</v>
      </c>
      <c r="O3311" t="s">
        <v>303</v>
      </c>
      <c r="P3311">
        <v>-20.172993000000002</v>
      </c>
      <c r="Q3311">
        <v>-44.853588999999999</v>
      </c>
      <c r="R3311" s="2" t="str">
        <f>HYPERLINK("https://www.google.com/maps?q=-20.1729930,-44.8535890","Abrir no Google Maps")</f>
        <v>Abrir no Google Maps</v>
      </c>
      <c r="S3311">
        <v>4</v>
      </c>
      <c r="T3311">
        <v>1041.446216907221</v>
      </c>
      <c r="U3311">
        <v>4</v>
      </c>
      <c r="V3311">
        <v>0.4901797073791348</v>
      </c>
      <c r="W3311">
        <v>1</v>
      </c>
      <c r="X3311">
        <v>0.4901797073791348</v>
      </c>
      <c r="Y3311">
        <v>292</v>
      </c>
      <c r="Z3311">
        <v>978.86270909763937</v>
      </c>
      <c r="AA3311">
        <v>198</v>
      </c>
      <c r="AB3311">
        <v>332</v>
      </c>
      <c r="AC3311">
        <v>536</v>
      </c>
      <c r="AD3311">
        <v>28.54</v>
      </c>
      <c r="AE3311">
        <v>542</v>
      </c>
      <c r="AF3311">
        <v>20</v>
      </c>
      <c r="AG3311">
        <v>181</v>
      </c>
      <c r="AH3311">
        <v>129</v>
      </c>
      <c r="AI3311">
        <v>3.69</v>
      </c>
      <c r="AJ3311">
        <v>33.39</v>
      </c>
      <c r="AK3311">
        <v>23.8</v>
      </c>
      <c r="AL3311">
        <v>-20.173142449999968</v>
      </c>
      <c r="AM3311">
        <v>-44.853588035903172</v>
      </c>
      <c r="AN3311">
        <v>-20.173142449999968</v>
      </c>
      <c r="AO3311">
        <v>-44.853588035903172</v>
      </c>
      <c r="AP3311">
        <v>-20.172993000000002</v>
      </c>
      <c r="AQ3311">
        <v>-44.853588999999999</v>
      </c>
      <c r="AR3311">
        <v>16.637078994259841</v>
      </c>
      <c r="AS3311" t="s">
        <v>65</v>
      </c>
      <c r="AT3311">
        <v>1</v>
      </c>
      <c r="AU3311" t="s">
        <v>304</v>
      </c>
      <c r="AV3311" t="s">
        <v>305</v>
      </c>
      <c r="AW3311" t="s">
        <v>60</v>
      </c>
      <c r="AX3311" t="s">
        <v>68</v>
      </c>
      <c r="AY3311" t="s">
        <v>69</v>
      </c>
      <c r="AZ3311" t="b">
        <v>1</v>
      </c>
    </row>
    <row r="3312" spans="1:52" x14ac:dyDescent="0.3">
      <c r="A3312" t="s">
        <v>52</v>
      </c>
      <c r="B3312" t="s">
        <v>53</v>
      </c>
      <c r="C3312" t="s">
        <v>54</v>
      </c>
      <c r="D3312" t="s">
        <v>55</v>
      </c>
      <c r="E3312" t="s">
        <v>2200</v>
      </c>
      <c r="F3312" t="s">
        <v>57</v>
      </c>
      <c r="G3312" t="s">
        <v>260</v>
      </c>
      <c r="H3312" t="s">
        <v>317</v>
      </c>
      <c r="I3312" t="s">
        <v>317</v>
      </c>
      <c r="J3312" t="s">
        <v>60</v>
      </c>
      <c r="K3312" t="s">
        <v>255</v>
      </c>
      <c r="L3312" t="s">
        <v>62</v>
      </c>
      <c r="M3312" t="s">
        <v>255</v>
      </c>
      <c r="N3312" t="s">
        <v>263</v>
      </c>
      <c r="O3312" t="s">
        <v>318</v>
      </c>
      <c r="P3312">
        <v>-20.163532</v>
      </c>
      <c r="Q3312">
        <v>-44.846910999999999</v>
      </c>
      <c r="R3312" s="2" t="str">
        <f>HYPERLINK("https://www.google.com/maps?q=-20.1635320,-44.8469110","Abrir no Google Maps")</f>
        <v>Abrir no Google Maps</v>
      </c>
      <c r="S3312">
        <v>4</v>
      </c>
      <c r="T3312">
        <v>259.92389401636012</v>
      </c>
      <c r="U3312">
        <v>4</v>
      </c>
      <c r="V3312">
        <v>0.48223447344734471</v>
      </c>
      <c r="W3312">
        <v>1</v>
      </c>
      <c r="X3312">
        <v>0.48223447344734471</v>
      </c>
      <c r="Y3312">
        <v>292</v>
      </c>
      <c r="Z3312">
        <v>316.26738966059708</v>
      </c>
      <c r="AA3312">
        <v>198</v>
      </c>
      <c r="AB3312">
        <v>332</v>
      </c>
      <c r="AC3312">
        <v>536</v>
      </c>
      <c r="AD3312">
        <v>28.54</v>
      </c>
      <c r="AE3312">
        <v>542</v>
      </c>
      <c r="AF3312">
        <v>20</v>
      </c>
      <c r="AG3312">
        <v>181</v>
      </c>
      <c r="AH3312">
        <v>129</v>
      </c>
      <c r="AI3312">
        <v>3.69</v>
      </c>
      <c r="AJ3312">
        <v>33.39</v>
      </c>
      <c r="AK3312">
        <v>23.8</v>
      </c>
      <c r="AL3312">
        <v>-20.16343344999996</v>
      </c>
      <c r="AM3312">
        <v>-44.846734659744428</v>
      </c>
      <c r="AN3312">
        <v>-20.16343344999996</v>
      </c>
      <c r="AO3312">
        <v>-44.846734659744428</v>
      </c>
      <c r="AP3312">
        <v>-20.163532</v>
      </c>
      <c r="AQ3312">
        <v>-44.846910999999999</v>
      </c>
      <c r="AR3312">
        <v>21.445575432006599</v>
      </c>
      <c r="AS3312" t="s">
        <v>65</v>
      </c>
      <c r="AT3312">
        <v>1</v>
      </c>
      <c r="AU3312" t="s">
        <v>319</v>
      </c>
      <c r="AV3312" t="s">
        <v>320</v>
      </c>
      <c r="AW3312" t="s">
        <v>60</v>
      </c>
      <c r="AX3312" t="s">
        <v>68</v>
      </c>
      <c r="AY3312" t="s">
        <v>69</v>
      </c>
      <c r="AZ3312" t="b">
        <v>1</v>
      </c>
    </row>
    <row r="3313" spans="1:52" x14ac:dyDescent="0.3">
      <c r="A3313" t="s">
        <v>52</v>
      </c>
      <c r="B3313" t="s">
        <v>53</v>
      </c>
      <c r="C3313" t="s">
        <v>54</v>
      </c>
      <c r="D3313" t="s">
        <v>55</v>
      </c>
      <c r="E3313" t="s">
        <v>2200</v>
      </c>
      <c r="F3313" t="s">
        <v>57</v>
      </c>
      <c r="G3313" t="s">
        <v>162</v>
      </c>
      <c r="H3313" t="s">
        <v>163</v>
      </c>
      <c r="I3313" t="s">
        <v>163</v>
      </c>
      <c r="J3313" t="s">
        <v>60</v>
      </c>
      <c r="K3313" t="s">
        <v>164</v>
      </c>
      <c r="L3313" t="s">
        <v>62</v>
      </c>
      <c r="M3313" t="s">
        <v>164</v>
      </c>
      <c r="N3313" t="s">
        <v>165</v>
      </c>
      <c r="O3313" t="s">
        <v>166</v>
      </c>
      <c r="P3313">
        <v>-20.175967</v>
      </c>
      <c r="Q3313">
        <v>-44.876730000000002</v>
      </c>
      <c r="R3313" s="2" t="str">
        <f>HYPERLINK("https://www.google.com/maps?q=-20.1759670,-44.8767300","Abrir no Google Maps")</f>
        <v>Abrir no Google Maps</v>
      </c>
      <c r="S3313">
        <v>4</v>
      </c>
      <c r="T3313">
        <v>692.5753730151132</v>
      </c>
      <c r="U3313">
        <v>4</v>
      </c>
      <c r="V3313">
        <v>0.48070524124052322</v>
      </c>
      <c r="W3313">
        <v>1</v>
      </c>
      <c r="X3313">
        <v>0.48070524124052322</v>
      </c>
      <c r="Y3313">
        <v>232</v>
      </c>
      <c r="Z3313">
        <v>686.15054949166824</v>
      </c>
      <c r="AA3313">
        <v>198</v>
      </c>
      <c r="AB3313">
        <v>332</v>
      </c>
      <c r="AC3313">
        <v>536</v>
      </c>
      <c r="AD3313">
        <v>28.54</v>
      </c>
      <c r="AE3313">
        <v>542</v>
      </c>
      <c r="AF3313">
        <v>20</v>
      </c>
      <c r="AG3313">
        <v>181</v>
      </c>
      <c r="AH3313">
        <v>129</v>
      </c>
      <c r="AI3313">
        <v>3.69</v>
      </c>
      <c r="AJ3313">
        <v>33.39</v>
      </c>
      <c r="AK3313">
        <v>23.8</v>
      </c>
      <c r="AL3313">
        <v>-20.17598664999997</v>
      </c>
      <c r="AM3313">
        <v>-44.876806510253203</v>
      </c>
      <c r="AN3313">
        <v>-20.17598664999997</v>
      </c>
      <c r="AO3313">
        <v>-44.876806510253203</v>
      </c>
      <c r="AP3313">
        <v>-20.175967</v>
      </c>
      <c r="AQ3313">
        <v>-44.876730000000002</v>
      </c>
      <c r="AR3313">
        <v>8.2883514287440097</v>
      </c>
      <c r="AS3313" t="s">
        <v>65</v>
      </c>
      <c r="AT3313">
        <v>1</v>
      </c>
      <c r="AU3313" t="s">
        <v>167</v>
      </c>
      <c r="AV3313" t="s">
        <v>168</v>
      </c>
      <c r="AW3313" t="s">
        <v>60</v>
      </c>
      <c r="AX3313" t="s">
        <v>68</v>
      </c>
      <c r="AY3313" t="s">
        <v>69</v>
      </c>
      <c r="AZ3313" t="b">
        <v>1</v>
      </c>
    </row>
    <row r="3314" spans="1:52" x14ac:dyDescent="0.3">
      <c r="A3314" t="s">
        <v>52</v>
      </c>
      <c r="B3314" t="s">
        <v>53</v>
      </c>
      <c r="C3314" t="s">
        <v>54</v>
      </c>
      <c r="D3314" t="s">
        <v>55</v>
      </c>
      <c r="E3314" t="s">
        <v>2200</v>
      </c>
      <c r="F3314" t="s">
        <v>57</v>
      </c>
      <c r="G3314" t="s">
        <v>353</v>
      </c>
      <c r="H3314" t="s">
        <v>354</v>
      </c>
      <c r="I3314" t="s">
        <v>354</v>
      </c>
      <c r="J3314" t="s">
        <v>60</v>
      </c>
      <c r="K3314" t="s">
        <v>355</v>
      </c>
      <c r="L3314" t="s">
        <v>62</v>
      </c>
      <c r="M3314" t="s">
        <v>355</v>
      </c>
      <c r="N3314" t="s">
        <v>356</v>
      </c>
      <c r="O3314" t="s">
        <v>357</v>
      </c>
      <c r="P3314">
        <v>-20.147373999999999</v>
      </c>
      <c r="Q3314">
        <v>-44.875141999999997</v>
      </c>
      <c r="R3314" s="2" t="str">
        <f>HYPERLINK("https://www.google.com/maps?q=-20.1473740,-44.8751420","Abrir no Google Maps")</f>
        <v>Abrir no Google Maps</v>
      </c>
      <c r="S3314">
        <v>4</v>
      </c>
      <c r="T3314">
        <v>394.29708169591709</v>
      </c>
      <c r="U3314">
        <v>4</v>
      </c>
      <c r="V3314">
        <v>0.4813347358578775</v>
      </c>
      <c r="W3314">
        <v>1</v>
      </c>
      <c r="X3314">
        <v>0.4813347358578775</v>
      </c>
      <c r="Y3314">
        <v>209</v>
      </c>
      <c r="Z3314">
        <v>326.95034461828868</v>
      </c>
      <c r="AA3314">
        <v>198</v>
      </c>
      <c r="AB3314">
        <v>332</v>
      </c>
      <c r="AC3314">
        <v>536</v>
      </c>
      <c r="AD3314">
        <v>28.54</v>
      </c>
      <c r="AE3314">
        <v>542</v>
      </c>
      <c r="AF3314">
        <v>20</v>
      </c>
      <c r="AG3314">
        <v>181</v>
      </c>
      <c r="AH3314">
        <v>129</v>
      </c>
      <c r="AI3314">
        <v>3.69</v>
      </c>
      <c r="AJ3314">
        <v>33.39</v>
      </c>
      <c r="AK3314">
        <v>23.8</v>
      </c>
      <c r="AL3314">
        <v>-20.147207999999949</v>
      </c>
      <c r="AM3314">
        <v>-44.875152120336942</v>
      </c>
      <c r="AN3314">
        <v>-20.147207999999949</v>
      </c>
      <c r="AO3314">
        <v>-44.875152120336942</v>
      </c>
      <c r="AP3314">
        <v>-20.147373999999999</v>
      </c>
      <c r="AQ3314">
        <v>-44.875141999999997</v>
      </c>
      <c r="AR3314">
        <v>18.509363081081169</v>
      </c>
      <c r="AS3314" t="s">
        <v>65</v>
      </c>
      <c r="AT3314">
        <v>1</v>
      </c>
      <c r="AU3314" t="s">
        <v>358</v>
      </c>
      <c r="AV3314" t="s">
        <v>359</v>
      </c>
      <c r="AW3314" t="s">
        <v>60</v>
      </c>
      <c r="AX3314" t="s">
        <v>68</v>
      </c>
      <c r="AY3314" t="s">
        <v>69</v>
      </c>
      <c r="AZ3314" t="b">
        <v>1</v>
      </c>
    </row>
    <row r="3315" spans="1:52" x14ac:dyDescent="0.3">
      <c r="A3315" t="s">
        <v>52</v>
      </c>
      <c r="B3315" t="s">
        <v>53</v>
      </c>
      <c r="C3315" t="s">
        <v>54</v>
      </c>
      <c r="D3315" t="s">
        <v>55</v>
      </c>
      <c r="E3315" t="s">
        <v>2200</v>
      </c>
      <c r="F3315" t="s">
        <v>57</v>
      </c>
      <c r="G3315" t="s">
        <v>169</v>
      </c>
      <c r="H3315" t="s">
        <v>170</v>
      </c>
      <c r="I3315" t="s">
        <v>170</v>
      </c>
      <c r="J3315" t="s">
        <v>60</v>
      </c>
      <c r="K3315" t="s">
        <v>171</v>
      </c>
      <c r="L3315" t="s">
        <v>62</v>
      </c>
      <c r="M3315" t="s">
        <v>171</v>
      </c>
      <c r="N3315" t="s">
        <v>172</v>
      </c>
      <c r="O3315" t="s">
        <v>173</v>
      </c>
      <c r="P3315">
        <v>-20.15334</v>
      </c>
      <c r="Q3315">
        <v>-44.891691000000002</v>
      </c>
      <c r="R3315" s="2" t="str">
        <f>HYPERLINK("https://www.google.com/maps?q=-20.1533400,-44.8916910","Abrir no Google Maps")</f>
        <v>Abrir no Google Maps</v>
      </c>
      <c r="S3315">
        <v>4</v>
      </c>
      <c r="T3315">
        <v>263.82013116084107</v>
      </c>
      <c r="U3315">
        <v>4</v>
      </c>
      <c r="V3315">
        <v>0.47304754865730481</v>
      </c>
      <c r="W3315">
        <v>1</v>
      </c>
      <c r="X3315">
        <v>0.47304754865730481</v>
      </c>
      <c r="Y3315">
        <v>129</v>
      </c>
      <c r="Z3315">
        <v>72.771047355993247</v>
      </c>
      <c r="AA3315">
        <v>198</v>
      </c>
      <c r="AB3315">
        <v>332</v>
      </c>
      <c r="AC3315">
        <v>536</v>
      </c>
      <c r="AD3315">
        <v>28.54</v>
      </c>
      <c r="AE3315">
        <v>542</v>
      </c>
      <c r="AF3315">
        <v>20</v>
      </c>
      <c r="AG3315">
        <v>181</v>
      </c>
      <c r="AH3315">
        <v>129</v>
      </c>
      <c r="AI3315">
        <v>3.69</v>
      </c>
      <c r="AJ3315">
        <v>33.39</v>
      </c>
      <c r="AK3315">
        <v>23.8</v>
      </c>
      <c r="AL3315">
        <v>-20.153531799999971</v>
      </c>
      <c r="AM3315">
        <v>-44.89196779651779</v>
      </c>
      <c r="AN3315">
        <v>-20.153531799999971</v>
      </c>
      <c r="AO3315">
        <v>-44.89196779651779</v>
      </c>
      <c r="AP3315">
        <v>-20.15334</v>
      </c>
      <c r="AQ3315">
        <v>-44.891691000000002</v>
      </c>
      <c r="AR3315">
        <v>35.952871813310509</v>
      </c>
      <c r="AS3315" t="s">
        <v>65</v>
      </c>
      <c r="AT3315">
        <v>1</v>
      </c>
      <c r="AU3315" t="s">
        <v>174</v>
      </c>
      <c r="AV3315" t="s">
        <v>175</v>
      </c>
      <c r="AW3315" t="s">
        <v>60</v>
      </c>
      <c r="AX3315" t="s">
        <v>68</v>
      </c>
      <c r="AY3315" t="s">
        <v>69</v>
      </c>
      <c r="AZ3315" t="b">
        <v>1</v>
      </c>
    </row>
    <row r="3316" spans="1:52" x14ac:dyDescent="0.3">
      <c r="A3316" t="s">
        <v>52</v>
      </c>
      <c r="B3316" t="s">
        <v>53</v>
      </c>
      <c r="C3316" t="s">
        <v>54</v>
      </c>
      <c r="D3316" t="s">
        <v>55</v>
      </c>
      <c r="E3316" t="s">
        <v>2200</v>
      </c>
      <c r="F3316" t="s">
        <v>57</v>
      </c>
      <c r="G3316" t="s">
        <v>176</v>
      </c>
      <c r="H3316" t="s">
        <v>177</v>
      </c>
      <c r="I3316" t="s">
        <v>177</v>
      </c>
      <c r="J3316" t="s">
        <v>60</v>
      </c>
      <c r="K3316" t="s">
        <v>178</v>
      </c>
      <c r="L3316" t="s">
        <v>62</v>
      </c>
      <c r="M3316" t="s">
        <v>178</v>
      </c>
      <c r="N3316" t="s">
        <v>179</v>
      </c>
      <c r="O3316" t="s">
        <v>180</v>
      </c>
      <c r="P3316">
        <v>-20.129152999999999</v>
      </c>
      <c r="Q3316">
        <v>-44.859299</v>
      </c>
      <c r="R3316" s="2" t="str">
        <f>HYPERLINK("https://www.google.com/maps?q=-20.1291530,-44.8592990","Abrir no Google Maps")</f>
        <v>Abrir no Google Maps</v>
      </c>
      <c r="S3316">
        <v>4</v>
      </c>
      <c r="T3316">
        <v>0</v>
      </c>
      <c r="U3316">
        <v>4</v>
      </c>
      <c r="V3316">
        <v>0.47893313049048308</v>
      </c>
      <c r="W3316">
        <v>1</v>
      </c>
      <c r="X3316">
        <v>0.47893313049048308</v>
      </c>
      <c r="Y3316">
        <v>95</v>
      </c>
      <c r="Z3316">
        <v>323.58963420291411</v>
      </c>
      <c r="AA3316">
        <v>198</v>
      </c>
      <c r="AB3316">
        <v>332</v>
      </c>
      <c r="AC3316">
        <v>536</v>
      </c>
      <c r="AD3316">
        <v>28.54</v>
      </c>
      <c r="AE3316">
        <v>542</v>
      </c>
      <c r="AF3316">
        <v>20</v>
      </c>
      <c r="AG3316">
        <v>181</v>
      </c>
      <c r="AH3316">
        <v>129</v>
      </c>
      <c r="AI3316">
        <v>3.69</v>
      </c>
      <c r="AJ3316">
        <v>33.39</v>
      </c>
      <c r="AK3316">
        <v>23.8</v>
      </c>
      <c r="AL3316">
        <v>-20.129260799999969</v>
      </c>
      <c r="AM3316">
        <v>-44.859468344955843</v>
      </c>
      <c r="AN3316">
        <v>-20.129260799999969</v>
      </c>
      <c r="AO3316">
        <v>-44.859468344955843</v>
      </c>
      <c r="AP3316">
        <v>-20.129152999999999</v>
      </c>
      <c r="AQ3316">
        <v>-44.859299</v>
      </c>
      <c r="AR3316">
        <v>21.38451122307773</v>
      </c>
      <c r="AS3316" t="s">
        <v>65</v>
      </c>
      <c r="AT3316">
        <v>1</v>
      </c>
      <c r="AU3316" t="s">
        <v>181</v>
      </c>
      <c r="AV3316" t="s">
        <v>182</v>
      </c>
      <c r="AW3316" t="s">
        <v>60</v>
      </c>
      <c r="AX3316" t="s">
        <v>68</v>
      </c>
      <c r="AY3316" t="s">
        <v>69</v>
      </c>
      <c r="AZ3316" t="b">
        <v>1</v>
      </c>
    </row>
    <row r="3317" spans="1:52" x14ac:dyDescent="0.3">
      <c r="A3317" t="s">
        <v>52</v>
      </c>
      <c r="B3317" t="s">
        <v>53</v>
      </c>
      <c r="C3317" t="s">
        <v>54</v>
      </c>
      <c r="D3317" t="s">
        <v>55</v>
      </c>
      <c r="E3317" t="s">
        <v>2200</v>
      </c>
      <c r="F3317" t="s">
        <v>57</v>
      </c>
      <c r="G3317" t="s">
        <v>183</v>
      </c>
      <c r="H3317" t="s">
        <v>184</v>
      </c>
      <c r="I3317" t="s">
        <v>184</v>
      </c>
      <c r="J3317" t="s">
        <v>60</v>
      </c>
      <c r="K3317" t="s">
        <v>185</v>
      </c>
      <c r="L3317" t="s">
        <v>62</v>
      </c>
      <c r="M3317" t="s">
        <v>185</v>
      </c>
      <c r="N3317" t="s">
        <v>186</v>
      </c>
      <c r="O3317" t="s">
        <v>187</v>
      </c>
      <c r="P3317">
        <v>-20.134855000000002</v>
      </c>
      <c r="Q3317">
        <v>-44.860174000000001</v>
      </c>
      <c r="R3317" s="2" t="str">
        <f>HYPERLINK("https://www.google.com/maps?q=-20.1348550,-44.8601740","Abrir no Google Maps")</f>
        <v>Abrir no Google Maps</v>
      </c>
      <c r="S3317">
        <v>4</v>
      </c>
      <c r="T3317">
        <v>625.96998974571841</v>
      </c>
      <c r="U3317">
        <v>4</v>
      </c>
      <c r="V3317">
        <v>0.48356070534033518</v>
      </c>
      <c r="W3317">
        <v>1</v>
      </c>
      <c r="X3317">
        <v>0.48356070534033518</v>
      </c>
      <c r="Y3317">
        <v>95</v>
      </c>
      <c r="Z3317">
        <v>257.67818504656498</v>
      </c>
      <c r="AA3317">
        <v>198</v>
      </c>
      <c r="AB3317">
        <v>332</v>
      </c>
      <c r="AC3317">
        <v>536</v>
      </c>
      <c r="AD3317">
        <v>28.54</v>
      </c>
      <c r="AE3317">
        <v>542</v>
      </c>
      <c r="AF3317">
        <v>20</v>
      </c>
      <c r="AG3317">
        <v>181</v>
      </c>
      <c r="AH3317">
        <v>129</v>
      </c>
      <c r="AI3317">
        <v>3.69</v>
      </c>
      <c r="AJ3317">
        <v>33.39</v>
      </c>
      <c r="AK3317">
        <v>23.8</v>
      </c>
      <c r="AL3317">
        <v>-20.134903999999981</v>
      </c>
      <c r="AM3317">
        <v>-44.859880285335962</v>
      </c>
      <c r="AN3317">
        <v>-20.134903999999981</v>
      </c>
      <c r="AO3317">
        <v>-44.859880285335962</v>
      </c>
      <c r="AP3317">
        <v>-20.134855000000002</v>
      </c>
      <c r="AQ3317">
        <v>-44.860174000000001</v>
      </c>
      <c r="AR3317">
        <v>31.178921696823132</v>
      </c>
      <c r="AS3317" t="s">
        <v>65</v>
      </c>
      <c r="AT3317">
        <v>1</v>
      </c>
      <c r="AU3317" t="s">
        <v>188</v>
      </c>
      <c r="AV3317" t="s">
        <v>189</v>
      </c>
      <c r="AW3317" t="s">
        <v>60</v>
      </c>
      <c r="AX3317" t="s">
        <v>68</v>
      </c>
      <c r="AY3317" t="s">
        <v>69</v>
      </c>
      <c r="AZ3317" t="b">
        <v>1</v>
      </c>
    </row>
    <row r="3318" spans="1:52" x14ac:dyDescent="0.3">
      <c r="A3318" t="s">
        <v>52</v>
      </c>
      <c r="B3318" t="s">
        <v>53</v>
      </c>
      <c r="C3318" t="s">
        <v>54</v>
      </c>
      <c r="D3318" t="s">
        <v>55</v>
      </c>
      <c r="E3318" t="s">
        <v>2200</v>
      </c>
      <c r="F3318" t="s">
        <v>190</v>
      </c>
      <c r="G3318" t="s">
        <v>191</v>
      </c>
      <c r="H3318" t="s">
        <v>192</v>
      </c>
      <c r="I3318" t="s">
        <v>192</v>
      </c>
      <c r="J3318" t="s">
        <v>60</v>
      </c>
      <c r="K3318" t="s">
        <v>193</v>
      </c>
      <c r="L3318" t="s">
        <v>62</v>
      </c>
      <c r="M3318" t="s">
        <v>193</v>
      </c>
      <c r="N3318" t="s">
        <v>194</v>
      </c>
      <c r="O3318" t="s">
        <v>195</v>
      </c>
      <c r="P3318">
        <v>-20.143266000000001</v>
      </c>
      <c r="Q3318">
        <v>-44.912075000000002</v>
      </c>
      <c r="R3318" s="2" t="str">
        <f>HYPERLINK("https://www.google.com/maps?q=-20.1432660,-44.9120750","Abrir no Google Maps")</f>
        <v>Abrir no Google Maps</v>
      </c>
      <c r="S3318">
        <v>4</v>
      </c>
      <c r="T3318">
        <v>467.04339396175408</v>
      </c>
      <c r="U3318">
        <v>3</v>
      </c>
      <c r="V3318">
        <v>0.45941764366711513</v>
      </c>
      <c r="W3318">
        <v>1</v>
      </c>
      <c r="X3318">
        <v>0.45941764366711513</v>
      </c>
      <c r="Y3318">
        <v>747</v>
      </c>
      <c r="Z3318">
        <v>585.1742452866996</v>
      </c>
      <c r="AA3318">
        <v>198</v>
      </c>
      <c r="AB3318">
        <v>332</v>
      </c>
      <c r="AC3318">
        <v>536</v>
      </c>
      <c r="AD3318">
        <v>28.54</v>
      </c>
      <c r="AE3318">
        <v>542</v>
      </c>
      <c r="AF3318">
        <v>20</v>
      </c>
      <c r="AG3318">
        <v>181</v>
      </c>
      <c r="AH3318">
        <v>129</v>
      </c>
      <c r="AI3318">
        <v>3.69</v>
      </c>
      <c r="AJ3318">
        <v>33.39</v>
      </c>
      <c r="AK3318">
        <v>23.8</v>
      </c>
      <c r="AL3318">
        <v>-20.143307949999951</v>
      </c>
      <c r="AM3318">
        <v>-44.912066629431067</v>
      </c>
      <c r="AN3318">
        <v>-20.143307949999951</v>
      </c>
      <c r="AO3318">
        <v>-44.912066629431067</v>
      </c>
      <c r="AP3318">
        <v>-20.143266000000001</v>
      </c>
      <c r="AQ3318">
        <v>-44.912075000000002</v>
      </c>
      <c r="AR3318">
        <v>4.751108024498329</v>
      </c>
      <c r="AS3318" t="s">
        <v>65</v>
      </c>
      <c r="AT3318">
        <v>1</v>
      </c>
      <c r="AU3318" t="s">
        <v>196</v>
      </c>
      <c r="AV3318" t="s">
        <v>197</v>
      </c>
      <c r="AW3318" t="s">
        <v>60</v>
      </c>
      <c r="AX3318" t="s">
        <v>68</v>
      </c>
      <c r="AY3318" t="s">
        <v>69</v>
      </c>
      <c r="AZ3318" t="b">
        <v>1</v>
      </c>
    </row>
    <row r="3319" spans="1:52" x14ac:dyDescent="0.3">
      <c r="A3319" t="s">
        <v>52</v>
      </c>
      <c r="B3319" t="s">
        <v>53</v>
      </c>
      <c r="C3319" t="s">
        <v>54</v>
      </c>
      <c r="D3319" t="s">
        <v>55</v>
      </c>
      <c r="E3319" t="s">
        <v>2200</v>
      </c>
      <c r="F3319" t="s">
        <v>190</v>
      </c>
      <c r="G3319" t="s">
        <v>83</v>
      </c>
      <c r="H3319" t="s">
        <v>84</v>
      </c>
      <c r="I3319" t="s">
        <v>84</v>
      </c>
      <c r="J3319" t="s">
        <v>60</v>
      </c>
      <c r="K3319" t="s">
        <v>61</v>
      </c>
      <c r="L3319" t="s">
        <v>62</v>
      </c>
      <c r="M3319" t="s">
        <v>61</v>
      </c>
      <c r="N3319" t="s">
        <v>85</v>
      </c>
      <c r="O3319" t="s">
        <v>86</v>
      </c>
      <c r="P3319">
        <v>-20.149799000000002</v>
      </c>
      <c r="Q3319">
        <v>-44.906517000000001</v>
      </c>
      <c r="R3319" s="2" t="str">
        <f>HYPERLINK("https://www.google.com/maps?q=-20.1497990,-44.9065170","Abrir no Google Maps")</f>
        <v>Abrir no Google Maps</v>
      </c>
      <c r="S3319">
        <v>4</v>
      </c>
      <c r="T3319">
        <v>487.90051105537998</v>
      </c>
      <c r="U3319">
        <v>3</v>
      </c>
      <c r="V3319">
        <v>0.46650810225470862</v>
      </c>
      <c r="W3319">
        <v>1</v>
      </c>
      <c r="X3319">
        <v>0.46650810225470862</v>
      </c>
      <c r="Y3319">
        <v>747</v>
      </c>
      <c r="Z3319">
        <v>365.93785960107078</v>
      </c>
      <c r="AA3319">
        <v>198</v>
      </c>
      <c r="AB3319">
        <v>332</v>
      </c>
      <c r="AC3319">
        <v>536</v>
      </c>
      <c r="AD3319">
        <v>28.54</v>
      </c>
      <c r="AE3319">
        <v>542</v>
      </c>
      <c r="AF3319">
        <v>20</v>
      </c>
      <c r="AG3319">
        <v>181</v>
      </c>
      <c r="AH3319">
        <v>129</v>
      </c>
      <c r="AI3319">
        <v>3.69</v>
      </c>
      <c r="AJ3319">
        <v>33.39</v>
      </c>
      <c r="AK3319">
        <v>23.8</v>
      </c>
      <c r="AL3319">
        <v>-20.149879599999959</v>
      </c>
      <c r="AM3319">
        <v>-44.906746466068469</v>
      </c>
      <c r="AN3319">
        <v>-20.149879599999959</v>
      </c>
      <c r="AO3319">
        <v>-44.906746466068469</v>
      </c>
      <c r="AP3319">
        <v>-20.149799000000002</v>
      </c>
      <c r="AQ3319">
        <v>-44.906517000000001</v>
      </c>
      <c r="AR3319">
        <v>25.604276856970429</v>
      </c>
      <c r="AS3319" t="s">
        <v>65</v>
      </c>
      <c r="AT3319">
        <v>1</v>
      </c>
      <c r="AU3319" t="s">
        <v>87</v>
      </c>
      <c r="AV3319" t="s">
        <v>88</v>
      </c>
      <c r="AW3319" t="s">
        <v>60</v>
      </c>
      <c r="AX3319" t="s">
        <v>68</v>
      </c>
      <c r="AY3319" t="s">
        <v>69</v>
      </c>
      <c r="AZ3319" t="b">
        <v>1</v>
      </c>
    </row>
    <row r="3320" spans="1:52" x14ac:dyDescent="0.3">
      <c r="A3320" t="s">
        <v>52</v>
      </c>
      <c r="B3320" t="s">
        <v>53</v>
      </c>
      <c r="C3320" t="s">
        <v>54</v>
      </c>
      <c r="D3320" t="s">
        <v>55</v>
      </c>
      <c r="E3320" t="s">
        <v>2200</v>
      </c>
      <c r="F3320" t="s">
        <v>190</v>
      </c>
      <c r="G3320" t="s">
        <v>115</v>
      </c>
      <c r="H3320" t="s">
        <v>116</v>
      </c>
      <c r="I3320" t="s">
        <v>116</v>
      </c>
      <c r="J3320" t="s">
        <v>60</v>
      </c>
      <c r="K3320" t="s">
        <v>117</v>
      </c>
      <c r="L3320" t="s">
        <v>62</v>
      </c>
      <c r="M3320" t="s">
        <v>117</v>
      </c>
      <c r="N3320" t="s">
        <v>118</v>
      </c>
      <c r="O3320" t="s">
        <v>119</v>
      </c>
      <c r="P3320">
        <v>-20.116992</v>
      </c>
      <c r="Q3320">
        <v>-44.899355</v>
      </c>
      <c r="R3320" s="2" t="str">
        <f>HYPERLINK("https://www.google.com/maps?q=-20.1169920,-44.8993550","Abrir no Google Maps")</f>
        <v>Abrir no Google Maps</v>
      </c>
      <c r="S3320">
        <v>4</v>
      </c>
      <c r="T3320">
        <v>0</v>
      </c>
      <c r="U3320">
        <v>3</v>
      </c>
      <c r="V3320">
        <v>0.46122737061193358</v>
      </c>
      <c r="W3320">
        <v>1</v>
      </c>
      <c r="X3320">
        <v>0.46122737061193358</v>
      </c>
      <c r="Y3320">
        <v>567</v>
      </c>
      <c r="Z3320">
        <v>54.913678078353321</v>
      </c>
      <c r="AA3320">
        <v>198</v>
      </c>
      <c r="AB3320">
        <v>332</v>
      </c>
      <c r="AC3320">
        <v>536</v>
      </c>
      <c r="AD3320">
        <v>28.54</v>
      </c>
      <c r="AE3320">
        <v>542</v>
      </c>
      <c r="AF3320">
        <v>20</v>
      </c>
      <c r="AG3320">
        <v>181</v>
      </c>
      <c r="AH3320">
        <v>129</v>
      </c>
      <c r="AI3320">
        <v>3.69</v>
      </c>
      <c r="AJ3320">
        <v>33.39</v>
      </c>
      <c r="AK3320">
        <v>23.8</v>
      </c>
      <c r="AL3320">
        <v>-20.117107749999949</v>
      </c>
      <c r="AM3320">
        <v>-44.899271226243108</v>
      </c>
      <c r="AN3320">
        <v>-20.117107749999949</v>
      </c>
      <c r="AO3320">
        <v>-44.899271226243108</v>
      </c>
      <c r="AP3320">
        <v>-20.116992</v>
      </c>
      <c r="AQ3320">
        <v>-44.899355</v>
      </c>
      <c r="AR3320">
        <v>15.579196044083419</v>
      </c>
      <c r="AS3320" t="s">
        <v>65</v>
      </c>
      <c r="AT3320">
        <v>1</v>
      </c>
      <c r="AU3320" t="s">
        <v>120</v>
      </c>
      <c r="AV3320" t="s">
        <v>121</v>
      </c>
      <c r="AW3320" t="s">
        <v>60</v>
      </c>
      <c r="AX3320" t="s">
        <v>68</v>
      </c>
      <c r="AY3320" t="s">
        <v>69</v>
      </c>
      <c r="AZ3320" t="b">
        <v>1</v>
      </c>
    </row>
    <row r="3321" spans="1:52" x14ac:dyDescent="0.3">
      <c r="A3321" t="s">
        <v>52</v>
      </c>
      <c r="B3321" t="s">
        <v>53</v>
      </c>
      <c r="C3321" t="s">
        <v>54</v>
      </c>
      <c r="D3321" t="s">
        <v>55</v>
      </c>
      <c r="E3321" t="s">
        <v>2200</v>
      </c>
      <c r="F3321" t="s">
        <v>190</v>
      </c>
      <c r="G3321" t="s">
        <v>122</v>
      </c>
      <c r="H3321" t="s">
        <v>123</v>
      </c>
      <c r="I3321" t="s">
        <v>123</v>
      </c>
      <c r="J3321" t="s">
        <v>60</v>
      </c>
      <c r="K3321" t="s">
        <v>117</v>
      </c>
      <c r="L3321" t="s">
        <v>62</v>
      </c>
      <c r="M3321" t="s">
        <v>117</v>
      </c>
      <c r="N3321" t="s">
        <v>124</v>
      </c>
      <c r="O3321" t="s">
        <v>125</v>
      </c>
      <c r="P3321">
        <v>-20.11853</v>
      </c>
      <c r="Q3321">
        <v>-44.896925000000003</v>
      </c>
      <c r="R3321" s="2" t="str">
        <f>HYPERLINK("https://www.google.com/maps?q=-20.1185300,-44.8969250","Abrir no Google Maps")</f>
        <v>Abrir no Google Maps</v>
      </c>
      <c r="S3321">
        <v>4</v>
      </c>
      <c r="T3321">
        <v>325.32255721093247</v>
      </c>
      <c r="U3321">
        <v>3</v>
      </c>
      <c r="V3321">
        <v>0.45839735777742452</v>
      </c>
      <c r="W3321">
        <v>1</v>
      </c>
      <c r="X3321">
        <v>0.45839735777742452</v>
      </c>
      <c r="Y3321">
        <v>567</v>
      </c>
      <c r="Z3321">
        <v>306.04423478678871</v>
      </c>
      <c r="AA3321">
        <v>198</v>
      </c>
      <c r="AB3321">
        <v>332</v>
      </c>
      <c r="AC3321">
        <v>536</v>
      </c>
      <c r="AD3321">
        <v>28.54</v>
      </c>
      <c r="AE3321">
        <v>542</v>
      </c>
      <c r="AF3321">
        <v>20</v>
      </c>
      <c r="AG3321">
        <v>181</v>
      </c>
      <c r="AH3321">
        <v>129</v>
      </c>
      <c r="AI3321">
        <v>3.69</v>
      </c>
      <c r="AJ3321">
        <v>33.39</v>
      </c>
      <c r="AK3321">
        <v>23.8</v>
      </c>
      <c r="AL3321">
        <v>-20.118682499999949</v>
      </c>
      <c r="AM3321">
        <v>-44.896643089287927</v>
      </c>
      <c r="AN3321">
        <v>-20.118682499999949</v>
      </c>
      <c r="AO3321">
        <v>-44.896643089287927</v>
      </c>
      <c r="AP3321">
        <v>-20.11853</v>
      </c>
      <c r="AQ3321">
        <v>-44.896925000000003</v>
      </c>
      <c r="AR3321">
        <v>34.007698996886518</v>
      </c>
      <c r="AS3321" t="s">
        <v>65</v>
      </c>
      <c r="AT3321">
        <v>1</v>
      </c>
      <c r="AU3321" t="s">
        <v>126</v>
      </c>
      <c r="AV3321" t="s">
        <v>121</v>
      </c>
      <c r="AW3321" t="s">
        <v>60</v>
      </c>
      <c r="AX3321" t="s">
        <v>68</v>
      </c>
      <c r="AY3321" t="s">
        <v>69</v>
      </c>
      <c r="AZ3321" t="b">
        <v>1</v>
      </c>
    </row>
    <row r="3322" spans="1:52" x14ac:dyDescent="0.3">
      <c r="A3322" t="s">
        <v>52</v>
      </c>
      <c r="B3322" t="s">
        <v>53</v>
      </c>
      <c r="C3322" t="s">
        <v>54</v>
      </c>
      <c r="D3322" t="s">
        <v>55</v>
      </c>
      <c r="E3322" t="s">
        <v>2200</v>
      </c>
      <c r="F3322" t="s">
        <v>190</v>
      </c>
      <c r="G3322" t="s">
        <v>212</v>
      </c>
      <c r="H3322" t="s">
        <v>213</v>
      </c>
      <c r="I3322" t="s">
        <v>213</v>
      </c>
      <c r="J3322" t="s">
        <v>60</v>
      </c>
      <c r="K3322" t="s">
        <v>214</v>
      </c>
      <c r="L3322" t="s">
        <v>62</v>
      </c>
      <c r="M3322" t="s">
        <v>214</v>
      </c>
      <c r="N3322" t="s">
        <v>215</v>
      </c>
      <c r="O3322" t="s">
        <v>216</v>
      </c>
      <c r="P3322">
        <v>-20.158149000000002</v>
      </c>
      <c r="Q3322">
        <v>-44.872593000000002</v>
      </c>
      <c r="R3322" s="2" t="str">
        <f>HYPERLINK("https://www.google.com/maps?q=-20.1581490,-44.8725930","Abrir no Google Maps")</f>
        <v>Abrir no Google Maps</v>
      </c>
      <c r="S3322">
        <v>4</v>
      </c>
      <c r="T3322">
        <v>0</v>
      </c>
      <c r="U3322">
        <v>3</v>
      </c>
      <c r="V3322">
        <v>0.44956154365037088</v>
      </c>
      <c r="W3322">
        <v>1</v>
      </c>
      <c r="X3322">
        <v>0.44956154365037088</v>
      </c>
      <c r="Y3322">
        <v>531</v>
      </c>
      <c r="Z3322">
        <v>127.8805352974544</v>
      </c>
      <c r="AA3322">
        <v>198</v>
      </c>
      <c r="AB3322">
        <v>332</v>
      </c>
      <c r="AC3322">
        <v>536</v>
      </c>
      <c r="AD3322">
        <v>28.54</v>
      </c>
      <c r="AE3322">
        <v>542</v>
      </c>
      <c r="AF3322">
        <v>20</v>
      </c>
      <c r="AG3322">
        <v>181</v>
      </c>
      <c r="AH3322">
        <v>129</v>
      </c>
      <c r="AI3322">
        <v>3.69</v>
      </c>
      <c r="AJ3322">
        <v>33.39</v>
      </c>
      <c r="AK3322">
        <v>23.8</v>
      </c>
      <c r="AL3322">
        <v>-20.158114249999951</v>
      </c>
      <c r="AM3322">
        <v>-44.872583123264782</v>
      </c>
      <c r="AN3322">
        <v>-20.158114249999951</v>
      </c>
      <c r="AO3322">
        <v>-44.872583123264782</v>
      </c>
      <c r="AP3322">
        <v>-20.158149000000002</v>
      </c>
      <c r="AQ3322">
        <v>-44.872593000000002</v>
      </c>
      <c r="AR3322">
        <v>4.0036956087599238</v>
      </c>
      <c r="AS3322" t="s">
        <v>65</v>
      </c>
      <c r="AT3322">
        <v>1</v>
      </c>
      <c r="AU3322" t="s">
        <v>217</v>
      </c>
      <c r="AV3322" t="s">
        <v>218</v>
      </c>
      <c r="AW3322" t="s">
        <v>60</v>
      </c>
      <c r="AX3322" t="s">
        <v>68</v>
      </c>
      <c r="AY3322" t="s">
        <v>69</v>
      </c>
      <c r="AZ3322" t="b">
        <v>1</v>
      </c>
    </row>
    <row r="3323" spans="1:52" x14ac:dyDescent="0.3">
      <c r="A3323" t="s">
        <v>52</v>
      </c>
      <c r="B3323" t="s">
        <v>53</v>
      </c>
      <c r="C3323" t="s">
        <v>54</v>
      </c>
      <c r="D3323" t="s">
        <v>55</v>
      </c>
      <c r="E3323" t="s">
        <v>2200</v>
      </c>
      <c r="F3323" t="s">
        <v>190</v>
      </c>
      <c r="G3323" t="s">
        <v>219</v>
      </c>
      <c r="H3323" t="s">
        <v>220</v>
      </c>
      <c r="I3323" t="s">
        <v>220</v>
      </c>
      <c r="J3323" t="s">
        <v>60</v>
      </c>
      <c r="K3323" t="s">
        <v>214</v>
      </c>
      <c r="L3323" t="s">
        <v>62</v>
      </c>
      <c r="M3323" t="s">
        <v>214</v>
      </c>
      <c r="N3323" t="s">
        <v>221</v>
      </c>
      <c r="O3323" t="s">
        <v>222</v>
      </c>
      <c r="P3323">
        <v>-20.158049999999999</v>
      </c>
      <c r="Q3323">
        <v>-44.868823999999996</v>
      </c>
      <c r="R3323" s="2" t="str">
        <f>HYPERLINK("https://www.google.com/maps?q=-20.1580500,-44.8688240","Abrir no Google Maps")</f>
        <v>Abrir no Google Maps</v>
      </c>
      <c r="S3323">
        <v>4</v>
      </c>
      <c r="T3323">
        <v>400.85705002223079</v>
      </c>
      <c r="U3323">
        <v>3</v>
      </c>
      <c r="V3323">
        <v>0.44296935648106139</v>
      </c>
      <c r="W3323">
        <v>1</v>
      </c>
      <c r="X3323">
        <v>0.44296935648106139</v>
      </c>
      <c r="Y3323">
        <v>531</v>
      </c>
      <c r="Z3323">
        <v>493.98501624607121</v>
      </c>
      <c r="AA3323">
        <v>198</v>
      </c>
      <c r="AB3323">
        <v>332</v>
      </c>
      <c r="AC3323">
        <v>536</v>
      </c>
      <c r="AD3323">
        <v>28.54</v>
      </c>
      <c r="AE3323">
        <v>542</v>
      </c>
      <c r="AF3323">
        <v>20</v>
      </c>
      <c r="AG3323">
        <v>181</v>
      </c>
      <c r="AH3323">
        <v>129</v>
      </c>
      <c r="AI3323">
        <v>3.69</v>
      </c>
      <c r="AJ3323">
        <v>33.39</v>
      </c>
      <c r="AK3323">
        <v>23.8</v>
      </c>
      <c r="AL3323">
        <v>-20.158020649999969</v>
      </c>
      <c r="AM3323">
        <v>-44.868748475381317</v>
      </c>
      <c r="AN3323">
        <v>-20.158020649999969</v>
      </c>
      <c r="AO3323">
        <v>-44.868748475381331</v>
      </c>
      <c r="AP3323">
        <v>-20.158049999999999</v>
      </c>
      <c r="AQ3323">
        <v>-44.868823999999996</v>
      </c>
      <c r="AR3323">
        <v>8.5419571471718818</v>
      </c>
      <c r="AS3323" t="s">
        <v>65</v>
      </c>
      <c r="AT3323">
        <v>1</v>
      </c>
      <c r="AU3323" t="s">
        <v>223</v>
      </c>
      <c r="AV3323" t="s">
        <v>224</v>
      </c>
      <c r="AW3323" t="s">
        <v>60</v>
      </c>
      <c r="AX3323" t="s">
        <v>68</v>
      </c>
      <c r="AY3323" t="s">
        <v>69</v>
      </c>
      <c r="AZ3323" t="b">
        <v>1</v>
      </c>
    </row>
    <row r="3324" spans="1:52" x14ac:dyDescent="0.3">
      <c r="A3324" t="s">
        <v>52</v>
      </c>
      <c r="B3324" t="s">
        <v>53</v>
      </c>
      <c r="C3324" t="s">
        <v>54</v>
      </c>
      <c r="D3324" t="s">
        <v>55</v>
      </c>
      <c r="E3324" t="s">
        <v>2200</v>
      </c>
      <c r="F3324" t="s">
        <v>190</v>
      </c>
      <c r="G3324" t="s">
        <v>225</v>
      </c>
      <c r="H3324" t="s">
        <v>226</v>
      </c>
      <c r="I3324" t="s">
        <v>226</v>
      </c>
      <c r="J3324" t="s">
        <v>60</v>
      </c>
      <c r="K3324" t="s">
        <v>227</v>
      </c>
      <c r="L3324" t="s">
        <v>62</v>
      </c>
      <c r="M3324" t="s">
        <v>227</v>
      </c>
      <c r="N3324" t="s">
        <v>228</v>
      </c>
      <c r="O3324" t="s">
        <v>229</v>
      </c>
      <c r="P3324">
        <v>-20.156986</v>
      </c>
      <c r="Q3324">
        <v>-44.857474000000003</v>
      </c>
      <c r="R3324" s="2" t="str">
        <f>HYPERLINK("https://www.google.com/maps?q=-20.1569860,-44.8574740","Abrir no Google Maps")</f>
        <v>Abrir no Google Maps</v>
      </c>
      <c r="S3324">
        <v>4</v>
      </c>
      <c r="T3324">
        <v>270.52797591847911</v>
      </c>
      <c r="U3324">
        <v>3</v>
      </c>
      <c r="V3324">
        <v>0.46978188969339407</v>
      </c>
      <c r="W3324">
        <v>1</v>
      </c>
      <c r="X3324">
        <v>0.46978188969339407</v>
      </c>
      <c r="Y3324">
        <v>518</v>
      </c>
      <c r="Z3324">
        <v>441.86584449256071</v>
      </c>
      <c r="AA3324">
        <v>198</v>
      </c>
      <c r="AB3324">
        <v>332</v>
      </c>
      <c r="AC3324">
        <v>536</v>
      </c>
      <c r="AD3324">
        <v>28.54</v>
      </c>
      <c r="AE3324">
        <v>542</v>
      </c>
      <c r="AF3324">
        <v>20</v>
      </c>
      <c r="AG3324">
        <v>181</v>
      </c>
      <c r="AH3324">
        <v>129</v>
      </c>
      <c r="AI3324">
        <v>3.69</v>
      </c>
      <c r="AJ3324">
        <v>33.39</v>
      </c>
      <c r="AK3324">
        <v>23.8</v>
      </c>
      <c r="AL3324">
        <v>-20.156957249999952</v>
      </c>
      <c r="AM3324">
        <v>-44.857396682659299</v>
      </c>
      <c r="AN3324">
        <v>-20.156957249999952</v>
      </c>
      <c r="AO3324">
        <v>-44.857396682659299</v>
      </c>
      <c r="AP3324">
        <v>-20.156986</v>
      </c>
      <c r="AQ3324">
        <v>-44.857474000000003</v>
      </c>
      <c r="AR3324">
        <v>8.6905800579264607</v>
      </c>
      <c r="AS3324" t="s">
        <v>65</v>
      </c>
      <c r="AT3324">
        <v>1</v>
      </c>
      <c r="AU3324" t="s">
        <v>230</v>
      </c>
      <c r="AV3324" t="s">
        <v>231</v>
      </c>
      <c r="AW3324" t="s">
        <v>60</v>
      </c>
      <c r="AX3324" t="s">
        <v>68</v>
      </c>
      <c r="AY3324" t="s">
        <v>69</v>
      </c>
      <c r="AZ3324" t="b">
        <v>1</v>
      </c>
    </row>
    <row r="3325" spans="1:52" x14ac:dyDescent="0.3">
      <c r="A3325" t="s">
        <v>52</v>
      </c>
      <c r="B3325" t="s">
        <v>53</v>
      </c>
      <c r="C3325" t="s">
        <v>54</v>
      </c>
      <c r="D3325" t="s">
        <v>55</v>
      </c>
      <c r="E3325" t="s">
        <v>2200</v>
      </c>
      <c r="F3325" t="s">
        <v>190</v>
      </c>
      <c r="G3325" t="s">
        <v>232</v>
      </c>
      <c r="H3325" t="s">
        <v>233</v>
      </c>
      <c r="I3325" t="s">
        <v>233</v>
      </c>
      <c r="J3325" t="s">
        <v>60</v>
      </c>
      <c r="K3325" t="s">
        <v>227</v>
      </c>
      <c r="L3325" t="s">
        <v>62</v>
      </c>
      <c r="M3325" t="s">
        <v>227</v>
      </c>
      <c r="N3325" t="s">
        <v>234</v>
      </c>
      <c r="O3325" t="s">
        <v>235</v>
      </c>
      <c r="P3325">
        <v>-20.158666</v>
      </c>
      <c r="Q3325">
        <v>-44.861398999999999</v>
      </c>
      <c r="R3325" s="2" t="str">
        <f>HYPERLINK("https://www.google.com/maps?q=-20.1586660,-44.8613990","Abrir no Google Maps")</f>
        <v>Abrir no Google Maps</v>
      </c>
      <c r="S3325">
        <v>4</v>
      </c>
      <c r="T3325">
        <v>330.01505397941582</v>
      </c>
      <c r="U3325">
        <v>3</v>
      </c>
      <c r="V3325">
        <v>0.45890329935045387</v>
      </c>
      <c r="W3325">
        <v>1</v>
      </c>
      <c r="X3325">
        <v>0.45890329935045387</v>
      </c>
      <c r="Y3325">
        <v>518</v>
      </c>
      <c r="Z3325">
        <v>251.8092920281106</v>
      </c>
      <c r="AA3325">
        <v>198</v>
      </c>
      <c r="AB3325">
        <v>332</v>
      </c>
      <c r="AC3325">
        <v>536</v>
      </c>
      <c r="AD3325">
        <v>28.54</v>
      </c>
      <c r="AE3325">
        <v>542</v>
      </c>
      <c r="AF3325">
        <v>20</v>
      </c>
      <c r="AG3325">
        <v>181</v>
      </c>
      <c r="AH3325">
        <v>129</v>
      </c>
      <c r="AI3325">
        <v>3.69</v>
      </c>
      <c r="AJ3325">
        <v>33.39</v>
      </c>
      <c r="AK3325">
        <v>23.8</v>
      </c>
      <c r="AL3325">
        <v>-20.158631449999969</v>
      </c>
      <c r="AM3325">
        <v>-44.861424574758061</v>
      </c>
      <c r="AN3325">
        <v>-20.158631449999969</v>
      </c>
      <c r="AO3325">
        <v>-44.861424574758061</v>
      </c>
      <c r="AP3325">
        <v>-20.158666</v>
      </c>
      <c r="AQ3325">
        <v>-44.861398999999999</v>
      </c>
      <c r="AR3325">
        <v>4.6835056709567411</v>
      </c>
      <c r="AS3325" t="s">
        <v>65</v>
      </c>
      <c r="AT3325">
        <v>1</v>
      </c>
      <c r="AU3325" t="s">
        <v>236</v>
      </c>
      <c r="AV3325" t="s">
        <v>237</v>
      </c>
      <c r="AW3325" t="s">
        <v>60</v>
      </c>
      <c r="AX3325" t="s">
        <v>68</v>
      </c>
      <c r="AY3325" t="s">
        <v>69</v>
      </c>
      <c r="AZ3325" t="b">
        <v>1</v>
      </c>
    </row>
    <row r="3326" spans="1:52" x14ac:dyDescent="0.3">
      <c r="A3326" t="s">
        <v>52</v>
      </c>
      <c r="B3326" t="s">
        <v>53</v>
      </c>
      <c r="C3326" t="s">
        <v>54</v>
      </c>
      <c r="D3326" t="s">
        <v>55</v>
      </c>
      <c r="E3326" t="s">
        <v>2200</v>
      </c>
      <c r="F3326" t="s">
        <v>190</v>
      </c>
      <c r="G3326" t="s">
        <v>243</v>
      </c>
      <c r="H3326" t="s">
        <v>244</v>
      </c>
      <c r="I3326" t="s">
        <v>244</v>
      </c>
      <c r="J3326" t="s">
        <v>60</v>
      </c>
      <c r="K3326" t="s">
        <v>214</v>
      </c>
      <c r="L3326" t="s">
        <v>62</v>
      </c>
      <c r="M3326" t="s">
        <v>214</v>
      </c>
      <c r="N3326" t="s">
        <v>245</v>
      </c>
      <c r="O3326" t="s">
        <v>246</v>
      </c>
      <c r="P3326">
        <v>-20.156296999999999</v>
      </c>
      <c r="Q3326">
        <v>-44.873035999999999</v>
      </c>
      <c r="R3326" s="2" t="str">
        <f>HYPERLINK("https://www.google.com/maps?q=-20.1562970,-44.8730360","Abrir no Google Maps")</f>
        <v>Abrir no Google Maps</v>
      </c>
      <c r="S3326">
        <v>4</v>
      </c>
      <c r="T3326">
        <v>198.04479306725889</v>
      </c>
      <c r="U3326">
        <v>3</v>
      </c>
      <c r="V3326">
        <v>0.44719143404488232</v>
      </c>
      <c r="W3326">
        <v>1</v>
      </c>
      <c r="X3326">
        <v>0.44719143404488232</v>
      </c>
      <c r="Y3326">
        <v>305</v>
      </c>
      <c r="Z3326">
        <v>267.7765515134916</v>
      </c>
      <c r="AA3326">
        <v>198</v>
      </c>
      <c r="AB3326">
        <v>332</v>
      </c>
      <c r="AC3326">
        <v>536</v>
      </c>
      <c r="AD3326">
        <v>28.54</v>
      </c>
      <c r="AE3326">
        <v>542</v>
      </c>
      <c r="AF3326">
        <v>20</v>
      </c>
      <c r="AG3326">
        <v>181</v>
      </c>
      <c r="AH3326">
        <v>129</v>
      </c>
      <c r="AI3326">
        <v>3.69</v>
      </c>
      <c r="AJ3326">
        <v>33.39</v>
      </c>
      <c r="AK3326">
        <v>23.8</v>
      </c>
      <c r="AL3326">
        <v>-20.156361349999941</v>
      </c>
      <c r="AM3326">
        <v>-44.87296512500793</v>
      </c>
      <c r="AN3326">
        <v>-20.156361349999941</v>
      </c>
      <c r="AO3326">
        <v>-44.87296512500793</v>
      </c>
      <c r="AP3326">
        <v>-20.156296999999999</v>
      </c>
      <c r="AQ3326">
        <v>-44.873035999999999</v>
      </c>
      <c r="AR3326">
        <v>10.304009356726979</v>
      </c>
      <c r="AS3326" t="s">
        <v>65</v>
      </c>
      <c r="AT3326">
        <v>1</v>
      </c>
      <c r="AU3326" t="s">
        <v>247</v>
      </c>
      <c r="AV3326" t="s">
        <v>248</v>
      </c>
      <c r="AW3326" t="s">
        <v>60</v>
      </c>
      <c r="AX3326" t="s">
        <v>68</v>
      </c>
      <c r="AY3326" t="s">
        <v>69</v>
      </c>
      <c r="AZ3326" t="b">
        <v>1</v>
      </c>
    </row>
    <row r="3327" spans="1:52" x14ac:dyDescent="0.3">
      <c r="A3327" t="s">
        <v>52</v>
      </c>
      <c r="B3327" t="s">
        <v>53</v>
      </c>
      <c r="C3327" t="s">
        <v>54</v>
      </c>
      <c r="D3327" t="s">
        <v>55</v>
      </c>
      <c r="E3327" t="s">
        <v>2200</v>
      </c>
      <c r="F3327" t="s">
        <v>190</v>
      </c>
      <c r="G3327" t="s">
        <v>212</v>
      </c>
      <c r="H3327" t="s">
        <v>249</v>
      </c>
      <c r="I3327" t="s">
        <v>249</v>
      </c>
      <c r="J3327" t="s">
        <v>60</v>
      </c>
      <c r="K3327" t="s">
        <v>214</v>
      </c>
      <c r="L3327" t="s">
        <v>62</v>
      </c>
      <c r="M3327" t="s">
        <v>214</v>
      </c>
      <c r="N3327" t="s">
        <v>215</v>
      </c>
      <c r="O3327" t="s">
        <v>250</v>
      </c>
      <c r="P3327">
        <v>-20.153901000000001</v>
      </c>
      <c r="Q3327">
        <v>-44.873201000000002</v>
      </c>
      <c r="R3327" s="2" t="str">
        <f>HYPERLINK("https://www.google.com/maps?q=-20.1539010,-44.8732010","Abrir no Google Maps")</f>
        <v>Abrir no Google Maps</v>
      </c>
      <c r="S3327">
        <v>4</v>
      </c>
      <c r="T3327">
        <v>478.23282142593177</v>
      </c>
      <c r="U3327">
        <v>3</v>
      </c>
      <c r="V3327">
        <v>0.46040621040621038</v>
      </c>
      <c r="W3327">
        <v>1</v>
      </c>
      <c r="X3327">
        <v>0.46040621040621038</v>
      </c>
      <c r="Y3327">
        <v>305</v>
      </c>
      <c r="Z3327">
        <v>392.82025973713081</v>
      </c>
      <c r="AA3327">
        <v>198</v>
      </c>
      <c r="AB3327">
        <v>332</v>
      </c>
      <c r="AC3327">
        <v>536</v>
      </c>
      <c r="AD3327">
        <v>28.54</v>
      </c>
      <c r="AE3327">
        <v>542</v>
      </c>
      <c r="AF3327">
        <v>20</v>
      </c>
      <c r="AG3327">
        <v>181</v>
      </c>
      <c r="AH3327">
        <v>129</v>
      </c>
      <c r="AI3327">
        <v>3.69</v>
      </c>
      <c r="AJ3327">
        <v>33.39</v>
      </c>
      <c r="AK3327">
        <v>23.8</v>
      </c>
      <c r="AL3327">
        <v>-20.153814849999971</v>
      </c>
      <c r="AM3327">
        <v>-44.87304592111829</v>
      </c>
      <c r="AN3327">
        <v>-20.153814849999971</v>
      </c>
      <c r="AO3327">
        <v>-44.87304592111829</v>
      </c>
      <c r="AP3327">
        <v>-20.153901000000001</v>
      </c>
      <c r="AQ3327">
        <v>-44.873201000000002</v>
      </c>
      <c r="AR3327">
        <v>18.831316146831309</v>
      </c>
      <c r="AS3327" t="s">
        <v>65</v>
      </c>
      <c r="AT3327">
        <v>1</v>
      </c>
      <c r="AU3327" t="s">
        <v>251</v>
      </c>
      <c r="AV3327" t="s">
        <v>252</v>
      </c>
      <c r="AW3327" t="s">
        <v>60</v>
      </c>
      <c r="AX3327" t="s">
        <v>68</v>
      </c>
      <c r="AY3327" t="s">
        <v>69</v>
      </c>
      <c r="AZ3327" t="b">
        <v>1</v>
      </c>
    </row>
    <row r="3328" spans="1:52" x14ac:dyDescent="0.3">
      <c r="A3328" t="s">
        <v>52</v>
      </c>
      <c r="B3328" t="s">
        <v>53</v>
      </c>
      <c r="C3328" t="s">
        <v>54</v>
      </c>
      <c r="D3328" t="s">
        <v>55</v>
      </c>
      <c r="E3328" t="s">
        <v>2200</v>
      </c>
      <c r="F3328" t="s">
        <v>190</v>
      </c>
      <c r="G3328" t="s">
        <v>253</v>
      </c>
      <c r="H3328" t="s">
        <v>254</v>
      </c>
      <c r="I3328" t="s">
        <v>254</v>
      </c>
      <c r="J3328" t="s">
        <v>60</v>
      </c>
      <c r="K3328" t="s">
        <v>255</v>
      </c>
      <c r="L3328" t="s">
        <v>62</v>
      </c>
      <c r="M3328" t="s">
        <v>255</v>
      </c>
      <c r="N3328" t="s">
        <v>256</v>
      </c>
      <c r="O3328" t="s">
        <v>257</v>
      </c>
      <c r="P3328">
        <v>-20.159638000000001</v>
      </c>
      <c r="Q3328">
        <v>-44.849030999999997</v>
      </c>
      <c r="R3328" s="2" t="str">
        <f>HYPERLINK("https://www.google.com/maps?q=-20.1596380,-44.8490310","Abrir no Google Maps")</f>
        <v>Abrir no Google Maps</v>
      </c>
      <c r="S3328">
        <v>4</v>
      </c>
      <c r="T3328">
        <v>691.81173220845892</v>
      </c>
      <c r="U3328">
        <v>3</v>
      </c>
      <c r="V3328">
        <v>0.4620588857732395</v>
      </c>
      <c r="W3328">
        <v>1</v>
      </c>
      <c r="X3328">
        <v>0.4620588857732395</v>
      </c>
      <c r="Y3328">
        <v>292</v>
      </c>
      <c r="Z3328">
        <v>678.56824923431736</v>
      </c>
      <c r="AA3328">
        <v>198</v>
      </c>
      <c r="AB3328">
        <v>332</v>
      </c>
      <c r="AC3328">
        <v>536</v>
      </c>
      <c r="AD3328">
        <v>28.54</v>
      </c>
      <c r="AE3328">
        <v>542</v>
      </c>
      <c r="AF3328">
        <v>20</v>
      </c>
      <c r="AG3328">
        <v>181</v>
      </c>
      <c r="AH3328">
        <v>129</v>
      </c>
      <c r="AI3328">
        <v>3.69</v>
      </c>
      <c r="AJ3328">
        <v>33.39</v>
      </c>
      <c r="AK3328">
        <v>23.8</v>
      </c>
      <c r="AL3328">
        <v>-20.159590049999959</v>
      </c>
      <c r="AM3328">
        <v>-44.849181856774607</v>
      </c>
      <c r="AN3328">
        <v>-20.159590049999959</v>
      </c>
      <c r="AO3328">
        <v>-44.849181856774607</v>
      </c>
      <c r="AP3328">
        <v>-20.159638000000001</v>
      </c>
      <c r="AQ3328">
        <v>-44.849030999999997</v>
      </c>
      <c r="AR3328">
        <v>16.643712040087191</v>
      </c>
      <c r="AS3328" t="s">
        <v>65</v>
      </c>
      <c r="AT3328">
        <v>1</v>
      </c>
      <c r="AU3328" t="s">
        <v>258</v>
      </c>
      <c r="AV3328" t="s">
        <v>259</v>
      </c>
      <c r="AW3328" t="s">
        <v>60</v>
      </c>
      <c r="AX3328" t="s">
        <v>68</v>
      </c>
      <c r="AY3328" t="s">
        <v>69</v>
      </c>
      <c r="AZ3328" t="b">
        <v>1</v>
      </c>
    </row>
    <row r="3329" spans="1:52" x14ac:dyDescent="0.3">
      <c r="A3329" t="s">
        <v>52</v>
      </c>
      <c r="B3329" t="s">
        <v>53</v>
      </c>
      <c r="C3329" t="s">
        <v>54</v>
      </c>
      <c r="D3329" t="s">
        <v>55</v>
      </c>
      <c r="E3329" t="s">
        <v>2200</v>
      </c>
      <c r="F3329" t="s">
        <v>190</v>
      </c>
      <c r="G3329" t="s">
        <v>260</v>
      </c>
      <c r="H3329" t="s">
        <v>261</v>
      </c>
      <c r="I3329" t="s">
        <v>261</v>
      </c>
      <c r="J3329" t="s">
        <v>60</v>
      </c>
      <c r="K3329" t="s">
        <v>262</v>
      </c>
      <c r="L3329" t="s">
        <v>62</v>
      </c>
      <c r="M3329" t="s">
        <v>262</v>
      </c>
      <c r="N3329" t="s">
        <v>263</v>
      </c>
      <c r="O3329" t="s">
        <v>264</v>
      </c>
      <c r="P3329">
        <v>-20.162230000000001</v>
      </c>
      <c r="Q3329">
        <v>-44.850189</v>
      </c>
      <c r="R3329" s="2" t="str">
        <f>HYPERLINK("https://www.google.com/maps?q=-20.1622300,-44.8501890","Abrir no Google Maps")</f>
        <v>Abrir no Google Maps</v>
      </c>
      <c r="S3329">
        <v>4</v>
      </c>
      <c r="T3329">
        <v>485.03737650296068</v>
      </c>
      <c r="U3329">
        <v>3</v>
      </c>
      <c r="V3329">
        <v>0.45591513843941028</v>
      </c>
      <c r="W3329">
        <v>1</v>
      </c>
      <c r="X3329">
        <v>0.45591513843941028</v>
      </c>
      <c r="Y3329">
        <v>292</v>
      </c>
      <c r="Z3329">
        <v>461.03925198673232</v>
      </c>
      <c r="AA3329">
        <v>198</v>
      </c>
      <c r="AB3329">
        <v>332</v>
      </c>
      <c r="AC3329">
        <v>536</v>
      </c>
      <c r="AD3329">
        <v>28.54</v>
      </c>
      <c r="AE3329">
        <v>542</v>
      </c>
      <c r="AF3329">
        <v>20</v>
      </c>
      <c r="AG3329">
        <v>181</v>
      </c>
      <c r="AH3329">
        <v>129</v>
      </c>
      <c r="AI3329">
        <v>3.69</v>
      </c>
      <c r="AJ3329">
        <v>33.39</v>
      </c>
      <c r="AK3329">
        <v>23.8</v>
      </c>
      <c r="AL3329">
        <v>-20.162067849999971</v>
      </c>
      <c r="AM3329">
        <v>-44.850230909322903</v>
      </c>
      <c r="AN3329">
        <v>-20.162067849999971</v>
      </c>
      <c r="AO3329">
        <v>-44.850230909322903</v>
      </c>
      <c r="AP3329">
        <v>-20.162230000000001</v>
      </c>
      <c r="AQ3329">
        <v>-44.850189</v>
      </c>
      <c r="AR3329">
        <v>18.574218491036259</v>
      </c>
      <c r="AS3329" t="s">
        <v>65</v>
      </c>
      <c r="AT3329">
        <v>1</v>
      </c>
      <c r="AU3329" t="s">
        <v>265</v>
      </c>
      <c r="AV3329" t="s">
        <v>266</v>
      </c>
      <c r="AW3329" t="s">
        <v>60</v>
      </c>
      <c r="AX3329" t="s">
        <v>68</v>
      </c>
      <c r="AY3329" t="s">
        <v>69</v>
      </c>
      <c r="AZ3329" t="b">
        <v>1</v>
      </c>
    </row>
    <row r="3330" spans="1:52" x14ac:dyDescent="0.3">
      <c r="A3330" t="s">
        <v>52</v>
      </c>
      <c r="B3330" t="s">
        <v>53</v>
      </c>
      <c r="C3330" t="s">
        <v>54</v>
      </c>
      <c r="D3330" t="s">
        <v>55</v>
      </c>
      <c r="E3330" t="s">
        <v>2200</v>
      </c>
      <c r="F3330" t="s">
        <v>190</v>
      </c>
      <c r="G3330" t="s">
        <v>1628</v>
      </c>
      <c r="H3330" t="s">
        <v>1629</v>
      </c>
      <c r="I3330" t="s">
        <v>1629</v>
      </c>
      <c r="J3330" t="s">
        <v>60</v>
      </c>
      <c r="K3330" t="s">
        <v>136</v>
      </c>
      <c r="L3330" t="s">
        <v>62</v>
      </c>
      <c r="M3330" t="s">
        <v>136</v>
      </c>
      <c r="N3330" t="s">
        <v>1630</v>
      </c>
      <c r="O3330" t="s">
        <v>103</v>
      </c>
      <c r="P3330">
        <v>-20.169488999999999</v>
      </c>
      <c r="Q3330">
        <v>-44.848812000000002</v>
      </c>
      <c r="R3330" s="2" t="str">
        <f>HYPERLINK("https://www.google.com/maps?q=-20.1694890,-44.8488120","Abrir no Google Maps")</f>
        <v>Abrir no Google Maps</v>
      </c>
      <c r="S3330">
        <v>4</v>
      </c>
      <c r="T3330">
        <v>426.92881761579793</v>
      </c>
      <c r="U3330">
        <v>3</v>
      </c>
      <c r="V3330">
        <v>0.46839214660663919</v>
      </c>
      <c r="W3330">
        <v>1</v>
      </c>
      <c r="X3330">
        <v>0.46839214660663919</v>
      </c>
      <c r="Y3330">
        <v>292</v>
      </c>
      <c r="Z3330">
        <v>345.01829288722871</v>
      </c>
      <c r="AA3330">
        <v>198</v>
      </c>
      <c r="AB3330">
        <v>332</v>
      </c>
      <c r="AC3330">
        <v>536</v>
      </c>
      <c r="AD3330">
        <v>28.54</v>
      </c>
      <c r="AE3330">
        <v>542</v>
      </c>
      <c r="AF3330">
        <v>20</v>
      </c>
      <c r="AG3330">
        <v>181</v>
      </c>
      <c r="AH3330">
        <v>129</v>
      </c>
      <c r="AI3330">
        <v>3.69</v>
      </c>
      <c r="AJ3330">
        <v>33.39</v>
      </c>
      <c r="AK3330">
        <v>23.8</v>
      </c>
      <c r="AL3330">
        <v>-20.169293749999959</v>
      </c>
      <c r="AM3330">
        <v>-44.848899945665508</v>
      </c>
      <c r="AN3330">
        <v>-20.169293749999959</v>
      </c>
      <c r="AO3330">
        <v>-44.848899945665508</v>
      </c>
      <c r="AP3330">
        <v>-20.169488999999999</v>
      </c>
      <c r="AQ3330">
        <v>-44.848812000000002</v>
      </c>
      <c r="AR3330">
        <v>23.598134321543789</v>
      </c>
      <c r="AS3330" t="s">
        <v>65</v>
      </c>
      <c r="AT3330">
        <v>1</v>
      </c>
      <c r="AU3330" t="s">
        <v>1631</v>
      </c>
      <c r="AV3330" t="s">
        <v>1632</v>
      </c>
      <c r="AW3330" t="s">
        <v>60</v>
      </c>
      <c r="AX3330" t="s">
        <v>68</v>
      </c>
      <c r="AY3330" t="s">
        <v>69</v>
      </c>
      <c r="AZ3330" t="b">
        <v>1</v>
      </c>
    </row>
    <row r="3331" spans="1:52" x14ac:dyDescent="0.3">
      <c r="A3331" t="s">
        <v>52</v>
      </c>
      <c r="B3331" t="s">
        <v>53</v>
      </c>
      <c r="C3331" t="s">
        <v>54</v>
      </c>
      <c r="D3331" t="s">
        <v>55</v>
      </c>
      <c r="E3331" t="s">
        <v>2200</v>
      </c>
      <c r="F3331" t="s">
        <v>190</v>
      </c>
      <c r="G3331" t="s">
        <v>267</v>
      </c>
      <c r="H3331" t="s">
        <v>268</v>
      </c>
      <c r="I3331" t="s">
        <v>268</v>
      </c>
      <c r="J3331" t="s">
        <v>60</v>
      </c>
      <c r="K3331" t="s">
        <v>150</v>
      </c>
      <c r="L3331" t="s">
        <v>62</v>
      </c>
      <c r="M3331" t="s">
        <v>150</v>
      </c>
      <c r="N3331" t="s">
        <v>269</v>
      </c>
      <c r="O3331" t="s">
        <v>270</v>
      </c>
      <c r="P3331">
        <v>-20.172367999999999</v>
      </c>
      <c r="Q3331">
        <v>-44.848661</v>
      </c>
      <c r="R3331" s="2" t="str">
        <f>HYPERLINK("https://www.google.com/maps?q=-20.1723680,-44.8486610","Abrir no Google Maps")</f>
        <v>Abrir no Google Maps</v>
      </c>
      <c r="S3331">
        <v>4</v>
      </c>
      <c r="T3331">
        <v>759.75892180950234</v>
      </c>
      <c r="U3331">
        <v>3</v>
      </c>
      <c r="V3331">
        <v>0.46577031644629319</v>
      </c>
      <c r="W3331">
        <v>1</v>
      </c>
      <c r="X3331">
        <v>0.46577031644629319</v>
      </c>
      <c r="Y3331">
        <v>292</v>
      </c>
      <c r="Z3331">
        <v>735.80511761487242</v>
      </c>
      <c r="AA3331">
        <v>198</v>
      </c>
      <c r="AB3331">
        <v>332</v>
      </c>
      <c r="AC3331">
        <v>536</v>
      </c>
      <c r="AD3331">
        <v>28.54</v>
      </c>
      <c r="AE3331">
        <v>542</v>
      </c>
      <c r="AF3331">
        <v>20</v>
      </c>
      <c r="AG3331">
        <v>181</v>
      </c>
      <c r="AH3331">
        <v>129</v>
      </c>
      <c r="AI3331">
        <v>3.69</v>
      </c>
      <c r="AJ3331">
        <v>33.39</v>
      </c>
      <c r="AK3331">
        <v>23.8</v>
      </c>
      <c r="AL3331">
        <v>-20.172435999999951</v>
      </c>
      <c r="AM3331">
        <v>-44.84866233556005</v>
      </c>
      <c r="AN3331">
        <v>-20.172435999999951</v>
      </c>
      <c r="AO3331">
        <v>-44.84866233556005</v>
      </c>
      <c r="AP3331">
        <v>-20.172367999999999</v>
      </c>
      <c r="AQ3331">
        <v>-44.848661</v>
      </c>
      <c r="AR3331">
        <v>7.5710462874877198</v>
      </c>
      <c r="AS3331" t="s">
        <v>65</v>
      </c>
      <c r="AT3331">
        <v>1</v>
      </c>
      <c r="AU3331" t="s">
        <v>271</v>
      </c>
      <c r="AV3331" t="s">
        <v>272</v>
      </c>
      <c r="AW3331" t="s">
        <v>60</v>
      </c>
      <c r="AX3331" t="s">
        <v>68</v>
      </c>
      <c r="AY3331" t="s">
        <v>69</v>
      </c>
      <c r="AZ3331" t="b">
        <v>1</v>
      </c>
    </row>
    <row r="3332" spans="1:52" x14ac:dyDescent="0.3">
      <c r="A3332" t="s">
        <v>52</v>
      </c>
      <c r="B3332" t="s">
        <v>53</v>
      </c>
      <c r="C3332" t="s">
        <v>54</v>
      </c>
      <c r="D3332" t="s">
        <v>55</v>
      </c>
      <c r="E3332" t="s">
        <v>2200</v>
      </c>
      <c r="F3332" t="s">
        <v>190</v>
      </c>
      <c r="G3332" t="s">
        <v>273</v>
      </c>
      <c r="H3332" t="s">
        <v>274</v>
      </c>
      <c r="I3332" t="s">
        <v>274</v>
      </c>
      <c r="J3332" t="s">
        <v>60</v>
      </c>
      <c r="K3332" t="s">
        <v>143</v>
      </c>
      <c r="L3332" t="s">
        <v>62</v>
      </c>
      <c r="M3332" t="s">
        <v>143</v>
      </c>
      <c r="N3332" t="s">
        <v>275</v>
      </c>
      <c r="O3332" t="s">
        <v>276</v>
      </c>
      <c r="P3332">
        <v>-20.171367</v>
      </c>
      <c r="Q3332">
        <v>-44.844709999999999</v>
      </c>
      <c r="R3332" s="2" t="str">
        <f>HYPERLINK("https://www.google.com/maps?q=-20.1713670,-44.8447100","Abrir no Google Maps")</f>
        <v>Abrir no Google Maps</v>
      </c>
      <c r="S3332">
        <v>4</v>
      </c>
      <c r="T3332">
        <v>700.36715126879801</v>
      </c>
      <c r="U3332">
        <v>3</v>
      </c>
      <c r="V3332">
        <v>0.45965710031045781</v>
      </c>
      <c r="W3332">
        <v>1</v>
      </c>
      <c r="X3332">
        <v>0.45965710031045781</v>
      </c>
      <c r="Y3332">
        <v>292</v>
      </c>
      <c r="Z3332">
        <v>767.70201658334747</v>
      </c>
      <c r="AA3332">
        <v>198</v>
      </c>
      <c r="AB3332">
        <v>332</v>
      </c>
      <c r="AC3332">
        <v>536</v>
      </c>
      <c r="AD3332">
        <v>28.54</v>
      </c>
      <c r="AE3332">
        <v>542</v>
      </c>
      <c r="AF3332">
        <v>20</v>
      </c>
      <c r="AG3332">
        <v>181</v>
      </c>
      <c r="AH3332">
        <v>129</v>
      </c>
      <c r="AI3332">
        <v>3.69</v>
      </c>
      <c r="AJ3332">
        <v>33.39</v>
      </c>
      <c r="AK3332">
        <v>23.8</v>
      </c>
      <c r="AL3332">
        <v>-20.17140124999997</v>
      </c>
      <c r="AM3332">
        <v>-44.844758486699448</v>
      </c>
      <c r="AN3332">
        <v>-20.171401249999981</v>
      </c>
      <c r="AO3332">
        <v>-44.844758486699448</v>
      </c>
      <c r="AP3332">
        <v>-20.171367</v>
      </c>
      <c r="AQ3332">
        <v>-44.844709999999999</v>
      </c>
      <c r="AR3332">
        <v>6.3408204899540994</v>
      </c>
      <c r="AS3332" t="s">
        <v>65</v>
      </c>
      <c r="AT3332">
        <v>1</v>
      </c>
      <c r="AU3332" t="s">
        <v>277</v>
      </c>
      <c r="AV3332" t="s">
        <v>278</v>
      </c>
      <c r="AW3332" t="s">
        <v>60</v>
      </c>
      <c r="AX3332" t="s">
        <v>68</v>
      </c>
      <c r="AY3332" t="s">
        <v>69</v>
      </c>
      <c r="AZ3332" t="b">
        <v>1</v>
      </c>
    </row>
    <row r="3333" spans="1:52" x14ac:dyDescent="0.3">
      <c r="A3333" t="s">
        <v>52</v>
      </c>
      <c r="B3333" t="s">
        <v>53</v>
      </c>
      <c r="C3333" t="s">
        <v>54</v>
      </c>
      <c r="D3333" t="s">
        <v>55</v>
      </c>
      <c r="E3333" t="s">
        <v>2200</v>
      </c>
      <c r="F3333" t="s">
        <v>190</v>
      </c>
      <c r="G3333" t="s">
        <v>279</v>
      </c>
      <c r="H3333" t="s">
        <v>280</v>
      </c>
      <c r="I3333" t="s">
        <v>280</v>
      </c>
      <c r="J3333" t="s">
        <v>60</v>
      </c>
      <c r="K3333" t="s">
        <v>281</v>
      </c>
      <c r="L3333" t="s">
        <v>62</v>
      </c>
      <c r="M3333" t="s">
        <v>281</v>
      </c>
      <c r="N3333" t="s">
        <v>282</v>
      </c>
      <c r="O3333" t="s">
        <v>283</v>
      </c>
      <c r="P3333">
        <v>-20.175312999999999</v>
      </c>
      <c r="Q3333">
        <v>-44.848562999999999</v>
      </c>
      <c r="R3333" s="2" t="str">
        <f>HYPERLINK("https://www.google.com/maps?q=-20.1753130,-44.8485630","Abrir no Google Maps")</f>
        <v>Abrir no Google Maps</v>
      </c>
      <c r="S3333">
        <v>4</v>
      </c>
      <c r="T3333">
        <v>1076.9164078034139</v>
      </c>
      <c r="U3333">
        <v>3</v>
      </c>
      <c r="V3333">
        <v>0.46287989544568492</v>
      </c>
      <c r="W3333">
        <v>1</v>
      </c>
      <c r="X3333">
        <v>0.46287989544568492</v>
      </c>
      <c r="Y3333">
        <v>292</v>
      </c>
      <c r="Z3333">
        <v>1035.650579259463</v>
      </c>
      <c r="AA3333">
        <v>198</v>
      </c>
      <c r="AB3333">
        <v>332</v>
      </c>
      <c r="AC3333">
        <v>536</v>
      </c>
      <c r="AD3333">
        <v>28.54</v>
      </c>
      <c r="AE3333">
        <v>542</v>
      </c>
      <c r="AF3333">
        <v>20</v>
      </c>
      <c r="AG3333">
        <v>181</v>
      </c>
      <c r="AH3333">
        <v>129</v>
      </c>
      <c r="AI3333">
        <v>3.69</v>
      </c>
      <c r="AJ3333">
        <v>33.39</v>
      </c>
      <c r="AK3333">
        <v>23.8</v>
      </c>
      <c r="AL3333">
        <v>-20.175338949999961</v>
      </c>
      <c r="AM3333">
        <v>-44.848523168324952</v>
      </c>
      <c r="AN3333">
        <v>-20.175338949999961</v>
      </c>
      <c r="AO3333">
        <v>-44.848523168324952</v>
      </c>
      <c r="AP3333">
        <v>-20.175312999999999</v>
      </c>
      <c r="AQ3333">
        <v>-44.848562999999999</v>
      </c>
      <c r="AR3333">
        <v>5.0662709576519056</v>
      </c>
      <c r="AS3333" t="s">
        <v>65</v>
      </c>
      <c r="AT3333">
        <v>1</v>
      </c>
      <c r="AU3333" t="s">
        <v>284</v>
      </c>
      <c r="AV3333" t="s">
        <v>285</v>
      </c>
      <c r="AW3333" t="s">
        <v>60</v>
      </c>
      <c r="AX3333" t="s">
        <v>68</v>
      </c>
      <c r="AY3333" t="s">
        <v>69</v>
      </c>
      <c r="AZ3333" t="b">
        <v>1</v>
      </c>
    </row>
    <row r="3334" spans="1:52" x14ac:dyDescent="0.3">
      <c r="A3334" t="s">
        <v>52</v>
      </c>
      <c r="B3334" t="s">
        <v>53</v>
      </c>
      <c r="C3334" t="s">
        <v>54</v>
      </c>
      <c r="D3334" t="s">
        <v>55</v>
      </c>
      <c r="E3334" t="s">
        <v>2200</v>
      </c>
      <c r="F3334" t="s">
        <v>190</v>
      </c>
      <c r="G3334" t="s">
        <v>253</v>
      </c>
      <c r="H3334" t="s">
        <v>286</v>
      </c>
      <c r="I3334" t="s">
        <v>286</v>
      </c>
      <c r="J3334" t="s">
        <v>60</v>
      </c>
      <c r="K3334" t="s">
        <v>136</v>
      </c>
      <c r="L3334" t="s">
        <v>62</v>
      </c>
      <c r="M3334" t="s">
        <v>136</v>
      </c>
      <c r="N3334" t="s">
        <v>256</v>
      </c>
      <c r="O3334" t="s">
        <v>287</v>
      </c>
      <c r="P3334">
        <v>-20.165067000000001</v>
      </c>
      <c r="Q3334">
        <v>-44.851146999999997</v>
      </c>
      <c r="R3334" s="2" t="str">
        <f>HYPERLINK("https://www.google.com/maps?q=-20.1650670,-44.8511470","Abrir no Google Maps")</f>
        <v>Abrir no Google Maps</v>
      </c>
      <c r="S3334">
        <v>4</v>
      </c>
      <c r="T3334">
        <v>374.14945573570043</v>
      </c>
      <c r="U3334">
        <v>3</v>
      </c>
      <c r="V3334">
        <v>0.45476053060700999</v>
      </c>
      <c r="W3334">
        <v>1</v>
      </c>
      <c r="X3334">
        <v>0.45476053060700999</v>
      </c>
      <c r="Y3334">
        <v>292</v>
      </c>
      <c r="Z3334">
        <v>295.9878686859272</v>
      </c>
      <c r="AA3334">
        <v>198</v>
      </c>
      <c r="AB3334">
        <v>332</v>
      </c>
      <c r="AC3334">
        <v>536</v>
      </c>
      <c r="AD3334">
        <v>28.54</v>
      </c>
      <c r="AE3334">
        <v>542</v>
      </c>
      <c r="AF3334">
        <v>20</v>
      </c>
      <c r="AG3334">
        <v>181</v>
      </c>
      <c r="AH3334">
        <v>129</v>
      </c>
      <c r="AI3334">
        <v>3.69</v>
      </c>
      <c r="AJ3334">
        <v>33.39</v>
      </c>
      <c r="AK3334">
        <v>23.8</v>
      </c>
      <c r="AL3334">
        <v>-20.164961799999961</v>
      </c>
      <c r="AM3334">
        <v>-44.851062119796737</v>
      </c>
      <c r="AN3334">
        <v>-20.164961799999961</v>
      </c>
      <c r="AO3334">
        <v>-44.851062119796737</v>
      </c>
      <c r="AP3334">
        <v>-20.165067000000001</v>
      </c>
      <c r="AQ3334">
        <v>-44.851146999999997</v>
      </c>
      <c r="AR3334">
        <v>14.690666366415</v>
      </c>
      <c r="AS3334" t="s">
        <v>65</v>
      </c>
      <c r="AT3334">
        <v>1</v>
      </c>
      <c r="AU3334" t="s">
        <v>288</v>
      </c>
      <c r="AV3334" t="s">
        <v>289</v>
      </c>
      <c r="AW3334" t="s">
        <v>60</v>
      </c>
      <c r="AX3334" t="s">
        <v>68</v>
      </c>
      <c r="AY3334" t="s">
        <v>69</v>
      </c>
      <c r="AZ3334" t="b">
        <v>1</v>
      </c>
    </row>
    <row r="3335" spans="1:52" x14ac:dyDescent="0.3">
      <c r="A3335" t="s">
        <v>52</v>
      </c>
      <c r="B3335" t="s">
        <v>53</v>
      </c>
      <c r="C3335" t="s">
        <v>54</v>
      </c>
      <c r="D3335" t="s">
        <v>55</v>
      </c>
      <c r="E3335" t="s">
        <v>2200</v>
      </c>
      <c r="F3335" t="s">
        <v>190</v>
      </c>
      <c r="G3335" t="s">
        <v>290</v>
      </c>
      <c r="H3335" t="s">
        <v>291</v>
      </c>
      <c r="I3335" t="s">
        <v>291</v>
      </c>
      <c r="J3335" t="s">
        <v>60</v>
      </c>
      <c r="K3335" t="s">
        <v>143</v>
      </c>
      <c r="L3335" t="s">
        <v>62</v>
      </c>
      <c r="M3335" t="s">
        <v>143</v>
      </c>
      <c r="N3335" t="s">
        <v>292</v>
      </c>
      <c r="O3335" t="s">
        <v>293</v>
      </c>
      <c r="P3335">
        <v>-20.164380999999999</v>
      </c>
      <c r="Q3335">
        <v>-44.841638000000003</v>
      </c>
      <c r="R3335" s="2" t="str">
        <f>HYPERLINK("https://www.google.com/maps?q=-20.1643810,-44.8416380","Abrir no Google Maps")</f>
        <v>Abrir no Google Maps</v>
      </c>
      <c r="S3335">
        <v>4</v>
      </c>
      <c r="T3335">
        <v>653.87342410001406</v>
      </c>
      <c r="U3335">
        <v>3</v>
      </c>
      <c r="V3335">
        <v>0.46193643754619362</v>
      </c>
      <c r="W3335">
        <v>1</v>
      </c>
      <c r="X3335">
        <v>0.46193643754619362</v>
      </c>
      <c r="Y3335">
        <v>292</v>
      </c>
      <c r="Z3335">
        <v>761.66023684754805</v>
      </c>
      <c r="AA3335">
        <v>198</v>
      </c>
      <c r="AB3335">
        <v>332</v>
      </c>
      <c r="AC3335">
        <v>536</v>
      </c>
      <c r="AD3335">
        <v>28.54</v>
      </c>
      <c r="AE3335">
        <v>542</v>
      </c>
      <c r="AF3335">
        <v>20</v>
      </c>
      <c r="AG3335">
        <v>181</v>
      </c>
      <c r="AH3335">
        <v>129</v>
      </c>
      <c r="AI3335">
        <v>3.69</v>
      </c>
      <c r="AJ3335">
        <v>33.39</v>
      </c>
      <c r="AK3335">
        <v>23.8</v>
      </c>
      <c r="AL3335">
        <v>-20.16420624999995</v>
      </c>
      <c r="AM3335">
        <v>-44.841488984995642</v>
      </c>
      <c r="AN3335">
        <v>-20.16420624999995</v>
      </c>
      <c r="AO3335">
        <v>-44.841488984995642</v>
      </c>
      <c r="AP3335">
        <v>-20.164380999999999</v>
      </c>
      <c r="AQ3335">
        <v>-44.841638000000003</v>
      </c>
      <c r="AR3335">
        <v>24.91789254993785</v>
      </c>
      <c r="AS3335" t="s">
        <v>65</v>
      </c>
      <c r="AT3335">
        <v>1</v>
      </c>
      <c r="AU3335" t="s">
        <v>294</v>
      </c>
      <c r="AV3335" t="s">
        <v>295</v>
      </c>
      <c r="AW3335" t="s">
        <v>60</v>
      </c>
      <c r="AX3335" t="s">
        <v>68</v>
      </c>
      <c r="AY3335" t="s">
        <v>69</v>
      </c>
      <c r="AZ3335" t="b">
        <v>1</v>
      </c>
    </row>
    <row r="3336" spans="1:52" x14ac:dyDescent="0.3">
      <c r="A3336" t="s">
        <v>52</v>
      </c>
      <c r="B3336" t="s">
        <v>53</v>
      </c>
      <c r="C3336" t="s">
        <v>54</v>
      </c>
      <c r="D3336" t="s">
        <v>55</v>
      </c>
      <c r="E3336" t="s">
        <v>2200</v>
      </c>
      <c r="F3336" t="s">
        <v>190</v>
      </c>
      <c r="G3336" t="s">
        <v>253</v>
      </c>
      <c r="H3336" t="s">
        <v>296</v>
      </c>
      <c r="I3336" t="s">
        <v>296</v>
      </c>
      <c r="J3336" t="s">
        <v>60</v>
      </c>
      <c r="K3336" t="s">
        <v>136</v>
      </c>
      <c r="L3336" t="s">
        <v>62</v>
      </c>
      <c r="M3336" t="s">
        <v>136</v>
      </c>
      <c r="N3336" t="s">
        <v>256</v>
      </c>
      <c r="O3336" t="s">
        <v>297</v>
      </c>
      <c r="P3336">
        <v>-20.168476999999999</v>
      </c>
      <c r="Q3336">
        <v>-44.852528</v>
      </c>
      <c r="R3336" s="2" t="str">
        <f>HYPERLINK("https://www.google.com/maps?q=-20.1684770,-44.8525280","Abrir no Google Maps")</f>
        <v>Abrir no Google Maps</v>
      </c>
      <c r="S3336">
        <v>4</v>
      </c>
      <c r="T3336">
        <v>587.16898087421623</v>
      </c>
      <c r="U3336">
        <v>3</v>
      </c>
      <c r="V3336">
        <v>0.44534379767047311</v>
      </c>
      <c r="W3336">
        <v>1</v>
      </c>
      <c r="X3336">
        <v>0.44534379767047311</v>
      </c>
      <c r="Y3336">
        <v>292</v>
      </c>
      <c r="Z3336">
        <v>471.75619463337938</v>
      </c>
      <c r="AA3336">
        <v>198</v>
      </c>
      <c r="AB3336">
        <v>332</v>
      </c>
      <c r="AC3336">
        <v>536</v>
      </c>
      <c r="AD3336">
        <v>28.54</v>
      </c>
      <c r="AE3336">
        <v>542</v>
      </c>
      <c r="AF3336">
        <v>20</v>
      </c>
      <c r="AG3336">
        <v>181</v>
      </c>
      <c r="AH3336">
        <v>129</v>
      </c>
      <c r="AI3336">
        <v>3.69</v>
      </c>
      <c r="AJ3336">
        <v>33.39</v>
      </c>
      <c r="AK3336">
        <v>23.8</v>
      </c>
      <c r="AL3336">
        <v>-20.16846514999995</v>
      </c>
      <c r="AM3336">
        <v>-44.852319844682007</v>
      </c>
      <c r="AN3336">
        <v>-20.168465149999939</v>
      </c>
      <c r="AO3336">
        <v>-44.852319844682007</v>
      </c>
      <c r="AP3336">
        <v>-20.168476999999999</v>
      </c>
      <c r="AQ3336">
        <v>-44.852528</v>
      </c>
      <c r="AR3336">
        <v>21.790984536052999</v>
      </c>
      <c r="AS3336" t="s">
        <v>65</v>
      </c>
      <c r="AT3336">
        <v>1</v>
      </c>
      <c r="AU3336" t="s">
        <v>298</v>
      </c>
      <c r="AV3336" t="s">
        <v>299</v>
      </c>
      <c r="AW3336" t="s">
        <v>60</v>
      </c>
      <c r="AX3336" t="s">
        <v>68</v>
      </c>
      <c r="AY3336" t="s">
        <v>69</v>
      </c>
      <c r="AZ3336" t="b">
        <v>1</v>
      </c>
    </row>
    <row r="3337" spans="1:52" x14ac:dyDescent="0.3">
      <c r="A3337" t="s">
        <v>52</v>
      </c>
      <c r="B3337" t="s">
        <v>53</v>
      </c>
      <c r="C3337" t="s">
        <v>54</v>
      </c>
      <c r="D3337" t="s">
        <v>55</v>
      </c>
      <c r="E3337" t="s">
        <v>2200</v>
      </c>
      <c r="F3337" t="s">
        <v>190</v>
      </c>
      <c r="G3337" t="s">
        <v>253</v>
      </c>
      <c r="H3337" t="s">
        <v>1633</v>
      </c>
      <c r="I3337" t="s">
        <v>1633</v>
      </c>
      <c r="J3337" t="s">
        <v>60</v>
      </c>
      <c r="K3337" t="s">
        <v>982</v>
      </c>
      <c r="L3337" t="s">
        <v>62</v>
      </c>
      <c r="M3337" t="s">
        <v>982</v>
      </c>
      <c r="N3337" t="s">
        <v>256</v>
      </c>
      <c r="O3337" t="s">
        <v>1634</v>
      </c>
      <c r="P3337">
        <v>-20.170407000000001</v>
      </c>
      <c r="Q3337">
        <v>-44.853330999999997</v>
      </c>
      <c r="R3337" s="2" t="str">
        <f>HYPERLINK("https://www.google.com/maps?q=-20.1704070,-44.8533310","Abrir no Google Maps")</f>
        <v>Abrir no Google Maps</v>
      </c>
      <c r="S3337">
        <v>4</v>
      </c>
      <c r="T3337">
        <v>801.41180076523165</v>
      </c>
      <c r="U3337">
        <v>3</v>
      </c>
      <c r="V3337">
        <v>0.45496304791029563</v>
      </c>
      <c r="W3337">
        <v>1</v>
      </c>
      <c r="X3337">
        <v>0.45496304791029563</v>
      </c>
      <c r="Y3337">
        <v>292</v>
      </c>
      <c r="Z3337">
        <v>726.46828777213966</v>
      </c>
      <c r="AA3337">
        <v>198</v>
      </c>
      <c r="AB3337">
        <v>332</v>
      </c>
      <c r="AC3337">
        <v>536</v>
      </c>
      <c r="AD3337">
        <v>28.54</v>
      </c>
      <c r="AE3337">
        <v>542</v>
      </c>
      <c r="AF3337">
        <v>20</v>
      </c>
      <c r="AG3337">
        <v>181</v>
      </c>
      <c r="AH3337">
        <v>129</v>
      </c>
      <c r="AI3337">
        <v>3.69</v>
      </c>
      <c r="AJ3337">
        <v>33.39</v>
      </c>
      <c r="AK3337">
        <v>23.8</v>
      </c>
      <c r="AL3337">
        <v>-20.170412849999959</v>
      </c>
      <c r="AM3337">
        <v>-44.853334311192633</v>
      </c>
      <c r="AN3337">
        <v>-20.170412849999959</v>
      </c>
      <c r="AO3337">
        <v>-44.853334311192633</v>
      </c>
      <c r="AP3337">
        <v>-20.170407000000001</v>
      </c>
      <c r="AQ3337">
        <v>-44.853330999999997</v>
      </c>
      <c r="AR3337">
        <v>0.73743023728700929</v>
      </c>
      <c r="AS3337" t="s">
        <v>65</v>
      </c>
      <c r="AT3337">
        <v>1</v>
      </c>
      <c r="AU3337" t="s">
        <v>1635</v>
      </c>
      <c r="AV3337" t="s">
        <v>1636</v>
      </c>
      <c r="AW3337" t="s">
        <v>60</v>
      </c>
      <c r="AX3337" t="s">
        <v>68</v>
      </c>
      <c r="AY3337" t="s">
        <v>69</v>
      </c>
      <c r="AZ3337" t="b">
        <v>1</v>
      </c>
    </row>
    <row r="3338" spans="1:52" x14ac:dyDescent="0.3">
      <c r="A3338" t="s">
        <v>52</v>
      </c>
      <c r="B3338" t="s">
        <v>53</v>
      </c>
      <c r="C3338" t="s">
        <v>54</v>
      </c>
      <c r="D3338" t="s">
        <v>55</v>
      </c>
      <c r="E3338" t="s">
        <v>2200</v>
      </c>
      <c r="F3338" t="s">
        <v>190</v>
      </c>
      <c r="G3338" t="s">
        <v>1696</v>
      </c>
      <c r="H3338" t="s">
        <v>1697</v>
      </c>
      <c r="I3338" t="s">
        <v>1697</v>
      </c>
      <c r="J3338" t="s">
        <v>60</v>
      </c>
      <c r="K3338" t="s">
        <v>143</v>
      </c>
      <c r="L3338" t="s">
        <v>62</v>
      </c>
      <c r="M3338" t="s">
        <v>143</v>
      </c>
      <c r="N3338" t="s">
        <v>1698</v>
      </c>
      <c r="O3338" t="s">
        <v>1699</v>
      </c>
      <c r="P3338">
        <v>-20.164061</v>
      </c>
      <c r="Q3338">
        <v>-44.839478</v>
      </c>
      <c r="R3338" s="2" t="str">
        <f>HYPERLINK("https://www.google.com/maps?q=-20.1640610,-44.8394780","Abrir no Google Maps")</f>
        <v>Abrir no Google Maps</v>
      </c>
      <c r="S3338">
        <v>4</v>
      </c>
      <c r="T3338">
        <v>877.73340935244505</v>
      </c>
      <c r="U3338">
        <v>3</v>
      </c>
      <c r="V3338">
        <v>0.52206519384881955</v>
      </c>
      <c r="W3338">
        <v>0.85</v>
      </c>
      <c r="X3338">
        <v>0.4437554147714966</v>
      </c>
      <c r="Y3338">
        <v>292</v>
      </c>
      <c r="Z3338">
        <v>961.72330387274496</v>
      </c>
      <c r="AA3338">
        <v>198</v>
      </c>
      <c r="AB3338">
        <v>332</v>
      </c>
      <c r="AC3338">
        <v>536</v>
      </c>
      <c r="AD3338">
        <v>28.54</v>
      </c>
      <c r="AE3338">
        <v>542</v>
      </c>
      <c r="AF3338">
        <v>20</v>
      </c>
      <c r="AG3338">
        <v>181</v>
      </c>
      <c r="AH3338">
        <v>129</v>
      </c>
      <c r="AI3338">
        <v>3.69</v>
      </c>
      <c r="AJ3338">
        <v>33.39</v>
      </c>
      <c r="AK3338">
        <v>23.8</v>
      </c>
      <c r="AL3338">
        <v>-20.164152949999931</v>
      </c>
      <c r="AM3338">
        <v>-44.839307994949444</v>
      </c>
      <c r="AN3338">
        <v>-20.164152949999931</v>
      </c>
      <c r="AO3338">
        <v>-44.839307994949444</v>
      </c>
      <c r="AP3338">
        <v>-20.164061</v>
      </c>
      <c r="AQ3338">
        <v>-44.839478</v>
      </c>
      <c r="AR3338">
        <v>20.50291216141127</v>
      </c>
      <c r="AS3338" t="s">
        <v>65</v>
      </c>
      <c r="AT3338">
        <v>1</v>
      </c>
      <c r="AU3338" t="s">
        <v>1700</v>
      </c>
      <c r="AV3338" t="s">
        <v>1701</v>
      </c>
      <c r="AW3338" t="s">
        <v>60</v>
      </c>
      <c r="AX3338" t="s">
        <v>68</v>
      </c>
      <c r="AY3338" t="s">
        <v>69</v>
      </c>
      <c r="AZ3338" t="b">
        <v>1</v>
      </c>
    </row>
    <row r="3339" spans="1:52" x14ac:dyDescent="0.3">
      <c r="A3339" t="s">
        <v>52</v>
      </c>
      <c r="B3339" t="s">
        <v>53</v>
      </c>
      <c r="C3339" t="s">
        <v>54</v>
      </c>
      <c r="D3339" t="s">
        <v>55</v>
      </c>
      <c r="E3339" t="s">
        <v>2200</v>
      </c>
      <c r="F3339" t="s">
        <v>190</v>
      </c>
      <c r="G3339" t="s">
        <v>306</v>
      </c>
      <c r="H3339" t="s">
        <v>307</v>
      </c>
      <c r="I3339" t="s">
        <v>307</v>
      </c>
      <c r="J3339" t="s">
        <v>60</v>
      </c>
      <c r="K3339" t="s">
        <v>143</v>
      </c>
      <c r="L3339" t="s">
        <v>62</v>
      </c>
      <c r="M3339" t="s">
        <v>143</v>
      </c>
      <c r="N3339" t="s">
        <v>308</v>
      </c>
      <c r="O3339" t="s">
        <v>309</v>
      </c>
      <c r="P3339">
        <v>-20.167071</v>
      </c>
      <c r="Q3339">
        <v>-44.842730000000003</v>
      </c>
      <c r="R3339" s="2" t="str">
        <f>HYPERLINK("https://www.google.com/maps?q=-20.1670710,-44.8427300","Abrir no Google Maps")</f>
        <v>Abrir no Google Maps</v>
      </c>
      <c r="S3339">
        <v>4</v>
      </c>
      <c r="T3339">
        <v>535.14780070571521</v>
      </c>
      <c r="U3339">
        <v>3</v>
      </c>
      <c r="V3339">
        <v>0.46408647140864712</v>
      </c>
      <c r="W3339">
        <v>1</v>
      </c>
      <c r="X3339">
        <v>0.46408647140864712</v>
      </c>
      <c r="Y3339">
        <v>292</v>
      </c>
      <c r="Z3339">
        <v>582.78942050501109</v>
      </c>
      <c r="AA3339">
        <v>198</v>
      </c>
      <c r="AB3339">
        <v>332</v>
      </c>
      <c r="AC3339">
        <v>536</v>
      </c>
      <c r="AD3339">
        <v>28.54</v>
      </c>
      <c r="AE3339">
        <v>542</v>
      </c>
      <c r="AF3339">
        <v>20</v>
      </c>
      <c r="AG3339">
        <v>181</v>
      </c>
      <c r="AH3339">
        <v>129</v>
      </c>
      <c r="AI3339">
        <v>3.69</v>
      </c>
      <c r="AJ3339">
        <v>33.39</v>
      </c>
      <c r="AK3339">
        <v>23.8</v>
      </c>
      <c r="AL3339">
        <v>-20.167006799999971</v>
      </c>
      <c r="AM3339">
        <v>-44.842640974693197</v>
      </c>
      <c r="AN3339">
        <v>-20.167006799999971</v>
      </c>
      <c r="AO3339">
        <v>-44.842640974693197</v>
      </c>
      <c r="AP3339">
        <v>-20.167071</v>
      </c>
      <c r="AQ3339">
        <v>-44.842730000000003</v>
      </c>
      <c r="AR3339">
        <v>11.73100304278117</v>
      </c>
      <c r="AS3339" t="s">
        <v>65</v>
      </c>
      <c r="AT3339">
        <v>1</v>
      </c>
      <c r="AU3339" t="s">
        <v>310</v>
      </c>
      <c r="AV3339" t="s">
        <v>311</v>
      </c>
      <c r="AW3339" t="s">
        <v>60</v>
      </c>
      <c r="AX3339" t="s">
        <v>68</v>
      </c>
      <c r="AY3339" t="s">
        <v>69</v>
      </c>
      <c r="AZ3339" t="b">
        <v>1</v>
      </c>
    </row>
    <row r="3340" spans="1:52" x14ac:dyDescent="0.3">
      <c r="A3340" t="s">
        <v>52</v>
      </c>
      <c r="B3340" t="s">
        <v>53</v>
      </c>
      <c r="C3340" t="s">
        <v>54</v>
      </c>
      <c r="D3340" t="s">
        <v>55</v>
      </c>
      <c r="E3340" t="s">
        <v>2200</v>
      </c>
      <c r="F3340" t="s">
        <v>190</v>
      </c>
      <c r="G3340" t="s">
        <v>312</v>
      </c>
      <c r="H3340" t="s">
        <v>313</v>
      </c>
      <c r="I3340" t="s">
        <v>313</v>
      </c>
      <c r="J3340" t="s">
        <v>60</v>
      </c>
      <c r="K3340" t="s">
        <v>143</v>
      </c>
      <c r="L3340" t="s">
        <v>62</v>
      </c>
      <c r="M3340" t="s">
        <v>143</v>
      </c>
      <c r="N3340" t="s">
        <v>314</v>
      </c>
      <c r="O3340" t="s">
        <v>315</v>
      </c>
      <c r="P3340">
        <v>-20.168939000000002</v>
      </c>
      <c r="Q3340">
        <v>-44.843286999999997</v>
      </c>
      <c r="R3340" s="2" t="str">
        <f>HYPERLINK("https://www.google.com/maps?q=-20.1689390,-44.8432870","Abrir no Google Maps")</f>
        <v>Abrir no Google Maps</v>
      </c>
      <c r="S3340">
        <v>4</v>
      </c>
      <c r="T3340">
        <v>582.22902758915586</v>
      </c>
      <c r="U3340">
        <v>3</v>
      </c>
      <c r="V3340">
        <v>0.45207022494282562</v>
      </c>
      <c r="W3340">
        <v>1</v>
      </c>
      <c r="X3340">
        <v>0.45207022494282562</v>
      </c>
      <c r="Y3340">
        <v>292</v>
      </c>
      <c r="Z3340">
        <v>628.29035609472794</v>
      </c>
      <c r="AA3340">
        <v>198</v>
      </c>
      <c r="AB3340">
        <v>332</v>
      </c>
      <c r="AC3340">
        <v>536</v>
      </c>
      <c r="AD3340">
        <v>28.54</v>
      </c>
      <c r="AE3340">
        <v>542</v>
      </c>
      <c r="AF3340">
        <v>20</v>
      </c>
      <c r="AG3340">
        <v>181</v>
      </c>
      <c r="AH3340">
        <v>129</v>
      </c>
      <c r="AI3340">
        <v>3.69</v>
      </c>
      <c r="AJ3340">
        <v>33.39</v>
      </c>
      <c r="AK3340">
        <v>23.8</v>
      </c>
      <c r="AL3340">
        <v>-20.16917709999996</v>
      </c>
      <c r="AM3340">
        <v>-44.84342194427667</v>
      </c>
      <c r="AN3340">
        <v>-20.16917709999996</v>
      </c>
      <c r="AO3340">
        <v>-44.84342194427667</v>
      </c>
      <c r="AP3340">
        <v>-20.168939000000002</v>
      </c>
      <c r="AQ3340">
        <v>-44.843286999999997</v>
      </c>
      <c r="AR3340">
        <v>30.02272213565665</v>
      </c>
      <c r="AS3340" t="s">
        <v>65</v>
      </c>
      <c r="AT3340">
        <v>1</v>
      </c>
      <c r="AU3340" t="s">
        <v>316</v>
      </c>
      <c r="AV3340" t="s">
        <v>311</v>
      </c>
      <c r="AW3340" t="s">
        <v>60</v>
      </c>
      <c r="AX3340" t="s">
        <v>68</v>
      </c>
      <c r="AY3340" t="s">
        <v>69</v>
      </c>
      <c r="AZ3340" t="b">
        <v>1</v>
      </c>
    </row>
    <row r="3341" spans="1:52" x14ac:dyDescent="0.3">
      <c r="A3341" t="s">
        <v>52</v>
      </c>
      <c r="B3341" t="s">
        <v>53</v>
      </c>
      <c r="C3341" t="s">
        <v>54</v>
      </c>
      <c r="D3341" t="s">
        <v>55</v>
      </c>
      <c r="E3341" t="s">
        <v>2200</v>
      </c>
      <c r="F3341" t="s">
        <v>190</v>
      </c>
      <c r="G3341" t="s">
        <v>321</v>
      </c>
      <c r="H3341" t="s">
        <v>322</v>
      </c>
      <c r="I3341" t="s">
        <v>322</v>
      </c>
      <c r="J3341" t="s">
        <v>60</v>
      </c>
      <c r="K3341" t="s">
        <v>323</v>
      </c>
      <c r="L3341" t="s">
        <v>62</v>
      </c>
      <c r="M3341" t="s">
        <v>323</v>
      </c>
      <c r="N3341" t="s">
        <v>324</v>
      </c>
      <c r="O3341" t="s">
        <v>325</v>
      </c>
      <c r="P3341">
        <v>-20.151437999999999</v>
      </c>
      <c r="Q3341">
        <v>-44.855761000000001</v>
      </c>
      <c r="R3341" s="2" t="str">
        <f>HYPERLINK("https://www.google.com/maps?q=-20.1514380,-44.8557610","Abrir no Google Maps")</f>
        <v>Abrir no Google Maps</v>
      </c>
      <c r="S3341">
        <v>4</v>
      </c>
      <c r="T3341">
        <v>970.69989262042009</v>
      </c>
      <c r="U3341">
        <v>3</v>
      </c>
      <c r="V3341">
        <v>0.46287544947591608</v>
      </c>
      <c r="W3341">
        <v>1</v>
      </c>
      <c r="X3341">
        <v>0.46287544947591608</v>
      </c>
      <c r="Y3341">
        <v>264</v>
      </c>
      <c r="Z3341">
        <v>1041.0105988261671</v>
      </c>
      <c r="AA3341">
        <v>198</v>
      </c>
      <c r="AB3341">
        <v>332</v>
      </c>
      <c r="AC3341">
        <v>536</v>
      </c>
      <c r="AD3341">
        <v>28.54</v>
      </c>
      <c r="AE3341">
        <v>542</v>
      </c>
      <c r="AF3341">
        <v>20</v>
      </c>
      <c r="AG3341">
        <v>181</v>
      </c>
      <c r="AH3341">
        <v>129</v>
      </c>
      <c r="AI3341">
        <v>3.69</v>
      </c>
      <c r="AJ3341">
        <v>33.39</v>
      </c>
      <c r="AK3341">
        <v>23.8</v>
      </c>
      <c r="AL3341">
        <v>-20.15142824999996</v>
      </c>
      <c r="AM3341">
        <v>-44.854100160898767</v>
      </c>
      <c r="AN3341">
        <v>-20.15142824999996</v>
      </c>
      <c r="AO3341">
        <v>-44.854100160898767</v>
      </c>
      <c r="AP3341">
        <v>-20.151437999999999</v>
      </c>
      <c r="AQ3341">
        <v>-44.855761000000001</v>
      </c>
      <c r="AR3341">
        <v>173.57036632351381</v>
      </c>
      <c r="AS3341" t="s">
        <v>65</v>
      </c>
      <c r="AT3341">
        <v>1</v>
      </c>
      <c r="AU3341" t="s">
        <v>326</v>
      </c>
      <c r="AV3341" t="s">
        <v>327</v>
      </c>
      <c r="AW3341" t="s">
        <v>60</v>
      </c>
      <c r="AX3341" t="s">
        <v>68</v>
      </c>
      <c r="AY3341" t="s">
        <v>69</v>
      </c>
      <c r="AZ3341" t="b">
        <v>1</v>
      </c>
    </row>
    <row r="3342" spans="1:52" x14ac:dyDescent="0.3">
      <c r="A3342" t="s">
        <v>52</v>
      </c>
      <c r="B3342" t="s">
        <v>53</v>
      </c>
      <c r="C3342" t="s">
        <v>54</v>
      </c>
      <c r="D3342" t="s">
        <v>55</v>
      </c>
      <c r="E3342" t="s">
        <v>2200</v>
      </c>
      <c r="F3342" t="s">
        <v>190</v>
      </c>
      <c r="G3342" t="s">
        <v>328</v>
      </c>
      <c r="H3342" t="s">
        <v>329</v>
      </c>
      <c r="I3342" t="s">
        <v>329</v>
      </c>
      <c r="J3342" t="s">
        <v>60</v>
      </c>
      <c r="K3342" t="s">
        <v>157</v>
      </c>
      <c r="L3342" t="s">
        <v>62</v>
      </c>
      <c r="M3342" t="s">
        <v>157</v>
      </c>
      <c r="N3342" t="s">
        <v>330</v>
      </c>
      <c r="O3342" t="s">
        <v>331</v>
      </c>
      <c r="P3342">
        <v>-20.167981999999999</v>
      </c>
      <c r="Q3342">
        <v>-44.885706999999996</v>
      </c>
      <c r="R3342" s="2" t="str">
        <f>HYPERLINK("https://www.google.com/maps?q=-20.1679820,-44.8857070","Abrir no Google Maps")</f>
        <v>Abrir no Google Maps</v>
      </c>
      <c r="S3342">
        <v>4</v>
      </c>
      <c r="T3342">
        <v>594.70112534633722</v>
      </c>
      <c r="U3342">
        <v>3</v>
      </c>
      <c r="V3342">
        <v>0.4673628485441822</v>
      </c>
      <c r="W3342">
        <v>1</v>
      </c>
      <c r="X3342">
        <v>0.4673628485441822</v>
      </c>
      <c r="Y3342">
        <v>232</v>
      </c>
      <c r="Z3342">
        <v>560.38516624860983</v>
      </c>
      <c r="AA3342">
        <v>198</v>
      </c>
      <c r="AB3342">
        <v>332</v>
      </c>
      <c r="AC3342">
        <v>536</v>
      </c>
      <c r="AD3342">
        <v>28.54</v>
      </c>
      <c r="AE3342">
        <v>542</v>
      </c>
      <c r="AF3342">
        <v>20</v>
      </c>
      <c r="AG3342">
        <v>181</v>
      </c>
      <c r="AH3342">
        <v>129</v>
      </c>
      <c r="AI3342">
        <v>3.69</v>
      </c>
      <c r="AJ3342">
        <v>33.39</v>
      </c>
      <c r="AK3342">
        <v>23.8</v>
      </c>
      <c r="AL3342">
        <v>-20.167931149999959</v>
      </c>
      <c r="AM3342">
        <v>-44.885606821741909</v>
      </c>
      <c r="AN3342">
        <v>-20.167931149999959</v>
      </c>
      <c r="AO3342">
        <v>-44.885606821741909</v>
      </c>
      <c r="AP3342">
        <v>-20.167981999999999</v>
      </c>
      <c r="AQ3342">
        <v>-44.885706999999996</v>
      </c>
      <c r="AR3342">
        <v>11.90056149590643</v>
      </c>
      <c r="AS3342" t="s">
        <v>65</v>
      </c>
      <c r="AT3342">
        <v>1</v>
      </c>
      <c r="AU3342" t="s">
        <v>332</v>
      </c>
      <c r="AV3342" t="s">
        <v>333</v>
      </c>
      <c r="AW3342" t="s">
        <v>60</v>
      </c>
      <c r="AX3342" t="s">
        <v>68</v>
      </c>
      <c r="AY3342" t="s">
        <v>69</v>
      </c>
      <c r="AZ3342" t="b">
        <v>1</v>
      </c>
    </row>
    <row r="3343" spans="1:52" x14ac:dyDescent="0.3">
      <c r="A3343" t="s">
        <v>52</v>
      </c>
      <c r="B3343" t="s">
        <v>53</v>
      </c>
      <c r="C3343" t="s">
        <v>54</v>
      </c>
      <c r="D3343" t="s">
        <v>55</v>
      </c>
      <c r="E3343" t="s">
        <v>2200</v>
      </c>
      <c r="F3343" t="s">
        <v>190</v>
      </c>
      <c r="G3343" t="s">
        <v>155</v>
      </c>
      <c r="H3343" t="s">
        <v>156</v>
      </c>
      <c r="I3343" t="s">
        <v>156</v>
      </c>
      <c r="J3343" t="s">
        <v>60</v>
      </c>
      <c r="K3343" t="s">
        <v>157</v>
      </c>
      <c r="L3343" t="s">
        <v>62</v>
      </c>
      <c r="M3343" t="s">
        <v>157</v>
      </c>
      <c r="N3343" t="s">
        <v>158</v>
      </c>
      <c r="O3343" t="s">
        <v>159</v>
      </c>
      <c r="P3343">
        <v>-20.166302999999999</v>
      </c>
      <c r="Q3343">
        <v>-44.880659999999999</v>
      </c>
      <c r="R3343" s="2" t="str">
        <f>HYPERLINK("https://www.google.com/maps?q=-20.1663030,-44.8806600","Abrir no Google Maps")</f>
        <v>Abrir no Google Maps</v>
      </c>
      <c r="S3343">
        <v>4</v>
      </c>
      <c r="T3343">
        <v>504.41812426451338</v>
      </c>
      <c r="U3343">
        <v>3</v>
      </c>
      <c r="V3343">
        <v>0.45464688180304769</v>
      </c>
      <c r="W3343">
        <v>1</v>
      </c>
      <c r="X3343">
        <v>0.45464688180304769</v>
      </c>
      <c r="Y3343">
        <v>232</v>
      </c>
      <c r="Z3343">
        <v>279.57571553948952</v>
      </c>
      <c r="AA3343">
        <v>198</v>
      </c>
      <c r="AB3343">
        <v>332</v>
      </c>
      <c r="AC3343">
        <v>536</v>
      </c>
      <c r="AD3343">
        <v>28.54</v>
      </c>
      <c r="AE3343">
        <v>542</v>
      </c>
      <c r="AF3343">
        <v>20</v>
      </c>
      <c r="AG3343">
        <v>181</v>
      </c>
      <c r="AH3343">
        <v>129</v>
      </c>
      <c r="AI3343">
        <v>3.69</v>
      </c>
      <c r="AJ3343">
        <v>33.39</v>
      </c>
      <c r="AK3343">
        <v>23.8</v>
      </c>
      <c r="AL3343">
        <v>-20.166700449999951</v>
      </c>
      <c r="AM3343">
        <v>-44.880573341714289</v>
      </c>
      <c r="AN3343">
        <v>-20.166700449999951</v>
      </c>
      <c r="AO3343">
        <v>-44.880573341714289</v>
      </c>
      <c r="AP3343">
        <v>-20.166302999999999</v>
      </c>
      <c r="AQ3343">
        <v>-44.880659999999999</v>
      </c>
      <c r="AR3343">
        <v>45.161304979350312</v>
      </c>
      <c r="AS3343" t="s">
        <v>65</v>
      </c>
      <c r="AT3343">
        <v>1</v>
      </c>
      <c r="AU3343" t="s">
        <v>160</v>
      </c>
      <c r="AV3343" t="s">
        <v>161</v>
      </c>
      <c r="AW3343" t="s">
        <v>60</v>
      </c>
      <c r="AX3343" t="s">
        <v>68</v>
      </c>
      <c r="AY3343" t="s">
        <v>69</v>
      </c>
      <c r="AZ3343" t="b">
        <v>1</v>
      </c>
    </row>
    <row r="3344" spans="1:52" x14ac:dyDescent="0.3">
      <c r="A3344" t="s">
        <v>52</v>
      </c>
      <c r="B3344" t="s">
        <v>53</v>
      </c>
      <c r="C3344" t="s">
        <v>54</v>
      </c>
      <c r="D3344" t="s">
        <v>55</v>
      </c>
      <c r="E3344" t="s">
        <v>2200</v>
      </c>
      <c r="F3344" t="s">
        <v>190</v>
      </c>
      <c r="G3344" t="s">
        <v>347</v>
      </c>
      <c r="H3344" t="s">
        <v>348</v>
      </c>
      <c r="I3344" t="s">
        <v>348</v>
      </c>
      <c r="J3344" t="s">
        <v>60</v>
      </c>
      <c r="K3344" t="s">
        <v>157</v>
      </c>
      <c r="L3344" t="s">
        <v>62</v>
      </c>
      <c r="M3344" t="s">
        <v>157</v>
      </c>
      <c r="N3344" t="s">
        <v>349</v>
      </c>
      <c r="O3344" t="s">
        <v>350</v>
      </c>
      <c r="P3344">
        <v>-20.171206999999999</v>
      </c>
      <c r="Q3344">
        <v>-44.881143999999999</v>
      </c>
      <c r="R3344" s="2" t="str">
        <f>HYPERLINK("https://www.google.com/maps?q=-20.1712070,-44.8811440","Abrir no Google Maps")</f>
        <v>Abrir no Google Maps</v>
      </c>
      <c r="S3344">
        <v>4</v>
      </c>
      <c r="T3344">
        <v>0</v>
      </c>
      <c r="U3344">
        <v>3</v>
      </c>
      <c r="V3344">
        <v>0.45175438596491219</v>
      </c>
      <c r="W3344">
        <v>1</v>
      </c>
      <c r="X3344">
        <v>0.45175438596491219</v>
      </c>
      <c r="Y3344">
        <v>232</v>
      </c>
      <c r="Z3344">
        <v>184.81719774496389</v>
      </c>
      <c r="AA3344">
        <v>198</v>
      </c>
      <c r="AB3344">
        <v>332</v>
      </c>
      <c r="AC3344">
        <v>536</v>
      </c>
      <c r="AD3344">
        <v>28.54</v>
      </c>
      <c r="AE3344">
        <v>542</v>
      </c>
      <c r="AF3344">
        <v>20</v>
      </c>
      <c r="AG3344">
        <v>181</v>
      </c>
      <c r="AH3344">
        <v>129</v>
      </c>
      <c r="AI3344">
        <v>3.69</v>
      </c>
      <c r="AJ3344">
        <v>33.39</v>
      </c>
      <c r="AK3344">
        <v>23.8</v>
      </c>
      <c r="AL3344">
        <v>-20.171229949999969</v>
      </c>
      <c r="AM3344">
        <v>-44.881113944480241</v>
      </c>
      <c r="AN3344">
        <v>-20.171229949999969</v>
      </c>
      <c r="AO3344">
        <v>-44.881113944480241</v>
      </c>
      <c r="AP3344">
        <v>-20.171206999999999</v>
      </c>
      <c r="AQ3344">
        <v>-44.881143999999999</v>
      </c>
      <c r="AR3344">
        <v>4.0484763362859333</v>
      </c>
      <c r="AS3344" t="s">
        <v>65</v>
      </c>
      <c r="AT3344">
        <v>1</v>
      </c>
      <c r="AU3344" t="s">
        <v>351</v>
      </c>
      <c r="AV3344" t="s">
        <v>352</v>
      </c>
      <c r="AW3344" t="s">
        <v>60</v>
      </c>
      <c r="AX3344" t="s">
        <v>68</v>
      </c>
      <c r="AY3344" t="s">
        <v>69</v>
      </c>
      <c r="AZ3344" t="b">
        <v>1</v>
      </c>
    </row>
    <row r="3345" spans="1:52" x14ac:dyDescent="0.3">
      <c r="A3345" t="s">
        <v>52</v>
      </c>
      <c r="B3345" t="s">
        <v>53</v>
      </c>
      <c r="C3345" t="s">
        <v>54</v>
      </c>
      <c r="D3345" t="s">
        <v>55</v>
      </c>
      <c r="E3345" t="s">
        <v>2200</v>
      </c>
      <c r="F3345" t="s">
        <v>190</v>
      </c>
      <c r="G3345" t="s">
        <v>360</v>
      </c>
      <c r="H3345" t="s">
        <v>361</v>
      </c>
      <c r="I3345" t="s">
        <v>361</v>
      </c>
      <c r="J3345" t="s">
        <v>60</v>
      </c>
      <c r="K3345" t="s">
        <v>362</v>
      </c>
      <c r="L3345" t="s">
        <v>62</v>
      </c>
      <c r="M3345" t="s">
        <v>362</v>
      </c>
      <c r="N3345" t="s">
        <v>363</v>
      </c>
      <c r="O3345" t="s">
        <v>235</v>
      </c>
      <c r="P3345">
        <v>-20.143716999999999</v>
      </c>
      <c r="Q3345">
        <v>-44.875278000000002</v>
      </c>
      <c r="R3345" s="2" t="str">
        <f>HYPERLINK("https://www.google.com/maps?q=-20.1437170,-44.8752780","Abrir no Google Maps")</f>
        <v>Abrir no Google Maps</v>
      </c>
      <c r="S3345">
        <v>4</v>
      </c>
      <c r="T3345">
        <v>0</v>
      </c>
      <c r="U3345">
        <v>3</v>
      </c>
      <c r="V3345">
        <v>0.45730611196712889</v>
      </c>
      <c r="W3345">
        <v>1</v>
      </c>
      <c r="X3345">
        <v>0.45730611196712889</v>
      </c>
      <c r="Y3345">
        <v>209</v>
      </c>
      <c r="Z3345">
        <v>121.8438559354383</v>
      </c>
      <c r="AA3345">
        <v>198</v>
      </c>
      <c r="AB3345">
        <v>332</v>
      </c>
      <c r="AC3345">
        <v>536</v>
      </c>
      <c r="AD3345">
        <v>28.54</v>
      </c>
      <c r="AE3345">
        <v>542</v>
      </c>
      <c r="AF3345">
        <v>20</v>
      </c>
      <c r="AG3345">
        <v>181</v>
      </c>
      <c r="AH3345">
        <v>129</v>
      </c>
      <c r="AI3345">
        <v>3.69</v>
      </c>
      <c r="AJ3345">
        <v>33.39</v>
      </c>
      <c r="AK3345">
        <v>23.8</v>
      </c>
      <c r="AL3345">
        <v>-20.143665999999961</v>
      </c>
      <c r="AM3345">
        <v>-44.875561853046079</v>
      </c>
      <c r="AN3345">
        <v>-20.143665999999961</v>
      </c>
      <c r="AO3345">
        <v>-44.875561853046079</v>
      </c>
      <c r="AP3345">
        <v>-20.143716999999999</v>
      </c>
      <c r="AQ3345">
        <v>-44.875278000000002</v>
      </c>
      <c r="AR3345">
        <v>30.20407282671313</v>
      </c>
      <c r="AS3345" t="s">
        <v>65</v>
      </c>
      <c r="AT3345">
        <v>1</v>
      </c>
      <c r="AU3345" t="s">
        <v>364</v>
      </c>
      <c r="AV3345" t="s">
        <v>365</v>
      </c>
      <c r="AW3345" t="s">
        <v>60</v>
      </c>
      <c r="AX3345" t="s">
        <v>68</v>
      </c>
      <c r="AY3345" t="s">
        <v>69</v>
      </c>
      <c r="AZ3345" t="b">
        <v>1</v>
      </c>
    </row>
    <row r="3346" spans="1:52" x14ac:dyDescent="0.3">
      <c r="A3346" t="s">
        <v>52</v>
      </c>
      <c r="B3346" t="s">
        <v>53</v>
      </c>
      <c r="C3346" t="s">
        <v>54</v>
      </c>
      <c r="D3346" t="s">
        <v>55</v>
      </c>
      <c r="E3346" t="s">
        <v>2200</v>
      </c>
      <c r="F3346" t="s">
        <v>190</v>
      </c>
      <c r="G3346" t="s">
        <v>366</v>
      </c>
      <c r="H3346" t="s">
        <v>367</v>
      </c>
      <c r="I3346" t="s">
        <v>367</v>
      </c>
      <c r="J3346" t="s">
        <v>60</v>
      </c>
      <c r="K3346" t="s">
        <v>368</v>
      </c>
      <c r="L3346" t="s">
        <v>62</v>
      </c>
      <c r="M3346" t="s">
        <v>368</v>
      </c>
      <c r="N3346" t="s">
        <v>369</v>
      </c>
      <c r="O3346" t="s">
        <v>370</v>
      </c>
      <c r="P3346">
        <v>-20.144553999999999</v>
      </c>
      <c r="Q3346">
        <v>-44.868183000000002</v>
      </c>
      <c r="R3346" s="2" t="str">
        <f>HYPERLINK("https://www.google.com/maps?q=-20.1445540,-44.8681830","Abrir no Google Maps")</f>
        <v>Abrir no Google Maps</v>
      </c>
      <c r="S3346">
        <v>4</v>
      </c>
      <c r="T3346">
        <v>783.87848835431373</v>
      </c>
      <c r="U3346">
        <v>3</v>
      </c>
      <c r="V3346">
        <v>0.46342647068599879</v>
      </c>
      <c r="W3346">
        <v>1</v>
      </c>
      <c r="X3346">
        <v>0.46342647068599879</v>
      </c>
      <c r="Y3346">
        <v>198</v>
      </c>
      <c r="Z3346">
        <v>360.68413994394842</v>
      </c>
      <c r="AA3346">
        <v>198</v>
      </c>
      <c r="AB3346">
        <v>332</v>
      </c>
      <c r="AC3346">
        <v>536</v>
      </c>
      <c r="AD3346">
        <v>28.54</v>
      </c>
      <c r="AE3346">
        <v>542</v>
      </c>
      <c r="AF3346">
        <v>20</v>
      </c>
      <c r="AG3346">
        <v>181</v>
      </c>
      <c r="AH3346">
        <v>129</v>
      </c>
      <c r="AI3346">
        <v>3.69</v>
      </c>
      <c r="AJ3346">
        <v>33.39</v>
      </c>
      <c r="AK3346">
        <v>23.8</v>
      </c>
      <c r="AL3346">
        <v>-20.144487399999949</v>
      </c>
      <c r="AM3346">
        <v>-44.868111936674481</v>
      </c>
      <c r="AN3346">
        <v>-20.144487399999939</v>
      </c>
      <c r="AO3346">
        <v>-44.868111936674481</v>
      </c>
      <c r="AP3346">
        <v>-20.144553999999999</v>
      </c>
      <c r="AQ3346">
        <v>-44.868183000000002</v>
      </c>
      <c r="AR3346">
        <v>10.49400387332288</v>
      </c>
      <c r="AS3346" t="s">
        <v>65</v>
      </c>
      <c r="AT3346">
        <v>1</v>
      </c>
      <c r="AU3346" t="s">
        <v>371</v>
      </c>
      <c r="AV3346" t="s">
        <v>372</v>
      </c>
      <c r="AW3346" t="s">
        <v>60</v>
      </c>
      <c r="AX3346" t="s">
        <v>68</v>
      </c>
      <c r="AY3346" t="s">
        <v>69</v>
      </c>
      <c r="AZ3346" t="b">
        <v>1</v>
      </c>
    </row>
    <row r="3347" spans="1:52" x14ac:dyDescent="0.3">
      <c r="A3347" t="s">
        <v>52</v>
      </c>
      <c r="B3347" t="s">
        <v>53</v>
      </c>
      <c r="C3347" t="s">
        <v>54</v>
      </c>
      <c r="D3347" t="s">
        <v>55</v>
      </c>
      <c r="E3347" t="s">
        <v>2200</v>
      </c>
      <c r="F3347" t="s">
        <v>190</v>
      </c>
      <c r="G3347" t="s">
        <v>1728</v>
      </c>
      <c r="H3347" t="s">
        <v>1729</v>
      </c>
      <c r="I3347" t="s">
        <v>1729</v>
      </c>
      <c r="J3347" t="s">
        <v>60</v>
      </c>
      <c r="K3347" t="s">
        <v>171</v>
      </c>
      <c r="L3347" t="s">
        <v>62</v>
      </c>
      <c r="M3347" t="s">
        <v>171</v>
      </c>
      <c r="N3347" t="s">
        <v>1730</v>
      </c>
      <c r="O3347" t="s">
        <v>1731</v>
      </c>
      <c r="P3347">
        <v>-20.153237000000001</v>
      </c>
      <c r="Q3347">
        <v>-44.893830999999999</v>
      </c>
      <c r="R3347" s="2" t="str">
        <f>HYPERLINK("https://www.google.com/maps?q=-20.1532370,-44.8938310","Abrir no Google Maps")</f>
        <v>Abrir no Google Maps</v>
      </c>
      <c r="S3347">
        <v>4</v>
      </c>
      <c r="T3347">
        <v>413.69072684661631</v>
      </c>
      <c r="U3347">
        <v>3</v>
      </c>
      <c r="V3347">
        <v>0.44979231483882109</v>
      </c>
      <c r="W3347">
        <v>1</v>
      </c>
      <c r="X3347">
        <v>0.44979231483882109</v>
      </c>
      <c r="Y3347">
        <v>129</v>
      </c>
      <c r="Z3347">
        <v>276.95856023076033</v>
      </c>
      <c r="AA3347">
        <v>198</v>
      </c>
      <c r="AB3347">
        <v>332</v>
      </c>
      <c r="AC3347">
        <v>536</v>
      </c>
      <c r="AD3347">
        <v>28.54</v>
      </c>
      <c r="AE3347">
        <v>542</v>
      </c>
      <c r="AF3347">
        <v>20</v>
      </c>
      <c r="AG3347">
        <v>181</v>
      </c>
      <c r="AH3347">
        <v>129</v>
      </c>
      <c r="AI3347">
        <v>3.69</v>
      </c>
      <c r="AJ3347">
        <v>33.39</v>
      </c>
      <c r="AK3347">
        <v>23.8</v>
      </c>
      <c r="AL3347">
        <v>-20.15278304999995</v>
      </c>
      <c r="AM3347">
        <v>-44.894325691070982</v>
      </c>
      <c r="AN3347">
        <v>-20.15278304999995</v>
      </c>
      <c r="AO3347">
        <v>-44.894325691070982</v>
      </c>
      <c r="AP3347">
        <v>-20.153237000000001</v>
      </c>
      <c r="AQ3347">
        <v>-44.893830999999999</v>
      </c>
      <c r="AR3347">
        <v>72.293093135883012</v>
      </c>
      <c r="AS3347" t="s">
        <v>65</v>
      </c>
      <c r="AT3347">
        <v>1</v>
      </c>
      <c r="AU3347" t="s">
        <v>1732</v>
      </c>
      <c r="AV3347" t="s">
        <v>1733</v>
      </c>
      <c r="AW3347" t="s">
        <v>60</v>
      </c>
      <c r="AX3347" t="s">
        <v>68</v>
      </c>
      <c r="AY3347" t="s">
        <v>69</v>
      </c>
      <c r="AZ3347" t="b">
        <v>1</v>
      </c>
    </row>
    <row r="3348" spans="1:52" x14ac:dyDescent="0.3">
      <c r="A3348" t="s">
        <v>52</v>
      </c>
      <c r="B3348" t="s">
        <v>53</v>
      </c>
      <c r="C3348" t="s">
        <v>54</v>
      </c>
      <c r="D3348" t="s">
        <v>55</v>
      </c>
      <c r="E3348" t="s">
        <v>2200</v>
      </c>
      <c r="F3348" t="s">
        <v>190</v>
      </c>
      <c r="G3348" t="s">
        <v>1660</v>
      </c>
      <c r="H3348" t="s">
        <v>1661</v>
      </c>
      <c r="I3348" t="s">
        <v>1661</v>
      </c>
      <c r="J3348" t="s">
        <v>60</v>
      </c>
      <c r="K3348" t="s">
        <v>164</v>
      </c>
      <c r="L3348" t="s">
        <v>62</v>
      </c>
      <c r="M3348" t="s">
        <v>164</v>
      </c>
      <c r="N3348" t="s">
        <v>1662</v>
      </c>
      <c r="O3348" t="s">
        <v>1663</v>
      </c>
      <c r="P3348">
        <v>-20.181692000000002</v>
      </c>
      <c r="Q3348">
        <v>-44.877276000000002</v>
      </c>
      <c r="R3348" s="2" t="str">
        <f>HYPERLINK("https://www.google.com/maps?q=-20.1816920,-44.8772760","Abrir no Google Maps")</f>
        <v>Abrir no Google Maps</v>
      </c>
      <c r="S3348">
        <v>4</v>
      </c>
      <c r="T3348">
        <v>630.49689192580956</v>
      </c>
      <c r="U3348">
        <v>3</v>
      </c>
      <c r="V3348">
        <v>0.45174067466487722</v>
      </c>
      <c r="W3348">
        <v>1</v>
      </c>
      <c r="X3348">
        <v>0.45174067466487722</v>
      </c>
      <c r="Y3348">
        <v>101</v>
      </c>
      <c r="Z3348">
        <v>732.81472992851411</v>
      </c>
      <c r="AA3348">
        <v>198</v>
      </c>
      <c r="AB3348">
        <v>332</v>
      </c>
      <c r="AC3348">
        <v>536</v>
      </c>
      <c r="AD3348">
        <v>28.54</v>
      </c>
      <c r="AE3348">
        <v>542</v>
      </c>
      <c r="AF3348">
        <v>20</v>
      </c>
      <c r="AG3348">
        <v>181</v>
      </c>
      <c r="AH3348">
        <v>129</v>
      </c>
      <c r="AI3348">
        <v>3.69</v>
      </c>
      <c r="AJ3348">
        <v>33.39</v>
      </c>
      <c r="AK3348">
        <v>23.8</v>
      </c>
      <c r="AL3348">
        <v>-20.181644349999971</v>
      </c>
      <c r="AM3348">
        <v>-44.876890970787557</v>
      </c>
      <c r="AN3348">
        <v>-20.181644349999971</v>
      </c>
      <c r="AO3348">
        <v>-44.876890970787557</v>
      </c>
      <c r="AP3348">
        <v>-20.181692000000002</v>
      </c>
      <c r="AQ3348">
        <v>-44.877276000000002</v>
      </c>
      <c r="AR3348">
        <v>40.578104107908509</v>
      </c>
      <c r="AS3348" t="s">
        <v>65</v>
      </c>
      <c r="AT3348">
        <v>1</v>
      </c>
      <c r="AU3348" t="s">
        <v>1664</v>
      </c>
      <c r="AV3348" t="s">
        <v>1665</v>
      </c>
      <c r="AW3348" t="s">
        <v>60</v>
      </c>
      <c r="AX3348" t="s">
        <v>68</v>
      </c>
      <c r="AY3348" t="s">
        <v>69</v>
      </c>
      <c r="AZ3348" t="b">
        <v>1</v>
      </c>
    </row>
    <row r="3349" spans="1:52" x14ac:dyDescent="0.3">
      <c r="A3349" t="s">
        <v>52</v>
      </c>
      <c r="B3349" t="s">
        <v>53</v>
      </c>
      <c r="C3349" t="s">
        <v>54</v>
      </c>
      <c r="D3349" t="s">
        <v>55</v>
      </c>
      <c r="E3349" t="s">
        <v>2200</v>
      </c>
      <c r="F3349" t="s">
        <v>190</v>
      </c>
      <c r="G3349" t="s">
        <v>373</v>
      </c>
      <c r="H3349" t="s">
        <v>374</v>
      </c>
      <c r="I3349" t="s">
        <v>374</v>
      </c>
      <c r="J3349" t="s">
        <v>60</v>
      </c>
      <c r="K3349" t="s">
        <v>375</v>
      </c>
      <c r="L3349" t="s">
        <v>62</v>
      </c>
      <c r="M3349" t="s">
        <v>375</v>
      </c>
      <c r="N3349" t="s">
        <v>376</v>
      </c>
      <c r="O3349" t="s">
        <v>377</v>
      </c>
      <c r="P3349">
        <v>-20.178172</v>
      </c>
      <c r="Q3349">
        <v>-44.882871999999999</v>
      </c>
      <c r="R3349" s="2" t="str">
        <f>HYPERLINK("https://www.google.com/maps?q=-20.1781720,-44.8828720","Abrir no Google Maps")</f>
        <v>Abrir no Google Maps</v>
      </c>
      <c r="S3349">
        <v>4</v>
      </c>
      <c r="T3349">
        <v>817.23317190190858</v>
      </c>
      <c r="U3349">
        <v>3</v>
      </c>
      <c r="V3349">
        <v>0.45860745614035081</v>
      </c>
      <c r="W3349">
        <v>1</v>
      </c>
      <c r="X3349">
        <v>0.45860745614035081</v>
      </c>
      <c r="Y3349">
        <v>101</v>
      </c>
      <c r="Z3349">
        <v>845.03006728789421</v>
      </c>
      <c r="AA3349">
        <v>198</v>
      </c>
      <c r="AB3349">
        <v>332</v>
      </c>
      <c r="AC3349">
        <v>536</v>
      </c>
      <c r="AD3349">
        <v>28.54</v>
      </c>
      <c r="AE3349">
        <v>542</v>
      </c>
      <c r="AF3349">
        <v>20</v>
      </c>
      <c r="AG3349">
        <v>181</v>
      </c>
      <c r="AH3349">
        <v>129</v>
      </c>
      <c r="AI3349">
        <v>3.69</v>
      </c>
      <c r="AJ3349">
        <v>33.39</v>
      </c>
      <c r="AK3349">
        <v>23.8</v>
      </c>
      <c r="AL3349">
        <v>-20.178380049999959</v>
      </c>
      <c r="AM3349">
        <v>-44.883070555357122</v>
      </c>
      <c r="AN3349">
        <v>-20.178380049999959</v>
      </c>
      <c r="AO3349">
        <v>-44.883070555357122</v>
      </c>
      <c r="AP3349">
        <v>-20.178172</v>
      </c>
      <c r="AQ3349">
        <v>-44.882871999999999</v>
      </c>
      <c r="AR3349">
        <v>31.093588149250511</v>
      </c>
      <c r="AS3349" t="s">
        <v>65</v>
      </c>
      <c r="AT3349">
        <v>1</v>
      </c>
      <c r="AU3349" t="s">
        <v>378</v>
      </c>
      <c r="AV3349" t="s">
        <v>379</v>
      </c>
      <c r="AW3349" t="s">
        <v>60</v>
      </c>
      <c r="AX3349" t="s">
        <v>68</v>
      </c>
      <c r="AY3349" t="s">
        <v>69</v>
      </c>
      <c r="AZ3349" t="b">
        <v>1</v>
      </c>
    </row>
    <row r="3350" spans="1:52" x14ac:dyDescent="0.3">
      <c r="A3350" t="s">
        <v>52</v>
      </c>
      <c r="B3350" t="s">
        <v>53</v>
      </c>
      <c r="C3350" t="s">
        <v>54</v>
      </c>
      <c r="D3350" t="s">
        <v>55</v>
      </c>
      <c r="E3350" t="s">
        <v>2200</v>
      </c>
      <c r="F3350" t="s">
        <v>190</v>
      </c>
      <c r="G3350" t="s">
        <v>1679</v>
      </c>
      <c r="H3350" t="s">
        <v>1680</v>
      </c>
      <c r="I3350" t="s">
        <v>1680</v>
      </c>
      <c r="J3350" t="s">
        <v>60</v>
      </c>
      <c r="K3350" t="s">
        <v>1681</v>
      </c>
      <c r="L3350" t="s">
        <v>62</v>
      </c>
      <c r="M3350" t="s">
        <v>1681</v>
      </c>
      <c r="N3350" t="s">
        <v>1682</v>
      </c>
      <c r="O3350" t="s">
        <v>315</v>
      </c>
      <c r="P3350">
        <v>-20.136075999999999</v>
      </c>
      <c r="Q3350">
        <v>-44.854410999999999</v>
      </c>
      <c r="R3350" s="2" t="str">
        <f>HYPERLINK("https://www.google.com/maps?q=-20.1360760,-44.8544110","Abrir no Google Maps")</f>
        <v>Abrir no Google Maps</v>
      </c>
      <c r="S3350">
        <v>4</v>
      </c>
      <c r="T3350">
        <v>923.14535705095284</v>
      </c>
      <c r="U3350">
        <v>3</v>
      </c>
      <c r="V3350">
        <v>0.46659254387338578</v>
      </c>
      <c r="W3350">
        <v>1</v>
      </c>
      <c r="X3350">
        <v>0.46659254387338578</v>
      </c>
      <c r="Y3350">
        <v>95</v>
      </c>
      <c r="Z3350">
        <v>512.25410822465881</v>
      </c>
      <c r="AA3350">
        <v>198</v>
      </c>
      <c r="AB3350">
        <v>332</v>
      </c>
      <c r="AC3350">
        <v>536</v>
      </c>
      <c r="AD3350">
        <v>28.54</v>
      </c>
      <c r="AE3350">
        <v>542</v>
      </c>
      <c r="AF3350">
        <v>20</v>
      </c>
      <c r="AG3350">
        <v>181</v>
      </c>
      <c r="AH3350">
        <v>129</v>
      </c>
      <c r="AI3350">
        <v>3.69</v>
      </c>
      <c r="AJ3350">
        <v>33.39</v>
      </c>
      <c r="AK3350">
        <v>23.8</v>
      </c>
      <c r="AL3350">
        <v>-20.13612434999996</v>
      </c>
      <c r="AM3350">
        <v>-44.854448179058288</v>
      </c>
      <c r="AN3350">
        <v>-20.13612434999996</v>
      </c>
      <c r="AO3350">
        <v>-44.854448179058288</v>
      </c>
      <c r="AP3350">
        <v>-20.136075999999999</v>
      </c>
      <c r="AQ3350">
        <v>-44.854410999999999</v>
      </c>
      <c r="AR3350">
        <v>6.6384360450222868</v>
      </c>
      <c r="AS3350" t="s">
        <v>65</v>
      </c>
      <c r="AT3350">
        <v>1</v>
      </c>
      <c r="AU3350" t="s">
        <v>1683</v>
      </c>
      <c r="AV3350" t="s">
        <v>1684</v>
      </c>
      <c r="AW3350" t="s">
        <v>60</v>
      </c>
      <c r="AX3350" t="s">
        <v>68</v>
      </c>
      <c r="AY3350" t="s">
        <v>69</v>
      </c>
      <c r="AZ3350" t="b">
        <v>1</v>
      </c>
    </row>
    <row r="3351" spans="1:52" x14ac:dyDescent="0.3">
      <c r="A3351" t="s">
        <v>52</v>
      </c>
      <c r="B3351" t="s">
        <v>53</v>
      </c>
      <c r="C3351" t="s">
        <v>54</v>
      </c>
      <c r="D3351" t="s">
        <v>55</v>
      </c>
      <c r="E3351" t="s">
        <v>2200</v>
      </c>
      <c r="F3351" t="s">
        <v>190</v>
      </c>
      <c r="G3351" t="s">
        <v>380</v>
      </c>
      <c r="H3351" t="s">
        <v>381</v>
      </c>
      <c r="I3351" t="s">
        <v>381</v>
      </c>
      <c r="J3351" t="s">
        <v>60</v>
      </c>
      <c r="K3351" t="s">
        <v>72</v>
      </c>
      <c r="L3351" t="s">
        <v>62</v>
      </c>
      <c r="M3351" t="s">
        <v>72</v>
      </c>
      <c r="N3351" t="s">
        <v>382</v>
      </c>
      <c r="O3351" t="s">
        <v>383</v>
      </c>
      <c r="P3351">
        <v>-20.147182000000001</v>
      </c>
      <c r="Q3351">
        <v>-44.912728999999999</v>
      </c>
      <c r="R3351" s="2" t="str">
        <f>HYPERLINK("https://www.google.com/maps?q=-20.1471820,-44.9127290","Abrir no Google Maps")</f>
        <v>Abrir no Google Maps</v>
      </c>
      <c r="S3351">
        <v>3</v>
      </c>
      <c r="T3351">
        <v>478.0141981540923</v>
      </c>
      <c r="U3351">
        <v>4</v>
      </c>
      <c r="V3351">
        <v>0.474016190916213</v>
      </c>
      <c r="W3351">
        <v>1</v>
      </c>
      <c r="X3351">
        <v>0.474016190916213</v>
      </c>
      <c r="Y3351">
        <v>747</v>
      </c>
      <c r="Z3351">
        <v>494.0254290673729</v>
      </c>
      <c r="AA3351">
        <v>198</v>
      </c>
      <c r="AB3351">
        <v>332</v>
      </c>
      <c r="AC3351">
        <v>536</v>
      </c>
      <c r="AD3351">
        <v>28.54</v>
      </c>
      <c r="AE3351">
        <v>542</v>
      </c>
      <c r="AF3351">
        <v>20</v>
      </c>
      <c r="AG3351">
        <v>181</v>
      </c>
      <c r="AH3351">
        <v>129</v>
      </c>
      <c r="AI3351">
        <v>3.69</v>
      </c>
      <c r="AJ3351">
        <v>33.39</v>
      </c>
      <c r="AK3351">
        <v>23.8</v>
      </c>
      <c r="AL3351">
        <v>-20.147375599999979</v>
      </c>
      <c r="AM3351">
        <v>-44.912907472879468</v>
      </c>
      <c r="AN3351">
        <v>-20.147375599999979</v>
      </c>
      <c r="AO3351">
        <v>-44.912907472879468</v>
      </c>
      <c r="AP3351">
        <v>-20.147182000000001</v>
      </c>
      <c r="AQ3351">
        <v>-44.912728999999999</v>
      </c>
      <c r="AR3351">
        <v>28.50197694184326</v>
      </c>
      <c r="AS3351" t="s">
        <v>65</v>
      </c>
      <c r="AT3351">
        <v>1</v>
      </c>
      <c r="AU3351" t="s">
        <v>384</v>
      </c>
      <c r="AV3351" t="s">
        <v>385</v>
      </c>
      <c r="AW3351" t="s">
        <v>60</v>
      </c>
      <c r="AX3351" t="s">
        <v>68</v>
      </c>
      <c r="AY3351" t="s">
        <v>69</v>
      </c>
      <c r="AZ3351" t="b">
        <v>1</v>
      </c>
    </row>
    <row r="3352" spans="1:52" x14ac:dyDescent="0.3">
      <c r="A3352" t="s">
        <v>52</v>
      </c>
      <c r="B3352" t="s">
        <v>53</v>
      </c>
      <c r="C3352" t="s">
        <v>54</v>
      </c>
      <c r="D3352" t="s">
        <v>55</v>
      </c>
      <c r="E3352" t="s">
        <v>2200</v>
      </c>
      <c r="F3352" t="s">
        <v>190</v>
      </c>
      <c r="G3352" t="s">
        <v>839</v>
      </c>
      <c r="H3352" t="s">
        <v>840</v>
      </c>
      <c r="I3352" t="s">
        <v>840</v>
      </c>
      <c r="J3352" t="s">
        <v>60</v>
      </c>
      <c r="K3352" t="s">
        <v>388</v>
      </c>
      <c r="L3352" t="s">
        <v>62</v>
      </c>
      <c r="M3352" t="s">
        <v>388</v>
      </c>
      <c r="N3352" t="s">
        <v>841</v>
      </c>
      <c r="O3352" t="s">
        <v>842</v>
      </c>
      <c r="P3352">
        <v>-20.159977999999999</v>
      </c>
      <c r="Q3352">
        <v>-44.900207000000002</v>
      </c>
      <c r="R3352" s="2" t="str">
        <f>HYPERLINK("https://www.google.com/maps?q=-20.1599780,-44.9002070","Abrir no Google Maps")</f>
        <v>Abrir no Google Maps</v>
      </c>
      <c r="S3352">
        <v>3</v>
      </c>
      <c r="T3352">
        <v>213.24333517300789</v>
      </c>
      <c r="U3352">
        <v>4</v>
      </c>
      <c r="V3352">
        <v>0.47133301481127571</v>
      </c>
      <c r="W3352">
        <v>1</v>
      </c>
      <c r="X3352">
        <v>0.47133301481127571</v>
      </c>
      <c r="Y3352">
        <v>729</v>
      </c>
      <c r="Z3352">
        <v>315.47173727880028</v>
      </c>
      <c r="AA3352">
        <v>198</v>
      </c>
      <c r="AB3352">
        <v>332</v>
      </c>
      <c r="AC3352">
        <v>536</v>
      </c>
      <c r="AD3352">
        <v>28.54</v>
      </c>
      <c r="AE3352">
        <v>542</v>
      </c>
      <c r="AF3352">
        <v>20</v>
      </c>
      <c r="AG3352">
        <v>181</v>
      </c>
      <c r="AH3352">
        <v>129</v>
      </c>
      <c r="AI3352">
        <v>3.69</v>
      </c>
      <c r="AJ3352">
        <v>33.39</v>
      </c>
      <c r="AK3352">
        <v>23.8</v>
      </c>
      <c r="AL3352">
        <v>-20.159825649999959</v>
      </c>
      <c r="AM3352">
        <v>-44.900143828909613</v>
      </c>
      <c r="AN3352">
        <v>-20.159825649999959</v>
      </c>
      <c r="AO3352">
        <v>-44.900143828909613</v>
      </c>
      <c r="AP3352">
        <v>-20.159977999999999</v>
      </c>
      <c r="AQ3352">
        <v>-44.900207000000002</v>
      </c>
      <c r="AR3352">
        <v>18.199073573580371</v>
      </c>
      <c r="AS3352" t="s">
        <v>65</v>
      </c>
      <c r="AT3352">
        <v>1</v>
      </c>
      <c r="AU3352" t="s">
        <v>843</v>
      </c>
      <c r="AV3352" t="s">
        <v>844</v>
      </c>
      <c r="AW3352" t="s">
        <v>60</v>
      </c>
      <c r="AX3352" t="s">
        <v>68</v>
      </c>
      <c r="AY3352" t="s">
        <v>69</v>
      </c>
      <c r="AZ3352" t="b">
        <v>1</v>
      </c>
    </row>
    <row r="3353" spans="1:52" x14ac:dyDescent="0.3">
      <c r="A3353" t="s">
        <v>52</v>
      </c>
      <c r="B3353" t="s">
        <v>53</v>
      </c>
      <c r="C3353" t="s">
        <v>54</v>
      </c>
      <c r="D3353" t="s">
        <v>55</v>
      </c>
      <c r="E3353" t="s">
        <v>2200</v>
      </c>
      <c r="F3353" t="s">
        <v>190</v>
      </c>
      <c r="G3353" t="s">
        <v>398</v>
      </c>
      <c r="H3353" t="s">
        <v>399</v>
      </c>
      <c r="I3353" t="s">
        <v>399</v>
      </c>
      <c r="J3353" t="s">
        <v>60</v>
      </c>
      <c r="K3353" t="s">
        <v>388</v>
      </c>
      <c r="L3353" t="s">
        <v>62</v>
      </c>
      <c r="M3353" t="s">
        <v>388</v>
      </c>
      <c r="N3353" t="s">
        <v>400</v>
      </c>
      <c r="O3353" t="s">
        <v>401</v>
      </c>
      <c r="P3353">
        <v>-20.160157000000002</v>
      </c>
      <c r="Q3353">
        <v>-44.904347999999999</v>
      </c>
      <c r="R3353" s="2" t="str">
        <f>HYPERLINK("https://www.google.com/maps?q=-20.1601570,-44.9043480","Abrir no Google Maps")</f>
        <v>Abrir no Google Maps</v>
      </c>
      <c r="S3353">
        <v>3</v>
      </c>
      <c r="T3353">
        <v>469.26088527154809</v>
      </c>
      <c r="U3353">
        <v>4</v>
      </c>
      <c r="V3353">
        <v>0.50902683058986187</v>
      </c>
      <c r="W3353">
        <v>1</v>
      </c>
      <c r="X3353">
        <v>0.50902683058986187</v>
      </c>
      <c r="Y3353">
        <v>729</v>
      </c>
      <c r="Z3353">
        <v>253.57832452309071</v>
      </c>
      <c r="AA3353">
        <v>198</v>
      </c>
      <c r="AB3353">
        <v>332</v>
      </c>
      <c r="AC3353">
        <v>536</v>
      </c>
      <c r="AD3353">
        <v>28.54</v>
      </c>
      <c r="AE3353">
        <v>542</v>
      </c>
      <c r="AF3353">
        <v>20</v>
      </c>
      <c r="AG3353">
        <v>181</v>
      </c>
      <c r="AH3353">
        <v>129</v>
      </c>
      <c r="AI3353">
        <v>3.69</v>
      </c>
      <c r="AJ3353">
        <v>33.39</v>
      </c>
      <c r="AK3353">
        <v>23.8</v>
      </c>
      <c r="AL3353">
        <v>-20.160007949999969</v>
      </c>
      <c r="AM3353">
        <v>-44.904396608560482</v>
      </c>
      <c r="AN3353">
        <v>-20.160007949999969</v>
      </c>
      <c r="AO3353">
        <v>-44.904396608560482</v>
      </c>
      <c r="AP3353">
        <v>-20.160157000000002</v>
      </c>
      <c r="AQ3353">
        <v>-44.904347999999999</v>
      </c>
      <c r="AR3353">
        <v>17.35237255387942</v>
      </c>
      <c r="AS3353" t="s">
        <v>65</v>
      </c>
      <c r="AT3353">
        <v>1</v>
      </c>
      <c r="AU3353" t="s">
        <v>402</v>
      </c>
      <c r="AV3353" t="s">
        <v>403</v>
      </c>
      <c r="AW3353" t="s">
        <v>60</v>
      </c>
      <c r="AX3353" t="s">
        <v>68</v>
      </c>
      <c r="AY3353" t="s">
        <v>69</v>
      </c>
      <c r="AZ3353" t="b">
        <v>1</v>
      </c>
    </row>
    <row r="3354" spans="1:52" x14ac:dyDescent="0.3">
      <c r="A3354" t="s">
        <v>52</v>
      </c>
      <c r="B3354" t="s">
        <v>53</v>
      </c>
      <c r="C3354" t="s">
        <v>54</v>
      </c>
      <c r="D3354" t="s">
        <v>55</v>
      </c>
      <c r="E3354" t="s">
        <v>2200</v>
      </c>
      <c r="F3354" t="s">
        <v>190</v>
      </c>
      <c r="G3354" t="s">
        <v>404</v>
      </c>
      <c r="H3354" t="s">
        <v>405</v>
      </c>
      <c r="I3354" t="s">
        <v>405</v>
      </c>
      <c r="J3354" t="s">
        <v>60</v>
      </c>
      <c r="K3354" t="s">
        <v>388</v>
      </c>
      <c r="L3354" t="s">
        <v>62</v>
      </c>
      <c r="M3354" t="s">
        <v>388</v>
      </c>
      <c r="N3354" t="s">
        <v>406</v>
      </c>
      <c r="O3354" t="s">
        <v>407</v>
      </c>
      <c r="P3354">
        <v>-20.162780999999999</v>
      </c>
      <c r="Q3354">
        <v>-44.904437999999999</v>
      </c>
      <c r="R3354" s="2" t="str">
        <f>HYPERLINK("https://www.google.com/maps?q=-20.1627810,-44.9044380","Abrir no Google Maps")</f>
        <v>Abrir no Google Maps</v>
      </c>
      <c r="S3354">
        <v>3</v>
      </c>
      <c r="T3354">
        <v>681.0891377731482</v>
      </c>
      <c r="U3354">
        <v>4</v>
      </c>
      <c r="V3354">
        <v>0.53171005960831308</v>
      </c>
      <c r="W3354">
        <v>1</v>
      </c>
      <c r="X3354">
        <v>0.53171005960831308</v>
      </c>
      <c r="Y3354">
        <v>729</v>
      </c>
      <c r="Z3354">
        <v>564.17713687218622</v>
      </c>
      <c r="AA3354">
        <v>198</v>
      </c>
      <c r="AB3354">
        <v>332</v>
      </c>
      <c r="AC3354">
        <v>536</v>
      </c>
      <c r="AD3354">
        <v>28.54</v>
      </c>
      <c r="AE3354">
        <v>542</v>
      </c>
      <c r="AF3354">
        <v>20</v>
      </c>
      <c r="AG3354">
        <v>181</v>
      </c>
      <c r="AH3354">
        <v>129</v>
      </c>
      <c r="AI3354">
        <v>3.69</v>
      </c>
      <c r="AJ3354">
        <v>33.39</v>
      </c>
      <c r="AK3354">
        <v>23.8</v>
      </c>
      <c r="AL3354">
        <v>-20.16295434999995</v>
      </c>
      <c r="AM3354">
        <v>-44.904242686956152</v>
      </c>
      <c r="AN3354">
        <v>-20.16295434999995</v>
      </c>
      <c r="AO3354">
        <v>-44.904242686956152</v>
      </c>
      <c r="AP3354">
        <v>-20.162780999999999</v>
      </c>
      <c r="AQ3354">
        <v>-44.904437999999999</v>
      </c>
      <c r="AR3354">
        <v>28.088191280523411</v>
      </c>
      <c r="AS3354" t="s">
        <v>65</v>
      </c>
      <c r="AT3354">
        <v>1</v>
      </c>
      <c r="AU3354" t="s">
        <v>408</v>
      </c>
      <c r="AV3354" t="s">
        <v>409</v>
      </c>
      <c r="AW3354" t="s">
        <v>60</v>
      </c>
      <c r="AX3354" t="s">
        <v>68</v>
      </c>
      <c r="AY3354" t="s">
        <v>69</v>
      </c>
      <c r="AZ3354" t="b">
        <v>1</v>
      </c>
    </row>
    <row r="3355" spans="1:52" x14ac:dyDescent="0.3">
      <c r="A3355" t="s">
        <v>52</v>
      </c>
      <c r="B3355" t="s">
        <v>53</v>
      </c>
      <c r="C3355" t="s">
        <v>54</v>
      </c>
      <c r="D3355" t="s">
        <v>55</v>
      </c>
      <c r="E3355" t="s">
        <v>2200</v>
      </c>
      <c r="F3355" t="s">
        <v>190</v>
      </c>
      <c r="G3355" t="s">
        <v>410</v>
      </c>
      <c r="H3355" t="s">
        <v>411</v>
      </c>
      <c r="I3355" t="s">
        <v>411</v>
      </c>
      <c r="J3355" t="s">
        <v>60</v>
      </c>
      <c r="K3355" t="s">
        <v>388</v>
      </c>
      <c r="L3355" t="s">
        <v>62</v>
      </c>
      <c r="M3355" t="s">
        <v>388</v>
      </c>
      <c r="N3355" t="s">
        <v>412</v>
      </c>
      <c r="O3355" t="s">
        <v>413</v>
      </c>
      <c r="P3355">
        <v>-20.161394000000001</v>
      </c>
      <c r="Q3355">
        <v>-44.906725999999999</v>
      </c>
      <c r="R3355" s="2" t="str">
        <f>HYPERLINK("https://www.google.com/maps?q=-20.1613940,-44.9067260","Abrir no Google Maps")</f>
        <v>Abrir no Google Maps</v>
      </c>
      <c r="S3355">
        <v>3</v>
      </c>
      <c r="T3355">
        <v>763.68157548493457</v>
      </c>
      <c r="U3355">
        <v>4</v>
      </c>
      <c r="V3355">
        <v>0.51259041698184571</v>
      </c>
      <c r="W3355">
        <v>1</v>
      </c>
      <c r="X3355">
        <v>0.51259041698184571</v>
      </c>
      <c r="Y3355">
        <v>729</v>
      </c>
      <c r="Z3355">
        <v>551.70379325948545</v>
      </c>
      <c r="AA3355">
        <v>198</v>
      </c>
      <c r="AB3355">
        <v>332</v>
      </c>
      <c r="AC3355">
        <v>536</v>
      </c>
      <c r="AD3355">
        <v>28.54</v>
      </c>
      <c r="AE3355">
        <v>542</v>
      </c>
      <c r="AF3355">
        <v>20</v>
      </c>
      <c r="AG3355">
        <v>181</v>
      </c>
      <c r="AH3355">
        <v>129</v>
      </c>
      <c r="AI3355">
        <v>3.69</v>
      </c>
      <c r="AJ3355">
        <v>33.39</v>
      </c>
      <c r="AK3355">
        <v>23.8</v>
      </c>
      <c r="AL3355">
        <v>-20.161371049999929</v>
      </c>
      <c r="AM3355">
        <v>-44.906816797310228</v>
      </c>
      <c r="AN3355">
        <v>-20.161371049999929</v>
      </c>
      <c r="AO3355">
        <v>-44.906816797310228</v>
      </c>
      <c r="AP3355">
        <v>-20.161394000000001</v>
      </c>
      <c r="AQ3355">
        <v>-44.906725999999999</v>
      </c>
      <c r="AR3355">
        <v>9.8261555662022495</v>
      </c>
      <c r="AS3355" t="s">
        <v>65</v>
      </c>
      <c r="AT3355">
        <v>1</v>
      </c>
      <c r="AU3355" t="s">
        <v>414</v>
      </c>
      <c r="AV3355" t="s">
        <v>415</v>
      </c>
      <c r="AW3355" t="s">
        <v>60</v>
      </c>
      <c r="AX3355" t="s">
        <v>68</v>
      </c>
      <c r="AY3355" t="s">
        <v>69</v>
      </c>
      <c r="AZ3355" t="b">
        <v>1</v>
      </c>
    </row>
    <row r="3356" spans="1:52" x14ac:dyDescent="0.3">
      <c r="A3356" t="s">
        <v>52</v>
      </c>
      <c r="B3356" t="s">
        <v>53</v>
      </c>
      <c r="C3356" t="s">
        <v>54</v>
      </c>
      <c r="D3356" t="s">
        <v>55</v>
      </c>
      <c r="E3356" t="s">
        <v>2200</v>
      </c>
      <c r="F3356" t="s">
        <v>190</v>
      </c>
      <c r="G3356" t="s">
        <v>416</v>
      </c>
      <c r="H3356" t="s">
        <v>417</v>
      </c>
      <c r="I3356" t="s">
        <v>417</v>
      </c>
      <c r="J3356" t="s">
        <v>60</v>
      </c>
      <c r="K3356" t="s">
        <v>418</v>
      </c>
      <c r="L3356" t="s">
        <v>62</v>
      </c>
      <c r="M3356" t="s">
        <v>418</v>
      </c>
      <c r="N3356" t="s">
        <v>419</v>
      </c>
      <c r="O3356" t="s">
        <v>202</v>
      </c>
      <c r="P3356">
        <v>-20.169886000000002</v>
      </c>
      <c r="Q3356">
        <v>-44.913288000000001</v>
      </c>
      <c r="R3356" s="2" t="str">
        <f>HYPERLINK("https://www.google.com/maps?q=-20.1698860,-44.9132880","Abrir no Google Maps")</f>
        <v>Abrir no Google Maps</v>
      </c>
      <c r="S3356">
        <v>3</v>
      </c>
      <c r="T3356">
        <v>422.88733632898152</v>
      </c>
      <c r="U3356">
        <v>4</v>
      </c>
      <c r="V3356">
        <v>0.53712954870491014</v>
      </c>
      <c r="W3356">
        <v>1</v>
      </c>
      <c r="X3356">
        <v>0.53712954870491014</v>
      </c>
      <c r="Y3356">
        <v>723</v>
      </c>
      <c r="Z3356">
        <v>128.65003864232261</v>
      </c>
      <c r="AA3356">
        <v>198</v>
      </c>
      <c r="AB3356">
        <v>332</v>
      </c>
      <c r="AC3356">
        <v>536</v>
      </c>
      <c r="AD3356">
        <v>28.54</v>
      </c>
      <c r="AE3356">
        <v>542</v>
      </c>
      <c r="AF3356">
        <v>20</v>
      </c>
      <c r="AG3356">
        <v>181</v>
      </c>
      <c r="AH3356">
        <v>129</v>
      </c>
      <c r="AI3356">
        <v>3.69</v>
      </c>
      <c r="AJ3356">
        <v>33.39</v>
      </c>
      <c r="AK3356">
        <v>23.8</v>
      </c>
      <c r="AL3356">
        <v>-20.16970024999998</v>
      </c>
      <c r="AM3356">
        <v>-44.913502201257437</v>
      </c>
      <c r="AN3356">
        <v>-20.16970024999998</v>
      </c>
      <c r="AO3356">
        <v>-44.913502201257437</v>
      </c>
      <c r="AP3356">
        <v>-20.169886000000002</v>
      </c>
      <c r="AQ3356">
        <v>-44.913288000000001</v>
      </c>
      <c r="AR3356">
        <v>30.47208587597606</v>
      </c>
      <c r="AS3356" t="s">
        <v>65</v>
      </c>
      <c r="AT3356">
        <v>1</v>
      </c>
      <c r="AU3356" t="s">
        <v>420</v>
      </c>
      <c r="AV3356" t="s">
        <v>421</v>
      </c>
      <c r="AW3356" t="s">
        <v>60</v>
      </c>
      <c r="AX3356" t="s">
        <v>68</v>
      </c>
      <c r="AY3356" t="s">
        <v>69</v>
      </c>
      <c r="AZ3356" t="b">
        <v>1</v>
      </c>
    </row>
    <row r="3357" spans="1:52" x14ac:dyDescent="0.3">
      <c r="A3357" t="s">
        <v>52</v>
      </c>
      <c r="B3357" t="s">
        <v>53</v>
      </c>
      <c r="C3357" t="s">
        <v>54</v>
      </c>
      <c r="D3357" t="s">
        <v>55</v>
      </c>
      <c r="E3357" t="s">
        <v>2200</v>
      </c>
      <c r="F3357" t="s">
        <v>190</v>
      </c>
      <c r="G3357" t="s">
        <v>422</v>
      </c>
      <c r="H3357" t="s">
        <v>423</v>
      </c>
      <c r="I3357" t="s">
        <v>423</v>
      </c>
      <c r="J3357" t="s">
        <v>60</v>
      </c>
      <c r="K3357" t="s">
        <v>424</v>
      </c>
      <c r="L3357" t="s">
        <v>62</v>
      </c>
      <c r="M3357" t="s">
        <v>424</v>
      </c>
      <c r="N3357" t="s">
        <v>425</v>
      </c>
      <c r="O3357" t="s">
        <v>426</v>
      </c>
      <c r="P3357">
        <v>-20.177748000000001</v>
      </c>
      <c r="Q3357">
        <v>-44.912475000000001</v>
      </c>
      <c r="R3357" s="2" t="str">
        <f>HYPERLINK("https://www.google.com/maps?q=-20.1777480,-44.9124750","Abrir no Google Maps")</f>
        <v>Abrir no Google Maps</v>
      </c>
      <c r="S3357">
        <v>3</v>
      </c>
      <c r="T3357">
        <v>657.07560140436533</v>
      </c>
      <c r="U3357">
        <v>4</v>
      </c>
      <c r="V3357">
        <v>0.48003809191491831</v>
      </c>
      <c r="W3357">
        <v>1</v>
      </c>
      <c r="X3357">
        <v>0.48003809191491831</v>
      </c>
      <c r="Y3357">
        <v>723</v>
      </c>
      <c r="Z3357">
        <v>796.94198000561175</v>
      </c>
      <c r="AA3357">
        <v>198</v>
      </c>
      <c r="AB3357">
        <v>332</v>
      </c>
      <c r="AC3357">
        <v>536</v>
      </c>
      <c r="AD3357">
        <v>28.54</v>
      </c>
      <c r="AE3357">
        <v>542</v>
      </c>
      <c r="AF3357">
        <v>20</v>
      </c>
      <c r="AG3357">
        <v>181</v>
      </c>
      <c r="AH3357">
        <v>129</v>
      </c>
      <c r="AI3357">
        <v>3.69</v>
      </c>
      <c r="AJ3357">
        <v>33.39</v>
      </c>
      <c r="AK3357">
        <v>23.8</v>
      </c>
      <c r="AL3357">
        <v>-20.177761749999949</v>
      </c>
      <c r="AM3357">
        <v>-44.91263311624418</v>
      </c>
      <c r="AN3357">
        <v>-20.177761749999949</v>
      </c>
      <c r="AO3357">
        <v>-44.91263311624418</v>
      </c>
      <c r="AP3357">
        <v>-20.177748000000001</v>
      </c>
      <c r="AQ3357">
        <v>-44.912475000000001</v>
      </c>
      <c r="AR3357">
        <v>16.591996803075372</v>
      </c>
      <c r="AS3357" t="s">
        <v>65</v>
      </c>
      <c r="AT3357">
        <v>1</v>
      </c>
      <c r="AU3357" t="s">
        <v>427</v>
      </c>
      <c r="AV3357" t="s">
        <v>428</v>
      </c>
      <c r="AW3357" t="s">
        <v>60</v>
      </c>
      <c r="AX3357" t="s">
        <v>68</v>
      </c>
      <c r="AY3357" t="s">
        <v>69</v>
      </c>
      <c r="AZ3357" t="b">
        <v>1</v>
      </c>
    </row>
    <row r="3358" spans="1:52" x14ac:dyDescent="0.3">
      <c r="A3358" t="s">
        <v>52</v>
      </c>
      <c r="B3358" t="s">
        <v>53</v>
      </c>
      <c r="C3358" t="s">
        <v>54</v>
      </c>
      <c r="D3358" t="s">
        <v>55</v>
      </c>
      <c r="E3358" t="s">
        <v>2200</v>
      </c>
      <c r="F3358" t="s">
        <v>190</v>
      </c>
      <c r="G3358" t="s">
        <v>429</v>
      </c>
      <c r="H3358" t="s">
        <v>430</v>
      </c>
      <c r="I3358" t="s">
        <v>430</v>
      </c>
      <c r="J3358" t="s">
        <v>60</v>
      </c>
      <c r="K3358" t="s">
        <v>431</v>
      </c>
      <c r="L3358" t="s">
        <v>62</v>
      </c>
      <c r="M3358" t="s">
        <v>431</v>
      </c>
      <c r="N3358" t="s">
        <v>432</v>
      </c>
      <c r="O3358" t="s">
        <v>315</v>
      </c>
      <c r="P3358">
        <v>-20.172698</v>
      </c>
      <c r="Q3358">
        <v>-44.923842</v>
      </c>
      <c r="R3358" s="2" t="str">
        <f>HYPERLINK("https://www.google.com/maps?q=-20.1726980,-44.9238420","Abrir no Google Maps")</f>
        <v>Abrir no Google Maps</v>
      </c>
      <c r="S3358">
        <v>3</v>
      </c>
      <c r="T3358">
        <v>1376.1843173402931</v>
      </c>
      <c r="U3358">
        <v>4</v>
      </c>
      <c r="V3358">
        <v>0.70710080499819772</v>
      </c>
      <c r="W3358">
        <v>0.85</v>
      </c>
      <c r="X3358">
        <v>0.60103568424846809</v>
      </c>
      <c r="Y3358">
        <v>723</v>
      </c>
      <c r="Z3358">
        <v>1101.340635002096</v>
      </c>
      <c r="AA3358">
        <v>198</v>
      </c>
      <c r="AB3358">
        <v>332</v>
      </c>
      <c r="AC3358">
        <v>536</v>
      </c>
      <c r="AD3358">
        <v>28.54</v>
      </c>
      <c r="AE3358">
        <v>542</v>
      </c>
      <c r="AF3358">
        <v>20</v>
      </c>
      <c r="AG3358">
        <v>181</v>
      </c>
      <c r="AH3358">
        <v>129</v>
      </c>
      <c r="AI3358">
        <v>3.69</v>
      </c>
      <c r="AJ3358">
        <v>33.39</v>
      </c>
      <c r="AK3358">
        <v>23.8</v>
      </c>
      <c r="AL3358">
        <v>-20.172942799999959</v>
      </c>
      <c r="AM3358">
        <v>-44.923585372665762</v>
      </c>
      <c r="AN3358">
        <v>-20.172942799999959</v>
      </c>
      <c r="AO3358">
        <v>-44.923585372665762</v>
      </c>
      <c r="AP3358">
        <v>-20.172698</v>
      </c>
      <c r="AQ3358">
        <v>-44.923842</v>
      </c>
      <c r="AR3358">
        <v>38.231981408478958</v>
      </c>
      <c r="AS3358" t="s">
        <v>65</v>
      </c>
      <c r="AT3358">
        <v>1</v>
      </c>
      <c r="AU3358" t="s">
        <v>433</v>
      </c>
      <c r="AV3358" t="s">
        <v>434</v>
      </c>
      <c r="AW3358" t="s">
        <v>60</v>
      </c>
      <c r="AX3358" t="s">
        <v>68</v>
      </c>
      <c r="AY3358" t="s">
        <v>69</v>
      </c>
      <c r="AZ3358" t="b">
        <v>1</v>
      </c>
    </row>
    <row r="3359" spans="1:52" x14ac:dyDescent="0.3">
      <c r="A3359" t="s">
        <v>52</v>
      </c>
      <c r="B3359" t="s">
        <v>53</v>
      </c>
      <c r="C3359" t="s">
        <v>54</v>
      </c>
      <c r="D3359" t="s">
        <v>55</v>
      </c>
      <c r="E3359" t="s">
        <v>2200</v>
      </c>
      <c r="F3359" t="s">
        <v>190</v>
      </c>
      <c r="G3359" t="s">
        <v>435</v>
      </c>
      <c r="H3359" t="s">
        <v>436</v>
      </c>
      <c r="I3359" t="s">
        <v>436</v>
      </c>
      <c r="J3359" t="s">
        <v>60</v>
      </c>
      <c r="K3359" t="s">
        <v>437</v>
      </c>
      <c r="L3359" t="s">
        <v>62</v>
      </c>
      <c r="M3359" t="s">
        <v>437</v>
      </c>
      <c r="N3359" t="s">
        <v>438</v>
      </c>
      <c r="O3359" t="s">
        <v>439</v>
      </c>
      <c r="P3359">
        <v>-20.145613000000001</v>
      </c>
      <c r="Q3359">
        <v>-44.882375000000003</v>
      </c>
      <c r="R3359" s="2" t="str">
        <f>HYPERLINK("https://www.google.com/maps?q=-20.1456130,-44.8823750","Abrir no Google Maps")</f>
        <v>Abrir no Google Maps</v>
      </c>
      <c r="S3359">
        <v>3</v>
      </c>
      <c r="T3359">
        <v>305.65092112314198</v>
      </c>
      <c r="U3359">
        <v>4</v>
      </c>
      <c r="V3359">
        <v>0.49370269964983621</v>
      </c>
      <c r="W3359">
        <v>1</v>
      </c>
      <c r="X3359">
        <v>0.49370269964983621</v>
      </c>
      <c r="Y3359">
        <v>653</v>
      </c>
      <c r="Z3359">
        <v>349.55297035282501</v>
      </c>
      <c r="AA3359">
        <v>198</v>
      </c>
      <c r="AB3359">
        <v>332</v>
      </c>
      <c r="AC3359">
        <v>536</v>
      </c>
      <c r="AD3359">
        <v>28.54</v>
      </c>
      <c r="AE3359">
        <v>542</v>
      </c>
      <c r="AF3359">
        <v>20</v>
      </c>
      <c r="AG3359">
        <v>181</v>
      </c>
      <c r="AH3359">
        <v>129</v>
      </c>
      <c r="AI3359">
        <v>3.69</v>
      </c>
      <c r="AJ3359">
        <v>33.39</v>
      </c>
      <c r="AK3359">
        <v>23.8</v>
      </c>
      <c r="AL3359">
        <v>-20.14550464999996</v>
      </c>
      <c r="AM3359">
        <v>-44.882157007077737</v>
      </c>
      <c r="AN3359">
        <v>-20.14550464999996</v>
      </c>
      <c r="AO3359">
        <v>-44.882157007077737</v>
      </c>
      <c r="AP3359">
        <v>-20.145613000000001</v>
      </c>
      <c r="AQ3359">
        <v>-44.882375000000003</v>
      </c>
      <c r="AR3359">
        <v>25.77819791856259</v>
      </c>
      <c r="AS3359" t="s">
        <v>65</v>
      </c>
      <c r="AT3359">
        <v>1</v>
      </c>
      <c r="AU3359" t="s">
        <v>440</v>
      </c>
      <c r="AV3359" t="s">
        <v>441</v>
      </c>
      <c r="AW3359" t="s">
        <v>60</v>
      </c>
      <c r="AX3359" t="s">
        <v>68</v>
      </c>
      <c r="AY3359" t="s">
        <v>69</v>
      </c>
      <c r="AZ3359" t="b">
        <v>1</v>
      </c>
    </row>
    <row r="3360" spans="1:52" x14ac:dyDescent="0.3">
      <c r="A3360" t="s">
        <v>52</v>
      </c>
      <c r="B3360" t="s">
        <v>53</v>
      </c>
      <c r="C3360" t="s">
        <v>54</v>
      </c>
      <c r="D3360" t="s">
        <v>55</v>
      </c>
      <c r="E3360" t="s">
        <v>2200</v>
      </c>
      <c r="F3360" t="s">
        <v>190</v>
      </c>
      <c r="G3360" t="s">
        <v>442</v>
      </c>
      <c r="H3360" t="s">
        <v>443</v>
      </c>
      <c r="I3360" t="s">
        <v>443</v>
      </c>
      <c r="J3360" t="s">
        <v>60</v>
      </c>
      <c r="K3360" t="s">
        <v>437</v>
      </c>
      <c r="L3360" t="s">
        <v>62</v>
      </c>
      <c r="M3360" t="s">
        <v>437</v>
      </c>
      <c r="N3360" t="s">
        <v>444</v>
      </c>
      <c r="O3360" t="s">
        <v>445</v>
      </c>
      <c r="P3360">
        <v>-20.149744999999999</v>
      </c>
      <c r="Q3360">
        <v>-44.881385000000002</v>
      </c>
      <c r="R3360" s="2" t="str">
        <f>HYPERLINK("https://www.google.com/maps?q=-20.1497450,-44.8813850","Abrir no Google Maps")</f>
        <v>Abrir no Google Maps</v>
      </c>
      <c r="S3360">
        <v>3</v>
      </c>
      <c r="T3360">
        <v>188.80690546111239</v>
      </c>
      <c r="U3360">
        <v>4</v>
      </c>
      <c r="V3360">
        <v>0.52667616255071426</v>
      </c>
      <c r="W3360">
        <v>1</v>
      </c>
      <c r="X3360">
        <v>0.52667616255071426</v>
      </c>
      <c r="Y3360">
        <v>653</v>
      </c>
      <c r="Z3360">
        <v>86.575080390731017</v>
      </c>
      <c r="AA3360">
        <v>198</v>
      </c>
      <c r="AB3360">
        <v>332</v>
      </c>
      <c r="AC3360">
        <v>536</v>
      </c>
      <c r="AD3360">
        <v>28.54</v>
      </c>
      <c r="AE3360">
        <v>542</v>
      </c>
      <c r="AF3360">
        <v>20</v>
      </c>
      <c r="AG3360">
        <v>181</v>
      </c>
      <c r="AH3360">
        <v>129</v>
      </c>
      <c r="AI3360">
        <v>3.69</v>
      </c>
      <c r="AJ3360">
        <v>33.39</v>
      </c>
      <c r="AK3360">
        <v>23.8</v>
      </c>
      <c r="AL3360">
        <v>-20.149645149999941</v>
      </c>
      <c r="AM3360">
        <v>-44.881504585149607</v>
      </c>
      <c r="AN3360">
        <v>-20.149645149999941</v>
      </c>
      <c r="AO3360">
        <v>-44.881504585149607</v>
      </c>
      <c r="AP3360">
        <v>-20.149744999999999</v>
      </c>
      <c r="AQ3360">
        <v>-44.881385000000002</v>
      </c>
      <c r="AR3360">
        <v>16.725323110840389</v>
      </c>
      <c r="AS3360" t="s">
        <v>65</v>
      </c>
      <c r="AT3360">
        <v>1</v>
      </c>
      <c r="AU3360" t="s">
        <v>446</v>
      </c>
      <c r="AV3360" t="s">
        <v>447</v>
      </c>
      <c r="AW3360" t="s">
        <v>60</v>
      </c>
      <c r="AX3360" t="s">
        <v>68</v>
      </c>
      <c r="AY3360" t="s">
        <v>69</v>
      </c>
      <c r="AZ3360" t="b">
        <v>1</v>
      </c>
    </row>
    <row r="3361" spans="1:52" x14ac:dyDescent="0.3">
      <c r="A3361" t="s">
        <v>52</v>
      </c>
      <c r="B3361" t="s">
        <v>53</v>
      </c>
      <c r="C3361" t="s">
        <v>54</v>
      </c>
      <c r="D3361" t="s">
        <v>55</v>
      </c>
      <c r="E3361" t="s">
        <v>2200</v>
      </c>
      <c r="F3361" t="s">
        <v>190</v>
      </c>
      <c r="G3361" t="s">
        <v>448</v>
      </c>
      <c r="H3361" t="s">
        <v>449</v>
      </c>
      <c r="I3361" t="s">
        <v>449</v>
      </c>
      <c r="J3361" t="s">
        <v>60</v>
      </c>
      <c r="K3361" t="s">
        <v>388</v>
      </c>
      <c r="L3361" t="s">
        <v>62</v>
      </c>
      <c r="M3361" t="s">
        <v>388</v>
      </c>
      <c r="N3361" t="s">
        <v>450</v>
      </c>
      <c r="O3361" t="s">
        <v>451</v>
      </c>
      <c r="P3361">
        <v>-20.163981</v>
      </c>
      <c r="Q3361">
        <v>-44.907128999999998</v>
      </c>
      <c r="R3361" s="2" t="str">
        <f>HYPERLINK("https://www.google.com/maps?q=-20.1639810,-44.9071290","Abrir no Google Maps")</f>
        <v>Abrir no Google Maps</v>
      </c>
      <c r="S3361">
        <v>3</v>
      </c>
      <c r="T3361">
        <v>782.50730806588319</v>
      </c>
      <c r="U3361">
        <v>4</v>
      </c>
      <c r="V3361">
        <v>0.5243884043661895</v>
      </c>
      <c r="W3361">
        <v>1</v>
      </c>
      <c r="X3361">
        <v>0.5243884043661895</v>
      </c>
      <c r="Y3361">
        <v>639</v>
      </c>
      <c r="Z3361">
        <v>710.90621453796166</v>
      </c>
      <c r="AA3361">
        <v>198</v>
      </c>
      <c r="AB3361">
        <v>332</v>
      </c>
      <c r="AC3361">
        <v>536</v>
      </c>
      <c r="AD3361">
        <v>28.54</v>
      </c>
      <c r="AE3361">
        <v>542</v>
      </c>
      <c r="AF3361">
        <v>20</v>
      </c>
      <c r="AG3361">
        <v>181</v>
      </c>
      <c r="AH3361">
        <v>129</v>
      </c>
      <c r="AI3361">
        <v>3.69</v>
      </c>
      <c r="AJ3361">
        <v>33.39</v>
      </c>
      <c r="AK3361">
        <v>23.8</v>
      </c>
      <c r="AL3361">
        <v>-20.163958349999969</v>
      </c>
      <c r="AM3361">
        <v>-44.907180923930973</v>
      </c>
      <c r="AN3361">
        <v>-20.163958349999969</v>
      </c>
      <c r="AO3361">
        <v>-44.907180923930973</v>
      </c>
      <c r="AP3361">
        <v>-20.163981</v>
      </c>
      <c r="AQ3361">
        <v>-44.907128999999998</v>
      </c>
      <c r="AR3361">
        <v>5.9831345092457884</v>
      </c>
      <c r="AS3361" t="s">
        <v>65</v>
      </c>
      <c r="AT3361">
        <v>1</v>
      </c>
      <c r="AU3361" t="s">
        <v>452</v>
      </c>
      <c r="AV3361" t="s">
        <v>453</v>
      </c>
      <c r="AW3361" t="s">
        <v>60</v>
      </c>
      <c r="AX3361" t="s">
        <v>68</v>
      </c>
      <c r="AY3361" t="s">
        <v>69</v>
      </c>
      <c r="AZ3361" t="b">
        <v>1</v>
      </c>
    </row>
    <row r="3362" spans="1:52" x14ac:dyDescent="0.3">
      <c r="A3362" t="s">
        <v>52</v>
      </c>
      <c r="B3362" t="s">
        <v>53</v>
      </c>
      <c r="C3362" t="s">
        <v>54</v>
      </c>
      <c r="D3362" t="s">
        <v>55</v>
      </c>
      <c r="E3362" t="s">
        <v>2200</v>
      </c>
      <c r="F3362" t="s">
        <v>190</v>
      </c>
      <c r="G3362" t="s">
        <v>454</v>
      </c>
      <c r="H3362" t="s">
        <v>455</v>
      </c>
      <c r="I3362" t="s">
        <v>455</v>
      </c>
      <c r="J3362" t="s">
        <v>60</v>
      </c>
      <c r="K3362" t="s">
        <v>456</v>
      </c>
      <c r="L3362" t="s">
        <v>62</v>
      </c>
      <c r="M3362" t="s">
        <v>456</v>
      </c>
      <c r="N3362" t="s">
        <v>102</v>
      </c>
      <c r="O3362" t="s">
        <v>457</v>
      </c>
      <c r="P3362">
        <v>-20.138373999999999</v>
      </c>
      <c r="Q3362">
        <v>-44.903756999999999</v>
      </c>
      <c r="R3362" s="2" t="str">
        <f>HYPERLINK("https://www.google.com/maps?q=-20.1383740,-44.9037570","Abrir no Google Maps")</f>
        <v>Abrir no Google Maps</v>
      </c>
      <c r="S3362">
        <v>3</v>
      </c>
      <c r="T3362">
        <v>357.59466273594461</v>
      </c>
      <c r="U3362">
        <v>4</v>
      </c>
      <c r="V3362">
        <v>0.51475970017636685</v>
      </c>
      <c r="W3362">
        <v>1</v>
      </c>
      <c r="X3362">
        <v>0.51475970017636685</v>
      </c>
      <c r="Y3362">
        <v>581</v>
      </c>
      <c r="Z3362">
        <v>406.92482694505992</v>
      </c>
      <c r="AA3362">
        <v>198</v>
      </c>
      <c r="AB3362">
        <v>332</v>
      </c>
      <c r="AC3362">
        <v>536</v>
      </c>
      <c r="AD3362">
        <v>28.54</v>
      </c>
      <c r="AE3362">
        <v>542</v>
      </c>
      <c r="AF3362">
        <v>20</v>
      </c>
      <c r="AG3362">
        <v>181</v>
      </c>
      <c r="AH3362">
        <v>129</v>
      </c>
      <c r="AI3362">
        <v>3.69</v>
      </c>
      <c r="AJ3362">
        <v>33.39</v>
      </c>
      <c r="AK3362">
        <v>23.8</v>
      </c>
      <c r="AL3362">
        <v>-20.138338199999961</v>
      </c>
      <c r="AM3362">
        <v>-44.903768618976301</v>
      </c>
      <c r="AN3362">
        <v>-20.138338199999961</v>
      </c>
      <c r="AO3362">
        <v>-44.903768618976301</v>
      </c>
      <c r="AP3362">
        <v>-20.138373999999999</v>
      </c>
      <c r="AQ3362">
        <v>-44.903756999999999</v>
      </c>
      <c r="AR3362">
        <v>4.1661625938922704</v>
      </c>
      <c r="AS3362" t="s">
        <v>65</v>
      </c>
      <c r="AT3362">
        <v>1</v>
      </c>
      <c r="AU3362" t="s">
        <v>458</v>
      </c>
      <c r="AV3362" t="s">
        <v>459</v>
      </c>
      <c r="AW3362" t="s">
        <v>60</v>
      </c>
      <c r="AX3362" t="s">
        <v>68</v>
      </c>
      <c r="AY3362" t="s">
        <v>69</v>
      </c>
      <c r="AZ3362" t="b">
        <v>1</v>
      </c>
    </row>
    <row r="3363" spans="1:52" x14ac:dyDescent="0.3">
      <c r="A3363" t="s">
        <v>52</v>
      </c>
      <c r="B3363" t="s">
        <v>53</v>
      </c>
      <c r="C3363" t="s">
        <v>54</v>
      </c>
      <c r="D3363" t="s">
        <v>55</v>
      </c>
      <c r="E3363" t="s">
        <v>2200</v>
      </c>
      <c r="F3363" t="s">
        <v>190</v>
      </c>
      <c r="G3363" t="s">
        <v>460</v>
      </c>
      <c r="H3363" t="s">
        <v>461</v>
      </c>
      <c r="I3363" t="s">
        <v>461</v>
      </c>
      <c r="J3363" t="s">
        <v>60</v>
      </c>
      <c r="K3363" t="s">
        <v>462</v>
      </c>
      <c r="L3363" t="s">
        <v>62</v>
      </c>
      <c r="M3363" t="s">
        <v>462</v>
      </c>
      <c r="N3363" t="s">
        <v>463</v>
      </c>
      <c r="O3363" t="s">
        <v>464</v>
      </c>
      <c r="P3363">
        <v>-20.137919</v>
      </c>
      <c r="Q3363">
        <v>-44.905591000000001</v>
      </c>
      <c r="R3363" s="2" t="str">
        <f>HYPERLINK("https://www.google.com/maps?q=-20.1379190,-44.9055910","Abrir no Google Maps")</f>
        <v>Abrir no Google Maps</v>
      </c>
      <c r="S3363">
        <v>3</v>
      </c>
      <c r="T3363">
        <v>262.01115919461103</v>
      </c>
      <c r="U3363">
        <v>4</v>
      </c>
      <c r="V3363">
        <v>0.54909215206189455</v>
      </c>
      <c r="W3363">
        <v>1</v>
      </c>
      <c r="X3363">
        <v>0.54909215206189455</v>
      </c>
      <c r="Y3363">
        <v>581</v>
      </c>
      <c r="Z3363">
        <v>318.63337303219271</v>
      </c>
      <c r="AA3363">
        <v>198</v>
      </c>
      <c r="AB3363">
        <v>332</v>
      </c>
      <c r="AC3363">
        <v>536</v>
      </c>
      <c r="AD3363">
        <v>28.54</v>
      </c>
      <c r="AE3363">
        <v>542</v>
      </c>
      <c r="AF3363">
        <v>20</v>
      </c>
      <c r="AG3363">
        <v>181</v>
      </c>
      <c r="AH3363">
        <v>129</v>
      </c>
      <c r="AI3363">
        <v>3.69</v>
      </c>
      <c r="AJ3363">
        <v>33.39</v>
      </c>
      <c r="AK3363">
        <v>23.8</v>
      </c>
      <c r="AL3363">
        <v>-20.13789079999998</v>
      </c>
      <c r="AM3363">
        <v>-44.90548593520333</v>
      </c>
      <c r="AN3363">
        <v>-20.13789079999998</v>
      </c>
      <c r="AO3363">
        <v>-44.90548593520333</v>
      </c>
      <c r="AP3363">
        <v>-20.137919</v>
      </c>
      <c r="AQ3363">
        <v>-44.905591000000001</v>
      </c>
      <c r="AR3363">
        <v>11.42072348298178</v>
      </c>
      <c r="AS3363" t="s">
        <v>65</v>
      </c>
      <c r="AT3363">
        <v>1</v>
      </c>
      <c r="AU3363" t="s">
        <v>465</v>
      </c>
      <c r="AV3363" t="s">
        <v>466</v>
      </c>
      <c r="AW3363" t="s">
        <v>60</v>
      </c>
      <c r="AX3363" t="s">
        <v>68</v>
      </c>
      <c r="AY3363" t="s">
        <v>69</v>
      </c>
      <c r="AZ3363" t="b">
        <v>1</v>
      </c>
    </row>
    <row r="3364" spans="1:52" x14ac:dyDescent="0.3">
      <c r="A3364" t="s">
        <v>52</v>
      </c>
      <c r="B3364" t="s">
        <v>53</v>
      </c>
      <c r="C3364" t="s">
        <v>54</v>
      </c>
      <c r="D3364" t="s">
        <v>55</v>
      </c>
      <c r="E3364" t="s">
        <v>2200</v>
      </c>
      <c r="F3364" t="s">
        <v>190</v>
      </c>
      <c r="G3364" t="s">
        <v>467</v>
      </c>
      <c r="H3364" t="s">
        <v>468</v>
      </c>
      <c r="I3364" t="s">
        <v>468</v>
      </c>
      <c r="J3364" t="s">
        <v>60</v>
      </c>
      <c r="K3364" t="s">
        <v>462</v>
      </c>
      <c r="L3364" t="s">
        <v>62</v>
      </c>
      <c r="M3364" t="s">
        <v>462</v>
      </c>
      <c r="N3364" t="s">
        <v>469</v>
      </c>
      <c r="O3364" t="s">
        <v>470</v>
      </c>
      <c r="P3364">
        <v>-20.138233</v>
      </c>
      <c r="Q3364">
        <v>-44.908200000000001</v>
      </c>
      <c r="R3364" s="2" t="str">
        <f>HYPERLINK("https://www.google.com/maps?q=-20.1382330,-44.9082000","Abrir no Google Maps")</f>
        <v>Abrir no Google Maps</v>
      </c>
      <c r="S3364">
        <v>3</v>
      </c>
      <c r="T3364">
        <v>0</v>
      </c>
      <c r="U3364">
        <v>4</v>
      </c>
      <c r="V3364">
        <v>0.54943270254771859</v>
      </c>
      <c r="W3364">
        <v>1</v>
      </c>
      <c r="X3364">
        <v>0.54943270254771859</v>
      </c>
      <c r="Y3364">
        <v>581</v>
      </c>
      <c r="Z3364">
        <v>153.18688302958171</v>
      </c>
      <c r="AA3364">
        <v>198</v>
      </c>
      <c r="AB3364">
        <v>332</v>
      </c>
      <c r="AC3364">
        <v>536</v>
      </c>
      <c r="AD3364">
        <v>28.54</v>
      </c>
      <c r="AE3364">
        <v>542</v>
      </c>
      <c r="AF3364">
        <v>20</v>
      </c>
      <c r="AG3364">
        <v>181</v>
      </c>
      <c r="AH3364">
        <v>129</v>
      </c>
      <c r="AI3364">
        <v>3.69</v>
      </c>
      <c r="AJ3364">
        <v>33.39</v>
      </c>
      <c r="AK3364">
        <v>23.8</v>
      </c>
      <c r="AL3364">
        <v>-20.138364899999971</v>
      </c>
      <c r="AM3364">
        <v>-44.907942114873997</v>
      </c>
      <c r="AN3364">
        <v>-20.138364899999971</v>
      </c>
      <c r="AO3364">
        <v>-44.907942114873997</v>
      </c>
      <c r="AP3364">
        <v>-20.138233</v>
      </c>
      <c r="AQ3364">
        <v>-44.908200000000001</v>
      </c>
      <c r="AR3364">
        <v>30.692690617986941</v>
      </c>
      <c r="AS3364" t="s">
        <v>65</v>
      </c>
      <c r="AT3364">
        <v>1</v>
      </c>
      <c r="AU3364" t="s">
        <v>471</v>
      </c>
      <c r="AV3364" t="s">
        <v>472</v>
      </c>
      <c r="AW3364" t="s">
        <v>60</v>
      </c>
      <c r="AX3364" t="s">
        <v>68</v>
      </c>
      <c r="AY3364" t="s">
        <v>69</v>
      </c>
      <c r="AZ3364" t="b">
        <v>1</v>
      </c>
    </row>
    <row r="3365" spans="1:52" x14ac:dyDescent="0.3">
      <c r="A3365" t="s">
        <v>52</v>
      </c>
      <c r="B3365" t="s">
        <v>53</v>
      </c>
      <c r="C3365" t="s">
        <v>54</v>
      </c>
      <c r="D3365" t="s">
        <v>55</v>
      </c>
      <c r="E3365" t="s">
        <v>2200</v>
      </c>
      <c r="F3365" t="s">
        <v>190</v>
      </c>
      <c r="G3365" t="s">
        <v>479</v>
      </c>
      <c r="H3365" t="s">
        <v>480</v>
      </c>
      <c r="I3365" t="s">
        <v>480</v>
      </c>
      <c r="J3365" t="s">
        <v>60</v>
      </c>
      <c r="K3365" t="s">
        <v>388</v>
      </c>
      <c r="L3365" t="s">
        <v>62</v>
      </c>
      <c r="M3365" t="s">
        <v>388</v>
      </c>
      <c r="N3365" t="s">
        <v>481</v>
      </c>
      <c r="O3365" t="s">
        <v>315</v>
      </c>
      <c r="P3365">
        <v>-20.166903999999999</v>
      </c>
      <c r="Q3365">
        <v>-44.903492</v>
      </c>
      <c r="R3365" s="2" t="str">
        <f>HYPERLINK("https://www.google.com/maps?q=-20.1669040,-44.9034920","Abrir no Google Maps")</f>
        <v>Abrir no Google Maps</v>
      </c>
      <c r="S3365">
        <v>3</v>
      </c>
      <c r="T3365">
        <v>517.12253532511602</v>
      </c>
      <c r="U3365">
        <v>4</v>
      </c>
      <c r="V3365">
        <v>0.49020021630747318</v>
      </c>
      <c r="W3365">
        <v>1</v>
      </c>
      <c r="X3365">
        <v>0.49020021630747318</v>
      </c>
      <c r="Y3365">
        <v>578</v>
      </c>
      <c r="Z3365">
        <v>721.79551240050432</v>
      </c>
      <c r="AA3365">
        <v>198</v>
      </c>
      <c r="AB3365">
        <v>332</v>
      </c>
      <c r="AC3365">
        <v>536</v>
      </c>
      <c r="AD3365">
        <v>28.54</v>
      </c>
      <c r="AE3365">
        <v>542</v>
      </c>
      <c r="AF3365">
        <v>20</v>
      </c>
      <c r="AG3365">
        <v>181</v>
      </c>
      <c r="AH3365">
        <v>129</v>
      </c>
      <c r="AI3365">
        <v>3.69</v>
      </c>
      <c r="AJ3365">
        <v>33.39</v>
      </c>
      <c r="AK3365">
        <v>23.8</v>
      </c>
      <c r="AL3365">
        <v>-20.166610649999971</v>
      </c>
      <c r="AM3365">
        <v>-44.903452988928308</v>
      </c>
      <c r="AN3365">
        <v>-20.166610649999971</v>
      </c>
      <c r="AO3365">
        <v>-44.903452988928308</v>
      </c>
      <c r="AP3365">
        <v>-20.166903999999999</v>
      </c>
      <c r="AQ3365">
        <v>-44.903492</v>
      </c>
      <c r="AR3365">
        <v>32.909175876856217</v>
      </c>
      <c r="AS3365" t="s">
        <v>65</v>
      </c>
      <c r="AT3365">
        <v>1</v>
      </c>
      <c r="AU3365" t="s">
        <v>482</v>
      </c>
      <c r="AV3365" t="s">
        <v>483</v>
      </c>
      <c r="AW3365" t="s">
        <v>60</v>
      </c>
      <c r="AX3365" t="s">
        <v>68</v>
      </c>
      <c r="AY3365" t="s">
        <v>69</v>
      </c>
      <c r="AZ3365" t="b">
        <v>1</v>
      </c>
    </row>
    <row r="3366" spans="1:52" x14ac:dyDescent="0.3">
      <c r="A3366" t="s">
        <v>52</v>
      </c>
      <c r="B3366" t="s">
        <v>53</v>
      </c>
      <c r="C3366" t="s">
        <v>54</v>
      </c>
      <c r="D3366" t="s">
        <v>55</v>
      </c>
      <c r="E3366" t="s">
        <v>2200</v>
      </c>
      <c r="F3366" t="s">
        <v>190</v>
      </c>
      <c r="G3366" t="s">
        <v>503</v>
      </c>
      <c r="H3366" t="s">
        <v>504</v>
      </c>
      <c r="I3366" t="s">
        <v>504</v>
      </c>
      <c r="J3366" t="s">
        <v>60</v>
      </c>
      <c r="K3366" t="s">
        <v>505</v>
      </c>
      <c r="L3366" t="s">
        <v>62</v>
      </c>
      <c r="M3366" t="s">
        <v>505</v>
      </c>
      <c r="N3366" t="s">
        <v>506</v>
      </c>
      <c r="O3366" t="s">
        <v>507</v>
      </c>
      <c r="P3366">
        <v>-20.131428</v>
      </c>
      <c r="Q3366">
        <v>-44.888921000000003</v>
      </c>
      <c r="R3366" s="2" t="str">
        <f>HYPERLINK("https://www.google.com/maps?q=-20.1314280,-44.8889210","Abrir no Google Maps")</f>
        <v>Abrir no Google Maps</v>
      </c>
      <c r="S3366">
        <v>3</v>
      </c>
      <c r="T3366">
        <v>250.64150698244501</v>
      </c>
      <c r="U3366">
        <v>4</v>
      </c>
      <c r="V3366">
        <v>0.49213110122201031</v>
      </c>
      <c r="W3366">
        <v>1</v>
      </c>
      <c r="X3366">
        <v>0.49213110122201031</v>
      </c>
      <c r="Y3366">
        <v>564</v>
      </c>
      <c r="Z3366">
        <v>189.93933888952441</v>
      </c>
      <c r="AA3366">
        <v>198</v>
      </c>
      <c r="AB3366">
        <v>332</v>
      </c>
      <c r="AC3366">
        <v>536</v>
      </c>
      <c r="AD3366">
        <v>28.54</v>
      </c>
      <c r="AE3366">
        <v>542</v>
      </c>
      <c r="AF3366">
        <v>20</v>
      </c>
      <c r="AG3366">
        <v>181</v>
      </c>
      <c r="AH3366">
        <v>129</v>
      </c>
      <c r="AI3366">
        <v>3.69</v>
      </c>
      <c r="AJ3366">
        <v>33.39</v>
      </c>
      <c r="AK3366">
        <v>23.8</v>
      </c>
      <c r="AL3366">
        <v>-20.13123589999995</v>
      </c>
      <c r="AM3366">
        <v>-44.888742396501762</v>
      </c>
      <c r="AN3366">
        <v>-20.13123589999995</v>
      </c>
      <c r="AO3366">
        <v>-44.888742396501762</v>
      </c>
      <c r="AP3366">
        <v>-20.131428</v>
      </c>
      <c r="AQ3366">
        <v>-44.888921000000003</v>
      </c>
      <c r="AR3366">
        <v>28.386169462917032</v>
      </c>
      <c r="AS3366" t="s">
        <v>65</v>
      </c>
      <c r="AT3366">
        <v>1</v>
      </c>
      <c r="AU3366" t="s">
        <v>508</v>
      </c>
      <c r="AV3366" t="s">
        <v>509</v>
      </c>
      <c r="AW3366" t="s">
        <v>60</v>
      </c>
      <c r="AX3366" t="s">
        <v>68</v>
      </c>
      <c r="AY3366" t="s">
        <v>69</v>
      </c>
      <c r="AZ3366" t="b">
        <v>1</v>
      </c>
    </row>
    <row r="3367" spans="1:52" x14ac:dyDescent="0.3">
      <c r="A3367" t="s">
        <v>52</v>
      </c>
      <c r="B3367" t="s">
        <v>53</v>
      </c>
      <c r="C3367" t="s">
        <v>54</v>
      </c>
      <c r="D3367" t="s">
        <v>55</v>
      </c>
      <c r="E3367" t="s">
        <v>2200</v>
      </c>
      <c r="F3367" t="s">
        <v>190</v>
      </c>
      <c r="G3367" t="s">
        <v>510</v>
      </c>
      <c r="H3367" t="s">
        <v>511</v>
      </c>
      <c r="I3367" t="s">
        <v>511</v>
      </c>
      <c r="J3367" t="s">
        <v>60</v>
      </c>
      <c r="K3367" t="s">
        <v>512</v>
      </c>
      <c r="L3367" t="s">
        <v>62</v>
      </c>
      <c r="M3367" t="s">
        <v>512</v>
      </c>
      <c r="N3367" t="s">
        <v>406</v>
      </c>
      <c r="O3367" t="s">
        <v>513</v>
      </c>
      <c r="P3367">
        <v>-20.127853000000002</v>
      </c>
      <c r="Q3367">
        <v>-44.891415000000002</v>
      </c>
      <c r="R3367" s="2" t="str">
        <f>HYPERLINK("https://www.google.com/maps?q=-20.1278530,-44.8914150","Abrir no Google Maps")</f>
        <v>Abrir no Google Maps</v>
      </c>
      <c r="S3367">
        <v>3</v>
      </c>
      <c r="T3367">
        <v>340.86994528233612</v>
      </c>
      <c r="U3367">
        <v>4</v>
      </c>
      <c r="V3367">
        <v>0.47638741187128281</v>
      </c>
      <c r="W3367">
        <v>1</v>
      </c>
      <c r="X3367">
        <v>0.47638741187128281</v>
      </c>
      <c r="Y3367">
        <v>564</v>
      </c>
      <c r="Z3367">
        <v>294.18108015916812</v>
      </c>
      <c r="AA3367">
        <v>198</v>
      </c>
      <c r="AB3367">
        <v>332</v>
      </c>
      <c r="AC3367">
        <v>536</v>
      </c>
      <c r="AD3367">
        <v>28.54</v>
      </c>
      <c r="AE3367">
        <v>542</v>
      </c>
      <c r="AF3367">
        <v>20</v>
      </c>
      <c r="AG3367">
        <v>181</v>
      </c>
      <c r="AH3367">
        <v>129</v>
      </c>
      <c r="AI3367">
        <v>3.69</v>
      </c>
      <c r="AJ3367">
        <v>33.39</v>
      </c>
      <c r="AK3367">
        <v>23.8</v>
      </c>
      <c r="AL3367">
        <v>-20.12777399999996</v>
      </c>
      <c r="AM3367">
        <v>-44.891400975758501</v>
      </c>
      <c r="AN3367">
        <v>-20.12777399999996</v>
      </c>
      <c r="AO3367">
        <v>-44.891400975758501</v>
      </c>
      <c r="AP3367">
        <v>-20.127853000000002</v>
      </c>
      <c r="AQ3367">
        <v>-44.891415000000002</v>
      </c>
      <c r="AR3367">
        <v>8.9156059162975616</v>
      </c>
      <c r="AS3367" t="s">
        <v>65</v>
      </c>
      <c r="AT3367">
        <v>1</v>
      </c>
      <c r="AU3367" t="s">
        <v>514</v>
      </c>
      <c r="AV3367" t="s">
        <v>515</v>
      </c>
      <c r="AW3367" t="s">
        <v>60</v>
      </c>
      <c r="AX3367" t="s">
        <v>68</v>
      </c>
      <c r="AY3367" t="s">
        <v>69</v>
      </c>
      <c r="AZ3367" t="b">
        <v>1</v>
      </c>
    </row>
    <row r="3368" spans="1:52" x14ac:dyDescent="0.3">
      <c r="A3368" t="s">
        <v>52</v>
      </c>
      <c r="B3368" t="s">
        <v>53</v>
      </c>
      <c r="C3368" t="s">
        <v>54</v>
      </c>
      <c r="D3368" t="s">
        <v>55</v>
      </c>
      <c r="E3368" t="s">
        <v>2200</v>
      </c>
      <c r="F3368" t="s">
        <v>190</v>
      </c>
      <c r="G3368" t="s">
        <v>516</v>
      </c>
      <c r="H3368" t="s">
        <v>517</v>
      </c>
      <c r="I3368" t="s">
        <v>517</v>
      </c>
      <c r="J3368" t="s">
        <v>60</v>
      </c>
      <c r="K3368" t="s">
        <v>518</v>
      </c>
      <c r="L3368" t="s">
        <v>62</v>
      </c>
      <c r="M3368" t="s">
        <v>518</v>
      </c>
      <c r="N3368" t="s">
        <v>519</v>
      </c>
      <c r="O3368" t="s">
        <v>520</v>
      </c>
      <c r="P3368">
        <v>-20.124502</v>
      </c>
      <c r="Q3368">
        <v>-44.888424000000001</v>
      </c>
      <c r="R3368" s="2" t="str">
        <f>HYPERLINK("https://www.google.com/maps?q=-20.1245020,-44.8884240","Abrir no Google Maps")</f>
        <v>Abrir no Google Maps</v>
      </c>
      <c r="S3368">
        <v>3</v>
      </c>
      <c r="T3368">
        <v>483.42298121929559</v>
      </c>
      <c r="U3368">
        <v>4</v>
      </c>
      <c r="V3368">
        <v>0.53053124945091634</v>
      </c>
      <c r="W3368">
        <v>1</v>
      </c>
      <c r="X3368">
        <v>0.53053124945091634</v>
      </c>
      <c r="Y3368">
        <v>564</v>
      </c>
      <c r="Z3368">
        <v>565.43074237076587</v>
      </c>
      <c r="AA3368">
        <v>198</v>
      </c>
      <c r="AB3368">
        <v>332</v>
      </c>
      <c r="AC3368">
        <v>536</v>
      </c>
      <c r="AD3368">
        <v>28.54</v>
      </c>
      <c r="AE3368">
        <v>542</v>
      </c>
      <c r="AF3368">
        <v>20</v>
      </c>
      <c r="AG3368">
        <v>181</v>
      </c>
      <c r="AH3368">
        <v>129</v>
      </c>
      <c r="AI3368">
        <v>3.69</v>
      </c>
      <c r="AJ3368">
        <v>33.39</v>
      </c>
      <c r="AK3368">
        <v>23.8</v>
      </c>
      <c r="AL3368">
        <v>-20.124624949999941</v>
      </c>
      <c r="AM3368">
        <v>-44.888432821777258</v>
      </c>
      <c r="AN3368">
        <v>-20.124624949999941</v>
      </c>
      <c r="AO3368">
        <v>-44.888432821777258</v>
      </c>
      <c r="AP3368">
        <v>-20.124502</v>
      </c>
      <c r="AQ3368">
        <v>-44.888424000000001</v>
      </c>
      <c r="AR3368">
        <v>13.717819333897451</v>
      </c>
      <c r="AS3368" t="s">
        <v>65</v>
      </c>
      <c r="AT3368">
        <v>1</v>
      </c>
      <c r="AU3368" t="s">
        <v>521</v>
      </c>
      <c r="AV3368" t="s">
        <v>522</v>
      </c>
      <c r="AW3368" t="s">
        <v>60</v>
      </c>
      <c r="AX3368" t="s">
        <v>68</v>
      </c>
      <c r="AY3368" t="s">
        <v>69</v>
      </c>
      <c r="AZ3368" t="b">
        <v>1</v>
      </c>
    </row>
    <row r="3369" spans="1:52" x14ac:dyDescent="0.3">
      <c r="A3369" t="s">
        <v>52</v>
      </c>
      <c r="B3369" t="s">
        <v>53</v>
      </c>
      <c r="C3369" t="s">
        <v>54</v>
      </c>
      <c r="D3369" t="s">
        <v>55</v>
      </c>
      <c r="E3369" t="s">
        <v>2200</v>
      </c>
      <c r="F3369" t="s">
        <v>190</v>
      </c>
      <c r="G3369" t="s">
        <v>523</v>
      </c>
      <c r="H3369" t="s">
        <v>524</v>
      </c>
      <c r="I3369" t="s">
        <v>524</v>
      </c>
      <c r="J3369" t="s">
        <v>60</v>
      </c>
      <c r="K3369" t="s">
        <v>518</v>
      </c>
      <c r="L3369" t="s">
        <v>62</v>
      </c>
      <c r="M3369" t="s">
        <v>518</v>
      </c>
      <c r="N3369" t="s">
        <v>525</v>
      </c>
      <c r="O3369" t="s">
        <v>331</v>
      </c>
      <c r="P3369">
        <v>-20.126553000000001</v>
      </c>
      <c r="Q3369">
        <v>-44.888599999999997</v>
      </c>
      <c r="R3369" s="2" t="str">
        <f>HYPERLINK("https://www.google.com/maps?q=-20.1265530,-44.8886000","Abrir no Google Maps")</f>
        <v>Abrir no Google Maps</v>
      </c>
      <c r="S3369">
        <v>3</v>
      </c>
      <c r="T3369">
        <v>256.34043440603853</v>
      </c>
      <c r="U3369">
        <v>4</v>
      </c>
      <c r="V3369">
        <v>0.50037690909206078</v>
      </c>
      <c r="W3369">
        <v>1</v>
      </c>
      <c r="X3369">
        <v>0.50037690909206078</v>
      </c>
      <c r="Y3369">
        <v>564</v>
      </c>
      <c r="Z3369">
        <v>325.4404273055876</v>
      </c>
      <c r="AA3369">
        <v>198</v>
      </c>
      <c r="AB3369">
        <v>332</v>
      </c>
      <c r="AC3369">
        <v>536</v>
      </c>
      <c r="AD3369">
        <v>28.54</v>
      </c>
      <c r="AE3369">
        <v>542</v>
      </c>
      <c r="AF3369">
        <v>20</v>
      </c>
      <c r="AG3369">
        <v>181</v>
      </c>
      <c r="AH3369">
        <v>129</v>
      </c>
      <c r="AI3369">
        <v>3.69</v>
      </c>
      <c r="AJ3369">
        <v>33.39</v>
      </c>
      <c r="AK3369">
        <v>23.8</v>
      </c>
      <c r="AL3369">
        <v>-20.12669049999997</v>
      </c>
      <c r="AM3369">
        <v>-44.888671289876577</v>
      </c>
      <c r="AN3369">
        <v>-20.12669049999997</v>
      </c>
      <c r="AO3369">
        <v>-44.888671289876577</v>
      </c>
      <c r="AP3369">
        <v>-20.126553000000001</v>
      </c>
      <c r="AQ3369">
        <v>-44.888599999999997</v>
      </c>
      <c r="AR3369">
        <v>17.023861591720589</v>
      </c>
      <c r="AS3369" t="s">
        <v>65</v>
      </c>
      <c r="AT3369">
        <v>1</v>
      </c>
      <c r="AU3369" t="s">
        <v>526</v>
      </c>
      <c r="AV3369" t="s">
        <v>527</v>
      </c>
      <c r="AW3369" t="s">
        <v>60</v>
      </c>
      <c r="AX3369" t="s">
        <v>68</v>
      </c>
      <c r="AY3369" t="s">
        <v>69</v>
      </c>
      <c r="AZ3369" t="b">
        <v>1</v>
      </c>
    </row>
    <row r="3370" spans="1:52" x14ac:dyDescent="0.3">
      <c r="A3370" t="s">
        <v>52</v>
      </c>
      <c r="B3370" t="s">
        <v>53</v>
      </c>
      <c r="C3370" t="s">
        <v>54</v>
      </c>
      <c r="D3370" t="s">
        <v>55</v>
      </c>
      <c r="E3370" t="s">
        <v>2200</v>
      </c>
      <c r="F3370" t="s">
        <v>190</v>
      </c>
      <c r="G3370" t="s">
        <v>528</v>
      </c>
      <c r="H3370" t="s">
        <v>529</v>
      </c>
      <c r="I3370" t="s">
        <v>529</v>
      </c>
      <c r="J3370" t="s">
        <v>60</v>
      </c>
      <c r="K3370" t="s">
        <v>530</v>
      </c>
      <c r="L3370" t="s">
        <v>62</v>
      </c>
      <c r="M3370" t="s">
        <v>530</v>
      </c>
      <c r="N3370" t="s">
        <v>531</v>
      </c>
      <c r="O3370" t="s">
        <v>532</v>
      </c>
      <c r="P3370">
        <v>-20.142457</v>
      </c>
      <c r="Q3370">
        <v>-44.891688000000002</v>
      </c>
      <c r="R3370" s="2" t="str">
        <f>HYPERLINK("https://www.google.com/maps?q=-20.1424570,-44.8916880","Abrir no Google Maps")</f>
        <v>Abrir no Google Maps</v>
      </c>
      <c r="S3370">
        <v>3</v>
      </c>
      <c r="T3370">
        <v>0</v>
      </c>
      <c r="U3370">
        <v>4</v>
      </c>
      <c r="V3370">
        <v>0.56511094758292768</v>
      </c>
      <c r="W3370">
        <v>1</v>
      </c>
      <c r="X3370">
        <v>0.56511094758292768</v>
      </c>
      <c r="Y3370">
        <v>557</v>
      </c>
      <c r="Z3370">
        <v>42.611952255679803</v>
      </c>
      <c r="AA3370">
        <v>198</v>
      </c>
      <c r="AB3370">
        <v>332</v>
      </c>
      <c r="AC3370">
        <v>536</v>
      </c>
      <c r="AD3370">
        <v>28.54</v>
      </c>
      <c r="AE3370">
        <v>542</v>
      </c>
      <c r="AF3370">
        <v>20</v>
      </c>
      <c r="AG3370">
        <v>181</v>
      </c>
      <c r="AH3370">
        <v>129</v>
      </c>
      <c r="AI3370">
        <v>3.69</v>
      </c>
      <c r="AJ3370">
        <v>33.39</v>
      </c>
      <c r="AK3370">
        <v>23.8</v>
      </c>
      <c r="AL3370">
        <v>-20.142523099999948</v>
      </c>
      <c r="AM3370">
        <v>-44.891523817588819</v>
      </c>
      <c r="AN3370">
        <v>-20.142523099999948</v>
      </c>
      <c r="AO3370">
        <v>-44.891523817588819</v>
      </c>
      <c r="AP3370">
        <v>-20.142457</v>
      </c>
      <c r="AQ3370">
        <v>-44.891688000000002</v>
      </c>
      <c r="AR3370">
        <v>18.670129248632971</v>
      </c>
      <c r="AS3370" t="s">
        <v>65</v>
      </c>
      <c r="AT3370">
        <v>1</v>
      </c>
      <c r="AU3370" t="s">
        <v>533</v>
      </c>
      <c r="AV3370" t="s">
        <v>534</v>
      </c>
      <c r="AW3370" t="s">
        <v>60</v>
      </c>
      <c r="AX3370" t="s">
        <v>68</v>
      </c>
      <c r="AY3370" t="s">
        <v>69</v>
      </c>
      <c r="AZ3370" t="b">
        <v>1</v>
      </c>
    </row>
    <row r="3371" spans="1:52" x14ac:dyDescent="0.3">
      <c r="A3371" t="s">
        <v>52</v>
      </c>
      <c r="B3371" t="s">
        <v>53</v>
      </c>
      <c r="C3371" t="s">
        <v>54</v>
      </c>
      <c r="D3371" t="s">
        <v>55</v>
      </c>
      <c r="E3371" t="s">
        <v>2200</v>
      </c>
      <c r="F3371" t="s">
        <v>190</v>
      </c>
      <c r="G3371" t="s">
        <v>535</v>
      </c>
      <c r="H3371" t="s">
        <v>536</v>
      </c>
      <c r="I3371" t="s">
        <v>536</v>
      </c>
      <c r="J3371" t="s">
        <v>60</v>
      </c>
      <c r="K3371" t="s">
        <v>388</v>
      </c>
      <c r="L3371" t="s">
        <v>62</v>
      </c>
      <c r="M3371" t="s">
        <v>388</v>
      </c>
      <c r="N3371" t="s">
        <v>537</v>
      </c>
      <c r="O3371" t="s">
        <v>538</v>
      </c>
      <c r="P3371">
        <v>-20.150061999999998</v>
      </c>
      <c r="Q3371">
        <v>-44.903379000000001</v>
      </c>
      <c r="R3371" s="2" t="str">
        <f>HYPERLINK("https://www.google.com/maps?q=-20.1500620,-44.9033790","Abrir no Google Maps")</f>
        <v>Abrir no Google Maps</v>
      </c>
      <c r="S3371">
        <v>3</v>
      </c>
      <c r="T3371">
        <v>286.20313674219977</v>
      </c>
      <c r="U3371">
        <v>4</v>
      </c>
      <c r="V3371">
        <v>0.52158606972459154</v>
      </c>
      <c r="W3371">
        <v>1</v>
      </c>
      <c r="X3371">
        <v>0.52158606972459154</v>
      </c>
      <c r="Y3371">
        <v>556</v>
      </c>
      <c r="Z3371">
        <v>315.81851898667401</v>
      </c>
      <c r="AA3371">
        <v>198</v>
      </c>
      <c r="AB3371">
        <v>332</v>
      </c>
      <c r="AC3371">
        <v>536</v>
      </c>
      <c r="AD3371">
        <v>28.54</v>
      </c>
      <c r="AE3371">
        <v>542</v>
      </c>
      <c r="AF3371">
        <v>20</v>
      </c>
      <c r="AG3371">
        <v>181</v>
      </c>
      <c r="AH3371">
        <v>129</v>
      </c>
      <c r="AI3371">
        <v>3.69</v>
      </c>
      <c r="AJ3371">
        <v>33.39</v>
      </c>
      <c r="AK3371">
        <v>23.8</v>
      </c>
      <c r="AL3371">
        <v>-20.150084299999971</v>
      </c>
      <c r="AM3371">
        <v>-44.903278407568479</v>
      </c>
      <c r="AN3371">
        <v>-20.150084299999971</v>
      </c>
      <c r="AO3371">
        <v>-44.903278407568479</v>
      </c>
      <c r="AP3371">
        <v>-20.150061999999998</v>
      </c>
      <c r="AQ3371">
        <v>-44.903379000000001</v>
      </c>
      <c r="AR3371">
        <v>10.801687336134639</v>
      </c>
      <c r="AS3371" t="s">
        <v>65</v>
      </c>
      <c r="AT3371">
        <v>1</v>
      </c>
      <c r="AU3371" t="s">
        <v>539</v>
      </c>
      <c r="AV3371" t="s">
        <v>540</v>
      </c>
      <c r="AW3371" t="s">
        <v>60</v>
      </c>
      <c r="AX3371" t="s">
        <v>68</v>
      </c>
      <c r="AY3371" t="s">
        <v>69</v>
      </c>
      <c r="AZ3371" t="b">
        <v>1</v>
      </c>
    </row>
    <row r="3372" spans="1:52" x14ac:dyDescent="0.3">
      <c r="A3372" t="s">
        <v>52</v>
      </c>
      <c r="B3372" t="s">
        <v>53</v>
      </c>
      <c r="C3372" t="s">
        <v>54</v>
      </c>
      <c r="D3372" t="s">
        <v>55</v>
      </c>
      <c r="E3372" t="s">
        <v>2200</v>
      </c>
      <c r="F3372" t="s">
        <v>190</v>
      </c>
      <c r="G3372" t="s">
        <v>398</v>
      </c>
      <c r="H3372" t="s">
        <v>541</v>
      </c>
      <c r="I3372" t="s">
        <v>541</v>
      </c>
      <c r="J3372" t="s">
        <v>60</v>
      </c>
      <c r="K3372" t="s">
        <v>388</v>
      </c>
      <c r="L3372" t="s">
        <v>62</v>
      </c>
      <c r="M3372" t="s">
        <v>388</v>
      </c>
      <c r="N3372" t="s">
        <v>400</v>
      </c>
      <c r="O3372" t="s">
        <v>542</v>
      </c>
      <c r="P3372">
        <v>-20.151335</v>
      </c>
      <c r="Q3372">
        <v>-44.901041999999997</v>
      </c>
      <c r="R3372" s="2" t="str">
        <f>HYPERLINK("https://www.google.com/maps?q=-20.1513350,-44.9010420","Abrir no Google Maps")</f>
        <v>Abrir no Google Maps</v>
      </c>
      <c r="S3372">
        <v>3</v>
      </c>
      <c r="T3372">
        <v>0</v>
      </c>
      <c r="U3372">
        <v>4</v>
      </c>
      <c r="V3372">
        <v>0.48438818565400837</v>
      </c>
      <c r="W3372">
        <v>1</v>
      </c>
      <c r="X3372">
        <v>0.48438818565400837</v>
      </c>
      <c r="Y3372">
        <v>556</v>
      </c>
      <c r="Z3372">
        <v>137.71609036908939</v>
      </c>
      <c r="AA3372">
        <v>198</v>
      </c>
      <c r="AB3372">
        <v>332</v>
      </c>
      <c r="AC3372">
        <v>536</v>
      </c>
      <c r="AD3372">
        <v>28.54</v>
      </c>
      <c r="AE3372">
        <v>542</v>
      </c>
      <c r="AF3372">
        <v>20</v>
      </c>
      <c r="AG3372">
        <v>181</v>
      </c>
      <c r="AH3372">
        <v>129</v>
      </c>
      <c r="AI3372">
        <v>3.69</v>
      </c>
      <c r="AJ3372">
        <v>33.39</v>
      </c>
      <c r="AK3372">
        <v>23.8</v>
      </c>
      <c r="AL3372">
        <v>-20.15125899999995</v>
      </c>
      <c r="AM3372">
        <v>-44.900838557594433</v>
      </c>
      <c r="AN3372">
        <v>-20.15125899999995</v>
      </c>
      <c r="AO3372">
        <v>-44.900838557594433</v>
      </c>
      <c r="AP3372">
        <v>-20.151335</v>
      </c>
      <c r="AQ3372">
        <v>-44.901041999999997</v>
      </c>
      <c r="AR3372">
        <v>22.882363139483491</v>
      </c>
      <c r="AS3372" t="s">
        <v>65</v>
      </c>
      <c r="AT3372">
        <v>1</v>
      </c>
      <c r="AU3372" t="s">
        <v>543</v>
      </c>
      <c r="AV3372" t="s">
        <v>544</v>
      </c>
      <c r="AW3372" t="s">
        <v>60</v>
      </c>
      <c r="AX3372" t="s">
        <v>68</v>
      </c>
      <c r="AY3372" t="s">
        <v>69</v>
      </c>
      <c r="AZ3372" t="b">
        <v>1</v>
      </c>
    </row>
    <row r="3373" spans="1:52" x14ac:dyDescent="0.3">
      <c r="A3373" t="s">
        <v>52</v>
      </c>
      <c r="B3373" t="s">
        <v>53</v>
      </c>
      <c r="C3373" t="s">
        <v>54</v>
      </c>
      <c r="D3373" t="s">
        <v>55</v>
      </c>
      <c r="E3373" t="s">
        <v>2200</v>
      </c>
      <c r="F3373" t="s">
        <v>190</v>
      </c>
      <c r="G3373" t="s">
        <v>545</v>
      </c>
      <c r="H3373" t="s">
        <v>546</v>
      </c>
      <c r="I3373" t="s">
        <v>546</v>
      </c>
      <c r="J3373" t="s">
        <v>60</v>
      </c>
      <c r="K3373" t="s">
        <v>388</v>
      </c>
      <c r="L3373" t="s">
        <v>62</v>
      </c>
      <c r="M3373" t="s">
        <v>388</v>
      </c>
      <c r="N3373" t="s">
        <v>547</v>
      </c>
      <c r="O3373" t="s">
        <v>548</v>
      </c>
      <c r="P3373">
        <v>-20.155839</v>
      </c>
      <c r="Q3373">
        <v>-44.905655000000003</v>
      </c>
      <c r="R3373" s="2" t="str">
        <f>HYPERLINK("https://www.google.com/maps?q=-20.1558390,-44.9056550","Abrir no Google Maps")</f>
        <v>Abrir no Google Maps</v>
      </c>
      <c r="S3373">
        <v>3</v>
      </c>
      <c r="T3373">
        <v>309.7643089121122</v>
      </c>
      <c r="U3373">
        <v>4</v>
      </c>
      <c r="V3373">
        <v>0.4936259143155694</v>
      </c>
      <c r="W3373">
        <v>1</v>
      </c>
      <c r="X3373">
        <v>0.4936259143155694</v>
      </c>
      <c r="Y3373">
        <v>548</v>
      </c>
      <c r="Z3373">
        <v>284.24281731793161</v>
      </c>
      <c r="AA3373">
        <v>198</v>
      </c>
      <c r="AB3373">
        <v>332</v>
      </c>
      <c r="AC3373">
        <v>536</v>
      </c>
      <c r="AD3373">
        <v>28.54</v>
      </c>
      <c r="AE3373">
        <v>542</v>
      </c>
      <c r="AF3373">
        <v>20</v>
      </c>
      <c r="AG3373">
        <v>181</v>
      </c>
      <c r="AH3373">
        <v>129</v>
      </c>
      <c r="AI3373">
        <v>3.69</v>
      </c>
      <c r="AJ3373">
        <v>33.39</v>
      </c>
      <c r="AK3373">
        <v>23.8</v>
      </c>
      <c r="AL3373">
        <v>-20.155913549999951</v>
      </c>
      <c r="AM3373">
        <v>-44.905554508392683</v>
      </c>
      <c r="AN3373">
        <v>-20.155913549999951</v>
      </c>
      <c r="AO3373">
        <v>-44.905554508392669</v>
      </c>
      <c r="AP3373">
        <v>-20.155839</v>
      </c>
      <c r="AQ3373">
        <v>-44.905655000000003</v>
      </c>
      <c r="AR3373">
        <v>13.384922093797449</v>
      </c>
      <c r="AS3373" t="s">
        <v>65</v>
      </c>
      <c r="AT3373">
        <v>1</v>
      </c>
      <c r="AU3373" t="s">
        <v>549</v>
      </c>
      <c r="AV3373" t="s">
        <v>550</v>
      </c>
      <c r="AW3373" t="s">
        <v>60</v>
      </c>
      <c r="AX3373" t="s">
        <v>68</v>
      </c>
      <c r="AY3373" t="s">
        <v>69</v>
      </c>
      <c r="AZ3373" t="b">
        <v>1</v>
      </c>
    </row>
    <row r="3374" spans="1:52" x14ac:dyDescent="0.3">
      <c r="A3374" t="s">
        <v>52</v>
      </c>
      <c r="B3374" t="s">
        <v>53</v>
      </c>
      <c r="C3374" t="s">
        <v>54</v>
      </c>
      <c r="D3374" t="s">
        <v>55</v>
      </c>
      <c r="E3374" t="s">
        <v>2200</v>
      </c>
      <c r="F3374" t="s">
        <v>190</v>
      </c>
      <c r="G3374" t="s">
        <v>551</v>
      </c>
      <c r="H3374" t="s">
        <v>552</v>
      </c>
      <c r="I3374" t="s">
        <v>552</v>
      </c>
      <c r="J3374" t="s">
        <v>60</v>
      </c>
      <c r="K3374" t="s">
        <v>388</v>
      </c>
      <c r="L3374" t="s">
        <v>62</v>
      </c>
      <c r="M3374" t="s">
        <v>388</v>
      </c>
      <c r="N3374" t="s">
        <v>553</v>
      </c>
      <c r="O3374" t="s">
        <v>315</v>
      </c>
      <c r="P3374">
        <v>-20.153086999999999</v>
      </c>
      <c r="Q3374">
        <v>-44.905451999999997</v>
      </c>
      <c r="R3374" s="2" t="str">
        <f>HYPERLINK("https://www.google.com/maps?q=-20.1530870,-44.9054520","Abrir no Google Maps")</f>
        <v>Abrir no Google Maps</v>
      </c>
      <c r="S3374">
        <v>3</v>
      </c>
      <c r="T3374">
        <v>313.69387682409018</v>
      </c>
      <c r="U3374">
        <v>4</v>
      </c>
      <c r="V3374">
        <v>0.51021941056225717</v>
      </c>
      <c r="W3374">
        <v>1</v>
      </c>
      <c r="X3374">
        <v>0.51021941056225717</v>
      </c>
      <c r="Y3374">
        <v>548</v>
      </c>
      <c r="Z3374">
        <v>319.51605309906859</v>
      </c>
      <c r="AA3374">
        <v>198</v>
      </c>
      <c r="AB3374">
        <v>332</v>
      </c>
      <c r="AC3374">
        <v>536</v>
      </c>
      <c r="AD3374">
        <v>28.54</v>
      </c>
      <c r="AE3374">
        <v>542</v>
      </c>
      <c r="AF3374">
        <v>20</v>
      </c>
      <c r="AG3374">
        <v>181</v>
      </c>
      <c r="AH3374">
        <v>129</v>
      </c>
      <c r="AI3374">
        <v>3.69</v>
      </c>
      <c r="AJ3374">
        <v>33.39</v>
      </c>
      <c r="AK3374">
        <v>23.8</v>
      </c>
      <c r="AL3374">
        <v>-20.153043049999951</v>
      </c>
      <c r="AM3374">
        <v>-44.905348275899513</v>
      </c>
      <c r="AN3374">
        <v>-20.153043049999951</v>
      </c>
      <c r="AO3374">
        <v>-44.905348275899513</v>
      </c>
      <c r="AP3374">
        <v>-20.153086999999999</v>
      </c>
      <c r="AQ3374">
        <v>-44.905451999999997</v>
      </c>
      <c r="AR3374">
        <v>11.892619975648341</v>
      </c>
      <c r="AS3374" t="s">
        <v>65</v>
      </c>
      <c r="AT3374">
        <v>1</v>
      </c>
      <c r="AU3374" t="s">
        <v>554</v>
      </c>
      <c r="AV3374" t="s">
        <v>555</v>
      </c>
      <c r="AW3374" t="s">
        <v>60</v>
      </c>
      <c r="AX3374" t="s">
        <v>68</v>
      </c>
      <c r="AY3374" t="s">
        <v>69</v>
      </c>
      <c r="AZ3374" t="b">
        <v>1</v>
      </c>
    </row>
    <row r="3375" spans="1:52" x14ac:dyDescent="0.3">
      <c r="A3375" t="s">
        <v>52</v>
      </c>
      <c r="B3375" t="s">
        <v>53</v>
      </c>
      <c r="C3375" t="s">
        <v>54</v>
      </c>
      <c r="D3375" t="s">
        <v>55</v>
      </c>
      <c r="E3375" t="s">
        <v>2200</v>
      </c>
      <c r="F3375" t="s">
        <v>190</v>
      </c>
      <c r="G3375" t="s">
        <v>556</v>
      </c>
      <c r="H3375" t="s">
        <v>557</v>
      </c>
      <c r="I3375" t="s">
        <v>557</v>
      </c>
      <c r="J3375" t="s">
        <v>60</v>
      </c>
      <c r="K3375" t="s">
        <v>388</v>
      </c>
      <c r="L3375" t="s">
        <v>62</v>
      </c>
      <c r="M3375" t="s">
        <v>388</v>
      </c>
      <c r="N3375" t="s">
        <v>558</v>
      </c>
      <c r="O3375" t="s">
        <v>559</v>
      </c>
      <c r="P3375">
        <v>-20.152670000000001</v>
      </c>
      <c r="Q3375">
        <v>-44.902557999999999</v>
      </c>
      <c r="R3375" s="2" t="str">
        <f>HYPERLINK("https://www.google.com/maps?q=-20.1526700,-44.9025580","Abrir no Google Maps")</f>
        <v>Abrir no Google Maps</v>
      </c>
      <c r="S3375">
        <v>3</v>
      </c>
      <c r="T3375">
        <v>228.56195217678911</v>
      </c>
      <c r="U3375">
        <v>4</v>
      </c>
      <c r="V3375">
        <v>0.49438339438339429</v>
      </c>
      <c r="W3375">
        <v>1</v>
      </c>
      <c r="X3375">
        <v>0.49438339438339429</v>
      </c>
      <c r="Y3375">
        <v>548</v>
      </c>
      <c r="Z3375">
        <v>250.63133895224919</v>
      </c>
      <c r="AA3375">
        <v>198</v>
      </c>
      <c r="AB3375">
        <v>332</v>
      </c>
      <c r="AC3375">
        <v>536</v>
      </c>
      <c r="AD3375">
        <v>28.54</v>
      </c>
      <c r="AE3375">
        <v>542</v>
      </c>
      <c r="AF3375">
        <v>20</v>
      </c>
      <c r="AG3375">
        <v>181</v>
      </c>
      <c r="AH3375">
        <v>129</v>
      </c>
      <c r="AI3375">
        <v>3.69</v>
      </c>
      <c r="AJ3375">
        <v>33.39</v>
      </c>
      <c r="AK3375">
        <v>23.8</v>
      </c>
      <c r="AL3375">
        <v>-20.152629799999939</v>
      </c>
      <c r="AM3375">
        <v>-44.902604744705201</v>
      </c>
      <c r="AN3375">
        <v>-20.152629799999939</v>
      </c>
      <c r="AO3375">
        <v>-44.902604744705201</v>
      </c>
      <c r="AP3375">
        <v>-20.152670000000001</v>
      </c>
      <c r="AQ3375">
        <v>-44.902557999999999</v>
      </c>
      <c r="AR3375">
        <v>6.6249428037111509</v>
      </c>
      <c r="AS3375" t="s">
        <v>65</v>
      </c>
      <c r="AT3375">
        <v>1</v>
      </c>
      <c r="AU3375" t="s">
        <v>560</v>
      </c>
      <c r="AV3375" t="s">
        <v>561</v>
      </c>
      <c r="AW3375" t="s">
        <v>60</v>
      </c>
      <c r="AX3375" t="s">
        <v>68</v>
      </c>
      <c r="AY3375" t="s">
        <v>69</v>
      </c>
      <c r="AZ3375" t="b">
        <v>1</v>
      </c>
    </row>
    <row r="3376" spans="1:52" x14ac:dyDescent="0.3">
      <c r="A3376" t="s">
        <v>52</v>
      </c>
      <c r="B3376" t="s">
        <v>53</v>
      </c>
      <c r="C3376" t="s">
        <v>54</v>
      </c>
      <c r="D3376" t="s">
        <v>55</v>
      </c>
      <c r="E3376" t="s">
        <v>2200</v>
      </c>
      <c r="F3376" t="s">
        <v>190</v>
      </c>
      <c r="G3376" t="s">
        <v>562</v>
      </c>
      <c r="H3376" t="s">
        <v>563</v>
      </c>
      <c r="I3376" t="s">
        <v>563</v>
      </c>
      <c r="J3376" t="s">
        <v>60</v>
      </c>
      <c r="K3376" t="s">
        <v>388</v>
      </c>
      <c r="L3376" t="s">
        <v>62</v>
      </c>
      <c r="M3376" t="s">
        <v>388</v>
      </c>
      <c r="N3376" t="s">
        <v>564</v>
      </c>
      <c r="O3376" t="s">
        <v>565</v>
      </c>
      <c r="P3376">
        <v>-20.154432</v>
      </c>
      <c r="Q3376">
        <v>-44.902977999999997</v>
      </c>
      <c r="R3376" s="2" t="str">
        <f>HYPERLINK("https://www.google.com/maps?q=-20.1544320,-44.9029780","Abrir no Google Maps")</f>
        <v>Abrir no Google Maps</v>
      </c>
      <c r="S3376">
        <v>3</v>
      </c>
      <c r="T3376">
        <v>0</v>
      </c>
      <c r="U3376">
        <v>4</v>
      </c>
      <c r="V3376">
        <v>0.52499469729107329</v>
      </c>
      <c r="W3376">
        <v>1</v>
      </c>
      <c r="X3376">
        <v>0.52499469729107329</v>
      </c>
      <c r="Y3376">
        <v>548</v>
      </c>
      <c r="Z3376">
        <v>29.424211042533759</v>
      </c>
      <c r="AA3376">
        <v>198</v>
      </c>
      <c r="AB3376">
        <v>332</v>
      </c>
      <c r="AC3376">
        <v>536</v>
      </c>
      <c r="AD3376">
        <v>28.54</v>
      </c>
      <c r="AE3376">
        <v>542</v>
      </c>
      <c r="AF3376">
        <v>20</v>
      </c>
      <c r="AG3376">
        <v>181</v>
      </c>
      <c r="AH3376">
        <v>129</v>
      </c>
      <c r="AI3376">
        <v>3.69</v>
      </c>
      <c r="AJ3376">
        <v>33.39</v>
      </c>
      <c r="AK3376">
        <v>23.8</v>
      </c>
      <c r="AL3376">
        <v>-20.15467689999997</v>
      </c>
      <c r="AM3376">
        <v>-44.902895281771222</v>
      </c>
      <c r="AN3376">
        <v>-20.15467689999997</v>
      </c>
      <c r="AO3376">
        <v>-44.902895281771222</v>
      </c>
      <c r="AP3376">
        <v>-20.154432</v>
      </c>
      <c r="AQ3376">
        <v>-44.902977999999997</v>
      </c>
      <c r="AR3376">
        <v>28.5999270636025</v>
      </c>
      <c r="AS3376" t="s">
        <v>65</v>
      </c>
      <c r="AT3376">
        <v>1</v>
      </c>
      <c r="AU3376" t="s">
        <v>566</v>
      </c>
      <c r="AV3376" t="s">
        <v>567</v>
      </c>
      <c r="AW3376" t="s">
        <v>60</v>
      </c>
      <c r="AX3376" t="s">
        <v>68</v>
      </c>
      <c r="AY3376" t="s">
        <v>69</v>
      </c>
      <c r="AZ3376" t="b">
        <v>1</v>
      </c>
    </row>
    <row r="3377" spans="1:52" x14ac:dyDescent="0.3">
      <c r="A3377" t="s">
        <v>52</v>
      </c>
      <c r="B3377" t="s">
        <v>53</v>
      </c>
      <c r="C3377" t="s">
        <v>54</v>
      </c>
      <c r="D3377" t="s">
        <v>55</v>
      </c>
      <c r="E3377" t="s">
        <v>2200</v>
      </c>
      <c r="F3377" t="s">
        <v>190</v>
      </c>
      <c r="G3377" t="s">
        <v>568</v>
      </c>
      <c r="H3377" t="s">
        <v>569</v>
      </c>
      <c r="I3377" t="s">
        <v>569</v>
      </c>
      <c r="J3377" t="s">
        <v>60</v>
      </c>
      <c r="K3377" t="s">
        <v>61</v>
      </c>
      <c r="L3377" t="s">
        <v>62</v>
      </c>
      <c r="M3377" t="s">
        <v>61</v>
      </c>
      <c r="N3377" t="s">
        <v>570</v>
      </c>
      <c r="O3377" t="s">
        <v>548</v>
      </c>
      <c r="P3377">
        <v>-20.151508</v>
      </c>
      <c r="Q3377">
        <v>-44.907826</v>
      </c>
      <c r="R3377" s="2" t="str">
        <f>HYPERLINK("https://www.google.com/maps?q=-20.1515080,-44.9078260","Abrir no Google Maps")</f>
        <v>Abrir no Google Maps</v>
      </c>
      <c r="S3377">
        <v>3</v>
      </c>
      <c r="T3377">
        <v>567.15905416240514</v>
      </c>
      <c r="U3377">
        <v>4</v>
      </c>
      <c r="V3377">
        <v>0.69360269360269355</v>
      </c>
      <c r="W3377">
        <v>0.85</v>
      </c>
      <c r="X3377">
        <v>0.58956228956228951</v>
      </c>
      <c r="Y3377">
        <v>548</v>
      </c>
      <c r="Z3377">
        <v>560.49158010771464</v>
      </c>
      <c r="AA3377">
        <v>198</v>
      </c>
      <c r="AB3377">
        <v>332</v>
      </c>
      <c r="AC3377">
        <v>536</v>
      </c>
      <c r="AD3377">
        <v>28.54</v>
      </c>
      <c r="AE3377">
        <v>542</v>
      </c>
      <c r="AF3377">
        <v>20</v>
      </c>
      <c r="AG3377">
        <v>181</v>
      </c>
      <c r="AH3377">
        <v>129</v>
      </c>
      <c r="AI3377">
        <v>3.69</v>
      </c>
      <c r="AJ3377">
        <v>33.39</v>
      </c>
      <c r="AK3377">
        <v>23.8</v>
      </c>
      <c r="AL3377">
        <v>-20.15211779999996</v>
      </c>
      <c r="AM3377">
        <v>-44.907597469593128</v>
      </c>
      <c r="AN3377">
        <v>-20.15211779999996</v>
      </c>
      <c r="AO3377">
        <v>-44.907597469593128</v>
      </c>
      <c r="AP3377">
        <v>-20.151508</v>
      </c>
      <c r="AQ3377">
        <v>-44.907826</v>
      </c>
      <c r="AR3377">
        <v>71.961597929314735</v>
      </c>
      <c r="AS3377" t="s">
        <v>65</v>
      </c>
      <c r="AT3377">
        <v>1</v>
      </c>
      <c r="AU3377" t="s">
        <v>571</v>
      </c>
      <c r="AV3377" t="s">
        <v>572</v>
      </c>
      <c r="AW3377" t="s">
        <v>60</v>
      </c>
      <c r="AX3377" t="s">
        <v>68</v>
      </c>
      <c r="AY3377" t="s">
        <v>69</v>
      </c>
      <c r="AZ3377" t="b">
        <v>1</v>
      </c>
    </row>
    <row r="3378" spans="1:52" x14ac:dyDescent="0.3">
      <c r="A3378" t="s">
        <v>52</v>
      </c>
      <c r="B3378" t="s">
        <v>53</v>
      </c>
      <c r="C3378" t="s">
        <v>54</v>
      </c>
      <c r="D3378" t="s">
        <v>55</v>
      </c>
      <c r="E3378" t="s">
        <v>2200</v>
      </c>
      <c r="F3378" t="s">
        <v>190</v>
      </c>
      <c r="G3378" t="s">
        <v>573</v>
      </c>
      <c r="H3378" t="s">
        <v>574</v>
      </c>
      <c r="I3378" t="s">
        <v>574</v>
      </c>
      <c r="J3378" t="s">
        <v>60</v>
      </c>
      <c r="K3378" t="s">
        <v>207</v>
      </c>
      <c r="L3378" t="s">
        <v>62</v>
      </c>
      <c r="M3378" t="s">
        <v>207</v>
      </c>
      <c r="N3378" t="s">
        <v>575</v>
      </c>
      <c r="O3378" t="s">
        <v>576</v>
      </c>
      <c r="P3378">
        <v>-20.121252999999999</v>
      </c>
      <c r="Q3378">
        <v>-44.887988999999997</v>
      </c>
      <c r="R3378" s="2" t="str">
        <f>HYPERLINK("https://www.google.com/maps?q=-20.1212530,-44.8879890","Abrir no Google Maps")</f>
        <v>Abrir no Google Maps</v>
      </c>
      <c r="S3378">
        <v>3</v>
      </c>
      <c r="T3378">
        <v>310.5511884274041</v>
      </c>
      <c r="U3378">
        <v>4</v>
      </c>
      <c r="V3378">
        <v>0.53963293650793653</v>
      </c>
      <c r="W3378">
        <v>1</v>
      </c>
      <c r="X3378">
        <v>0.53963293650793653</v>
      </c>
      <c r="Y3378">
        <v>536</v>
      </c>
      <c r="Z3378">
        <v>292.13362593122162</v>
      </c>
      <c r="AA3378">
        <v>198</v>
      </c>
      <c r="AB3378">
        <v>332</v>
      </c>
      <c r="AC3378">
        <v>536</v>
      </c>
      <c r="AD3378">
        <v>28.54</v>
      </c>
      <c r="AE3378">
        <v>542</v>
      </c>
      <c r="AF3378">
        <v>20</v>
      </c>
      <c r="AG3378">
        <v>181</v>
      </c>
      <c r="AH3378">
        <v>129</v>
      </c>
      <c r="AI3378">
        <v>3.69</v>
      </c>
      <c r="AJ3378">
        <v>33.39</v>
      </c>
      <c r="AK3378">
        <v>23.8</v>
      </c>
      <c r="AL3378">
        <v>-20.121103699999939</v>
      </c>
      <c r="AM3378">
        <v>-44.888116617806723</v>
      </c>
      <c r="AN3378">
        <v>-20.121103699999939</v>
      </c>
      <c r="AO3378">
        <v>-44.888116617806723</v>
      </c>
      <c r="AP3378">
        <v>-20.121252999999999</v>
      </c>
      <c r="AQ3378">
        <v>-44.887988999999997</v>
      </c>
      <c r="AR3378">
        <v>21.311159673382519</v>
      </c>
      <c r="AS3378" t="s">
        <v>65</v>
      </c>
      <c r="AT3378">
        <v>1</v>
      </c>
      <c r="AU3378" t="s">
        <v>577</v>
      </c>
      <c r="AV3378" t="s">
        <v>578</v>
      </c>
      <c r="AW3378" t="s">
        <v>60</v>
      </c>
      <c r="AX3378" t="s">
        <v>68</v>
      </c>
      <c r="AY3378" t="s">
        <v>69</v>
      </c>
      <c r="AZ3378" t="b">
        <v>1</v>
      </c>
    </row>
    <row r="3379" spans="1:52" x14ac:dyDescent="0.3">
      <c r="A3379" t="s">
        <v>52</v>
      </c>
      <c r="B3379" t="s">
        <v>53</v>
      </c>
      <c r="C3379" t="s">
        <v>54</v>
      </c>
      <c r="D3379" t="s">
        <v>55</v>
      </c>
      <c r="E3379" t="s">
        <v>2200</v>
      </c>
      <c r="F3379" t="s">
        <v>190</v>
      </c>
      <c r="G3379" t="s">
        <v>584</v>
      </c>
      <c r="H3379" t="s">
        <v>585</v>
      </c>
      <c r="I3379" t="s">
        <v>585</v>
      </c>
      <c r="J3379" t="s">
        <v>60</v>
      </c>
      <c r="K3379" t="s">
        <v>207</v>
      </c>
      <c r="L3379" t="s">
        <v>62</v>
      </c>
      <c r="M3379" t="s">
        <v>207</v>
      </c>
      <c r="N3379" t="s">
        <v>586</v>
      </c>
      <c r="O3379" t="s">
        <v>587</v>
      </c>
      <c r="P3379">
        <v>-20.122596999999999</v>
      </c>
      <c r="Q3379">
        <v>-44.889994999999999</v>
      </c>
      <c r="R3379" s="2" t="str">
        <f>HYPERLINK("https://www.google.com/maps?q=-20.1225970,-44.8899950","Abrir no Google Maps")</f>
        <v>Abrir no Google Maps</v>
      </c>
      <c r="S3379">
        <v>3</v>
      </c>
      <c r="T3379">
        <v>548.23336486960989</v>
      </c>
      <c r="U3379">
        <v>4</v>
      </c>
      <c r="V3379">
        <v>0.48644569415126471</v>
      </c>
      <c r="W3379">
        <v>1</v>
      </c>
      <c r="X3379">
        <v>0.48644569415126471</v>
      </c>
      <c r="Y3379">
        <v>536</v>
      </c>
      <c r="Z3379">
        <v>547.28307523929982</v>
      </c>
      <c r="AA3379">
        <v>198</v>
      </c>
      <c r="AB3379">
        <v>332</v>
      </c>
      <c r="AC3379">
        <v>536</v>
      </c>
      <c r="AD3379">
        <v>28.54</v>
      </c>
      <c r="AE3379">
        <v>542</v>
      </c>
      <c r="AF3379">
        <v>20</v>
      </c>
      <c r="AG3379">
        <v>181</v>
      </c>
      <c r="AH3379">
        <v>129</v>
      </c>
      <c r="AI3379">
        <v>3.69</v>
      </c>
      <c r="AJ3379">
        <v>33.39</v>
      </c>
      <c r="AK3379">
        <v>23.8</v>
      </c>
      <c r="AL3379">
        <v>-20.122693899999941</v>
      </c>
      <c r="AM3379">
        <v>-44.890039706276887</v>
      </c>
      <c r="AN3379">
        <v>-20.122693899999941</v>
      </c>
      <c r="AO3379">
        <v>-44.890039706276887</v>
      </c>
      <c r="AP3379">
        <v>-20.122596999999999</v>
      </c>
      <c r="AQ3379">
        <v>-44.889994999999999</v>
      </c>
      <c r="AR3379">
        <v>11.75557400261394</v>
      </c>
      <c r="AS3379" t="s">
        <v>65</v>
      </c>
      <c r="AT3379">
        <v>1</v>
      </c>
      <c r="AU3379" t="s">
        <v>588</v>
      </c>
      <c r="AV3379" t="s">
        <v>589</v>
      </c>
      <c r="AW3379" t="s">
        <v>60</v>
      </c>
      <c r="AX3379" t="s">
        <v>68</v>
      </c>
      <c r="AY3379" t="s">
        <v>69</v>
      </c>
      <c r="AZ3379" t="b">
        <v>1</v>
      </c>
    </row>
    <row r="3380" spans="1:52" x14ac:dyDescent="0.3">
      <c r="A3380" t="s">
        <v>52</v>
      </c>
      <c r="B3380" t="s">
        <v>53</v>
      </c>
      <c r="C3380" t="s">
        <v>54</v>
      </c>
      <c r="D3380" t="s">
        <v>55</v>
      </c>
      <c r="E3380" t="s">
        <v>2200</v>
      </c>
      <c r="F3380" t="s">
        <v>190</v>
      </c>
      <c r="G3380" t="s">
        <v>595</v>
      </c>
      <c r="H3380" t="s">
        <v>596</v>
      </c>
      <c r="I3380" t="s">
        <v>596</v>
      </c>
      <c r="J3380" t="s">
        <v>60</v>
      </c>
      <c r="K3380" t="s">
        <v>207</v>
      </c>
      <c r="L3380" t="s">
        <v>62</v>
      </c>
      <c r="M3380" t="s">
        <v>207</v>
      </c>
      <c r="N3380" t="s">
        <v>597</v>
      </c>
      <c r="O3380" t="s">
        <v>598</v>
      </c>
      <c r="P3380">
        <v>-20.118335999999999</v>
      </c>
      <c r="Q3380">
        <v>-44.887441000000003</v>
      </c>
      <c r="R3380" s="2" t="str">
        <f>HYPERLINK("https://www.google.com/maps?q=-20.1183360,-44.8874410","Abrir no Google Maps")</f>
        <v>Abrir no Google Maps</v>
      </c>
      <c r="S3380">
        <v>3</v>
      </c>
      <c r="T3380">
        <v>0</v>
      </c>
      <c r="U3380">
        <v>4</v>
      </c>
      <c r="V3380">
        <v>0.4801365611421477</v>
      </c>
      <c r="W3380">
        <v>1</v>
      </c>
      <c r="X3380">
        <v>0.4801365611421477</v>
      </c>
      <c r="Y3380">
        <v>536</v>
      </c>
      <c r="Z3380">
        <v>70.729031566967279</v>
      </c>
      <c r="AA3380">
        <v>198</v>
      </c>
      <c r="AB3380">
        <v>332</v>
      </c>
      <c r="AC3380">
        <v>536</v>
      </c>
      <c r="AD3380">
        <v>28.54</v>
      </c>
      <c r="AE3380">
        <v>542</v>
      </c>
      <c r="AF3380">
        <v>20</v>
      </c>
      <c r="AG3380">
        <v>181</v>
      </c>
      <c r="AH3380">
        <v>129</v>
      </c>
      <c r="AI3380">
        <v>3.69</v>
      </c>
      <c r="AJ3380">
        <v>33.39</v>
      </c>
      <c r="AK3380">
        <v>23.8</v>
      </c>
      <c r="AL3380">
        <v>-20.118357999999969</v>
      </c>
      <c r="AM3380">
        <v>-44.88750246616479</v>
      </c>
      <c r="AN3380">
        <v>-20.118357999999969</v>
      </c>
      <c r="AO3380">
        <v>-44.88750246616479</v>
      </c>
      <c r="AP3380">
        <v>-20.118335999999999</v>
      </c>
      <c r="AQ3380">
        <v>-44.887441000000003</v>
      </c>
      <c r="AR3380">
        <v>6.875853437004074</v>
      </c>
      <c r="AS3380" t="s">
        <v>65</v>
      </c>
      <c r="AT3380">
        <v>1</v>
      </c>
      <c r="AU3380" t="s">
        <v>599</v>
      </c>
      <c r="AV3380" t="s">
        <v>600</v>
      </c>
      <c r="AW3380" t="s">
        <v>60</v>
      </c>
      <c r="AX3380" t="s">
        <v>68</v>
      </c>
      <c r="AY3380" t="s">
        <v>69</v>
      </c>
      <c r="AZ3380" t="b">
        <v>1</v>
      </c>
    </row>
    <row r="3381" spans="1:52" x14ac:dyDescent="0.3">
      <c r="A3381" t="s">
        <v>52</v>
      </c>
      <c r="B3381" t="s">
        <v>53</v>
      </c>
      <c r="C3381" t="s">
        <v>54</v>
      </c>
      <c r="D3381" t="s">
        <v>55</v>
      </c>
      <c r="E3381" t="s">
        <v>2200</v>
      </c>
      <c r="F3381" t="s">
        <v>190</v>
      </c>
      <c r="G3381" t="s">
        <v>614</v>
      </c>
      <c r="H3381" t="s">
        <v>615</v>
      </c>
      <c r="I3381" t="s">
        <v>615</v>
      </c>
      <c r="J3381" t="s">
        <v>60</v>
      </c>
      <c r="K3381" t="s">
        <v>207</v>
      </c>
      <c r="L3381" t="s">
        <v>62</v>
      </c>
      <c r="M3381" t="s">
        <v>207</v>
      </c>
      <c r="N3381" t="s">
        <v>616</v>
      </c>
      <c r="O3381" t="s">
        <v>617</v>
      </c>
      <c r="P3381">
        <v>-20.123118999999999</v>
      </c>
      <c r="Q3381">
        <v>-44.886259000000003</v>
      </c>
      <c r="R3381" s="2" t="str">
        <f>HYPERLINK("https://www.google.com/maps?q=-20.1231190,-44.8862590","Abrir no Google Maps")</f>
        <v>Abrir no Google Maps</v>
      </c>
      <c r="S3381">
        <v>3</v>
      </c>
      <c r="T3381">
        <v>534.91642326845545</v>
      </c>
      <c r="U3381">
        <v>4</v>
      </c>
      <c r="V3381">
        <v>0.52285916310306546</v>
      </c>
      <c r="W3381">
        <v>1</v>
      </c>
      <c r="X3381">
        <v>0.52285916310306546</v>
      </c>
      <c r="Y3381">
        <v>536</v>
      </c>
      <c r="Z3381">
        <v>478.9192959851456</v>
      </c>
      <c r="AA3381">
        <v>198</v>
      </c>
      <c r="AB3381">
        <v>332</v>
      </c>
      <c r="AC3381">
        <v>536</v>
      </c>
      <c r="AD3381">
        <v>28.54</v>
      </c>
      <c r="AE3381">
        <v>542</v>
      </c>
      <c r="AF3381">
        <v>20</v>
      </c>
      <c r="AG3381">
        <v>181</v>
      </c>
      <c r="AH3381">
        <v>129</v>
      </c>
      <c r="AI3381">
        <v>3.69</v>
      </c>
      <c r="AJ3381">
        <v>33.39</v>
      </c>
      <c r="AK3381">
        <v>23.8</v>
      </c>
      <c r="AL3381">
        <v>-20.12305974999995</v>
      </c>
      <c r="AM3381">
        <v>-44.886314469108633</v>
      </c>
      <c r="AN3381">
        <v>-20.12305974999995</v>
      </c>
      <c r="AO3381">
        <v>-44.886314469108633</v>
      </c>
      <c r="AP3381">
        <v>-20.123118999999999</v>
      </c>
      <c r="AQ3381">
        <v>-44.886259000000003</v>
      </c>
      <c r="AR3381">
        <v>8.7817342078334093</v>
      </c>
      <c r="AS3381" t="s">
        <v>65</v>
      </c>
      <c r="AT3381">
        <v>1</v>
      </c>
      <c r="AU3381" t="s">
        <v>618</v>
      </c>
      <c r="AV3381" t="s">
        <v>619</v>
      </c>
      <c r="AW3381" t="s">
        <v>60</v>
      </c>
      <c r="AX3381" t="s">
        <v>68</v>
      </c>
      <c r="AY3381" t="s">
        <v>69</v>
      </c>
      <c r="AZ3381" t="b">
        <v>1</v>
      </c>
    </row>
    <row r="3382" spans="1:52" x14ac:dyDescent="0.3">
      <c r="A3382" t="s">
        <v>52</v>
      </c>
      <c r="B3382" t="s">
        <v>53</v>
      </c>
      <c r="C3382" t="s">
        <v>54</v>
      </c>
      <c r="D3382" t="s">
        <v>55</v>
      </c>
      <c r="E3382" t="s">
        <v>2200</v>
      </c>
      <c r="F3382" t="s">
        <v>190</v>
      </c>
      <c r="G3382" t="s">
        <v>620</v>
      </c>
      <c r="H3382" t="s">
        <v>621</v>
      </c>
      <c r="I3382" t="s">
        <v>621</v>
      </c>
      <c r="J3382" t="s">
        <v>60</v>
      </c>
      <c r="K3382" t="s">
        <v>207</v>
      </c>
      <c r="L3382" t="s">
        <v>62</v>
      </c>
      <c r="M3382" t="s">
        <v>207</v>
      </c>
      <c r="N3382" t="s">
        <v>622</v>
      </c>
      <c r="O3382" t="s">
        <v>623</v>
      </c>
      <c r="P3382">
        <v>-20.120775999999999</v>
      </c>
      <c r="Q3382">
        <v>-44.885562999999998</v>
      </c>
      <c r="R3382" s="2" t="str">
        <f>HYPERLINK("https://www.google.com/maps?q=-20.1207760,-44.8855630","Abrir no Google Maps")</f>
        <v>Abrir no Google Maps</v>
      </c>
      <c r="S3382">
        <v>3</v>
      </c>
      <c r="T3382">
        <v>332.24231777761912</v>
      </c>
      <c r="U3382">
        <v>4</v>
      </c>
      <c r="V3382">
        <v>0.51645836470411077</v>
      </c>
      <c r="W3382">
        <v>1</v>
      </c>
      <c r="X3382">
        <v>0.51645836470411077</v>
      </c>
      <c r="Y3382">
        <v>536</v>
      </c>
      <c r="Z3382">
        <v>255.48165096313261</v>
      </c>
      <c r="AA3382">
        <v>198</v>
      </c>
      <c r="AB3382">
        <v>332</v>
      </c>
      <c r="AC3382">
        <v>536</v>
      </c>
      <c r="AD3382">
        <v>28.54</v>
      </c>
      <c r="AE3382">
        <v>542</v>
      </c>
      <c r="AF3382">
        <v>20</v>
      </c>
      <c r="AG3382">
        <v>181</v>
      </c>
      <c r="AH3382">
        <v>129</v>
      </c>
      <c r="AI3382">
        <v>3.69</v>
      </c>
      <c r="AJ3382">
        <v>33.39</v>
      </c>
      <c r="AK3382">
        <v>23.8</v>
      </c>
      <c r="AL3382">
        <v>-20.120783799999941</v>
      </c>
      <c r="AM3382">
        <v>-44.885629603396453</v>
      </c>
      <c r="AN3382">
        <v>-20.120783799999941</v>
      </c>
      <c r="AO3382">
        <v>-44.885629603396453</v>
      </c>
      <c r="AP3382">
        <v>-20.120775999999999</v>
      </c>
      <c r="AQ3382">
        <v>-44.885562999999998</v>
      </c>
      <c r="AR3382">
        <v>7.0157317818911196</v>
      </c>
      <c r="AS3382" t="s">
        <v>65</v>
      </c>
      <c r="AT3382">
        <v>1</v>
      </c>
      <c r="AU3382" t="s">
        <v>624</v>
      </c>
      <c r="AV3382" t="s">
        <v>619</v>
      </c>
      <c r="AW3382" t="s">
        <v>60</v>
      </c>
      <c r="AX3382" t="s">
        <v>68</v>
      </c>
      <c r="AY3382" t="s">
        <v>69</v>
      </c>
      <c r="AZ3382" t="b">
        <v>1</v>
      </c>
    </row>
    <row r="3383" spans="1:52" x14ac:dyDescent="0.3">
      <c r="A3383" t="s">
        <v>52</v>
      </c>
      <c r="B3383" t="s">
        <v>53</v>
      </c>
      <c r="C3383" t="s">
        <v>54</v>
      </c>
      <c r="D3383" t="s">
        <v>55</v>
      </c>
      <c r="E3383" t="s">
        <v>2200</v>
      </c>
      <c r="F3383" t="s">
        <v>190</v>
      </c>
      <c r="G3383" t="s">
        <v>637</v>
      </c>
      <c r="H3383" t="s">
        <v>915</v>
      </c>
      <c r="I3383" t="s">
        <v>915</v>
      </c>
      <c r="J3383" t="s">
        <v>60</v>
      </c>
      <c r="K3383" t="s">
        <v>530</v>
      </c>
      <c r="L3383" t="s">
        <v>62</v>
      </c>
      <c r="M3383" t="s">
        <v>530</v>
      </c>
      <c r="N3383" t="s">
        <v>639</v>
      </c>
      <c r="O3383" t="s">
        <v>916</v>
      </c>
      <c r="P3383">
        <v>-20.144821</v>
      </c>
      <c r="Q3383">
        <v>-44.88937</v>
      </c>
      <c r="R3383" s="2" t="str">
        <f>HYPERLINK("https://www.google.com/maps?q=-20.1448210,-44.8893700","Abrir no Google Maps")</f>
        <v>Abrir no Google Maps</v>
      </c>
      <c r="S3383">
        <v>3</v>
      </c>
      <c r="T3383">
        <v>256.58219197259177</v>
      </c>
      <c r="U3383">
        <v>4</v>
      </c>
      <c r="V3383">
        <v>0.58294361222749969</v>
      </c>
      <c r="W3383">
        <v>0.85</v>
      </c>
      <c r="X3383">
        <v>0.49550207039337468</v>
      </c>
      <c r="Y3383">
        <v>527</v>
      </c>
      <c r="Z3383">
        <v>177.1895281295705</v>
      </c>
      <c r="AA3383">
        <v>198</v>
      </c>
      <c r="AB3383">
        <v>332</v>
      </c>
      <c r="AC3383">
        <v>536</v>
      </c>
      <c r="AD3383">
        <v>28.54</v>
      </c>
      <c r="AE3383">
        <v>542</v>
      </c>
      <c r="AF3383">
        <v>20</v>
      </c>
      <c r="AG3383">
        <v>181</v>
      </c>
      <c r="AH3383">
        <v>129</v>
      </c>
      <c r="AI3383">
        <v>3.69</v>
      </c>
      <c r="AJ3383">
        <v>33.39</v>
      </c>
      <c r="AK3383">
        <v>23.8</v>
      </c>
      <c r="AL3383">
        <v>-20.144812799999951</v>
      </c>
      <c r="AM3383">
        <v>-44.8892780390361</v>
      </c>
      <c r="AN3383">
        <v>-20.144812799999951</v>
      </c>
      <c r="AO3383">
        <v>-44.8892780390361</v>
      </c>
      <c r="AP3383">
        <v>-20.144821</v>
      </c>
      <c r="AQ3383">
        <v>-44.88937</v>
      </c>
      <c r="AR3383">
        <v>9.6540941010892158</v>
      </c>
      <c r="AS3383" t="s">
        <v>65</v>
      </c>
      <c r="AT3383">
        <v>1</v>
      </c>
      <c r="AU3383" t="s">
        <v>917</v>
      </c>
      <c r="AV3383" t="s">
        <v>918</v>
      </c>
      <c r="AW3383" t="s">
        <v>60</v>
      </c>
      <c r="AX3383" t="s">
        <v>68</v>
      </c>
      <c r="AY3383" t="s">
        <v>69</v>
      </c>
      <c r="AZ3383" t="b">
        <v>1</v>
      </c>
    </row>
    <row r="3384" spans="1:52" x14ac:dyDescent="0.3">
      <c r="A3384" t="s">
        <v>52</v>
      </c>
      <c r="B3384" t="s">
        <v>53</v>
      </c>
      <c r="C3384" t="s">
        <v>54</v>
      </c>
      <c r="D3384" t="s">
        <v>55</v>
      </c>
      <c r="E3384" t="s">
        <v>2200</v>
      </c>
      <c r="F3384" t="s">
        <v>190</v>
      </c>
      <c r="G3384" t="s">
        <v>919</v>
      </c>
      <c r="H3384" t="s">
        <v>920</v>
      </c>
      <c r="I3384" t="s">
        <v>920</v>
      </c>
      <c r="J3384" t="s">
        <v>60</v>
      </c>
      <c r="K3384" t="s">
        <v>530</v>
      </c>
      <c r="L3384" t="s">
        <v>62</v>
      </c>
      <c r="M3384" t="s">
        <v>530</v>
      </c>
      <c r="N3384" t="s">
        <v>921</v>
      </c>
      <c r="O3384" t="s">
        <v>922</v>
      </c>
      <c r="P3384">
        <v>-20.144537</v>
      </c>
      <c r="Q3384">
        <v>-44.891530000000003</v>
      </c>
      <c r="R3384" s="2" t="str">
        <f>HYPERLINK("https://www.google.com/maps?q=-20.1445370,-44.8915300","Abrir no Google Maps")</f>
        <v>Abrir no Google Maps</v>
      </c>
      <c r="S3384">
        <v>3</v>
      </c>
      <c r="T3384">
        <v>0</v>
      </c>
      <c r="U3384">
        <v>4</v>
      </c>
      <c r="V3384">
        <v>0.58031826663902131</v>
      </c>
      <c r="W3384">
        <v>0.85</v>
      </c>
      <c r="X3384">
        <v>0.49327052664316812</v>
      </c>
      <c r="Y3384">
        <v>527</v>
      </c>
      <c r="Z3384">
        <v>80.350679251421383</v>
      </c>
      <c r="AA3384">
        <v>198</v>
      </c>
      <c r="AB3384">
        <v>332</v>
      </c>
      <c r="AC3384">
        <v>536</v>
      </c>
      <c r="AD3384">
        <v>28.54</v>
      </c>
      <c r="AE3384">
        <v>542</v>
      </c>
      <c r="AF3384">
        <v>20</v>
      </c>
      <c r="AG3384">
        <v>181</v>
      </c>
      <c r="AH3384">
        <v>129</v>
      </c>
      <c r="AI3384">
        <v>3.69</v>
      </c>
      <c r="AJ3384">
        <v>33.39</v>
      </c>
      <c r="AK3384">
        <v>23.8</v>
      </c>
      <c r="AL3384">
        <v>-20.144700699999959</v>
      </c>
      <c r="AM3384">
        <v>-44.891730278075883</v>
      </c>
      <c r="AN3384">
        <v>-20.144700699999959</v>
      </c>
      <c r="AO3384">
        <v>-44.891730278075883</v>
      </c>
      <c r="AP3384">
        <v>-20.144537</v>
      </c>
      <c r="AQ3384">
        <v>-44.891530000000003</v>
      </c>
      <c r="AR3384">
        <v>27.752313800143739</v>
      </c>
      <c r="AS3384" t="s">
        <v>65</v>
      </c>
      <c r="AT3384">
        <v>1</v>
      </c>
      <c r="AU3384" t="s">
        <v>923</v>
      </c>
      <c r="AV3384" t="s">
        <v>924</v>
      </c>
      <c r="AW3384" t="s">
        <v>60</v>
      </c>
      <c r="AX3384" t="s">
        <v>68</v>
      </c>
      <c r="AY3384" t="s">
        <v>69</v>
      </c>
      <c r="AZ3384" t="b">
        <v>1</v>
      </c>
    </row>
    <row r="3385" spans="1:52" x14ac:dyDescent="0.3">
      <c r="A3385" t="s">
        <v>52</v>
      </c>
      <c r="B3385" t="s">
        <v>53</v>
      </c>
      <c r="C3385" t="s">
        <v>54</v>
      </c>
      <c r="D3385" t="s">
        <v>55</v>
      </c>
      <c r="E3385" t="s">
        <v>2200</v>
      </c>
      <c r="F3385" t="s">
        <v>190</v>
      </c>
      <c r="G3385" t="s">
        <v>625</v>
      </c>
      <c r="H3385" t="s">
        <v>626</v>
      </c>
      <c r="I3385" t="s">
        <v>626</v>
      </c>
      <c r="J3385" t="s">
        <v>60</v>
      </c>
      <c r="K3385" t="s">
        <v>193</v>
      </c>
      <c r="L3385" t="s">
        <v>62</v>
      </c>
      <c r="M3385" t="s">
        <v>193</v>
      </c>
      <c r="N3385" t="s">
        <v>627</v>
      </c>
      <c r="O3385" t="s">
        <v>628</v>
      </c>
      <c r="P3385">
        <v>-20.145171999999999</v>
      </c>
      <c r="Q3385">
        <v>-44.916764000000001</v>
      </c>
      <c r="R3385" s="2" t="str">
        <f>HYPERLINK("https://www.google.com/maps?q=-20.1451720,-44.9167640","Abrir no Google Maps")</f>
        <v>Abrir no Google Maps</v>
      </c>
      <c r="S3385">
        <v>3</v>
      </c>
      <c r="T3385">
        <v>0</v>
      </c>
      <c r="U3385">
        <v>4</v>
      </c>
      <c r="V3385">
        <v>0.47576141806911038</v>
      </c>
      <c r="W3385">
        <v>1</v>
      </c>
      <c r="X3385">
        <v>0.47576141806911038</v>
      </c>
      <c r="Y3385">
        <v>508</v>
      </c>
      <c r="Z3385">
        <v>79.403393114466795</v>
      </c>
      <c r="AA3385">
        <v>198</v>
      </c>
      <c r="AB3385">
        <v>332</v>
      </c>
      <c r="AC3385">
        <v>536</v>
      </c>
      <c r="AD3385">
        <v>28.54</v>
      </c>
      <c r="AE3385">
        <v>542</v>
      </c>
      <c r="AF3385">
        <v>20</v>
      </c>
      <c r="AG3385">
        <v>181</v>
      </c>
      <c r="AH3385">
        <v>129</v>
      </c>
      <c r="AI3385">
        <v>3.69</v>
      </c>
      <c r="AJ3385">
        <v>33.39</v>
      </c>
      <c r="AK3385">
        <v>23.8</v>
      </c>
      <c r="AL3385">
        <v>-20.145089199999969</v>
      </c>
      <c r="AM3385">
        <v>-44.916788127791321</v>
      </c>
      <c r="AN3385">
        <v>-20.145089199999969</v>
      </c>
      <c r="AO3385">
        <v>-44.916788127791321</v>
      </c>
      <c r="AP3385">
        <v>-20.145171999999999</v>
      </c>
      <c r="AQ3385">
        <v>-44.916764000000001</v>
      </c>
      <c r="AR3385">
        <v>9.555991267747272</v>
      </c>
      <c r="AS3385" t="s">
        <v>65</v>
      </c>
      <c r="AT3385">
        <v>1</v>
      </c>
      <c r="AU3385" t="s">
        <v>629</v>
      </c>
      <c r="AV3385" t="s">
        <v>630</v>
      </c>
      <c r="AW3385" t="s">
        <v>60</v>
      </c>
      <c r="AX3385" t="s">
        <v>68</v>
      </c>
      <c r="AY3385" t="s">
        <v>69</v>
      </c>
      <c r="AZ3385" t="b">
        <v>1</v>
      </c>
    </row>
    <row r="3386" spans="1:52" x14ac:dyDescent="0.3">
      <c r="A3386" t="s">
        <v>52</v>
      </c>
      <c r="B3386" t="s">
        <v>53</v>
      </c>
      <c r="C3386" t="s">
        <v>54</v>
      </c>
      <c r="D3386" t="s">
        <v>55</v>
      </c>
      <c r="E3386" t="s">
        <v>2200</v>
      </c>
      <c r="F3386" t="s">
        <v>190</v>
      </c>
      <c r="G3386" t="s">
        <v>631</v>
      </c>
      <c r="H3386" t="s">
        <v>632</v>
      </c>
      <c r="I3386" t="s">
        <v>632</v>
      </c>
      <c r="J3386" t="s">
        <v>60</v>
      </c>
      <c r="K3386" t="s">
        <v>530</v>
      </c>
      <c r="L3386" t="s">
        <v>62</v>
      </c>
      <c r="M3386" t="s">
        <v>530</v>
      </c>
      <c r="N3386" t="s">
        <v>633</v>
      </c>
      <c r="O3386" t="s">
        <v>634</v>
      </c>
      <c r="P3386">
        <v>-20.142136000000001</v>
      </c>
      <c r="Q3386">
        <v>-44.893895999999998</v>
      </c>
      <c r="R3386" s="2" t="str">
        <f>HYPERLINK("https://www.google.com/maps?q=-20.1421360,-44.8938960","Abrir no Google Maps")</f>
        <v>Abrir no Google Maps</v>
      </c>
      <c r="S3386">
        <v>3</v>
      </c>
      <c r="T3386">
        <v>252.77776243958951</v>
      </c>
      <c r="U3386">
        <v>4</v>
      </c>
      <c r="V3386">
        <v>0.58633169842874433</v>
      </c>
      <c r="W3386">
        <v>1</v>
      </c>
      <c r="X3386">
        <v>0.58633169842874433</v>
      </c>
      <c r="Y3386">
        <v>505</v>
      </c>
      <c r="Z3386">
        <v>331.79497003706751</v>
      </c>
      <c r="AA3386">
        <v>198</v>
      </c>
      <c r="AB3386">
        <v>332</v>
      </c>
      <c r="AC3386">
        <v>536</v>
      </c>
      <c r="AD3386">
        <v>28.54</v>
      </c>
      <c r="AE3386">
        <v>542</v>
      </c>
      <c r="AF3386">
        <v>20</v>
      </c>
      <c r="AG3386">
        <v>181</v>
      </c>
      <c r="AH3386">
        <v>129</v>
      </c>
      <c r="AI3386">
        <v>3.69</v>
      </c>
      <c r="AJ3386">
        <v>33.39</v>
      </c>
      <c r="AK3386">
        <v>23.8</v>
      </c>
      <c r="AL3386">
        <v>-20.142209999999949</v>
      </c>
      <c r="AM3386">
        <v>-44.893919659400702</v>
      </c>
      <c r="AN3386">
        <v>-20.142209999999949</v>
      </c>
      <c r="AO3386">
        <v>-44.893919659400702</v>
      </c>
      <c r="AP3386">
        <v>-20.142136000000001</v>
      </c>
      <c r="AQ3386">
        <v>-44.893895999999998</v>
      </c>
      <c r="AR3386">
        <v>8.6007875127343159</v>
      </c>
      <c r="AS3386" t="s">
        <v>65</v>
      </c>
      <c r="AT3386">
        <v>1</v>
      </c>
      <c r="AU3386" t="s">
        <v>635</v>
      </c>
      <c r="AV3386" t="s">
        <v>636</v>
      </c>
      <c r="AW3386" t="s">
        <v>60</v>
      </c>
      <c r="AX3386" t="s">
        <v>68</v>
      </c>
      <c r="AY3386" t="s">
        <v>69</v>
      </c>
      <c r="AZ3386" t="b">
        <v>1</v>
      </c>
    </row>
    <row r="3387" spans="1:52" x14ac:dyDescent="0.3">
      <c r="A3387" t="s">
        <v>52</v>
      </c>
      <c r="B3387" t="s">
        <v>53</v>
      </c>
      <c r="C3387" t="s">
        <v>54</v>
      </c>
      <c r="D3387" t="s">
        <v>55</v>
      </c>
      <c r="E3387" t="s">
        <v>2200</v>
      </c>
      <c r="F3387" t="s">
        <v>190</v>
      </c>
      <c r="G3387" t="s">
        <v>963</v>
      </c>
      <c r="H3387" t="s">
        <v>964</v>
      </c>
      <c r="I3387" t="s">
        <v>964</v>
      </c>
      <c r="J3387" t="s">
        <v>60</v>
      </c>
      <c r="K3387" t="s">
        <v>702</v>
      </c>
      <c r="L3387" t="s">
        <v>62</v>
      </c>
      <c r="M3387" t="s">
        <v>702</v>
      </c>
      <c r="N3387" t="s">
        <v>965</v>
      </c>
      <c r="O3387" t="s">
        <v>960</v>
      </c>
      <c r="P3387">
        <v>-20.164622000000001</v>
      </c>
      <c r="Q3387">
        <v>-44.860289999999999</v>
      </c>
      <c r="R3387" s="2" t="str">
        <f>HYPERLINK("https://www.google.com/maps?q=-20.1646220,-44.8602900","Abrir no Google Maps")</f>
        <v>Abrir no Google Maps</v>
      </c>
      <c r="S3387">
        <v>3</v>
      </c>
      <c r="T3387">
        <v>393.43725605569188</v>
      </c>
      <c r="U3387">
        <v>4</v>
      </c>
      <c r="V3387">
        <v>0.4739170812603648</v>
      </c>
      <c r="W3387">
        <v>1</v>
      </c>
      <c r="X3387">
        <v>0.4739170812603648</v>
      </c>
      <c r="Y3387">
        <v>491</v>
      </c>
      <c r="Z3387">
        <v>358.96336458076678</v>
      </c>
      <c r="AA3387">
        <v>198</v>
      </c>
      <c r="AB3387">
        <v>332</v>
      </c>
      <c r="AC3387">
        <v>536</v>
      </c>
      <c r="AD3387">
        <v>28.54</v>
      </c>
      <c r="AE3387">
        <v>542</v>
      </c>
      <c r="AF3387">
        <v>20</v>
      </c>
      <c r="AG3387">
        <v>181</v>
      </c>
      <c r="AH3387">
        <v>129</v>
      </c>
      <c r="AI3387">
        <v>3.69</v>
      </c>
      <c r="AJ3387">
        <v>33.39</v>
      </c>
      <c r="AK3387">
        <v>23.8</v>
      </c>
      <c r="AL3387">
        <v>-20.164560849999951</v>
      </c>
      <c r="AM3387">
        <v>-44.860330680844072</v>
      </c>
      <c r="AN3387">
        <v>-20.164560849999951</v>
      </c>
      <c r="AO3387">
        <v>-44.860330680844072</v>
      </c>
      <c r="AP3387">
        <v>-20.164622000000001</v>
      </c>
      <c r="AQ3387">
        <v>-44.860289999999999</v>
      </c>
      <c r="AR3387">
        <v>8.0255448908437454</v>
      </c>
      <c r="AS3387" t="s">
        <v>65</v>
      </c>
      <c r="AT3387">
        <v>1</v>
      </c>
      <c r="AU3387" t="s">
        <v>966</v>
      </c>
      <c r="AV3387" t="s">
        <v>967</v>
      </c>
      <c r="AW3387" t="s">
        <v>60</v>
      </c>
      <c r="AX3387" t="s">
        <v>68</v>
      </c>
      <c r="AY3387" t="s">
        <v>69</v>
      </c>
      <c r="AZ3387" t="b">
        <v>1</v>
      </c>
    </row>
    <row r="3388" spans="1:52" x14ac:dyDescent="0.3">
      <c r="A3388" t="s">
        <v>52</v>
      </c>
      <c r="B3388" t="s">
        <v>53</v>
      </c>
      <c r="C3388" t="s">
        <v>54</v>
      </c>
      <c r="D3388" t="s">
        <v>55</v>
      </c>
      <c r="E3388" t="s">
        <v>2200</v>
      </c>
      <c r="F3388" t="s">
        <v>190</v>
      </c>
      <c r="G3388" t="s">
        <v>637</v>
      </c>
      <c r="H3388" t="s">
        <v>638</v>
      </c>
      <c r="I3388" t="s">
        <v>638</v>
      </c>
      <c r="J3388" t="s">
        <v>60</v>
      </c>
      <c r="K3388" t="s">
        <v>530</v>
      </c>
      <c r="L3388" t="s">
        <v>62</v>
      </c>
      <c r="M3388" t="s">
        <v>530</v>
      </c>
      <c r="N3388" t="s">
        <v>639</v>
      </c>
      <c r="O3388" t="s">
        <v>640</v>
      </c>
      <c r="P3388">
        <v>-20.143090000000001</v>
      </c>
      <c r="Q3388">
        <v>-44.888948999999997</v>
      </c>
      <c r="R3388" s="2" t="str">
        <f>HYPERLINK("https://www.google.com/maps?q=-20.1430900,-44.8889490","Abrir no Google Maps")</f>
        <v>Abrir no Google Maps</v>
      </c>
      <c r="S3388">
        <v>3</v>
      </c>
      <c r="T3388">
        <v>264.88903234377068</v>
      </c>
      <c r="U3388">
        <v>4</v>
      </c>
      <c r="V3388">
        <v>0.56663564929693966</v>
      </c>
      <c r="W3388">
        <v>1</v>
      </c>
      <c r="X3388">
        <v>0.56663564929693966</v>
      </c>
      <c r="Y3388">
        <v>478</v>
      </c>
      <c r="Z3388">
        <v>216.60886577490871</v>
      </c>
      <c r="AA3388">
        <v>198</v>
      </c>
      <c r="AB3388">
        <v>332</v>
      </c>
      <c r="AC3388">
        <v>536</v>
      </c>
      <c r="AD3388">
        <v>28.54</v>
      </c>
      <c r="AE3388">
        <v>542</v>
      </c>
      <c r="AF3388">
        <v>20</v>
      </c>
      <c r="AG3388">
        <v>181</v>
      </c>
      <c r="AH3388">
        <v>129</v>
      </c>
      <c r="AI3388">
        <v>3.69</v>
      </c>
      <c r="AJ3388">
        <v>33.39</v>
      </c>
      <c r="AK3388">
        <v>23.8</v>
      </c>
      <c r="AL3388">
        <v>-20.14306029999997</v>
      </c>
      <c r="AM3388">
        <v>-44.889053908028878</v>
      </c>
      <c r="AN3388">
        <v>-20.14306029999997</v>
      </c>
      <c r="AO3388">
        <v>-44.889053908028878</v>
      </c>
      <c r="AP3388">
        <v>-20.143090000000001</v>
      </c>
      <c r="AQ3388">
        <v>-44.888948999999997</v>
      </c>
      <c r="AR3388">
        <v>11.451710102611671</v>
      </c>
      <c r="AS3388" t="s">
        <v>65</v>
      </c>
      <c r="AT3388">
        <v>1</v>
      </c>
      <c r="AU3388" t="s">
        <v>641</v>
      </c>
      <c r="AV3388" t="s">
        <v>642</v>
      </c>
      <c r="AW3388" t="s">
        <v>60</v>
      </c>
      <c r="AX3388" t="s">
        <v>68</v>
      </c>
      <c r="AY3388" t="s">
        <v>69</v>
      </c>
      <c r="AZ3388" t="b">
        <v>1</v>
      </c>
    </row>
    <row r="3389" spans="1:52" x14ac:dyDescent="0.3">
      <c r="A3389" t="s">
        <v>52</v>
      </c>
      <c r="B3389" t="s">
        <v>53</v>
      </c>
      <c r="C3389" t="s">
        <v>54</v>
      </c>
      <c r="D3389" t="s">
        <v>55</v>
      </c>
      <c r="E3389" t="s">
        <v>2200</v>
      </c>
      <c r="F3389" t="s">
        <v>190</v>
      </c>
      <c r="G3389" t="s">
        <v>992</v>
      </c>
      <c r="H3389" t="s">
        <v>993</v>
      </c>
      <c r="I3389" t="s">
        <v>993</v>
      </c>
      <c r="J3389" t="s">
        <v>60</v>
      </c>
      <c r="K3389" t="s">
        <v>530</v>
      </c>
      <c r="L3389" t="s">
        <v>62</v>
      </c>
      <c r="M3389" t="s">
        <v>530</v>
      </c>
      <c r="N3389" t="s">
        <v>994</v>
      </c>
      <c r="O3389" t="s">
        <v>995</v>
      </c>
      <c r="P3389">
        <v>-20.144141000000001</v>
      </c>
      <c r="Q3389">
        <v>-44.884635000000003</v>
      </c>
      <c r="R3389" s="2" t="str">
        <f>HYPERLINK("https://www.google.com/maps?q=-20.1441410,-44.8846350","Abrir no Google Maps")</f>
        <v>Abrir no Google Maps</v>
      </c>
      <c r="S3389">
        <v>3</v>
      </c>
      <c r="T3389">
        <v>0</v>
      </c>
      <c r="U3389">
        <v>4</v>
      </c>
      <c r="V3389">
        <v>0.59005765426738077</v>
      </c>
      <c r="W3389">
        <v>0.85</v>
      </c>
      <c r="X3389">
        <v>0.5015490061272736</v>
      </c>
      <c r="Y3389">
        <v>478</v>
      </c>
      <c r="Z3389">
        <v>252.29400768218821</v>
      </c>
      <c r="AA3389">
        <v>198</v>
      </c>
      <c r="AB3389">
        <v>332</v>
      </c>
      <c r="AC3389">
        <v>536</v>
      </c>
      <c r="AD3389">
        <v>28.54</v>
      </c>
      <c r="AE3389">
        <v>542</v>
      </c>
      <c r="AF3389">
        <v>20</v>
      </c>
      <c r="AG3389">
        <v>181</v>
      </c>
      <c r="AH3389">
        <v>129</v>
      </c>
      <c r="AI3389">
        <v>3.69</v>
      </c>
      <c r="AJ3389">
        <v>33.39</v>
      </c>
      <c r="AK3389">
        <v>23.8</v>
      </c>
      <c r="AL3389">
        <v>-20.144119999999951</v>
      </c>
      <c r="AM3389">
        <v>-44.884814928637752</v>
      </c>
      <c r="AN3389">
        <v>-20.144119999999951</v>
      </c>
      <c r="AO3389">
        <v>-44.884814928637752</v>
      </c>
      <c r="AP3389">
        <v>-20.144141000000001</v>
      </c>
      <c r="AQ3389">
        <v>-44.884635000000003</v>
      </c>
      <c r="AR3389">
        <v>18.949181367223549</v>
      </c>
      <c r="AS3389" t="s">
        <v>65</v>
      </c>
      <c r="AT3389">
        <v>1</v>
      </c>
      <c r="AU3389" t="s">
        <v>996</v>
      </c>
      <c r="AV3389" t="s">
        <v>997</v>
      </c>
      <c r="AW3389" t="s">
        <v>60</v>
      </c>
      <c r="AX3389" t="s">
        <v>68</v>
      </c>
      <c r="AY3389" t="s">
        <v>69</v>
      </c>
      <c r="AZ3389" t="b">
        <v>1</v>
      </c>
    </row>
    <row r="3390" spans="1:52" x14ac:dyDescent="0.3">
      <c r="A3390" t="s">
        <v>52</v>
      </c>
      <c r="B3390" t="s">
        <v>53</v>
      </c>
      <c r="C3390" t="s">
        <v>54</v>
      </c>
      <c r="D3390" t="s">
        <v>55</v>
      </c>
      <c r="E3390" t="s">
        <v>2200</v>
      </c>
      <c r="F3390" t="s">
        <v>190</v>
      </c>
      <c r="G3390" t="s">
        <v>643</v>
      </c>
      <c r="H3390" t="s">
        <v>644</v>
      </c>
      <c r="I3390" t="s">
        <v>644</v>
      </c>
      <c r="J3390" t="s">
        <v>60</v>
      </c>
      <c r="K3390" t="s">
        <v>462</v>
      </c>
      <c r="L3390" t="s">
        <v>62</v>
      </c>
      <c r="M3390" t="s">
        <v>462</v>
      </c>
      <c r="N3390" t="s">
        <v>645</v>
      </c>
      <c r="O3390" t="s">
        <v>646</v>
      </c>
      <c r="P3390">
        <v>-20.138680000000001</v>
      </c>
      <c r="Q3390">
        <v>-44.901313000000002</v>
      </c>
      <c r="R3390" s="2" t="str">
        <f>HYPERLINK("https://www.google.com/maps?q=-20.1386800,-44.9013130","Abrir no Google Maps")</f>
        <v>Abrir no Google Maps</v>
      </c>
      <c r="S3390">
        <v>3</v>
      </c>
      <c r="T3390">
        <v>322.91859681380862</v>
      </c>
      <c r="U3390">
        <v>4</v>
      </c>
      <c r="V3390">
        <v>0.53733330741417518</v>
      </c>
      <c r="W3390">
        <v>1</v>
      </c>
      <c r="X3390">
        <v>0.53733330741417518</v>
      </c>
      <c r="Y3390">
        <v>435</v>
      </c>
      <c r="Z3390">
        <v>299.891766434874</v>
      </c>
      <c r="AA3390">
        <v>198</v>
      </c>
      <c r="AB3390">
        <v>332</v>
      </c>
      <c r="AC3390">
        <v>536</v>
      </c>
      <c r="AD3390">
        <v>28.54</v>
      </c>
      <c r="AE3390">
        <v>542</v>
      </c>
      <c r="AF3390">
        <v>20</v>
      </c>
      <c r="AG3390">
        <v>181</v>
      </c>
      <c r="AH3390">
        <v>129</v>
      </c>
      <c r="AI3390">
        <v>3.69</v>
      </c>
      <c r="AJ3390">
        <v>33.39</v>
      </c>
      <c r="AK3390">
        <v>23.8</v>
      </c>
      <c r="AL3390">
        <v>-20.13865734999996</v>
      </c>
      <c r="AM3390">
        <v>-44.901255803238627</v>
      </c>
      <c r="AN3390">
        <v>-20.13865734999996</v>
      </c>
      <c r="AO3390">
        <v>-44.901255803238627</v>
      </c>
      <c r="AP3390">
        <v>-20.138680000000001</v>
      </c>
      <c r="AQ3390">
        <v>-44.901313000000002</v>
      </c>
      <c r="AR3390">
        <v>6.4878640135702481</v>
      </c>
      <c r="AS3390" t="s">
        <v>65</v>
      </c>
      <c r="AT3390">
        <v>1</v>
      </c>
      <c r="AU3390" t="s">
        <v>647</v>
      </c>
      <c r="AV3390" t="s">
        <v>648</v>
      </c>
      <c r="AW3390" t="s">
        <v>60</v>
      </c>
      <c r="AX3390" t="s">
        <v>68</v>
      </c>
      <c r="AY3390" t="s">
        <v>69</v>
      </c>
      <c r="AZ3390" t="b">
        <v>1</v>
      </c>
    </row>
    <row r="3391" spans="1:52" x14ac:dyDescent="0.3">
      <c r="A3391" t="s">
        <v>52</v>
      </c>
      <c r="B3391" t="s">
        <v>53</v>
      </c>
      <c r="C3391" t="s">
        <v>54</v>
      </c>
      <c r="D3391" t="s">
        <v>55</v>
      </c>
      <c r="E3391" t="s">
        <v>2200</v>
      </c>
      <c r="F3391" t="s">
        <v>190</v>
      </c>
      <c r="G3391" t="s">
        <v>649</v>
      </c>
      <c r="H3391" t="s">
        <v>650</v>
      </c>
      <c r="I3391" t="s">
        <v>650</v>
      </c>
      <c r="J3391" t="s">
        <v>60</v>
      </c>
      <c r="K3391" t="s">
        <v>651</v>
      </c>
      <c r="L3391" t="s">
        <v>62</v>
      </c>
      <c r="M3391" t="s">
        <v>651</v>
      </c>
      <c r="N3391" t="s">
        <v>652</v>
      </c>
      <c r="O3391" t="s">
        <v>653</v>
      </c>
      <c r="P3391">
        <v>-20.134566</v>
      </c>
      <c r="Q3391">
        <v>-44.894970999999998</v>
      </c>
      <c r="R3391" s="2" t="str">
        <f>HYPERLINK("https://www.google.com/maps?q=-20.1345660,-44.8949710","Abrir no Google Maps")</f>
        <v>Abrir no Google Maps</v>
      </c>
      <c r="S3391">
        <v>3</v>
      </c>
      <c r="T3391">
        <v>722.088947634291</v>
      </c>
      <c r="U3391">
        <v>4</v>
      </c>
      <c r="V3391">
        <v>0.53679438058748408</v>
      </c>
      <c r="W3391">
        <v>1</v>
      </c>
      <c r="X3391">
        <v>0.53679438058748408</v>
      </c>
      <c r="Y3391">
        <v>435</v>
      </c>
      <c r="Z3391">
        <v>510.93480096112631</v>
      </c>
      <c r="AA3391">
        <v>198</v>
      </c>
      <c r="AB3391">
        <v>332</v>
      </c>
      <c r="AC3391">
        <v>536</v>
      </c>
      <c r="AD3391">
        <v>28.54</v>
      </c>
      <c r="AE3391">
        <v>542</v>
      </c>
      <c r="AF3391">
        <v>20</v>
      </c>
      <c r="AG3391">
        <v>181</v>
      </c>
      <c r="AH3391">
        <v>129</v>
      </c>
      <c r="AI3391">
        <v>3.69</v>
      </c>
      <c r="AJ3391">
        <v>33.39</v>
      </c>
      <c r="AK3391">
        <v>23.8</v>
      </c>
      <c r="AL3391">
        <v>-20.134477649999951</v>
      </c>
      <c r="AM3391">
        <v>-44.894921468906077</v>
      </c>
      <c r="AN3391">
        <v>-20.134477649999951</v>
      </c>
      <c r="AO3391">
        <v>-44.894921468906077</v>
      </c>
      <c r="AP3391">
        <v>-20.134566</v>
      </c>
      <c r="AQ3391">
        <v>-44.894970999999998</v>
      </c>
      <c r="AR3391">
        <v>11.114372522967921</v>
      </c>
      <c r="AS3391" t="s">
        <v>65</v>
      </c>
      <c r="AT3391">
        <v>1</v>
      </c>
      <c r="AU3391" t="s">
        <v>654</v>
      </c>
      <c r="AV3391" t="s">
        <v>655</v>
      </c>
      <c r="AW3391" t="s">
        <v>60</v>
      </c>
      <c r="AX3391" t="s">
        <v>68</v>
      </c>
      <c r="AY3391" t="s">
        <v>69</v>
      </c>
      <c r="AZ3391" t="b">
        <v>1</v>
      </c>
    </row>
    <row r="3392" spans="1:52" x14ac:dyDescent="0.3">
      <c r="A3392" t="s">
        <v>52</v>
      </c>
      <c r="B3392" t="s">
        <v>53</v>
      </c>
      <c r="C3392" t="s">
        <v>54</v>
      </c>
      <c r="D3392" t="s">
        <v>55</v>
      </c>
      <c r="E3392" t="s">
        <v>2200</v>
      </c>
      <c r="F3392" t="s">
        <v>190</v>
      </c>
      <c r="G3392" t="s">
        <v>656</v>
      </c>
      <c r="H3392" t="s">
        <v>657</v>
      </c>
      <c r="I3392" t="s">
        <v>657</v>
      </c>
      <c r="J3392" t="s">
        <v>60</v>
      </c>
      <c r="K3392" t="s">
        <v>651</v>
      </c>
      <c r="L3392" t="s">
        <v>62</v>
      </c>
      <c r="M3392" t="s">
        <v>651</v>
      </c>
      <c r="N3392" t="s">
        <v>658</v>
      </c>
      <c r="O3392" t="s">
        <v>659</v>
      </c>
      <c r="P3392">
        <v>-20.134922</v>
      </c>
      <c r="Q3392">
        <v>-44.893098000000002</v>
      </c>
      <c r="R3392" s="2" t="str">
        <f>HYPERLINK("https://www.google.com/maps?q=-20.1349220,-44.8930980","Abrir no Google Maps")</f>
        <v>Abrir no Google Maps</v>
      </c>
      <c r="S3392">
        <v>3</v>
      </c>
      <c r="T3392">
        <v>589.83980259734562</v>
      </c>
      <c r="U3392">
        <v>4</v>
      </c>
      <c r="V3392">
        <v>0.56830134261901266</v>
      </c>
      <c r="W3392">
        <v>1</v>
      </c>
      <c r="X3392">
        <v>0.56830134261901266</v>
      </c>
      <c r="Y3392">
        <v>435</v>
      </c>
      <c r="Z3392">
        <v>663.80986080131709</v>
      </c>
      <c r="AA3392">
        <v>198</v>
      </c>
      <c r="AB3392">
        <v>332</v>
      </c>
      <c r="AC3392">
        <v>536</v>
      </c>
      <c r="AD3392">
        <v>28.54</v>
      </c>
      <c r="AE3392">
        <v>542</v>
      </c>
      <c r="AF3392">
        <v>20</v>
      </c>
      <c r="AG3392">
        <v>181</v>
      </c>
      <c r="AH3392">
        <v>129</v>
      </c>
      <c r="AI3392">
        <v>3.69</v>
      </c>
      <c r="AJ3392">
        <v>33.39</v>
      </c>
      <c r="AK3392">
        <v>23.8</v>
      </c>
      <c r="AL3392">
        <v>-20.135021049999949</v>
      </c>
      <c r="AM3392">
        <v>-44.893227478208203</v>
      </c>
      <c r="AN3392">
        <v>-20.135021049999949</v>
      </c>
      <c r="AO3392">
        <v>-44.893227478208203</v>
      </c>
      <c r="AP3392">
        <v>-20.134922</v>
      </c>
      <c r="AQ3392">
        <v>-44.893098000000002</v>
      </c>
      <c r="AR3392">
        <v>17.455940349902249</v>
      </c>
      <c r="AS3392" t="s">
        <v>65</v>
      </c>
      <c r="AT3392">
        <v>1</v>
      </c>
      <c r="AU3392" t="s">
        <v>660</v>
      </c>
      <c r="AV3392" t="s">
        <v>661</v>
      </c>
      <c r="AW3392" t="s">
        <v>60</v>
      </c>
      <c r="AX3392" t="s">
        <v>68</v>
      </c>
      <c r="AY3392" t="s">
        <v>69</v>
      </c>
      <c r="AZ3392" t="b">
        <v>1</v>
      </c>
    </row>
    <row r="3393" spans="1:52" x14ac:dyDescent="0.3">
      <c r="A3393" t="s">
        <v>52</v>
      </c>
      <c r="B3393" t="s">
        <v>53</v>
      </c>
      <c r="C3393" t="s">
        <v>54</v>
      </c>
      <c r="D3393" t="s">
        <v>55</v>
      </c>
      <c r="E3393" t="s">
        <v>2200</v>
      </c>
      <c r="F3393" t="s">
        <v>190</v>
      </c>
      <c r="G3393" t="s">
        <v>1004</v>
      </c>
      <c r="H3393" t="s">
        <v>1005</v>
      </c>
      <c r="I3393" t="s">
        <v>1005</v>
      </c>
      <c r="J3393" t="s">
        <v>60</v>
      </c>
      <c r="K3393" t="s">
        <v>664</v>
      </c>
      <c r="L3393" t="s">
        <v>62</v>
      </c>
      <c r="M3393" t="s">
        <v>664</v>
      </c>
      <c r="N3393" t="s">
        <v>1006</v>
      </c>
      <c r="O3393" t="s">
        <v>1007</v>
      </c>
      <c r="P3393">
        <v>-20.136424000000002</v>
      </c>
      <c r="Q3393">
        <v>-44.902287999999999</v>
      </c>
      <c r="R3393" s="2" t="str">
        <f>HYPERLINK("https://www.google.com/maps?q=-20.1364240,-44.9022880","Abrir no Google Maps")</f>
        <v>Abrir no Google Maps</v>
      </c>
      <c r="S3393">
        <v>3</v>
      </c>
      <c r="T3393">
        <v>0</v>
      </c>
      <c r="U3393">
        <v>4</v>
      </c>
      <c r="V3393">
        <v>0.56306521158469114</v>
      </c>
      <c r="W3393">
        <v>0.85</v>
      </c>
      <c r="X3393">
        <v>0.47860542984698751</v>
      </c>
      <c r="Y3393">
        <v>435</v>
      </c>
      <c r="Z3393">
        <v>273.7310860392941</v>
      </c>
      <c r="AA3393">
        <v>198</v>
      </c>
      <c r="AB3393">
        <v>332</v>
      </c>
      <c r="AC3393">
        <v>536</v>
      </c>
      <c r="AD3393">
        <v>28.54</v>
      </c>
      <c r="AE3393">
        <v>542</v>
      </c>
      <c r="AF3393">
        <v>20</v>
      </c>
      <c r="AG3393">
        <v>181</v>
      </c>
      <c r="AH3393">
        <v>129</v>
      </c>
      <c r="AI3393">
        <v>3.69</v>
      </c>
      <c r="AJ3393">
        <v>33.39</v>
      </c>
      <c r="AK3393">
        <v>23.8</v>
      </c>
      <c r="AL3393">
        <v>-20.135768749999951</v>
      </c>
      <c r="AM3393">
        <v>-44.901693772064696</v>
      </c>
      <c r="AN3393">
        <v>-20.135768749999951</v>
      </c>
      <c r="AO3393">
        <v>-44.901693772064696</v>
      </c>
      <c r="AP3393">
        <v>-20.136424000000002</v>
      </c>
      <c r="AQ3393">
        <v>-44.902287999999999</v>
      </c>
      <c r="AR3393">
        <v>95.800830031045166</v>
      </c>
      <c r="AS3393" t="s">
        <v>65</v>
      </c>
      <c r="AT3393">
        <v>1</v>
      </c>
      <c r="AU3393" t="s">
        <v>1008</v>
      </c>
      <c r="AV3393" t="s">
        <v>668</v>
      </c>
      <c r="AW3393" t="s">
        <v>60</v>
      </c>
      <c r="AX3393" t="s">
        <v>68</v>
      </c>
      <c r="AY3393" t="s">
        <v>69</v>
      </c>
      <c r="AZ3393" t="b">
        <v>1</v>
      </c>
    </row>
    <row r="3394" spans="1:52" x14ac:dyDescent="0.3">
      <c r="A3394" t="s">
        <v>52</v>
      </c>
      <c r="B3394" t="s">
        <v>53</v>
      </c>
      <c r="C3394" t="s">
        <v>54</v>
      </c>
      <c r="D3394" t="s">
        <v>55</v>
      </c>
      <c r="E3394" t="s">
        <v>2200</v>
      </c>
      <c r="F3394" t="s">
        <v>190</v>
      </c>
      <c r="G3394" t="s">
        <v>662</v>
      </c>
      <c r="H3394" t="s">
        <v>663</v>
      </c>
      <c r="I3394" t="s">
        <v>663</v>
      </c>
      <c r="J3394" t="s">
        <v>60</v>
      </c>
      <c r="K3394" t="s">
        <v>664</v>
      </c>
      <c r="L3394" t="s">
        <v>62</v>
      </c>
      <c r="M3394" t="s">
        <v>664</v>
      </c>
      <c r="N3394" t="s">
        <v>665</v>
      </c>
      <c r="O3394" t="s">
        <v>666</v>
      </c>
      <c r="P3394">
        <v>-20.13401</v>
      </c>
      <c r="Q3394">
        <v>-44.896515999999998</v>
      </c>
      <c r="R3394" s="2" t="str">
        <f>HYPERLINK("https://www.google.com/maps?q=-20.1340100,-44.8965160","Abrir no Google Maps")</f>
        <v>Abrir no Google Maps</v>
      </c>
      <c r="S3394">
        <v>3</v>
      </c>
      <c r="T3394">
        <v>577.93085469739992</v>
      </c>
      <c r="U3394">
        <v>4</v>
      </c>
      <c r="V3394">
        <v>0.58989568371818957</v>
      </c>
      <c r="W3394">
        <v>0.85</v>
      </c>
      <c r="X3394">
        <v>0.5014113311604611</v>
      </c>
      <c r="Y3394">
        <v>435</v>
      </c>
      <c r="Z3394">
        <v>334.84976208093428</v>
      </c>
      <c r="AA3394">
        <v>198</v>
      </c>
      <c r="AB3394">
        <v>332</v>
      </c>
      <c r="AC3394">
        <v>536</v>
      </c>
      <c r="AD3394">
        <v>28.54</v>
      </c>
      <c r="AE3394">
        <v>542</v>
      </c>
      <c r="AF3394">
        <v>20</v>
      </c>
      <c r="AG3394">
        <v>181</v>
      </c>
      <c r="AH3394">
        <v>129</v>
      </c>
      <c r="AI3394">
        <v>3.69</v>
      </c>
      <c r="AJ3394">
        <v>33.39</v>
      </c>
      <c r="AK3394">
        <v>23.8</v>
      </c>
      <c r="AL3394">
        <v>-20.134194999999949</v>
      </c>
      <c r="AM3394">
        <v>-44.896421210298939</v>
      </c>
      <c r="AN3394">
        <v>-20.134194999999949</v>
      </c>
      <c r="AO3394">
        <v>-44.896421210298939</v>
      </c>
      <c r="AP3394">
        <v>-20.13401</v>
      </c>
      <c r="AQ3394">
        <v>-44.896515999999998</v>
      </c>
      <c r="AR3394">
        <v>22.853284872316269</v>
      </c>
      <c r="AS3394" t="s">
        <v>65</v>
      </c>
      <c r="AT3394">
        <v>1</v>
      </c>
      <c r="AU3394" t="s">
        <v>667</v>
      </c>
      <c r="AV3394" t="s">
        <v>668</v>
      </c>
      <c r="AW3394" t="s">
        <v>60</v>
      </c>
      <c r="AX3394" t="s">
        <v>68</v>
      </c>
      <c r="AY3394" t="s">
        <v>69</v>
      </c>
      <c r="AZ3394" t="b">
        <v>1</v>
      </c>
    </row>
    <row r="3395" spans="1:52" x14ac:dyDescent="0.3">
      <c r="A3395" t="s">
        <v>52</v>
      </c>
      <c r="B3395" t="s">
        <v>53</v>
      </c>
      <c r="C3395" t="s">
        <v>54</v>
      </c>
      <c r="D3395" t="s">
        <v>55</v>
      </c>
      <c r="E3395" t="s">
        <v>2200</v>
      </c>
      <c r="F3395" t="s">
        <v>190</v>
      </c>
      <c r="G3395" t="s">
        <v>669</v>
      </c>
      <c r="H3395" t="s">
        <v>670</v>
      </c>
      <c r="I3395" t="s">
        <v>670</v>
      </c>
      <c r="J3395" t="s">
        <v>60</v>
      </c>
      <c r="K3395" t="s">
        <v>530</v>
      </c>
      <c r="L3395" t="s">
        <v>62</v>
      </c>
      <c r="M3395" t="s">
        <v>530</v>
      </c>
      <c r="N3395" t="s">
        <v>671</v>
      </c>
      <c r="O3395" t="s">
        <v>672</v>
      </c>
      <c r="P3395">
        <v>-20.139036999999998</v>
      </c>
      <c r="Q3395">
        <v>-44.889187</v>
      </c>
      <c r="R3395" s="2" t="str">
        <f>HYPERLINK("https://www.google.com/maps?q=-20.1390370,-44.8891870","Abrir no Google Maps")</f>
        <v>Abrir no Google Maps</v>
      </c>
      <c r="S3395">
        <v>3</v>
      </c>
      <c r="T3395">
        <v>162.03713995333371</v>
      </c>
      <c r="U3395">
        <v>4</v>
      </c>
      <c r="V3395">
        <v>0.57867366412213739</v>
      </c>
      <c r="W3395">
        <v>1</v>
      </c>
      <c r="X3395">
        <v>0.57867366412213739</v>
      </c>
      <c r="Y3395">
        <v>428</v>
      </c>
      <c r="Z3395">
        <v>126.21352118044651</v>
      </c>
      <c r="AA3395">
        <v>198</v>
      </c>
      <c r="AB3395">
        <v>332</v>
      </c>
      <c r="AC3395">
        <v>536</v>
      </c>
      <c r="AD3395">
        <v>28.54</v>
      </c>
      <c r="AE3395">
        <v>542</v>
      </c>
      <c r="AF3395">
        <v>20</v>
      </c>
      <c r="AG3395">
        <v>181</v>
      </c>
      <c r="AH3395">
        <v>129</v>
      </c>
      <c r="AI3395">
        <v>3.69</v>
      </c>
      <c r="AJ3395">
        <v>33.39</v>
      </c>
      <c r="AK3395">
        <v>23.8</v>
      </c>
      <c r="AL3395">
        <v>-20.13900394999996</v>
      </c>
      <c r="AM3395">
        <v>-44.889298503583859</v>
      </c>
      <c r="AN3395">
        <v>-20.13900394999996</v>
      </c>
      <c r="AO3395">
        <v>-44.889298503583859</v>
      </c>
      <c r="AP3395">
        <v>-20.139036999999998</v>
      </c>
      <c r="AQ3395">
        <v>-44.889187</v>
      </c>
      <c r="AR3395">
        <v>12.220642731957311</v>
      </c>
      <c r="AS3395" t="s">
        <v>65</v>
      </c>
      <c r="AT3395">
        <v>1</v>
      </c>
      <c r="AU3395" t="s">
        <v>673</v>
      </c>
      <c r="AV3395" t="s">
        <v>674</v>
      </c>
      <c r="AW3395" t="s">
        <v>60</v>
      </c>
      <c r="AX3395" t="s">
        <v>68</v>
      </c>
      <c r="AY3395" t="s">
        <v>69</v>
      </c>
      <c r="AZ3395" t="b">
        <v>1</v>
      </c>
    </row>
    <row r="3396" spans="1:52" x14ac:dyDescent="0.3">
      <c r="A3396" t="s">
        <v>52</v>
      </c>
      <c r="B3396" t="s">
        <v>53</v>
      </c>
      <c r="C3396" t="s">
        <v>54</v>
      </c>
      <c r="D3396" t="s">
        <v>55</v>
      </c>
      <c r="E3396" t="s">
        <v>2200</v>
      </c>
      <c r="F3396" t="s">
        <v>190</v>
      </c>
      <c r="G3396" t="s">
        <v>675</v>
      </c>
      <c r="H3396" t="s">
        <v>676</v>
      </c>
      <c r="I3396" t="s">
        <v>676</v>
      </c>
      <c r="J3396" t="s">
        <v>60</v>
      </c>
      <c r="K3396" t="s">
        <v>530</v>
      </c>
      <c r="L3396" t="s">
        <v>62</v>
      </c>
      <c r="M3396" t="s">
        <v>530</v>
      </c>
      <c r="N3396" t="s">
        <v>677</v>
      </c>
      <c r="O3396" t="s">
        <v>678</v>
      </c>
      <c r="P3396">
        <v>-20.140103</v>
      </c>
      <c r="Q3396">
        <v>-44.887059999999998</v>
      </c>
      <c r="R3396" s="2" t="str">
        <f>HYPERLINK("https://www.google.com/maps?q=-20.1401030,-44.8870600","Abrir no Google Maps")</f>
        <v>Abrir no Google Maps</v>
      </c>
      <c r="S3396">
        <v>3</v>
      </c>
      <c r="T3396">
        <v>202.19329492684349</v>
      </c>
      <c r="U3396">
        <v>4</v>
      </c>
      <c r="V3396">
        <v>0.60254131217617657</v>
      </c>
      <c r="W3396">
        <v>1</v>
      </c>
      <c r="X3396">
        <v>0.60254131217617657</v>
      </c>
      <c r="Y3396">
        <v>428</v>
      </c>
      <c r="Z3396">
        <v>144.95603883960419</v>
      </c>
      <c r="AA3396">
        <v>198</v>
      </c>
      <c r="AB3396">
        <v>332</v>
      </c>
      <c r="AC3396">
        <v>536</v>
      </c>
      <c r="AD3396">
        <v>28.54</v>
      </c>
      <c r="AE3396">
        <v>542</v>
      </c>
      <c r="AF3396">
        <v>20</v>
      </c>
      <c r="AG3396">
        <v>181</v>
      </c>
      <c r="AH3396">
        <v>129</v>
      </c>
      <c r="AI3396">
        <v>3.69</v>
      </c>
      <c r="AJ3396">
        <v>33.39</v>
      </c>
      <c r="AK3396">
        <v>23.8</v>
      </c>
      <c r="AL3396">
        <v>-20.13997164999995</v>
      </c>
      <c r="AM3396">
        <v>-44.887075246455773</v>
      </c>
      <c r="AN3396">
        <v>-20.13997164999995</v>
      </c>
      <c r="AO3396">
        <v>-44.887075246455773</v>
      </c>
      <c r="AP3396">
        <v>-20.140103</v>
      </c>
      <c r="AQ3396">
        <v>-44.887059999999998</v>
      </c>
      <c r="AR3396">
        <v>14.7084512385181</v>
      </c>
      <c r="AS3396" t="s">
        <v>65</v>
      </c>
      <c r="AT3396">
        <v>1</v>
      </c>
      <c r="AU3396" t="s">
        <v>679</v>
      </c>
      <c r="AV3396" t="s">
        <v>680</v>
      </c>
      <c r="AW3396" t="s">
        <v>60</v>
      </c>
      <c r="AX3396" t="s">
        <v>68</v>
      </c>
      <c r="AY3396" t="s">
        <v>69</v>
      </c>
      <c r="AZ3396" t="b">
        <v>1</v>
      </c>
    </row>
    <row r="3397" spans="1:52" x14ac:dyDescent="0.3">
      <c r="A3397" t="s">
        <v>52</v>
      </c>
      <c r="B3397" t="s">
        <v>53</v>
      </c>
      <c r="C3397" t="s">
        <v>54</v>
      </c>
      <c r="D3397" t="s">
        <v>55</v>
      </c>
      <c r="E3397" t="s">
        <v>2200</v>
      </c>
      <c r="F3397" t="s">
        <v>190</v>
      </c>
      <c r="G3397" t="s">
        <v>1009</v>
      </c>
      <c r="H3397" t="s">
        <v>1010</v>
      </c>
      <c r="I3397" t="s">
        <v>1010</v>
      </c>
      <c r="J3397" t="s">
        <v>60</v>
      </c>
      <c r="K3397" t="s">
        <v>530</v>
      </c>
      <c r="L3397" t="s">
        <v>62</v>
      </c>
      <c r="M3397" t="s">
        <v>530</v>
      </c>
      <c r="N3397" t="s">
        <v>1011</v>
      </c>
      <c r="O3397" t="s">
        <v>315</v>
      </c>
      <c r="P3397">
        <v>-20.141300999999999</v>
      </c>
      <c r="Q3397">
        <v>-44.887509999999999</v>
      </c>
      <c r="R3397" s="2" t="str">
        <f>HYPERLINK("https://www.google.com/maps?q=-20.1413010,-44.8875100","Abrir no Google Maps")</f>
        <v>Abrir no Google Maps</v>
      </c>
      <c r="S3397">
        <v>3</v>
      </c>
      <c r="T3397">
        <v>351.30731383872319</v>
      </c>
      <c r="U3397">
        <v>4</v>
      </c>
      <c r="V3397">
        <v>0.57027130378778734</v>
      </c>
      <c r="W3397">
        <v>0.85</v>
      </c>
      <c r="X3397">
        <v>0.48473060821961922</v>
      </c>
      <c r="Y3397">
        <v>428</v>
      </c>
      <c r="Z3397">
        <v>285.79917278216982</v>
      </c>
      <c r="AA3397">
        <v>198</v>
      </c>
      <c r="AB3397">
        <v>332</v>
      </c>
      <c r="AC3397">
        <v>536</v>
      </c>
      <c r="AD3397">
        <v>28.54</v>
      </c>
      <c r="AE3397">
        <v>542</v>
      </c>
      <c r="AF3397">
        <v>20</v>
      </c>
      <c r="AG3397">
        <v>181</v>
      </c>
      <c r="AH3397">
        <v>129</v>
      </c>
      <c r="AI3397">
        <v>3.69</v>
      </c>
      <c r="AJ3397">
        <v>33.39</v>
      </c>
      <c r="AK3397">
        <v>23.8</v>
      </c>
      <c r="AL3397">
        <v>-20.141454249999949</v>
      </c>
      <c r="AM3397">
        <v>-44.887331612944081</v>
      </c>
      <c r="AN3397">
        <v>-20.141454249999949</v>
      </c>
      <c r="AO3397">
        <v>-44.887331612944081</v>
      </c>
      <c r="AP3397">
        <v>-20.141300999999999</v>
      </c>
      <c r="AQ3397">
        <v>-44.887509999999999</v>
      </c>
      <c r="AR3397">
        <v>25.270963110561588</v>
      </c>
      <c r="AS3397" t="s">
        <v>65</v>
      </c>
      <c r="AT3397">
        <v>1</v>
      </c>
      <c r="AU3397" t="s">
        <v>1012</v>
      </c>
      <c r="AV3397" t="s">
        <v>1013</v>
      </c>
      <c r="AW3397" t="s">
        <v>60</v>
      </c>
      <c r="AX3397" t="s">
        <v>68</v>
      </c>
      <c r="AY3397" t="s">
        <v>69</v>
      </c>
      <c r="AZ3397" t="b">
        <v>1</v>
      </c>
    </row>
    <row r="3398" spans="1:52" x14ac:dyDescent="0.3">
      <c r="A3398" t="s">
        <v>52</v>
      </c>
      <c r="B3398" t="s">
        <v>53</v>
      </c>
      <c r="C3398" t="s">
        <v>54</v>
      </c>
      <c r="D3398" t="s">
        <v>55</v>
      </c>
      <c r="E3398" t="s">
        <v>2200</v>
      </c>
      <c r="F3398" t="s">
        <v>190</v>
      </c>
      <c r="G3398" t="s">
        <v>681</v>
      </c>
      <c r="H3398" t="s">
        <v>682</v>
      </c>
      <c r="I3398" t="s">
        <v>682</v>
      </c>
      <c r="J3398" t="s">
        <v>60</v>
      </c>
      <c r="K3398" t="s">
        <v>530</v>
      </c>
      <c r="L3398" t="s">
        <v>62</v>
      </c>
      <c r="M3398" t="s">
        <v>530</v>
      </c>
      <c r="N3398" t="s">
        <v>683</v>
      </c>
      <c r="O3398" t="s">
        <v>173</v>
      </c>
      <c r="P3398">
        <v>-20.138342999999999</v>
      </c>
      <c r="Q3398">
        <v>-44.887732</v>
      </c>
      <c r="R3398" s="2" t="str">
        <f>HYPERLINK("https://www.google.com/maps?q=-20.1383430,-44.8877320","Abrir no Google Maps")</f>
        <v>Abrir no Google Maps</v>
      </c>
      <c r="S3398">
        <v>3</v>
      </c>
      <c r="T3398">
        <v>0</v>
      </c>
      <c r="U3398">
        <v>4</v>
      </c>
      <c r="V3398">
        <v>0.58992231289152652</v>
      </c>
      <c r="W3398">
        <v>1</v>
      </c>
      <c r="X3398">
        <v>0.58992231289152652</v>
      </c>
      <c r="Y3398">
        <v>428</v>
      </c>
      <c r="Z3398">
        <v>82.685534812530861</v>
      </c>
      <c r="AA3398">
        <v>198</v>
      </c>
      <c r="AB3398">
        <v>332</v>
      </c>
      <c r="AC3398">
        <v>536</v>
      </c>
      <c r="AD3398">
        <v>28.54</v>
      </c>
      <c r="AE3398">
        <v>542</v>
      </c>
      <c r="AF3398">
        <v>20</v>
      </c>
      <c r="AG3398">
        <v>181</v>
      </c>
      <c r="AH3398">
        <v>129</v>
      </c>
      <c r="AI3398">
        <v>3.69</v>
      </c>
      <c r="AJ3398">
        <v>33.39</v>
      </c>
      <c r="AK3398">
        <v>23.8</v>
      </c>
      <c r="AL3398">
        <v>-20.138329099999961</v>
      </c>
      <c r="AM3398">
        <v>-44.887922589375549</v>
      </c>
      <c r="AN3398">
        <v>-20.138329099999961</v>
      </c>
      <c r="AO3398">
        <v>-44.887922589375549</v>
      </c>
      <c r="AP3398">
        <v>-20.138342999999999</v>
      </c>
      <c r="AQ3398">
        <v>-44.887732</v>
      </c>
      <c r="AR3398">
        <v>19.979335127307191</v>
      </c>
      <c r="AS3398" t="s">
        <v>65</v>
      </c>
      <c r="AT3398">
        <v>1</v>
      </c>
      <c r="AU3398" t="s">
        <v>684</v>
      </c>
      <c r="AV3398" t="s">
        <v>685</v>
      </c>
      <c r="AW3398" t="s">
        <v>60</v>
      </c>
      <c r="AX3398" t="s">
        <v>68</v>
      </c>
      <c r="AY3398" t="s">
        <v>69</v>
      </c>
      <c r="AZ3398" t="b">
        <v>1</v>
      </c>
    </row>
    <row r="3399" spans="1:52" x14ac:dyDescent="0.3">
      <c r="A3399" t="s">
        <v>52</v>
      </c>
      <c r="B3399" t="s">
        <v>53</v>
      </c>
      <c r="C3399" t="s">
        <v>54</v>
      </c>
      <c r="D3399" t="s">
        <v>55</v>
      </c>
      <c r="E3399" t="s">
        <v>2200</v>
      </c>
      <c r="F3399" t="s">
        <v>190</v>
      </c>
      <c r="G3399" t="s">
        <v>686</v>
      </c>
      <c r="H3399" t="s">
        <v>687</v>
      </c>
      <c r="I3399" t="s">
        <v>687</v>
      </c>
      <c r="J3399" t="s">
        <v>60</v>
      </c>
      <c r="K3399" t="s">
        <v>688</v>
      </c>
      <c r="L3399" t="s">
        <v>62</v>
      </c>
      <c r="M3399" t="s">
        <v>688</v>
      </c>
      <c r="N3399" t="s">
        <v>689</v>
      </c>
      <c r="O3399" t="s">
        <v>690</v>
      </c>
      <c r="P3399">
        <v>-20.136451999999998</v>
      </c>
      <c r="Q3399">
        <v>-44.891254000000004</v>
      </c>
      <c r="R3399" s="2" t="str">
        <f>HYPERLINK("https://www.google.com/maps?q=-20.1364520,-44.8912540","Abrir no Google Maps")</f>
        <v>Abrir no Google Maps</v>
      </c>
      <c r="S3399">
        <v>3</v>
      </c>
      <c r="T3399">
        <v>397.58661308638909</v>
      </c>
      <c r="U3399">
        <v>4</v>
      </c>
      <c r="V3399">
        <v>0.58240344880970807</v>
      </c>
      <c r="W3399">
        <v>1</v>
      </c>
      <c r="X3399">
        <v>0.58240344880970807</v>
      </c>
      <c r="Y3399">
        <v>428</v>
      </c>
      <c r="Z3399">
        <v>449.62002896840892</v>
      </c>
      <c r="AA3399">
        <v>198</v>
      </c>
      <c r="AB3399">
        <v>332</v>
      </c>
      <c r="AC3399">
        <v>536</v>
      </c>
      <c r="AD3399">
        <v>28.54</v>
      </c>
      <c r="AE3399">
        <v>542</v>
      </c>
      <c r="AF3399">
        <v>20</v>
      </c>
      <c r="AG3399">
        <v>181</v>
      </c>
      <c r="AH3399">
        <v>129</v>
      </c>
      <c r="AI3399">
        <v>3.69</v>
      </c>
      <c r="AJ3399">
        <v>33.39</v>
      </c>
      <c r="AK3399">
        <v>23.8</v>
      </c>
      <c r="AL3399">
        <v>-20.136400499999951</v>
      </c>
      <c r="AM3399">
        <v>-44.891173264034883</v>
      </c>
      <c r="AN3399">
        <v>-20.136400499999951</v>
      </c>
      <c r="AO3399">
        <v>-44.891173264034883</v>
      </c>
      <c r="AP3399">
        <v>-20.136451999999998</v>
      </c>
      <c r="AQ3399">
        <v>-44.891254000000004</v>
      </c>
      <c r="AR3399">
        <v>10.20146066113916</v>
      </c>
      <c r="AS3399" t="s">
        <v>65</v>
      </c>
      <c r="AT3399">
        <v>1</v>
      </c>
      <c r="AU3399" t="s">
        <v>691</v>
      </c>
      <c r="AV3399" t="s">
        <v>692</v>
      </c>
      <c r="AW3399" t="s">
        <v>60</v>
      </c>
      <c r="AX3399" t="s">
        <v>68</v>
      </c>
      <c r="AY3399" t="s">
        <v>69</v>
      </c>
      <c r="AZ3399" t="b">
        <v>1</v>
      </c>
    </row>
    <row r="3400" spans="1:52" x14ac:dyDescent="0.3">
      <c r="A3400" t="s">
        <v>52</v>
      </c>
      <c r="B3400" t="s">
        <v>53</v>
      </c>
      <c r="C3400" t="s">
        <v>54</v>
      </c>
      <c r="D3400" t="s">
        <v>55</v>
      </c>
      <c r="E3400" t="s">
        <v>2200</v>
      </c>
      <c r="F3400" t="s">
        <v>190</v>
      </c>
      <c r="G3400" t="s">
        <v>693</v>
      </c>
      <c r="H3400" t="s">
        <v>694</v>
      </c>
      <c r="I3400" t="s">
        <v>694</v>
      </c>
      <c r="J3400" t="s">
        <v>60</v>
      </c>
      <c r="K3400" t="s">
        <v>695</v>
      </c>
      <c r="L3400" t="s">
        <v>62</v>
      </c>
      <c r="M3400" t="s">
        <v>695</v>
      </c>
      <c r="N3400" t="s">
        <v>696</v>
      </c>
      <c r="O3400" t="s">
        <v>697</v>
      </c>
      <c r="P3400">
        <v>-20.174917000000001</v>
      </c>
      <c r="Q3400">
        <v>-44.857677000000002</v>
      </c>
      <c r="R3400" s="2" t="str">
        <f>HYPERLINK("https://www.google.com/maps?q=-20.1749170,-44.8576770","Abrir no Google Maps")</f>
        <v>Abrir no Google Maps</v>
      </c>
      <c r="S3400">
        <v>3</v>
      </c>
      <c r="T3400">
        <v>850.52349144267646</v>
      </c>
      <c r="U3400">
        <v>4</v>
      </c>
      <c r="V3400">
        <v>0.51650577500038863</v>
      </c>
      <c r="W3400">
        <v>1</v>
      </c>
      <c r="X3400">
        <v>0.51650577500038863</v>
      </c>
      <c r="Y3400">
        <v>422</v>
      </c>
      <c r="Z3400">
        <v>1042.4685698911451</v>
      </c>
      <c r="AA3400">
        <v>198</v>
      </c>
      <c r="AB3400">
        <v>332</v>
      </c>
      <c r="AC3400">
        <v>536</v>
      </c>
      <c r="AD3400">
        <v>28.54</v>
      </c>
      <c r="AE3400">
        <v>542</v>
      </c>
      <c r="AF3400">
        <v>20</v>
      </c>
      <c r="AG3400">
        <v>181</v>
      </c>
      <c r="AH3400">
        <v>129</v>
      </c>
      <c r="AI3400">
        <v>3.69</v>
      </c>
      <c r="AJ3400">
        <v>33.39</v>
      </c>
      <c r="AK3400">
        <v>23.8</v>
      </c>
      <c r="AL3400">
        <v>-20.17483459999994</v>
      </c>
      <c r="AM3400">
        <v>-44.857715667542379</v>
      </c>
      <c r="AN3400">
        <v>-20.17483459999994</v>
      </c>
      <c r="AO3400">
        <v>-44.857715667542379</v>
      </c>
      <c r="AP3400">
        <v>-20.174917000000001</v>
      </c>
      <c r="AQ3400">
        <v>-44.857677000000002</v>
      </c>
      <c r="AR3400">
        <v>10.02318555136439</v>
      </c>
      <c r="AS3400" t="s">
        <v>65</v>
      </c>
      <c r="AT3400">
        <v>1</v>
      </c>
      <c r="AU3400" t="s">
        <v>698</v>
      </c>
      <c r="AV3400" t="s">
        <v>699</v>
      </c>
      <c r="AW3400" t="s">
        <v>60</v>
      </c>
      <c r="AX3400" t="s">
        <v>68</v>
      </c>
      <c r="AY3400" t="s">
        <v>69</v>
      </c>
      <c r="AZ3400" t="b">
        <v>1</v>
      </c>
    </row>
    <row r="3401" spans="1:52" x14ac:dyDescent="0.3">
      <c r="A3401" t="s">
        <v>52</v>
      </c>
      <c r="B3401" t="s">
        <v>53</v>
      </c>
      <c r="C3401" t="s">
        <v>54</v>
      </c>
      <c r="D3401" t="s">
        <v>55</v>
      </c>
      <c r="E3401" t="s">
        <v>2200</v>
      </c>
      <c r="F3401" t="s">
        <v>190</v>
      </c>
      <c r="G3401" t="s">
        <v>700</v>
      </c>
      <c r="H3401" t="s">
        <v>701</v>
      </c>
      <c r="I3401" t="s">
        <v>701</v>
      </c>
      <c r="J3401" t="s">
        <v>60</v>
      </c>
      <c r="K3401" t="s">
        <v>702</v>
      </c>
      <c r="L3401" t="s">
        <v>62</v>
      </c>
      <c r="M3401" t="s">
        <v>702</v>
      </c>
      <c r="N3401" t="s">
        <v>703</v>
      </c>
      <c r="O3401" t="s">
        <v>315</v>
      </c>
      <c r="P3401">
        <v>-20.172599000000002</v>
      </c>
      <c r="Q3401">
        <v>-44.85915</v>
      </c>
      <c r="R3401" s="2" t="str">
        <f>HYPERLINK("https://www.google.com/maps?q=-20.1725990,-44.8591500","Abrir no Google Maps")</f>
        <v>Abrir no Google Maps</v>
      </c>
      <c r="S3401">
        <v>3</v>
      </c>
      <c r="T3401">
        <v>665.1003223445598</v>
      </c>
      <c r="U3401">
        <v>4</v>
      </c>
      <c r="V3401">
        <v>0.4907050215479169</v>
      </c>
      <c r="W3401">
        <v>1</v>
      </c>
      <c r="X3401">
        <v>0.4907050215479169</v>
      </c>
      <c r="Y3401">
        <v>422</v>
      </c>
      <c r="Z3401">
        <v>843.09189615634341</v>
      </c>
      <c r="AA3401">
        <v>198</v>
      </c>
      <c r="AB3401">
        <v>332</v>
      </c>
      <c r="AC3401">
        <v>536</v>
      </c>
      <c r="AD3401">
        <v>28.54</v>
      </c>
      <c r="AE3401">
        <v>542</v>
      </c>
      <c r="AF3401">
        <v>20</v>
      </c>
      <c r="AG3401">
        <v>181</v>
      </c>
      <c r="AH3401">
        <v>129</v>
      </c>
      <c r="AI3401">
        <v>3.69</v>
      </c>
      <c r="AJ3401">
        <v>33.39</v>
      </c>
      <c r="AK3401">
        <v>23.8</v>
      </c>
      <c r="AL3401">
        <v>-20.172576899999971</v>
      </c>
      <c r="AM3401">
        <v>-44.859040110359317</v>
      </c>
      <c r="AN3401">
        <v>-20.172576899999971</v>
      </c>
      <c r="AO3401">
        <v>-44.859040110359317</v>
      </c>
      <c r="AP3401">
        <v>-20.172599000000002</v>
      </c>
      <c r="AQ3401">
        <v>-44.85915</v>
      </c>
      <c r="AR3401">
        <v>11.743118835828479</v>
      </c>
      <c r="AS3401" t="s">
        <v>65</v>
      </c>
      <c r="AT3401">
        <v>1</v>
      </c>
      <c r="AU3401" t="s">
        <v>704</v>
      </c>
      <c r="AV3401" t="s">
        <v>705</v>
      </c>
      <c r="AW3401" t="s">
        <v>60</v>
      </c>
      <c r="AX3401" t="s">
        <v>68</v>
      </c>
      <c r="AY3401" t="s">
        <v>69</v>
      </c>
      <c r="AZ3401" t="b">
        <v>1</v>
      </c>
    </row>
    <row r="3402" spans="1:52" x14ac:dyDescent="0.3">
      <c r="A3402" t="s">
        <v>52</v>
      </c>
      <c r="B3402" t="s">
        <v>53</v>
      </c>
      <c r="C3402" t="s">
        <v>54</v>
      </c>
      <c r="D3402" t="s">
        <v>55</v>
      </c>
      <c r="E3402" t="s">
        <v>2200</v>
      </c>
      <c r="F3402" t="s">
        <v>190</v>
      </c>
      <c r="G3402" t="s">
        <v>706</v>
      </c>
      <c r="H3402" t="s">
        <v>707</v>
      </c>
      <c r="I3402" t="s">
        <v>707</v>
      </c>
      <c r="J3402" t="s">
        <v>60</v>
      </c>
      <c r="K3402" t="s">
        <v>708</v>
      </c>
      <c r="L3402" t="s">
        <v>62</v>
      </c>
      <c r="M3402" t="s">
        <v>708</v>
      </c>
      <c r="N3402" t="s">
        <v>709</v>
      </c>
      <c r="O3402" t="s">
        <v>710</v>
      </c>
      <c r="P3402">
        <v>-20.127054999999999</v>
      </c>
      <c r="Q3402">
        <v>-44.872073</v>
      </c>
      <c r="R3402" s="2" t="str">
        <f>HYPERLINK("https://www.google.com/maps?q=-20.1270550,-44.8720730","Abrir no Google Maps")</f>
        <v>Abrir no Google Maps</v>
      </c>
      <c r="S3402">
        <v>3</v>
      </c>
      <c r="T3402">
        <v>395.91108553086929</v>
      </c>
      <c r="U3402">
        <v>4</v>
      </c>
      <c r="V3402">
        <v>0.48898662489456568</v>
      </c>
      <c r="W3402">
        <v>1</v>
      </c>
      <c r="X3402">
        <v>0.48898662489456568</v>
      </c>
      <c r="Y3402">
        <v>387</v>
      </c>
      <c r="Z3402">
        <v>518.31496622382247</v>
      </c>
      <c r="AA3402">
        <v>198</v>
      </c>
      <c r="AB3402">
        <v>332</v>
      </c>
      <c r="AC3402">
        <v>536</v>
      </c>
      <c r="AD3402">
        <v>28.54</v>
      </c>
      <c r="AE3402">
        <v>542</v>
      </c>
      <c r="AF3402">
        <v>20</v>
      </c>
      <c r="AG3402">
        <v>181</v>
      </c>
      <c r="AH3402">
        <v>129</v>
      </c>
      <c r="AI3402">
        <v>3.69</v>
      </c>
      <c r="AJ3402">
        <v>33.39</v>
      </c>
      <c r="AK3402">
        <v>23.8</v>
      </c>
      <c r="AL3402">
        <v>-20.126854749999978</v>
      </c>
      <c r="AM3402">
        <v>-44.871712455027861</v>
      </c>
      <c r="AN3402">
        <v>-20.126854749999978</v>
      </c>
      <c r="AO3402">
        <v>-44.871712455027861</v>
      </c>
      <c r="AP3402">
        <v>-20.127054999999999</v>
      </c>
      <c r="AQ3402">
        <v>-44.872073</v>
      </c>
      <c r="AR3402">
        <v>43.784435535392717</v>
      </c>
      <c r="AS3402" t="s">
        <v>65</v>
      </c>
      <c r="AT3402">
        <v>1</v>
      </c>
      <c r="AU3402" t="s">
        <v>711</v>
      </c>
      <c r="AV3402" t="s">
        <v>712</v>
      </c>
      <c r="AW3402" t="s">
        <v>60</v>
      </c>
      <c r="AX3402" t="s">
        <v>68</v>
      </c>
      <c r="AY3402" t="s">
        <v>69</v>
      </c>
      <c r="AZ3402" t="b">
        <v>1</v>
      </c>
    </row>
    <row r="3403" spans="1:52" x14ac:dyDescent="0.3">
      <c r="A3403" t="s">
        <v>52</v>
      </c>
      <c r="B3403" t="s">
        <v>53</v>
      </c>
      <c r="C3403" t="s">
        <v>54</v>
      </c>
      <c r="D3403" t="s">
        <v>55</v>
      </c>
      <c r="E3403" t="s">
        <v>2200</v>
      </c>
      <c r="F3403" t="s">
        <v>190</v>
      </c>
      <c r="G3403" t="s">
        <v>713</v>
      </c>
      <c r="H3403" t="s">
        <v>714</v>
      </c>
      <c r="I3403" t="s">
        <v>714</v>
      </c>
      <c r="J3403" t="s">
        <v>60</v>
      </c>
      <c r="K3403" t="s">
        <v>708</v>
      </c>
      <c r="L3403" t="s">
        <v>62</v>
      </c>
      <c r="M3403" t="s">
        <v>708</v>
      </c>
      <c r="N3403" t="s">
        <v>715</v>
      </c>
      <c r="O3403" t="s">
        <v>604</v>
      </c>
      <c r="P3403">
        <v>-20.133372000000001</v>
      </c>
      <c r="Q3403">
        <v>-44.878864</v>
      </c>
      <c r="R3403" s="2" t="str">
        <f>HYPERLINK("https://www.google.com/maps?q=-20.1333720,-44.8788640","Abrir no Google Maps")</f>
        <v>Abrir no Google Maps</v>
      </c>
      <c r="S3403">
        <v>3</v>
      </c>
      <c r="T3403">
        <v>719.22842848296966</v>
      </c>
      <c r="U3403">
        <v>4</v>
      </c>
      <c r="V3403">
        <v>0.52609347400364248</v>
      </c>
      <c r="W3403">
        <v>1</v>
      </c>
      <c r="X3403">
        <v>0.52609347400364248</v>
      </c>
      <c r="Y3403">
        <v>387</v>
      </c>
      <c r="Z3403">
        <v>630.8628365125652</v>
      </c>
      <c r="AA3403">
        <v>198</v>
      </c>
      <c r="AB3403">
        <v>332</v>
      </c>
      <c r="AC3403">
        <v>536</v>
      </c>
      <c r="AD3403">
        <v>28.54</v>
      </c>
      <c r="AE3403">
        <v>542</v>
      </c>
      <c r="AF3403">
        <v>20</v>
      </c>
      <c r="AG3403">
        <v>181</v>
      </c>
      <c r="AH3403">
        <v>129</v>
      </c>
      <c r="AI3403">
        <v>3.69</v>
      </c>
      <c r="AJ3403">
        <v>33.39</v>
      </c>
      <c r="AK3403">
        <v>23.8</v>
      </c>
      <c r="AL3403">
        <v>-20.133312349999951</v>
      </c>
      <c r="AM3403">
        <v>-44.879452111094892</v>
      </c>
      <c r="AN3403">
        <v>-20.133312349999951</v>
      </c>
      <c r="AO3403">
        <v>-44.879452111094892</v>
      </c>
      <c r="AP3403">
        <v>-20.133372000000001</v>
      </c>
      <c r="AQ3403">
        <v>-44.878864</v>
      </c>
      <c r="AR3403">
        <v>61.825649864116713</v>
      </c>
      <c r="AS3403" t="s">
        <v>65</v>
      </c>
      <c r="AT3403">
        <v>1</v>
      </c>
      <c r="AU3403" t="s">
        <v>716</v>
      </c>
      <c r="AV3403" t="s">
        <v>717</v>
      </c>
      <c r="AW3403" t="s">
        <v>60</v>
      </c>
      <c r="AX3403" t="s">
        <v>68</v>
      </c>
      <c r="AY3403" t="s">
        <v>69</v>
      </c>
      <c r="AZ3403" t="b">
        <v>1</v>
      </c>
    </row>
    <row r="3404" spans="1:52" x14ac:dyDescent="0.3">
      <c r="A3404" t="s">
        <v>52</v>
      </c>
      <c r="B3404" t="s">
        <v>53</v>
      </c>
      <c r="C3404" t="s">
        <v>54</v>
      </c>
      <c r="D3404" t="s">
        <v>55</v>
      </c>
      <c r="E3404" t="s">
        <v>2200</v>
      </c>
      <c r="F3404" t="s">
        <v>190</v>
      </c>
      <c r="G3404" t="s">
        <v>718</v>
      </c>
      <c r="H3404" t="s">
        <v>719</v>
      </c>
      <c r="I3404" t="s">
        <v>719</v>
      </c>
      <c r="J3404" t="s">
        <v>60</v>
      </c>
      <c r="K3404" t="s">
        <v>708</v>
      </c>
      <c r="L3404" t="s">
        <v>62</v>
      </c>
      <c r="M3404" t="s">
        <v>708</v>
      </c>
      <c r="N3404" t="s">
        <v>720</v>
      </c>
      <c r="O3404" t="s">
        <v>721</v>
      </c>
      <c r="P3404">
        <v>-20.130344000000001</v>
      </c>
      <c r="Q3404">
        <v>-44.878869000000002</v>
      </c>
      <c r="R3404" s="2" t="str">
        <f>HYPERLINK("https://www.google.com/maps?q=-20.1303440,-44.8788690","Abrir no Google Maps")</f>
        <v>Abrir no Google Maps</v>
      </c>
      <c r="S3404">
        <v>3</v>
      </c>
      <c r="T3404">
        <v>556.14753541089829</v>
      </c>
      <c r="U3404">
        <v>4</v>
      </c>
      <c r="V3404">
        <v>0.54525745257452574</v>
      </c>
      <c r="W3404">
        <v>1</v>
      </c>
      <c r="X3404">
        <v>0.54525745257452574</v>
      </c>
      <c r="Y3404">
        <v>387</v>
      </c>
      <c r="Z3404">
        <v>521.53850378132177</v>
      </c>
      <c r="AA3404">
        <v>198</v>
      </c>
      <c r="AB3404">
        <v>332</v>
      </c>
      <c r="AC3404">
        <v>536</v>
      </c>
      <c r="AD3404">
        <v>28.54</v>
      </c>
      <c r="AE3404">
        <v>542</v>
      </c>
      <c r="AF3404">
        <v>20</v>
      </c>
      <c r="AG3404">
        <v>181</v>
      </c>
      <c r="AH3404">
        <v>129</v>
      </c>
      <c r="AI3404">
        <v>3.69</v>
      </c>
      <c r="AJ3404">
        <v>33.39</v>
      </c>
      <c r="AK3404">
        <v>23.8</v>
      </c>
      <c r="AL3404">
        <v>-20.13050289999995</v>
      </c>
      <c r="AM3404">
        <v>-44.878831282856943</v>
      </c>
      <c r="AN3404">
        <v>-20.13050289999995</v>
      </c>
      <c r="AO3404">
        <v>-44.878831282856943</v>
      </c>
      <c r="AP3404">
        <v>-20.130344000000001</v>
      </c>
      <c r="AQ3404">
        <v>-44.878869000000002</v>
      </c>
      <c r="AR3404">
        <v>18.122709277240279</v>
      </c>
      <c r="AS3404" t="s">
        <v>65</v>
      </c>
      <c r="AT3404">
        <v>1</v>
      </c>
      <c r="AU3404" t="s">
        <v>722</v>
      </c>
      <c r="AV3404" t="s">
        <v>723</v>
      </c>
      <c r="AW3404" t="s">
        <v>60</v>
      </c>
      <c r="AX3404" t="s">
        <v>68</v>
      </c>
      <c r="AY3404" t="s">
        <v>69</v>
      </c>
      <c r="AZ3404" t="b">
        <v>1</v>
      </c>
    </row>
    <row r="3405" spans="1:52" x14ac:dyDescent="0.3">
      <c r="A3405" t="s">
        <v>52</v>
      </c>
      <c r="B3405" t="s">
        <v>53</v>
      </c>
      <c r="C3405" t="s">
        <v>54</v>
      </c>
      <c r="D3405" t="s">
        <v>55</v>
      </c>
      <c r="E3405" t="s">
        <v>2200</v>
      </c>
      <c r="F3405" t="s">
        <v>190</v>
      </c>
      <c r="G3405" t="s">
        <v>724</v>
      </c>
      <c r="H3405" t="s">
        <v>725</v>
      </c>
      <c r="I3405" t="s">
        <v>725</v>
      </c>
      <c r="J3405" t="s">
        <v>60</v>
      </c>
      <c r="K3405" t="s">
        <v>708</v>
      </c>
      <c r="L3405" t="s">
        <v>62</v>
      </c>
      <c r="M3405" t="s">
        <v>708</v>
      </c>
      <c r="N3405" t="s">
        <v>726</v>
      </c>
      <c r="O3405" t="s">
        <v>727</v>
      </c>
      <c r="P3405">
        <v>-20.131702000000001</v>
      </c>
      <c r="Q3405">
        <v>-44.873930999999999</v>
      </c>
      <c r="R3405" s="2" t="str">
        <f>HYPERLINK("https://www.google.com/maps?q=-20.1317020,-44.8739310","Abrir no Google Maps")</f>
        <v>Abrir no Google Maps</v>
      </c>
      <c r="S3405">
        <v>3</v>
      </c>
      <c r="T3405">
        <v>207.9085436463628</v>
      </c>
      <c r="U3405">
        <v>4</v>
      </c>
      <c r="V3405">
        <v>0.49714676345141318</v>
      </c>
      <c r="W3405">
        <v>1</v>
      </c>
      <c r="X3405">
        <v>0.49714676345141318</v>
      </c>
      <c r="Y3405">
        <v>387</v>
      </c>
      <c r="Z3405">
        <v>213.98086855276571</v>
      </c>
      <c r="AA3405">
        <v>198</v>
      </c>
      <c r="AB3405">
        <v>332</v>
      </c>
      <c r="AC3405">
        <v>536</v>
      </c>
      <c r="AD3405">
        <v>28.54</v>
      </c>
      <c r="AE3405">
        <v>542</v>
      </c>
      <c r="AF3405">
        <v>20</v>
      </c>
      <c r="AG3405">
        <v>181</v>
      </c>
      <c r="AH3405">
        <v>129</v>
      </c>
      <c r="AI3405">
        <v>3.69</v>
      </c>
      <c r="AJ3405">
        <v>33.39</v>
      </c>
      <c r="AK3405">
        <v>23.8</v>
      </c>
      <c r="AL3405">
        <v>-20.131807549999959</v>
      </c>
      <c r="AM3405">
        <v>-44.874039553784442</v>
      </c>
      <c r="AN3405">
        <v>-20.131807549999959</v>
      </c>
      <c r="AO3405">
        <v>-44.874039553784442</v>
      </c>
      <c r="AP3405">
        <v>-20.131702000000001</v>
      </c>
      <c r="AQ3405">
        <v>-44.873930999999999</v>
      </c>
      <c r="AR3405">
        <v>16.333643574998401</v>
      </c>
      <c r="AS3405" t="s">
        <v>65</v>
      </c>
      <c r="AT3405">
        <v>1</v>
      </c>
      <c r="AU3405" t="s">
        <v>728</v>
      </c>
      <c r="AV3405" t="s">
        <v>729</v>
      </c>
      <c r="AW3405" t="s">
        <v>60</v>
      </c>
      <c r="AX3405" t="s">
        <v>68</v>
      </c>
      <c r="AY3405" t="s">
        <v>69</v>
      </c>
      <c r="AZ3405" t="b">
        <v>1</v>
      </c>
    </row>
    <row r="3406" spans="1:52" x14ac:dyDescent="0.3">
      <c r="A3406" t="s">
        <v>52</v>
      </c>
      <c r="B3406" t="s">
        <v>53</v>
      </c>
      <c r="C3406" t="s">
        <v>54</v>
      </c>
      <c r="D3406" t="s">
        <v>55</v>
      </c>
      <c r="E3406" t="s">
        <v>2200</v>
      </c>
      <c r="F3406" t="s">
        <v>190</v>
      </c>
      <c r="G3406" t="s">
        <v>706</v>
      </c>
      <c r="H3406" t="s">
        <v>730</v>
      </c>
      <c r="I3406" t="s">
        <v>730</v>
      </c>
      <c r="J3406" t="s">
        <v>60</v>
      </c>
      <c r="K3406" t="s">
        <v>708</v>
      </c>
      <c r="L3406" t="s">
        <v>62</v>
      </c>
      <c r="M3406" t="s">
        <v>708</v>
      </c>
      <c r="N3406" t="s">
        <v>709</v>
      </c>
      <c r="O3406" t="s">
        <v>731</v>
      </c>
      <c r="P3406">
        <v>-20.130037999999999</v>
      </c>
      <c r="Q3406">
        <v>-44.873514</v>
      </c>
      <c r="R3406" s="2" t="str">
        <f>HYPERLINK("https://www.google.com/maps?q=-20.1300380,-44.8735140","Abrir no Google Maps")</f>
        <v>Abrir no Google Maps</v>
      </c>
      <c r="S3406">
        <v>3</v>
      </c>
      <c r="T3406">
        <v>0</v>
      </c>
      <c r="U3406">
        <v>4</v>
      </c>
      <c r="V3406">
        <v>0.51554790819625662</v>
      </c>
      <c r="W3406">
        <v>1</v>
      </c>
      <c r="X3406">
        <v>0.51554790819625662</v>
      </c>
      <c r="Y3406">
        <v>387</v>
      </c>
      <c r="Z3406">
        <v>108.0014931591698</v>
      </c>
      <c r="AA3406">
        <v>198</v>
      </c>
      <c r="AB3406">
        <v>332</v>
      </c>
      <c r="AC3406">
        <v>536</v>
      </c>
      <c r="AD3406">
        <v>28.54</v>
      </c>
      <c r="AE3406">
        <v>542</v>
      </c>
      <c r="AF3406">
        <v>20</v>
      </c>
      <c r="AG3406">
        <v>181</v>
      </c>
      <c r="AH3406">
        <v>129</v>
      </c>
      <c r="AI3406">
        <v>3.69</v>
      </c>
      <c r="AJ3406">
        <v>33.39</v>
      </c>
      <c r="AK3406">
        <v>23.8</v>
      </c>
      <c r="AL3406">
        <v>-20.12998944999995</v>
      </c>
      <c r="AM3406">
        <v>-44.873538114227337</v>
      </c>
      <c r="AN3406">
        <v>-20.12998944999995</v>
      </c>
      <c r="AO3406">
        <v>-44.873538114227337</v>
      </c>
      <c r="AP3406">
        <v>-20.130037999999999</v>
      </c>
      <c r="AQ3406">
        <v>-44.873514</v>
      </c>
      <c r="AR3406">
        <v>5.9633928268280867</v>
      </c>
      <c r="AS3406" t="s">
        <v>65</v>
      </c>
      <c r="AT3406">
        <v>1</v>
      </c>
      <c r="AU3406" t="s">
        <v>732</v>
      </c>
      <c r="AV3406" t="s">
        <v>733</v>
      </c>
      <c r="AW3406" t="s">
        <v>60</v>
      </c>
      <c r="AX3406" t="s">
        <v>68</v>
      </c>
      <c r="AY3406" t="s">
        <v>69</v>
      </c>
      <c r="AZ3406" t="b">
        <v>1</v>
      </c>
    </row>
    <row r="3407" spans="1:52" x14ac:dyDescent="0.3">
      <c r="A3407" t="s">
        <v>52</v>
      </c>
      <c r="B3407" t="s">
        <v>53</v>
      </c>
      <c r="C3407" t="s">
        <v>54</v>
      </c>
      <c r="D3407" t="s">
        <v>55</v>
      </c>
      <c r="E3407" t="s">
        <v>2200</v>
      </c>
      <c r="F3407" t="s">
        <v>190</v>
      </c>
      <c r="G3407" t="s">
        <v>741</v>
      </c>
      <c r="H3407" t="s">
        <v>742</v>
      </c>
      <c r="I3407" t="s">
        <v>742</v>
      </c>
      <c r="J3407" t="s">
        <v>60</v>
      </c>
      <c r="K3407" t="s">
        <v>688</v>
      </c>
      <c r="L3407" t="s">
        <v>62</v>
      </c>
      <c r="M3407" t="s">
        <v>688</v>
      </c>
      <c r="N3407" t="s">
        <v>743</v>
      </c>
      <c r="O3407" t="s">
        <v>744</v>
      </c>
      <c r="P3407">
        <v>-20.136733</v>
      </c>
      <c r="Q3407">
        <v>-44.888140999999997</v>
      </c>
      <c r="R3407" s="2" t="str">
        <f>HYPERLINK("https://www.google.com/maps?q=-20.1367330,-44.8881410","Abrir no Google Maps")</f>
        <v>Abrir no Google Maps</v>
      </c>
      <c r="S3407">
        <v>3</v>
      </c>
      <c r="T3407">
        <v>175.84339996559589</v>
      </c>
      <c r="U3407">
        <v>4</v>
      </c>
      <c r="V3407">
        <v>0.53778681405140549</v>
      </c>
      <c r="W3407">
        <v>1</v>
      </c>
      <c r="X3407">
        <v>0.53778681405140549</v>
      </c>
      <c r="Y3407">
        <v>350</v>
      </c>
      <c r="Z3407">
        <v>171.90575296051961</v>
      </c>
      <c r="AA3407">
        <v>198</v>
      </c>
      <c r="AB3407">
        <v>332</v>
      </c>
      <c r="AC3407">
        <v>536</v>
      </c>
      <c r="AD3407">
        <v>28.54</v>
      </c>
      <c r="AE3407">
        <v>542</v>
      </c>
      <c r="AF3407">
        <v>20</v>
      </c>
      <c r="AG3407">
        <v>181</v>
      </c>
      <c r="AH3407">
        <v>129</v>
      </c>
      <c r="AI3407">
        <v>3.69</v>
      </c>
      <c r="AJ3407">
        <v>33.39</v>
      </c>
      <c r="AK3407">
        <v>23.8</v>
      </c>
      <c r="AL3407">
        <v>-20.136726099999979</v>
      </c>
      <c r="AM3407">
        <v>-44.888062077766982</v>
      </c>
      <c r="AN3407">
        <v>-20.136726099999979</v>
      </c>
      <c r="AO3407">
        <v>-44.888062077766982</v>
      </c>
      <c r="AP3407">
        <v>-20.136733</v>
      </c>
      <c r="AQ3407">
        <v>-44.888140999999997</v>
      </c>
      <c r="AR3407">
        <v>8.2842769013797852</v>
      </c>
      <c r="AS3407" t="s">
        <v>65</v>
      </c>
      <c r="AT3407">
        <v>1</v>
      </c>
      <c r="AU3407" t="s">
        <v>745</v>
      </c>
      <c r="AV3407" t="s">
        <v>746</v>
      </c>
      <c r="AW3407" t="s">
        <v>60</v>
      </c>
      <c r="AX3407" t="s">
        <v>68</v>
      </c>
      <c r="AY3407" t="s">
        <v>69</v>
      </c>
      <c r="AZ3407" t="b">
        <v>1</v>
      </c>
    </row>
    <row r="3408" spans="1:52" x14ac:dyDescent="0.3">
      <c r="A3408" t="s">
        <v>52</v>
      </c>
      <c r="B3408" t="s">
        <v>53</v>
      </c>
      <c r="C3408" t="s">
        <v>54</v>
      </c>
      <c r="D3408" t="s">
        <v>55</v>
      </c>
      <c r="E3408" t="s">
        <v>2200</v>
      </c>
      <c r="F3408" t="s">
        <v>190</v>
      </c>
      <c r="G3408" t="s">
        <v>1009</v>
      </c>
      <c r="H3408" t="s">
        <v>1073</v>
      </c>
      <c r="I3408" t="s">
        <v>1073</v>
      </c>
      <c r="J3408" t="s">
        <v>60</v>
      </c>
      <c r="K3408" t="s">
        <v>805</v>
      </c>
      <c r="L3408" t="s">
        <v>62</v>
      </c>
      <c r="M3408" t="s">
        <v>805</v>
      </c>
      <c r="N3408" t="s">
        <v>1011</v>
      </c>
      <c r="O3408" t="s">
        <v>1074</v>
      </c>
      <c r="P3408">
        <v>-20.137049000000001</v>
      </c>
      <c r="Q3408">
        <v>-44.885832000000001</v>
      </c>
      <c r="R3408" s="2" t="str">
        <f>HYPERLINK("https://www.google.com/maps?q=-20.1370490,-44.8858320","Abrir no Google Maps")</f>
        <v>Abrir no Google Maps</v>
      </c>
      <c r="S3408">
        <v>3</v>
      </c>
      <c r="T3408">
        <v>255.2207994789398</v>
      </c>
      <c r="U3408">
        <v>4</v>
      </c>
      <c r="V3408">
        <v>0.57844470344470345</v>
      </c>
      <c r="W3408">
        <v>0.85</v>
      </c>
      <c r="X3408">
        <v>0.49167799792799788</v>
      </c>
      <c r="Y3408">
        <v>350</v>
      </c>
      <c r="Z3408">
        <v>122.85075315998721</v>
      </c>
      <c r="AA3408">
        <v>198</v>
      </c>
      <c r="AB3408">
        <v>332</v>
      </c>
      <c r="AC3408">
        <v>536</v>
      </c>
      <c r="AD3408">
        <v>28.54</v>
      </c>
      <c r="AE3408">
        <v>542</v>
      </c>
      <c r="AF3408">
        <v>20</v>
      </c>
      <c r="AG3408">
        <v>181</v>
      </c>
      <c r="AH3408">
        <v>129</v>
      </c>
      <c r="AI3408">
        <v>3.69</v>
      </c>
      <c r="AJ3408">
        <v>33.39</v>
      </c>
      <c r="AK3408">
        <v>23.8</v>
      </c>
      <c r="AL3408">
        <v>-20.136876799999978</v>
      </c>
      <c r="AM3408">
        <v>-44.885908665033703</v>
      </c>
      <c r="AN3408">
        <v>-20.136876799999989</v>
      </c>
      <c r="AO3408">
        <v>-44.885908665033703</v>
      </c>
      <c r="AP3408">
        <v>-20.137049000000001</v>
      </c>
      <c r="AQ3408">
        <v>-44.885832000000001</v>
      </c>
      <c r="AR3408">
        <v>20.776552041735069</v>
      </c>
      <c r="AS3408" t="s">
        <v>65</v>
      </c>
      <c r="AT3408">
        <v>1</v>
      </c>
      <c r="AU3408" t="s">
        <v>1075</v>
      </c>
      <c r="AV3408" t="s">
        <v>1076</v>
      </c>
      <c r="AW3408" t="s">
        <v>60</v>
      </c>
      <c r="AX3408" t="s">
        <v>68</v>
      </c>
      <c r="AY3408" t="s">
        <v>69</v>
      </c>
      <c r="AZ3408" t="b">
        <v>1</v>
      </c>
    </row>
    <row r="3409" spans="1:52" x14ac:dyDescent="0.3">
      <c r="A3409" t="s">
        <v>52</v>
      </c>
      <c r="B3409" t="s">
        <v>53</v>
      </c>
      <c r="C3409" t="s">
        <v>54</v>
      </c>
      <c r="D3409" t="s">
        <v>55</v>
      </c>
      <c r="E3409" t="s">
        <v>2200</v>
      </c>
      <c r="F3409" t="s">
        <v>190</v>
      </c>
      <c r="G3409" t="s">
        <v>747</v>
      </c>
      <c r="H3409" t="s">
        <v>748</v>
      </c>
      <c r="I3409" t="s">
        <v>748</v>
      </c>
      <c r="J3409" t="s">
        <v>60</v>
      </c>
      <c r="K3409" t="s">
        <v>505</v>
      </c>
      <c r="L3409" t="s">
        <v>62</v>
      </c>
      <c r="M3409" t="s">
        <v>505</v>
      </c>
      <c r="N3409" t="s">
        <v>749</v>
      </c>
      <c r="O3409" t="s">
        <v>750</v>
      </c>
      <c r="P3409">
        <v>-20.135107000000001</v>
      </c>
      <c r="Q3409">
        <v>-44.887521</v>
      </c>
      <c r="R3409" s="2" t="str">
        <f>HYPERLINK("https://www.google.com/maps?q=-20.1351070,-44.8875210","Abrir no Google Maps")</f>
        <v>Abrir no Google Maps</v>
      </c>
      <c r="S3409">
        <v>3</v>
      </c>
      <c r="T3409">
        <v>0</v>
      </c>
      <c r="U3409">
        <v>4</v>
      </c>
      <c r="V3409">
        <v>0.51227571708088748</v>
      </c>
      <c r="W3409">
        <v>1</v>
      </c>
      <c r="X3409">
        <v>0.51227571708088748</v>
      </c>
      <c r="Y3409">
        <v>350</v>
      </c>
      <c r="Z3409">
        <v>162.3716242776689</v>
      </c>
      <c r="AA3409">
        <v>198</v>
      </c>
      <c r="AB3409">
        <v>332</v>
      </c>
      <c r="AC3409">
        <v>536</v>
      </c>
      <c r="AD3409">
        <v>28.54</v>
      </c>
      <c r="AE3409">
        <v>542</v>
      </c>
      <c r="AF3409">
        <v>20</v>
      </c>
      <c r="AG3409">
        <v>181</v>
      </c>
      <c r="AH3409">
        <v>129</v>
      </c>
      <c r="AI3409">
        <v>3.69</v>
      </c>
      <c r="AJ3409">
        <v>33.39</v>
      </c>
      <c r="AK3409">
        <v>23.8</v>
      </c>
      <c r="AL3409">
        <v>-20.13520169999995</v>
      </c>
      <c r="AM3409">
        <v>-44.887587176802917</v>
      </c>
      <c r="AN3409">
        <v>-20.13520169999995</v>
      </c>
      <c r="AO3409">
        <v>-44.887587176802931</v>
      </c>
      <c r="AP3409">
        <v>-20.135107000000001</v>
      </c>
      <c r="AQ3409">
        <v>-44.887521</v>
      </c>
      <c r="AR3409">
        <v>12.608438103029821</v>
      </c>
      <c r="AS3409" t="s">
        <v>65</v>
      </c>
      <c r="AT3409">
        <v>1</v>
      </c>
      <c r="AU3409" t="s">
        <v>751</v>
      </c>
      <c r="AV3409" t="s">
        <v>752</v>
      </c>
      <c r="AW3409" t="s">
        <v>60</v>
      </c>
      <c r="AX3409" t="s">
        <v>68</v>
      </c>
      <c r="AY3409" t="s">
        <v>69</v>
      </c>
      <c r="AZ3409" t="b">
        <v>1</v>
      </c>
    </row>
    <row r="3410" spans="1:52" x14ac:dyDescent="0.3">
      <c r="A3410" t="s">
        <v>52</v>
      </c>
      <c r="B3410" t="s">
        <v>53</v>
      </c>
      <c r="C3410" t="s">
        <v>54</v>
      </c>
      <c r="D3410" t="s">
        <v>55</v>
      </c>
      <c r="E3410" t="s">
        <v>2200</v>
      </c>
      <c r="F3410" t="s">
        <v>190</v>
      </c>
      <c r="G3410" t="s">
        <v>753</v>
      </c>
      <c r="H3410" t="s">
        <v>754</v>
      </c>
      <c r="I3410" t="s">
        <v>754</v>
      </c>
      <c r="J3410" t="s">
        <v>60</v>
      </c>
      <c r="K3410" t="s">
        <v>688</v>
      </c>
      <c r="L3410" t="s">
        <v>62</v>
      </c>
      <c r="M3410" t="s">
        <v>688</v>
      </c>
      <c r="N3410" t="s">
        <v>755</v>
      </c>
      <c r="O3410" t="s">
        <v>756</v>
      </c>
      <c r="P3410">
        <v>-20.135238000000001</v>
      </c>
      <c r="Q3410">
        <v>-44.890405999999999</v>
      </c>
      <c r="R3410" s="2" t="str">
        <f>HYPERLINK("https://www.google.com/maps?q=-20.1352380,-44.8904060","Abrir no Google Maps")</f>
        <v>Abrir no Google Maps</v>
      </c>
      <c r="S3410">
        <v>3</v>
      </c>
      <c r="T3410">
        <v>314.49904475975598</v>
      </c>
      <c r="U3410">
        <v>4</v>
      </c>
      <c r="V3410">
        <v>0.53079608090046504</v>
      </c>
      <c r="W3410">
        <v>1</v>
      </c>
      <c r="X3410">
        <v>0.53079608090046504</v>
      </c>
      <c r="Y3410">
        <v>350</v>
      </c>
      <c r="Z3410">
        <v>443.96798796176353</v>
      </c>
      <c r="AA3410">
        <v>198</v>
      </c>
      <c r="AB3410">
        <v>332</v>
      </c>
      <c r="AC3410">
        <v>536</v>
      </c>
      <c r="AD3410">
        <v>28.54</v>
      </c>
      <c r="AE3410">
        <v>542</v>
      </c>
      <c r="AF3410">
        <v>20</v>
      </c>
      <c r="AG3410">
        <v>181</v>
      </c>
      <c r="AH3410">
        <v>129</v>
      </c>
      <c r="AI3410">
        <v>3.69</v>
      </c>
      <c r="AJ3410">
        <v>33.39</v>
      </c>
      <c r="AK3410">
        <v>23.8</v>
      </c>
      <c r="AL3410">
        <v>-20.134851099999931</v>
      </c>
      <c r="AM3410">
        <v>-44.890573293408117</v>
      </c>
      <c r="AN3410">
        <v>-20.134851099999931</v>
      </c>
      <c r="AO3410">
        <v>-44.890573293408131</v>
      </c>
      <c r="AP3410">
        <v>-20.135238000000001</v>
      </c>
      <c r="AQ3410">
        <v>-44.890405999999999</v>
      </c>
      <c r="AR3410">
        <v>46.483580940434933</v>
      </c>
      <c r="AS3410" t="s">
        <v>65</v>
      </c>
      <c r="AT3410">
        <v>1</v>
      </c>
      <c r="AU3410" t="s">
        <v>757</v>
      </c>
      <c r="AV3410" t="s">
        <v>758</v>
      </c>
      <c r="AW3410" t="s">
        <v>60</v>
      </c>
      <c r="AX3410" t="s">
        <v>68</v>
      </c>
      <c r="AY3410" t="s">
        <v>69</v>
      </c>
      <c r="AZ3410" t="b">
        <v>1</v>
      </c>
    </row>
    <row r="3411" spans="1:52" x14ac:dyDescent="0.3">
      <c r="A3411" t="s">
        <v>52</v>
      </c>
      <c r="B3411" t="s">
        <v>53</v>
      </c>
      <c r="C3411" t="s">
        <v>54</v>
      </c>
      <c r="D3411" t="s">
        <v>55</v>
      </c>
      <c r="E3411" t="s">
        <v>2200</v>
      </c>
      <c r="F3411" t="s">
        <v>190</v>
      </c>
      <c r="G3411" t="s">
        <v>1089</v>
      </c>
      <c r="H3411" t="s">
        <v>1090</v>
      </c>
      <c r="I3411" t="s">
        <v>1090</v>
      </c>
      <c r="J3411" t="s">
        <v>60</v>
      </c>
      <c r="K3411" t="s">
        <v>761</v>
      </c>
      <c r="L3411" t="s">
        <v>62</v>
      </c>
      <c r="M3411" t="s">
        <v>761</v>
      </c>
      <c r="N3411" t="s">
        <v>1091</v>
      </c>
      <c r="O3411" t="s">
        <v>86</v>
      </c>
      <c r="P3411">
        <v>-20.116182999999999</v>
      </c>
      <c r="Q3411">
        <v>-44.850524</v>
      </c>
      <c r="R3411" s="2" t="str">
        <f>HYPERLINK("https://www.google.com/maps?q=-20.1161830,-44.8505240","Abrir no Google Maps")</f>
        <v>Abrir no Google Maps</v>
      </c>
      <c r="S3411">
        <v>3</v>
      </c>
      <c r="T3411">
        <v>1142.6607426309961</v>
      </c>
      <c r="U3411">
        <v>4</v>
      </c>
      <c r="V3411">
        <v>0.4714682820654027</v>
      </c>
      <c r="W3411">
        <v>1</v>
      </c>
      <c r="X3411">
        <v>0.4714682820654027</v>
      </c>
      <c r="Y3411">
        <v>350</v>
      </c>
      <c r="Z3411">
        <v>723.44841640590141</v>
      </c>
      <c r="AA3411">
        <v>198</v>
      </c>
      <c r="AB3411">
        <v>332</v>
      </c>
      <c r="AC3411">
        <v>536</v>
      </c>
      <c r="AD3411">
        <v>28.54</v>
      </c>
      <c r="AE3411">
        <v>542</v>
      </c>
      <c r="AF3411">
        <v>20</v>
      </c>
      <c r="AG3411">
        <v>181</v>
      </c>
      <c r="AH3411">
        <v>129</v>
      </c>
      <c r="AI3411">
        <v>3.69</v>
      </c>
      <c r="AJ3411">
        <v>33.39</v>
      </c>
      <c r="AK3411">
        <v>23.8</v>
      </c>
      <c r="AL3411">
        <v>-20.11605684999995</v>
      </c>
      <c r="AM3411">
        <v>-44.850832861808193</v>
      </c>
      <c r="AN3411">
        <v>-20.11605684999995</v>
      </c>
      <c r="AO3411">
        <v>-44.850832861808193</v>
      </c>
      <c r="AP3411">
        <v>-20.116182999999999</v>
      </c>
      <c r="AQ3411">
        <v>-44.850524</v>
      </c>
      <c r="AR3411">
        <v>35.207009729928053</v>
      </c>
      <c r="AS3411" t="s">
        <v>65</v>
      </c>
      <c r="AT3411">
        <v>1</v>
      </c>
      <c r="AU3411" t="s">
        <v>1092</v>
      </c>
      <c r="AV3411" t="s">
        <v>1093</v>
      </c>
      <c r="AW3411" t="s">
        <v>60</v>
      </c>
      <c r="AX3411" t="s">
        <v>68</v>
      </c>
      <c r="AY3411" t="s">
        <v>69</v>
      </c>
      <c r="AZ3411" t="b">
        <v>1</v>
      </c>
    </row>
    <row r="3412" spans="1:52" x14ac:dyDescent="0.3">
      <c r="A3412" t="s">
        <v>52</v>
      </c>
      <c r="B3412" t="s">
        <v>53</v>
      </c>
      <c r="C3412" t="s">
        <v>54</v>
      </c>
      <c r="D3412" t="s">
        <v>55</v>
      </c>
      <c r="E3412" t="s">
        <v>2200</v>
      </c>
      <c r="F3412" t="s">
        <v>190</v>
      </c>
      <c r="G3412" t="s">
        <v>766</v>
      </c>
      <c r="H3412" t="s">
        <v>767</v>
      </c>
      <c r="I3412" t="s">
        <v>767</v>
      </c>
      <c r="J3412" t="s">
        <v>60</v>
      </c>
      <c r="K3412" t="s">
        <v>768</v>
      </c>
      <c r="L3412" t="s">
        <v>62</v>
      </c>
      <c r="M3412" t="s">
        <v>768</v>
      </c>
      <c r="N3412" t="s">
        <v>769</v>
      </c>
      <c r="O3412" t="s">
        <v>770</v>
      </c>
      <c r="P3412">
        <v>-20.135211000000002</v>
      </c>
      <c r="Q3412">
        <v>-44.875359000000003</v>
      </c>
      <c r="R3412" s="2" t="str">
        <f>HYPERLINK("https://www.google.com/maps?q=-20.1352110,-44.8753590","Abrir no Google Maps")</f>
        <v>Abrir no Google Maps</v>
      </c>
      <c r="S3412">
        <v>3</v>
      </c>
      <c r="T3412">
        <v>383.44405482521267</v>
      </c>
      <c r="U3412">
        <v>4</v>
      </c>
      <c r="V3412">
        <v>0.51875126288139017</v>
      </c>
      <c r="W3412">
        <v>1</v>
      </c>
      <c r="X3412">
        <v>0.51875126288139017</v>
      </c>
      <c r="Y3412">
        <v>332</v>
      </c>
      <c r="Z3412">
        <v>219.0766044611764</v>
      </c>
      <c r="AA3412">
        <v>198</v>
      </c>
      <c r="AB3412">
        <v>332</v>
      </c>
      <c r="AC3412">
        <v>536</v>
      </c>
      <c r="AD3412">
        <v>28.54</v>
      </c>
      <c r="AE3412">
        <v>542</v>
      </c>
      <c r="AF3412">
        <v>20</v>
      </c>
      <c r="AG3412">
        <v>181</v>
      </c>
      <c r="AH3412">
        <v>129</v>
      </c>
      <c r="AI3412">
        <v>3.69</v>
      </c>
      <c r="AJ3412">
        <v>33.39</v>
      </c>
      <c r="AK3412">
        <v>23.8</v>
      </c>
      <c r="AL3412">
        <v>-20.135125549999941</v>
      </c>
      <c r="AM3412">
        <v>-44.875534947489427</v>
      </c>
      <c r="AN3412">
        <v>-20.135125549999941</v>
      </c>
      <c r="AO3412">
        <v>-44.875534947489427</v>
      </c>
      <c r="AP3412">
        <v>-20.135211000000002</v>
      </c>
      <c r="AQ3412">
        <v>-44.875359000000003</v>
      </c>
      <c r="AR3412">
        <v>20.703969313709418</v>
      </c>
      <c r="AS3412" t="s">
        <v>65</v>
      </c>
      <c r="AT3412">
        <v>1</v>
      </c>
      <c r="AU3412" t="s">
        <v>771</v>
      </c>
      <c r="AV3412" t="s">
        <v>772</v>
      </c>
      <c r="AW3412" t="s">
        <v>60</v>
      </c>
      <c r="AX3412" t="s">
        <v>68</v>
      </c>
      <c r="AY3412" t="s">
        <v>69</v>
      </c>
      <c r="AZ3412" t="b">
        <v>1</v>
      </c>
    </row>
    <row r="3413" spans="1:52" x14ac:dyDescent="0.3">
      <c r="A3413" t="s">
        <v>52</v>
      </c>
      <c r="B3413" t="s">
        <v>53</v>
      </c>
      <c r="C3413" t="s">
        <v>54</v>
      </c>
      <c r="D3413" t="s">
        <v>55</v>
      </c>
      <c r="E3413" t="s">
        <v>2200</v>
      </c>
      <c r="F3413" t="s">
        <v>190</v>
      </c>
      <c r="G3413" t="s">
        <v>1099</v>
      </c>
      <c r="H3413" t="s">
        <v>1100</v>
      </c>
      <c r="I3413" t="s">
        <v>1100</v>
      </c>
      <c r="J3413" t="s">
        <v>60</v>
      </c>
      <c r="K3413" t="s">
        <v>781</v>
      </c>
      <c r="L3413" t="s">
        <v>62</v>
      </c>
      <c r="M3413" t="s">
        <v>781</v>
      </c>
      <c r="N3413" t="s">
        <v>1101</v>
      </c>
      <c r="O3413" t="s">
        <v>235</v>
      </c>
      <c r="P3413">
        <v>-20.136811999999999</v>
      </c>
      <c r="Q3413">
        <v>-44.872388000000001</v>
      </c>
      <c r="R3413" s="2" t="str">
        <f>HYPERLINK("https://www.google.com/maps?q=-20.1368120,-44.8723880","Abrir no Google Maps")</f>
        <v>Abrir no Google Maps</v>
      </c>
      <c r="S3413">
        <v>3</v>
      </c>
      <c r="T3413">
        <v>0</v>
      </c>
      <c r="U3413">
        <v>4</v>
      </c>
      <c r="V3413">
        <v>0.47664741202401761</v>
      </c>
      <c r="W3413">
        <v>1</v>
      </c>
      <c r="X3413">
        <v>0.47664741202401761</v>
      </c>
      <c r="Y3413">
        <v>332</v>
      </c>
      <c r="Z3413">
        <v>121.0319884418894</v>
      </c>
      <c r="AA3413">
        <v>198</v>
      </c>
      <c r="AB3413">
        <v>332</v>
      </c>
      <c r="AC3413">
        <v>536</v>
      </c>
      <c r="AD3413">
        <v>28.54</v>
      </c>
      <c r="AE3413">
        <v>542</v>
      </c>
      <c r="AF3413">
        <v>20</v>
      </c>
      <c r="AG3413">
        <v>181</v>
      </c>
      <c r="AH3413">
        <v>129</v>
      </c>
      <c r="AI3413">
        <v>3.69</v>
      </c>
      <c r="AJ3413">
        <v>33.39</v>
      </c>
      <c r="AK3413">
        <v>23.8</v>
      </c>
      <c r="AL3413">
        <v>-20.136943099999939</v>
      </c>
      <c r="AM3413">
        <v>-44.872411407897907</v>
      </c>
      <c r="AN3413">
        <v>-20.136943099999939</v>
      </c>
      <c r="AO3413">
        <v>-44.872411407897907</v>
      </c>
      <c r="AP3413">
        <v>-20.136811999999999</v>
      </c>
      <c r="AQ3413">
        <v>-44.872388000000001</v>
      </c>
      <c r="AR3413">
        <v>14.79769012694347</v>
      </c>
      <c r="AS3413" t="s">
        <v>65</v>
      </c>
      <c r="AT3413">
        <v>1</v>
      </c>
      <c r="AU3413" t="s">
        <v>1102</v>
      </c>
      <c r="AV3413" t="s">
        <v>1103</v>
      </c>
      <c r="AW3413" t="s">
        <v>60</v>
      </c>
      <c r="AX3413" t="s">
        <v>68</v>
      </c>
      <c r="AY3413" t="s">
        <v>69</v>
      </c>
      <c r="AZ3413" t="b">
        <v>1</v>
      </c>
    </row>
    <row r="3414" spans="1:52" x14ac:dyDescent="0.3">
      <c r="A3414" t="s">
        <v>52</v>
      </c>
      <c r="B3414" t="s">
        <v>53</v>
      </c>
      <c r="C3414" t="s">
        <v>54</v>
      </c>
      <c r="D3414" t="s">
        <v>55</v>
      </c>
      <c r="E3414" t="s">
        <v>2200</v>
      </c>
      <c r="F3414" t="s">
        <v>190</v>
      </c>
      <c r="G3414" t="s">
        <v>1115</v>
      </c>
      <c r="H3414" t="s">
        <v>1116</v>
      </c>
      <c r="I3414" t="s">
        <v>1116</v>
      </c>
      <c r="J3414" t="s">
        <v>60</v>
      </c>
      <c r="K3414" t="s">
        <v>1117</v>
      </c>
      <c r="L3414" t="s">
        <v>62</v>
      </c>
      <c r="M3414" t="s">
        <v>1117</v>
      </c>
      <c r="N3414" t="s">
        <v>1118</v>
      </c>
      <c r="O3414" t="s">
        <v>74</v>
      </c>
      <c r="P3414">
        <v>-20.171123000000001</v>
      </c>
      <c r="Q3414">
        <v>-44.944929999999999</v>
      </c>
      <c r="R3414" s="2" t="str">
        <f>HYPERLINK("https://www.google.com/maps?q=-20.1711230,-44.9449300","Abrir no Google Maps")</f>
        <v>Abrir no Google Maps</v>
      </c>
      <c r="S3414">
        <v>3</v>
      </c>
      <c r="T3414">
        <v>2450.5355520785151</v>
      </c>
      <c r="U3414">
        <v>4</v>
      </c>
      <c r="V3414">
        <v>0.62857142857142856</v>
      </c>
      <c r="W3414">
        <v>0.85</v>
      </c>
      <c r="X3414">
        <v>0.53428571428571425</v>
      </c>
      <c r="Y3414">
        <v>331</v>
      </c>
      <c r="Z3414">
        <v>2306.317072968428</v>
      </c>
      <c r="AA3414">
        <v>198</v>
      </c>
      <c r="AB3414">
        <v>332</v>
      </c>
      <c r="AC3414">
        <v>536</v>
      </c>
      <c r="AD3414">
        <v>28.54</v>
      </c>
      <c r="AE3414">
        <v>542</v>
      </c>
      <c r="AF3414">
        <v>20</v>
      </c>
      <c r="AG3414">
        <v>181</v>
      </c>
      <c r="AH3414">
        <v>129</v>
      </c>
      <c r="AI3414">
        <v>3.69</v>
      </c>
      <c r="AJ3414">
        <v>33.39</v>
      </c>
      <c r="AK3414">
        <v>23.8</v>
      </c>
      <c r="AL3414">
        <v>-20.170858699999972</v>
      </c>
      <c r="AM3414">
        <v>-44.945018498005382</v>
      </c>
      <c r="AN3414">
        <v>-20.170858699999972</v>
      </c>
      <c r="AO3414">
        <v>-44.945018498005382</v>
      </c>
      <c r="AP3414">
        <v>-20.171123000000001</v>
      </c>
      <c r="AQ3414">
        <v>-44.944929999999999</v>
      </c>
      <c r="AR3414">
        <v>30.840896798881371</v>
      </c>
      <c r="AS3414" t="s">
        <v>65</v>
      </c>
      <c r="AT3414">
        <v>1</v>
      </c>
      <c r="AU3414" t="s">
        <v>1119</v>
      </c>
      <c r="AV3414" t="s">
        <v>1120</v>
      </c>
      <c r="AW3414" t="s">
        <v>60</v>
      </c>
      <c r="AX3414" t="s">
        <v>68</v>
      </c>
      <c r="AY3414" t="s">
        <v>69</v>
      </c>
      <c r="AZ3414" t="b">
        <v>1</v>
      </c>
    </row>
    <row r="3415" spans="1:52" x14ac:dyDescent="0.3">
      <c r="A3415" t="s">
        <v>52</v>
      </c>
      <c r="B3415" t="s">
        <v>53</v>
      </c>
      <c r="C3415" t="s">
        <v>54</v>
      </c>
      <c r="D3415" t="s">
        <v>55</v>
      </c>
      <c r="E3415" t="s">
        <v>2200</v>
      </c>
      <c r="F3415" t="s">
        <v>190</v>
      </c>
      <c r="G3415" t="s">
        <v>796</v>
      </c>
      <c r="H3415" t="s">
        <v>797</v>
      </c>
      <c r="I3415" t="s">
        <v>797</v>
      </c>
      <c r="J3415" t="s">
        <v>60</v>
      </c>
      <c r="K3415" t="s">
        <v>798</v>
      </c>
      <c r="L3415" t="s">
        <v>62</v>
      </c>
      <c r="M3415" t="s">
        <v>798</v>
      </c>
      <c r="N3415" t="s">
        <v>799</v>
      </c>
      <c r="O3415" t="s">
        <v>800</v>
      </c>
      <c r="P3415">
        <v>-20.105681000000001</v>
      </c>
      <c r="Q3415">
        <v>-44.902771999999999</v>
      </c>
      <c r="R3415" s="2" t="str">
        <f>HYPERLINK("https://www.google.com/maps?q=-20.1056810,-44.9027720","Abrir no Google Maps")</f>
        <v>Abrir no Google Maps</v>
      </c>
      <c r="S3415">
        <v>3</v>
      </c>
      <c r="T3415">
        <v>654.76334876090721</v>
      </c>
      <c r="U3415">
        <v>4</v>
      </c>
      <c r="V3415">
        <v>0.49251288895243989</v>
      </c>
      <c r="W3415">
        <v>1</v>
      </c>
      <c r="X3415">
        <v>0.49251288895243989</v>
      </c>
      <c r="Y3415">
        <v>300</v>
      </c>
      <c r="Z3415">
        <v>473.90209409135377</v>
      </c>
      <c r="AA3415">
        <v>198</v>
      </c>
      <c r="AB3415">
        <v>332</v>
      </c>
      <c r="AC3415">
        <v>536</v>
      </c>
      <c r="AD3415">
        <v>28.54</v>
      </c>
      <c r="AE3415">
        <v>542</v>
      </c>
      <c r="AF3415">
        <v>20</v>
      </c>
      <c r="AG3415">
        <v>181</v>
      </c>
      <c r="AH3415">
        <v>129</v>
      </c>
      <c r="AI3415">
        <v>3.69</v>
      </c>
      <c r="AJ3415">
        <v>33.39</v>
      </c>
      <c r="AK3415">
        <v>23.8</v>
      </c>
      <c r="AL3415">
        <v>-20.105710249999959</v>
      </c>
      <c r="AM3415">
        <v>-44.902887601574513</v>
      </c>
      <c r="AN3415">
        <v>-20.105710249999959</v>
      </c>
      <c r="AO3415">
        <v>-44.902887601574513</v>
      </c>
      <c r="AP3415">
        <v>-20.105681000000001</v>
      </c>
      <c r="AQ3415">
        <v>-44.902771999999999</v>
      </c>
      <c r="AR3415">
        <v>12.5155291382583</v>
      </c>
      <c r="AS3415" t="s">
        <v>65</v>
      </c>
      <c r="AT3415">
        <v>1</v>
      </c>
      <c r="AU3415" t="s">
        <v>801</v>
      </c>
      <c r="AV3415" t="s">
        <v>802</v>
      </c>
      <c r="AW3415" t="s">
        <v>60</v>
      </c>
      <c r="AX3415" t="s">
        <v>68</v>
      </c>
      <c r="AY3415" t="s">
        <v>69</v>
      </c>
      <c r="AZ3415" t="b">
        <v>1</v>
      </c>
    </row>
    <row r="3416" spans="1:52" x14ac:dyDescent="0.3">
      <c r="A3416" t="s">
        <v>52</v>
      </c>
      <c r="B3416" t="s">
        <v>53</v>
      </c>
      <c r="C3416" t="s">
        <v>54</v>
      </c>
      <c r="D3416" t="s">
        <v>55</v>
      </c>
      <c r="E3416" t="s">
        <v>2200</v>
      </c>
      <c r="F3416" t="s">
        <v>190</v>
      </c>
      <c r="G3416" t="s">
        <v>803</v>
      </c>
      <c r="H3416" t="s">
        <v>804</v>
      </c>
      <c r="I3416" t="s">
        <v>804</v>
      </c>
      <c r="J3416" t="s">
        <v>60</v>
      </c>
      <c r="K3416" t="s">
        <v>805</v>
      </c>
      <c r="L3416" t="s">
        <v>62</v>
      </c>
      <c r="M3416" t="s">
        <v>805</v>
      </c>
      <c r="N3416" t="s">
        <v>806</v>
      </c>
      <c r="O3416" t="s">
        <v>807</v>
      </c>
      <c r="P3416">
        <v>-20.133293999999999</v>
      </c>
      <c r="Q3416">
        <v>-44.886302000000001</v>
      </c>
      <c r="R3416" s="2" t="str">
        <f>HYPERLINK("https://www.google.com/maps?q=-20.1332940,-44.8863020","Abrir no Google Maps")</f>
        <v>Abrir no Google Maps</v>
      </c>
      <c r="S3416">
        <v>3</v>
      </c>
      <c r="T3416">
        <v>0</v>
      </c>
      <c r="U3416">
        <v>4</v>
      </c>
      <c r="V3416">
        <v>0.48435276177566922</v>
      </c>
      <c r="W3416">
        <v>1</v>
      </c>
      <c r="X3416">
        <v>0.48435276177566922</v>
      </c>
      <c r="Y3416">
        <v>259</v>
      </c>
      <c r="Z3416">
        <v>76.358812960729097</v>
      </c>
      <c r="AA3416">
        <v>198</v>
      </c>
      <c r="AB3416">
        <v>332</v>
      </c>
      <c r="AC3416">
        <v>536</v>
      </c>
      <c r="AD3416">
        <v>28.54</v>
      </c>
      <c r="AE3416">
        <v>542</v>
      </c>
      <c r="AF3416">
        <v>20</v>
      </c>
      <c r="AG3416">
        <v>181</v>
      </c>
      <c r="AH3416">
        <v>129</v>
      </c>
      <c r="AI3416">
        <v>3.69</v>
      </c>
      <c r="AJ3416">
        <v>33.39</v>
      </c>
      <c r="AK3416">
        <v>23.8</v>
      </c>
      <c r="AL3416">
        <v>-20.133281749999949</v>
      </c>
      <c r="AM3416">
        <v>-44.886395047959027</v>
      </c>
      <c r="AN3416">
        <v>-20.133281749999949</v>
      </c>
      <c r="AO3416">
        <v>-44.886395047959027</v>
      </c>
      <c r="AP3416">
        <v>-20.133293999999999</v>
      </c>
      <c r="AQ3416">
        <v>-44.886302000000001</v>
      </c>
      <c r="AR3416">
        <v>9.8203037443031231</v>
      </c>
      <c r="AS3416" t="s">
        <v>65</v>
      </c>
      <c r="AT3416">
        <v>1</v>
      </c>
      <c r="AU3416" t="s">
        <v>808</v>
      </c>
      <c r="AV3416" t="s">
        <v>809</v>
      </c>
      <c r="AW3416" t="s">
        <v>60</v>
      </c>
      <c r="AX3416" t="s">
        <v>68</v>
      </c>
      <c r="AY3416" t="s">
        <v>69</v>
      </c>
      <c r="AZ3416" t="b">
        <v>1</v>
      </c>
    </row>
    <row r="3417" spans="1:52" x14ac:dyDescent="0.3">
      <c r="A3417" t="s">
        <v>52</v>
      </c>
      <c r="B3417" t="s">
        <v>53</v>
      </c>
      <c r="C3417" t="s">
        <v>54</v>
      </c>
      <c r="D3417" t="s">
        <v>55</v>
      </c>
      <c r="E3417" t="s">
        <v>2200</v>
      </c>
      <c r="F3417" t="s">
        <v>190</v>
      </c>
      <c r="G3417" t="s">
        <v>810</v>
      </c>
      <c r="H3417" t="s">
        <v>811</v>
      </c>
      <c r="I3417" t="s">
        <v>811</v>
      </c>
      <c r="J3417" t="s">
        <v>60</v>
      </c>
      <c r="K3417" t="s">
        <v>805</v>
      </c>
      <c r="L3417" t="s">
        <v>62</v>
      </c>
      <c r="M3417" t="s">
        <v>805</v>
      </c>
      <c r="N3417" t="s">
        <v>812</v>
      </c>
      <c r="O3417" t="s">
        <v>309</v>
      </c>
      <c r="P3417">
        <v>-20.129868999999999</v>
      </c>
      <c r="Q3417">
        <v>-44.884247999999999</v>
      </c>
      <c r="R3417" s="2" t="str">
        <f>HYPERLINK("https://www.google.com/maps?q=-20.1298690,-44.8842480","Abrir no Google Maps")</f>
        <v>Abrir no Google Maps</v>
      </c>
      <c r="S3417">
        <v>3</v>
      </c>
      <c r="T3417">
        <v>434.82198084080329</v>
      </c>
      <c r="U3417">
        <v>4</v>
      </c>
      <c r="V3417">
        <v>0.56235647412117995</v>
      </c>
      <c r="W3417">
        <v>1</v>
      </c>
      <c r="X3417">
        <v>0.56235647412117995</v>
      </c>
      <c r="Y3417">
        <v>259</v>
      </c>
      <c r="Z3417">
        <v>281.76247768049842</v>
      </c>
      <c r="AA3417">
        <v>198</v>
      </c>
      <c r="AB3417">
        <v>332</v>
      </c>
      <c r="AC3417">
        <v>536</v>
      </c>
      <c r="AD3417">
        <v>28.54</v>
      </c>
      <c r="AE3417">
        <v>542</v>
      </c>
      <c r="AF3417">
        <v>20</v>
      </c>
      <c r="AG3417">
        <v>181</v>
      </c>
      <c r="AH3417">
        <v>129</v>
      </c>
      <c r="AI3417">
        <v>3.69</v>
      </c>
      <c r="AJ3417">
        <v>33.39</v>
      </c>
      <c r="AK3417">
        <v>23.8</v>
      </c>
      <c r="AL3417">
        <v>-20.129927549999959</v>
      </c>
      <c r="AM3417">
        <v>-44.884228133573217</v>
      </c>
      <c r="AN3417">
        <v>-20.129927549999959</v>
      </c>
      <c r="AO3417">
        <v>-44.884228133573217</v>
      </c>
      <c r="AP3417">
        <v>-20.129868999999999</v>
      </c>
      <c r="AQ3417">
        <v>-44.884247999999999</v>
      </c>
      <c r="AR3417">
        <v>6.8405504803478081</v>
      </c>
      <c r="AS3417" t="s">
        <v>65</v>
      </c>
      <c r="AT3417">
        <v>1</v>
      </c>
      <c r="AU3417" t="s">
        <v>813</v>
      </c>
      <c r="AV3417" t="s">
        <v>814</v>
      </c>
      <c r="AW3417" t="s">
        <v>60</v>
      </c>
      <c r="AX3417" t="s">
        <v>68</v>
      </c>
      <c r="AY3417" t="s">
        <v>69</v>
      </c>
      <c r="AZ3417" t="b">
        <v>1</v>
      </c>
    </row>
    <row r="3418" spans="1:52" x14ac:dyDescent="0.3">
      <c r="A3418" t="s">
        <v>52</v>
      </c>
      <c r="B3418" t="s">
        <v>53</v>
      </c>
      <c r="C3418" t="s">
        <v>54</v>
      </c>
      <c r="D3418" t="s">
        <v>55</v>
      </c>
      <c r="E3418" t="s">
        <v>2200</v>
      </c>
      <c r="F3418" t="s">
        <v>190</v>
      </c>
      <c r="G3418" t="s">
        <v>815</v>
      </c>
      <c r="H3418" t="s">
        <v>816</v>
      </c>
      <c r="I3418" t="s">
        <v>816</v>
      </c>
      <c r="J3418" t="s">
        <v>60</v>
      </c>
      <c r="K3418" t="s">
        <v>805</v>
      </c>
      <c r="L3418" t="s">
        <v>62</v>
      </c>
      <c r="M3418" t="s">
        <v>805</v>
      </c>
      <c r="N3418" t="s">
        <v>817</v>
      </c>
      <c r="O3418" t="s">
        <v>818</v>
      </c>
      <c r="P3418">
        <v>-20.129894</v>
      </c>
      <c r="Q3418">
        <v>-44.886285000000001</v>
      </c>
      <c r="R3418" s="2" t="str">
        <f>HYPERLINK("https://www.google.com/maps?q=-20.1298940,-44.8862850","Abrir no Google Maps")</f>
        <v>Abrir no Google Maps</v>
      </c>
      <c r="S3418">
        <v>3</v>
      </c>
      <c r="T3418">
        <v>245.88570896460399</v>
      </c>
      <c r="U3418">
        <v>4</v>
      </c>
      <c r="V3418">
        <v>0.53228292785234899</v>
      </c>
      <c r="W3418">
        <v>1</v>
      </c>
      <c r="X3418">
        <v>0.53228292785234899</v>
      </c>
      <c r="Y3418">
        <v>259</v>
      </c>
      <c r="Z3418">
        <v>274.53833463725539</v>
      </c>
      <c r="AA3418">
        <v>198</v>
      </c>
      <c r="AB3418">
        <v>332</v>
      </c>
      <c r="AC3418">
        <v>536</v>
      </c>
      <c r="AD3418">
        <v>28.54</v>
      </c>
      <c r="AE3418">
        <v>542</v>
      </c>
      <c r="AF3418">
        <v>20</v>
      </c>
      <c r="AG3418">
        <v>181</v>
      </c>
      <c r="AH3418">
        <v>129</v>
      </c>
      <c r="AI3418">
        <v>3.69</v>
      </c>
      <c r="AJ3418">
        <v>33.39</v>
      </c>
      <c r="AK3418">
        <v>23.8</v>
      </c>
      <c r="AL3418">
        <v>-20.129900749999969</v>
      </c>
      <c r="AM3418">
        <v>-44.886258682425179</v>
      </c>
      <c r="AN3418">
        <v>-20.129900749999969</v>
      </c>
      <c r="AO3418">
        <v>-44.886258682425179</v>
      </c>
      <c r="AP3418">
        <v>-20.129894</v>
      </c>
      <c r="AQ3418">
        <v>-44.886285000000001</v>
      </c>
      <c r="AR3418">
        <v>2.851497427576585</v>
      </c>
      <c r="AS3418" t="s">
        <v>65</v>
      </c>
      <c r="AT3418">
        <v>1</v>
      </c>
      <c r="AU3418" t="s">
        <v>819</v>
      </c>
      <c r="AV3418" t="s">
        <v>814</v>
      </c>
      <c r="AW3418" t="s">
        <v>60</v>
      </c>
      <c r="AX3418" t="s">
        <v>68</v>
      </c>
      <c r="AY3418" t="s">
        <v>69</v>
      </c>
      <c r="AZ3418" t="b">
        <v>1</v>
      </c>
    </row>
    <row r="3419" spans="1:52" x14ac:dyDescent="0.3">
      <c r="A3419" t="s">
        <v>52</v>
      </c>
      <c r="B3419" t="s">
        <v>53</v>
      </c>
      <c r="C3419" t="s">
        <v>54</v>
      </c>
      <c r="D3419" t="s">
        <v>55</v>
      </c>
      <c r="E3419" t="s">
        <v>2200</v>
      </c>
      <c r="F3419" t="s">
        <v>190</v>
      </c>
      <c r="G3419" t="s">
        <v>820</v>
      </c>
      <c r="H3419" t="s">
        <v>821</v>
      </c>
      <c r="I3419" t="s">
        <v>821</v>
      </c>
      <c r="J3419" t="s">
        <v>60</v>
      </c>
      <c r="K3419" t="s">
        <v>822</v>
      </c>
      <c r="L3419" t="s">
        <v>62</v>
      </c>
      <c r="M3419" t="s">
        <v>822</v>
      </c>
      <c r="N3419" t="s">
        <v>823</v>
      </c>
      <c r="O3419" t="s">
        <v>187</v>
      </c>
      <c r="P3419">
        <v>-20.182960999999999</v>
      </c>
      <c r="Q3419">
        <v>-44.902512999999999</v>
      </c>
      <c r="R3419" s="2" t="str">
        <f>HYPERLINK("https://www.google.com/maps?q=-20.1829610,-44.9025130","Abrir no Google Maps")</f>
        <v>Abrir no Google Maps</v>
      </c>
      <c r="S3419">
        <v>3</v>
      </c>
      <c r="T3419">
        <v>908.09917748271926</v>
      </c>
      <c r="U3419">
        <v>4</v>
      </c>
      <c r="V3419">
        <v>0.53112873460022936</v>
      </c>
      <c r="W3419">
        <v>1</v>
      </c>
      <c r="X3419">
        <v>0.53112873460022936</v>
      </c>
      <c r="Y3419">
        <v>135</v>
      </c>
      <c r="Z3419">
        <v>562.42494356837676</v>
      </c>
      <c r="AA3419">
        <v>198</v>
      </c>
      <c r="AB3419">
        <v>332</v>
      </c>
      <c r="AC3419">
        <v>536</v>
      </c>
      <c r="AD3419">
        <v>28.54</v>
      </c>
      <c r="AE3419">
        <v>542</v>
      </c>
      <c r="AF3419">
        <v>20</v>
      </c>
      <c r="AG3419">
        <v>181</v>
      </c>
      <c r="AH3419">
        <v>129</v>
      </c>
      <c r="AI3419">
        <v>3.69</v>
      </c>
      <c r="AJ3419">
        <v>33.39</v>
      </c>
      <c r="AK3419">
        <v>23.8</v>
      </c>
      <c r="AL3419">
        <v>-20.18277184999997</v>
      </c>
      <c r="AM3419">
        <v>-44.902421436048833</v>
      </c>
      <c r="AN3419">
        <v>-20.18277184999997</v>
      </c>
      <c r="AO3419">
        <v>-44.902421436048833</v>
      </c>
      <c r="AP3419">
        <v>-20.182960999999999</v>
      </c>
      <c r="AQ3419">
        <v>-44.902512999999999</v>
      </c>
      <c r="AR3419">
        <v>23.127700959037089</v>
      </c>
      <c r="AS3419" t="s">
        <v>65</v>
      </c>
      <c r="AT3419">
        <v>1</v>
      </c>
      <c r="AU3419" t="s">
        <v>824</v>
      </c>
      <c r="AV3419" t="s">
        <v>825</v>
      </c>
      <c r="AW3419" t="s">
        <v>60</v>
      </c>
      <c r="AX3419" t="s">
        <v>68</v>
      </c>
      <c r="AY3419" t="s">
        <v>69</v>
      </c>
      <c r="AZ3419" t="b">
        <v>1</v>
      </c>
    </row>
    <row r="3420" spans="1:52" x14ac:dyDescent="0.3">
      <c r="A3420" t="s">
        <v>52</v>
      </c>
      <c r="B3420" t="s">
        <v>53</v>
      </c>
      <c r="C3420" t="s">
        <v>54</v>
      </c>
      <c r="D3420" t="s">
        <v>55</v>
      </c>
      <c r="E3420" t="s">
        <v>2200</v>
      </c>
      <c r="F3420" t="s">
        <v>190</v>
      </c>
      <c r="G3420" t="s">
        <v>1218</v>
      </c>
      <c r="H3420" t="s">
        <v>1219</v>
      </c>
      <c r="I3420" t="s">
        <v>1219</v>
      </c>
      <c r="J3420" t="s">
        <v>60</v>
      </c>
      <c r="K3420" t="s">
        <v>828</v>
      </c>
      <c r="L3420" t="s">
        <v>62</v>
      </c>
      <c r="M3420" t="s">
        <v>828</v>
      </c>
      <c r="N3420" t="s">
        <v>1220</v>
      </c>
      <c r="O3420" t="s">
        <v>1221</v>
      </c>
      <c r="P3420">
        <v>-20.132722000000001</v>
      </c>
      <c r="Q3420">
        <v>-44.843550999999998</v>
      </c>
      <c r="R3420" s="2" t="str">
        <f>HYPERLINK("https://www.google.com/maps?q=-20.1327220,-44.8435510","Abrir no Google Maps")</f>
        <v>Abrir no Google Maps</v>
      </c>
      <c r="S3420">
        <v>3</v>
      </c>
      <c r="T3420">
        <v>846.88659580558431</v>
      </c>
      <c r="U3420">
        <v>4</v>
      </c>
      <c r="V3420">
        <v>0.4817460317460317</v>
      </c>
      <c r="W3420">
        <v>1</v>
      </c>
      <c r="X3420">
        <v>0.4817460317460317</v>
      </c>
      <c r="Y3420">
        <v>118</v>
      </c>
      <c r="Z3420">
        <v>797.91643890712305</v>
      </c>
      <c r="AA3420">
        <v>198</v>
      </c>
      <c r="AB3420">
        <v>332</v>
      </c>
      <c r="AC3420">
        <v>536</v>
      </c>
      <c r="AD3420">
        <v>28.54</v>
      </c>
      <c r="AE3420">
        <v>542</v>
      </c>
      <c r="AF3420">
        <v>20</v>
      </c>
      <c r="AG3420">
        <v>181</v>
      </c>
      <c r="AH3420">
        <v>129</v>
      </c>
      <c r="AI3420">
        <v>3.69</v>
      </c>
      <c r="AJ3420">
        <v>33.39</v>
      </c>
      <c r="AK3420">
        <v>23.8</v>
      </c>
      <c r="AL3420">
        <v>-20.132714949999979</v>
      </c>
      <c r="AM3420">
        <v>-44.843475702545703</v>
      </c>
      <c r="AN3420">
        <v>-20.132714949999979</v>
      </c>
      <c r="AO3420">
        <v>-44.843475702545703</v>
      </c>
      <c r="AP3420">
        <v>-20.132722000000001</v>
      </c>
      <c r="AQ3420">
        <v>-44.843550999999998</v>
      </c>
      <c r="AR3420">
        <v>7.9089820822755481</v>
      </c>
      <c r="AS3420" t="s">
        <v>65</v>
      </c>
      <c r="AT3420">
        <v>1</v>
      </c>
      <c r="AU3420" t="s">
        <v>1222</v>
      </c>
      <c r="AV3420" t="s">
        <v>1223</v>
      </c>
      <c r="AW3420" t="s">
        <v>60</v>
      </c>
      <c r="AX3420" t="s">
        <v>68</v>
      </c>
      <c r="AY3420" t="s">
        <v>69</v>
      </c>
      <c r="AZ3420" t="b">
        <v>1</v>
      </c>
    </row>
    <row r="3421" spans="1:52" x14ac:dyDescent="0.3">
      <c r="A3421" t="s">
        <v>52</v>
      </c>
      <c r="B3421" t="s">
        <v>53</v>
      </c>
      <c r="C3421" t="s">
        <v>54</v>
      </c>
      <c r="D3421" t="s">
        <v>55</v>
      </c>
      <c r="E3421" t="s">
        <v>2200</v>
      </c>
      <c r="F3421" t="s">
        <v>190</v>
      </c>
      <c r="G3421" t="s">
        <v>1224</v>
      </c>
      <c r="H3421" t="s">
        <v>1230</v>
      </c>
      <c r="I3421" t="s">
        <v>1230</v>
      </c>
      <c r="J3421" t="s">
        <v>60</v>
      </c>
      <c r="K3421" t="s">
        <v>828</v>
      </c>
      <c r="L3421" t="s">
        <v>62</v>
      </c>
      <c r="M3421" t="s">
        <v>828</v>
      </c>
      <c r="N3421" t="s">
        <v>1231</v>
      </c>
      <c r="O3421" t="s">
        <v>1232</v>
      </c>
      <c r="P3421">
        <v>-20.136106000000002</v>
      </c>
      <c r="Q3421">
        <v>-44.838470999999998</v>
      </c>
      <c r="R3421" s="2" t="str">
        <f>HYPERLINK("https://www.google.com/maps?q=-20.1361060,-44.8384710","Abrir no Google Maps")</f>
        <v>Abrir no Google Maps</v>
      </c>
      <c r="S3421">
        <v>3</v>
      </c>
      <c r="T3421">
        <v>910.01690137237858</v>
      </c>
      <c r="U3421">
        <v>4</v>
      </c>
      <c r="V3421">
        <v>0.47973467160265998</v>
      </c>
      <c r="W3421">
        <v>1</v>
      </c>
      <c r="X3421">
        <v>0.47973467160265998</v>
      </c>
      <c r="Y3421">
        <v>118</v>
      </c>
      <c r="Z3421">
        <v>892.76979321439796</v>
      </c>
      <c r="AA3421">
        <v>198</v>
      </c>
      <c r="AB3421">
        <v>332</v>
      </c>
      <c r="AC3421">
        <v>536</v>
      </c>
      <c r="AD3421">
        <v>28.54</v>
      </c>
      <c r="AE3421">
        <v>542</v>
      </c>
      <c r="AF3421">
        <v>20</v>
      </c>
      <c r="AG3421">
        <v>181</v>
      </c>
      <c r="AH3421">
        <v>129</v>
      </c>
      <c r="AI3421">
        <v>3.69</v>
      </c>
      <c r="AJ3421">
        <v>33.39</v>
      </c>
      <c r="AK3421">
        <v>23.8</v>
      </c>
      <c r="AL3421">
        <v>-20.136356149999951</v>
      </c>
      <c r="AM3421">
        <v>-44.838929886373997</v>
      </c>
      <c r="AN3421">
        <v>-20.136356149999951</v>
      </c>
      <c r="AO3421">
        <v>-44.838929886373997</v>
      </c>
      <c r="AP3421">
        <v>-20.136106000000002</v>
      </c>
      <c r="AQ3421">
        <v>-44.838470999999998</v>
      </c>
      <c r="AR3421">
        <v>55.458802856549369</v>
      </c>
      <c r="AS3421" t="s">
        <v>65</v>
      </c>
      <c r="AT3421">
        <v>1</v>
      </c>
      <c r="AU3421" t="s">
        <v>1233</v>
      </c>
      <c r="AV3421" t="s">
        <v>1234</v>
      </c>
      <c r="AW3421" t="s">
        <v>60</v>
      </c>
      <c r="AX3421" t="s">
        <v>68</v>
      </c>
      <c r="AY3421" t="s">
        <v>69</v>
      </c>
      <c r="AZ3421" t="b">
        <v>1</v>
      </c>
    </row>
    <row r="3422" spans="1:52" x14ac:dyDescent="0.3">
      <c r="A3422" t="s">
        <v>52</v>
      </c>
      <c r="B3422" t="s">
        <v>53</v>
      </c>
      <c r="C3422" t="s">
        <v>54</v>
      </c>
      <c r="D3422" t="s">
        <v>55</v>
      </c>
      <c r="E3422" t="s">
        <v>2200</v>
      </c>
      <c r="F3422" t="s">
        <v>190</v>
      </c>
      <c r="G3422" t="s">
        <v>826</v>
      </c>
      <c r="H3422" t="s">
        <v>827</v>
      </c>
      <c r="I3422" t="s">
        <v>827</v>
      </c>
      <c r="J3422" t="s">
        <v>60</v>
      </c>
      <c r="K3422" t="s">
        <v>828</v>
      </c>
      <c r="L3422" t="s">
        <v>62</v>
      </c>
      <c r="M3422" t="s">
        <v>828</v>
      </c>
      <c r="N3422" t="s">
        <v>829</v>
      </c>
      <c r="O3422" t="s">
        <v>830</v>
      </c>
      <c r="P3422">
        <v>-20.128309999999999</v>
      </c>
      <c r="Q3422">
        <v>-44.8367</v>
      </c>
      <c r="R3422" s="2" t="str">
        <f>HYPERLINK("https://www.google.com/maps?q=-20.1283100,-44.8367000","Abrir no Google Maps")</f>
        <v>Abrir no Google Maps</v>
      </c>
      <c r="S3422">
        <v>3</v>
      </c>
      <c r="T3422">
        <v>0</v>
      </c>
      <c r="U3422">
        <v>4</v>
      </c>
      <c r="V3422">
        <v>0.48283309792843698</v>
      </c>
      <c r="W3422">
        <v>1</v>
      </c>
      <c r="X3422">
        <v>0.48283309792843698</v>
      </c>
      <c r="Y3422">
        <v>118</v>
      </c>
      <c r="Z3422">
        <v>65.93296364139367</v>
      </c>
      <c r="AA3422">
        <v>198</v>
      </c>
      <c r="AB3422">
        <v>332</v>
      </c>
      <c r="AC3422">
        <v>536</v>
      </c>
      <c r="AD3422">
        <v>28.54</v>
      </c>
      <c r="AE3422">
        <v>542</v>
      </c>
      <c r="AF3422">
        <v>20</v>
      </c>
      <c r="AG3422">
        <v>181</v>
      </c>
      <c r="AH3422">
        <v>129</v>
      </c>
      <c r="AI3422">
        <v>3.69</v>
      </c>
      <c r="AJ3422">
        <v>33.39</v>
      </c>
      <c r="AK3422">
        <v>23.8</v>
      </c>
      <c r="AL3422">
        <v>-20.128383649999961</v>
      </c>
      <c r="AM3422">
        <v>-44.836795615491283</v>
      </c>
      <c r="AN3422">
        <v>-20.128383649999961</v>
      </c>
      <c r="AO3422">
        <v>-44.836795615491283</v>
      </c>
      <c r="AP3422">
        <v>-20.128309999999999</v>
      </c>
      <c r="AQ3422">
        <v>-44.8367</v>
      </c>
      <c r="AR3422">
        <v>12.92654496723039</v>
      </c>
      <c r="AS3422" t="s">
        <v>65</v>
      </c>
      <c r="AT3422">
        <v>1</v>
      </c>
      <c r="AU3422" t="s">
        <v>831</v>
      </c>
      <c r="AV3422" t="s">
        <v>832</v>
      </c>
      <c r="AW3422" t="s">
        <v>60</v>
      </c>
      <c r="AX3422" t="s">
        <v>68</v>
      </c>
      <c r="AY3422" t="s">
        <v>69</v>
      </c>
      <c r="AZ3422" t="b">
        <v>1</v>
      </c>
    </row>
    <row r="3423" spans="1:52" x14ac:dyDescent="0.3">
      <c r="A3423" t="s">
        <v>52</v>
      </c>
      <c r="B3423" t="s">
        <v>53</v>
      </c>
      <c r="C3423" t="s">
        <v>54</v>
      </c>
      <c r="D3423" t="s">
        <v>55</v>
      </c>
      <c r="E3423" t="s">
        <v>2200</v>
      </c>
      <c r="F3423" t="s">
        <v>190</v>
      </c>
      <c r="G3423" t="s">
        <v>1836</v>
      </c>
      <c r="H3423" t="s">
        <v>1837</v>
      </c>
      <c r="I3423" t="s">
        <v>1837</v>
      </c>
      <c r="J3423" t="s">
        <v>60</v>
      </c>
      <c r="K3423" t="s">
        <v>1243</v>
      </c>
      <c r="L3423" t="s">
        <v>62</v>
      </c>
      <c r="M3423" t="s">
        <v>1243</v>
      </c>
      <c r="N3423" t="s">
        <v>1838</v>
      </c>
      <c r="O3423" t="s">
        <v>1839</v>
      </c>
      <c r="P3423">
        <v>-20.194417999999999</v>
      </c>
      <c r="Q3423">
        <v>-44.943080999999999</v>
      </c>
      <c r="R3423" s="2" t="str">
        <f>HYPERLINK("https://www.google.com/maps?q=-20.1944180,-44.9430810","Abrir no Google Maps")</f>
        <v>Abrir no Google Maps</v>
      </c>
      <c r="S3423">
        <v>3</v>
      </c>
      <c r="T3423">
        <v>570.3426559957137</v>
      </c>
      <c r="U3423">
        <v>4</v>
      </c>
      <c r="V3423">
        <v>0.48200903784597998</v>
      </c>
      <c r="W3423">
        <v>1</v>
      </c>
      <c r="X3423">
        <v>0.48200903784597998</v>
      </c>
      <c r="Y3423">
        <v>113</v>
      </c>
      <c r="Z3423">
        <v>342.73864025959449</v>
      </c>
      <c r="AA3423">
        <v>198</v>
      </c>
      <c r="AB3423">
        <v>332</v>
      </c>
      <c r="AC3423">
        <v>536</v>
      </c>
      <c r="AD3423">
        <v>28.54</v>
      </c>
      <c r="AE3423">
        <v>542</v>
      </c>
      <c r="AF3423">
        <v>20</v>
      </c>
      <c r="AG3423">
        <v>181</v>
      </c>
      <c r="AH3423">
        <v>129</v>
      </c>
      <c r="AI3423">
        <v>3.69</v>
      </c>
      <c r="AJ3423">
        <v>33.39</v>
      </c>
      <c r="AK3423">
        <v>23.8</v>
      </c>
      <c r="AL3423">
        <v>-20.194494749999929</v>
      </c>
      <c r="AM3423">
        <v>-44.942951635393733</v>
      </c>
      <c r="AN3423">
        <v>-20.194494749999929</v>
      </c>
      <c r="AO3423">
        <v>-44.942951635393733</v>
      </c>
      <c r="AP3423">
        <v>-20.194417999999999</v>
      </c>
      <c r="AQ3423">
        <v>-44.943080999999999</v>
      </c>
      <c r="AR3423">
        <v>15.9896188813922</v>
      </c>
      <c r="AS3423" t="s">
        <v>65</v>
      </c>
      <c r="AT3423">
        <v>1</v>
      </c>
      <c r="AU3423" t="s">
        <v>1840</v>
      </c>
      <c r="AV3423" t="s">
        <v>1841</v>
      </c>
      <c r="AW3423" t="s">
        <v>60</v>
      </c>
      <c r="AX3423" t="s">
        <v>68</v>
      </c>
      <c r="AY3423" t="s">
        <v>69</v>
      </c>
      <c r="AZ3423" t="b">
        <v>1</v>
      </c>
    </row>
    <row r="3424" spans="1:52" x14ac:dyDescent="0.3">
      <c r="A3424" t="s">
        <v>52</v>
      </c>
      <c r="B3424" t="s">
        <v>53</v>
      </c>
      <c r="C3424" t="s">
        <v>54</v>
      </c>
      <c r="D3424" t="s">
        <v>55</v>
      </c>
      <c r="E3424" t="s">
        <v>2200</v>
      </c>
      <c r="F3424" t="s">
        <v>190</v>
      </c>
      <c r="G3424" t="s">
        <v>1235</v>
      </c>
      <c r="H3424" t="s">
        <v>1236</v>
      </c>
      <c r="I3424" t="s">
        <v>1236</v>
      </c>
      <c r="J3424" t="s">
        <v>60</v>
      </c>
      <c r="K3424" t="s">
        <v>1237</v>
      </c>
      <c r="L3424" t="s">
        <v>62</v>
      </c>
      <c r="M3424" t="s">
        <v>1237</v>
      </c>
      <c r="N3424" t="s">
        <v>1238</v>
      </c>
      <c r="O3424" t="s">
        <v>315</v>
      </c>
      <c r="P3424">
        <v>-20.199687000000001</v>
      </c>
      <c r="Q3424">
        <v>-44.941882999999997</v>
      </c>
      <c r="R3424" s="2" t="str">
        <f>HYPERLINK("https://www.google.com/maps?q=-20.1996870,-44.9418830","Abrir no Google Maps")</f>
        <v>Abrir no Google Maps</v>
      </c>
      <c r="S3424">
        <v>3</v>
      </c>
      <c r="T3424">
        <v>928.80393950893483</v>
      </c>
      <c r="U3424">
        <v>4</v>
      </c>
      <c r="V3424">
        <v>0.49539987914936751</v>
      </c>
      <c r="W3424">
        <v>1</v>
      </c>
      <c r="X3424">
        <v>0.49539987914936751</v>
      </c>
      <c r="Y3424">
        <v>113</v>
      </c>
      <c r="Z3424">
        <v>798.11967422937732</v>
      </c>
      <c r="AA3424">
        <v>198</v>
      </c>
      <c r="AB3424">
        <v>332</v>
      </c>
      <c r="AC3424">
        <v>536</v>
      </c>
      <c r="AD3424">
        <v>28.54</v>
      </c>
      <c r="AE3424">
        <v>542</v>
      </c>
      <c r="AF3424">
        <v>20</v>
      </c>
      <c r="AG3424">
        <v>181</v>
      </c>
      <c r="AH3424">
        <v>129</v>
      </c>
      <c r="AI3424">
        <v>3.69</v>
      </c>
      <c r="AJ3424">
        <v>33.39</v>
      </c>
      <c r="AK3424">
        <v>23.8</v>
      </c>
      <c r="AL3424">
        <v>-20.199663899999958</v>
      </c>
      <c r="AM3424">
        <v>-44.941858448694838</v>
      </c>
      <c r="AN3424">
        <v>-20.199663899999958</v>
      </c>
      <c r="AO3424">
        <v>-44.941858448694838</v>
      </c>
      <c r="AP3424">
        <v>-20.199687000000001</v>
      </c>
      <c r="AQ3424">
        <v>-44.941882999999997</v>
      </c>
      <c r="AR3424">
        <v>3.632019521873886</v>
      </c>
      <c r="AS3424" t="s">
        <v>65</v>
      </c>
      <c r="AT3424">
        <v>1</v>
      </c>
      <c r="AU3424" t="s">
        <v>1239</v>
      </c>
      <c r="AV3424" t="s">
        <v>1240</v>
      </c>
      <c r="AW3424" t="s">
        <v>60</v>
      </c>
      <c r="AX3424" t="s">
        <v>68</v>
      </c>
      <c r="AY3424" t="s">
        <v>69</v>
      </c>
      <c r="AZ3424" t="b">
        <v>1</v>
      </c>
    </row>
    <row r="3425" spans="1:52" x14ac:dyDescent="0.3">
      <c r="A3425" t="s">
        <v>52</v>
      </c>
      <c r="B3425" t="s">
        <v>53</v>
      </c>
      <c r="C3425" t="s">
        <v>54</v>
      </c>
      <c r="D3425" t="s">
        <v>55</v>
      </c>
      <c r="E3425" t="s">
        <v>2200</v>
      </c>
      <c r="F3425" t="s">
        <v>190</v>
      </c>
      <c r="G3425" t="s">
        <v>1842</v>
      </c>
      <c r="H3425" t="s">
        <v>1843</v>
      </c>
      <c r="I3425" t="s">
        <v>1843</v>
      </c>
      <c r="J3425" t="s">
        <v>60</v>
      </c>
      <c r="K3425" t="s">
        <v>1243</v>
      </c>
      <c r="L3425" t="s">
        <v>62</v>
      </c>
      <c r="M3425" t="s">
        <v>1243</v>
      </c>
      <c r="N3425" t="s">
        <v>1844</v>
      </c>
      <c r="O3425" t="s">
        <v>598</v>
      </c>
      <c r="P3425">
        <v>-20.191507999999999</v>
      </c>
      <c r="Q3425">
        <v>-44.942765000000001</v>
      </c>
      <c r="R3425" s="2" t="str">
        <f>HYPERLINK("https://www.google.com/maps?q=-20.1915080,-44.9427650","Abrir no Google Maps")</f>
        <v>Abrir no Google Maps</v>
      </c>
      <c r="S3425">
        <v>3</v>
      </c>
      <c r="T3425">
        <v>481.65843439031818</v>
      </c>
      <c r="U3425">
        <v>4</v>
      </c>
      <c r="V3425">
        <v>0.48589455272363818</v>
      </c>
      <c r="W3425">
        <v>1</v>
      </c>
      <c r="X3425">
        <v>0.48589455272363818</v>
      </c>
      <c r="Y3425">
        <v>113</v>
      </c>
      <c r="Z3425">
        <v>403.01657911729887</v>
      </c>
      <c r="AA3425">
        <v>198</v>
      </c>
      <c r="AB3425">
        <v>332</v>
      </c>
      <c r="AC3425">
        <v>536</v>
      </c>
      <c r="AD3425">
        <v>28.54</v>
      </c>
      <c r="AE3425">
        <v>542</v>
      </c>
      <c r="AF3425">
        <v>20</v>
      </c>
      <c r="AG3425">
        <v>181</v>
      </c>
      <c r="AH3425">
        <v>129</v>
      </c>
      <c r="AI3425">
        <v>3.69</v>
      </c>
      <c r="AJ3425">
        <v>33.39</v>
      </c>
      <c r="AK3425">
        <v>23.8</v>
      </c>
      <c r="AL3425">
        <v>-20.19144764999993</v>
      </c>
      <c r="AM3425">
        <v>-44.942723431709183</v>
      </c>
      <c r="AN3425">
        <v>-20.19144764999993</v>
      </c>
      <c r="AO3425">
        <v>-44.942723431709183</v>
      </c>
      <c r="AP3425">
        <v>-20.191507999999999</v>
      </c>
      <c r="AQ3425">
        <v>-44.942765000000001</v>
      </c>
      <c r="AR3425">
        <v>7.9997116897974587</v>
      </c>
      <c r="AS3425" t="s">
        <v>65</v>
      </c>
      <c r="AT3425">
        <v>1</v>
      </c>
      <c r="AU3425" t="s">
        <v>1845</v>
      </c>
      <c r="AV3425" t="s">
        <v>1846</v>
      </c>
      <c r="AW3425" t="s">
        <v>60</v>
      </c>
      <c r="AX3425" t="s">
        <v>68</v>
      </c>
      <c r="AY3425" t="s">
        <v>69</v>
      </c>
      <c r="AZ3425" t="b">
        <v>1</v>
      </c>
    </row>
    <row r="3426" spans="1:52" x14ac:dyDescent="0.3">
      <c r="A3426" t="s">
        <v>52</v>
      </c>
      <c r="B3426" t="s">
        <v>53</v>
      </c>
      <c r="C3426" t="s">
        <v>54</v>
      </c>
      <c r="D3426" t="s">
        <v>55</v>
      </c>
      <c r="E3426" t="s">
        <v>2200</v>
      </c>
      <c r="F3426" t="s">
        <v>190</v>
      </c>
      <c r="G3426" t="s">
        <v>1241</v>
      </c>
      <c r="H3426" t="s">
        <v>1242</v>
      </c>
      <c r="I3426" t="s">
        <v>1242</v>
      </c>
      <c r="J3426" t="s">
        <v>60</v>
      </c>
      <c r="K3426" t="s">
        <v>1243</v>
      </c>
      <c r="L3426" t="s">
        <v>62</v>
      </c>
      <c r="M3426" t="s">
        <v>1243</v>
      </c>
      <c r="N3426" t="s">
        <v>1244</v>
      </c>
      <c r="O3426" t="s">
        <v>315</v>
      </c>
      <c r="P3426">
        <v>-20.188538000000001</v>
      </c>
      <c r="Q3426">
        <v>-44.930104</v>
      </c>
      <c r="R3426" s="2" t="str">
        <f>HYPERLINK("https://www.google.com/maps?q=-20.1885380,-44.9301040","Abrir no Google Maps")</f>
        <v>Abrir no Google Maps</v>
      </c>
      <c r="S3426">
        <v>3</v>
      </c>
      <c r="T3426">
        <v>928.27105405717066</v>
      </c>
      <c r="U3426">
        <v>4</v>
      </c>
      <c r="V3426">
        <v>0.47896226842415179</v>
      </c>
      <c r="W3426">
        <v>1</v>
      </c>
      <c r="X3426">
        <v>0.47896226842415179</v>
      </c>
      <c r="Y3426">
        <v>113</v>
      </c>
      <c r="Z3426">
        <v>1111.4269393179579</v>
      </c>
      <c r="AA3426">
        <v>198</v>
      </c>
      <c r="AB3426">
        <v>332</v>
      </c>
      <c r="AC3426">
        <v>536</v>
      </c>
      <c r="AD3426">
        <v>28.54</v>
      </c>
      <c r="AE3426">
        <v>542</v>
      </c>
      <c r="AF3426">
        <v>20</v>
      </c>
      <c r="AG3426">
        <v>181</v>
      </c>
      <c r="AH3426">
        <v>129</v>
      </c>
      <c r="AI3426">
        <v>3.69</v>
      </c>
      <c r="AJ3426">
        <v>33.39</v>
      </c>
      <c r="AK3426">
        <v>23.8</v>
      </c>
      <c r="AL3426">
        <v>-20.18852899999996</v>
      </c>
      <c r="AM3426">
        <v>-44.930083089036543</v>
      </c>
      <c r="AN3426">
        <v>-20.18852899999996</v>
      </c>
      <c r="AO3426">
        <v>-44.930083089036543</v>
      </c>
      <c r="AP3426">
        <v>-20.188538000000001</v>
      </c>
      <c r="AQ3426">
        <v>-44.930104</v>
      </c>
      <c r="AR3426">
        <v>2.4035564137158438</v>
      </c>
      <c r="AS3426" t="s">
        <v>65</v>
      </c>
      <c r="AT3426">
        <v>1</v>
      </c>
      <c r="AU3426" t="s">
        <v>1245</v>
      </c>
      <c r="AV3426" t="s">
        <v>1246</v>
      </c>
      <c r="AW3426" t="s">
        <v>60</v>
      </c>
      <c r="AX3426" t="s">
        <v>68</v>
      </c>
      <c r="AY3426" t="s">
        <v>69</v>
      </c>
      <c r="AZ3426" t="b">
        <v>1</v>
      </c>
    </row>
    <row r="3427" spans="1:52" x14ac:dyDescent="0.3">
      <c r="A3427" t="s">
        <v>52</v>
      </c>
      <c r="B3427" t="s">
        <v>53</v>
      </c>
      <c r="C3427" t="s">
        <v>54</v>
      </c>
      <c r="D3427" t="s">
        <v>55</v>
      </c>
      <c r="E3427" t="s">
        <v>2200</v>
      </c>
      <c r="F3427" t="s">
        <v>190</v>
      </c>
      <c r="G3427" t="s">
        <v>833</v>
      </c>
      <c r="H3427" t="s">
        <v>834</v>
      </c>
      <c r="I3427" t="s">
        <v>834</v>
      </c>
      <c r="J3427" t="s">
        <v>60</v>
      </c>
      <c r="K3427" t="s">
        <v>388</v>
      </c>
      <c r="L3427" t="s">
        <v>62</v>
      </c>
      <c r="M3427" t="s">
        <v>388</v>
      </c>
      <c r="N3427" t="s">
        <v>835</v>
      </c>
      <c r="O3427" t="s">
        <v>836</v>
      </c>
      <c r="P3427">
        <v>-20.157906000000001</v>
      </c>
      <c r="Q3427">
        <v>-44.900458999999998</v>
      </c>
      <c r="R3427" s="2" t="str">
        <f>HYPERLINK("https://www.google.com/maps?q=-20.1579060,-44.9004590","Abrir no Google Maps")</f>
        <v>Abrir no Google Maps</v>
      </c>
      <c r="S3427">
        <v>3</v>
      </c>
      <c r="T3427">
        <v>0</v>
      </c>
      <c r="U3427">
        <v>3</v>
      </c>
      <c r="V3427">
        <v>0.45042865963712359</v>
      </c>
      <c r="W3427">
        <v>1</v>
      </c>
      <c r="X3427">
        <v>0.45042865963712359</v>
      </c>
      <c r="Y3427">
        <v>729</v>
      </c>
      <c r="Z3427">
        <v>203.63168486652771</v>
      </c>
      <c r="AA3427">
        <v>198</v>
      </c>
      <c r="AB3427">
        <v>332</v>
      </c>
      <c r="AC3427">
        <v>536</v>
      </c>
      <c r="AD3427">
        <v>28.54</v>
      </c>
      <c r="AE3427">
        <v>542</v>
      </c>
      <c r="AF3427">
        <v>20</v>
      </c>
      <c r="AG3427">
        <v>181</v>
      </c>
      <c r="AH3427">
        <v>129</v>
      </c>
      <c r="AI3427">
        <v>3.69</v>
      </c>
      <c r="AJ3427">
        <v>33.39</v>
      </c>
      <c r="AK3427">
        <v>23.8</v>
      </c>
      <c r="AL3427">
        <v>-20.157925749999951</v>
      </c>
      <c r="AM3427">
        <v>-44.900484707799812</v>
      </c>
      <c r="AN3427">
        <v>-20.157925749999951</v>
      </c>
      <c r="AO3427">
        <v>-44.900484707799812</v>
      </c>
      <c r="AP3427">
        <v>-20.157906000000001</v>
      </c>
      <c r="AQ3427">
        <v>-44.900458999999998</v>
      </c>
      <c r="AR3427">
        <v>3.4714515960382508</v>
      </c>
      <c r="AS3427" t="s">
        <v>65</v>
      </c>
      <c r="AT3427">
        <v>1</v>
      </c>
      <c r="AU3427" t="s">
        <v>837</v>
      </c>
      <c r="AV3427" t="s">
        <v>838</v>
      </c>
      <c r="AW3427" t="s">
        <v>60</v>
      </c>
      <c r="AX3427" t="s">
        <v>68</v>
      </c>
      <c r="AY3427" t="s">
        <v>69</v>
      </c>
      <c r="AZ3427" t="b">
        <v>1</v>
      </c>
    </row>
    <row r="3428" spans="1:52" x14ac:dyDescent="0.3">
      <c r="A3428" t="s">
        <v>52</v>
      </c>
      <c r="B3428" t="s">
        <v>53</v>
      </c>
      <c r="C3428" t="s">
        <v>54</v>
      </c>
      <c r="D3428" t="s">
        <v>55</v>
      </c>
      <c r="E3428" t="s">
        <v>2200</v>
      </c>
      <c r="F3428" t="s">
        <v>190</v>
      </c>
      <c r="G3428" t="s">
        <v>386</v>
      </c>
      <c r="H3428" t="s">
        <v>387</v>
      </c>
      <c r="I3428" t="s">
        <v>387</v>
      </c>
      <c r="J3428" t="s">
        <v>60</v>
      </c>
      <c r="K3428" t="s">
        <v>388</v>
      </c>
      <c r="L3428" t="s">
        <v>62</v>
      </c>
      <c r="M3428" t="s">
        <v>388</v>
      </c>
      <c r="N3428" t="s">
        <v>389</v>
      </c>
      <c r="O3428" t="s">
        <v>357</v>
      </c>
      <c r="P3428">
        <v>-20.161041999999998</v>
      </c>
      <c r="Q3428">
        <v>-44.901242000000003</v>
      </c>
      <c r="R3428" s="2" t="str">
        <f>HYPERLINK("https://www.google.com/maps?q=-20.1610420,-44.9012420","Abrir no Google Maps")</f>
        <v>Abrir no Google Maps</v>
      </c>
      <c r="S3428">
        <v>3</v>
      </c>
      <c r="T3428">
        <v>440.22183232279212</v>
      </c>
      <c r="U3428">
        <v>3</v>
      </c>
      <c r="V3428">
        <v>0.4698334698334698</v>
      </c>
      <c r="W3428">
        <v>1</v>
      </c>
      <c r="X3428">
        <v>0.4698334698334698</v>
      </c>
      <c r="Y3428">
        <v>729</v>
      </c>
      <c r="Z3428">
        <v>398.48306829302379</v>
      </c>
      <c r="AA3428">
        <v>198</v>
      </c>
      <c r="AB3428">
        <v>332</v>
      </c>
      <c r="AC3428">
        <v>536</v>
      </c>
      <c r="AD3428">
        <v>28.54</v>
      </c>
      <c r="AE3428">
        <v>542</v>
      </c>
      <c r="AF3428">
        <v>20</v>
      </c>
      <c r="AG3428">
        <v>181</v>
      </c>
      <c r="AH3428">
        <v>129</v>
      </c>
      <c r="AI3428">
        <v>3.69</v>
      </c>
      <c r="AJ3428">
        <v>33.39</v>
      </c>
      <c r="AK3428">
        <v>23.8</v>
      </c>
      <c r="AL3428">
        <v>-20.16176629999995</v>
      </c>
      <c r="AM3428">
        <v>-44.901582787827898</v>
      </c>
      <c r="AN3428">
        <v>-20.16176629999995</v>
      </c>
      <c r="AO3428">
        <v>-44.901582787827898</v>
      </c>
      <c r="AP3428">
        <v>-20.161041999999998</v>
      </c>
      <c r="AQ3428">
        <v>-44.901242000000003</v>
      </c>
      <c r="AR3428">
        <v>88.143369157892835</v>
      </c>
      <c r="AS3428" t="s">
        <v>65</v>
      </c>
      <c r="AT3428">
        <v>1</v>
      </c>
      <c r="AU3428" t="s">
        <v>390</v>
      </c>
      <c r="AV3428" t="s">
        <v>391</v>
      </c>
      <c r="AW3428" t="s">
        <v>60</v>
      </c>
      <c r="AX3428" t="s">
        <v>68</v>
      </c>
      <c r="AY3428" t="s">
        <v>69</v>
      </c>
      <c r="AZ3428" t="b">
        <v>1</v>
      </c>
    </row>
    <row r="3429" spans="1:52" x14ac:dyDescent="0.3">
      <c r="A3429" t="s">
        <v>52</v>
      </c>
      <c r="B3429" t="s">
        <v>53</v>
      </c>
      <c r="C3429" t="s">
        <v>54</v>
      </c>
      <c r="D3429" t="s">
        <v>55</v>
      </c>
      <c r="E3429" t="s">
        <v>2200</v>
      </c>
      <c r="F3429" t="s">
        <v>190</v>
      </c>
      <c r="G3429" t="s">
        <v>392</v>
      </c>
      <c r="H3429" t="s">
        <v>393</v>
      </c>
      <c r="I3429" t="s">
        <v>393</v>
      </c>
      <c r="J3429" t="s">
        <v>60</v>
      </c>
      <c r="K3429" t="s">
        <v>388</v>
      </c>
      <c r="L3429" t="s">
        <v>62</v>
      </c>
      <c r="M3429" t="s">
        <v>388</v>
      </c>
      <c r="N3429" t="s">
        <v>394</v>
      </c>
      <c r="O3429" t="s">
        <v>395</v>
      </c>
      <c r="P3429">
        <v>-20.158066999999999</v>
      </c>
      <c r="Q3429">
        <v>-44.908164999999997</v>
      </c>
      <c r="R3429" s="2" t="str">
        <f>HYPERLINK("https://www.google.com/maps?q=-20.1580670,-44.9081650","Abrir no Google Maps")</f>
        <v>Abrir no Google Maps</v>
      </c>
      <c r="S3429">
        <v>3</v>
      </c>
      <c r="T3429">
        <v>666.74434317993041</v>
      </c>
      <c r="U3429">
        <v>3</v>
      </c>
      <c r="V3429">
        <v>0.47011458124465971</v>
      </c>
      <c r="W3429">
        <v>1</v>
      </c>
      <c r="X3429">
        <v>0.47011458124465971</v>
      </c>
      <c r="Y3429">
        <v>729</v>
      </c>
      <c r="Z3429">
        <v>612.4323328215396</v>
      </c>
      <c r="AA3429">
        <v>198</v>
      </c>
      <c r="AB3429">
        <v>332</v>
      </c>
      <c r="AC3429">
        <v>536</v>
      </c>
      <c r="AD3429">
        <v>28.54</v>
      </c>
      <c r="AE3429">
        <v>542</v>
      </c>
      <c r="AF3429">
        <v>20</v>
      </c>
      <c r="AG3429">
        <v>181</v>
      </c>
      <c r="AH3429">
        <v>129</v>
      </c>
      <c r="AI3429">
        <v>3.69</v>
      </c>
      <c r="AJ3429">
        <v>33.39</v>
      </c>
      <c r="AK3429">
        <v>23.8</v>
      </c>
      <c r="AL3429">
        <v>-20.158151449999959</v>
      </c>
      <c r="AM3429">
        <v>-44.908107718360938</v>
      </c>
      <c r="AN3429">
        <v>-20.158151449999959</v>
      </c>
      <c r="AO3429">
        <v>-44.908107718360938</v>
      </c>
      <c r="AP3429">
        <v>-20.158066999999999</v>
      </c>
      <c r="AQ3429">
        <v>-44.908164999999997</v>
      </c>
      <c r="AR3429">
        <v>11.14497345894574</v>
      </c>
      <c r="AS3429" t="s">
        <v>65</v>
      </c>
      <c r="AT3429">
        <v>1</v>
      </c>
      <c r="AU3429" t="s">
        <v>396</v>
      </c>
      <c r="AV3429" t="s">
        <v>397</v>
      </c>
      <c r="AW3429" t="s">
        <v>60</v>
      </c>
      <c r="AX3429" t="s">
        <v>68</v>
      </c>
      <c r="AY3429" t="s">
        <v>69</v>
      </c>
      <c r="AZ3429" t="b">
        <v>1</v>
      </c>
    </row>
    <row r="3430" spans="1:52" x14ac:dyDescent="0.3">
      <c r="A3430" t="s">
        <v>52</v>
      </c>
      <c r="B3430" t="s">
        <v>53</v>
      </c>
      <c r="C3430" t="s">
        <v>54</v>
      </c>
      <c r="D3430" t="s">
        <v>55</v>
      </c>
      <c r="E3430" t="s">
        <v>2200</v>
      </c>
      <c r="F3430" t="s">
        <v>190</v>
      </c>
      <c r="G3430" t="s">
        <v>845</v>
      </c>
      <c r="H3430" t="s">
        <v>846</v>
      </c>
      <c r="I3430" t="s">
        <v>846</v>
      </c>
      <c r="J3430" t="s">
        <v>60</v>
      </c>
      <c r="K3430" t="s">
        <v>424</v>
      </c>
      <c r="L3430" t="s">
        <v>62</v>
      </c>
      <c r="M3430" t="s">
        <v>424</v>
      </c>
      <c r="N3430" t="s">
        <v>847</v>
      </c>
      <c r="O3430" t="s">
        <v>848</v>
      </c>
      <c r="P3430">
        <v>-20.175523999999999</v>
      </c>
      <c r="Q3430">
        <v>-44.918016999999999</v>
      </c>
      <c r="R3430" s="2" t="str">
        <f>HYPERLINK("https://www.google.com/maps?q=-20.1755240,-44.9180170","Abrir no Google Maps")</f>
        <v>Abrir no Google Maps</v>
      </c>
      <c r="S3430">
        <v>3</v>
      </c>
      <c r="T3430">
        <v>833.59191671824021</v>
      </c>
      <c r="U3430">
        <v>3</v>
      </c>
      <c r="V3430">
        <v>0.53525249679095832</v>
      </c>
      <c r="W3430">
        <v>0.85</v>
      </c>
      <c r="X3430">
        <v>0.45496462227231449</v>
      </c>
      <c r="Y3430">
        <v>723</v>
      </c>
      <c r="Z3430">
        <v>701.05790658871581</v>
      </c>
      <c r="AA3430">
        <v>198</v>
      </c>
      <c r="AB3430">
        <v>332</v>
      </c>
      <c r="AC3430">
        <v>536</v>
      </c>
      <c r="AD3430">
        <v>28.54</v>
      </c>
      <c r="AE3430">
        <v>542</v>
      </c>
      <c r="AF3430">
        <v>20</v>
      </c>
      <c r="AG3430">
        <v>181</v>
      </c>
      <c r="AH3430">
        <v>129</v>
      </c>
      <c r="AI3430">
        <v>3.69</v>
      </c>
      <c r="AJ3430">
        <v>33.39</v>
      </c>
      <c r="AK3430">
        <v>23.8</v>
      </c>
      <c r="AL3430">
        <v>-20.17533859999995</v>
      </c>
      <c r="AM3430">
        <v>-44.917689627873088</v>
      </c>
      <c r="AN3430">
        <v>-20.17533859999995</v>
      </c>
      <c r="AO3430">
        <v>-44.917689627873088</v>
      </c>
      <c r="AP3430">
        <v>-20.175523999999999</v>
      </c>
      <c r="AQ3430">
        <v>-44.918016999999999</v>
      </c>
      <c r="AR3430">
        <v>39.950898228213873</v>
      </c>
      <c r="AS3430" t="s">
        <v>65</v>
      </c>
      <c r="AT3430">
        <v>1</v>
      </c>
      <c r="AU3430" t="s">
        <v>849</v>
      </c>
      <c r="AV3430" t="s">
        <v>850</v>
      </c>
      <c r="AW3430" t="s">
        <v>60</v>
      </c>
      <c r="AX3430" t="s">
        <v>68</v>
      </c>
      <c r="AY3430" t="s">
        <v>69</v>
      </c>
      <c r="AZ3430" t="b">
        <v>1</v>
      </c>
    </row>
    <row r="3431" spans="1:52" x14ac:dyDescent="0.3">
      <c r="A3431" t="s">
        <v>52</v>
      </c>
      <c r="B3431" t="s">
        <v>53</v>
      </c>
      <c r="C3431" t="s">
        <v>54</v>
      </c>
      <c r="D3431" t="s">
        <v>55</v>
      </c>
      <c r="E3431" t="s">
        <v>2200</v>
      </c>
      <c r="F3431" t="s">
        <v>190</v>
      </c>
      <c r="G3431" t="s">
        <v>1347</v>
      </c>
      <c r="H3431" t="s">
        <v>1348</v>
      </c>
      <c r="I3431" t="s">
        <v>1348</v>
      </c>
      <c r="J3431" t="s">
        <v>60</v>
      </c>
      <c r="K3431" t="s">
        <v>1349</v>
      </c>
      <c r="L3431" t="s">
        <v>62</v>
      </c>
      <c r="M3431" t="s">
        <v>1349</v>
      </c>
      <c r="N3431" t="s">
        <v>1350</v>
      </c>
      <c r="O3431" t="s">
        <v>1351</v>
      </c>
      <c r="P3431">
        <v>-20.140426999999999</v>
      </c>
      <c r="Q3431">
        <v>-44.905327999999997</v>
      </c>
      <c r="R3431" s="2" t="str">
        <f>HYPERLINK("https://www.google.com/maps?q=-20.1404270,-44.9053280","Abrir no Google Maps")</f>
        <v>Abrir no Google Maps</v>
      </c>
      <c r="S3431">
        <v>3</v>
      </c>
      <c r="T3431">
        <v>359.5810968231857</v>
      </c>
      <c r="U3431">
        <v>3</v>
      </c>
      <c r="V3431">
        <v>0.51861749809510993</v>
      </c>
      <c r="W3431">
        <v>0.85</v>
      </c>
      <c r="X3431">
        <v>0.44082487338084342</v>
      </c>
      <c r="Y3431">
        <v>581</v>
      </c>
      <c r="Z3431">
        <v>292.370097058873</v>
      </c>
      <c r="AA3431">
        <v>198</v>
      </c>
      <c r="AB3431">
        <v>332</v>
      </c>
      <c r="AC3431">
        <v>536</v>
      </c>
      <c r="AD3431">
        <v>28.54</v>
      </c>
      <c r="AE3431">
        <v>542</v>
      </c>
      <c r="AF3431">
        <v>20</v>
      </c>
      <c r="AG3431">
        <v>181</v>
      </c>
      <c r="AH3431">
        <v>129</v>
      </c>
      <c r="AI3431">
        <v>3.69</v>
      </c>
      <c r="AJ3431">
        <v>33.39</v>
      </c>
      <c r="AK3431">
        <v>23.8</v>
      </c>
      <c r="AL3431">
        <v>-20.140465449999969</v>
      </c>
      <c r="AM3431">
        <v>-44.905317129037229</v>
      </c>
      <c r="AN3431">
        <v>-20.140465449999969</v>
      </c>
      <c r="AO3431">
        <v>-44.905317129037229</v>
      </c>
      <c r="AP3431">
        <v>-20.140426999999999</v>
      </c>
      <c r="AQ3431">
        <v>-44.905327999999997</v>
      </c>
      <c r="AR3431">
        <v>4.4284788644958706</v>
      </c>
      <c r="AS3431" t="s">
        <v>65</v>
      </c>
      <c r="AT3431">
        <v>1</v>
      </c>
      <c r="AU3431" t="s">
        <v>1352</v>
      </c>
      <c r="AV3431" t="s">
        <v>1353</v>
      </c>
      <c r="AW3431" t="s">
        <v>60</v>
      </c>
      <c r="AX3431" t="s">
        <v>68</v>
      </c>
      <c r="AY3431" t="s">
        <v>69</v>
      </c>
      <c r="AZ3431" t="b">
        <v>1</v>
      </c>
    </row>
    <row r="3432" spans="1:52" x14ac:dyDescent="0.3">
      <c r="A3432" t="s">
        <v>52</v>
      </c>
      <c r="B3432" t="s">
        <v>53</v>
      </c>
      <c r="C3432" t="s">
        <v>54</v>
      </c>
      <c r="D3432" t="s">
        <v>55</v>
      </c>
      <c r="E3432" t="s">
        <v>2200</v>
      </c>
      <c r="F3432" t="s">
        <v>190</v>
      </c>
      <c r="G3432" t="s">
        <v>858</v>
      </c>
      <c r="H3432" t="s">
        <v>859</v>
      </c>
      <c r="I3432" t="s">
        <v>859</v>
      </c>
      <c r="J3432" t="s">
        <v>60</v>
      </c>
      <c r="K3432" t="s">
        <v>462</v>
      </c>
      <c r="L3432" t="s">
        <v>62</v>
      </c>
      <c r="M3432" t="s">
        <v>462</v>
      </c>
      <c r="N3432" t="s">
        <v>860</v>
      </c>
      <c r="O3432" t="s">
        <v>861</v>
      </c>
      <c r="P3432">
        <v>-20.139693999999999</v>
      </c>
      <c r="Q3432">
        <v>-44.911256000000002</v>
      </c>
      <c r="R3432" s="2" t="str">
        <f>HYPERLINK("https://www.google.com/maps?q=-20.1396940,-44.9112560","Abrir no Google Maps")</f>
        <v>Abrir no Google Maps</v>
      </c>
      <c r="S3432">
        <v>3</v>
      </c>
      <c r="T3432">
        <v>380.48036838042862</v>
      </c>
      <c r="U3432">
        <v>3</v>
      </c>
      <c r="V3432">
        <v>0.54736620311841555</v>
      </c>
      <c r="W3432">
        <v>0.85</v>
      </c>
      <c r="X3432">
        <v>0.4652612726506532</v>
      </c>
      <c r="Y3432">
        <v>581</v>
      </c>
      <c r="Z3432">
        <v>374.61146000000178</v>
      </c>
      <c r="AA3432">
        <v>198</v>
      </c>
      <c r="AB3432">
        <v>332</v>
      </c>
      <c r="AC3432">
        <v>536</v>
      </c>
      <c r="AD3432">
        <v>28.54</v>
      </c>
      <c r="AE3432">
        <v>542</v>
      </c>
      <c r="AF3432">
        <v>20</v>
      </c>
      <c r="AG3432">
        <v>181</v>
      </c>
      <c r="AH3432">
        <v>129</v>
      </c>
      <c r="AI3432">
        <v>3.69</v>
      </c>
      <c r="AJ3432">
        <v>33.39</v>
      </c>
      <c r="AK3432">
        <v>23.8</v>
      </c>
      <c r="AL3432">
        <v>-20.139768699999959</v>
      </c>
      <c r="AM3432">
        <v>-44.911265351587588</v>
      </c>
      <c r="AN3432">
        <v>-20.139768699999959</v>
      </c>
      <c r="AO3432">
        <v>-44.911265351587588</v>
      </c>
      <c r="AP3432">
        <v>-20.139693999999999</v>
      </c>
      <c r="AQ3432">
        <v>-44.911256000000002</v>
      </c>
      <c r="AR3432">
        <v>8.3728438666521061</v>
      </c>
      <c r="AS3432" t="s">
        <v>65</v>
      </c>
      <c r="AT3432">
        <v>1</v>
      </c>
      <c r="AU3432" t="s">
        <v>862</v>
      </c>
      <c r="AV3432" t="s">
        <v>863</v>
      </c>
      <c r="AW3432" t="s">
        <v>60</v>
      </c>
      <c r="AX3432" t="s">
        <v>68</v>
      </c>
      <c r="AY3432" t="s">
        <v>69</v>
      </c>
      <c r="AZ3432" t="b">
        <v>1</v>
      </c>
    </row>
    <row r="3433" spans="1:52" x14ac:dyDescent="0.3">
      <c r="A3433" t="s">
        <v>52</v>
      </c>
      <c r="B3433" t="s">
        <v>53</v>
      </c>
      <c r="C3433" t="s">
        <v>54</v>
      </c>
      <c r="D3433" t="s">
        <v>55</v>
      </c>
      <c r="E3433" t="s">
        <v>2200</v>
      </c>
      <c r="F3433" t="s">
        <v>190</v>
      </c>
      <c r="G3433" t="s">
        <v>864</v>
      </c>
      <c r="H3433" t="s">
        <v>865</v>
      </c>
      <c r="I3433" t="s">
        <v>865</v>
      </c>
      <c r="J3433" t="s">
        <v>60</v>
      </c>
      <c r="K3433" t="s">
        <v>486</v>
      </c>
      <c r="L3433" t="s">
        <v>62</v>
      </c>
      <c r="M3433" t="s">
        <v>486</v>
      </c>
      <c r="N3433" t="s">
        <v>866</v>
      </c>
      <c r="O3433" t="s">
        <v>867</v>
      </c>
      <c r="P3433">
        <v>-20.170919000000001</v>
      </c>
      <c r="Q3433">
        <v>-44.905451999999997</v>
      </c>
      <c r="R3433" s="2" t="str">
        <f>HYPERLINK("https://www.google.com/maps?q=-20.1709190,-44.9054520","Abrir no Google Maps")</f>
        <v>Abrir no Google Maps</v>
      </c>
      <c r="S3433">
        <v>3</v>
      </c>
      <c r="T3433">
        <v>0</v>
      </c>
      <c r="U3433">
        <v>3</v>
      </c>
      <c r="V3433">
        <v>0.4626966330023099</v>
      </c>
      <c r="W3433">
        <v>1</v>
      </c>
      <c r="X3433">
        <v>0.4626966330023099</v>
      </c>
      <c r="Y3433">
        <v>578</v>
      </c>
      <c r="Z3433">
        <v>205.34598855748419</v>
      </c>
      <c r="AA3433">
        <v>198</v>
      </c>
      <c r="AB3433">
        <v>332</v>
      </c>
      <c r="AC3433">
        <v>536</v>
      </c>
      <c r="AD3433">
        <v>28.54</v>
      </c>
      <c r="AE3433">
        <v>542</v>
      </c>
      <c r="AF3433">
        <v>20</v>
      </c>
      <c r="AG3433">
        <v>181</v>
      </c>
      <c r="AH3433">
        <v>129</v>
      </c>
      <c r="AI3433">
        <v>3.69</v>
      </c>
      <c r="AJ3433">
        <v>33.39</v>
      </c>
      <c r="AK3433">
        <v>23.8</v>
      </c>
      <c r="AL3433">
        <v>-20.170854399999939</v>
      </c>
      <c r="AM3433">
        <v>-44.905524839633358</v>
      </c>
      <c r="AN3433">
        <v>-20.170854399999939</v>
      </c>
      <c r="AO3433">
        <v>-44.905524839633358</v>
      </c>
      <c r="AP3433">
        <v>-20.170919000000001</v>
      </c>
      <c r="AQ3433">
        <v>-44.905451999999997</v>
      </c>
      <c r="AR3433">
        <v>10.471140355179269</v>
      </c>
      <c r="AS3433" t="s">
        <v>65</v>
      </c>
      <c r="AT3433">
        <v>1</v>
      </c>
      <c r="AU3433" t="s">
        <v>868</v>
      </c>
      <c r="AV3433" t="s">
        <v>869</v>
      </c>
      <c r="AW3433" t="s">
        <v>60</v>
      </c>
      <c r="AX3433" t="s">
        <v>68</v>
      </c>
      <c r="AY3433" t="s">
        <v>69</v>
      </c>
      <c r="AZ3433" t="b">
        <v>1</v>
      </c>
    </row>
    <row r="3434" spans="1:52" x14ac:dyDescent="0.3">
      <c r="A3434" t="s">
        <v>52</v>
      </c>
      <c r="B3434" t="s">
        <v>53</v>
      </c>
      <c r="C3434" t="s">
        <v>54</v>
      </c>
      <c r="D3434" t="s">
        <v>55</v>
      </c>
      <c r="E3434" t="s">
        <v>2200</v>
      </c>
      <c r="F3434" t="s">
        <v>190</v>
      </c>
      <c r="G3434" t="s">
        <v>473</v>
      </c>
      <c r="H3434" t="s">
        <v>474</v>
      </c>
      <c r="I3434" t="s">
        <v>474</v>
      </c>
      <c r="J3434" t="s">
        <v>60</v>
      </c>
      <c r="K3434" t="s">
        <v>475</v>
      </c>
      <c r="L3434" t="s">
        <v>62</v>
      </c>
      <c r="M3434" t="s">
        <v>475</v>
      </c>
      <c r="N3434" t="s">
        <v>406</v>
      </c>
      <c r="O3434" t="s">
        <v>476</v>
      </c>
      <c r="P3434">
        <v>-20.177902</v>
      </c>
      <c r="Q3434">
        <v>-44.908504000000001</v>
      </c>
      <c r="R3434" s="2" t="str">
        <f>HYPERLINK("https://www.google.com/maps?q=-20.1779020,-44.9085040","Abrir no Google Maps")</f>
        <v>Abrir no Google Maps</v>
      </c>
      <c r="S3434">
        <v>3</v>
      </c>
      <c r="T3434">
        <v>656.92307673247149</v>
      </c>
      <c r="U3434">
        <v>3</v>
      </c>
      <c r="V3434">
        <v>0.4554171173119908</v>
      </c>
      <c r="W3434">
        <v>1</v>
      </c>
      <c r="X3434">
        <v>0.4554171173119908</v>
      </c>
      <c r="Y3434">
        <v>578</v>
      </c>
      <c r="Z3434">
        <v>635.01982153722327</v>
      </c>
      <c r="AA3434">
        <v>198</v>
      </c>
      <c r="AB3434">
        <v>332</v>
      </c>
      <c r="AC3434">
        <v>536</v>
      </c>
      <c r="AD3434">
        <v>28.54</v>
      </c>
      <c r="AE3434">
        <v>542</v>
      </c>
      <c r="AF3434">
        <v>20</v>
      </c>
      <c r="AG3434">
        <v>181</v>
      </c>
      <c r="AH3434">
        <v>129</v>
      </c>
      <c r="AI3434">
        <v>3.69</v>
      </c>
      <c r="AJ3434">
        <v>33.39</v>
      </c>
      <c r="AK3434">
        <v>23.8</v>
      </c>
      <c r="AL3434">
        <v>-20.177800399999938</v>
      </c>
      <c r="AM3434">
        <v>-44.908361879701268</v>
      </c>
      <c r="AN3434">
        <v>-20.177800399999938</v>
      </c>
      <c r="AO3434">
        <v>-44.908361879701268</v>
      </c>
      <c r="AP3434">
        <v>-20.177902</v>
      </c>
      <c r="AQ3434">
        <v>-44.908504000000001</v>
      </c>
      <c r="AR3434">
        <v>18.666463141775541</v>
      </c>
      <c r="AS3434" t="s">
        <v>65</v>
      </c>
      <c r="AT3434">
        <v>1</v>
      </c>
      <c r="AU3434" t="s">
        <v>477</v>
      </c>
      <c r="AV3434" t="s">
        <v>478</v>
      </c>
      <c r="AW3434" t="s">
        <v>60</v>
      </c>
      <c r="AX3434" t="s">
        <v>68</v>
      </c>
      <c r="AY3434" t="s">
        <v>69</v>
      </c>
      <c r="AZ3434" t="b">
        <v>1</v>
      </c>
    </row>
    <row r="3435" spans="1:52" x14ac:dyDescent="0.3">
      <c r="A3435" t="s">
        <v>52</v>
      </c>
      <c r="B3435" t="s">
        <v>53</v>
      </c>
      <c r="C3435" t="s">
        <v>54</v>
      </c>
      <c r="D3435" t="s">
        <v>55</v>
      </c>
      <c r="E3435" t="s">
        <v>2200</v>
      </c>
      <c r="F3435" t="s">
        <v>190</v>
      </c>
      <c r="G3435" t="s">
        <v>484</v>
      </c>
      <c r="H3435" t="s">
        <v>485</v>
      </c>
      <c r="I3435" t="s">
        <v>485</v>
      </c>
      <c r="J3435" t="s">
        <v>60</v>
      </c>
      <c r="K3435" t="s">
        <v>486</v>
      </c>
      <c r="L3435" t="s">
        <v>62</v>
      </c>
      <c r="M3435" t="s">
        <v>486</v>
      </c>
      <c r="N3435" t="s">
        <v>487</v>
      </c>
      <c r="O3435" t="s">
        <v>488</v>
      </c>
      <c r="P3435">
        <v>-20.173000999999999</v>
      </c>
      <c r="Q3435">
        <v>-44.901876999999999</v>
      </c>
      <c r="R3435" s="2" t="str">
        <f>HYPERLINK("https://www.google.com/maps?q=-20.1730010,-44.9018770","Abrir no Google Maps")</f>
        <v>Abrir no Google Maps</v>
      </c>
      <c r="S3435">
        <v>3</v>
      </c>
      <c r="T3435">
        <v>437.59695450783011</v>
      </c>
      <c r="U3435">
        <v>3</v>
      </c>
      <c r="V3435">
        <v>0.4653505546362689</v>
      </c>
      <c r="W3435">
        <v>1</v>
      </c>
      <c r="X3435">
        <v>0.4653505546362689</v>
      </c>
      <c r="Y3435">
        <v>578</v>
      </c>
      <c r="Z3435">
        <v>440.53629183653243</v>
      </c>
      <c r="AA3435">
        <v>198</v>
      </c>
      <c r="AB3435">
        <v>332</v>
      </c>
      <c r="AC3435">
        <v>536</v>
      </c>
      <c r="AD3435">
        <v>28.54</v>
      </c>
      <c r="AE3435">
        <v>542</v>
      </c>
      <c r="AF3435">
        <v>20</v>
      </c>
      <c r="AG3435">
        <v>181</v>
      </c>
      <c r="AH3435">
        <v>129</v>
      </c>
      <c r="AI3435">
        <v>3.69</v>
      </c>
      <c r="AJ3435">
        <v>33.39</v>
      </c>
      <c r="AK3435">
        <v>23.8</v>
      </c>
      <c r="AL3435">
        <v>-20.173065299999969</v>
      </c>
      <c r="AM3435">
        <v>-44.902052686008687</v>
      </c>
      <c r="AN3435">
        <v>-20.173065299999969</v>
      </c>
      <c r="AO3435">
        <v>-44.902052686008687</v>
      </c>
      <c r="AP3435">
        <v>-20.173000999999999</v>
      </c>
      <c r="AQ3435">
        <v>-44.901876999999999</v>
      </c>
      <c r="AR3435">
        <v>19.703745070768829</v>
      </c>
      <c r="AS3435" t="s">
        <v>65</v>
      </c>
      <c r="AT3435">
        <v>1</v>
      </c>
      <c r="AU3435" t="s">
        <v>489</v>
      </c>
      <c r="AV3435" t="s">
        <v>490</v>
      </c>
      <c r="AW3435" t="s">
        <v>60</v>
      </c>
      <c r="AX3435" t="s">
        <v>68</v>
      </c>
      <c r="AY3435" t="s">
        <v>69</v>
      </c>
      <c r="AZ3435" t="b">
        <v>1</v>
      </c>
    </row>
    <row r="3436" spans="1:52" x14ac:dyDescent="0.3">
      <c r="A3436" t="s">
        <v>52</v>
      </c>
      <c r="B3436" t="s">
        <v>53</v>
      </c>
      <c r="C3436" t="s">
        <v>54</v>
      </c>
      <c r="D3436" t="s">
        <v>55</v>
      </c>
      <c r="E3436" t="s">
        <v>2200</v>
      </c>
      <c r="F3436" t="s">
        <v>190</v>
      </c>
      <c r="G3436" t="s">
        <v>491</v>
      </c>
      <c r="H3436" t="s">
        <v>492</v>
      </c>
      <c r="I3436" t="s">
        <v>492</v>
      </c>
      <c r="J3436" t="s">
        <v>60</v>
      </c>
      <c r="K3436" t="s">
        <v>475</v>
      </c>
      <c r="L3436" t="s">
        <v>62</v>
      </c>
      <c r="M3436" t="s">
        <v>475</v>
      </c>
      <c r="N3436" t="s">
        <v>493</v>
      </c>
      <c r="O3436" t="s">
        <v>494</v>
      </c>
      <c r="P3436">
        <v>-20.175250999999999</v>
      </c>
      <c r="Q3436">
        <v>-44.897357</v>
      </c>
      <c r="R3436" s="2" t="str">
        <f>HYPERLINK("https://www.google.com/maps?q=-20.1752510,-44.8973570","Abrir no Google Maps")</f>
        <v>Abrir no Google Maps</v>
      </c>
      <c r="S3436">
        <v>3</v>
      </c>
      <c r="T3436">
        <v>992.29631678149951</v>
      </c>
      <c r="U3436">
        <v>3</v>
      </c>
      <c r="V3436">
        <v>0.45421413964358742</v>
      </c>
      <c r="W3436">
        <v>1</v>
      </c>
      <c r="X3436">
        <v>0.45421413964358742</v>
      </c>
      <c r="Y3436">
        <v>578</v>
      </c>
      <c r="Z3436">
        <v>1008.5871064168319</v>
      </c>
      <c r="AA3436">
        <v>198</v>
      </c>
      <c r="AB3436">
        <v>332</v>
      </c>
      <c r="AC3436">
        <v>536</v>
      </c>
      <c r="AD3436">
        <v>28.54</v>
      </c>
      <c r="AE3436">
        <v>542</v>
      </c>
      <c r="AF3436">
        <v>20</v>
      </c>
      <c r="AG3436">
        <v>181</v>
      </c>
      <c r="AH3436">
        <v>129</v>
      </c>
      <c r="AI3436">
        <v>3.69</v>
      </c>
      <c r="AJ3436">
        <v>33.39</v>
      </c>
      <c r="AK3436">
        <v>23.8</v>
      </c>
      <c r="AL3436">
        <v>-20.175290599999951</v>
      </c>
      <c r="AM3436">
        <v>-44.897271931010721</v>
      </c>
      <c r="AN3436">
        <v>-20.175290599999951</v>
      </c>
      <c r="AO3436">
        <v>-44.897271931010721</v>
      </c>
      <c r="AP3436">
        <v>-20.175250999999999</v>
      </c>
      <c r="AQ3436">
        <v>-44.897357</v>
      </c>
      <c r="AR3436">
        <v>9.921899108467926</v>
      </c>
      <c r="AS3436" t="s">
        <v>65</v>
      </c>
      <c r="AT3436">
        <v>1</v>
      </c>
      <c r="AU3436" t="s">
        <v>495</v>
      </c>
      <c r="AV3436" t="s">
        <v>496</v>
      </c>
      <c r="AW3436" t="s">
        <v>60</v>
      </c>
      <c r="AX3436" t="s">
        <v>68</v>
      </c>
      <c r="AY3436" t="s">
        <v>69</v>
      </c>
      <c r="AZ3436" t="b">
        <v>1</v>
      </c>
    </row>
    <row r="3437" spans="1:52" x14ac:dyDescent="0.3">
      <c r="A3437" t="s">
        <v>52</v>
      </c>
      <c r="B3437" t="s">
        <v>53</v>
      </c>
      <c r="C3437" t="s">
        <v>54</v>
      </c>
      <c r="D3437" t="s">
        <v>55</v>
      </c>
      <c r="E3437" t="s">
        <v>2200</v>
      </c>
      <c r="F3437" t="s">
        <v>190</v>
      </c>
      <c r="G3437" t="s">
        <v>497</v>
      </c>
      <c r="H3437" t="s">
        <v>875</v>
      </c>
      <c r="I3437" t="s">
        <v>875</v>
      </c>
      <c r="J3437" t="s">
        <v>60</v>
      </c>
      <c r="K3437" t="s">
        <v>475</v>
      </c>
      <c r="L3437" t="s">
        <v>62</v>
      </c>
      <c r="M3437" t="s">
        <v>475</v>
      </c>
      <c r="N3437" t="s">
        <v>499</v>
      </c>
      <c r="O3437" t="s">
        <v>876</v>
      </c>
      <c r="P3437">
        <v>-20.177212999999998</v>
      </c>
      <c r="Q3437">
        <v>-44.904026999999999</v>
      </c>
      <c r="R3437" s="2" t="str">
        <f>HYPERLINK("https://www.google.com/maps?q=-20.1772130,-44.9040270","Abrir no Google Maps")</f>
        <v>Abrir no Google Maps</v>
      </c>
      <c r="S3437">
        <v>3</v>
      </c>
      <c r="T3437">
        <v>706.4159561113795</v>
      </c>
      <c r="U3437">
        <v>3</v>
      </c>
      <c r="V3437">
        <v>0.44508868098897342</v>
      </c>
      <c r="W3437">
        <v>1</v>
      </c>
      <c r="X3437">
        <v>0.44508868098897342</v>
      </c>
      <c r="Y3437">
        <v>578</v>
      </c>
      <c r="Z3437">
        <v>588.7160518608398</v>
      </c>
      <c r="AA3437">
        <v>198</v>
      </c>
      <c r="AB3437">
        <v>332</v>
      </c>
      <c r="AC3437">
        <v>536</v>
      </c>
      <c r="AD3437">
        <v>28.54</v>
      </c>
      <c r="AE3437">
        <v>542</v>
      </c>
      <c r="AF3437">
        <v>20</v>
      </c>
      <c r="AG3437">
        <v>181</v>
      </c>
      <c r="AH3437">
        <v>129</v>
      </c>
      <c r="AI3437">
        <v>3.69</v>
      </c>
      <c r="AJ3437">
        <v>33.39</v>
      </c>
      <c r="AK3437">
        <v>23.8</v>
      </c>
      <c r="AL3437">
        <v>-20.177090199999949</v>
      </c>
      <c r="AM3437">
        <v>-44.904078820930181</v>
      </c>
      <c r="AN3437">
        <v>-20.177090199999949</v>
      </c>
      <c r="AO3437">
        <v>-44.904078820930181</v>
      </c>
      <c r="AP3437">
        <v>-20.177212999999998</v>
      </c>
      <c r="AQ3437">
        <v>-44.904026999999999</v>
      </c>
      <c r="AR3437">
        <v>14.7034129632295</v>
      </c>
      <c r="AS3437" t="s">
        <v>65</v>
      </c>
      <c r="AT3437">
        <v>1</v>
      </c>
      <c r="AU3437" t="s">
        <v>877</v>
      </c>
      <c r="AV3437" t="s">
        <v>878</v>
      </c>
      <c r="AW3437" t="s">
        <v>60</v>
      </c>
      <c r="AX3437" t="s">
        <v>68</v>
      </c>
      <c r="AY3437" t="s">
        <v>69</v>
      </c>
      <c r="AZ3437" t="b">
        <v>1</v>
      </c>
    </row>
    <row r="3438" spans="1:52" x14ac:dyDescent="0.3">
      <c r="A3438" t="s">
        <v>52</v>
      </c>
      <c r="B3438" t="s">
        <v>53</v>
      </c>
      <c r="C3438" t="s">
        <v>54</v>
      </c>
      <c r="D3438" t="s">
        <v>55</v>
      </c>
      <c r="E3438" t="s">
        <v>2200</v>
      </c>
      <c r="F3438" t="s">
        <v>190</v>
      </c>
      <c r="G3438" t="s">
        <v>497</v>
      </c>
      <c r="H3438" t="s">
        <v>498</v>
      </c>
      <c r="I3438" t="s">
        <v>498</v>
      </c>
      <c r="J3438" t="s">
        <v>60</v>
      </c>
      <c r="K3438" t="s">
        <v>475</v>
      </c>
      <c r="L3438" t="s">
        <v>62</v>
      </c>
      <c r="M3438" t="s">
        <v>475</v>
      </c>
      <c r="N3438" t="s">
        <v>499</v>
      </c>
      <c r="O3438" t="s">
        <v>500</v>
      </c>
      <c r="P3438">
        <v>-20.175492999999999</v>
      </c>
      <c r="Q3438">
        <v>-44.900759000000001</v>
      </c>
      <c r="R3438" s="2" t="str">
        <f>HYPERLINK("https://www.google.com/maps?q=-20.1754930,-44.9007590","Abrir no Google Maps")</f>
        <v>Abrir no Google Maps</v>
      </c>
      <c r="S3438">
        <v>3</v>
      </c>
      <c r="T3438">
        <v>753.30732354720431</v>
      </c>
      <c r="U3438">
        <v>3</v>
      </c>
      <c r="V3438">
        <v>0.46229078885767788</v>
      </c>
      <c r="W3438">
        <v>1</v>
      </c>
      <c r="X3438">
        <v>0.46229078885767788</v>
      </c>
      <c r="Y3438">
        <v>578</v>
      </c>
      <c r="Z3438">
        <v>695.28903655431702</v>
      </c>
      <c r="AA3438">
        <v>198</v>
      </c>
      <c r="AB3438">
        <v>332</v>
      </c>
      <c r="AC3438">
        <v>536</v>
      </c>
      <c r="AD3438">
        <v>28.54</v>
      </c>
      <c r="AE3438">
        <v>542</v>
      </c>
      <c r="AF3438">
        <v>20</v>
      </c>
      <c r="AG3438">
        <v>181</v>
      </c>
      <c r="AH3438">
        <v>129</v>
      </c>
      <c r="AI3438">
        <v>3.69</v>
      </c>
      <c r="AJ3438">
        <v>33.39</v>
      </c>
      <c r="AK3438">
        <v>23.8</v>
      </c>
      <c r="AL3438">
        <v>-20.175825999999969</v>
      </c>
      <c r="AM3438">
        <v>-44.900600234646973</v>
      </c>
      <c r="AN3438">
        <v>-20.175825999999969</v>
      </c>
      <c r="AO3438">
        <v>-44.900600234646973</v>
      </c>
      <c r="AP3438">
        <v>-20.175492999999999</v>
      </c>
      <c r="AQ3438">
        <v>-44.900759000000001</v>
      </c>
      <c r="AR3438">
        <v>40.612267304645073</v>
      </c>
      <c r="AS3438" t="s">
        <v>65</v>
      </c>
      <c r="AT3438">
        <v>1</v>
      </c>
      <c r="AU3438" t="s">
        <v>501</v>
      </c>
      <c r="AV3438" t="s">
        <v>502</v>
      </c>
      <c r="AW3438" t="s">
        <v>60</v>
      </c>
      <c r="AX3438" t="s">
        <v>68</v>
      </c>
      <c r="AY3438" t="s">
        <v>69</v>
      </c>
      <c r="AZ3438" t="b">
        <v>1</v>
      </c>
    </row>
    <row r="3439" spans="1:52" x14ac:dyDescent="0.3">
      <c r="A3439" t="s">
        <v>52</v>
      </c>
      <c r="B3439" t="s">
        <v>53</v>
      </c>
      <c r="C3439" t="s">
        <v>54</v>
      </c>
      <c r="D3439" t="s">
        <v>55</v>
      </c>
      <c r="E3439" t="s">
        <v>2200</v>
      </c>
      <c r="F3439" t="s">
        <v>190</v>
      </c>
      <c r="G3439" t="s">
        <v>879</v>
      </c>
      <c r="H3439" t="s">
        <v>880</v>
      </c>
      <c r="I3439" t="s">
        <v>880</v>
      </c>
      <c r="J3439" t="s">
        <v>60</v>
      </c>
      <c r="K3439" t="s">
        <v>505</v>
      </c>
      <c r="L3439" t="s">
        <v>62</v>
      </c>
      <c r="M3439" t="s">
        <v>505</v>
      </c>
      <c r="N3439" t="s">
        <v>881</v>
      </c>
      <c r="O3439" t="s">
        <v>882</v>
      </c>
      <c r="P3439">
        <v>-20.133452999999999</v>
      </c>
      <c r="Q3439">
        <v>-44.890571999999999</v>
      </c>
      <c r="R3439" s="2" t="str">
        <f>HYPERLINK("https://www.google.com/maps?q=-20.1334530,-44.8905720","Abrir no Google Maps")</f>
        <v>Abrir no Google Maps</v>
      </c>
      <c r="S3439">
        <v>3</v>
      </c>
      <c r="T3439">
        <v>373.51332104809921</v>
      </c>
      <c r="U3439">
        <v>3</v>
      </c>
      <c r="V3439">
        <v>0.47068095838587631</v>
      </c>
      <c r="W3439">
        <v>1</v>
      </c>
      <c r="X3439">
        <v>0.47068095838587631</v>
      </c>
      <c r="Y3439">
        <v>564</v>
      </c>
      <c r="Z3439">
        <v>422.34693311930448</v>
      </c>
      <c r="AA3439">
        <v>198</v>
      </c>
      <c r="AB3439">
        <v>332</v>
      </c>
      <c r="AC3439">
        <v>536</v>
      </c>
      <c r="AD3439">
        <v>28.54</v>
      </c>
      <c r="AE3439">
        <v>542</v>
      </c>
      <c r="AF3439">
        <v>20</v>
      </c>
      <c r="AG3439">
        <v>181</v>
      </c>
      <c r="AH3439">
        <v>129</v>
      </c>
      <c r="AI3439">
        <v>3.69</v>
      </c>
      <c r="AJ3439">
        <v>33.39</v>
      </c>
      <c r="AK3439">
        <v>23.8</v>
      </c>
      <c r="AL3439">
        <v>-20.133421549999952</v>
      </c>
      <c r="AM3439">
        <v>-44.890623456009052</v>
      </c>
      <c r="AN3439">
        <v>-20.133421549999952</v>
      </c>
      <c r="AO3439">
        <v>-44.890623456009052</v>
      </c>
      <c r="AP3439">
        <v>-20.133452999999999</v>
      </c>
      <c r="AQ3439">
        <v>-44.890571999999999</v>
      </c>
      <c r="AR3439">
        <v>6.4172139275452773</v>
      </c>
      <c r="AS3439" t="s">
        <v>65</v>
      </c>
      <c r="AT3439">
        <v>1</v>
      </c>
      <c r="AU3439" t="s">
        <v>883</v>
      </c>
      <c r="AV3439" t="s">
        <v>884</v>
      </c>
      <c r="AW3439" t="s">
        <v>60</v>
      </c>
      <c r="AX3439" t="s">
        <v>68</v>
      </c>
      <c r="AY3439" t="s">
        <v>69</v>
      </c>
      <c r="AZ3439" t="b">
        <v>1</v>
      </c>
    </row>
    <row r="3440" spans="1:52" x14ac:dyDescent="0.3">
      <c r="A3440" t="s">
        <v>52</v>
      </c>
      <c r="B3440" t="s">
        <v>53</v>
      </c>
      <c r="C3440" t="s">
        <v>54</v>
      </c>
      <c r="D3440" t="s">
        <v>55</v>
      </c>
      <c r="E3440" t="s">
        <v>2200</v>
      </c>
      <c r="F3440" t="s">
        <v>190</v>
      </c>
      <c r="G3440" t="s">
        <v>649</v>
      </c>
      <c r="H3440" t="s">
        <v>885</v>
      </c>
      <c r="I3440" t="s">
        <v>885</v>
      </c>
      <c r="J3440" t="s">
        <v>60</v>
      </c>
      <c r="K3440" t="s">
        <v>886</v>
      </c>
      <c r="L3440" t="s">
        <v>62</v>
      </c>
      <c r="M3440" t="s">
        <v>886</v>
      </c>
      <c r="N3440" t="s">
        <v>652</v>
      </c>
      <c r="O3440" t="s">
        <v>887</v>
      </c>
      <c r="P3440">
        <v>-20.132252000000001</v>
      </c>
      <c r="Q3440">
        <v>-44.894159000000002</v>
      </c>
      <c r="R3440" s="2" t="str">
        <f>HYPERLINK("https://www.google.com/maps?q=-20.1322520,-44.8941590","Abrir no Google Maps")</f>
        <v>Abrir no Google Maps</v>
      </c>
      <c r="S3440">
        <v>3</v>
      </c>
      <c r="T3440">
        <v>699.5004749448899</v>
      </c>
      <c r="U3440">
        <v>3</v>
      </c>
      <c r="V3440">
        <v>0.53493394308943099</v>
      </c>
      <c r="W3440">
        <v>0.85</v>
      </c>
      <c r="X3440">
        <v>0.45469385162601628</v>
      </c>
      <c r="Y3440">
        <v>564</v>
      </c>
      <c r="Z3440">
        <v>522.21103586457991</v>
      </c>
      <c r="AA3440">
        <v>198</v>
      </c>
      <c r="AB3440">
        <v>332</v>
      </c>
      <c r="AC3440">
        <v>536</v>
      </c>
      <c r="AD3440">
        <v>28.54</v>
      </c>
      <c r="AE3440">
        <v>542</v>
      </c>
      <c r="AF3440">
        <v>20</v>
      </c>
      <c r="AG3440">
        <v>181</v>
      </c>
      <c r="AH3440">
        <v>129</v>
      </c>
      <c r="AI3440">
        <v>3.69</v>
      </c>
      <c r="AJ3440">
        <v>33.39</v>
      </c>
      <c r="AK3440">
        <v>23.8</v>
      </c>
      <c r="AL3440">
        <v>-20.132285999999969</v>
      </c>
      <c r="AM3440">
        <v>-44.894119001288672</v>
      </c>
      <c r="AN3440">
        <v>-20.132285999999969</v>
      </c>
      <c r="AO3440">
        <v>-44.894119001288672</v>
      </c>
      <c r="AP3440">
        <v>-20.132252000000001</v>
      </c>
      <c r="AQ3440">
        <v>-44.894159000000002</v>
      </c>
      <c r="AR3440">
        <v>5.6393921063261629</v>
      </c>
      <c r="AS3440" t="s">
        <v>65</v>
      </c>
      <c r="AT3440">
        <v>1</v>
      </c>
      <c r="AU3440" t="s">
        <v>888</v>
      </c>
      <c r="AV3440" t="s">
        <v>889</v>
      </c>
      <c r="AW3440" t="s">
        <v>60</v>
      </c>
      <c r="AX3440" t="s">
        <v>68</v>
      </c>
      <c r="AY3440" t="s">
        <v>69</v>
      </c>
      <c r="AZ3440" t="b">
        <v>1</v>
      </c>
    </row>
    <row r="3441" spans="1:52" x14ac:dyDescent="0.3">
      <c r="A3441" t="s">
        <v>52</v>
      </c>
      <c r="B3441" t="s">
        <v>53</v>
      </c>
      <c r="C3441" t="s">
        <v>54</v>
      </c>
      <c r="D3441" t="s">
        <v>55</v>
      </c>
      <c r="E3441" t="s">
        <v>2200</v>
      </c>
      <c r="F3441" t="s">
        <v>190</v>
      </c>
      <c r="G3441" t="s">
        <v>890</v>
      </c>
      <c r="H3441" t="s">
        <v>891</v>
      </c>
      <c r="I3441" t="s">
        <v>891</v>
      </c>
      <c r="J3441" t="s">
        <v>60</v>
      </c>
      <c r="K3441" t="s">
        <v>892</v>
      </c>
      <c r="L3441" t="s">
        <v>62</v>
      </c>
      <c r="M3441" t="s">
        <v>892</v>
      </c>
      <c r="N3441" t="s">
        <v>893</v>
      </c>
      <c r="O3441" t="s">
        <v>894</v>
      </c>
      <c r="P3441">
        <v>-20.152519000000002</v>
      </c>
      <c r="Q3441">
        <v>-44.899177000000002</v>
      </c>
      <c r="R3441" s="2" t="str">
        <f>HYPERLINK("https://www.google.com/maps?q=-20.1525190,-44.8991770","Abrir no Google Maps")</f>
        <v>Abrir no Google Maps</v>
      </c>
      <c r="S3441">
        <v>3</v>
      </c>
      <c r="T3441">
        <v>211.80188552994721</v>
      </c>
      <c r="U3441">
        <v>3</v>
      </c>
      <c r="V3441">
        <v>0.45605658149928319</v>
      </c>
      <c r="W3441">
        <v>1</v>
      </c>
      <c r="X3441">
        <v>0.45605658149928319</v>
      </c>
      <c r="Y3441">
        <v>556</v>
      </c>
      <c r="Z3441">
        <v>290.34804137107091</v>
      </c>
      <c r="AA3441">
        <v>198</v>
      </c>
      <c r="AB3441">
        <v>332</v>
      </c>
      <c r="AC3441">
        <v>536</v>
      </c>
      <c r="AD3441">
        <v>28.54</v>
      </c>
      <c r="AE3441">
        <v>542</v>
      </c>
      <c r="AF3441">
        <v>20</v>
      </c>
      <c r="AG3441">
        <v>181</v>
      </c>
      <c r="AH3441">
        <v>129</v>
      </c>
      <c r="AI3441">
        <v>3.69</v>
      </c>
      <c r="AJ3441">
        <v>33.39</v>
      </c>
      <c r="AK3441">
        <v>23.8</v>
      </c>
      <c r="AL3441">
        <v>-20.152516249999959</v>
      </c>
      <c r="AM3441">
        <v>-44.899310431333959</v>
      </c>
      <c r="AN3441">
        <v>-20.152516249999959</v>
      </c>
      <c r="AO3441">
        <v>-44.899310431333959</v>
      </c>
      <c r="AP3441">
        <v>-20.152519000000002</v>
      </c>
      <c r="AQ3441">
        <v>-44.899177000000002</v>
      </c>
      <c r="AR3441">
        <v>13.947583284957719</v>
      </c>
      <c r="AS3441" t="s">
        <v>65</v>
      </c>
      <c r="AT3441">
        <v>1</v>
      </c>
      <c r="AU3441" t="s">
        <v>895</v>
      </c>
      <c r="AV3441" t="s">
        <v>896</v>
      </c>
      <c r="AW3441" t="s">
        <v>60</v>
      </c>
      <c r="AX3441" t="s">
        <v>68</v>
      </c>
      <c r="AY3441" t="s">
        <v>69</v>
      </c>
      <c r="AZ3441" t="b">
        <v>1</v>
      </c>
    </row>
    <row r="3442" spans="1:52" x14ac:dyDescent="0.3">
      <c r="A3442" t="s">
        <v>52</v>
      </c>
      <c r="B3442" t="s">
        <v>53</v>
      </c>
      <c r="C3442" t="s">
        <v>54</v>
      </c>
      <c r="D3442" t="s">
        <v>55</v>
      </c>
      <c r="E3442" t="s">
        <v>2200</v>
      </c>
      <c r="F3442" t="s">
        <v>190</v>
      </c>
      <c r="G3442" t="s">
        <v>897</v>
      </c>
      <c r="H3442" t="s">
        <v>898</v>
      </c>
      <c r="I3442" t="s">
        <v>898</v>
      </c>
      <c r="J3442" t="s">
        <v>60</v>
      </c>
      <c r="K3442" t="s">
        <v>892</v>
      </c>
      <c r="L3442" t="s">
        <v>62</v>
      </c>
      <c r="M3442" t="s">
        <v>892</v>
      </c>
      <c r="N3442" t="s">
        <v>899</v>
      </c>
      <c r="O3442" t="s">
        <v>900</v>
      </c>
      <c r="P3442">
        <v>-20.154885</v>
      </c>
      <c r="Q3442">
        <v>-44.899890999999997</v>
      </c>
      <c r="R3442" s="2" t="str">
        <f>HYPERLINK("https://www.google.com/maps?q=-20.1548850,-44.8998910","Abrir no Google Maps")</f>
        <v>Abrir no Google Maps</v>
      </c>
      <c r="S3442">
        <v>3</v>
      </c>
      <c r="T3442">
        <v>314.66339661014308</v>
      </c>
      <c r="U3442">
        <v>3</v>
      </c>
      <c r="V3442">
        <v>0.45146140423382458</v>
      </c>
      <c r="W3442">
        <v>1</v>
      </c>
      <c r="X3442">
        <v>0.45146140423382458</v>
      </c>
      <c r="Y3442">
        <v>548</v>
      </c>
      <c r="Z3442">
        <v>319.02252584834253</v>
      </c>
      <c r="AA3442">
        <v>198</v>
      </c>
      <c r="AB3442">
        <v>332</v>
      </c>
      <c r="AC3442">
        <v>536</v>
      </c>
      <c r="AD3442">
        <v>28.54</v>
      </c>
      <c r="AE3442">
        <v>542</v>
      </c>
      <c r="AF3442">
        <v>20</v>
      </c>
      <c r="AG3442">
        <v>181</v>
      </c>
      <c r="AH3442">
        <v>129</v>
      </c>
      <c r="AI3442">
        <v>3.69</v>
      </c>
      <c r="AJ3442">
        <v>33.39</v>
      </c>
      <c r="AK3442">
        <v>23.8</v>
      </c>
      <c r="AL3442">
        <v>-20.154906649999951</v>
      </c>
      <c r="AM3442">
        <v>-44.899894072543653</v>
      </c>
      <c r="AN3442">
        <v>-20.154906649999951</v>
      </c>
      <c r="AO3442">
        <v>-44.899894072543653</v>
      </c>
      <c r="AP3442">
        <v>-20.154885</v>
      </c>
      <c r="AQ3442">
        <v>-44.899890999999997</v>
      </c>
      <c r="AR3442">
        <v>2.431373123904943</v>
      </c>
      <c r="AS3442" t="s">
        <v>65</v>
      </c>
      <c r="AT3442">
        <v>1</v>
      </c>
      <c r="AU3442" t="s">
        <v>901</v>
      </c>
      <c r="AV3442" t="s">
        <v>902</v>
      </c>
      <c r="AW3442" t="s">
        <v>60</v>
      </c>
      <c r="AX3442" t="s">
        <v>68</v>
      </c>
      <c r="AY3442" t="s">
        <v>69</v>
      </c>
      <c r="AZ3442" t="b">
        <v>1</v>
      </c>
    </row>
    <row r="3443" spans="1:52" x14ac:dyDescent="0.3">
      <c r="A3443" t="s">
        <v>52</v>
      </c>
      <c r="B3443" t="s">
        <v>53</v>
      </c>
      <c r="C3443" t="s">
        <v>54</v>
      </c>
      <c r="D3443" t="s">
        <v>55</v>
      </c>
      <c r="E3443" t="s">
        <v>2200</v>
      </c>
      <c r="F3443" t="s">
        <v>190</v>
      </c>
      <c r="G3443" t="s">
        <v>579</v>
      </c>
      <c r="H3443" t="s">
        <v>580</v>
      </c>
      <c r="I3443" t="s">
        <v>580</v>
      </c>
      <c r="J3443" t="s">
        <v>60</v>
      </c>
      <c r="K3443" t="s">
        <v>117</v>
      </c>
      <c r="L3443" t="s">
        <v>62</v>
      </c>
      <c r="M3443" t="s">
        <v>117</v>
      </c>
      <c r="N3443" t="s">
        <v>581</v>
      </c>
      <c r="O3443" t="s">
        <v>338</v>
      </c>
      <c r="P3443">
        <v>-20.119333000000001</v>
      </c>
      <c r="Q3443">
        <v>-44.892454999999998</v>
      </c>
      <c r="R3443" s="2" t="str">
        <f>HYPERLINK("https://www.google.com/maps?q=-20.1193330,-44.8924550","Abrir no Google Maps")</f>
        <v>Abrir no Google Maps</v>
      </c>
      <c r="S3443">
        <v>3</v>
      </c>
      <c r="T3443">
        <v>545.06582215852734</v>
      </c>
      <c r="U3443">
        <v>3</v>
      </c>
      <c r="V3443">
        <v>0.45161817326925979</v>
      </c>
      <c r="W3443">
        <v>1</v>
      </c>
      <c r="X3443">
        <v>0.45161817326925979</v>
      </c>
      <c r="Y3443">
        <v>536</v>
      </c>
      <c r="Z3443">
        <v>583.72689769042404</v>
      </c>
      <c r="AA3443">
        <v>198</v>
      </c>
      <c r="AB3443">
        <v>332</v>
      </c>
      <c r="AC3443">
        <v>536</v>
      </c>
      <c r="AD3443">
        <v>28.54</v>
      </c>
      <c r="AE3443">
        <v>542</v>
      </c>
      <c r="AF3443">
        <v>20</v>
      </c>
      <c r="AG3443">
        <v>181</v>
      </c>
      <c r="AH3443">
        <v>129</v>
      </c>
      <c r="AI3443">
        <v>3.69</v>
      </c>
      <c r="AJ3443">
        <v>33.39</v>
      </c>
      <c r="AK3443">
        <v>23.8</v>
      </c>
      <c r="AL3443">
        <v>-20.11966729999995</v>
      </c>
      <c r="AM3443">
        <v>-44.892529474102908</v>
      </c>
      <c r="AN3443">
        <v>-20.119667299999939</v>
      </c>
      <c r="AO3443">
        <v>-44.892529474102908</v>
      </c>
      <c r="AP3443">
        <v>-20.119333000000001</v>
      </c>
      <c r="AQ3443">
        <v>-44.892454999999998</v>
      </c>
      <c r="AR3443">
        <v>38.019750592693072</v>
      </c>
      <c r="AS3443" t="s">
        <v>65</v>
      </c>
      <c r="AT3443">
        <v>1</v>
      </c>
      <c r="AU3443" t="s">
        <v>582</v>
      </c>
      <c r="AV3443" t="s">
        <v>583</v>
      </c>
      <c r="AW3443" t="s">
        <v>60</v>
      </c>
      <c r="AX3443" t="s">
        <v>68</v>
      </c>
      <c r="AY3443" t="s">
        <v>69</v>
      </c>
      <c r="AZ3443" t="b">
        <v>1</v>
      </c>
    </row>
    <row r="3444" spans="1:52" x14ac:dyDescent="0.3">
      <c r="A3444" t="s">
        <v>52</v>
      </c>
      <c r="B3444" t="s">
        <v>53</v>
      </c>
      <c r="C3444" t="s">
        <v>54</v>
      </c>
      <c r="D3444" t="s">
        <v>55</v>
      </c>
      <c r="E3444" t="s">
        <v>2200</v>
      </c>
      <c r="F3444" t="s">
        <v>190</v>
      </c>
      <c r="G3444" t="s">
        <v>910</v>
      </c>
      <c r="H3444" t="s">
        <v>911</v>
      </c>
      <c r="I3444" t="s">
        <v>911</v>
      </c>
      <c r="J3444" t="s">
        <v>60</v>
      </c>
      <c r="K3444" t="s">
        <v>207</v>
      </c>
      <c r="L3444" t="s">
        <v>62</v>
      </c>
      <c r="M3444" t="s">
        <v>207</v>
      </c>
      <c r="N3444" t="s">
        <v>912</v>
      </c>
      <c r="O3444" t="s">
        <v>548</v>
      </c>
      <c r="P3444">
        <v>-20.116987000000002</v>
      </c>
      <c r="Q3444">
        <v>-44.885240000000003</v>
      </c>
      <c r="R3444" s="2" t="str">
        <f>HYPERLINK("https://www.google.com/maps?q=-20.1169870,-44.8852400","Abrir no Google Maps")</f>
        <v>Abrir no Google Maps</v>
      </c>
      <c r="S3444">
        <v>3</v>
      </c>
      <c r="T3444">
        <v>283.94804862214067</v>
      </c>
      <c r="U3444">
        <v>3</v>
      </c>
      <c r="V3444">
        <v>0.45925925925925931</v>
      </c>
      <c r="W3444">
        <v>1</v>
      </c>
      <c r="X3444">
        <v>0.45925925925925931</v>
      </c>
      <c r="Y3444">
        <v>536</v>
      </c>
      <c r="Z3444">
        <v>297.39410031170689</v>
      </c>
      <c r="AA3444">
        <v>198</v>
      </c>
      <c r="AB3444">
        <v>332</v>
      </c>
      <c r="AC3444">
        <v>536</v>
      </c>
      <c r="AD3444">
        <v>28.54</v>
      </c>
      <c r="AE3444">
        <v>542</v>
      </c>
      <c r="AF3444">
        <v>20</v>
      </c>
      <c r="AG3444">
        <v>181</v>
      </c>
      <c r="AH3444">
        <v>129</v>
      </c>
      <c r="AI3444">
        <v>3.69</v>
      </c>
      <c r="AJ3444">
        <v>33.39</v>
      </c>
      <c r="AK3444">
        <v>23.8</v>
      </c>
      <c r="AL3444">
        <v>-20.116999599999961</v>
      </c>
      <c r="AM3444">
        <v>-44.885197873315192</v>
      </c>
      <c r="AN3444">
        <v>-20.116999599999961</v>
      </c>
      <c r="AO3444">
        <v>-44.885197873315192</v>
      </c>
      <c r="AP3444">
        <v>-20.116987000000002</v>
      </c>
      <c r="AQ3444">
        <v>-44.885240000000003</v>
      </c>
      <c r="AR3444">
        <v>4.6214387870334246</v>
      </c>
      <c r="AS3444" t="s">
        <v>65</v>
      </c>
      <c r="AT3444">
        <v>1</v>
      </c>
      <c r="AU3444" t="s">
        <v>913</v>
      </c>
      <c r="AV3444" t="s">
        <v>914</v>
      </c>
      <c r="AW3444" t="s">
        <v>60</v>
      </c>
      <c r="AX3444" t="s">
        <v>68</v>
      </c>
      <c r="AY3444" t="s">
        <v>69</v>
      </c>
      <c r="AZ3444" t="b">
        <v>1</v>
      </c>
    </row>
    <row r="3445" spans="1:52" x14ac:dyDescent="0.3">
      <c r="A3445" t="s">
        <v>52</v>
      </c>
      <c r="B3445" t="s">
        <v>53</v>
      </c>
      <c r="C3445" t="s">
        <v>54</v>
      </c>
      <c r="D3445" t="s">
        <v>55</v>
      </c>
      <c r="E3445" t="s">
        <v>2200</v>
      </c>
      <c r="F3445" t="s">
        <v>190</v>
      </c>
      <c r="G3445" t="s">
        <v>590</v>
      </c>
      <c r="H3445" t="s">
        <v>591</v>
      </c>
      <c r="I3445" t="s">
        <v>591</v>
      </c>
      <c r="J3445" t="s">
        <v>60</v>
      </c>
      <c r="K3445" t="s">
        <v>207</v>
      </c>
      <c r="L3445" t="s">
        <v>62</v>
      </c>
      <c r="M3445" t="s">
        <v>207</v>
      </c>
      <c r="N3445" t="s">
        <v>592</v>
      </c>
      <c r="O3445" t="s">
        <v>565</v>
      </c>
      <c r="P3445">
        <v>-20.118652000000001</v>
      </c>
      <c r="Q3445">
        <v>-44.890574999999998</v>
      </c>
      <c r="R3445" s="2" t="str">
        <f>HYPERLINK("https://www.google.com/maps?q=-20.1186520,-44.8905750","Abrir no Google Maps")</f>
        <v>Abrir no Google Maps</v>
      </c>
      <c r="S3445">
        <v>3</v>
      </c>
      <c r="T3445">
        <v>305.97870753615422</v>
      </c>
      <c r="U3445">
        <v>3</v>
      </c>
      <c r="V3445">
        <v>0.46628716988979002</v>
      </c>
      <c r="W3445">
        <v>1</v>
      </c>
      <c r="X3445">
        <v>0.46628716988979002</v>
      </c>
      <c r="Y3445">
        <v>536</v>
      </c>
      <c r="Z3445">
        <v>368.07356795447242</v>
      </c>
      <c r="AA3445">
        <v>198</v>
      </c>
      <c r="AB3445">
        <v>332</v>
      </c>
      <c r="AC3445">
        <v>536</v>
      </c>
      <c r="AD3445">
        <v>28.54</v>
      </c>
      <c r="AE3445">
        <v>542</v>
      </c>
      <c r="AF3445">
        <v>20</v>
      </c>
      <c r="AG3445">
        <v>181</v>
      </c>
      <c r="AH3445">
        <v>129</v>
      </c>
      <c r="AI3445">
        <v>3.69</v>
      </c>
      <c r="AJ3445">
        <v>33.39</v>
      </c>
      <c r="AK3445">
        <v>23.8</v>
      </c>
      <c r="AL3445">
        <v>-20.118589699999941</v>
      </c>
      <c r="AM3445">
        <v>-44.890419442196389</v>
      </c>
      <c r="AN3445">
        <v>-20.118589699999941</v>
      </c>
      <c r="AO3445">
        <v>-44.890419442196389</v>
      </c>
      <c r="AP3445">
        <v>-20.118652000000001</v>
      </c>
      <c r="AQ3445">
        <v>-44.890574999999998</v>
      </c>
      <c r="AR3445">
        <v>17.67731866347437</v>
      </c>
      <c r="AS3445" t="s">
        <v>65</v>
      </c>
      <c r="AT3445">
        <v>1</v>
      </c>
      <c r="AU3445" t="s">
        <v>593</v>
      </c>
      <c r="AV3445" t="s">
        <v>594</v>
      </c>
      <c r="AW3445" t="s">
        <v>60</v>
      </c>
      <c r="AX3445" t="s">
        <v>68</v>
      </c>
      <c r="AY3445" t="s">
        <v>69</v>
      </c>
      <c r="AZ3445" t="b">
        <v>1</v>
      </c>
    </row>
    <row r="3446" spans="1:52" x14ac:dyDescent="0.3">
      <c r="A3446" t="s">
        <v>52</v>
      </c>
      <c r="B3446" t="s">
        <v>53</v>
      </c>
      <c r="C3446" t="s">
        <v>54</v>
      </c>
      <c r="D3446" t="s">
        <v>55</v>
      </c>
      <c r="E3446" t="s">
        <v>2200</v>
      </c>
      <c r="F3446" t="s">
        <v>190</v>
      </c>
      <c r="G3446" t="s">
        <v>601</v>
      </c>
      <c r="H3446" t="s">
        <v>602</v>
      </c>
      <c r="I3446" t="s">
        <v>602</v>
      </c>
      <c r="J3446" t="s">
        <v>60</v>
      </c>
      <c r="K3446" t="s">
        <v>117</v>
      </c>
      <c r="L3446" t="s">
        <v>62</v>
      </c>
      <c r="M3446" t="s">
        <v>117</v>
      </c>
      <c r="N3446" t="s">
        <v>603</v>
      </c>
      <c r="O3446" t="s">
        <v>604</v>
      </c>
      <c r="P3446">
        <v>-20.122198999999998</v>
      </c>
      <c r="Q3446">
        <v>-44.893118999999999</v>
      </c>
      <c r="R3446" s="2" t="str">
        <f>HYPERLINK("https://www.google.com/maps?q=-20.1221990,-44.8931190","Abrir no Google Maps")</f>
        <v>Abrir no Google Maps</v>
      </c>
      <c r="S3446">
        <v>3</v>
      </c>
      <c r="T3446">
        <v>737.41475740297403</v>
      </c>
      <c r="U3446">
        <v>3</v>
      </c>
      <c r="V3446">
        <v>0.46212389923061092</v>
      </c>
      <c r="W3446">
        <v>1</v>
      </c>
      <c r="X3446">
        <v>0.46212389923061092</v>
      </c>
      <c r="Y3446">
        <v>536</v>
      </c>
      <c r="Z3446">
        <v>753.81321098979549</v>
      </c>
      <c r="AA3446">
        <v>198</v>
      </c>
      <c r="AB3446">
        <v>332</v>
      </c>
      <c r="AC3446">
        <v>536</v>
      </c>
      <c r="AD3446">
        <v>28.54</v>
      </c>
      <c r="AE3446">
        <v>542</v>
      </c>
      <c r="AF3446">
        <v>20</v>
      </c>
      <c r="AG3446">
        <v>181</v>
      </c>
      <c r="AH3446">
        <v>129</v>
      </c>
      <c r="AI3446">
        <v>3.69</v>
      </c>
      <c r="AJ3446">
        <v>33.39</v>
      </c>
      <c r="AK3446">
        <v>23.8</v>
      </c>
      <c r="AL3446">
        <v>-20.122192249999959</v>
      </c>
      <c r="AM3446">
        <v>-44.893272469204263</v>
      </c>
      <c r="AN3446">
        <v>-20.122192249999959</v>
      </c>
      <c r="AO3446">
        <v>-44.893272469204263</v>
      </c>
      <c r="AP3446">
        <v>-20.122198999999998</v>
      </c>
      <c r="AQ3446">
        <v>-44.893118999999999</v>
      </c>
      <c r="AR3446">
        <v>16.058980187178161</v>
      </c>
      <c r="AS3446" t="s">
        <v>65</v>
      </c>
      <c r="AT3446">
        <v>1</v>
      </c>
      <c r="AU3446" t="s">
        <v>605</v>
      </c>
      <c r="AV3446" t="s">
        <v>606</v>
      </c>
      <c r="AW3446" t="s">
        <v>60</v>
      </c>
      <c r="AX3446" t="s">
        <v>68</v>
      </c>
      <c r="AY3446" t="s">
        <v>69</v>
      </c>
      <c r="AZ3446" t="b">
        <v>1</v>
      </c>
    </row>
    <row r="3447" spans="1:52" x14ac:dyDescent="0.3">
      <c r="A3447" t="s">
        <v>52</v>
      </c>
      <c r="B3447" t="s">
        <v>53</v>
      </c>
      <c r="C3447" t="s">
        <v>54</v>
      </c>
      <c r="D3447" t="s">
        <v>55</v>
      </c>
      <c r="E3447" t="s">
        <v>2200</v>
      </c>
      <c r="F3447" t="s">
        <v>190</v>
      </c>
      <c r="G3447" t="s">
        <v>607</v>
      </c>
      <c r="H3447" t="s">
        <v>608</v>
      </c>
      <c r="I3447" t="s">
        <v>608</v>
      </c>
      <c r="J3447" t="s">
        <v>60</v>
      </c>
      <c r="K3447" t="s">
        <v>609</v>
      </c>
      <c r="L3447" t="s">
        <v>62</v>
      </c>
      <c r="M3447" t="s">
        <v>609</v>
      </c>
      <c r="N3447" t="s">
        <v>610</v>
      </c>
      <c r="O3447" t="s">
        <v>611</v>
      </c>
      <c r="P3447">
        <v>-20.110476999999999</v>
      </c>
      <c r="Q3447">
        <v>-44.887531000000003</v>
      </c>
      <c r="R3447" s="2" t="str">
        <f>HYPERLINK("https://www.google.com/maps?q=-20.1104770,-44.8875310","Abrir no Google Maps")</f>
        <v>Abrir no Google Maps</v>
      </c>
      <c r="S3447">
        <v>3</v>
      </c>
      <c r="T3447">
        <v>862.67854008986569</v>
      </c>
      <c r="U3447">
        <v>3</v>
      </c>
      <c r="V3447">
        <v>0.44398159615110361</v>
      </c>
      <c r="W3447">
        <v>1</v>
      </c>
      <c r="X3447">
        <v>0.44398159615110361</v>
      </c>
      <c r="Y3447">
        <v>536</v>
      </c>
      <c r="Z3447">
        <v>797.51469292431113</v>
      </c>
      <c r="AA3447">
        <v>198</v>
      </c>
      <c r="AB3447">
        <v>332</v>
      </c>
      <c r="AC3447">
        <v>536</v>
      </c>
      <c r="AD3447">
        <v>28.54</v>
      </c>
      <c r="AE3447">
        <v>542</v>
      </c>
      <c r="AF3447">
        <v>20</v>
      </c>
      <c r="AG3447">
        <v>181</v>
      </c>
      <c r="AH3447">
        <v>129</v>
      </c>
      <c r="AI3447">
        <v>3.69</v>
      </c>
      <c r="AJ3447">
        <v>33.39</v>
      </c>
      <c r="AK3447">
        <v>23.8</v>
      </c>
      <c r="AL3447">
        <v>-20.11057859999994</v>
      </c>
      <c r="AM3447">
        <v>-44.888034950185293</v>
      </c>
      <c r="AN3447">
        <v>-20.11057859999994</v>
      </c>
      <c r="AO3447">
        <v>-44.888034950185293</v>
      </c>
      <c r="AP3447">
        <v>-20.110476999999999</v>
      </c>
      <c r="AQ3447">
        <v>-44.887531000000003</v>
      </c>
      <c r="AR3447">
        <v>53.879824494602957</v>
      </c>
      <c r="AS3447" t="s">
        <v>65</v>
      </c>
      <c r="AT3447">
        <v>1</v>
      </c>
      <c r="AU3447" t="s">
        <v>612</v>
      </c>
      <c r="AV3447" t="s">
        <v>613</v>
      </c>
      <c r="AW3447" t="s">
        <v>60</v>
      </c>
      <c r="AX3447" t="s">
        <v>68</v>
      </c>
      <c r="AY3447" t="s">
        <v>69</v>
      </c>
      <c r="AZ3447" t="b">
        <v>1</v>
      </c>
    </row>
    <row r="3448" spans="1:52" x14ac:dyDescent="0.3">
      <c r="A3448" t="s">
        <v>52</v>
      </c>
      <c r="B3448" t="s">
        <v>53</v>
      </c>
      <c r="C3448" t="s">
        <v>54</v>
      </c>
      <c r="D3448" t="s">
        <v>55</v>
      </c>
      <c r="E3448" t="s">
        <v>2200</v>
      </c>
      <c r="F3448" t="s">
        <v>190</v>
      </c>
      <c r="G3448" t="s">
        <v>232</v>
      </c>
      <c r="H3448" t="s">
        <v>925</v>
      </c>
      <c r="I3448" t="s">
        <v>925</v>
      </c>
      <c r="J3448" t="s">
        <v>60</v>
      </c>
      <c r="K3448" t="s">
        <v>702</v>
      </c>
      <c r="L3448" t="s">
        <v>62</v>
      </c>
      <c r="M3448" t="s">
        <v>702</v>
      </c>
      <c r="N3448" t="s">
        <v>234</v>
      </c>
      <c r="O3448" t="s">
        <v>926</v>
      </c>
      <c r="P3448">
        <v>-20.165887999999999</v>
      </c>
      <c r="Q3448">
        <v>-44.865220000000001</v>
      </c>
      <c r="R3448" s="2" t="str">
        <f>HYPERLINK("https://www.google.com/maps?q=-20.1658880,-44.8652200","Abrir no Google Maps")</f>
        <v>Abrir no Google Maps</v>
      </c>
      <c r="S3448">
        <v>3</v>
      </c>
      <c r="T3448">
        <v>711.71706763776342</v>
      </c>
      <c r="U3448">
        <v>3</v>
      </c>
      <c r="V3448">
        <v>0.45963604705482652</v>
      </c>
      <c r="W3448">
        <v>1</v>
      </c>
      <c r="X3448">
        <v>0.45963604705482652</v>
      </c>
      <c r="Y3448">
        <v>518</v>
      </c>
      <c r="Z3448">
        <v>801.45781285603209</v>
      </c>
      <c r="AA3448">
        <v>198</v>
      </c>
      <c r="AB3448">
        <v>332</v>
      </c>
      <c r="AC3448">
        <v>536</v>
      </c>
      <c r="AD3448">
        <v>28.54</v>
      </c>
      <c r="AE3448">
        <v>542</v>
      </c>
      <c r="AF3448">
        <v>20</v>
      </c>
      <c r="AG3448">
        <v>181</v>
      </c>
      <c r="AH3448">
        <v>129</v>
      </c>
      <c r="AI3448">
        <v>3.69</v>
      </c>
      <c r="AJ3448">
        <v>33.39</v>
      </c>
      <c r="AK3448">
        <v>23.8</v>
      </c>
      <c r="AL3448">
        <v>-20.165865449999959</v>
      </c>
      <c r="AM3448">
        <v>-44.865240434761468</v>
      </c>
      <c r="AN3448">
        <v>-20.165865449999959</v>
      </c>
      <c r="AO3448">
        <v>-44.865240434761468</v>
      </c>
      <c r="AP3448">
        <v>-20.165887999999999</v>
      </c>
      <c r="AQ3448">
        <v>-44.865220000000001</v>
      </c>
      <c r="AR3448">
        <v>3.2956262004279409</v>
      </c>
      <c r="AS3448" t="s">
        <v>65</v>
      </c>
      <c r="AT3448">
        <v>1</v>
      </c>
      <c r="AU3448" t="s">
        <v>927</v>
      </c>
      <c r="AV3448" t="s">
        <v>928</v>
      </c>
      <c r="AW3448" t="s">
        <v>60</v>
      </c>
      <c r="AX3448" t="s">
        <v>68</v>
      </c>
      <c r="AY3448" t="s">
        <v>69</v>
      </c>
      <c r="AZ3448" t="b">
        <v>1</v>
      </c>
    </row>
    <row r="3449" spans="1:52" x14ac:dyDescent="0.3">
      <c r="A3449" t="s">
        <v>52</v>
      </c>
      <c r="B3449" t="s">
        <v>53</v>
      </c>
      <c r="C3449" t="s">
        <v>54</v>
      </c>
      <c r="D3449" t="s">
        <v>55</v>
      </c>
      <c r="E3449" t="s">
        <v>2200</v>
      </c>
      <c r="F3449" t="s">
        <v>190</v>
      </c>
      <c r="G3449" t="s">
        <v>929</v>
      </c>
      <c r="H3449" t="s">
        <v>930</v>
      </c>
      <c r="I3449" t="s">
        <v>930</v>
      </c>
      <c r="J3449" t="s">
        <v>60</v>
      </c>
      <c r="K3449" t="s">
        <v>72</v>
      </c>
      <c r="L3449" t="s">
        <v>62</v>
      </c>
      <c r="M3449" t="s">
        <v>72</v>
      </c>
      <c r="N3449" t="s">
        <v>931</v>
      </c>
      <c r="O3449" t="s">
        <v>932</v>
      </c>
      <c r="P3449">
        <v>-20.144780999999998</v>
      </c>
      <c r="Q3449">
        <v>-44.914259000000001</v>
      </c>
      <c r="R3449" s="2" t="str">
        <f>HYPERLINK("https://www.google.com/maps?q=-20.1447810,-44.9142590","Abrir no Google Maps")</f>
        <v>Abrir no Google Maps</v>
      </c>
      <c r="S3449">
        <v>3</v>
      </c>
      <c r="T3449">
        <v>256.09363485874093</v>
      </c>
      <c r="U3449">
        <v>3</v>
      </c>
      <c r="V3449">
        <v>0.4690907866296834</v>
      </c>
      <c r="W3449">
        <v>1</v>
      </c>
      <c r="X3449">
        <v>0.4690907866296834</v>
      </c>
      <c r="Y3449">
        <v>508</v>
      </c>
      <c r="Z3449">
        <v>318.29766547935321</v>
      </c>
      <c r="AA3449">
        <v>198</v>
      </c>
      <c r="AB3449">
        <v>332</v>
      </c>
      <c r="AC3449">
        <v>536</v>
      </c>
      <c r="AD3449">
        <v>28.54</v>
      </c>
      <c r="AE3449">
        <v>542</v>
      </c>
      <c r="AF3449">
        <v>20</v>
      </c>
      <c r="AG3449">
        <v>181</v>
      </c>
      <c r="AH3449">
        <v>129</v>
      </c>
      <c r="AI3449">
        <v>3.69</v>
      </c>
      <c r="AJ3449">
        <v>33.39</v>
      </c>
      <c r="AK3449">
        <v>23.8</v>
      </c>
      <c r="AL3449">
        <v>-20.144721899999951</v>
      </c>
      <c r="AM3449">
        <v>-44.914368749511411</v>
      </c>
      <c r="AN3449">
        <v>-20.144721899999951</v>
      </c>
      <c r="AO3449">
        <v>-44.914368749511411</v>
      </c>
      <c r="AP3449">
        <v>-20.144780999999998</v>
      </c>
      <c r="AQ3449">
        <v>-44.914259000000001</v>
      </c>
      <c r="AR3449">
        <v>13.22280973360979</v>
      </c>
      <c r="AS3449" t="s">
        <v>65</v>
      </c>
      <c r="AT3449">
        <v>1</v>
      </c>
      <c r="AU3449" t="s">
        <v>933</v>
      </c>
      <c r="AV3449" t="s">
        <v>934</v>
      </c>
      <c r="AW3449" t="s">
        <v>60</v>
      </c>
      <c r="AX3449" t="s">
        <v>68</v>
      </c>
      <c r="AY3449" t="s">
        <v>69</v>
      </c>
      <c r="AZ3449" t="b">
        <v>1</v>
      </c>
    </row>
    <row r="3450" spans="1:52" x14ac:dyDescent="0.3">
      <c r="A3450" t="s">
        <v>52</v>
      </c>
      <c r="B3450" t="s">
        <v>53</v>
      </c>
      <c r="C3450" t="s">
        <v>54</v>
      </c>
      <c r="D3450" t="s">
        <v>55</v>
      </c>
      <c r="E3450" t="s">
        <v>2200</v>
      </c>
      <c r="F3450" t="s">
        <v>190</v>
      </c>
      <c r="G3450" t="s">
        <v>935</v>
      </c>
      <c r="H3450" t="s">
        <v>936</v>
      </c>
      <c r="I3450" t="s">
        <v>936</v>
      </c>
      <c r="J3450" t="s">
        <v>60</v>
      </c>
      <c r="K3450" t="s">
        <v>193</v>
      </c>
      <c r="L3450" t="s">
        <v>62</v>
      </c>
      <c r="M3450" t="s">
        <v>193</v>
      </c>
      <c r="N3450" t="s">
        <v>937</v>
      </c>
      <c r="O3450" t="s">
        <v>938</v>
      </c>
      <c r="P3450">
        <v>-20.144727</v>
      </c>
      <c r="Q3450">
        <v>-44.919978999999998</v>
      </c>
      <c r="R3450" s="2" t="str">
        <f>HYPERLINK("https://www.google.com/maps?q=-20.1447270,-44.9199790","Abrir no Google Maps")</f>
        <v>Abrir no Google Maps</v>
      </c>
      <c r="S3450">
        <v>3</v>
      </c>
      <c r="T3450">
        <v>341.13992759662477</v>
      </c>
      <c r="U3450">
        <v>3</v>
      </c>
      <c r="V3450">
        <v>0.4616365693306011</v>
      </c>
      <c r="W3450">
        <v>1</v>
      </c>
      <c r="X3450">
        <v>0.4616365693306011</v>
      </c>
      <c r="Y3450">
        <v>508</v>
      </c>
      <c r="Z3450">
        <v>274.58151985101409</v>
      </c>
      <c r="AA3450">
        <v>198</v>
      </c>
      <c r="AB3450">
        <v>332</v>
      </c>
      <c r="AC3450">
        <v>536</v>
      </c>
      <c r="AD3450">
        <v>28.54</v>
      </c>
      <c r="AE3450">
        <v>542</v>
      </c>
      <c r="AF3450">
        <v>20</v>
      </c>
      <c r="AG3450">
        <v>181</v>
      </c>
      <c r="AH3450">
        <v>129</v>
      </c>
      <c r="AI3450">
        <v>3.69</v>
      </c>
      <c r="AJ3450">
        <v>33.39</v>
      </c>
      <c r="AK3450">
        <v>23.8</v>
      </c>
      <c r="AL3450">
        <v>-20.144771099999961</v>
      </c>
      <c r="AM3450">
        <v>-44.92003491095209</v>
      </c>
      <c r="AN3450">
        <v>-20.144771099999961</v>
      </c>
      <c r="AO3450">
        <v>-44.92003491095209</v>
      </c>
      <c r="AP3450">
        <v>-20.144727</v>
      </c>
      <c r="AQ3450">
        <v>-44.919978999999998</v>
      </c>
      <c r="AR3450">
        <v>7.6317760459664177</v>
      </c>
      <c r="AS3450" t="s">
        <v>65</v>
      </c>
      <c r="AT3450">
        <v>1</v>
      </c>
      <c r="AU3450" t="s">
        <v>939</v>
      </c>
      <c r="AV3450" t="s">
        <v>940</v>
      </c>
      <c r="AW3450" t="s">
        <v>60</v>
      </c>
      <c r="AX3450" t="s">
        <v>68</v>
      </c>
      <c r="AY3450" t="s">
        <v>69</v>
      </c>
      <c r="AZ3450" t="b">
        <v>1</v>
      </c>
    </row>
    <row r="3451" spans="1:52" x14ac:dyDescent="0.3">
      <c r="A3451" t="s">
        <v>52</v>
      </c>
      <c r="B3451" t="s">
        <v>53</v>
      </c>
      <c r="C3451" t="s">
        <v>54</v>
      </c>
      <c r="D3451" t="s">
        <v>55</v>
      </c>
      <c r="E3451" t="s">
        <v>2200</v>
      </c>
      <c r="F3451" t="s">
        <v>190</v>
      </c>
      <c r="G3451" t="s">
        <v>941</v>
      </c>
      <c r="H3451" t="s">
        <v>942</v>
      </c>
      <c r="I3451" t="s">
        <v>942</v>
      </c>
      <c r="J3451" t="s">
        <v>60</v>
      </c>
      <c r="K3451" t="s">
        <v>193</v>
      </c>
      <c r="L3451" t="s">
        <v>62</v>
      </c>
      <c r="M3451" t="s">
        <v>193</v>
      </c>
      <c r="N3451" t="s">
        <v>943</v>
      </c>
      <c r="O3451" t="s">
        <v>257</v>
      </c>
      <c r="P3451">
        <v>-20.142042</v>
      </c>
      <c r="Q3451">
        <v>-44.917906000000002</v>
      </c>
      <c r="R3451" s="2" t="str">
        <f>HYPERLINK("https://www.google.com/maps?q=-20.1420420,-44.9179060","Abrir no Google Maps")</f>
        <v>Abrir no Google Maps</v>
      </c>
      <c r="S3451">
        <v>3</v>
      </c>
      <c r="T3451">
        <v>373.14048213045743</v>
      </c>
      <c r="U3451">
        <v>3</v>
      </c>
      <c r="V3451">
        <v>0.45113724512411341</v>
      </c>
      <c r="W3451">
        <v>1</v>
      </c>
      <c r="X3451">
        <v>0.45113724512411341</v>
      </c>
      <c r="Y3451">
        <v>508</v>
      </c>
      <c r="Z3451">
        <v>271.52693841106122</v>
      </c>
      <c r="AA3451">
        <v>198</v>
      </c>
      <c r="AB3451">
        <v>332</v>
      </c>
      <c r="AC3451">
        <v>536</v>
      </c>
      <c r="AD3451">
        <v>28.54</v>
      </c>
      <c r="AE3451">
        <v>542</v>
      </c>
      <c r="AF3451">
        <v>20</v>
      </c>
      <c r="AG3451">
        <v>181</v>
      </c>
      <c r="AH3451">
        <v>129</v>
      </c>
      <c r="AI3451">
        <v>3.69</v>
      </c>
      <c r="AJ3451">
        <v>33.39</v>
      </c>
      <c r="AK3451">
        <v>23.8</v>
      </c>
      <c r="AL3451">
        <v>-20.14198914999994</v>
      </c>
      <c r="AM3451">
        <v>-44.918192618397512</v>
      </c>
      <c r="AN3451">
        <v>-20.14198914999994</v>
      </c>
      <c r="AO3451">
        <v>-44.918192618397512</v>
      </c>
      <c r="AP3451">
        <v>-20.142042</v>
      </c>
      <c r="AQ3451">
        <v>-44.917906000000002</v>
      </c>
      <c r="AR3451">
        <v>30.527314493281139</v>
      </c>
      <c r="AS3451" t="s">
        <v>65</v>
      </c>
      <c r="AT3451">
        <v>1</v>
      </c>
      <c r="AU3451" t="s">
        <v>944</v>
      </c>
      <c r="AV3451" t="s">
        <v>945</v>
      </c>
      <c r="AW3451" t="s">
        <v>60</v>
      </c>
      <c r="AX3451" t="s">
        <v>68</v>
      </c>
      <c r="AY3451" t="s">
        <v>69</v>
      </c>
      <c r="AZ3451" t="b">
        <v>1</v>
      </c>
    </row>
    <row r="3452" spans="1:52" x14ac:dyDescent="0.3">
      <c r="A3452" t="s">
        <v>52</v>
      </c>
      <c r="B3452" t="s">
        <v>53</v>
      </c>
      <c r="C3452" t="s">
        <v>54</v>
      </c>
      <c r="D3452" t="s">
        <v>55</v>
      </c>
      <c r="E3452" t="s">
        <v>2200</v>
      </c>
      <c r="F3452" t="s">
        <v>190</v>
      </c>
      <c r="G3452" t="s">
        <v>946</v>
      </c>
      <c r="H3452" t="s">
        <v>947</v>
      </c>
      <c r="I3452" t="s">
        <v>947</v>
      </c>
      <c r="J3452" t="s">
        <v>60</v>
      </c>
      <c r="K3452" t="s">
        <v>193</v>
      </c>
      <c r="L3452" t="s">
        <v>62</v>
      </c>
      <c r="M3452" t="s">
        <v>193</v>
      </c>
      <c r="N3452" t="s">
        <v>948</v>
      </c>
      <c r="O3452" t="s">
        <v>949</v>
      </c>
      <c r="P3452">
        <v>-20.141646000000001</v>
      </c>
      <c r="Q3452">
        <v>-44.920682999999997</v>
      </c>
      <c r="R3452" s="2" t="str">
        <f>HYPERLINK("https://www.google.com/maps?q=-20.1416460,-44.9206830","Abrir no Google Maps")</f>
        <v>Abrir no Google Maps</v>
      </c>
      <c r="S3452">
        <v>3</v>
      </c>
      <c r="T3452">
        <v>538.41742581974165</v>
      </c>
      <c r="U3452">
        <v>3</v>
      </c>
      <c r="V3452">
        <v>0.463175430972041</v>
      </c>
      <c r="W3452">
        <v>1</v>
      </c>
      <c r="X3452">
        <v>0.463175430972041</v>
      </c>
      <c r="Y3452">
        <v>508</v>
      </c>
      <c r="Z3452">
        <v>459.99626097363068</v>
      </c>
      <c r="AA3452">
        <v>198</v>
      </c>
      <c r="AB3452">
        <v>332</v>
      </c>
      <c r="AC3452">
        <v>536</v>
      </c>
      <c r="AD3452">
        <v>28.54</v>
      </c>
      <c r="AE3452">
        <v>542</v>
      </c>
      <c r="AF3452">
        <v>20</v>
      </c>
      <c r="AG3452">
        <v>181</v>
      </c>
      <c r="AH3452">
        <v>129</v>
      </c>
      <c r="AI3452">
        <v>3.69</v>
      </c>
      <c r="AJ3452">
        <v>33.39</v>
      </c>
      <c r="AK3452">
        <v>23.8</v>
      </c>
      <c r="AL3452">
        <v>-20.141877549999979</v>
      </c>
      <c r="AM3452">
        <v>-44.920658074778594</v>
      </c>
      <c r="AN3452">
        <v>-20.141877549999979</v>
      </c>
      <c r="AO3452">
        <v>-44.920658074778594</v>
      </c>
      <c r="AP3452">
        <v>-20.141646000000001</v>
      </c>
      <c r="AQ3452">
        <v>-44.920682999999997</v>
      </c>
      <c r="AR3452">
        <v>25.907443828287509</v>
      </c>
      <c r="AS3452" t="s">
        <v>65</v>
      </c>
      <c r="AT3452">
        <v>1</v>
      </c>
      <c r="AU3452" t="s">
        <v>950</v>
      </c>
      <c r="AV3452" t="s">
        <v>951</v>
      </c>
      <c r="AW3452" t="s">
        <v>60</v>
      </c>
      <c r="AX3452" t="s">
        <v>68</v>
      </c>
      <c r="AY3452" t="s">
        <v>69</v>
      </c>
      <c r="AZ3452" t="b">
        <v>1</v>
      </c>
    </row>
    <row r="3453" spans="1:52" x14ac:dyDescent="0.3">
      <c r="A3453" t="s">
        <v>52</v>
      </c>
      <c r="B3453" t="s">
        <v>53</v>
      </c>
      <c r="C3453" t="s">
        <v>54</v>
      </c>
      <c r="D3453" t="s">
        <v>55</v>
      </c>
      <c r="E3453" t="s">
        <v>2200</v>
      </c>
      <c r="F3453" t="s">
        <v>190</v>
      </c>
      <c r="G3453" t="s">
        <v>935</v>
      </c>
      <c r="H3453" t="s">
        <v>952</v>
      </c>
      <c r="I3453" t="s">
        <v>952</v>
      </c>
      <c r="J3453" t="s">
        <v>60</v>
      </c>
      <c r="K3453" t="s">
        <v>953</v>
      </c>
      <c r="L3453" t="s">
        <v>62</v>
      </c>
      <c r="M3453" t="s">
        <v>953</v>
      </c>
      <c r="N3453" t="s">
        <v>937</v>
      </c>
      <c r="O3453" t="s">
        <v>954</v>
      </c>
      <c r="P3453">
        <v>-20.147273999999999</v>
      </c>
      <c r="Q3453">
        <v>-44.920006000000001</v>
      </c>
      <c r="R3453" s="2" t="str">
        <f>HYPERLINK("https://www.google.com/maps?q=-20.1472740,-44.9200060","Abrir no Google Maps")</f>
        <v>Abrir no Google Maps</v>
      </c>
      <c r="S3453">
        <v>3</v>
      </c>
      <c r="T3453">
        <v>459.0606352701667</v>
      </c>
      <c r="U3453">
        <v>3</v>
      </c>
      <c r="V3453">
        <v>0.52996777658431793</v>
      </c>
      <c r="W3453">
        <v>0.85</v>
      </c>
      <c r="X3453">
        <v>0.45047261009667022</v>
      </c>
      <c r="Y3453">
        <v>508</v>
      </c>
      <c r="Z3453">
        <v>450.79650119449559</v>
      </c>
      <c r="AA3453">
        <v>198</v>
      </c>
      <c r="AB3453">
        <v>332</v>
      </c>
      <c r="AC3453">
        <v>536</v>
      </c>
      <c r="AD3453">
        <v>28.54</v>
      </c>
      <c r="AE3453">
        <v>542</v>
      </c>
      <c r="AF3453">
        <v>20</v>
      </c>
      <c r="AG3453">
        <v>181</v>
      </c>
      <c r="AH3453">
        <v>129</v>
      </c>
      <c r="AI3453">
        <v>3.69</v>
      </c>
      <c r="AJ3453">
        <v>33.39</v>
      </c>
      <c r="AK3453">
        <v>23.8</v>
      </c>
      <c r="AL3453">
        <v>-20.14804539999994</v>
      </c>
      <c r="AM3453">
        <v>-44.919869714952483</v>
      </c>
      <c r="AN3453">
        <v>-20.14804539999994</v>
      </c>
      <c r="AO3453">
        <v>-44.919869714952483</v>
      </c>
      <c r="AP3453">
        <v>-20.147273999999999</v>
      </c>
      <c r="AQ3453">
        <v>-44.920006000000001</v>
      </c>
      <c r="AR3453">
        <v>87.045401840517783</v>
      </c>
      <c r="AS3453" t="s">
        <v>65</v>
      </c>
      <c r="AT3453">
        <v>1</v>
      </c>
      <c r="AU3453" t="s">
        <v>955</v>
      </c>
      <c r="AV3453" t="s">
        <v>956</v>
      </c>
      <c r="AW3453" t="s">
        <v>60</v>
      </c>
      <c r="AX3453" t="s">
        <v>68</v>
      </c>
      <c r="AY3453" t="s">
        <v>69</v>
      </c>
      <c r="AZ3453" t="b">
        <v>1</v>
      </c>
    </row>
    <row r="3454" spans="1:52" x14ac:dyDescent="0.3">
      <c r="A3454" t="s">
        <v>52</v>
      </c>
      <c r="B3454" t="s">
        <v>53</v>
      </c>
      <c r="C3454" t="s">
        <v>54</v>
      </c>
      <c r="D3454" t="s">
        <v>55</v>
      </c>
      <c r="E3454" t="s">
        <v>2200</v>
      </c>
      <c r="F3454" t="s">
        <v>190</v>
      </c>
      <c r="G3454" t="s">
        <v>957</v>
      </c>
      <c r="H3454" t="s">
        <v>958</v>
      </c>
      <c r="I3454" t="s">
        <v>958</v>
      </c>
      <c r="J3454" t="s">
        <v>60</v>
      </c>
      <c r="K3454" t="s">
        <v>262</v>
      </c>
      <c r="L3454" t="s">
        <v>62</v>
      </c>
      <c r="M3454" t="s">
        <v>262</v>
      </c>
      <c r="N3454" t="s">
        <v>959</v>
      </c>
      <c r="O3454" t="s">
        <v>960</v>
      </c>
      <c r="P3454">
        <v>-20.165469999999999</v>
      </c>
      <c r="Q3454">
        <v>-44.854308000000003</v>
      </c>
      <c r="R3454" s="2" t="str">
        <f>HYPERLINK("https://www.google.com/maps?q=-20.1654700,-44.8543080","Abrir no Google Maps")</f>
        <v>Abrir no Google Maps</v>
      </c>
      <c r="S3454">
        <v>3</v>
      </c>
      <c r="T3454">
        <v>555.06043712641599</v>
      </c>
      <c r="U3454">
        <v>3</v>
      </c>
      <c r="V3454">
        <v>0.4531782752542764</v>
      </c>
      <c r="W3454">
        <v>1</v>
      </c>
      <c r="X3454">
        <v>0.4531782752542764</v>
      </c>
      <c r="Y3454">
        <v>491</v>
      </c>
      <c r="Z3454">
        <v>423.16855805320131</v>
      </c>
      <c r="AA3454">
        <v>198</v>
      </c>
      <c r="AB3454">
        <v>332</v>
      </c>
      <c r="AC3454">
        <v>536</v>
      </c>
      <c r="AD3454">
        <v>28.54</v>
      </c>
      <c r="AE3454">
        <v>542</v>
      </c>
      <c r="AF3454">
        <v>20</v>
      </c>
      <c r="AG3454">
        <v>181</v>
      </c>
      <c r="AH3454">
        <v>129</v>
      </c>
      <c r="AI3454">
        <v>3.69</v>
      </c>
      <c r="AJ3454">
        <v>33.39</v>
      </c>
      <c r="AK3454">
        <v>23.8</v>
      </c>
      <c r="AL3454">
        <v>-20.165538449999961</v>
      </c>
      <c r="AM3454">
        <v>-44.854274624633042</v>
      </c>
      <c r="AN3454">
        <v>-20.165538449999961</v>
      </c>
      <c r="AO3454">
        <v>-44.854274624633042</v>
      </c>
      <c r="AP3454">
        <v>-20.165469999999999</v>
      </c>
      <c r="AQ3454">
        <v>-44.854308000000003</v>
      </c>
      <c r="AR3454">
        <v>8.3800661572970956</v>
      </c>
      <c r="AS3454" t="s">
        <v>65</v>
      </c>
      <c r="AT3454">
        <v>1</v>
      </c>
      <c r="AU3454" t="s">
        <v>961</v>
      </c>
      <c r="AV3454" t="s">
        <v>962</v>
      </c>
      <c r="AW3454" t="s">
        <v>60</v>
      </c>
      <c r="AX3454" t="s">
        <v>68</v>
      </c>
      <c r="AY3454" t="s">
        <v>69</v>
      </c>
      <c r="AZ3454" t="b">
        <v>1</v>
      </c>
    </row>
    <row r="3455" spans="1:52" x14ac:dyDescent="0.3">
      <c r="A3455" t="s">
        <v>52</v>
      </c>
      <c r="B3455" t="s">
        <v>53</v>
      </c>
      <c r="C3455" t="s">
        <v>54</v>
      </c>
      <c r="D3455" t="s">
        <v>55</v>
      </c>
      <c r="E3455" t="s">
        <v>2200</v>
      </c>
      <c r="F3455" t="s">
        <v>190</v>
      </c>
      <c r="G3455" t="s">
        <v>968</v>
      </c>
      <c r="H3455" t="s">
        <v>969</v>
      </c>
      <c r="I3455" t="s">
        <v>969</v>
      </c>
      <c r="J3455" t="s">
        <v>60</v>
      </c>
      <c r="K3455" t="s">
        <v>262</v>
      </c>
      <c r="L3455" t="s">
        <v>62</v>
      </c>
      <c r="M3455" t="s">
        <v>262</v>
      </c>
      <c r="N3455" t="s">
        <v>970</v>
      </c>
      <c r="O3455" t="s">
        <v>971</v>
      </c>
      <c r="P3455">
        <v>-20.163060999999999</v>
      </c>
      <c r="Q3455">
        <v>-44.854047000000001</v>
      </c>
      <c r="R3455" s="2" t="str">
        <f>HYPERLINK("https://www.google.com/maps?q=-20.1630610,-44.8540470","Abrir no Google Maps")</f>
        <v>Abrir no Google Maps</v>
      </c>
      <c r="S3455">
        <v>3</v>
      </c>
      <c r="T3455">
        <v>418.63868463200271</v>
      </c>
      <c r="U3455">
        <v>3</v>
      </c>
      <c r="V3455">
        <v>0.45901234567901228</v>
      </c>
      <c r="W3455">
        <v>1</v>
      </c>
      <c r="X3455">
        <v>0.45901234567901228</v>
      </c>
      <c r="Y3455">
        <v>491</v>
      </c>
      <c r="Z3455">
        <v>339.19068595447408</v>
      </c>
      <c r="AA3455">
        <v>198</v>
      </c>
      <c r="AB3455">
        <v>332</v>
      </c>
      <c r="AC3455">
        <v>536</v>
      </c>
      <c r="AD3455">
        <v>28.54</v>
      </c>
      <c r="AE3455">
        <v>542</v>
      </c>
      <c r="AF3455">
        <v>20</v>
      </c>
      <c r="AG3455">
        <v>181</v>
      </c>
      <c r="AH3455">
        <v>129</v>
      </c>
      <c r="AI3455">
        <v>3.69</v>
      </c>
      <c r="AJ3455">
        <v>33.39</v>
      </c>
      <c r="AK3455">
        <v>23.8</v>
      </c>
      <c r="AL3455">
        <v>-20.163118949999959</v>
      </c>
      <c r="AM3455">
        <v>-44.854106723889032</v>
      </c>
      <c r="AN3455">
        <v>-20.163118949999959</v>
      </c>
      <c r="AO3455">
        <v>-44.854106723889032</v>
      </c>
      <c r="AP3455">
        <v>-20.163060999999999</v>
      </c>
      <c r="AQ3455">
        <v>-44.854047000000001</v>
      </c>
      <c r="AR3455">
        <v>8.9758322935491428</v>
      </c>
      <c r="AS3455" t="s">
        <v>65</v>
      </c>
      <c r="AT3455">
        <v>1</v>
      </c>
      <c r="AU3455" t="s">
        <v>972</v>
      </c>
      <c r="AV3455" t="s">
        <v>973</v>
      </c>
      <c r="AW3455" t="s">
        <v>60</v>
      </c>
      <c r="AX3455" t="s">
        <v>68</v>
      </c>
      <c r="AY3455" t="s">
        <v>69</v>
      </c>
      <c r="AZ3455" t="b">
        <v>1</v>
      </c>
    </row>
    <row r="3456" spans="1:52" x14ac:dyDescent="0.3">
      <c r="A3456" t="s">
        <v>52</v>
      </c>
      <c r="B3456" t="s">
        <v>53</v>
      </c>
      <c r="C3456" t="s">
        <v>54</v>
      </c>
      <c r="D3456" t="s">
        <v>55</v>
      </c>
      <c r="E3456" t="s">
        <v>2200</v>
      </c>
      <c r="F3456" t="s">
        <v>190</v>
      </c>
      <c r="G3456" t="s">
        <v>974</v>
      </c>
      <c r="H3456" t="s">
        <v>975</v>
      </c>
      <c r="I3456" t="s">
        <v>975</v>
      </c>
      <c r="J3456" t="s">
        <v>60</v>
      </c>
      <c r="K3456" t="s">
        <v>702</v>
      </c>
      <c r="L3456" t="s">
        <v>62</v>
      </c>
      <c r="M3456" t="s">
        <v>702</v>
      </c>
      <c r="N3456" t="s">
        <v>976</v>
      </c>
      <c r="O3456" t="s">
        <v>977</v>
      </c>
      <c r="P3456">
        <v>-20.167021999999999</v>
      </c>
      <c r="Q3456">
        <v>-44.863095000000001</v>
      </c>
      <c r="R3456" s="2" t="str">
        <f>HYPERLINK("https://www.google.com/maps?q=-20.1670220,-44.8630950","Abrir no Google Maps")</f>
        <v>Abrir no Google Maps</v>
      </c>
      <c r="S3456">
        <v>3</v>
      </c>
      <c r="T3456">
        <v>629.02897442495839</v>
      </c>
      <c r="U3456">
        <v>3</v>
      </c>
      <c r="V3456">
        <v>0.45062913539501459</v>
      </c>
      <c r="W3456">
        <v>1</v>
      </c>
      <c r="X3456">
        <v>0.45062913539501459</v>
      </c>
      <c r="Y3456">
        <v>491</v>
      </c>
      <c r="Z3456">
        <v>693.48000708961661</v>
      </c>
      <c r="AA3456">
        <v>198</v>
      </c>
      <c r="AB3456">
        <v>332</v>
      </c>
      <c r="AC3456">
        <v>536</v>
      </c>
      <c r="AD3456">
        <v>28.54</v>
      </c>
      <c r="AE3456">
        <v>542</v>
      </c>
      <c r="AF3456">
        <v>20</v>
      </c>
      <c r="AG3456">
        <v>181</v>
      </c>
      <c r="AH3456">
        <v>129</v>
      </c>
      <c r="AI3456">
        <v>3.69</v>
      </c>
      <c r="AJ3456">
        <v>33.39</v>
      </c>
      <c r="AK3456">
        <v>23.8</v>
      </c>
      <c r="AL3456">
        <v>-20.167032199999941</v>
      </c>
      <c r="AM3456">
        <v>-44.863123980291967</v>
      </c>
      <c r="AN3456">
        <v>-20.167032199999941</v>
      </c>
      <c r="AO3456">
        <v>-44.863123980291967</v>
      </c>
      <c r="AP3456">
        <v>-20.167021999999999</v>
      </c>
      <c r="AQ3456">
        <v>-44.863095000000001</v>
      </c>
      <c r="AR3456">
        <v>3.2341734571542871</v>
      </c>
      <c r="AS3456" t="s">
        <v>65</v>
      </c>
      <c r="AT3456">
        <v>1</v>
      </c>
      <c r="AU3456" t="s">
        <v>978</v>
      </c>
      <c r="AV3456" t="s">
        <v>979</v>
      </c>
      <c r="AW3456" t="s">
        <v>60</v>
      </c>
      <c r="AX3456" t="s">
        <v>68</v>
      </c>
      <c r="AY3456" t="s">
        <v>69</v>
      </c>
      <c r="AZ3456" t="b">
        <v>1</v>
      </c>
    </row>
    <row r="3457" spans="1:52" x14ac:dyDescent="0.3">
      <c r="A3457" t="s">
        <v>52</v>
      </c>
      <c r="B3457" t="s">
        <v>53</v>
      </c>
      <c r="C3457" t="s">
        <v>54</v>
      </c>
      <c r="D3457" t="s">
        <v>55</v>
      </c>
      <c r="E3457" t="s">
        <v>2200</v>
      </c>
      <c r="F3457" t="s">
        <v>190</v>
      </c>
      <c r="G3457" t="s">
        <v>998</v>
      </c>
      <c r="H3457" t="s">
        <v>999</v>
      </c>
      <c r="I3457" t="s">
        <v>999</v>
      </c>
      <c r="J3457" t="s">
        <v>60</v>
      </c>
      <c r="K3457" t="s">
        <v>200</v>
      </c>
      <c r="L3457" t="s">
        <v>62</v>
      </c>
      <c r="M3457" t="s">
        <v>200</v>
      </c>
      <c r="N3457" t="s">
        <v>1000</v>
      </c>
      <c r="O3457" t="s">
        <v>1001</v>
      </c>
      <c r="P3457">
        <v>-20.128198000000001</v>
      </c>
      <c r="Q3457">
        <v>-44.897989000000003</v>
      </c>
      <c r="R3457" s="2" t="str">
        <f>HYPERLINK("https://www.google.com/maps?q=-20.1281980,-44.8979890","Abrir no Google Maps")</f>
        <v>Abrir no Google Maps</v>
      </c>
      <c r="S3457">
        <v>3</v>
      </c>
      <c r="T3457">
        <v>764.99274209740315</v>
      </c>
      <c r="U3457">
        <v>3</v>
      </c>
      <c r="V3457">
        <v>0.54482525446651009</v>
      </c>
      <c r="W3457">
        <v>0.85</v>
      </c>
      <c r="X3457">
        <v>0.46310146629653348</v>
      </c>
      <c r="Y3457">
        <v>435</v>
      </c>
      <c r="Z3457">
        <v>666.56370235056943</v>
      </c>
      <c r="AA3457">
        <v>198</v>
      </c>
      <c r="AB3457">
        <v>332</v>
      </c>
      <c r="AC3457">
        <v>536</v>
      </c>
      <c r="AD3457">
        <v>28.54</v>
      </c>
      <c r="AE3457">
        <v>542</v>
      </c>
      <c r="AF3457">
        <v>20</v>
      </c>
      <c r="AG3457">
        <v>181</v>
      </c>
      <c r="AH3457">
        <v>129</v>
      </c>
      <c r="AI3457">
        <v>3.69</v>
      </c>
      <c r="AJ3457">
        <v>33.39</v>
      </c>
      <c r="AK3457">
        <v>23.8</v>
      </c>
      <c r="AL3457">
        <v>-20.129869449999941</v>
      </c>
      <c r="AM3457">
        <v>-44.897878269453869</v>
      </c>
      <c r="AN3457">
        <v>-20.129869449999941</v>
      </c>
      <c r="AO3457">
        <v>-44.897878269453869</v>
      </c>
      <c r="AP3457">
        <v>-20.128198000000001</v>
      </c>
      <c r="AQ3457">
        <v>-44.897989000000003</v>
      </c>
      <c r="AR3457">
        <v>186.42541239811899</v>
      </c>
      <c r="AS3457" t="s">
        <v>65</v>
      </c>
      <c r="AT3457">
        <v>1</v>
      </c>
      <c r="AU3457" t="s">
        <v>1002</v>
      </c>
      <c r="AV3457" t="s">
        <v>1003</v>
      </c>
      <c r="AW3457" t="s">
        <v>60</v>
      </c>
      <c r="AX3457" t="s">
        <v>68</v>
      </c>
      <c r="AY3457" t="s">
        <v>69</v>
      </c>
      <c r="AZ3457" t="b">
        <v>1</v>
      </c>
    </row>
    <row r="3458" spans="1:52" x14ac:dyDescent="0.3">
      <c r="A3458" t="s">
        <v>52</v>
      </c>
      <c r="B3458" t="s">
        <v>53</v>
      </c>
      <c r="C3458" t="s">
        <v>54</v>
      </c>
      <c r="D3458" t="s">
        <v>55</v>
      </c>
      <c r="E3458" t="s">
        <v>2200</v>
      </c>
      <c r="F3458" t="s">
        <v>190</v>
      </c>
      <c r="G3458" t="s">
        <v>1014</v>
      </c>
      <c r="H3458" t="s">
        <v>1015</v>
      </c>
      <c r="I3458" t="s">
        <v>1015</v>
      </c>
      <c r="J3458" t="s">
        <v>60</v>
      </c>
      <c r="K3458" t="s">
        <v>1016</v>
      </c>
      <c r="L3458" t="s">
        <v>62</v>
      </c>
      <c r="M3458" t="s">
        <v>1016</v>
      </c>
      <c r="N3458" t="s">
        <v>1017</v>
      </c>
      <c r="O3458" t="s">
        <v>1018</v>
      </c>
      <c r="P3458">
        <v>-20.174461000000001</v>
      </c>
      <c r="Q3458">
        <v>-44.868710999999998</v>
      </c>
      <c r="R3458" s="2" t="str">
        <f>HYPERLINK("https://www.google.com/maps?q=-20.1744610,-44.8687110","Abrir no Google Maps")</f>
        <v>Abrir no Google Maps</v>
      </c>
      <c r="S3458">
        <v>3</v>
      </c>
      <c r="T3458">
        <v>435.39504742850158</v>
      </c>
      <c r="U3458">
        <v>3</v>
      </c>
      <c r="V3458">
        <v>0.46844852009244758</v>
      </c>
      <c r="W3458">
        <v>1</v>
      </c>
      <c r="X3458">
        <v>0.46844852009244758</v>
      </c>
      <c r="Y3458">
        <v>422</v>
      </c>
      <c r="Z3458">
        <v>264.99958639233438</v>
      </c>
      <c r="AA3458">
        <v>198</v>
      </c>
      <c r="AB3458">
        <v>332</v>
      </c>
      <c r="AC3458">
        <v>536</v>
      </c>
      <c r="AD3458">
        <v>28.54</v>
      </c>
      <c r="AE3458">
        <v>542</v>
      </c>
      <c r="AF3458">
        <v>20</v>
      </c>
      <c r="AG3458">
        <v>181</v>
      </c>
      <c r="AH3458">
        <v>129</v>
      </c>
      <c r="AI3458">
        <v>3.69</v>
      </c>
      <c r="AJ3458">
        <v>33.39</v>
      </c>
      <c r="AK3458">
        <v>23.8</v>
      </c>
      <c r="AL3458">
        <v>-20.174459749999951</v>
      </c>
      <c r="AM3458">
        <v>-44.868877789186897</v>
      </c>
      <c r="AN3458">
        <v>-20.174459749999951</v>
      </c>
      <c r="AO3458">
        <v>-44.868877789186897</v>
      </c>
      <c r="AP3458">
        <v>-20.174461000000001</v>
      </c>
      <c r="AQ3458">
        <v>-44.868710999999998</v>
      </c>
      <c r="AR3458">
        <v>17.42838555603738</v>
      </c>
      <c r="AS3458" t="s">
        <v>65</v>
      </c>
      <c r="AT3458">
        <v>1</v>
      </c>
      <c r="AU3458" t="s">
        <v>1019</v>
      </c>
      <c r="AV3458" t="s">
        <v>1020</v>
      </c>
      <c r="AW3458" t="s">
        <v>60</v>
      </c>
      <c r="AX3458" t="s">
        <v>68</v>
      </c>
      <c r="AY3458" t="s">
        <v>69</v>
      </c>
      <c r="AZ3458" t="b">
        <v>1</v>
      </c>
    </row>
    <row r="3459" spans="1:52" x14ac:dyDescent="0.3">
      <c r="A3459" t="s">
        <v>52</v>
      </c>
      <c r="B3459" t="s">
        <v>53</v>
      </c>
      <c r="C3459" t="s">
        <v>54</v>
      </c>
      <c r="D3459" t="s">
        <v>55</v>
      </c>
      <c r="E3459" t="s">
        <v>2200</v>
      </c>
      <c r="F3459" t="s">
        <v>190</v>
      </c>
      <c r="G3459" t="s">
        <v>1021</v>
      </c>
      <c r="H3459" t="s">
        <v>1022</v>
      </c>
      <c r="I3459" t="s">
        <v>1022</v>
      </c>
      <c r="J3459" t="s">
        <v>60</v>
      </c>
      <c r="K3459" t="s">
        <v>1023</v>
      </c>
      <c r="L3459" t="s">
        <v>62</v>
      </c>
      <c r="M3459" t="s">
        <v>1023</v>
      </c>
      <c r="N3459" t="s">
        <v>1024</v>
      </c>
      <c r="O3459" t="s">
        <v>1025</v>
      </c>
      <c r="P3459">
        <v>-20.169588999999998</v>
      </c>
      <c r="Q3459">
        <v>-44.866636</v>
      </c>
      <c r="R3459" s="2" t="str">
        <f>HYPERLINK("https://www.google.com/maps?q=-20.1695890,-44.8666360","Abrir no Google Maps")</f>
        <v>Abrir no Google Maps</v>
      </c>
      <c r="S3459">
        <v>3</v>
      </c>
      <c r="T3459">
        <v>326.02709617860302</v>
      </c>
      <c r="U3459">
        <v>3</v>
      </c>
      <c r="V3459">
        <v>0.45938486204552142</v>
      </c>
      <c r="W3459">
        <v>1</v>
      </c>
      <c r="X3459">
        <v>0.45938486204552142</v>
      </c>
      <c r="Y3459">
        <v>422</v>
      </c>
      <c r="Z3459">
        <v>333.05362278862168</v>
      </c>
      <c r="AA3459">
        <v>198</v>
      </c>
      <c r="AB3459">
        <v>332</v>
      </c>
      <c r="AC3459">
        <v>536</v>
      </c>
      <c r="AD3459">
        <v>28.54</v>
      </c>
      <c r="AE3459">
        <v>542</v>
      </c>
      <c r="AF3459">
        <v>20</v>
      </c>
      <c r="AG3459">
        <v>181</v>
      </c>
      <c r="AH3459">
        <v>129</v>
      </c>
      <c r="AI3459">
        <v>3.69</v>
      </c>
      <c r="AJ3459">
        <v>33.39</v>
      </c>
      <c r="AK3459">
        <v>23.8</v>
      </c>
      <c r="AL3459">
        <v>-20.16956104999997</v>
      </c>
      <c r="AM3459">
        <v>-44.866560528183591</v>
      </c>
      <c r="AN3459">
        <v>-20.16956104999997</v>
      </c>
      <c r="AO3459">
        <v>-44.866560528183591</v>
      </c>
      <c r="AP3459">
        <v>-20.169588999999998</v>
      </c>
      <c r="AQ3459">
        <v>-44.866636</v>
      </c>
      <c r="AR3459">
        <v>8.4778927137831293</v>
      </c>
      <c r="AS3459" t="s">
        <v>65</v>
      </c>
      <c r="AT3459">
        <v>1</v>
      </c>
      <c r="AU3459" t="s">
        <v>1026</v>
      </c>
      <c r="AV3459" t="s">
        <v>1027</v>
      </c>
      <c r="AW3459" t="s">
        <v>60</v>
      </c>
      <c r="AX3459" t="s">
        <v>68</v>
      </c>
      <c r="AY3459" t="s">
        <v>69</v>
      </c>
      <c r="AZ3459" t="b">
        <v>1</v>
      </c>
    </row>
    <row r="3460" spans="1:52" x14ac:dyDescent="0.3">
      <c r="A3460" t="s">
        <v>52</v>
      </c>
      <c r="B3460" t="s">
        <v>53</v>
      </c>
      <c r="C3460" t="s">
        <v>54</v>
      </c>
      <c r="D3460" t="s">
        <v>55</v>
      </c>
      <c r="E3460" t="s">
        <v>2200</v>
      </c>
      <c r="F3460" t="s">
        <v>190</v>
      </c>
      <c r="G3460" t="s">
        <v>1028</v>
      </c>
      <c r="H3460" t="s">
        <v>1029</v>
      </c>
      <c r="I3460" t="s">
        <v>1029</v>
      </c>
      <c r="J3460" t="s">
        <v>60</v>
      </c>
      <c r="K3460" t="s">
        <v>1016</v>
      </c>
      <c r="L3460" t="s">
        <v>62</v>
      </c>
      <c r="M3460" t="s">
        <v>1016</v>
      </c>
      <c r="N3460" t="s">
        <v>1030</v>
      </c>
      <c r="O3460" t="s">
        <v>855</v>
      </c>
      <c r="P3460">
        <v>-20.169778000000001</v>
      </c>
      <c r="Q3460">
        <v>-44.871940000000002</v>
      </c>
      <c r="R3460" s="2" t="str">
        <f>HYPERLINK("https://www.google.com/maps?q=-20.1697780,-44.8719400","Abrir no Google Maps")</f>
        <v>Abrir no Google Maps</v>
      </c>
      <c r="S3460">
        <v>3</v>
      </c>
      <c r="T3460">
        <v>730.45462447863167</v>
      </c>
      <c r="U3460">
        <v>3</v>
      </c>
      <c r="V3460">
        <v>0.47118105229693208</v>
      </c>
      <c r="W3460">
        <v>1</v>
      </c>
      <c r="X3460">
        <v>0.47118105229693208</v>
      </c>
      <c r="Y3460">
        <v>422</v>
      </c>
      <c r="Z3460">
        <v>600.74952959765801</v>
      </c>
      <c r="AA3460">
        <v>198</v>
      </c>
      <c r="AB3460">
        <v>332</v>
      </c>
      <c r="AC3460">
        <v>536</v>
      </c>
      <c r="AD3460">
        <v>28.54</v>
      </c>
      <c r="AE3460">
        <v>542</v>
      </c>
      <c r="AF3460">
        <v>20</v>
      </c>
      <c r="AG3460">
        <v>181</v>
      </c>
      <c r="AH3460">
        <v>129</v>
      </c>
      <c r="AI3460">
        <v>3.69</v>
      </c>
      <c r="AJ3460">
        <v>33.39</v>
      </c>
      <c r="AK3460">
        <v>23.8</v>
      </c>
      <c r="AL3460">
        <v>-20.169770599999961</v>
      </c>
      <c r="AM3460">
        <v>-44.871857291666629</v>
      </c>
      <c r="AN3460">
        <v>-20.169770599999961</v>
      </c>
      <c r="AO3460">
        <v>-44.871857291666629</v>
      </c>
      <c r="AP3460">
        <v>-20.169778000000001</v>
      </c>
      <c r="AQ3460">
        <v>-44.871940000000002</v>
      </c>
      <c r="AR3460">
        <v>8.6816379320830315</v>
      </c>
      <c r="AS3460" t="s">
        <v>65</v>
      </c>
      <c r="AT3460">
        <v>1</v>
      </c>
      <c r="AU3460" t="s">
        <v>1031</v>
      </c>
      <c r="AV3460" t="s">
        <v>1032</v>
      </c>
      <c r="AW3460" t="s">
        <v>60</v>
      </c>
      <c r="AX3460" t="s">
        <v>68</v>
      </c>
      <c r="AY3460" t="s">
        <v>69</v>
      </c>
      <c r="AZ3460" t="b">
        <v>1</v>
      </c>
    </row>
    <row r="3461" spans="1:52" x14ac:dyDescent="0.3">
      <c r="A3461" t="s">
        <v>52</v>
      </c>
      <c r="B3461" t="s">
        <v>53</v>
      </c>
      <c r="C3461" t="s">
        <v>54</v>
      </c>
      <c r="D3461" t="s">
        <v>55</v>
      </c>
      <c r="E3461" t="s">
        <v>2200</v>
      </c>
      <c r="F3461" t="s">
        <v>190</v>
      </c>
      <c r="G3461" t="s">
        <v>1033</v>
      </c>
      <c r="H3461" t="s">
        <v>1034</v>
      </c>
      <c r="I3461" t="s">
        <v>1034</v>
      </c>
      <c r="J3461" t="s">
        <v>60</v>
      </c>
      <c r="K3461" t="s">
        <v>1016</v>
      </c>
      <c r="L3461" t="s">
        <v>62</v>
      </c>
      <c r="M3461" t="s">
        <v>1016</v>
      </c>
      <c r="N3461" t="s">
        <v>1035</v>
      </c>
      <c r="O3461" t="s">
        <v>1036</v>
      </c>
      <c r="P3461">
        <v>-20.176404999999999</v>
      </c>
      <c r="Q3461">
        <v>-44.871102</v>
      </c>
      <c r="R3461" s="2" t="str">
        <f>HYPERLINK("https://www.google.com/maps?q=-20.1764050,-44.8711020","Abrir no Google Maps")</f>
        <v>Abrir no Google Maps</v>
      </c>
      <c r="S3461">
        <v>3</v>
      </c>
      <c r="T3461">
        <v>746.17794449655105</v>
      </c>
      <c r="U3461">
        <v>3</v>
      </c>
      <c r="V3461">
        <v>0.45228722212034139</v>
      </c>
      <c r="W3461">
        <v>1</v>
      </c>
      <c r="X3461">
        <v>0.45228722212034139</v>
      </c>
      <c r="Y3461">
        <v>422</v>
      </c>
      <c r="Z3461">
        <v>532.61564453099913</v>
      </c>
      <c r="AA3461">
        <v>198</v>
      </c>
      <c r="AB3461">
        <v>332</v>
      </c>
      <c r="AC3461">
        <v>536</v>
      </c>
      <c r="AD3461">
        <v>28.54</v>
      </c>
      <c r="AE3461">
        <v>542</v>
      </c>
      <c r="AF3461">
        <v>20</v>
      </c>
      <c r="AG3461">
        <v>181</v>
      </c>
      <c r="AH3461">
        <v>129</v>
      </c>
      <c r="AI3461">
        <v>3.69</v>
      </c>
      <c r="AJ3461">
        <v>33.39</v>
      </c>
      <c r="AK3461">
        <v>23.8</v>
      </c>
      <c r="AL3461">
        <v>-20.176464949999971</v>
      </c>
      <c r="AM3461">
        <v>-44.871010194676387</v>
      </c>
      <c r="AN3461">
        <v>-20.176464949999971</v>
      </c>
      <c r="AO3461">
        <v>-44.871010194676387</v>
      </c>
      <c r="AP3461">
        <v>-20.176404999999999</v>
      </c>
      <c r="AQ3461">
        <v>-44.871102</v>
      </c>
      <c r="AR3461">
        <v>11.68571547850415</v>
      </c>
      <c r="AS3461" t="s">
        <v>65</v>
      </c>
      <c r="AT3461">
        <v>1</v>
      </c>
      <c r="AU3461" t="s">
        <v>1037</v>
      </c>
      <c r="AV3461" t="s">
        <v>1038</v>
      </c>
      <c r="AW3461" t="s">
        <v>60</v>
      </c>
      <c r="AX3461" t="s">
        <v>68</v>
      </c>
      <c r="AY3461" t="s">
        <v>69</v>
      </c>
      <c r="AZ3461" t="b">
        <v>1</v>
      </c>
    </row>
    <row r="3462" spans="1:52" x14ac:dyDescent="0.3">
      <c r="A3462" t="s">
        <v>52</v>
      </c>
      <c r="B3462" t="s">
        <v>53</v>
      </c>
      <c r="C3462" t="s">
        <v>54</v>
      </c>
      <c r="D3462" t="s">
        <v>55</v>
      </c>
      <c r="E3462" t="s">
        <v>2200</v>
      </c>
      <c r="F3462" t="s">
        <v>190</v>
      </c>
      <c r="G3462" t="s">
        <v>1039</v>
      </c>
      <c r="H3462" t="s">
        <v>1040</v>
      </c>
      <c r="I3462" t="s">
        <v>1040</v>
      </c>
      <c r="J3462" t="s">
        <v>60</v>
      </c>
      <c r="K3462" t="s">
        <v>1023</v>
      </c>
      <c r="L3462" t="s">
        <v>62</v>
      </c>
      <c r="M3462" t="s">
        <v>1023</v>
      </c>
      <c r="N3462" t="s">
        <v>1041</v>
      </c>
      <c r="O3462" t="s">
        <v>738</v>
      </c>
      <c r="P3462">
        <v>-20.172284000000001</v>
      </c>
      <c r="Q3462">
        <v>-44.865392999999997</v>
      </c>
      <c r="R3462" s="2" t="str">
        <f>HYPERLINK("https://www.google.com/maps?q=-20.1722840,-44.8653930","Abrir no Google Maps")</f>
        <v>Abrir no Google Maps</v>
      </c>
      <c r="S3462">
        <v>3</v>
      </c>
      <c r="T3462">
        <v>0</v>
      </c>
      <c r="U3462">
        <v>3</v>
      </c>
      <c r="V3462">
        <v>0.46910181517043797</v>
      </c>
      <c r="W3462">
        <v>1</v>
      </c>
      <c r="X3462">
        <v>0.46910181517043797</v>
      </c>
      <c r="Y3462">
        <v>422</v>
      </c>
      <c r="Z3462">
        <v>202.96804500763591</v>
      </c>
      <c r="AA3462">
        <v>198</v>
      </c>
      <c r="AB3462">
        <v>332</v>
      </c>
      <c r="AC3462">
        <v>536</v>
      </c>
      <c r="AD3462">
        <v>28.54</v>
      </c>
      <c r="AE3462">
        <v>542</v>
      </c>
      <c r="AF3462">
        <v>20</v>
      </c>
      <c r="AG3462">
        <v>181</v>
      </c>
      <c r="AH3462">
        <v>129</v>
      </c>
      <c r="AI3462">
        <v>3.69</v>
      </c>
      <c r="AJ3462">
        <v>33.39</v>
      </c>
      <c r="AK3462">
        <v>23.8</v>
      </c>
      <c r="AL3462">
        <v>-20.17229514999994</v>
      </c>
      <c r="AM3462">
        <v>-44.865398249858011</v>
      </c>
      <c r="AN3462">
        <v>-20.17229514999994</v>
      </c>
      <c r="AO3462">
        <v>-44.865398249858011</v>
      </c>
      <c r="AP3462">
        <v>-20.172284000000001</v>
      </c>
      <c r="AQ3462">
        <v>-44.865392999999997</v>
      </c>
      <c r="AR3462">
        <v>1.357036084497409</v>
      </c>
      <c r="AS3462" t="s">
        <v>65</v>
      </c>
      <c r="AT3462">
        <v>1</v>
      </c>
      <c r="AU3462" t="s">
        <v>1042</v>
      </c>
      <c r="AV3462" t="s">
        <v>1043</v>
      </c>
      <c r="AW3462" t="s">
        <v>60</v>
      </c>
      <c r="AX3462" t="s">
        <v>68</v>
      </c>
      <c r="AY3462" t="s">
        <v>69</v>
      </c>
      <c r="AZ3462" t="b">
        <v>1</v>
      </c>
    </row>
    <row r="3463" spans="1:52" x14ac:dyDescent="0.3">
      <c r="A3463" t="s">
        <v>52</v>
      </c>
      <c r="B3463" t="s">
        <v>53</v>
      </c>
      <c r="C3463" t="s">
        <v>54</v>
      </c>
      <c r="D3463" t="s">
        <v>55</v>
      </c>
      <c r="E3463" t="s">
        <v>2200</v>
      </c>
      <c r="F3463" t="s">
        <v>190</v>
      </c>
      <c r="G3463" t="s">
        <v>1044</v>
      </c>
      <c r="H3463" t="s">
        <v>1045</v>
      </c>
      <c r="I3463" t="s">
        <v>1045</v>
      </c>
      <c r="J3463" t="s">
        <v>60</v>
      </c>
      <c r="K3463" t="s">
        <v>702</v>
      </c>
      <c r="L3463" t="s">
        <v>62</v>
      </c>
      <c r="M3463" t="s">
        <v>702</v>
      </c>
      <c r="N3463" t="s">
        <v>983</v>
      </c>
      <c r="O3463" t="s">
        <v>1046</v>
      </c>
      <c r="P3463">
        <v>-20.172056000000001</v>
      </c>
      <c r="Q3463">
        <v>-44.861556999999998</v>
      </c>
      <c r="R3463" s="2" t="str">
        <f>HYPERLINK("https://www.google.com/maps?q=-20.1720560,-44.8615570","Abrir no Google Maps")</f>
        <v>Abrir no Google Maps</v>
      </c>
      <c r="S3463">
        <v>3</v>
      </c>
      <c r="T3463">
        <v>387.50881633442719</v>
      </c>
      <c r="U3463">
        <v>3</v>
      </c>
      <c r="V3463">
        <v>0.45810616929698711</v>
      </c>
      <c r="W3463">
        <v>1</v>
      </c>
      <c r="X3463">
        <v>0.45810616929698711</v>
      </c>
      <c r="Y3463">
        <v>422</v>
      </c>
      <c r="Z3463">
        <v>592.01060063884404</v>
      </c>
      <c r="AA3463">
        <v>198</v>
      </c>
      <c r="AB3463">
        <v>332</v>
      </c>
      <c r="AC3463">
        <v>536</v>
      </c>
      <c r="AD3463">
        <v>28.54</v>
      </c>
      <c r="AE3463">
        <v>542</v>
      </c>
      <c r="AF3463">
        <v>20</v>
      </c>
      <c r="AG3463">
        <v>181</v>
      </c>
      <c r="AH3463">
        <v>129</v>
      </c>
      <c r="AI3463">
        <v>3.69</v>
      </c>
      <c r="AJ3463">
        <v>33.39</v>
      </c>
      <c r="AK3463">
        <v>23.8</v>
      </c>
      <c r="AL3463">
        <v>-20.171880149999961</v>
      </c>
      <c r="AM3463">
        <v>-44.861715860253369</v>
      </c>
      <c r="AN3463">
        <v>-20.171880149999961</v>
      </c>
      <c r="AO3463">
        <v>-44.861715860253369</v>
      </c>
      <c r="AP3463">
        <v>-20.172056000000001</v>
      </c>
      <c r="AQ3463">
        <v>-44.861556999999998</v>
      </c>
      <c r="AR3463">
        <v>25.66616443825145</v>
      </c>
      <c r="AS3463" t="s">
        <v>65</v>
      </c>
      <c r="AT3463">
        <v>1</v>
      </c>
      <c r="AU3463" t="s">
        <v>1047</v>
      </c>
      <c r="AV3463" t="s">
        <v>705</v>
      </c>
      <c r="AW3463" t="s">
        <v>60</v>
      </c>
      <c r="AX3463" t="s">
        <v>68</v>
      </c>
      <c r="AY3463" t="s">
        <v>69</v>
      </c>
      <c r="AZ3463" t="b">
        <v>1</v>
      </c>
    </row>
    <row r="3464" spans="1:52" x14ac:dyDescent="0.3">
      <c r="A3464" t="s">
        <v>52</v>
      </c>
      <c r="B3464" t="s">
        <v>53</v>
      </c>
      <c r="C3464" t="s">
        <v>54</v>
      </c>
      <c r="D3464" t="s">
        <v>55</v>
      </c>
      <c r="E3464" t="s">
        <v>2200</v>
      </c>
      <c r="F3464" t="s">
        <v>190</v>
      </c>
      <c r="G3464" t="s">
        <v>1048</v>
      </c>
      <c r="H3464" t="s">
        <v>1049</v>
      </c>
      <c r="I3464" t="s">
        <v>1049</v>
      </c>
      <c r="J3464" t="s">
        <v>60</v>
      </c>
      <c r="K3464" t="s">
        <v>708</v>
      </c>
      <c r="L3464" t="s">
        <v>62</v>
      </c>
      <c r="M3464" t="s">
        <v>708</v>
      </c>
      <c r="N3464" t="s">
        <v>1050</v>
      </c>
      <c r="O3464" t="s">
        <v>1051</v>
      </c>
      <c r="P3464">
        <v>-20.128316000000002</v>
      </c>
      <c r="Q3464">
        <v>-44.878137000000002</v>
      </c>
      <c r="R3464" s="2" t="str">
        <f>HYPERLINK("https://www.google.com/maps?q=-20.1283160,-44.8781370","Abrir no Google Maps")</f>
        <v>Abrir no Google Maps</v>
      </c>
      <c r="S3464">
        <v>3</v>
      </c>
      <c r="T3464">
        <v>513.28053815499243</v>
      </c>
      <c r="U3464">
        <v>3</v>
      </c>
      <c r="V3464">
        <v>0.44861492883757859</v>
      </c>
      <c r="W3464">
        <v>1</v>
      </c>
      <c r="X3464">
        <v>0.44861492883757859</v>
      </c>
      <c r="Y3464">
        <v>387</v>
      </c>
      <c r="Z3464">
        <v>385.74604528561741</v>
      </c>
      <c r="AA3464">
        <v>198</v>
      </c>
      <c r="AB3464">
        <v>332</v>
      </c>
      <c r="AC3464">
        <v>536</v>
      </c>
      <c r="AD3464">
        <v>28.54</v>
      </c>
      <c r="AE3464">
        <v>542</v>
      </c>
      <c r="AF3464">
        <v>20</v>
      </c>
      <c r="AG3464">
        <v>181</v>
      </c>
      <c r="AH3464">
        <v>129</v>
      </c>
      <c r="AI3464">
        <v>3.69</v>
      </c>
      <c r="AJ3464">
        <v>33.39</v>
      </c>
      <c r="AK3464">
        <v>23.8</v>
      </c>
      <c r="AL3464">
        <v>-20.128308349999969</v>
      </c>
      <c r="AM3464">
        <v>-44.878115052779357</v>
      </c>
      <c r="AN3464">
        <v>-20.128308349999969</v>
      </c>
      <c r="AO3464">
        <v>-44.878115052779357</v>
      </c>
      <c r="AP3464">
        <v>-20.128316000000002</v>
      </c>
      <c r="AQ3464">
        <v>-44.878137000000002</v>
      </c>
      <c r="AR3464">
        <v>2.4469186172207671</v>
      </c>
      <c r="AS3464" t="s">
        <v>65</v>
      </c>
      <c r="AT3464">
        <v>1</v>
      </c>
      <c r="AU3464" t="s">
        <v>1052</v>
      </c>
      <c r="AV3464" t="s">
        <v>1053</v>
      </c>
      <c r="AW3464" t="s">
        <v>60</v>
      </c>
      <c r="AX3464" t="s">
        <v>68</v>
      </c>
      <c r="AY3464" t="s">
        <v>69</v>
      </c>
      <c r="AZ3464" t="b">
        <v>1</v>
      </c>
    </row>
    <row r="3465" spans="1:52" x14ac:dyDescent="0.3">
      <c r="A3465" t="s">
        <v>52</v>
      </c>
      <c r="B3465" t="s">
        <v>53</v>
      </c>
      <c r="C3465" t="s">
        <v>54</v>
      </c>
      <c r="D3465" t="s">
        <v>55</v>
      </c>
      <c r="E3465" t="s">
        <v>2200</v>
      </c>
      <c r="F3465" t="s">
        <v>190</v>
      </c>
      <c r="G3465" t="s">
        <v>1054</v>
      </c>
      <c r="H3465" t="s">
        <v>1055</v>
      </c>
      <c r="I3465" t="s">
        <v>1055</v>
      </c>
      <c r="J3465" t="s">
        <v>60</v>
      </c>
      <c r="K3465" t="s">
        <v>708</v>
      </c>
      <c r="L3465" t="s">
        <v>62</v>
      </c>
      <c r="M3465" t="s">
        <v>708</v>
      </c>
      <c r="N3465" t="s">
        <v>1056</v>
      </c>
      <c r="O3465" t="s">
        <v>315</v>
      </c>
      <c r="P3465">
        <v>-20.130849000000001</v>
      </c>
      <c r="Q3465">
        <v>-44.870922999999998</v>
      </c>
      <c r="R3465" s="2" t="str">
        <f>HYPERLINK("https://www.google.com/maps?q=-20.1308490,-44.8709230","Abrir no Google Maps")</f>
        <v>Abrir no Google Maps</v>
      </c>
      <c r="S3465">
        <v>3</v>
      </c>
      <c r="T3465">
        <v>288.83865075380498</v>
      </c>
      <c r="U3465">
        <v>3</v>
      </c>
      <c r="V3465">
        <v>0.53950736175312441</v>
      </c>
      <c r="W3465">
        <v>0.85</v>
      </c>
      <c r="X3465">
        <v>0.45858125749015571</v>
      </c>
      <c r="Y3465">
        <v>387</v>
      </c>
      <c r="Z3465">
        <v>347.59283577270531</v>
      </c>
      <c r="AA3465">
        <v>198</v>
      </c>
      <c r="AB3465">
        <v>332</v>
      </c>
      <c r="AC3465">
        <v>536</v>
      </c>
      <c r="AD3465">
        <v>28.54</v>
      </c>
      <c r="AE3465">
        <v>542</v>
      </c>
      <c r="AF3465">
        <v>20</v>
      </c>
      <c r="AG3465">
        <v>181</v>
      </c>
      <c r="AH3465">
        <v>129</v>
      </c>
      <c r="AI3465">
        <v>3.69</v>
      </c>
      <c r="AJ3465">
        <v>33.39</v>
      </c>
      <c r="AK3465">
        <v>23.8</v>
      </c>
      <c r="AL3465">
        <v>-20.130950899999959</v>
      </c>
      <c r="AM3465">
        <v>-44.87096892838121</v>
      </c>
      <c r="AN3465">
        <v>-20.130950899999959</v>
      </c>
      <c r="AO3465">
        <v>-44.87096892838121</v>
      </c>
      <c r="AP3465">
        <v>-20.130849000000001</v>
      </c>
      <c r="AQ3465">
        <v>-44.870922999999998</v>
      </c>
      <c r="AR3465">
        <v>12.31742795843153</v>
      </c>
      <c r="AS3465" t="s">
        <v>65</v>
      </c>
      <c r="AT3465">
        <v>1</v>
      </c>
      <c r="AU3465" t="s">
        <v>1057</v>
      </c>
      <c r="AV3465" t="s">
        <v>1058</v>
      </c>
      <c r="AW3465" t="s">
        <v>60</v>
      </c>
      <c r="AX3465" t="s">
        <v>68</v>
      </c>
      <c r="AY3465" t="s">
        <v>69</v>
      </c>
      <c r="AZ3465" t="b">
        <v>1</v>
      </c>
    </row>
    <row r="3466" spans="1:52" x14ac:dyDescent="0.3">
      <c r="A3466" t="s">
        <v>52</v>
      </c>
      <c r="B3466" t="s">
        <v>53</v>
      </c>
      <c r="C3466" t="s">
        <v>54</v>
      </c>
      <c r="D3466" t="s">
        <v>55</v>
      </c>
      <c r="E3466" t="s">
        <v>2200</v>
      </c>
      <c r="F3466" t="s">
        <v>190</v>
      </c>
      <c r="G3466" t="s">
        <v>734</v>
      </c>
      <c r="H3466" t="s">
        <v>1059</v>
      </c>
      <c r="I3466" t="s">
        <v>1059</v>
      </c>
      <c r="J3466" t="s">
        <v>60</v>
      </c>
      <c r="K3466" t="s">
        <v>736</v>
      </c>
      <c r="L3466" t="s">
        <v>62</v>
      </c>
      <c r="M3466" t="s">
        <v>736</v>
      </c>
      <c r="N3466" t="s">
        <v>1060</v>
      </c>
      <c r="O3466" t="s">
        <v>1061</v>
      </c>
      <c r="P3466">
        <v>-20.104700000000001</v>
      </c>
      <c r="Q3466">
        <v>-44.972988000000001</v>
      </c>
      <c r="R3466" s="2" t="str">
        <f>HYPERLINK("https://www.google.com/maps?q=-20.1047000,-44.9729880","Abrir no Google Maps")</f>
        <v>Abrir no Google Maps</v>
      </c>
      <c r="S3466">
        <v>3</v>
      </c>
      <c r="T3466">
        <v>0</v>
      </c>
      <c r="U3466">
        <v>3</v>
      </c>
      <c r="V3466">
        <v>0.44689382602356009</v>
      </c>
      <c r="W3466">
        <v>1</v>
      </c>
      <c r="X3466">
        <v>0.44689382602356009</v>
      </c>
      <c r="Y3466">
        <v>385</v>
      </c>
      <c r="Z3466">
        <v>130.87424695814411</v>
      </c>
      <c r="AA3466">
        <v>198</v>
      </c>
      <c r="AB3466">
        <v>332</v>
      </c>
      <c r="AC3466">
        <v>536</v>
      </c>
      <c r="AD3466">
        <v>28.54</v>
      </c>
      <c r="AE3466">
        <v>542</v>
      </c>
      <c r="AF3466">
        <v>20</v>
      </c>
      <c r="AG3466">
        <v>181</v>
      </c>
      <c r="AH3466">
        <v>129</v>
      </c>
      <c r="AI3466">
        <v>3.69</v>
      </c>
      <c r="AJ3466">
        <v>33.39</v>
      </c>
      <c r="AK3466">
        <v>23.8</v>
      </c>
      <c r="AL3466">
        <v>-20.104640449999948</v>
      </c>
      <c r="AM3466">
        <v>-44.972990283032523</v>
      </c>
      <c r="AN3466">
        <v>-20.104640449999948</v>
      </c>
      <c r="AO3466">
        <v>-44.972990283032509</v>
      </c>
      <c r="AP3466">
        <v>-20.104700000000001</v>
      </c>
      <c r="AQ3466">
        <v>-44.972988000000001</v>
      </c>
      <c r="AR3466">
        <v>6.6334007529191332</v>
      </c>
      <c r="AS3466" t="s">
        <v>65</v>
      </c>
      <c r="AT3466">
        <v>1</v>
      </c>
      <c r="AU3466" t="s">
        <v>1062</v>
      </c>
      <c r="AV3466" t="s">
        <v>1063</v>
      </c>
      <c r="AW3466" t="s">
        <v>60</v>
      </c>
      <c r="AX3466" t="s">
        <v>68</v>
      </c>
      <c r="AY3466" t="s">
        <v>69</v>
      </c>
      <c r="AZ3466" t="b">
        <v>1</v>
      </c>
    </row>
    <row r="3467" spans="1:52" x14ac:dyDescent="0.3">
      <c r="A3467" t="s">
        <v>52</v>
      </c>
      <c r="B3467" t="s">
        <v>53</v>
      </c>
      <c r="C3467" t="s">
        <v>54</v>
      </c>
      <c r="D3467" t="s">
        <v>55</v>
      </c>
      <c r="E3467" t="s">
        <v>2200</v>
      </c>
      <c r="F3467" t="s">
        <v>190</v>
      </c>
      <c r="G3467" t="s">
        <v>734</v>
      </c>
      <c r="H3467" t="s">
        <v>1064</v>
      </c>
      <c r="I3467" t="s">
        <v>1064</v>
      </c>
      <c r="J3467" t="s">
        <v>60</v>
      </c>
      <c r="K3467" t="s">
        <v>530</v>
      </c>
      <c r="L3467" t="s">
        <v>62</v>
      </c>
      <c r="M3467" t="s">
        <v>530</v>
      </c>
      <c r="N3467" t="s">
        <v>1060</v>
      </c>
      <c r="O3467" t="s">
        <v>1065</v>
      </c>
      <c r="P3467">
        <v>-20.102878</v>
      </c>
      <c r="Q3467">
        <v>-44.974297</v>
      </c>
      <c r="R3467" s="2" t="str">
        <f>HYPERLINK("https://www.google.com/maps?q=-20.1028780,-44.9742970","Abrir no Google Maps")</f>
        <v>Abrir no Google Maps</v>
      </c>
      <c r="S3467">
        <v>3</v>
      </c>
      <c r="T3467">
        <v>261.64376156647683</v>
      </c>
      <c r="U3467">
        <v>3</v>
      </c>
      <c r="V3467">
        <v>0.4537464350531501</v>
      </c>
      <c r="W3467">
        <v>1</v>
      </c>
      <c r="X3467">
        <v>0.4537464350531501</v>
      </c>
      <c r="Y3467">
        <v>385</v>
      </c>
      <c r="Z3467">
        <v>272.78931550338098</v>
      </c>
      <c r="AA3467">
        <v>198</v>
      </c>
      <c r="AB3467">
        <v>332</v>
      </c>
      <c r="AC3467">
        <v>536</v>
      </c>
      <c r="AD3467">
        <v>28.54</v>
      </c>
      <c r="AE3467">
        <v>542</v>
      </c>
      <c r="AF3467">
        <v>20</v>
      </c>
      <c r="AG3467">
        <v>181</v>
      </c>
      <c r="AH3467">
        <v>129</v>
      </c>
      <c r="AI3467">
        <v>3.69</v>
      </c>
      <c r="AJ3467">
        <v>33.39</v>
      </c>
      <c r="AK3467">
        <v>23.8</v>
      </c>
      <c r="AL3467">
        <v>-20.102914199999962</v>
      </c>
      <c r="AM3467">
        <v>-44.974700580584418</v>
      </c>
      <c r="AN3467">
        <v>-20.102914199999962</v>
      </c>
      <c r="AO3467">
        <v>-44.974700580584418</v>
      </c>
      <c r="AP3467">
        <v>-20.102878</v>
      </c>
      <c r="AQ3467">
        <v>-44.974297</v>
      </c>
      <c r="AR3467">
        <v>42.381535645626968</v>
      </c>
      <c r="AS3467" t="s">
        <v>65</v>
      </c>
      <c r="AT3467">
        <v>1</v>
      </c>
      <c r="AU3467" t="s">
        <v>1066</v>
      </c>
      <c r="AV3467" t="s">
        <v>1067</v>
      </c>
      <c r="AW3467" t="s">
        <v>60</v>
      </c>
      <c r="AX3467" t="s">
        <v>68</v>
      </c>
      <c r="AY3467" t="s">
        <v>69</v>
      </c>
      <c r="AZ3467" t="b">
        <v>1</v>
      </c>
    </row>
    <row r="3468" spans="1:52" x14ac:dyDescent="0.3">
      <c r="A3468" t="s">
        <v>52</v>
      </c>
      <c r="B3468" t="s">
        <v>53</v>
      </c>
      <c r="C3468" t="s">
        <v>54</v>
      </c>
      <c r="D3468" t="s">
        <v>55</v>
      </c>
      <c r="E3468" t="s">
        <v>2200</v>
      </c>
      <c r="F3468" t="s">
        <v>190</v>
      </c>
      <c r="G3468" t="s">
        <v>734</v>
      </c>
      <c r="H3468" t="s">
        <v>735</v>
      </c>
      <c r="I3468" t="s">
        <v>735</v>
      </c>
      <c r="J3468" t="s">
        <v>60</v>
      </c>
      <c r="K3468" t="s">
        <v>736</v>
      </c>
      <c r="L3468" t="s">
        <v>62</v>
      </c>
      <c r="M3468" t="s">
        <v>736</v>
      </c>
      <c r="N3468" t="s">
        <v>737</v>
      </c>
      <c r="O3468" t="s">
        <v>738</v>
      </c>
      <c r="P3468">
        <v>-20.113050000000001</v>
      </c>
      <c r="Q3468">
        <v>-44.977640999999998</v>
      </c>
      <c r="R3468" s="2" t="str">
        <f>HYPERLINK("https://www.google.com/maps?q=-20.1130500,-44.9776410","Abrir no Google Maps")</f>
        <v>Abrir no Google Maps</v>
      </c>
      <c r="S3468">
        <v>3</v>
      </c>
      <c r="T3468">
        <v>1057.751631532733</v>
      </c>
      <c r="U3468">
        <v>3</v>
      </c>
      <c r="V3468">
        <v>0.44575469929744849</v>
      </c>
      <c r="W3468">
        <v>1</v>
      </c>
      <c r="X3468">
        <v>0.44575469929744849</v>
      </c>
      <c r="Y3468">
        <v>385</v>
      </c>
      <c r="Z3468">
        <v>1001.029655866156</v>
      </c>
      <c r="AA3468">
        <v>198</v>
      </c>
      <c r="AB3468">
        <v>332</v>
      </c>
      <c r="AC3468">
        <v>536</v>
      </c>
      <c r="AD3468">
        <v>28.54</v>
      </c>
      <c r="AE3468">
        <v>542</v>
      </c>
      <c r="AF3468">
        <v>20</v>
      </c>
      <c r="AG3468">
        <v>181</v>
      </c>
      <c r="AH3468">
        <v>129</v>
      </c>
      <c r="AI3468">
        <v>3.69</v>
      </c>
      <c r="AJ3468">
        <v>33.39</v>
      </c>
      <c r="AK3468">
        <v>23.8</v>
      </c>
      <c r="AL3468">
        <v>-20.112977499999939</v>
      </c>
      <c r="AM3468">
        <v>-44.977939579895221</v>
      </c>
      <c r="AN3468">
        <v>-20.112977499999939</v>
      </c>
      <c r="AO3468">
        <v>-44.977939579895221</v>
      </c>
      <c r="AP3468">
        <v>-20.113050000000001</v>
      </c>
      <c r="AQ3468">
        <v>-44.977640999999998</v>
      </c>
      <c r="AR3468">
        <v>32.23754556505741</v>
      </c>
      <c r="AS3468" t="s">
        <v>65</v>
      </c>
      <c r="AT3468">
        <v>1</v>
      </c>
      <c r="AU3468" t="s">
        <v>739</v>
      </c>
      <c r="AV3468" t="s">
        <v>740</v>
      </c>
      <c r="AW3468" t="s">
        <v>60</v>
      </c>
      <c r="AX3468" t="s">
        <v>68</v>
      </c>
      <c r="AY3468" t="s">
        <v>69</v>
      </c>
      <c r="AZ3468" t="b">
        <v>1</v>
      </c>
    </row>
    <row r="3469" spans="1:52" x14ac:dyDescent="0.3">
      <c r="A3469" t="s">
        <v>52</v>
      </c>
      <c r="B3469" t="s">
        <v>53</v>
      </c>
      <c r="C3469" t="s">
        <v>54</v>
      </c>
      <c r="D3469" t="s">
        <v>55</v>
      </c>
      <c r="E3469" t="s">
        <v>2200</v>
      </c>
      <c r="F3469" t="s">
        <v>190</v>
      </c>
      <c r="G3469" t="s">
        <v>734</v>
      </c>
      <c r="H3469" t="s">
        <v>1068</v>
      </c>
      <c r="I3469" t="s">
        <v>1068</v>
      </c>
      <c r="J3469" t="s">
        <v>60</v>
      </c>
      <c r="K3469" t="s">
        <v>736</v>
      </c>
      <c r="L3469" t="s">
        <v>62</v>
      </c>
      <c r="M3469" t="s">
        <v>736</v>
      </c>
      <c r="N3469" t="s">
        <v>1069</v>
      </c>
      <c r="O3469" t="s">
        <v>1070</v>
      </c>
      <c r="P3469">
        <v>-20.110289999999999</v>
      </c>
      <c r="Q3469">
        <v>-44.981574000000002</v>
      </c>
      <c r="R3469" s="2" t="str">
        <f>HYPERLINK("https://www.google.com/maps?q=-20.1102900,-44.9815740","Abrir no Google Maps")</f>
        <v>Abrir no Google Maps</v>
      </c>
      <c r="S3469">
        <v>3</v>
      </c>
      <c r="T3469">
        <v>1081.8012210194311</v>
      </c>
      <c r="U3469">
        <v>3</v>
      </c>
      <c r="V3469">
        <v>0.45060861423220971</v>
      </c>
      <c r="W3469">
        <v>1</v>
      </c>
      <c r="X3469">
        <v>0.45060861423220971</v>
      </c>
      <c r="Y3469">
        <v>385</v>
      </c>
      <c r="Z3469">
        <v>1009.915869278438</v>
      </c>
      <c r="AA3469">
        <v>198</v>
      </c>
      <c r="AB3469">
        <v>332</v>
      </c>
      <c r="AC3469">
        <v>536</v>
      </c>
      <c r="AD3469">
        <v>28.54</v>
      </c>
      <c r="AE3469">
        <v>542</v>
      </c>
      <c r="AF3469">
        <v>20</v>
      </c>
      <c r="AG3469">
        <v>181</v>
      </c>
      <c r="AH3469">
        <v>129</v>
      </c>
      <c r="AI3469">
        <v>3.69</v>
      </c>
      <c r="AJ3469">
        <v>33.39</v>
      </c>
      <c r="AK3469">
        <v>23.8</v>
      </c>
      <c r="AL3469">
        <v>-20.110281699999941</v>
      </c>
      <c r="AM3469">
        <v>-44.98144213076452</v>
      </c>
      <c r="AN3469">
        <v>-20.110281699999941</v>
      </c>
      <c r="AO3469">
        <v>-44.98144213076452</v>
      </c>
      <c r="AP3469">
        <v>-20.110289999999999</v>
      </c>
      <c r="AQ3469">
        <v>-44.981574000000002</v>
      </c>
      <c r="AR3469">
        <v>13.815631287504781</v>
      </c>
      <c r="AS3469" t="s">
        <v>65</v>
      </c>
      <c r="AT3469">
        <v>1</v>
      </c>
      <c r="AU3469" t="s">
        <v>1071</v>
      </c>
      <c r="AV3469" t="s">
        <v>1072</v>
      </c>
      <c r="AW3469" t="s">
        <v>60</v>
      </c>
      <c r="AX3469" t="s">
        <v>68</v>
      </c>
      <c r="AY3469" t="s">
        <v>69</v>
      </c>
      <c r="AZ3469" t="b">
        <v>1</v>
      </c>
    </row>
    <row r="3470" spans="1:52" x14ac:dyDescent="0.3">
      <c r="A3470" t="s">
        <v>52</v>
      </c>
      <c r="B3470" t="s">
        <v>53</v>
      </c>
      <c r="C3470" t="s">
        <v>54</v>
      </c>
      <c r="D3470" t="s">
        <v>55</v>
      </c>
      <c r="E3470" t="s">
        <v>2200</v>
      </c>
      <c r="F3470" t="s">
        <v>190</v>
      </c>
      <c r="G3470" t="s">
        <v>1077</v>
      </c>
      <c r="H3470" t="s">
        <v>1078</v>
      </c>
      <c r="I3470" t="s">
        <v>1078</v>
      </c>
      <c r="J3470" t="s">
        <v>60</v>
      </c>
      <c r="K3470" t="s">
        <v>761</v>
      </c>
      <c r="L3470" t="s">
        <v>62</v>
      </c>
      <c r="M3470" t="s">
        <v>761</v>
      </c>
      <c r="N3470" t="s">
        <v>1079</v>
      </c>
      <c r="O3470" t="s">
        <v>1080</v>
      </c>
      <c r="P3470">
        <v>-20.119579999999999</v>
      </c>
      <c r="Q3470">
        <v>-44.855030999999997</v>
      </c>
      <c r="R3470" s="2" t="str">
        <f>HYPERLINK("https://www.google.com/maps?q=-20.1195800,-44.8550310","Abrir no Google Maps")</f>
        <v>Abrir no Google Maps</v>
      </c>
      <c r="S3470">
        <v>3</v>
      </c>
      <c r="T3470">
        <v>800.32085104254202</v>
      </c>
      <c r="U3470">
        <v>3</v>
      </c>
      <c r="V3470">
        <v>0.45099304865938428</v>
      </c>
      <c r="W3470">
        <v>1</v>
      </c>
      <c r="X3470">
        <v>0.45099304865938428</v>
      </c>
      <c r="Y3470">
        <v>350</v>
      </c>
      <c r="Z3470">
        <v>431.56201899267722</v>
      </c>
      <c r="AA3470">
        <v>198</v>
      </c>
      <c r="AB3470">
        <v>332</v>
      </c>
      <c r="AC3470">
        <v>536</v>
      </c>
      <c r="AD3470">
        <v>28.54</v>
      </c>
      <c r="AE3470">
        <v>542</v>
      </c>
      <c r="AF3470">
        <v>20</v>
      </c>
      <c r="AG3470">
        <v>181</v>
      </c>
      <c r="AH3470">
        <v>129</v>
      </c>
      <c r="AI3470">
        <v>3.69</v>
      </c>
      <c r="AJ3470">
        <v>33.39</v>
      </c>
      <c r="AK3470">
        <v>23.8</v>
      </c>
      <c r="AL3470">
        <v>-20.119806999999948</v>
      </c>
      <c r="AM3470">
        <v>-44.855901548391778</v>
      </c>
      <c r="AN3470">
        <v>-20.119806999999948</v>
      </c>
      <c r="AO3470">
        <v>-44.855901548391778</v>
      </c>
      <c r="AP3470">
        <v>-20.119579999999999</v>
      </c>
      <c r="AQ3470">
        <v>-44.855030999999997</v>
      </c>
      <c r="AR3470">
        <v>94.439141250965164</v>
      </c>
      <c r="AS3470" t="s">
        <v>65</v>
      </c>
      <c r="AT3470">
        <v>1</v>
      </c>
      <c r="AU3470" t="s">
        <v>1081</v>
      </c>
      <c r="AV3470" t="s">
        <v>1082</v>
      </c>
      <c r="AW3470" t="s">
        <v>60</v>
      </c>
      <c r="AX3470" t="s">
        <v>68</v>
      </c>
      <c r="AY3470" t="s">
        <v>69</v>
      </c>
      <c r="AZ3470" t="b">
        <v>1</v>
      </c>
    </row>
    <row r="3471" spans="1:52" x14ac:dyDescent="0.3">
      <c r="A3471" t="s">
        <v>52</v>
      </c>
      <c r="B3471" t="s">
        <v>53</v>
      </c>
      <c r="C3471" t="s">
        <v>54</v>
      </c>
      <c r="D3471" t="s">
        <v>55</v>
      </c>
      <c r="E3471" t="s">
        <v>2200</v>
      </c>
      <c r="F3471" t="s">
        <v>190</v>
      </c>
      <c r="G3471" t="s">
        <v>1083</v>
      </c>
      <c r="H3471" t="s">
        <v>1084</v>
      </c>
      <c r="I3471" t="s">
        <v>1084</v>
      </c>
      <c r="J3471" t="s">
        <v>60</v>
      </c>
      <c r="K3471" t="s">
        <v>761</v>
      </c>
      <c r="L3471" t="s">
        <v>62</v>
      </c>
      <c r="M3471" t="s">
        <v>761</v>
      </c>
      <c r="N3471" t="s">
        <v>1085</v>
      </c>
      <c r="O3471" t="s">
        <v>1086</v>
      </c>
      <c r="P3471">
        <v>-20.124312</v>
      </c>
      <c r="Q3471">
        <v>-44.850425000000001</v>
      </c>
      <c r="R3471" s="2" t="str">
        <f>HYPERLINK("https://www.google.com/maps?q=-20.1243120,-44.8504250","Abrir no Google Maps")</f>
        <v>Abrir no Google Maps</v>
      </c>
      <c r="S3471">
        <v>3</v>
      </c>
      <c r="T3471">
        <v>0</v>
      </c>
      <c r="U3471">
        <v>3</v>
      </c>
      <c r="V3471">
        <v>0.47056529200686459</v>
      </c>
      <c r="W3471">
        <v>1</v>
      </c>
      <c r="X3471">
        <v>0.47056529200686459</v>
      </c>
      <c r="Y3471">
        <v>350</v>
      </c>
      <c r="Z3471">
        <v>380.24040721202471</v>
      </c>
      <c r="AA3471">
        <v>198</v>
      </c>
      <c r="AB3471">
        <v>332</v>
      </c>
      <c r="AC3471">
        <v>536</v>
      </c>
      <c r="AD3471">
        <v>28.54</v>
      </c>
      <c r="AE3471">
        <v>542</v>
      </c>
      <c r="AF3471">
        <v>20</v>
      </c>
      <c r="AG3471">
        <v>181</v>
      </c>
      <c r="AH3471">
        <v>129</v>
      </c>
      <c r="AI3471">
        <v>3.69</v>
      </c>
      <c r="AJ3471">
        <v>33.39</v>
      </c>
      <c r="AK3471">
        <v>23.8</v>
      </c>
      <c r="AL3471">
        <v>-20.126267499999951</v>
      </c>
      <c r="AM3471">
        <v>-44.852460192840908</v>
      </c>
      <c r="AN3471">
        <v>-20.126267499999951</v>
      </c>
      <c r="AO3471">
        <v>-44.852460192840908</v>
      </c>
      <c r="AP3471">
        <v>-20.124312</v>
      </c>
      <c r="AQ3471">
        <v>-44.850425000000001</v>
      </c>
      <c r="AR3471">
        <v>304.36574074135672</v>
      </c>
      <c r="AS3471" t="s">
        <v>65</v>
      </c>
      <c r="AT3471">
        <v>1</v>
      </c>
      <c r="AU3471" t="s">
        <v>1087</v>
      </c>
      <c r="AV3471" t="s">
        <v>1088</v>
      </c>
      <c r="AW3471" t="s">
        <v>60</v>
      </c>
      <c r="AX3471" t="s">
        <v>68</v>
      </c>
      <c r="AY3471" t="s">
        <v>69</v>
      </c>
      <c r="AZ3471" t="b">
        <v>1</v>
      </c>
    </row>
    <row r="3472" spans="1:52" x14ac:dyDescent="0.3">
      <c r="A3472" t="s">
        <v>52</v>
      </c>
      <c r="B3472" t="s">
        <v>53</v>
      </c>
      <c r="C3472" t="s">
        <v>54</v>
      </c>
      <c r="D3472" t="s">
        <v>55</v>
      </c>
      <c r="E3472" t="s">
        <v>2200</v>
      </c>
      <c r="F3472" t="s">
        <v>190</v>
      </c>
      <c r="G3472" t="s">
        <v>1094</v>
      </c>
      <c r="H3472" t="s">
        <v>1095</v>
      </c>
      <c r="I3472" t="s">
        <v>1095</v>
      </c>
      <c r="J3472" t="s">
        <v>60</v>
      </c>
      <c r="K3472" t="s">
        <v>761</v>
      </c>
      <c r="L3472" t="s">
        <v>62</v>
      </c>
      <c r="M3472" t="s">
        <v>761</v>
      </c>
      <c r="N3472" t="s">
        <v>1096</v>
      </c>
      <c r="O3472" t="s">
        <v>1070</v>
      </c>
      <c r="P3472">
        <v>-20.122955999999999</v>
      </c>
      <c r="Q3472">
        <v>-44.847842</v>
      </c>
      <c r="R3472" s="2" t="str">
        <f>HYPERLINK("https://www.google.com/maps?q=-20.1229560,-44.8478420","Abrir no Google Maps")</f>
        <v>Abrir no Google Maps</v>
      </c>
      <c r="S3472">
        <v>3</v>
      </c>
      <c r="T3472">
        <v>611.23533866709147</v>
      </c>
      <c r="U3472">
        <v>3</v>
      </c>
      <c r="V3472">
        <v>0.47124510599362551</v>
      </c>
      <c r="W3472">
        <v>1</v>
      </c>
      <c r="X3472">
        <v>0.47124510599362551</v>
      </c>
      <c r="Y3472">
        <v>350</v>
      </c>
      <c r="Z3472">
        <v>567.3129443637539</v>
      </c>
      <c r="AA3472">
        <v>198</v>
      </c>
      <c r="AB3472">
        <v>332</v>
      </c>
      <c r="AC3472">
        <v>536</v>
      </c>
      <c r="AD3472">
        <v>28.54</v>
      </c>
      <c r="AE3472">
        <v>542</v>
      </c>
      <c r="AF3472">
        <v>20</v>
      </c>
      <c r="AG3472">
        <v>181</v>
      </c>
      <c r="AH3472">
        <v>129</v>
      </c>
      <c r="AI3472">
        <v>3.69</v>
      </c>
      <c r="AJ3472">
        <v>33.39</v>
      </c>
      <c r="AK3472">
        <v>23.8</v>
      </c>
      <c r="AL3472">
        <v>-20.122854299999972</v>
      </c>
      <c r="AM3472">
        <v>-44.847862495675152</v>
      </c>
      <c r="AN3472">
        <v>-20.122854299999972</v>
      </c>
      <c r="AO3472">
        <v>-44.847862495675152</v>
      </c>
      <c r="AP3472">
        <v>-20.122955999999999</v>
      </c>
      <c r="AQ3472">
        <v>-44.847842</v>
      </c>
      <c r="AR3472">
        <v>11.522154044835331</v>
      </c>
      <c r="AS3472" t="s">
        <v>65</v>
      </c>
      <c r="AT3472">
        <v>1</v>
      </c>
      <c r="AU3472" t="s">
        <v>1097</v>
      </c>
      <c r="AV3472" t="s">
        <v>1098</v>
      </c>
      <c r="AW3472" t="s">
        <v>60</v>
      </c>
      <c r="AX3472" t="s">
        <v>68</v>
      </c>
      <c r="AY3472" t="s">
        <v>69</v>
      </c>
      <c r="AZ3472" t="b">
        <v>1</v>
      </c>
    </row>
    <row r="3473" spans="1:52" x14ac:dyDescent="0.3">
      <c r="A3473" t="s">
        <v>52</v>
      </c>
      <c r="B3473" t="s">
        <v>53</v>
      </c>
      <c r="C3473" t="s">
        <v>54</v>
      </c>
      <c r="D3473" t="s">
        <v>55</v>
      </c>
      <c r="E3473" t="s">
        <v>2200</v>
      </c>
      <c r="F3473" t="s">
        <v>190</v>
      </c>
      <c r="G3473" t="s">
        <v>759</v>
      </c>
      <c r="H3473" t="s">
        <v>760</v>
      </c>
      <c r="I3473" t="s">
        <v>760</v>
      </c>
      <c r="J3473" t="s">
        <v>60</v>
      </c>
      <c r="K3473" t="s">
        <v>761</v>
      </c>
      <c r="L3473" t="s">
        <v>62</v>
      </c>
      <c r="M3473" t="s">
        <v>761</v>
      </c>
      <c r="N3473" t="s">
        <v>762</v>
      </c>
      <c r="O3473" t="s">
        <v>763</v>
      </c>
      <c r="P3473">
        <v>-20.118755</v>
      </c>
      <c r="Q3473">
        <v>-44.850627000000003</v>
      </c>
      <c r="R3473" s="2" t="str">
        <f>HYPERLINK("https://www.google.com/maps?q=-20.1187550,-44.8506270","Abrir no Google Maps")</f>
        <v>Abrir no Google Maps</v>
      </c>
      <c r="S3473">
        <v>3</v>
      </c>
      <c r="T3473">
        <v>848.81670834514034</v>
      </c>
      <c r="U3473">
        <v>3</v>
      </c>
      <c r="V3473">
        <v>0.46391385767790261</v>
      </c>
      <c r="W3473">
        <v>1</v>
      </c>
      <c r="X3473">
        <v>0.46391385767790261</v>
      </c>
      <c r="Y3473">
        <v>350</v>
      </c>
      <c r="Z3473">
        <v>443.51354125420028</v>
      </c>
      <c r="AA3473">
        <v>198</v>
      </c>
      <c r="AB3473">
        <v>332</v>
      </c>
      <c r="AC3473">
        <v>536</v>
      </c>
      <c r="AD3473">
        <v>28.54</v>
      </c>
      <c r="AE3473">
        <v>542</v>
      </c>
      <c r="AF3473">
        <v>20</v>
      </c>
      <c r="AG3473">
        <v>181</v>
      </c>
      <c r="AH3473">
        <v>129</v>
      </c>
      <c r="AI3473">
        <v>3.69</v>
      </c>
      <c r="AJ3473">
        <v>33.39</v>
      </c>
      <c r="AK3473">
        <v>23.8</v>
      </c>
      <c r="AL3473">
        <v>-20.11882464999994</v>
      </c>
      <c r="AM3473">
        <v>-44.850497004056017</v>
      </c>
      <c r="AN3473">
        <v>-20.11882464999994</v>
      </c>
      <c r="AO3473">
        <v>-44.850497004056017</v>
      </c>
      <c r="AP3473">
        <v>-20.118755</v>
      </c>
      <c r="AQ3473">
        <v>-44.850627000000003</v>
      </c>
      <c r="AR3473">
        <v>15.6445928866994</v>
      </c>
      <c r="AS3473" t="s">
        <v>65</v>
      </c>
      <c r="AT3473">
        <v>1</v>
      </c>
      <c r="AU3473" t="s">
        <v>764</v>
      </c>
      <c r="AV3473" t="s">
        <v>765</v>
      </c>
      <c r="AW3473" t="s">
        <v>60</v>
      </c>
      <c r="AX3473" t="s">
        <v>68</v>
      </c>
      <c r="AY3473" t="s">
        <v>69</v>
      </c>
      <c r="AZ3473" t="b">
        <v>1</v>
      </c>
    </row>
    <row r="3474" spans="1:52" x14ac:dyDescent="0.3">
      <c r="A3474" t="s">
        <v>52</v>
      </c>
      <c r="B3474" t="s">
        <v>53</v>
      </c>
      <c r="C3474" t="s">
        <v>54</v>
      </c>
      <c r="D3474" t="s">
        <v>55</v>
      </c>
      <c r="E3474" t="s">
        <v>2200</v>
      </c>
      <c r="F3474" t="s">
        <v>190</v>
      </c>
      <c r="G3474" t="s">
        <v>773</v>
      </c>
      <c r="H3474" t="s">
        <v>774</v>
      </c>
      <c r="I3474" t="s">
        <v>774</v>
      </c>
      <c r="J3474" t="s">
        <v>60</v>
      </c>
      <c r="K3474" t="s">
        <v>775</v>
      </c>
      <c r="L3474" t="s">
        <v>62</v>
      </c>
      <c r="M3474" t="s">
        <v>775</v>
      </c>
      <c r="N3474" t="s">
        <v>776</v>
      </c>
      <c r="O3474" t="s">
        <v>250</v>
      </c>
      <c r="P3474">
        <v>-20.135413</v>
      </c>
      <c r="Q3474">
        <v>-44.868969999999997</v>
      </c>
      <c r="R3474" s="2" t="str">
        <f>HYPERLINK("https://www.google.com/maps?q=-20.1354130,-44.8689700","Abrir no Google Maps")</f>
        <v>Abrir no Google Maps</v>
      </c>
      <c r="S3474">
        <v>3</v>
      </c>
      <c r="T3474">
        <v>403.5118397372845</v>
      </c>
      <c r="U3474">
        <v>3</v>
      </c>
      <c r="V3474">
        <v>0.4604646697388633</v>
      </c>
      <c r="W3474">
        <v>1</v>
      </c>
      <c r="X3474">
        <v>0.4604646697388633</v>
      </c>
      <c r="Y3474">
        <v>332</v>
      </c>
      <c r="Z3474">
        <v>455.74614750795899</v>
      </c>
      <c r="AA3474">
        <v>198</v>
      </c>
      <c r="AB3474">
        <v>332</v>
      </c>
      <c r="AC3474">
        <v>536</v>
      </c>
      <c r="AD3474">
        <v>28.54</v>
      </c>
      <c r="AE3474">
        <v>542</v>
      </c>
      <c r="AF3474">
        <v>20</v>
      </c>
      <c r="AG3474">
        <v>181</v>
      </c>
      <c r="AH3474">
        <v>129</v>
      </c>
      <c r="AI3474">
        <v>3.69</v>
      </c>
      <c r="AJ3474">
        <v>33.39</v>
      </c>
      <c r="AK3474">
        <v>23.8</v>
      </c>
      <c r="AL3474">
        <v>-20.13561149999995</v>
      </c>
      <c r="AM3474">
        <v>-44.868817260088647</v>
      </c>
      <c r="AN3474">
        <v>-20.13561149999995</v>
      </c>
      <c r="AO3474">
        <v>-44.868817260088647</v>
      </c>
      <c r="AP3474">
        <v>-20.135413</v>
      </c>
      <c r="AQ3474">
        <v>-44.868969999999997</v>
      </c>
      <c r="AR3474">
        <v>27.26024434808955</v>
      </c>
      <c r="AS3474" t="s">
        <v>65</v>
      </c>
      <c r="AT3474">
        <v>1</v>
      </c>
      <c r="AU3474" t="s">
        <v>777</v>
      </c>
      <c r="AV3474" t="s">
        <v>778</v>
      </c>
      <c r="AW3474" t="s">
        <v>60</v>
      </c>
      <c r="AX3474" t="s">
        <v>68</v>
      </c>
      <c r="AY3474" t="s">
        <v>69</v>
      </c>
      <c r="AZ3474" t="b">
        <v>1</v>
      </c>
    </row>
    <row r="3475" spans="1:52" x14ac:dyDescent="0.3">
      <c r="A3475" t="s">
        <v>52</v>
      </c>
      <c r="B3475" t="s">
        <v>53</v>
      </c>
      <c r="C3475" t="s">
        <v>54</v>
      </c>
      <c r="D3475" t="s">
        <v>55</v>
      </c>
      <c r="E3475" t="s">
        <v>2200</v>
      </c>
      <c r="F3475" t="s">
        <v>190</v>
      </c>
      <c r="G3475" t="s">
        <v>779</v>
      </c>
      <c r="H3475" t="s">
        <v>780</v>
      </c>
      <c r="I3475" t="s">
        <v>780</v>
      </c>
      <c r="J3475" t="s">
        <v>60</v>
      </c>
      <c r="K3475" t="s">
        <v>781</v>
      </c>
      <c r="L3475" t="s">
        <v>62</v>
      </c>
      <c r="M3475" t="s">
        <v>781</v>
      </c>
      <c r="N3475" t="s">
        <v>782</v>
      </c>
      <c r="O3475" t="s">
        <v>783</v>
      </c>
      <c r="P3475">
        <v>-20.137938999999999</v>
      </c>
      <c r="Q3475">
        <v>-44.865873000000001</v>
      </c>
      <c r="R3475" s="2" t="str">
        <f>HYPERLINK("https://www.google.com/maps?q=-20.1379390,-44.8658730","Abrir no Google Maps")</f>
        <v>Abrir no Google Maps</v>
      </c>
      <c r="S3475">
        <v>3</v>
      </c>
      <c r="T3475">
        <v>663.24596349877265</v>
      </c>
      <c r="U3475">
        <v>3</v>
      </c>
      <c r="V3475">
        <v>0.44346939815522601</v>
      </c>
      <c r="W3475">
        <v>1</v>
      </c>
      <c r="X3475">
        <v>0.44346939815522601</v>
      </c>
      <c r="Y3475">
        <v>332</v>
      </c>
      <c r="Z3475">
        <v>724.72470227972997</v>
      </c>
      <c r="AA3475">
        <v>198</v>
      </c>
      <c r="AB3475">
        <v>332</v>
      </c>
      <c r="AC3475">
        <v>536</v>
      </c>
      <c r="AD3475">
        <v>28.54</v>
      </c>
      <c r="AE3475">
        <v>542</v>
      </c>
      <c r="AF3475">
        <v>20</v>
      </c>
      <c r="AG3475">
        <v>181</v>
      </c>
      <c r="AH3475">
        <v>129</v>
      </c>
      <c r="AI3475">
        <v>3.69</v>
      </c>
      <c r="AJ3475">
        <v>33.39</v>
      </c>
      <c r="AK3475">
        <v>23.8</v>
      </c>
      <c r="AL3475">
        <v>-20.137865449999961</v>
      </c>
      <c r="AM3475">
        <v>-44.866141027847057</v>
      </c>
      <c r="AN3475">
        <v>-20.137865449999961</v>
      </c>
      <c r="AO3475">
        <v>-44.866141027847057</v>
      </c>
      <c r="AP3475">
        <v>-20.137938999999999</v>
      </c>
      <c r="AQ3475">
        <v>-44.865873000000001</v>
      </c>
      <c r="AR3475">
        <v>29.184856191831059</v>
      </c>
      <c r="AS3475" t="s">
        <v>65</v>
      </c>
      <c r="AT3475">
        <v>1</v>
      </c>
      <c r="AU3475" t="s">
        <v>784</v>
      </c>
      <c r="AV3475" t="s">
        <v>785</v>
      </c>
      <c r="AW3475" t="s">
        <v>60</v>
      </c>
      <c r="AX3475" t="s">
        <v>68</v>
      </c>
      <c r="AY3475" t="s">
        <v>69</v>
      </c>
      <c r="AZ3475" t="b">
        <v>1</v>
      </c>
    </row>
    <row r="3476" spans="1:52" x14ac:dyDescent="0.3">
      <c r="A3476" t="s">
        <v>52</v>
      </c>
      <c r="B3476" t="s">
        <v>53</v>
      </c>
      <c r="C3476" t="s">
        <v>54</v>
      </c>
      <c r="D3476" t="s">
        <v>55</v>
      </c>
      <c r="E3476" t="s">
        <v>2200</v>
      </c>
      <c r="F3476" t="s">
        <v>190</v>
      </c>
      <c r="G3476" t="s">
        <v>1104</v>
      </c>
      <c r="H3476" t="s">
        <v>1105</v>
      </c>
      <c r="I3476" t="s">
        <v>1105</v>
      </c>
      <c r="J3476" t="s">
        <v>60</v>
      </c>
      <c r="K3476" t="s">
        <v>781</v>
      </c>
      <c r="L3476" t="s">
        <v>62</v>
      </c>
      <c r="M3476" t="s">
        <v>781</v>
      </c>
      <c r="N3476" t="s">
        <v>1106</v>
      </c>
      <c r="O3476" t="s">
        <v>1080</v>
      </c>
      <c r="P3476">
        <v>-20.138683</v>
      </c>
      <c r="Q3476">
        <v>-44.868507999999999</v>
      </c>
      <c r="R3476" s="2" t="str">
        <f>HYPERLINK("https://www.google.com/maps?q=-20.1386830,-44.8685080","Abrir no Google Maps")</f>
        <v>Abrir no Google Maps</v>
      </c>
      <c r="S3476">
        <v>3</v>
      </c>
      <c r="T3476">
        <v>450.88210098833099</v>
      </c>
      <c r="U3476">
        <v>3</v>
      </c>
      <c r="V3476">
        <v>0.46204824112535869</v>
      </c>
      <c r="W3476">
        <v>1</v>
      </c>
      <c r="X3476">
        <v>0.46204824112535869</v>
      </c>
      <c r="Y3476">
        <v>332</v>
      </c>
      <c r="Z3476">
        <v>601.27669048153166</v>
      </c>
      <c r="AA3476">
        <v>198</v>
      </c>
      <c r="AB3476">
        <v>332</v>
      </c>
      <c r="AC3476">
        <v>536</v>
      </c>
      <c r="AD3476">
        <v>28.54</v>
      </c>
      <c r="AE3476">
        <v>542</v>
      </c>
      <c r="AF3476">
        <v>20</v>
      </c>
      <c r="AG3476">
        <v>181</v>
      </c>
      <c r="AH3476">
        <v>129</v>
      </c>
      <c r="AI3476">
        <v>3.69</v>
      </c>
      <c r="AJ3476">
        <v>33.39</v>
      </c>
      <c r="AK3476">
        <v>23.8</v>
      </c>
      <c r="AL3476">
        <v>-20.13870544999995</v>
      </c>
      <c r="AM3476">
        <v>-44.868521774012208</v>
      </c>
      <c r="AN3476">
        <v>-20.138705449999939</v>
      </c>
      <c r="AO3476">
        <v>-44.868521774012208</v>
      </c>
      <c r="AP3476">
        <v>-20.138683</v>
      </c>
      <c r="AQ3476">
        <v>-44.868507999999999</v>
      </c>
      <c r="AR3476">
        <v>2.8841042175322271</v>
      </c>
      <c r="AS3476" t="s">
        <v>65</v>
      </c>
      <c r="AT3476">
        <v>1</v>
      </c>
      <c r="AU3476" t="s">
        <v>1107</v>
      </c>
      <c r="AV3476" t="s">
        <v>1108</v>
      </c>
      <c r="AW3476" t="s">
        <v>60</v>
      </c>
      <c r="AX3476" t="s">
        <v>68</v>
      </c>
      <c r="AY3476" t="s">
        <v>69</v>
      </c>
      <c r="AZ3476" t="b">
        <v>1</v>
      </c>
    </row>
    <row r="3477" spans="1:52" x14ac:dyDescent="0.3">
      <c r="A3477" t="s">
        <v>52</v>
      </c>
      <c r="B3477" t="s">
        <v>53</v>
      </c>
      <c r="C3477" t="s">
        <v>54</v>
      </c>
      <c r="D3477" t="s">
        <v>55</v>
      </c>
      <c r="E3477" t="s">
        <v>2200</v>
      </c>
      <c r="F3477" t="s">
        <v>190</v>
      </c>
      <c r="G3477" t="s">
        <v>1109</v>
      </c>
      <c r="H3477" t="s">
        <v>1110</v>
      </c>
      <c r="I3477" t="s">
        <v>1110</v>
      </c>
      <c r="J3477" t="s">
        <v>60</v>
      </c>
      <c r="K3477" t="s">
        <v>768</v>
      </c>
      <c r="L3477" t="s">
        <v>62</v>
      </c>
      <c r="M3477" t="s">
        <v>768</v>
      </c>
      <c r="N3477" t="s">
        <v>1111</v>
      </c>
      <c r="O3477" t="s">
        <v>1112</v>
      </c>
      <c r="P3477">
        <v>-20.135508000000002</v>
      </c>
      <c r="Q3477">
        <v>-44.871786999999998</v>
      </c>
      <c r="R3477" s="2" t="str">
        <f>HYPERLINK("https://www.google.com/maps?q=-20.1355080,-44.8717870","Abrir no Google Maps")</f>
        <v>Abrir no Google Maps</v>
      </c>
      <c r="S3477">
        <v>3</v>
      </c>
      <c r="T3477">
        <v>167.5382405548801</v>
      </c>
      <c r="U3477">
        <v>3</v>
      </c>
      <c r="V3477">
        <v>0.44985319754105879</v>
      </c>
      <c r="W3477">
        <v>1</v>
      </c>
      <c r="X3477">
        <v>0.44985319754105879</v>
      </c>
      <c r="Y3477">
        <v>332</v>
      </c>
      <c r="Z3477">
        <v>179.76671916562941</v>
      </c>
      <c r="AA3477">
        <v>198</v>
      </c>
      <c r="AB3477">
        <v>332</v>
      </c>
      <c r="AC3477">
        <v>536</v>
      </c>
      <c r="AD3477">
        <v>28.54</v>
      </c>
      <c r="AE3477">
        <v>542</v>
      </c>
      <c r="AF3477">
        <v>20</v>
      </c>
      <c r="AG3477">
        <v>181</v>
      </c>
      <c r="AH3477">
        <v>129</v>
      </c>
      <c r="AI3477">
        <v>3.69</v>
      </c>
      <c r="AJ3477">
        <v>33.39</v>
      </c>
      <c r="AK3477">
        <v>23.8</v>
      </c>
      <c r="AL3477">
        <v>-20.135532899999959</v>
      </c>
      <c r="AM3477">
        <v>-44.871828172735903</v>
      </c>
      <c r="AN3477">
        <v>-20.135532899999959</v>
      </c>
      <c r="AO3477">
        <v>-44.871828172735903</v>
      </c>
      <c r="AP3477">
        <v>-20.135508000000002</v>
      </c>
      <c r="AQ3477">
        <v>-44.871786999999998</v>
      </c>
      <c r="AR3477">
        <v>5.1186859635787858</v>
      </c>
      <c r="AS3477" t="s">
        <v>65</v>
      </c>
      <c r="AT3477">
        <v>1</v>
      </c>
      <c r="AU3477" t="s">
        <v>1113</v>
      </c>
      <c r="AV3477" t="s">
        <v>1114</v>
      </c>
      <c r="AW3477" t="s">
        <v>60</v>
      </c>
      <c r="AX3477" t="s">
        <v>68</v>
      </c>
      <c r="AY3477" t="s">
        <v>69</v>
      </c>
      <c r="AZ3477" t="b">
        <v>1</v>
      </c>
    </row>
    <row r="3478" spans="1:52" x14ac:dyDescent="0.3">
      <c r="A3478" t="s">
        <v>52</v>
      </c>
      <c r="B3478" t="s">
        <v>53</v>
      </c>
      <c r="C3478" t="s">
        <v>54</v>
      </c>
      <c r="D3478" t="s">
        <v>55</v>
      </c>
      <c r="E3478" t="s">
        <v>2200</v>
      </c>
      <c r="F3478" t="s">
        <v>190</v>
      </c>
      <c r="G3478" t="s">
        <v>1121</v>
      </c>
      <c r="H3478" t="s">
        <v>1122</v>
      </c>
      <c r="I3478" t="s">
        <v>1122</v>
      </c>
      <c r="J3478" t="s">
        <v>60</v>
      </c>
      <c r="K3478" t="s">
        <v>1123</v>
      </c>
      <c r="L3478" t="s">
        <v>62</v>
      </c>
      <c r="M3478" t="s">
        <v>1123</v>
      </c>
      <c r="N3478" t="s">
        <v>1124</v>
      </c>
      <c r="O3478" t="s">
        <v>74</v>
      </c>
      <c r="P3478">
        <v>-20.105318</v>
      </c>
      <c r="Q3478">
        <v>-44.879216</v>
      </c>
      <c r="R3478" s="2" t="str">
        <f>HYPERLINK("https://www.google.com/maps?q=-20.1053180,-44.8792160","Abrir no Google Maps")</f>
        <v>Abrir no Google Maps</v>
      </c>
      <c r="S3478">
        <v>3</v>
      </c>
      <c r="T3478">
        <v>318.57668516180911</v>
      </c>
      <c r="U3478">
        <v>3</v>
      </c>
      <c r="V3478">
        <v>0.44745845552297159</v>
      </c>
      <c r="W3478">
        <v>1</v>
      </c>
      <c r="X3478">
        <v>0.44745845552297159</v>
      </c>
      <c r="Y3478">
        <v>314</v>
      </c>
      <c r="Z3478">
        <v>207.50829098881519</v>
      </c>
      <c r="AA3478">
        <v>198</v>
      </c>
      <c r="AB3478">
        <v>332</v>
      </c>
      <c r="AC3478">
        <v>536</v>
      </c>
      <c r="AD3478">
        <v>28.54</v>
      </c>
      <c r="AE3478">
        <v>542</v>
      </c>
      <c r="AF3478">
        <v>20</v>
      </c>
      <c r="AG3478">
        <v>181</v>
      </c>
      <c r="AH3478">
        <v>129</v>
      </c>
      <c r="AI3478">
        <v>3.69</v>
      </c>
      <c r="AJ3478">
        <v>33.39</v>
      </c>
      <c r="AK3478">
        <v>23.8</v>
      </c>
      <c r="AL3478">
        <v>-20.105361049999939</v>
      </c>
      <c r="AM3478">
        <v>-44.87924613740698</v>
      </c>
      <c r="AN3478">
        <v>-20.105361049999939</v>
      </c>
      <c r="AO3478">
        <v>-44.87924613740698</v>
      </c>
      <c r="AP3478">
        <v>-20.105318</v>
      </c>
      <c r="AQ3478">
        <v>-44.879216</v>
      </c>
      <c r="AR3478">
        <v>5.7351338374851242</v>
      </c>
      <c r="AS3478" t="s">
        <v>65</v>
      </c>
      <c r="AT3478">
        <v>1</v>
      </c>
      <c r="AU3478" t="s">
        <v>1125</v>
      </c>
      <c r="AV3478" t="s">
        <v>1126</v>
      </c>
      <c r="AW3478" t="s">
        <v>60</v>
      </c>
      <c r="AX3478" t="s">
        <v>68</v>
      </c>
      <c r="AY3478" t="s">
        <v>69</v>
      </c>
      <c r="AZ3478" t="b">
        <v>1</v>
      </c>
    </row>
    <row r="3479" spans="1:52" x14ac:dyDescent="0.3">
      <c r="A3479" t="s">
        <v>52</v>
      </c>
      <c r="B3479" t="s">
        <v>53</v>
      </c>
      <c r="C3479" t="s">
        <v>54</v>
      </c>
      <c r="D3479" t="s">
        <v>55</v>
      </c>
      <c r="E3479" t="s">
        <v>2200</v>
      </c>
      <c r="F3479" t="s">
        <v>190</v>
      </c>
      <c r="G3479" t="s">
        <v>1133</v>
      </c>
      <c r="H3479" t="s">
        <v>1134</v>
      </c>
      <c r="I3479" t="s">
        <v>1134</v>
      </c>
      <c r="J3479" t="s">
        <v>60</v>
      </c>
      <c r="K3479" t="s">
        <v>1123</v>
      </c>
      <c r="L3479" t="s">
        <v>62</v>
      </c>
      <c r="M3479" t="s">
        <v>1123</v>
      </c>
      <c r="N3479" t="s">
        <v>1135</v>
      </c>
      <c r="O3479" t="s">
        <v>138</v>
      </c>
      <c r="P3479">
        <v>-20.106113000000001</v>
      </c>
      <c r="Q3479">
        <v>-44.876035999999999</v>
      </c>
      <c r="R3479" s="2" t="str">
        <f>HYPERLINK("https://www.google.com/maps?q=-20.1061130,-44.8760360","Abrir no Google Maps")</f>
        <v>Abrir no Google Maps</v>
      </c>
      <c r="S3479">
        <v>3</v>
      </c>
      <c r="T3479">
        <v>0</v>
      </c>
      <c r="U3479">
        <v>3</v>
      </c>
      <c r="V3479">
        <v>0.45077675882836032</v>
      </c>
      <c r="W3479">
        <v>1</v>
      </c>
      <c r="X3479">
        <v>0.45077675882836032</v>
      </c>
      <c r="Y3479">
        <v>314</v>
      </c>
      <c r="Z3479">
        <v>98.504848991092999</v>
      </c>
      <c r="AA3479">
        <v>198</v>
      </c>
      <c r="AB3479">
        <v>332</v>
      </c>
      <c r="AC3479">
        <v>536</v>
      </c>
      <c r="AD3479">
        <v>28.54</v>
      </c>
      <c r="AE3479">
        <v>542</v>
      </c>
      <c r="AF3479">
        <v>20</v>
      </c>
      <c r="AG3479">
        <v>181</v>
      </c>
      <c r="AH3479">
        <v>129</v>
      </c>
      <c r="AI3479">
        <v>3.69</v>
      </c>
      <c r="AJ3479">
        <v>33.39</v>
      </c>
      <c r="AK3479">
        <v>23.8</v>
      </c>
      <c r="AL3479">
        <v>-20.106190249999941</v>
      </c>
      <c r="AM3479">
        <v>-44.876327742253288</v>
      </c>
      <c r="AN3479">
        <v>-20.106190249999941</v>
      </c>
      <c r="AO3479">
        <v>-44.876327742253288</v>
      </c>
      <c r="AP3479">
        <v>-20.106113000000001</v>
      </c>
      <c r="AQ3479">
        <v>-44.876035999999999</v>
      </c>
      <c r="AR3479">
        <v>31.686742853465731</v>
      </c>
      <c r="AS3479" t="s">
        <v>65</v>
      </c>
      <c r="AT3479">
        <v>1</v>
      </c>
      <c r="AU3479" t="s">
        <v>1136</v>
      </c>
      <c r="AV3479" t="s">
        <v>1137</v>
      </c>
      <c r="AW3479" t="s">
        <v>60</v>
      </c>
      <c r="AX3479" t="s">
        <v>68</v>
      </c>
      <c r="AY3479" t="s">
        <v>69</v>
      </c>
      <c r="AZ3479" t="b">
        <v>1</v>
      </c>
    </row>
    <row r="3480" spans="1:52" x14ac:dyDescent="0.3">
      <c r="A3480" t="s">
        <v>52</v>
      </c>
      <c r="B3480" t="s">
        <v>53</v>
      </c>
      <c r="C3480" t="s">
        <v>54</v>
      </c>
      <c r="D3480" t="s">
        <v>55</v>
      </c>
      <c r="E3480" t="s">
        <v>2200</v>
      </c>
      <c r="F3480" t="s">
        <v>190</v>
      </c>
      <c r="G3480" t="s">
        <v>1133</v>
      </c>
      <c r="H3480" t="s">
        <v>1144</v>
      </c>
      <c r="I3480" t="s">
        <v>1144</v>
      </c>
      <c r="J3480" t="s">
        <v>60</v>
      </c>
      <c r="K3480" t="s">
        <v>1123</v>
      </c>
      <c r="L3480" t="s">
        <v>62</v>
      </c>
      <c r="M3480" t="s">
        <v>1123</v>
      </c>
      <c r="N3480" t="s">
        <v>1135</v>
      </c>
      <c r="O3480" t="s">
        <v>907</v>
      </c>
      <c r="P3480">
        <v>-20.100351</v>
      </c>
      <c r="Q3480">
        <v>-44.878037999999997</v>
      </c>
      <c r="R3480" s="2" t="str">
        <f>HYPERLINK("https://www.google.com/maps?q=-20.1003510,-44.8780380","Abrir no Google Maps")</f>
        <v>Abrir no Google Maps</v>
      </c>
      <c r="S3480">
        <v>3</v>
      </c>
      <c r="T3480">
        <v>665.56785712469116</v>
      </c>
      <c r="U3480">
        <v>3</v>
      </c>
      <c r="V3480">
        <v>0.45410638004685128</v>
      </c>
      <c r="W3480">
        <v>1</v>
      </c>
      <c r="X3480">
        <v>0.45410638004685128</v>
      </c>
      <c r="Y3480">
        <v>314</v>
      </c>
      <c r="Z3480">
        <v>584.8532299266725</v>
      </c>
      <c r="AA3480">
        <v>198</v>
      </c>
      <c r="AB3480">
        <v>332</v>
      </c>
      <c r="AC3480">
        <v>536</v>
      </c>
      <c r="AD3480">
        <v>28.54</v>
      </c>
      <c r="AE3480">
        <v>542</v>
      </c>
      <c r="AF3480">
        <v>20</v>
      </c>
      <c r="AG3480">
        <v>181</v>
      </c>
      <c r="AH3480">
        <v>129</v>
      </c>
      <c r="AI3480">
        <v>3.69</v>
      </c>
      <c r="AJ3480">
        <v>33.39</v>
      </c>
      <c r="AK3480">
        <v>23.8</v>
      </c>
      <c r="AL3480">
        <v>-20.100420499999959</v>
      </c>
      <c r="AM3480">
        <v>-44.878125332575927</v>
      </c>
      <c r="AN3480">
        <v>-20.100420499999959</v>
      </c>
      <c r="AO3480">
        <v>-44.878125332575927</v>
      </c>
      <c r="AP3480">
        <v>-20.100351</v>
      </c>
      <c r="AQ3480">
        <v>-44.878037999999997</v>
      </c>
      <c r="AR3480">
        <v>11.966993892024719</v>
      </c>
      <c r="AS3480" t="s">
        <v>65</v>
      </c>
      <c r="AT3480">
        <v>1</v>
      </c>
      <c r="AU3480" t="s">
        <v>1145</v>
      </c>
      <c r="AV3480" t="s">
        <v>1146</v>
      </c>
      <c r="AW3480" t="s">
        <v>60</v>
      </c>
      <c r="AX3480" t="s">
        <v>68</v>
      </c>
      <c r="AY3480" t="s">
        <v>69</v>
      </c>
      <c r="AZ3480" t="b">
        <v>1</v>
      </c>
    </row>
    <row r="3481" spans="1:52" x14ac:dyDescent="0.3">
      <c r="A3481" t="s">
        <v>52</v>
      </c>
      <c r="B3481" t="s">
        <v>53</v>
      </c>
      <c r="C3481" t="s">
        <v>54</v>
      </c>
      <c r="D3481" t="s">
        <v>55</v>
      </c>
      <c r="E3481" t="s">
        <v>2200</v>
      </c>
      <c r="F3481" t="s">
        <v>190</v>
      </c>
      <c r="G3481" t="s">
        <v>2201</v>
      </c>
      <c r="H3481" t="s">
        <v>2202</v>
      </c>
      <c r="I3481" t="s">
        <v>2202</v>
      </c>
      <c r="J3481" t="s">
        <v>60</v>
      </c>
      <c r="K3481" t="s">
        <v>1123</v>
      </c>
      <c r="L3481" t="s">
        <v>62</v>
      </c>
      <c r="M3481" t="s">
        <v>1123</v>
      </c>
      <c r="N3481" t="s">
        <v>2203</v>
      </c>
      <c r="O3481" t="s">
        <v>125</v>
      </c>
      <c r="P3481">
        <v>-20.098407000000002</v>
      </c>
      <c r="Q3481">
        <v>-44.878131000000003</v>
      </c>
      <c r="R3481" s="2" t="str">
        <f>HYPERLINK("https://www.google.com/maps?q=-20.0984070,-44.8781310","Abrir no Google Maps")</f>
        <v>Abrir no Google Maps</v>
      </c>
      <c r="S3481">
        <v>3</v>
      </c>
      <c r="T3481">
        <v>859.51107665183554</v>
      </c>
      <c r="U3481">
        <v>3</v>
      </c>
      <c r="V3481">
        <v>0.54287439613526567</v>
      </c>
      <c r="W3481">
        <v>0.85</v>
      </c>
      <c r="X3481">
        <v>0.46144323671497578</v>
      </c>
      <c r="Y3481">
        <v>314</v>
      </c>
      <c r="Z3481">
        <v>773.95456912091106</v>
      </c>
      <c r="AA3481">
        <v>198</v>
      </c>
      <c r="AB3481">
        <v>332</v>
      </c>
      <c r="AC3481">
        <v>536</v>
      </c>
      <c r="AD3481">
        <v>28.54</v>
      </c>
      <c r="AE3481">
        <v>542</v>
      </c>
      <c r="AF3481">
        <v>20</v>
      </c>
      <c r="AG3481">
        <v>181</v>
      </c>
      <c r="AH3481">
        <v>129</v>
      </c>
      <c r="AI3481">
        <v>3.69</v>
      </c>
      <c r="AJ3481">
        <v>33.39</v>
      </c>
      <c r="AK3481">
        <v>23.8</v>
      </c>
      <c r="AL3481">
        <v>-20.098590499999979</v>
      </c>
      <c r="AM3481">
        <v>-44.878024949589523</v>
      </c>
      <c r="AN3481">
        <v>-20.098590499999979</v>
      </c>
      <c r="AO3481">
        <v>-44.878024949589523</v>
      </c>
      <c r="AP3481">
        <v>-20.098407000000002</v>
      </c>
      <c r="AQ3481">
        <v>-44.878131000000003</v>
      </c>
      <c r="AR3481">
        <v>23.24186236676552</v>
      </c>
      <c r="AS3481" t="s">
        <v>65</v>
      </c>
      <c r="AT3481">
        <v>1</v>
      </c>
      <c r="AU3481" t="s">
        <v>2204</v>
      </c>
      <c r="AV3481" t="s">
        <v>1922</v>
      </c>
      <c r="AW3481" t="s">
        <v>60</v>
      </c>
      <c r="AX3481" t="s">
        <v>68</v>
      </c>
      <c r="AY3481" t="s">
        <v>69</v>
      </c>
      <c r="AZ3481" t="b">
        <v>1</v>
      </c>
    </row>
    <row r="3482" spans="1:52" x14ac:dyDescent="0.3">
      <c r="A3482" t="s">
        <v>52</v>
      </c>
      <c r="B3482" t="s">
        <v>53</v>
      </c>
      <c r="C3482" t="s">
        <v>54</v>
      </c>
      <c r="D3482" t="s">
        <v>55</v>
      </c>
      <c r="E3482" t="s">
        <v>2200</v>
      </c>
      <c r="F3482" t="s">
        <v>190</v>
      </c>
      <c r="G3482" t="s">
        <v>789</v>
      </c>
      <c r="H3482" t="s">
        <v>790</v>
      </c>
      <c r="I3482" t="s">
        <v>790</v>
      </c>
      <c r="J3482" t="s">
        <v>60</v>
      </c>
      <c r="K3482" t="s">
        <v>791</v>
      </c>
      <c r="L3482" t="s">
        <v>62</v>
      </c>
      <c r="M3482" t="s">
        <v>791</v>
      </c>
      <c r="N3482" t="s">
        <v>792</v>
      </c>
      <c r="O3482" t="s">
        <v>793</v>
      </c>
      <c r="P3482">
        <v>-20.114263000000001</v>
      </c>
      <c r="Q3482">
        <v>-44.910150000000002</v>
      </c>
      <c r="R3482" s="2" t="str">
        <f>HYPERLINK("https://www.google.com/maps?q=-20.1142630,-44.9101500","Abrir no Google Maps")</f>
        <v>Abrir no Google Maps</v>
      </c>
      <c r="S3482">
        <v>3</v>
      </c>
      <c r="T3482">
        <v>1039.6249825628629</v>
      </c>
      <c r="U3482">
        <v>3</v>
      </c>
      <c r="V3482">
        <v>0.46619669756157162</v>
      </c>
      <c r="W3482">
        <v>1</v>
      </c>
      <c r="X3482">
        <v>0.46619669756157162</v>
      </c>
      <c r="Y3482">
        <v>300</v>
      </c>
      <c r="Z3482">
        <v>1156.8405524690361</v>
      </c>
      <c r="AA3482">
        <v>198</v>
      </c>
      <c r="AB3482">
        <v>332</v>
      </c>
      <c r="AC3482">
        <v>536</v>
      </c>
      <c r="AD3482">
        <v>28.54</v>
      </c>
      <c r="AE3482">
        <v>542</v>
      </c>
      <c r="AF3482">
        <v>20</v>
      </c>
      <c r="AG3482">
        <v>181</v>
      </c>
      <c r="AH3482">
        <v>129</v>
      </c>
      <c r="AI3482">
        <v>3.69</v>
      </c>
      <c r="AJ3482">
        <v>33.39</v>
      </c>
      <c r="AK3482">
        <v>23.8</v>
      </c>
      <c r="AL3482">
        <v>-20.113823899999939</v>
      </c>
      <c r="AM3482">
        <v>-44.910704705968108</v>
      </c>
      <c r="AN3482">
        <v>-20.113823899999939</v>
      </c>
      <c r="AO3482">
        <v>-44.910704705968108</v>
      </c>
      <c r="AP3482">
        <v>-20.114263000000001</v>
      </c>
      <c r="AQ3482">
        <v>-44.910150000000002</v>
      </c>
      <c r="AR3482">
        <v>75.838236800419978</v>
      </c>
      <c r="AS3482" t="s">
        <v>65</v>
      </c>
      <c r="AT3482">
        <v>1</v>
      </c>
      <c r="AU3482" t="s">
        <v>794</v>
      </c>
      <c r="AV3482" t="s">
        <v>795</v>
      </c>
      <c r="AW3482" t="s">
        <v>60</v>
      </c>
      <c r="AX3482" t="s">
        <v>68</v>
      </c>
      <c r="AY3482" t="s">
        <v>69</v>
      </c>
      <c r="AZ3482" t="b">
        <v>1</v>
      </c>
    </row>
    <row r="3483" spans="1:52" x14ac:dyDescent="0.3">
      <c r="A3483" t="s">
        <v>52</v>
      </c>
      <c r="B3483" t="s">
        <v>53</v>
      </c>
      <c r="C3483" t="s">
        <v>54</v>
      </c>
      <c r="D3483" t="s">
        <v>55</v>
      </c>
      <c r="E3483" t="s">
        <v>2200</v>
      </c>
      <c r="F3483" t="s">
        <v>190</v>
      </c>
      <c r="G3483" t="s">
        <v>1147</v>
      </c>
      <c r="H3483" t="s">
        <v>1148</v>
      </c>
      <c r="I3483" t="s">
        <v>1148</v>
      </c>
      <c r="J3483" t="s">
        <v>60</v>
      </c>
      <c r="K3483" t="s">
        <v>798</v>
      </c>
      <c r="L3483" t="s">
        <v>62</v>
      </c>
      <c r="M3483" t="s">
        <v>798</v>
      </c>
      <c r="N3483" t="s">
        <v>1149</v>
      </c>
      <c r="O3483" t="s">
        <v>836</v>
      </c>
      <c r="P3483">
        <v>-20.112448000000001</v>
      </c>
      <c r="Q3483">
        <v>-44.904887000000002</v>
      </c>
      <c r="R3483" s="2" t="str">
        <f>HYPERLINK("https://www.google.com/maps?q=-20.1124480,-44.9048870","Abrir no Google Maps")</f>
        <v>Abrir no Google Maps</v>
      </c>
      <c r="S3483">
        <v>3</v>
      </c>
      <c r="T3483">
        <v>404.16588765758058</v>
      </c>
      <c r="U3483">
        <v>3</v>
      </c>
      <c r="V3483">
        <v>0.44851766774940333</v>
      </c>
      <c r="W3483">
        <v>1</v>
      </c>
      <c r="X3483">
        <v>0.44851766774940333</v>
      </c>
      <c r="Y3483">
        <v>300</v>
      </c>
      <c r="Z3483">
        <v>435.21165957304731</v>
      </c>
      <c r="AA3483">
        <v>198</v>
      </c>
      <c r="AB3483">
        <v>332</v>
      </c>
      <c r="AC3483">
        <v>536</v>
      </c>
      <c r="AD3483">
        <v>28.54</v>
      </c>
      <c r="AE3483">
        <v>542</v>
      </c>
      <c r="AF3483">
        <v>20</v>
      </c>
      <c r="AG3483">
        <v>181</v>
      </c>
      <c r="AH3483">
        <v>129</v>
      </c>
      <c r="AI3483">
        <v>3.69</v>
      </c>
      <c r="AJ3483">
        <v>33.39</v>
      </c>
      <c r="AK3483">
        <v>23.8</v>
      </c>
      <c r="AL3483">
        <v>-20.11243479999996</v>
      </c>
      <c r="AM3483">
        <v>-44.904803228053026</v>
      </c>
      <c r="AN3483">
        <v>-20.11243479999996</v>
      </c>
      <c r="AO3483">
        <v>-44.904803228053026</v>
      </c>
      <c r="AP3483">
        <v>-20.112448000000001</v>
      </c>
      <c r="AQ3483">
        <v>-44.904887000000002</v>
      </c>
      <c r="AR3483">
        <v>8.8792525353759544</v>
      </c>
      <c r="AS3483" t="s">
        <v>65</v>
      </c>
      <c r="AT3483">
        <v>1</v>
      </c>
      <c r="AU3483" t="s">
        <v>1150</v>
      </c>
      <c r="AV3483" t="s">
        <v>1151</v>
      </c>
      <c r="AW3483" t="s">
        <v>60</v>
      </c>
      <c r="AX3483" t="s">
        <v>68</v>
      </c>
      <c r="AY3483" t="s">
        <v>69</v>
      </c>
      <c r="AZ3483" t="b">
        <v>1</v>
      </c>
    </row>
    <row r="3484" spans="1:52" x14ac:dyDescent="0.3">
      <c r="A3484" t="s">
        <v>52</v>
      </c>
      <c r="B3484" t="s">
        <v>53</v>
      </c>
      <c r="C3484" t="s">
        <v>54</v>
      </c>
      <c r="D3484" t="s">
        <v>55</v>
      </c>
      <c r="E3484" t="s">
        <v>2200</v>
      </c>
      <c r="F3484" t="s">
        <v>190</v>
      </c>
      <c r="G3484" t="s">
        <v>1152</v>
      </c>
      <c r="H3484" t="s">
        <v>1153</v>
      </c>
      <c r="I3484" t="s">
        <v>1153</v>
      </c>
      <c r="J3484" t="s">
        <v>60</v>
      </c>
      <c r="K3484" t="s">
        <v>798</v>
      </c>
      <c r="L3484" t="s">
        <v>62</v>
      </c>
      <c r="M3484" t="s">
        <v>798</v>
      </c>
      <c r="N3484" t="s">
        <v>1154</v>
      </c>
      <c r="O3484" t="s">
        <v>293</v>
      </c>
      <c r="P3484">
        <v>-20.112477999999999</v>
      </c>
      <c r="Q3484">
        <v>-44.903066000000003</v>
      </c>
      <c r="R3484" s="2" t="str">
        <f>HYPERLINK("https://www.google.com/maps?q=-20.1124780,-44.9030660","Abrir no Google Maps")</f>
        <v>Abrir no Google Maps</v>
      </c>
      <c r="S3484">
        <v>3</v>
      </c>
      <c r="T3484">
        <v>246.8131690803576</v>
      </c>
      <c r="U3484">
        <v>3</v>
      </c>
      <c r="V3484">
        <v>0.45946641867534638</v>
      </c>
      <c r="W3484">
        <v>1</v>
      </c>
      <c r="X3484">
        <v>0.45946641867534638</v>
      </c>
      <c r="Y3484">
        <v>300</v>
      </c>
      <c r="Z3484">
        <v>335.63974056009812</v>
      </c>
      <c r="AA3484">
        <v>198</v>
      </c>
      <c r="AB3484">
        <v>332</v>
      </c>
      <c r="AC3484">
        <v>536</v>
      </c>
      <c r="AD3484">
        <v>28.54</v>
      </c>
      <c r="AE3484">
        <v>542</v>
      </c>
      <c r="AF3484">
        <v>20</v>
      </c>
      <c r="AG3484">
        <v>181</v>
      </c>
      <c r="AH3484">
        <v>129</v>
      </c>
      <c r="AI3484">
        <v>3.69</v>
      </c>
      <c r="AJ3484">
        <v>33.39</v>
      </c>
      <c r="AK3484">
        <v>23.8</v>
      </c>
      <c r="AL3484">
        <v>-20.112499949999972</v>
      </c>
      <c r="AM3484">
        <v>-44.903143791889391</v>
      </c>
      <c r="AN3484">
        <v>-20.112499949999972</v>
      </c>
      <c r="AO3484">
        <v>-44.903143791889391</v>
      </c>
      <c r="AP3484">
        <v>-20.112477999999999</v>
      </c>
      <c r="AQ3484">
        <v>-44.903066000000003</v>
      </c>
      <c r="AR3484">
        <v>8.4908959019572912</v>
      </c>
      <c r="AS3484" t="s">
        <v>65</v>
      </c>
      <c r="AT3484">
        <v>1</v>
      </c>
      <c r="AU3484" t="s">
        <v>1155</v>
      </c>
      <c r="AV3484" t="s">
        <v>1156</v>
      </c>
      <c r="AW3484" t="s">
        <v>60</v>
      </c>
      <c r="AX3484" t="s">
        <v>68</v>
      </c>
      <c r="AY3484" t="s">
        <v>69</v>
      </c>
      <c r="AZ3484" t="b">
        <v>1</v>
      </c>
    </row>
    <row r="3485" spans="1:52" x14ac:dyDescent="0.3">
      <c r="A3485" t="s">
        <v>52</v>
      </c>
      <c r="B3485" t="s">
        <v>53</v>
      </c>
      <c r="C3485" t="s">
        <v>54</v>
      </c>
      <c r="D3485" t="s">
        <v>55</v>
      </c>
      <c r="E3485" t="s">
        <v>2200</v>
      </c>
      <c r="F3485" t="s">
        <v>190</v>
      </c>
      <c r="G3485" t="s">
        <v>1157</v>
      </c>
      <c r="H3485" t="s">
        <v>1158</v>
      </c>
      <c r="I3485" t="s">
        <v>1158</v>
      </c>
      <c r="J3485" t="s">
        <v>60</v>
      </c>
      <c r="K3485" t="s">
        <v>791</v>
      </c>
      <c r="L3485" t="s">
        <v>62</v>
      </c>
      <c r="M3485" t="s">
        <v>791</v>
      </c>
      <c r="N3485" t="s">
        <v>1159</v>
      </c>
      <c r="O3485" t="s">
        <v>1160</v>
      </c>
      <c r="P3485">
        <v>-20.108114</v>
      </c>
      <c r="Q3485">
        <v>-44.905804000000003</v>
      </c>
      <c r="R3485" s="2" t="str">
        <f>HYPERLINK("https://www.google.com/maps?q=-20.1081140,-44.9058040","Abrir no Google Maps")</f>
        <v>Abrir no Google Maps</v>
      </c>
      <c r="S3485">
        <v>3</v>
      </c>
      <c r="T3485">
        <v>603.1428230097074</v>
      </c>
      <c r="U3485">
        <v>3</v>
      </c>
      <c r="V3485">
        <v>0.46375586509365768</v>
      </c>
      <c r="W3485">
        <v>1</v>
      </c>
      <c r="X3485">
        <v>0.46375586509365768</v>
      </c>
      <c r="Y3485">
        <v>300</v>
      </c>
      <c r="Z3485">
        <v>444.71482981499793</v>
      </c>
      <c r="AA3485">
        <v>198</v>
      </c>
      <c r="AB3485">
        <v>332</v>
      </c>
      <c r="AC3485">
        <v>536</v>
      </c>
      <c r="AD3485">
        <v>28.54</v>
      </c>
      <c r="AE3485">
        <v>542</v>
      </c>
      <c r="AF3485">
        <v>20</v>
      </c>
      <c r="AG3485">
        <v>181</v>
      </c>
      <c r="AH3485">
        <v>129</v>
      </c>
      <c r="AI3485">
        <v>3.69</v>
      </c>
      <c r="AJ3485">
        <v>33.39</v>
      </c>
      <c r="AK3485">
        <v>23.8</v>
      </c>
      <c r="AL3485">
        <v>-20.108146549999962</v>
      </c>
      <c r="AM3485">
        <v>-44.905744943453513</v>
      </c>
      <c r="AN3485">
        <v>-20.108146549999962</v>
      </c>
      <c r="AO3485">
        <v>-44.905744943453513</v>
      </c>
      <c r="AP3485">
        <v>-20.108114</v>
      </c>
      <c r="AQ3485">
        <v>-44.905804000000003</v>
      </c>
      <c r="AR3485">
        <v>7.1582799138071884</v>
      </c>
      <c r="AS3485" t="s">
        <v>65</v>
      </c>
      <c r="AT3485">
        <v>1</v>
      </c>
      <c r="AU3485" t="s">
        <v>1161</v>
      </c>
      <c r="AV3485" t="s">
        <v>1162</v>
      </c>
      <c r="AW3485" t="s">
        <v>60</v>
      </c>
      <c r="AX3485" t="s">
        <v>68</v>
      </c>
      <c r="AY3485" t="s">
        <v>69</v>
      </c>
      <c r="AZ3485" t="b">
        <v>1</v>
      </c>
    </row>
    <row r="3486" spans="1:52" x14ac:dyDescent="0.3">
      <c r="A3486" t="s">
        <v>52</v>
      </c>
      <c r="B3486" t="s">
        <v>53</v>
      </c>
      <c r="C3486" t="s">
        <v>54</v>
      </c>
      <c r="D3486" t="s">
        <v>55</v>
      </c>
      <c r="E3486" t="s">
        <v>2200</v>
      </c>
      <c r="F3486" t="s">
        <v>190</v>
      </c>
      <c r="G3486" t="s">
        <v>1163</v>
      </c>
      <c r="H3486" t="s">
        <v>1164</v>
      </c>
      <c r="I3486" t="s">
        <v>1164</v>
      </c>
      <c r="J3486" t="s">
        <v>60</v>
      </c>
      <c r="K3486" t="s">
        <v>1165</v>
      </c>
      <c r="L3486" t="s">
        <v>62</v>
      </c>
      <c r="M3486" t="s">
        <v>1165</v>
      </c>
      <c r="N3486" t="s">
        <v>1166</v>
      </c>
      <c r="O3486" t="s">
        <v>1167</v>
      </c>
      <c r="P3486">
        <v>-20.155543000000002</v>
      </c>
      <c r="Q3486">
        <v>-44.863444000000001</v>
      </c>
      <c r="R3486" s="2" t="str">
        <f>HYPERLINK("https://www.google.com/maps?q=-20.1555430,-44.8634440","Abrir no Google Maps")</f>
        <v>Abrir no Google Maps</v>
      </c>
      <c r="S3486">
        <v>3</v>
      </c>
      <c r="T3486">
        <v>314.02353400254742</v>
      </c>
      <c r="U3486">
        <v>3</v>
      </c>
      <c r="V3486">
        <v>0.46364413364413359</v>
      </c>
      <c r="W3486">
        <v>1</v>
      </c>
      <c r="X3486">
        <v>0.46364413364413359</v>
      </c>
      <c r="Y3486">
        <v>264</v>
      </c>
      <c r="Z3486">
        <v>282.65065866463459</v>
      </c>
      <c r="AA3486">
        <v>198</v>
      </c>
      <c r="AB3486">
        <v>332</v>
      </c>
      <c r="AC3486">
        <v>536</v>
      </c>
      <c r="AD3486">
        <v>28.54</v>
      </c>
      <c r="AE3486">
        <v>542</v>
      </c>
      <c r="AF3486">
        <v>20</v>
      </c>
      <c r="AG3486">
        <v>181</v>
      </c>
      <c r="AH3486">
        <v>129</v>
      </c>
      <c r="AI3486">
        <v>3.69</v>
      </c>
      <c r="AJ3486">
        <v>33.39</v>
      </c>
      <c r="AK3486">
        <v>23.8</v>
      </c>
      <c r="AL3486">
        <v>-20.155436449999939</v>
      </c>
      <c r="AM3486">
        <v>-44.863557722691183</v>
      </c>
      <c r="AN3486">
        <v>-20.155436449999939</v>
      </c>
      <c r="AO3486">
        <v>-44.863557722691183</v>
      </c>
      <c r="AP3486">
        <v>-20.155543000000002</v>
      </c>
      <c r="AQ3486">
        <v>-44.863444000000001</v>
      </c>
      <c r="AR3486">
        <v>16.790610674079979</v>
      </c>
      <c r="AS3486" t="s">
        <v>65</v>
      </c>
      <c r="AT3486">
        <v>1</v>
      </c>
      <c r="AU3486" t="s">
        <v>1168</v>
      </c>
      <c r="AV3486" t="s">
        <v>1169</v>
      </c>
      <c r="AW3486" t="s">
        <v>60</v>
      </c>
      <c r="AX3486" t="s">
        <v>68</v>
      </c>
      <c r="AY3486" t="s">
        <v>69</v>
      </c>
      <c r="AZ3486" t="b">
        <v>1</v>
      </c>
    </row>
    <row r="3487" spans="1:52" x14ac:dyDescent="0.3">
      <c r="A3487" t="s">
        <v>52</v>
      </c>
      <c r="B3487" t="s">
        <v>53</v>
      </c>
      <c r="C3487" t="s">
        <v>54</v>
      </c>
      <c r="D3487" t="s">
        <v>55</v>
      </c>
      <c r="E3487" t="s">
        <v>2200</v>
      </c>
      <c r="F3487" t="s">
        <v>190</v>
      </c>
      <c r="G3487" t="s">
        <v>1170</v>
      </c>
      <c r="H3487" t="s">
        <v>1171</v>
      </c>
      <c r="I3487" t="s">
        <v>1171</v>
      </c>
      <c r="J3487" t="s">
        <v>60</v>
      </c>
      <c r="K3487" t="s">
        <v>1165</v>
      </c>
      <c r="L3487" t="s">
        <v>62</v>
      </c>
      <c r="M3487" t="s">
        <v>1165</v>
      </c>
      <c r="N3487" t="s">
        <v>1172</v>
      </c>
      <c r="O3487" t="s">
        <v>1160</v>
      </c>
      <c r="P3487">
        <v>-20.158208999999999</v>
      </c>
      <c r="Q3487">
        <v>-44.865242000000002</v>
      </c>
      <c r="R3487" s="2" t="str">
        <f>HYPERLINK("https://www.google.com/maps?q=-20.1582090,-44.8652420","Abrir no Google Maps")</f>
        <v>Abrir no Google Maps</v>
      </c>
      <c r="S3487">
        <v>3</v>
      </c>
      <c r="T3487">
        <v>529.55269054560301</v>
      </c>
      <c r="U3487">
        <v>3</v>
      </c>
      <c r="V3487">
        <v>0.44175923492278679</v>
      </c>
      <c r="W3487">
        <v>1</v>
      </c>
      <c r="X3487">
        <v>0.44175923492278679</v>
      </c>
      <c r="Y3487">
        <v>264</v>
      </c>
      <c r="Z3487">
        <v>576.82525833351326</v>
      </c>
      <c r="AA3487">
        <v>198</v>
      </c>
      <c r="AB3487">
        <v>332</v>
      </c>
      <c r="AC3487">
        <v>536</v>
      </c>
      <c r="AD3487">
        <v>28.54</v>
      </c>
      <c r="AE3487">
        <v>542</v>
      </c>
      <c r="AF3487">
        <v>20</v>
      </c>
      <c r="AG3487">
        <v>181</v>
      </c>
      <c r="AH3487">
        <v>129</v>
      </c>
      <c r="AI3487">
        <v>3.69</v>
      </c>
      <c r="AJ3487">
        <v>33.39</v>
      </c>
      <c r="AK3487">
        <v>23.8</v>
      </c>
      <c r="AL3487">
        <v>-20.15813384999996</v>
      </c>
      <c r="AM3487">
        <v>-44.865189279062598</v>
      </c>
      <c r="AN3487">
        <v>-20.15813384999996</v>
      </c>
      <c r="AO3487">
        <v>-44.865189279062598</v>
      </c>
      <c r="AP3487">
        <v>-20.158208999999999</v>
      </c>
      <c r="AQ3487">
        <v>-44.865242000000002</v>
      </c>
      <c r="AR3487">
        <v>10.01690313145691</v>
      </c>
      <c r="AS3487" t="s">
        <v>65</v>
      </c>
      <c r="AT3487">
        <v>1</v>
      </c>
      <c r="AU3487" t="s">
        <v>1173</v>
      </c>
      <c r="AV3487" t="s">
        <v>1174</v>
      </c>
      <c r="AW3487" t="s">
        <v>60</v>
      </c>
      <c r="AX3487" t="s">
        <v>68</v>
      </c>
      <c r="AY3487" t="s">
        <v>69</v>
      </c>
      <c r="AZ3487" t="b">
        <v>1</v>
      </c>
    </row>
    <row r="3488" spans="1:52" x14ac:dyDescent="0.3">
      <c r="A3488" t="s">
        <v>52</v>
      </c>
      <c r="B3488" t="s">
        <v>53</v>
      </c>
      <c r="C3488" t="s">
        <v>54</v>
      </c>
      <c r="D3488" t="s">
        <v>55</v>
      </c>
      <c r="E3488" t="s">
        <v>2200</v>
      </c>
      <c r="F3488" t="s">
        <v>190</v>
      </c>
      <c r="G3488" t="s">
        <v>1175</v>
      </c>
      <c r="H3488" t="s">
        <v>1176</v>
      </c>
      <c r="I3488" t="s">
        <v>1176</v>
      </c>
      <c r="J3488" t="s">
        <v>60</v>
      </c>
      <c r="K3488" t="s">
        <v>1177</v>
      </c>
      <c r="L3488" t="s">
        <v>62</v>
      </c>
      <c r="M3488" t="s">
        <v>1177</v>
      </c>
      <c r="N3488" t="s">
        <v>1178</v>
      </c>
      <c r="O3488" t="s">
        <v>1179</v>
      </c>
      <c r="P3488">
        <v>-20.153393000000001</v>
      </c>
      <c r="Q3488">
        <v>-44.865701999999999</v>
      </c>
      <c r="R3488" s="2" t="str">
        <f>HYPERLINK("https://www.google.com/maps?q=-20.1533930,-44.8657020","Abrir no Google Maps")</f>
        <v>Abrir no Google Maps</v>
      </c>
      <c r="S3488">
        <v>3</v>
      </c>
      <c r="T3488">
        <v>0</v>
      </c>
      <c r="U3488">
        <v>3</v>
      </c>
      <c r="V3488">
        <v>0.45267644089574149</v>
      </c>
      <c r="W3488">
        <v>1</v>
      </c>
      <c r="X3488">
        <v>0.45267644089574149</v>
      </c>
      <c r="Y3488">
        <v>264</v>
      </c>
      <c r="Z3488">
        <v>187.61117597536</v>
      </c>
      <c r="AA3488">
        <v>198</v>
      </c>
      <c r="AB3488">
        <v>332</v>
      </c>
      <c r="AC3488">
        <v>536</v>
      </c>
      <c r="AD3488">
        <v>28.54</v>
      </c>
      <c r="AE3488">
        <v>542</v>
      </c>
      <c r="AF3488">
        <v>20</v>
      </c>
      <c r="AG3488">
        <v>181</v>
      </c>
      <c r="AH3488">
        <v>129</v>
      </c>
      <c r="AI3488">
        <v>3.69</v>
      </c>
      <c r="AJ3488">
        <v>33.39</v>
      </c>
      <c r="AK3488">
        <v>23.8</v>
      </c>
      <c r="AL3488">
        <v>-20.153365199999971</v>
      </c>
      <c r="AM3488">
        <v>-44.865611713780503</v>
      </c>
      <c r="AN3488">
        <v>-20.153365199999971</v>
      </c>
      <c r="AO3488">
        <v>-44.865611713780503</v>
      </c>
      <c r="AP3488">
        <v>-20.153393000000001</v>
      </c>
      <c r="AQ3488">
        <v>-44.865701999999999</v>
      </c>
      <c r="AR3488">
        <v>9.9298532940923003</v>
      </c>
      <c r="AS3488" t="s">
        <v>65</v>
      </c>
      <c r="AT3488">
        <v>1</v>
      </c>
      <c r="AU3488" t="s">
        <v>1180</v>
      </c>
      <c r="AV3488" t="s">
        <v>1181</v>
      </c>
      <c r="AW3488" t="s">
        <v>60</v>
      </c>
      <c r="AX3488" t="s">
        <v>68</v>
      </c>
      <c r="AY3488" t="s">
        <v>69</v>
      </c>
      <c r="AZ3488" t="b">
        <v>1</v>
      </c>
    </row>
    <row r="3489" spans="1:52" x14ac:dyDescent="0.3">
      <c r="A3489" t="s">
        <v>52</v>
      </c>
      <c r="B3489" t="s">
        <v>53</v>
      </c>
      <c r="C3489" t="s">
        <v>54</v>
      </c>
      <c r="D3489" t="s">
        <v>55</v>
      </c>
      <c r="E3489" t="s">
        <v>2200</v>
      </c>
      <c r="F3489" t="s">
        <v>190</v>
      </c>
      <c r="G3489" t="s">
        <v>1182</v>
      </c>
      <c r="H3489" t="s">
        <v>1183</v>
      </c>
      <c r="I3489" t="s">
        <v>1183</v>
      </c>
      <c r="J3489" t="s">
        <v>60</v>
      </c>
      <c r="K3489" t="s">
        <v>207</v>
      </c>
      <c r="L3489" t="s">
        <v>62</v>
      </c>
      <c r="M3489" t="s">
        <v>207</v>
      </c>
      <c r="N3489" t="s">
        <v>1184</v>
      </c>
      <c r="O3489" t="s">
        <v>257</v>
      </c>
      <c r="P3489">
        <v>-20.126885000000001</v>
      </c>
      <c r="Q3489">
        <v>-44.884162000000003</v>
      </c>
      <c r="R3489" s="2" t="str">
        <f>HYPERLINK("https://www.google.com/maps?q=-20.1268850,-44.8841620","Abrir no Google Maps")</f>
        <v>Abrir no Google Maps</v>
      </c>
      <c r="S3489">
        <v>3</v>
      </c>
      <c r="T3489">
        <v>514.13587937491741</v>
      </c>
      <c r="U3489">
        <v>3</v>
      </c>
      <c r="V3489">
        <v>0.54017396432257114</v>
      </c>
      <c r="W3489">
        <v>0.85</v>
      </c>
      <c r="X3489">
        <v>0.45914786967418553</v>
      </c>
      <c r="Y3489">
        <v>259</v>
      </c>
      <c r="Z3489">
        <v>611.64962394743804</v>
      </c>
      <c r="AA3489">
        <v>198</v>
      </c>
      <c r="AB3489">
        <v>332</v>
      </c>
      <c r="AC3489">
        <v>536</v>
      </c>
      <c r="AD3489">
        <v>28.54</v>
      </c>
      <c r="AE3489">
        <v>542</v>
      </c>
      <c r="AF3489">
        <v>20</v>
      </c>
      <c r="AG3489">
        <v>181</v>
      </c>
      <c r="AH3489">
        <v>129</v>
      </c>
      <c r="AI3489">
        <v>3.69</v>
      </c>
      <c r="AJ3489">
        <v>33.39</v>
      </c>
      <c r="AK3489">
        <v>23.8</v>
      </c>
      <c r="AL3489">
        <v>-20.12682359999997</v>
      </c>
      <c r="AM3489">
        <v>-44.884056486492632</v>
      </c>
      <c r="AN3489">
        <v>-20.12682359999997</v>
      </c>
      <c r="AO3489">
        <v>-44.884056486492632</v>
      </c>
      <c r="AP3489">
        <v>-20.126885000000001</v>
      </c>
      <c r="AQ3489">
        <v>-44.884162000000003</v>
      </c>
      <c r="AR3489">
        <v>12.97479989794236</v>
      </c>
      <c r="AS3489" t="s">
        <v>65</v>
      </c>
      <c r="AT3489">
        <v>1</v>
      </c>
      <c r="AU3489" t="s">
        <v>1185</v>
      </c>
      <c r="AV3489" t="s">
        <v>1186</v>
      </c>
      <c r="AW3489" t="s">
        <v>60</v>
      </c>
      <c r="AX3489" t="s">
        <v>68</v>
      </c>
      <c r="AY3489" t="s">
        <v>69</v>
      </c>
      <c r="AZ3489" t="b">
        <v>1</v>
      </c>
    </row>
    <row r="3490" spans="1:52" x14ac:dyDescent="0.3">
      <c r="A3490" t="s">
        <v>52</v>
      </c>
      <c r="B3490" t="s">
        <v>53</v>
      </c>
      <c r="C3490" t="s">
        <v>54</v>
      </c>
      <c r="D3490" t="s">
        <v>55</v>
      </c>
      <c r="E3490" t="s">
        <v>2200</v>
      </c>
      <c r="F3490" t="s">
        <v>190</v>
      </c>
      <c r="G3490" t="s">
        <v>1193</v>
      </c>
      <c r="H3490" t="s">
        <v>1194</v>
      </c>
      <c r="I3490" t="s">
        <v>1194</v>
      </c>
      <c r="J3490" t="s">
        <v>60</v>
      </c>
      <c r="K3490" t="s">
        <v>1195</v>
      </c>
      <c r="L3490" t="s">
        <v>62</v>
      </c>
      <c r="M3490" t="s">
        <v>1195</v>
      </c>
      <c r="N3490" t="s">
        <v>1196</v>
      </c>
      <c r="O3490" t="s">
        <v>1197</v>
      </c>
      <c r="P3490">
        <v>-20.105342</v>
      </c>
      <c r="Q3490">
        <v>-44.964716000000003</v>
      </c>
      <c r="R3490" s="2" t="str">
        <f>HYPERLINK("https://www.google.com/maps?q=-20.1053420,-44.9647160","Abrir no Google Maps")</f>
        <v>Abrir no Google Maps</v>
      </c>
      <c r="S3490">
        <v>3</v>
      </c>
      <c r="T3490">
        <v>893.28710125086457</v>
      </c>
      <c r="U3490">
        <v>3</v>
      </c>
      <c r="V3490">
        <v>0.4495571617632087</v>
      </c>
      <c r="W3490">
        <v>1</v>
      </c>
      <c r="X3490">
        <v>0.4495571617632087</v>
      </c>
      <c r="Y3490">
        <v>187</v>
      </c>
      <c r="Z3490">
        <v>592.18957175243293</v>
      </c>
      <c r="AA3490">
        <v>198</v>
      </c>
      <c r="AB3490">
        <v>332</v>
      </c>
      <c r="AC3490">
        <v>536</v>
      </c>
      <c r="AD3490">
        <v>28.54</v>
      </c>
      <c r="AE3490">
        <v>542</v>
      </c>
      <c r="AF3490">
        <v>20</v>
      </c>
      <c r="AG3490">
        <v>181</v>
      </c>
      <c r="AH3490">
        <v>129</v>
      </c>
      <c r="AI3490">
        <v>3.69</v>
      </c>
      <c r="AJ3490">
        <v>33.39</v>
      </c>
      <c r="AK3490">
        <v>23.8</v>
      </c>
      <c r="AL3490">
        <v>-20.105505699999949</v>
      </c>
      <c r="AM3490">
        <v>-44.964494228377532</v>
      </c>
      <c r="AN3490">
        <v>-20.105505699999949</v>
      </c>
      <c r="AO3490">
        <v>-44.964494228377532</v>
      </c>
      <c r="AP3490">
        <v>-20.105342</v>
      </c>
      <c r="AQ3490">
        <v>-44.964716000000003</v>
      </c>
      <c r="AR3490">
        <v>29.48797728637869</v>
      </c>
      <c r="AS3490" t="s">
        <v>65</v>
      </c>
      <c r="AT3490">
        <v>1</v>
      </c>
      <c r="AU3490" t="s">
        <v>1198</v>
      </c>
      <c r="AV3490" t="s">
        <v>1199</v>
      </c>
      <c r="AW3490" t="s">
        <v>60</v>
      </c>
      <c r="AX3490" t="s">
        <v>68</v>
      </c>
      <c r="AY3490" t="s">
        <v>69</v>
      </c>
      <c r="AZ3490" t="b">
        <v>1</v>
      </c>
    </row>
    <row r="3491" spans="1:52" x14ac:dyDescent="0.3">
      <c r="A3491" t="s">
        <v>52</v>
      </c>
      <c r="B3491" t="s">
        <v>53</v>
      </c>
      <c r="C3491" t="s">
        <v>54</v>
      </c>
      <c r="D3491" t="s">
        <v>55</v>
      </c>
      <c r="E3491" t="s">
        <v>2200</v>
      </c>
      <c r="F3491" t="s">
        <v>190</v>
      </c>
      <c r="G3491" t="s">
        <v>1200</v>
      </c>
      <c r="H3491" t="s">
        <v>1201</v>
      </c>
      <c r="I3491" t="s">
        <v>1201</v>
      </c>
      <c r="J3491" t="s">
        <v>60</v>
      </c>
      <c r="K3491" t="s">
        <v>1202</v>
      </c>
      <c r="L3491" t="s">
        <v>62</v>
      </c>
      <c r="M3491" t="s">
        <v>1202</v>
      </c>
      <c r="N3491" t="s">
        <v>1203</v>
      </c>
      <c r="O3491" t="s">
        <v>710</v>
      </c>
      <c r="P3491">
        <v>-20.191745999999998</v>
      </c>
      <c r="Q3491">
        <v>-44.904957000000003</v>
      </c>
      <c r="R3491" s="2" t="str">
        <f>HYPERLINK("https://www.google.com/maps?q=-20.1917460,-44.9049570","Abrir no Google Maps")</f>
        <v>Abrir no Google Maps</v>
      </c>
      <c r="S3491">
        <v>3</v>
      </c>
      <c r="T3491">
        <v>882.9384716293963</v>
      </c>
      <c r="U3491">
        <v>3</v>
      </c>
      <c r="V3491">
        <v>0.45610573823339778</v>
      </c>
      <c r="W3491">
        <v>1</v>
      </c>
      <c r="X3491">
        <v>0.45610573823339778</v>
      </c>
      <c r="Y3491">
        <v>135</v>
      </c>
      <c r="Z3491">
        <v>802.45927673397398</v>
      </c>
      <c r="AA3491">
        <v>198</v>
      </c>
      <c r="AB3491">
        <v>332</v>
      </c>
      <c r="AC3491">
        <v>536</v>
      </c>
      <c r="AD3491">
        <v>28.54</v>
      </c>
      <c r="AE3491">
        <v>542</v>
      </c>
      <c r="AF3491">
        <v>20</v>
      </c>
      <c r="AG3491">
        <v>181</v>
      </c>
      <c r="AH3491">
        <v>129</v>
      </c>
      <c r="AI3491">
        <v>3.69</v>
      </c>
      <c r="AJ3491">
        <v>33.39</v>
      </c>
      <c r="AK3491">
        <v>23.8</v>
      </c>
      <c r="AL3491">
        <v>-20.19172654999997</v>
      </c>
      <c r="AM3491">
        <v>-44.904976932073851</v>
      </c>
      <c r="AN3491">
        <v>-20.19172654999997</v>
      </c>
      <c r="AO3491">
        <v>-44.904976932073851</v>
      </c>
      <c r="AP3491">
        <v>-20.191745999999998</v>
      </c>
      <c r="AQ3491">
        <v>-44.904957000000003</v>
      </c>
      <c r="AR3491">
        <v>3.004110632807953</v>
      </c>
      <c r="AS3491" t="s">
        <v>65</v>
      </c>
      <c r="AT3491">
        <v>1</v>
      </c>
      <c r="AU3491" t="s">
        <v>1204</v>
      </c>
      <c r="AV3491" t="s">
        <v>1205</v>
      </c>
      <c r="AW3491" t="s">
        <v>60</v>
      </c>
      <c r="AX3491" t="s">
        <v>68</v>
      </c>
      <c r="AY3491" t="s">
        <v>69</v>
      </c>
      <c r="AZ3491" t="b">
        <v>1</v>
      </c>
    </row>
    <row r="3492" spans="1:52" x14ac:dyDescent="0.3">
      <c r="A3492" t="s">
        <v>52</v>
      </c>
      <c r="B3492" t="s">
        <v>53</v>
      </c>
      <c r="C3492" t="s">
        <v>54</v>
      </c>
      <c r="D3492" t="s">
        <v>55</v>
      </c>
      <c r="E3492" t="s">
        <v>2200</v>
      </c>
      <c r="F3492" t="s">
        <v>190</v>
      </c>
      <c r="G3492" t="s">
        <v>1212</v>
      </c>
      <c r="H3492" t="s">
        <v>1213</v>
      </c>
      <c r="I3492" t="s">
        <v>1213</v>
      </c>
      <c r="J3492" t="s">
        <v>60</v>
      </c>
      <c r="K3492" t="s">
        <v>171</v>
      </c>
      <c r="L3492" t="s">
        <v>62</v>
      </c>
      <c r="M3492" t="s">
        <v>171</v>
      </c>
      <c r="N3492" t="s">
        <v>1214</v>
      </c>
      <c r="O3492" t="s">
        <v>1215</v>
      </c>
      <c r="P3492">
        <v>-20.152812999999998</v>
      </c>
      <c r="Q3492">
        <v>-44.889853000000002</v>
      </c>
      <c r="R3492" s="2" t="str">
        <f>HYPERLINK("https://www.google.com/maps?q=-20.1528130,-44.8898530","Abrir no Google Maps")</f>
        <v>Abrir no Google Maps</v>
      </c>
      <c r="S3492">
        <v>3</v>
      </c>
      <c r="T3492">
        <v>404.11054739579231</v>
      </c>
      <c r="U3492">
        <v>3</v>
      </c>
      <c r="V3492">
        <v>0.46720110540672533</v>
      </c>
      <c r="W3492">
        <v>1</v>
      </c>
      <c r="X3492">
        <v>0.46720110540672533</v>
      </c>
      <c r="Y3492">
        <v>129</v>
      </c>
      <c r="Z3492">
        <v>222.94297160630171</v>
      </c>
      <c r="AA3492">
        <v>198</v>
      </c>
      <c r="AB3492">
        <v>332</v>
      </c>
      <c r="AC3492">
        <v>536</v>
      </c>
      <c r="AD3492">
        <v>28.54</v>
      </c>
      <c r="AE3492">
        <v>542</v>
      </c>
      <c r="AF3492">
        <v>20</v>
      </c>
      <c r="AG3492">
        <v>181</v>
      </c>
      <c r="AH3492">
        <v>129</v>
      </c>
      <c r="AI3492">
        <v>3.69</v>
      </c>
      <c r="AJ3492">
        <v>33.39</v>
      </c>
      <c r="AK3492">
        <v>23.8</v>
      </c>
      <c r="AL3492">
        <v>-20.152851999999971</v>
      </c>
      <c r="AM3492">
        <v>-44.889864659228088</v>
      </c>
      <c r="AN3492">
        <v>-20.152851999999971</v>
      </c>
      <c r="AO3492">
        <v>-44.889864659228088</v>
      </c>
      <c r="AP3492">
        <v>-20.152812999999998</v>
      </c>
      <c r="AQ3492">
        <v>-44.889853000000002</v>
      </c>
      <c r="AR3492">
        <v>4.5092186597325066</v>
      </c>
      <c r="AS3492" t="s">
        <v>65</v>
      </c>
      <c r="AT3492">
        <v>1</v>
      </c>
      <c r="AU3492" t="s">
        <v>1216</v>
      </c>
      <c r="AV3492" t="s">
        <v>1217</v>
      </c>
      <c r="AW3492" t="s">
        <v>60</v>
      </c>
      <c r="AX3492" t="s">
        <v>68</v>
      </c>
      <c r="AY3492" t="s">
        <v>69</v>
      </c>
      <c r="AZ3492" t="b">
        <v>1</v>
      </c>
    </row>
    <row r="3493" spans="1:52" x14ac:dyDescent="0.3">
      <c r="A3493" t="s">
        <v>52</v>
      </c>
      <c r="B3493" t="s">
        <v>53</v>
      </c>
      <c r="C3493" t="s">
        <v>54</v>
      </c>
      <c r="D3493" t="s">
        <v>55</v>
      </c>
      <c r="E3493" t="s">
        <v>2200</v>
      </c>
      <c r="F3493" t="s">
        <v>190</v>
      </c>
      <c r="G3493" t="s">
        <v>1801</v>
      </c>
      <c r="H3493" t="s">
        <v>1802</v>
      </c>
      <c r="I3493" t="s">
        <v>1802</v>
      </c>
      <c r="J3493" t="s">
        <v>60</v>
      </c>
      <c r="K3493" t="s">
        <v>1803</v>
      </c>
      <c r="L3493" t="s">
        <v>62</v>
      </c>
      <c r="M3493" t="s">
        <v>1803</v>
      </c>
      <c r="N3493" t="s">
        <v>1804</v>
      </c>
      <c r="O3493" t="s">
        <v>1805</v>
      </c>
      <c r="P3493">
        <v>-20.131599000000001</v>
      </c>
      <c r="Q3493">
        <v>-44.839945</v>
      </c>
      <c r="R3493" s="2" t="str">
        <f>HYPERLINK("https://www.google.com/maps?q=-20.1315990,-44.8399450","Abrir no Google Maps")</f>
        <v>Abrir no Google Maps</v>
      </c>
      <c r="S3493">
        <v>3</v>
      </c>
      <c r="T3493">
        <v>480.67866935083049</v>
      </c>
      <c r="U3493">
        <v>3</v>
      </c>
      <c r="V3493">
        <v>0.45212383009359242</v>
      </c>
      <c r="W3493">
        <v>1</v>
      </c>
      <c r="X3493">
        <v>0.45212383009359242</v>
      </c>
      <c r="Y3493">
        <v>118</v>
      </c>
      <c r="Z3493">
        <v>505.26312452494989</v>
      </c>
      <c r="AA3493">
        <v>198</v>
      </c>
      <c r="AB3493">
        <v>332</v>
      </c>
      <c r="AC3493">
        <v>536</v>
      </c>
      <c r="AD3493">
        <v>28.54</v>
      </c>
      <c r="AE3493">
        <v>542</v>
      </c>
      <c r="AF3493">
        <v>20</v>
      </c>
      <c r="AG3493">
        <v>181</v>
      </c>
      <c r="AH3493">
        <v>129</v>
      </c>
      <c r="AI3493">
        <v>3.69</v>
      </c>
      <c r="AJ3493">
        <v>33.39</v>
      </c>
      <c r="AK3493">
        <v>23.8</v>
      </c>
      <c r="AL3493">
        <v>-20.131561999999949</v>
      </c>
      <c r="AM3493">
        <v>-44.839930272274998</v>
      </c>
      <c r="AN3493">
        <v>-20.131561999999949</v>
      </c>
      <c r="AO3493">
        <v>-44.839930272274998</v>
      </c>
      <c r="AP3493">
        <v>-20.131599000000001</v>
      </c>
      <c r="AQ3493">
        <v>-44.839945</v>
      </c>
      <c r="AR3493">
        <v>4.3970860299791923</v>
      </c>
      <c r="AS3493" t="s">
        <v>65</v>
      </c>
      <c r="AT3493">
        <v>1</v>
      </c>
      <c r="AU3493" t="s">
        <v>1806</v>
      </c>
      <c r="AV3493" t="s">
        <v>1807</v>
      </c>
      <c r="AW3493" t="s">
        <v>60</v>
      </c>
      <c r="AX3493" t="s">
        <v>68</v>
      </c>
      <c r="AY3493" t="s">
        <v>69</v>
      </c>
      <c r="AZ3493" t="b">
        <v>1</v>
      </c>
    </row>
    <row r="3494" spans="1:52" x14ac:dyDescent="0.3">
      <c r="A3494" t="s">
        <v>52</v>
      </c>
      <c r="B3494" t="s">
        <v>53</v>
      </c>
      <c r="C3494" t="s">
        <v>54</v>
      </c>
      <c r="D3494" t="s">
        <v>55</v>
      </c>
      <c r="E3494" t="s">
        <v>2200</v>
      </c>
      <c r="F3494" t="s">
        <v>190</v>
      </c>
      <c r="G3494" t="s">
        <v>1224</v>
      </c>
      <c r="H3494" t="s">
        <v>1225</v>
      </c>
      <c r="I3494" t="s">
        <v>1225</v>
      </c>
      <c r="J3494" t="s">
        <v>60</v>
      </c>
      <c r="K3494" t="s">
        <v>828</v>
      </c>
      <c r="L3494" t="s">
        <v>62</v>
      </c>
      <c r="M3494" t="s">
        <v>828</v>
      </c>
      <c r="N3494" t="s">
        <v>1226</v>
      </c>
      <c r="O3494" t="s">
        <v>1227</v>
      </c>
      <c r="P3494">
        <v>-20.135355000000001</v>
      </c>
      <c r="Q3494">
        <v>-44.835469000000003</v>
      </c>
      <c r="R3494" s="2" t="str">
        <f>HYPERLINK("https://www.google.com/maps?q=-20.1353550,-44.8354690","Abrir no Google Maps")</f>
        <v>Abrir no Google Maps</v>
      </c>
      <c r="S3494">
        <v>3</v>
      </c>
      <c r="T3494">
        <v>751.16107206095137</v>
      </c>
      <c r="U3494">
        <v>3</v>
      </c>
      <c r="V3494">
        <v>0.54561403508771922</v>
      </c>
      <c r="W3494">
        <v>0.85</v>
      </c>
      <c r="X3494">
        <v>0.46377192982456128</v>
      </c>
      <c r="Y3494">
        <v>118</v>
      </c>
      <c r="Z3494">
        <v>677.63401865784431</v>
      </c>
      <c r="AA3494">
        <v>198</v>
      </c>
      <c r="AB3494">
        <v>332</v>
      </c>
      <c r="AC3494">
        <v>536</v>
      </c>
      <c r="AD3494">
        <v>28.54</v>
      </c>
      <c r="AE3494">
        <v>542</v>
      </c>
      <c r="AF3494">
        <v>20</v>
      </c>
      <c r="AG3494">
        <v>181</v>
      </c>
      <c r="AH3494">
        <v>129</v>
      </c>
      <c r="AI3494">
        <v>3.69</v>
      </c>
      <c r="AJ3494">
        <v>33.39</v>
      </c>
      <c r="AK3494">
        <v>23.8</v>
      </c>
      <c r="AL3494">
        <v>-20.134961199999939</v>
      </c>
      <c r="AM3494">
        <v>-44.835020399356488</v>
      </c>
      <c r="AN3494">
        <v>-20.134961199999939</v>
      </c>
      <c r="AO3494">
        <v>-44.835020399356488</v>
      </c>
      <c r="AP3494">
        <v>-20.135355000000001</v>
      </c>
      <c r="AQ3494">
        <v>-44.835469000000003</v>
      </c>
      <c r="AR3494">
        <v>64.187783608237439</v>
      </c>
      <c r="AS3494" t="s">
        <v>65</v>
      </c>
      <c r="AT3494">
        <v>1</v>
      </c>
      <c r="AU3494" t="s">
        <v>1228</v>
      </c>
      <c r="AV3494" t="s">
        <v>1229</v>
      </c>
      <c r="AW3494" t="s">
        <v>60</v>
      </c>
      <c r="AX3494" t="s">
        <v>68</v>
      </c>
      <c r="AY3494" t="s">
        <v>69</v>
      </c>
      <c r="AZ3494" t="b">
        <v>1</v>
      </c>
    </row>
    <row r="3495" spans="1:52" x14ac:dyDescent="0.3">
      <c r="A3495" t="s">
        <v>52</v>
      </c>
      <c r="B3495" t="s">
        <v>53</v>
      </c>
      <c r="C3495" t="s">
        <v>54</v>
      </c>
      <c r="D3495" t="s">
        <v>55</v>
      </c>
      <c r="E3495" t="s">
        <v>2200</v>
      </c>
      <c r="F3495" t="s">
        <v>190</v>
      </c>
      <c r="G3495" t="s">
        <v>1813</v>
      </c>
      <c r="H3495" t="s">
        <v>1814</v>
      </c>
      <c r="I3495" t="s">
        <v>1814</v>
      </c>
      <c r="J3495" t="s">
        <v>60</v>
      </c>
      <c r="K3495" t="s">
        <v>1815</v>
      </c>
      <c r="L3495" t="s">
        <v>62</v>
      </c>
      <c r="M3495" t="s">
        <v>1815</v>
      </c>
      <c r="N3495" t="s">
        <v>1816</v>
      </c>
      <c r="O3495" t="s">
        <v>793</v>
      </c>
      <c r="P3495">
        <v>-20.144487999999999</v>
      </c>
      <c r="Q3495">
        <v>-44.836683000000001</v>
      </c>
      <c r="R3495" s="2" t="str">
        <f>HYPERLINK("https://www.google.com/maps?q=-20.1444880,-44.8366830","Abrir no Google Maps")</f>
        <v>Abrir no Google Maps</v>
      </c>
      <c r="S3495">
        <v>3</v>
      </c>
      <c r="T3495">
        <v>1786.4671732320769</v>
      </c>
      <c r="U3495">
        <v>3</v>
      </c>
      <c r="V3495">
        <v>0.51874465292501604</v>
      </c>
      <c r="W3495">
        <v>0.85</v>
      </c>
      <c r="X3495">
        <v>0.44093295498626361</v>
      </c>
      <c r="Y3495">
        <v>118</v>
      </c>
      <c r="Z3495">
        <v>1788.4311204774231</v>
      </c>
      <c r="AA3495">
        <v>198</v>
      </c>
      <c r="AB3495">
        <v>332</v>
      </c>
      <c r="AC3495">
        <v>536</v>
      </c>
      <c r="AD3495">
        <v>28.54</v>
      </c>
      <c r="AE3495">
        <v>542</v>
      </c>
      <c r="AF3495">
        <v>20</v>
      </c>
      <c r="AG3495">
        <v>181</v>
      </c>
      <c r="AH3495">
        <v>129</v>
      </c>
      <c r="AI3495">
        <v>3.69</v>
      </c>
      <c r="AJ3495">
        <v>33.39</v>
      </c>
      <c r="AK3495">
        <v>23.8</v>
      </c>
      <c r="AL3495">
        <v>-20.14452704999994</v>
      </c>
      <c r="AM3495">
        <v>-44.836757520268662</v>
      </c>
      <c r="AN3495">
        <v>-20.14452704999994</v>
      </c>
      <c r="AO3495">
        <v>-44.836757520268662</v>
      </c>
      <c r="AP3495">
        <v>-20.144487999999999</v>
      </c>
      <c r="AQ3495">
        <v>-44.836683000000001</v>
      </c>
      <c r="AR3495">
        <v>8.9191793946858624</v>
      </c>
      <c r="AS3495" t="s">
        <v>65</v>
      </c>
      <c r="AT3495">
        <v>1</v>
      </c>
      <c r="AU3495" t="s">
        <v>1817</v>
      </c>
      <c r="AV3495" t="s">
        <v>1818</v>
      </c>
      <c r="AW3495" t="s">
        <v>60</v>
      </c>
      <c r="AX3495" t="s">
        <v>68</v>
      </c>
      <c r="AY3495" t="s">
        <v>69</v>
      </c>
      <c r="AZ3495" t="b">
        <v>1</v>
      </c>
    </row>
    <row r="3496" spans="1:52" x14ac:dyDescent="0.3">
      <c r="A3496" t="s">
        <v>52</v>
      </c>
      <c r="B3496" t="s">
        <v>53</v>
      </c>
      <c r="C3496" t="s">
        <v>54</v>
      </c>
      <c r="D3496" t="s">
        <v>55</v>
      </c>
      <c r="E3496" t="s">
        <v>2200</v>
      </c>
      <c r="F3496" t="s">
        <v>190</v>
      </c>
      <c r="G3496" t="s">
        <v>1825</v>
      </c>
      <c r="H3496" t="s">
        <v>1826</v>
      </c>
      <c r="I3496" t="s">
        <v>1826</v>
      </c>
      <c r="J3496" t="s">
        <v>60</v>
      </c>
      <c r="K3496" t="s">
        <v>1821</v>
      </c>
      <c r="L3496" t="s">
        <v>62</v>
      </c>
      <c r="M3496" t="s">
        <v>1821</v>
      </c>
      <c r="N3496" t="s">
        <v>1827</v>
      </c>
      <c r="O3496" t="s">
        <v>303</v>
      </c>
      <c r="P3496">
        <v>-20.209962000000001</v>
      </c>
      <c r="Q3496">
        <v>-44.922398000000001</v>
      </c>
      <c r="R3496" s="2" t="str">
        <f>HYPERLINK("https://www.google.com/maps?q=-20.2099620,-44.9223980","Abrir no Google Maps")</f>
        <v>Abrir no Google Maps</v>
      </c>
      <c r="S3496">
        <v>3</v>
      </c>
      <c r="T3496">
        <v>2648.9288862562971</v>
      </c>
      <c r="U3496">
        <v>3</v>
      </c>
      <c r="V3496">
        <v>0.43935128978355648</v>
      </c>
      <c r="W3496">
        <v>1</v>
      </c>
      <c r="X3496">
        <v>0.43935128978355648</v>
      </c>
      <c r="Y3496">
        <v>113</v>
      </c>
      <c r="Z3496">
        <v>2658.455493028307</v>
      </c>
      <c r="AA3496">
        <v>198</v>
      </c>
      <c r="AB3496">
        <v>332</v>
      </c>
      <c r="AC3496">
        <v>536</v>
      </c>
      <c r="AD3496">
        <v>28.54</v>
      </c>
      <c r="AE3496">
        <v>542</v>
      </c>
      <c r="AF3496">
        <v>20</v>
      </c>
      <c r="AG3496">
        <v>181</v>
      </c>
      <c r="AH3496">
        <v>129</v>
      </c>
      <c r="AI3496">
        <v>3.69</v>
      </c>
      <c r="AJ3496">
        <v>33.39</v>
      </c>
      <c r="AK3496">
        <v>23.8</v>
      </c>
      <c r="AL3496">
        <v>-20.210291849999951</v>
      </c>
      <c r="AM3496">
        <v>-44.921758447931353</v>
      </c>
      <c r="AN3496">
        <v>-20.210291849999951</v>
      </c>
      <c r="AO3496">
        <v>-44.921758447931353</v>
      </c>
      <c r="AP3496">
        <v>-20.209962000000001</v>
      </c>
      <c r="AQ3496">
        <v>-44.922398000000001</v>
      </c>
      <c r="AR3496">
        <v>76.23686013355892</v>
      </c>
      <c r="AS3496" t="s">
        <v>65</v>
      </c>
      <c r="AT3496">
        <v>1</v>
      </c>
      <c r="AU3496" t="s">
        <v>1828</v>
      </c>
      <c r="AV3496" t="s">
        <v>1829</v>
      </c>
      <c r="AW3496" t="s">
        <v>60</v>
      </c>
      <c r="AX3496" t="s">
        <v>68</v>
      </c>
      <c r="AY3496" t="s">
        <v>69</v>
      </c>
      <c r="AZ3496" t="b">
        <v>1</v>
      </c>
    </row>
    <row r="3497" spans="1:52" x14ac:dyDescent="0.3">
      <c r="A3497" t="s">
        <v>52</v>
      </c>
      <c r="B3497" t="s">
        <v>53</v>
      </c>
      <c r="C3497" t="s">
        <v>54</v>
      </c>
      <c r="D3497" t="s">
        <v>55</v>
      </c>
      <c r="E3497" t="s">
        <v>2200</v>
      </c>
      <c r="F3497" t="s">
        <v>190</v>
      </c>
      <c r="G3497" t="s">
        <v>1830</v>
      </c>
      <c r="H3497" t="s">
        <v>1831</v>
      </c>
      <c r="I3497" t="s">
        <v>1831</v>
      </c>
      <c r="J3497" t="s">
        <v>60</v>
      </c>
      <c r="K3497" t="s">
        <v>1243</v>
      </c>
      <c r="L3497" t="s">
        <v>62</v>
      </c>
      <c r="M3497" t="s">
        <v>1243</v>
      </c>
      <c r="N3497" t="s">
        <v>1832</v>
      </c>
      <c r="O3497" t="s">
        <v>1833</v>
      </c>
      <c r="P3497">
        <v>-20.196815999999998</v>
      </c>
      <c r="Q3497">
        <v>-44.940482000000003</v>
      </c>
      <c r="R3497" s="2" t="str">
        <f>HYPERLINK("https://www.google.com/maps?q=-20.1968160,-44.9404820","Abrir no Google Maps")</f>
        <v>Abrir no Google Maps</v>
      </c>
      <c r="S3497">
        <v>3</v>
      </c>
      <c r="T3497">
        <v>536.34378309151361</v>
      </c>
      <c r="U3497">
        <v>3</v>
      </c>
      <c r="V3497">
        <v>0.46573925091624208</v>
      </c>
      <c r="W3497">
        <v>1</v>
      </c>
      <c r="X3497">
        <v>0.46573925091624208</v>
      </c>
      <c r="Y3497">
        <v>113</v>
      </c>
      <c r="Z3497">
        <v>376.90325621866373</v>
      </c>
      <c r="AA3497">
        <v>198</v>
      </c>
      <c r="AB3497">
        <v>332</v>
      </c>
      <c r="AC3497">
        <v>536</v>
      </c>
      <c r="AD3497">
        <v>28.54</v>
      </c>
      <c r="AE3497">
        <v>542</v>
      </c>
      <c r="AF3497">
        <v>20</v>
      </c>
      <c r="AG3497">
        <v>181</v>
      </c>
      <c r="AH3497">
        <v>129</v>
      </c>
      <c r="AI3497">
        <v>3.69</v>
      </c>
      <c r="AJ3497">
        <v>33.39</v>
      </c>
      <c r="AK3497">
        <v>23.8</v>
      </c>
      <c r="AL3497">
        <v>-20.196517149999949</v>
      </c>
      <c r="AM3497">
        <v>-44.94010487355537</v>
      </c>
      <c r="AN3497">
        <v>-20.196517149999949</v>
      </c>
      <c r="AO3497">
        <v>-44.94010487355537</v>
      </c>
      <c r="AP3497">
        <v>-20.196815999999998</v>
      </c>
      <c r="AQ3497">
        <v>-44.940482000000003</v>
      </c>
      <c r="AR3497">
        <v>51.566969969189948</v>
      </c>
      <c r="AS3497" t="s">
        <v>65</v>
      </c>
      <c r="AT3497">
        <v>1</v>
      </c>
      <c r="AU3497" t="s">
        <v>1834</v>
      </c>
      <c r="AV3497" t="s">
        <v>1835</v>
      </c>
      <c r="AW3497" t="s">
        <v>60</v>
      </c>
      <c r="AX3497" t="s">
        <v>68</v>
      </c>
      <c r="AY3497" t="s">
        <v>69</v>
      </c>
      <c r="AZ3497" t="b">
        <v>1</v>
      </c>
    </row>
    <row r="3498" spans="1:52" x14ac:dyDescent="0.3">
      <c r="A3498" t="s">
        <v>52</v>
      </c>
      <c r="B3498" t="s">
        <v>53</v>
      </c>
      <c r="C3498" t="s">
        <v>54</v>
      </c>
      <c r="D3498" t="s">
        <v>55</v>
      </c>
      <c r="E3498" t="s">
        <v>2200</v>
      </c>
      <c r="F3498" t="s">
        <v>190</v>
      </c>
      <c r="G3498" t="s">
        <v>1235</v>
      </c>
      <c r="H3498" t="s">
        <v>1847</v>
      </c>
      <c r="I3498" t="s">
        <v>1847</v>
      </c>
      <c r="J3498" t="s">
        <v>60</v>
      </c>
      <c r="K3498" t="s">
        <v>1243</v>
      </c>
      <c r="L3498" t="s">
        <v>62</v>
      </c>
      <c r="M3498" t="s">
        <v>1243</v>
      </c>
      <c r="N3498" t="s">
        <v>1238</v>
      </c>
      <c r="O3498" t="s">
        <v>1351</v>
      </c>
      <c r="P3498">
        <v>-20.194087</v>
      </c>
      <c r="Q3498">
        <v>-44.936889999999998</v>
      </c>
      <c r="R3498" s="2" t="str">
        <f>HYPERLINK("https://www.google.com/maps?q=-20.1940870,-44.9368900","Abrir no Google Maps")</f>
        <v>Abrir no Google Maps</v>
      </c>
      <c r="S3498">
        <v>3</v>
      </c>
      <c r="T3498">
        <v>257.18642318734362</v>
      </c>
      <c r="U3498">
        <v>3</v>
      </c>
      <c r="V3498">
        <v>0.4574944071588366</v>
      </c>
      <c r="W3498">
        <v>1</v>
      </c>
      <c r="X3498">
        <v>0.4574944071588366</v>
      </c>
      <c r="Y3498">
        <v>113</v>
      </c>
      <c r="Z3498">
        <v>339.77652558311001</v>
      </c>
      <c r="AA3498">
        <v>198</v>
      </c>
      <c r="AB3498">
        <v>332</v>
      </c>
      <c r="AC3498">
        <v>536</v>
      </c>
      <c r="AD3498">
        <v>28.54</v>
      </c>
      <c r="AE3498">
        <v>542</v>
      </c>
      <c r="AF3498">
        <v>20</v>
      </c>
      <c r="AG3498">
        <v>181</v>
      </c>
      <c r="AH3498">
        <v>129</v>
      </c>
      <c r="AI3498">
        <v>3.69</v>
      </c>
      <c r="AJ3498">
        <v>33.39</v>
      </c>
      <c r="AK3498">
        <v>23.8</v>
      </c>
      <c r="AL3498">
        <v>-20.19405954999996</v>
      </c>
      <c r="AM3498">
        <v>-44.936949074015281</v>
      </c>
      <c r="AN3498">
        <v>-20.19405954999996</v>
      </c>
      <c r="AO3498">
        <v>-44.936949074015281</v>
      </c>
      <c r="AP3498">
        <v>-20.194087</v>
      </c>
      <c r="AQ3498">
        <v>-44.936889999999998</v>
      </c>
      <c r="AR3498">
        <v>6.8869138825619167</v>
      </c>
      <c r="AS3498" t="s">
        <v>65</v>
      </c>
      <c r="AT3498">
        <v>1</v>
      </c>
      <c r="AU3498" t="s">
        <v>1848</v>
      </c>
      <c r="AV3498" t="s">
        <v>1849</v>
      </c>
      <c r="AW3498" t="s">
        <v>60</v>
      </c>
      <c r="AX3498" t="s">
        <v>68</v>
      </c>
      <c r="AY3498" t="s">
        <v>69</v>
      </c>
      <c r="AZ3498" t="b">
        <v>1</v>
      </c>
    </row>
    <row r="3499" spans="1:52" x14ac:dyDescent="0.3">
      <c r="A3499" t="s">
        <v>52</v>
      </c>
      <c r="B3499" t="s">
        <v>53</v>
      </c>
      <c r="C3499" t="s">
        <v>54</v>
      </c>
      <c r="D3499" t="s">
        <v>55</v>
      </c>
      <c r="E3499" t="s">
        <v>2200</v>
      </c>
      <c r="F3499" t="s">
        <v>1247</v>
      </c>
      <c r="G3499" t="s">
        <v>58</v>
      </c>
      <c r="H3499" t="s">
        <v>59</v>
      </c>
      <c r="I3499" t="s">
        <v>59</v>
      </c>
      <c r="J3499" t="s">
        <v>60</v>
      </c>
      <c r="K3499" t="s">
        <v>61</v>
      </c>
      <c r="L3499" t="s">
        <v>62</v>
      </c>
      <c r="M3499" t="s">
        <v>61</v>
      </c>
      <c r="N3499" t="s">
        <v>63</v>
      </c>
      <c r="O3499" t="s">
        <v>64</v>
      </c>
      <c r="P3499">
        <v>-20.147940999999999</v>
      </c>
      <c r="Q3499">
        <v>-44.906514000000001</v>
      </c>
      <c r="R3499" s="2" t="str">
        <f>HYPERLINK("https://www.google.com/maps?q=-20.1479410,-44.9065140","Abrir no Google Maps")</f>
        <v>Abrir no Google Maps</v>
      </c>
      <c r="S3499">
        <v>4</v>
      </c>
      <c r="T3499">
        <v>308.67004994113421</v>
      </c>
      <c r="U3499">
        <v>4</v>
      </c>
      <c r="V3499">
        <v>0.51649336050024597</v>
      </c>
      <c r="W3499">
        <v>1</v>
      </c>
      <c r="X3499">
        <v>0.51649336050024597</v>
      </c>
      <c r="Y3499">
        <v>747</v>
      </c>
      <c r="Z3499">
        <v>274.71440454502522</v>
      </c>
      <c r="AA3499">
        <v>198</v>
      </c>
      <c r="AB3499">
        <v>332</v>
      </c>
      <c r="AC3499">
        <v>536</v>
      </c>
      <c r="AD3499">
        <v>28.54</v>
      </c>
      <c r="AE3499">
        <v>542</v>
      </c>
      <c r="AF3499">
        <v>20</v>
      </c>
      <c r="AG3499">
        <v>181</v>
      </c>
      <c r="AH3499">
        <v>129</v>
      </c>
      <c r="AI3499">
        <v>3.69</v>
      </c>
      <c r="AJ3499">
        <v>33.39</v>
      </c>
      <c r="AK3499">
        <v>23.8</v>
      </c>
      <c r="AL3499">
        <v>-20.147947799999969</v>
      </c>
      <c r="AM3499">
        <v>-44.906591596129203</v>
      </c>
      <c r="AN3499">
        <v>-20.147947799999969</v>
      </c>
      <c r="AO3499">
        <v>-44.906591596129203</v>
      </c>
      <c r="AP3499">
        <v>-20.147940999999999</v>
      </c>
      <c r="AQ3499">
        <v>-44.906514000000001</v>
      </c>
      <c r="AR3499">
        <v>8.1446636170570326</v>
      </c>
      <c r="AS3499" t="s">
        <v>65</v>
      </c>
      <c r="AT3499">
        <v>1</v>
      </c>
      <c r="AU3499" t="s">
        <v>66</v>
      </c>
      <c r="AV3499" t="s">
        <v>67</v>
      </c>
      <c r="AW3499" t="s">
        <v>60</v>
      </c>
      <c r="AX3499" t="s">
        <v>68</v>
      </c>
      <c r="AY3499" t="s">
        <v>69</v>
      </c>
      <c r="AZ3499" t="b">
        <v>1</v>
      </c>
    </row>
    <row r="3500" spans="1:52" x14ac:dyDescent="0.3">
      <c r="A3500" t="s">
        <v>52</v>
      </c>
      <c r="B3500" t="s">
        <v>53</v>
      </c>
      <c r="C3500" t="s">
        <v>54</v>
      </c>
      <c r="D3500" t="s">
        <v>55</v>
      </c>
      <c r="E3500" t="s">
        <v>2200</v>
      </c>
      <c r="F3500" t="s">
        <v>1247</v>
      </c>
      <c r="G3500" t="s">
        <v>70</v>
      </c>
      <c r="H3500" t="s">
        <v>71</v>
      </c>
      <c r="I3500" t="s">
        <v>71</v>
      </c>
      <c r="J3500" t="s">
        <v>60</v>
      </c>
      <c r="K3500" t="s">
        <v>72</v>
      </c>
      <c r="L3500" t="s">
        <v>62</v>
      </c>
      <c r="M3500" t="s">
        <v>72</v>
      </c>
      <c r="N3500" t="s">
        <v>73</v>
      </c>
      <c r="O3500" t="s">
        <v>74</v>
      </c>
      <c r="P3500">
        <v>-20.149349000000001</v>
      </c>
      <c r="Q3500">
        <v>-44.910784</v>
      </c>
      <c r="R3500" s="2" t="str">
        <f>HYPERLINK("https://www.google.com/maps?q=-20.1493490,-44.9107840","Abrir no Google Maps")</f>
        <v>Abrir no Google Maps</v>
      </c>
      <c r="S3500">
        <v>4</v>
      </c>
      <c r="T3500">
        <v>472.43876549769578</v>
      </c>
      <c r="U3500">
        <v>4</v>
      </c>
      <c r="V3500">
        <v>0.53040213178294582</v>
      </c>
      <c r="W3500">
        <v>1</v>
      </c>
      <c r="X3500">
        <v>0.53040213178294582</v>
      </c>
      <c r="Y3500">
        <v>747</v>
      </c>
      <c r="Z3500">
        <v>441.03921887407779</v>
      </c>
      <c r="AA3500">
        <v>198</v>
      </c>
      <c r="AB3500">
        <v>332</v>
      </c>
      <c r="AC3500">
        <v>536</v>
      </c>
      <c r="AD3500">
        <v>28.54</v>
      </c>
      <c r="AE3500">
        <v>542</v>
      </c>
      <c r="AF3500">
        <v>20</v>
      </c>
      <c r="AG3500">
        <v>181</v>
      </c>
      <c r="AH3500">
        <v>129</v>
      </c>
      <c r="AI3500">
        <v>3.69</v>
      </c>
      <c r="AJ3500">
        <v>33.39</v>
      </c>
      <c r="AK3500">
        <v>23.8</v>
      </c>
      <c r="AL3500">
        <v>-20.149403999999951</v>
      </c>
      <c r="AM3500">
        <v>-44.91080895147438</v>
      </c>
      <c r="AN3500">
        <v>-20.149403999999951</v>
      </c>
      <c r="AO3500">
        <v>-44.91080895147438</v>
      </c>
      <c r="AP3500">
        <v>-20.149349000000001</v>
      </c>
      <c r="AQ3500">
        <v>-44.910784</v>
      </c>
      <c r="AR3500">
        <v>6.6547592699416382</v>
      </c>
      <c r="AS3500" t="s">
        <v>65</v>
      </c>
      <c r="AT3500">
        <v>1</v>
      </c>
      <c r="AU3500" t="s">
        <v>75</v>
      </c>
      <c r="AV3500" t="s">
        <v>76</v>
      </c>
      <c r="AW3500" t="s">
        <v>60</v>
      </c>
      <c r="AX3500" t="s">
        <v>68</v>
      </c>
      <c r="AY3500" t="s">
        <v>69</v>
      </c>
      <c r="AZ3500" t="b">
        <v>1</v>
      </c>
    </row>
    <row r="3501" spans="1:52" x14ac:dyDescent="0.3">
      <c r="A3501" t="s">
        <v>52</v>
      </c>
      <c r="B3501" t="s">
        <v>53</v>
      </c>
      <c r="C3501" t="s">
        <v>54</v>
      </c>
      <c r="D3501" t="s">
        <v>55</v>
      </c>
      <c r="E3501" t="s">
        <v>2200</v>
      </c>
      <c r="F3501" t="s">
        <v>1247</v>
      </c>
      <c r="G3501" t="s">
        <v>77</v>
      </c>
      <c r="H3501" t="s">
        <v>78</v>
      </c>
      <c r="I3501" t="s">
        <v>78</v>
      </c>
      <c r="J3501" t="s">
        <v>60</v>
      </c>
      <c r="K3501" t="s">
        <v>72</v>
      </c>
      <c r="L3501" t="s">
        <v>62</v>
      </c>
      <c r="M3501" t="s">
        <v>72</v>
      </c>
      <c r="N3501" t="s">
        <v>79</v>
      </c>
      <c r="O3501" t="s">
        <v>80</v>
      </c>
      <c r="P3501">
        <v>-20.147821</v>
      </c>
      <c r="Q3501">
        <v>-44.908887</v>
      </c>
      <c r="R3501" s="2" t="str">
        <f>HYPERLINK("https://www.google.com/maps?q=-20.1478210,-44.9088870","Abrir no Google Maps")</f>
        <v>Abrir no Google Maps</v>
      </c>
      <c r="S3501">
        <v>4</v>
      </c>
      <c r="T3501">
        <v>232.2893841532152</v>
      </c>
      <c r="U3501">
        <v>4</v>
      </c>
      <c r="V3501">
        <v>0.55625417797176679</v>
      </c>
      <c r="W3501">
        <v>1</v>
      </c>
      <c r="X3501">
        <v>0.55625417797176679</v>
      </c>
      <c r="Y3501">
        <v>747</v>
      </c>
      <c r="Z3501">
        <v>195.3668648953757</v>
      </c>
      <c r="AA3501">
        <v>198</v>
      </c>
      <c r="AB3501">
        <v>332</v>
      </c>
      <c r="AC3501">
        <v>536</v>
      </c>
      <c r="AD3501">
        <v>28.54</v>
      </c>
      <c r="AE3501">
        <v>542</v>
      </c>
      <c r="AF3501">
        <v>20</v>
      </c>
      <c r="AG3501">
        <v>181</v>
      </c>
      <c r="AH3501">
        <v>129</v>
      </c>
      <c r="AI3501">
        <v>3.69</v>
      </c>
      <c r="AJ3501">
        <v>33.39</v>
      </c>
      <c r="AK3501">
        <v>23.8</v>
      </c>
      <c r="AL3501">
        <v>-20.147802849999952</v>
      </c>
      <c r="AM3501">
        <v>-44.908989919229477</v>
      </c>
      <c r="AN3501">
        <v>-20.147802849999952</v>
      </c>
      <c r="AO3501">
        <v>-44.908989919229491</v>
      </c>
      <c r="AP3501">
        <v>-20.147821</v>
      </c>
      <c r="AQ3501">
        <v>-44.908887</v>
      </c>
      <c r="AR3501">
        <v>10.944007761262529</v>
      </c>
      <c r="AS3501" t="s">
        <v>65</v>
      </c>
      <c r="AT3501">
        <v>1</v>
      </c>
      <c r="AU3501" t="s">
        <v>81</v>
      </c>
      <c r="AV3501" t="s">
        <v>82</v>
      </c>
      <c r="AW3501" t="s">
        <v>60</v>
      </c>
      <c r="AX3501" t="s">
        <v>68</v>
      </c>
      <c r="AY3501" t="s">
        <v>69</v>
      </c>
      <c r="AZ3501" t="b">
        <v>1</v>
      </c>
    </row>
    <row r="3502" spans="1:52" x14ac:dyDescent="0.3">
      <c r="A3502" t="s">
        <v>52</v>
      </c>
      <c r="B3502" t="s">
        <v>53</v>
      </c>
      <c r="C3502" t="s">
        <v>54</v>
      </c>
      <c r="D3502" t="s">
        <v>55</v>
      </c>
      <c r="E3502" t="s">
        <v>2200</v>
      </c>
      <c r="F3502" t="s">
        <v>1247</v>
      </c>
      <c r="G3502" t="s">
        <v>89</v>
      </c>
      <c r="H3502" t="s">
        <v>90</v>
      </c>
      <c r="I3502" t="s">
        <v>90</v>
      </c>
      <c r="J3502" t="s">
        <v>60</v>
      </c>
      <c r="K3502" t="s">
        <v>72</v>
      </c>
      <c r="L3502" t="s">
        <v>62</v>
      </c>
      <c r="M3502" t="s">
        <v>72</v>
      </c>
      <c r="N3502" t="s">
        <v>91</v>
      </c>
      <c r="O3502" t="s">
        <v>92</v>
      </c>
      <c r="P3502">
        <v>-20.145848999999998</v>
      </c>
      <c r="Q3502">
        <v>-44.908419000000002</v>
      </c>
      <c r="R3502" s="2" t="str">
        <f>HYPERLINK("https://www.google.com/maps?q=-20.1458490,-44.9084190","Abrir no Google Maps")</f>
        <v>Abrir no Google Maps</v>
      </c>
      <c r="S3502">
        <v>4</v>
      </c>
      <c r="T3502">
        <v>0</v>
      </c>
      <c r="U3502">
        <v>4</v>
      </c>
      <c r="V3502">
        <v>0.52430334936915679</v>
      </c>
      <c r="W3502">
        <v>1</v>
      </c>
      <c r="X3502">
        <v>0.52430334936915679</v>
      </c>
      <c r="Y3502">
        <v>747</v>
      </c>
      <c r="Z3502">
        <v>136.08168502765241</v>
      </c>
      <c r="AA3502">
        <v>198</v>
      </c>
      <c r="AB3502">
        <v>332</v>
      </c>
      <c r="AC3502">
        <v>536</v>
      </c>
      <c r="AD3502">
        <v>28.54</v>
      </c>
      <c r="AE3502">
        <v>542</v>
      </c>
      <c r="AF3502">
        <v>20</v>
      </c>
      <c r="AG3502">
        <v>181</v>
      </c>
      <c r="AH3502">
        <v>129</v>
      </c>
      <c r="AI3502">
        <v>3.69</v>
      </c>
      <c r="AJ3502">
        <v>33.39</v>
      </c>
      <c r="AK3502">
        <v>23.8</v>
      </c>
      <c r="AL3502">
        <v>-20.14576979999995</v>
      </c>
      <c r="AM3502">
        <v>-44.908436775053183</v>
      </c>
      <c r="AN3502">
        <v>-20.14576979999995</v>
      </c>
      <c r="AO3502">
        <v>-44.908436775053183</v>
      </c>
      <c r="AP3502">
        <v>-20.145848999999998</v>
      </c>
      <c r="AQ3502">
        <v>-44.908419000000002</v>
      </c>
      <c r="AR3502">
        <v>9.0101247482327356</v>
      </c>
      <c r="AS3502" t="s">
        <v>65</v>
      </c>
      <c r="AT3502">
        <v>1</v>
      </c>
      <c r="AU3502" t="s">
        <v>93</v>
      </c>
      <c r="AV3502" t="s">
        <v>94</v>
      </c>
      <c r="AW3502" t="s">
        <v>60</v>
      </c>
      <c r="AX3502" t="s">
        <v>68</v>
      </c>
      <c r="AY3502" t="s">
        <v>69</v>
      </c>
      <c r="AZ3502" t="b">
        <v>1</v>
      </c>
    </row>
    <row r="3503" spans="1:52" x14ac:dyDescent="0.3">
      <c r="A3503" t="s">
        <v>52</v>
      </c>
      <c r="B3503" t="s">
        <v>53</v>
      </c>
      <c r="C3503" t="s">
        <v>54</v>
      </c>
      <c r="D3503" t="s">
        <v>55</v>
      </c>
      <c r="E3503" t="s">
        <v>2200</v>
      </c>
      <c r="F3503" t="s">
        <v>1247</v>
      </c>
      <c r="G3503" t="s">
        <v>95</v>
      </c>
      <c r="H3503" t="s">
        <v>96</v>
      </c>
      <c r="I3503" t="s">
        <v>96</v>
      </c>
      <c r="J3503" t="s">
        <v>60</v>
      </c>
      <c r="K3503" t="s">
        <v>72</v>
      </c>
      <c r="L3503" t="s">
        <v>62</v>
      </c>
      <c r="M3503" t="s">
        <v>72</v>
      </c>
      <c r="N3503" t="s">
        <v>97</v>
      </c>
      <c r="O3503" t="s">
        <v>98</v>
      </c>
      <c r="P3503">
        <v>-20.144062999999999</v>
      </c>
      <c r="Q3503">
        <v>-44.909627999999998</v>
      </c>
      <c r="R3503" s="2" t="str">
        <f>HYPERLINK("https://www.google.com/maps?q=-20.1440630,-44.9096280","Abrir no Google Maps")</f>
        <v>Abrir no Google Maps</v>
      </c>
      <c r="S3503">
        <v>4</v>
      </c>
      <c r="T3503">
        <v>205.27083326529291</v>
      </c>
      <c r="U3503">
        <v>4</v>
      </c>
      <c r="V3503">
        <v>0.5158493202896709</v>
      </c>
      <c r="W3503">
        <v>1</v>
      </c>
      <c r="X3503">
        <v>0.5158493202896709</v>
      </c>
      <c r="Y3503">
        <v>747</v>
      </c>
      <c r="Z3503">
        <v>336.75785483480968</v>
      </c>
      <c r="AA3503">
        <v>198</v>
      </c>
      <c r="AB3503">
        <v>332</v>
      </c>
      <c r="AC3503">
        <v>536</v>
      </c>
      <c r="AD3503">
        <v>28.54</v>
      </c>
      <c r="AE3503">
        <v>542</v>
      </c>
      <c r="AF3503">
        <v>20</v>
      </c>
      <c r="AG3503">
        <v>181</v>
      </c>
      <c r="AH3503">
        <v>129</v>
      </c>
      <c r="AI3503">
        <v>3.69</v>
      </c>
      <c r="AJ3503">
        <v>33.39</v>
      </c>
      <c r="AK3503">
        <v>23.8</v>
      </c>
      <c r="AL3503">
        <v>-20.144164099999951</v>
      </c>
      <c r="AM3503">
        <v>-44.909420167767642</v>
      </c>
      <c r="AN3503">
        <v>-20.144164099999951</v>
      </c>
      <c r="AO3503">
        <v>-44.909420167767642</v>
      </c>
      <c r="AP3503">
        <v>-20.144062999999999</v>
      </c>
      <c r="AQ3503">
        <v>-44.909627999999998</v>
      </c>
      <c r="AR3503">
        <v>24.46321571724976</v>
      </c>
      <c r="AS3503" t="s">
        <v>65</v>
      </c>
      <c r="AT3503">
        <v>1</v>
      </c>
      <c r="AU3503" t="s">
        <v>99</v>
      </c>
      <c r="AV3503" t="s">
        <v>94</v>
      </c>
      <c r="AW3503" t="s">
        <v>60</v>
      </c>
      <c r="AX3503" t="s">
        <v>68</v>
      </c>
      <c r="AY3503" t="s">
        <v>69</v>
      </c>
      <c r="AZ3503" t="b">
        <v>1</v>
      </c>
    </row>
    <row r="3504" spans="1:52" x14ac:dyDescent="0.3">
      <c r="A3504" t="s">
        <v>52</v>
      </c>
      <c r="B3504" t="s">
        <v>53</v>
      </c>
      <c r="C3504" t="s">
        <v>54</v>
      </c>
      <c r="D3504" t="s">
        <v>55</v>
      </c>
      <c r="E3504" t="s">
        <v>2200</v>
      </c>
      <c r="F3504" t="s">
        <v>1247</v>
      </c>
      <c r="G3504" t="s">
        <v>100</v>
      </c>
      <c r="H3504" t="s">
        <v>101</v>
      </c>
      <c r="I3504" t="s">
        <v>101</v>
      </c>
      <c r="J3504" t="s">
        <v>60</v>
      </c>
      <c r="K3504" t="s">
        <v>61</v>
      </c>
      <c r="L3504" t="s">
        <v>62</v>
      </c>
      <c r="M3504" t="s">
        <v>61</v>
      </c>
      <c r="N3504" t="s">
        <v>102</v>
      </c>
      <c r="O3504" t="s">
        <v>103</v>
      </c>
      <c r="P3504">
        <v>-20.151098999999999</v>
      </c>
      <c r="Q3504">
        <v>-44.909699000000003</v>
      </c>
      <c r="R3504" s="2" t="str">
        <f>HYPERLINK("https://www.google.com/maps?q=-20.1510990,-44.9096990","Abrir no Google Maps")</f>
        <v>Abrir no Google Maps</v>
      </c>
      <c r="S3504">
        <v>4</v>
      </c>
      <c r="T3504">
        <v>628.5023128813533</v>
      </c>
      <c r="U3504">
        <v>4</v>
      </c>
      <c r="V3504">
        <v>0.60141369047619053</v>
      </c>
      <c r="W3504">
        <v>1</v>
      </c>
      <c r="X3504">
        <v>0.60141369047619053</v>
      </c>
      <c r="Y3504">
        <v>747</v>
      </c>
      <c r="Z3504">
        <v>563.16456625265948</v>
      </c>
      <c r="AA3504">
        <v>198</v>
      </c>
      <c r="AB3504">
        <v>332</v>
      </c>
      <c r="AC3504">
        <v>536</v>
      </c>
      <c r="AD3504">
        <v>28.54</v>
      </c>
      <c r="AE3504">
        <v>542</v>
      </c>
      <c r="AF3504">
        <v>20</v>
      </c>
      <c r="AG3504">
        <v>181</v>
      </c>
      <c r="AH3504">
        <v>129</v>
      </c>
      <c r="AI3504">
        <v>3.69</v>
      </c>
      <c r="AJ3504">
        <v>33.39</v>
      </c>
      <c r="AK3504">
        <v>23.8</v>
      </c>
      <c r="AL3504">
        <v>-20.151307349999971</v>
      </c>
      <c r="AM3504">
        <v>-44.909772836123523</v>
      </c>
      <c r="AN3504">
        <v>-20.151307349999971</v>
      </c>
      <c r="AO3504">
        <v>-44.909772836123523</v>
      </c>
      <c r="AP3504">
        <v>-20.151098999999999</v>
      </c>
      <c r="AQ3504">
        <v>-44.909699000000003</v>
      </c>
      <c r="AR3504">
        <v>24.443417349564811</v>
      </c>
      <c r="AS3504" t="s">
        <v>65</v>
      </c>
      <c r="AT3504">
        <v>1</v>
      </c>
      <c r="AU3504" t="s">
        <v>104</v>
      </c>
      <c r="AV3504" t="s">
        <v>105</v>
      </c>
      <c r="AW3504" t="s">
        <v>60</v>
      </c>
      <c r="AX3504" t="s">
        <v>68</v>
      </c>
      <c r="AY3504" t="s">
        <v>69</v>
      </c>
      <c r="AZ3504" t="b">
        <v>1</v>
      </c>
    </row>
    <row r="3505" spans="1:52" x14ac:dyDescent="0.3">
      <c r="A3505" t="s">
        <v>52</v>
      </c>
      <c r="B3505" t="s">
        <v>53</v>
      </c>
      <c r="C3505" t="s">
        <v>54</v>
      </c>
      <c r="D3505" t="s">
        <v>55</v>
      </c>
      <c r="E3505" t="s">
        <v>2200</v>
      </c>
      <c r="F3505" t="s">
        <v>1247</v>
      </c>
      <c r="G3505" t="s">
        <v>100</v>
      </c>
      <c r="H3505" t="s">
        <v>106</v>
      </c>
      <c r="I3505" t="s">
        <v>106</v>
      </c>
      <c r="J3505" t="s">
        <v>60</v>
      </c>
      <c r="K3505" t="s">
        <v>61</v>
      </c>
      <c r="L3505" t="s">
        <v>62</v>
      </c>
      <c r="M3505" t="s">
        <v>61</v>
      </c>
      <c r="N3505" t="s">
        <v>102</v>
      </c>
      <c r="O3505" t="s">
        <v>103</v>
      </c>
      <c r="P3505">
        <v>-20.151107</v>
      </c>
      <c r="Q3505">
        <v>-44.908918</v>
      </c>
      <c r="R3505" s="2" t="str">
        <f>HYPERLINK("https://www.google.com/maps?q=-20.1511070,-44.9089180","Abrir no Google Maps")</f>
        <v>Abrir no Google Maps</v>
      </c>
      <c r="S3505">
        <v>4</v>
      </c>
      <c r="T3505">
        <v>615.86400245321579</v>
      </c>
      <c r="U3505">
        <v>4</v>
      </c>
      <c r="V3505">
        <v>0.5730405079054719</v>
      </c>
      <c r="W3505">
        <v>0.85</v>
      </c>
      <c r="X3505">
        <v>0.4870844317196511</v>
      </c>
      <c r="Y3505">
        <v>747</v>
      </c>
      <c r="Z3505">
        <v>535.34543763764702</v>
      </c>
      <c r="AA3505">
        <v>198</v>
      </c>
      <c r="AB3505">
        <v>332</v>
      </c>
      <c r="AC3505">
        <v>536</v>
      </c>
      <c r="AD3505">
        <v>28.54</v>
      </c>
      <c r="AE3505">
        <v>542</v>
      </c>
      <c r="AF3505">
        <v>20</v>
      </c>
      <c r="AG3505">
        <v>181</v>
      </c>
      <c r="AH3505">
        <v>129</v>
      </c>
      <c r="AI3505">
        <v>3.69</v>
      </c>
      <c r="AJ3505">
        <v>33.39</v>
      </c>
      <c r="AK3505">
        <v>23.8</v>
      </c>
      <c r="AL3505">
        <v>-20.151307349999971</v>
      </c>
      <c r="AM3505">
        <v>-44.909024234051429</v>
      </c>
      <c r="AN3505">
        <v>-20.151307349999971</v>
      </c>
      <c r="AO3505">
        <v>-44.909024234051429</v>
      </c>
      <c r="AP3505">
        <v>-20.151107</v>
      </c>
      <c r="AQ3505">
        <v>-44.908918</v>
      </c>
      <c r="AR3505">
        <v>24.91340747371116</v>
      </c>
      <c r="AS3505" t="s">
        <v>65</v>
      </c>
      <c r="AT3505">
        <v>1</v>
      </c>
      <c r="AU3505" t="s">
        <v>107</v>
      </c>
      <c r="AV3505" t="s">
        <v>105</v>
      </c>
      <c r="AW3505" t="s">
        <v>60</v>
      </c>
      <c r="AX3505" t="s">
        <v>68</v>
      </c>
      <c r="AY3505" t="s">
        <v>69</v>
      </c>
      <c r="AZ3505" t="b">
        <v>1</v>
      </c>
    </row>
    <row r="3506" spans="1:52" x14ac:dyDescent="0.3">
      <c r="A3506" t="s">
        <v>52</v>
      </c>
      <c r="B3506" t="s">
        <v>53</v>
      </c>
      <c r="C3506" t="s">
        <v>54</v>
      </c>
      <c r="D3506" t="s">
        <v>55</v>
      </c>
      <c r="E3506" t="s">
        <v>2200</v>
      </c>
      <c r="F3506" t="s">
        <v>1247</v>
      </c>
      <c r="G3506" t="s">
        <v>108</v>
      </c>
      <c r="H3506" t="s">
        <v>109</v>
      </c>
      <c r="I3506" t="s">
        <v>109</v>
      </c>
      <c r="J3506" t="s">
        <v>60</v>
      </c>
      <c r="K3506" t="s">
        <v>110</v>
      </c>
      <c r="L3506" t="s">
        <v>62</v>
      </c>
      <c r="M3506" t="s">
        <v>110</v>
      </c>
      <c r="N3506" t="s">
        <v>111</v>
      </c>
      <c r="O3506" t="s">
        <v>112</v>
      </c>
      <c r="P3506">
        <v>-20.122233999999999</v>
      </c>
      <c r="Q3506">
        <v>-44.909194999999997</v>
      </c>
      <c r="R3506" s="2" t="str">
        <f>HYPERLINK("https://www.google.com/maps?q=-20.1222340,-44.9091950","Abrir no Google Maps")</f>
        <v>Abrir no Google Maps</v>
      </c>
      <c r="S3506">
        <v>4</v>
      </c>
      <c r="T3506">
        <v>1171.396020763932</v>
      </c>
      <c r="U3506">
        <v>4</v>
      </c>
      <c r="V3506">
        <v>0.55575130499627146</v>
      </c>
      <c r="W3506">
        <v>0.85</v>
      </c>
      <c r="X3506">
        <v>0.47238860924683068</v>
      </c>
      <c r="Y3506">
        <v>567</v>
      </c>
      <c r="Z3506">
        <v>1238.711234283244</v>
      </c>
      <c r="AA3506">
        <v>198</v>
      </c>
      <c r="AB3506">
        <v>332</v>
      </c>
      <c r="AC3506">
        <v>536</v>
      </c>
      <c r="AD3506">
        <v>28.54</v>
      </c>
      <c r="AE3506">
        <v>542</v>
      </c>
      <c r="AF3506">
        <v>20</v>
      </c>
      <c r="AG3506">
        <v>181</v>
      </c>
      <c r="AH3506">
        <v>129</v>
      </c>
      <c r="AI3506">
        <v>3.69</v>
      </c>
      <c r="AJ3506">
        <v>33.39</v>
      </c>
      <c r="AK3506">
        <v>23.8</v>
      </c>
      <c r="AL3506">
        <v>-20.121881249999941</v>
      </c>
      <c r="AM3506">
        <v>-44.909273766094323</v>
      </c>
      <c r="AN3506">
        <v>-20.121881249999941</v>
      </c>
      <c r="AO3506">
        <v>-44.909273766094323</v>
      </c>
      <c r="AP3506">
        <v>-20.122233999999999</v>
      </c>
      <c r="AQ3506">
        <v>-44.909194999999997</v>
      </c>
      <c r="AR3506">
        <v>40.12192930593006</v>
      </c>
      <c r="AS3506" t="s">
        <v>65</v>
      </c>
      <c r="AT3506">
        <v>1</v>
      </c>
      <c r="AU3506" t="s">
        <v>113</v>
      </c>
      <c r="AV3506" t="s">
        <v>114</v>
      </c>
      <c r="AW3506" t="s">
        <v>60</v>
      </c>
      <c r="AX3506" t="s">
        <v>68</v>
      </c>
      <c r="AY3506" t="s">
        <v>69</v>
      </c>
      <c r="AZ3506" t="b">
        <v>1</v>
      </c>
    </row>
    <row r="3507" spans="1:52" x14ac:dyDescent="0.3">
      <c r="A3507" t="s">
        <v>52</v>
      </c>
      <c r="B3507" t="s">
        <v>53</v>
      </c>
      <c r="C3507" t="s">
        <v>54</v>
      </c>
      <c r="D3507" t="s">
        <v>55</v>
      </c>
      <c r="E3507" t="s">
        <v>2200</v>
      </c>
      <c r="F3507" t="s">
        <v>1247</v>
      </c>
      <c r="G3507" t="s">
        <v>191</v>
      </c>
      <c r="H3507" t="s">
        <v>192</v>
      </c>
      <c r="I3507" t="s">
        <v>192</v>
      </c>
      <c r="J3507" t="s">
        <v>60</v>
      </c>
      <c r="K3507" t="s">
        <v>193</v>
      </c>
      <c r="L3507" t="s">
        <v>62</v>
      </c>
      <c r="M3507" t="s">
        <v>193</v>
      </c>
      <c r="N3507" t="s">
        <v>194</v>
      </c>
      <c r="O3507" t="s">
        <v>195</v>
      </c>
      <c r="P3507">
        <v>-20.143266000000001</v>
      </c>
      <c r="Q3507">
        <v>-44.912075000000002</v>
      </c>
      <c r="R3507" s="2" t="str">
        <f>HYPERLINK("https://www.google.com/maps?q=-20.1432660,-44.9120750","Abrir no Google Maps")</f>
        <v>Abrir no Google Maps</v>
      </c>
      <c r="S3507">
        <v>4</v>
      </c>
      <c r="T3507">
        <v>467.04339396175408</v>
      </c>
      <c r="U3507">
        <v>3</v>
      </c>
      <c r="V3507">
        <v>0.45941764366711513</v>
      </c>
      <c r="W3507">
        <v>1</v>
      </c>
      <c r="X3507">
        <v>0.45941764366711513</v>
      </c>
      <c r="Y3507">
        <v>747</v>
      </c>
      <c r="Z3507">
        <v>585.1742452866996</v>
      </c>
      <c r="AA3507">
        <v>198</v>
      </c>
      <c r="AB3507">
        <v>332</v>
      </c>
      <c r="AC3507">
        <v>536</v>
      </c>
      <c r="AD3507">
        <v>28.54</v>
      </c>
      <c r="AE3507">
        <v>542</v>
      </c>
      <c r="AF3507">
        <v>20</v>
      </c>
      <c r="AG3507">
        <v>181</v>
      </c>
      <c r="AH3507">
        <v>129</v>
      </c>
      <c r="AI3507">
        <v>3.69</v>
      </c>
      <c r="AJ3507">
        <v>33.39</v>
      </c>
      <c r="AK3507">
        <v>23.8</v>
      </c>
      <c r="AL3507">
        <v>-20.143307949999951</v>
      </c>
      <c r="AM3507">
        <v>-44.912066629431067</v>
      </c>
      <c r="AN3507">
        <v>-20.143307949999951</v>
      </c>
      <c r="AO3507">
        <v>-44.912066629431067</v>
      </c>
      <c r="AP3507">
        <v>-20.143266000000001</v>
      </c>
      <c r="AQ3507">
        <v>-44.912075000000002</v>
      </c>
      <c r="AR3507">
        <v>4.751108024498329</v>
      </c>
      <c r="AS3507" t="s">
        <v>65</v>
      </c>
      <c r="AT3507">
        <v>1</v>
      </c>
      <c r="AU3507" t="s">
        <v>196</v>
      </c>
      <c r="AV3507" t="s">
        <v>197</v>
      </c>
      <c r="AW3507" t="s">
        <v>60</v>
      </c>
      <c r="AX3507" t="s">
        <v>68</v>
      </c>
      <c r="AY3507" t="s">
        <v>69</v>
      </c>
      <c r="AZ3507" t="b">
        <v>1</v>
      </c>
    </row>
    <row r="3508" spans="1:52" x14ac:dyDescent="0.3">
      <c r="A3508" t="s">
        <v>52</v>
      </c>
      <c r="B3508" t="s">
        <v>53</v>
      </c>
      <c r="C3508" t="s">
        <v>54</v>
      </c>
      <c r="D3508" t="s">
        <v>55</v>
      </c>
      <c r="E3508" t="s">
        <v>2200</v>
      </c>
      <c r="F3508" t="s">
        <v>1247</v>
      </c>
      <c r="G3508" t="s">
        <v>83</v>
      </c>
      <c r="H3508" t="s">
        <v>84</v>
      </c>
      <c r="I3508" t="s">
        <v>84</v>
      </c>
      <c r="J3508" t="s">
        <v>60</v>
      </c>
      <c r="K3508" t="s">
        <v>61</v>
      </c>
      <c r="L3508" t="s">
        <v>62</v>
      </c>
      <c r="M3508" t="s">
        <v>61</v>
      </c>
      <c r="N3508" t="s">
        <v>85</v>
      </c>
      <c r="O3508" t="s">
        <v>86</v>
      </c>
      <c r="P3508">
        <v>-20.149799000000002</v>
      </c>
      <c r="Q3508">
        <v>-44.906517000000001</v>
      </c>
      <c r="R3508" s="2" t="str">
        <f>HYPERLINK("https://www.google.com/maps?q=-20.1497990,-44.9065170","Abrir no Google Maps")</f>
        <v>Abrir no Google Maps</v>
      </c>
      <c r="S3508">
        <v>4</v>
      </c>
      <c r="T3508">
        <v>487.90051105537998</v>
      </c>
      <c r="U3508">
        <v>3</v>
      </c>
      <c r="V3508">
        <v>0.46650810225470862</v>
      </c>
      <c r="W3508">
        <v>1</v>
      </c>
      <c r="X3508">
        <v>0.46650810225470862</v>
      </c>
      <c r="Y3508">
        <v>747</v>
      </c>
      <c r="Z3508">
        <v>365.93785960107078</v>
      </c>
      <c r="AA3508">
        <v>198</v>
      </c>
      <c r="AB3508">
        <v>332</v>
      </c>
      <c r="AC3508">
        <v>536</v>
      </c>
      <c r="AD3508">
        <v>28.54</v>
      </c>
      <c r="AE3508">
        <v>542</v>
      </c>
      <c r="AF3508">
        <v>20</v>
      </c>
      <c r="AG3508">
        <v>181</v>
      </c>
      <c r="AH3508">
        <v>129</v>
      </c>
      <c r="AI3508">
        <v>3.69</v>
      </c>
      <c r="AJ3508">
        <v>33.39</v>
      </c>
      <c r="AK3508">
        <v>23.8</v>
      </c>
      <c r="AL3508">
        <v>-20.149879599999959</v>
      </c>
      <c r="AM3508">
        <v>-44.906746466068469</v>
      </c>
      <c r="AN3508">
        <v>-20.149879599999959</v>
      </c>
      <c r="AO3508">
        <v>-44.906746466068469</v>
      </c>
      <c r="AP3508">
        <v>-20.149799000000002</v>
      </c>
      <c r="AQ3508">
        <v>-44.906517000000001</v>
      </c>
      <c r="AR3508">
        <v>25.604276856970429</v>
      </c>
      <c r="AS3508" t="s">
        <v>65</v>
      </c>
      <c r="AT3508">
        <v>1</v>
      </c>
      <c r="AU3508" t="s">
        <v>87</v>
      </c>
      <c r="AV3508" t="s">
        <v>88</v>
      </c>
      <c r="AW3508" t="s">
        <v>60</v>
      </c>
      <c r="AX3508" t="s">
        <v>68</v>
      </c>
      <c r="AY3508" t="s">
        <v>69</v>
      </c>
      <c r="AZ3508" t="b">
        <v>1</v>
      </c>
    </row>
    <row r="3509" spans="1:52" x14ac:dyDescent="0.3">
      <c r="A3509" t="s">
        <v>52</v>
      </c>
      <c r="B3509" t="s">
        <v>53</v>
      </c>
      <c r="C3509" t="s">
        <v>54</v>
      </c>
      <c r="D3509" t="s">
        <v>55</v>
      </c>
      <c r="E3509" t="s">
        <v>2200</v>
      </c>
      <c r="F3509" t="s">
        <v>1247</v>
      </c>
      <c r="G3509" t="s">
        <v>115</v>
      </c>
      <c r="H3509" t="s">
        <v>116</v>
      </c>
      <c r="I3509" t="s">
        <v>116</v>
      </c>
      <c r="J3509" t="s">
        <v>60</v>
      </c>
      <c r="K3509" t="s">
        <v>117</v>
      </c>
      <c r="L3509" t="s">
        <v>62</v>
      </c>
      <c r="M3509" t="s">
        <v>117</v>
      </c>
      <c r="N3509" t="s">
        <v>118</v>
      </c>
      <c r="O3509" t="s">
        <v>119</v>
      </c>
      <c r="P3509">
        <v>-20.116992</v>
      </c>
      <c r="Q3509">
        <v>-44.899355</v>
      </c>
      <c r="R3509" s="2" t="str">
        <f>HYPERLINK("https://www.google.com/maps?q=-20.1169920,-44.8993550","Abrir no Google Maps")</f>
        <v>Abrir no Google Maps</v>
      </c>
      <c r="S3509">
        <v>4</v>
      </c>
      <c r="T3509">
        <v>0</v>
      </c>
      <c r="U3509">
        <v>3</v>
      </c>
      <c r="V3509">
        <v>0.46122737061193358</v>
      </c>
      <c r="W3509">
        <v>1</v>
      </c>
      <c r="X3509">
        <v>0.46122737061193358</v>
      </c>
      <c r="Y3509">
        <v>567</v>
      </c>
      <c r="Z3509">
        <v>54.913678078353321</v>
      </c>
      <c r="AA3509">
        <v>198</v>
      </c>
      <c r="AB3509">
        <v>332</v>
      </c>
      <c r="AC3509">
        <v>536</v>
      </c>
      <c r="AD3509">
        <v>28.54</v>
      </c>
      <c r="AE3509">
        <v>542</v>
      </c>
      <c r="AF3509">
        <v>20</v>
      </c>
      <c r="AG3509">
        <v>181</v>
      </c>
      <c r="AH3509">
        <v>129</v>
      </c>
      <c r="AI3509">
        <v>3.69</v>
      </c>
      <c r="AJ3509">
        <v>33.39</v>
      </c>
      <c r="AK3509">
        <v>23.8</v>
      </c>
      <c r="AL3509">
        <v>-20.117107749999949</v>
      </c>
      <c r="AM3509">
        <v>-44.899271226243108</v>
      </c>
      <c r="AN3509">
        <v>-20.117107749999949</v>
      </c>
      <c r="AO3509">
        <v>-44.899271226243108</v>
      </c>
      <c r="AP3509">
        <v>-20.116992</v>
      </c>
      <c r="AQ3509">
        <v>-44.899355</v>
      </c>
      <c r="AR3509">
        <v>15.579196044083419</v>
      </c>
      <c r="AS3509" t="s">
        <v>65</v>
      </c>
      <c r="AT3509">
        <v>1</v>
      </c>
      <c r="AU3509" t="s">
        <v>120</v>
      </c>
      <c r="AV3509" t="s">
        <v>121</v>
      </c>
      <c r="AW3509" t="s">
        <v>60</v>
      </c>
      <c r="AX3509" t="s">
        <v>68</v>
      </c>
      <c r="AY3509" t="s">
        <v>69</v>
      </c>
      <c r="AZ3509" t="b">
        <v>1</v>
      </c>
    </row>
    <row r="3510" spans="1:52" x14ac:dyDescent="0.3">
      <c r="A3510" t="s">
        <v>52</v>
      </c>
      <c r="B3510" t="s">
        <v>53</v>
      </c>
      <c r="C3510" t="s">
        <v>54</v>
      </c>
      <c r="D3510" t="s">
        <v>55</v>
      </c>
      <c r="E3510" t="s">
        <v>2200</v>
      </c>
      <c r="F3510" t="s">
        <v>1247</v>
      </c>
      <c r="G3510" t="s">
        <v>122</v>
      </c>
      <c r="H3510" t="s">
        <v>123</v>
      </c>
      <c r="I3510" t="s">
        <v>123</v>
      </c>
      <c r="J3510" t="s">
        <v>60</v>
      </c>
      <c r="K3510" t="s">
        <v>117</v>
      </c>
      <c r="L3510" t="s">
        <v>62</v>
      </c>
      <c r="M3510" t="s">
        <v>117</v>
      </c>
      <c r="N3510" t="s">
        <v>124</v>
      </c>
      <c r="O3510" t="s">
        <v>125</v>
      </c>
      <c r="P3510">
        <v>-20.11853</v>
      </c>
      <c r="Q3510">
        <v>-44.896925000000003</v>
      </c>
      <c r="R3510" s="2" t="str">
        <f>HYPERLINK("https://www.google.com/maps?q=-20.1185300,-44.8969250","Abrir no Google Maps")</f>
        <v>Abrir no Google Maps</v>
      </c>
      <c r="S3510">
        <v>4</v>
      </c>
      <c r="T3510">
        <v>325.32255721093247</v>
      </c>
      <c r="U3510">
        <v>3</v>
      </c>
      <c r="V3510">
        <v>0.45839735777742452</v>
      </c>
      <c r="W3510">
        <v>1</v>
      </c>
      <c r="X3510">
        <v>0.45839735777742452</v>
      </c>
      <c r="Y3510">
        <v>567</v>
      </c>
      <c r="Z3510">
        <v>306.04423478678871</v>
      </c>
      <c r="AA3510">
        <v>198</v>
      </c>
      <c r="AB3510">
        <v>332</v>
      </c>
      <c r="AC3510">
        <v>536</v>
      </c>
      <c r="AD3510">
        <v>28.54</v>
      </c>
      <c r="AE3510">
        <v>542</v>
      </c>
      <c r="AF3510">
        <v>20</v>
      </c>
      <c r="AG3510">
        <v>181</v>
      </c>
      <c r="AH3510">
        <v>129</v>
      </c>
      <c r="AI3510">
        <v>3.69</v>
      </c>
      <c r="AJ3510">
        <v>33.39</v>
      </c>
      <c r="AK3510">
        <v>23.8</v>
      </c>
      <c r="AL3510">
        <v>-20.118682499999949</v>
      </c>
      <c r="AM3510">
        <v>-44.896643089287927</v>
      </c>
      <c r="AN3510">
        <v>-20.118682499999949</v>
      </c>
      <c r="AO3510">
        <v>-44.896643089287927</v>
      </c>
      <c r="AP3510">
        <v>-20.11853</v>
      </c>
      <c r="AQ3510">
        <v>-44.896925000000003</v>
      </c>
      <c r="AR3510">
        <v>34.007698996886518</v>
      </c>
      <c r="AS3510" t="s">
        <v>65</v>
      </c>
      <c r="AT3510">
        <v>1</v>
      </c>
      <c r="AU3510" t="s">
        <v>126</v>
      </c>
      <c r="AV3510" t="s">
        <v>121</v>
      </c>
      <c r="AW3510" t="s">
        <v>60</v>
      </c>
      <c r="AX3510" t="s">
        <v>68</v>
      </c>
      <c r="AY3510" t="s">
        <v>69</v>
      </c>
      <c r="AZ3510" t="b">
        <v>1</v>
      </c>
    </row>
    <row r="3511" spans="1:52" x14ac:dyDescent="0.3">
      <c r="A3511" t="s">
        <v>52</v>
      </c>
      <c r="B3511" t="s">
        <v>53</v>
      </c>
      <c r="C3511" t="s">
        <v>54</v>
      </c>
      <c r="D3511" t="s">
        <v>55</v>
      </c>
      <c r="E3511" t="s">
        <v>2200</v>
      </c>
      <c r="F3511" t="s">
        <v>1247</v>
      </c>
      <c r="G3511" t="s">
        <v>1248</v>
      </c>
      <c r="H3511" t="s">
        <v>1249</v>
      </c>
      <c r="I3511" t="s">
        <v>1249</v>
      </c>
      <c r="J3511" t="s">
        <v>60</v>
      </c>
      <c r="K3511" t="s">
        <v>61</v>
      </c>
      <c r="L3511" t="s">
        <v>62</v>
      </c>
      <c r="M3511" t="s">
        <v>61</v>
      </c>
      <c r="N3511" t="s">
        <v>1250</v>
      </c>
      <c r="O3511" t="s">
        <v>202</v>
      </c>
      <c r="P3511">
        <v>-20.145337999999999</v>
      </c>
      <c r="Q3511">
        <v>-44.906260000000003</v>
      </c>
      <c r="R3511" s="2" t="str">
        <f>HYPERLINK("https://www.google.com/maps?q=-20.1453380,-44.9062600","Abrir no Google Maps")</f>
        <v>Abrir no Google Maps</v>
      </c>
      <c r="S3511">
        <v>4</v>
      </c>
      <c r="T3511">
        <v>231.8105263092443</v>
      </c>
      <c r="U3511">
        <v>2</v>
      </c>
      <c r="V3511">
        <v>0.46724661087456559</v>
      </c>
      <c r="W3511">
        <v>0.85</v>
      </c>
      <c r="X3511">
        <v>0.39715961924338072</v>
      </c>
      <c r="Y3511">
        <v>747</v>
      </c>
      <c r="Z3511">
        <v>210.09098260239841</v>
      </c>
      <c r="AA3511">
        <v>198</v>
      </c>
      <c r="AB3511">
        <v>332</v>
      </c>
      <c r="AC3511">
        <v>536</v>
      </c>
      <c r="AD3511">
        <v>28.54</v>
      </c>
      <c r="AE3511">
        <v>542</v>
      </c>
      <c r="AF3511">
        <v>20</v>
      </c>
      <c r="AG3511">
        <v>181</v>
      </c>
      <c r="AH3511">
        <v>129</v>
      </c>
      <c r="AI3511">
        <v>3.69</v>
      </c>
      <c r="AJ3511">
        <v>33.39</v>
      </c>
      <c r="AK3511">
        <v>23.8</v>
      </c>
      <c r="AL3511">
        <v>-20.14545934999995</v>
      </c>
      <c r="AM3511">
        <v>-44.906243174283489</v>
      </c>
      <c r="AN3511">
        <v>-20.14545934999995</v>
      </c>
      <c r="AO3511">
        <v>-44.906243174283489</v>
      </c>
      <c r="AP3511">
        <v>-20.145337999999999</v>
      </c>
      <c r="AQ3511">
        <v>-44.906260000000003</v>
      </c>
      <c r="AR3511">
        <v>13.622651392262521</v>
      </c>
      <c r="AS3511" t="s">
        <v>65</v>
      </c>
      <c r="AT3511">
        <v>1</v>
      </c>
      <c r="AU3511" t="s">
        <v>1251</v>
      </c>
      <c r="AV3511" t="s">
        <v>1252</v>
      </c>
      <c r="AW3511" t="s">
        <v>60</v>
      </c>
      <c r="AX3511" t="s">
        <v>68</v>
      </c>
      <c r="AY3511" t="s">
        <v>69</v>
      </c>
      <c r="AZ3511" t="b">
        <v>1</v>
      </c>
    </row>
    <row r="3512" spans="1:52" x14ac:dyDescent="0.3">
      <c r="A3512" t="s">
        <v>52</v>
      </c>
      <c r="B3512" t="s">
        <v>53</v>
      </c>
      <c r="C3512" t="s">
        <v>54</v>
      </c>
      <c r="D3512" t="s">
        <v>55</v>
      </c>
      <c r="E3512" t="s">
        <v>2200</v>
      </c>
      <c r="F3512" t="s">
        <v>1247</v>
      </c>
      <c r="G3512" t="s">
        <v>83</v>
      </c>
      <c r="H3512" t="s">
        <v>1253</v>
      </c>
      <c r="I3512" t="s">
        <v>1253</v>
      </c>
      <c r="J3512" t="s">
        <v>60</v>
      </c>
      <c r="K3512" t="s">
        <v>72</v>
      </c>
      <c r="L3512" t="s">
        <v>62</v>
      </c>
      <c r="M3512" t="s">
        <v>72</v>
      </c>
      <c r="N3512" t="s">
        <v>1254</v>
      </c>
      <c r="O3512" t="s">
        <v>1255</v>
      </c>
      <c r="P3512">
        <v>-20.147164</v>
      </c>
      <c r="Q3512">
        <v>-44.905259000000001</v>
      </c>
      <c r="R3512" s="2" t="str">
        <f>HYPERLINK("https://www.google.com/maps?q=-20.1471640,-44.9052590","Abrir no Google Maps")</f>
        <v>Abrir no Google Maps</v>
      </c>
      <c r="S3512">
        <v>4</v>
      </c>
      <c r="T3512">
        <v>364.08569180502712</v>
      </c>
      <c r="U3512">
        <v>2</v>
      </c>
      <c r="V3512">
        <v>0.47038312526904857</v>
      </c>
      <c r="W3512">
        <v>0.85</v>
      </c>
      <c r="X3512">
        <v>0.39982565647869128</v>
      </c>
      <c r="Y3512">
        <v>747</v>
      </c>
      <c r="Z3512">
        <v>309.89238988435022</v>
      </c>
      <c r="AA3512">
        <v>198</v>
      </c>
      <c r="AB3512">
        <v>332</v>
      </c>
      <c r="AC3512">
        <v>536</v>
      </c>
      <c r="AD3512">
        <v>28.54</v>
      </c>
      <c r="AE3512">
        <v>542</v>
      </c>
      <c r="AF3512">
        <v>20</v>
      </c>
      <c r="AG3512">
        <v>181</v>
      </c>
      <c r="AH3512">
        <v>129</v>
      </c>
      <c r="AI3512">
        <v>3.69</v>
      </c>
      <c r="AJ3512">
        <v>33.39</v>
      </c>
      <c r="AK3512">
        <v>23.8</v>
      </c>
      <c r="AL3512">
        <v>-20.14718674999995</v>
      </c>
      <c r="AM3512">
        <v>-44.905292621565764</v>
      </c>
      <c r="AN3512">
        <v>-20.147186749999939</v>
      </c>
      <c r="AO3512">
        <v>-44.905292621565764</v>
      </c>
      <c r="AP3512">
        <v>-20.147164</v>
      </c>
      <c r="AQ3512">
        <v>-44.905259000000001</v>
      </c>
      <c r="AR3512">
        <v>4.3312880650984971</v>
      </c>
      <c r="AS3512" t="s">
        <v>65</v>
      </c>
      <c r="AT3512">
        <v>1</v>
      </c>
      <c r="AU3512" t="s">
        <v>1256</v>
      </c>
      <c r="AV3512" t="s">
        <v>1257</v>
      </c>
      <c r="AW3512" t="s">
        <v>60</v>
      </c>
      <c r="AX3512" t="s">
        <v>68</v>
      </c>
      <c r="AY3512" t="s">
        <v>69</v>
      </c>
      <c r="AZ3512" t="b">
        <v>1</v>
      </c>
    </row>
    <row r="3513" spans="1:52" x14ac:dyDescent="0.3">
      <c r="A3513" t="s">
        <v>52</v>
      </c>
      <c r="B3513" t="s">
        <v>53</v>
      </c>
      <c r="C3513" t="s">
        <v>54</v>
      </c>
      <c r="D3513" t="s">
        <v>55</v>
      </c>
      <c r="E3513" t="s">
        <v>2200</v>
      </c>
      <c r="F3513" t="s">
        <v>1247</v>
      </c>
      <c r="G3513" t="s">
        <v>198</v>
      </c>
      <c r="H3513" t="s">
        <v>199</v>
      </c>
      <c r="I3513" t="s">
        <v>199</v>
      </c>
      <c r="J3513" t="s">
        <v>60</v>
      </c>
      <c r="K3513" t="s">
        <v>200</v>
      </c>
      <c r="L3513" t="s">
        <v>62</v>
      </c>
      <c r="M3513" t="s">
        <v>200</v>
      </c>
      <c r="N3513" t="s">
        <v>201</v>
      </c>
      <c r="O3513" t="s">
        <v>202</v>
      </c>
      <c r="P3513">
        <v>-20.122433000000001</v>
      </c>
      <c r="Q3513">
        <v>-44.897013999999999</v>
      </c>
      <c r="R3513" s="2" t="str">
        <f>HYPERLINK("https://www.google.com/maps?q=-20.1224330,-44.8970140","Abrir no Google Maps")</f>
        <v>Abrir no Google Maps</v>
      </c>
      <c r="S3513">
        <v>4</v>
      </c>
      <c r="T3513">
        <v>616.04759279207849</v>
      </c>
      <c r="U3513">
        <v>2</v>
      </c>
      <c r="V3513">
        <v>0.48926655738070551</v>
      </c>
      <c r="W3513">
        <v>0.85</v>
      </c>
      <c r="X3513">
        <v>0.41587657377359971</v>
      </c>
      <c r="Y3513">
        <v>567</v>
      </c>
      <c r="Z3513">
        <v>655.51024138861465</v>
      </c>
      <c r="AA3513">
        <v>198</v>
      </c>
      <c r="AB3513">
        <v>332</v>
      </c>
      <c r="AC3513">
        <v>536</v>
      </c>
      <c r="AD3513">
        <v>28.54</v>
      </c>
      <c r="AE3513">
        <v>542</v>
      </c>
      <c r="AF3513">
        <v>20</v>
      </c>
      <c r="AG3513">
        <v>181</v>
      </c>
      <c r="AH3513">
        <v>129</v>
      </c>
      <c r="AI3513">
        <v>3.69</v>
      </c>
      <c r="AJ3513">
        <v>33.39</v>
      </c>
      <c r="AK3513">
        <v>23.8</v>
      </c>
      <c r="AL3513">
        <v>-20.122144949999949</v>
      </c>
      <c r="AM3513">
        <v>-44.896761973125983</v>
      </c>
      <c r="AN3513">
        <v>-20.122144949999949</v>
      </c>
      <c r="AO3513">
        <v>-44.896761973125983</v>
      </c>
      <c r="AP3513">
        <v>-20.122433000000001</v>
      </c>
      <c r="AQ3513">
        <v>-44.897013999999999</v>
      </c>
      <c r="AR3513">
        <v>41.499066772735389</v>
      </c>
      <c r="AS3513" t="s">
        <v>65</v>
      </c>
      <c r="AT3513">
        <v>1</v>
      </c>
      <c r="AU3513" t="s">
        <v>203</v>
      </c>
      <c r="AV3513" t="s">
        <v>204</v>
      </c>
      <c r="AW3513" t="s">
        <v>60</v>
      </c>
      <c r="AX3513" t="s">
        <v>68</v>
      </c>
      <c r="AY3513" t="s">
        <v>69</v>
      </c>
      <c r="AZ3513" t="b">
        <v>1</v>
      </c>
    </row>
    <row r="3514" spans="1:52" x14ac:dyDescent="0.3">
      <c r="A3514" t="s">
        <v>52</v>
      </c>
      <c r="B3514" t="s">
        <v>53</v>
      </c>
      <c r="C3514" t="s">
        <v>54</v>
      </c>
      <c r="D3514" t="s">
        <v>55</v>
      </c>
      <c r="E3514" t="s">
        <v>2200</v>
      </c>
      <c r="F3514" t="s">
        <v>1247</v>
      </c>
      <c r="G3514" t="s">
        <v>205</v>
      </c>
      <c r="H3514" t="s">
        <v>206</v>
      </c>
      <c r="I3514" t="s">
        <v>206</v>
      </c>
      <c r="J3514" t="s">
        <v>60</v>
      </c>
      <c r="K3514" t="s">
        <v>207</v>
      </c>
      <c r="L3514" t="s">
        <v>62</v>
      </c>
      <c r="M3514" t="s">
        <v>207</v>
      </c>
      <c r="N3514" t="s">
        <v>208</v>
      </c>
      <c r="O3514" t="s">
        <v>209</v>
      </c>
      <c r="P3514">
        <v>-20.117533999999999</v>
      </c>
      <c r="Q3514">
        <v>-44.892943000000002</v>
      </c>
      <c r="R3514" s="2" t="str">
        <f>HYPERLINK("https://www.google.com/maps?q=-20.1175340,-44.8929430","Abrir no Google Maps")</f>
        <v>Abrir no Google Maps</v>
      </c>
      <c r="S3514">
        <v>4</v>
      </c>
      <c r="T3514">
        <v>601.98486688021592</v>
      </c>
      <c r="U3514">
        <v>2</v>
      </c>
      <c r="V3514">
        <v>0.51215714456821171</v>
      </c>
      <c r="W3514">
        <v>0.85</v>
      </c>
      <c r="X3514">
        <v>0.43533357288297991</v>
      </c>
      <c r="Y3514">
        <v>567</v>
      </c>
      <c r="Z3514">
        <v>574.59225706016446</v>
      </c>
      <c r="AA3514">
        <v>198</v>
      </c>
      <c r="AB3514">
        <v>332</v>
      </c>
      <c r="AC3514">
        <v>536</v>
      </c>
      <c r="AD3514">
        <v>28.54</v>
      </c>
      <c r="AE3514">
        <v>542</v>
      </c>
      <c r="AF3514">
        <v>20</v>
      </c>
      <c r="AG3514">
        <v>181</v>
      </c>
      <c r="AH3514">
        <v>129</v>
      </c>
      <c r="AI3514">
        <v>3.69</v>
      </c>
      <c r="AJ3514">
        <v>33.39</v>
      </c>
      <c r="AK3514">
        <v>23.8</v>
      </c>
      <c r="AL3514">
        <v>-20.11671494999996</v>
      </c>
      <c r="AM3514">
        <v>-44.89352717833448</v>
      </c>
      <c r="AN3514">
        <v>-20.11671494999996</v>
      </c>
      <c r="AO3514">
        <v>-44.89352717833448</v>
      </c>
      <c r="AP3514">
        <v>-20.117533999999999</v>
      </c>
      <c r="AQ3514">
        <v>-44.892943000000002</v>
      </c>
      <c r="AR3514">
        <v>109.7357164799156</v>
      </c>
      <c r="AS3514" t="s">
        <v>65</v>
      </c>
      <c r="AT3514">
        <v>1</v>
      </c>
      <c r="AU3514" t="s">
        <v>210</v>
      </c>
      <c r="AV3514" t="s">
        <v>211</v>
      </c>
      <c r="AW3514" t="s">
        <v>60</v>
      </c>
      <c r="AX3514" t="s">
        <v>68</v>
      </c>
      <c r="AY3514" t="s">
        <v>69</v>
      </c>
      <c r="AZ3514" t="b">
        <v>1</v>
      </c>
    </row>
    <row r="3515" spans="1:52" x14ac:dyDescent="0.3">
      <c r="A3515" t="s">
        <v>52</v>
      </c>
      <c r="B3515" t="s">
        <v>53</v>
      </c>
      <c r="C3515" t="s">
        <v>54</v>
      </c>
      <c r="D3515" t="s">
        <v>55</v>
      </c>
      <c r="E3515" t="s">
        <v>2200</v>
      </c>
      <c r="F3515" t="s">
        <v>1247</v>
      </c>
      <c r="G3515" t="s">
        <v>1258</v>
      </c>
      <c r="H3515" t="s">
        <v>1259</v>
      </c>
      <c r="I3515" t="s">
        <v>1259</v>
      </c>
      <c r="J3515" t="s">
        <v>60</v>
      </c>
      <c r="K3515" t="s">
        <v>905</v>
      </c>
      <c r="L3515" t="s">
        <v>62</v>
      </c>
      <c r="M3515" t="s">
        <v>905</v>
      </c>
      <c r="N3515" t="s">
        <v>1260</v>
      </c>
      <c r="O3515" t="s">
        <v>628</v>
      </c>
      <c r="P3515">
        <v>-20.113569999999999</v>
      </c>
      <c r="Q3515">
        <v>-44.897216</v>
      </c>
      <c r="R3515" s="2" t="str">
        <f>HYPERLINK("https://www.google.com/maps?q=-20.1135700,-44.8972160","Abrir no Google Maps")</f>
        <v>Abrir no Google Maps</v>
      </c>
      <c r="S3515">
        <v>4</v>
      </c>
      <c r="T3515">
        <v>418.54368277643368</v>
      </c>
      <c r="U3515">
        <v>1</v>
      </c>
      <c r="V3515">
        <v>0.43906735270940522</v>
      </c>
      <c r="W3515">
        <v>0.85</v>
      </c>
      <c r="X3515">
        <v>0.37320724980299441</v>
      </c>
      <c r="Y3515">
        <v>567</v>
      </c>
      <c r="Z3515">
        <v>315.02989622191018</v>
      </c>
      <c r="AA3515">
        <v>198</v>
      </c>
      <c r="AB3515">
        <v>332</v>
      </c>
      <c r="AC3515">
        <v>536</v>
      </c>
      <c r="AD3515">
        <v>28.54</v>
      </c>
      <c r="AE3515">
        <v>542</v>
      </c>
      <c r="AF3515">
        <v>20</v>
      </c>
      <c r="AG3515">
        <v>181</v>
      </c>
      <c r="AH3515">
        <v>129</v>
      </c>
      <c r="AI3515">
        <v>3.69</v>
      </c>
      <c r="AJ3515">
        <v>33.39</v>
      </c>
      <c r="AK3515">
        <v>23.8</v>
      </c>
      <c r="AL3515">
        <v>-20.113750149999959</v>
      </c>
      <c r="AM3515">
        <v>-44.897427949999937</v>
      </c>
      <c r="AN3515">
        <v>-20.113750149999959</v>
      </c>
      <c r="AO3515">
        <v>-44.897427949999937</v>
      </c>
      <c r="AP3515">
        <v>-20.113569999999999</v>
      </c>
      <c r="AQ3515">
        <v>-44.897216</v>
      </c>
      <c r="AR3515">
        <v>29.883644534822711</v>
      </c>
      <c r="AS3515" t="s">
        <v>65</v>
      </c>
      <c r="AT3515">
        <v>1</v>
      </c>
      <c r="AU3515" t="s">
        <v>1261</v>
      </c>
      <c r="AV3515" t="s">
        <v>1262</v>
      </c>
      <c r="AW3515" t="s">
        <v>60</v>
      </c>
      <c r="AX3515" t="s">
        <v>68</v>
      </c>
      <c r="AY3515" t="s">
        <v>69</v>
      </c>
      <c r="AZ3515" t="b">
        <v>1</v>
      </c>
    </row>
    <row r="3516" spans="1:52" x14ac:dyDescent="0.3">
      <c r="A3516" t="s">
        <v>52</v>
      </c>
      <c r="B3516" t="s">
        <v>53</v>
      </c>
      <c r="C3516" t="s">
        <v>54</v>
      </c>
      <c r="D3516" t="s">
        <v>55</v>
      </c>
      <c r="E3516" t="s">
        <v>2200</v>
      </c>
      <c r="F3516" t="s">
        <v>1247</v>
      </c>
      <c r="G3516" t="s">
        <v>1263</v>
      </c>
      <c r="H3516" t="s">
        <v>1264</v>
      </c>
      <c r="I3516" t="s">
        <v>1264</v>
      </c>
      <c r="J3516" t="s">
        <v>60</v>
      </c>
      <c r="K3516" t="s">
        <v>1265</v>
      </c>
      <c r="L3516" t="s">
        <v>62</v>
      </c>
      <c r="M3516" t="s">
        <v>1265</v>
      </c>
      <c r="N3516" t="s">
        <v>1266</v>
      </c>
      <c r="O3516" t="s">
        <v>1267</v>
      </c>
      <c r="P3516">
        <v>-20.116924000000001</v>
      </c>
      <c r="Q3516">
        <v>-44.906587000000002</v>
      </c>
      <c r="R3516" s="2" t="str">
        <f>HYPERLINK("https://www.google.com/maps?q=-20.1169240,-44.9065870","Abrir no Google Maps")</f>
        <v>Abrir no Google Maps</v>
      </c>
      <c r="S3516">
        <v>4</v>
      </c>
      <c r="T3516">
        <v>745.10453961787857</v>
      </c>
      <c r="U3516">
        <v>1</v>
      </c>
      <c r="V3516">
        <v>0.38166214995483289</v>
      </c>
      <c r="W3516">
        <v>0.85</v>
      </c>
      <c r="X3516">
        <v>0.32441282746160788</v>
      </c>
      <c r="Y3516">
        <v>567</v>
      </c>
      <c r="Z3516">
        <v>816.44456345071217</v>
      </c>
      <c r="AA3516">
        <v>198</v>
      </c>
      <c r="AB3516">
        <v>332</v>
      </c>
      <c r="AC3516">
        <v>536</v>
      </c>
      <c r="AD3516">
        <v>28.54</v>
      </c>
      <c r="AE3516">
        <v>542</v>
      </c>
      <c r="AF3516">
        <v>20</v>
      </c>
      <c r="AG3516">
        <v>181</v>
      </c>
      <c r="AH3516">
        <v>129</v>
      </c>
      <c r="AI3516">
        <v>3.69</v>
      </c>
      <c r="AJ3516">
        <v>33.39</v>
      </c>
      <c r="AK3516">
        <v>23.8</v>
      </c>
      <c r="AL3516">
        <v>-20.117279149999941</v>
      </c>
      <c r="AM3516">
        <v>-44.906397211815133</v>
      </c>
      <c r="AN3516">
        <v>-20.117279149999941</v>
      </c>
      <c r="AO3516">
        <v>-44.906397211815133</v>
      </c>
      <c r="AP3516">
        <v>-20.116924000000001</v>
      </c>
      <c r="AQ3516">
        <v>-44.906587000000002</v>
      </c>
      <c r="AR3516">
        <v>44.233430660980403</v>
      </c>
      <c r="AS3516" t="s">
        <v>65</v>
      </c>
      <c r="AT3516">
        <v>1</v>
      </c>
      <c r="AU3516" t="s">
        <v>1268</v>
      </c>
      <c r="AV3516" t="s">
        <v>1269</v>
      </c>
      <c r="AW3516" t="s">
        <v>60</v>
      </c>
      <c r="AX3516" t="s">
        <v>68</v>
      </c>
      <c r="AY3516" t="s">
        <v>69</v>
      </c>
      <c r="AZ3516" t="b">
        <v>1</v>
      </c>
    </row>
    <row r="3517" spans="1:52" x14ac:dyDescent="0.3">
      <c r="A3517" t="s">
        <v>52</v>
      </c>
      <c r="B3517" t="s">
        <v>53</v>
      </c>
      <c r="C3517" t="s">
        <v>54</v>
      </c>
      <c r="D3517" t="s">
        <v>55</v>
      </c>
      <c r="E3517" t="s">
        <v>2200</v>
      </c>
      <c r="F3517" t="s">
        <v>1247</v>
      </c>
      <c r="G3517" t="s">
        <v>1127</v>
      </c>
      <c r="H3517" t="s">
        <v>1270</v>
      </c>
      <c r="I3517" t="s">
        <v>1270</v>
      </c>
      <c r="J3517" t="s">
        <v>60</v>
      </c>
      <c r="K3517" t="s">
        <v>200</v>
      </c>
      <c r="L3517" t="s">
        <v>62</v>
      </c>
      <c r="M3517" t="s">
        <v>200</v>
      </c>
      <c r="N3517" t="s">
        <v>1271</v>
      </c>
      <c r="O3517" t="s">
        <v>315</v>
      </c>
      <c r="P3517">
        <v>-20.123483</v>
      </c>
      <c r="Q3517">
        <v>-44.904159</v>
      </c>
      <c r="R3517" s="2" t="str">
        <f>HYPERLINK("https://www.google.com/maps?q=-20.1234830,-44.9041590","Abrir no Google Maps")</f>
        <v>Abrir no Google Maps</v>
      </c>
      <c r="S3517">
        <v>4</v>
      </c>
      <c r="T3517">
        <v>1046.2792913459141</v>
      </c>
      <c r="U3517">
        <v>1</v>
      </c>
      <c r="V3517">
        <v>0.1666666666666666</v>
      </c>
      <c r="W3517">
        <v>0.85</v>
      </c>
      <c r="X3517">
        <v>0.14166666666666661</v>
      </c>
      <c r="Y3517">
        <v>567</v>
      </c>
      <c r="Z3517">
        <v>1072.1273144328541</v>
      </c>
      <c r="AA3517">
        <v>198</v>
      </c>
      <c r="AB3517">
        <v>332</v>
      </c>
      <c r="AC3517">
        <v>536</v>
      </c>
      <c r="AD3517">
        <v>28.54</v>
      </c>
      <c r="AE3517">
        <v>542</v>
      </c>
      <c r="AF3517">
        <v>20</v>
      </c>
      <c r="AG3517">
        <v>181</v>
      </c>
      <c r="AH3517">
        <v>129</v>
      </c>
      <c r="AI3517">
        <v>3.69</v>
      </c>
      <c r="AJ3517">
        <v>33.39</v>
      </c>
      <c r="AK3517">
        <v>23.8</v>
      </c>
      <c r="AL3517">
        <v>-20.12548399999994</v>
      </c>
      <c r="AM3517">
        <v>-44.903913990586467</v>
      </c>
      <c r="AN3517">
        <v>-20.12548399999994</v>
      </c>
      <c r="AO3517">
        <v>-44.903913990586467</v>
      </c>
      <c r="AP3517">
        <v>-20.123483</v>
      </c>
      <c r="AQ3517">
        <v>-44.904159</v>
      </c>
      <c r="AR3517">
        <v>224.218591682908</v>
      </c>
      <c r="AS3517" t="s">
        <v>65</v>
      </c>
      <c r="AT3517">
        <v>1</v>
      </c>
      <c r="AU3517" t="s">
        <v>1272</v>
      </c>
      <c r="AV3517" t="s">
        <v>1273</v>
      </c>
      <c r="AW3517" t="s">
        <v>60</v>
      </c>
      <c r="AX3517" t="s">
        <v>68</v>
      </c>
      <c r="AY3517" t="s">
        <v>69</v>
      </c>
      <c r="AZ3517" t="b">
        <v>1</v>
      </c>
    </row>
    <row r="3518" spans="1:52" x14ac:dyDescent="0.3">
      <c r="A3518" t="s">
        <v>52</v>
      </c>
      <c r="B3518" t="s">
        <v>53</v>
      </c>
      <c r="C3518" t="s">
        <v>54</v>
      </c>
      <c r="D3518" t="s">
        <v>55</v>
      </c>
      <c r="E3518" t="s">
        <v>2200</v>
      </c>
      <c r="F3518" t="s">
        <v>1247</v>
      </c>
      <c r="G3518" t="s">
        <v>380</v>
      </c>
      <c r="H3518" t="s">
        <v>381</v>
      </c>
      <c r="I3518" t="s">
        <v>381</v>
      </c>
      <c r="J3518" t="s">
        <v>60</v>
      </c>
      <c r="K3518" t="s">
        <v>72</v>
      </c>
      <c r="L3518" t="s">
        <v>62</v>
      </c>
      <c r="M3518" t="s">
        <v>72</v>
      </c>
      <c r="N3518" t="s">
        <v>382</v>
      </c>
      <c r="O3518" t="s">
        <v>383</v>
      </c>
      <c r="P3518">
        <v>-20.147182000000001</v>
      </c>
      <c r="Q3518">
        <v>-44.912728999999999</v>
      </c>
      <c r="R3518" s="2" t="str">
        <f>HYPERLINK("https://www.google.com/maps?q=-20.1471820,-44.9127290","Abrir no Google Maps")</f>
        <v>Abrir no Google Maps</v>
      </c>
      <c r="S3518">
        <v>3</v>
      </c>
      <c r="T3518">
        <v>478.0141981540923</v>
      </c>
      <c r="U3518">
        <v>4</v>
      </c>
      <c r="V3518">
        <v>0.474016190916213</v>
      </c>
      <c r="W3518">
        <v>1</v>
      </c>
      <c r="X3518">
        <v>0.474016190916213</v>
      </c>
      <c r="Y3518">
        <v>747</v>
      </c>
      <c r="Z3518">
        <v>494.0254290673729</v>
      </c>
      <c r="AA3518">
        <v>198</v>
      </c>
      <c r="AB3518">
        <v>332</v>
      </c>
      <c r="AC3518">
        <v>536</v>
      </c>
      <c r="AD3518">
        <v>28.54</v>
      </c>
      <c r="AE3518">
        <v>542</v>
      </c>
      <c r="AF3518">
        <v>20</v>
      </c>
      <c r="AG3518">
        <v>181</v>
      </c>
      <c r="AH3518">
        <v>129</v>
      </c>
      <c r="AI3518">
        <v>3.69</v>
      </c>
      <c r="AJ3518">
        <v>33.39</v>
      </c>
      <c r="AK3518">
        <v>23.8</v>
      </c>
      <c r="AL3518">
        <v>-20.147375599999979</v>
      </c>
      <c r="AM3518">
        <v>-44.912907472879468</v>
      </c>
      <c r="AN3518">
        <v>-20.147375599999979</v>
      </c>
      <c r="AO3518">
        <v>-44.912907472879468</v>
      </c>
      <c r="AP3518">
        <v>-20.147182000000001</v>
      </c>
      <c r="AQ3518">
        <v>-44.912728999999999</v>
      </c>
      <c r="AR3518">
        <v>28.50197694184326</v>
      </c>
      <c r="AS3518" t="s">
        <v>65</v>
      </c>
      <c r="AT3518">
        <v>1</v>
      </c>
      <c r="AU3518" t="s">
        <v>384</v>
      </c>
      <c r="AV3518" t="s">
        <v>385</v>
      </c>
      <c r="AW3518" t="s">
        <v>60</v>
      </c>
      <c r="AX3518" t="s">
        <v>68</v>
      </c>
      <c r="AY3518" t="s">
        <v>69</v>
      </c>
      <c r="AZ3518" t="b">
        <v>1</v>
      </c>
    </row>
    <row r="3519" spans="1:52" x14ac:dyDescent="0.3">
      <c r="A3519" t="s">
        <v>52</v>
      </c>
      <c r="B3519" t="s">
        <v>53</v>
      </c>
      <c r="C3519" t="s">
        <v>54</v>
      </c>
      <c r="D3519" t="s">
        <v>55</v>
      </c>
      <c r="E3519" t="s">
        <v>2200</v>
      </c>
      <c r="F3519" t="s">
        <v>1247</v>
      </c>
      <c r="G3519" t="s">
        <v>839</v>
      </c>
      <c r="H3519" t="s">
        <v>840</v>
      </c>
      <c r="I3519" t="s">
        <v>840</v>
      </c>
      <c r="J3519" t="s">
        <v>60</v>
      </c>
      <c r="K3519" t="s">
        <v>388</v>
      </c>
      <c r="L3519" t="s">
        <v>62</v>
      </c>
      <c r="M3519" t="s">
        <v>388</v>
      </c>
      <c r="N3519" t="s">
        <v>841</v>
      </c>
      <c r="O3519" t="s">
        <v>842</v>
      </c>
      <c r="P3519">
        <v>-20.159977999999999</v>
      </c>
      <c r="Q3519">
        <v>-44.900207000000002</v>
      </c>
      <c r="R3519" s="2" t="str">
        <f>HYPERLINK("https://www.google.com/maps?q=-20.1599780,-44.9002070","Abrir no Google Maps")</f>
        <v>Abrir no Google Maps</v>
      </c>
      <c r="S3519">
        <v>3</v>
      </c>
      <c r="T3519">
        <v>213.24333517300789</v>
      </c>
      <c r="U3519">
        <v>4</v>
      </c>
      <c r="V3519">
        <v>0.47133301481127571</v>
      </c>
      <c r="W3519">
        <v>1</v>
      </c>
      <c r="X3519">
        <v>0.47133301481127571</v>
      </c>
      <c r="Y3519">
        <v>729</v>
      </c>
      <c r="Z3519">
        <v>315.47173727880028</v>
      </c>
      <c r="AA3519">
        <v>198</v>
      </c>
      <c r="AB3519">
        <v>332</v>
      </c>
      <c r="AC3519">
        <v>536</v>
      </c>
      <c r="AD3519">
        <v>28.54</v>
      </c>
      <c r="AE3519">
        <v>542</v>
      </c>
      <c r="AF3519">
        <v>20</v>
      </c>
      <c r="AG3519">
        <v>181</v>
      </c>
      <c r="AH3519">
        <v>129</v>
      </c>
      <c r="AI3519">
        <v>3.69</v>
      </c>
      <c r="AJ3519">
        <v>33.39</v>
      </c>
      <c r="AK3519">
        <v>23.8</v>
      </c>
      <c r="AL3519">
        <v>-20.159825649999959</v>
      </c>
      <c r="AM3519">
        <v>-44.900143828909613</v>
      </c>
      <c r="AN3519">
        <v>-20.159825649999959</v>
      </c>
      <c r="AO3519">
        <v>-44.900143828909613</v>
      </c>
      <c r="AP3519">
        <v>-20.159977999999999</v>
      </c>
      <c r="AQ3519">
        <v>-44.900207000000002</v>
      </c>
      <c r="AR3519">
        <v>18.199073573580371</v>
      </c>
      <c r="AS3519" t="s">
        <v>65</v>
      </c>
      <c r="AT3519">
        <v>1</v>
      </c>
      <c r="AU3519" t="s">
        <v>843</v>
      </c>
      <c r="AV3519" t="s">
        <v>844</v>
      </c>
      <c r="AW3519" t="s">
        <v>60</v>
      </c>
      <c r="AX3519" t="s">
        <v>68</v>
      </c>
      <c r="AY3519" t="s">
        <v>69</v>
      </c>
      <c r="AZ3519" t="b">
        <v>1</v>
      </c>
    </row>
    <row r="3520" spans="1:52" x14ac:dyDescent="0.3">
      <c r="A3520" t="s">
        <v>52</v>
      </c>
      <c r="B3520" t="s">
        <v>53</v>
      </c>
      <c r="C3520" t="s">
        <v>54</v>
      </c>
      <c r="D3520" t="s">
        <v>55</v>
      </c>
      <c r="E3520" t="s">
        <v>2200</v>
      </c>
      <c r="F3520" t="s">
        <v>1247</v>
      </c>
      <c r="G3520" t="s">
        <v>398</v>
      </c>
      <c r="H3520" t="s">
        <v>399</v>
      </c>
      <c r="I3520" t="s">
        <v>399</v>
      </c>
      <c r="J3520" t="s">
        <v>60</v>
      </c>
      <c r="K3520" t="s">
        <v>388</v>
      </c>
      <c r="L3520" t="s">
        <v>62</v>
      </c>
      <c r="M3520" t="s">
        <v>388</v>
      </c>
      <c r="N3520" t="s">
        <v>400</v>
      </c>
      <c r="O3520" t="s">
        <v>401</v>
      </c>
      <c r="P3520">
        <v>-20.160157000000002</v>
      </c>
      <c r="Q3520">
        <v>-44.904347999999999</v>
      </c>
      <c r="R3520" s="2" t="str">
        <f>HYPERLINK("https://www.google.com/maps?q=-20.1601570,-44.9043480","Abrir no Google Maps")</f>
        <v>Abrir no Google Maps</v>
      </c>
      <c r="S3520">
        <v>3</v>
      </c>
      <c r="T3520">
        <v>469.26088527154809</v>
      </c>
      <c r="U3520">
        <v>4</v>
      </c>
      <c r="V3520">
        <v>0.50902683058986187</v>
      </c>
      <c r="W3520">
        <v>1</v>
      </c>
      <c r="X3520">
        <v>0.50902683058986187</v>
      </c>
      <c r="Y3520">
        <v>729</v>
      </c>
      <c r="Z3520">
        <v>253.57832452309071</v>
      </c>
      <c r="AA3520">
        <v>198</v>
      </c>
      <c r="AB3520">
        <v>332</v>
      </c>
      <c r="AC3520">
        <v>536</v>
      </c>
      <c r="AD3520">
        <v>28.54</v>
      </c>
      <c r="AE3520">
        <v>542</v>
      </c>
      <c r="AF3520">
        <v>20</v>
      </c>
      <c r="AG3520">
        <v>181</v>
      </c>
      <c r="AH3520">
        <v>129</v>
      </c>
      <c r="AI3520">
        <v>3.69</v>
      </c>
      <c r="AJ3520">
        <v>33.39</v>
      </c>
      <c r="AK3520">
        <v>23.8</v>
      </c>
      <c r="AL3520">
        <v>-20.160007949999969</v>
      </c>
      <c r="AM3520">
        <v>-44.904396608560482</v>
      </c>
      <c r="AN3520">
        <v>-20.160007949999969</v>
      </c>
      <c r="AO3520">
        <v>-44.904396608560482</v>
      </c>
      <c r="AP3520">
        <v>-20.160157000000002</v>
      </c>
      <c r="AQ3520">
        <v>-44.904347999999999</v>
      </c>
      <c r="AR3520">
        <v>17.35237255387942</v>
      </c>
      <c r="AS3520" t="s">
        <v>65</v>
      </c>
      <c r="AT3520">
        <v>1</v>
      </c>
      <c r="AU3520" t="s">
        <v>402</v>
      </c>
      <c r="AV3520" t="s">
        <v>403</v>
      </c>
      <c r="AW3520" t="s">
        <v>60</v>
      </c>
      <c r="AX3520" t="s">
        <v>68</v>
      </c>
      <c r="AY3520" t="s">
        <v>69</v>
      </c>
      <c r="AZ3520" t="b">
        <v>1</v>
      </c>
    </row>
    <row r="3521" spans="1:52" x14ac:dyDescent="0.3">
      <c r="A3521" t="s">
        <v>52</v>
      </c>
      <c r="B3521" t="s">
        <v>53</v>
      </c>
      <c r="C3521" t="s">
        <v>54</v>
      </c>
      <c r="D3521" t="s">
        <v>55</v>
      </c>
      <c r="E3521" t="s">
        <v>2200</v>
      </c>
      <c r="F3521" t="s">
        <v>1247</v>
      </c>
      <c r="G3521" t="s">
        <v>404</v>
      </c>
      <c r="H3521" t="s">
        <v>405</v>
      </c>
      <c r="I3521" t="s">
        <v>405</v>
      </c>
      <c r="J3521" t="s">
        <v>60</v>
      </c>
      <c r="K3521" t="s">
        <v>388</v>
      </c>
      <c r="L3521" t="s">
        <v>62</v>
      </c>
      <c r="M3521" t="s">
        <v>388</v>
      </c>
      <c r="N3521" t="s">
        <v>406</v>
      </c>
      <c r="O3521" t="s">
        <v>407</v>
      </c>
      <c r="P3521">
        <v>-20.162780999999999</v>
      </c>
      <c r="Q3521">
        <v>-44.904437999999999</v>
      </c>
      <c r="R3521" s="2" t="str">
        <f>HYPERLINK("https://www.google.com/maps?q=-20.1627810,-44.9044380","Abrir no Google Maps")</f>
        <v>Abrir no Google Maps</v>
      </c>
      <c r="S3521">
        <v>3</v>
      </c>
      <c r="T3521">
        <v>681.0891377731482</v>
      </c>
      <c r="U3521">
        <v>4</v>
      </c>
      <c r="V3521">
        <v>0.53171005960831308</v>
      </c>
      <c r="W3521">
        <v>1</v>
      </c>
      <c r="X3521">
        <v>0.53171005960831308</v>
      </c>
      <c r="Y3521">
        <v>729</v>
      </c>
      <c r="Z3521">
        <v>564.17713687218622</v>
      </c>
      <c r="AA3521">
        <v>198</v>
      </c>
      <c r="AB3521">
        <v>332</v>
      </c>
      <c r="AC3521">
        <v>536</v>
      </c>
      <c r="AD3521">
        <v>28.54</v>
      </c>
      <c r="AE3521">
        <v>542</v>
      </c>
      <c r="AF3521">
        <v>20</v>
      </c>
      <c r="AG3521">
        <v>181</v>
      </c>
      <c r="AH3521">
        <v>129</v>
      </c>
      <c r="AI3521">
        <v>3.69</v>
      </c>
      <c r="AJ3521">
        <v>33.39</v>
      </c>
      <c r="AK3521">
        <v>23.8</v>
      </c>
      <c r="AL3521">
        <v>-20.16295434999995</v>
      </c>
      <c r="AM3521">
        <v>-44.904242686956152</v>
      </c>
      <c r="AN3521">
        <v>-20.16295434999995</v>
      </c>
      <c r="AO3521">
        <v>-44.904242686956152</v>
      </c>
      <c r="AP3521">
        <v>-20.162780999999999</v>
      </c>
      <c r="AQ3521">
        <v>-44.904437999999999</v>
      </c>
      <c r="AR3521">
        <v>28.088191280523411</v>
      </c>
      <c r="AS3521" t="s">
        <v>65</v>
      </c>
      <c r="AT3521">
        <v>1</v>
      </c>
      <c r="AU3521" t="s">
        <v>408</v>
      </c>
      <c r="AV3521" t="s">
        <v>409</v>
      </c>
      <c r="AW3521" t="s">
        <v>60</v>
      </c>
      <c r="AX3521" t="s">
        <v>68</v>
      </c>
      <c r="AY3521" t="s">
        <v>69</v>
      </c>
      <c r="AZ3521" t="b">
        <v>1</v>
      </c>
    </row>
    <row r="3522" spans="1:52" x14ac:dyDescent="0.3">
      <c r="A3522" t="s">
        <v>52</v>
      </c>
      <c r="B3522" t="s">
        <v>53</v>
      </c>
      <c r="C3522" t="s">
        <v>54</v>
      </c>
      <c r="D3522" t="s">
        <v>55</v>
      </c>
      <c r="E3522" t="s">
        <v>2200</v>
      </c>
      <c r="F3522" t="s">
        <v>1247</v>
      </c>
      <c r="G3522" t="s">
        <v>410</v>
      </c>
      <c r="H3522" t="s">
        <v>411</v>
      </c>
      <c r="I3522" t="s">
        <v>411</v>
      </c>
      <c r="J3522" t="s">
        <v>60</v>
      </c>
      <c r="K3522" t="s">
        <v>388</v>
      </c>
      <c r="L3522" t="s">
        <v>62</v>
      </c>
      <c r="M3522" t="s">
        <v>388</v>
      </c>
      <c r="N3522" t="s">
        <v>412</v>
      </c>
      <c r="O3522" t="s">
        <v>413</v>
      </c>
      <c r="P3522">
        <v>-20.161394000000001</v>
      </c>
      <c r="Q3522">
        <v>-44.906725999999999</v>
      </c>
      <c r="R3522" s="2" t="str">
        <f>HYPERLINK("https://www.google.com/maps?q=-20.1613940,-44.9067260","Abrir no Google Maps")</f>
        <v>Abrir no Google Maps</v>
      </c>
      <c r="S3522">
        <v>3</v>
      </c>
      <c r="T3522">
        <v>763.68157548493457</v>
      </c>
      <c r="U3522">
        <v>4</v>
      </c>
      <c r="V3522">
        <v>0.51259041698184571</v>
      </c>
      <c r="W3522">
        <v>1</v>
      </c>
      <c r="X3522">
        <v>0.51259041698184571</v>
      </c>
      <c r="Y3522">
        <v>729</v>
      </c>
      <c r="Z3522">
        <v>551.70379325948545</v>
      </c>
      <c r="AA3522">
        <v>198</v>
      </c>
      <c r="AB3522">
        <v>332</v>
      </c>
      <c r="AC3522">
        <v>536</v>
      </c>
      <c r="AD3522">
        <v>28.54</v>
      </c>
      <c r="AE3522">
        <v>542</v>
      </c>
      <c r="AF3522">
        <v>20</v>
      </c>
      <c r="AG3522">
        <v>181</v>
      </c>
      <c r="AH3522">
        <v>129</v>
      </c>
      <c r="AI3522">
        <v>3.69</v>
      </c>
      <c r="AJ3522">
        <v>33.39</v>
      </c>
      <c r="AK3522">
        <v>23.8</v>
      </c>
      <c r="AL3522">
        <v>-20.161371049999929</v>
      </c>
      <c r="AM3522">
        <v>-44.906816797310228</v>
      </c>
      <c r="AN3522">
        <v>-20.161371049999929</v>
      </c>
      <c r="AO3522">
        <v>-44.906816797310228</v>
      </c>
      <c r="AP3522">
        <v>-20.161394000000001</v>
      </c>
      <c r="AQ3522">
        <v>-44.906725999999999</v>
      </c>
      <c r="AR3522">
        <v>9.8261555662022495</v>
      </c>
      <c r="AS3522" t="s">
        <v>65</v>
      </c>
      <c r="AT3522">
        <v>1</v>
      </c>
      <c r="AU3522" t="s">
        <v>414</v>
      </c>
      <c r="AV3522" t="s">
        <v>415</v>
      </c>
      <c r="AW3522" t="s">
        <v>60</v>
      </c>
      <c r="AX3522" t="s">
        <v>68</v>
      </c>
      <c r="AY3522" t="s">
        <v>69</v>
      </c>
      <c r="AZ3522" t="b">
        <v>1</v>
      </c>
    </row>
    <row r="3523" spans="1:52" x14ac:dyDescent="0.3">
      <c r="A3523" t="s">
        <v>52</v>
      </c>
      <c r="B3523" t="s">
        <v>53</v>
      </c>
      <c r="C3523" t="s">
        <v>54</v>
      </c>
      <c r="D3523" t="s">
        <v>55</v>
      </c>
      <c r="E3523" t="s">
        <v>2200</v>
      </c>
      <c r="F3523" t="s">
        <v>1247</v>
      </c>
      <c r="G3523" t="s">
        <v>416</v>
      </c>
      <c r="H3523" t="s">
        <v>417</v>
      </c>
      <c r="I3523" t="s">
        <v>417</v>
      </c>
      <c r="J3523" t="s">
        <v>60</v>
      </c>
      <c r="K3523" t="s">
        <v>418</v>
      </c>
      <c r="L3523" t="s">
        <v>62</v>
      </c>
      <c r="M3523" t="s">
        <v>418</v>
      </c>
      <c r="N3523" t="s">
        <v>419</v>
      </c>
      <c r="O3523" t="s">
        <v>202</v>
      </c>
      <c r="P3523">
        <v>-20.169886000000002</v>
      </c>
      <c r="Q3523">
        <v>-44.913288000000001</v>
      </c>
      <c r="R3523" s="2" t="str">
        <f>HYPERLINK("https://www.google.com/maps?q=-20.1698860,-44.9132880","Abrir no Google Maps")</f>
        <v>Abrir no Google Maps</v>
      </c>
      <c r="S3523">
        <v>3</v>
      </c>
      <c r="T3523">
        <v>422.88733632898152</v>
      </c>
      <c r="U3523">
        <v>4</v>
      </c>
      <c r="V3523">
        <v>0.53712954870491014</v>
      </c>
      <c r="W3523">
        <v>1</v>
      </c>
      <c r="X3523">
        <v>0.53712954870491014</v>
      </c>
      <c r="Y3523">
        <v>723</v>
      </c>
      <c r="Z3523">
        <v>128.65003864232261</v>
      </c>
      <c r="AA3523">
        <v>198</v>
      </c>
      <c r="AB3523">
        <v>332</v>
      </c>
      <c r="AC3523">
        <v>536</v>
      </c>
      <c r="AD3523">
        <v>28.54</v>
      </c>
      <c r="AE3523">
        <v>542</v>
      </c>
      <c r="AF3523">
        <v>20</v>
      </c>
      <c r="AG3523">
        <v>181</v>
      </c>
      <c r="AH3523">
        <v>129</v>
      </c>
      <c r="AI3523">
        <v>3.69</v>
      </c>
      <c r="AJ3523">
        <v>33.39</v>
      </c>
      <c r="AK3523">
        <v>23.8</v>
      </c>
      <c r="AL3523">
        <v>-20.16970024999998</v>
      </c>
      <c r="AM3523">
        <v>-44.913502201257437</v>
      </c>
      <c r="AN3523">
        <v>-20.16970024999998</v>
      </c>
      <c r="AO3523">
        <v>-44.913502201257437</v>
      </c>
      <c r="AP3523">
        <v>-20.169886000000002</v>
      </c>
      <c r="AQ3523">
        <v>-44.913288000000001</v>
      </c>
      <c r="AR3523">
        <v>30.47208587597606</v>
      </c>
      <c r="AS3523" t="s">
        <v>65</v>
      </c>
      <c r="AT3523">
        <v>1</v>
      </c>
      <c r="AU3523" t="s">
        <v>420</v>
      </c>
      <c r="AV3523" t="s">
        <v>421</v>
      </c>
      <c r="AW3523" t="s">
        <v>60</v>
      </c>
      <c r="AX3523" t="s">
        <v>68</v>
      </c>
      <c r="AY3523" t="s">
        <v>69</v>
      </c>
      <c r="AZ3523" t="b">
        <v>1</v>
      </c>
    </row>
    <row r="3524" spans="1:52" x14ac:dyDescent="0.3">
      <c r="A3524" t="s">
        <v>52</v>
      </c>
      <c r="B3524" t="s">
        <v>53</v>
      </c>
      <c r="C3524" t="s">
        <v>54</v>
      </c>
      <c r="D3524" t="s">
        <v>55</v>
      </c>
      <c r="E3524" t="s">
        <v>2200</v>
      </c>
      <c r="F3524" t="s">
        <v>1247</v>
      </c>
      <c r="G3524" t="s">
        <v>422</v>
      </c>
      <c r="H3524" t="s">
        <v>423</v>
      </c>
      <c r="I3524" t="s">
        <v>423</v>
      </c>
      <c r="J3524" t="s">
        <v>60</v>
      </c>
      <c r="K3524" t="s">
        <v>424</v>
      </c>
      <c r="L3524" t="s">
        <v>62</v>
      </c>
      <c r="M3524" t="s">
        <v>424</v>
      </c>
      <c r="N3524" t="s">
        <v>425</v>
      </c>
      <c r="O3524" t="s">
        <v>426</v>
      </c>
      <c r="P3524">
        <v>-20.177748000000001</v>
      </c>
      <c r="Q3524">
        <v>-44.912475000000001</v>
      </c>
      <c r="R3524" s="2" t="str">
        <f>HYPERLINK("https://www.google.com/maps?q=-20.1777480,-44.9124750","Abrir no Google Maps")</f>
        <v>Abrir no Google Maps</v>
      </c>
      <c r="S3524">
        <v>3</v>
      </c>
      <c r="T3524">
        <v>657.07560140436533</v>
      </c>
      <c r="U3524">
        <v>4</v>
      </c>
      <c r="V3524">
        <v>0.48003809191491831</v>
      </c>
      <c r="W3524">
        <v>1</v>
      </c>
      <c r="X3524">
        <v>0.48003809191491831</v>
      </c>
      <c r="Y3524">
        <v>723</v>
      </c>
      <c r="Z3524">
        <v>796.94198000561175</v>
      </c>
      <c r="AA3524">
        <v>198</v>
      </c>
      <c r="AB3524">
        <v>332</v>
      </c>
      <c r="AC3524">
        <v>536</v>
      </c>
      <c r="AD3524">
        <v>28.54</v>
      </c>
      <c r="AE3524">
        <v>542</v>
      </c>
      <c r="AF3524">
        <v>20</v>
      </c>
      <c r="AG3524">
        <v>181</v>
      </c>
      <c r="AH3524">
        <v>129</v>
      </c>
      <c r="AI3524">
        <v>3.69</v>
      </c>
      <c r="AJ3524">
        <v>33.39</v>
      </c>
      <c r="AK3524">
        <v>23.8</v>
      </c>
      <c r="AL3524">
        <v>-20.177761749999949</v>
      </c>
      <c r="AM3524">
        <v>-44.91263311624418</v>
      </c>
      <c r="AN3524">
        <v>-20.177761749999949</v>
      </c>
      <c r="AO3524">
        <v>-44.91263311624418</v>
      </c>
      <c r="AP3524">
        <v>-20.177748000000001</v>
      </c>
      <c r="AQ3524">
        <v>-44.912475000000001</v>
      </c>
      <c r="AR3524">
        <v>16.591996803075372</v>
      </c>
      <c r="AS3524" t="s">
        <v>65</v>
      </c>
      <c r="AT3524">
        <v>1</v>
      </c>
      <c r="AU3524" t="s">
        <v>427</v>
      </c>
      <c r="AV3524" t="s">
        <v>428</v>
      </c>
      <c r="AW3524" t="s">
        <v>60</v>
      </c>
      <c r="AX3524" t="s">
        <v>68</v>
      </c>
      <c r="AY3524" t="s">
        <v>69</v>
      </c>
      <c r="AZ3524" t="b">
        <v>1</v>
      </c>
    </row>
    <row r="3525" spans="1:52" x14ac:dyDescent="0.3">
      <c r="A3525" t="s">
        <v>52</v>
      </c>
      <c r="B3525" t="s">
        <v>53</v>
      </c>
      <c r="C3525" t="s">
        <v>54</v>
      </c>
      <c r="D3525" t="s">
        <v>55</v>
      </c>
      <c r="E3525" t="s">
        <v>2200</v>
      </c>
      <c r="F3525" t="s">
        <v>1247</v>
      </c>
      <c r="G3525" t="s">
        <v>429</v>
      </c>
      <c r="H3525" t="s">
        <v>430</v>
      </c>
      <c r="I3525" t="s">
        <v>430</v>
      </c>
      <c r="J3525" t="s">
        <v>60</v>
      </c>
      <c r="K3525" t="s">
        <v>431</v>
      </c>
      <c r="L3525" t="s">
        <v>62</v>
      </c>
      <c r="M3525" t="s">
        <v>431</v>
      </c>
      <c r="N3525" t="s">
        <v>432</v>
      </c>
      <c r="O3525" t="s">
        <v>315</v>
      </c>
      <c r="P3525">
        <v>-20.172698</v>
      </c>
      <c r="Q3525">
        <v>-44.923842</v>
      </c>
      <c r="R3525" s="2" t="str">
        <f>HYPERLINK("https://www.google.com/maps?q=-20.1726980,-44.9238420","Abrir no Google Maps")</f>
        <v>Abrir no Google Maps</v>
      </c>
      <c r="S3525">
        <v>3</v>
      </c>
      <c r="T3525">
        <v>1376.1843173402931</v>
      </c>
      <c r="U3525">
        <v>4</v>
      </c>
      <c r="V3525">
        <v>0.70710080499819772</v>
      </c>
      <c r="W3525">
        <v>0.85</v>
      </c>
      <c r="X3525">
        <v>0.60103568424846809</v>
      </c>
      <c r="Y3525">
        <v>723</v>
      </c>
      <c r="Z3525">
        <v>1101.340635002096</v>
      </c>
      <c r="AA3525">
        <v>198</v>
      </c>
      <c r="AB3525">
        <v>332</v>
      </c>
      <c r="AC3525">
        <v>536</v>
      </c>
      <c r="AD3525">
        <v>28.54</v>
      </c>
      <c r="AE3525">
        <v>542</v>
      </c>
      <c r="AF3525">
        <v>20</v>
      </c>
      <c r="AG3525">
        <v>181</v>
      </c>
      <c r="AH3525">
        <v>129</v>
      </c>
      <c r="AI3525">
        <v>3.69</v>
      </c>
      <c r="AJ3525">
        <v>33.39</v>
      </c>
      <c r="AK3525">
        <v>23.8</v>
      </c>
      <c r="AL3525">
        <v>-20.172942799999959</v>
      </c>
      <c r="AM3525">
        <v>-44.923585372665762</v>
      </c>
      <c r="AN3525">
        <v>-20.172942799999959</v>
      </c>
      <c r="AO3525">
        <v>-44.923585372665762</v>
      </c>
      <c r="AP3525">
        <v>-20.172698</v>
      </c>
      <c r="AQ3525">
        <v>-44.923842</v>
      </c>
      <c r="AR3525">
        <v>38.231981408478958</v>
      </c>
      <c r="AS3525" t="s">
        <v>65</v>
      </c>
      <c r="AT3525">
        <v>1</v>
      </c>
      <c r="AU3525" t="s">
        <v>433</v>
      </c>
      <c r="AV3525" t="s">
        <v>434</v>
      </c>
      <c r="AW3525" t="s">
        <v>60</v>
      </c>
      <c r="AX3525" t="s">
        <v>68</v>
      </c>
      <c r="AY3525" t="s">
        <v>69</v>
      </c>
      <c r="AZ3525" t="b">
        <v>1</v>
      </c>
    </row>
    <row r="3526" spans="1:52" x14ac:dyDescent="0.3">
      <c r="A3526" t="s">
        <v>52</v>
      </c>
      <c r="B3526" t="s">
        <v>53</v>
      </c>
      <c r="C3526" t="s">
        <v>54</v>
      </c>
      <c r="D3526" t="s">
        <v>55</v>
      </c>
      <c r="E3526" t="s">
        <v>2200</v>
      </c>
      <c r="F3526" t="s">
        <v>1247</v>
      </c>
      <c r="G3526" t="s">
        <v>435</v>
      </c>
      <c r="H3526" t="s">
        <v>436</v>
      </c>
      <c r="I3526" t="s">
        <v>436</v>
      </c>
      <c r="J3526" t="s">
        <v>60</v>
      </c>
      <c r="K3526" t="s">
        <v>437</v>
      </c>
      <c r="L3526" t="s">
        <v>62</v>
      </c>
      <c r="M3526" t="s">
        <v>437</v>
      </c>
      <c r="N3526" t="s">
        <v>438</v>
      </c>
      <c r="O3526" t="s">
        <v>439</v>
      </c>
      <c r="P3526">
        <v>-20.145613000000001</v>
      </c>
      <c r="Q3526">
        <v>-44.882375000000003</v>
      </c>
      <c r="R3526" s="2" t="str">
        <f>HYPERLINK("https://www.google.com/maps?q=-20.1456130,-44.8823750","Abrir no Google Maps")</f>
        <v>Abrir no Google Maps</v>
      </c>
      <c r="S3526">
        <v>3</v>
      </c>
      <c r="T3526">
        <v>305.65092112314198</v>
      </c>
      <c r="U3526">
        <v>4</v>
      </c>
      <c r="V3526">
        <v>0.49370269964983621</v>
      </c>
      <c r="W3526">
        <v>1</v>
      </c>
      <c r="X3526">
        <v>0.49370269964983621</v>
      </c>
      <c r="Y3526">
        <v>653</v>
      </c>
      <c r="Z3526">
        <v>349.55297035282501</v>
      </c>
      <c r="AA3526">
        <v>198</v>
      </c>
      <c r="AB3526">
        <v>332</v>
      </c>
      <c r="AC3526">
        <v>536</v>
      </c>
      <c r="AD3526">
        <v>28.54</v>
      </c>
      <c r="AE3526">
        <v>542</v>
      </c>
      <c r="AF3526">
        <v>20</v>
      </c>
      <c r="AG3526">
        <v>181</v>
      </c>
      <c r="AH3526">
        <v>129</v>
      </c>
      <c r="AI3526">
        <v>3.69</v>
      </c>
      <c r="AJ3526">
        <v>33.39</v>
      </c>
      <c r="AK3526">
        <v>23.8</v>
      </c>
      <c r="AL3526">
        <v>-20.14550464999996</v>
      </c>
      <c r="AM3526">
        <v>-44.882157007077737</v>
      </c>
      <c r="AN3526">
        <v>-20.14550464999996</v>
      </c>
      <c r="AO3526">
        <v>-44.882157007077737</v>
      </c>
      <c r="AP3526">
        <v>-20.145613000000001</v>
      </c>
      <c r="AQ3526">
        <v>-44.882375000000003</v>
      </c>
      <c r="AR3526">
        <v>25.77819791856259</v>
      </c>
      <c r="AS3526" t="s">
        <v>65</v>
      </c>
      <c r="AT3526">
        <v>1</v>
      </c>
      <c r="AU3526" t="s">
        <v>440</v>
      </c>
      <c r="AV3526" t="s">
        <v>441</v>
      </c>
      <c r="AW3526" t="s">
        <v>60</v>
      </c>
      <c r="AX3526" t="s">
        <v>68</v>
      </c>
      <c r="AY3526" t="s">
        <v>69</v>
      </c>
      <c r="AZ3526" t="b">
        <v>1</v>
      </c>
    </row>
    <row r="3527" spans="1:52" x14ac:dyDescent="0.3">
      <c r="A3527" t="s">
        <v>52</v>
      </c>
      <c r="B3527" t="s">
        <v>53</v>
      </c>
      <c r="C3527" t="s">
        <v>54</v>
      </c>
      <c r="D3527" t="s">
        <v>55</v>
      </c>
      <c r="E3527" t="s">
        <v>2200</v>
      </c>
      <c r="F3527" t="s">
        <v>1247</v>
      </c>
      <c r="G3527" t="s">
        <v>442</v>
      </c>
      <c r="H3527" t="s">
        <v>443</v>
      </c>
      <c r="I3527" t="s">
        <v>443</v>
      </c>
      <c r="J3527" t="s">
        <v>60</v>
      </c>
      <c r="K3527" t="s">
        <v>437</v>
      </c>
      <c r="L3527" t="s">
        <v>62</v>
      </c>
      <c r="M3527" t="s">
        <v>437</v>
      </c>
      <c r="N3527" t="s">
        <v>444</v>
      </c>
      <c r="O3527" t="s">
        <v>445</v>
      </c>
      <c r="P3527">
        <v>-20.149744999999999</v>
      </c>
      <c r="Q3527">
        <v>-44.881385000000002</v>
      </c>
      <c r="R3527" s="2" t="str">
        <f>HYPERLINK("https://www.google.com/maps?q=-20.1497450,-44.8813850","Abrir no Google Maps")</f>
        <v>Abrir no Google Maps</v>
      </c>
      <c r="S3527">
        <v>3</v>
      </c>
      <c r="T3527">
        <v>188.80690546111239</v>
      </c>
      <c r="U3527">
        <v>4</v>
      </c>
      <c r="V3527">
        <v>0.52667616255071426</v>
      </c>
      <c r="W3527">
        <v>1</v>
      </c>
      <c r="X3527">
        <v>0.52667616255071426</v>
      </c>
      <c r="Y3527">
        <v>653</v>
      </c>
      <c r="Z3527">
        <v>86.575080390731017</v>
      </c>
      <c r="AA3527">
        <v>198</v>
      </c>
      <c r="AB3527">
        <v>332</v>
      </c>
      <c r="AC3527">
        <v>536</v>
      </c>
      <c r="AD3527">
        <v>28.54</v>
      </c>
      <c r="AE3527">
        <v>542</v>
      </c>
      <c r="AF3527">
        <v>20</v>
      </c>
      <c r="AG3527">
        <v>181</v>
      </c>
      <c r="AH3527">
        <v>129</v>
      </c>
      <c r="AI3527">
        <v>3.69</v>
      </c>
      <c r="AJ3527">
        <v>33.39</v>
      </c>
      <c r="AK3527">
        <v>23.8</v>
      </c>
      <c r="AL3527">
        <v>-20.149645149999941</v>
      </c>
      <c r="AM3527">
        <v>-44.881504585149607</v>
      </c>
      <c r="AN3527">
        <v>-20.149645149999941</v>
      </c>
      <c r="AO3527">
        <v>-44.881504585149607</v>
      </c>
      <c r="AP3527">
        <v>-20.149744999999999</v>
      </c>
      <c r="AQ3527">
        <v>-44.881385000000002</v>
      </c>
      <c r="AR3527">
        <v>16.725323110840389</v>
      </c>
      <c r="AS3527" t="s">
        <v>65</v>
      </c>
      <c r="AT3527">
        <v>1</v>
      </c>
      <c r="AU3527" t="s">
        <v>446</v>
      </c>
      <c r="AV3527" t="s">
        <v>447</v>
      </c>
      <c r="AW3527" t="s">
        <v>60</v>
      </c>
      <c r="AX3527" t="s">
        <v>68</v>
      </c>
      <c r="AY3527" t="s">
        <v>69</v>
      </c>
      <c r="AZ3527" t="b">
        <v>1</v>
      </c>
    </row>
    <row r="3528" spans="1:52" x14ac:dyDescent="0.3">
      <c r="A3528" t="s">
        <v>52</v>
      </c>
      <c r="B3528" t="s">
        <v>53</v>
      </c>
      <c r="C3528" t="s">
        <v>54</v>
      </c>
      <c r="D3528" t="s">
        <v>55</v>
      </c>
      <c r="E3528" t="s">
        <v>2200</v>
      </c>
      <c r="F3528" t="s">
        <v>1247</v>
      </c>
      <c r="G3528" t="s">
        <v>448</v>
      </c>
      <c r="H3528" t="s">
        <v>449</v>
      </c>
      <c r="I3528" t="s">
        <v>449</v>
      </c>
      <c r="J3528" t="s">
        <v>60</v>
      </c>
      <c r="K3528" t="s">
        <v>388</v>
      </c>
      <c r="L3528" t="s">
        <v>62</v>
      </c>
      <c r="M3528" t="s">
        <v>388</v>
      </c>
      <c r="N3528" t="s">
        <v>450</v>
      </c>
      <c r="O3528" t="s">
        <v>451</v>
      </c>
      <c r="P3528">
        <v>-20.163981</v>
      </c>
      <c r="Q3528">
        <v>-44.907128999999998</v>
      </c>
      <c r="R3528" s="2" t="str">
        <f>HYPERLINK("https://www.google.com/maps?q=-20.1639810,-44.9071290","Abrir no Google Maps")</f>
        <v>Abrir no Google Maps</v>
      </c>
      <c r="S3528">
        <v>3</v>
      </c>
      <c r="T3528">
        <v>782.50730806588319</v>
      </c>
      <c r="U3528">
        <v>4</v>
      </c>
      <c r="V3528">
        <v>0.5243884043661895</v>
      </c>
      <c r="W3528">
        <v>1</v>
      </c>
      <c r="X3528">
        <v>0.5243884043661895</v>
      </c>
      <c r="Y3528">
        <v>639</v>
      </c>
      <c r="Z3528">
        <v>710.90621453796166</v>
      </c>
      <c r="AA3528">
        <v>198</v>
      </c>
      <c r="AB3528">
        <v>332</v>
      </c>
      <c r="AC3528">
        <v>536</v>
      </c>
      <c r="AD3528">
        <v>28.54</v>
      </c>
      <c r="AE3528">
        <v>542</v>
      </c>
      <c r="AF3528">
        <v>20</v>
      </c>
      <c r="AG3528">
        <v>181</v>
      </c>
      <c r="AH3528">
        <v>129</v>
      </c>
      <c r="AI3528">
        <v>3.69</v>
      </c>
      <c r="AJ3528">
        <v>33.39</v>
      </c>
      <c r="AK3528">
        <v>23.8</v>
      </c>
      <c r="AL3528">
        <v>-20.163958349999969</v>
      </c>
      <c r="AM3528">
        <v>-44.907180923930973</v>
      </c>
      <c r="AN3528">
        <v>-20.163958349999969</v>
      </c>
      <c r="AO3528">
        <v>-44.907180923930973</v>
      </c>
      <c r="AP3528">
        <v>-20.163981</v>
      </c>
      <c r="AQ3528">
        <v>-44.907128999999998</v>
      </c>
      <c r="AR3528">
        <v>5.9831345092457884</v>
      </c>
      <c r="AS3528" t="s">
        <v>65</v>
      </c>
      <c r="AT3528">
        <v>1</v>
      </c>
      <c r="AU3528" t="s">
        <v>452</v>
      </c>
      <c r="AV3528" t="s">
        <v>453</v>
      </c>
      <c r="AW3528" t="s">
        <v>60</v>
      </c>
      <c r="AX3528" t="s">
        <v>68</v>
      </c>
      <c r="AY3528" t="s">
        <v>69</v>
      </c>
      <c r="AZ3528" t="b">
        <v>1</v>
      </c>
    </row>
    <row r="3529" spans="1:52" x14ac:dyDescent="0.3">
      <c r="A3529" t="s">
        <v>52</v>
      </c>
      <c r="B3529" t="s">
        <v>53</v>
      </c>
      <c r="C3529" t="s">
        <v>54</v>
      </c>
      <c r="D3529" t="s">
        <v>55</v>
      </c>
      <c r="E3529" t="s">
        <v>2200</v>
      </c>
      <c r="F3529" t="s">
        <v>1247</v>
      </c>
      <c r="G3529" t="s">
        <v>454</v>
      </c>
      <c r="H3529" t="s">
        <v>455</v>
      </c>
      <c r="I3529" t="s">
        <v>455</v>
      </c>
      <c r="J3529" t="s">
        <v>60</v>
      </c>
      <c r="K3529" t="s">
        <v>456</v>
      </c>
      <c r="L3529" t="s">
        <v>62</v>
      </c>
      <c r="M3529" t="s">
        <v>456</v>
      </c>
      <c r="N3529" t="s">
        <v>102</v>
      </c>
      <c r="O3529" t="s">
        <v>457</v>
      </c>
      <c r="P3529">
        <v>-20.138373999999999</v>
      </c>
      <c r="Q3529">
        <v>-44.903756999999999</v>
      </c>
      <c r="R3529" s="2" t="str">
        <f>HYPERLINK("https://www.google.com/maps?q=-20.1383740,-44.9037570","Abrir no Google Maps")</f>
        <v>Abrir no Google Maps</v>
      </c>
      <c r="S3529">
        <v>3</v>
      </c>
      <c r="T3529">
        <v>357.59466273594461</v>
      </c>
      <c r="U3529">
        <v>4</v>
      </c>
      <c r="V3529">
        <v>0.51475970017636685</v>
      </c>
      <c r="W3529">
        <v>1</v>
      </c>
      <c r="X3529">
        <v>0.51475970017636685</v>
      </c>
      <c r="Y3529">
        <v>581</v>
      </c>
      <c r="Z3529">
        <v>406.92482694505992</v>
      </c>
      <c r="AA3529">
        <v>198</v>
      </c>
      <c r="AB3529">
        <v>332</v>
      </c>
      <c r="AC3529">
        <v>536</v>
      </c>
      <c r="AD3529">
        <v>28.54</v>
      </c>
      <c r="AE3529">
        <v>542</v>
      </c>
      <c r="AF3529">
        <v>20</v>
      </c>
      <c r="AG3529">
        <v>181</v>
      </c>
      <c r="AH3529">
        <v>129</v>
      </c>
      <c r="AI3529">
        <v>3.69</v>
      </c>
      <c r="AJ3529">
        <v>33.39</v>
      </c>
      <c r="AK3529">
        <v>23.8</v>
      </c>
      <c r="AL3529">
        <v>-20.138338199999961</v>
      </c>
      <c r="AM3529">
        <v>-44.903768618976301</v>
      </c>
      <c r="AN3529">
        <v>-20.138338199999961</v>
      </c>
      <c r="AO3529">
        <v>-44.903768618976301</v>
      </c>
      <c r="AP3529">
        <v>-20.138373999999999</v>
      </c>
      <c r="AQ3529">
        <v>-44.903756999999999</v>
      </c>
      <c r="AR3529">
        <v>4.1661625938922704</v>
      </c>
      <c r="AS3529" t="s">
        <v>65</v>
      </c>
      <c r="AT3529">
        <v>1</v>
      </c>
      <c r="AU3529" t="s">
        <v>458</v>
      </c>
      <c r="AV3529" t="s">
        <v>459</v>
      </c>
      <c r="AW3529" t="s">
        <v>60</v>
      </c>
      <c r="AX3529" t="s">
        <v>68</v>
      </c>
      <c r="AY3529" t="s">
        <v>69</v>
      </c>
      <c r="AZ3529" t="b">
        <v>1</v>
      </c>
    </row>
    <row r="3530" spans="1:52" x14ac:dyDescent="0.3">
      <c r="A3530" t="s">
        <v>52</v>
      </c>
      <c r="B3530" t="s">
        <v>53</v>
      </c>
      <c r="C3530" t="s">
        <v>54</v>
      </c>
      <c r="D3530" t="s">
        <v>55</v>
      </c>
      <c r="E3530" t="s">
        <v>2200</v>
      </c>
      <c r="F3530" t="s">
        <v>1247</v>
      </c>
      <c r="G3530" t="s">
        <v>460</v>
      </c>
      <c r="H3530" t="s">
        <v>461</v>
      </c>
      <c r="I3530" t="s">
        <v>461</v>
      </c>
      <c r="J3530" t="s">
        <v>60</v>
      </c>
      <c r="K3530" t="s">
        <v>462</v>
      </c>
      <c r="L3530" t="s">
        <v>62</v>
      </c>
      <c r="M3530" t="s">
        <v>462</v>
      </c>
      <c r="N3530" t="s">
        <v>463</v>
      </c>
      <c r="O3530" t="s">
        <v>464</v>
      </c>
      <c r="P3530">
        <v>-20.137919</v>
      </c>
      <c r="Q3530">
        <v>-44.905591000000001</v>
      </c>
      <c r="R3530" s="2" t="str">
        <f>HYPERLINK("https://www.google.com/maps?q=-20.1379190,-44.9055910","Abrir no Google Maps")</f>
        <v>Abrir no Google Maps</v>
      </c>
      <c r="S3530">
        <v>3</v>
      </c>
      <c r="T3530">
        <v>262.01115919461103</v>
      </c>
      <c r="U3530">
        <v>4</v>
      </c>
      <c r="V3530">
        <v>0.54909215206189455</v>
      </c>
      <c r="W3530">
        <v>1</v>
      </c>
      <c r="X3530">
        <v>0.54909215206189455</v>
      </c>
      <c r="Y3530">
        <v>581</v>
      </c>
      <c r="Z3530">
        <v>318.63337303219271</v>
      </c>
      <c r="AA3530">
        <v>198</v>
      </c>
      <c r="AB3530">
        <v>332</v>
      </c>
      <c r="AC3530">
        <v>536</v>
      </c>
      <c r="AD3530">
        <v>28.54</v>
      </c>
      <c r="AE3530">
        <v>542</v>
      </c>
      <c r="AF3530">
        <v>20</v>
      </c>
      <c r="AG3530">
        <v>181</v>
      </c>
      <c r="AH3530">
        <v>129</v>
      </c>
      <c r="AI3530">
        <v>3.69</v>
      </c>
      <c r="AJ3530">
        <v>33.39</v>
      </c>
      <c r="AK3530">
        <v>23.8</v>
      </c>
      <c r="AL3530">
        <v>-20.13789079999998</v>
      </c>
      <c r="AM3530">
        <v>-44.90548593520333</v>
      </c>
      <c r="AN3530">
        <v>-20.13789079999998</v>
      </c>
      <c r="AO3530">
        <v>-44.90548593520333</v>
      </c>
      <c r="AP3530">
        <v>-20.137919</v>
      </c>
      <c r="AQ3530">
        <v>-44.905591000000001</v>
      </c>
      <c r="AR3530">
        <v>11.42072348298178</v>
      </c>
      <c r="AS3530" t="s">
        <v>65</v>
      </c>
      <c r="AT3530">
        <v>1</v>
      </c>
      <c r="AU3530" t="s">
        <v>465</v>
      </c>
      <c r="AV3530" t="s">
        <v>466</v>
      </c>
      <c r="AW3530" t="s">
        <v>60</v>
      </c>
      <c r="AX3530" t="s">
        <v>68</v>
      </c>
      <c r="AY3530" t="s">
        <v>69</v>
      </c>
      <c r="AZ3530" t="b">
        <v>1</v>
      </c>
    </row>
    <row r="3531" spans="1:52" x14ac:dyDescent="0.3">
      <c r="A3531" t="s">
        <v>52</v>
      </c>
      <c r="B3531" t="s">
        <v>53</v>
      </c>
      <c r="C3531" t="s">
        <v>54</v>
      </c>
      <c r="D3531" t="s">
        <v>55</v>
      </c>
      <c r="E3531" t="s">
        <v>2200</v>
      </c>
      <c r="F3531" t="s">
        <v>1247</v>
      </c>
      <c r="G3531" t="s">
        <v>467</v>
      </c>
      <c r="H3531" t="s">
        <v>468</v>
      </c>
      <c r="I3531" t="s">
        <v>468</v>
      </c>
      <c r="J3531" t="s">
        <v>60</v>
      </c>
      <c r="K3531" t="s">
        <v>462</v>
      </c>
      <c r="L3531" t="s">
        <v>62</v>
      </c>
      <c r="M3531" t="s">
        <v>462</v>
      </c>
      <c r="N3531" t="s">
        <v>469</v>
      </c>
      <c r="O3531" t="s">
        <v>470</v>
      </c>
      <c r="P3531">
        <v>-20.138233</v>
      </c>
      <c r="Q3531">
        <v>-44.908200000000001</v>
      </c>
      <c r="R3531" s="2" t="str">
        <f>HYPERLINK("https://www.google.com/maps?q=-20.1382330,-44.9082000","Abrir no Google Maps")</f>
        <v>Abrir no Google Maps</v>
      </c>
      <c r="S3531">
        <v>3</v>
      </c>
      <c r="T3531">
        <v>0</v>
      </c>
      <c r="U3531">
        <v>4</v>
      </c>
      <c r="V3531">
        <v>0.54943270254771859</v>
      </c>
      <c r="W3531">
        <v>1</v>
      </c>
      <c r="X3531">
        <v>0.54943270254771859</v>
      </c>
      <c r="Y3531">
        <v>581</v>
      </c>
      <c r="Z3531">
        <v>153.18688302958171</v>
      </c>
      <c r="AA3531">
        <v>198</v>
      </c>
      <c r="AB3531">
        <v>332</v>
      </c>
      <c r="AC3531">
        <v>536</v>
      </c>
      <c r="AD3531">
        <v>28.54</v>
      </c>
      <c r="AE3531">
        <v>542</v>
      </c>
      <c r="AF3531">
        <v>20</v>
      </c>
      <c r="AG3531">
        <v>181</v>
      </c>
      <c r="AH3531">
        <v>129</v>
      </c>
      <c r="AI3531">
        <v>3.69</v>
      </c>
      <c r="AJ3531">
        <v>33.39</v>
      </c>
      <c r="AK3531">
        <v>23.8</v>
      </c>
      <c r="AL3531">
        <v>-20.138364899999971</v>
      </c>
      <c r="AM3531">
        <v>-44.907942114873997</v>
      </c>
      <c r="AN3531">
        <v>-20.138364899999971</v>
      </c>
      <c r="AO3531">
        <v>-44.907942114873997</v>
      </c>
      <c r="AP3531">
        <v>-20.138233</v>
      </c>
      <c r="AQ3531">
        <v>-44.908200000000001</v>
      </c>
      <c r="AR3531">
        <v>30.692690617986941</v>
      </c>
      <c r="AS3531" t="s">
        <v>65</v>
      </c>
      <c r="AT3531">
        <v>1</v>
      </c>
      <c r="AU3531" t="s">
        <v>471</v>
      </c>
      <c r="AV3531" t="s">
        <v>472</v>
      </c>
      <c r="AW3531" t="s">
        <v>60</v>
      </c>
      <c r="AX3531" t="s">
        <v>68</v>
      </c>
      <c r="AY3531" t="s">
        <v>69</v>
      </c>
      <c r="AZ3531" t="b">
        <v>1</v>
      </c>
    </row>
    <row r="3532" spans="1:52" x14ac:dyDescent="0.3">
      <c r="A3532" t="s">
        <v>52</v>
      </c>
      <c r="B3532" t="s">
        <v>53</v>
      </c>
      <c r="C3532" t="s">
        <v>54</v>
      </c>
      <c r="D3532" t="s">
        <v>55</v>
      </c>
      <c r="E3532" t="s">
        <v>2200</v>
      </c>
      <c r="F3532" t="s">
        <v>1247</v>
      </c>
      <c r="G3532" t="s">
        <v>479</v>
      </c>
      <c r="H3532" t="s">
        <v>480</v>
      </c>
      <c r="I3532" t="s">
        <v>480</v>
      </c>
      <c r="J3532" t="s">
        <v>60</v>
      </c>
      <c r="K3532" t="s">
        <v>388</v>
      </c>
      <c r="L3532" t="s">
        <v>62</v>
      </c>
      <c r="M3532" t="s">
        <v>388</v>
      </c>
      <c r="N3532" t="s">
        <v>481</v>
      </c>
      <c r="O3532" t="s">
        <v>315</v>
      </c>
      <c r="P3532">
        <v>-20.166903999999999</v>
      </c>
      <c r="Q3532">
        <v>-44.903492</v>
      </c>
      <c r="R3532" s="2" t="str">
        <f>HYPERLINK("https://www.google.com/maps?q=-20.1669040,-44.9034920","Abrir no Google Maps")</f>
        <v>Abrir no Google Maps</v>
      </c>
      <c r="S3532">
        <v>3</v>
      </c>
      <c r="T3532">
        <v>517.12253532511602</v>
      </c>
      <c r="U3532">
        <v>4</v>
      </c>
      <c r="V3532">
        <v>0.49020021630747318</v>
      </c>
      <c r="W3532">
        <v>1</v>
      </c>
      <c r="X3532">
        <v>0.49020021630747318</v>
      </c>
      <c r="Y3532">
        <v>578</v>
      </c>
      <c r="Z3532">
        <v>721.79551240050432</v>
      </c>
      <c r="AA3532">
        <v>198</v>
      </c>
      <c r="AB3532">
        <v>332</v>
      </c>
      <c r="AC3532">
        <v>536</v>
      </c>
      <c r="AD3532">
        <v>28.54</v>
      </c>
      <c r="AE3532">
        <v>542</v>
      </c>
      <c r="AF3532">
        <v>20</v>
      </c>
      <c r="AG3532">
        <v>181</v>
      </c>
      <c r="AH3532">
        <v>129</v>
      </c>
      <c r="AI3532">
        <v>3.69</v>
      </c>
      <c r="AJ3532">
        <v>33.39</v>
      </c>
      <c r="AK3532">
        <v>23.8</v>
      </c>
      <c r="AL3532">
        <v>-20.166610649999971</v>
      </c>
      <c r="AM3532">
        <v>-44.903452988928308</v>
      </c>
      <c r="AN3532">
        <v>-20.166610649999971</v>
      </c>
      <c r="AO3532">
        <v>-44.903452988928308</v>
      </c>
      <c r="AP3532">
        <v>-20.166903999999999</v>
      </c>
      <c r="AQ3532">
        <v>-44.903492</v>
      </c>
      <c r="AR3532">
        <v>32.909175876856217</v>
      </c>
      <c r="AS3532" t="s">
        <v>65</v>
      </c>
      <c r="AT3532">
        <v>1</v>
      </c>
      <c r="AU3532" t="s">
        <v>482</v>
      </c>
      <c r="AV3532" t="s">
        <v>483</v>
      </c>
      <c r="AW3532" t="s">
        <v>60</v>
      </c>
      <c r="AX3532" t="s">
        <v>68</v>
      </c>
      <c r="AY3532" t="s">
        <v>69</v>
      </c>
      <c r="AZ3532" t="b">
        <v>1</v>
      </c>
    </row>
    <row r="3533" spans="1:52" x14ac:dyDescent="0.3">
      <c r="A3533" t="s">
        <v>52</v>
      </c>
      <c r="B3533" t="s">
        <v>53</v>
      </c>
      <c r="C3533" t="s">
        <v>54</v>
      </c>
      <c r="D3533" t="s">
        <v>55</v>
      </c>
      <c r="E3533" t="s">
        <v>2200</v>
      </c>
      <c r="F3533" t="s">
        <v>1247</v>
      </c>
      <c r="G3533" t="s">
        <v>503</v>
      </c>
      <c r="H3533" t="s">
        <v>504</v>
      </c>
      <c r="I3533" t="s">
        <v>504</v>
      </c>
      <c r="J3533" t="s">
        <v>60</v>
      </c>
      <c r="K3533" t="s">
        <v>505</v>
      </c>
      <c r="L3533" t="s">
        <v>62</v>
      </c>
      <c r="M3533" t="s">
        <v>505</v>
      </c>
      <c r="N3533" t="s">
        <v>506</v>
      </c>
      <c r="O3533" t="s">
        <v>507</v>
      </c>
      <c r="P3533">
        <v>-20.131428</v>
      </c>
      <c r="Q3533">
        <v>-44.888921000000003</v>
      </c>
      <c r="R3533" s="2" t="str">
        <f>HYPERLINK("https://www.google.com/maps?q=-20.1314280,-44.8889210","Abrir no Google Maps")</f>
        <v>Abrir no Google Maps</v>
      </c>
      <c r="S3533">
        <v>3</v>
      </c>
      <c r="T3533">
        <v>250.64150698244501</v>
      </c>
      <c r="U3533">
        <v>4</v>
      </c>
      <c r="V3533">
        <v>0.49213110122201031</v>
      </c>
      <c r="W3533">
        <v>1</v>
      </c>
      <c r="X3533">
        <v>0.49213110122201031</v>
      </c>
      <c r="Y3533">
        <v>564</v>
      </c>
      <c r="Z3533">
        <v>189.93933888952441</v>
      </c>
      <c r="AA3533">
        <v>198</v>
      </c>
      <c r="AB3533">
        <v>332</v>
      </c>
      <c r="AC3533">
        <v>536</v>
      </c>
      <c r="AD3533">
        <v>28.54</v>
      </c>
      <c r="AE3533">
        <v>542</v>
      </c>
      <c r="AF3533">
        <v>20</v>
      </c>
      <c r="AG3533">
        <v>181</v>
      </c>
      <c r="AH3533">
        <v>129</v>
      </c>
      <c r="AI3533">
        <v>3.69</v>
      </c>
      <c r="AJ3533">
        <v>33.39</v>
      </c>
      <c r="AK3533">
        <v>23.8</v>
      </c>
      <c r="AL3533">
        <v>-20.13123589999995</v>
      </c>
      <c r="AM3533">
        <v>-44.888742396501762</v>
      </c>
      <c r="AN3533">
        <v>-20.13123589999995</v>
      </c>
      <c r="AO3533">
        <v>-44.888742396501762</v>
      </c>
      <c r="AP3533">
        <v>-20.131428</v>
      </c>
      <c r="AQ3533">
        <v>-44.888921000000003</v>
      </c>
      <c r="AR3533">
        <v>28.386169462917032</v>
      </c>
      <c r="AS3533" t="s">
        <v>65</v>
      </c>
      <c r="AT3533">
        <v>1</v>
      </c>
      <c r="AU3533" t="s">
        <v>508</v>
      </c>
      <c r="AV3533" t="s">
        <v>509</v>
      </c>
      <c r="AW3533" t="s">
        <v>60</v>
      </c>
      <c r="AX3533" t="s">
        <v>68</v>
      </c>
      <c r="AY3533" t="s">
        <v>69</v>
      </c>
      <c r="AZ3533" t="b">
        <v>1</v>
      </c>
    </row>
    <row r="3534" spans="1:52" x14ac:dyDescent="0.3">
      <c r="A3534" t="s">
        <v>52</v>
      </c>
      <c r="B3534" t="s">
        <v>53</v>
      </c>
      <c r="C3534" t="s">
        <v>54</v>
      </c>
      <c r="D3534" t="s">
        <v>55</v>
      </c>
      <c r="E3534" t="s">
        <v>2200</v>
      </c>
      <c r="F3534" t="s">
        <v>1247</v>
      </c>
      <c r="G3534" t="s">
        <v>510</v>
      </c>
      <c r="H3534" t="s">
        <v>511</v>
      </c>
      <c r="I3534" t="s">
        <v>511</v>
      </c>
      <c r="J3534" t="s">
        <v>60</v>
      </c>
      <c r="K3534" t="s">
        <v>512</v>
      </c>
      <c r="L3534" t="s">
        <v>62</v>
      </c>
      <c r="M3534" t="s">
        <v>512</v>
      </c>
      <c r="N3534" t="s">
        <v>406</v>
      </c>
      <c r="O3534" t="s">
        <v>513</v>
      </c>
      <c r="P3534">
        <v>-20.127853000000002</v>
      </c>
      <c r="Q3534">
        <v>-44.891415000000002</v>
      </c>
      <c r="R3534" s="2" t="str">
        <f>HYPERLINK("https://www.google.com/maps?q=-20.1278530,-44.8914150","Abrir no Google Maps")</f>
        <v>Abrir no Google Maps</v>
      </c>
      <c r="S3534">
        <v>3</v>
      </c>
      <c r="T3534">
        <v>340.86994528233612</v>
      </c>
      <c r="U3534">
        <v>4</v>
      </c>
      <c r="V3534">
        <v>0.47638741187128281</v>
      </c>
      <c r="W3534">
        <v>1</v>
      </c>
      <c r="X3534">
        <v>0.47638741187128281</v>
      </c>
      <c r="Y3534">
        <v>564</v>
      </c>
      <c r="Z3534">
        <v>294.18108015916812</v>
      </c>
      <c r="AA3534">
        <v>198</v>
      </c>
      <c r="AB3534">
        <v>332</v>
      </c>
      <c r="AC3534">
        <v>536</v>
      </c>
      <c r="AD3534">
        <v>28.54</v>
      </c>
      <c r="AE3534">
        <v>542</v>
      </c>
      <c r="AF3534">
        <v>20</v>
      </c>
      <c r="AG3534">
        <v>181</v>
      </c>
      <c r="AH3534">
        <v>129</v>
      </c>
      <c r="AI3534">
        <v>3.69</v>
      </c>
      <c r="AJ3534">
        <v>33.39</v>
      </c>
      <c r="AK3534">
        <v>23.8</v>
      </c>
      <c r="AL3534">
        <v>-20.12777399999996</v>
      </c>
      <c r="AM3534">
        <v>-44.891400975758501</v>
      </c>
      <c r="AN3534">
        <v>-20.12777399999996</v>
      </c>
      <c r="AO3534">
        <v>-44.891400975758501</v>
      </c>
      <c r="AP3534">
        <v>-20.127853000000002</v>
      </c>
      <c r="AQ3534">
        <v>-44.891415000000002</v>
      </c>
      <c r="AR3534">
        <v>8.9156059162975616</v>
      </c>
      <c r="AS3534" t="s">
        <v>65</v>
      </c>
      <c r="AT3534">
        <v>1</v>
      </c>
      <c r="AU3534" t="s">
        <v>514</v>
      </c>
      <c r="AV3534" t="s">
        <v>515</v>
      </c>
      <c r="AW3534" t="s">
        <v>60</v>
      </c>
      <c r="AX3534" t="s">
        <v>68</v>
      </c>
      <c r="AY3534" t="s">
        <v>69</v>
      </c>
      <c r="AZ3534" t="b">
        <v>1</v>
      </c>
    </row>
    <row r="3535" spans="1:52" x14ac:dyDescent="0.3">
      <c r="A3535" t="s">
        <v>52</v>
      </c>
      <c r="B3535" t="s">
        <v>53</v>
      </c>
      <c r="C3535" t="s">
        <v>54</v>
      </c>
      <c r="D3535" t="s">
        <v>55</v>
      </c>
      <c r="E3535" t="s">
        <v>2200</v>
      </c>
      <c r="F3535" t="s">
        <v>1247</v>
      </c>
      <c r="G3535" t="s">
        <v>516</v>
      </c>
      <c r="H3535" t="s">
        <v>517</v>
      </c>
      <c r="I3535" t="s">
        <v>517</v>
      </c>
      <c r="J3535" t="s">
        <v>60</v>
      </c>
      <c r="K3535" t="s">
        <v>518</v>
      </c>
      <c r="L3535" t="s">
        <v>62</v>
      </c>
      <c r="M3535" t="s">
        <v>518</v>
      </c>
      <c r="N3535" t="s">
        <v>519</v>
      </c>
      <c r="O3535" t="s">
        <v>520</v>
      </c>
      <c r="P3535">
        <v>-20.124502</v>
      </c>
      <c r="Q3535">
        <v>-44.888424000000001</v>
      </c>
      <c r="R3535" s="2" t="str">
        <f>HYPERLINK("https://www.google.com/maps?q=-20.1245020,-44.8884240","Abrir no Google Maps")</f>
        <v>Abrir no Google Maps</v>
      </c>
      <c r="S3535">
        <v>3</v>
      </c>
      <c r="T3535">
        <v>483.42298121929559</v>
      </c>
      <c r="U3535">
        <v>4</v>
      </c>
      <c r="V3535">
        <v>0.53053124945091634</v>
      </c>
      <c r="W3535">
        <v>1</v>
      </c>
      <c r="X3535">
        <v>0.53053124945091634</v>
      </c>
      <c r="Y3535">
        <v>564</v>
      </c>
      <c r="Z3535">
        <v>565.43074237076587</v>
      </c>
      <c r="AA3535">
        <v>198</v>
      </c>
      <c r="AB3535">
        <v>332</v>
      </c>
      <c r="AC3535">
        <v>536</v>
      </c>
      <c r="AD3535">
        <v>28.54</v>
      </c>
      <c r="AE3535">
        <v>542</v>
      </c>
      <c r="AF3535">
        <v>20</v>
      </c>
      <c r="AG3535">
        <v>181</v>
      </c>
      <c r="AH3535">
        <v>129</v>
      </c>
      <c r="AI3535">
        <v>3.69</v>
      </c>
      <c r="AJ3535">
        <v>33.39</v>
      </c>
      <c r="AK3535">
        <v>23.8</v>
      </c>
      <c r="AL3535">
        <v>-20.124624949999941</v>
      </c>
      <c r="AM3535">
        <v>-44.888432821777258</v>
      </c>
      <c r="AN3535">
        <v>-20.124624949999941</v>
      </c>
      <c r="AO3535">
        <v>-44.888432821777258</v>
      </c>
      <c r="AP3535">
        <v>-20.124502</v>
      </c>
      <c r="AQ3535">
        <v>-44.888424000000001</v>
      </c>
      <c r="AR3535">
        <v>13.717819333897451</v>
      </c>
      <c r="AS3535" t="s">
        <v>65</v>
      </c>
      <c r="AT3535">
        <v>1</v>
      </c>
      <c r="AU3535" t="s">
        <v>521</v>
      </c>
      <c r="AV3535" t="s">
        <v>522</v>
      </c>
      <c r="AW3535" t="s">
        <v>60</v>
      </c>
      <c r="AX3535" t="s">
        <v>68</v>
      </c>
      <c r="AY3535" t="s">
        <v>69</v>
      </c>
      <c r="AZ3535" t="b">
        <v>1</v>
      </c>
    </row>
    <row r="3536" spans="1:52" x14ac:dyDescent="0.3">
      <c r="A3536" t="s">
        <v>52</v>
      </c>
      <c r="B3536" t="s">
        <v>53</v>
      </c>
      <c r="C3536" t="s">
        <v>54</v>
      </c>
      <c r="D3536" t="s">
        <v>55</v>
      </c>
      <c r="E3536" t="s">
        <v>2200</v>
      </c>
      <c r="F3536" t="s">
        <v>1247</v>
      </c>
      <c r="G3536" t="s">
        <v>523</v>
      </c>
      <c r="H3536" t="s">
        <v>524</v>
      </c>
      <c r="I3536" t="s">
        <v>524</v>
      </c>
      <c r="J3536" t="s">
        <v>60</v>
      </c>
      <c r="K3536" t="s">
        <v>518</v>
      </c>
      <c r="L3536" t="s">
        <v>62</v>
      </c>
      <c r="M3536" t="s">
        <v>518</v>
      </c>
      <c r="N3536" t="s">
        <v>525</v>
      </c>
      <c r="O3536" t="s">
        <v>331</v>
      </c>
      <c r="P3536">
        <v>-20.126553000000001</v>
      </c>
      <c r="Q3536">
        <v>-44.888599999999997</v>
      </c>
      <c r="R3536" s="2" t="str">
        <f>HYPERLINK("https://www.google.com/maps?q=-20.1265530,-44.8886000","Abrir no Google Maps")</f>
        <v>Abrir no Google Maps</v>
      </c>
      <c r="S3536">
        <v>3</v>
      </c>
      <c r="T3536">
        <v>256.34043440603853</v>
      </c>
      <c r="U3536">
        <v>4</v>
      </c>
      <c r="V3536">
        <v>0.50037690909206078</v>
      </c>
      <c r="W3536">
        <v>1</v>
      </c>
      <c r="X3536">
        <v>0.50037690909206078</v>
      </c>
      <c r="Y3536">
        <v>564</v>
      </c>
      <c r="Z3536">
        <v>325.4404273055876</v>
      </c>
      <c r="AA3536">
        <v>198</v>
      </c>
      <c r="AB3536">
        <v>332</v>
      </c>
      <c r="AC3536">
        <v>536</v>
      </c>
      <c r="AD3536">
        <v>28.54</v>
      </c>
      <c r="AE3536">
        <v>542</v>
      </c>
      <c r="AF3536">
        <v>20</v>
      </c>
      <c r="AG3536">
        <v>181</v>
      </c>
      <c r="AH3536">
        <v>129</v>
      </c>
      <c r="AI3536">
        <v>3.69</v>
      </c>
      <c r="AJ3536">
        <v>33.39</v>
      </c>
      <c r="AK3536">
        <v>23.8</v>
      </c>
      <c r="AL3536">
        <v>-20.12669049999997</v>
      </c>
      <c r="AM3536">
        <v>-44.888671289876577</v>
      </c>
      <c r="AN3536">
        <v>-20.12669049999997</v>
      </c>
      <c r="AO3536">
        <v>-44.888671289876577</v>
      </c>
      <c r="AP3536">
        <v>-20.126553000000001</v>
      </c>
      <c r="AQ3536">
        <v>-44.888599999999997</v>
      </c>
      <c r="AR3536">
        <v>17.023861591720589</v>
      </c>
      <c r="AS3536" t="s">
        <v>65</v>
      </c>
      <c r="AT3536">
        <v>1</v>
      </c>
      <c r="AU3536" t="s">
        <v>526</v>
      </c>
      <c r="AV3536" t="s">
        <v>527</v>
      </c>
      <c r="AW3536" t="s">
        <v>60</v>
      </c>
      <c r="AX3536" t="s">
        <v>68</v>
      </c>
      <c r="AY3536" t="s">
        <v>69</v>
      </c>
      <c r="AZ3536" t="b">
        <v>1</v>
      </c>
    </row>
    <row r="3537" spans="1:52" x14ac:dyDescent="0.3">
      <c r="A3537" t="s">
        <v>52</v>
      </c>
      <c r="B3537" t="s">
        <v>53</v>
      </c>
      <c r="C3537" t="s">
        <v>54</v>
      </c>
      <c r="D3537" t="s">
        <v>55</v>
      </c>
      <c r="E3537" t="s">
        <v>2200</v>
      </c>
      <c r="F3537" t="s">
        <v>1247</v>
      </c>
      <c r="G3537" t="s">
        <v>528</v>
      </c>
      <c r="H3537" t="s">
        <v>529</v>
      </c>
      <c r="I3537" t="s">
        <v>529</v>
      </c>
      <c r="J3537" t="s">
        <v>60</v>
      </c>
      <c r="K3537" t="s">
        <v>530</v>
      </c>
      <c r="L3537" t="s">
        <v>62</v>
      </c>
      <c r="M3537" t="s">
        <v>530</v>
      </c>
      <c r="N3537" t="s">
        <v>531</v>
      </c>
      <c r="O3537" t="s">
        <v>532</v>
      </c>
      <c r="P3537">
        <v>-20.142457</v>
      </c>
      <c r="Q3537">
        <v>-44.891688000000002</v>
      </c>
      <c r="R3537" s="2" t="str">
        <f>HYPERLINK("https://www.google.com/maps?q=-20.1424570,-44.8916880","Abrir no Google Maps")</f>
        <v>Abrir no Google Maps</v>
      </c>
      <c r="S3537">
        <v>3</v>
      </c>
      <c r="T3537">
        <v>0</v>
      </c>
      <c r="U3537">
        <v>4</v>
      </c>
      <c r="V3537">
        <v>0.56511094758292768</v>
      </c>
      <c r="W3537">
        <v>1</v>
      </c>
      <c r="X3537">
        <v>0.56511094758292768</v>
      </c>
      <c r="Y3537">
        <v>557</v>
      </c>
      <c r="Z3537">
        <v>42.611952255679803</v>
      </c>
      <c r="AA3537">
        <v>198</v>
      </c>
      <c r="AB3537">
        <v>332</v>
      </c>
      <c r="AC3537">
        <v>536</v>
      </c>
      <c r="AD3537">
        <v>28.54</v>
      </c>
      <c r="AE3537">
        <v>542</v>
      </c>
      <c r="AF3537">
        <v>20</v>
      </c>
      <c r="AG3537">
        <v>181</v>
      </c>
      <c r="AH3537">
        <v>129</v>
      </c>
      <c r="AI3537">
        <v>3.69</v>
      </c>
      <c r="AJ3537">
        <v>33.39</v>
      </c>
      <c r="AK3537">
        <v>23.8</v>
      </c>
      <c r="AL3537">
        <v>-20.142523099999948</v>
      </c>
      <c r="AM3537">
        <v>-44.891523817588819</v>
      </c>
      <c r="AN3537">
        <v>-20.142523099999948</v>
      </c>
      <c r="AO3537">
        <v>-44.891523817588819</v>
      </c>
      <c r="AP3537">
        <v>-20.142457</v>
      </c>
      <c r="AQ3537">
        <v>-44.891688000000002</v>
      </c>
      <c r="AR3537">
        <v>18.670129248632971</v>
      </c>
      <c r="AS3537" t="s">
        <v>65</v>
      </c>
      <c r="AT3537">
        <v>1</v>
      </c>
      <c r="AU3537" t="s">
        <v>533</v>
      </c>
      <c r="AV3537" t="s">
        <v>534</v>
      </c>
      <c r="AW3537" t="s">
        <v>60</v>
      </c>
      <c r="AX3537" t="s">
        <v>68</v>
      </c>
      <c r="AY3537" t="s">
        <v>69</v>
      </c>
      <c r="AZ3537" t="b">
        <v>1</v>
      </c>
    </row>
    <row r="3538" spans="1:52" x14ac:dyDescent="0.3">
      <c r="A3538" t="s">
        <v>52</v>
      </c>
      <c r="B3538" t="s">
        <v>53</v>
      </c>
      <c r="C3538" t="s">
        <v>54</v>
      </c>
      <c r="D3538" t="s">
        <v>55</v>
      </c>
      <c r="E3538" t="s">
        <v>2200</v>
      </c>
      <c r="F3538" t="s">
        <v>1247</v>
      </c>
      <c r="G3538" t="s">
        <v>535</v>
      </c>
      <c r="H3538" t="s">
        <v>536</v>
      </c>
      <c r="I3538" t="s">
        <v>536</v>
      </c>
      <c r="J3538" t="s">
        <v>60</v>
      </c>
      <c r="K3538" t="s">
        <v>388</v>
      </c>
      <c r="L3538" t="s">
        <v>62</v>
      </c>
      <c r="M3538" t="s">
        <v>388</v>
      </c>
      <c r="N3538" t="s">
        <v>537</v>
      </c>
      <c r="O3538" t="s">
        <v>538</v>
      </c>
      <c r="P3538">
        <v>-20.150061999999998</v>
      </c>
      <c r="Q3538">
        <v>-44.903379000000001</v>
      </c>
      <c r="R3538" s="2" t="str">
        <f>HYPERLINK("https://www.google.com/maps?q=-20.1500620,-44.9033790","Abrir no Google Maps")</f>
        <v>Abrir no Google Maps</v>
      </c>
      <c r="S3538">
        <v>3</v>
      </c>
      <c r="T3538">
        <v>286.20313674219977</v>
      </c>
      <c r="U3538">
        <v>4</v>
      </c>
      <c r="V3538">
        <v>0.52158606972459154</v>
      </c>
      <c r="W3538">
        <v>1</v>
      </c>
      <c r="X3538">
        <v>0.52158606972459154</v>
      </c>
      <c r="Y3538">
        <v>556</v>
      </c>
      <c r="Z3538">
        <v>315.81851898667401</v>
      </c>
      <c r="AA3538">
        <v>198</v>
      </c>
      <c r="AB3538">
        <v>332</v>
      </c>
      <c r="AC3538">
        <v>536</v>
      </c>
      <c r="AD3538">
        <v>28.54</v>
      </c>
      <c r="AE3538">
        <v>542</v>
      </c>
      <c r="AF3538">
        <v>20</v>
      </c>
      <c r="AG3538">
        <v>181</v>
      </c>
      <c r="AH3538">
        <v>129</v>
      </c>
      <c r="AI3538">
        <v>3.69</v>
      </c>
      <c r="AJ3538">
        <v>33.39</v>
      </c>
      <c r="AK3538">
        <v>23.8</v>
      </c>
      <c r="AL3538">
        <v>-20.150084299999971</v>
      </c>
      <c r="AM3538">
        <v>-44.903278407568479</v>
      </c>
      <c r="AN3538">
        <v>-20.150084299999971</v>
      </c>
      <c r="AO3538">
        <v>-44.903278407568479</v>
      </c>
      <c r="AP3538">
        <v>-20.150061999999998</v>
      </c>
      <c r="AQ3538">
        <v>-44.903379000000001</v>
      </c>
      <c r="AR3538">
        <v>10.801687336134639</v>
      </c>
      <c r="AS3538" t="s">
        <v>65</v>
      </c>
      <c r="AT3538">
        <v>1</v>
      </c>
      <c r="AU3538" t="s">
        <v>539</v>
      </c>
      <c r="AV3538" t="s">
        <v>540</v>
      </c>
      <c r="AW3538" t="s">
        <v>60</v>
      </c>
      <c r="AX3538" t="s">
        <v>68</v>
      </c>
      <c r="AY3538" t="s">
        <v>69</v>
      </c>
      <c r="AZ3538" t="b">
        <v>1</v>
      </c>
    </row>
    <row r="3539" spans="1:52" x14ac:dyDescent="0.3">
      <c r="A3539" t="s">
        <v>52</v>
      </c>
      <c r="B3539" t="s">
        <v>53</v>
      </c>
      <c r="C3539" t="s">
        <v>54</v>
      </c>
      <c r="D3539" t="s">
        <v>55</v>
      </c>
      <c r="E3539" t="s">
        <v>2200</v>
      </c>
      <c r="F3539" t="s">
        <v>1247</v>
      </c>
      <c r="G3539" t="s">
        <v>398</v>
      </c>
      <c r="H3539" t="s">
        <v>541</v>
      </c>
      <c r="I3539" t="s">
        <v>541</v>
      </c>
      <c r="J3539" t="s">
        <v>60</v>
      </c>
      <c r="K3539" t="s">
        <v>388</v>
      </c>
      <c r="L3539" t="s">
        <v>62</v>
      </c>
      <c r="M3539" t="s">
        <v>388</v>
      </c>
      <c r="N3539" t="s">
        <v>400</v>
      </c>
      <c r="O3539" t="s">
        <v>542</v>
      </c>
      <c r="P3539">
        <v>-20.151335</v>
      </c>
      <c r="Q3539">
        <v>-44.901041999999997</v>
      </c>
      <c r="R3539" s="2" t="str">
        <f>HYPERLINK("https://www.google.com/maps?q=-20.1513350,-44.9010420","Abrir no Google Maps")</f>
        <v>Abrir no Google Maps</v>
      </c>
      <c r="S3539">
        <v>3</v>
      </c>
      <c r="T3539">
        <v>0</v>
      </c>
      <c r="U3539">
        <v>4</v>
      </c>
      <c r="V3539">
        <v>0.48438818565400837</v>
      </c>
      <c r="W3539">
        <v>1</v>
      </c>
      <c r="X3539">
        <v>0.48438818565400837</v>
      </c>
      <c r="Y3539">
        <v>556</v>
      </c>
      <c r="Z3539">
        <v>137.71609036908939</v>
      </c>
      <c r="AA3539">
        <v>198</v>
      </c>
      <c r="AB3539">
        <v>332</v>
      </c>
      <c r="AC3539">
        <v>536</v>
      </c>
      <c r="AD3539">
        <v>28.54</v>
      </c>
      <c r="AE3539">
        <v>542</v>
      </c>
      <c r="AF3539">
        <v>20</v>
      </c>
      <c r="AG3539">
        <v>181</v>
      </c>
      <c r="AH3539">
        <v>129</v>
      </c>
      <c r="AI3539">
        <v>3.69</v>
      </c>
      <c r="AJ3539">
        <v>33.39</v>
      </c>
      <c r="AK3539">
        <v>23.8</v>
      </c>
      <c r="AL3539">
        <v>-20.15125899999995</v>
      </c>
      <c r="AM3539">
        <v>-44.900838557594433</v>
      </c>
      <c r="AN3539">
        <v>-20.15125899999995</v>
      </c>
      <c r="AO3539">
        <v>-44.900838557594433</v>
      </c>
      <c r="AP3539">
        <v>-20.151335</v>
      </c>
      <c r="AQ3539">
        <v>-44.901041999999997</v>
      </c>
      <c r="AR3539">
        <v>22.882363139483491</v>
      </c>
      <c r="AS3539" t="s">
        <v>65</v>
      </c>
      <c r="AT3539">
        <v>1</v>
      </c>
      <c r="AU3539" t="s">
        <v>543</v>
      </c>
      <c r="AV3539" t="s">
        <v>544</v>
      </c>
      <c r="AW3539" t="s">
        <v>60</v>
      </c>
      <c r="AX3539" t="s">
        <v>68</v>
      </c>
      <c r="AY3539" t="s">
        <v>69</v>
      </c>
      <c r="AZ3539" t="b">
        <v>1</v>
      </c>
    </row>
    <row r="3540" spans="1:52" x14ac:dyDescent="0.3">
      <c r="A3540" t="s">
        <v>52</v>
      </c>
      <c r="B3540" t="s">
        <v>53</v>
      </c>
      <c r="C3540" t="s">
        <v>54</v>
      </c>
      <c r="D3540" t="s">
        <v>55</v>
      </c>
      <c r="E3540" t="s">
        <v>2200</v>
      </c>
      <c r="F3540" t="s">
        <v>1247</v>
      </c>
      <c r="G3540" t="s">
        <v>545</v>
      </c>
      <c r="H3540" t="s">
        <v>546</v>
      </c>
      <c r="I3540" t="s">
        <v>546</v>
      </c>
      <c r="J3540" t="s">
        <v>60</v>
      </c>
      <c r="K3540" t="s">
        <v>388</v>
      </c>
      <c r="L3540" t="s">
        <v>62</v>
      </c>
      <c r="M3540" t="s">
        <v>388</v>
      </c>
      <c r="N3540" t="s">
        <v>547</v>
      </c>
      <c r="O3540" t="s">
        <v>548</v>
      </c>
      <c r="P3540">
        <v>-20.155839</v>
      </c>
      <c r="Q3540">
        <v>-44.905655000000003</v>
      </c>
      <c r="R3540" s="2" t="str">
        <f>HYPERLINK("https://www.google.com/maps?q=-20.1558390,-44.9056550","Abrir no Google Maps")</f>
        <v>Abrir no Google Maps</v>
      </c>
      <c r="S3540">
        <v>3</v>
      </c>
      <c r="T3540">
        <v>309.7643089121122</v>
      </c>
      <c r="U3540">
        <v>4</v>
      </c>
      <c r="V3540">
        <v>0.4936259143155694</v>
      </c>
      <c r="W3540">
        <v>1</v>
      </c>
      <c r="X3540">
        <v>0.4936259143155694</v>
      </c>
      <c r="Y3540">
        <v>548</v>
      </c>
      <c r="Z3540">
        <v>284.24281731793161</v>
      </c>
      <c r="AA3540">
        <v>198</v>
      </c>
      <c r="AB3540">
        <v>332</v>
      </c>
      <c r="AC3540">
        <v>536</v>
      </c>
      <c r="AD3540">
        <v>28.54</v>
      </c>
      <c r="AE3540">
        <v>542</v>
      </c>
      <c r="AF3540">
        <v>20</v>
      </c>
      <c r="AG3540">
        <v>181</v>
      </c>
      <c r="AH3540">
        <v>129</v>
      </c>
      <c r="AI3540">
        <v>3.69</v>
      </c>
      <c r="AJ3540">
        <v>33.39</v>
      </c>
      <c r="AK3540">
        <v>23.8</v>
      </c>
      <c r="AL3540">
        <v>-20.155913549999951</v>
      </c>
      <c r="AM3540">
        <v>-44.905554508392683</v>
      </c>
      <c r="AN3540">
        <v>-20.155913549999951</v>
      </c>
      <c r="AO3540">
        <v>-44.905554508392669</v>
      </c>
      <c r="AP3540">
        <v>-20.155839</v>
      </c>
      <c r="AQ3540">
        <v>-44.905655000000003</v>
      </c>
      <c r="AR3540">
        <v>13.384922093797449</v>
      </c>
      <c r="AS3540" t="s">
        <v>65</v>
      </c>
      <c r="AT3540">
        <v>1</v>
      </c>
      <c r="AU3540" t="s">
        <v>549</v>
      </c>
      <c r="AV3540" t="s">
        <v>550</v>
      </c>
      <c r="AW3540" t="s">
        <v>60</v>
      </c>
      <c r="AX3540" t="s">
        <v>68</v>
      </c>
      <c r="AY3540" t="s">
        <v>69</v>
      </c>
      <c r="AZ3540" t="b">
        <v>1</v>
      </c>
    </row>
    <row r="3541" spans="1:52" x14ac:dyDescent="0.3">
      <c r="A3541" t="s">
        <v>52</v>
      </c>
      <c r="B3541" t="s">
        <v>53</v>
      </c>
      <c r="C3541" t="s">
        <v>54</v>
      </c>
      <c r="D3541" t="s">
        <v>55</v>
      </c>
      <c r="E3541" t="s">
        <v>2200</v>
      </c>
      <c r="F3541" t="s">
        <v>1247</v>
      </c>
      <c r="G3541" t="s">
        <v>551</v>
      </c>
      <c r="H3541" t="s">
        <v>552</v>
      </c>
      <c r="I3541" t="s">
        <v>552</v>
      </c>
      <c r="J3541" t="s">
        <v>60</v>
      </c>
      <c r="K3541" t="s">
        <v>388</v>
      </c>
      <c r="L3541" t="s">
        <v>62</v>
      </c>
      <c r="M3541" t="s">
        <v>388</v>
      </c>
      <c r="N3541" t="s">
        <v>553</v>
      </c>
      <c r="O3541" t="s">
        <v>315</v>
      </c>
      <c r="P3541">
        <v>-20.153086999999999</v>
      </c>
      <c r="Q3541">
        <v>-44.905451999999997</v>
      </c>
      <c r="R3541" s="2" t="str">
        <f>HYPERLINK("https://www.google.com/maps?q=-20.1530870,-44.9054520","Abrir no Google Maps")</f>
        <v>Abrir no Google Maps</v>
      </c>
      <c r="S3541">
        <v>3</v>
      </c>
      <c r="T3541">
        <v>313.69387682409018</v>
      </c>
      <c r="U3541">
        <v>4</v>
      </c>
      <c r="V3541">
        <v>0.51021941056225717</v>
      </c>
      <c r="W3541">
        <v>1</v>
      </c>
      <c r="X3541">
        <v>0.51021941056225717</v>
      </c>
      <c r="Y3541">
        <v>548</v>
      </c>
      <c r="Z3541">
        <v>319.51605309906859</v>
      </c>
      <c r="AA3541">
        <v>198</v>
      </c>
      <c r="AB3541">
        <v>332</v>
      </c>
      <c r="AC3541">
        <v>536</v>
      </c>
      <c r="AD3541">
        <v>28.54</v>
      </c>
      <c r="AE3541">
        <v>542</v>
      </c>
      <c r="AF3541">
        <v>20</v>
      </c>
      <c r="AG3541">
        <v>181</v>
      </c>
      <c r="AH3541">
        <v>129</v>
      </c>
      <c r="AI3541">
        <v>3.69</v>
      </c>
      <c r="AJ3541">
        <v>33.39</v>
      </c>
      <c r="AK3541">
        <v>23.8</v>
      </c>
      <c r="AL3541">
        <v>-20.153043049999951</v>
      </c>
      <c r="AM3541">
        <v>-44.905348275899513</v>
      </c>
      <c r="AN3541">
        <v>-20.153043049999951</v>
      </c>
      <c r="AO3541">
        <v>-44.905348275899513</v>
      </c>
      <c r="AP3541">
        <v>-20.153086999999999</v>
      </c>
      <c r="AQ3541">
        <v>-44.905451999999997</v>
      </c>
      <c r="AR3541">
        <v>11.892619975648341</v>
      </c>
      <c r="AS3541" t="s">
        <v>65</v>
      </c>
      <c r="AT3541">
        <v>1</v>
      </c>
      <c r="AU3541" t="s">
        <v>554</v>
      </c>
      <c r="AV3541" t="s">
        <v>555</v>
      </c>
      <c r="AW3541" t="s">
        <v>60</v>
      </c>
      <c r="AX3541" t="s">
        <v>68</v>
      </c>
      <c r="AY3541" t="s">
        <v>69</v>
      </c>
      <c r="AZ3541" t="b">
        <v>1</v>
      </c>
    </row>
    <row r="3542" spans="1:52" x14ac:dyDescent="0.3">
      <c r="A3542" t="s">
        <v>52</v>
      </c>
      <c r="B3542" t="s">
        <v>53</v>
      </c>
      <c r="C3542" t="s">
        <v>54</v>
      </c>
      <c r="D3542" t="s">
        <v>55</v>
      </c>
      <c r="E3542" t="s">
        <v>2200</v>
      </c>
      <c r="F3542" t="s">
        <v>1247</v>
      </c>
      <c r="G3542" t="s">
        <v>556</v>
      </c>
      <c r="H3542" t="s">
        <v>557</v>
      </c>
      <c r="I3542" t="s">
        <v>557</v>
      </c>
      <c r="J3542" t="s">
        <v>60</v>
      </c>
      <c r="K3542" t="s">
        <v>388</v>
      </c>
      <c r="L3542" t="s">
        <v>62</v>
      </c>
      <c r="M3542" t="s">
        <v>388</v>
      </c>
      <c r="N3542" t="s">
        <v>558</v>
      </c>
      <c r="O3542" t="s">
        <v>559</v>
      </c>
      <c r="P3542">
        <v>-20.152670000000001</v>
      </c>
      <c r="Q3542">
        <v>-44.902557999999999</v>
      </c>
      <c r="R3542" s="2" t="str">
        <f>HYPERLINK("https://www.google.com/maps?q=-20.1526700,-44.9025580","Abrir no Google Maps")</f>
        <v>Abrir no Google Maps</v>
      </c>
      <c r="S3542">
        <v>3</v>
      </c>
      <c r="T3542">
        <v>228.56195217678911</v>
      </c>
      <c r="U3542">
        <v>4</v>
      </c>
      <c r="V3542">
        <v>0.49438339438339429</v>
      </c>
      <c r="W3542">
        <v>1</v>
      </c>
      <c r="X3542">
        <v>0.49438339438339429</v>
      </c>
      <c r="Y3542">
        <v>548</v>
      </c>
      <c r="Z3542">
        <v>250.63133895224919</v>
      </c>
      <c r="AA3542">
        <v>198</v>
      </c>
      <c r="AB3542">
        <v>332</v>
      </c>
      <c r="AC3542">
        <v>536</v>
      </c>
      <c r="AD3542">
        <v>28.54</v>
      </c>
      <c r="AE3542">
        <v>542</v>
      </c>
      <c r="AF3542">
        <v>20</v>
      </c>
      <c r="AG3542">
        <v>181</v>
      </c>
      <c r="AH3542">
        <v>129</v>
      </c>
      <c r="AI3542">
        <v>3.69</v>
      </c>
      <c r="AJ3542">
        <v>33.39</v>
      </c>
      <c r="AK3542">
        <v>23.8</v>
      </c>
      <c r="AL3542">
        <v>-20.152629799999939</v>
      </c>
      <c r="AM3542">
        <v>-44.902604744705201</v>
      </c>
      <c r="AN3542">
        <v>-20.152629799999939</v>
      </c>
      <c r="AO3542">
        <v>-44.902604744705201</v>
      </c>
      <c r="AP3542">
        <v>-20.152670000000001</v>
      </c>
      <c r="AQ3542">
        <v>-44.902557999999999</v>
      </c>
      <c r="AR3542">
        <v>6.6249428037111509</v>
      </c>
      <c r="AS3542" t="s">
        <v>65</v>
      </c>
      <c r="AT3542">
        <v>1</v>
      </c>
      <c r="AU3542" t="s">
        <v>560</v>
      </c>
      <c r="AV3542" t="s">
        <v>561</v>
      </c>
      <c r="AW3542" t="s">
        <v>60</v>
      </c>
      <c r="AX3542" t="s">
        <v>68</v>
      </c>
      <c r="AY3542" t="s">
        <v>69</v>
      </c>
      <c r="AZ3542" t="b">
        <v>1</v>
      </c>
    </row>
    <row r="3543" spans="1:52" x14ac:dyDescent="0.3">
      <c r="A3543" t="s">
        <v>52</v>
      </c>
      <c r="B3543" t="s">
        <v>53</v>
      </c>
      <c r="C3543" t="s">
        <v>54</v>
      </c>
      <c r="D3543" t="s">
        <v>55</v>
      </c>
      <c r="E3543" t="s">
        <v>2200</v>
      </c>
      <c r="F3543" t="s">
        <v>1247</v>
      </c>
      <c r="G3543" t="s">
        <v>562</v>
      </c>
      <c r="H3543" t="s">
        <v>563</v>
      </c>
      <c r="I3543" t="s">
        <v>563</v>
      </c>
      <c r="J3543" t="s">
        <v>60</v>
      </c>
      <c r="K3543" t="s">
        <v>388</v>
      </c>
      <c r="L3543" t="s">
        <v>62</v>
      </c>
      <c r="M3543" t="s">
        <v>388</v>
      </c>
      <c r="N3543" t="s">
        <v>564</v>
      </c>
      <c r="O3543" t="s">
        <v>565</v>
      </c>
      <c r="P3543">
        <v>-20.154432</v>
      </c>
      <c r="Q3543">
        <v>-44.902977999999997</v>
      </c>
      <c r="R3543" s="2" t="str">
        <f>HYPERLINK("https://www.google.com/maps?q=-20.1544320,-44.9029780","Abrir no Google Maps")</f>
        <v>Abrir no Google Maps</v>
      </c>
      <c r="S3543">
        <v>3</v>
      </c>
      <c r="T3543">
        <v>0</v>
      </c>
      <c r="U3543">
        <v>4</v>
      </c>
      <c r="V3543">
        <v>0.52499469729107329</v>
      </c>
      <c r="W3543">
        <v>1</v>
      </c>
      <c r="X3543">
        <v>0.52499469729107329</v>
      </c>
      <c r="Y3543">
        <v>548</v>
      </c>
      <c r="Z3543">
        <v>29.424211042533759</v>
      </c>
      <c r="AA3543">
        <v>198</v>
      </c>
      <c r="AB3543">
        <v>332</v>
      </c>
      <c r="AC3543">
        <v>536</v>
      </c>
      <c r="AD3543">
        <v>28.54</v>
      </c>
      <c r="AE3543">
        <v>542</v>
      </c>
      <c r="AF3543">
        <v>20</v>
      </c>
      <c r="AG3543">
        <v>181</v>
      </c>
      <c r="AH3543">
        <v>129</v>
      </c>
      <c r="AI3543">
        <v>3.69</v>
      </c>
      <c r="AJ3543">
        <v>33.39</v>
      </c>
      <c r="AK3543">
        <v>23.8</v>
      </c>
      <c r="AL3543">
        <v>-20.15467689999997</v>
      </c>
      <c r="AM3543">
        <v>-44.902895281771222</v>
      </c>
      <c r="AN3543">
        <v>-20.15467689999997</v>
      </c>
      <c r="AO3543">
        <v>-44.902895281771222</v>
      </c>
      <c r="AP3543">
        <v>-20.154432</v>
      </c>
      <c r="AQ3543">
        <v>-44.902977999999997</v>
      </c>
      <c r="AR3543">
        <v>28.5999270636025</v>
      </c>
      <c r="AS3543" t="s">
        <v>65</v>
      </c>
      <c r="AT3543">
        <v>1</v>
      </c>
      <c r="AU3543" t="s">
        <v>566</v>
      </c>
      <c r="AV3543" t="s">
        <v>567</v>
      </c>
      <c r="AW3543" t="s">
        <v>60</v>
      </c>
      <c r="AX3543" t="s">
        <v>68</v>
      </c>
      <c r="AY3543" t="s">
        <v>69</v>
      </c>
      <c r="AZ3543" t="b">
        <v>1</v>
      </c>
    </row>
    <row r="3544" spans="1:52" x14ac:dyDescent="0.3">
      <c r="A3544" t="s">
        <v>52</v>
      </c>
      <c r="B3544" t="s">
        <v>53</v>
      </c>
      <c r="C3544" t="s">
        <v>54</v>
      </c>
      <c r="D3544" t="s">
        <v>55</v>
      </c>
      <c r="E3544" t="s">
        <v>2200</v>
      </c>
      <c r="F3544" t="s">
        <v>1247</v>
      </c>
      <c r="G3544" t="s">
        <v>568</v>
      </c>
      <c r="H3544" t="s">
        <v>569</v>
      </c>
      <c r="I3544" t="s">
        <v>569</v>
      </c>
      <c r="J3544" t="s">
        <v>60</v>
      </c>
      <c r="K3544" t="s">
        <v>61</v>
      </c>
      <c r="L3544" t="s">
        <v>62</v>
      </c>
      <c r="M3544" t="s">
        <v>61</v>
      </c>
      <c r="N3544" t="s">
        <v>570</v>
      </c>
      <c r="O3544" t="s">
        <v>548</v>
      </c>
      <c r="P3544">
        <v>-20.151508</v>
      </c>
      <c r="Q3544">
        <v>-44.907826</v>
      </c>
      <c r="R3544" s="2" t="str">
        <f>HYPERLINK("https://www.google.com/maps?q=-20.1515080,-44.9078260","Abrir no Google Maps")</f>
        <v>Abrir no Google Maps</v>
      </c>
      <c r="S3544">
        <v>3</v>
      </c>
      <c r="T3544">
        <v>567.15905416240514</v>
      </c>
      <c r="U3544">
        <v>4</v>
      </c>
      <c r="V3544">
        <v>0.69360269360269355</v>
      </c>
      <c r="W3544">
        <v>0.85</v>
      </c>
      <c r="X3544">
        <v>0.58956228956228951</v>
      </c>
      <c r="Y3544">
        <v>548</v>
      </c>
      <c r="Z3544">
        <v>560.49158010771464</v>
      </c>
      <c r="AA3544">
        <v>198</v>
      </c>
      <c r="AB3544">
        <v>332</v>
      </c>
      <c r="AC3544">
        <v>536</v>
      </c>
      <c r="AD3544">
        <v>28.54</v>
      </c>
      <c r="AE3544">
        <v>542</v>
      </c>
      <c r="AF3544">
        <v>20</v>
      </c>
      <c r="AG3544">
        <v>181</v>
      </c>
      <c r="AH3544">
        <v>129</v>
      </c>
      <c r="AI3544">
        <v>3.69</v>
      </c>
      <c r="AJ3544">
        <v>33.39</v>
      </c>
      <c r="AK3544">
        <v>23.8</v>
      </c>
      <c r="AL3544">
        <v>-20.15211779999996</v>
      </c>
      <c r="AM3544">
        <v>-44.907597469593128</v>
      </c>
      <c r="AN3544">
        <v>-20.15211779999996</v>
      </c>
      <c r="AO3544">
        <v>-44.907597469593128</v>
      </c>
      <c r="AP3544">
        <v>-20.151508</v>
      </c>
      <c r="AQ3544">
        <v>-44.907826</v>
      </c>
      <c r="AR3544">
        <v>71.961597929314735</v>
      </c>
      <c r="AS3544" t="s">
        <v>65</v>
      </c>
      <c r="AT3544">
        <v>1</v>
      </c>
      <c r="AU3544" t="s">
        <v>571</v>
      </c>
      <c r="AV3544" t="s">
        <v>572</v>
      </c>
      <c r="AW3544" t="s">
        <v>60</v>
      </c>
      <c r="AX3544" t="s">
        <v>68</v>
      </c>
      <c r="AY3544" t="s">
        <v>69</v>
      </c>
      <c r="AZ3544" t="b">
        <v>1</v>
      </c>
    </row>
    <row r="3545" spans="1:52" x14ac:dyDescent="0.3">
      <c r="A3545" t="s">
        <v>52</v>
      </c>
      <c r="B3545" t="s">
        <v>53</v>
      </c>
      <c r="C3545" t="s">
        <v>54</v>
      </c>
      <c r="D3545" t="s">
        <v>55</v>
      </c>
      <c r="E3545" t="s">
        <v>2200</v>
      </c>
      <c r="F3545" t="s">
        <v>1247</v>
      </c>
      <c r="G3545" t="s">
        <v>833</v>
      </c>
      <c r="H3545" t="s">
        <v>834</v>
      </c>
      <c r="I3545" t="s">
        <v>834</v>
      </c>
      <c r="J3545" t="s">
        <v>60</v>
      </c>
      <c r="K3545" t="s">
        <v>388</v>
      </c>
      <c r="L3545" t="s">
        <v>62</v>
      </c>
      <c r="M3545" t="s">
        <v>388</v>
      </c>
      <c r="N3545" t="s">
        <v>835</v>
      </c>
      <c r="O3545" t="s">
        <v>836</v>
      </c>
      <c r="P3545">
        <v>-20.157906000000001</v>
      </c>
      <c r="Q3545">
        <v>-44.900458999999998</v>
      </c>
      <c r="R3545" s="2" t="str">
        <f>HYPERLINK("https://www.google.com/maps?q=-20.1579060,-44.9004590","Abrir no Google Maps")</f>
        <v>Abrir no Google Maps</v>
      </c>
      <c r="S3545">
        <v>3</v>
      </c>
      <c r="T3545">
        <v>0</v>
      </c>
      <c r="U3545">
        <v>3</v>
      </c>
      <c r="V3545">
        <v>0.45042865963712359</v>
      </c>
      <c r="W3545">
        <v>1</v>
      </c>
      <c r="X3545">
        <v>0.45042865963712359</v>
      </c>
      <c r="Y3545">
        <v>729</v>
      </c>
      <c r="Z3545">
        <v>203.63168486652771</v>
      </c>
      <c r="AA3545">
        <v>198</v>
      </c>
      <c r="AB3545">
        <v>332</v>
      </c>
      <c r="AC3545">
        <v>536</v>
      </c>
      <c r="AD3545">
        <v>28.54</v>
      </c>
      <c r="AE3545">
        <v>542</v>
      </c>
      <c r="AF3545">
        <v>20</v>
      </c>
      <c r="AG3545">
        <v>181</v>
      </c>
      <c r="AH3545">
        <v>129</v>
      </c>
      <c r="AI3545">
        <v>3.69</v>
      </c>
      <c r="AJ3545">
        <v>33.39</v>
      </c>
      <c r="AK3545">
        <v>23.8</v>
      </c>
      <c r="AL3545">
        <v>-20.157925749999951</v>
      </c>
      <c r="AM3545">
        <v>-44.900484707799812</v>
      </c>
      <c r="AN3545">
        <v>-20.157925749999951</v>
      </c>
      <c r="AO3545">
        <v>-44.900484707799812</v>
      </c>
      <c r="AP3545">
        <v>-20.157906000000001</v>
      </c>
      <c r="AQ3545">
        <v>-44.900458999999998</v>
      </c>
      <c r="AR3545">
        <v>3.4714515960382508</v>
      </c>
      <c r="AS3545" t="s">
        <v>65</v>
      </c>
      <c r="AT3545">
        <v>1</v>
      </c>
      <c r="AU3545" t="s">
        <v>837</v>
      </c>
      <c r="AV3545" t="s">
        <v>838</v>
      </c>
      <c r="AW3545" t="s">
        <v>60</v>
      </c>
      <c r="AX3545" t="s">
        <v>68</v>
      </c>
      <c r="AY3545" t="s">
        <v>69</v>
      </c>
      <c r="AZ3545" t="b">
        <v>1</v>
      </c>
    </row>
    <row r="3546" spans="1:52" x14ac:dyDescent="0.3">
      <c r="A3546" t="s">
        <v>52</v>
      </c>
      <c r="B3546" t="s">
        <v>53</v>
      </c>
      <c r="C3546" t="s">
        <v>54</v>
      </c>
      <c r="D3546" t="s">
        <v>55</v>
      </c>
      <c r="E3546" t="s">
        <v>2200</v>
      </c>
      <c r="F3546" t="s">
        <v>1247</v>
      </c>
      <c r="G3546" t="s">
        <v>386</v>
      </c>
      <c r="H3546" t="s">
        <v>387</v>
      </c>
      <c r="I3546" t="s">
        <v>387</v>
      </c>
      <c r="J3546" t="s">
        <v>60</v>
      </c>
      <c r="K3546" t="s">
        <v>388</v>
      </c>
      <c r="L3546" t="s">
        <v>62</v>
      </c>
      <c r="M3546" t="s">
        <v>388</v>
      </c>
      <c r="N3546" t="s">
        <v>389</v>
      </c>
      <c r="O3546" t="s">
        <v>357</v>
      </c>
      <c r="P3546">
        <v>-20.161041999999998</v>
      </c>
      <c r="Q3546">
        <v>-44.901242000000003</v>
      </c>
      <c r="R3546" s="2" t="str">
        <f>HYPERLINK("https://www.google.com/maps?q=-20.1610420,-44.9012420","Abrir no Google Maps")</f>
        <v>Abrir no Google Maps</v>
      </c>
      <c r="S3546">
        <v>3</v>
      </c>
      <c r="T3546">
        <v>440.22183232279212</v>
      </c>
      <c r="U3546">
        <v>3</v>
      </c>
      <c r="V3546">
        <v>0.4698334698334698</v>
      </c>
      <c r="W3546">
        <v>1</v>
      </c>
      <c r="X3546">
        <v>0.4698334698334698</v>
      </c>
      <c r="Y3546">
        <v>729</v>
      </c>
      <c r="Z3546">
        <v>398.48306829302379</v>
      </c>
      <c r="AA3546">
        <v>198</v>
      </c>
      <c r="AB3546">
        <v>332</v>
      </c>
      <c r="AC3546">
        <v>536</v>
      </c>
      <c r="AD3546">
        <v>28.54</v>
      </c>
      <c r="AE3546">
        <v>542</v>
      </c>
      <c r="AF3546">
        <v>20</v>
      </c>
      <c r="AG3546">
        <v>181</v>
      </c>
      <c r="AH3546">
        <v>129</v>
      </c>
      <c r="AI3546">
        <v>3.69</v>
      </c>
      <c r="AJ3546">
        <v>33.39</v>
      </c>
      <c r="AK3546">
        <v>23.8</v>
      </c>
      <c r="AL3546">
        <v>-20.16176629999995</v>
      </c>
      <c r="AM3546">
        <v>-44.901582787827898</v>
      </c>
      <c r="AN3546">
        <v>-20.16176629999995</v>
      </c>
      <c r="AO3546">
        <v>-44.901582787827898</v>
      </c>
      <c r="AP3546">
        <v>-20.161041999999998</v>
      </c>
      <c r="AQ3546">
        <v>-44.901242000000003</v>
      </c>
      <c r="AR3546">
        <v>88.143369157892835</v>
      </c>
      <c r="AS3546" t="s">
        <v>65</v>
      </c>
      <c r="AT3546">
        <v>1</v>
      </c>
      <c r="AU3546" t="s">
        <v>390</v>
      </c>
      <c r="AV3546" t="s">
        <v>391</v>
      </c>
      <c r="AW3546" t="s">
        <v>60</v>
      </c>
      <c r="AX3546" t="s">
        <v>68</v>
      </c>
      <c r="AY3546" t="s">
        <v>69</v>
      </c>
      <c r="AZ3546" t="b">
        <v>1</v>
      </c>
    </row>
    <row r="3547" spans="1:52" x14ac:dyDescent="0.3">
      <c r="A3547" t="s">
        <v>52</v>
      </c>
      <c r="B3547" t="s">
        <v>53</v>
      </c>
      <c r="C3547" t="s">
        <v>54</v>
      </c>
      <c r="D3547" t="s">
        <v>55</v>
      </c>
      <c r="E3547" t="s">
        <v>2200</v>
      </c>
      <c r="F3547" t="s">
        <v>1247</v>
      </c>
      <c r="G3547" t="s">
        <v>392</v>
      </c>
      <c r="H3547" t="s">
        <v>393</v>
      </c>
      <c r="I3547" t="s">
        <v>393</v>
      </c>
      <c r="J3547" t="s">
        <v>60</v>
      </c>
      <c r="K3547" t="s">
        <v>388</v>
      </c>
      <c r="L3547" t="s">
        <v>62</v>
      </c>
      <c r="M3547" t="s">
        <v>388</v>
      </c>
      <c r="N3547" t="s">
        <v>394</v>
      </c>
      <c r="O3547" t="s">
        <v>395</v>
      </c>
      <c r="P3547">
        <v>-20.158066999999999</v>
      </c>
      <c r="Q3547">
        <v>-44.908164999999997</v>
      </c>
      <c r="R3547" s="2" t="str">
        <f>HYPERLINK("https://www.google.com/maps?q=-20.1580670,-44.9081650","Abrir no Google Maps")</f>
        <v>Abrir no Google Maps</v>
      </c>
      <c r="S3547">
        <v>3</v>
      </c>
      <c r="T3547">
        <v>666.74434317993041</v>
      </c>
      <c r="U3547">
        <v>3</v>
      </c>
      <c r="V3547">
        <v>0.47011458124465971</v>
      </c>
      <c r="W3547">
        <v>1</v>
      </c>
      <c r="X3547">
        <v>0.47011458124465971</v>
      </c>
      <c r="Y3547">
        <v>729</v>
      </c>
      <c r="Z3547">
        <v>612.4323328215396</v>
      </c>
      <c r="AA3547">
        <v>198</v>
      </c>
      <c r="AB3547">
        <v>332</v>
      </c>
      <c r="AC3547">
        <v>536</v>
      </c>
      <c r="AD3547">
        <v>28.54</v>
      </c>
      <c r="AE3547">
        <v>542</v>
      </c>
      <c r="AF3547">
        <v>20</v>
      </c>
      <c r="AG3547">
        <v>181</v>
      </c>
      <c r="AH3547">
        <v>129</v>
      </c>
      <c r="AI3547">
        <v>3.69</v>
      </c>
      <c r="AJ3547">
        <v>33.39</v>
      </c>
      <c r="AK3547">
        <v>23.8</v>
      </c>
      <c r="AL3547">
        <v>-20.158151449999959</v>
      </c>
      <c r="AM3547">
        <v>-44.908107718360938</v>
      </c>
      <c r="AN3547">
        <v>-20.158151449999959</v>
      </c>
      <c r="AO3547">
        <v>-44.908107718360938</v>
      </c>
      <c r="AP3547">
        <v>-20.158066999999999</v>
      </c>
      <c r="AQ3547">
        <v>-44.908164999999997</v>
      </c>
      <c r="AR3547">
        <v>11.14497345894574</v>
      </c>
      <c r="AS3547" t="s">
        <v>65</v>
      </c>
      <c r="AT3547">
        <v>1</v>
      </c>
      <c r="AU3547" t="s">
        <v>396</v>
      </c>
      <c r="AV3547" t="s">
        <v>397</v>
      </c>
      <c r="AW3547" t="s">
        <v>60</v>
      </c>
      <c r="AX3547" t="s">
        <v>68</v>
      </c>
      <c r="AY3547" t="s">
        <v>69</v>
      </c>
      <c r="AZ3547" t="b">
        <v>1</v>
      </c>
    </row>
    <row r="3548" spans="1:52" x14ac:dyDescent="0.3">
      <c r="A3548" t="s">
        <v>52</v>
      </c>
      <c r="B3548" t="s">
        <v>53</v>
      </c>
      <c r="C3548" t="s">
        <v>54</v>
      </c>
      <c r="D3548" t="s">
        <v>55</v>
      </c>
      <c r="E3548" t="s">
        <v>2200</v>
      </c>
      <c r="F3548" t="s">
        <v>1247</v>
      </c>
      <c r="G3548" t="s">
        <v>845</v>
      </c>
      <c r="H3548" t="s">
        <v>846</v>
      </c>
      <c r="I3548" t="s">
        <v>846</v>
      </c>
      <c r="J3548" t="s">
        <v>60</v>
      </c>
      <c r="K3548" t="s">
        <v>424</v>
      </c>
      <c r="L3548" t="s">
        <v>62</v>
      </c>
      <c r="M3548" t="s">
        <v>424</v>
      </c>
      <c r="N3548" t="s">
        <v>847</v>
      </c>
      <c r="O3548" t="s">
        <v>848</v>
      </c>
      <c r="P3548">
        <v>-20.175523999999999</v>
      </c>
      <c r="Q3548">
        <v>-44.918016999999999</v>
      </c>
      <c r="R3548" s="2" t="str">
        <f>HYPERLINK("https://www.google.com/maps?q=-20.1755240,-44.9180170","Abrir no Google Maps")</f>
        <v>Abrir no Google Maps</v>
      </c>
      <c r="S3548">
        <v>3</v>
      </c>
      <c r="T3548">
        <v>833.59191671824021</v>
      </c>
      <c r="U3548">
        <v>3</v>
      </c>
      <c r="V3548">
        <v>0.53525249679095832</v>
      </c>
      <c r="W3548">
        <v>0.85</v>
      </c>
      <c r="X3548">
        <v>0.45496462227231449</v>
      </c>
      <c r="Y3548">
        <v>723</v>
      </c>
      <c r="Z3548">
        <v>701.05790658871581</v>
      </c>
      <c r="AA3548">
        <v>198</v>
      </c>
      <c r="AB3548">
        <v>332</v>
      </c>
      <c r="AC3548">
        <v>536</v>
      </c>
      <c r="AD3548">
        <v>28.54</v>
      </c>
      <c r="AE3548">
        <v>542</v>
      </c>
      <c r="AF3548">
        <v>20</v>
      </c>
      <c r="AG3548">
        <v>181</v>
      </c>
      <c r="AH3548">
        <v>129</v>
      </c>
      <c r="AI3548">
        <v>3.69</v>
      </c>
      <c r="AJ3548">
        <v>33.39</v>
      </c>
      <c r="AK3548">
        <v>23.8</v>
      </c>
      <c r="AL3548">
        <v>-20.17533859999995</v>
      </c>
      <c r="AM3548">
        <v>-44.917689627873088</v>
      </c>
      <c r="AN3548">
        <v>-20.17533859999995</v>
      </c>
      <c r="AO3548">
        <v>-44.917689627873088</v>
      </c>
      <c r="AP3548">
        <v>-20.175523999999999</v>
      </c>
      <c r="AQ3548">
        <v>-44.918016999999999</v>
      </c>
      <c r="AR3548">
        <v>39.950898228213873</v>
      </c>
      <c r="AS3548" t="s">
        <v>65</v>
      </c>
      <c r="AT3548">
        <v>1</v>
      </c>
      <c r="AU3548" t="s">
        <v>849</v>
      </c>
      <c r="AV3548" t="s">
        <v>850</v>
      </c>
      <c r="AW3548" t="s">
        <v>60</v>
      </c>
      <c r="AX3548" t="s">
        <v>68</v>
      </c>
      <c r="AY3548" t="s">
        <v>69</v>
      </c>
      <c r="AZ3548" t="b">
        <v>1</v>
      </c>
    </row>
    <row r="3549" spans="1:52" x14ac:dyDescent="0.3">
      <c r="A3549" t="s">
        <v>52</v>
      </c>
      <c r="B3549" t="s">
        <v>53</v>
      </c>
      <c r="C3549" t="s">
        <v>54</v>
      </c>
      <c r="D3549" t="s">
        <v>55</v>
      </c>
      <c r="E3549" t="s">
        <v>2200</v>
      </c>
      <c r="F3549" t="s">
        <v>1247</v>
      </c>
      <c r="G3549" t="s">
        <v>1347</v>
      </c>
      <c r="H3549" t="s">
        <v>1348</v>
      </c>
      <c r="I3549" t="s">
        <v>1348</v>
      </c>
      <c r="J3549" t="s">
        <v>60</v>
      </c>
      <c r="K3549" t="s">
        <v>1349</v>
      </c>
      <c r="L3549" t="s">
        <v>62</v>
      </c>
      <c r="M3549" t="s">
        <v>1349</v>
      </c>
      <c r="N3549" t="s">
        <v>1350</v>
      </c>
      <c r="O3549" t="s">
        <v>1351</v>
      </c>
      <c r="P3549">
        <v>-20.140426999999999</v>
      </c>
      <c r="Q3549">
        <v>-44.905327999999997</v>
      </c>
      <c r="R3549" s="2" t="str">
        <f>HYPERLINK("https://www.google.com/maps?q=-20.1404270,-44.9053280","Abrir no Google Maps")</f>
        <v>Abrir no Google Maps</v>
      </c>
      <c r="S3549">
        <v>3</v>
      </c>
      <c r="T3549">
        <v>359.5810968231857</v>
      </c>
      <c r="U3549">
        <v>3</v>
      </c>
      <c r="V3549">
        <v>0.51861749809510993</v>
      </c>
      <c r="W3549">
        <v>0.85</v>
      </c>
      <c r="X3549">
        <v>0.44082487338084342</v>
      </c>
      <c r="Y3549">
        <v>581</v>
      </c>
      <c r="Z3549">
        <v>292.370097058873</v>
      </c>
      <c r="AA3549">
        <v>198</v>
      </c>
      <c r="AB3549">
        <v>332</v>
      </c>
      <c r="AC3549">
        <v>536</v>
      </c>
      <c r="AD3549">
        <v>28.54</v>
      </c>
      <c r="AE3549">
        <v>542</v>
      </c>
      <c r="AF3549">
        <v>20</v>
      </c>
      <c r="AG3549">
        <v>181</v>
      </c>
      <c r="AH3549">
        <v>129</v>
      </c>
      <c r="AI3549">
        <v>3.69</v>
      </c>
      <c r="AJ3549">
        <v>33.39</v>
      </c>
      <c r="AK3549">
        <v>23.8</v>
      </c>
      <c r="AL3549">
        <v>-20.140465449999969</v>
      </c>
      <c r="AM3549">
        <v>-44.905317129037229</v>
      </c>
      <c r="AN3549">
        <v>-20.140465449999969</v>
      </c>
      <c r="AO3549">
        <v>-44.905317129037229</v>
      </c>
      <c r="AP3549">
        <v>-20.140426999999999</v>
      </c>
      <c r="AQ3549">
        <v>-44.905327999999997</v>
      </c>
      <c r="AR3549">
        <v>4.4284788644958706</v>
      </c>
      <c r="AS3549" t="s">
        <v>65</v>
      </c>
      <c r="AT3549">
        <v>1</v>
      </c>
      <c r="AU3549" t="s">
        <v>1352</v>
      </c>
      <c r="AV3549" t="s">
        <v>1353</v>
      </c>
      <c r="AW3549" t="s">
        <v>60</v>
      </c>
      <c r="AX3549" t="s">
        <v>68</v>
      </c>
      <c r="AY3549" t="s">
        <v>69</v>
      </c>
      <c r="AZ3549" t="b">
        <v>1</v>
      </c>
    </row>
    <row r="3550" spans="1:52" x14ac:dyDescent="0.3">
      <c r="A3550" t="s">
        <v>52</v>
      </c>
      <c r="B3550" t="s">
        <v>53</v>
      </c>
      <c r="C3550" t="s">
        <v>54</v>
      </c>
      <c r="D3550" t="s">
        <v>55</v>
      </c>
      <c r="E3550" t="s">
        <v>2200</v>
      </c>
      <c r="F3550" t="s">
        <v>1247</v>
      </c>
      <c r="G3550" t="s">
        <v>858</v>
      </c>
      <c r="H3550" t="s">
        <v>859</v>
      </c>
      <c r="I3550" t="s">
        <v>859</v>
      </c>
      <c r="J3550" t="s">
        <v>60</v>
      </c>
      <c r="K3550" t="s">
        <v>462</v>
      </c>
      <c r="L3550" t="s">
        <v>62</v>
      </c>
      <c r="M3550" t="s">
        <v>462</v>
      </c>
      <c r="N3550" t="s">
        <v>860</v>
      </c>
      <c r="O3550" t="s">
        <v>861</v>
      </c>
      <c r="P3550">
        <v>-20.139693999999999</v>
      </c>
      <c r="Q3550">
        <v>-44.911256000000002</v>
      </c>
      <c r="R3550" s="2" t="str">
        <f>HYPERLINK("https://www.google.com/maps?q=-20.1396940,-44.9112560","Abrir no Google Maps")</f>
        <v>Abrir no Google Maps</v>
      </c>
      <c r="S3550">
        <v>3</v>
      </c>
      <c r="T3550">
        <v>380.48036838042862</v>
      </c>
      <c r="U3550">
        <v>3</v>
      </c>
      <c r="V3550">
        <v>0.54736620311841555</v>
      </c>
      <c r="W3550">
        <v>0.85</v>
      </c>
      <c r="X3550">
        <v>0.4652612726506532</v>
      </c>
      <c r="Y3550">
        <v>581</v>
      </c>
      <c r="Z3550">
        <v>374.61146000000178</v>
      </c>
      <c r="AA3550">
        <v>198</v>
      </c>
      <c r="AB3550">
        <v>332</v>
      </c>
      <c r="AC3550">
        <v>536</v>
      </c>
      <c r="AD3550">
        <v>28.54</v>
      </c>
      <c r="AE3550">
        <v>542</v>
      </c>
      <c r="AF3550">
        <v>20</v>
      </c>
      <c r="AG3550">
        <v>181</v>
      </c>
      <c r="AH3550">
        <v>129</v>
      </c>
      <c r="AI3550">
        <v>3.69</v>
      </c>
      <c r="AJ3550">
        <v>33.39</v>
      </c>
      <c r="AK3550">
        <v>23.8</v>
      </c>
      <c r="AL3550">
        <v>-20.139768699999959</v>
      </c>
      <c r="AM3550">
        <v>-44.911265351587588</v>
      </c>
      <c r="AN3550">
        <v>-20.139768699999959</v>
      </c>
      <c r="AO3550">
        <v>-44.911265351587588</v>
      </c>
      <c r="AP3550">
        <v>-20.139693999999999</v>
      </c>
      <c r="AQ3550">
        <v>-44.911256000000002</v>
      </c>
      <c r="AR3550">
        <v>8.3728438666521061</v>
      </c>
      <c r="AS3550" t="s">
        <v>65</v>
      </c>
      <c r="AT3550">
        <v>1</v>
      </c>
      <c r="AU3550" t="s">
        <v>862</v>
      </c>
      <c r="AV3550" t="s">
        <v>863</v>
      </c>
      <c r="AW3550" t="s">
        <v>60</v>
      </c>
      <c r="AX3550" t="s">
        <v>68</v>
      </c>
      <c r="AY3550" t="s">
        <v>69</v>
      </c>
      <c r="AZ3550" t="b">
        <v>1</v>
      </c>
    </row>
    <row r="3551" spans="1:52" x14ac:dyDescent="0.3">
      <c r="A3551" t="s">
        <v>52</v>
      </c>
      <c r="B3551" t="s">
        <v>53</v>
      </c>
      <c r="C3551" t="s">
        <v>54</v>
      </c>
      <c r="D3551" t="s">
        <v>55</v>
      </c>
      <c r="E3551" t="s">
        <v>2200</v>
      </c>
      <c r="F3551" t="s">
        <v>1247</v>
      </c>
      <c r="G3551" t="s">
        <v>864</v>
      </c>
      <c r="H3551" t="s">
        <v>865</v>
      </c>
      <c r="I3551" t="s">
        <v>865</v>
      </c>
      <c r="J3551" t="s">
        <v>60</v>
      </c>
      <c r="K3551" t="s">
        <v>486</v>
      </c>
      <c r="L3551" t="s">
        <v>62</v>
      </c>
      <c r="M3551" t="s">
        <v>486</v>
      </c>
      <c r="N3551" t="s">
        <v>866</v>
      </c>
      <c r="O3551" t="s">
        <v>867</v>
      </c>
      <c r="P3551">
        <v>-20.170919000000001</v>
      </c>
      <c r="Q3551">
        <v>-44.905451999999997</v>
      </c>
      <c r="R3551" s="2" t="str">
        <f>HYPERLINK("https://www.google.com/maps?q=-20.1709190,-44.9054520","Abrir no Google Maps")</f>
        <v>Abrir no Google Maps</v>
      </c>
      <c r="S3551">
        <v>3</v>
      </c>
      <c r="T3551">
        <v>0</v>
      </c>
      <c r="U3551">
        <v>3</v>
      </c>
      <c r="V3551">
        <v>0.4626966330023099</v>
      </c>
      <c r="W3551">
        <v>1</v>
      </c>
      <c r="X3551">
        <v>0.4626966330023099</v>
      </c>
      <c r="Y3551">
        <v>578</v>
      </c>
      <c r="Z3551">
        <v>205.34598855748419</v>
      </c>
      <c r="AA3551">
        <v>198</v>
      </c>
      <c r="AB3551">
        <v>332</v>
      </c>
      <c r="AC3551">
        <v>536</v>
      </c>
      <c r="AD3551">
        <v>28.54</v>
      </c>
      <c r="AE3551">
        <v>542</v>
      </c>
      <c r="AF3551">
        <v>20</v>
      </c>
      <c r="AG3551">
        <v>181</v>
      </c>
      <c r="AH3551">
        <v>129</v>
      </c>
      <c r="AI3551">
        <v>3.69</v>
      </c>
      <c r="AJ3551">
        <v>33.39</v>
      </c>
      <c r="AK3551">
        <v>23.8</v>
      </c>
      <c r="AL3551">
        <v>-20.170854399999939</v>
      </c>
      <c r="AM3551">
        <v>-44.905524839633358</v>
      </c>
      <c r="AN3551">
        <v>-20.170854399999939</v>
      </c>
      <c r="AO3551">
        <v>-44.905524839633358</v>
      </c>
      <c r="AP3551">
        <v>-20.170919000000001</v>
      </c>
      <c r="AQ3551">
        <v>-44.905451999999997</v>
      </c>
      <c r="AR3551">
        <v>10.471140355179269</v>
      </c>
      <c r="AS3551" t="s">
        <v>65</v>
      </c>
      <c r="AT3551">
        <v>1</v>
      </c>
      <c r="AU3551" t="s">
        <v>868</v>
      </c>
      <c r="AV3551" t="s">
        <v>869</v>
      </c>
      <c r="AW3551" t="s">
        <v>60</v>
      </c>
      <c r="AX3551" t="s">
        <v>68</v>
      </c>
      <c r="AY3551" t="s">
        <v>69</v>
      </c>
      <c r="AZ3551" t="b">
        <v>1</v>
      </c>
    </row>
    <row r="3552" spans="1:52" x14ac:dyDescent="0.3">
      <c r="A3552" t="s">
        <v>52</v>
      </c>
      <c r="B3552" t="s">
        <v>53</v>
      </c>
      <c r="C3552" t="s">
        <v>54</v>
      </c>
      <c r="D3552" t="s">
        <v>55</v>
      </c>
      <c r="E3552" t="s">
        <v>2200</v>
      </c>
      <c r="F3552" t="s">
        <v>1247</v>
      </c>
      <c r="G3552" t="s">
        <v>473</v>
      </c>
      <c r="H3552" t="s">
        <v>474</v>
      </c>
      <c r="I3552" t="s">
        <v>474</v>
      </c>
      <c r="J3552" t="s">
        <v>60</v>
      </c>
      <c r="K3552" t="s">
        <v>475</v>
      </c>
      <c r="L3552" t="s">
        <v>62</v>
      </c>
      <c r="M3552" t="s">
        <v>475</v>
      </c>
      <c r="N3552" t="s">
        <v>406</v>
      </c>
      <c r="O3552" t="s">
        <v>476</v>
      </c>
      <c r="P3552">
        <v>-20.177902</v>
      </c>
      <c r="Q3552">
        <v>-44.908504000000001</v>
      </c>
      <c r="R3552" s="2" t="str">
        <f>HYPERLINK("https://www.google.com/maps?q=-20.1779020,-44.9085040","Abrir no Google Maps")</f>
        <v>Abrir no Google Maps</v>
      </c>
      <c r="S3552">
        <v>3</v>
      </c>
      <c r="T3552">
        <v>656.92307673247149</v>
      </c>
      <c r="U3552">
        <v>3</v>
      </c>
      <c r="V3552">
        <v>0.4554171173119908</v>
      </c>
      <c r="W3552">
        <v>1</v>
      </c>
      <c r="X3552">
        <v>0.4554171173119908</v>
      </c>
      <c r="Y3552">
        <v>578</v>
      </c>
      <c r="Z3552">
        <v>635.01982153722327</v>
      </c>
      <c r="AA3552">
        <v>198</v>
      </c>
      <c r="AB3552">
        <v>332</v>
      </c>
      <c r="AC3552">
        <v>536</v>
      </c>
      <c r="AD3552">
        <v>28.54</v>
      </c>
      <c r="AE3552">
        <v>542</v>
      </c>
      <c r="AF3552">
        <v>20</v>
      </c>
      <c r="AG3552">
        <v>181</v>
      </c>
      <c r="AH3552">
        <v>129</v>
      </c>
      <c r="AI3552">
        <v>3.69</v>
      </c>
      <c r="AJ3552">
        <v>33.39</v>
      </c>
      <c r="AK3552">
        <v>23.8</v>
      </c>
      <c r="AL3552">
        <v>-20.177800399999938</v>
      </c>
      <c r="AM3552">
        <v>-44.908361879701268</v>
      </c>
      <c r="AN3552">
        <v>-20.177800399999938</v>
      </c>
      <c r="AO3552">
        <v>-44.908361879701268</v>
      </c>
      <c r="AP3552">
        <v>-20.177902</v>
      </c>
      <c r="AQ3552">
        <v>-44.908504000000001</v>
      </c>
      <c r="AR3552">
        <v>18.666463141775541</v>
      </c>
      <c r="AS3552" t="s">
        <v>65</v>
      </c>
      <c r="AT3552">
        <v>1</v>
      </c>
      <c r="AU3552" t="s">
        <v>477</v>
      </c>
      <c r="AV3552" t="s">
        <v>478</v>
      </c>
      <c r="AW3552" t="s">
        <v>60</v>
      </c>
      <c r="AX3552" t="s">
        <v>68</v>
      </c>
      <c r="AY3552" t="s">
        <v>69</v>
      </c>
      <c r="AZ3552" t="b">
        <v>1</v>
      </c>
    </row>
    <row r="3553" spans="1:52" x14ac:dyDescent="0.3">
      <c r="A3553" t="s">
        <v>52</v>
      </c>
      <c r="B3553" t="s">
        <v>53</v>
      </c>
      <c r="C3553" t="s">
        <v>54</v>
      </c>
      <c r="D3553" t="s">
        <v>55</v>
      </c>
      <c r="E3553" t="s">
        <v>2200</v>
      </c>
      <c r="F3553" t="s">
        <v>1247</v>
      </c>
      <c r="G3553" t="s">
        <v>484</v>
      </c>
      <c r="H3553" t="s">
        <v>485</v>
      </c>
      <c r="I3553" t="s">
        <v>485</v>
      </c>
      <c r="J3553" t="s">
        <v>60</v>
      </c>
      <c r="K3553" t="s">
        <v>486</v>
      </c>
      <c r="L3553" t="s">
        <v>62</v>
      </c>
      <c r="M3553" t="s">
        <v>486</v>
      </c>
      <c r="N3553" t="s">
        <v>487</v>
      </c>
      <c r="O3553" t="s">
        <v>488</v>
      </c>
      <c r="P3553">
        <v>-20.173000999999999</v>
      </c>
      <c r="Q3553">
        <v>-44.901876999999999</v>
      </c>
      <c r="R3553" s="2" t="str">
        <f>HYPERLINK("https://www.google.com/maps?q=-20.1730010,-44.9018770","Abrir no Google Maps")</f>
        <v>Abrir no Google Maps</v>
      </c>
      <c r="S3553">
        <v>3</v>
      </c>
      <c r="T3553">
        <v>437.59695450783011</v>
      </c>
      <c r="U3553">
        <v>3</v>
      </c>
      <c r="V3553">
        <v>0.4653505546362689</v>
      </c>
      <c r="W3553">
        <v>1</v>
      </c>
      <c r="X3553">
        <v>0.4653505546362689</v>
      </c>
      <c r="Y3553">
        <v>578</v>
      </c>
      <c r="Z3553">
        <v>440.53629183653243</v>
      </c>
      <c r="AA3553">
        <v>198</v>
      </c>
      <c r="AB3553">
        <v>332</v>
      </c>
      <c r="AC3553">
        <v>536</v>
      </c>
      <c r="AD3553">
        <v>28.54</v>
      </c>
      <c r="AE3553">
        <v>542</v>
      </c>
      <c r="AF3553">
        <v>20</v>
      </c>
      <c r="AG3553">
        <v>181</v>
      </c>
      <c r="AH3553">
        <v>129</v>
      </c>
      <c r="AI3553">
        <v>3.69</v>
      </c>
      <c r="AJ3553">
        <v>33.39</v>
      </c>
      <c r="AK3553">
        <v>23.8</v>
      </c>
      <c r="AL3553">
        <v>-20.173065299999969</v>
      </c>
      <c r="AM3553">
        <v>-44.902052686008687</v>
      </c>
      <c r="AN3553">
        <v>-20.173065299999969</v>
      </c>
      <c r="AO3553">
        <v>-44.902052686008687</v>
      </c>
      <c r="AP3553">
        <v>-20.173000999999999</v>
      </c>
      <c r="AQ3553">
        <v>-44.901876999999999</v>
      </c>
      <c r="AR3553">
        <v>19.703745070768829</v>
      </c>
      <c r="AS3553" t="s">
        <v>65</v>
      </c>
      <c r="AT3553">
        <v>1</v>
      </c>
      <c r="AU3553" t="s">
        <v>489</v>
      </c>
      <c r="AV3553" t="s">
        <v>490</v>
      </c>
      <c r="AW3553" t="s">
        <v>60</v>
      </c>
      <c r="AX3553" t="s">
        <v>68</v>
      </c>
      <c r="AY3553" t="s">
        <v>69</v>
      </c>
      <c r="AZ3553" t="b">
        <v>1</v>
      </c>
    </row>
    <row r="3554" spans="1:52" x14ac:dyDescent="0.3">
      <c r="A3554" t="s">
        <v>52</v>
      </c>
      <c r="B3554" t="s">
        <v>53</v>
      </c>
      <c r="C3554" t="s">
        <v>54</v>
      </c>
      <c r="D3554" t="s">
        <v>55</v>
      </c>
      <c r="E3554" t="s">
        <v>2200</v>
      </c>
      <c r="F3554" t="s">
        <v>1247</v>
      </c>
      <c r="G3554" t="s">
        <v>491</v>
      </c>
      <c r="H3554" t="s">
        <v>492</v>
      </c>
      <c r="I3554" t="s">
        <v>492</v>
      </c>
      <c r="J3554" t="s">
        <v>60</v>
      </c>
      <c r="K3554" t="s">
        <v>475</v>
      </c>
      <c r="L3554" t="s">
        <v>62</v>
      </c>
      <c r="M3554" t="s">
        <v>475</v>
      </c>
      <c r="N3554" t="s">
        <v>493</v>
      </c>
      <c r="O3554" t="s">
        <v>494</v>
      </c>
      <c r="P3554">
        <v>-20.175250999999999</v>
      </c>
      <c r="Q3554">
        <v>-44.897357</v>
      </c>
      <c r="R3554" s="2" t="str">
        <f>HYPERLINK("https://www.google.com/maps?q=-20.1752510,-44.8973570","Abrir no Google Maps")</f>
        <v>Abrir no Google Maps</v>
      </c>
      <c r="S3554">
        <v>3</v>
      </c>
      <c r="T3554">
        <v>992.29631678149951</v>
      </c>
      <c r="U3554">
        <v>3</v>
      </c>
      <c r="V3554">
        <v>0.45421413964358742</v>
      </c>
      <c r="W3554">
        <v>1</v>
      </c>
      <c r="X3554">
        <v>0.45421413964358742</v>
      </c>
      <c r="Y3554">
        <v>578</v>
      </c>
      <c r="Z3554">
        <v>1008.5871064168319</v>
      </c>
      <c r="AA3554">
        <v>198</v>
      </c>
      <c r="AB3554">
        <v>332</v>
      </c>
      <c r="AC3554">
        <v>536</v>
      </c>
      <c r="AD3554">
        <v>28.54</v>
      </c>
      <c r="AE3554">
        <v>542</v>
      </c>
      <c r="AF3554">
        <v>20</v>
      </c>
      <c r="AG3554">
        <v>181</v>
      </c>
      <c r="AH3554">
        <v>129</v>
      </c>
      <c r="AI3554">
        <v>3.69</v>
      </c>
      <c r="AJ3554">
        <v>33.39</v>
      </c>
      <c r="AK3554">
        <v>23.8</v>
      </c>
      <c r="AL3554">
        <v>-20.175290599999951</v>
      </c>
      <c r="AM3554">
        <v>-44.897271931010721</v>
      </c>
      <c r="AN3554">
        <v>-20.175290599999951</v>
      </c>
      <c r="AO3554">
        <v>-44.897271931010721</v>
      </c>
      <c r="AP3554">
        <v>-20.175250999999999</v>
      </c>
      <c r="AQ3554">
        <v>-44.897357</v>
      </c>
      <c r="AR3554">
        <v>9.921899108467926</v>
      </c>
      <c r="AS3554" t="s">
        <v>65</v>
      </c>
      <c r="AT3554">
        <v>1</v>
      </c>
      <c r="AU3554" t="s">
        <v>495</v>
      </c>
      <c r="AV3554" t="s">
        <v>496</v>
      </c>
      <c r="AW3554" t="s">
        <v>60</v>
      </c>
      <c r="AX3554" t="s">
        <v>68</v>
      </c>
      <c r="AY3554" t="s">
        <v>69</v>
      </c>
      <c r="AZ3554" t="b">
        <v>1</v>
      </c>
    </row>
    <row r="3555" spans="1:52" x14ac:dyDescent="0.3">
      <c r="A3555" t="s">
        <v>52</v>
      </c>
      <c r="B3555" t="s">
        <v>53</v>
      </c>
      <c r="C3555" t="s">
        <v>54</v>
      </c>
      <c r="D3555" t="s">
        <v>55</v>
      </c>
      <c r="E3555" t="s">
        <v>2200</v>
      </c>
      <c r="F3555" t="s">
        <v>1247</v>
      </c>
      <c r="G3555" t="s">
        <v>497</v>
      </c>
      <c r="H3555" t="s">
        <v>875</v>
      </c>
      <c r="I3555" t="s">
        <v>875</v>
      </c>
      <c r="J3555" t="s">
        <v>60</v>
      </c>
      <c r="K3555" t="s">
        <v>475</v>
      </c>
      <c r="L3555" t="s">
        <v>62</v>
      </c>
      <c r="M3555" t="s">
        <v>475</v>
      </c>
      <c r="N3555" t="s">
        <v>499</v>
      </c>
      <c r="O3555" t="s">
        <v>876</v>
      </c>
      <c r="P3555">
        <v>-20.177212999999998</v>
      </c>
      <c r="Q3555">
        <v>-44.904026999999999</v>
      </c>
      <c r="R3555" s="2" t="str">
        <f>HYPERLINK("https://www.google.com/maps?q=-20.1772130,-44.9040270","Abrir no Google Maps")</f>
        <v>Abrir no Google Maps</v>
      </c>
      <c r="S3555">
        <v>3</v>
      </c>
      <c r="T3555">
        <v>706.4159561113795</v>
      </c>
      <c r="U3555">
        <v>3</v>
      </c>
      <c r="V3555">
        <v>0.44508868098897342</v>
      </c>
      <c r="W3555">
        <v>1</v>
      </c>
      <c r="X3555">
        <v>0.44508868098897342</v>
      </c>
      <c r="Y3555">
        <v>578</v>
      </c>
      <c r="Z3555">
        <v>588.7160518608398</v>
      </c>
      <c r="AA3555">
        <v>198</v>
      </c>
      <c r="AB3555">
        <v>332</v>
      </c>
      <c r="AC3555">
        <v>536</v>
      </c>
      <c r="AD3555">
        <v>28.54</v>
      </c>
      <c r="AE3555">
        <v>542</v>
      </c>
      <c r="AF3555">
        <v>20</v>
      </c>
      <c r="AG3555">
        <v>181</v>
      </c>
      <c r="AH3555">
        <v>129</v>
      </c>
      <c r="AI3555">
        <v>3.69</v>
      </c>
      <c r="AJ3555">
        <v>33.39</v>
      </c>
      <c r="AK3555">
        <v>23.8</v>
      </c>
      <c r="AL3555">
        <v>-20.177090199999949</v>
      </c>
      <c r="AM3555">
        <v>-44.904078820930181</v>
      </c>
      <c r="AN3555">
        <v>-20.177090199999949</v>
      </c>
      <c r="AO3555">
        <v>-44.904078820930181</v>
      </c>
      <c r="AP3555">
        <v>-20.177212999999998</v>
      </c>
      <c r="AQ3555">
        <v>-44.904026999999999</v>
      </c>
      <c r="AR3555">
        <v>14.7034129632295</v>
      </c>
      <c r="AS3555" t="s">
        <v>65</v>
      </c>
      <c r="AT3555">
        <v>1</v>
      </c>
      <c r="AU3555" t="s">
        <v>877</v>
      </c>
      <c r="AV3555" t="s">
        <v>878</v>
      </c>
      <c r="AW3555" t="s">
        <v>60</v>
      </c>
      <c r="AX3555" t="s">
        <v>68</v>
      </c>
      <c r="AY3555" t="s">
        <v>69</v>
      </c>
      <c r="AZ3555" t="b">
        <v>1</v>
      </c>
    </row>
    <row r="3556" spans="1:52" x14ac:dyDescent="0.3">
      <c r="A3556" t="s">
        <v>52</v>
      </c>
      <c r="B3556" t="s">
        <v>53</v>
      </c>
      <c r="C3556" t="s">
        <v>54</v>
      </c>
      <c r="D3556" t="s">
        <v>55</v>
      </c>
      <c r="E3556" t="s">
        <v>2200</v>
      </c>
      <c r="F3556" t="s">
        <v>1247</v>
      </c>
      <c r="G3556" t="s">
        <v>497</v>
      </c>
      <c r="H3556" t="s">
        <v>498</v>
      </c>
      <c r="I3556" t="s">
        <v>498</v>
      </c>
      <c r="J3556" t="s">
        <v>60</v>
      </c>
      <c r="K3556" t="s">
        <v>475</v>
      </c>
      <c r="L3556" t="s">
        <v>62</v>
      </c>
      <c r="M3556" t="s">
        <v>475</v>
      </c>
      <c r="N3556" t="s">
        <v>499</v>
      </c>
      <c r="O3556" t="s">
        <v>500</v>
      </c>
      <c r="P3556">
        <v>-20.175492999999999</v>
      </c>
      <c r="Q3556">
        <v>-44.900759000000001</v>
      </c>
      <c r="R3556" s="2" t="str">
        <f>HYPERLINK("https://www.google.com/maps?q=-20.1754930,-44.9007590","Abrir no Google Maps")</f>
        <v>Abrir no Google Maps</v>
      </c>
      <c r="S3556">
        <v>3</v>
      </c>
      <c r="T3556">
        <v>753.30732354720431</v>
      </c>
      <c r="U3556">
        <v>3</v>
      </c>
      <c r="V3556">
        <v>0.46229078885767788</v>
      </c>
      <c r="W3556">
        <v>1</v>
      </c>
      <c r="X3556">
        <v>0.46229078885767788</v>
      </c>
      <c r="Y3556">
        <v>578</v>
      </c>
      <c r="Z3556">
        <v>695.28903655431702</v>
      </c>
      <c r="AA3556">
        <v>198</v>
      </c>
      <c r="AB3556">
        <v>332</v>
      </c>
      <c r="AC3556">
        <v>536</v>
      </c>
      <c r="AD3556">
        <v>28.54</v>
      </c>
      <c r="AE3556">
        <v>542</v>
      </c>
      <c r="AF3556">
        <v>20</v>
      </c>
      <c r="AG3556">
        <v>181</v>
      </c>
      <c r="AH3556">
        <v>129</v>
      </c>
      <c r="AI3556">
        <v>3.69</v>
      </c>
      <c r="AJ3556">
        <v>33.39</v>
      </c>
      <c r="AK3556">
        <v>23.8</v>
      </c>
      <c r="AL3556">
        <v>-20.175825999999969</v>
      </c>
      <c r="AM3556">
        <v>-44.900600234646973</v>
      </c>
      <c r="AN3556">
        <v>-20.175825999999969</v>
      </c>
      <c r="AO3556">
        <v>-44.900600234646973</v>
      </c>
      <c r="AP3556">
        <v>-20.175492999999999</v>
      </c>
      <c r="AQ3556">
        <v>-44.900759000000001</v>
      </c>
      <c r="AR3556">
        <v>40.612267304645073</v>
      </c>
      <c r="AS3556" t="s">
        <v>65</v>
      </c>
      <c r="AT3556">
        <v>1</v>
      </c>
      <c r="AU3556" t="s">
        <v>501</v>
      </c>
      <c r="AV3556" t="s">
        <v>502</v>
      </c>
      <c r="AW3556" t="s">
        <v>60</v>
      </c>
      <c r="AX3556" t="s">
        <v>68</v>
      </c>
      <c r="AY3556" t="s">
        <v>69</v>
      </c>
      <c r="AZ3556" t="b">
        <v>1</v>
      </c>
    </row>
    <row r="3557" spans="1:52" x14ac:dyDescent="0.3">
      <c r="A3557" t="s">
        <v>52</v>
      </c>
      <c r="B3557" t="s">
        <v>53</v>
      </c>
      <c r="C3557" t="s">
        <v>54</v>
      </c>
      <c r="D3557" t="s">
        <v>55</v>
      </c>
      <c r="E3557" t="s">
        <v>2200</v>
      </c>
      <c r="F3557" t="s">
        <v>1247</v>
      </c>
      <c r="G3557" t="s">
        <v>879</v>
      </c>
      <c r="H3557" t="s">
        <v>880</v>
      </c>
      <c r="I3557" t="s">
        <v>880</v>
      </c>
      <c r="J3557" t="s">
        <v>60</v>
      </c>
      <c r="K3557" t="s">
        <v>505</v>
      </c>
      <c r="L3557" t="s">
        <v>62</v>
      </c>
      <c r="M3557" t="s">
        <v>505</v>
      </c>
      <c r="N3557" t="s">
        <v>881</v>
      </c>
      <c r="O3557" t="s">
        <v>882</v>
      </c>
      <c r="P3557">
        <v>-20.133452999999999</v>
      </c>
      <c r="Q3557">
        <v>-44.890571999999999</v>
      </c>
      <c r="R3557" s="2" t="str">
        <f>HYPERLINK("https://www.google.com/maps?q=-20.1334530,-44.8905720","Abrir no Google Maps")</f>
        <v>Abrir no Google Maps</v>
      </c>
      <c r="S3557">
        <v>3</v>
      </c>
      <c r="T3557">
        <v>373.51332104809921</v>
      </c>
      <c r="U3557">
        <v>3</v>
      </c>
      <c r="V3557">
        <v>0.47068095838587631</v>
      </c>
      <c r="W3557">
        <v>1</v>
      </c>
      <c r="X3557">
        <v>0.47068095838587631</v>
      </c>
      <c r="Y3557">
        <v>564</v>
      </c>
      <c r="Z3557">
        <v>422.34693311930448</v>
      </c>
      <c r="AA3557">
        <v>198</v>
      </c>
      <c r="AB3557">
        <v>332</v>
      </c>
      <c r="AC3557">
        <v>536</v>
      </c>
      <c r="AD3557">
        <v>28.54</v>
      </c>
      <c r="AE3557">
        <v>542</v>
      </c>
      <c r="AF3557">
        <v>20</v>
      </c>
      <c r="AG3557">
        <v>181</v>
      </c>
      <c r="AH3557">
        <v>129</v>
      </c>
      <c r="AI3557">
        <v>3.69</v>
      </c>
      <c r="AJ3557">
        <v>33.39</v>
      </c>
      <c r="AK3557">
        <v>23.8</v>
      </c>
      <c r="AL3557">
        <v>-20.133421549999952</v>
      </c>
      <c r="AM3557">
        <v>-44.890623456009052</v>
      </c>
      <c r="AN3557">
        <v>-20.133421549999952</v>
      </c>
      <c r="AO3557">
        <v>-44.890623456009052</v>
      </c>
      <c r="AP3557">
        <v>-20.133452999999999</v>
      </c>
      <c r="AQ3557">
        <v>-44.890571999999999</v>
      </c>
      <c r="AR3557">
        <v>6.4172139275452773</v>
      </c>
      <c r="AS3557" t="s">
        <v>65</v>
      </c>
      <c r="AT3557">
        <v>1</v>
      </c>
      <c r="AU3557" t="s">
        <v>883</v>
      </c>
      <c r="AV3557" t="s">
        <v>884</v>
      </c>
      <c r="AW3557" t="s">
        <v>60</v>
      </c>
      <c r="AX3557" t="s">
        <v>68</v>
      </c>
      <c r="AY3557" t="s">
        <v>69</v>
      </c>
      <c r="AZ3557" t="b">
        <v>1</v>
      </c>
    </row>
    <row r="3558" spans="1:52" x14ac:dyDescent="0.3">
      <c r="A3558" t="s">
        <v>52</v>
      </c>
      <c r="B3558" t="s">
        <v>53</v>
      </c>
      <c r="C3558" t="s">
        <v>54</v>
      </c>
      <c r="D3558" t="s">
        <v>55</v>
      </c>
      <c r="E3558" t="s">
        <v>2200</v>
      </c>
      <c r="F3558" t="s">
        <v>1247</v>
      </c>
      <c r="G3558" t="s">
        <v>649</v>
      </c>
      <c r="H3558" t="s">
        <v>885</v>
      </c>
      <c r="I3558" t="s">
        <v>885</v>
      </c>
      <c r="J3558" t="s">
        <v>60</v>
      </c>
      <c r="K3558" t="s">
        <v>886</v>
      </c>
      <c r="L3558" t="s">
        <v>62</v>
      </c>
      <c r="M3558" t="s">
        <v>886</v>
      </c>
      <c r="N3558" t="s">
        <v>652</v>
      </c>
      <c r="O3558" t="s">
        <v>887</v>
      </c>
      <c r="P3558">
        <v>-20.132252000000001</v>
      </c>
      <c r="Q3558">
        <v>-44.894159000000002</v>
      </c>
      <c r="R3558" s="2" t="str">
        <f>HYPERLINK("https://www.google.com/maps?q=-20.1322520,-44.8941590","Abrir no Google Maps")</f>
        <v>Abrir no Google Maps</v>
      </c>
      <c r="S3558">
        <v>3</v>
      </c>
      <c r="T3558">
        <v>699.5004749448899</v>
      </c>
      <c r="U3558">
        <v>3</v>
      </c>
      <c r="V3558">
        <v>0.53493394308943099</v>
      </c>
      <c r="W3558">
        <v>0.85</v>
      </c>
      <c r="X3558">
        <v>0.45469385162601628</v>
      </c>
      <c r="Y3558">
        <v>564</v>
      </c>
      <c r="Z3558">
        <v>522.21103586457991</v>
      </c>
      <c r="AA3558">
        <v>198</v>
      </c>
      <c r="AB3558">
        <v>332</v>
      </c>
      <c r="AC3558">
        <v>536</v>
      </c>
      <c r="AD3558">
        <v>28.54</v>
      </c>
      <c r="AE3558">
        <v>542</v>
      </c>
      <c r="AF3558">
        <v>20</v>
      </c>
      <c r="AG3558">
        <v>181</v>
      </c>
      <c r="AH3558">
        <v>129</v>
      </c>
      <c r="AI3558">
        <v>3.69</v>
      </c>
      <c r="AJ3558">
        <v>33.39</v>
      </c>
      <c r="AK3558">
        <v>23.8</v>
      </c>
      <c r="AL3558">
        <v>-20.132285999999969</v>
      </c>
      <c r="AM3558">
        <v>-44.894119001288672</v>
      </c>
      <c r="AN3558">
        <v>-20.132285999999969</v>
      </c>
      <c r="AO3558">
        <v>-44.894119001288672</v>
      </c>
      <c r="AP3558">
        <v>-20.132252000000001</v>
      </c>
      <c r="AQ3558">
        <v>-44.894159000000002</v>
      </c>
      <c r="AR3558">
        <v>5.6393921063261629</v>
      </c>
      <c r="AS3558" t="s">
        <v>65</v>
      </c>
      <c r="AT3558">
        <v>1</v>
      </c>
      <c r="AU3558" t="s">
        <v>888</v>
      </c>
      <c r="AV3558" t="s">
        <v>889</v>
      </c>
      <c r="AW3558" t="s">
        <v>60</v>
      </c>
      <c r="AX3558" t="s">
        <v>68</v>
      </c>
      <c r="AY3558" t="s">
        <v>69</v>
      </c>
      <c r="AZ3558" t="b">
        <v>1</v>
      </c>
    </row>
    <row r="3559" spans="1:52" x14ac:dyDescent="0.3">
      <c r="A3559" t="s">
        <v>52</v>
      </c>
      <c r="B3559" t="s">
        <v>53</v>
      </c>
      <c r="C3559" t="s">
        <v>54</v>
      </c>
      <c r="D3559" t="s">
        <v>55</v>
      </c>
      <c r="E3559" t="s">
        <v>2200</v>
      </c>
      <c r="F3559" t="s">
        <v>1247</v>
      </c>
      <c r="G3559" t="s">
        <v>890</v>
      </c>
      <c r="H3559" t="s">
        <v>891</v>
      </c>
      <c r="I3559" t="s">
        <v>891</v>
      </c>
      <c r="J3559" t="s">
        <v>60</v>
      </c>
      <c r="K3559" t="s">
        <v>892</v>
      </c>
      <c r="L3559" t="s">
        <v>62</v>
      </c>
      <c r="M3559" t="s">
        <v>892</v>
      </c>
      <c r="N3559" t="s">
        <v>893</v>
      </c>
      <c r="O3559" t="s">
        <v>894</v>
      </c>
      <c r="P3559">
        <v>-20.152519000000002</v>
      </c>
      <c r="Q3559">
        <v>-44.899177000000002</v>
      </c>
      <c r="R3559" s="2" t="str">
        <f>HYPERLINK("https://www.google.com/maps?q=-20.1525190,-44.8991770","Abrir no Google Maps")</f>
        <v>Abrir no Google Maps</v>
      </c>
      <c r="S3559">
        <v>3</v>
      </c>
      <c r="T3559">
        <v>211.80188552994721</v>
      </c>
      <c r="U3559">
        <v>3</v>
      </c>
      <c r="V3559">
        <v>0.45605658149928319</v>
      </c>
      <c r="W3559">
        <v>1</v>
      </c>
      <c r="X3559">
        <v>0.45605658149928319</v>
      </c>
      <c r="Y3559">
        <v>556</v>
      </c>
      <c r="Z3559">
        <v>290.34804137107091</v>
      </c>
      <c r="AA3559">
        <v>198</v>
      </c>
      <c r="AB3559">
        <v>332</v>
      </c>
      <c r="AC3559">
        <v>536</v>
      </c>
      <c r="AD3559">
        <v>28.54</v>
      </c>
      <c r="AE3559">
        <v>542</v>
      </c>
      <c r="AF3559">
        <v>20</v>
      </c>
      <c r="AG3559">
        <v>181</v>
      </c>
      <c r="AH3559">
        <v>129</v>
      </c>
      <c r="AI3559">
        <v>3.69</v>
      </c>
      <c r="AJ3559">
        <v>33.39</v>
      </c>
      <c r="AK3559">
        <v>23.8</v>
      </c>
      <c r="AL3559">
        <v>-20.152516249999959</v>
      </c>
      <c r="AM3559">
        <v>-44.899310431333959</v>
      </c>
      <c r="AN3559">
        <v>-20.152516249999959</v>
      </c>
      <c r="AO3559">
        <v>-44.899310431333959</v>
      </c>
      <c r="AP3559">
        <v>-20.152519000000002</v>
      </c>
      <c r="AQ3559">
        <v>-44.899177000000002</v>
      </c>
      <c r="AR3559">
        <v>13.947583284957719</v>
      </c>
      <c r="AS3559" t="s">
        <v>65</v>
      </c>
      <c r="AT3559">
        <v>1</v>
      </c>
      <c r="AU3559" t="s">
        <v>895</v>
      </c>
      <c r="AV3559" t="s">
        <v>896</v>
      </c>
      <c r="AW3559" t="s">
        <v>60</v>
      </c>
      <c r="AX3559" t="s">
        <v>68</v>
      </c>
      <c r="AY3559" t="s">
        <v>69</v>
      </c>
      <c r="AZ3559" t="b">
        <v>1</v>
      </c>
    </row>
    <row r="3560" spans="1:52" x14ac:dyDescent="0.3">
      <c r="A3560" t="s">
        <v>52</v>
      </c>
      <c r="B3560" t="s">
        <v>53</v>
      </c>
      <c r="C3560" t="s">
        <v>54</v>
      </c>
      <c r="D3560" t="s">
        <v>55</v>
      </c>
      <c r="E3560" t="s">
        <v>2200</v>
      </c>
      <c r="F3560" t="s">
        <v>1247</v>
      </c>
      <c r="G3560" t="s">
        <v>897</v>
      </c>
      <c r="H3560" t="s">
        <v>898</v>
      </c>
      <c r="I3560" t="s">
        <v>898</v>
      </c>
      <c r="J3560" t="s">
        <v>60</v>
      </c>
      <c r="K3560" t="s">
        <v>892</v>
      </c>
      <c r="L3560" t="s">
        <v>62</v>
      </c>
      <c r="M3560" t="s">
        <v>892</v>
      </c>
      <c r="N3560" t="s">
        <v>899</v>
      </c>
      <c r="O3560" t="s">
        <v>900</v>
      </c>
      <c r="P3560">
        <v>-20.154885</v>
      </c>
      <c r="Q3560">
        <v>-44.899890999999997</v>
      </c>
      <c r="R3560" s="2" t="str">
        <f>HYPERLINK("https://www.google.com/maps?q=-20.1548850,-44.8998910","Abrir no Google Maps")</f>
        <v>Abrir no Google Maps</v>
      </c>
      <c r="S3560">
        <v>3</v>
      </c>
      <c r="T3560">
        <v>314.66339661014308</v>
      </c>
      <c r="U3560">
        <v>3</v>
      </c>
      <c r="V3560">
        <v>0.45146140423382458</v>
      </c>
      <c r="W3560">
        <v>1</v>
      </c>
      <c r="X3560">
        <v>0.45146140423382458</v>
      </c>
      <c r="Y3560">
        <v>548</v>
      </c>
      <c r="Z3560">
        <v>319.02252584834253</v>
      </c>
      <c r="AA3560">
        <v>198</v>
      </c>
      <c r="AB3560">
        <v>332</v>
      </c>
      <c r="AC3560">
        <v>536</v>
      </c>
      <c r="AD3560">
        <v>28.54</v>
      </c>
      <c r="AE3560">
        <v>542</v>
      </c>
      <c r="AF3560">
        <v>20</v>
      </c>
      <c r="AG3560">
        <v>181</v>
      </c>
      <c r="AH3560">
        <v>129</v>
      </c>
      <c r="AI3560">
        <v>3.69</v>
      </c>
      <c r="AJ3560">
        <v>33.39</v>
      </c>
      <c r="AK3560">
        <v>23.8</v>
      </c>
      <c r="AL3560">
        <v>-20.154906649999951</v>
      </c>
      <c r="AM3560">
        <v>-44.899894072543653</v>
      </c>
      <c r="AN3560">
        <v>-20.154906649999951</v>
      </c>
      <c r="AO3560">
        <v>-44.899894072543653</v>
      </c>
      <c r="AP3560">
        <v>-20.154885</v>
      </c>
      <c r="AQ3560">
        <v>-44.899890999999997</v>
      </c>
      <c r="AR3560">
        <v>2.431373123904943</v>
      </c>
      <c r="AS3560" t="s">
        <v>65</v>
      </c>
      <c r="AT3560">
        <v>1</v>
      </c>
      <c r="AU3560" t="s">
        <v>901</v>
      </c>
      <c r="AV3560" t="s">
        <v>902</v>
      </c>
      <c r="AW3560" t="s">
        <v>60</v>
      </c>
      <c r="AX3560" t="s">
        <v>68</v>
      </c>
      <c r="AY3560" t="s">
        <v>69</v>
      </c>
      <c r="AZ3560" t="b">
        <v>1</v>
      </c>
    </row>
    <row r="3561" spans="1:52" x14ac:dyDescent="0.3">
      <c r="A3561" t="s">
        <v>52</v>
      </c>
      <c r="B3561" t="s">
        <v>53</v>
      </c>
      <c r="C3561" t="s">
        <v>54</v>
      </c>
      <c r="D3561" t="s">
        <v>55</v>
      </c>
      <c r="E3561" t="s">
        <v>2200</v>
      </c>
      <c r="F3561" t="s">
        <v>1247</v>
      </c>
      <c r="G3561" t="s">
        <v>839</v>
      </c>
      <c r="H3561" t="s">
        <v>1274</v>
      </c>
      <c r="I3561" t="s">
        <v>1274</v>
      </c>
      <c r="J3561" t="s">
        <v>60</v>
      </c>
      <c r="K3561" t="s">
        <v>388</v>
      </c>
      <c r="L3561" t="s">
        <v>62</v>
      </c>
      <c r="M3561" t="s">
        <v>388</v>
      </c>
      <c r="N3561" t="s">
        <v>841</v>
      </c>
      <c r="O3561" t="s">
        <v>1275</v>
      </c>
      <c r="P3561">
        <v>-20.157979999999998</v>
      </c>
      <c r="Q3561">
        <v>-44.906365999999998</v>
      </c>
      <c r="R3561" s="2" t="str">
        <f>HYPERLINK("https://www.google.com/maps?q=-20.1579800,-44.9063660","Abrir no Google Maps")</f>
        <v>Abrir no Google Maps</v>
      </c>
      <c r="S3561">
        <v>3</v>
      </c>
      <c r="T3561">
        <v>519.48953004348823</v>
      </c>
      <c r="U3561">
        <v>2</v>
      </c>
      <c r="V3561">
        <v>0.47947422947422952</v>
      </c>
      <c r="W3561">
        <v>0.85</v>
      </c>
      <c r="X3561">
        <v>0.40755309505309512</v>
      </c>
      <c r="Y3561">
        <v>729</v>
      </c>
      <c r="Z3561">
        <v>393.22938248316768</v>
      </c>
      <c r="AA3561">
        <v>198</v>
      </c>
      <c r="AB3561">
        <v>332</v>
      </c>
      <c r="AC3561">
        <v>536</v>
      </c>
      <c r="AD3561">
        <v>28.54</v>
      </c>
      <c r="AE3561">
        <v>542</v>
      </c>
      <c r="AF3561">
        <v>20</v>
      </c>
      <c r="AG3561">
        <v>181</v>
      </c>
      <c r="AH3561">
        <v>129</v>
      </c>
      <c r="AI3561">
        <v>3.69</v>
      </c>
      <c r="AJ3561">
        <v>33.39</v>
      </c>
      <c r="AK3561">
        <v>23.8</v>
      </c>
      <c r="AL3561">
        <v>-20.157977799999941</v>
      </c>
      <c r="AM3561">
        <v>-44.906429896327573</v>
      </c>
      <c r="AN3561">
        <v>-20.157977799999941</v>
      </c>
      <c r="AO3561">
        <v>-44.906429896327573</v>
      </c>
      <c r="AP3561">
        <v>-20.157979999999998</v>
      </c>
      <c r="AQ3561">
        <v>-44.906365999999998</v>
      </c>
      <c r="AR3561">
        <v>6.6817330699236734</v>
      </c>
      <c r="AS3561" t="s">
        <v>65</v>
      </c>
      <c r="AT3561">
        <v>1</v>
      </c>
      <c r="AU3561" t="s">
        <v>1276</v>
      </c>
      <c r="AV3561" t="s">
        <v>1277</v>
      </c>
      <c r="AW3561" t="s">
        <v>60</v>
      </c>
      <c r="AX3561" t="s">
        <v>68</v>
      </c>
      <c r="AY3561" t="s">
        <v>69</v>
      </c>
      <c r="AZ3561" t="b">
        <v>1</v>
      </c>
    </row>
    <row r="3562" spans="1:52" x14ac:dyDescent="0.3">
      <c r="A3562" t="s">
        <v>52</v>
      </c>
      <c r="B3562" t="s">
        <v>53</v>
      </c>
      <c r="C3562" t="s">
        <v>54</v>
      </c>
      <c r="D3562" t="s">
        <v>55</v>
      </c>
      <c r="E3562" t="s">
        <v>2200</v>
      </c>
      <c r="F3562" t="s">
        <v>1247</v>
      </c>
      <c r="G3562" t="s">
        <v>1278</v>
      </c>
      <c r="H3562" t="s">
        <v>1279</v>
      </c>
      <c r="I3562" t="s">
        <v>1279</v>
      </c>
      <c r="J3562" t="s">
        <v>60</v>
      </c>
      <c r="K3562" t="s">
        <v>388</v>
      </c>
      <c r="L3562" t="s">
        <v>62</v>
      </c>
      <c r="M3562" t="s">
        <v>388</v>
      </c>
      <c r="N3562" t="s">
        <v>1280</v>
      </c>
      <c r="O3562" t="s">
        <v>216</v>
      </c>
      <c r="P3562">
        <v>-20.15681</v>
      </c>
      <c r="Q3562">
        <v>-44.899290999999998</v>
      </c>
      <c r="R3562" s="2" t="str">
        <f>HYPERLINK("https://www.google.com/maps?q=-20.1568100,-44.8992910","Abrir no Google Maps")</f>
        <v>Abrir no Google Maps</v>
      </c>
      <c r="S3562">
        <v>3</v>
      </c>
      <c r="T3562">
        <v>180.10162979749811</v>
      </c>
      <c r="U3562">
        <v>2</v>
      </c>
      <c r="V3562">
        <v>0.49346846846846848</v>
      </c>
      <c r="W3562">
        <v>0.85</v>
      </c>
      <c r="X3562">
        <v>0.41944819819819817</v>
      </c>
      <c r="Y3562">
        <v>729</v>
      </c>
      <c r="Z3562">
        <v>368.06065118133841</v>
      </c>
      <c r="AA3562">
        <v>198</v>
      </c>
      <c r="AB3562">
        <v>332</v>
      </c>
      <c r="AC3562">
        <v>536</v>
      </c>
      <c r="AD3562">
        <v>28.54</v>
      </c>
      <c r="AE3562">
        <v>542</v>
      </c>
      <c r="AF3562">
        <v>20</v>
      </c>
      <c r="AG3562">
        <v>181</v>
      </c>
      <c r="AH3562">
        <v>129</v>
      </c>
      <c r="AI3562">
        <v>3.69</v>
      </c>
      <c r="AJ3562">
        <v>33.39</v>
      </c>
      <c r="AK3562">
        <v>23.8</v>
      </c>
      <c r="AL3562">
        <v>-20.156785649999961</v>
      </c>
      <c r="AM3562">
        <v>-44.899254812291332</v>
      </c>
      <c r="AN3562">
        <v>-20.156785649999961</v>
      </c>
      <c r="AO3562">
        <v>-44.899254812291332</v>
      </c>
      <c r="AP3562">
        <v>-20.15681</v>
      </c>
      <c r="AQ3562">
        <v>-44.899290999999998</v>
      </c>
      <c r="AR3562">
        <v>4.6528211992813118</v>
      </c>
      <c r="AS3562" t="s">
        <v>65</v>
      </c>
      <c r="AT3562">
        <v>1</v>
      </c>
      <c r="AU3562" t="s">
        <v>1281</v>
      </c>
      <c r="AV3562" t="s">
        <v>1282</v>
      </c>
      <c r="AW3562" t="s">
        <v>60</v>
      </c>
      <c r="AX3562" t="s">
        <v>68</v>
      </c>
      <c r="AY3562" t="s">
        <v>69</v>
      </c>
      <c r="AZ3562" t="b">
        <v>1</v>
      </c>
    </row>
    <row r="3563" spans="1:52" x14ac:dyDescent="0.3">
      <c r="A3563" t="s">
        <v>52</v>
      </c>
      <c r="B3563" t="s">
        <v>53</v>
      </c>
      <c r="C3563" t="s">
        <v>54</v>
      </c>
      <c r="D3563" t="s">
        <v>55</v>
      </c>
      <c r="E3563" t="s">
        <v>2200</v>
      </c>
      <c r="F3563" t="s">
        <v>1247</v>
      </c>
      <c r="G3563" t="s">
        <v>1283</v>
      </c>
      <c r="H3563" t="s">
        <v>1284</v>
      </c>
      <c r="I3563" t="s">
        <v>1284</v>
      </c>
      <c r="J3563" t="s">
        <v>60</v>
      </c>
      <c r="K3563" t="s">
        <v>388</v>
      </c>
      <c r="L3563" t="s">
        <v>62</v>
      </c>
      <c r="M3563" t="s">
        <v>388</v>
      </c>
      <c r="N3563" t="s">
        <v>400</v>
      </c>
      <c r="O3563" t="s">
        <v>1285</v>
      </c>
      <c r="P3563">
        <v>-20.156977999999999</v>
      </c>
      <c r="Q3563">
        <v>-44.90325</v>
      </c>
      <c r="R3563" s="2" t="str">
        <f>HYPERLINK("https://www.google.com/maps?q=-20.1569780,-44.9032500","Abrir no Google Maps")</f>
        <v>Abrir no Google Maps</v>
      </c>
      <c r="S3563">
        <v>3</v>
      </c>
      <c r="T3563">
        <v>256.05633739092571</v>
      </c>
      <c r="U3563">
        <v>2</v>
      </c>
      <c r="V3563">
        <v>0.46555398180402963</v>
      </c>
      <c r="W3563">
        <v>0.85</v>
      </c>
      <c r="X3563">
        <v>0.39572088453342519</v>
      </c>
      <c r="Y3563">
        <v>729</v>
      </c>
      <c r="Z3563">
        <v>162.99447055889971</v>
      </c>
      <c r="AA3563">
        <v>198</v>
      </c>
      <c r="AB3563">
        <v>332</v>
      </c>
      <c r="AC3563">
        <v>536</v>
      </c>
      <c r="AD3563">
        <v>28.54</v>
      </c>
      <c r="AE3563">
        <v>542</v>
      </c>
      <c r="AF3563">
        <v>20</v>
      </c>
      <c r="AG3563">
        <v>181</v>
      </c>
      <c r="AH3563">
        <v>129</v>
      </c>
      <c r="AI3563">
        <v>3.69</v>
      </c>
      <c r="AJ3563">
        <v>33.39</v>
      </c>
      <c r="AK3563">
        <v>23.8</v>
      </c>
      <c r="AL3563">
        <v>-20.15696524999996</v>
      </c>
      <c r="AM3563">
        <v>-44.903258102626708</v>
      </c>
      <c r="AN3563">
        <v>-20.15696524999996</v>
      </c>
      <c r="AO3563">
        <v>-44.903258102626708</v>
      </c>
      <c r="AP3563">
        <v>-20.156977999999999</v>
      </c>
      <c r="AQ3563">
        <v>-44.90325</v>
      </c>
      <c r="AR3563">
        <v>1.6527147033629741</v>
      </c>
      <c r="AS3563" t="s">
        <v>65</v>
      </c>
      <c r="AT3563">
        <v>1</v>
      </c>
      <c r="AU3563" t="s">
        <v>1286</v>
      </c>
      <c r="AV3563" t="s">
        <v>1287</v>
      </c>
      <c r="AW3563" t="s">
        <v>60</v>
      </c>
      <c r="AX3563" t="s">
        <v>68</v>
      </c>
      <c r="AY3563" t="s">
        <v>69</v>
      </c>
      <c r="AZ3563" t="b">
        <v>1</v>
      </c>
    </row>
    <row r="3564" spans="1:52" x14ac:dyDescent="0.3">
      <c r="A3564" t="s">
        <v>52</v>
      </c>
      <c r="B3564" t="s">
        <v>53</v>
      </c>
      <c r="C3564" t="s">
        <v>54</v>
      </c>
      <c r="D3564" t="s">
        <v>55</v>
      </c>
      <c r="E3564" t="s">
        <v>2200</v>
      </c>
      <c r="F3564" t="s">
        <v>1247</v>
      </c>
      <c r="G3564" t="s">
        <v>1288</v>
      </c>
      <c r="H3564" t="s">
        <v>1289</v>
      </c>
      <c r="I3564" t="s">
        <v>1289</v>
      </c>
      <c r="J3564" t="s">
        <v>60</v>
      </c>
      <c r="K3564" t="s">
        <v>1290</v>
      </c>
      <c r="L3564" t="s">
        <v>62</v>
      </c>
      <c r="M3564" t="s">
        <v>1290</v>
      </c>
      <c r="N3564" t="s">
        <v>1291</v>
      </c>
      <c r="O3564" t="s">
        <v>315</v>
      </c>
      <c r="P3564">
        <v>-20.171008</v>
      </c>
      <c r="Q3564">
        <v>-44.918908999999999</v>
      </c>
      <c r="R3564" s="2" t="str">
        <f>HYPERLINK("https://www.google.com/maps?q=-20.1710080,-44.9189090","Abrir no Google Maps")</f>
        <v>Abrir no Google Maps</v>
      </c>
      <c r="S3564">
        <v>3</v>
      </c>
      <c r="T3564">
        <v>972.86786700299888</v>
      </c>
      <c r="U3564">
        <v>2</v>
      </c>
      <c r="V3564">
        <v>0.48283395755305869</v>
      </c>
      <c r="W3564">
        <v>0.85</v>
      </c>
      <c r="X3564">
        <v>0.4104088639200999</v>
      </c>
      <c r="Y3564">
        <v>723</v>
      </c>
      <c r="Z3564">
        <v>690.55600110253613</v>
      </c>
      <c r="AA3564">
        <v>198</v>
      </c>
      <c r="AB3564">
        <v>332</v>
      </c>
      <c r="AC3564">
        <v>536</v>
      </c>
      <c r="AD3564">
        <v>28.54</v>
      </c>
      <c r="AE3564">
        <v>542</v>
      </c>
      <c r="AF3564">
        <v>20</v>
      </c>
      <c r="AG3564">
        <v>181</v>
      </c>
      <c r="AH3564">
        <v>129</v>
      </c>
      <c r="AI3564">
        <v>3.69</v>
      </c>
      <c r="AJ3564">
        <v>33.39</v>
      </c>
      <c r="AK3564">
        <v>23.8</v>
      </c>
      <c r="AL3564">
        <v>-20.171738249999979</v>
      </c>
      <c r="AM3564">
        <v>-44.919736490382917</v>
      </c>
      <c r="AN3564">
        <v>-20.171738249999979</v>
      </c>
      <c r="AO3564">
        <v>-44.919736490382931</v>
      </c>
      <c r="AP3564">
        <v>-20.171008</v>
      </c>
      <c r="AQ3564">
        <v>-44.918908999999999</v>
      </c>
      <c r="AR3564">
        <v>118.678920061485</v>
      </c>
      <c r="AS3564" t="s">
        <v>65</v>
      </c>
      <c r="AT3564">
        <v>1</v>
      </c>
      <c r="AU3564" t="s">
        <v>1292</v>
      </c>
      <c r="AV3564" t="s">
        <v>1293</v>
      </c>
      <c r="AW3564" t="s">
        <v>60</v>
      </c>
      <c r="AX3564" t="s">
        <v>68</v>
      </c>
      <c r="AY3564" t="s">
        <v>69</v>
      </c>
      <c r="AZ3564" t="b">
        <v>1</v>
      </c>
    </row>
    <row r="3565" spans="1:52" x14ac:dyDescent="0.3">
      <c r="A3565" t="s">
        <v>52</v>
      </c>
      <c r="B3565" t="s">
        <v>53</v>
      </c>
      <c r="C3565" t="s">
        <v>54</v>
      </c>
      <c r="D3565" t="s">
        <v>55</v>
      </c>
      <c r="E3565" t="s">
        <v>2200</v>
      </c>
      <c r="F3565" t="s">
        <v>1247</v>
      </c>
      <c r="G3565" t="s">
        <v>1294</v>
      </c>
      <c r="H3565" t="s">
        <v>1295</v>
      </c>
      <c r="I3565" t="s">
        <v>1295</v>
      </c>
      <c r="J3565" t="s">
        <v>60</v>
      </c>
      <c r="K3565" t="s">
        <v>418</v>
      </c>
      <c r="L3565" t="s">
        <v>62</v>
      </c>
      <c r="M3565" t="s">
        <v>418</v>
      </c>
      <c r="N3565" t="s">
        <v>1296</v>
      </c>
      <c r="O3565" t="s">
        <v>1297</v>
      </c>
      <c r="P3565">
        <v>-20.169899999999998</v>
      </c>
      <c r="Q3565">
        <v>-44.916176999999998</v>
      </c>
      <c r="R3565" s="2" t="str">
        <f>HYPERLINK("https://www.google.com/maps?q=-20.1699000,-44.9161770","Abrir no Google Maps")</f>
        <v>Abrir no Google Maps</v>
      </c>
      <c r="S3565">
        <v>3</v>
      </c>
      <c r="T3565">
        <v>658.15251036568407</v>
      </c>
      <c r="U3565">
        <v>2</v>
      </c>
      <c r="V3565">
        <v>0.4703392160096761</v>
      </c>
      <c r="W3565">
        <v>0.85</v>
      </c>
      <c r="X3565">
        <v>0.39978833360822469</v>
      </c>
      <c r="Y3565">
        <v>723</v>
      </c>
      <c r="Z3565">
        <v>400.39092274559039</v>
      </c>
      <c r="AA3565">
        <v>198</v>
      </c>
      <c r="AB3565">
        <v>332</v>
      </c>
      <c r="AC3565">
        <v>536</v>
      </c>
      <c r="AD3565">
        <v>28.54</v>
      </c>
      <c r="AE3565">
        <v>542</v>
      </c>
      <c r="AF3565">
        <v>20</v>
      </c>
      <c r="AG3565">
        <v>181</v>
      </c>
      <c r="AH3565">
        <v>129</v>
      </c>
      <c r="AI3565">
        <v>3.69</v>
      </c>
      <c r="AJ3565">
        <v>33.39</v>
      </c>
      <c r="AK3565">
        <v>23.8</v>
      </c>
      <c r="AL3565">
        <v>-20.169898399999941</v>
      </c>
      <c r="AM3565">
        <v>-44.916247682868359</v>
      </c>
      <c r="AN3565">
        <v>-20.169898399999941</v>
      </c>
      <c r="AO3565">
        <v>-44.916247682868359</v>
      </c>
      <c r="AP3565">
        <v>-20.169899999999998</v>
      </c>
      <c r="AQ3565">
        <v>-44.916176999999998</v>
      </c>
      <c r="AR3565">
        <v>7.388028048308902</v>
      </c>
      <c r="AS3565" t="s">
        <v>65</v>
      </c>
      <c r="AT3565">
        <v>1</v>
      </c>
      <c r="AU3565" t="s">
        <v>1298</v>
      </c>
      <c r="AV3565" t="s">
        <v>1299</v>
      </c>
      <c r="AW3565" t="s">
        <v>60</v>
      </c>
      <c r="AX3565" t="s">
        <v>68</v>
      </c>
      <c r="AY3565" t="s">
        <v>69</v>
      </c>
      <c r="AZ3565" t="b">
        <v>1</v>
      </c>
    </row>
    <row r="3566" spans="1:52" x14ac:dyDescent="0.3">
      <c r="A3566" t="s">
        <v>52</v>
      </c>
      <c r="B3566" t="s">
        <v>53</v>
      </c>
      <c r="C3566" t="s">
        <v>54</v>
      </c>
      <c r="D3566" t="s">
        <v>55</v>
      </c>
      <c r="E3566" t="s">
        <v>2200</v>
      </c>
      <c r="F3566" t="s">
        <v>1247</v>
      </c>
      <c r="G3566" t="s">
        <v>1300</v>
      </c>
      <c r="H3566" t="s">
        <v>1301</v>
      </c>
      <c r="I3566" t="s">
        <v>1301</v>
      </c>
      <c r="J3566" t="s">
        <v>60</v>
      </c>
      <c r="K3566" t="s">
        <v>1302</v>
      </c>
      <c r="L3566" t="s">
        <v>62</v>
      </c>
      <c r="M3566" t="s">
        <v>1302</v>
      </c>
      <c r="N3566" t="s">
        <v>1303</v>
      </c>
      <c r="O3566" t="s">
        <v>1304</v>
      </c>
      <c r="P3566">
        <v>-20.166618</v>
      </c>
      <c r="Q3566">
        <v>-44.912920999999997</v>
      </c>
      <c r="R3566" s="2" t="str">
        <f>HYPERLINK("https://www.google.com/maps?q=-20.1666180,-44.9129210","Abrir no Google Maps")</f>
        <v>Abrir no Google Maps</v>
      </c>
      <c r="S3566">
        <v>3</v>
      </c>
      <c r="T3566">
        <v>636.32880156364706</v>
      </c>
      <c r="U3566">
        <v>2</v>
      </c>
      <c r="V3566">
        <v>0.47825135016785869</v>
      </c>
      <c r="W3566">
        <v>0.85</v>
      </c>
      <c r="X3566">
        <v>0.40651364764267989</v>
      </c>
      <c r="Y3566">
        <v>723</v>
      </c>
      <c r="Z3566">
        <v>407.62145176971592</v>
      </c>
      <c r="AA3566">
        <v>198</v>
      </c>
      <c r="AB3566">
        <v>332</v>
      </c>
      <c r="AC3566">
        <v>536</v>
      </c>
      <c r="AD3566">
        <v>28.54</v>
      </c>
      <c r="AE3566">
        <v>542</v>
      </c>
      <c r="AF3566">
        <v>20</v>
      </c>
      <c r="AG3566">
        <v>181</v>
      </c>
      <c r="AH3566">
        <v>129</v>
      </c>
      <c r="AI3566">
        <v>3.69</v>
      </c>
      <c r="AJ3566">
        <v>33.39</v>
      </c>
      <c r="AK3566">
        <v>23.8</v>
      </c>
      <c r="AL3566">
        <v>-20.166924799999951</v>
      </c>
      <c r="AM3566">
        <v>-44.912868681724092</v>
      </c>
      <c r="AN3566">
        <v>-20.166924799999951</v>
      </c>
      <c r="AO3566">
        <v>-44.912868681724092</v>
      </c>
      <c r="AP3566">
        <v>-20.166618</v>
      </c>
      <c r="AQ3566">
        <v>-44.912920999999997</v>
      </c>
      <c r="AR3566">
        <v>34.587771860198139</v>
      </c>
      <c r="AS3566" t="s">
        <v>65</v>
      </c>
      <c r="AT3566">
        <v>1</v>
      </c>
      <c r="AU3566" t="s">
        <v>1305</v>
      </c>
      <c r="AV3566" t="s">
        <v>1306</v>
      </c>
      <c r="AW3566" t="s">
        <v>60</v>
      </c>
      <c r="AX3566" t="s">
        <v>68</v>
      </c>
      <c r="AY3566" t="s">
        <v>69</v>
      </c>
      <c r="AZ3566" t="b">
        <v>1</v>
      </c>
    </row>
    <row r="3567" spans="1:52" x14ac:dyDescent="0.3">
      <c r="A3567" t="s">
        <v>52</v>
      </c>
      <c r="B3567" t="s">
        <v>53</v>
      </c>
      <c r="C3567" t="s">
        <v>54</v>
      </c>
      <c r="D3567" t="s">
        <v>55</v>
      </c>
      <c r="E3567" t="s">
        <v>2200</v>
      </c>
      <c r="F3567" t="s">
        <v>1247</v>
      </c>
      <c r="G3567" t="s">
        <v>1307</v>
      </c>
      <c r="H3567" t="s">
        <v>1308</v>
      </c>
      <c r="I3567" t="s">
        <v>1308</v>
      </c>
      <c r="J3567" t="s">
        <v>60</v>
      </c>
      <c r="K3567" t="s">
        <v>1302</v>
      </c>
      <c r="L3567" t="s">
        <v>62</v>
      </c>
      <c r="M3567" t="s">
        <v>1302</v>
      </c>
      <c r="N3567" t="s">
        <v>558</v>
      </c>
      <c r="O3567" t="s">
        <v>1309</v>
      </c>
      <c r="P3567">
        <v>-20.169051</v>
      </c>
      <c r="Q3567">
        <v>-44.910093000000003</v>
      </c>
      <c r="R3567" s="2" t="str">
        <f>HYPERLINK("https://www.google.com/maps?q=-20.1690510,-44.9100930","Abrir no Google Maps")</f>
        <v>Abrir no Google Maps</v>
      </c>
      <c r="S3567">
        <v>3</v>
      </c>
      <c r="T3567">
        <v>375.90504489887479</v>
      </c>
      <c r="U3567">
        <v>2</v>
      </c>
      <c r="V3567">
        <v>0.48269865567044662</v>
      </c>
      <c r="W3567">
        <v>0.85</v>
      </c>
      <c r="X3567">
        <v>0.41029385731987961</v>
      </c>
      <c r="Y3567">
        <v>723</v>
      </c>
      <c r="Z3567">
        <v>456.19893675176831</v>
      </c>
      <c r="AA3567">
        <v>198</v>
      </c>
      <c r="AB3567">
        <v>332</v>
      </c>
      <c r="AC3567">
        <v>536</v>
      </c>
      <c r="AD3567">
        <v>28.54</v>
      </c>
      <c r="AE3567">
        <v>542</v>
      </c>
      <c r="AF3567">
        <v>20</v>
      </c>
      <c r="AG3567">
        <v>181</v>
      </c>
      <c r="AH3567">
        <v>129</v>
      </c>
      <c r="AI3567">
        <v>3.69</v>
      </c>
      <c r="AJ3567">
        <v>33.39</v>
      </c>
      <c r="AK3567">
        <v>23.8</v>
      </c>
      <c r="AL3567">
        <v>-20.168810949999941</v>
      </c>
      <c r="AM3567">
        <v>-44.910156475447927</v>
      </c>
      <c r="AN3567">
        <v>-20.168810949999941</v>
      </c>
      <c r="AO3567">
        <v>-44.910156475447927</v>
      </c>
      <c r="AP3567">
        <v>-20.169051</v>
      </c>
      <c r="AQ3567">
        <v>-44.910093000000003</v>
      </c>
      <c r="AR3567">
        <v>27.533232396417059</v>
      </c>
      <c r="AS3567" t="s">
        <v>65</v>
      </c>
      <c r="AT3567">
        <v>1</v>
      </c>
      <c r="AU3567" t="s">
        <v>1310</v>
      </c>
      <c r="AV3567" t="s">
        <v>1311</v>
      </c>
      <c r="AW3567" t="s">
        <v>60</v>
      </c>
      <c r="AX3567" t="s">
        <v>68</v>
      </c>
      <c r="AY3567" t="s">
        <v>69</v>
      </c>
      <c r="AZ3567" t="b">
        <v>1</v>
      </c>
    </row>
    <row r="3568" spans="1:52" x14ac:dyDescent="0.3">
      <c r="A3568" t="s">
        <v>52</v>
      </c>
      <c r="B3568" t="s">
        <v>53</v>
      </c>
      <c r="C3568" t="s">
        <v>54</v>
      </c>
      <c r="D3568" t="s">
        <v>55</v>
      </c>
      <c r="E3568" t="s">
        <v>2200</v>
      </c>
      <c r="F3568" t="s">
        <v>1247</v>
      </c>
      <c r="G3568" t="s">
        <v>1312</v>
      </c>
      <c r="H3568" t="s">
        <v>1313</v>
      </c>
      <c r="I3568" t="s">
        <v>1313</v>
      </c>
      <c r="J3568" t="s">
        <v>60</v>
      </c>
      <c r="K3568" t="s">
        <v>1314</v>
      </c>
      <c r="L3568" t="s">
        <v>62</v>
      </c>
      <c r="M3568" t="s">
        <v>1314</v>
      </c>
      <c r="N3568" t="s">
        <v>1315</v>
      </c>
      <c r="O3568" t="s">
        <v>315</v>
      </c>
      <c r="P3568">
        <v>-20.179649999999999</v>
      </c>
      <c r="Q3568">
        <v>-44.927177</v>
      </c>
      <c r="R3568" s="2" t="str">
        <f>HYPERLINK("https://www.google.com/maps?q=-20.1796500,-44.9271770","Abrir no Google Maps")</f>
        <v>Abrir no Google Maps</v>
      </c>
      <c r="S3568">
        <v>3</v>
      </c>
      <c r="T3568">
        <v>1742.181438658615</v>
      </c>
      <c r="U3568">
        <v>2</v>
      </c>
      <c r="V3568">
        <v>0.476766574865577</v>
      </c>
      <c r="W3568">
        <v>0.85</v>
      </c>
      <c r="X3568">
        <v>0.40525158863574051</v>
      </c>
      <c r="Y3568">
        <v>723</v>
      </c>
      <c r="Z3568">
        <v>1801.262037027635</v>
      </c>
      <c r="AA3568">
        <v>198</v>
      </c>
      <c r="AB3568">
        <v>332</v>
      </c>
      <c r="AC3568">
        <v>536</v>
      </c>
      <c r="AD3568">
        <v>28.54</v>
      </c>
      <c r="AE3568">
        <v>542</v>
      </c>
      <c r="AF3568">
        <v>20</v>
      </c>
      <c r="AG3568">
        <v>181</v>
      </c>
      <c r="AH3568">
        <v>129</v>
      </c>
      <c r="AI3568">
        <v>3.69</v>
      </c>
      <c r="AJ3568">
        <v>33.39</v>
      </c>
      <c r="AK3568">
        <v>23.8</v>
      </c>
      <c r="AL3568">
        <v>-20.18058599999998</v>
      </c>
      <c r="AM3568">
        <v>-44.926708474999977</v>
      </c>
      <c r="AN3568">
        <v>-20.18058599999998</v>
      </c>
      <c r="AO3568">
        <v>-44.926708474999977</v>
      </c>
      <c r="AP3568">
        <v>-20.179649999999999</v>
      </c>
      <c r="AQ3568">
        <v>-44.927177</v>
      </c>
      <c r="AR3568">
        <v>115.1226868075416</v>
      </c>
      <c r="AS3568" t="s">
        <v>65</v>
      </c>
      <c r="AT3568">
        <v>1</v>
      </c>
      <c r="AU3568" t="s">
        <v>1316</v>
      </c>
      <c r="AV3568" t="s">
        <v>1317</v>
      </c>
      <c r="AW3568" t="s">
        <v>60</v>
      </c>
      <c r="AX3568" t="s">
        <v>68</v>
      </c>
      <c r="AY3568" t="s">
        <v>69</v>
      </c>
      <c r="AZ3568" t="b">
        <v>1</v>
      </c>
    </row>
    <row r="3569" spans="1:52" x14ac:dyDescent="0.3">
      <c r="A3569" t="s">
        <v>52</v>
      </c>
      <c r="B3569" t="s">
        <v>53</v>
      </c>
      <c r="C3569" t="s">
        <v>54</v>
      </c>
      <c r="D3569" t="s">
        <v>55</v>
      </c>
      <c r="E3569" t="s">
        <v>2200</v>
      </c>
      <c r="F3569" t="s">
        <v>1247</v>
      </c>
      <c r="G3569" t="s">
        <v>422</v>
      </c>
      <c r="H3569" t="s">
        <v>1323</v>
      </c>
      <c r="I3569" t="s">
        <v>1323</v>
      </c>
      <c r="J3569" t="s">
        <v>60</v>
      </c>
      <c r="K3569" t="s">
        <v>1324</v>
      </c>
      <c r="L3569" t="s">
        <v>62</v>
      </c>
      <c r="M3569" t="s">
        <v>1324</v>
      </c>
      <c r="N3569" t="s">
        <v>425</v>
      </c>
      <c r="O3569" t="s">
        <v>1325</v>
      </c>
      <c r="P3569">
        <v>-20.175142000000001</v>
      </c>
      <c r="Q3569">
        <v>-44.913783000000002</v>
      </c>
      <c r="R3569" s="2" t="str">
        <f>HYPERLINK("https://www.google.com/maps?q=-20.1751420,-44.9137830","Abrir no Google Maps")</f>
        <v>Abrir no Google Maps</v>
      </c>
      <c r="S3569">
        <v>3</v>
      </c>
      <c r="T3569">
        <v>495.73888273066677</v>
      </c>
      <c r="U3569">
        <v>2</v>
      </c>
      <c r="V3569">
        <v>0.47063101364958609</v>
      </c>
      <c r="W3569">
        <v>0.85</v>
      </c>
      <c r="X3569">
        <v>0.40003636160214823</v>
      </c>
      <c r="Y3569">
        <v>723</v>
      </c>
      <c r="Z3569">
        <v>488.51574748236328</v>
      </c>
      <c r="AA3569">
        <v>198</v>
      </c>
      <c r="AB3569">
        <v>332</v>
      </c>
      <c r="AC3569">
        <v>536</v>
      </c>
      <c r="AD3569">
        <v>28.54</v>
      </c>
      <c r="AE3569">
        <v>542</v>
      </c>
      <c r="AF3569">
        <v>20</v>
      </c>
      <c r="AG3569">
        <v>181</v>
      </c>
      <c r="AH3569">
        <v>129</v>
      </c>
      <c r="AI3569">
        <v>3.69</v>
      </c>
      <c r="AJ3569">
        <v>33.39</v>
      </c>
      <c r="AK3569">
        <v>23.8</v>
      </c>
      <c r="AL3569">
        <v>-20.175195199999958</v>
      </c>
      <c r="AM3569">
        <v>-44.913964122548052</v>
      </c>
      <c r="AN3569">
        <v>-20.175195199999958</v>
      </c>
      <c r="AO3569">
        <v>-44.913964122548052</v>
      </c>
      <c r="AP3569">
        <v>-20.175142000000001</v>
      </c>
      <c r="AQ3569">
        <v>-44.913783000000002</v>
      </c>
      <c r="AR3569">
        <v>19.830402633152101</v>
      </c>
      <c r="AS3569" t="s">
        <v>65</v>
      </c>
      <c r="AT3569">
        <v>1</v>
      </c>
      <c r="AU3569" t="s">
        <v>1326</v>
      </c>
      <c r="AV3569" t="s">
        <v>1327</v>
      </c>
      <c r="AW3569" t="s">
        <v>60</v>
      </c>
      <c r="AX3569" t="s">
        <v>68</v>
      </c>
      <c r="AY3569" t="s">
        <v>69</v>
      </c>
      <c r="AZ3569" t="b">
        <v>1</v>
      </c>
    </row>
    <row r="3570" spans="1:52" x14ac:dyDescent="0.3">
      <c r="A3570" t="s">
        <v>52</v>
      </c>
      <c r="B3570" t="s">
        <v>53</v>
      </c>
      <c r="C3570" t="s">
        <v>54</v>
      </c>
      <c r="D3570" t="s">
        <v>55</v>
      </c>
      <c r="E3570" t="s">
        <v>2200</v>
      </c>
      <c r="F3570" t="s">
        <v>1247</v>
      </c>
      <c r="G3570" t="s">
        <v>1328</v>
      </c>
      <c r="H3570" t="s">
        <v>1329</v>
      </c>
      <c r="I3570" t="s">
        <v>1329</v>
      </c>
      <c r="J3570" t="s">
        <v>60</v>
      </c>
      <c r="K3570" t="s">
        <v>1324</v>
      </c>
      <c r="L3570" t="s">
        <v>62</v>
      </c>
      <c r="M3570" t="s">
        <v>1324</v>
      </c>
      <c r="N3570" t="s">
        <v>1330</v>
      </c>
      <c r="O3570" t="s">
        <v>1331</v>
      </c>
      <c r="P3570">
        <v>-20.172984</v>
      </c>
      <c r="Q3570">
        <v>-44.915225999999997</v>
      </c>
      <c r="R3570" s="2" t="str">
        <f>HYPERLINK("https://www.google.com/maps?q=-20.1729840,-44.9152260","Abrir no Google Maps")</f>
        <v>Abrir no Google Maps</v>
      </c>
      <c r="S3570">
        <v>3</v>
      </c>
      <c r="T3570">
        <v>498.21203543103741</v>
      </c>
      <c r="U3570">
        <v>2</v>
      </c>
      <c r="V3570">
        <v>0.49133175728920409</v>
      </c>
      <c r="W3570">
        <v>0.85</v>
      </c>
      <c r="X3570">
        <v>0.41763199369582349</v>
      </c>
      <c r="Y3570">
        <v>723</v>
      </c>
      <c r="Z3570">
        <v>297.36167326949931</v>
      </c>
      <c r="AA3570">
        <v>198</v>
      </c>
      <c r="AB3570">
        <v>332</v>
      </c>
      <c r="AC3570">
        <v>536</v>
      </c>
      <c r="AD3570">
        <v>28.54</v>
      </c>
      <c r="AE3570">
        <v>542</v>
      </c>
      <c r="AF3570">
        <v>20</v>
      </c>
      <c r="AG3570">
        <v>181</v>
      </c>
      <c r="AH3570">
        <v>129</v>
      </c>
      <c r="AI3570">
        <v>3.69</v>
      </c>
      <c r="AJ3570">
        <v>33.39</v>
      </c>
      <c r="AK3570">
        <v>23.8</v>
      </c>
      <c r="AL3570">
        <v>-20.172838899999959</v>
      </c>
      <c r="AM3570">
        <v>-44.915158011603552</v>
      </c>
      <c r="AN3570">
        <v>-20.172838899999959</v>
      </c>
      <c r="AO3570">
        <v>-44.915158011603552</v>
      </c>
      <c r="AP3570">
        <v>-20.172984</v>
      </c>
      <c r="AQ3570">
        <v>-44.915225999999997</v>
      </c>
      <c r="AR3570">
        <v>17.645788305942119</v>
      </c>
      <c r="AS3570" t="s">
        <v>65</v>
      </c>
      <c r="AT3570">
        <v>1</v>
      </c>
      <c r="AU3570" t="s">
        <v>1332</v>
      </c>
      <c r="AV3570" t="s">
        <v>1327</v>
      </c>
      <c r="AW3570" t="s">
        <v>60</v>
      </c>
      <c r="AX3570" t="s">
        <v>68</v>
      </c>
      <c r="AY3570" t="s">
        <v>69</v>
      </c>
      <c r="AZ3570" t="b">
        <v>1</v>
      </c>
    </row>
    <row r="3571" spans="1:52" x14ac:dyDescent="0.3">
      <c r="A3571" t="s">
        <v>52</v>
      </c>
      <c r="B3571" t="s">
        <v>53</v>
      </c>
      <c r="C3571" t="s">
        <v>54</v>
      </c>
      <c r="D3571" t="s">
        <v>55</v>
      </c>
      <c r="E3571" t="s">
        <v>2200</v>
      </c>
      <c r="F3571" t="s">
        <v>1247</v>
      </c>
      <c r="G3571" t="s">
        <v>1333</v>
      </c>
      <c r="H3571" t="s">
        <v>1334</v>
      </c>
      <c r="I3571" t="s">
        <v>1334</v>
      </c>
      <c r="J3571" t="s">
        <v>60</v>
      </c>
      <c r="K3571" t="s">
        <v>437</v>
      </c>
      <c r="L3571" t="s">
        <v>62</v>
      </c>
      <c r="M3571" t="s">
        <v>437</v>
      </c>
      <c r="N3571" t="s">
        <v>1335</v>
      </c>
      <c r="O3571" t="s">
        <v>807</v>
      </c>
      <c r="P3571">
        <v>-20.148</v>
      </c>
      <c r="Q3571">
        <v>-44.880944999999997</v>
      </c>
      <c r="R3571" s="2" t="str">
        <f>HYPERLINK("https://www.google.com/maps?q=-20.1480000,-44.8809450","Abrir no Google Maps")</f>
        <v>Abrir no Google Maps</v>
      </c>
      <c r="S3571">
        <v>3</v>
      </c>
      <c r="T3571">
        <v>0</v>
      </c>
      <c r="U3571">
        <v>2</v>
      </c>
      <c r="V3571">
        <v>0.46947803577637831</v>
      </c>
      <c r="W3571">
        <v>0.85</v>
      </c>
      <c r="X3571">
        <v>0.39905633040992161</v>
      </c>
      <c r="Y3571">
        <v>653</v>
      </c>
      <c r="Z3571">
        <v>108.2792411420544</v>
      </c>
      <c r="AA3571">
        <v>198</v>
      </c>
      <c r="AB3571">
        <v>332</v>
      </c>
      <c r="AC3571">
        <v>536</v>
      </c>
      <c r="AD3571">
        <v>28.54</v>
      </c>
      <c r="AE3571">
        <v>542</v>
      </c>
      <c r="AF3571">
        <v>20</v>
      </c>
      <c r="AG3571">
        <v>181</v>
      </c>
      <c r="AH3571">
        <v>129</v>
      </c>
      <c r="AI3571">
        <v>3.69</v>
      </c>
      <c r="AJ3571">
        <v>33.39</v>
      </c>
      <c r="AK3571">
        <v>23.8</v>
      </c>
      <c r="AL3571">
        <v>-20.14802099999994</v>
      </c>
      <c r="AM3571">
        <v>-44.880951206225959</v>
      </c>
      <c r="AN3571">
        <v>-20.14802099999994</v>
      </c>
      <c r="AO3571">
        <v>-44.880951206225959</v>
      </c>
      <c r="AP3571">
        <v>-20.148</v>
      </c>
      <c r="AQ3571">
        <v>-44.880944999999997</v>
      </c>
      <c r="AR3571">
        <v>2.4260288619737169</v>
      </c>
      <c r="AS3571" t="s">
        <v>65</v>
      </c>
      <c r="AT3571">
        <v>1</v>
      </c>
      <c r="AU3571" t="s">
        <v>1336</v>
      </c>
      <c r="AV3571" t="s">
        <v>1337</v>
      </c>
      <c r="AW3571" t="s">
        <v>60</v>
      </c>
      <c r="AX3571" t="s">
        <v>68</v>
      </c>
      <c r="AY3571" t="s">
        <v>69</v>
      </c>
      <c r="AZ3571" t="b">
        <v>1</v>
      </c>
    </row>
    <row r="3572" spans="1:52" x14ac:dyDescent="0.3">
      <c r="A3572" t="s">
        <v>52</v>
      </c>
      <c r="B3572" t="s">
        <v>53</v>
      </c>
      <c r="C3572" t="s">
        <v>54</v>
      </c>
      <c r="D3572" t="s">
        <v>55</v>
      </c>
      <c r="E3572" t="s">
        <v>2200</v>
      </c>
      <c r="F3572" t="s">
        <v>1247</v>
      </c>
      <c r="G3572" t="s">
        <v>479</v>
      </c>
      <c r="H3572" t="s">
        <v>1338</v>
      </c>
      <c r="I3572" t="s">
        <v>1338</v>
      </c>
      <c r="J3572" t="s">
        <v>60</v>
      </c>
      <c r="K3572" t="s">
        <v>1302</v>
      </c>
      <c r="L3572" t="s">
        <v>62</v>
      </c>
      <c r="M3572" t="s">
        <v>1302</v>
      </c>
      <c r="N3572" t="s">
        <v>481</v>
      </c>
      <c r="O3572" t="s">
        <v>1339</v>
      </c>
      <c r="P3572">
        <v>-20.165590000000002</v>
      </c>
      <c r="Q3572">
        <v>-44.907876000000002</v>
      </c>
      <c r="R3572" s="2" t="str">
        <f>HYPERLINK("https://www.google.com/maps?q=-20.1655900,-44.9078760","Abrir no Google Maps")</f>
        <v>Abrir no Google Maps</v>
      </c>
      <c r="S3572">
        <v>3</v>
      </c>
      <c r="T3572">
        <v>626.07643944893005</v>
      </c>
      <c r="U3572">
        <v>2</v>
      </c>
      <c r="V3572">
        <v>0.4724880382775119</v>
      </c>
      <c r="W3572">
        <v>0.85</v>
      </c>
      <c r="X3572">
        <v>0.40161483253588509</v>
      </c>
      <c r="Y3572">
        <v>639</v>
      </c>
      <c r="Z3572">
        <v>723.2656461789519</v>
      </c>
      <c r="AA3572">
        <v>198</v>
      </c>
      <c r="AB3572">
        <v>332</v>
      </c>
      <c r="AC3572">
        <v>536</v>
      </c>
      <c r="AD3572">
        <v>28.54</v>
      </c>
      <c r="AE3572">
        <v>542</v>
      </c>
      <c r="AF3572">
        <v>20</v>
      </c>
      <c r="AG3572">
        <v>181</v>
      </c>
      <c r="AH3572">
        <v>129</v>
      </c>
      <c r="AI3572">
        <v>3.69</v>
      </c>
      <c r="AJ3572">
        <v>33.39</v>
      </c>
      <c r="AK3572">
        <v>23.8</v>
      </c>
      <c r="AL3572">
        <v>-20.16561419999994</v>
      </c>
      <c r="AM3572">
        <v>-44.907783360572083</v>
      </c>
      <c r="AN3572">
        <v>-20.16561419999994</v>
      </c>
      <c r="AO3572">
        <v>-44.907783360572083</v>
      </c>
      <c r="AP3572">
        <v>-20.165590000000002</v>
      </c>
      <c r="AQ3572">
        <v>-44.907876000000002</v>
      </c>
      <c r="AR3572">
        <v>10.04831364257741</v>
      </c>
      <c r="AS3572" t="s">
        <v>65</v>
      </c>
      <c r="AT3572">
        <v>1</v>
      </c>
      <c r="AU3572" t="s">
        <v>1340</v>
      </c>
      <c r="AV3572" t="s">
        <v>1341</v>
      </c>
      <c r="AW3572" t="s">
        <v>60</v>
      </c>
      <c r="AX3572" t="s">
        <v>68</v>
      </c>
      <c r="AY3572" t="s">
        <v>69</v>
      </c>
      <c r="AZ3572" t="b">
        <v>1</v>
      </c>
    </row>
    <row r="3573" spans="1:52" x14ac:dyDescent="0.3">
      <c r="A3573" t="s">
        <v>52</v>
      </c>
      <c r="B3573" t="s">
        <v>53</v>
      </c>
      <c r="C3573" t="s">
        <v>54</v>
      </c>
      <c r="D3573" t="s">
        <v>55</v>
      </c>
      <c r="E3573" t="s">
        <v>2200</v>
      </c>
      <c r="F3573" t="s">
        <v>1247</v>
      </c>
      <c r="G3573" t="s">
        <v>1342</v>
      </c>
      <c r="H3573" t="s">
        <v>1343</v>
      </c>
      <c r="I3573" t="s">
        <v>1343</v>
      </c>
      <c r="J3573" t="s">
        <v>60</v>
      </c>
      <c r="K3573" t="s">
        <v>462</v>
      </c>
      <c r="L3573" t="s">
        <v>62</v>
      </c>
      <c r="M3573" t="s">
        <v>462</v>
      </c>
      <c r="N3573" t="s">
        <v>921</v>
      </c>
      <c r="O3573" t="s">
        <v>1344</v>
      </c>
      <c r="P3573">
        <v>-20.137526000000001</v>
      </c>
      <c r="Q3573">
        <v>-44.912452999999999</v>
      </c>
      <c r="R3573" s="2" t="str">
        <f>HYPERLINK("https://www.google.com/maps?q=-20.1375260,-44.9124530","Abrir no Google Maps")</f>
        <v>Abrir no Google Maps</v>
      </c>
      <c r="S3573">
        <v>3</v>
      </c>
      <c r="T3573">
        <v>446.95091416730708</v>
      </c>
      <c r="U3573">
        <v>2</v>
      </c>
      <c r="V3573">
        <v>0.48487049140643912</v>
      </c>
      <c r="W3573">
        <v>0.85</v>
      </c>
      <c r="X3573">
        <v>0.41213991769547331</v>
      </c>
      <c r="Y3573">
        <v>581</v>
      </c>
      <c r="Z3573">
        <v>507.4747778269288</v>
      </c>
      <c r="AA3573">
        <v>198</v>
      </c>
      <c r="AB3573">
        <v>332</v>
      </c>
      <c r="AC3573">
        <v>536</v>
      </c>
      <c r="AD3573">
        <v>28.54</v>
      </c>
      <c r="AE3573">
        <v>542</v>
      </c>
      <c r="AF3573">
        <v>20</v>
      </c>
      <c r="AG3573">
        <v>181</v>
      </c>
      <c r="AH3573">
        <v>129</v>
      </c>
      <c r="AI3573">
        <v>3.69</v>
      </c>
      <c r="AJ3573">
        <v>33.39</v>
      </c>
      <c r="AK3573">
        <v>23.8</v>
      </c>
      <c r="AL3573">
        <v>-20.136672649999959</v>
      </c>
      <c r="AM3573">
        <v>-44.911825104396357</v>
      </c>
      <c r="AN3573">
        <v>-20.136672649999959</v>
      </c>
      <c r="AO3573">
        <v>-44.911825104396357</v>
      </c>
      <c r="AP3573">
        <v>-20.137526000000001</v>
      </c>
      <c r="AQ3573">
        <v>-44.912452999999999</v>
      </c>
      <c r="AR3573">
        <v>115.45843265992529</v>
      </c>
      <c r="AS3573" t="s">
        <v>65</v>
      </c>
      <c r="AT3573">
        <v>1</v>
      </c>
      <c r="AU3573" t="s">
        <v>1345</v>
      </c>
      <c r="AV3573" t="s">
        <v>1346</v>
      </c>
      <c r="AW3573" t="s">
        <v>60</v>
      </c>
      <c r="AX3573" t="s">
        <v>68</v>
      </c>
      <c r="AY3573" t="s">
        <v>69</v>
      </c>
      <c r="AZ3573" t="b">
        <v>1</v>
      </c>
    </row>
    <row r="3574" spans="1:52" x14ac:dyDescent="0.3">
      <c r="A3574" t="s">
        <v>52</v>
      </c>
      <c r="B3574" t="s">
        <v>53</v>
      </c>
      <c r="C3574" t="s">
        <v>54</v>
      </c>
      <c r="D3574" t="s">
        <v>55</v>
      </c>
      <c r="E3574" t="s">
        <v>2200</v>
      </c>
      <c r="F3574" t="s">
        <v>1247</v>
      </c>
      <c r="G3574" t="s">
        <v>851</v>
      </c>
      <c r="H3574" t="s">
        <v>852</v>
      </c>
      <c r="I3574" t="s">
        <v>852</v>
      </c>
      <c r="J3574" t="s">
        <v>60</v>
      </c>
      <c r="K3574" t="s">
        <v>853</v>
      </c>
      <c r="L3574" t="s">
        <v>62</v>
      </c>
      <c r="M3574" t="s">
        <v>853</v>
      </c>
      <c r="N3574" t="s">
        <v>854</v>
      </c>
      <c r="O3574" t="s">
        <v>855</v>
      </c>
      <c r="P3574">
        <v>-20.127835000000001</v>
      </c>
      <c r="Q3574">
        <v>-44.909329</v>
      </c>
      <c r="R3574" s="2" t="str">
        <f>HYPERLINK("https://www.google.com/maps?q=-20.1278350,-44.9093290","Abrir no Google Maps")</f>
        <v>Abrir no Google Maps</v>
      </c>
      <c r="S3574">
        <v>3</v>
      </c>
      <c r="T3574">
        <v>1173.033690896357</v>
      </c>
      <c r="U3574">
        <v>2</v>
      </c>
      <c r="V3574">
        <v>0.41847826086956519</v>
      </c>
      <c r="W3574">
        <v>1</v>
      </c>
      <c r="X3574">
        <v>0.41847826086956519</v>
      </c>
      <c r="Y3574">
        <v>581</v>
      </c>
      <c r="Z3574">
        <v>1296.5011565926129</v>
      </c>
      <c r="AA3574">
        <v>198</v>
      </c>
      <c r="AB3574">
        <v>332</v>
      </c>
      <c r="AC3574">
        <v>536</v>
      </c>
      <c r="AD3574">
        <v>28.54</v>
      </c>
      <c r="AE3574">
        <v>542</v>
      </c>
      <c r="AF3574">
        <v>20</v>
      </c>
      <c r="AG3574">
        <v>181</v>
      </c>
      <c r="AH3574">
        <v>129</v>
      </c>
      <c r="AI3574">
        <v>3.69</v>
      </c>
      <c r="AJ3574">
        <v>33.39</v>
      </c>
      <c r="AK3574">
        <v>23.8</v>
      </c>
      <c r="AL3574">
        <v>-20.127852899999969</v>
      </c>
      <c r="AM3574">
        <v>-44.909386667699948</v>
      </c>
      <c r="AN3574">
        <v>-20.127852899999969</v>
      </c>
      <c r="AO3574">
        <v>-44.909386667699948</v>
      </c>
      <c r="AP3574">
        <v>-20.127835000000001</v>
      </c>
      <c r="AQ3574">
        <v>-44.909329</v>
      </c>
      <c r="AR3574">
        <v>6.3483385067119924</v>
      </c>
      <c r="AS3574" t="s">
        <v>65</v>
      </c>
      <c r="AT3574">
        <v>1</v>
      </c>
      <c r="AU3574" t="s">
        <v>856</v>
      </c>
      <c r="AV3574" t="s">
        <v>857</v>
      </c>
      <c r="AW3574" t="s">
        <v>60</v>
      </c>
      <c r="AX3574" t="s">
        <v>68</v>
      </c>
      <c r="AY3574" t="s">
        <v>69</v>
      </c>
      <c r="AZ3574" t="b">
        <v>1</v>
      </c>
    </row>
    <row r="3575" spans="1:52" x14ac:dyDescent="0.3">
      <c r="A3575" t="s">
        <v>52</v>
      </c>
      <c r="B3575" t="s">
        <v>53</v>
      </c>
      <c r="C3575" t="s">
        <v>54</v>
      </c>
      <c r="D3575" t="s">
        <v>55</v>
      </c>
      <c r="E3575" t="s">
        <v>2200</v>
      </c>
      <c r="F3575" t="s">
        <v>1247</v>
      </c>
      <c r="G3575" t="s">
        <v>858</v>
      </c>
      <c r="H3575" t="s">
        <v>1360</v>
      </c>
      <c r="I3575" t="s">
        <v>1360</v>
      </c>
      <c r="J3575" t="s">
        <v>60</v>
      </c>
      <c r="K3575" t="s">
        <v>1356</v>
      </c>
      <c r="L3575" t="s">
        <v>62</v>
      </c>
      <c r="M3575" t="s">
        <v>1356</v>
      </c>
      <c r="N3575" t="s">
        <v>860</v>
      </c>
      <c r="O3575" t="s">
        <v>1361</v>
      </c>
      <c r="P3575">
        <v>-20.134969000000002</v>
      </c>
      <c r="Q3575">
        <v>-44.909384000000003</v>
      </c>
      <c r="R3575" s="2" t="str">
        <f>HYPERLINK("https://www.google.com/maps?q=-20.1349690,-44.9093840","Abrir no Google Maps")</f>
        <v>Abrir no Google Maps</v>
      </c>
      <c r="S3575">
        <v>3</v>
      </c>
      <c r="T3575">
        <v>413.6655911675532</v>
      </c>
      <c r="U3575">
        <v>2</v>
      </c>
      <c r="V3575">
        <v>0.4948946758762709</v>
      </c>
      <c r="W3575">
        <v>0.85</v>
      </c>
      <c r="X3575">
        <v>0.42066047449483018</v>
      </c>
      <c r="Y3575">
        <v>581</v>
      </c>
      <c r="Z3575">
        <v>555.30228470489919</v>
      </c>
      <c r="AA3575">
        <v>198</v>
      </c>
      <c r="AB3575">
        <v>332</v>
      </c>
      <c r="AC3575">
        <v>536</v>
      </c>
      <c r="AD3575">
        <v>28.54</v>
      </c>
      <c r="AE3575">
        <v>542</v>
      </c>
      <c r="AF3575">
        <v>20</v>
      </c>
      <c r="AG3575">
        <v>181</v>
      </c>
      <c r="AH3575">
        <v>129</v>
      </c>
      <c r="AI3575">
        <v>3.69</v>
      </c>
      <c r="AJ3575">
        <v>33.39</v>
      </c>
      <c r="AK3575">
        <v>23.8</v>
      </c>
      <c r="AL3575">
        <v>-20.134922099999951</v>
      </c>
      <c r="AM3575">
        <v>-44.909483975879112</v>
      </c>
      <c r="AN3575">
        <v>-20.134922099999951</v>
      </c>
      <c r="AO3575">
        <v>-44.909483975879112</v>
      </c>
      <c r="AP3575">
        <v>-20.134969000000002</v>
      </c>
      <c r="AQ3575">
        <v>-44.909384000000003</v>
      </c>
      <c r="AR3575">
        <v>11.68085867639515</v>
      </c>
      <c r="AS3575" t="s">
        <v>65</v>
      </c>
      <c r="AT3575">
        <v>1</v>
      </c>
      <c r="AU3575" t="s">
        <v>1362</v>
      </c>
      <c r="AV3575" t="s">
        <v>1363</v>
      </c>
      <c r="AW3575" t="s">
        <v>60</v>
      </c>
      <c r="AX3575" t="s">
        <v>68</v>
      </c>
      <c r="AY3575" t="s">
        <v>69</v>
      </c>
      <c r="AZ3575" t="b">
        <v>1</v>
      </c>
    </row>
    <row r="3576" spans="1:52" x14ac:dyDescent="0.3">
      <c r="A3576" t="s">
        <v>52</v>
      </c>
      <c r="B3576" t="s">
        <v>53</v>
      </c>
      <c r="C3576" t="s">
        <v>54</v>
      </c>
      <c r="D3576" t="s">
        <v>55</v>
      </c>
      <c r="E3576" t="s">
        <v>2200</v>
      </c>
      <c r="F3576" t="s">
        <v>1247</v>
      </c>
      <c r="G3576" t="s">
        <v>1364</v>
      </c>
      <c r="H3576" t="s">
        <v>1369</v>
      </c>
      <c r="I3576" t="s">
        <v>1369</v>
      </c>
      <c r="J3576" t="s">
        <v>60</v>
      </c>
      <c r="K3576" t="s">
        <v>1370</v>
      </c>
      <c r="L3576" t="s">
        <v>62</v>
      </c>
      <c r="M3576" t="s">
        <v>1370</v>
      </c>
      <c r="N3576" t="s">
        <v>1366</v>
      </c>
      <c r="O3576" t="s">
        <v>989</v>
      </c>
      <c r="P3576">
        <v>-20.141185</v>
      </c>
      <c r="Q3576">
        <v>-44.914200999999998</v>
      </c>
      <c r="R3576" s="2" t="str">
        <f>HYPERLINK("https://www.google.com/maps?q=-20.1411850,-44.9142010","Abrir no Google Maps")</f>
        <v>Abrir no Google Maps</v>
      </c>
      <c r="S3576">
        <v>3</v>
      </c>
      <c r="T3576">
        <v>512.52588459346453</v>
      </c>
      <c r="U3576">
        <v>2</v>
      </c>
      <c r="V3576">
        <v>0.47378657196008789</v>
      </c>
      <c r="W3576">
        <v>0.85</v>
      </c>
      <c r="X3576">
        <v>0.4027185861660747</v>
      </c>
      <c r="Y3576">
        <v>581</v>
      </c>
      <c r="Z3576">
        <v>473.10673043319349</v>
      </c>
      <c r="AA3576">
        <v>198</v>
      </c>
      <c r="AB3576">
        <v>332</v>
      </c>
      <c r="AC3576">
        <v>536</v>
      </c>
      <c r="AD3576">
        <v>28.54</v>
      </c>
      <c r="AE3576">
        <v>542</v>
      </c>
      <c r="AF3576">
        <v>20</v>
      </c>
      <c r="AG3576">
        <v>181</v>
      </c>
      <c r="AH3576">
        <v>129</v>
      </c>
      <c r="AI3576">
        <v>3.69</v>
      </c>
      <c r="AJ3576">
        <v>33.39</v>
      </c>
      <c r="AK3576">
        <v>23.8</v>
      </c>
      <c r="AL3576">
        <v>-20.14133909999995</v>
      </c>
      <c r="AM3576">
        <v>-44.913910219286038</v>
      </c>
      <c r="AN3576">
        <v>-20.14133909999995</v>
      </c>
      <c r="AO3576">
        <v>-44.913910219286038</v>
      </c>
      <c r="AP3576">
        <v>-20.141185</v>
      </c>
      <c r="AQ3576">
        <v>-44.914200999999998</v>
      </c>
      <c r="AR3576">
        <v>34.897514361429593</v>
      </c>
      <c r="AS3576" t="s">
        <v>65</v>
      </c>
      <c r="AT3576">
        <v>1</v>
      </c>
      <c r="AU3576" t="s">
        <v>1371</v>
      </c>
      <c r="AV3576" t="s">
        <v>863</v>
      </c>
      <c r="AW3576" t="s">
        <v>60</v>
      </c>
      <c r="AX3576" t="s">
        <v>68</v>
      </c>
      <c r="AY3576" t="s">
        <v>69</v>
      </c>
      <c r="AZ3576" t="b">
        <v>1</v>
      </c>
    </row>
    <row r="3577" spans="1:52" x14ac:dyDescent="0.3">
      <c r="A3577" t="s">
        <v>52</v>
      </c>
      <c r="B3577" t="s">
        <v>53</v>
      </c>
      <c r="C3577" t="s">
        <v>54</v>
      </c>
      <c r="D3577" t="s">
        <v>55</v>
      </c>
      <c r="E3577" t="s">
        <v>2200</v>
      </c>
      <c r="F3577" t="s">
        <v>1247</v>
      </c>
      <c r="G3577" t="s">
        <v>1300</v>
      </c>
      <c r="H3577" t="s">
        <v>1372</v>
      </c>
      <c r="I3577" t="s">
        <v>1372</v>
      </c>
      <c r="J3577" t="s">
        <v>60</v>
      </c>
      <c r="K3577" t="s">
        <v>486</v>
      </c>
      <c r="L3577" t="s">
        <v>62</v>
      </c>
      <c r="M3577" t="s">
        <v>486</v>
      </c>
      <c r="N3577" t="s">
        <v>1303</v>
      </c>
      <c r="O3577" t="s">
        <v>1373</v>
      </c>
      <c r="P3577">
        <v>-20.170458</v>
      </c>
      <c r="Q3577">
        <v>-44.900936000000002</v>
      </c>
      <c r="R3577" s="2" t="str">
        <f>HYPERLINK("https://www.google.com/maps?q=-20.1704580,-44.9009360","Abrir no Google Maps")</f>
        <v>Abrir no Google Maps</v>
      </c>
      <c r="S3577">
        <v>3</v>
      </c>
      <c r="T3577">
        <v>470.55793133653339</v>
      </c>
      <c r="U3577">
        <v>2</v>
      </c>
      <c r="V3577">
        <v>0.48095855075550498</v>
      </c>
      <c r="W3577">
        <v>0.85</v>
      </c>
      <c r="X3577">
        <v>0.40881476814217921</v>
      </c>
      <c r="Y3577">
        <v>578</v>
      </c>
      <c r="Z3577">
        <v>645.48909402437766</v>
      </c>
      <c r="AA3577">
        <v>198</v>
      </c>
      <c r="AB3577">
        <v>332</v>
      </c>
      <c r="AC3577">
        <v>536</v>
      </c>
      <c r="AD3577">
        <v>28.54</v>
      </c>
      <c r="AE3577">
        <v>542</v>
      </c>
      <c r="AF3577">
        <v>20</v>
      </c>
      <c r="AG3577">
        <v>181</v>
      </c>
      <c r="AH3577">
        <v>129</v>
      </c>
      <c r="AI3577">
        <v>3.69</v>
      </c>
      <c r="AJ3577">
        <v>33.39</v>
      </c>
      <c r="AK3577">
        <v>23.8</v>
      </c>
      <c r="AL3577">
        <v>-20.17025029999996</v>
      </c>
      <c r="AM3577">
        <v>-44.901067235372473</v>
      </c>
      <c r="AN3577">
        <v>-20.17025029999996</v>
      </c>
      <c r="AO3577">
        <v>-44.901067235372473</v>
      </c>
      <c r="AP3577">
        <v>-20.170458</v>
      </c>
      <c r="AQ3577">
        <v>-44.900936000000002</v>
      </c>
      <c r="AR3577">
        <v>26.88195352459519</v>
      </c>
      <c r="AS3577" t="s">
        <v>65</v>
      </c>
      <c r="AT3577">
        <v>1</v>
      </c>
      <c r="AU3577" t="s">
        <v>1374</v>
      </c>
      <c r="AV3577" t="s">
        <v>1375</v>
      </c>
      <c r="AW3577" t="s">
        <v>60</v>
      </c>
      <c r="AX3577" t="s">
        <v>68</v>
      </c>
      <c r="AY3577" t="s">
        <v>69</v>
      </c>
      <c r="AZ3577" t="b">
        <v>1</v>
      </c>
    </row>
    <row r="3578" spans="1:52" x14ac:dyDescent="0.3">
      <c r="A3578" t="s">
        <v>52</v>
      </c>
      <c r="B3578" t="s">
        <v>53</v>
      </c>
      <c r="C3578" t="s">
        <v>54</v>
      </c>
      <c r="D3578" t="s">
        <v>55</v>
      </c>
      <c r="E3578" t="s">
        <v>2200</v>
      </c>
      <c r="F3578" t="s">
        <v>1247</v>
      </c>
      <c r="G3578" t="s">
        <v>1376</v>
      </c>
      <c r="H3578" t="s">
        <v>1377</v>
      </c>
      <c r="I3578" t="s">
        <v>1377</v>
      </c>
      <c r="J3578" t="s">
        <v>60</v>
      </c>
      <c r="K3578" t="s">
        <v>475</v>
      </c>
      <c r="L3578" t="s">
        <v>62</v>
      </c>
      <c r="M3578" t="s">
        <v>475</v>
      </c>
      <c r="N3578" t="s">
        <v>1378</v>
      </c>
      <c r="O3578" t="s">
        <v>1379</v>
      </c>
      <c r="P3578">
        <v>-20.175298000000002</v>
      </c>
      <c r="Q3578">
        <v>-44.904794000000003</v>
      </c>
      <c r="R3578" s="2" t="str">
        <f>HYPERLINK("https://www.google.com/maps?q=-20.1752980,-44.9047940","Abrir no Google Maps")</f>
        <v>Abrir no Google Maps</v>
      </c>
      <c r="S3578">
        <v>3</v>
      </c>
      <c r="T3578">
        <v>497.7557906927301</v>
      </c>
      <c r="U3578">
        <v>2</v>
      </c>
      <c r="V3578">
        <v>0.45080313965638741</v>
      </c>
      <c r="W3578">
        <v>0.85</v>
      </c>
      <c r="X3578">
        <v>0.38318266870792927</v>
      </c>
      <c r="Y3578">
        <v>578</v>
      </c>
      <c r="Z3578">
        <v>363.80816567363502</v>
      </c>
      <c r="AA3578">
        <v>198</v>
      </c>
      <c r="AB3578">
        <v>332</v>
      </c>
      <c r="AC3578">
        <v>536</v>
      </c>
      <c r="AD3578">
        <v>28.54</v>
      </c>
      <c r="AE3578">
        <v>542</v>
      </c>
      <c r="AF3578">
        <v>20</v>
      </c>
      <c r="AG3578">
        <v>181</v>
      </c>
      <c r="AH3578">
        <v>129</v>
      </c>
      <c r="AI3578">
        <v>3.69</v>
      </c>
      <c r="AJ3578">
        <v>33.39</v>
      </c>
      <c r="AK3578">
        <v>23.8</v>
      </c>
      <c r="AL3578">
        <v>-20.17530484999995</v>
      </c>
      <c r="AM3578">
        <v>-44.904834224351781</v>
      </c>
      <c r="AN3578">
        <v>-20.17530484999995</v>
      </c>
      <c r="AO3578">
        <v>-44.904834224351781</v>
      </c>
      <c r="AP3578">
        <v>-20.175298000000002</v>
      </c>
      <c r="AQ3578">
        <v>-44.904794000000003</v>
      </c>
      <c r="AR3578">
        <v>4.2716392411563806</v>
      </c>
      <c r="AS3578" t="s">
        <v>65</v>
      </c>
      <c r="AT3578">
        <v>1</v>
      </c>
      <c r="AU3578" t="s">
        <v>1380</v>
      </c>
      <c r="AV3578" t="s">
        <v>1381</v>
      </c>
      <c r="AW3578" t="s">
        <v>60</v>
      </c>
      <c r="AX3578" t="s">
        <v>68</v>
      </c>
      <c r="AY3578" t="s">
        <v>69</v>
      </c>
      <c r="AZ3578" t="b">
        <v>1</v>
      </c>
    </row>
    <row r="3579" spans="1:52" x14ac:dyDescent="0.3">
      <c r="A3579" t="s">
        <v>52</v>
      </c>
      <c r="B3579" t="s">
        <v>53</v>
      </c>
      <c r="C3579" t="s">
        <v>54</v>
      </c>
      <c r="D3579" t="s">
        <v>55</v>
      </c>
      <c r="E3579" t="s">
        <v>2200</v>
      </c>
      <c r="F3579" t="s">
        <v>1247</v>
      </c>
      <c r="G3579" t="s">
        <v>870</v>
      </c>
      <c r="H3579" t="s">
        <v>871</v>
      </c>
      <c r="I3579" t="s">
        <v>871</v>
      </c>
      <c r="J3579" t="s">
        <v>60</v>
      </c>
      <c r="K3579" t="s">
        <v>475</v>
      </c>
      <c r="L3579" t="s">
        <v>62</v>
      </c>
      <c r="M3579" t="s">
        <v>475</v>
      </c>
      <c r="N3579" t="s">
        <v>872</v>
      </c>
      <c r="O3579" t="s">
        <v>507</v>
      </c>
      <c r="P3579">
        <v>-20.176269999999999</v>
      </c>
      <c r="Q3579">
        <v>-44.909323999999998</v>
      </c>
      <c r="R3579" s="2" t="str">
        <f>HYPERLINK("https://www.google.com/maps?q=-20.1762700,-44.9093240","Abrir no Google Maps")</f>
        <v>Abrir no Google Maps</v>
      </c>
      <c r="S3579">
        <v>3</v>
      </c>
      <c r="T3579">
        <v>472.42731136821368</v>
      </c>
      <c r="U3579">
        <v>2</v>
      </c>
      <c r="V3579">
        <v>0.43520675417514021</v>
      </c>
      <c r="W3579">
        <v>1</v>
      </c>
      <c r="X3579">
        <v>0.43520675417514021</v>
      </c>
      <c r="Y3579">
        <v>578</v>
      </c>
      <c r="Z3579">
        <v>495.19726726344601</v>
      </c>
      <c r="AA3579">
        <v>198</v>
      </c>
      <c r="AB3579">
        <v>332</v>
      </c>
      <c r="AC3579">
        <v>536</v>
      </c>
      <c r="AD3579">
        <v>28.54</v>
      </c>
      <c r="AE3579">
        <v>542</v>
      </c>
      <c r="AF3579">
        <v>20</v>
      </c>
      <c r="AG3579">
        <v>181</v>
      </c>
      <c r="AH3579">
        <v>129</v>
      </c>
      <c r="AI3579">
        <v>3.69</v>
      </c>
      <c r="AJ3579">
        <v>33.39</v>
      </c>
      <c r="AK3579">
        <v>23.8</v>
      </c>
      <c r="AL3579">
        <v>-20.17630284999996</v>
      </c>
      <c r="AM3579">
        <v>-44.909199064318948</v>
      </c>
      <c r="AN3579">
        <v>-20.17630284999996</v>
      </c>
      <c r="AO3579">
        <v>-44.909199064318948</v>
      </c>
      <c r="AP3579">
        <v>-20.176269999999999</v>
      </c>
      <c r="AQ3579">
        <v>-44.909323999999998</v>
      </c>
      <c r="AR3579">
        <v>13.55691308737447</v>
      </c>
      <c r="AS3579" t="s">
        <v>65</v>
      </c>
      <c r="AT3579">
        <v>1</v>
      </c>
      <c r="AU3579" t="s">
        <v>873</v>
      </c>
      <c r="AV3579" t="s">
        <v>874</v>
      </c>
      <c r="AW3579" t="s">
        <v>60</v>
      </c>
      <c r="AX3579" t="s">
        <v>68</v>
      </c>
      <c r="AY3579" t="s">
        <v>69</v>
      </c>
      <c r="AZ3579" t="b">
        <v>1</v>
      </c>
    </row>
    <row r="3580" spans="1:52" x14ac:dyDescent="0.3">
      <c r="A3580" t="s">
        <v>52</v>
      </c>
      <c r="B3580" t="s">
        <v>53</v>
      </c>
      <c r="C3580" t="s">
        <v>54</v>
      </c>
      <c r="D3580" t="s">
        <v>55</v>
      </c>
      <c r="E3580" t="s">
        <v>2200</v>
      </c>
      <c r="F3580" t="s">
        <v>1247</v>
      </c>
      <c r="G3580" t="s">
        <v>1382</v>
      </c>
      <c r="H3580" t="s">
        <v>1383</v>
      </c>
      <c r="I3580" t="s">
        <v>1383</v>
      </c>
      <c r="J3580" t="s">
        <v>60</v>
      </c>
      <c r="K3580" t="s">
        <v>1384</v>
      </c>
      <c r="L3580" t="s">
        <v>62</v>
      </c>
      <c r="M3580" t="s">
        <v>1384</v>
      </c>
      <c r="N3580" t="s">
        <v>1385</v>
      </c>
      <c r="O3580" t="s">
        <v>1379</v>
      </c>
      <c r="P3580">
        <v>-20.168914999999998</v>
      </c>
      <c r="Q3580">
        <v>-44.897015000000003</v>
      </c>
      <c r="R3580" s="2" t="str">
        <f>HYPERLINK("https://www.google.com/maps?q=-20.1689150,-44.8970150","Abrir no Google Maps")</f>
        <v>Abrir no Google Maps</v>
      </c>
      <c r="S3580">
        <v>3</v>
      </c>
      <c r="T3580">
        <v>1082.4313448281291</v>
      </c>
      <c r="U3580">
        <v>2</v>
      </c>
      <c r="V3580">
        <v>0.4542815957612592</v>
      </c>
      <c r="W3580">
        <v>0.85</v>
      </c>
      <c r="X3580">
        <v>0.38613935639707031</v>
      </c>
      <c r="Y3580">
        <v>578</v>
      </c>
      <c r="Z3580">
        <v>1085.6751638476369</v>
      </c>
      <c r="AA3580">
        <v>198</v>
      </c>
      <c r="AB3580">
        <v>332</v>
      </c>
      <c r="AC3580">
        <v>536</v>
      </c>
      <c r="AD3580">
        <v>28.54</v>
      </c>
      <c r="AE3580">
        <v>542</v>
      </c>
      <c r="AF3580">
        <v>20</v>
      </c>
      <c r="AG3580">
        <v>181</v>
      </c>
      <c r="AH3580">
        <v>129</v>
      </c>
      <c r="AI3580">
        <v>3.69</v>
      </c>
      <c r="AJ3580">
        <v>33.39</v>
      </c>
      <c r="AK3580">
        <v>23.8</v>
      </c>
      <c r="AL3580">
        <v>-20.168195549999979</v>
      </c>
      <c r="AM3580">
        <v>-44.895555997240763</v>
      </c>
      <c r="AN3580">
        <v>-20.168195549999979</v>
      </c>
      <c r="AO3580">
        <v>-44.895555997240763</v>
      </c>
      <c r="AP3580">
        <v>-20.168914999999998</v>
      </c>
      <c r="AQ3580">
        <v>-44.897015000000003</v>
      </c>
      <c r="AR3580">
        <v>172.21377736735809</v>
      </c>
      <c r="AS3580" t="s">
        <v>65</v>
      </c>
      <c r="AT3580">
        <v>1</v>
      </c>
      <c r="AU3580" t="s">
        <v>1386</v>
      </c>
      <c r="AV3580" t="s">
        <v>1387</v>
      </c>
      <c r="AW3580" t="s">
        <v>60</v>
      </c>
      <c r="AX3580" t="s">
        <v>68</v>
      </c>
      <c r="AY3580" t="s">
        <v>69</v>
      </c>
      <c r="AZ3580" t="b">
        <v>1</v>
      </c>
    </row>
    <row r="3581" spans="1:52" x14ac:dyDescent="0.3">
      <c r="A3581" t="s">
        <v>52</v>
      </c>
      <c r="B3581" t="s">
        <v>53</v>
      </c>
      <c r="C3581" t="s">
        <v>54</v>
      </c>
      <c r="D3581" t="s">
        <v>55</v>
      </c>
      <c r="E3581" t="s">
        <v>2200</v>
      </c>
      <c r="F3581" t="s">
        <v>1247</v>
      </c>
      <c r="G3581" t="s">
        <v>1424</v>
      </c>
      <c r="H3581" t="s">
        <v>1425</v>
      </c>
      <c r="I3581" t="s">
        <v>1425</v>
      </c>
      <c r="J3581" t="s">
        <v>60</v>
      </c>
      <c r="K3581" t="s">
        <v>1324</v>
      </c>
      <c r="L3581" t="s">
        <v>62</v>
      </c>
      <c r="M3581" t="s">
        <v>1324</v>
      </c>
      <c r="N3581" t="s">
        <v>1426</v>
      </c>
      <c r="O3581" t="s">
        <v>938</v>
      </c>
      <c r="P3581">
        <v>-20.172844999999999</v>
      </c>
      <c r="Q3581">
        <v>-44.909215000000003</v>
      </c>
      <c r="R3581" s="2" t="str">
        <f>HYPERLINK("https://www.google.com/maps?q=-20.1728450,-44.9092150","Abrir no Google Maps")</f>
        <v>Abrir no Google Maps</v>
      </c>
      <c r="S3581">
        <v>3</v>
      </c>
      <c r="T3581">
        <v>0</v>
      </c>
      <c r="U3581">
        <v>2</v>
      </c>
      <c r="V3581">
        <v>0.47916666666666657</v>
      </c>
      <c r="W3581">
        <v>0.85</v>
      </c>
      <c r="X3581">
        <v>0.40729166666666661</v>
      </c>
      <c r="Y3581">
        <v>578</v>
      </c>
      <c r="Z3581">
        <v>365.56549317689053</v>
      </c>
      <c r="AA3581">
        <v>198</v>
      </c>
      <c r="AB3581">
        <v>332</v>
      </c>
      <c r="AC3581">
        <v>536</v>
      </c>
      <c r="AD3581">
        <v>28.54</v>
      </c>
      <c r="AE3581">
        <v>542</v>
      </c>
      <c r="AF3581">
        <v>20</v>
      </c>
      <c r="AG3581">
        <v>181</v>
      </c>
      <c r="AH3581">
        <v>129</v>
      </c>
      <c r="AI3581">
        <v>3.69</v>
      </c>
      <c r="AJ3581">
        <v>33.39</v>
      </c>
      <c r="AK3581">
        <v>23.8</v>
      </c>
      <c r="AL3581">
        <v>-20.172197349999941</v>
      </c>
      <c r="AM3581">
        <v>-44.910438675762883</v>
      </c>
      <c r="AN3581">
        <v>-20.172197349999941</v>
      </c>
      <c r="AO3581">
        <v>-44.910438675762883</v>
      </c>
      <c r="AP3581">
        <v>-20.172844999999999</v>
      </c>
      <c r="AQ3581">
        <v>-44.909215000000003</v>
      </c>
      <c r="AR3581">
        <v>146.78922919749749</v>
      </c>
      <c r="AS3581" t="s">
        <v>65</v>
      </c>
      <c r="AT3581">
        <v>1</v>
      </c>
      <c r="AU3581" t="s">
        <v>1427</v>
      </c>
      <c r="AV3581" t="s">
        <v>1428</v>
      </c>
      <c r="AW3581" t="s">
        <v>60</v>
      </c>
      <c r="AX3581" t="s">
        <v>68</v>
      </c>
      <c r="AY3581" t="s">
        <v>69</v>
      </c>
      <c r="AZ3581" t="b">
        <v>1</v>
      </c>
    </row>
    <row r="3582" spans="1:52" x14ac:dyDescent="0.3">
      <c r="A3582" t="s">
        <v>52</v>
      </c>
      <c r="B3582" t="s">
        <v>53</v>
      </c>
      <c r="C3582" t="s">
        <v>54</v>
      </c>
      <c r="D3582" t="s">
        <v>55</v>
      </c>
      <c r="E3582" t="s">
        <v>2200</v>
      </c>
      <c r="F3582" t="s">
        <v>1247</v>
      </c>
      <c r="G3582" t="s">
        <v>1388</v>
      </c>
      <c r="H3582" t="s">
        <v>1389</v>
      </c>
      <c r="I3582" t="s">
        <v>1389</v>
      </c>
      <c r="J3582" t="s">
        <v>60</v>
      </c>
      <c r="K3582" t="s">
        <v>475</v>
      </c>
      <c r="L3582" t="s">
        <v>62</v>
      </c>
      <c r="M3582" t="s">
        <v>475</v>
      </c>
      <c r="N3582" t="s">
        <v>1390</v>
      </c>
      <c r="O3582" t="s">
        <v>855</v>
      </c>
      <c r="P3582">
        <v>-20.173748</v>
      </c>
      <c r="Q3582">
        <v>-44.894596999999997</v>
      </c>
      <c r="R3582" s="2" t="str">
        <f>HYPERLINK("https://www.google.com/maps?q=-20.1737480,-44.8945970","Abrir no Google Maps")</f>
        <v>Abrir no Google Maps</v>
      </c>
      <c r="S3582">
        <v>3</v>
      </c>
      <c r="T3582">
        <v>1217.388518792701</v>
      </c>
      <c r="U3582">
        <v>2</v>
      </c>
      <c r="V3582">
        <v>0.484587046939988</v>
      </c>
      <c r="W3582">
        <v>0.85</v>
      </c>
      <c r="X3582">
        <v>0.41189898989898982</v>
      </c>
      <c r="Y3582">
        <v>578</v>
      </c>
      <c r="Z3582">
        <v>1268.0048337091989</v>
      </c>
      <c r="AA3582">
        <v>198</v>
      </c>
      <c r="AB3582">
        <v>332</v>
      </c>
      <c r="AC3582">
        <v>536</v>
      </c>
      <c r="AD3582">
        <v>28.54</v>
      </c>
      <c r="AE3582">
        <v>542</v>
      </c>
      <c r="AF3582">
        <v>20</v>
      </c>
      <c r="AG3582">
        <v>181</v>
      </c>
      <c r="AH3582">
        <v>129</v>
      </c>
      <c r="AI3582">
        <v>3.69</v>
      </c>
      <c r="AJ3582">
        <v>33.39</v>
      </c>
      <c r="AK3582">
        <v>23.8</v>
      </c>
      <c r="AL3582">
        <v>-20.173821999999941</v>
      </c>
      <c r="AM3582">
        <v>-44.894306105833543</v>
      </c>
      <c r="AN3582">
        <v>-20.173821999999941</v>
      </c>
      <c r="AO3582">
        <v>-44.894306105833543</v>
      </c>
      <c r="AP3582">
        <v>-20.173748</v>
      </c>
      <c r="AQ3582">
        <v>-44.894596999999997</v>
      </c>
      <c r="AR3582">
        <v>31.492193006406161</v>
      </c>
      <c r="AS3582" t="s">
        <v>65</v>
      </c>
      <c r="AT3582">
        <v>1</v>
      </c>
      <c r="AU3582" t="s">
        <v>1391</v>
      </c>
      <c r="AV3582" t="s">
        <v>1392</v>
      </c>
      <c r="AW3582" t="s">
        <v>60</v>
      </c>
      <c r="AX3582" t="s">
        <v>68</v>
      </c>
      <c r="AY3582" t="s">
        <v>69</v>
      </c>
      <c r="AZ3582" t="b">
        <v>1</v>
      </c>
    </row>
    <row r="3583" spans="1:52" x14ac:dyDescent="0.3">
      <c r="A3583" t="s">
        <v>52</v>
      </c>
      <c r="B3583" t="s">
        <v>53</v>
      </c>
      <c r="C3583" t="s">
        <v>54</v>
      </c>
      <c r="D3583" t="s">
        <v>55</v>
      </c>
      <c r="E3583" t="s">
        <v>2200</v>
      </c>
      <c r="F3583" t="s">
        <v>1247</v>
      </c>
      <c r="G3583" t="s">
        <v>1393</v>
      </c>
      <c r="H3583" t="s">
        <v>1394</v>
      </c>
      <c r="I3583" t="s">
        <v>1394</v>
      </c>
      <c r="J3583" t="s">
        <v>60</v>
      </c>
      <c r="K3583" t="s">
        <v>388</v>
      </c>
      <c r="L3583" t="s">
        <v>62</v>
      </c>
      <c r="M3583" t="s">
        <v>388</v>
      </c>
      <c r="N3583" t="s">
        <v>1395</v>
      </c>
      <c r="O3583" t="s">
        <v>1396</v>
      </c>
      <c r="P3583">
        <v>-20.167425000000001</v>
      </c>
      <c r="Q3583">
        <v>-44.907733999999998</v>
      </c>
      <c r="R3583" s="2" t="str">
        <f>HYPERLINK("https://www.google.com/maps?q=-20.1674250,-44.9077340","Abrir no Google Maps")</f>
        <v>Abrir no Google Maps</v>
      </c>
      <c r="S3583">
        <v>3</v>
      </c>
      <c r="T3583">
        <v>424.62372109792739</v>
      </c>
      <c r="U3583">
        <v>2</v>
      </c>
      <c r="V3583">
        <v>0.48014396757704991</v>
      </c>
      <c r="W3583">
        <v>0.85</v>
      </c>
      <c r="X3583">
        <v>0.40812237244049238</v>
      </c>
      <c r="Y3583">
        <v>578</v>
      </c>
      <c r="Z3583">
        <v>559.08337206965382</v>
      </c>
      <c r="AA3583">
        <v>198</v>
      </c>
      <c r="AB3583">
        <v>332</v>
      </c>
      <c r="AC3583">
        <v>536</v>
      </c>
      <c r="AD3583">
        <v>28.54</v>
      </c>
      <c r="AE3583">
        <v>542</v>
      </c>
      <c r="AF3583">
        <v>20</v>
      </c>
      <c r="AG3583">
        <v>181</v>
      </c>
      <c r="AH3583">
        <v>129</v>
      </c>
      <c r="AI3583">
        <v>3.69</v>
      </c>
      <c r="AJ3583">
        <v>33.39</v>
      </c>
      <c r="AK3583">
        <v>23.8</v>
      </c>
      <c r="AL3583">
        <v>-20.167592099999951</v>
      </c>
      <c r="AM3583">
        <v>-44.907664214502859</v>
      </c>
      <c r="AN3583">
        <v>-20.167592099999951</v>
      </c>
      <c r="AO3583">
        <v>-44.907664214502859</v>
      </c>
      <c r="AP3583">
        <v>-20.167425000000001</v>
      </c>
      <c r="AQ3583">
        <v>-44.907733999999998</v>
      </c>
      <c r="AR3583">
        <v>19.979863459652229</v>
      </c>
      <c r="AS3583" t="s">
        <v>65</v>
      </c>
      <c r="AT3583">
        <v>1</v>
      </c>
      <c r="AU3583" t="s">
        <v>1397</v>
      </c>
      <c r="AV3583" t="s">
        <v>1398</v>
      </c>
      <c r="AW3583" t="s">
        <v>60</v>
      </c>
      <c r="AX3583" t="s">
        <v>68</v>
      </c>
      <c r="AY3583" t="s">
        <v>69</v>
      </c>
      <c r="AZ3583" t="b">
        <v>1</v>
      </c>
    </row>
    <row r="3584" spans="1:52" x14ac:dyDescent="0.3">
      <c r="A3584" t="s">
        <v>52</v>
      </c>
      <c r="B3584" t="s">
        <v>53</v>
      </c>
      <c r="C3584" t="s">
        <v>54</v>
      </c>
      <c r="D3584" t="s">
        <v>55</v>
      </c>
      <c r="E3584" t="s">
        <v>2200</v>
      </c>
      <c r="F3584" t="s">
        <v>1247</v>
      </c>
      <c r="G3584" t="s">
        <v>1399</v>
      </c>
      <c r="H3584" t="s">
        <v>1400</v>
      </c>
      <c r="I3584" t="s">
        <v>1400</v>
      </c>
      <c r="J3584" t="s">
        <v>60</v>
      </c>
      <c r="K3584" t="s">
        <v>475</v>
      </c>
      <c r="L3584" t="s">
        <v>62</v>
      </c>
      <c r="M3584" t="s">
        <v>475</v>
      </c>
      <c r="N3584" t="s">
        <v>1401</v>
      </c>
      <c r="O3584" t="s">
        <v>1080</v>
      </c>
      <c r="P3584">
        <v>-20.178809000000001</v>
      </c>
      <c r="Q3584">
        <v>-44.900204000000002</v>
      </c>
      <c r="R3584" s="2" t="str">
        <f>HYPERLINK("https://www.google.com/maps?q=-20.1788090,-44.9002040","Abrir no Google Maps")</f>
        <v>Abrir no Google Maps</v>
      </c>
      <c r="S3584">
        <v>3</v>
      </c>
      <c r="T3584">
        <v>1015.86498565614</v>
      </c>
      <c r="U3584">
        <v>2</v>
      </c>
      <c r="V3584">
        <v>0.45569185927230788</v>
      </c>
      <c r="W3584">
        <v>0.85</v>
      </c>
      <c r="X3584">
        <v>0.38733808038146172</v>
      </c>
      <c r="Y3584">
        <v>578</v>
      </c>
      <c r="Z3584">
        <v>954.77111474428102</v>
      </c>
      <c r="AA3584">
        <v>198</v>
      </c>
      <c r="AB3584">
        <v>332</v>
      </c>
      <c r="AC3584">
        <v>536</v>
      </c>
      <c r="AD3584">
        <v>28.54</v>
      </c>
      <c r="AE3584">
        <v>542</v>
      </c>
      <c r="AF3584">
        <v>20</v>
      </c>
      <c r="AG3584">
        <v>181</v>
      </c>
      <c r="AH3584">
        <v>129</v>
      </c>
      <c r="AI3584">
        <v>3.69</v>
      </c>
      <c r="AJ3584">
        <v>33.39</v>
      </c>
      <c r="AK3584">
        <v>23.8</v>
      </c>
      <c r="AL3584">
        <v>-20.178590099999951</v>
      </c>
      <c r="AM3584">
        <v>-44.90029029928732</v>
      </c>
      <c r="AN3584">
        <v>-20.178590099999951</v>
      </c>
      <c r="AO3584">
        <v>-44.90029029928732</v>
      </c>
      <c r="AP3584">
        <v>-20.178809000000001</v>
      </c>
      <c r="AQ3584">
        <v>-44.900204000000002</v>
      </c>
      <c r="AR3584">
        <v>25.982812999798391</v>
      </c>
      <c r="AS3584" t="s">
        <v>65</v>
      </c>
      <c r="AT3584">
        <v>1</v>
      </c>
      <c r="AU3584" t="s">
        <v>1402</v>
      </c>
      <c r="AV3584" t="s">
        <v>1403</v>
      </c>
      <c r="AW3584" t="s">
        <v>60</v>
      </c>
      <c r="AX3584" t="s">
        <v>68</v>
      </c>
      <c r="AY3584" t="s">
        <v>69</v>
      </c>
      <c r="AZ3584" t="b">
        <v>1</v>
      </c>
    </row>
    <row r="3585" spans="1:52" x14ac:dyDescent="0.3">
      <c r="A3585" t="s">
        <v>52</v>
      </c>
      <c r="B3585" t="s">
        <v>53</v>
      </c>
      <c r="C3585" t="s">
        <v>54</v>
      </c>
      <c r="D3585" t="s">
        <v>55</v>
      </c>
      <c r="E3585" t="s">
        <v>2200</v>
      </c>
      <c r="F3585" t="s">
        <v>1247</v>
      </c>
      <c r="G3585" t="s">
        <v>815</v>
      </c>
      <c r="H3585" t="s">
        <v>1404</v>
      </c>
      <c r="I3585" t="s">
        <v>1404</v>
      </c>
      <c r="J3585" t="s">
        <v>60</v>
      </c>
      <c r="K3585" t="s">
        <v>512</v>
      </c>
      <c r="L3585" t="s">
        <v>62</v>
      </c>
      <c r="M3585" t="s">
        <v>512</v>
      </c>
      <c r="N3585" t="s">
        <v>817</v>
      </c>
      <c r="O3585" t="s">
        <v>1405</v>
      </c>
      <c r="P3585">
        <v>-20.129069999999999</v>
      </c>
      <c r="Q3585">
        <v>-44.888452000000001</v>
      </c>
      <c r="R3585" s="2" t="str">
        <f>HYPERLINK("https://www.google.com/maps?q=-20.1290700,-44.8884520","Abrir no Google Maps")</f>
        <v>Abrir no Google Maps</v>
      </c>
      <c r="S3585">
        <v>3</v>
      </c>
      <c r="T3585">
        <v>0</v>
      </c>
      <c r="U3585">
        <v>2</v>
      </c>
      <c r="V3585">
        <v>0.48898438032876329</v>
      </c>
      <c r="W3585">
        <v>0.85</v>
      </c>
      <c r="X3585">
        <v>0.41563672327944878</v>
      </c>
      <c r="Y3585">
        <v>564</v>
      </c>
      <c r="Z3585">
        <v>95.870354837220688</v>
      </c>
      <c r="AA3585">
        <v>198</v>
      </c>
      <c r="AB3585">
        <v>332</v>
      </c>
      <c r="AC3585">
        <v>536</v>
      </c>
      <c r="AD3585">
        <v>28.54</v>
      </c>
      <c r="AE3585">
        <v>542</v>
      </c>
      <c r="AF3585">
        <v>20</v>
      </c>
      <c r="AG3585">
        <v>181</v>
      </c>
      <c r="AH3585">
        <v>129</v>
      </c>
      <c r="AI3585">
        <v>3.69</v>
      </c>
      <c r="AJ3585">
        <v>33.39</v>
      </c>
      <c r="AK3585">
        <v>23.8</v>
      </c>
      <c r="AL3585">
        <v>-20.12899334999997</v>
      </c>
      <c r="AM3585">
        <v>-44.888406102471222</v>
      </c>
      <c r="AN3585">
        <v>-20.12899334999997</v>
      </c>
      <c r="AO3585">
        <v>-44.888406102471222</v>
      </c>
      <c r="AP3585">
        <v>-20.129069999999999</v>
      </c>
      <c r="AQ3585">
        <v>-44.888452000000001</v>
      </c>
      <c r="AR3585">
        <v>9.7887731150376265</v>
      </c>
      <c r="AS3585" t="s">
        <v>65</v>
      </c>
      <c r="AT3585">
        <v>1</v>
      </c>
      <c r="AU3585" t="s">
        <v>1406</v>
      </c>
      <c r="AV3585" t="s">
        <v>1407</v>
      </c>
      <c r="AW3585" t="s">
        <v>60</v>
      </c>
      <c r="AX3585" t="s">
        <v>68</v>
      </c>
      <c r="AY3585" t="s">
        <v>69</v>
      </c>
      <c r="AZ3585" t="b">
        <v>1</v>
      </c>
    </row>
    <row r="3586" spans="1:52" x14ac:dyDescent="0.3">
      <c r="A3586" t="s">
        <v>52</v>
      </c>
      <c r="B3586" t="s">
        <v>53</v>
      </c>
      <c r="C3586" t="s">
        <v>54</v>
      </c>
      <c r="D3586" t="s">
        <v>55</v>
      </c>
      <c r="E3586" t="s">
        <v>2200</v>
      </c>
      <c r="F3586" t="s">
        <v>1247</v>
      </c>
      <c r="G3586" t="s">
        <v>1412</v>
      </c>
      <c r="H3586" t="s">
        <v>1413</v>
      </c>
      <c r="I3586" t="s">
        <v>1413</v>
      </c>
      <c r="J3586" t="s">
        <v>60</v>
      </c>
      <c r="K3586" t="s">
        <v>892</v>
      </c>
      <c r="L3586" t="s">
        <v>62</v>
      </c>
      <c r="M3586" t="s">
        <v>892</v>
      </c>
      <c r="N3586" t="s">
        <v>1414</v>
      </c>
      <c r="O3586" t="s">
        <v>293</v>
      </c>
      <c r="P3586">
        <v>-20.150780999999998</v>
      </c>
      <c r="Q3586">
        <v>-44.897972000000003</v>
      </c>
      <c r="R3586" s="2" t="str">
        <f>HYPERLINK("https://www.google.com/maps?q=-20.1507810,-44.8979720","Abrir no Google Maps")</f>
        <v>Abrir no Google Maps</v>
      </c>
      <c r="S3586">
        <v>3</v>
      </c>
      <c r="T3586">
        <v>306.36394634674508</v>
      </c>
      <c r="U3586">
        <v>2</v>
      </c>
      <c r="V3586">
        <v>0.4556360178479994</v>
      </c>
      <c r="W3586">
        <v>0.85</v>
      </c>
      <c r="X3586">
        <v>0.38729061517079949</v>
      </c>
      <c r="Y3586">
        <v>556</v>
      </c>
      <c r="Z3586">
        <v>233.85692443628571</v>
      </c>
      <c r="AA3586">
        <v>198</v>
      </c>
      <c r="AB3586">
        <v>332</v>
      </c>
      <c r="AC3586">
        <v>536</v>
      </c>
      <c r="AD3586">
        <v>28.54</v>
      </c>
      <c r="AE3586">
        <v>542</v>
      </c>
      <c r="AF3586">
        <v>20</v>
      </c>
      <c r="AG3586">
        <v>181</v>
      </c>
      <c r="AH3586">
        <v>129</v>
      </c>
      <c r="AI3586">
        <v>3.69</v>
      </c>
      <c r="AJ3586">
        <v>33.39</v>
      </c>
      <c r="AK3586">
        <v>23.8</v>
      </c>
      <c r="AL3586">
        <v>-20.15074609999996</v>
      </c>
      <c r="AM3586">
        <v>-44.89795774234689</v>
      </c>
      <c r="AN3586">
        <v>-20.15074609999996</v>
      </c>
      <c r="AO3586">
        <v>-44.89795774234689</v>
      </c>
      <c r="AP3586">
        <v>-20.150780999999998</v>
      </c>
      <c r="AQ3586">
        <v>-44.897972000000003</v>
      </c>
      <c r="AR3586">
        <v>4.160995809097348</v>
      </c>
      <c r="AS3586" t="s">
        <v>65</v>
      </c>
      <c r="AT3586">
        <v>1</v>
      </c>
      <c r="AU3586" t="s">
        <v>1415</v>
      </c>
      <c r="AV3586" t="s">
        <v>1416</v>
      </c>
      <c r="AW3586" t="s">
        <v>60</v>
      </c>
      <c r="AX3586" t="s">
        <v>68</v>
      </c>
      <c r="AY3586" t="s">
        <v>69</v>
      </c>
      <c r="AZ3586" t="b">
        <v>1</v>
      </c>
    </row>
    <row r="3587" spans="1:52" x14ac:dyDescent="0.3">
      <c r="A3587" t="s">
        <v>52</v>
      </c>
      <c r="B3587" t="s">
        <v>53</v>
      </c>
      <c r="C3587" t="s">
        <v>54</v>
      </c>
      <c r="D3587" t="s">
        <v>55</v>
      </c>
      <c r="E3587" t="s">
        <v>2200</v>
      </c>
      <c r="F3587" t="s">
        <v>1247</v>
      </c>
      <c r="G3587" t="s">
        <v>1127</v>
      </c>
      <c r="H3587" t="s">
        <v>1449</v>
      </c>
      <c r="I3587" t="s">
        <v>1449</v>
      </c>
      <c r="J3587" t="s">
        <v>60</v>
      </c>
      <c r="K3587" t="s">
        <v>1450</v>
      </c>
      <c r="L3587" t="s">
        <v>62</v>
      </c>
      <c r="M3587" t="s">
        <v>1450</v>
      </c>
      <c r="N3587" t="s">
        <v>1451</v>
      </c>
      <c r="O3587" t="s">
        <v>1452</v>
      </c>
      <c r="P3587">
        <v>-20.152612000000001</v>
      </c>
      <c r="Q3587">
        <v>-44.897098</v>
      </c>
      <c r="R3587" s="2" t="str">
        <f>HYPERLINK("https://www.google.com/maps?q=-20.1526120,-44.8970980","Abrir no Google Maps")</f>
        <v>Abrir no Google Maps</v>
      </c>
      <c r="S3587">
        <v>3</v>
      </c>
      <c r="T3587">
        <v>418.6283592063233</v>
      </c>
      <c r="U3587">
        <v>2</v>
      </c>
      <c r="V3587">
        <v>0.4538302277432712</v>
      </c>
      <c r="W3587">
        <v>0.85</v>
      </c>
      <c r="X3587">
        <v>0.38575569358178052</v>
      </c>
      <c r="Y3587">
        <v>556</v>
      </c>
      <c r="Z3587">
        <v>387.16462225830952</v>
      </c>
      <c r="AA3587">
        <v>198</v>
      </c>
      <c r="AB3587">
        <v>332</v>
      </c>
      <c r="AC3587">
        <v>536</v>
      </c>
      <c r="AD3587">
        <v>28.54</v>
      </c>
      <c r="AE3587">
        <v>542</v>
      </c>
      <c r="AF3587">
        <v>20</v>
      </c>
      <c r="AG3587">
        <v>181</v>
      </c>
      <c r="AH3587">
        <v>129</v>
      </c>
      <c r="AI3587">
        <v>3.69</v>
      </c>
      <c r="AJ3587">
        <v>33.39</v>
      </c>
      <c r="AK3587">
        <v>23.8</v>
      </c>
      <c r="AL3587">
        <v>-20.15253669999996</v>
      </c>
      <c r="AM3587">
        <v>-44.897068126936119</v>
      </c>
      <c r="AN3587">
        <v>-20.15253669999996</v>
      </c>
      <c r="AO3587">
        <v>-44.897068126936119</v>
      </c>
      <c r="AP3587">
        <v>-20.152612000000001</v>
      </c>
      <c r="AQ3587">
        <v>-44.897098</v>
      </c>
      <c r="AR3587">
        <v>8.9448699164987104</v>
      </c>
      <c r="AS3587" t="s">
        <v>65</v>
      </c>
      <c r="AT3587">
        <v>1</v>
      </c>
      <c r="AU3587" t="s">
        <v>1453</v>
      </c>
      <c r="AV3587" t="s">
        <v>1454</v>
      </c>
      <c r="AW3587" t="s">
        <v>60</v>
      </c>
      <c r="AX3587" t="s">
        <v>68</v>
      </c>
      <c r="AY3587" t="s">
        <v>69</v>
      </c>
      <c r="AZ3587" t="b">
        <v>1</v>
      </c>
    </row>
    <row r="3588" spans="1:52" x14ac:dyDescent="0.3">
      <c r="A3588" t="s">
        <v>52</v>
      </c>
      <c r="B3588" t="s">
        <v>53</v>
      </c>
      <c r="C3588" t="s">
        <v>54</v>
      </c>
      <c r="D3588" t="s">
        <v>55</v>
      </c>
      <c r="E3588" t="s">
        <v>2200</v>
      </c>
      <c r="F3588" t="s">
        <v>1247</v>
      </c>
      <c r="G3588" t="s">
        <v>1417</v>
      </c>
      <c r="H3588" t="s">
        <v>1418</v>
      </c>
      <c r="I3588" t="s">
        <v>1418</v>
      </c>
      <c r="J3588" t="s">
        <v>60</v>
      </c>
      <c r="K3588" t="s">
        <v>1419</v>
      </c>
      <c r="L3588" t="s">
        <v>62</v>
      </c>
      <c r="M3588" t="s">
        <v>1419</v>
      </c>
      <c r="N3588" t="s">
        <v>1420</v>
      </c>
      <c r="O3588" t="s">
        <v>1421</v>
      </c>
      <c r="P3588">
        <v>-20.159427000000001</v>
      </c>
      <c r="Q3588">
        <v>-44.897143</v>
      </c>
      <c r="R3588" s="2" t="str">
        <f>HYPERLINK("https://www.google.com/maps?q=-20.1594270,-44.8971430","Abrir no Google Maps")</f>
        <v>Abrir no Google Maps</v>
      </c>
      <c r="S3588">
        <v>3</v>
      </c>
      <c r="T3588">
        <v>392.64349875646298</v>
      </c>
      <c r="U3588">
        <v>1</v>
      </c>
      <c r="V3588">
        <v>0.4336353058510638</v>
      </c>
      <c r="W3588">
        <v>0.85</v>
      </c>
      <c r="X3588">
        <v>0.36859000997340419</v>
      </c>
      <c r="Y3588">
        <v>729</v>
      </c>
      <c r="Z3588">
        <v>550.20062797366995</v>
      </c>
      <c r="AA3588">
        <v>198</v>
      </c>
      <c r="AB3588">
        <v>332</v>
      </c>
      <c r="AC3588">
        <v>536</v>
      </c>
      <c r="AD3588">
        <v>28.54</v>
      </c>
      <c r="AE3588">
        <v>542</v>
      </c>
      <c r="AF3588">
        <v>20</v>
      </c>
      <c r="AG3588">
        <v>181</v>
      </c>
      <c r="AH3588">
        <v>129</v>
      </c>
      <c r="AI3588">
        <v>3.69</v>
      </c>
      <c r="AJ3588">
        <v>33.39</v>
      </c>
      <c r="AK3588">
        <v>23.8</v>
      </c>
      <c r="AL3588">
        <v>-20.15946549999995</v>
      </c>
      <c r="AM3588">
        <v>-44.89709959354267</v>
      </c>
      <c r="AN3588">
        <v>-20.15946549999995</v>
      </c>
      <c r="AO3588">
        <v>-44.89709959354267</v>
      </c>
      <c r="AP3588">
        <v>-20.159427000000001</v>
      </c>
      <c r="AQ3588">
        <v>-44.897143</v>
      </c>
      <c r="AR3588">
        <v>6.2404649979039286</v>
      </c>
      <c r="AS3588" t="s">
        <v>65</v>
      </c>
      <c r="AT3588">
        <v>1</v>
      </c>
      <c r="AU3588" t="s">
        <v>1422</v>
      </c>
      <c r="AV3588" t="s">
        <v>1423</v>
      </c>
      <c r="AW3588" t="s">
        <v>60</v>
      </c>
      <c r="AX3588" t="s">
        <v>68</v>
      </c>
      <c r="AY3588" t="s">
        <v>69</v>
      </c>
      <c r="AZ3588" t="b">
        <v>1</v>
      </c>
    </row>
    <row r="3589" spans="1:52" x14ac:dyDescent="0.3">
      <c r="A3589" t="s">
        <v>52</v>
      </c>
      <c r="B3589" t="s">
        <v>53</v>
      </c>
      <c r="C3589" t="s">
        <v>54</v>
      </c>
      <c r="D3589" t="s">
        <v>55</v>
      </c>
      <c r="E3589" t="s">
        <v>2200</v>
      </c>
      <c r="F3589" t="s">
        <v>1247</v>
      </c>
      <c r="G3589" t="s">
        <v>1318</v>
      </c>
      <c r="H3589" t="s">
        <v>1319</v>
      </c>
      <c r="I3589" t="s">
        <v>1319</v>
      </c>
      <c r="J3589" t="s">
        <v>60</v>
      </c>
      <c r="K3589" t="s">
        <v>1314</v>
      </c>
      <c r="L3589" t="s">
        <v>62</v>
      </c>
      <c r="M3589" t="s">
        <v>1314</v>
      </c>
      <c r="N3589" t="s">
        <v>1320</v>
      </c>
      <c r="O3589" t="s">
        <v>1321</v>
      </c>
      <c r="P3589">
        <v>-20.178615000000001</v>
      </c>
      <c r="Q3589">
        <v>-44.924697999999999</v>
      </c>
      <c r="R3589" s="2" t="str">
        <f>HYPERLINK("https://www.google.com/maps?q=-20.1786150,-44.9246980","Abrir no Google Maps")</f>
        <v>Abrir no Google Maps</v>
      </c>
      <c r="S3589">
        <v>3</v>
      </c>
      <c r="T3589">
        <v>1583.462557226148</v>
      </c>
      <c r="U3589">
        <v>1</v>
      </c>
      <c r="V3589">
        <v>0.43585832668111152</v>
      </c>
      <c r="W3589">
        <v>0.85</v>
      </c>
      <c r="X3589">
        <v>0.37047957767894479</v>
      </c>
      <c r="Y3589">
        <v>723</v>
      </c>
      <c r="Z3589">
        <v>1414.1542726995031</v>
      </c>
      <c r="AA3589">
        <v>198</v>
      </c>
      <c r="AB3589">
        <v>332</v>
      </c>
      <c r="AC3589">
        <v>536</v>
      </c>
      <c r="AD3589">
        <v>28.54</v>
      </c>
      <c r="AE3589">
        <v>542</v>
      </c>
      <c r="AF3589">
        <v>20</v>
      </c>
      <c r="AG3589">
        <v>181</v>
      </c>
      <c r="AH3589">
        <v>129</v>
      </c>
      <c r="AI3589">
        <v>3.69</v>
      </c>
      <c r="AJ3589">
        <v>33.39</v>
      </c>
      <c r="AK3589">
        <v>23.8</v>
      </c>
      <c r="AL3589">
        <v>-20.17821329999995</v>
      </c>
      <c r="AM3589">
        <v>-44.924188563452951</v>
      </c>
      <c r="AN3589">
        <v>-20.17821329999995</v>
      </c>
      <c r="AO3589">
        <v>-44.924188563452951</v>
      </c>
      <c r="AP3589">
        <v>-20.178615000000001</v>
      </c>
      <c r="AQ3589">
        <v>-44.924697999999999</v>
      </c>
      <c r="AR3589">
        <v>69.520116290580319</v>
      </c>
      <c r="AS3589" t="s">
        <v>65</v>
      </c>
      <c r="AT3589">
        <v>1</v>
      </c>
      <c r="AU3589" t="s">
        <v>1322</v>
      </c>
      <c r="AV3589" t="s">
        <v>1317</v>
      </c>
      <c r="AW3589" t="s">
        <v>60</v>
      </c>
      <c r="AX3589" t="s">
        <v>68</v>
      </c>
      <c r="AY3589" t="s">
        <v>69</v>
      </c>
      <c r="AZ3589" t="b">
        <v>1</v>
      </c>
    </row>
    <row r="3590" spans="1:52" x14ac:dyDescent="0.3">
      <c r="A3590" t="s">
        <v>52</v>
      </c>
      <c r="B3590" t="s">
        <v>53</v>
      </c>
      <c r="C3590" t="s">
        <v>54</v>
      </c>
      <c r="D3590" t="s">
        <v>55</v>
      </c>
      <c r="E3590" t="s">
        <v>2200</v>
      </c>
      <c r="F3590" t="s">
        <v>1247</v>
      </c>
      <c r="G3590" t="s">
        <v>1354</v>
      </c>
      <c r="H3590" t="s">
        <v>1355</v>
      </c>
      <c r="I3590" t="s">
        <v>1355</v>
      </c>
      <c r="J3590" t="s">
        <v>60</v>
      </c>
      <c r="K3590" t="s">
        <v>1356</v>
      </c>
      <c r="L3590" t="s">
        <v>62</v>
      </c>
      <c r="M3590" t="s">
        <v>1356</v>
      </c>
      <c r="N3590" t="s">
        <v>1357</v>
      </c>
      <c r="O3590" t="s">
        <v>315</v>
      </c>
      <c r="P3590">
        <v>-20.132080999999999</v>
      </c>
      <c r="Q3590">
        <v>-44.908614</v>
      </c>
      <c r="R3590" s="2" t="str">
        <f>HYPERLINK("https://www.google.com/maps?q=-20.1320810,-44.9086140","Abrir no Google Maps")</f>
        <v>Abrir no Google Maps</v>
      </c>
      <c r="S3590">
        <v>3</v>
      </c>
      <c r="T3590">
        <v>701.02570959373259</v>
      </c>
      <c r="U3590">
        <v>1</v>
      </c>
      <c r="V3590">
        <v>0.43620071684587819</v>
      </c>
      <c r="W3590">
        <v>0.85</v>
      </c>
      <c r="X3590">
        <v>0.37077060931899652</v>
      </c>
      <c r="Y3590">
        <v>581</v>
      </c>
      <c r="Z3590">
        <v>811.38061352229215</v>
      </c>
      <c r="AA3590">
        <v>198</v>
      </c>
      <c r="AB3590">
        <v>332</v>
      </c>
      <c r="AC3590">
        <v>536</v>
      </c>
      <c r="AD3590">
        <v>28.54</v>
      </c>
      <c r="AE3590">
        <v>542</v>
      </c>
      <c r="AF3590">
        <v>20</v>
      </c>
      <c r="AG3590">
        <v>181</v>
      </c>
      <c r="AH3590">
        <v>129</v>
      </c>
      <c r="AI3590">
        <v>3.69</v>
      </c>
      <c r="AJ3590">
        <v>33.39</v>
      </c>
      <c r="AK3590">
        <v>23.8</v>
      </c>
      <c r="AL3590">
        <v>-20.132063499999951</v>
      </c>
      <c r="AM3590">
        <v>-44.908630454878519</v>
      </c>
      <c r="AN3590">
        <v>-20.132063499999951</v>
      </c>
      <c r="AO3590">
        <v>-44.908630454878519</v>
      </c>
      <c r="AP3590">
        <v>-20.132080999999999</v>
      </c>
      <c r="AQ3590">
        <v>-44.908614</v>
      </c>
      <c r="AR3590">
        <v>2.5986425761911551</v>
      </c>
      <c r="AS3590" t="s">
        <v>65</v>
      </c>
      <c r="AT3590">
        <v>1</v>
      </c>
      <c r="AU3590" t="s">
        <v>1358</v>
      </c>
      <c r="AV3590" t="s">
        <v>1359</v>
      </c>
      <c r="AW3590" t="s">
        <v>60</v>
      </c>
      <c r="AX3590" t="s">
        <v>68</v>
      </c>
      <c r="AY3590" t="s">
        <v>69</v>
      </c>
      <c r="AZ3590" t="b">
        <v>1</v>
      </c>
    </row>
    <row r="3591" spans="1:52" x14ac:dyDescent="0.3">
      <c r="A3591" t="s">
        <v>52</v>
      </c>
      <c r="B3591" t="s">
        <v>53</v>
      </c>
      <c r="C3591" t="s">
        <v>54</v>
      </c>
      <c r="D3591" t="s">
        <v>55</v>
      </c>
      <c r="E3591" t="s">
        <v>2200</v>
      </c>
      <c r="F3591" t="s">
        <v>1247</v>
      </c>
      <c r="G3591" t="s">
        <v>1364</v>
      </c>
      <c r="H3591" t="s">
        <v>1365</v>
      </c>
      <c r="I3591" t="s">
        <v>1365</v>
      </c>
      <c r="J3591" t="s">
        <v>60</v>
      </c>
      <c r="K3591" t="s">
        <v>1356</v>
      </c>
      <c r="L3591" t="s">
        <v>62</v>
      </c>
      <c r="M3591" t="s">
        <v>1356</v>
      </c>
      <c r="N3591" t="s">
        <v>1366</v>
      </c>
      <c r="O3591" t="s">
        <v>548</v>
      </c>
      <c r="P3591">
        <v>-20.131240999999999</v>
      </c>
      <c r="Q3591">
        <v>-44.910567999999998</v>
      </c>
      <c r="R3591" s="2" t="str">
        <f>HYPERLINK("https://www.google.com/maps?q=-20.1312410,-44.9105680","Abrir no Google Maps")</f>
        <v>Abrir no Google Maps</v>
      </c>
      <c r="S3591">
        <v>3</v>
      </c>
      <c r="T3591">
        <v>822.61354861726704</v>
      </c>
      <c r="U3591">
        <v>1</v>
      </c>
      <c r="V3591">
        <v>0.4439068100358422</v>
      </c>
      <c r="W3591">
        <v>0.85</v>
      </c>
      <c r="X3591">
        <v>0.37732078853046591</v>
      </c>
      <c r="Y3591">
        <v>581</v>
      </c>
      <c r="Z3591">
        <v>982.3990834787046</v>
      </c>
      <c r="AA3591">
        <v>198</v>
      </c>
      <c r="AB3591">
        <v>332</v>
      </c>
      <c r="AC3591">
        <v>536</v>
      </c>
      <c r="AD3591">
        <v>28.54</v>
      </c>
      <c r="AE3591">
        <v>542</v>
      </c>
      <c r="AF3591">
        <v>20</v>
      </c>
      <c r="AG3591">
        <v>181</v>
      </c>
      <c r="AH3591">
        <v>129</v>
      </c>
      <c r="AI3591">
        <v>3.69</v>
      </c>
      <c r="AJ3591">
        <v>33.39</v>
      </c>
      <c r="AK3591">
        <v>23.8</v>
      </c>
      <c r="AL3591">
        <v>-20.131367099999981</v>
      </c>
      <c r="AM3591">
        <v>-44.910597350758543</v>
      </c>
      <c r="AN3591">
        <v>-20.131367099999981</v>
      </c>
      <c r="AO3591">
        <v>-44.910597350758543</v>
      </c>
      <c r="AP3591">
        <v>-20.131240999999999</v>
      </c>
      <c r="AQ3591">
        <v>-44.910567999999998</v>
      </c>
      <c r="AR3591">
        <v>14.36874794070623</v>
      </c>
      <c r="AS3591" t="s">
        <v>65</v>
      </c>
      <c r="AT3591">
        <v>1</v>
      </c>
      <c r="AU3591" t="s">
        <v>1367</v>
      </c>
      <c r="AV3591" t="s">
        <v>1368</v>
      </c>
      <c r="AW3591" t="s">
        <v>60</v>
      </c>
      <c r="AX3591" t="s">
        <v>68</v>
      </c>
      <c r="AY3591" t="s">
        <v>69</v>
      </c>
      <c r="AZ3591" t="b">
        <v>1</v>
      </c>
    </row>
    <row r="3592" spans="1:52" x14ac:dyDescent="0.3">
      <c r="A3592" t="s">
        <v>52</v>
      </c>
      <c r="B3592" t="s">
        <v>53</v>
      </c>
      <c r="C3592" t="s">
        <v>54</v>
      </c>
      <c r="D3592" t="s">
        <v>55</v>
      </c>
      <c r="E3592" t="s">
        <v>2200</v>
      </c>
      <c r="F3592" t="s">
        <v>1247</v>
      </c>
      <c r="G3592" t="s">
        <v>1429</v>
      </c>
      <c r="H3592" t="s">
        <v>1430</v>
      </c>
      <c r="I3592" t="s">
        <v>1430</v>
      </c>
      <c r="J3592" t="s">
        <v>60</v>
      </c>
      <c r="K3592" t="s">
        <v>505</v>
      </c>
      <c r="L3592" t="s">
        <v>62</v>
      </c>
      <c r="M3592" t="s">
        <v>505</v>
      </c>
      <c r="N3592" t="s">
        <v>1431</v>
      </c>
      <c r="O3592" t="s">
        <v>1432</v>
      </c>
      <c r="P3592">
        <v>-20.132069000000001</v>
      </c>
      <c r="Q3592">
        <v>-44.891694000000001</v>
      </c>
      <c r="R3592" s="2" t="str">
        <f>HYPERLINK("https://www.google.com/maps?q=-20.1320690,-44.8916940","Abrir no Google Maps")</f>
        <v>Abrir no Google Maps</v>
      </c>
      <c r="S3592">
        <v>3</v>
      </c>
      <c r="T3592">
        <v>463.84477613866852</v>
      </c>
      <c r="U3592">
        <v>1</v>
      </c>
      <c r="V3592">
        <v>0.441012224782386</v>
      </c>
      <c r="W3592">
        <v>0.85</v>
      </c>
      <c r="X3592">
        <v>0.37486039106502811</v>
      </c>
      <c r="Y3592">
        <v>564</v>
      </c>
      <c r="Z3592">
        <v>349.6044774510159</v>
      </c>
      <c r="AA3592">
        <v>198</v>
      </c>
      <c r="AB3592">
        <v>332</v>
      </c>
      <c r="AC3592">
        <v>536</v>
      </c>
      <c r="AD3592">
        <v>28.54</v>
      </c>
      <c r="AE3592">
        <v>542</v>
      </c>
      <c r="AF3592">
        <v>20</v>
      </c>
      <c r="AG3592">
        <v>181</v>
      </c>
      <c r="AH3592">
        <v>129</v>
      </c>
      <c r="AI3592">
        <v>3.69</v>
      </c>
      <c r="AJ3592">
        <v>33.39</v>
      </c>
      <c r="AK3592">
        <v>23.8</v>
      </c>
      <c r="AL3592">
        <v>-20.131860799999941</v>
      </c>
      <c r="AM3592">
        <v>-44.891643045551348</v>
      </c>
      <c r="AN3592">
        <v>-20.131860799999941</v>
      </c>
      <c r="AO3592">
        <v>-44.891643045551348</v>
      </c>
      <c r="AP3592">
        <v>-20.132069000000001</v>
      </c>
      <c r="AQ3592">
        <v>-44.891694000000001</v>
      </c>
      <c r="AR3592">
        <v>23.780836080569209</v>
      </c>
      <c r="AS3592" t="s">
        <v>65</v>
      </c>
      <c r="AT3592">
        <v>1</v>
      </c>
      <c r="AU3592" t="s">
        <v>1433</v>
      </c>
      <c r="AV3592" t="s">
        <v>1434</v>
      </c>
      <c r="AW3592" t="s">
        <v>60</v>
      </c>
      <c r="AX3592" t="s">
        <v>68</v>
      </c>
      <c r="AY3592" t="s">
        <v>69</v>
      </c>
      <c r="AZ3592" t="b">
        <v>1</v>
      </c>
    </row>
    <row r="3593" spans="1:52" x14ac:dyDescent="0.3">
      <c r="A3593" t="s">
        <v>52</v>
      </c>
      <c r="B3593" t="s">
        <v>53</v>
      </c>
      <c r="C3593" t="s">
        <v>54</v>
      </c>
      <c r="D3593" t="s">
        <v>55</v>
      </c>
      <c r="E3593" t="s">
        <v>2200</v>
      </c>
      <c r="F3593" t="s">
        <v>1247</v>
      </c>
      <c r="G3593" t="s">
        <v>1435</v>
      </c>
      <c r="H3593" t="s">
        <v>1436</v>
      </c>
      <c r="I3593" t="s">
        <v>1436</v>
      </c>
      <c r="J3593" t="s">
        <v>60</v>
      </c>
      <c r="K3593" t="s">
        <v>886</v>
      </c>
      <c r="L3593" t="s">
        <v>62</v>
      </c>
      <c r="M3593" t="s">
        <v>886</v>
      </c>
      <c r="N3593" t="s">
        <v>1437</v>
      </c>
      <c r="O3593" t="s">
        <v>1438</v>
      </c>
      <c r="P3593">
        <v>-20.131108000000001</v>
      </c>
      <c r="Q3593">
        <v>-44.893228000000001</v>
      </c>
      <c r="R3593" s="2" t="str">
        <f>HYPERLINK("https://www.google.com/maps?q=-20.1311080,-44.8932280","Abrir no Google Maps")</f>
        <v>Abrir no Google Maps</v>
      </c>
      <c r="S3593">
        <v>3</v>
      </c>
      <c r="T3593">
        <v>548.07497919430136</v>
      </c>
      <c r="U3593">
        <v>1</v>
      </c>
      <c r="V3593">
        <v>0.41420097198399081</v>
      </c>
      <c r="W3593">
        <v>0.85</v>
      </c>
      <c r="X3593">
        <v>0.35207082618639218</v>
      </c>
      <c r="Y3593">
        <v>564</v>
      </c>
      <c r="Z3593">
        <v>369.17139216388432</v>
      </c>
      <c r="AA3593">
        <v>198</v>
      </c>
      <c r="AB3593">
        <v>332</v>
      </c>
      <c r="AC3593">
        <v>536</v>
      </c>
      <c r="AD3593">
        <v>28.54</v>
      </c>
      <c r="AE3593">
        <v>542</v>
      </c>
      <c r="AF3593">
        <v>20</v>
      </c>
      <c r="AG3593">
        <v>181</v>
      </c>
      <c r="AH3593">
        <v>129</v>
      </c>
      <c r="AI3593">
        <v>3.69</v>
      </c>
      <c r="AJ3593">
        <v>33.39</v>
      </c>
      <c r="AK3593">
        <v>23.8</v>
      </c>
      <c r="AL3593">
        <v>-20.13103294999997</v>
      </c>
      <c r="AM3593">
        <v>-44.89318457893738</v>
      </c>
      <c r="AN3593">
        <v>-20.13103294999997</v>
      </c>
      <c r="AO3593">
        <v>-44.89318457893738</v>
      </c>
      <c r="AP3593">
        <v>-20.131108000000001</v>
      </c>
      <c r="AQ3593">
        <v>-44.893228000000001</v>
      </c>
      <c r="AR3593">
        <v>9.5076426885244203</v>
      </c>
      <c r="AS3593" t="s">
        <v>65</v>
      </c>
      <c r="AT3593">
        <v>1</v>
      </c>
      <c r="AU3593" t="s">
        <v>1439</v>
      </c>
      <c r="AV3593" t="s">
        <v>1440</v>
      </c>
      <c r="AW3593" t="s">
        <v>60</v>
      </c>
      <c r="AX3593" t="s">
        <v>68</v>
      </c>
      <c r="AY3593" t="s">
        <v>69</v>
      </c>
      <c r="AZ3593" t="b">
        <v>1</v>
      </c>
    </row>
    <row r="3594" spans="1:52" x14ac:dyDescent="0.3">
      <c r="A3594" t="s">
        <v>52</v>
      </c>
      <c r="B3594" t="s">
        <v>53</v>
      </c>
      <c r="C3594" t="s">
        <v>54</v>
      </c>
      <c r="D3594" t="s">
        <v>55</v>
      </c>
      <c r="E3594" t="s">
        <v>2200</v>
      </c>
      <c r="F3594" t="s">
        <v>1247</v>
      </c>
      <c r="G3594" t="s">
        <v>503</v>
      </c>
      <c r="H3594" t="s">
        <v>1441</v>
      </c>
      <c r="I3594" t="s">
        <v>1441</v>
      </c>
      <c r="J3594" t="s">
        <v>60</v>
      </c>
      <c r="K3594" t="s">
        <v>512</v>
      </c>
      <c r="L3594" t="s">
        <v>62</v>
      </c>
      <c r="M3594" t="s">
        <v>512</v>
      </c>
      <c r="N3594" t="s">
        <v>506</v>
      </c>
      <c r="O3594" t="s">
        <v>1442</v>
      </c>
      <c r="P3594">
        <v>-20.13036</v>
      </c>
      <c r="Q3594">
        <v>-44.891019</v>
      </c>
      <c r="R3594" s="2" t="str">
        <f>HYPERLINK("https://www.google.com/maps?q=-20.1303600,-44.8910190","Abrir no Google Maps")</f>
        <v>Abrir no Google Maps</v>
      </c>
      <c r="S3594">
        <v>3</v>
      </c>
      <c r="T3594">
        <v>313.17410616307359</v>
      </c>
      <c r="U3594">
        <v>1</v>
      </c>
      <c r="V3594">
        <v>0.4264806573091407</v>
      </c>
      <c r="W3594">
        <v>0.85</v>
      </c>
      <c r="X3594">
        <v>0.3625085587127696</v>
      </c>
      <c r="Y3594">
        <v>564</v>
      </c>
      <c r="Z3594">
        <v>208.43159293494489</v>
      </c>
      <c r="AA3594">
        <v>198</v>
      </c>
      <c r="AB3594">
        <v>332</v>
      </c>
      <c r="AC3594">
        <v>536</v>
      </c>
      <c r="AD3594">
        <v>28.54</v>
      </c>
      <c r="AE3594">
        <v>542</v>
      </c>
      <c r="AF3594">
        <v>20</v>
      </c>
      <c r="AG3594">
        <v>181</v>
      </c>
      <c r="AH3594">
        <v>129</v>
      </c>
      <c r="AI3594">
        <v>3.69</v>
      </c>
      <c r="AJ3594">
        <v>33.39</v>
      </c>
      <c r="AK3594">
        <v>23.8</v>
      </c>
      <c r="AL3594">
        <v>-20.130100449999961</v>
      </c>
      <c r="AM3594">
        <v>-44.891163633475301</v>
      </c>
      <c r="AN3594">
        <v>-20.130100449999961</v>
      </c>
      <c r="AO3594">
        <v>-44.891163633475301</v>
      </c>
      <c r="AP3594">
        <v>-20.13036</v>
      </c>
      <c r="AQ3594">
        <v>-44.891019</v>
      </c>
      <c r="AR3594">
        <v>32.608854575381159</v>
      </c>
      <c r="AS3594" t="s">
        <v>65</v>
      </c>
      <c r="AT3594">
        <v>1</v>
      </c>
      <c r="AU3594" t="s">
        <v>1443</v>
      </c>
      <c r="AV3594" t="s">
        <v>1444</v>
      </c>
      <c r="AW3594" t="s">
        <v>60</v>
      </c>
      <c r="AX3594" t="s">
        <v>68</v>
      </c>
      <c r="AY3594" t="s">
        <v>69</v>
      </c>
      <c r="AZ3594" t="b">
        <v>1</v>
      </c>
    </row>
    <row r="3595" spans="1:52" x14ac:dyDescent="0.3">
      <c r="A3595" t="s">
        <v>52</v>
      </c>
      <c r="B3595" t="s">
        <v>53</v>
      </c>
      <c r="C3595" t="s">
        <v>54</v>
      </c>
      <c r="D3595" t="s">
        <v>55</v>
      </c>
      <c r="E3595" t="s">
        <v>2200</v>
      </c>
      <c r="F3595" t="s">
        <v>1247</v>
      </c>
      <c r="G3595" t="s">
        <v>1408</v>
      </c>
      <c r="H3595" t="s">
        <v>1409</v>
      </c>
      <c r="I3595" t="s">
        <v>1409</v>
      </c>
      <c r="J3595" t="s">
        <v>60</v>
      </c>
      <c r="K3595" t="s">
        <v>200</v>
      </c>
      <c r="L3595" t="s">
        <v>62</v>
      </c>
      <c r="M3595" t="s">
        <v>200</v>
      </c>
      <c r="N3595" t="s">
        <v>1410</v>
      </c>
      <c r="O3595" t="s">
        <v>1001</v>
      </c>
      <c r="P3595">
        <v>-20.126062999999998</v>
      </c>
      <c r="Q3595">
        <v>-44.894936999999999</v>
      </c>
      <c r="R3595" s="2" t="str">
        <f>HYPERLINK("https://www.google.com/maps?q=-20.1260630,-44.8949370","Abrir no Google Maps")</f>
        <v>Abrir no Google Maps</v>
      </c>
      <c r="S3595">
        <v>3</v>
      </c>
      <c r="T3595">
        <v>747.3122077966558</v>
      </c>
      <c r="U3595">
        <v>1</v>
      </c>
      <c r="V3595">
        <v>0.39966067388974869</v>
      </c>
      <c r="W3595">
        <v>0.85</v>
      </c>
      <c r="X3595">
        <v>0.33971157280628639</v>
      </c>
      <c r="Y3595">
        <v>564</v>
      </c>
      <c r="Z3595">
        <v>693.80888866206885</v>
      </c>
      <c r="AA3595">
        <v>198</v>
      </c>
      <c r="AB3595">
        <v>332</v>
      </c>
      <c r="AC3595">
        <v>536</v>
      </c>
      <c r="AD3595">
        <v>28.54</v>
      </c>
      <c r="AE3595">
        <v>542</v>
      </c>
      <c r="AF3595">
        <v>20</v>
      </c>
      <c r="AG3595">
        <v>181</v>
      </c>
      <c r="AH3595">
        <v>129</v>
      </c>
      <c r="AI3595">
        <v>3.69</v>
      </c>
      <c r="AJ3595">
        <v>33.39</v>
      </c>
      <c r="AK3595">
        <v>23.8</v>
      </c>
      <c r="AL3595">
        <v>-20.126099149999959</v>
      </c>
      <c r="AM3595">
        <v>-44.894866076436763</v>
      </c>
      <c r="AN3595">
        <v>-20.126099149999959</v>
      </c>
      <c r="AO3595">
        <v>-44.894866076436749</v>
      </c>
      <c r="AP3595">
        <v>-20.126062999999998</v>
      </c>
      <c r="AQ3595">
        <v>-44.894936999999999</v>
      </c>
      <c r="AR3595">
        <v>8.4349593682699737</v>
      </c>
      <c r="AS3595" t="s">
        <v>65</v>
      </c>
      <c r="AT3595">
        <v>1</v>
      </c>
      <c r="AU3595" t="s">
        <v>1411</v>
      </c>
      <c r="AV3595" t="s">
        <v>1003</v>
      </c>
      <c r="AW3595" t="s">
        <v>60</v>
      </c>
      <c r="AX3595" t="s">
        <v>68</v>
      </c>
      <c r="AY3595" t="s">
        <v>69</v>
      </c>
      <c r="AZ3595" t="b">
        <v>1</v>
      </c>
    </row>
    <row r="3596" spans="1:52" x14ac:dyDescent="0.3">
      <c r="A3596" t="s">
        <v>52</v>
      </c>
      <c r="B3596" t="s">
        <v>53</v>
      </c>
      <c r="C3596" t="s">
        <v>54</v>
      </c>
      <c r="D3596" t="s">
        <v>55</v>
      </c>
      <c r="E3596" t="s">
        <v>2200</v>
      </c>
      <c r="F3596" t="s">
        <v>1247</v>
      </c>
      <c r="G3596" t="s">
        <v>473</v>
      </c>
      <c r="H3596" t="s">
        <v>1445</v>
      </c>
      <c r="I3596" t="s">
        <v>1445</v>
      </c>
      <c r="J3596" t="s">
        <v>60</v>
      </c>
      <c r="K3596" t="s">
        <v>892</v>
      </c>
      <c r="L3596" t="s">
        <v>62</v>
      </c>
      <c r="M3596" t="s">
        <v>892</v>
      </c>
      <c r="N3596" t="s">
        <v>406</v>
      </c>
      <c r="O3596" t="s">
        <v>1446</v>
      </c>
      <c r="P3596">
        <v>-20.14941</v>
      </c>
      <c r="Q3596">
        <v>-44.899535</v>
      </c>
      <c r="R3596" s="2" t="str">
        <f>HYPERLINK("https://www.google.com/maps?q=-20.1494100,-44.8995350","Abrir no Google Maps")</f>
        <v>Abrir no Google Maps</v>
      </c>
      <c r="S3596">
        <v>3</v>
      </c>
      <c r="T3596">
        <v>249.83945591849931</v>
      </c>
      <c r="U3596">
        <v>1</v>
      </c>
      <c r="V3596">
        <v>0.44172487499522878</v>
      </c>
      <c r="W3596">
        <v>0.85</v>
      </c>
      <c r="X3596">
        <v>0.37546614374594439</v>
      </c>
      <c r="Y3596">
        <v>556</v>
      </c>
      <c r="Z3596">
        <v>156.62360082488701</v>
      </c>
      <c r="AA3596">
        <v>198</v>
      </c>
      <c r="AB3596">
        <v>332</v>
      </c>
      <c r="AC3596">
        <v>536</v>
      </c>
      <c r="AD3596">
        <v>28.54</v>
      </c>
      <c r="AE3596">
        <v>542</v>
      </c>
      <c r="AF3596">
        <v>20</v>
      </c>
      <c r="AG3596">
        <v>181</v>
      </c>
      <c r="AH3596">
        <v>129</v>
      </c>
      <c r="AI3596">
        <v>3.69</v>
      </c>
      <c r="AJ3596">
        <v>33.39</v>
      </c>
      <c r="AK3596">
        <v>23.8</v>
      </c>
      <c r="AL3596">
        <v>-20.149341899999939</v>
      </c>
      <c r="AM3596">
        <v>-44.899575902083967</v>
      </c>
      <c r="AN3596">
        <v>-20.149341899999939</v>
      </c>
      <c r="AO3596">
        <v>-44.899575902083967</v>
      </c>
      <c r="AP3596">
        <v>-20.14941</v>
      </c>
      <c r="AQ3596">
        <v>-44.899535</v>
      </c>
      <c r="AR3596">
        <v>8.7029725999778709</v>
      </c>
      <c r="AS3596" t="s">
        <v>65</v>
      </c>
      <c r="AT3596">
        <v>1</v>
      </c>
      <c r="AU3596" t="s">
        <v>1447</v>
      </c>
      <c r="AV3596" t="s">
        <v>1448</v>
      </c>
      <c r="AW3596" t="s">
        <v>60</v>
      </c>
      <c r="AX3596" t="s">
        <v>68</v>
      </c>
      <c r="AY3596" t="s">
        <v>69</v>
      </c>
      <c r="AZ3596" t="b">
        <v>1</v>
      </c>
    </row>
    <row r="3597" spans="1:52" x14ac:dyDescent="0.3">
      <c r="A3597" t="s">
        <v>52</v>
      </c>
      <c r="B3597" t="s">
        <v>53</v>
      </c>
      <c r="C3597" t="s">
        <v>54</v>
      </c>
      <c r="D3597" t="s">
        <v>55</v>
      </c>
      <c r="E3597" t="s">
        <v>2200</v>
      </c>
      <c r="F3597" t="s">
        <v>1247</v>
      </c>
      <c r="G3597" t="s">
        <v>1127</v>
      </c>
      <c r="H3597" t="s">
        <v>1455</v>
      </c>
      <c r="I3597" t="s">
        <v>1455</v>
      </c>
      <c r="J3597" t="s">
        <v>60</v>
      </c>
      <c r="K3597" t="s">
        <v>431</v>
      </c>
      <c r="L3597" t="s">
        <v>62</v>
      </c>
      <c r="M3597" t="s">
        <v>431</v>
      </c>
      <c r="N3597" t="s">
        <v>1456</v>
      </c>
      <c r="O3597" t="s">
        <v>1001</v>
      </c>
      <c r="P3597">
        <v>-20.168237999999999</v>
      </c>
      <c r="Q3597">
        <v>-44.924250999999998</v>
      </c>
      <c r="R3597" s="2" t="str">
        <f>HYPERLINK("https://www.google.com/maps?q=-20.1682380,-44.9242510","Abrir no Google Maps")</f>
        <v>Abrir no Google Maps</v>
      </c>
      <c r="S3597">
        <v>2</v>
      </c>
      <c r="T3597">
        <v>1220.188820430971</v>
      </c>
      <c r="U3597">
        <v>4</v>
      </c>
      <c r="V3597">
        <v>0.70882740447957837</v>
      </c>
      <c r="W3597">
        <v>0.85</v>
      </c>
      <c r="X3597">
        <v>0.60250329380764156</v>
      </c>
      <c r="Y3597">
        <v>723</v>
      </c>
      <c r="Z3597">
        <v>1092.4377883150901</v>
      </c>
      <c r="AA3597">
        <v>198</v>
      </c>
      <c r="AB3597">
        <v>332</v>
      </c>
      <c r="AC3597">
        <v>536</v>
      </c>
      <c r="AD3597">
        <v>28.54</v>
      </c>
      <c r="AE3597">
        <v>542</v>
      </c>
      <c r="AF3597">
        <v>20</v>
      </c>
      <c r="AG3597">
        <v>181</v>
      </c>
      <c r="AH3597">
        <v>129</v>
      </c>
      <c r="AI3597">
        <v>3.69</v>
      </c>
      <c r="AJ3597">
        <v>33.39</v>
      </c>
      <c r="AK3597">
        <v>23.8</v>
      </c>
      <c r="AL3597">
        <v>-20.168394999999951</v>
      </c>
      <c r="AM3597">
        <v>-44.923548168580673</v>
      </c>
      <c r="AN3597">
        <v>-20.168394999999951</v>
      </c>
      <c r="AO3597">
        <v>-44.923548168580673</v>
      </c>
      <c r="AP3597">
        <v>-20.168237999999999</v>
      </c>
      <c r="AQ3597">
        <v>-44.924250999999998</v>
      </c>
      <c r="AR3597">
        <v>75.492755104934275</v>
      </c>
      <c r="AS3597" t="s">
        <v>65</v>
      </c>
      <c r="AT3597">
        <v>1</v>
      </c>
      <c r="AU3597" t="s">
        <v>1457</v>
      </c>
      <c r="AV3597" t="s">
        <v>1458</v>
      </c>
      <c r="AW3597" t="s">
        <v>60</v>
      </c>
      <c r="AX3597" t="s">
        <v>68</v>
      </c>
      <c r="AY3597" t="s">
        <v>69</v>
      </c>
      <c r="AZ3597" t="b">
        <v>1</v>
      </c>
    </row>
    <row r="3598" spans="1:52" x14ac:dyDescent="0.3">
      <c r="A3598" t="s">
        <v>52</v>
      </c>
      <c r="B3598" t="s">
        <v>53</v>
      </c>
      <c r="C3598" t="s">
        <v>54</v>
      </c>
      <c r="D3598" t="s">
        <v>55</v>
      </c>
      <c r="E3598" t="s">
        <v>2200</v>
      </c>
      <c r="F3598" t="s">
        <v>1247</v>
      </c>
      <c r="G3598" t="s">
        <v>1459</v>
      </c>
      <c r="H3598" t="s">
        <v>1460</v>
      </c>
      <c r="I3598" t="s">
        <v>1460</v>
      </c>
      <c r="J3598" t="s">
        <v>60</v>
      </c>
      <c r="K3598" t="s">
        <v>431</v>
      </c>
      <c r="L3598" t="s">
        <v>62</v>
      </c>
      <c r="M3598" t="s">
        <v>431</v>
      </c>
      <c r="N3598" t="s">
        <v>1461</v>
      </c>
      <c r="O3598" t="s">
        <v>1462</v>
      </c>
      <c r="P3598">
        <v>-20.170182</v>
      </c>
      <c r="Q3598">
        <v>-44.922556999999998</v>
      </c>
      <c r="R3598" s="2" t="str">
        <f>HYPERLINK("https://www.google.com/maps?q=-20.1701820,-44.9225570","Abrir no Google Maps")</f>
        <v>Abrir no Google Maps</v>
      </c>
      <c r="S3598">
        <v>2</v>
      </c>
      <c r="T3598">
        <v>1189.3885679843149</v>
      </c>
      <c r="U3598">
        <v>4</v>
      </c>
      <c r="V3598">
        <v>0.64597798268493689</v>
      </c>
      <c r="W3598">
        <v>0.85</v>
      </c>
      <c r="X3598">
        <v>0.54908128528219635</v>
      </c>
      <c r="Y3598">
        <v>723</v>
      </c>
      <c r="Z3598">
        <v>961.89164604479117</v>
      </c>
      <c r="AA3598">
        <v>198</v>
      </c>
      <c r="AB3598">
        <v>332</v>
      </c>
      <c r="AC3598">
        <v>536</v>
      </c>
      <c r="AD3598">
        <v>28.54</v>
      </c>
      <c r="AE3598">
        <v>542</v>
      </c>
      <c r="AF3598">
        <v>20</v>
      </c>
      <c r="AG3598">
        <v>181</v>
      </c>
      <c r="AH3598">
        <v>129</v>
      </c>
      <c r="AI3598">
        <v>3.69</v>
      </c>
      <c r="AJ3598">
        <v>33.39</v>
      </c>
      <c r="AK3598">
        <v>23.8</v>
      </c>
      <c r="AL3598">
        <v>-20.169385449999961</v>
      </c>
      <c r="AM3598">
        <v>-44.922107101898007</v>
      </c>
      <c r="AN3598">
        <v>-20.169385449999961</v>
      </c>
      <c r="AO3598">
        <v>-44.922107101898007</v>
      </c>
      <c r="AP3598">
        <v>-20.170182</v>
      </c>
      <c r="AQ3598">
        <v>-44.922556999999998</v>
      </c>
      <c r="AR3598">
        <v>100.36329580049031</v>
      </c>
      <c r="AS3598" t="s">
        <v>65</v>
      </c>
      <c r="AT3598">
        <v>1</v>
      </c>
      <c r="AU3598" t="s">
        <v>1463</v>
      </c>
      <c r="AV3598" t="s">
        <v>1458</v>
      </c>
      <c r="AW3598" t="s">
        <v>60</v>
      </c>
      <c r="AX3598" t="s">
        <v>68</v>
      </c>
      <c r="AY3598" t="s">
        <v>69</v>
      </c>
      <c r="AZ3598" t="b">
        <v>1</v>
      </c>
    </row>
    <row r="3599" spans="1:52" x14ac:dyDescent="0.3">
      <c r="A3599" t="s">
        <v>52</v>
      </c>
      <c r="B3599" t="s">
        <v>53</v>
      </c>
      <c r="C3599" t="s">
        <v>54</v>
      </c>
      <c r="D3599" t="s">
        <v>55</v>
      </c>
      <c r="E3599" t="s">
        <v>2200</v>
      </c>
      <c r="F3599" t="s">
        <v>1247</v>
      </c>
      <c r="G3599" t="s">
        <v>1464</v>
      </c>
      <c r="H3599" t="s">
        <v>1465</v>
      </c>
      <c r="I3599" t="s">
        <v>1465</v>
      </c>
      <c r="J3599" t="s">
        <v>60</v>
      </c>
      <c r="K3599" t="s">
        <v>1466</v>
      </c>
      <c r="L3599" t="s">
        <v>62</v>
      </c>
      <c r="M3599" t="s">
        <v>1466</v>
      </c>
      <c r="N3599" t="s">
        <v>1467</v>
      </c>
      <c r="O3599" t="s">
        <v>145</v>
      </c>
      <c r="P3599">
        <v>-20.160509999999999</v>
      </c>
      <c r="Q3599">
        <v>-44.884123000000002</v>
      </c>
      <c r="R3599" s="2" t="str">
        <f>HYPERLINK("https://www.google.com/maps?q=-20.1605100,-44.8841230","Abrir no Google Maps")</f>
        <v>Abrir no Google Maps</v>
      </c>
      <c r="S3599">
        <v>2</v>
      </c>
      <c r="T3599">
        <v>650.04961276595373</v>
      </c>
      <c r="U3599">
        <v>4</v>
      </c>
      <c r="V3599">
        <v>0.48009738283627512</v>
      </c>
      <c r="W3599">
        <v>1</v>
      </c>
      <c r="X3599">
        <v>0.48009738283627512</v>
      </c>
      <c r="Y3599">
        <v>671</v>
      </c>
      <c r="Z3599">
        <v>591.49066685698506</v>
      </c>
      <c r="AA3599">
        <v>198</v>
      </c>
      <c r="AB3599">
        <v>332</v>
      </c>
      <c r="AC3599">
        <v>536</v>
      </c>
      <c r="AD3599">
        <v>28.54</v>
      </c>
      <c r="AE3599">
        <v>542</v>
      </c>
      <c r="AF3599">
        <v>20</v>
      </c>
      <c r="AG3599">
        <v>181</v>
      </c>
      <c r="AH3599">
        <v>129</v>
      </c>
      <c r="AI3599">
        <v>3.69</v>
      </c>
      <c r="AJ3599">
        <v>33.39</v>
      </c>
      <c r="AK3599">
        <v>23.8</v>
      </c>
      <c r="AL3599">
        <v>-20.16056479999995</v>
      </c>
      <c r="AM3599">
        <v>-44.88424978393428</v>
      </c>
      <c r="AN3599">
        <v>-20.160564799999939</v>
      </c>
      <c r="AO3599">
        <v>-44.88424978393428</v>
      </c>
      <c r="AP3599">
        <v>-20.160509999999999</v>
      </c>
      <c r="AQ3599">
        <v>-44.884123000000002</v>
      </c>
      <c r="AR3599">
        <v>14.585823463739541</v>
      </c>
      <c r="AS3599" t="s">
        <v>65</v>
      </c>
      <c r="AT3599">
        <v>1</v>
      </c>
      <c r="AU3599" t="s">
        <v>1468</v>
      </c>
      <c r="AV3599" t="s">
        <v>1469</v>
      </c>
      <c r="AW3599" t="s">
        <v>60</v>
      </c>
      <c r="AX3599" t="s">
        <v>68</v>
      </c>
      <c r="AY3599" t="s">
        <v>69</v>
      </c>
      <c r="AZ3599" t="b">
        <v>1</v>
      </c>
    </row>
    <row r="3600" spans="1:52" x14ac:dyDescent="0.3">
      <c r="A3600" t="s">
        <v>52</v>
      </c>
      <c r="B3600" t="s">
        <v>53</v>
      </c>
      <c r="C3600" t="s">
        <v>54</v>
      </c>
      <c r="D3600" t="s">
        <v>55</v>
      </c>
      <c r="E3600" t="s">
        <v>2200</v>
      </c>
      <c r="F3600" t="s">
        <v>1247</v>
      </c>
      <c r="G3600" t="s">
        <v>1333</v>
      </c>
      <c r="H3600" t="s">
        <v>1470</v>
      </c>
      <c r="I3600" t="s">
        <v>1470</v>
      </c>
      <c r="J3600" t="s">
        <v>60</v>
      </c>
      <c r="K3600" t="s">
        <v>437</v>
      </c>
      <c r="L3600" t="s">
        <v>62</v>
      </c>
      <c r="M3600" t="s">
        <v>437</v>
      </c>
      <c r="N3600" t="s">
        <v>1335</v>
      </c>
      <c r="O3600" t="s">
        <v>900</v>
      </c>
      <c r="P3600">
        <v>-20.147047000000001</v>
      </c>
      <c r="Q3600">
        <v>-44.883921999999998</v>
      </c>
      <c r="R3600" s="2" t="str">
        <f>HYPERLINK("https://www.google.com/maps?q=-20.1470470,-44.8839220","Abrir no Google Maps")</f>
        <v>Abrir no Google Maps</v>
      </c>
      <c r="S3600">
        <v>2</v>
      </c>
      <c r="T3600">
        <v>296.4098018832658</v>
      </c>
      <c r="U3600">
        <v>4</v>
      </c>
      <c r="V3600">
        <v>0.52201190707306033</v>
      </c>
      <c r="W3600">
        <v>1</v>
      </c>
      <c r="X3600">
        <v>0.52201190707306033</v>
      </c>
      <c r="Y3600">
        <v>653</v>
      </c>
      <c r="Z3600">
        <v>299.72271006042178</v>
      </c>
      <c r="AA3600">
        <v>198</v>
      </c>
      <c r="AB3600">
        <v>332</v>
      </c>
      <c r="AC3600">
        <v>536</v>
      </c>
      <c r="AD3600">
        <v>28.54</v>
      </c>
      <c r="AE3600">
        <v>542</v>
      </c>
      <c r="AF3600">
        <v>20</v>
      </c>
      <c r="AG3600">
        <v>181</v>
      </c>
      <c r="AH3600">
        <v>129</v>
      </c>
      <c r="AI3600">
        <v>3.69</v>
      </c>
      <c r="AJ3600">
        <v>33.39</v>
      </c>
      <c r="AK3600">
        <v>23.8</v>
      </c>
      <c r="AL3600">
        <v>-20.147074949999929</v>
      </c>
      <c r="AM3600">
        <v>-44.883796511502347</v>
      </c>
      <c r="AN3600">
        <v>-20.147074949999929</v>
      </c>
      <c r="AO3600">
        <v>-44.883796511502347</v>
      </c>
      <c r="AP3600">
        <v>-20.147047000000001</v>
      </c>
      <c r="AQ3600">
        <v>-44.883921999999998</v>
      </c>
      <c r="AR3600">
        <v>13.47864632994</v>
      </c>
      <c r="AS3600" t="s">
        <v>65</v>
      </c>
      <c r="AT3600">
        <v>1</v>
      </c>
      <c r="AU3600" t="s">
        <v>1471</v>
      </c>
      <c r="AV3600" t="s">
        <v>1472</v>
      </c>
      <c r="AW3600" t="s">
        <v>60</v>
      </c>
      <c r="AX3600" t="s">
        <v>68</v>
      </c>
      <c r="AY3600" t="s">
        <v>69</v>
      </c>
      <c r="AZ3600" t="b">
        <v>1</v>
      </c>
    </row>
    <row r="3601" spans="1:52" x14ac:dyDescent="0.3">
      <c r="A3601" t="s">
        <v>52</v>
      </c>
      <c r="B3601" t="s">
        <v>53</v>
      </c>
      <c r="C3601" t="s">
        <v>54</v>
      </c>
      <c r="D3601" t="s">
        <v>55</v>
      </c>
      <c r="E3601" t="s">
        <v>2200</v>
      </c>
      <c r="F3601" t="s">
        <v>1247</v>
      </c>
      <c r="G3601" t="s">
        <v>1473</v>
      </c>
      <c r="H3601" t="s">
        <v>1474</v>
      </c>
      <c r="I3601" t="s">
        <v>1474</v>
      </c>
      <c r="J3601" t="s">
        <v>60</v>
      </c>
      <c r="K3601" t="s">
        <v>1302</v>
      </c>
      <c r="L3601" t="s">
        <v>62</v>
      </c>
      <c r="M3601" t="s">
        <v>1302</v>
      </c>
      <c r="N3601" t="s">
        <v>1475</v>
      </c>
      <c r="O3601" t="s">
        <v>1476</v>
      </c>
      <c r="P3601">
        <v>-20.161372</v>
      </c>
      <c r="Q3601">
        <v>-44.914636999999999</v>
      </c>
      <c r="R3601" s="2" t="str">
        <f>HYPERLINK("https://www.google.com/maps?q=-20.1613720,-44.9146370","Abrir no Google Maps")</f>
        <v>Abrir no Google Maps</v>
      </c>
      <c r="S3601">
        <v>2</v>
      </c>
      <c r="T3601">
        <v>0</v>
      </c>
      <c r="U3601">
        <v>4</v>
      </c>
      <c r="V3601">
        <v>0.5243664717348927</v>
      </c>
      <c r="W3601">
        <v>1</v>
      </c>
      <c r="X3601">
        <v>0.5243664717348927</v>
      </c>
      <c r="Y3601">
        <v>639</v>
      </c>
      <c r="Z3601">
        <v>81.742669907651447</v>
      </c>
      <c r="AA3601">
        <v>198</v>
      </c>
      <c r="AB3601">
        <v>332</v>
      </c>
      <c r="AC3601">
        <v>536</v>
      </c>
      <c r="AD3601">
        <v>28.54</v>
      </c>
      <c r="AE3601">
        <v>542</v>
      </c>
      <c r="AF3601">
        <v>20</v>
      </c>
      <c r="AG3601">
        <v>181</v>
      </c>
      <c r="AH3601">
        <v>129</v>
      </c>
      <c r="AI3601">
        <v>3.69</v>
      </c>
      <c r="AJ3601">
        <v>33.39</v>
      </c>
      <c r="AK3601">
        <v>23.8</v>
      </c>
      <c r="AL3601">
        <v>-20.161294499999961</v>
      </c>
      <c r="AM3601">
        <v>-44.914614684493202</v>
      </c>
      <c r="AN3601">
        <v>-20.161294499999961</v>
      </c>
      <c r="AO3601">
        <v>-44.914614684493202</v>
      </c>
      <c r="AP3601">
        <v>-20.161372</v>
      </c>
      <c r="AQ3601">
        <v>-44.914636999999999</v>
      </c>
      <c r="AR3601">
        <v>8.9369058443944862</v>
      </c>
      <c r="AS3601" t="s">
        <v>65</v>
      </c>
      <c r="AT3601">
        <v>1</v>
      </c>
      <c r="AU3601" t="s">
        <v>1477</v>
      </c>
      <c r="AV3601" t="s">
        <v>1478</v>
      </c>
      <c r="AW3601" t="s">
        <v>60</v>
      </c>
      <c r="AX3601" t="s">
        <v>68</v>
      </c>
      <c r="AY3601" t="s">
        <v>69</v>
      </c>
      <c r="AZ3601" t="b">
        <v>1</v>
      </c>
    </row>
    <row r="3602" spans="1:52" x14ac:dyDescent="0.3">
      <c r="A3602" t="s">
        <v>52</v>
      </c>
      <c r="B3602" t="s">
        <v>53</v>
      </c>
      <c r="C3602" t="s">
        <v>54</v>
      </c>
      <c r="D3602" t="s">
        <v>55</v>
      </c>
      <c r="E3602" t="s">
        <v>2200</v>
      </c>
      <c r="F3602" t="s">
        <v>1247</v>
      </c>
      <c r="G3602" t="s">
        <v>1479</v>
      </c>
      <c r="H3602" t="s">
        <v>1480</v>
      </c>
      <c r="I3602" t="s">
        <v>1480</v>
      </c>
      <c r="J3602" t="s">
        <v>60</v>
      </c>
      <c r="K3602" t="s">
        <v>1302</v>
      </c>
      <c r="L3602" t="s">
        <v>62</v>
      </c>
      <c r="M3602" t="s">
        <v>1302</v>
      </c>
      <c r="N3602" t="s">
        <v>1481</v>
      </c>
      <c r="O3602" t="s">
        <v>1482</v>
      </c>
      <c r="P3602">
        <v>-20.164655</v>
      </c>
      <c r="Q3602">
        <v>-44.912697000000001</v>
      </c>
      <c r="R3602" s="2" t="str">
        <f>HYPERLINK("https://www.google.com/maps?q=-20.1646550,-44.9126970","Abrir no Google Maps")</f>
        <v>Abrir no Google Maps</v>
      </c>
      <c r="S3602">
        <v>2</v>
      </c>
      <c r="T3602">
        <v>441.50274004930441</v>
      </c>
      <c r="U3602">
        <v>4</v>
      </c>
      <c r="V3602">
        <v>0.49585818705954071</v>
      </c>
      <c r="W3602">
        <v>1</v>
      </c>
      <c r="X3602">
        <v>0.49585818705954071</v>
      </c>
      <c r="Y3602">
        <v>639</v>
      </c>
      <c r="Z3602">
        <v>311.03317029936522</v>
      </c>
      <c r="AA3602">
        <v>198</v>
      </c>
      <c r="AB3602">
        <v>332</v>
      </c>
      <c r="AC3602">
        <v>536</v>
      </c>
      <c r="AD3602">
        <v>28.54</v>
      </c>
      <c r="AE3602">
        <v>542</v>
      </c>
      <c r="AF3602">
        <v>20</v>
      </c>
      <c r="AG3602">
        <v>181</v>
      </c>
      <c r="AH3602">
        <v>129</v>
      </c>
      <c r="AI3602">
        <v>3.69</v>
      </c>
      <c r="AJ3602">
        <v>33.39</v>
      </c>
      <c r="AK3602">
        <v>23.8</v>
      </c>
      <c r="AL3602">
        <v>-20.164702999999971</v>
      </c>
      <c r="AM3602">
        <v>-44.912418857911163</v>
      </c>
      <c r="AN3602">
        <v>-20.164702999999971</v>
      </c>
      <c r="AO3602">
        <v>-44.912418857911163</v>
      </c>
      <c r="AP3602">
        <v>-20.164655</v>
      </c>
      <c r="AQ3602">
        <v>-44.912697000000001</v>
      </c>
      <c r="AR3602">
        <v>29.552017409892429</v>
      </c>
      <c r="AS3602" t="s">
        <v>65</v>
      </c>
      <c r="AT3602">
        <v>1</v>
      </c>
      <c r="AU3602" t="s">
        <v>1483</v>
      </c>
      <c r="AV3602" t="s">
        <v>1484</v>
      </c>
      <c r="AW3602" t="s">
        <v>60</v>
      </c>
      <c r="AX3602" t="s">
        <v>68</v>
      </c>
      <c r="AY3602" t="s">
        <v>69</v>
      </c>
      <c r="AZ3602" t="b">
        <v>1</v>
      </c>
    </row>
    <row r="3603" spans="1:52" x14ac:dyDescent="0.3">
      <c r="A3603" t="s">
        <v>52</v>
      </c>
      <c r="B3603" t="s">
        <v>53</v>
      </c>
      <c r="C3603" t="s">
        <v>54</v>
      </c>
      <c r="D3603" t="s">
        <v>55</v>
      </c>
      <c r="E3603" t="s">
        <v>2200</v>
      </c>
      <c r="F3603" t="s">
        <v>1247</v>
      </c>
      <c r="G3603" t="s">
        <v>1495</v>
      </c>
      <c r="H3603" t="s">
        <v>1496</v>
      </c>
      <c r="I3603" t="s">
        <v>1496</v>
      </c>
      <c r="J3603" t="s">
        <v>60</v>
      </c>
      <c r="K3603" t="s">
        <v>1466</v>
      </c>
      <c r="L3603" t="s">
        <v>62</v>
      </c>
      <c r="M3603" t="s">
        <v>1466</v>
      </c>
      <c r="N3603" t="s">
        <v>1497</v>
      </c>
      <c r="O3603" t="s">
        <v>1498</v>
      </c>
      <c r="P3603">
        <v>-20.163160999999999</v>
      </c>
      <c r="Q3603">
        <v>-44.880460999999997</v>
      </c>
      <c r="R3603" s="2" t="str">
        <f>HYPERLINK("https://www.google.com/maps?q=-20.1631610,-44.8804610","Abrir no Google Maps")</f>
        <v>Abrir no Google Maps</v>
      </c>
      <c r="S3603">
        <v>2</v>
      </c>
      <c r="T3603">
        <v>372.63783804650222</v>
      </c>
      <c r="U3603">
        <v>3</v>
      </c>
      <c r="V3603">
        <v>0.44396730614492008</v>
      </c>
      <c r="W3603">
        <v>1</v>
      </c>
      <c r="X3603">
        <v>0.44396730614492008</v>
      </c>
      <c r="Y3603">
        <v>671</v>
      </c>
      <c r="Z3603">
        <v>250.43144487082299</v>
      </c>
      <c r="AA3603">
        <v>198</v>
      </c>
      <c r="AB3603">
        <v>332</v>
      </c>
      <c r="AC3603">
        <v>536</v>
      </c>
      <c r="AD3603">
        <v>28.54</v>
      </c>
      <c r="AE3603">
        <v>542</v>
      </c>
      <c r="AF3603">
        <v>20</v>
      </c>
      <c r="AG3603">
        <v>181</v>
      </c>
      <c r="AH3603">
        <v>129</v>
      </c>
      <c r="AI3603">
        <v>3.69</v>
      </c>
      <c r="AJ3603">
        <v>33.39</v>
      </c>
      <c r="AK3603">
        <v>23.8</v>
      </c>
      <c r="AL3603">
        <v>-20.163296749999969</v>
      </c>
      <c r="AM3603">
        <v>-44.88037544059182</v>
      </c>
      <c r="AN3603">
        <v>-20.163296749999969</v>
      </c>
      <c r="AO3603">
        <v>-44.88037544059182</v>
      </c>
      <c r="AP3603">
        <v>-20.163160999999999</v>
      </c>
      <c r="AQ3603">
        <v>-44.880460999999997</v>
      </c>
      <c r="AR3603">
        <v>17.558482416121191</v>
      </c>
      <c r="AS3603" t="s">
        <v>65</v>
      </c>
      <c r="AT3603">
        <v>1</v>
      </c>
      <c r="AU3603" t="s">
        <v>1499</v>
      </c>
      <c r="AV3603" t="s">
        <v>1500</v>
      </c>
      <c r="AW3603" t="s">
        <v>60</v>
      </c>
      <c r="AX3603" t="s">
        <v>68</v>
      </c>
      <c r="AY3603" t="s">
        <v>69</v>
      </c>
      <c r="AZ3603" t="b">
        <v>1</v>
      </c>
    </row>
    <row r="3604" spans="1:52" x14ac:dyDescent="0.3">
      <c r="A3604" t="s">
        <v>52</v>
      </c>
      <c r="B3604" t="s">
        <v>53</v>
      </c>
      <c r="C3604" t="s">
        <v>54</v>
      </c>
      <c r="D3604" t="s">
        <v>55</v>
      </c>
      <c r="E3604" t="s">
        <v>2200</v>
      </c>
      <c r="F3604" t="s">
        <v>1247</v>
      </c>
      <c r="G3604" t="s">
        <v>1501</v>
      </c>
      <c r="H3604" t="s">
        <v>1502</v>
      </c>
      <c r="I3604" t="s">
        <v>1502</v>
      </c>
      <c r="J3604" t="s">
        <v>60</v>
      </c>
      <c r="K3604" t="s">
        <v>1466</v>
      </c>
      <c r="L3604" t="s">
        <v>62</v>
      </c>
      <c r="M3604" t="s">
        <v>1466</v>
      </c>
      <c r="N3604" t="s">
        <v>1503</v>
      </c>
      <c r="O3604" t="s">
        <v>1504</v>
      </c>
      <c r="P3604">
        <v>-20.159618999999999</v>
      </c>
      <c r="Q3604">
        <v>-44.880065000000002</v>
      </c>
      <c r="R3604" s="2" t="str">
        <f>HYPERLINK("https://www.google.com/maps?q=-20.1596190,-44.8800650","Abrir no Google Maps")</f>
        <v>Abrir no Google Maps</v>
      </c>
      <c r="S3604">
        <v>2</v>
      </c>
      <c r="T3604">
        <v>243.9950282285559</v>
      </c>
      <c r="U3604">
        <v>3</v>
      </c>
      <c r="V3604">
        <v>0.45633235090152557</v>
      </c>
      <c r="W3604">
        <v>1</v>
      </c>
      <c r="X3604">
        <v>0.45633235090152557</v>
      </c>
      <c r="Y3604">
        <v>671</v>
      </c>
      <c r="Z3604">
        <v>265.31354384517681</v>
      </c>
      <c r="AA3604">
        <v>198</v>
      </c>
      <c r="AB3604">
        <v>332</v>
      </c>
      <c r="AC3604">
        <v>536</v>
      </c>
      <c r="AD3604">
        <v>28.54</v>
      </c>
      <c r="AE3604">
        <v>542</v>
      </c>
      <c r="AF3604">
        <v>20</v>
      </c>
      <c r="AG3604">
        <v>181</v>
      </c>
      <c r="AH3604">
        <v>129</v>
      </c>
      <c r="AI3604">
        <v>3.69</v>
      </c>
      <c r="AJ3604">
        <v>33.39</v>
      </c>
      <c r="AK3604">
        <v>23.8</v>
      </c>
      <c r="AL3604">
        <v>-20.159689949999969</v>
      </c>
      <c r="AM3604">
        <v>-44.880075072344489</v>
      </c>
      <c r="AN3604">
        <v>-20.159689949999969</v>
      </c>
      <c r="AO3604">
        <v>-44.880075072344489</v>
      </c>
      <c r="AP3604">
        <v>-20.159618999999999</v>
      </c>
      <c r="AQ3604">
        <v>-44.880065000000002</v>
      </c>
      <c r="AR3604">
        <v>7.9679809486040876</v>
      </c>
      <c r="AS3604" t="s">
        <v>65</v>
      </c>
      <c r="AT3604">
        <v>1</v>
      </c>
      <c r="AU3604" t="s">
        <v>1505</v>
      </c>
      <c r="AV3604" t="s">
        <v>1506</v>
      </c>
      <c r="AW3604" t="s">
        <v>60</v>
      </c>
      <c r="AX3604" t="s">
        <v>68</v>
      </c>
      <c r="AY3604" t="s">
        <v>69</v>
      </c>
      <c r="AZ3604" t="b">
        <v>1</v>
      </c>
    </row>
    <row r="3605" spans="1:52" x14ac:dyDescent="0.3">
      <c r="A3605" t="s">
        <v>52</v>
      </c>
      <c r="B3605" t="s">
        <v>53</v>
      </c>
      <c r="C3605" t="s">
        <v>54</v>
      </c>
      <c r="D3605" t="s">
        <v>55</v>
      </c>
      <c r="E3605" t="s">
        <v>2200</v>
      </c>
      <c r="F3605" t="s">
        <v>1247</v>
      </c>
      <c r="G3605" t="s">
        <v>1507</v>
      </c>
      <c r="H3605" t="s">
        <v>1508</v>
      </c>
      <c r="I3605" t="s">
        <v>1508</v>
      </c>
      <c r="J3605" t="s">
        <v>60</v>
      </c>
      <c r="K3605" t="s">
        <v>1466</v>
      </c>
      <c r="L3605" t="s">
        <v>62</v>
      </c>
      <c r="M3605" t="s">
        <v>1466</v>
      </c>
      <c r="N3605" t="s">
        <v>1509</v>
      </c>
      <c r="O3605" t="s">
        <v>270</v>
      </c>
      <c r="P3605">
        <v>-20.164501999999999</v>
      </c>
      <c r="Q3605">
        <v>-44.883226999999998</v>
      </c>
      <c r="R3605" s="2" t="str">
        <f>HYPERLINK("https://www.google.com/maps?q=-20.1645020,-44.8832270","Abrir no Google Maps")</f>
        <v>Abrir no Google Maps</v>
      </c>
      <c r="S3605">
        <v>2</v>
      </c>
      <c r="T3605">
        <v>691.62667420887726</v>
      </c>
      <c r="U3605">
        <v>3</v>
      </c>
      <c r="V3605">
        <v>0.4488460453269888</v>
      </c>
      <c r="W3605">
        <v>1</v>
      </c>
      <c r="X3605">
        <v>0.4488460453269888</v>
      </c>
      <c r="Y3605">
        <v>671</v>
      </c>
      <c r="Z3605">
        <v>591.13935302436732</v>
      </c>
      <c r="AA3605">
        <v>198</v>
      </c>
      <c r="AB3605">
        <v>332</v>
      </c>
      <c r="AC3605">
        <v>536</v>
      </c>
      <c r="AD3605">
        <v>28.54</v>
      </c>
      <c r="AE3605">
        <v>542</v>
      </c>
      <c r="AF3605">
        <v>20</v>
      </c>
      <c r="AG3605">
        <v>181</v>
      </c>
      <c r="AH3605">
        <v>129</v>
      </c>
      <c r="AI3605">
        <v>3.69</v>
      </c>
      <c r="AJ3605">
        <v>33.39</v>
      </c>
      <c r="AK3605">
        <v>23.8</v>
      </c>
      <c r="AL3605">
        <v>-20.164470149999939</v>
      </c>
      <c r="AM3605">
        <v>-44.883357321672527</v>
      </c>
      <c r="AN3605">
        <v>-20.164470149999939</v>
      </c>
      <c r="AO3605">
        <v>-44.883357321672527</v>
      </c>
      <c r="AP3605">
        <v>-20.164501999999999</v>
      </c>
      <c r="AQ3605">
        <v>-44.883226999999998</v>
      </c>
      <c r="AR3605">
        <v>14.072184947340521</v>
      </c>
      <c r="AS3605" t="s">
        <v>65</v>
      </c>
      <c r="AT3605">
        <v>1</v>
      </c>
      <c r="AU3605" t="s">
        <v>1510</v>
      </c>
      <c r="AV3605" t="s">
        <v>1511</v>
      </c>
      <c r="AW3605" t="s">
        <v>60</v>
      </c>
      <c r="AX3605" t="s">
        <v>68</v>
      </c>
      <c r="AY3605" t="s">
        <v>69</v>
      </c>
      <c r="AZ3605" t="b">
        <v>1</v>
      </c>
    </row>
    <row r="3606" spans="1:52" x14ac:dyDescent="0.3">
      <c r="A3606" t="s">
        <v>52</v>
      </c>
      <c r="B3606" t="s">
        <v>53</v>
      </c>
      <c r="C3606" t="s">
        <v>54</v>
      </c>
      <c r="D3606" t="s">
        <v>55</v>
      </c>
      <c r="E3606" t="s">
        <v>2200</v>
      </c>
      <c r="F3606" t="s">
        <v>1247</v>
      </c>
      <c r="G3606" t="s">
        <v>1512</v>
      </c>
      <c r="H3606" t="s">
        <v>1513</v>
      </c>
      <c r="I3606" t="s">
        <v>1513</v>
      </c>
      <c r="J3606" t="s">
        <v>60</v>
      </c>
      <c r="K3606" t="s">
        <v>1302</v>
      </c>
      <c r="L3606" t="s">
        <v>62</v>
      </c>
      <c r="M3606" t="s">
        <v>1302</v>
      </c>
      <c r="N3606" t="s">
        <v>1514</v>
      </c>
      <c r="O3606" t="s">
        <v>1515</v>
      </c>
      <c r="P3606">
        <v>-20.163709000000001</v>
      </c>
      <c r="Q3606">
        <v>-44.916074999999999</v>
      </c>
      <c r="R3606" s="2" t="str">
        <f>HYPERLINK("https://www.google.com/maps?q=-20.1637090,-44.9160750","Abrir no Google Maps")</f>
        <v>Abrir no Google Maps</v>
      </c>
      <c r="S3606">
        <v>2</v>
      </c>
      <c r="T3606">
        <v>305.09593452131332</v>
      </c>
      <c r="U3606">
        <v>3</v>
      </c>
      <c r="V3606">
        <v>0.45417259846790048</v>
      </c>
      <c r="W3606">
        <v>1</v>
      </c>
      <c r="X3606">
        <v>0.45417259846790048</v>
      </c>
      <c r="Y3606">
        <v>639</v>
      </c>
      <c r="Z3606">
        <v>289.37841230131949</v>
      </c>
      <c r="AA3606">
        <v>198</v>
      </c>
      <c r="AB3606">
        <v>332</v>
      </c>
      <c r="AC3606">
        <v>536</v>
      </c>
      <c r="AD3606">
        <v>28.54</v>
      </c>
      <c r="AE3606">
        <v>542</v>
      </c>
      <c r="AF3606">
        <v>20</v>
      </c>
      <c r="AG3606">
        <v>181</v>
      </c>
      <c r="AH3606">
        <v>129</v>
      </c>
      <c r="AI3606">
        <v>3.69</v>
      </c>
      <c r="AJ3606">
        <v>33.39</v>
      </c>
      <c r="AK3606">
        <v>23.8</v>
      </c>
      <c r="AL3606">
        <v>-20.163666449999969</v>
      </c>
      <c r="AM3606">
        <v>-44.916102906827042</v>
      </c>
      <c r="AN3606">
        <v>-20.163666449999969</v>
      </c>
      <c r="AO3606">
        <v>-44.916102906827042</v>
      </c>
      <c r="AP3606">
        <v>-20.163709000000001</v>
      </c>
      <c r="AQ3606">
        <v>-44.916074999999999</v>
      </c>
      <c r="AR3606">
        <v>5.5623892025550603</v>
      </c>
      <c r="AS3606" t="s">
        <v>65</v>
      </c>
      <c r="AT3606">
        <v>1</v>
      </c>
      <c r="AU3606" t="s">
        <v>1516</v>
      </c>
      <c r="AV3606" t="s">
        <v>1517</v>
      </c>
      <c r="AW3606" t="s">
        <v>60</v>
      </c>
      <c r="AX3606" t="s">
        <v>68</v>
      </c>
      <c r="AY3606" t="s">
        <v>69</v>
      </c>
      <c r="AZ3606" t="b">
        <v>1</v>
      </c>
    </row>
    <row r="3607" spans="1:52" x14ac:dyDescent="0.3">
      <c r="A3607" t="s">
        <v>52</v>
      </c>
      <c r="B3607" t="s">
        <v>53</v>
      </c>
      <c r="C3607" t="s">
        <v>54</v>
      </c>
      <c r="D3607" t="s">
        <v>55</v>
      </c>
      <c r="E3607" t="s">
        <v>2200</v>
      </c>
      <c r="F3607" t="s">
        <v>1247</v>
      </c>
      <c r="G3607" t="s">
        <v>1518</v>
      </c>
      <c r="H3607" t="s">
        <v>1519</v>
      </c>
      <c r="I3607" t="s">
        <v>1519</v>
      </c>
      <c r="J3607" t="s">
        <v>60</v>
      </c>
      <c r="K3607" t="s">
        <v>1302</v>
      </c>
      <c r="L3607" t="s">
        <v>62</v>
      </c>
      <c r="M3607" t="s">
        <v>1302</v>
      </c>
      <c r="N3607" t="s">
        <v>1520</v>
      </c>
      <c r="O3607" t="s">
        <v>1521</v>
      </c>
      <c r="P3607">
        <v>-20.16263</v>
      </c>
      <c r="Q3607">
        <v>-44.910342999999997</v>
      </c>
      <c r="R3607" s="2" t="str">
        <f>HYPERLINK("https://www.google.com/maps?q=-20.1626300,-44.9103430","Abrir no Google Maps")</f>
        <v>Abrir no Google Maps</v>
      </c>
      <c r="S3607">
        <v>2</v>
      </c>
      <c r="T3607">
        <v>492.63980270666781</v>
      </c>
      <c r="U3607">
        <v>3</v>
      </c>
      <c r="V3607">
        <v>0.45531011136625799</v>
      </c>
      <c r="W3607">
        <v>1</v>
      </c>
      <c r="X3607">
        <v>0.45531011136625799</v>
      </c>
      <c r="Y3607">
        <v>639</v>
      </c>
      <c r="Z3607">
        <v>412.49960371731271</v>
      </c>
      <c r="AA3607">
        <v>198</v>
      </c>
      <c r="AB3607">
        <v>332</v>
      </c>
      <c r="AC3607">
        <v>536</v>
      </c>
      <c r="AD3607">
        <v>28.54</v>
      </c>
      <c r="AE3607">
        <v>542</v>
      </c>
      <c r="AF3607">
        <v>20</v>
      </c>
      <c r="AG3607">
        <v>181</v>
      </c>
      <c r="AH3607">
        <v>129</v>
      </c>
      <c r="AI3607">
        <v>3.69</v>
      </c>
      <c r="AJ3607">
        <v>33.39</v>
      </c>
      <c r="AK3607">
        <v>23.8</v>
      </c>
      <c r="AL3607">
        <v>-20.162579949999952</v>
      </c>
      <c r="AM3607">
        <v>-44.910101148008863</v>
      </c>
      <c r="AN3607">
        <v>-20.162579949999952</v>
      </c>
      <c r="AO3607">
        <v>-44.910101148008863</v>
      </c>
      <c r="AP3607">
        <v>-20.16263</v>
      </c>
      <c r="AQ3607">
        <v>-44.910342999999997</v>
      </c>
      <c r="AR3607">
        <v>25.879932474893501</v>
      </c>
      <c r="AS3607" t="s">
        <v>65</v>
      </c>
      <c r="AT3607">
        <v>1</v>
      </c>
      <c r="AU3607" t="s">
        <v>1522</v>
      </c>
      <c r="AV3607" t="s">
        <v>1523</v>
      </c>
      <c r="AW3607" t="s">
        <v>60</v>
      </c>
      <c r="AX3607" t="s">
        <v>68</v>
      </c>
      <c r="AY3607" t="s">
        <v>69</v>
      </c>
      <c r="AZ3607" t="b">
        <v>1</v>
      </c>
    </row>
    <row r="3608" spans="1:52" x14ac:dyDescent="0.3">
      <c r="A3608" t="s">
        <v>52</v>
      </c>
      <c r="B3608" t="s">
        <v>53</v>
      </c>
      <c r="C3608" t="s">
        <v>54</v>
      </c>
      <c r="D3608" t="s">
        <v>55</v>
      </c>
      <c r="E3608" t="s">
        <v>2200</v>
      </c>
      <c r="F3608" t="s">
        <v>1247</v>
      </c>
      <c r="G3608" t="s">
        <v>1524</v>
      </c>
      <c r="H3608" t="s">
        <v>1525</v>
      </c>
      <c r="I3608" t="s">
        <v>1525</v>
      </c>
      <c r="J3608" t="s">
        <v>60</v>
      </c>
      <c r="K3608" t="s">
        <v>1302</v>
      </c>
      <c r="L3608" t="s">
        <v>62</v>
      </c>
      <c r="M3608" t="s">
        <v>1302</v>
      </c>
      <c r="N3608" t="s">
        <v>1526</v>
      </c>
      <c r="O3608" t="s">
        <v>303</v>
      </c>
      <c r="P3608">
        <v>-20.159873000000001</v>
      </c>
      <c r="Q3608">
        <v>-44.911431999999998</v>
      </c>
      <c r="R3608" s="2" t="str">
        <f>HYPERLINK("https://www.google.com/maps?q=-20.1598730,-44.9114320","Abrir no Google Maps")</f>
        <v>Abrir no Google Maps</v>
      </c>
      <c r="S3608">
        <v>2</v>
      </c>
      <c r="T3608">
        <v>359.34785817593553</v>
      </c>
      <c r="U3608">
        <v>3</v>
      </c>
      <c r="V3608">
        <v>0.44310504650578181</v>
      </c>
      <c r="W3608">
        <v>1</v>
      </c>
      <c r="X3608">
        <v>0.44310504650578181</v>
      </c>
      <c r="Y3608">
        <v>639</v>
      </c>
      <c r="Z3608">
        <v>388.13505700247691</v>
      </c>
      <c r="AA3608">
        <v>198</v>
      </c>
      <c r="AB3608">
        <v>332</v>
      </c>
      <c r="AC3608">
        <v>536</v>
      </c>
      <c r="AD3608">
        <v>28.54</v>
      </c>
      <c r="AE3608">
        <v>542</v>
      </c>
      <c r="AF3608">
        <v>20</v>
      </c>
      <c r="AG3608">
        <v>181</v>
      </c>
      <c r="AH3608">
        <v>129</v>
      </c>
      <c r="AI3608">
        <v>3.69</v>
      </c>
      <c r="AJ3608">
        <v>33.39</v>
      </c>
      <c r="AK3608">
        <v>23.8</v>
      </c>
      <c r="AL3608">
        <v>-20.159583599999969</v>
      </c>
      <c r="AM3608">
        <v>-44.911691929105316</v>
      </c>
      <c r="AN3608">
        <v>-20.159583599999969</v>
      </c>
      <c r="AO3608">
        <v>-44.911691929105316</v>
      </c>
      <c r="AP3608">
        <v>-20.159873000000001</v>
      </c>
      <c r="AQ3608">
        <v>-44.911431999999998</v>
      </c>
      <c r="AR3608">
        <v>42.138811218570019</v>
      </c>
      <c r="AS3608" t="s">
        <v>65</v>
      </c>
      <c r="AT3608">
        <v>1</v>
      </c>
      <c r="AU3608" t="s">
        <v>1527</v>
      </c>
      <c r="AV3608" t="s">
        <v>1528</v>
      </c>
      <c r="AW3608" t="s">
        <v>60</v>
      </c>
      <c r="AX3608" t="s">
        <v>68</v>
      </c>
      <c r="AY3608" t="s">
        <v>69</v>
      </c>
      <c r="AZ3608" t="b">
        <v>1</v>
      </c>
    </row>
    <row r="3609" spans="1:52" x14ac:dyDescent="0.3">
      <c r="A3609" t="s">
        <v>52</v>
      </c>
      <c r="B3609" t="s">
        <v>53</v>
      </c>
      <c r="C3609" t="s">
        <v>54</v>
      </c>
      <c r="D3609" t="s">
        <v>55</v>
      </c>
      <c r="E3609" t="s">
        <v>2200</v>
      </c>
      <c r="F3609" t="s">
        <v>1247</v>
      </c>
      <c r="G3609" t="s">
        <v>1547</v>
      </c>
      <c r="H3609" t="s">
        <v>1548</v>
      </c>
      <c r="I3609" t="s">
        <v>1548</v>
      </c>
      <c r="J3609" t="s">
        <v>60</v>
      </c>
      <c r="K3609" t="s">
        <v>1549</v>
      </c>
      <c r="L3609" t="s">
        <v>62</v>
      </c>
      <c r="M3609" t="s">
        <v>1549</v>
      </c>
      <c r="N3609" t="s">
        <v>1550</v>
      </c>
      <c r="O3609" t="s">
        <v>1551</v>
      </c>
      <c r="P3609">
        <v>-20.173258000000001</v>
      </c>
      <c r="Q3609">
        <v>-44.930354000000001</v>
      </c>
      <c r="R3609" s="2" t="str">
        <f>HYPERLINK("https://www.google.com/maps?q=-20.1732580,-44.9303540","Abrir no Google Maps")</f>
        <v>Abrir no Google Maps</v>
      </c>
      <c r="S3609">
        <v>2</v>
      </c>
      <c r="T3609">
        <v>2023.802197028052</v>
      </c>
      <c r="U3609">
        <v>2</v>
      </c>
      <c r="V3609">
        <v>0.45707070707070702</v>
      </c>
      <c r="W3609">
        <v>0.85</v>
      </c>
      <c r="X3609">
        <v>0.38851010101010103</v>
      </c>
      <c r="Y3609">
        <v>723</v>
      </c>
      <c r="Z3609">
        <v>1727.7445576555911</v>
      </c>
      <c r="AA3609">
        <v>198</v>
      </c>
      <c r="AB3609">
        <v>332</v>
      </c>
      <c r="AC3609">
        <v>536</v>
      </c>
      <c r="AD3609">
        <v>28.54</v>
      </c>
      <c r="AE3609">
        <v>542</v>
      </c>
      <c r="AF3609">
        <v>20</v>
      </c>
      <c r="AG3609">
        <v>181</v>
      </c>
      <c r="AH3609">
        <v>129</v>
      </c>
      <c r="AI3609">
        <v>3.69</v>
      </c>
      <c r="AJ3609">
        <v>33.39</v>
      </c>
      <c r="AK3609">
        <v>23.8</v>
      </c>
      <c r="AL3609">
        <v>-20.172996449999939</v>
      </c>
      <c r="AM3609">
        <v>-44.930058436825973</v>
      </c>
      <c r="AN3609">
        <v>-20.172996449999939</v>
      </c>
      <c r="AO3609">
        <v>-44.930058436825973</v>
      </c>
      <c r="AP3609">
        <v>-20.173258000000001</v>
      </c>
      <c r="AQ3609">
        <v>-44.930354000000001</v>
      </c>
      <c r="AR3609">
        <v>42.444455141884362</v>
      </c>
      <c r="AS3609" t="s">
        <v>65</v>
      </c>
      <c r="AT3609">
        <v>1</v>
      </c>
      <c r="AU3609" t="s">
        <v>1552</v>
      </c>
      <c r="AV3609" t="s">
        <v>1553</v>
      </c>
      <c r="AW3609" t="s">
        <v>60</v>
      </c>
      <c r="AX3609" t="s">
        <v>68</v>
      </c>
      <c r="AY3609" t="s">
        <v>69</v>
      </c>
      <c r="AZ3609" t="b">
        <v>1</v>
      </c>
    </row>
    <row r="3610" spans="1:52" x14ac:dyDescent="0.3">
      <c r="A3610" t="s">
        <v>52</v>
      </c>
      <c r="B3610" t="s">
        <v>53</v>
      </c>
      <c r="C3610" t="s">
        <v>54</v>
      </c>
      <c r="D3610" t="s">
        <v>55</v>
      </c>
      <c r="E3610" t="s">
        <v>2200</v>
      </c>
      <c r="F3610" t="s">
        <v>1247</v>
      </c>
      <c r="G3610" t="s">
        <v>1464</v>
      </c>
      <c r="H3610" t="s">
        <v>1485</v>
      </c>
      <c r="I3610" t="s">
        <v>1485</v>
      </c>
      <c r="J3610" t="s">
        <v>60</v>
      </c>
      <c r="K3610" t="s">
        <v>1486</v>
      </c>
      <c r="L3610" t="s">
        <v>62</v>
      </c>
      <c r="M3610" t="s">
        <v>1486</v>
      </c>
      <c r="N3610" t="s">
        <v>1467</v>
      </c>
      <c r="O3610" t="s">
        <v>1487</v>
      </c>
      <c r="P3610">
        <v>-20.162842000000001</v>
      </c>
      <c r="Q3610">
        <v>-44.883769999999998</v>
      </c>
      <c r="R3610" s="2" t="str">
        <f>HYPERLINK("https://www.google.com/maps?q=-20.1628420,-44.8837700","Abrir no Google Maps")</f>
        <v>Abrir no Google Maps</v>
      </c>
      <c r="S3610">
        <v>2</v>
      </c>
      <c r="T3610">
        <v>659.67909450906006</v>
      </c>
      <c r="U3610">
        <v>2</v>
      </c>
      <c r="V3610">
        <v>0.4319667443691354</v>
      </c>
      <c r="W3610">
        <v>1</v>
      </c>
      <c r="X3610">
        <v>0.4319667443691354</v>
      </c>
      <c r="Y3610">
        <v>671</v>
      </c>
      <c r="Z3610">
        <v>566.23107864368092</v>
      </c>
      <c r="AA3610">
        <v>198</v>
      </c>
      <c r="AB3610">
        <v>332</v>
      </c>
      <c r="AC3610">
        <v>536</v>
      </c>
      <c r="AD3610">
        <v>28.54</v>
      </c>
      <c r="AE3610">
        <v>542</v>
      </c>
      <c r="AF3610">
        <v>20</v>
      </c>
      <c r="AG3610">
        <v>181</v>
      </c>
      <c r="AH3610">
        <v>129</v>
      </c>
      <c r="AI3610">
        <v>3.69</v>
      </c>
      <c r="AJ3610">
        <v>33.39</v>
      </c>
      <c r="AK3610">
        <v>23.8</v>
      </c>
      <c r="AL3610">
        <v>-20.162791299999949</v>
      </c>
      <c r="AM3610">
        <v>-44.883966852092939</v>
      </c>
      <c r="AN3610">
        <v>-20.162791299999949</v>
      </c>
      <c r="AO3610">
        <v>-44.883966852092939</v>
      </c>
      <c r="AP3610">
        <v>-20.162842000000001</v>
      </c>
      <c r="AQ3610">
        <v>-44.883769999999998</v>
      </c>
      <c r="AR3610">
        <v>21.33085532825611</v>
      </c>
      <c r="AS3610" t="s">
        <v>65</v>
      </c>
      <c r="AT3610">
        <v>1</v>
      </c>
      <c r="AU3610" t="s">
        <v>1488</v>
      </c>
      <c r="AV3610" t="s">
        <v>1489</v>
      </c>
      <c r="AW3610" t="s">
        <v>60</v>
      </c>
      <c r="AX3610" t="s">
        <v>68</v>
      </c>
      <c r="AY3610" t="s">
        <v>69</v>
      </c>
      <c r="AZ3610" t="b">
        <v>1</v>
      </c>
    </row>
    <row r="3611" spans="1:52" x14ac:dyDescent="0.3">
      <c r="A3611" t="s">
        <v>52</v>
      </c>
      <c r="B3611" t="s">
        <v>53</v>
      </c>
      <c r="C3611" t="s">
        <v>54</v>
      </c>
      <c r="D3611" t="s">
        <v>55</v>
      </c>
      <c r="E3611" t="s">
        <v>2200</v>
      </c>
      <c r="F3611" t="s">
        <v>1247</v>
      </c>
      <c r="G3611" t="s">
        <v>1490</v>
      </c>
      <c r="H3611" t="s">
        <v>1491</v>
      </c>
      <c r="I3611" t="s">
        <v>1491</v>
      </c>
      <c r="J3611" t="s">
        <v>60</v>
      </c>
      <c r="K3611" t="s">
        <v>336</v>
      </c>
      <c r="L3611" t="s">
        <v>62</v>
      </c>
      <c r="M3611" t="s">
        <v>336</v>
      </c>
      <c r="N3611" t="s">
        <v>1492</v>
      </c>
      <c r="O3611" t="s">
        <v>842</v>
      </c>
      <c r="P3611">
        <v>-20.164228999999999</v>
      </c>
      <c r="Q3611">
        <v>-44.876455999999997</v>
      </c>
      <c r="R3611" s="2" t="str">
        <f>HYPERLINK("https://www.google.com/maps?q=-20.1642290,-44.8764560","Abrir no Google Maps")</f>
        <v>Abrir no Google Maps</v>
      </c>
      <c r="S3611">
        <v>2</v>
      </c>
      <c r="T3611">
        <v>420.00990411628987</v>
      </c>
      <c r="U3611">
        <v>2</v>
      </c>
      <c r="V3611">
        <v>0.4352385433470754</v>
      </c>
      <c r="W3611">
        <v>1</v>
      </c>
      <c r="X3611">
        <v>0.4352385433470754</v>
      </c>
      <c r="Y3611">
        <v>671</v>
      </c>
      <c r="Z3611">
        <v>375.90194920648611</v>
      </c>
      <c r="AA3611">
        <v>198</v>
      </c>
      <c r="AB3611">
        <v>332</v>
      </c>
      <c r="AC3611">
        <v>536</v>
      </c>
      <c r="AD3611">
        <v>28.54</v>
      </c>
      <c r="AE3611">
        <v>542</v>
      </c>
      <c r="AF3611">
        <v>20</v>
      </c>
      <c r="AG3611">
        <v>181</v>
      </c>
      <c r="AH3611">
        <v>129</v>
      </c>
      <c r="AI3611">
        <v>3.69</v>
      </c>
      <c r="AJ3611">
        <v>33.39</v>
      </c>
      <c r="AK3611">
        <v>23.8</v>
      </c>
      <c r="AL3611">
        <v>-20.164255749999938</v>
      </c>
      <c r="AM3611">
        <v>-44.876471676086922</v>
      </c>
      <c r="AN3611">
        <v>-20.164255749999938</v>
      </c>
      <c r="AO3611">
        <v>-44.876471676086922</v>
      </c>
      <c r="AP3611">
        <v>-20.164228999999999</v>
      </c>
      <c r="AQ3611">
        <v>-44.876455999999997</v>
      </c>
      <c r="AR3611">
        <v>3.3986375813953771</v>
      </c>
      <c r="AS3611" t="s">
        <v>65</v>
      </c>
      <c r="AT3611">
        <v>1</v>
      </c>
      <c r="AU3611" t="s">
        <v>1493</v>
      </c>
      <c r="AV3611" t="s">
        <v>1494</v>
      </c>
      <c r="AW3611" t="s">
        <v>60</v>
      </c>
      <c r="AX3611" t="s">
        <v>68</v>
      </c>
      <c r="AY3611" t="s">
        <v>69</v>
      </c>
      <c r="AZ3611" t="b">
        <v>1</v>
      </c>
    </row>
    <row r="3612" spans="1:52" x14ac:dyDescent="0.3">
      <c r="A3612" t="s">
        <v>52</v>
      </c>
      <c r="B3612" t="s">
        <v>53</v>
      </c>
      <c r="C3612" t="s">
        <v>54</v>
      </c>
      <c r="D3612" t="s">
        <v>55</v>
      </c>
      <c r="E3612" t="s">
        <v>2200</v>
      </c>
      <c r="F3612" t="s">
        <v>1247</v>
      </c>
      <c r="G3612" t="s">
        <v>1529</v>
      </c>
      <c r="H3612" t="s">
        <v>1530</v>
      </c>
      <c r="I3612" t="s">
        <v>1530</v>
      </c>
      <c r="J3612" t="s">
        <v>60</v>
      </c>
      <c r="K3612" t="s">
        <v>1466</v>
      </c>
      <c r="L3612" t="s">
        <v>62</v>
      </c>
      <c r="M3612" t="s">
        <v>1466</v>
      </c>
      <c r="N3612" t="s">
        <v>1531</v>
      </c>
      <c r="O3612" t="s">
        <v>145</v>
      </c>
      <c r="P3612">
        <v>-20.162952000000001</v>
      </c>
      <c r="Q3612">
        <v>-44.877612999999997</v>
      </c>
      <c r="R3612" s="2" t="str">
        <f>HYPERLINK("https://www.google.com/maps?q=-20.1629520,-44.8776130","Abrir no Google Maps")</f>
        <v>Abrir no Google Maps</v>
      </c>
      <c r="S3612">
        <v>2</v>
      </c>
      <c r="T3612">
        <v>229.91388913695721</v>
      </c>
      <c r="U3612">
        <v>2</v>
      </c>
      <c r="V3612">
        <v>0.46237152869805931</v>
      </c>
      <c r="W3612">
        <v>0.85</v>
      </c>
      <c r="X3612">
        <v>0.39301579939335041</v>
      </c>
      <c r="Y3612">
        <v>671</v>
      </c>
      <c r="Z3612">
        <v>157.6775523644973</v>
      </c>
      <c r="AA3612">
        <v>198</v>
      </c>
      <c r="AB3612">
        <v>332</v>
      </c>
      <c r="AC3612">
        <v>536</v>
      </c>
      <c r="AD3612">
        <v>28.54</v>
      </c>
      <c r="AE3612">
        <v>542</v>
      </c>
      <c r="AF3612">
        <v>20</v>
      </c>
      <c r="AG3612">
        <v>181</v>
      </c>
      <c r="AH3612">
        <v>129</v>
      </c>
      <c r="AI3612">
        <v>3.69</v>
      </c>
      <c r="AJ3612">
        <v>33.39</v>
      </c>
      <c r="AK3612">
        <v>23.8</v>
      </c>
      <c r="AL3612">
        <v>-20.16278829999996</v>
      </c>
      <c r="AM3612">
        <v>-44.877564655204168</v>
      </c>
      <c r="AN3612">
        <v>-20.16278829999996</v>
      </c>
      <c r="AO3612">
        <v>-44.877564655204168</v>
      </c>
      <c r="AP3612">
        <v>-20.162952000000001</v>
      </c>
      <c r="AQ3612">
        <v>-44.877612999999997</v>
      </c>
      <c r="AR3612">
        <v>18.91038935762678</v>
      </c>
      <c r="AS3612" t="s">
        <v>65</v>
      </c>
      <c r="AT3612">
        <v>1</v>
      </c>
      <c r="AU3612" t="s">
        <v>1532</v>
      </c>
      <c r="AV3612" t="s">
        <v>1533</v>
      </c>
      <c r="AW3612" t="s">
        <v>60</v>
      </c>
      <c r="AX3612" t="s">
        <v>68</v>
      </c>
      <c r="AY3612" t="s">
        <v>69</v>
      </c>
      <c r="AZ3612" t="b">
        <v>1</v>
      </c>
    </row>
    <row r="3613" spans="1:52" x14ac:dyDescent="0.3">
      <c r="A3613" t="s">
        <v>52</v>
      </c>
      <c r="B3613" t="s">
        <v>53</v>
      </c>
      <c r="C3613" t="s">
        <v>54</v>
      </c>
      <c r="D3613" t="s">
        <v>55</v>
      </c>
      <c r="E3613" t="s">
        <v>2200</v>
      </c>
      <c r="F3613" t="s">
        <v>1247</v>
      </c>
      <c r="G3613" t="s">
        <v>1534</v>
      </c>
      <c r="H3613" t="s">
        <v>1535</v>
      </c>
      <c r="I3613" t="s">
        <v>1535</v>
      </c>
      <c r="J3613" t="s">
        <v>60</v>
      </c>
      <c r="K3613" t="s">
        <v>1536</v>
      </c>
      <c r="L3613" t="s">
        <v>62</v>
      </c>
      <c r="M3613" t="s">
        <v>1536</v>
      </c>
      <c r="N3613" t="s">
        <v>1537</v>
      </c>
      <c r="O3613" t="s">
        <v>1538</v>
      </c>
      <c r="P3613">
        <v>-20.164618999999998</v>
      </c>
      <c r="Q3613">
        <v>-44.921776999999999</v>
      </c>
      <c r="R3613" s="2" t="str">
        <f>HYPERLINK("https://www.google.com/maps?q=-20.1646190,-44.9217770","Abrir no Google Maps")</f>
        <v>Abrir no Google Maps</v>
      </c>
      <c r="S3613">
        <v>2</v>
      </c>
      <c r="T3613">
        <v>835.70698013544222</v>
      </c>
      <c r="U3613">
        <v>2</v>
      </c>
      <c r="V3613">
        <v>0.44711042311661497</v>
      </c>
      <c r="W3613">
        <v>0.85</v>
      </c>
      <c r="X3613">
        <v>0.38004385964912268</v>
      </c>
      <c r="Y3613">
        <v>639</v>
      </c>
      <c r="Z3613">
        <v>821.59880323911125</v>
      </c>
      <c r="AA3613">
        <v>198</v>
      </c>
      <c r="AB3613">
        <v>332</v>
      </c>
      <c r="AC3613">
        <v>536</v>
      </c>
      <c r="AD3613">
        <v>28.54</v>
      </c>
      <c r="AE3613">
        <v>542</v>
      </c>
      <c r="AF3613">
        <v>20</v>
      </c>
      <c r="AG3613">
        <v>181</v>
      </c>
      <c r="AH3613">
        <v>129</v>
      </c>
      <c r="AI3613">
        <v>3.69</v>
      </c>
      <c r="AJ3613">
        <v>33.39</v>
      </c>
      <c r="AK3613">
        <v>23.8</v>
      </c>
      <c r="AL3613">
        <v>-20.164312499999969</v>
      </c>
      <c r="AM3613">
        <v>-44.921945691824099</v>
      </c>
      <c r="AN3613">
        <v>-20.164312499999969</v>
      </c>
      <c r="AO3613">
        <v>-44.921945691824099</v>
      </c>
      <c r="AP3613">
        <v>-20.164618999999998</v>
      </c>
      <c r="AQ3613">
        <v>-44.921776999999999</v>
      </c>
      <c r="AR3613">
        <v>38.404224975746608</v>
      </c>
      <c r="AS3613" t="s">
        <v>65</v>
      </c>
      <c r="AT3613">
        <v>1</v>
      </c>
      <c r="AU3613" t="s">
        <v>1539</v>
      </c>
      <c r="AV3613" t="s">
        <v>1540</v>
      </c>
      <c r="AW3613" t="s">
        <v>60</v>
      </c>
      <c r="AX3613" t="s">
        <v>68</v>
      </c>
      <c r="AY3613" t="s">
        <v>69</v>
      </c>
      <c r="AZ3613" t="b">
        <v>1</v>
      </c>
    </row>
    <row r="3614" spans="1:52" x14ac:dyDescent="0.3">
      <c r="A3614" t="s">
        <v>52</v>
      </c>
      <c r="B3614" t="s">
        <v>53</v>
      </c>
      <c r="C3614" t="s">
        <v>54</v>
      </c>
      <c r="D3614" t="s">
        <v>55</v>
      </c>
      <c r="E3614" t="s">
        <v>2200</v>
      </c>
      <c r="F3614" t="s">
        <v>1247</v>
      </c>
      <c r="G3614" t="s">
        <v>1554</v>
      </c>
      <c r="H3614" t="s">
        <v>1555</v>
      </c>
      <c r="I3614" t="s">
        <v>1555</v>
      </c>
      <c r="J3614" t="s">
        <v>60</v>
      </c>
      <c r="K3614" t="s">
        <v>1466</v>
      </c>
      <c r="L3614" t="s">
        <v>62</v>
      </c>
      <c r="M3614" t="s">
        <v>1466</v>
      </c>
      <c r="N3614" t="s">
        <v>1556</v>
      </c>
      <c r="O3614" t="s">
        <v>989</v>
      </c>
      <c r="P3614">
        <v>-20.160997999999999</v>
      </c>
      <c r="Q3614">
        <v>-44.878385999999999</v>
      </c>
      <c r="R3614" s="2" t="str">
        <f>HYPERLINK("https://www.google.com/maps?q=-20.1609980,-44.8783860","Abrir no Google Maps")</f>
        <v>Abrir no Google Maps</v>
      </c>
      <c r="S3614">
        <v>2</v>
      </c>
      <c r="T3614">
        <v>0</v>
      </c>
      <c r="U3614">
        <v>1</v>
      </c>
      <c r="V3614">
        <v>0.4342894924219306</v>
      </c>
      <c r="W3614">
        <v>0.85</v>
      </c>
      <c r="X3614">
        <v>0.36914606855864102</v>
      </c>
      <c r="Y3614">
        <v>671</v>
      </c>
      <c r="Z3614">
        <v>74.014802531188664</v>
      </c>
      <c r="AA3614">
        <v>198</v>
      </c>
      <c r="AB3614">
        <v>332</v>
      </c>
      <c r="AC3614">
        <v>536</v>
      </c>
      <c r="AD3614">
        <v>28.54</v>
      </c>
      <c r="AE3614">
        <v>542</v>
      </c>
      <c r="AF3614">
        <v>20</v>
      </c>
      <c r="AG3614">
        <v>181</v>
      </c>
      <c r="AH3614">
        <v>129</v>
      </c>
      <c r="AI3614">
        <v>3.69</v>
      </c>
      <c r="AJ3614">
        <v>33.39</v>
      </c>
      <c r="AK3614">
        <v>23.8</v>
      </c>
      <c r="AL3614">
        <v>-20.160758199999979</v>
      </c>
      <c r="AM3614">
        <v>-44.878032519747983</v>
      </c>
      <c r="AN3614">
        <v>-20.160758199999979</v>
      </c>
      <c r="AO3614">
        <v>-44.878032519747983</v>
      </c>
      <c r="AP3614">
        <v>-20.160997999999999</v>
      </c>
      <c r="AQ3614">
        <v>-44.878385999999999</v>
      </c>
      <c r="AR3614">
        <v>45.574638830261883</v>
      </c>
      <c r="AS3614" t="s">
        <v>65</v>
      </c>
      <c r="AT3614">
        <v>1</v>
      </c>
      <c r="AU3614" t="s">
        <v>1557</v>
      </c>
      <c r="AV3614" t="s">
        <v>1558</v>
      </c>
      <c r="AW3614" t="s">
        <v>60</v>
      </c>
      <c r="AX3614" t="s">
        <v>68</v>
      </c>
      <c r="AY3614" t="s">
        <v>69</v>
      </c>
      <c r="AZ3614" t="b">
        <v>1</v>
      </c>
    </row>
    <row r="3615" spans="1:52" x14ac:dyDescent="0.3">
      <c r="A3615" t="s">
        <v>52</v>
      </c>
      <c r="B3615" t="s">
        <v>53</v>
      </c>
      <c r="C3615" t="s">
        <v>54</v>
      </c>
      <c r="D3615" t="s">
        <v>55</v>
      </c>
      <c r="E3615" t="s">
        <v>2200</v>
      </c>
      <c r="F3615" t="s">
        <v>1247</v>
      </c>
      <c r="G3615" t="s">
        <v>1541</v>
      </c>
      <c r="H3615" t="s">
        <v>1542</v>
      </c>
      <c r="I3615" t="s">
        <v>1542</v>
      </c>
      <c r="J3615" t="s">
        <v>60</v>
      </c>
      <c r="K3615" t="s">
        <v>1302</v>
      </c>
      <c r="L3615" t="s">
        <v>62</v>
      </c>
      <c r="M3615" t="s">
        <v>1302</v>
      </c>
      <c r="N3615" t="s">
        <v>1543</v>
      </c>
      <c r="O3615" t="s">
        <v>1544</v>
      </c>
      <c r="P3615">
        <v>-20.166267999999999</v>
      </c>
      <c r="Q3615">
        <v>-44.916902</v>
      </c>
      <c r="R3615" s="2" t="str">
        <f>HYPERLINK("https://www.google.com/maps?q=-20.1662680,-44.9169020","Abrir no Google Maps")</f>
        <v>Abrir no Google Maps</v>
      </c>
      <c r="S3615">
        <v>2</v>
      </c>
      <c r="T3615">
        <v>580.14556008922216</v>
      </c>
      <c r="U3615">
        <v>1</v>
      </c>
      <c r="V3615">
        <v>0.44351224937035949</v>
      </c>
      <c r="W3615">
        <v>0.85</v>
      </c>
      <c r="X3615">
        <v>0.37698541196480562</v>
      </c>
      <c r="Y3615">
        <v>639</v>
      </c>
      <c r="Z3615">
        <v>590.87477783185614</v>
      </c>
      <c r="AA3615">
        <v>198</v>
      </c>
      <c r="AB3615">
        <v>332</v>
      </c>
      <c r="AC3615">
        <v>536</v>
      </c>
      <c r="AD3615">
        <v>28.54</v>
      </c>
      <c r="AE3615">
        <v>542</v>
      </c>
      <c r="AF3615">
        <v>20</v>
      </c>
      <c r="AG3615">
        <v>181</v>
      </c>
      <c r="AH3615">
        <v>129</v>
      </c>
      <c r="AI3615">
        <v>3.69</v>
      </c>
      <c r="AJ3615">
        <v>33.39</v>
      </c>
      <c r="AK3615">
        <v>23.8</v>
      </c>
      <c r="AL3615">
        <v>-20.165891749999961</v>
      </c>
      <c r="AM3615">
        <v>-44.917283075074913</v>
      </c>
      <c r="AN3615">
        <v>-20.165891749999961</v>
      </c>
      <c r="AO3615">
        <v>-44.917283075074913</v>
      </c>
      <c r="AP3615">
        <v>-20.166267999999999</v>
      </c>
      <c r="AQ3615">
        <v>-44.916902</v>
      </c>
      <c r="AR3615">
        <v>57.792534087281872</v>
      </c>
      <c r="AS3615" t="s">
        <v>65</v>
      </c>
      <c r="AT3615">
        <v>1</v>
      </c>
      <c r="AU3615" t="s">
        <v>1545</v>
      </c>
      <c r="AV3615" t="s">
        <v>1546</v>
      </c>
      <c r="AW3615" t="s">
        <v>60</v>
      </c>
      <c r="AX3615" t="s">
        <v>68</v>
      </c>
      <c r="AY3615" t="s">
        <v>69</v>
      </c>
      <c r="AZ3615" t="b">
        <v>1</v>
      </c>
    </row>
    <row r="3616" spans="1:52" x14ac:dyDescent="0.3">
      <c r="A3616" t="s">
        <v>52</v>
      </c>
      <c r="B3616" t="s">
        <v>53</v>
      </c>
      <c r="C3616" t="s">
        <v>54</v>
      </c>
      <c r="D3616" t="s">
        <v>55</v>
      </c>
      <c r="E3616" t="s">
        <v>2200</v>
      </c>
      <c r="F3616" t="s">
        <v>1247</v>
      </c>
      <c r="G3616" t="s">
        <v>1559</v>
      </c>
      <c r="H3616" t="s">
        <v>1560</v>
      </c>
      <c r="I3616" t="s">
        <v>1560</v>
      </c>
      <c r="J3616" t="s">
        <v>60</v>
      </c>
      <c r="K3616" t="s">
        <v>61</v>
      </c>
      <c r="L3616" t="s">
        <v>62</v>
      </c>
      <c r="M3616" t="s">
        <v>61</v>
      </c>
      <c r="N3616" t="s">
        <v>1561</v>
      </c>
      <c r="O3616" t="s">
        <v>1562</v>
      </c>
      <c r="P3616">
        <v>-20.154959000000002</v>
      </c>
      <c r="Q3616">
        <v>-44.91525</v>
      </c>
      <c r="R3616" s="2" t="str">
        <f>HYPERLINK("https://www.google.com/maps?q=-20.1549590,-44.9152500","Abrir no Google Maps")</f>
        <v>Abrir no Google Maps</v>
      </c>
      <c r="S3616">
        <v>2</v>
      </c>
      <c r="T3616">
        <v>738.36411213380245</v>
      </c>
      <c r="U3616">
        <v>1</v>
      </c>
      <c r="V3616">
        <v>0</v>
      </c>
      <c r="W3616">
        <v>0.85</v>
      </c>
      <c r="X3616">
        <v>0</v>
      </c>
      <c r="Y3616">
        <v>639</v>
      </c>
      <c r="Z3616">
        <v>860.82840850294542</v>
      </c>
      <c r="AA3616">
        <v>198</v>
      </c>
      <c r="AB3616">
        <v>332</v>
      </c>
      <c r="AC3616">
        <v>536</v>
      </c>
      <c r="AD3616">
        <v>28.54</v>
      </c>
      <c r="AE3616">
        <v>542</v>
      </c>
      <c r="AF3616">
        <v>20</v>
      </c>
      <c r="AG3616">
        <v>181</v>
      </c>
      <c r="AH3616">
        <v>129</v>
      </c>
      <c r="AI3616">
        <v>3.69</v>
      </c>
      <c r="AJ3616">
        <v>33.39</v>
      </c>
      <c r="AK3616">
        <v>23.8</v>
      </c>
      <c r="AL3616">
        <v>-20.154629849999939</v>
      </c>
      <c r="AM3616">
        <v>-44.914951620624052</v>
      </c>
      <c r="AN3616">
        <v>-20.154629849999939</v>
      </c>
      <c r="AO3616">
        <v>-44.914951620624052</v>
      </c>
      <c r="AP3616">
        <v>-20.154959000000002</v>
      </c>
      <c r="AQ3616">
        <v>-44.91525</v>
      </c>
      <c r="AR3616">
        <v>48.11297170616912</v>
      </c>
      <c r="AS3616" t="s">
        <v>65</v>
      </c>
      <c r="AT3616">
        <v>1</v>
      </c>
      <c r="AU3616" t="s">
        <v>1563</v>
      </c>
      <c r="AV3616" t="s">
        <v>1564</v>
      </c>
      <c r="AW3616" t="s">
        <v>60</v>
      </c>
      <c r="AX3616" t="s">
        <v>68</v>
      </c>
      <c r="AY3616" t="s">
        <v>69</v>
      </c>
      <c r="AZ3616" t="b">
        <v>1</v>
      </c>
    </row>
    <row r="3617" spans="1:52" x14ac:dyDescent="0.3">
      <c r="A3617" t="s">
        <v>52</v>
      </c>
      <c r="B3617" t="s">
        <v>53</v>
      </c>
      <c r="C3617" t="s">
        <v>54</v>
      </c>
      <c r="D3617" t="s">
        <v>55</v>
      </c>
      <c r="E3617" t="s">
        <v>2200</v>
      </c>
      <c r="F3617" t="s">
        <v>1247</v>
      </c>
      <c r="G3617" t="s">
        <v>631</v>
      </c>
      <c r="H3617" t="s">
        <v>1565</v>
      </c>
      <c r="I3617" t="s">
        <v>1565</v>
      </c>
      <c r="J3617" t="s">
        <v>60</v>
      </c>
      <c r="K3617" t="s">
        <v>530</v>
      </c>
      <c r="L3617" t="s">
        <v>62</v>
      </c>
      <c r="M3617" t="s">
        <v>530</v>
      </c>
      <c r="N3617" t="s">
        <v>633</v>
      </c>
      <c r="O3617" t="s">
        <v>1566</v>
      </c>
      <c r="P3617">
        <v>-20.143915</v>
      </c>
      <c r="Q3617">
        <v>-44.8947</v>
      </c>
      <c r="R3617" s="2" t="str">
        <f>HYPERLINK("https://www.google.com/maps?q=-20.1439150,-44.8947000","Abrir no Google Maps")</f>
        <v>Abrir no Google Maps</v>
      </c>
      <c r="S3617">
        <v>1</v>
      </c>
      <c r="T3617">
        <v>327.74435325417051</v>
      </c>
      <c r="U3617">
        <v>4</v>
      </c>
      <c r="V3617">
        <v>0.58548523206751057</v>
      </c>
      <c r="W3617">
        <v>1</v>
      </c>
      <c r="X3617">
        <v>0.58548523206751057</v>
      </c>
      <c r="Y3617">
        <v>602</v>
      </c>
      <c r="Z3617">
        <v>236.41345279429891</v>
      </c>
      <c r="AA3617">
        <v>198</v>
      </c>
      <c r="AB3617">
        <v>332</v>
      </c>
      <c r="AC3617">
        <v>536</v>
      </c>
      <c r="AD3617">
        <v>28.54</v>
      </c>
      <c r="AE3617">
        <v>542</v>
      </c>
      <c r="AF3617">
        <v>20</v>
      </c>
      <c r="AG3617">
        <v>181</v>
      </c>
      <c r="AH3617">
        <v>129</v>
      </c>
      <c r="AI3617">
        <v>3.69</v>
      </c>
      <c r="AJ3617">
        <v>33.39</v>
      </c>
      <c r="AK3617">
        <v>23.8</v>
      </c>
      <c r="AL3617">
        <v>-20.143900549999959</v>
      </c>
      <c r="AM3617">
        <v>-44.894835636584318</v>
      </c>
      <c r="AN3617">
        <v>-20.143900549999959</v>
      </c>
      <c r="AO3617">
        <v>-44.894835636584318</v>
      </c>
      <c r="AP3617">
        <v>-20.143915</v>
      </c>
      <c r="AQ3617">
        <v>-44.8947</v>
      </c>
      <c r="AR3617">
        <v>14.266440053785869</v>
      </c>
      <c r="AS3617" t="s">
        <v>65</v>
      </c>
      <c r="AT3617">
        <v>1</v>
      </c>
      <c r="AU3617" t="s">
        <v>1567</v>
      </c>
      <c r="AV3617" t="s">
        <v>1568</v>
      </c>
      <c r="AW3617" t="s">
        <v>60</v>
      </c>
      <c r="AX3617" t="s">
        <v>68</v>
      </c>
      <c r="AY3617" t="s">
        <v>69</v>
      </c>
      <c r="AZ3617" t="b">
        <v>1</v>
      </c>
    </row>
    <row r="3618" spans="1:52" x14ac:dyDescent="0.3">
      <c r="A3618" t="s">
        <v>52</v>
      </c>
      <c r="B3618" t="s">
        <v>53</v>
      </c>
      <c r="C3618" t="s">
        <v>54</v>
      </c>
      <c r="D3618" t="s">
        <v>55</v>
      </c>
      <c r="E3618" t="s">
        <v>2200</v>
      </c>
      <c r="F3618" t="s">
        <v>1247</v>
      </c>
      <c r="G3618" t="s">
        <v>1569</v>
      </c>
      <c r="H3618" t="s">
        <v>1570</v>
      </c>
      <c r="I3618" t="s">
        <v>1570</v>
      </c>
      <c r="J3618" t="s">
        <v>60</v>
      </c>
      <c r="K3618" t="s">
        <v>530</v>
      </c>
      <c r="L3618" t="s">
        <v>62</v>
      </c>
      <c r="M3618" t="s">
        <v>530</v>
      </c>
      <c r="N3618" t="s">
        <v>1571</v>
      </c>
      <c r="O3618" t="s">
        <v>598</v>
      </c>
      <c r="P3618">
        <v>-20.146418000000001</v>
      </c>
      <c r="Q3618">
        <v>-44.893861999999999</v>
      </c>
      <c r="R3618" s="2" t="str">
        <f>HYPERLINK("https://www.google.com/maps?q=-20.1464180,-44.8938620","Abrir no Google Maps")</f>
        <v>Abrir no Google Maps</v>
      </c>
      <c r="S3618">
        <v>1</v>
      </c>
      <c r="T3618">
        <v>0</v>
      </c>
      <c r="U3618">
        <v>4</v>
      </c>
      <c r="V3618">
        <v>0.6169292010842885</v>
      </c>
      <c r="W3618">
        <v>0.85</v>
      </c>
      <c r="X3618">
        <v>0.52438982092164521</v>
      </c>
      <c r="Y3618">
        <v>602</v>
      </c>
      <c r="Z3618">
        <v>124.5475134899211</v>
      </c>
      <c r="AA3618">
        <v>198</v>
      </c>
      <c r="AB3618">
        <v>332</v>
      </c>
      <c r="AC3618">
        <v>536</v>
      </c>
      <c r="AD3618">
        <v>28.54</v>
      </c>
      <c r="AE3618">
        <v>542</v>
      </c>
      <c r="AF3618">
        <v>20</v>
      </c>
      <c r="AG3618">
        <v>181</v>
      </c>
      <c r="AH3618">
        <v>129</v>
      </c>
      <c r="AI3618">
        <v>3.69</v>
      </c>
      <c r="AJ3618">
        <v>33.39</v>
      </c>
      <c r="AK3618">
        <v>23.8</v>
      </c>
      <c r="AL3618">
        <v>-20.146753399999941</v>
      </c>
      <c r="AM3618">
        <v>-44.893993355901941</v>
      </c>
      <c r="AN3618">
        <v>-20.146753399999941</v>
      </c>
      <c r="AO3618">
        <v>-44.893993355901941</v>
      </c>
      <c r="AP3618">
        <v>-20.146418000000001</v>
      </c>
      <c r="AQ3618">
        <v>-44.893861999999999</v>
      </c>
      <c r="AR3618">
        <v>39.780457157851913</v>
      </c>
      <c r="AS3618" t="s">
        <v>65</v>
      </c>
      <c r="AT3618">
        <v>1</v>
      </c>
      <c r="AU3618" t="s">
        <v>1572</v>
      </c>
      <c r="AV3618" t="s">
        <v>1573</v>
      </c>
      <c r="AW3618" t="s">
        <v>60</v>
      </c>
      <c r="AX3618" t="s">
        <v>68</v>
      </c>
      <c r="AY3618" t="s">
        <v>69</v>
      </c>
      <c r="AZ3618" t="b">
        <v>1</v>
      </c>
    </row>
    <row r="3619" spans="1:52" x14ac:dyDescent="0.3">
      <c r="A3619" t="s">
        <v>52</v>
      </c>
      <c r="B3619" t="s">
        <v>53</v>
      </c>
      <c r="C3619" t="s">
        <v>54</v>
      </c>
      <c r="D3619" t="s">
        <v>55</v>
      </c>
      <c r="E3619" t="s">
        <v>2200</v>
      </c>
      <c r="F3619" t="s">
        <v>1247</v>
      </c>
      <c r="G3619" t="s">
        <v>1569</v>
      </c>
      <c r="H3619" t="s">
        <v>1574</v>
      </c>
      <c r="I3619" t="s">
        <v>1574</v>
      </c>
      <c r="J3619" t="s">
        <v>60</v>
      </c>
      <c r="K3619" t="s">
        <v>530</v>
      </c>
      <c r="L3619" t="s">
        <v>62</v>
      </c>
      <c r="M3619" t="s">
        <v>530</v>
      </c>
      <c r="N3619" t="s">
        <v>1571</v>
      </c>
      <c r="O3619" t="s">
        <v>1575</v>
      </c>
      <c r="P3619">
        <v>-20.14554</v>
      </c>
      <c r="Q3619">
        <v>-44.895606000000001</v>
      </c>
      <c r="R3619" s="2" t="str">
        <f>HYPERLINK("https://www.google.com/maps?q=-20.1455400,-44.8956060","Abrir no Google Maps")</f>
        <v>Abrir no Google Maps</v>
      </c>
      <c r="S3619">
        <v>1</v>
      </c>
      <c r="T3619">
        <v>218.66647838959381</v>
      </c>
      <c r="U3619">
        <v>4</v>
      </c>
      <c r="V3619">
        <v>0.59106837606837614</v>
      </c>
      <c r="W3619">
        <v>1</v>
      </c>
      <c r="X3619">
        <v>0.59106837606837614</v>
      </c>
      <c r="Y3619">
        <v>602</v>
      </c>
      <c r="Z3619">
        <v>263.6501043391637</v>
      </c>
      <c r="AA3619">
        <v>198</v>
      </c>
      <c r="AB3619">
        <v>332</v>
      </c>
      <c r="AC3619">
        <v>536</v>
      </c>
      <c r="AD3619">
        <v>28.54</v>
      </c>
      <c r="AE3619">
        <v>542</v>
      </c>
      <c r="AF3619">
        <v>20</v>
      </c>
      <c r="AG3619">
        <v>181</v>
      </c>
      <c r="AH3619">
        <v>129</v>
      </c>
      <c r="AI3619">
        <v>3.69</v>
      </c>
      <c r="AJ3619">
        <v>33.39</v>
      </c>
      <c r="AK3619">
        <v>23.8</v>
      </c>
      <c r="AL3619">
        <v>-20.145504749999962</v>
      </c>
      <c r="AM3619">
        <v>-44.89561499588882</v>
      </c>
      <c r="AN3619">
        <v>-20.145504749999962</v>
      </c>
      <c r="AO3619">
        <v>-44.89561499588882</v>
      </c>
      <c r="AP3619">
        <v>-20.14554</v>
      </c>
      <c r="AQ3619">
        <v>-44.895606000000001</v>
      </c>
      <c r="AR3619">
        <v>4.0350843151508604</v>
      </c>
      <c r="AS3619" t="s">
        <v>65</v>
      </c>
      <c r="AT3619">
        <v>1</v>
      </c>
      <c r="AU3619" t="s">
        <v>1576</v>
      </c>
      <c r="AV3619" t="s">
        <v>1577</v>
      </c>
      <c r="AW3619" t="s">
        <v>60</v>
      </c>
      <c r="AX3619" t="s">
        <v>68</v>
      </c>
      <c r="AY3619" t="s">
        <v>69</v>
      </c>
      <c r="AZ3619" t="b">
        <v>1</v>
      </c>
    </row>
    <row r="3620" spans="1:52" x14ac:dyDescent="0.3">
      <c r="A3620" t="s">
        <v>52</v>
      </c>
      <c r="B3620" t="s">
        <v>53</v>
      </c>
      <c r="C3620" t="s">
        <v>54</v>
      </c>
      <c r="D3620" t="s">
        <v>55</v>
      </c>
      <c r="E3620" t="s">
        <v>2200</v>
      </c>
      <c r="F3620" t="s">
        <v>1247</v>
      </c>
      <c r="G3620" t="s">
        <v>1578</v>
      </c>
      <c r="H3620" t="s">
        <v>1579</v>
      </c>
      <c r="I3620" t="s">
        <v>1579</v>
      </c>
      <c r="J3620" t="s">
        <v>60</v>
      </c>
      <c r="K3620" t="s">
        <v>530</v>
      </c>
      <c r="L3620" t="s">
        <v>62</v>
      </c>
      <c r="M3620" t="s">
        <v>530</v>
      </c>
      <c r="N3620" t="s">
        <v>1580</v>
      </c>
      <c r="O3620" t="s">
        <v>1581</v>
      </c>
      <c r="P3620">
        <v>-20.143713999999999</v>
      </c>
      <c r="Q3620">
        <v>-44.897387999999999</v>
      </c>
      <c r="R3620" s="2" t="str">
        <f>HYPERLINK("https://www.google.com/maps?q=-20.1437140,-44.8973880","Abrir no Google Maps")</f>
        <v>Abrir no Google Maps</v>
      </c>
      <c r="S3620">
        <v>1</v>
      </c>
      <c r="T3620">
        <v>354.74438118735611</v>
      </c>
      <c r="U3620">
        <v>4</v>
      </c>
      <c r="V3620">
        <v>0.61908186458993175</v>
      </c>
      <c r="W3620">
        <v>1</v>
      </c>
      <c r="X3620">
        <v>0.61908186458993175</v>
      </c>
      <c r="Y3620">
        <v>588</v>
      </c>
      <c r="Z3620">
        <v>336.29881064197872</v>
      </c>
      <c r="AA3620">
        <v>198</v>
      </c>
      <c r="AB3620">
        <v>332</v>
      </c>
      <c r="AC3620">
        <v>536</v>
      </c>
      <c r="AD3620">
        <v>28.54</v>
      </c>
      <c r="AE3620">
        <v>542</v>
      </c>
      <c r="AF3620">
        <v>20</v>
      </c>
      <c r="AG3620">
        <v>181</v>
      </c>
      <c r="AH3620">
        <v>129</v>
      </c>
      <c r="AI3620">
        <v>3.69</v>
      </c>
      <c r="AJ3620">
        <v>33.39</v>
      </c>
      <c r="AK3620">
        <v>23.8</v>
      </c>
      <c r="AL3620">
        <v>-20.14371329999997</v>
      </c>
      <c r="AM3620">
        <v>-44.897384604125257</v>
      </c>
      <c r="AN3620">
        <v>-20.14371329999997</v>
      </c>
      <c r="AO3620">
        <v>-44.897384604125257</v>
      </c>
      <c r="AP3620">
        <v>-20.143713999999999</v>
      </c>
      <c r="AQ3620">
        <v>-44.897387999999999</v>
      </c>
      <c r="AR3620">
        <v>0.36335934693921551</v>
      </c>
      <c r="AS3620" t="s">
        <v>65</v>
      </c>
      <c r="AT3620">
        <v>1</v>
      </c>
      <c r="AU3620" t="s">
        <v>1582</v>
      </c>
      <c r="AV3620" t="s">
        <v>1583</v>
      </c>
      <c r="AW3620" t="s">
        <v>60</v>
      </c>
      <c r="AX3620" t="s">
        <v>68</v>
      </c>
      <c r="AY3620" t="s">
        <v>69</v>
      </c>
      <c r="AZ3620" t="b">
        <v>1</v>
      </c>
    </row>
    <row r="3621" spans="1:52" x14ac:dyDescent="0.3">
      <c r="A3621" t="s">
        <v>52</v>
      </c>
      <c r="B3621" t="s">
        <v>53</v>
      </c>
      <c r="C3621" t="s">
        <v>54</v>
      </c>
      <c r="D3621" t="s">
        <v>55</v>
      </c>
      <c r="E3621" t="s">
        <v>2200</v>
      </c>
      <c r="F3621" t="s">
        <v>1247</v>
      </c>
      <c r="G3621" t="s">
        <v>1584</v>
      </c>
      <c r="H3621" t="s">
        <v>1585</v>
      </c>
      <c r="I3621" t="s">
        <v>1585</v>
      </c>
      <c r="J3621" t="s">
        <v>60</v>
      </c>
      <c r="K3621" t="s">
        <v>530</v>
      </c>
      <c r="L3621" t="s">
        <v>62</v>
      </c>
      <c r="M3621" t="s">
        <v>530</v>
      </c>
      <c r="N3621" t="s">
        <v>406</v>
      </c>
      <c r="O3621" t="s">
        <v>1586</v>
      </c>
      <c r="P3621">
        <v>-20.141316</v>
      </c>
      <c r="Q3621">
        <v>-44.896424000000003</v>
      </c>
      <c r="R3621" s="2" t="str">
        <f>HYPERLINK("https://www.google.com/maps?q=-20.1413160,-44.8964240","Abrir no Google Maps")</f>
        <v>Abrir no Google Maps</v>
      </c>
      <c r="S3621">
        <v>1</v>
      </c>
      <c r="T3621">
        <v>236.6687095166524</v>
      </c>
      <c r="U3621">
        <v>4</v>
      </c>
      <c r="V3621">
        <v>0.57516544911825929</v>
      </c>
      <c r="W3621">
        <v>1</v>
      </c>
      <c r="X3621">
        <v>0.57516544911825929</v>
      </c>
      <c r="Y3621">
        <v>588</v>
      </c>
      <c r="Z3621">
        <v>255.50729797374251</v>
      </c>
      <c r="AA3621">
        <v>198</v>
      </c>
      <c r="AB3621">
        <v>332</v>
      </c>
      <c r="AC3621">
        <v>536</v>
      </c>
      <c r="AD3621">
        <v>28.54</v>
      </c>
      <c r="AE3621">
        <v>542</v>
      </c>
      <c r="AF3621">
        <v>20</v>
      </c>
      <c r="AG3621">
        <v>181</v>
      </c>
      <c r="AH3621">
        <v>129</v>
      </c>
      <c r="AI3621">
        <v>3.69</v>
      </c>
      <c r="AJ3621">
        <v>33.39</v>
      </c>
      <c r="AK3621">
        <v>23.8</v>
      </c>
      <c r="AL3621">
        <v>-20.141468299999961</v>
      </c>
      <c r="AM3621">
        <v>-44.896566678331098</v>
      </c>
      <c r="AN3621">
        <v>-20.141468299999961</v>
      </c>
      <c r="AO3621">
        <v>-44.896566678331098</v>
      </c>
      <c r="AP3621">
        <v>-20.141316</v>
      </c>
      <c r="AQ3621">
        <v>-44.896424000000003</v>
      </c>
      <c r="AR3621">
        <v>22.578666373759301</v>
      </c>
      <c r="AS3621" t="s">
        <v>65</v>
      </c>
      <c r="AT3621">
        <v>1</v>
      </c>
      <c r="AU3621" t="s">
        <v>1587</v>
      </c>
      <c r="AV3621" t="s">
        <v>1588</v>
      </c>
      <c r="AW3621" t="s">
        <v>60</v>
      </c>
      <c r="AX3621" t="s">
        <v>68</v>
      </c>
      <c r="AY3621" t="s">
        <v>69</v>
      </c>
      <c r="AZ3621" t="b">
        <v>1</v>
      </c>
    </row>
    <row r="3622" spans="1:52" x14ac:dyDescent="0.3">
      <c r="A3622" t="s">
        <v>52</v>
      </c>
      <c r="B3622" t="s">
        <v>53</v>
      </c>
      <c r="C3622" t="s">
        <v>54</v>
      </c>
      <c r="D3622" t="s">
        <v>55</v>
      </c>
      <c r="E3622" t="s">
        <v>2200</v>
      </c>
      <c r="F3622" t="s">
        <v>1247</v>
      </c>
      <c r="G3622" t="s">
        <v>1589</v>
      </c>
      <c r="H3622" t="s">
        <v>1590</v>
      </c>
      <c r="I3622" t="s">
        <v>1590</v>
      </c>
      <c r="J3622" t="s">
        <v>60</v>
      </c>
      <c r="K3622" t="s">
        <v>1591</v>
      </c>
      <c r="L3622" t="s">
        <v>62</v>
      </c>
      <c r="M3622" t="s">
        <v>1591</v>
      </c>
      <c r="N3622" t="s">
        <v>1592</v>
      </c>
      <c r="O3622" t="s">
        <v>659</v>
      </c>
      <c r="P3622">
        <v>-20.140789000000002</v>
      </c>
      <c r="Q3622">
        <v>-44.898631000000002</v>
      </c>
      <c r="R3622" s="2" t="str">
        <f>HYPERLINK("https://www.google.com/maps?q=-20.1407890,-44.8986310","Abrir no Google Maps")</f>
        <v>Abrir no Google Maps</v>
      </c>
      <c r="S3622">
        <v>1</v>
      </c>
      <c r="T3622">
        <v>0</v>
      </c>
      <c r="U3622">
        <v>4</v>
      </c>
      <c r="V3622">
        <v>0.52513292726241412</v>
      </c>
      <c r="W3622">
        <v>1</v>
      </c>
      <c r="X3622">
        <v>0.52513292726241412</v>
      </c>
      <c r="Y3622">
        <v>588</v>
      </c>
      <c r="Z3622">
        <v>51.152636251897107</v>
      </c>
      <c r="AA3622">
        <v>198</v>
      </c>
      <c r="AB3622">
        <v>332</v>
      </c>
      <c r="AC3622">
        <v>536</v>
      </c>
      <c r="AD3622">
        <v>28.54</v>
      </c>
      <c r="AE3622">
        <v>542</v>
      </c>
      <c r="AF3622">
        <v>20</v>
      </c>
      <c r="AG3622">
        <v>181</v>
      </c>
      <c r="AH3622">
        <v>129</v>
      </c>
      <c r="AI3622">
        <v>3.69</v>
      </c>
      <c r="AJ3622">
        <v>33.39</v>
      </c>
      <c r="AK3622">
        <v>23.8</v>
      </c>
      <c r="AL3622">
        <v>-20.140759399999951</v>
      </c>
      <c r="AM3622">
        <v>-44.898703172474903</v>
      </c>
      <c r="AN3622">
        <v>-20.140759399999951</v>
      </c>
      <c r="AO3622">
        <v>-44.898703172474903</v>
      </c>
      <c r="AP3622">
        <v>-20.140789000000002</v>
      </c>
      <c r="AQ3622">
        <v>-44.898631000000002</v>
      </c>
      <c r="AR3622">
        <v>8.2312502179962053</v>
      </c>
      <c r="AS3622" t="s">
        <v>65</v>
      </c>
      <c r="AT3622">
        <v>1</v>
      </c>
      <c r="AU3622" t="s">
        <v>1593</v>
      </c>
      <c r="AV3622" t="s">
        <v>1594</v>
      </c>
      <c r="AW3622" t="s">
        <v>60</v>
      </c>
      <c r="AX3622" t="s">
        <v>68</v>
      </c>
      <c r="AY3622" t="s">
        <v>69</v>
      </c>
      <c r="AZ3622" t="b">
        <v>1</v>
      </c>
    </row>
    <row r="3623" spans="1:52" x14ac:dyDescent="0.3">
      <c r="A3623" t="s">
        <v>52</v>
      </c>
      <c r="B3623" t="s">
        <v>53</v>
      </c>
      <c r="C3623" t="s">
        <v>54</v>
      </c>
      <c r="D3623" t="s">
        <v>55</v>
      </c>
      <c r="E3623" t="s">
        <v>2200</v>
      </c>
      <c r="F3623" t="s">
        <v>1247</v>
      </c>
      <c r="G3623" t="s">
        <v>1595</v>
      </c>
      <c r="H3623" t="s">
        <v>1596</v>
      </c>
      <c r="I3623" t="s">
        <v>1596</v>
      </c>
      <c r="J3623" t="s">
        <v>60</v>
      </c>
      <c r="K3623" t="s">
        <v>530</v>
      </c>
      <c r="L3623" t="s">
        <v>62</v>
      </c>
      <c r="M3623" t="s">
        <v>530</v>
      </c>
      <c r="N3623" t="s">
        <v>1006</v>
      </c>
      <c r="O3623" t="s">
        <v>1597</v>
      </c>
      <c r="P3623">
        <v>-20.139135</v>
      </c>
      <c r="Q3623">
        <v>-44.895907000000001</v>
      </c>
      <c r="R3623" s="2" t="str">
        <f>HYPERLINK("https://www.google.com/maps?q=-20.1391350,-44.8959070","Abrir no Google Maps")</f>
        <v>Abrir no Google Maps</v>
      </c>
      <c r="S3623">
        <v>1</v>
      </c>
      <c r="T3623">
        <v>324.98342996447241</v>
      </c>
      <c r="U3623">
        <v>4</v>
      </c>
      <c r="V3623">
        <v>0.54882599829740064</v>
      </c>
      <c r="W3623">
        <v>1</v>
      </c>
      <c r="X3623">
        <v>0.54882599829740064</v>
      </c>
      <c r="Y3623">
        <v>588</v>
      </c>
      <c r="Z3623">
        <v>411.69998599301618</v>
      </c>
      <c r="AA3623">
        <v>198</v>
      </c>
      <c r="AB3623">
        <v>332</v>
      </c>
      <c r="AC3623">
        <v>536</v>
      </c>
      <c r="AD3623">
        <v>28.54</v>
      </c>
      <c r="AE3623">
        <v>542</v>
      </c>
      <c r="AF3623">
        <v>20</v>
      </c>
      <c r="AG3623">
        <v>181</v>
      </c>
      <c r="AH3623">
        <v>129</v>
      </c>
      <c r="AI3623">
        <v>3.69</v>
      </c>
      <c r="AJ3623">
        <v>33.39</v>
      </c>
      <c r="AK3623">
        <v>23.8</v>
      </c>
      <c r="AL3623">
        <v>-20.139299649999941</v>
      </c>
      <c r="AM3623">
        <v>-44.896005009217312</v>
      </c>
      <c r="AN3623">
        <v>-20.139299649999941</v>
      </c>
      <c r="AO3623">
        <v>-44.896005009217312</v>
      </c>
      <c r="AP3623">
        <v>-20.139135</v>
      </c>
      <c r="AQ3623">
        <v>-44.895907000000001</v>
      </c>
      <c r="AR3623">
        <v>20.996943428875841</v>
      </c>
      <c r="AS3623" t="s">
        <v>65</v>
      </c>
      <c r="AT3623">
        <v>1</v>
      </c>
      <c r="AU3623" t="s">
        <v>1598</v>
      </c>
      <c r="AV3623" t="s">
        <v>1599</v>
      </c>
      <c r="AW3623" t="s">
        <v>60</v>
      </c>
      <c r="AX3623" t="s">
        <v>68</v>
      </c>
      <c r="AY3623" t="s">
        <v>69</v>
      </c>
      <c r="AZ3623" t="b">
        <v>1</v>
      </c>
    </row>
    <row r="3624" spans="1:52" x14ac:dyDescent="0.3">
      <c r="A3624" t="s">
        <v>52</v>
      </c>
      <c r="B3624" t="s">
        <v>53</v>
      </c>
      <c r="C3624" t="s">
        <v>54</v>
      </c>
      <c r="D3624" t="s">
        <v>55</v>
      </c>
      <c r="E3624" t="s">
        <v>2200</v>
      </c>
      <c r="F3624" t="s">
        <v>1247</v>
      </c>
      <c r="G3624" t="s">
        <v>1342</v>
      </c>
      <c r="H3624" t="s">
        <v>1600</v>
      </c>
      <c r="I3624" t="s">
        <v>1600</v>
      </c>
      <c r="J3624" t="s">
        <v>60</v>
      </c>
      <c r="K3624" t="s">
        <v>462</v>
      </c>
      <c r="L3624" t="s">
        <v>62</v>
      </c>
      <c r="M3624" t="s">
        <v>462</v>
      </c>
      <c r="N3624" t="s">
        <v>921</v>
      </c>
      <c r="O3624" t="s">
        <v>1601</v>
      </c>
      <c r="P3624">
        <v>-20.140741999999999</v>
      </c>
      <c r="Q3624">
        <v>-44.902729000000001</v>
      </c>
      <c r="R3624" s="2" t="str">
        <f>HYPERLINK("https://www.google.com/maps?q=-20.1407420,-44.9027290","Abrir no Google Maps")</f>
        <v>Abrir no Google Maps</v>
      </c>
      <c r="S3624">
        <v>1</v>
      </c>
      <c r="T3624">
        <v>373.97936588503438</v>
      </c>
      <c r="U3624">
        <v>4</v>
      </c>
      <c r="V3624">
        <v>0.53995846126061042</v>
      </c>
      <c r="W3624">
        <v>1</v>
      </c>
      <c r="X3624">
        <v>0.53995846126061042</v>
      </c>
      <c r="Y3624">
        <v>588</v>
      </c>
      <c r="Z3624">
        <v>427.55758539734131</v>
      </c>
      <c r="AA3624">
        <v>198</v>
      </c>
      <c r="AB3624">
        <v>332</v>
      </c>
      <c r="AC3624">
        <v>536</v>
      </c>
      <c r="AD3624">
        <v>28.54</v>
      </c>
      <c r="AE3624">
        <v>542</v>
      </c>
      <c r="AF3624">
        <v>20</v>
      </c>
      <c r="AG3624">
        <v>181</v>
      </c>
      <c r="AH3624">
        <v>129</v>
      </c>
      <c r="AI3624">
        <v>3.69</v>
      </c>
      <c r="AJ3624">
        <v>33.39</v>
      </c>
      <c r="AK3624">
        <v>23.8</v>
      </c>
      <c r="AL3624">
        <v>-20.140729549999971</v>
      </c>
      <c r="AM3624">
        <v>-44.902779454814521</v>
      </c>
      <c r="AN3624">
        <v>-20.140729549999971</v>
      </c>
      <c r="AO3624">
        <v>-44.902779454814521</v>
      </c>
      <c r="AP3624">
        <v>-20.140741999999999</v>
      </c>
      <c r="AQ3624">
        <v>-44.902729000000001</v>
      </c>
      <c r="AR3624">
        <v>5.4522610212697993</v>
      </c>
      <c r="AS3624" t="s">
        <v>65</v>
      </c>
      <c r="AT3624">
        <v>1</v>
      </c>
      <c r="AU3624" t="s">
        <v>1602</v>
      </c>
      <c r="AV3624" t="s">
        <v>1603</v>
      </c>
      <c r="AW3624" t="s">
        <v>60</v>
      </c>
      <c r="AX3624" t="s">
        <v>68</v>
      </c>
      <c r="AY3624" t="s">
        <v>69</v>
      </c>
      <c r="AZ3624" t="b">
        <v>1</v>
      </c>
    </row>
    <row r="3625" spans="1:52" x14ac:dyDescent="0.3">
      <c r="A3625" t="s">
        <v>52</v>
      </c>
      <c r="B3625" t="s">
        <v>53</v>
      </c>
      <c r="C3625" t="s">
        <v>54</v>
      </c>
      <c r="D3625" t="s">
        <v>55</v>
      </c>
      <c r="E3625" t="s">
        <v>2200</v>
      </c>
      <c r="F3625" t="s">
        <v>1247</v>
      </c>
      <c r="G3625" t="s">
        <v>1584</v>
      </c>
      <c r="H3625" t="s">
        <v>1604</v>
      </c>
      <c r="I3625" t="s">
        <v>1604</v>
      </c>
      <c r="J3625" t="s">
        <v>60</v>
      </c>
      <c r="K3625" t="s">
        <v>530</v>
      </c>
      <c r="L3625" t="s">
        <v>62</v>
      </c>
      <c r="M3625" t="s">
        <v>530</v>
      </c>
      <c r="N3625" t="s">
        <v>406</v>
      </c>
      <c r="O3625" t="s">
        <v>1267</v>
      </c>
      <c r="P3625">
        <v>-20.147068000000001</v>
      </c>
      <c r="Q3625">
        <v>-44.898629999999997</v>
      </c>
      <c r="R3625" s="2" t="str">
        <f>HYPERLINK("https://www.google.com/maps?q=-20.1470680,-44.8986300","Abrir no Google Maps")</f>
        <v>Abrir no Google Maps</v>
      </c>
      <c r="S3625">
        <v>1</v>
      </c>
      <c r="T3625">
        <v>468.5580266389448</v>
      </c>
      <c r="U3625">
        <v>4</v>
      </c>
      <c r="V3625">
        <v>0.53985048393162782</v>
      </c>
      <c r="W3625">
        <v>1</v>
      </c>
      <c r="X3625">
        <v>0.53985048393162782</v>
      </c>
      <c r="Y3625">
        <v>556</v>
      </c>
      <c r="Z3625">
        <v>447.77738134922419</v>
      </c>
      <c r="AA3625">
        <v>198</v>
      </c>
      <c r="AB3625">
        <v>332</v>
      </c>
      <c r="AC3625">
        <v>536</v>
      </c>
      <c r="AD3625">
        <v>28.54</v>
      </c>
      <c r="AE3625">
        <v>542</v>
      </c>
      <c r="AF3625">
        <v>20</v>
      </c>
      <c r="AG3625">
        <v>181</v>
      </c>
      <c r="AH3625">
        <v>129</v>
      </c>
      <c r="AI3625">
        <v>3.69</v>
      </c>
      <c r="AJ3625">
        <v>33.39</v>
      </c>
      <c r="AK3625">
        <v>23.8</v>
      </c>
      <c r="AL3625">
        <v>-20.14701759999997</v>
      </c>
      <c r="AM3625">
        <v>-44.898633710342303</v>
      </c>
      <c r="AN3625">
        <v>-20.14701759999997</v>
      </c>
      <c r="AO3625">
        <v>-44.898633710342303</v>
      </c>
      <c r="AP3625">
        <v>-20.147068000000001</v>
      </c>
      <c r="AQ3625">
        <v>-44.898629999999997</v>
      </c>
      <c r="AR3625">
        <v>5.6239118246064832</v>
      </c>
      <c r="AS3625" t="s">
        <v>65</v>
      </c>
      <c r="AT3625">
        <v>1</v>
      </c>
      <c r="AU3625" t="s">
        <v>1605</v>
      </c>
      <c r="AV3625" t="s">
        <v>1606</v>
      </c>
      <c r="AW3625" t="s">
        <v>60</v>
      </c>
      <c r="AX3625" t="s">
        <v>68</v>
      </c>
      <c r="AY3625" t="s">
        <v>69</v>
      </c>
      <c r="AZ3625" t="b">
        <v>1</v>
      </c>
    </row>
    <row r="3626" spans="1:52" x14ac:dyDescent="0.3">
      <c r="A3626" t="s">
        <v>52</v>
      </c>
      <c r="B3626" t="s">
        <v>53</v>
      </c>
      <c r="C3626" t="s">
        <v>54</v>
      </c>
      <c r="D3626" t="s">
        <v>55</v>
      </c>
      <c r="E3626" t="s">
        <v>2200</v>
      </c>
      <c r="F3626" t="s">
        <v>1247</v>
      </c>
      <c r="G3626" t="s">
        <v>1607</v>
      </c>
      <c r="H3626" t="s">
        <v>1608</v>
      </c>
      <c r="I3626" t="s">
        <v>1608</v>
      </c>
      <c r="J3626" t="s">
        <v>60</v>
      </c>
      <c r="K3626" t="s">
        <v>1486</v>
      </c>
      <c r="L3626" t="s">
        <v>62</v>
      </c>
      <c r="M3626" t="s">
        <v>1486</v>
      </c>
      <c r="N3626" t="s">
        <v>1609</v>
      </c>
      <c r="O3626" t="s">
        <v>1255</v>
      </c>
      <c r="P3626">
        <v>-20.157689000000001</v>
      </c>
      <c r="Q3626">
        <v>-44.883887000000001</v>
      </c>
      <c r="R3626" s="2" t="str">
        <f>HYPERLINK("https://www.google.com/maps?q=-20.1576890,-44.8838870","Abrir no Google Maps")</f>
        <v>Abrir no Google Maps</v>
      </c>
      <c r="S3626">
        <v>1</v>
      </c>
      <c r="T3626">
        <v>603.38424821205774</v>
      </c>
      <c r="U3626">
        <v>3</v>
      </c>
      <c r="V3626">
        <v>0.45377481800921649</v>
      </c>
      <c r="W3626">
        <v>1</v>
      </c>
      <c r="X3626">
        <v>0.45377481800921649</v>
      </c>
      <c r="Y3626">
        <v>671</v>
      </c>
      <c r="Z3626">
        <v>682.48636898467089</v>
      </c>
      <c r="AA3626">
        <v>198</v>
      </c>
      <c r="AB3626">
        <v>332</v>
      </c>
      <c r="AC3626">
        <v>536</v>
      </c>
      <c r="AD3626">
        <v>28.54</v>
      </c>
      <c r="AE3626">
        <v>542</v>
      </c>
      <c r="AF3626">
        <v>20</v>
      </c>
      <c r="AG3626">
        <v>181</v>
      </c>
      <c r="AH3626">
        <v>129</v>
      </c>
      <c r="AI3626">
        <v>3.69</v>
      </c>
      <c r="AJ3626">
        <v>33.39</v>
      </c>
      <c r="AK3626">
        <v>23.8</v>
      </c>
      <c r="AL3626">
        <v>-20.157732249999949</v>
      </c>
      <c r="AM3626">
        <v>-44.883829923283272</v>
      </c>
      <c r="AN3626">
        <v>-20.157732249999949</v>
      </c>
      <c r="AO3626">
        <v>-44.883829923283272</v>
      </c>
      <c r="AP3626">
        <v>-20.157689000000001</v>
      </c>
      <c r="AQ3626">
        <v>-44.883887000000001</v>
      </c>
      <c r="AR3626">
        <v>7.6652901074925257</v>
      </c>
      <c r="AS3626" t="s">
        <v>65</v>
      </c>
      <c r="AT3626">
        <v>1</v>
      </c>
      <c r="AU3626" t="s">
        <v>1610</v>
      </c>
      <c r="AV3626" t="s">
        <v>1611</v>
      </c>
      <c r="AW3626" t="s">
        <v>60</v>
      </c>
      <c r="AX3626" t="s">
        <v>68</v>
      </c>
      <c r="AY3626" t="s">
        <v>69</v>
      </c>
      <c r="AZ3626" t="b">
        <v>1</v>
      </c>
    </row>
    <row r="3627" spans="1:52" x14ac:dyDescent="0.3">
      <c r="A3627" t="s">
        <v>52</v>
      </c>
      <c r="B3627" t="s">
        <v>53</v>
      </c>
      <c r="C3627" t="s">
        <v>54</v>
      </c>
      <c r="D3627" t="s">
        <v>55</v>
      </c>
      <c r="E3627" t="s">
        <v>2200</v>
      </c>
      <c r="F3627" t="s">
        <v>1247</v>
      </c>
      <c r="G3627" t="s">
        <v>1612</v>
      </c>
      <c r="H3627" t="s">
        <v>1613</v>
      </c>
      <c r="I3627" t="s">
        <v>1613</v>
      </c>
      <c r="J3627" t="s">
        <v>60</v>
      </c>
      <c r="K3627" t="s">
        <v>1349</v>
      </c>
      <c r="L3627" t="s">
        <v>62</v>
      </c>
      <c r="M3627" t="s">
        <v>1349</v>
      </c>
      <c r="N3627" t="s">
        <v>1614</v>
      </c>
      <c r="O3627" t="s">
        <v>710</v>
      </c>
      <c r="P3627">
        <v>-20.141335999999999</v>
      </c>
      <c r="Q3627">
        <v>-44.901133000000002</v>
      </c>
      <c r="R3627" s="2" t="str">
        <f>HYPERLINK("https://www.google.com/maps?q=-20.1413360,-44.9011330","Abrir no Google Maps")</f>
        <v>Abrir no Google Maps</v>
      </c>
      <c r="S3627">
        <v>1</v>
      </c>
      <c r="T3627">
        <v>257.92927430829218</v>
      </c>
      <c r="U3627">
        <v>3</v>
      </c>
      <c r="V3627">
        <v>0.53051201671891324</v>
      </c>
      <c r="W3627">
        <v>0.85</v>
      </c>
      <c r="X3627">
        <v>0.45093521421107619</v>
      </c>
      <c r="Y3627">
        <v>588</v>
      </c>
      <c r="Z3627">
        <v>252.62617475231269</v>
      </c>
      <c r="AA3627">
        <v>198</v>
      </c>
      <c r="AB3627">
        <v>332</v>
      </c>
      <c r="AC3627">
        <v>536</v>
      </c>
      <c r="AD3627">
        <v>28.54</v>
      </c>
      <c r="AE3627">
        <v>542</v>
      </c>
      <c r="AF3627">
        <v>20</v>
      </c>
      <c r="AG3627">
        <v>181</v>
      </c>
      <c r="AH3627">
        <v>129</v>
      </c>
      <c r="AI3627">
        <v>3.69</v>
      </c>
      <c r="AJ3627">
        <v>33.39</v>
      </c>
      <c r="AK3627">
        <v>23.8</v>
      </c>
      <c r="AL3627">
        <v>-20.141297649999959</v>
      </c>
      <c r="AM3627">
        <v>-44.901104406351408</v>
      </c>
      <c r="AN3627">
        <v>-20.141297649999959</v>
      </c>
      <c r="AO3627">
        <v>-44.901104406351408</v>
      </c>
      <c r="AP3627">
        <v>-20.141335999999999</v>
      </c>
      <c r="AQ3627">
        <v>-44.901133000000002</v>
      </c>
      <c r="AR3627">
        <v>5.211130154459668</v>
      </c>
      <c r="AS3627" t="s">
        <v>65</v>
      </c>
      <c r="AT3627">
        <v>1</v>
      </c>
      <c r="AU3627" t="s">
        <v>1615</v>
      </c>
      <c r="AV3627" t="s">
        <v>1616</v>
      </c>
      <c r="AW3627" t="s">
        <v>60</v>
      </c>
      <c r="AX3627" t="s">
        <v>68</v>
      </c>
      <c r="AY3627" t="s">
        <v>69</v>
      </c>
      <c r="AZ3627" t="b">
        <v>1</v>
      </c>
    </row>
    <row r="3628" spans="1:52" x14ac:dyDescent="0.3">
      <c r="A3628" t="s">
        <v>52</v>
      </c>
      <c r="B3628" t="s">
        <v>53</v>
      </c>
      <c r="C3628" t="s">
        <v>54</v>
      </c>
      <c r="D3628" t="s">
        <v>55</v>
      </c>
      <c r="E3628" t="s">
        <v>2205</v>
      </c>
      <c r="F3628" t="s">
        <v>1247</v>
      </c>
      <c r="G3628" t="s">
        <v>58</v>
      </c>
      <c r="H3628" t="s">
        <v>59</v>
      </c>
      <c r="I3628" t="s">
        <v>59</v>
      </c>
      <c r="J3628" t="s">
        <v>60</v>
      </c>
      <c r="K3628" t="s">
        <v>61</v>
      </c>
      <c r="L3628" t="s">
        <v>62</v>
      </c>
      <c r="M3628" t="s">
        <v>61</v>
      </c>
      <c r="N3628" t="s">
        <v>63</v>
      </c>
      <c r="O3628" t="s">
        <v>64</v>
      </c>
      <c r="P3628">
        <v>-20.147940999999999</v>
      </c>
      <c r="Q3628">
        <v>-44.906514000000001</v>
      </c>
      <c r="R3628" s="2" t="str">
        <f>HYPERLINK("https://www.google.com/maps?q=-20.1479410,-44.9065140","Abrir no Google Maps")</f>
        <v>Abrir no Google Maps</v>
      </c>
      <c r="S3628">
        <v>4</v>
      </c>
      <c r="T3628">
        <v>308.67004994113421</v>
      </c>
      <c r="U3628">
        <v>1</v>
      </c>
      <c r="V3628">
        <v>0</v>
      </c>
      <c r="W3628">
        <v>1</v>
      </c>
      <c r="X3628">
        <v>0</v>
      </c>
      <c r="Y3628">
        <v>747</v>
      </c>
      <c r="Z3628">
        <v>274.71440454502522</v>
      </c>
      <c r="AA3628">
        <v>198</v>
      </c>
      <c r="AB3628">
        <v>332</v>
      </c>
      <c r="AC3628">
        <v>536</v>
      </c>
      <c r="AD3628">
        <v>0</v>
      </c>
      <c r="AE3628">
        <v>542</v>
      </c>
      <c r="AF3628">
        <v>0</v>
      </c>
      <c r="AG3628">
        <v>0</v>
      </c>
      <c r="AH3628">
        <v>129</v>
      </c>
      <c r="AI3628">
        <v>0</v>
      </c>
      <c r="AJ3628">
        <v>0</v>
      </c>
      <c r="AK3628">
        <v>23.8</v>
      </c>
      <c r="AL3628">
        <v>-20.147947799999969</v>
      </c>
      <c r="AM3628">
        <v>-44.906591596129203</v>
      </c>
      <c r="AN3628">
        <v>-20.147947799999969</v>
      </c>
      <c r="AO3628">
        <v>-44.906591596129203</v>
      </c>
      <c r="AP3628">
        <v>-20.147940999999999</v>
      </c>
      <c r="AQ3628">
        <v>-44.906514000000001</v>
      </c>
      <c r="AR3628">
        <v>8.1446636170570326</v>
      </c>
      <c r="AS3628" t="s">
        <v>65</v>
      </c>
      <c r="AT3628">
        <v>1</v>
      </c>
      <c r="AU3628" t="s">
        <v>66</v>
      </c>
      <c r="AV3628" t="s">
        <v>67</v>
      </c>
      <c r="AW3628" t="s">
        <v>60</v>
      </c>
      <c r="AX3628" t="s">
        <v>68</v>
      </c>
      <c r="AY3628" t="s">
        <v>69</v>
      </c>
      <c r="AZ3628" t="b">
        <v>1</v>
      </c>
    </row>
    <row r="3629" spans="1:52" x14ac:dyDescent="0.3">
      <c r="A3629" t="s">
        <v>52</v>
      </c>
      <c r="B3629" t="s">
        <v>53</v>
      </c>
      <c r="C3629" t="s">
        <v>54</v>
      </c>
      <c r="D3629" t="s">
        <v>55</v>
      </c>
      <c r="E3629" t="s">
        <v>2205</v>
      </c>
      <c r="F3629" t="s">
        <v>1247</v>
      </c>
      <c r="G3629" t="s">
        <v>191</v>
      </c>
      <c r="H3629" t="s">
        <v>192</v>
      </c>
      <c r="I3629" t="s">
        <v>192</v>
      </c>
      <c r="J3629" t="s">
        <v>60</v>
      </c>
      <c r="K3629" t="s">
        <v>193</v>
      </c>
      <c r="L3629" t="s">
        <v>62</v>
      </c>
      <c r="M3629" t="s">
        <v>193</v>
      </c>
      <c r="N3629" t="s">
        <v>194</v>
      </c>
      <c r="O3629" t="s">
        <v>195</v>
      </c>
      <c r="P3629">
        <v>-20.143266000000001</v>
      </c>
      <c r="Q3629">
        <v>-44.912075000000002</v>
      </c>
      <c r="R3629" s="2" t="str">
        <f>HYPERLINK("https://www.google.com/maps?q=-20.1432660,-44.9120750","Abrir no Google Maps")</f>
        <v>Abrir no Google Maps</v>
      </c>
      <c r="S3629">
        <v>4</v>
      </c>
      <c r="T3629">
        <v>467.04339396175408</v>
      </c>
      <c r="U3629">
        <v>1</v>
      </c>
      <c r="V3629">
        <v>0</v>
      </c>
      <c r="W3629">
        <v>1</v>
      </c>
      <c r="X3629">
        <v>0</v>
      </c>
      <c r="Y3629">
        <v>747</v>
      </c>
      <c r="Z3629">
        <v>585.1742452866996</v>
      </c>
      <c r="AA3629">
        <v>198</v>
      </c>
      <c r="AB3629">
        <v>332</v>
      </c>
      <c r="AC3629">
        <v>536</v>
      </c>
      <c r="AD3629">
        <v>0</v>
      </c>
      <c r="AE3629">
        <v>542</v>
      </c>
      <c r="AF3629">
        <v>0</v>
      </c>
      <c r="AG3629">
        <v>0</v>
      </c>
      <c r="AH3629">
        <v>129</v>
      </c>
      <c r="AI3629">
        <v>0</v>
      </c>
      <c r="AJ3629">
        <v>0</v>
      </c>
      <c r="AK3629">
        <v>23.8</v>
      </c>
      <c r="AL3629">
        <v>-20.143307949999951</v>
      </c>
      <c r="AM3629">
        <v>-44.912066629431067</v>
      </c>
      <c r="AN3629">
        <v>-20.143307949999951</v>
      </c>
      <c r="AO3629">
        <v>-44.912066629431067</v>
      </c>
      <c r="AP3629">
        <v>-20.143266000000001</v>
      </c>
      <c r="AQ3629">
        <v>-44.912075000000002</v>
      </c>
      <c r="AR3629">
        <v>4.751108024498329</v>
      </c>
      <c r="AS3629" t="s">
        <v>65</v>
      </c>
      <c r="AT3629">
        <v>1</v>
      </c>
      <c r="AU3629" t="s">
        <v>196</v>
      </c>
      <c r="AV3629" t="s">
        <v>197</v>
      </c>
      <c r="AW3629" t="s">
        <v>60</v>
      </c>
      <c r="AX3629" t="s">
        <v>68</v>
      </c>
      <c r="AY3629" t="s">
        <v>69</v>
      </c>
      <c r="AZ3629" t="b">
        <v>1</v>
      </c>
    </row>
    <row r="3630" spans="1:52" x14ac:dyDescent="0.3">
      <c r="A3630" t="s">
        <v>52</v>
      </c>
      <c r="B3630" t="s">
        <v>53</v>
      </c>
      <c r="C3630" t="s">
        <v>54</v>
      </c>
      <c r="D3630" t="s">
        <v>55</v>
      </c>
      <c r="E3630" t="s">
        <v>2205</v>
      </c>
      <c r="F3630" t="s">
        <v>1247</v>
      </c>
      <c r="G3630" t="s">
        <v>1248</v>
      </c>
      <c r="H3630" t="s">
        <v>1249</v>
      </c>
      <c r="I3630" t="s">
        <v>1249</v>
      </c>
      <c r="J3630" t="s">
        <v>60</v>
      </c>
      <c r="K3630" t="s">
        <v>61</v>
      </c>
      <c r="L3630" t="s">
        <v>62</v>
      </c>
      <c r="M3630" t="s">
        <v>61</v>
      </c>
      <c r="N3630" t="s">
        <v>1250</v>
      </c>
      <c r="O3630" t="s">
        <v>202</v>
      </c>
      <c r="P3630">
        <v>-20.145337999999999</v>
      </c>
      <c r="Q3630">
        <v>-44.906260000000003</v>
      </c>
      <c r="R3630" s="2" t="str">
        <f>HYPERLINK("https://www.google.com/maps?q=-20.1453380,-44.9062600","Abrir no Google Maps")</f>
        <v>Abrir no Google Maps</v>
      </c>
      <c r="S3630">
        <v>4</v>
      </c>
      <c r="T3630">
        <v>231.8105263092443</v>
      </c>
      <c r="U3630">
        <v>1</v>
      </c>
      <c r="V3630">
        <v>0</v>
      </c>
      <c r="W3630">
        <v>0.85</v>
      </c>
      <c r="X3630">
        <v>0</v>
      </c>
      <c r="Y3630">
        <v>747</v>
      </c>
      <c r="Z3630">
        <v>210.09098260239841</v>
      </c>
      <c r="AA3630">
        <v>198</v>
      </c>
      <c r="AB3630">
        <v>332</v>
      </c>
      <c r="AC3630">
        <v>536</v>
      </c>
      <c r="AD3630">
        <v>0</v>
      </c>
      <c r="AE3630">
        <v>542</v>
      </c>
      <c r="AF3630">
        <v>0</v>
      </c>
      <c r="AG3630">
        <v>0</v>
      </c>
      <c r="AH3630">
        <v>129</v>
      </c>
      <c r="AI3630">
        <v>0</v>
      </c>
      <c r="AJ3630">
        <v>0</v>
      </c>
      <c r="AK3630">
        <v>23.8</v>
      </c>
      <c r="AL3630">
        <v>-20.14545934999995</v>
      </c>
      <c r="AM3630">
        <v>-44.906243174283489</v>
      </c>
      <c r="AN3630">
        <v>-20.14545934999995</v>
      </c>
      <c r="AO3630">
        <v>-44.906243174283489</v>
      </c>
      <c r="AP3630">
        <v>-20.145337999999999</v>
      </c>
      <c r="AQ3630">
        <v>-44.906260000000003</v>
      </c>
      <c r="AR3630">
        <v>13.622651392262521</v>
      </c>
      <c r="AS3630" t="s">
        <v>65</v>
      </c>
      <c r="AT3630">
        <v>1</v>
      </c>
      <c r="AU3630" t="s">
        <v>1251</v>
      </c>
      <c r="AV3630" t="s">
        <v>1252</v>
      </c>
      <c r="AW3630" t="s">
        <v>60</v>
      </c>
      <c r="AX3630" t="s">
        <v>68</v>
      </c>
      <c r="AY3630" t="s">
        <v>69</v>
      </c>
      <c r="AZ3630" t="b">
        <v>1</v>
      </c>
    </row>
    <row r="3631" spans="1:52" x14ac:dyDescent="0.3">
      <c r="A3631" t="s">
        <v>52</v>
      </c>
      <c r="B3631" t="s">
        <v>53</v>
      </c>
      <c r="C3631" t="s">
        <v>54</v>
      </c>
      <c r="D3631" t="s">
        <v>55</v>
      </c>
      <c r="E3631" t="s">
        <v>2205</v>
      </c>
      <c r="F3631" t="s">
        <v>1247</v>
      </c>
      <c r="G3631" t="s">
        <v>83</v>
      </c>
      <c r="H3631" t="s">
        <v>1253</v>
      </c>
      <c r="I3631" t="s">
        <v>1253</v>
      </c>
      <c r="J3631" t="s">
        <v>60</v>
      </c>
      <c r="K3631" t="s">
        <v>72</v>
      </c>
      <c r="L3631" t="s">
        <v>62</v>
      </c>
      <c r="M3631" t="s">
        <v>72</v>
      </c>
      <c r="N3631" t="s">
        <v>1254</v>
      </c>
      <c r="O3631" t="s">
        <v>1255</v>
      </c>
      <c r="P3631">
        <v>-20.147164</v>
      </c>
      <c r="Q3631">
        <v>-44.905259000000001</v>
      </c>
      <c r="R3631" s="2" t="str">
        <f>HYPERLINK("https://www.google.com/maps?q=-20.1471640,-44.9052590","Abrir no Google Maps")</f>
        <v>Abrir no Google Maps</v>
      </c>
      <c r="S3631">
        <v>4</v>
      </c>
      <c r="T3631">
        <v>364.08569180502712</v>
      </c>
      <c r="U3631">
        <v>1</v>
      </c>
      <c r="V3631">
        <v>0</v>
      </c>
      <c r="W3631">
        <v>0.85</v>
      </c>
      <c r="X3631">
        <v>0</v>
      </c>
      <c r="Y3631">
        <v>747</v>
      </c>
      <c r="Z3631">
        <v>309.89238988435022</v>
      </c>
      <c r="AA3631">
        <v>198</v>
      </c>
      <c r="AB3631">
        <v>332</v>
      </c>
      <c r="AC3631">
        <v>536</v>
      </c>
      <c r="AD3631">
        <v>0</v>
      </c>
      <c r="AE3631">
        <v>542</v>
      </c>
      <c r="AF3631">
        <v>0</v>
      </c>
      <c r="AG3631">
        <v>0</v>
      </c>
      <c r="AH3631">
        <v>129</v>
      </c>
      <c r="AI3631">
        <v>0</v>
      </c>
      <c r="AJ3631">
        <v>0</v>
      </c>
      <c r="AK3631">
        <v>23.8</v>
      </c>
      <c r="AL3631">
        <v>-20.14718674999995</v>
      </c>
      <c r="AM3631">
        <v>-44.905292621565764</v>
      </c>
      <c r="AN3631">
        <v>-20.147186749999939</v>
      </c>
      <c r="AO3631">
        <v>-44.905292621565764</v>
      </c>
      <c r="AP3631">
        <v>-20.147164</v>
      </c>
      <c r="AQ3631">
        <v>-44.905259000000001</v>
      </c>
      <c r="AR3631">
        <v>4.3312880650984971</v>
      </c>
      <c r="AS3631" t="s">
        <v>65</v>
      </c>
      <c r="AT3631">
        <v>1</v>
      </c>
      <c r="AU3631" t="s">
        <v>1256</v>
      </c>
      <c r="AV3631" t="s">
        <v>1257</v>
      </c>
      <c r="AW3631" t="s">
        <v>60</v>
      </c>
      <c r="AX3631" t="s">
        <v>68</v>
      </c>
      <c r="AY3631" t="s">
        <v>69</v>
      </c>
      <c r="AZ3631" t="b">
        <v>1</v>
      </c>
    </row>
    <row r="3632" spans="1:52" x14ac:dyDescent="0.3">
      <c r="A3632" t="s">
        <v>52</v>
      </c>
      <c r="B3632" t="s">
        <v>53</v>
      </c>
      <c r="C3632" t="s">
        <v>54</v>
      </c>
      <c r="D3632" t="s">
        <v>55</v>
      </c>
      <c r="E3632" t="s">
        <v>2205</v>
      </c>
      <c r="F3632" t="s">
        <v>1247</v>
      </c>
      <c r="G3632" t="s">
        <v>70</v>
      </c>
      <c r="H3632" t="s">
        <v>71</v>
      </c>
      <c r="I3632" t="s">
        <v>71</v>
      </c>
      <c r="J3632" t="s">
        <v>60</v>
      </c>
      <c r="K3632" t="s">
        <v>72</v>
      </c>
      <c r="L3632" t="s">
        <v>62</v>
      </c>
      <c r="M3632" t="s">
        <v>72</v>
      </c>
      <c r="N3632" t="s">
        <v>73</v>
      </c>
      <c r="O3632" t="s">
        <v>74</v>
      </c>
      <c r="P3632">
        <v>-20.149349000000001</v>
      </c>
      <c r="Q3632">
        <v>-44.910784</v>
      </c>
      <c r="R3632" s="2" t="str">
        <f>HYPERLINK("https://www.google.com/maps?q=-20.1493490,-44.9107840","Abrir no Google Maps")</f>
        <v>Abrir no Google Maps</v>
      </c>
      <c r="S3632">
        <v>4</v>
      </c>
      <c r="T3632">
        <v>472.43876549769578</v>
      </c>
      <c r="U3632">
        <v>1</v>
      </c>
      <c r="V3632">
        <v>0</v>
      </c>
      <c r="W3632">
        <v>1</v>
      </c>
      <c r="X3632">
        <v>0</v>
      </c>
      <c r="Y3632">
        <v>747</v>
      </c>
      <c r="Z3632">
        <v>441.03921887407779</v>
      </c>
      <c r="AA3632">
        <v>198</v>
      </c>
      <c r="AB3632">
        <v>332</v>
      </c>
      <c r="AC3632">
        <v>536</v>
      </c>
      <c r="AD3632">
        <v>0</v>
      </c>
      <c r="AE3632">
        <v>542</v>
      </c>
      <c r="AF3632">
        <v>0</v>
      </c>
      <c r="AG3632">
        <v>0</v>
      </c>
      <c r="AH3632">
        <v>129</v>
      </c>
      <c r="AI3632">
        <v>0</v>
      </c>
      <c r="AJ3632">
        <v>0</v>
      </c>
      <c r="AK3632">
        <v>23.8</v>
      </c>
      <c r="AL3632">
        <v>-20.149403999999951</v>
      </c>
      <c r="AM3632">
        <v>-44.91080895147438</v>
      </c>
      <c r="AN3632">
        <v>-20.149403999999951</v>
      </c>
      <c r="AO3632">
        <v>-44.91080895147438</v>
      </c>
      <c r="AP3632">
        <v>-20.149349000000001</v>
      </c>
      <c r="AQ3632">
        <v>-44.910784</v>
      </c>
      <c r="AR3632">
        <v>6.6547592699416382</v>
      </c>
      <c r="AS3632" t="s">
        <v>65</v>
      </c>
      <c r="AT3632">
        <v>1</v>
      </c>
      <c r="AU3632" t="s">
        <v>75</v>
      </c>
      <c r="AV3632" t="s">
        <v>76</v>
      </c>
      <c r="AW3632" t="s">
        <v>60</v>
      </c>
      <c r="AX3632" t="s">
        <v>68</v>
      </c>
      <c r="AY3632" t="s">
        <v>69</v>
      </c>
      <c r="AZ3632" t="b">
        <v>1</v>
      </c>
    </row>
    <row r="3633" spans="1:52" x14ac:dyDescent="0.3">
      <c r="A3633" t="s">
        <v>52</v>
      </c>
      <c r="B3633" t="s">
        <v>53</v>
      </c>
      <c r="C3633" t="s">
        <v>54</v>
      </c>
      <c r="D3633" t="s">
        <v>55</v>
      </c>
      <c r="E3633" t="s">
        <v>2205</v>
      </c>
      <c r="F3633" t="s">
        <v>1247</v>
      </c>
      <c r="G3633" t="s">
        <v>77</v>
      </c>
      <c r="H3633" t="s">
        <v>78</v>
      </c>
      <c r="I3633" t="s">
        <v>78</v>
      </c>
      <c r="J3633" t="s">
        <v>60</v>
      </c>
      <c r="K3633" t="s">
        <v>72</v>
      </c>
      <c r="L3633" t="s">
        <v>62</v>
      </c>
      <c r="M3633" t="s">
        <v>72</v>
      </c>
      <c r="N3633" t="s">
        <v>79</v>
      </c>
      <c r="O3633" t="s">
        <v>80</v>
      </c>
      <c r="P3633">
        <v>-20.147821</v>
      </c>
      <c r="Q3633">
        <v>-44.908887</v>
      </c>
      <c r="R3633" s="2" t="str">
        <f>HYPERLINK("https://www.google.com/maps?q=-20.1478210,-44.9088870","Abrir no Google Maps")</f>
        <v>Abrir no Google Maps</v>
      </c>
      <c r="S3633">
        <v>4</v>
      </c>
      <c r="T3633">
        <v>232.2893841532152</v>
      </c>
      <c r="U3633">
        <v>1</v>
      </c>
      <c r="V3633">
        <v>0</v>
      </c>
      <c r="W3633">
        <v>1</v>
      </c>
      <c r="X3633">
        <v>0</v>
      </c>
      <c r="Y3633">
        <v>747</v>
      </c>
      <c r="Z3633">
        <v>195.3668648953757</v>
      </c>
      <c r="AA3633">
        <v>198</v>
      </c>
      <c r="AB3633">
        <v>332</v>
      </c>
      <c r="AC3633">
        <v>536</v>
      </c>
      <c r="AD3633">
        <v>0</v>
      </c>
      <c r="AE3633">
        <v>542</v>
      </c>
      <c r="AF3633">
        <v>0</v>
      </c>
      <c r="AG3633">
        <v>0</v>
      </c>
      <c r="AH3633">
        <v>129</v>
      </c>
      <c r="AI3633">
        <v>0</v>
      </c>
      <c r="AJ3633">
        <v>0</v>
      </c>
      <c r="AK3633">
        <v>23.8</v>
      </c>
      <c r="AL3633">
        <v>-20.147802849999952</v>
      </c>
      <c r="AM3633">
        <v>-44.908989919229477</v>
      </c>
      <c r="AN3633">
        <v>-20.147802849999952</v>
      </c>
      <c r="AO3633">
        <v>-44.908989919229491</v>
      </c>
      <c r="AP3633">
        <v>-20.147821</v>
      </c>
      <c r="AQ3633">
        <v>-44.908887</v>
      </c>
      <c r="AR3633">
        <v>10.944007761262529</v>
      </c>
      <c r="AS3633" t="s">
        <v>65</v>
      </c>
      <c r="AT3633">
        <v>1</v>
      </c>
      <c r="AU3633" t="s">
        <v>81</v>
      </c>
      <c r="AV3633" t="s">
        <v>82</v>
      </c>
      <c r="AW3633" t="s">
        <v>60</v>
      </c>
      <c r="AX3633" t="s">
        <v>68</v>
      </c>
      <c r="AY3633" t="s">
        <v>69</v>
      </c>
      <c r="AZ3633" t="b">
        <v>1</v>
      </c>
    </row>
    <row r="3634" spans="1:52" x14ac:dyDescent="0.3">
      <c r="A3634" t="s">
        <v>52</v>
      </c>
      <c r="B3634" t="s">
        <v>53</v>
      </c>
      <c r="C3634" t="s">
        <v>54</v>
      </c>
      <c r="D3634" t="s">
        <v>55</v>
      </c>
      <c r="E3634" t="s">
        <v>2205</v>
      </c>
      <c r="F3634" t="s">
        <v>1247</v>
      </c>
      <c r="G3634" t="s">
        <v>83</v>
      </c>
      <c r="H3634" t="s">
        <v>84</v>
      </c>
      <c r="I3634" t="s">
        <v>84</v>
      </c>
      <c r="J3634" t="s">
        <v>60</v>
      </c>
      <c r="K3634" t="s">
        <v>61</v>
      </c>
      <c r="L3634" t="s">
        <v>62</v>
      </c>
      <c r="M3634" t="s">
        <v>61</v>
      </c>
      <c r="N3634" t="s">
        <v>85</v>
      </c>
      <c r="O3634" t="s">
        <v>86</v>
      </c>
      <c r="P3634">
        <v>-20.149799000000002</v>
      </c>
      <c r="Q3634">
        <v>-44.906517000000001</v>
      </c>
      <c r="R3634" s="2" t="str">
        <f>HYPERLINK("https://www.google.com/maps?q=-20.1497990,-44.9065170","Abrir no Google Maps")</f>
        <v>Abrir no Google Maps</v>
      </c>
      <c r="S3634">
        <v>4</v>
      </c>
      <c r="T3634">
        <v>487.90051105537998</v>
      </c>
      <c r="U3634">
        <v>1</v>
      </c>
      <c r="V3634">
        <v>0</v>
      </c>
      <c r="W3634">
        <v>1</v>
      </c>
      <c r="X3634">
        <v>0</v>
      </c>
      <c r="Y3634">
        <v>747</v>
      </c>
      <c r="Z3634">
        <v>365.93785960107078</v>
      </c>
      <c r="AA3634">
        <v>198</v>
      </c>
      <c r="AB3634">
        <v>332</v>
      </c>
      <c r="AC3634">
        <v>536</v>
      </c>
      <c r="AD3634">
        <v>0</v>
      </c>
      <c r="AE3634">
        <v>542</v>
      </c>
      <c r="AF3634">
        <v>0</v>
      </c>
      <c r="AG3634">
        <v>0</v>
      </c>
      <c r="AH3634">
        <v>129</v>
      </c>
      <c r="AI3634">
        <v>0</v>
      </c>
      <c r="AJ3634">
        <v>0</v>
      </c>
      <c r="AK3634">
        <v>23.8</v>
      </c>
      <c r="AL3634">
        <v>-20.149879599999959</v>
      </c>
      <c r="AM3634">
        <v>-44.906746466068469</v>
      </c>
      <c r="AN3634">
        <v>-20.149879599999959</v>
      </c>
      <c r="AO3634">
        <v>-44.906746466068469</v>
      </c>
      <c r="AP3634">
        <v>-20.149799000000002</v>
      </c>
      <c r="AQ3634">
        <v>-44.906517000000001</v>
      </c>
      <c r="AR3634">
        <v>25.604276856970429</v>
      </c>
      <c r="AS3634" t="s">
        <v>65</v>
      </c>
      <c r="AT3634">
        <v>1</v>
      </c>
      <c r="AU3634" t="s">
        <v>87</v>
      </c>
      <c r="AV3634" t="s">
        <v>88</v>
      </c>
      <c r="AW3634" t="s">
        <v>60</v>
      </c>
      <c r="AX3634" t="s">
        <v>68</v>
      </c>
      <c r="AY3634" t="s">
        <v>69</v>
      </c>
      <c r="AZ3634" t="b">
        <v>1</v>
      </c>
    </row>
    <row r="3635" spans="1:52" x14ac:dyDescent="0.3">
      <c r="A3635" t="s">
        <v>52</v>
      </c>
      <c r="B3635" t="s">
        <v>53</v>
      </c>
      <c r="C3635" t="s">
        <v>54</v>
      </c>
      <c r="D3635" t="s">
        <v>55</v>
      </c>
      <c r="E3635" t="s">
        <v>2205</v>
      </c>
      <c r="F3635" t="s">
        <v>1247</v>
      </c>
      <c r="G3635" t="s">
        <v>89</v>
      </c>
      <c r="H3635" t="s">
        <v>90</v>
      </c>
      <c r="I3635" t="s">
        <v>90</v>
      </c>
      <c r="J3635" t="s">
        <v>60</v>
      </c>
      <c r="K3635" t="s">
        <v>72</v>
      </c>
      <c r="L3635" t="s">
        <v>62</v>
      </c>
      <c r="M3635" t="s">
        <v>72</v>
      </c>
      <c r="N3635" t="s">
        <v>91</v>
      </c>
      <c r="O3635" t="s">
        <v>92</v>
      </c>
      <c r="P3635">
        <v>-20.145848999999998</v>
      </c>
      <c r="Q3635">
        <v>-44.908419000000002</v>
      </c>
      <c r="R3635" s="2" t="str">
        <f>HYPERLINK("https://www.google.com/maps?q=-20.1458490,-44.9084190","Abrir no Google Maps")</f>
        <v>Abrir no Google Maps</v>
      </c>
      <c r="S3635">
        <v>4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747</v>
      </c>
      <c r="Z3635">
        <v>136.08168502765241</v>
      </c>
      <c r="AA3635">
        <v>198</v>
      </c>
      <c r="AB3635">
        <v>332</v>
      </c>
      <c r="AC3635">
        <v>536</v>
      </c>
      <c r="AD3635">
        <v>0</v>
      </c>
      <c r="AE3635">
        <v>542</v>
      </c>
      <c r="AF3635">
        <v>0</v>
      </c>
      <c r="AG3635">
        <v>0</v>
      </c>
      <c r="AH3635">
        <v>129</v>
      </c>
      <c r="AI3635">
        <v>0</v>
      </c>
      <c r="AJ3635">
        <v>0</v>
      </c>
      <c r="AK3635">
        <v>23.8</v>
      </c>
      <c r="AL3635">
        <v>-20.14576979999995</v>
      </c>
      <c r="AM3635">
        <v>-44.908436775053183</v>
      </c>
      <c r="AN3635">
        <v>-20.14576979999995</v>
      </c>
      <c r="AO3635">
        <v>-44.908436775053183</v>
      </c>
      <c r="AP3635">
        <v>-20.145848999999998</v>
      </c>
      <c r="AQ3635">
        <v>-44.908419000000002</v>
      </c>
      <c r="AR3635">
        <v>9.0101247482327356</v>
      </c>
      <c r="AS3635" t="s">
        <v>65</v>
      </c>
      <c r="AT3635">
        <v>1</v>
      </c>
      <c r="AU3635" t="s">
        <v>93</v>
      </c>
      <c r="AV3635" t="s">
        <v>94</v>
      </c>
      <c r="AW3635" t="s">
        <v>60</v>
      </c>
      <c r="AX3635" t="s">
        <v>68</v>
      </c>
      <c r="AY3635" t="s">
        <v>69</v>
      </c>
      <c r="AZ3635" t="b">
        <v>1</v>
      </c>
    </row>
    <row r="3636" spans="1:52" x14ac:dyDescent="0.3">
      <c r="A3636" t="s">
        <v>52</v>
      </c>
      <c r="B3636" t="s">
        <v>53</v>
      </c>
      <c r="C3636" t="s">
        <v>54</v>
      </c>
      <c r="D3636" t="s">
        <v>55</v>
      </c>
      <c r="E3636" t="s">
        <v>2205</v>
      </c>
      <c r="F3636" t="s">
        <v>1247</v>
      </c>
      <c r="G3636" t="s">
        <v>95</v>
      </c>
      <c r="H3636" t="s">
        <v>96</v>
      </c>
      <c r="I3636" t="s">
        <v>96</v>
      </c>
      <c r="J3636" t="s">
        <v>60</v>
      </c>
      <c r="K3636" t="s">
        <v>72</v>
      </c>
      <c r="L3636" t="s">
        <v>62</v>
      </c>
      <c r="M3636" t="s">
        <v>72</v>
      </c>
      <c r="N3636" t="s">
        <v>97</v>
      </c>
      <c r="O3636" t="s">
        <v>98</v>
      </c>
      <c r="P3636">
        <v>-20.144062999999999</v>
      </c>
      <c r="Q3636">
        <v>-44.909627999999998</v>
      </c>
      <c r="R3636" s="2" t="str">
        <f>HYPERLINK("https://www.google.com/maps?q=-20.1440630,-44.9096280","Abrir no Google Maps")</f>
        <v>Abrir no Google Maps</v>
      </c>
      <c r="S3636">
        <v>4</v>
      </c>
      <c r="T3636">
        <v>205.27083326529291</v>
      </c>
      <c r="U3636">
        <v>1</v>
      </c>
      <c r="V3636">
        <v>0</v>
      </c>
      <c r="W3636">
        <v>1</v>
      </c>
      <c r="X3636">
        <v>0</v>
      </c>
      <c r="Y3636">
        <v>747</v>
      </c>
      <c r="Z3636">
        <v>336.75785483480968</v>
      </c>
      <c r="AA3636">
        <v>198</v>
      </c>
      <c r="AB3636">
        <v>332</v>
      </c>
      <c r="AC3636">
        <v>536</v>
      </c>
      <c r="AD3636">
        <v>0</v>
      </c>
      <c r="AE3636">
        <v>542</v>
      </c>
      <c r="AF3636">
        <v>0</v>
      </c>
      <c r="AG3636">
        <v>0</v>
      </c>
      <c r="AH3636">
        <v>129</v>
      </c>
      <c r="AI3636">
        <v>0</v>
      </c>
      <c r="AJ3636">
        <v>0</v>
      </c>
      <c r="AK3636">
        <v>23.8</v>
      </c>
      <c r="AL3636">
        <v>-20.144164099999951</v>
      </c>
      <c r="AM3636">
        <v>-44.909420167767642</v>
      </c>
      <c r="AN3636">
        <v>-20.144164099999951</v>
      </c>
      <c r="AO3636">
        <v>-44.909420167767642</v>
      </c>
      <c r="AP3636">
        <v>-20.144062999999999</v>
      </c>
      <c r="AQ3636">
        <v>-44.909627999999998</v>
      </c>
      <c r="AR3636">
        <v>24.46321571724976</v>
      </c>
      <c r="AS3636" t="s">
        <v>65</v>
      </c>
      <c r="AT3636">
        <v>1</v>
      </c>
      <c r="AU3636" t="s">
        <v>99</v>
      </c>
      <c r="AV3636" t="s">
        <v>94</v>
      </c>
      <c r="AW3636" t="s">
        <v>60</v>
      </c>
      <c r="AX3636" t="s">
        <v>68</v>
      </c>
      <c r="AY3636" t="s">
        <v>69</v>
      </c>
      <c r="AZ3636" t="b">
        <v>1</v>
      </c>
    </row>
    <row r="3637" spans="1:52" x14ac:dyDescent="0.3">
      <c r="A3637" t="s">
        <v>52</v>
      </c>
      <c r="B3637" t="s">
        <v>53</v>
      </c>
      <c r="C3637" t="s">
        <v>54</v>
      </c>
      <c r="D3637" t="s">
        <v>55</v>
      </c>
      <c r="E3637" t="s">
        <v>2205</v>
      </c>
      <c r="F3637" t="s">
        <v>1247</v>
      </c>
      <c r="G3637" t="s">
        <v>100</v>
      </c>
      <c r="H3637" t="s">
        <v>101</v>
      </c>
      <c r="I3637" t="s">
        <v>101</v>
      </c>
      <c r="J3637" t="s">
        <v>60</v>
      </c>
      <c r="K3637" t="s">
        <v>61</v>
      </c>
      <c r="L3637" t="s">
        <v>62</v>
      </c>
      <c r="M3637" t="s">
        <v>61</v>
      </c>
      <c r="N3637" t="s">
        <v>102</v>
      </c>
      <c r="O3637" t="s">
        <v>103</v>
      </c>
      <c r="P3637">
        <v>-20.151098999999999</v>
      </c>
      <c r="Q3637">
        <v>-44.909699000000003</v>
      </c>
      <c r="R3637" s="2" t="str">
        <f>HYPERLINK("https://www.google.com/maps?q=-20.1510990,-44.9096990","Abrir no Google Maps")</f>
        <v>Abrir no Google Maps</v>
      </c>
      <c r="S3637">
        <v>4</v>
      </c>
      <c r="T3637">
        <v>628.5023128813533</v>
      </c>
      <c r="U3637">
        <v>1</v>
      </c>
      <c r="V3637">
        <v>0</v>
      </c>
      <c r="W3637">
        <v>1</v>
      </c>
      <c r="X3637">
        <v>0</v>
      </c>
      <c r="Y3637">
        <v>747</v>
      </c>
      <c r="Z3637">
        <v>563.16456625265948</v>
      </c>
      <c r="AA3637">
        <v>198</v>
      </c>
      <c r="AB3637">
        <v>332</v>
      </c>
      <c r="AC3637">
        <v>536</v>
      </c>
      <c r="AD3637">
        <v>0</v>
      </c>
      <c r="AE3637">
        <v>542</v>
      </c>
      <c r="AF3637">
        <v>0</v>
      </c>
      <c r="AG3637">
        <v>0</v>
      </c>
      <c r="AH3637">
        <v>129</v>
      </c>
      <c r="AI3637">
        <v>0</v>
      </c>
      <c r="AJ3637">
        <v>0</v>
      </c>
      <c r="AK3637">
        <v>23.8</v>
      </c>
      <c r="AL3637">
        <v>-20.151307349999971</v>
      </c>
      <c r="AM3637">
        <v>-44.909772836123523</v>
      </c>
      <c r="AN3637">
        <v>-20.151307349999971</v>
      </c>
      <c r="AO3637">
        <v>-44.909772836123523</v>
      </c>
      <c r="AP3637">
        <v>-20.151098999999999</v>
      </c>
      <c r="AQ3637">
        <v>-44.909699000000003</v>
      </c>
      <c r="AR3637">
        <v>24.443417349564811</v>
      </c>
      <c r="AS3637" t="s">
        <v>65</v>
      </c>
      <c r="AT3637">
        <v>1</v>
      </c>
      <c r="AU3637" t="s">
        <v>104</v>
      </c>
      <c r="AV3637" t="s">
        <v>105</v>
      </c>
      <c r="AW3637" t="s">
        <v>60</v>
      </c>
      <c r="AX3637" t="s">
        <v>68</v>
      </c>
      <c r="AY3637" t="s">
        <v>69</v>
      </c>
      <c r="AZ3637" t="b">
        <v>1</v>
      </c>
    </row>
    <row r="3638" spans="1:52" x14ac:dyDescent="0.3">
      <c r="A3638" t="s">
        <v>52</v>
      </c>
      <c r="B3638" t="s">
        <v>53</v>
      </c>
      <c r="C3638" t="s">
        <v>54</v>
      </c>
      <c r="D3638" t="s">
        <v>55</v>
      </c>
      <c r="E3638" t="s">
        <v>2205</v>
      </c>
      <c r="F3638" t="s">
        <v>1247</v>
      </c>
      <c r="G3638" t="s">
        <v>100</v>
      </c>
      <c r="H3638" t="s">
        <v>106</v>
      </c>
      <c r="I3638" t="s">
        <v>106</v>
      </c>
      <c r="J3638" t="s">
        <v>60</v>
      </c>
      <c r="K3638" t="s">
        <v>61</v>
      </c>
      <c r="L3638" t="s">
        <v>62</v>
      </c>
      <c r="M3638" t="s">
        <v>61</v>
      </c>
      <c r="N3638" t="s">
        <v>102</v>
      </c>
      <c r="O3638" t="s">
        <v>103</v>
      </c>
      <c r="P3638">
        <v>-20.151107</v>
      </c>
      <c r="Q3638">
        <v>-44.908918</v>
      </c>
      <c r="R3638" s="2" t="str">
        <f>HYPERLINK("https://www.google.com/maps?q=-20.1511070,-44.9089180","Abrir no Google Maps")</f>
        <v>Abrir no Google Maps</v>
      </c>
      <c r="S3638">
        <v>4</v>
      </c>
      <c r="T3638">
        <v>615.86400245321579</v>
      </c>
      <c r="U3638">
        <v>1</v>
      </c>
      <c r="V3638">
        <v>0</v>
      </c>
      <c r="W3638">
        <v>0.85</v>
      </c>
      <c r="X3638">
        <v>0</v>
      </c>
      <c r="Y3638">
        <v>747</v>
      </c>
      <c r="Z3638">
        <v>535.34543763764702</v>
      </c>
      <c r="AA3638">
        <v>198</v>
      </c>
      <c r="AB3638">
        <v>332</v>
      </c>
      <c r="AC3638">
        <v>536</v>
      </c>
      <c r="AD3638">
        <v>0</v>
      </c>
      <c r="AE3638">
        <v>542</v>
      </c>
      <c r="AF3638">
        <v>0</v>
      </c>
      <c r="AG3638">
        <v>0</v>
      </c>
      <c r="AH3638">
        <v>129</v>
      </c>
      <c r="AI3638">
        <v>0</v>
      </c>
      <c r="AJ3638">
        <v>0</v>
      </c>
      <c r="AK3638">
        <v>23.8</v>
      </c>
      <c r="AL3638">
        <v>-20.151307349999971</v>
      </c>
      <c r="AM3638">
        <v>-44.909024234051429</v>
      </c>
      <c r="AN3638">
        <v>-20.151307349999971</v>
      </c>
      <c r="AO3638">
        <v>-44.909024234051429</v>
      </c>
      <c r="AP3638">
        <v>-20.151107</v>
      </c>
      <c r="AQ3638">
        <v>-44.908918</v>
      </c>
      <c r="AR3638">
        <v>24.91340747371116</v>
      </c>
      <c r="AS3638" t="s">
        <v>65</v>
      </c>
      <c r="AT3638">
        <v>1</v>
      </c>
      <c r="AU3638" t="s">
        <v>107</v>
      </c>
      <c r="AV3638" t="s">
        <v>105</v>
      </c>
      <c r="AW3638" t="s">
        <v>60</v>
      </c>
      <c r="AX3638" t="s">
        <v>68</v>
      </c>
      <c r="AY3638" t="s">
        <v>69</v>
      </c>
      <c r="AZ3638" t="b">
        <v>1</v>
      </c>
    </row>
    <row r="3639" spans="1:52" x14ac:dyDescent="0.3">
      <c r="A3639" t="s">
        <v>52</v>
      </c>
      <c r="B3639" t="s">
        <v>53</v>
      </c>
      <c r="C3639" t="s">
        <v>54</v>
      </c>
      <c r="D3639" t="s">
        <v>55</v>
      </c>
      <c r="E3639" t="s">
        <v>2205</v>
      </c>
      <c r="F3639" t="s">
        <v>1247</v>
      </c>
      <c r="G3639" t="s">
        <v>108</v>
      </c>
      <c r="H3639" t="s">
        <v>109</v>
      </c>
      <c r="I3639" t="s">
        <v>109</v>
      </c>
      <c r="J3639" t="s">
        <v>60</v>
      </c>
      <c r="K3639" t="s">
        <v>110</v>
      </c>
      <c r="L3639" t="s">
        <v>62</v>
      </c>
      <c r="M3639" t="s">
        <v>110</v>
      </c>
      <c r="N3639" t="s">
        <v>111</v>
      </c>
      <c r="O3639" t="s">
        <v>112</v>
      </c>
      <c r="P3639">
        <v>-20.122233999999999</v>
      </c>
      <c r="Q3639">
        <v>-44.909194999999997</v>
      </c>
      <c r="R3639" s="2" t="str">
        <f>HYPERLINK("https://www.google.com/maps?q=-20.1222340,-44.9091950","Abrir no Google Maps")</f>
        <v>Abrir no Google Maps</v>
      </c>
      <c r="S3639">
        <v>4</v>
      </c>
      <c r="T3639">
        <v>1171.396020763932</v>
      </c>
      <c r="U3639">
        <v>1</v>
      </c>
      <c r="V3639">
        <v>0</v>
      </c>
      <c r="W3639">
        <v>0.85</v>
      </c>
      <c r="X3639">
        <v>0</v>
      </c>
      <c r="Y3639">
        <v>567</v>
      </c>
      <c r="Z3639">
        <v>1238.711234283244</v>
      </c>
      <c r="AA3639">
        <v>198</v>
      </c>
      <c r="AB3639">
        <v>332</v>
      </c>
      <c r="AC3639">
        <v>536</v>
      </c>
      <c r="AD3639">
        <v>0</v>
      </c>
      <c r="AE3639">
        <v>542</v>
      </c>
      <c r="AF3639">
        <v>0</v>
      </c>
      <c r="AG3639">
        <v>0</v>
      </c>
      <c r="AH3639">
        <v>129</v>
      </c>
      <c r="AI3639">
        <v>0</v>
      </c>
      <c r="AJ3639">
        <v>0</v>
      </c>
      <c r="AK3639">
        <v>23.8</v>
      </c>
      <c r="AL3639">
        <v>-20.121881249999941</v>
      </c>
      <c r="AM3639">
        <v>-44.909273766094323</v>
      </c>
      <c r="AN3639">
        <v>-20.121881249999941</v>
      </c>
      <c r="AO3639">
        <v>-44.909273766094323</v>
      </c>
      <c r="AP3639">
        <v>-20.122233999999999</v>
      </c>
      <c r="AQ3639">
        <v>-44.909194999999997</v>
      </c>
      <c r="AR3639">
        <v>40.12192930593006</v>
      </c>
      <c r="AS3639" t="s">
        <v>65</v>
      </c>
      <c r="AT3639">
        <v>1</v>
      </c>
      <c r="AU3639" t="s">
        <v>113</v>
      </c>
      <c r="AV3639" t="s">
        <v>114</v>
      </c>
      <c r="AW3639" t="s">
        <v>60</v>
      </c>
      <c r="AX3639" t="s">
        <v>68</v>
      </c>
      <c r="AY3639" t="s">
        <v>69</v>
      </c>
      <c r="AZ3639" t="b">
        <v>1</v>
      </c>
    </row>
    <row r="3640" spans="1:52" x14ac:dyDescent="0.3">
      <c r="A3640" t="s">
        <v>52</v>
      </c>
      <c r="B3640" t="s">
        <v>53</v>
      </c>
      <c r="C3640" t="s">
        <v>54</v>
      </c>
      <c r="D3640" t="s">
        <v>55</v>
      </c>
      <c r="E3640" t="s">
        <v>2205</v>
      </c>
      <c r="F3640" t="s">
        <v>1247</v>
      </c>
      <c r="G3640" t="s">
        <v>1258</v>
      </c>
      <c r="H3640" t="s">
        <v>1259</v>
      </c>
      <c r="I3640" t="s">
        <v>1259</v>
      </c>
      <c r="J3640" t="s">
        <v>60</v>
      </c>
      <c r="K3640" t="s">
        <v>905</v>
      </c>
      <c r="L3640" t="s">
        <v>62</v>
      </c>
      <c r="M3640" t="s">
        <v>905</v>
      </c>
      <c r="N3640" t="s">
        <v>1260</v>
      </c>
      <c r="O3640" t="s">
        <v>628</v>
      </c>
      <c r="P3640">
        <v>-20.113569999999999</v>
      </c>
      <c r="Q3640">
        <v>-44.897216</v>
      </c>
      <c r="R3640" s="2" t="str">
        <f>HYPERLINK("https://www.google.com/maps?q=-20.1135700,-44.8972160","Abrir no Google Maps")</f>
        <v>Abrir no Google Maps</v>
      </c>
      <c r="S3640">
        <v>4</v>
      </c>
      <c r="T3640">
        <v>418.54368277643368</v>
      </c>
      <c r="U3640">
        <v>1</v>
      </c>
      <c r="V3640">
        <v>0</v>
      </c>
      <c r="W3640">
        <v>0.85</v>
      </c>
      <c r="X3640">
        <v>0</v>
      </c>
      <c r="Y3640">
        <v>567</v>
      </c>
      <c r="Z3640">
        <v>315.02989622191018</v>
      </c>
      <c r="AA3640">
        <v>198</v>
      </c>
      <c r="AB3640">
        <v>332</v>
      </c>
      <c r="AC3640">
        <v>536</v>
      </c>
      <c r="AD3640">
        <v>0</v>
      </c>
      <c r="AE3640">
        <v>542</v>
      </c>
      <c r="AF3640">
        <v>0</v>
      </c>
      <c r="AG3640">
        <v>0</v>
      </c>
      <c r="AH3640">
        <v>129</v>
      </c>
      <c r="AI3640">
        <v>0</v>
      </c>
      <c r="AJ3640">
        <v>0</v>
      </c>
      <c r="AK3640">
        <v>23.8</v>
      </c>
      <c r="AL3640">
        <v>-20.113750149999959</v>
      </c>
      <c r="AM3640">
        <v>-44.897427949999937</v>
      </c>
      <c r="AN3640">
        <v>-20.113750149999959</v>
      </c>
      <c r="AO3640">
        <v>-44.897427949999937</v>
      </c>
      <c r="AP3640">
        <v>-20.113569999999999</v>
      </c>
      <c r="AQ3640">
        <v>-44.897216</v>
      </c>
      <c r="AR3640">
        <v>29.883644534822711</v>
      </c>
      <c r="AS3640" t="s">
        <v>65</v>
      </c>
      <c r="AT3640">
        <v>1</v>
      </c>
      <c r="AU3640" t="s">
        <v>1261</v>
      </c>
      <c r="AV3640" t="s">
        <v>1262</v>
      </c>
      <c r="AW3640" t="s">
        <v>60</v>
      </c>
      <c r="AX3640" t="s">
        <v>68</v>
      </c>
      <c r="AY3640" t="s">
        <v>69</v>
      </c>
      <c r="AZ3640" t="b">
        <v>1</v>
      </c>
    </row>
    <row r="3641" spans="1:52" x14ac:dyDescent="0.3">
      <c r="A3641" t="s">
        <v>52</v>
      </c>
      <c r="B3641" t="s">
        <v>53</v>
      </c>
      <c r="C3641" t="s">
        <v>54</v>
      </c>
      <c r="D3641" t="s">
        <v>55</v>
      </c>
      <c r="E3641" t="s">
        <v>2205</v>
      </c>
      <c r="F3641" t="s">
        <v>1247</v>
      </c>
      <c r="G3641" t="s">
        <v>198</v>
      </c>
      <c r="H3641" t="s">
        <v>199</v>
      </c>
      <c r="I3641" t="s">
        <v>199</v>
      </c>
      <c r="J3641" t="s">
        <v>60</v>
      </c>
      <c r="K3641" t="s">
        <v>200</v>
      </c>
      <c r="L3641" t="s">
        <v>62</v>
      </c>
      <c r="M3641" t="s">
        <v>200</v>
      </c>
      <c r="N3641" t="s">
        <v>201</v>
      </c>
      <c r="O3641" t="s">
        <v>202</v>
      </c>
      <c r="P3641">
        <v>-20.122433000000001</v>
      </c>
      <c r="Q3641">
        <v>-44.897013999999999</v>
      </c>
      <c r="R3641" s="2" t="str">
        <f>HYPERLINK("https://www.google.com/maps?q=-20.1224330,-44.8970140","Abrir no Google Maps")</f>
        <v>Abrir no Google Maps</v>
      </c>
      <c r="S3641">
        <v>4</v>
      </c>
      <c r="T3641">
        <v>616.04759279207849</v>
      </c>
      <c r="U3641">
        <v>1</v>
      </c>
      <c r="V3641">
        <v>0</v>
      </c>
      <c r="W3641">
        <v>0.85</v>
      </c>
      <c r="X3641">
        <v>0</v>
      </c>
      <c r="Y3641">
        <v>567</v>
      </c>
      <c r="Z3641">
        <v>655.51024138861465</v>
      </c>
      <c r="AA3641">
        <v>198</v>
      </c>
      <c r="AB3641">
        <v>332</v>
      </c>
      <c r="AC3641">
        <v>536</v>
      </c>
      <c r="AD3641">
        <v>0</v>
      </c>
      <c r="AE3641">
        <v>542</v>
      </c>
      <c r="AF3641">
        <v>0</v>
      </c>
      <c r="AG3641">
        <v>0</v>
      </c>
      <c r="AH3641">
        <v>129</v>
      </c>
      <c r="AI3641">
        <v>0</v>
      </c>
      <c r="AJ3641">
        <v>0</v>
      </c>
      <c r="AK3641">
        <v>23.8</v>
      </c>
      <c r="AL3641">
        <v>-20.122144949999949</v>
      </c>
      <c r="AM3641">
        <v>-44.896761973125983</v>
      </c>
      <c r="AN3641">
        <v>-20.122144949999949</v>
      </c>
      <c r="AO3641">
        <v>-44.896761973125983</v>
      </c>
      <c r="AP3641">
        <v>-20.122433000000001</v>
      </c>
      <c r="AQ3641">
        <v>-44.897013999999999</v>
      </c>
      <c r="AR3641">
        <v>41.499066772735389</v>
      </c>
      <c r="AS3641" t="s">
        <v>65</v>
      </c>
      <c r="AT3641">
        <v>1</v>
      </c>
      <c r="AU3641" t="s">
        <v>203</v>
      </c>
      <c r="AV3641" t="s">
        <v>204</v>
      </c>
      <c r="AW3641" t="s">
        <v>60</v>
      </c>
      <c r="AX3641" t="s">
        <v>68</v>
      </c>
      <c r="AY3641" t="s">
        <v>69</v>
      </c>
      <c r="AZ3641" t="b">
        <v>1</v>
      </c>
    </row>
    <row r="3642" spans="1:52" x14ac:dyDescent="0.3">
      <c r="A3642" t="s">
        <v>52</v>
      </c>
      <c r="B3642" t="s">
        <v>53</v>
      </c>
      <c r="C3642" t="s">
        <v>54</v>
      </c>
      <c r="D3642" t="s">
        <v>55</v>
      </c>
      <c r="E3642" t="s">
        <v>2205</v>
      </c>
      <c r="F3642" t="s">
        <v>1247</v>
      </c>
      <c r="G3642" t="s">
        <v>1263</v>
      </c>
      <c r="H3642" t="s">
        <v>1264</v>
      </c>
      <c r="I3642" t="s">
        <v>1264</v>
      </c>
      <c r="J3642" t="s">
        <v>60</v>
      </c>
      <c r="K3642" t="s">
        <v>1265</v>
      </c>
      <c r="L3642" t="s">
        <v>62</v>
      </c>
      <c r="M3642" t="s">
        <v>1265</v>
      </c>
      <c r="N3642" t="s">
        <v>1266</v>
      </c>
      <c r="O3642" t="s">
        <v>1267</v>
      </c>
      <c r="P3642">
        <v>-20.116924000000001</v>
      </c>
      <c r="Q3642">
        <v>-44.906587000000002</v>
      </c>
      <c r="R3642" s="2" t="str">
        <f>HYPERLINK("https://www.google.com/maps?q=-20.1169240,-44.9065870","Abrir no Google Maps")</f>
        <v>Abrir no Google Maps</v>
      </c>
      <c r="S3642">
        <v>4</v>
      </c>
      <c r="T3642">
        <v>745.10453961787857</v>
      </c>
      <c r="U3642">
        <v>1</v>
      </c>
      <c r="V3642">
        <v>0</v>
      </c>
      <c r="W3642">
        <v>0.85</v>
      </c>
      <c r="X3642">
        <v>0</v>
      </c>
      <c r="Y3642">
        <v>567</v>
      </c>
      <c r="Z3642">
        <v>816.44456345071217</v>
      </c>
      <c r="AA3642">
        <v>198</v>
      </c>
      <c r="AB3642">
        <v>332</v>
      </c>
      <c r="AC3642">
        <v>536</v>
      </c>
      <c r="AD3642">
        <v>0</v>
      </c>
      <c r="AE3642">
        <v>542</v>
      </c>
      <c r="AF3642">
        <v>0</v>
      </c>
      <c r="AG3642">
        <v>0</v>
      </c>
      <c r="AH3642">
        <v>129</v>
      </c>
      <c r="AI3642">
        <v>0</v>
      </c>
      <c r="AJ3642">
        <v>0</v>
      </c>
      <c r="AK3642">
        <v>23.8</v>
      </c>
      <c r="AL3642">
        <v>-20.117279149999941</v>
      </c>
      <c r="AM3642">
        <v>-44.906397211815133</v>
      </c>
      <c r="AN3642">
        <v>-20.117279149999941</v>
      </c>
      <c r="AO3642">
        <v>-44.906397211815133</v>
      </c>
      <c r="AP3642">
        <v>-20.116924000000001</v>
      </c>
      <c r="AQ3642">
        <v>-44.906587000000002</v>
      </c>
      <c r="AR3642">
        <v>44.233430660980403</v>
      </c>
      <c r="AS3642" t="s">
        <v>65</v>
      </c>
      <c r="AT3642">
        <v>1</v>
      </c>
      <c r="AU3642" t="s">
        <v>1268</v>
      </c>
      <c r="AV3642" t="s">
        <v>1269</v>
      </c>
      <c r="AW3642" t="s">
        <v>60</v>
      </c>
      <c r="AX3642" t="s">
        <v>68</v>
      </c>
      <c r="AY3642" t="s">
        <v>69</v>
      </c>
      <c r="AZ3642" t="b">
        <v>1</v>
      </c>
    </row>
    <row r="3643" spans="1:52" x14ac:dyDescent="0.3">
      <c r="A3643" t="s">
        <v>52</v>
      </c>
      <c r="B3643" t="s">
        <v>53</v>
      </c>
      <c r="C3643" t="s">
        <v>54</v>
      </c>
      <c r="D3643" t="s">
        <v>55</v>
      </c>
      <c r="E3643" t="s">
        <v>2205</v>
      </c>
      <c r="F3643" t="s">
        <v>1247</v>
      </c>
      <c r="G3643" t="s">
        <v>205</v>
      </c>
      <c r="H3643" t="s">
        <v>206</v>
      </c>
      <c r="I3643" t="s">
        <v>206</v>
      </c>
      <c r="J3643" t="s">
        <v>60</v>
      </c>
      <c r="K3643" t="s">
        <v>207</v>
      </c>
      <c r="L3643" t="s">
        <v>62</v>
      </c>
      <c r="M3643" t="s">
        <v>207</v>
      </c>
      <c r="N3643" t="s">
        <v>208</v>
      </c>
      <c r="O3643" t="s">
        <v>209</v>
      </c>
      <c r="P3643">
        <v>-20.117533999999999</v>
      </c>
      <c r="Q3643">
        <v>-44.892943000000002</v>
      </c>
      <c r="R3643" s="2" t="str">
        <f>HYPERLINK("https://www.google.com/maps?q=-20.1175340,-44.8929430","Abrir no Google Maps")</f>
        <v>Abrir no Google Maps</v>
      </c>
      <c r="S3643">
        <v>4</v>
      </c>
      <c r="T3643">
        <v>601.98486688021592</v>
      </c>
      <c r="U3643">
        <v>1</v>
      </c>
      <c r="V3643">
        <v>0</v>
      </c>
      <c r="W3643">
        <v>0.85</v>
      </c>
      <c r="X3643">
        <v>0</v>
      </c>
      <c r="Y3643">
        <v>567</v>
      </c>
      <c r="Z3643">
        <v>574.59225706016446</v>
      </c>
      <c r="AA3643">
        <v>198</v>
      </c>
      <c r="AB3643">
        <v>332</v>
      </c>
      <c r="AC3643">
        <v>536</v>
      </c>
      <c r="AD3643">
        <v>0</v>
      </c>
      <c r="AE3643">
        <v>542</v>
      </c>
      <c r="AF3643">
        <v>0</v>
      </c>
      <c r="AG3643">
        <v>0</v>
      </c>
      <c r="AH3643">
        <v>129</v>
      </c>
      <c r="AI3643">
        <v>0</v>
      </c>
      <c r="AJ3643">
        <v>0</v>
      </c>
      <c r="AK3643">
        <v>23.8</v>
      </c>
      <c r="AL3643">
        <v>-20.11671494999996</v>
      </c>
      <c r="AM3643">
        <v>-44.89352717833448</v>
      </c>
      <c r="AN3643">
        <v>-20.11671494999996</v>
      </c>
      <c r="AO3643">
        <v>-44.89352717833448</v>
      </c>
      <c r="AP3643">
        <v>-20.117533999999999</v>
      </c>
      <c r="AQ3643">
        <v>-44.892943000000002</v>
      </c>
      <c r="AR3643">
        <v>109.7357164799156</v>
      </c>
      <c r="AS3643" t="s">
        <v>65</v>
      </c>
      <c r="AT3643">
        <v>1</v>
      </c>
      <c r="AU3643" t="s">
        <v>210</v>
      </c>
      <c r="AV3643" t="s">
        <v>211</v>
      </c>
      <c r="AW3643" t="s">
        <v>60</v>
      </c>
      <c r="AX3643" t="s">
        <v>68</v>
      </c>
      <c r="AY3643" t="s">
        <v>69</v>
      </c>
      <c r="AZ3643" t="b">
        <v>1</v>
      </c>
    </row>
    <row r="3644" spans="1:52" x14ac:dyDescent="0.3">
      <c r="A3644" t="s">
        <v>52</v>
      </c>
      <c r="B3644" t="s">
        <v>53</v>
      </c>
      <c r="C3644" t="s">
        <v>54</v>
      </c>
      <c r="D3644" t="s">
        <v>55</v>
      </c>
      <c r="E3644" t="s">
        <v>2205</v>
      </c>
      <c r="F3644" t="s">
        <v>1247</v>
      </c>
      <c r="G3644" t="s">
        <v>115</v>
      </c>
      <c r="H3644" t="s">
        <v>116</v>
      </c>
      <c r="I3644" t="s">
        <v>116</v>
      </c>
      <c r="J3644" t="s">
        <v>60</v>
      </c>
      <c r="K3644" t="s">
        <v>117</v>
      </c>
      <c r="L3644" t="s">
        <v>62</v>
      </c>
      <c r="M3644" t="s">
        <v>117</v>
      </c>
      <c r="N3644" t="s">
        <v>118</v>
      </c>
      <c r="O3644" t="s">
        <v>119</v>
      </c>
      <c r="P3644">
        <v>-20.116992</v>
      </c>
      <c r="Q3644">
        <v>-44.899355</v>
      </c>
      <c r="R3644" s="2" t="str">
        <f>HYPERLINK("https://www.google.com/maps?q=-20.1169920,-44.8993550","Abrir no Google Maps")</f>
        <v>Abrir no Google Maps</v>
      </c>
      <c r="S3644">
        <v>4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567</v>
      </c>
      <c r="Z3644">
        <v>54.913678078353321</v>
      </c>
      <c r="AA3644">
        <v>198</v>
      </c>
      <c r="AB3644">
        <v>332</v>
      </c>
      <c r="AC3644">
        <v>536</v>
      </c>
      <c r="AD3644">
        <v>0</v>
      </c>
      <c r="AE3644">
        <v>542</v>
      </c>
      <c r="AF3644">
        <v>0</v>
      </c>
      <c r="AG3644">
        <v>0</v>
      </c>
      <c r="AH3644">
        <v>129</v>
      </c>
      <c r="AI3644">
        <v>0</v>
      </c>
      <c r="AJ3644">
        <v>0</v>
      </c>
      <c r="AK3644">
        <v>23.8</v>
      </c>
      <c r="AL3644">
        <v>-20.117107749999949</v>
      </c>
      <c r="AM3644">
        <v>-44.899271226243108</v>
      </c>
      <c r="AN3644">
        <v>-20.117107749999949</v>
      </c>
      <c r="AO3644">
        <v>-44.899271226243108</v>
      </c>
      <c r="AP3644">
        <v>-20.116992</v>
      </c>
      <c r="AQ3644">
        <v>-44.899355</v>
      </c>
      <c r="AR3644">
        <v>15.579196044083419</v>
      </c>
      <c r="AS3644" t="s">
        <v>65</v>
      </c>
      <c r="AT3644">
        <v>1</v>
      </c>
      <c r="AU3644" t="s">
        <v>120</v>
      </c>
      <c r="AV3644" t="s">
        <v>121</v>
      </c>
      <c r="AW3644" t="s">
        <v>60</v>
      </c>
      <c r="AX3644" t="s">
        <v>68</v>
      </c>
      <c r="AY3644" t="s">
        <v>69</v>
      </c>
      <c r="AZ3644" t="b">
        <v>1</v>
      </c>
    </row>
    <row r="3645" spans="1:52" x14ac:dyDescent="0.3">
      <c r="A3645" t="s">
        <v>52</v>
      </c>
      <c r="B3645" t="s">
        <v>53</v>
      </c>
      <c r="C3645" t="s">
        <v>54</v>
      </c>
      <c r="D3645" t="s">
        <v>55</v>
      </c>
      <c r="E3645" t="s">
        <v>2205</v>
      </c>
      <c r="F3645" t="s">
        <v>1247</v>
      </c>
      <c r="G3645" t="s">
        <v>122</v>
      </c>
      <c r="H3645" t="s">
        <v>123</v>
      </c>
      <c r="I3645" t="s">
        <v>123</v>
      </c>
      <c r="J3645" t="s">
        <v>60</v>
      </c>
      <c r="K3645" t="s">
        <v>117</v>
      </c>
      <c r="L3645" t="s">
        <v>62</v>
      </c>
      <c r="M3645" t="s">
        <v>117</v>
      </c>
      <c r="N3645" t="s">
        <v>124</v>
      </c>
      <c r="O3645" t="s">
        <v>125</v>
      </c>
      <c r="P3645">
        <v>-20.11853</v>
      </c>
      <c r="Q3645">
        <v>-44.896925000000003</v>
      </c>
      <c r="R3645" s="2" t="str">
        <f>HYPERLINK("https://www.google.com/maps?q=-20.1185300,-44.8969250","Abrir no Google Maps")</f>
        <v>Abrir no Google Maps</v>
      </c>
      <c r="S3645">
        <v>4</v>
      </c>
      <c r="T3645">
        <v>325.32255721093247</v>
      </c>
      <c r="U3645">
        <v>1</v>
      </c>
      <c r="V3645">
        <v>0</v>
      </c>
      <c r="W3645">
        <v>1</v>
      </c>
      <c r="X3645">
        <v>0</v>
      </c>
      <c r="Y3645">
        <v>567</v>
      </c>
      <c r="Z3645">
        <v>306.04423478678871</v>
      </c>
      <c r="AA3645">
        <v>198</v>
      </c>
      <c r="AB3645">
        <v>332</v>
      </c>
      <c r="AC3645">
        <v>536</v>
      </c>
      <c r="AD3645">
        <v>0</v>
      </c>
      <c r="AE3645">
        <v>542</v>
      </c>
      <c r="AF3645">
        <v>0</v>
      </c>
      <c r="AG3645">
        <v>0</v>
      </c>
      <c r="AH3645">
        <v>129</v>
      </c>
      <c r="AI3645">
        <v>0</v>
      </c>
      <c r="AJ3645">
        <v>0</v>
      </c>
      <c r="AK3645">
        <v>23.8</v>
      </c>
      <c r="AL3645">
        <v>-20.118682499999949</v>
      </c>
      <c r="AM3645">
        <v>-44.896643089287927</v>
      </c>
      <c r="AN3645">
        <v>-20.118682499999949</v>
      </c>
      <c r="AO3645">
        <v>-44.896643089287927</v>
      </c>
      <c r="AP3645">
        <v>-20.11853</v>
      </c>
      <c r="AQ3645">
        <v>-44.896925000000003</v>
      </c>
      <c r="AR3645">
        <v>34.007698996886518</v>
      </c>
      <c r="AS3645" t="s">
        <v>65</v>
      </c>
      <c r="AT3645">
        <v>1</v>
      </c>
      <c r="AU3645" t="s">
        <v>126</v>
      </c>
      <c r="AV3645" t="s">
        <v>121</v>
      </c>
      <c r="AW3645" t="s">
        <v>60</v>
      </c>
      <c r="AX3645" t="s">
        <v>68</v>
      </c>
      <c r="AY3645" t="s">
        <v>69</v>
      </c>
      <c r="AZ3645" t="b">
        <v>1</v>
      </c>
    </row>
    <row r="3646" spans="1:52" x14ac:dyDescent="0.3">
      <c r="A3646" t="s">
        <v>52</v>
      </c>
      <c r="B3646" t="s">
        <v>53</v>
      </c>
      <c r="C3646" t="s">
        <v>54</v>
      </c>
      <c r="D3646" t="s">
        <v>55</v>
      </c>
      <c r="E3646" t="s">
        <v>2205</v>
      </c>
      <c r="F3646" t="s">
        <v>1247</v>
      </c>
      <c r="G3646" t="s">
        <v>1127</v>
      </c>
      <c r="H3646" t="s">
        <v>1270</v>
      </c>
      <c r="I3646" t="s">
        <v>1270</v>
      </c>
      <c r="J3646" t="s">
        <v>60</v>
      </c>
      <c r="K3646" t="s">
        <v>200</v>
      </c>
      <c r="L3646" t="s">
        <v>62</v>
      </c>
      <c r="M3646" t="s">
        <v>200</v>
      </c>
      <c r="N3646" t="s">
        <v>1271</v>
      </c>
      <c r="O3646" t="s">
        <v>315</v>
      </c>
      <c r="P3646">
        <v>-20.123483</v>
      </c>
      <c r="Q3646">
        <v>-44.904159</v>
      </c>
      <c r="R3646" s="2" t="str">
        <f>HYPERLINK("https://www.google.com/maps?q=-20.1234830,-44.9041590","Abrir no Google Maps")</f>
        <v>Abrir no Google Maps</v>
      </c>
      <c r="S3646">
        <v>4</v>
      </c>
      <c r="T3646">
        <v>1046.2792913459141</v>
      </c>
      <c r="U3646">
        <v>1</v>
      </c>
      <c r="V3646">
        <v>0</v>
      </c>
      <c r="W3646">
        <v>0.85</v>
      </c>
      <c r="X3646">
        <v>0</v>
      </c>
      <c r="Y3646">
        <v>567</v>
      </c>
      <c r="Z3646">
        <v>1072.1273144328541</v>
      </c>
      <c r="AA3646">
        <v>198</v>
      </c>
      <c r="AB3646">
        <v>332</v>
      </c>
      <c r="AC3646">
        <v>536</v>
      </c>
      <c r="AD3646">
        <v>0</v>
      </c>
      <c r="AE3646">
        <v>542</v>
      </c>
      <c r="AF3646">
        <v>0</v>
      </c>
      <c r="AG3646">
        <v>0</v>
      </c>
      <c r="AH3646">
        <v>129</v>
      </c>
      <c r="AI3646">
        <v>0</v>
      </c>
      <c r="AJ3646">
        <v>0</v>
      </c>
      <c r="AK3646">
        <v>23.8</v>
      </c>
      <c r="AL3646">
        <v>-20.12548399999994</v>
      </c>
      <c r="AM3646">
        <v>-44.903913990586467</v>
      </c>
      <c r="AN3646">
        <v>-20.12548399999994</v>
      </c>
      <c r="AO3646">
        <v>-44.903913990586467</v>
      </c>
      <c r="AP3646">
        <v>-20.123483</v>
      </c>
      <c r="AQ3646">
        <v>-44.904159</v>
      </c>
      <c r="AR3646">
        <v>224.218591682908</v>
      </c>
      <c r="AS3646" t="s">
        <v>65</v>
      </c>
      <c r="AT3646">
        <v>1</v>
      </c>
      <c r="AU3646" t="s">
        <v>1272</v>
      </c>
      <c r="AV3646" t="s">
        <v>1273</v>
      </c>
      <c r="AW3646" t="s">
        <v>60</v>
      </c>
      <c r="AX3646" t="s">
        <v>68</v>
      </c>
      <c r="AY3646" t="s">
        <v>69</v>
      </c>
      <c r="AZ3646" t="b">
        <v>1</v>
      </c>
    </row>
    <row r="3647" spans="1:52" x14ac:dyDescent="0.3">
      <c r="A3647" t="s">
        <v>52</v>
      </c>
      <c r="B3647" t="s">
        <v>53</v>
      </c>
      <c r="C3647" t="s">
        <v>54</v>
      </c>
      <c r="D3647" t="s">
        <v>55</v>
      </c>
      <c r="E3647" t="s">
        <v>2205</v>
      </c>
      <c r="F3647" t="s">
        <v>1247</v>
      </c>
      <c r="G3647" t="s">
        <v>380</v>
      </c>
      <c r="H3647" t="s">
        <v>381</v>
      </c>
      <c r="I3647" t="s">
        <v>381</v>
      </c>
      <c r="J3647" t="s">
        <v>60</v>
      </c>
      <c r="K3647" t="s">
        <v>72</v>
      </c>
      <c r="L3647" t="s">
        <v>62</v>
      </c>
      <c r="M3647" t="s">
        <v>72</v>
      </c>
      <c r="N3647" t="s">
        <v>382</v>
      </c>
      <c r="O3647" t="s">
        <v>383</v>
      </c>
      <c r="P3647">
        <v>-20.147182000000001</v>
      </c>
      <c r="Q3647">
        <v>-44.912728999999999</v>
      </c>
      <c r="R3647" s="2" t="str">
        <f>HYPERLINK("https://www.google.com/maps?q=-20.1471820,-44.9127290","Abrir no Google Maps")</f>
        <v>Abrir no Google Maps</v>
      </c>
      <c r="S3647">
        <v>3</v>
      </c>
      <c r="T3647">
        <v>478.0141981540923</v>
      </c>
      <c r="U3647">
        <v>1</v>
      </c>
      <c r="V3647">
        <v>0</v>
      </c>
      <c r="W3647">
        <v>1</v>
      </c>
      <c r="X3647">
        <v>0</v>
      </c>
      <c r="Y3647">
        <v>747</v>
      </c>
      <c r="Z3647">
        <v>494.0254290673729</v>
      </c>
      <c r="AA3647">
        <v>198</v>
      </c>
      <c r="AB3647">
        <v>332</v>
      </c>
      <c r="AC3647">
        <v>536</v>
      </c>
      <c r="AD3647">
        <v>0</v>
      </c>
      <c r="AE3647">
        <v>542</v>
      </c>
      <c r="AF3647">
        <v>0</v>
      </c>
      <c r="AG3647">
        <v>0</v>
      </c>
      <c r="AH3647">
        <v>129</v>
      </c>
      <c r="AI3647">
        <v>0</v>
      </c>
      <c r="AJ3647">
        <v>0</v>
      </c>
      <c r="AK3647">
        <v>23.8</v>
      </c>
      <c r="AL3647">
        <v>-20.147375599999979</v>
      </c>
      <c r="AM3647">
        <v>-44.912907472879468</v>
      </c>
      <c r="AN3647">
        <v>-20.147375599999979</v>
      </c>
      <c r="AO3647">
        <v>-44.912907472879468</v>
      </c>
      <c r="AP3647">
        <v>-20.147182000000001</v>
      </c>
      <c r="AQ3647">
        <v>-44.912728999999999</v>
      </c>
      <c r="AR3647">
        <v>28.50197694184326</v>
      </c>
      <c r="AS3647" t="s">
        <v>65</v>
      </c>
      <c r="AT3647">
        <v>1</v>
      </c>
      <c r="AU3647" t="s">
        <v>384</v>
      </c>
      <c r="AV3647" t="s">
        <v>385</v>
      </c>
      <c r="AW3647" t="s">
        <v>60</v>
      </c>
      <c r="AX3647" t="s">
        <v>68</v>
      </c>
      <c r="AY3647" t="s">
        <v>69</v>
      </c>
      <c r="AZ3647" t="b">
        <v>1</v>
      </c>
    </row>
    <row r="3648" spans="1:52" x14ac:dyDescent="0.3">
      <c r="A3648" t="s">
        <v>52</v>
      </c>
      <c r="B3648" t="s">
        <v>53</v>
      </c>
      <c r="C3648" t="s">
        <v>54</v>
      </c>
      <c r="D3648" t="s">
        <v>55</v>
      </c>
      <c r="E3648" t="s">
        <v>2205</v>
      </c>
      <c r="F3648" t="s">
        <v>1247</v>
      </c>
      <c r="G3648" t="s">
        <v>833</v>
      </c>
      <c r="H3648" t="s">
        <v>834</v>
      </c>
      <c r="I3648" t="s">
        <v>834</v>
      </c>
      <c r="J3648" t="s">
        <v>60</v>
      </c>
      <c r="K3648" t="s">
        <v>388</v>
      </c>
      <c r="L3648" t="s">
        <v>62</v>
      </c>
      <c r="M3648" t="s">
        <v>388</v>
      </c>
      <c r="N3648" t="s">
        <v>835</v>
      </c>
      <c r="O3648" t="s">
        <v>836</v>
      </c>
      <c r="P3648">
        <v>-20.157906000000001</v>
      </c>
      <c r="Q3648">
        <v>-44.900458999999998</v>
      </c>
      <c r="R3648" s="2" t="str">
        <f>HYPERLINK("https://www.google.com/maps?q=-20.1579060,-44.9004590","Abrir no Google Maps")</f>
        <v>Abrir no Google Maps</v>
      </c>
      <c r="S3648">
        <v>3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729</v>
      </c>
      <c r="Z3648">
        <v>203.63168486652771</v>
      </c>
      <c r="AA3648">
        <v>198</v>
      </c>
      <c r="AB3648">
        <v>332</v>
      </c>
      <c r="AC3648">
        <v>536</v>
      </c>
      <c r="AD3648">
        <v>0</v>
      </c>
      <c r="AE3648">
        <v>542</v>
      </c>
      <c r="AF3648">
        <v>0</v>
      </c>
      <c r="AG3648">
        <v>0</v>
      </c>
      <c r="AH3648">
        <v>129</v>
      </c>
      <c r="AI3648">
        <v>0</v>
      </c>
      <c r="AJ3648">
        <v>0</v>
      </c>
      <c r="AK3648">
        <v>23.8</v>
      </c>
      <c r="AL3648">
        <v>-20.157925749999951</v>
      </c>
      <c r="AM3648">
        <v>-44.900484707799812</v>
      </c>
      <c r="AN3648">
        <v>-20.157925749999951</v>
      </c>
      <c r="AO3648">
        <v>-44.900484707799812</v>
      </c>
      <c r="AP3648">
        <v>-20.157906000000001</v>
      </c>
      <c r="AQ3648">
        <v>-44.900458999999998</v>
      </c>
      <c r="AR3648">
        <v>3.4714515960382508</v>
      </c>
      <c r="AS3648" t="s">
        <v>65</v>
      </c>
      <c r="AT3648">
        <v>1</v>
      </c>
      <c r="AU3648" t="s">
        <v>837</v>
      </c>
      <c r="AV3648" t="s">
        <v>838</v>
      </c>
      <c r="AW3648" t="s">
        <v>60</v>
      </c>
      <c r="AX3648" t="s">
        <v>68</v>
      </c>
      <c r="AY3648" t="s">
        <v>69</v>
      </c>
      <c r="AZ3648" t="b">
        <v>1</v>
      </c>
    </row>
    <row r="3649" spans="1:52" x14ac:dyDescent="0.3">
      <c r="A3649" t="s">
        <v>52</v>
      </c>
      <c r="B3649" t="s">
        <v>53</v>
      </c>
      <c r="C3649" t="s">
        <v>54</v>
      </c>
      <c r="D3649" t="s">
        <v>55</v>
      </c>
      <c r="E3649" t="s">
        <v>2205</v>
      </c>
      <c r="F3649" t="s">
        <v>1247</v>
      </c>
      <c r="G3649" t="s">
        <v>839</v>
      </c>
      <c r="H3649" t="s">
        <v>840</v>
      </c>
      <c r="I3649" t="s">
        <v>840</v>
      </c>
      <c r="J3649" t="s">
        <v>60</v>
      </c>
      <c r="K3649" t="s">
        <v>388</v>
      </c>
      <c r="L3649" t="s">
        <v>62</v>
      </c>
      <c r="M3649" t="s">
        <v>388</v>
      </c>
      <c r="N3649" t="s">
        <v>841</v>
      </c>
      <c r="O3649" t="s">
        <v>842</v>
      </c>
      <c r="P3649">
        <v>-20.159977999999999</v>
      </c>
      <c r="Q3649">
        <v>-44.900207000000002</v>
      </c>
      <c r="R3649" s="2" t="str">
        <f>HYPERLINK("https://www.google.com/maps?q=-20.1599780,-44.9002070","Abrir no Google Maps")</f>
        <v>Abrir no Google Maps</v>
      </c>
      <c r="S3649">
        <v>3</v>
      </c>
      <c r="T3649">
        <v>213.24333517300789</v>
      </c>
      <c r="U3649">
        <v>1</v>
      </c>
      <c r="V3649">
        <v>0</v>
      </c>
      <c r="W3649">
        <v>1</v>
      </c>
      <c r="X3649">
        <v>0</v>
      </c>
      <c r="Y3649">
        <v>729</v>
      </c>
      <c r="Z3649">
        <v>315.47173727880028</v>
      </c>
      <c r="AA3649">
        <v>198</v>
      </c>
      <c r="AB3649">
        <v>332</v>
      </c>
      <c r="AC3649">
        <v>536</v>
      </c>
      <c r="AD3649">
        <v>0</v>
      </c>
      <c r="AE3649">
        <v>542</v>
      </c>
      <c r="AF3649">
        <v>0</v>
      </c>
      <c r="AG3649">
        <v>0</v>
      </c>
      <c r="AH3649">
        <v>129</v>
      </c>
      <c r="AI3649">
        <v>0</v>
      </c>
      <c r="AJ3649">
        <v>0</v>
      </c>
      <c r="AK3649">
        <v>23.8</v>
      </c>
      <c r="AL3649">
        <v>-20.159825649999959</v>
      </c>
      <c r="AM3649">
        <v>-44.900143828909613</v>
      </c>
      <c r="AN3649">
        <v>-20.159825649999959</v>
      </c>
      <c r="AO3649">
        <v>-44.900143828909613</v>
      </c>
      <c r="AP3649">
        <v>-20.159977999999999</v>
      </c>
      <c r="AQ3649">
        <v>-44.900207000000002</v>
      </c>
      <c r="AR3649">
        <v>18.199073573580371</v>
      </c>
      <c r="AS3649" t="s">
        <v>65</v>
      </c>
      <c r="AT3649">
        <v>1</v>
      </c>
      <c r="AU3649" t="s">
        <v>843</v>
      </c>
      <c r="AV3649" t="s">
        <v>844</v>
      </c>
      <c r="AW3649" t="s">
        <v>60</v>
      </c>
      <c r="AX3649" t="s">
        <v>68</v>
      </c>
      <c r="AY3649" t="s">
        <v>69</v>
      </c>
      <c r="AZ3649" t="b">
        <v>1</v>
      </c>
    </row>
    <row r="3650" spans="1:52" x14ac:dyDescent="0.3">
      <c r="A3650" t="s">
        <v>52</v>
      </c>
      <c r="B3650" t="s">
        <v>53</v>
      </c>
      <c r="C3650" t="s">
        <v>54</v>
      </c>
      <c r="D3650" t="s">
        <v>55</v>
      </c>
      <c r="E3650" t="s">
        <v>2205</v>
      </c>
      <c r="F3650" t="s">
        <v>1247</v>
      </c>
      <c r="G3650" t="s">
        <v>386</v>
      </c>
      <c r="H3650" t="s">
        <v>387</v>
      </c>
      <c r="I3650" t="s">
        <v>387</v>
      </c>
      <c r="J3650" t="s">
        <v>60</v>
      </c>
      <c r="K3650" t="s">
        <v>388</v>
      </c>
      <c r="L3650" t="s">
        <v>62</v>
      </c>
      <c r="M3650" t="s">
        <v>388</v>
      </c>
      <c r="N3650" t="s">
        <v>389</v>
      </c>
      <c r="O3650" t="s">
        <v>357</v>
      </c>
      <c r="P3650">
        <v>-20.161041999999998</v>
      </c>
      <c r="Q3650">
        <v>-44.901242000000003</v>
      </c>
      <c r="R3650" s="2" t="str">
        <f>HYPERLINK("https://www.google.com/maps?q=-20.1610420,-44.9012420","Abrir no Google Maps")</f>
        <v>Abrir no Google Maps</v>
      </c>
      <c r="S3650">
        <v>3</v>
      </c>
      <c r="T3650">
        <v>440.22183232279212</v>
      </c>
      <c r="U3650">
        <v>1</v>
      </c>
      <c r="V3650">
        <v>0</v>
      </c>
      <c r="W3650">
        <v>1</v>
      </c>
      <c r="X3650">
        <v>0</v>
      </c>
      <c r="Y3650">
        <v>729</v>
      </c>
      <c r="Z3650">
        <v>398.48306829302379</v>
      </c>
      <c r="AA3650">
        <v>198</v>
      </c>
      <c r="AB3650">
        <v>332</v>
      </c>
      <c r="AC3650">
        <v>536</v>
      </c>
      <c r="AD3650">
        <v>0</v>
      </c>
      <c r="AE3650">
        <v>542</v>
      </c>
      <c r="AF3650">
        <v>0</v>
      </c>
      <c r="AG3650">
        <v>0</v>
      </c>
      <c r="AH3650">
        <v>129</v>
      </c>
      <c r="AI3650">
        <v>0</v>
      </c>
      <c r="AJ3650">
        <v>0</v>
      </c>
      <c r="AK3650">
        <v>23.8</v>
      </c>
      <c r="AL3650">
        <v>-20.16176629999995</v>
      </c>
      <c r="AM3650">
        <v>-44.901582787827898</v>
      </c>
      <c r="AN3650">
        <v>-20.16176629999995</v>
      </c>
      <c r="AO3650">
        <v>-44.901582787827898</v>
      </c>
      <c r="AP3650">
        <v>-20.161041999999998</v>
      </c>
      <c r="AQ3650">
        <v>-44.901242000000003</v>
      </c>
      <c r="AR3650">
        <v>88.143369157892835</v>
      </c>
      <c r="AS3650" t="s">
        <v>65</v>
      </c>
      <c r="AT3650">
        <v>1</v>
      </c>
      <c r="AU3650" t="s">
        <v>390</v>
      </c>
      <c r="AV3650" t="s">
        <v>391</v>
      </c>
      <c r="AW3650" t="s">
        <v>60</v>
      </c>
      <c r="AX3650" t="s">
        <v>68</v>
      </c>
      <c r="AY3650" t="s">
        <v>69</v>
      </c>
      <c r="AZ3650" t="b">
        <v>1</v>
      </c>
    </row>
    <row r="3651" spans="1:52" x14ac:dyDescent="0.3">
      <c r="A3651" t="s">
        <v>52</v>
      </c>
      <c r="B3651" t="s">
        <v>53</v>
      </c>
      <c r="C3651" t="s">
        <v>54</v>
      </c>
      <c r="D3651" t="s">
        <v>55</v>
      </c>
      <c r="E3651" t="s">
        <v>2205</v>
      </c>
      <c r="F3651" t="s">
        <v>1247</v>
      </c>
      <c r="G3651" t="s">
        <v>392</v>
      </c>
      <c r="H3651" t="s">
        <v>393</v>
      </c>
      <c r="I3651" t="s">
        <v>393</v>
      </c>
      <c r="J3651" t="s">
        <v>60</v>
      </c>
      <c r="K3651" t="s">
        <v>388</v>
      </c>
      <c r="L3651" t="s">
        <v>62</v>
      </c>
      <c r="M3651" t="s">
        <v>388</v>
      </c>
      <c r="N3651" t="s">
        <v>394</v>
      </c>
      <c r="O3651" t="s">
        <v>395</v>
      </c>
      <c r="P3651">
        <v>-20.158066999999999</v>
      </c>
      <c r="Q3651">
        <v>-44.908164999999997</v>
      </c>
      <c r="R3651" s="2" t="str">
        <f>HYPERLINK("https://www.google.com/maps?q=-20.1580670,-44.9081650","Abrir no Google Maps")</f>
        <v>Abrir no Google Maps</v>
      </c>
      <c r="S3651">
        <v>3</v>
      </c>
      <c r="T3651">
        <v>666.74434317993041</v>
      </c>
      <c r="U3651">
        <v>1</v>
      </c>
      <c r="V3651">
        <v>0</v>
      </c>
      <c r="W3651">
        <v>1</v>
      </c>
      <c r="X3651">
        <v>0</v>
      </c>
      <c r="Y3651">
        <v>729</v>
      </c>
      <c r="Z3651">
        <v>612.4323328215396</v>
      </c>
      <c r="AA3651">
        <v>198</v>
      </c>
      <c r="AB3651">
        <v>332</v>
      </c>
      <c r="AC3651">
        <v>536</v>
      </c>
      <c r="AD3651">
        <v>0</v>
      </c>
      <c r="AE3651">
        <v>542</v>
      </c>
      <c r="AF3651">
        <v>0</v>
      </c>
      <c r="AG3651">
        <v>0</v>
      </c>
      <c r="AH3651">
        <v>129</v>
      </c>
      <c r="AI3651">
        <v>0</v>
      </c>
      <c r="AJ3651">
        <v>0</v>
      </c>
      <c r="AK3651">
        <v>23.8</v>
      </c>
      <c r="AL3651">
        <v>-20.158151449999959</v>
      </c>
      <c r="AM3651">
        <v>-44.908107718360938</v>
      </c>
      <c r="AN3651">
        <v>-20.158151449999959</v>
      </c>
      <c r="AO3651">
        <v>-44.908107718360938</v>
      </c>
      <c r="AP3651">
        <v>-20.158066999999999</v>
      </c>
      <c r="AQ3651">
        <v>-44.908164999999997</v>
      </c>
      <c r="AR3651">
        <v>11.14497345894574</v>
      </c>
      <c r="AS3651" t="s">
        <v>65</v>
      </c>
      <c r="AT3651">
        <v>1</v>
      </c>
      <c r="AU3651" t="s">
        <v>396</v>
      </c>
      <c r="AV3651" t="s">
        <v>397</v>
      </c>
      <c r="AW3651" t="s">
        <v>60</v>
      </c>
      <c r="AX3651" t="s">
        <v>68</v>
      </c>
      <c r="AY3651" t="s">
        <v>69</v>
      </c>
      <c r="AZ3651" t="b">
        <v>1</v>
      </c>
    </row>
    <row r="3652" spans="1:52" x14ac:dyDescent="0.3">
      <c r="A3652" t="s">
        <v>52</v>
      </c>
      <c r="B3652" t="s">
        <v>53</v>
      </c>
      <c r="C3652" t="s">
        <v>54</v>
      </c>
      <c r="D3652" t="s">
        <v>55</v>
      </c>
      <c r="E3652" t="s">
        <v>2205</v>
      </c>
      <c r="F3652" t="s">
        <v>1247</v>
      </c>
      <c r="G3652" t="s">
        <v>839</v>
      </c>
      <c r="H3652" t="s">
        <v>1274</v>
      </c>
      <c r="I3652" t="s">
        <v>1274</v>
      </c>
      <c r="J3652" t="s">
        <v>60</v>
      </c>
      <c r="K3652" t="s">
        <v>388</v>
      </c>
      <c r="L3652" t="s">
        <v>62</v>
      </c>
      <c r="M3652" t="s">
        <v>388</v>
      </c>
      <c r="N3652" t="s">
        <v>841</v>
      </c>
      <c r="O3652" t="s">
        <v>1275</v>
      </c>
      <c r="P3652">
        <v>-20.157979999999998</v>
      </c>
      <c r="Q3652">
        <v>-44.906365999999998</v>
      </c>
      <c r="R3652" s="2" t="str">
        <f>HYPERLINK("https://www.google.com/maps?q=-20.1579800,-44.9063660","Abrir no Google Maps")</f>
        <v>Abrir no Google Maps</v>
      </c>
      <c r="S3652">
        <v>3</v>
      </c>
      <c r="T3652">
        <v>519.48953004348823</v>
      </c>
      <c r="U3652">
        <v>1</v>
      </c>
      <c r="V3652">
        <v>0</v>
      </c>
      <c r="W3652">
        <v>0.85</v>
      </c>
      <c r="X3652">
        <v>0</v>
      </c>
      <c r="Y3652">
        <v>729</v>
      </c>
      <c r="Z3652">
        <v>393.22938248316768</v>
      </c>
      <c r="AA3652">
        <v>198</v>
      </c>
      <c r="AB3652">
        <v>332</v>
      </c>
      <c r="AC3652">
        <v>536</v>
      </c>
      <c r="AD3652">
        <v>0</v>
      </c>
      <c r="AE3652">
        <v>542</v>
      </c>
      <c r="AF3652">
        <v>0</v>
      </c>
      <c r="AG3652">
        <v>0</v>
      </c>
      <c r="AH3652">
        <v>129</v>
      </c>
      <c r="AI3652">
        <v>0</v>
      </c>
      <c r="AJ3652">
        <v>0</v>
      </c>
      <c r="AK3652">
        <v>23.8</v>
      </c>
      <c r="AL3652">
        <v>-20.157977799999941</v>
      </c>
      <c r="AM3652">
        <v>-44.906429896327573</v>
      </c>
      <c r="AN3652">
        <v>-20.157977799999941</v>
      </c>
      <c r="AO3652">
        <v>-44.906429896327573</v>
      </c>
      <c r="AP3652">
        <v>-20.157979999999998</v>
      </c>
      <c r="AQ3652">
        <v>-44.906365999999998</v>
      </c>
      <c r="AR3652">
        <v>6.6817330699236734</v>
      </c>
      <c r="AS3652" t="s">
        <v>65</v>
      </c>
      <c r="AT3652">
        <v>1</v>
      </c>
      <c r="AU3652" t="s">
        <v>1276</v>
      </c>
      <c r="AV3652" t="s">
        <v>1277</v>
      </c>
      <c r="AW3652" t="s">
        <v>60</v>
      </c>
      <c r="AX3652" t="s">
        <v>68</v>
      </c>
      <c r="AY3652" t="s">
        <v>69</v>
      </c>
      <c r="AZ3652" t="b">
        <v>1</v>
      </c>
    </row>
    <row r="3653" spans="1:52" x14ac:dyDescent="0.3">
      <c r="A3653" t="s">
        <v>52</v>
      </c>
      <c r="B3653" t="s">
        <v>53</v>
      </c>
      <c r="C3653" t="s">
        <v>54</v>
      </c>
      <c r="D3653" t="s">
        <v>55</v>
      </c>
      <c r="E3653" t="s">
        <v>2205</v>
      </c>
      <c r="F3653" t="s">
        <v>1247</v>
      </c>
      <c r="G3653" t="s">
        <v>398</v>
      </c>
      <c r="H3653" t="s">
        <v>399</v>
      </c>
      <c r="I3653" t="s">
        <v>399</v>
      </c>
      <c r="J3653" t="s">
        <v>60</v>
      </c>
      <c r="K3653" t="s">
        <v>388</v>
      </c>
      <c r="L3653" t="s">
        <v>62</v>
      </c>
      <c r="M3653" t="s">
        <v>388</v>
      </c>
      <c r="N3653" t="s">
        <v>400</v>
      </c>
      <c r="O3653" t="s">
        <v>401</v>
      </c>
      <c r="P3653">
        <v>-20.160157000000002</v>
      </c>
      <c r="Q3653">
        <v>-44.904347999999999</v>
      </c>
      <c r="R3653" s="2" t="str">
        <f>HYPERLINK("https://www.google.com/maps?q=-20.1601570,-44.9043480","Abrir no Google Maps")</f>
        <v>Abrir no Google Maps</v>
      </c>
      <c r="S3653">
        <v>3</v>
      </c>
      <c r="T3653">
        <v>469.26088527154809</v>
      </c>
      <c r="U3653">
        <v>1</v>
      </c>
      <c r="V3653">
        <v>0</v>
      </c>
      <c r="W3653">
        <v>1</v>
      </c>
      <c r="X3653">
        <v>0</v>
      </c>
      <c r="Y3653">
        <v>729</v>
      </c>
      <c r="Z3653">
        <v>253.57832452309071</v>
      </c>
      <c r="AA3653">
        <v>198</v>
      </c>
      <c r="AB3653">
        <v>332</v>
      </c>
      <c r="AC3653">
        <v>536</v>
      </c>
      <c r="AD3653">
        <v>0</v>
      </c>
      <c r="AE3653">
        <v>542</v>
      </c>
      <c r="AF3653">
        <v>0</v>
      </c>
      <c r="AG3653">
        <v>0</v>
      </c>
      <c r="AH3653">
        <v>129</v>
      </c>
      <c r="AI3653">
        <v>0</v>
      </c>
      <c r="AJ3653">
        <v>0</v>
      </c>
      <c r="AK3653">
        <v>23.8</v>
      </c>
      <c r="AL3653">
        <v>-20.160007949999969</v>
      </c>
      <c r="AM3653">
        <v>-44.904396608560482</v>
      </c>
      <c r="AN3653">
        <v>-20.160007949999969</v>
      </c>
      <c r="AO3653">
        <v>-44.904396608560482</v>
      </c>
      <c r="AP3653">
        <v>-20.160157000000002</v>
      </c>
      <c r="AQ3653">
        <v>-44.904347999999999</v>
      </c>
      <c r="AR3653">
        <v>17.35237255387942</v>
      </c>
      <c r="AS3653" t="s">
        <v>65</v>
      </c>
      <c r="AT3653">
        <v>1</v>
      </c>
      <c r="AU3653" t="s">
        <v>402</v>
      </c>
      <c r="AV3653" t="s">
        <v>403</v>
      </c>
      <c r="AW3653" t="s">
        <v>60</v>
      </c>
      <c r="AX3653" t="s">
        <v>68</v>
      </c>
      <c r="AY3653" t="s">
        <v>69</v>
      </c>
      <c r="AZ3653" t="b">
        <v>1</v>
      </c>
    </row>
    <row r="3654" spans="1:52" x14ac:dyDescent="0.3">
      <c r="A3654" t="s">
        <v>52</v>
      </c>
      <c r="B3654" t="s">
        <v>53</v>
      </c>
      <c r="C3654" t="s">
        <v>54</v>
      </c>
      <c r="D3654" t="s">
        <v>55</v>
      </c>
      <c r="E3654" t="s">
        <v>2205</v>
      </c>
      <c r="F3654" t="s">
        <v>1247</v>
      </c>
      <c r="G3654" t="s">
        <v>1278</v>
      </c>
      <c r="H3654" t="s">
        <v>1279</v>
      </c>
      <c r="I3654" t="s">
        <v>1279</v>
      </c>
      <c r="J3654" t="s">
        <v>60</v>
      </c>
      <c r="K3654" t="s">
        <v>388</v>
      </c>
      <c r="L3654" t="s">
        <v>62</v>
      </c>
      <c r="M3654" t="s">
        <v>388</v>
      </c>
      <c r="N3654" t="s">
        <v>1280</v>
      </c>
      <c r="O3654" t="s">
        <v>216</v>
      </c>
      <c r="P3654">
        <v>-20.15681</v>
      </c>
      <c r="Q3654">
        <v>-44.899290999999998</v>
      </c>
      <c r="R3654" s="2" t="str">
        <f>HYPERLINK("https://www.google.com/maps?q=-20.1568100,-44.8992910","Abrir no Google Maps")</f>
        <v>Abrir no Google Maps</v>
      </c>
      <c r="S3654">
        <v>3</v>
      </c>
      <c r="T3654">
        <v>180.10162979749811</v>
      </c>
      <c r="U3654">
        <v>1</v>
      </c>
      <c r="V3654">
        <v>0</v>
      </c>
      <c r="W3654">
        <v>0.85</v>
      </c>
      <c r="X3654">
        <v>0</v>
      </c>
      <c r="Y3654">
        <v>729</v>
      </c>
      <c r="Z3654">
        <v>368.06065118133841</v>
      </c>
      <c r="AA3654">
        <v>198</v>
      </c>
      <c r="AB3654">
        <v>332</v>
      </c>
      <c r="AC3654">
        <v>536</v>
      </c>
      <c r="AD3654">
        <v>0</v>
      </c>
      <c r="AE3654">
        <v>542</v>
      </c>
      <c r="AF3654">
        <v>0</v>
      </c>
      <c r="AG3654">
        <v>0</v>
      </c>
      <c r="AH3654">
        <v>129</v>
      </c>
      <c r="AI3654">
        <v>0</v>
      </c>
      <c r="AJ3654">
        <v>0</v>
      </c>
      <c r="AK3654">
        <v>23.8</v>
      </c>
      <c r="AL3654">
        <v>-20.156785649999961</v>
      </c>
      <c r="AM3654">
        <v>-44.899254812291332</v>
      </c>
      <c r="AN3654">
        <v>-20.156785649999961</v>
      </c>
      <c r="AO3654">
        <v>-44.899254812291332</v>
      </c>
      <c r="AP3654">
        <v>-20.15681</v>
      </c>
      <c r="AQ3654">
        <v>-44.899290999999998</v>
      </c>
      <c r="AR3654">
        <v>4.6528211992813118</v>
      </c>
      <c r="AS3654" t="s">
        <v>65</v>
      </c>
      <c r="AT3654">
        <v>1</v>
      </c>
      <c r="AU3654" t="s">
        <v>1281</v>
      </c>
      <c r="AV3654" t="s">
        <v>1282</v>
      </c>
      <c r="AW3654" t="s">
        <v>60</v>
      </c>
      <c r="AX3654" t="s">
        <v>68</v>
      </c>
      <c r="AY3654" t="s">
        <v>69</v>
      </c>
      <c r="AZ3654" t="b">
        <v>1</v>
      </c>
    </row>
    <row r="3655" spans="1:52" x14ac:dyDescent="0.3">
      <c r="A3655" t="s">
        <v>52</v>
      </c>
      <c r="B3655" t="s">
        <v>53</v>
      </c>
      <c r="C3655" t="s">
        <v>54</v>
      </c>
      <c r="D3655" t="s">
        <v>55</v>
      </c>
      <c r="E3655" t="s">
        <v>2205</v>
      </c>
      <c r="F3655" t="s">
        <v>1247</v>
      </c>
      <c r="G3655" t="s">
        <v>404</v>
      </c>
      <c r="H3655" t="s">
        <v>405</v>
      </c>
      <c r="I3655" t="s">
        <v>405</v>
      </c>
      <c r="J3655" t="s">
        <v>60</v>
      </c>
      <c r="K3655" t="s">
        <v>388</v>
      </c>
      <c r="L3655" t="s">
        <v>62</v>
      </c>
      <c r="M3655" t="s">
        <v>388</v>
      </c>
      <c r="N3655" t="s">
        <v>406</v>
      </c>
      <c r="O3655" t="s">
        <v>407</v>
      </c>
      <c r="P3655">
        <v>-20.162780999999999</v>
      </c>
      <c r="Q3655">
        <v>-44.904437999999999</v>
      </c>
      <c r="R3655" s="2" t="str">
        <f>HYPERLINK("https://www.google.com/maps?q=-20.1627810,-44.9044380","Abrir no Google Maps")</f>
        <v>Abrir no Google Maps</v>
      </c>
      <c r="S3655">
        <v>3</v>
      </c>
      <c r="T3655">
        <v>681.0891377731482</v>
      </c>
      <c r="U3655">
        <v>1</v>
      </c>
      <c r="V3655">
        <v>0</v>
      </c>
      <c r="W3655">
        <v>1</v>
      </c>
      <c r="X3655">
        <v>0</v>
      </c>
      <c r="Y3655">
        <v>729</v>
      </c>
      <c r="Z3655">
        <v>564.17713687218622</v>
      </c>
      <c r="AA3655">
        <v>198</v>
      </c>
      <c r="AB3655">
        <v>332</v>
      </c>
      <c r="AC3655">
        <v>536</v>
      </c>
      <c r="AD3655">
        <v>0</v>
      </c>
      <c r="AE3655">
        <v>542</v>
      </c>
      <c r="AF3655">
        <v>0</v>
      </c>
      <c r="AG3655">
        <v>0</v>
      </c>
      <c r="AH3655">
        <v>129</v>
      </c>
      <c r="AI3655">
        <v>0</v>
      </c>
      <c r="AJ3655">
        <v>0</v>
      </c>
      <c r="AK3655">
        <v>23.8</v>
      </c>
      <c r="AL3655">
        <v>-20.16295434999995</v>
      </c>
      <c r="AM3655">
        <v>-44.904242686956152</v>
      </c>
      <c r="AN3655">
        <v>-20.16295434999995</v>
      </c>
      <c r="AO3655">
        <v>-44.904242686956152</v>
      </c>
      <c r="AP3655">
        <v>-20.162780999999999</v>
      </c>
      <c r="AQ3655">
        <v>-44.904437999999999</v>
      </c>
      <c r="AR3655">
        <v>28.088191280523411</v>
      </c>
      <c r="AS3655" t="s">
        <v>65</v>
      </c>
      <c r="AT3655">
        <v>1</v>
      </c>
      <c r="AU3655" t="s">
        <v>408</v>
      </c>
      <c r="AV3655" t="s">
        <v>409</v>
      </c>
      <c r="AW3655" t="s">
        <v>60</v>
      </c>
      <c r="AX3655" t="s">
        <v>68</v>
      </c>
      <c r="AY3655" t="s">
        <v>69</v>
      </c>
      <c r="AZ3655" t="b">
        <v>1</v>
      </c>
    </row>
    <row r="3656" spans="1:52" x14ac:dyDescent="0.3">
      <c r="A3656" t="s">
        <v>52</v>
      </c>
      <c r="B3656" t="s">
        <v>53</v>
      </c>
      <c r="C3656" t="s">
        <v>54</v>
      </c>
      <c r="D3656" t="s">
        <v>55</v>
      </c>
      <c r="E3656" t="s">
        <v>2205</v>
      </c>
      <c r="F3656" t="s">
        <v>1247</v>
      </c>
      <c r="G3656" t="s">
        <v>410</v>
      </c>
      <c r="H3656" t="s">
        <v>411</v>
      </c>
      <c r="I3656" t="s">
        <v>411</v>
      </c>
      <c r="J3656" t="s">
        <v>60</v>
      </c>
      <c r="K3656" t="s">
        <v>388</v>
      </c>
      <c r="L3656" t="s">
        <v>62</v>
      </c>
      <c r="M3656" t="s">
        <v>388</v>
      </c>
      <c r="N3656" t="s">
        <v>412</v>
      </c>
      <c r="O3656" t="s">
        <v>413</v>
      </c>
      <c r="P3656">
        <v>-20.161394000000001</v>
      </c>
      <c r="Q3656">
        <v>-44.906725999999999</v>
      </c>
      <c r="R3656" s="2" t="str">
        <f>HYPERLINK("https://www.google.com/maps?q=-20.1613940,-44.9067260","Abrir no Google Maps")</f>
        <v>Abrir no Google Maps</v>
      </c>
      <c r="S3656">
        <v>3</v>
      </c>
      <c r="T3656">
        <v>763.68157548493457</v>
      </c>
      <c r="U3656">
        <v>1</v>
      </c>
      <c r="V3656">
        <v>0</v>
      </c>
      <c r="W3656">
        <v>1</v>
      </c>
      <c r="X3656">
        <v>0</v>
      </c>
      <c r="Y3656">
        <v>729</v>
      </c>
      <c r="Z3656">
        <v>551.70379325948545</v>
      </c>
      <c r="AA3656">
        <v>198</v>
      </c>
      <c r="AB3656">
        <v>332</v>
      </c>
      <c r="AC3656">
        <v>536</v>
      </c>
      <c r="AD3656">
        <v>0</v>
      </c>
      <c r="AE3656">
        <v>542</v>
      </c>
      <c r="AF3656">
        <v>0</v>
      </c>
      <c r="AG3656">
        <v>0</v>
      </c>
      <c r="AH3656">
        <v>129</v>
      </c>
      <c r="AI3656">
        <v>0</v>
      </c>
      <c r="AJ3656">
        <v>0</v>
      </c>
      <c r="AK3656">
        <v>23.8</v>
      </c>
      <c r="AL3656">
        <v>-20.161371049999929</v>
      </c>
      <c r="AM3656">
        <v>-44.906816797310228</v>
      </c>
      <c r="AN3656">
        <v>-20.161371049999929</v>
      </c>
      <c r="AO3656">
        <v>-44.906816797310228</v>
      </c>
      <c r="AP3656">
        <v>-20.161394000000001</v>
      </c>
      <c r="AQ3656">
        <v>-44.906725999999999</v>
      </c>
      <c r="AR3656">
        <v>9.8261555662022495</v>
      </c>
      <c r="AS3656" t="s">
        <v>65</v>
      </c>
      <c r="AT3656">
        <v>1</v>
      </c>
      <c r="AU3656" t="s">
        <v>414</v>
      </c>
      <c r="AV3656" t="s">
        <v>415</v>
      </c>
      <c r="AW3656" t="s">
        <v>60</v>
      </c>
      <c r="AX3656" t="s">
        <v>68</v>
      </c>
      <c r="AY3656" t="s">
        <v>69</v>
      </c>
      <c r="AZ3656" t="b">
        <v>1</v>
      </c>
    </row>
    <row r="3657" spans="1:52" x14ac:dyDescent="0.3">
      <c r="A3657" t="s">
        <v>52</v>
      </c>
      <c r="B3657" t="s">
        <v>53</v>
      </c>
      <c r="C3657" t="s">
        <v>54</v>
      </c>
      <c r="D3657" t="s">
        <v>55</v>
      </c>
      <c r="E3657" t="s">
        <v>2205</v>
      </c>
      <c r="F3657" t="s">
        <v>1247</v>
      </c>
      <c r="G3657" t="s">
        <v>1283</v>
      </c>
      <c r="H3657" t="s">
        <v>1284</v>
      </c>
      <c r="I3657" t="s">
        <v>1284</v>
      </c>
      <c r="J3657" t="s">
        <v>60</v>
      </c>
      <c r="K3657" t="s">
        <v>388</v>
      </c>
      <c r="L3657" t="s">
        <v>62</v>
      </c>
      <c r="M3657" t="s">
        <v>388</v>
      </c>
      <c r="N3657" t="s">
        <v>400</v>
      </c>
      <c r="O3657" t="s">
        <v>1285</v>
      </c>
      <c r="P3657">
        <v>-20.156977999999999</v>
      </c>
      <c r="Q3657">
        <v>-44.90325</v>
      </c>
      <c r="R3657" s="2" t="str">
        <f>HYPERLINK("https://www.google.com/maps?q=-20.1569780,-44.9032500","Abrir no Google Maps")</f>
        <v>Abrir no Google Maps</v>
      </c>
      <c r="S3657">
        <v>3</v>
      </c>
      <c r="T3657">
        <v>256.05633739092571</v>
      </c>
      <c r="U3657">
        <v>1</v>
      </c>
      <c r="V3657">
        <v>0</v>
      </c>
      <c r="W3657">
        <v>0.85</v>
      </c>
      <c r="X3657">
        <v>0</v>
      </c>
      <c r="Y3657">
        <v>729</v>
      </c>
      <c r="Z3657">
        <v>162.99447055889971</v>
      </c>
      <c r="AA3657">
        <v>198</v>
      </c>
      <c r="AB3657">
        <v>332</v>
      </c>
      <c r="AC3657">
        <v>536</v>
      </c>
      <c r="AD3657">
        <v>0</v>
      </c>
      <c r="AE3657">
        <v>542</v>
      </c>
      <c r="AF3657">
        <v>0</v>
      </c>
      <c r="AG3657">
        <v>0</v>
      </c>
      <c r="AH3657">
        <v>129</v>
      </c>
      <c r="AI3657">
        <v>0</v>
      </c>
      <c r="AJ3657">
        <v>0</v>
      </c>
      <c r="AK3657">
        <v>23.8</v>
      </c>
      <c r="AL3657">
        <v>-20.15696524999996</v>
      </c>
      <c r="AM3657">
        <v>-44.903258102626708</v>
      </c>
      <c r="AN3657">
        <v>-20.15696524999996</v>
      </c>
      <c r="AO3657">
        <v>-44.903258102626708</v>
      </c>
      <c r="AP3657">
        <v>-20.156977999999999</v>
      </c>
      <c r="AQ3657">
        <v>-44.90325</v>
      </c>
      <c r="AR3657">
        <v>1.6527147033629741</v>
      </c>
      <c r="AS3657" t="s">
        <v>65</v>
      </c>
      <c r="AT3657">
        <v>1</v>
      </c>
      <c r="AU3657" t="s">
        <v>1286</v>
      </c>
      <c r="AV3657" t="s">
        <v>1287</v>
      </c>
      <c r="AW3657" t="s">
        <v>60</v>
      </c>
      <c r="AX3657" t="s">
        <v>68</v>
      </c>
      <c r="AY3657" t="s">
        <v>69</v>
      </c>
      <c r="AZ3657" t="b">
        <v>1</v>
      </c>
    </row>
    <row r="3658" spans="1:52" x14ac:dyDescent="0.3">
      <c r="A3658" t="s">
        <v>52</v>
      </c>
      <c r="B3658" t="s">
        <v>53</v>
      </c>
      <c r="C3658" t="s">
        <v>54</v>
      </c>
      <c r="D3658" t="s">
        <v>55</v>
      </c>
      <c r="E3658" t="s">
        <v>2205</v>
      </c>
      <c r="F3658" t="s">
        <v>1247</v>
      </c>
      <c r="G3658" t="s">
        <v>1417</v>
      </c>
      <c r="H3658" t="s">
        <v>1418</v>
      </c>
      <c r="I3658" t="s">
        <v>1418</v>
      </c>
      <c r="J3658" t="s">
        <v>60</v>
      </c>
      <c r="K3658" t="s">
        <v>1419</v>
      </c>
      <c r="L3658" t="s">
        <v>62</v>
      </c>
      <c r="M3658" t="s">
        <v>1419</v>
      </c>
      <c r="N3658" t="s">
        <v>1420</v>
      </c>
      <c r="O3658" t="s">
        <v>1421</v>
      </c>
      <c r="P3658">
        <v>-20.159427000000001</v>
      </c>
      <c r="Q3658">
        <v>-44.897143</v>
      </c>
      <c r="R3658" s="2" t="str">
        <f>HYPERLINK("https://www.google.com/maps?q=-20.1594270,-44.8971430","Abrir no Google Maps")</f>
        <v>Abrir no Google Maps</v>
      </c>
      <c r="S3658">
        <v>3</v>
      </c>
      <c r="T3658">
        <v>392.64349875646298</v>
      </c>
      <c r="U3658">
        <v>1</v>
      </c>
      <c r="V3658">
        <v>0</v>
      </c>
      <c r="W3658">
        <v>0.85</v>
      </c>
      <c r="X3658">
        <v>0</v>
      </c>
      <c r="Y3658">
        <v>729</v>
      </c>
      <c r="Z3658">
        <v>550.20062797366995</v>
      </c>
      <c r="AA3658">
        <v>198</v>
      </c>
      <c r="AB3658">
        <v>332</v>
      </c>
      <c r="AC3658">
        <v>536</v>
      </c>
      <c r="AD3658">
        <v>0</v>
      </c>
      <c r="AE3658">
        <v>542</v>
      </c>
      <c r="AF3658">
        <v>0</v>
      </c>
      <c r="AG3658">
        <v>0</v>
      </c>
      <c r="AH3658">
        <v>129</v>
      </c>
      <c r="AI3658">
        <v>0</v>
      </c>
      <c r="AJ3658">
        <v>0</v>
      </c>
      <c r="AK3658">
        <v>23.8</v>
      </c>
      <c r="AL3658">
        <v>-20.15946549999995</v>
      </c>
      <c r="AM3658">
        <v>-44.89709959354267</v>
      </c>
      <c r="AN3658">
        <v>-20.15946549999995</v>
      </c>
      <c r="AO3658">
        <v>-44.89709959354267</v>
      </c>
      <c r="AP3658">
        <v>-20.159427000000001</v>
      </c>
      <c r="AQ3658">
        <v>-44.897143</v>
      </c>
      <c r="AR3658">
        <v>6.2404649979039286</v>
      </c>
      <c r="AS3658" t="s">
        <v>65</v>
      </c>
      <c r="AT3658">
        <v>1</v>
      </c>
      <c r="AU3658" t="s">
        <v>1422</v>
      </c>
      <c r="AV3658" t="s">
        <v>1423</v>
      </c>
      <c r="AW3658" t="s">
        <v>60</v>
      </c>
      <c r="AX3658" t="s">
        <v>68</v>
      </c>
      <c r="AY3658" t="s">
        <v>69</v>
      </c>
      <c r="AZ3658" t="b">
        <v>1</v>
      </c>
    </row>
    <row r="3659" spans="1:52" x14ac:dyDescent="0.3">
      <c r="A3659" t="s">
        <v>52</v>
      </c>
      <c r="B3659" t="s">
        <v>53</v>
      </c>
      <c r="C3659" t="s">
        <v>54</v>
      </c>
      <c r="D3659" t="s">
        <v>55</v>
      </c>
      <c r="E3659" t="s">
        <v>2205</v>
      </c>
      <c r="F3659" t="s">
        <v>1247</v>
      </c>
      <c r="G3659" t="s">
        <v>416</v>
      </c>
      <c r="H3659" t="s">
        <v>417</v>
      </c>
      <c r="I3659" t="s">
        <v>417</v>
      </c>
      <c r="J3659" t="s">
        <v>60</v>
      </c>
      <c r="K3659" t="s">
        <v>418</v>
      </c>
      <c r="L3659" t="s">
        <v>62</v>
      </c>
      <c r="M3659" t="s">
        <v>418</v>
      </c>
      <c r="N3659" t="s">
        <v>419</v>
      </c>
      <c r="O3659" t="s">
        <v>202</v>
      </c>
      <c r="P3659">
        <v>-20.169886000000002</v>
      </c>
      <c r="Q3659">
        <v>-44.913288000000001</v>
      </c>
      <c r="R3659" s="2" t="str">
        <f>HYPERLINK("https://www.google.com/maps?q=-20.1698860,-44.9132880","Abrir no Google Maps")</f>
        <v>Abrir no Google Maps</v>
      </c>
      <c r="S3659">
        <v>3</v>
      </c>
      <c r="T3659">
        <v>422.88733632898152</v>
      </c>
      <c r="U3659">
        <v>1</v>
      </c>
      <c r="V3659">
        <v>0</v>
      </c>
      <c r="W3659">
        <v>1</v>
      </c>
      <c r="X3659">
        <v>0</v>
      </c>
      <c r="Y3659">
        <v>723</v>
      </c>
      <c r="Z3659">
        <v>128.65003864232261</v>
      </c>
      <c r="AA3659">
        <v>198</v>
      </c>
      <c r="AB3659">
        <v>332</v>
      </c>
      <c r="AC3659">
        <v>536</v>
      </c>
      <c r="AD3659">
        <v>0</v>
      </c>
      <c r="AE3659">
        <v>542</v>
      </c>
      <c r="AF3659">
        <v>0</v>
      </c>
      <c r="AG3659">
        <v>0</v>
      </c>
      <c r="AH3659">
        <v>129</v>
      </c>
      <c r="AI3659">
        <v>0</v>
      </c>
      <c r="AJ3659">
        <v>0</v>
      </c>
      <c r="AK3659">
        <v>23.8</v>
      </c>
      <c r="AL3659">
        <v>-20.16970024999998</v>
      </c>
      <c r="AM3659">
        <v>-44.913502201257437</v>
      </c>
      <c r="AN3659">
        <v>-20.16970024999998</v>
      </c>
      <c r="AO3659">
        <v>-44.913502201257437</v>
      </c>
      <c r="AP3659">
        <v>-20.169886000000002</v>
      </c>
      <c r="AQ3659">
        <v>-44.913288000000001</v>
      </c>
      <c r="AR3659">
        <v>30.47208587597606</v>
      </c>
      <c r="AS3659" t="s">
        <v>65</v>
      </c>
      <c r="AT3659">
        <v>1</v>
      </c>
      <c r="AU3659" t="s">
        <v>420</v>
      </c>
      <c r="AV3659" t="s">
        <v>421</v>
      </c>
      <c r="AW3659" t="s">
        <v>60</v>
      </c>
      <c r="AX3659" t="s">
        <v>68</v>
      </c>
      <c r="AY3659" t="s">
        <v>69</v>
      </c>
      <c r="AZ3659" t="b">
        <v>1</v>
      </c>
    </row>
    <row r="3660" spans="1:52" x14ac:dyDescent="0.3">
      <c r="A3660" t="s">
        <v>52</v>
      </c>
      <c r="B3660" t="s">
        <v>53</v>
      </c>
      <c r="C3660" t="s">
        <v>54</v>
      </c>
      <c r="D3660" t="s">
        <v>55</v>
      </c>
      <c r="E3660" t="s">
        <v>2205</v>
      </c>
      <c r="F3660" t="s">
        <v>1247</v>
      </c>
      <c r="G3660" t="s">
        <v>1288</v>
      </c>
      <c r="H3660" t="s">
        <v>1289</v>
      </c>
      <c r="I3660" t="s">
        <v>1289</v>
      </c>
      <c r="J3660" t="s">
        <v>60</v>
      </c>
      <c r="K3660" t="s">
        <v>1290</v>
      </c>
      <c r="L3660" t="s">
        <v>62</v>
      </c>
      <c r="M3660" t="s">
        <v>1290</v>
      </c>
      <c r="N3660" t="s">
        <v>1291</v>
      </c>
      <c r="O3660" t="s">
        <v>315</v>
      </c>
      <c r="P3660">
        <v>-20.171008</v>
      </c>
      <c r="Q3660">
        <v>-44.918908999999999</v>
      </c>
      <c r="R3660" s="2" t="str">
        <f>HYPERLINK("https://www.google.com/maps?q=-20.1710080,-44.9189090","Abrir no Google Maps")</f>
        <v>Abrir no Google Maps</v>
      </c>
      <c r="S3660">
        <v>3</v>
      </c>
      <c r="T3660">
        <v>972.86786700299888</v>
      </c>
      <c r="U3660">
        <v>1</v>
      </c>
      <c r="V3660">
        <v>0</v>
      </c>
      <c r="W3660">
        <v>0.85</v>
      </c>
      <c r="X3660">
        <v>0</v>
      </c>
      <c r="Y3660">
        <v>723</v>
      </c>
      <c r="Z3660">
        <v>690.55600110253613</v>
      </c>
      <c r="AA3660">
        <v>198</v>
      </c>
      <c r="AB3660">
        <v>332</v>
      </c>
      <c r="AC3660">
        <v>536</v>
      </c>
      <c r="AD3660">
        <v>0</v>
      </c>
      <c r="AE3660">
        <v>542</v>
      </c>
      <c r="AF3660">
        <v>0</v>
      </c>
      <c r="AG3660">
        <v>0</v>
      </c>
      <c r="AH3660">
        <v>129</v>
      </c>
      <c r="AI3660">
        <v>0</v>
      </c>
      <c r="AJ3660">
        <v>0</v>
      </c>
      <c r="AK3660">
        <v>23.8</v>
      </c>
      <c r="AL3660">
        <v>-20.171738249999979</v>
      </c>
      <c r="AM3660">
        <v>-44.919736490382917</v>
      </c>
      <c r="AN3660">
        <v>-20.171738249999979</v>
      </c>
      <c r="AO3660">
        <v>-44.919736490382931</v>
      </c>
      <c r="AP3660">
        <v>-20.171008</v>
      </c>
      <c r="AQ3660">
        <v>-44.918908999999999</v>
      </c>
      <c r="AR3660">
        <v>118.678920061485</v>
      </c>
      <c r="AS3660" t="s">
        <v>65</v>
      </c>
      <c r="AT3660">
        <v>1</v>
      </c>
      <c r="AU3660" t="s">
        <v>1292</v>
      </c>
      <c r="AV3660" t="s">
        <v>1293</v>
      </c>
      <c r="AW3660" t="s">
        <v>60</v>
      </c>
      <c r="AX3660" t="s">
        <v>68</v>
      </c>
      <c r="AY3660" t="s">
        <v>69</v>
      </c>
      <c r="AZ3660" t="b">
        <v>1</v>
      </c>
    </row>
    <row r="3661" spans="1:52" x14ac:dyDescent="0.3">
      <c r="A3661" t="s">
        <v>52</v>
      </c>
      <c r="B3661" t="s">
        <v>53</v>
      </c>
      <c r="C3661" t="s">
        <v>54</v>
      </c>
      <c r="D3661" t="s">
        <v>55</v>
      </c>
      <c r="E3661" t="s">
        <v>2205</v>
      </c>
      <c r="F3661" t="s">
        <v>1247</v>
      </c>
      <c r="G3661" t="s">
        <v>1294</v>
      </c>
      <c r="H3661" t="s">
        <v>1295</v>
      </c>
      <c r="I3661" t="s">
        <v>1295</v>
      </c>
      <c r="J3661" t="s">
        <v>60</v>
      </c>
      <c r="K3661" t="s">
        <v>418</v>
      </c>
      <c r="L3661" t="s">
        <v>62</v>
      </c>
      <c r="M3661" t="s">
        <v>418</v>
      </c>
      <c r="N3661" t="s">
        <v>1296</v>
      </c>
      <c r="O3661" t="s">
        <v>1297</v>
      </c>
      <c r="P3661">
        <v>-20.169899999999998</v>
      </c>
      <c r="Q3661">
        <v>-44.916176999999998</v>
      </c>
      <c r="R3661" s="2" t="str">
        <f>HYPERLINK("https://www.google.com/maps?q=-20.1699000,-44.9161770","Abrir no Google Maps")</f>
        <v>Abrir no Google Maps</v>
      </c>
      <c r="S3661">
        <v>3</v>
      </c>
      <c r="T3661">
        <v>658.15251036568407</v>
      </c>
      <c r="U3661">
        <v>1</v>
      </c>
      <c r="V3661">
        <v>0</v>
      </c>
      <c r="W3661">
        <v>0.85</v>
      </c>
      <c r="X3661">
        <v>0</v>
      </c>
      <c r="Y3661">
        <v>723</v>
      </c>
      <c r="Z3661">
        <v>400.39092274559039</v>
      </c>
      <c r="AA3661">
        <v>198</v>
      </c>
      <c r="AB3661">
        <v>332</v>
      </c>
      <c r="AC3661">
        <v>536</v>
      </c>
      <c r="AD3661">
        <v>0</v>
      </c>
      <c r="AE3661">
        <v>542</v>
      </c>
      <c r="AF3661">
        <v>0</v>
      </c>
      <c r="AG3661">
        <v>0</v>
      </c>
      <c r="AH3661">
        <v>129</v>
      </c>
      <c r="AI3661">
        <v>0</v>
      </c>
      <c r="AJ3661">
        <v>0</v>
      </c>
      <c r="AK3661">
        <v>23.8</v>
      </c>
      <c r="AL3661">
        <v>-20.169898399999941</v>
      </c>
      <c r="AM3661">
        <v>-44.916247682868359</v>
      </c>
      <c r="AN3661">
        <v>-20.169898399999941</v>
      </c>
      <c r="AO3661">
        <v>-44.916247682868359</v>
      </c>
      <c r="AP3661">
        <v>-20.169899999999998</v>
      </c>
      <c r="AQ3661">
        <v>-44.916176999999998</v>
      </c>
      <c r="AR3661">
        <v>7.388028048308902</v>
      </c>
      <c r="AS3661" t="s">
        <v>65</v>
      </c>
      <c r="AT3661">
        <v>1</v>
      </c>
      <c r="AU3661" t="s">
        <v>1298</v>
      </c>
      <c r="AV3661" t="s">
        <v>1299</v>
      </c>
      <c r="AW3661" t="s">
        <v>60</v>
      </c>
      <c r="AX3661" t="s">
        <v>68</v>
      </c>
      <c r="AY3661" t="s">
        <v>69</v>
      </c>
      <c r="AZ3661" t="b">
        <v>1</v>
      </c>
    </row>
    <row r="3662" spans="1:52" x14ac:dyDescent="0.3">
      <c r="A3662" t="s">
        <v>52</v>
      </c>
      <c r="B3662" t="s">
        <v>53</v>
      </c>
      <c r="C3662" t="s">
        <v>54</v>
      </c>
      <c r="D3662" t="s">
        <v>55</v>
      </c>
      <c r="E3662" t="s">
        <v>2205</v>
      </c>
      <c r="F3662" t="s">
        <v>1247</v>
      </c>
      <c r="G3662" t="s">
        <v>1300</v>
      </c>
      <c r="H3662" t="s">
        <v>1301</v>
      </c>
      <c r="I3662" t="s">
        <v>1301</v>
      </c>
      <c r="J3662" t="s">
        <v>60</v>
      </c>
      <c r="K3662" t="s">
        <v>1302</v>
      </c>
      <c r="L3662" t="s">
        <v>62</v>
      </c>
      <c r="M3662" t="s">
        <v>1302</v>
      </c>
      <c r="N3662" t="s">
        <v>1303</v>
      </c>
      <c r="O3662" t="s">
        <v>1304</v>
      </c>
      <c r="P3662">
        <v>-20.166618</v>
      </c>
      <c r="Q3662">
        <v>-44.912920999999997</v>
      </c>
      <c r="R3662" s="2" t="str">
        <f>HYPERLINK("https://www.google.com/maps?q=-20.1666180,-44.9129210","Abrir no Google Maps")</f>
        <v>Abrir no Google Maps</v>
      </c>
      <c r="S3662">
        <v>3</v>
      </c>
      <c r="T3662">
        <v>636.32880156364706</v>
      </c>
      <c r="U3662">
        <v>1</v>
      </c>
      <c r="V3662">
        <v>0</v>
      </c>
      <c r="W3662">
        <v>0.85</v>
      </c>
      <c r="X3662">
        <v>0</v>
      </c>
      <c r="Y3662">
        <v>723</v>
      </c>
      <c r="Z3662">
        <v>407.62145176971592</v>
      </c>
      <c r="AA3662">
        <v>198</v>
      </c>
      <c r="AB3662">
        <v>332</v>
      </c>
      <c r="AC3662">
        <v>536</v>
      </c>
      <c r="AD3662">
        <v>0</v>
      </c>
      <c r="AE3662">
        <v>542</v>
      </c>
      <c r="AF3662">
        <v>0</v>
      </c>
      <c r="AG3662">
        <v>0</v>
      </c>
      <c r="AH3662">
        <v>129</v>
      </c>
      <c r="AI3662">
        <v>0</v>
      </c>
      <c r="AJ3662">
        <v>0</v>
      </c>
      <c r="AK3662">
        <v>23.8</v>
      </c>
      <c r="AL3662">
        <v>-20.166924799999951</v>
      </c>
      <c r="AM3662">
        <v>-44.912868681724092</v>
      </c>
      <c r="AN3662">
        <v>-20.166924799999951</v>
      </c>
      <c r="AO3662">
        <v>-44.912868681724092</v>
      </c>
      <c r="AP3662">
        <v>-20.166618</v>
      </c>
      <c r="AQ3662">
        <v>-44.912920999999997</v>
      </c>
      <c r="AR3662">
        <v>34.587771860198139</v>
      </c>
      <c r="AS3662" t="s">
        <v>65</v>
      </c>
      <c r="AT3662">
        <v>1</v>
      </c>
      <c r="AU3662" t="s">
        <v>1305</v>
      </c>
      <c r="AV3662" t="s">
        <v>1306</v>
      </c>
      <c r="AW3662" t="s">
        <v>60</v>
      </c>
      <c r="AX3662" t="s">
        <v>68</v>
      </c>
      <c r="AY3662" t="s">
        <v>69</v>
      </c>
      <c r="AZ3662" t="b">
        <v>1</v>
      </c>
    </row>
    <row r="3663" spans="1:52" x14ac:dyDescent="0.3">
      <c r="A3663" t="s">
        <v>52</v>
      </c>
      <c r="B3663" t="s">
        <v>53</v>
      </c>
      <c r="C3663" t="s">
        <v>54</v>
      </c>
      <c r="D3663" t="s">
        <v>55</v>
      </c>
      <c r="E3663" t="s">
        <v>2205</v>
      </c>
      <c r="F3663" t="s">
        <v>1247</v>
      </c>
      <c r="G3663" t="s">
        <v>1307</v>
      </c>
      <c r="H3663" t="s">
        <v>1308</v>
      </c>
      <c r="I3663" t="s">
        <v>1308</v>
      </c>
      <c r="J3663" t="s">
        <v>60</v>
      </c>
      <c r="K3663" t="s">
        <v>1302</v>
      </c>
      <c r="L3663" t="s">
        <v>62</v>
      </c>
      <c r="M3663" t="s">
        <v>1302</v>
      </c>
      <c r="N3663" t="s">
        <v>558</v>
      </c>
      <c r="O3663" t="s">
        <v>1309</v>
      </c>
      <c r="P3663">
        <v>-20.169051</v>
      </c>
      <c r="Q3663">
        <v>-44.910093000000003</v>
      </c>
      <c r="R3663" s="2" t="str">
        <f>HYPERLINK("https://www.google.com/maps?q=-20.1690510,-44.9100930","Abrir no Google Maps")</f>
        <v>Abrir no Google Maps</v>
      </c>
      <c r="S3663">
        <v>3</v>
      </c>
      <c r="T3663">
        <v>375.90504489887479</v>
      </c>
      <c r="U3663">
        <v>1</v>
      </c>
      <c r="V3663">
        <v>0</v>
      </c>
      <c r="W3663">
        <v>0.85</v>
      </c>
      <c r="X3663">
        <v>0</v>
      </c>
      <c r="Y3663">
        <v>723</v>
      </c>
      <c r="Z3663">
        <v>456.19893675176831</v>
      </c>
      <c r="AA3663">
        <v>198</v>
      </c>
      <c r="AB3663">
        <v>332</v>
      </c>
      <c r="AC3663">
        <v>536</v>
      </c>
      <c r="AD3663">
        <v>0</v>
      </c>
      <c r="AE3663">
        <v>542</v>
      </c>
      <c r="AF3663">
        <v>0</v>
      </c>
      <c r="AG3663">
        <v>0</v>
      </c>
      <c r="AH3663">
        <v>129</v>
      </c>
      <c r="AI3663">
        <v>0</v>
      </c>
      <c r="AJ3663">
        <v>0</v>
      </c>
      <c r="AK3663">
        <v>23.8</v>
      </c>
      <c r="AL3663">
        <v>-20.168810949999941</v>
      </c>
      <c r="AM3663">
        <v>-44.910156475447927</v>
      </c>
      <c r="AN3663">
        <v>-20.168810949999941</v>
      </c>
      <c r="AO3663">
        <v>-44.910156475447927</v>
      </c>
      <c r="AP3663">
        <v>-20.169051</v>
      </c>
      <c r="AQ3663">
        <v>-44.910093000000003</v>
      </c>
      <c r="AR3663">
        <v>27.533232396417059</v>
      </c>
      <c r="AS3663" t="s">
        <v>65</v>
      </c>
      <c r="AT3663">
        <v>1</v>
      </c>
      <c r="AU3663" t="s">
        <v>1310</v>
      </c>
      <c r="AV3663" t="s">
        <v>1311</v>
      </c>
      <c r="AW3663" t="s">
        <v>60</v>
      </c>
      <c r="AX3663" t="s">
        <v>68</v>
      </c>
      <c r="AY3663" t="s">
        <v>69</v>
      </c>
      <c r="AZ3663" t="b">
        <v>1</v>
      </c>
    </row>
    <row r="3664" spans="1:52" x14ac:dyDescent="0.3">
      <c r="A3664" t="s">
        <v>52</v>
      </c>
      <c r="B3664" t="s">
        <v>53</v>
      </c>
      <c r="C3664" t="s">
        <v>54</v>
      </c>
      <c r="D3664" t="s">
        <v>55</v>
      </c>
      <c r="E3664" t="s">
        <v>2205</v>
      </c>
      <c r="F3664" t="s">
        <v>1247</v>
      </c>
      <c r="G3664" t="s">
        <v>422</v>
      </c>
      <c r="H3664" t="s">
        <v>423</v>
      </c>
      <c r="I3664" t="s">
        <v>423</v>
      </c>
      <c r="J3664" t="s">
        <v>60</v>
      </c>
      <c r="K3664" t="s">
        <v>424</v>
      </c>
      <c r="L3664" t="s">
        <v>62</v>
      </c>
      <c r="M3664" t="s">
        <v>424</v>
      </c>
      <c r="N3664" t="s">
        <v>425</v>
      </c>
      <c r="O3664" t="s">
        <v>426</v>
      </c>
      <c r="P3664">
        <v>-20.177748000000001</v>
      </c>
      <c r="Q3664">
        <v>-44.912475000000001</v>
      </c>
      <c r="R3664" s="2" t="str">
        <f>HYPERLINK("https://www.google.com/maps?q=-20.1777480,-44.9124750","Abrir no Google Maps")</f>
        <v>Abrir no Google Maps</v>
      </c>
      <c r="S3664">
        <v>3</v>
      </c>
      <c r="T3664">
        <v>657.07560140436533</v>
      </c>
      <c r="U3664">
        <v>1</v>
      </c>
      <c r="V3664">
        <v>0</v>
      </c>
      <c r="W3664">
        <v>1</v>
      </c>
      <c r="X3664">
        <v>0</v>
      </c>
      <c r="Y3664">
        <v>723</v>
      </c>
      <c r="Z3664">
        <v>796.94198000561175</v>
      </c>
      <c r="AA3664">
        <v>198</v>
      </c>
      <c r="AB3664">
        <v>332</v>
      </c>
      <c r="AC3664">
        <v>536</v>
      </c>
      <c r="AD3664">
        <v>0</v>
      </c>
      <c r="AE3664">
        <v>542</v>
      </c>
      <c r="AF3664">
        <v>0</v>
      </c>
      <c r="AG3664">
        <v>0</v>
      </c>
      <c r="AH3664">
        <v>129</v>
      </c>
      <c r="AI3664">
        <v>0</v>
      </c>
      <c r="AJ3664">
        <v>0</v>
      </c>
      <c r="AK3664">
        <v>23.8</v>
      </c>
      <c r="AL3664">
        <v>-20.177761749999949</v>
      </c>
      <c r="AM3664">
        <v>-44.91263311624418</v>
      </c>
      <c r="AN3664">
        <v>-20.177761749999949</v>
      </c>
      <c r="AO3664">
        <v>-44.91263311624418</v>
      </c>
      <c r="AP3664">
        <v>-20.177748000000001</v>
      </c>
      <c r="AQ3664">
        <v>-44.912475000000001</v>
      </c>
      <c r="AR3664">
        <v>16.591996803075372</v>
      </c>
      <c r="AS3664" t="s">
        <v>65</v>
      </c>
      <c r="AT3664">
        <v>1</v>
      </c>
      <c r="AU3664" t="s">
        <v>427</v>
      </c>
      <c r="AV3664" t="s">
        <v>428</v>
      </c>
      <c r="AW3664" t="s">
        <v>60</v>
      </c>
      <c r="AX3664" t="s">
        <v>68</v>
      </c>
      <c r="AY3664" t="s">
        <v>69</v>
      </c>
      <c r="AZ3664" t="b">
        <v>1</v>
      </c>
    </row>
    <row r="3665" spans="1:52" x14ac:dyDescent="0.3">
      <c r="A3665" t="s">
        <v>52</v>
      </c>
      <c r="B3665" t="s">
        <v>53</v>
      </c>
      <c r="C3665" t="s">
        <v>54</v>
      </c>
      <c r="D3665" t="s">
        <v>55</v>
      </c>
      <c r="E3665" t="s">
        <v>2205</v>
      </c>
      <c r="F3665" t="s">
        <v>1247</v>
      </c>
      <c r="G3665" t="s">
        <v>845</v>
      </c>
      <c r="H3665" t="s">
        <v>846</v>
      </c>
      <c r="I3665" t="s">
        <v>846</v>
      </c>
      <c r="J3665" t="s">
        <v>60</v>
      </c>
      <c r="K3665" t="s">
        <v>424</v>
      </c>
      <c r="L3665" t="s">
        <v>62</v>
      </c>
      <c r="M3665" t="s">
        <v>424</v>
      </c>
      <c r="N3665" t="s">
        <v>847</v>
      </c>
      <c r="O3665" t="s">
        <v>848</v>
      </c>
      <c r="P3665">
        <v>-20.175523999999999</v>
      </c>
      <c r="Q3665">
        <v>-44.918016999999999</v>
      </c>
      <c r="R3665" s="2" t="str">
        <f>HYPERLINK("https://www.google.com/maps?q=-20.1755240,-44.9180170","Abrir no Google Maps")</f>
        <v>Abrir no Google Maps</v>
      </c>
      <c r="S3665">
        <v>3</v>
      </c>
      <c r="T3665">
        <v>833.59191671824021</v>
      </c>
      <c r="U3665">
        <v>1</v>
      </c>
      <c r="V3665">
        <v>0</v>
      </c>
      <c r="W3665">
        <v>0.85</v>
      </c>
      <c r="X3665">
        <v>0</v>
      </c>
      <c r="Y3665">
        <v>723</v>
      </c>
      <c r="Z3665">
        <v>701.05790658871581</v>
      </c>
      <c r="AA3665">
        <v>198</v>
      </c>
      <c r="AB3665">
        <v>332</v>
      </c>
      <c r="AC3665">
        <v>536</v>
      </c>
      <c r="AD3665">
        <v>0</v>
      </c>
      <c r="AE3665">
        <v>542</v>
      </c>
      <c r="AF3665">
        <v>0</v>
      </c>
      <c r="AG3665">
        <v>0</v>
      </c>
      <c r="AH3665">
        <v>129</v>
      </c>
      <c r="AI3665">
        <v>0</v>
      </c>
      <c r="AJ3665">
        <v>0</v>
      </c>
      <c r="AK3665">
        <v>23.8</v>
      </c>
      <c r="AL3665">
        <v>-20.17533859999995</v>
      </c>
      <c r="AM3665">
        <v>-44.917689627873088</v>
      </c>
      <c r="AN3665">
        <v>-20.17533859999995</v>
      </c>
      <c r="AO3665">
        <v>-44.917689627873088</v>
      </c>
      <c r="AP3665">
        <v>-20.175523999999999</v>
      </c>
      <c r="AQ3665">
        <v>-44.918016999999999</v>
      </c>
      <c r="AR3665">
        <v>39.950898228213873</v>
      </c>
      <c r="AS3665" t="s">
        <v>65</v>
      </c>
      <c r="AT3665">
        <v>1</v>
      </c>
      <c r="AU3665" t="s">
        <v>849</v>
      </c>
      <c r="AV3665" t="s">
        <v>850</v>
      </c>
      <c r="AW3665" t="s">
        <v>60</v>
      </c>
      <c r="AX3665" t="s">
        <v>68</v>
      </c>
      <c r="AY3665" t="s">
        <v>69</v>
      </c>
      <c r="AZ3665" t="b">
        <v>1</v>
      </c>
    </row>
    <row r="3666" spans="1:52" x14ac:dyDescent="0.3">
      <c r="A3666" t="s">
        <v>52</v>
      </c>
      <c r="B3666" t="s">
        <v>53</v>
      </c>
      <c r="C3666" t="s">
        <v>54</v>
      </c>
      <c r="D3666" t="s">
        <v>55</v>
      </c>
      <c r="E3666" t="s">
        <v>2205</v>
      </c>
      <c r="F3666" t="s">
        <v>1247</v>
      </c>
      <c r="G3666" t="s">
        <v>429</v>
      </c>
      <c r="H3666" t="s">
        <v>430</v>
      </c>
      <c r="I3666" t="s">
        <v>430</v>
      </c>
      <c r="J3666" t="s">
        <v>60</v>
      </c>
      <c r="K3666" t="s">
        <v>431</v>
      </c>
      <c r="L3666" t="s">
        <v>62</v>
      </c>
      <c r="M3666" t="s">
        <v>431</v>
      </c>
      <c r="N3666" t="s">
        <v>432</v>
      </c>
      <c r="O3666" t="s">
        <v>315</v>
      </c>
      <c r="P3666">
        <v>-20.172698</v>
      </c>
      <c r="Q3666">
        <v>-44.923842</v>
      </c>
      <c r="R3666" s="2" t="str">
        <f>HYPERLINK("https://www.google.com/maps?q=-20.1726980,-44.9238420","Abrir no Google Maps")</f>
        <v>Abrir no Google Maps</v>
      </c>
      <c r="S3666">
        <v>3</v>
      </c>
      <c r="T3666">
        <v>1376.1843173402931</v>
      </c>
      <c r="U3666">
        <v>1</v>
      </c>
      <c r="V3666">
        <v>0</v>
      </c>
      <c r="W3666">
        <v>0.85</v>
      </c>
      <c r="X3666">
        <v>0</v>
      </c>
      <c r="Y3666">
        <v>723</v>
      </c>
      <c r="Z3666">
        <v>1101.340635002096</v>
      </c>
      <c r="AA3666">
        <v>198</v>
      </c>
      <c r="AB3666">
        <v>332</v>
      </c>
      <c r="AC3666">
        <v>536</v>
      </c>
      <c r="AD3666">
        <v>0</v>
      </c>
      <c r="AE3666">
        <v>542</v>
      </c>
      <c r="AF3666">
        <v>0</v>
      </c>
      <c r="AG3666">
        <v>0</v>
      </c>
      <c r="AH3666">
        <v>129</v>
      </c>
      <c r="AI3666">
        <v>0</v>
      </c>
      <c r="AJ3666">
        <v>0</v>
      </c>
      <c r="AK3666">
        <v>23.8</v>
      </c>
      <c r="AL3666">
        <v>-20.172942799999959</v>
      </c>
      <c r="AM3666">
        <v>-44.923585372665762</v>
      </c>
      <c r="AN3666">
        <v>-20.172942799999959</v>
      </c>
      <c r="AO3666">
        <v>-44.923585372665762</v>
      </c>
      <c r="AP3666">
        <v>-20.172698</v>
      </c>
      <c r="AQ3666">
        <v>-44.923842</v>
      </c>
      <c r="AR3666">
        <v>38.231981408478958</v>
      </c>
      <c r="AS3666" t="s">
        <v>65</v>
      </c>
      <c r="AT3666">
        <v>1</v>
      </c>
      <c r="AU3666" t="s">
        <v>433</v>
      </c>
      <c r="AV3666" t="s">
        <v>434</v>
      </c>
      <c r="AW3666" t="s">
        <v>60</v>
      </c>
      <c r="AX3666" t="s">
        <v>68</v>
      </c>
      <c r="AY3666" t="s">
        <v>69</v>
      </c>
      <c r="AZ3666" t="b">
        <v>1</v>
      </c>
    </row>
    <row r="3667" spans="1:52" x14ac:dyDescent="0.3">
      <c r="A3667" t="s">
        <v>52</v>
      </c>
      <c r="B3667" t="s">
        <v>53</v>
      </c>
      <c r="C3667" t="s">
        <v>54</v>
      </c>
      <c r="D3667" t="s">
        <v>55</v>
      </c>
      <c r="E3667" t="s">
        <v>2205</v>
      </c>
      <c r="F3667" t="s">
        <v>1247</v>
      </c>
      <c r="G3667" t="s">
        <v>1312</v>
      </c>
      <c r="H3667" t="s">
        <v>1313</v>
      </c>
      <c r="I3667" t="s">
        <v>1313</v>
      </c>
      <c r="J3667" t="s">
        <v>60</v>
      </c>
      <c r="K3667" t="s">
        <v>1314</v>
      </c>
      <c r="L3667" t="s">
        <v>62</v>
      </c>
      <c r="M3667" t="s">
        <v>1314</v>
      </c>
      <c r="N3667" t="s">
        <v>1315</v>
      </c>
      <c r="O3667" t="s">
        <v>315</v>
      </c>
      <c r="P3667">
        <v>-20.179649999999999</v>
      </c>
      <c r="Q3667">
        <v>-44.927177</v>
      </c>
      <c r="R3667" s="2" t="str">
        <f>HYPERLINK("https://www.google.com/maps?q=-20.1796500,-44.9271770","Abrir no Google Maps")</f>
        <v>Abrir no Google Maps</v>
      </c>
      <c r="S3667">
        <v>3</v>
      </c>
      <c r="T3667">
        <v>1742.181438658615</v>
      </c>
      <c r="U3667">
        <v>1</v>
      </c>
      <c r="V3667">
        <v>0</v>
      </c>
      <c r="W3667">
        <v>0.85</v>
      </c>
      <c r="X3667">
        <v>0</v>
      </c>
      <c r="Y3667">
        <v>723</v>
      </c>
      <c r="Z3667">
        <v>1801.262037027635</v>
      </c>
      <c r="AA3667">
        <v>198</v>
      </c>
      <c r="AB3667">
        <v>332</v>
      </c>
      <c r="AC3667">
        <v>536</v>
      </c>
      <c r="AD3667">
        <v>0</v>
      </c>
      <c r="AE3667">
        <v>542</v>
      </c>
      <c r="AF3667">
        <v>0</v>
      </c>
      <c r="AG3667">
        <v>0</v>
      </c>
      <c r="AH3667">
        <v>129</v>
      </c>
      <c r="AI3667">
        <v>0</v>
      </c>
      <c r="AJ3667">
        <v>0</v>
      </c>
      <c r="AK3667">
        <v>23.8</v>
      </c>
      <c r="AL3667">
        <v>-20.18058599999998</v>
      </c>
      <c r="AM3667">
        <v>-44.926708474999977</v>
      </c>
      <c r="AN3667">
        <v>-20.18058599999998</v>
      </c>
      <c r="AO3667">
        <v>-44.926708474999977</v>
      </c>
      <c r="AP3667">
        <v>-20.179649999999999</v>
      </c>
      <c r="AQ3667">
        <v>-44.927177</v>
      </c>
      <c r="AR3667">
        <v>115.1226868075416</v>
      </c>
      <c r="AS3667" t="s">
        <v>65</v>
      </c>
      <c r="AT3667">
        <v>1</v>
      </c>
      <c r="AU3667" t="s">
        <v>1316</v>
      </c>
      <c r="AV3667" t="s">
        <v>1317</v>
      </c>
      <c r="AW3667" t="s">
        <v>60</v>
      </c>
      <c r="AX3667" t="s">
        <v>68</v>
      </c>
      <c r="AY3667" t="s">
        <v>69</v>
      </c>
      <c r="AZ3667" t="b">
        <v>1</v>
      </c>
    </row>
    <row r="3668" spans="1:52" x14ac:dyDescent="0.3">
      <c r="A3668" t="s">
        <v>52</v>
      </c>
      <c r="B3668" t="s">
        <v>53</v>
      </c>
      <c r="C3668" t="s">
        <v>54</v>
      </c>
      <c r="D3668" t="s">
        <v>55</v>
      </c>
      <c r="E3668" t="s">
        <v>2205</v>
      </c>
      <c r="F3668" t="s">
        <v>1247</v>
      </c>
      <c r="G3668" t="s">
        <v>1318</v>
      </c>
      <c r="H3668" t="s">
        <v>1319</v>
      </c>
      <c r="I3668" t="s">
        <v>1319</v>
      </c>
      <c r="J3668" t="s">
        <v>60</v>
      </c>
      <c r="K3668" t="s">
        <v>1314</v>
      </c>
      <c r="L3668" t="s">
        <v>62</v>
      </c>
      <c r="M3668" t="s">
        <v>1314</v>
      </c>
      <c r="N3668" t="s">
        <v>1320</v>
      </c>
      <c r="O3668" t="s">
        <v>1321</v>
      </c>
      <c r="P3668">
        <v>-20.178615000000001</v>
      </c>
      <c r="Q3668">
        <v>-44.924697999999999</v>
      </c>
      <c r="R3668" s="2" t="str">
        <f>HYPERLINK("https://www.google.com/maps?q=-20.1786150,-44.9246980","Abrir no Google Maps")</f>
        <v>Abrir no Google Maps</v>
      </c>
      <c r="S3668">
        <v>3</v>
      </c>
      <c r="T3668">
        <v>1583.462557226148</v>
      </c>
      <c r="U3668">
        <v>1</v>
      </c>
      <c r="V3668">
        <v>0</v>
      </c>
      <c r="W3668">
        <v>0.85</v>
      </c>
      <c r="X3668">
        <v>0</v>
      </c>
      <c r="Y3668">
        <v>723</v>
      </c>
      <c r="Z3668">
        <v>1414.1542726995031</v>
      </c>
      <c r="AA3668">
        <v>198</v>
      </c>
      <c r="AB3668">
        <v>332</v>
      </c>
      <c r="AC3668">
        <v>536</v>
      </c>
      <c r="AD3668">
        <v>0</v>
      </c>
      <c r="AE3668">
        <v>542</v>
      </c>
      <c r="AF3668">
        <v>0</v>
      </c>
      <c r="AG3668">
        <v>0</v>
      </c>
      <c r="AH3668">
        <v>129</v>
      </c>
      <c r="AI3668">
        <v>0</v>
      </c>
      <c r="AJ3668">
        <v>0</v>
      </c>
      <c r="AK3668">
        <v>23.8</v>
      </c>
      <c r="AL3668">
        <v>-20.17821329999995</v>
      </c>
      <c r="AM3668">
        <v>-44.924188563452951</v>
      </c>
      <c r="AN3668">
        <v>-20.17821329999995</v>
      </c>
      <c r="AO3668">
        <v>-44.924188563452951</v>
      </c>
      <c r="AP3668">
        <v>-20.178615000000001</v>
      </c>
      <c r="AQ3668">
        <v>-44.924697999999999</v>
      </c>
      <c r="AR3668">
        <v>69.520116290580319</v>
      </c>
      <c r="AS3668" t="s">
        <v>65</v>
      </c>
      <c r="AT3668">
        <v>1</v>
      </c>
      <c r="AU3668" t="s">
        <v>1322</v>
      </c>
      <c r="AV3668" t="s">
        <v>1317</v>
      </c>
      <c r="AW3668" t="s">
        <v>60</v>
      </c>
      <c r="AX3668" t="s">
        <v>68</v>
      </c>
      <c r="AY3668" t="s">
        <v>69</v>
      </c>
      <c r="AZ3668" t="b">
        <v>1</v>
      </c>
    </row>
    <row r="3669" spans="1:52" x14ac:dyDescent="0.3">
      <c r="A3669" t="s">
        <v>52</v>
      </c>
      <c r="B3669" t="s">
        <v>53</v>
      </c>
      <c r="C3669" t="s">
        <v>54</v>
      </c>
      <c r="D3669" t="s">
        <v>55</v>
      </c>
      <c r="E3669" t="s">
        <v>2205</v>
      </c>
      <c r="F3669" t="s">
        <v>1247</v>
      </c>
      <c r="G3669" t="s">
        <v>422</v>
      </c>
      <c r="H3669" t="s">
        <v>1323</v>
      </c>
      <c r="I3669" t="s">
        <v>1323</v>
      </c>
      <c r="J3669" t="s">
        <v>60</v>
      </c>
      <c r="K3669" t="s">
        <v>1324</v>
      </c>
      <c r="L3669" t="s">
        <v>62</v>
      </c>
      <c r="M3669" t="s">
        <v>1324</v>
      </c>
      <c r="N3669" t="s">
        <v>425</v>
      </c>
      <c r="O3669" t="s">
        <v>1325</v>
      </c>
      <c r="P3669">
        <v>-20.175142000000001</v>
      </c>
      <c r="Q3669">
        <v>-44.913783000000002</v>
      </c>
      <c r="R3669" s="2" t="str">
        <f>HYPERLINK("https://www.google.com/maps?q=-20.1751420,-44.9137830","Abrir no Google Maps")</f>
        <v>Abrir no Google Maps</v>
      </c>
      <c r="S3669">
        <v>3</v>
      </c>
      <c r="T3669">
        <v>495.73888273066677</v>
      </c>
      <c r="U3669">
        <v>1</v>
      </c>
      <c r="V3669">
        <v>0</v>
      </c>
      <c r="W3669">
        <v>0.85</v>
      </c>
      <c r="X3669">
        <v>0</v>
      </c>
      <c r="Y3669">
        <v>723</v>
      </c>
      <c r="Z3669">
        <v>488.51574748236328</v>
      </c>
      <c r="AA3669">
        <v>198</v>
      </c>
      <c r="AB3669">
        <v>332</v>
      </c>
      <c r="AC3669">
        <v>536</v>
      </c>
      <c r="AD3669">
        <v>0</v>
      </c>
      <c r="AE3669">
        <v>542</v>
      </c>
      <c r="AF3669">
        <v>0</v>
      </c>
      <c r="AG3669">
        <v>0</v>
      </c>
      <c r="AH3669">
        <v>129</v>
      </c>
      <c r="AI3669">
        <v>0</v>
      </c>
      <c r="AJ3669">
        <v>0</v>
      </c>
      <c r="AK3669">
        <v>23.8</v>
      </c>
      <c r="AL3669">
        <v>-20.175195199999958</v>
      </c>
      <c r="AM3669">
        <v>-44.913964122548052</v>
      </c>
      <c r="AN3669">
        <v>-20.175195199999958</v>
      </c>
      <c r="AO3669">
        <v>-44.913964122548052</v>
      </c>
      <c r="AP3669">
        <v>-20.175142000000001</v>
      </c>
      <c r="AQ3669">
        <v>-44.913783000000002</v>
      </c>
      <c r="AR3669">
        <v>19.830402633152101</v>
      </c>
      <c r="AS3669" t="s">
        <v>65</v>
      </c>
      <c r="AT3669">
        <v>1</v>
      </c>
      <c r="AU3669" t="s">
        <v>1326</v>
      </c>
      <c r="AV3669" t="s">
        <v>1327</v>
      </c>
      <c r="AW3669" t="s">
        <v>60</v>
      </c>
      <c r="AX3669" t="s">
        <v>68</v>
      </c>
      <c r="AY3669" t="s">
        <v>69</v>
      </c>
      <c r="AZ3669" t="b">
        <v>1</v>
      </c>
    </row>
    <row r="3670" spans="1:52" x14ac:dyDescent="0.3">
      <c r="A3670" t="s">
        <v>52</v>
      </c>
      <c r="B3670" t="s">
        <v>53</v>
      </c>
      <c r="C3670" t="s">
        <v>54</v>
      </c>
      <c r="D3670" t="s">
        <v>55</v>
      </c>
      <c r="E3670" t="s">
        <v>2205</v>
      </c>
      <c r="F3670" t="s">
        <v>1247</v>
      </c>
      <c r="G3670" t="s">
        <v>1328</v>
      </c>
      <c r="H3670" t="s">
        <v>1329</v>
      </c>
      <c r="I3670" t="s">
        <v>1329</v>
      </c>
      <c r="J3670" t="s">
        <v>60</v>
      </c>
      <c r="K3670" t="s">
        <v>1324</v>
      </c>
      <c r="L3670" t="s">
        <v>62</v>
      </c>
      <c r="M3670" t="s">
        <v>1324</v>
      </c>
      <c r="N3670" t="s">
        <v>1330</v>
      </c>
      <c r="O3670" t="s">
        <v>1331</v>
      </c>
      <c r="P3670">
        <v>-20.172984</v>
      </c>
      <c r="Q3670">
        <v>-44.915225999999997</v>
      </c>
      <c r="R3670" s="2" t="str">
        <f>HYPERLINK("https://www.google.com/maps?q=-20.1729840,-44.9152260","Abrir no Google Maps")</f>
        <v>Abrir no Google Maps</v>
      </c>
      <c r="S3670">
        <v>3</v>
      </c>
      <c r="T3670">
        <v>498.21203543103741</v>
      </c>
      <c r="U3670">
        <v>1</v>
      </c>
      <c r="V3670">
        <v>0</v>
      </c>
      <c r="W3670">
        <v>0.85</v>
      </c>
      <c r="X3670">
        <v>0</v>
      </c>
      <c r="Y3670">
        <v>723</v>
      </c>
      <c r="Z3670">
        <v>297.36167326949931</v>
      </c>
      <c r="AA3670">
        <v>198</v>
      </c>
      <c r="AB3670">
        <v>332</v>
      </c>
      <c r="AC3670">
        <v>536</v>
      </c>
      <c r="AD3670">
        <v>0</v>
      </c>
      <c r="AE3670">
        <v>542</v>
      </c>
      <c r="AF3670">
        <v>0</v>
      </c>
      <c r="AG3670">
        <v>0</v>
      </c>
      <c r="AH3670">
        <v>129</v>
      </c>
      <c r="AI3670">
        <v>0</v>
      </c>
      <c r="AJ3670">
        <v>0</v>
      </c>
      <c r="AK3670">
        <v>23.8</v>
      </c>
      <c r="AL3670">
        <v>-20.172838899999959</v>
      </c>
      <c r="AM3670">
        <v>-44.915158011603552</v>
      </c>
      <c r="AN3670">
        <v>-20.172838899999959</v>
      </c>
      <c r="AO3670">
        <v>-44.915158011603552</v>
      </c>
      <c r="AP3670">
        <v>-20.172984</v>
      </c>
      <c r="AQ3670">
        <v>-44.915225999999997</v>
      </c>
      <c r="AR3670">
        <v>17.645788305942119</v>
      </c>
      <c r="AS3670" t="s">
        <v>65</v>
      </c>
      <c r="AT3670">
        <v>1</v>
      </c>
      <c r="AU3670" t="s">
        <v>1332</v>
      </c>
      <c r="AV3670" t="s">
        <v>1327</v>
      </c>
      <c r="AW3670" t="s">
        <v>60</v>
      </c>
      <c r="AX3670" t="s">
        <v>68</v>
      </c>
      <c r="AY3670" t="s">
        <v>69</v>
      </c>
      <c r="AZ3670" t="b">
        <v>1</v>
      </c>
    </row>
    <row r="3671" spans="1:52" x14ac:dyDescent="0.3">
      <c r="A3671" t="s">
        <v>52</v>
      </c>
      <c r="B3671" t="s">
        <v>53</v>
      </c>
      <c r="C3671" t="s">
        <v>54</v>
      </c>
      <c r="D3671" t="s">
        <v>55</v>
      </c>
      <c r="E3671" t="s">
        <v>2205</v>
      </c>
      <c r="F3671" t="s">
        <v>1247</v>
      </c>
      <c r="G3671" t="s">
        <v>435</v>
      </c>
      <c r="H3671" t="s">
        <v>436</v>
      </c>
      <c r="I3671" t="s">
        <v>436</v>
      </c>
      <c r="J3671" t="s">
        <v>60</v>
      </c>
      <c r="K3671" t="s">
        <v>437</v>
      </c>
      <c r="L3671" t="s">
        <v>62</v>
      </c>
      <c r="M3671" t="s">
        <v>437</v>
      </c>
      <c r="N3671" t="s">
        <v>438</v>
      </c>
      <c r="O3671" t="s">
        <v>439</v>
      </c>
      <c r="P3671">
        <v>-20.145613000000001</v>
      </c>
      <c r="Q3671">
        <v>-44.882375000000003</v>
      </c>
      <c r="R3671" s="2" t="str">
        <f>HYPERLINK("https://www.google.com/maps?q=-20.1456130,-44.8823750","Abrir no Google Maps")</f>
        <v>Abrir no Google Maps</v>
      </c>
      <c r="S3671">
        <v>3</v>
      </c>
      <c r="T3671">
        <v>305.65092112314198</v>
      </c>
      <c r="U3671">
        <v>1</v>
      </c>
      <c r="V3671">
        <v>0</v>
      </c>
      <c r="W3671">
        <v>1</v>
      </c>
      <c r="X3671">
        <v>0</v>
      </c>
      <c r="Y3671">
        <v>653</v>
      </c>
      <c r="Z3671">
        <v>349.55297035282501</v>
      </c>
      <c r="AA3671">
        <v>198</v>
      </c>
      <c r="AB3671">
        <v>332</v>
      </c>
      <c r="AC3671">
        <v>536</v>
      </c>
      <c r="AD3671">
        <v>0</v>
      </c>
      <c r="AE3671">
        <v>542</v>
      </c>
      <c r="AF3671">
        <v>0</v>
      </c>
      <c r="AG3671">
        <v>0</v>
      </c>
      <c r="AH3671">
        <v>129</v>
      </c>
      <c r="AI3671">
        <v>0</v>
      </c>
      <c r="AJ3671">
        <v>0</v>
      </c>
      <c r="AK3671">
        <v>23.8</v>
      </c>
      <c r="AL3671">
        <v>-20.14550464999996</v>
      </c>
      <c r="AM3671">
        <v>-44.882157007077737</v>
      </c>
      <c r="AN3671">
        <v>-20.14550464999996</v>
      </c>
      <c r="AO3671">
        <v>-44.882157007077737</v>
      </c>
      <c r="AP3671">
        <v>-20.145613000000001</v>
      </c>
      <c r="AQ3671">
        <v>-44.882375000000003</v>
      </c>
      <c r="AR3671">
        <v>25.77819791856259</v>
      </c>
      <c r="AS3671" t="s">
        <v>65</v>
      </c>
      <c r="AT3671">
        <v>1</v>
      </c>
      <c r="AU3671" t="s">
        <v>440</v>
      </c>
      <c r="AV3671" t="s">
        <v>441</v>
      </c>
      <c r="AW3671" t="s">
        <v>60</v>
      </c>
      <c r="AX3671" t="s">
        <v>68</v>
      </c>
      <c r="AY3671" t="s">
        <v>69</v>
      </c>
      <c r="AZ3671" t="b">
        <v>1</v>
      </c>
    </row>
    <row r="3672" spans="1:52" x14ac:dyDescent="0.3">
      <c r="A3672" t="s">
        <v>52</v>
      </c>
      <c r="B3672" t="s">
        <v>53</v>
      </c>
      <c r="C3672" t="s">
        <v>54</v>
      </c>
      <c r="D3672" t="s">
        <v>55</v>
      </c>
      <c r="E3672" t="s">
        <v>2205</v>
      </c>
      <c r="F3672" t="s">
        <v>1247</v>
      </c>
      <c r="G3672" t="s">
        <v>1333</v>
      </c>
      <c r="H3672" t="s">
        <v>1334</v>
      </c>
      <c r="I3672" t="s">
        <v>1334</v>
      </c>
      <c r="J3672" t="s">
        <v>60</v>
      </c>
      <c r="K3672" t="s">
        <v>437</v>
      </c>
      <c r="L3672" t="s">
        <v>62</v>
      </c>
      <c r="M3672" t="s">
        <v>437</v>
      </c>
      <c r="N3672" t="s">
        <v>1335</v>
      </c>
      <c r="O3672" t="s">
        <v>807</v>
      </c>
      <c r="P3672">
        <v>-20.148</v>
      </c>
      <c r="Q3672">
        <v>-44.880944999999997</v>
      </c>
      <c r="R3672" s="2" t="str">
        <f>HYPERLINK("https://www.google.com/maps?q=-20.1480000,-44.8809450","Abrir no Google Maps")</f>
        <v>Abrir no Google Maps</v>
      </c>
      <c r="S3672">
        <v>3</v>
      </c>
      <c r="T3672">
        <v>0</v>
      </c>
      <c r="U3672">
        <v>1</v>
      </c>
      <c r="V3672">
        <v>0</v>
      </c>
      <c r="W3672">
        <v>0.85</v>
      </c>
      <c r="X3672">
        <v>0</v>
      </c>
      <c r="Y3672">
        <v>653</v>
      </c>
      <c r="Z3672">
        <v>108.2792411420544</v>
      </c>
      <c r="AA3672">
        <v>198</v>
      </c>
      <c r="AB3672">
        <v>332</v>
      </c>
      <c r="AC3672">
        <v>536</v>
      </c>
      <c r="AD3672">
        <v>0</v>
      </c>
      <c r="AE3672">
        <v>542</v>
      </c>
      <c r="AF3672">
        <v>0</v>
      </c>
      <c r="AG3672">
        <v>0</v>
      </c>
      <c r="AH3672">
        <v>129</v>
      </c>
      <c r="AI3672">
        <v>0</v>
      </c>
      <c r="AJ3672">
        <v>0</v>
      </c>
      <c r="AK3672">
        <v>23.8</v>
      </c>
      <c r="AL3672">
        <v>-20.14802099999994</v>
      </c>
      <c r="AM3672">
        <v>-44.880951206225959</v>
      </c>
      <c r="AN3672">
        <v>-20.14802099999994</v>
      </c>
      <c r="AO3672">
        <v>-44.880951206225959</v>
      </c>
      <c r="AP3672">
        <v>-20.148</v>
      </c>
      <c r="AQ3672">
        <v>-44.880944999999997</v>
      </c>
      <c r="AR3672">
        <v>2.4260288619737169</v>
      </c>
      <c r="AS3672" t="s">
        <v>65</v>
      </c>
      <c r="AT3672">
        <v>1</v>
      </c>
      <c r="AU3672" t="s">
        <v>1336</v>
      </c>
      <c r="AV3672" t="s">
        <v>1337</v>
      </c>
      <c r="AW3672" t="s">
        <v>60</v>
      </c>
      <c r="AX3672" t="s">
        <v>68</v>
      </c>
      <c r="AY3672" t="s">
        <v>69</v>
      </c>
      <c r="AZ3672" t="b">
        <v>1</v>
      </c>
    </row>
    <row r="3673" spans="1:52" x14ac:dyDescent="0.3">
      <c r="A3673" t="s">
        <v>52</v>
      </c>
      <c r="B3673" t="s">
        <v>53</v>
      </c>
      <c r="C3673" t="s">
        <v>54</v>
      </c>
      <c r="D3673" t="s">
        <v>55</v>
      </c>
      <c r="E3673" t="s">
        <v>2205</v>
      </c>
      <c r="F3673" t="s">
        <v>1247</v>
      </c>
      <c r="G3673" t="s">
        <v>442</v>
      </c>
      <c r="H3673" t="s">
        <v>443</v>
      </c>
      <c r="I3673" t="s">
        <v>443</v>
      </c>
      <c r="J3673" t="s">
        <v>60</v>
      </c>
      <c r="K3673" t="s">
        <v>437</v>
      </c>
      <c r="L3673" t="s">
        <v>62</v>
      </c>
      <c r="M3673" t="s">
        <v>437</v>
      </c>
      <c r="N3673" t="s">
        <v>444</v>
      </c>
      <c r="O3673" t="s">
        <v>445</v>
      </c>
      <c r="P3673">
        <v>-20.149744999999999</v>
      </c>
      <c r="Q3673">
        <v>-44.881385000000002</v>
      </c>
      <c r="R3673" s="2" t="str">
        <f>HYPERLINK("https://www.google.com/maps?q=-20.1497450,-44.8813850","Abrir no Google Maps")</f>
        <v>Abrir no Google Maps</v>
      </c>
      <c r="S3673">
        <v>3</v>
      </c>
      <c r="T3673">
        <v>188.80690546111239</v>
      </c>
      <c r="U3673">
        <v>1</v>
      </c>
      <c r="V3673">
        <v>0</v>
      </c>
      <c r="W3673">
        <v>1</v>
      </c>
      <c r="X3673">
        <v>0</v>
      </c>
      <c r="Y3673">
        <v>653</v>
      </c>
      <c r="Z3673">
        <v>86.575080390731017</v>
      </c>
      <c r="AA3673">
        <v>198</v>
      </c>
      <c r="AB3673">
        <v>332</v>
      </c>
      <c r="AC3673">
        <v>536</v>
      </c>
      <c r="AD3673">
        <v>0</v>
      </c>
      <c r="AE3673">
        <v>542</v>
      </c>
      <c r="AF3673">
        <v>0</v>
      </c>
      <c r="AG3673">
        <v>0</v>
      </c>
      <c r="AH3673">
        <v>129</v>
      </c>
      <c r="AI3673">
        <v>0</v>
      </c>
      <c r="AJ3673">
        <v>0</v>
      </c>
      <c r="AK3673">
        <v>23.8</v>
      </c>
      <c r="AL3673">
        <v>-20.149645149999941</v>
      </c>
      <c r="AM3673">
        <v>-44.881504585149607</v>
      </c>
      <c r="AN3673">
        <v>-20.149645149999941</v>
      </c>
      <c r="AO3673">
        <v>-44.881504585149607</v>
      </c>
      <c r="AP3673">
        <v>-20.149744999999999</v>
      </c>
      <c r="AQ3673">
        <v>-44.881385000000002</v>
      </c>
      <c r="AR3673">
        <v>16.725323110840389</v>
      </c>
      <c r="AS3673" t="s">
        <v>65</v>
      </c>
      <c r="AT3673">
        <v>1</v>
      </c>
      <c r="AU3673" t="s">
        <v>446</v>
      </c>
      <c r="AV3673" t="s">
        <v>447</v>
      </c>
      <c r="AW3673" t="s">
        <v>60</v>
      </c>
      <c r="AX3673" t="s">
        <v>68</v>
      </c>
      <c r="AY3673" t="s">
        <v>69</v>
      </c>
      <c r="AZ3673" t="b">
        <v>1</v>
      </c>
    </row>
    <row r="3674" spans="1:52" x14ac:dyDescent="0.3">
      <c r="A3674" t="s">
        <v>52</v>
      </c>
      <c r="B3674" t="s">
        <v>53</v>
      </c>
      <c r="C3674" t="s">
        <v>54</v>
      </c>
      <c r="D3674" t="s">
        <v>55</v>
      </c>
      <c r="E3674" t="s">
        <v>2205</v>
      </c>
      <c r="F3674" t="s">
        <v>1247</v>
      </c>
      <c r="G3674" t="s">
        <v>448</v>
      </c>
      <c r="H3674" t="s">
        <v>449</v>
      </c>
      <c r="I3674" t="s">
        <v>449</v>
      </c>
      <c r="J3674" t="s">
        <v>60</v>
      </c>
      <c r="K3674" t="s">
        <v>388</v>
      </c>
      <c r="L3674" t="s">
        <v>62</v>
      </c>
      <c r="M3674" t="s">
        <v>388</v>
      </c>
      <c r="N3674" t="s">
        <v>450</v>
      </c>
      <c r="O3674" t="s">
        <v>451</v>
      </c>
      <c r="P3674">
        <v>-20.163981</v>
      </c>
      <c r="Q3674">
        <v>-44.907128999999998</v>
      </c>
      <c r="R3674" s="2" t="str">
        <f>HYPERLINK("https://www.google.com/maps?q=-20.1639810,-44.9071290","Abrir no Google Maps")</f>
        <v>Abrir no Google Maps</v>
      </c>
      <c r="S3674">
        <v>3</v>
      </c>
      <c r="T3674">
        <v>782.50730806588319</v>
      </c>
      <c r="U3674">
        <v>1</v>
      </c>
      <c r="V3674">
        <v>0</v>
      </c>
      <c r="W3674">
        <v>1</v>
      </c>
      <c r="X3674">
        <v>0</v>
      </c>
      <c r="Y3674">
        <v>639</v>
      </c>
      <c r="Z3674">
        <v>710.90621453796166</v>
      </c>
      <c r="AA3674">
        <v>198</v>
      </c>
      <c r="AB3674">
        <v>332</v>
      </c>
      <c r="AC3674">
        <v>536</v>
      </c>
      <c r="AD3674">
        <v>0</v>
      </c>
      <c r="AE3674">
        <v>542</v>
      </c>
      <c r="AF3674">
        <v>0</v>
      </c>
      <c r="AG3674">
        <v>0</v>
      </c>
      <c r="AH3674">
        <v>129</v>
      </c>
      <c r="AI3674">
        <v>0</v>
      </c>
      <c r="AJ3674">
        <v>0</v>
      </c>
      <c r="AK3674">
        <v>23.8</v>
      </c>
      <c r="AL3674">
        <v>-20.163958349999969</v>
      </c>
      <c r="AM3674">
        <v>-44.907180923930973</v>
      </c>
      <c r="AN3674">
        <v>-20.163958349999969</v>
      </c>
      <c r="AO3674">
        <v>-44.907180923930973</v>
      </c>
      <c r="AP3674">
        <v>-20.163981</v>
      </c>
      <c r="AQ3674">
        <v>-44.907128999999998</v>
      </c>
      <c r="AR3674">
        <v>5.9831345092457884</v>
      </c>
      <c r="AS3674" t="s">
        <v>65</v>
      </c>
      <c r="AT3674">
        <v>1</v>
      </c>
      <c r="AU3674" t="s">
        <v>452</v>
      </c>
      <c r="AV3674" t="s">
        <v>453</v>
      </c>
      <c r="AW3674" t="s">
        <v>60</v>
      </c>
      <c r="AX3674" t="s">
        <v>68</v>
      </c>
      <c r="AY3674" t="s">
        <v>69</v>
      </c>
      <c r="AZ3674" t="b">
        <v>1</v>
      </c>
    </row>
    <row r="3675" spans="1:52" x14ac:dyDescent="0.3">
      <c r="A3675" t="s">
        <v>52</v>
      </c>
      <c r="B3675" t="s">
        <v>53</v>
      </c>
      <c r="C3675" t="s">
        <v>54</v>
      </c>
      <c r="D3675" t="s">
        <v>55</v>
      </c>
      <c r="E3675" t="s">
        <v>2205</v>
      </c>
      <c r="F3675" t="s">
        <v>1247</v>
      </c>
      <c r="G3675" t="s">
        <v>479</v>
      </c>
      <c r="H3675" t="s">
        <v>1338</v>
      </c>
      <c r="I3675" t="s">
        <v>1338</v>
      </c>
      <c r="J3675" t="s">
        <v>60</v>
      </c>
      <c r="K3675" t="s">
        <v>1302</v>
      </c>
      <c r="L3675" t="s">
        <v>62</v>
      </c>
      <c r="M3675" t="s">
        <v>1302</v>
      </c>
      <c r="N3675" t="s">
        <v>481</v>
      </c>
      <c r="O3675" t="s">
        <v>1339</v>
      </c>
      <c r="P3675">
        <v>-20.165590000000002</v>
      </c>
      <c r="Q3675">
        <v>-44.907876000000002</v>
      </c>
      <c r="R3675" s="2" t="str">
        <f>HYPERLINK("https://www.google.com/maps?q=-20.1655900,-44.9078760","Abrir no Google Maps")</f>
        <v>Abrir no Google Maps</v>
      </c>
      <c r="S3675">
        <v>3</v>
      </c>
      <c r="T3675">
        <v>626.07643944893005</v>
      </c>
      <c r="U3675">
        <v>1</v>
      </c>
      <c r="V3675">
        <v>0</v>
      </c>
      <c r="W3675">
        <v>0.85</v>
      </c>
      <c r="X3675">
        <v>0</v>
      </c>
      <c r="Y3675">
        <v>639</v>
      </c>
      <c r="Z3675">
        <v>723.2656461789519</v>
      </c>
      <c r="AA3675">
        <v>198</v>
      </c>
      <c r="AB3675">
        <v>332</v>
      </c>
      <c r="AC3675">
        <v>536</v>
      </c>
      <c r="AD3675">
        <v>0</v>
      </c>
      <c r="AE3675">
        <v>542</v>
      </c>
      <c r="AF3675">
        <v>0</v>
      </c>
      <c r="AG3675">
        <v>0</v>
      </c>
      <c r="AH3675">
        <v>129</v>
      </c>
      <c r="AI3675">
        <v>0</v>
      </c>
      <c r="AJ3675">
        <v>0</v>
      </c>
      <c r="AK3675">
        <v>23.8</v>
      </c>
      <c r="AL3675">
        <v>-20.16561419999994</v>
      </c>
      <c r="AM3675">
        <v>-44.907783360572083</v>
      </c>
      <c r="AN3675">
        <v>-20.16561419999994</v>
      </c>
      <c r="AO3675">
        <v>-44.907783360572083</v>
      </c>
      <c r="AP3675">
        <v>-20.165590000000002</v>
      </c>
      <c r="AQ3675">
        <v>-44.907876000000002</v>
      </c>
      <c r="AR3675">
        <v>10.04831364257741</v>
      </c>
      <c r="AS3675" t="s">
        <v>65</v>
      </c>
      <c r="AT3675">
        <v>1</v>
      </c>
      <c r="AU3675" t="s">
        <v>1340</v>
      </c>
      <c r="AV3675" t="s">
        <v>1341</v>
      </c>
      <c r="AW3675" t="s">
        <v>60</v>
      </c>
      <c r="AX3675" t="s">
        <v>68</v>
      </c>
      <c r="AY3675" t="s">
        <v>69</v>
      </c>
      <c r="AZ3675" t="b">
        <v>1</v>
      </c>
    </row>
    <row r="3676" spans="1:52" x14ac:dyDescent="0.3">
      <c r="A3676" t="s">
        <v>52</v>
      </c>
      <c r="B3676" t="s">
        <v>53</v>
      </c>
      <c r="C3676" t="s">
        <v>54</v>
      </c>
      <c r="D3676" t="s">
        <v>55</v>
      </c>
      <c r="E3676" t="s">
        <v>2205</v>
      </c>
      <c r="F3676" t="s">
        <v>1247</v>
      </c>
      <c r="G3676" t="s">
        <v>454</v>
      </c>
      <c r="H3676" t="s">
        <v>455</v>
      </c>
      <c r="I3676" t="s">
        <v>455</v>
      </c>
      <c r="J3676" t="s">
        <v>60</v>
      </c>
      <c r="K3676" t="s">
        <v>456</v>
      </c>
      <c r="L3676" t="s">
        <v>62</v>
      </c>
      <c r="M3676" t="s">
        <v>456</v>
      </c>
      <c r="N3676" t="s">
        <v>102</v>
      </c>
      <c r="O3676" t="s">
        <v>457</v>
      </c>
      <c r="P3676">
        <v>-20.138373999999999</v>
      </c>
      <c r="Q3676">
        <v>-44.903756999999999</v>
      </c>
      <c r="R3676" s="2" t="str">
        <f>HYPERLINK("https://www.google.com/maps?q=-20.1383740,-44.9037570","Abrir no Google Maps")</f>
        <v>Abrir no Google Maps</v>
      </c>
      <c r="S3676">
        <v>3</v>
      </c>
      <c r="T3676">
        <v>357.59466273594461</v>
      </c>
      <c r="U3676">
        <v>1</v>
      </c>
      <c r="V3676">
        <v>0</v>
      </c>
      <c r="W3676">
        <v>1</v>
      </c>
      <c r="X3676">
        <v>0</v>
      </c>
      <c r="Y3676">
        <v>581</v>
      </c>
      <c r="Z3676">
        <v>406.92482694505992</v>
      </c>
      <c r="AA3676">
        <v>198</v>
      </c>
      <c r="AB3676">
        <v>332</v>
      </c>
      <c r="AC3676">
        <v>536</v>
      </c>
      <c r="AD3676">
        <v>0</v>
      </c>
      <c r="AE3676">
        <v>542</v>
      </c>
      <c r="AF3676">
        <v>0</v>
      </c>
      <c r="AG3676">
        <v>0</v>
      </c>
      <c r="AH3676">
        <v>129</v>
      </c>
      <c r="AI3676">
        <v>0</v>
      </c>
      <c r="AJ3676">
        <v>0</v>
      </c>
      <c r="AK3676">
        <v>23.8</v>
      </c>
      <c r="AL3676">
        <v>-20.138338199999961</v>
      </c>
      <c r="AM3676">
        <v>-44.903768618976301</v>
      </c>
      <c r="AN3676">
        <v>-20.138338199999961</v>
      </c>
      <c r="AO3676">
        <v>-44.903768618976301</v>
      </c>
      <c r="AP3676">
        <v>-20.138373999999999</v>
      </c>
      <c r="AQ3676">
        <v>-44.903756999999999</v>
      </c>
      <c r="AR3676">
        <v>4.1661625938922704</v>
      </c>
      <c r="AS3676" t="s">
        <v>65</v>
      </c>
      <c r="AT3676">
        <v>1</v>
      </c>
      <c r="AU3676" t="s">
        <v>458</v>
      </c>
      <c r="AV3676" t="s">
        <v>459</v>
      </c>
      <c r="AW3676" t="s">
        <v>60</v>
      </c>
      <c r="AX3676" t="s">
        <v>68</v>
      </c>
      <c r="AY3676" t="s">
        <v>69</v>
      </c>
      <c r="AZ3676" t="b">
        <v>1</v>
      </c>
    </row>
    <row r="3677" spans="1:52" x14ac:dyDescent="0.3">
      <c r="A3677" t="s">
        <v>52</v>
      </c>
      <c r="B3677" t="s">
        <v>53</v>
      </c>
      <c r="C3677" t="s">
        <v>54</v>
      </c>
      <c r="D3677" t="s">
        <v>55</v>
      </c>
      <c r="E3677" t="s">
        <v>2205</v>
      </c>
      <c r="F3677" t="s">
        <v>1247</v>
      </c>
      <c r="G3677" t="s">
        <v>460</v>
      </c>
      <c r="H3677" t="s">
        <v>461</v>
      </c>
      <c r="I3677" t="s">
        <v>461</v>
      </c>
      <c r="J3677" t="s">
        <v>60</v>
      </c>
      <c r="K3677" t="s">
        <v>462</v>
      </c>
      <c r="L3677" t="s">
        <v>62</v>
      </c>
      <c r="M3677" t="s">
        <v>462</v>
      </c>
      <c r="N3677" t="s">
        <v>463</v>
      </c>
      <c r="O3677" t="s">
        <v>464</v>
      </c>
      <c r="P3677">
        <v>-20.137919</v>
      </c>
      <c r="Q3677">
        <v>-44.905591000000001</v>
      </c>
      <c r="R3677" s="2" t="str">
        <f>HYPERLINK("https://www.google.com/maps?q=-20.1379190,-44.9055910","Abrir no Google Maps")</f>
        <v>Abrir no Google Maps</v>
      </c>
      <c r="S3677">
        <v>3</v>
      </c>
      <c r="T3677">
        <v>262.01115919461103</v>
      </c>
      <c r="U3677">
        <v>1</v>
      </c>
      <c r="V3677">
        <v>0</v>
      </c>
      <c r="W3677">
        <v>1</v>
      </c>
      <c r="X3677">
        <v>0</v>
      </c>
      <c r="Y3677">
        <v>581</v>
      </c>
      <c r="Z3677">
        <v>318.63337303219271</v>
      </c>
      <c r="AA3677">
        <v>198</v>
      </c>
      <c r="AB3677">
        <v>332</v>
      </c>
      <c r="AC3677">
        <v>536</v>
      </c>
      <c r="AD3677">
        <v>0</v>
      </c>
      <c r="AE3677">
        <v>542</v>
      </c>
      <c r="AF3677">
        <v>0</v>
      </c>
      <c r="AG3677">
        <v>0</v>
      </c>
      <c r="AH3677">
        <v>129</v>
      </c>
      <c r="AI3677">
        <v>0</v>
      </c>
      <c r="AJ3677">
        <v>0</v>
      </c>
      <c r="AK3677">
        <v>23.8</v>
      </c>
      <c r="AL3677">
        <v>-20.13789079999998</v>
      </c>
      <c r="AM3677">
        <v>-44.90548593520333</v>
      </c>
      <c r="AN3677">
        <v>-20.13789079999998</v>
      </c>
      <c r="AO3677">
        <v>-44.90548593520333</v>
      </c>
      <c r="AP3677">
        <v>-20.137919</v>
      </c>
      <c r="AQ3677">
        <v>-44.905591000000001</v>
      </c>
      <c r="AR3677">
        <v>11.42072348298178</v>
      </c>
      <c r="AS3677" t="s">
        <v>65</v>
      </c>
      <c r="AT3677">
        <v>1</v>
      </c>
      <c r="AU3677" t="s">
        <v>465</v>
      </c>
      <c r="AV3677" t="s">
        <v>466</v>
      </c>
      <c r="AW3677" t="s">
        <v>60</v>
      </c>
      <c r="AX3677" t="s">
        <v>68</v>
      </c>
      <c r="AY3677" t="s">
        <v>69</v>
      </c>
      <c r="AZ3677" t="b">
        <v>1</v>
      </c>
    </row>
    <row r="3678" spans="1:52" x14ac:dyDescent="0.3">
      <c r="A3678" t="s">
        <v>52</v>
      </c>
      <c r="B3678" t="s">
        <v>53</v>
      </c>
      <c r="C3678" t="s">
        <v>54</v>
      </c>
      <c r="D3678" t="s">
        <v>55</v>
      </c>
      <c r="E3678" t="s">
        <v>2205</v>
      </c>
      <c r="F3678" t="s">
        <v>1247</v>
      </c>
      <c r="G3678" t="s">
        <v>1342</v>
      </c>
      <c r="H3678" t="s">
        <v>1343</v>
      </c>
      <c r="I3678" t="s">
        <v>1343</v>
      </c>
      <c r="J3678" t="s">
        <v>60</v>
      </c>
      <c r="K3678" t="s">
        <v>462</v>
      </c>
      <c r="L3678" t="s">
        <v>62</v>
      </c>
      <c r="M3678" t="s">
        <v>462</v>
      </c>
      <c r="N3678" t="s">
        <v>921</v>
      </c>
      <c r="O3678" t="s">
        <v>1344</v>
      </c>
      <c r="P3678">
        <v>-20.137526000000001</v>
      </c>
      <c r="Q3678">
        <v>-44.912452999999999</v>
      </c>
      <c r="R3678" s="2" t="str">
        <f>HYPERLINK("https://www.google.com/maps?q=-20.1375260,-44.9124530","Abrir no Google Maps")</f>
        <v>Abrir no Google Maps</v>
      </c>
      <c r="S3678">
        <v>3</v>
      </c>
      <c r="T3678">
        <v>446.95091416730708</v>
      </c>
      <c r="U3678">
        <v>1</v>
      </c>
      <c r="V3678">
        <v>0</v>
      </c>
      <c r="W3678">
        <v>0.85</v>
      </c>
      <c r="X3678">
        <v>0</v>
      </c>
      <c r="Y3678">
        <v>581</v>
      </c>
      <c r="Z3678">
        <v>507.4747778269288</v>
      </c>
      <c r="AA3678">
        <v>198</v>
      </c>
      <c r="AB3678">
        <v>332</v>
      </c>
      <c r="AC3678">
        <v>536</v>
      </c>
      <c r="AD3678">
        <v>0</v>
      </c>
      <c r="AE3678">
        <v>542</v>
      </c>
      <c r="AF3678">
        <v>0</v>
      </c>
      <c r="AG3678">
        <v>0</v>
      </c>
      <c r="AH3678">
        <v>129</v>
      </c>
      <c r="AI3678">
        <v>0</v>
      </c>
      <c r="AJ3678">
        <v>0</v>
      </c>
      <c r="AK3678">
        <v>23.8</v>
      </c>
      <c r="AL3678">
        <v>-20.136672649999959</v>
      </c>
      <c r="AM3678">
        <v>-44.911825104396357</v>
      </c>
      <c r="AN3678">
        <v>-20.136672649999959</v>
      </c>
      <c r="AO3678">
        <v>-44.911825104396357</v>
      </c>
      <c r="AP3678">
        <v>-20.137526000000001</v>
      </c>
      <c r="AQ3678">
        <v>-44.912452999999999</v>
      </c>
      <c r="AR3678">
        <v>115.45843265992529</v>
      </c>
      <c r="AS3678" t="s">
        <v>65</v>
      </c>
      <c r="AT3678">
        <v>1</v>
      </c>
      <c r="AU3678" t="s">
        <v>1345</v>
      </c>
      <c r="AV3678" t="s">
        <v>1346</v>
      </c>
      <c r="AW3678" t="s">
        <v>60</v>
      </c>
      <c r="AX3678" t="s">
        <v>68</v>
      </c>
      <c r="AY3678" t="s">
        <v>69</v>
      </c>
      <c r="AZ3678" t="b">
        <v>1</v>
      </c>
    </row>
    <row r="3679" spans="1:52" x14ac:dyDescent="0.3">
      <c r="A3679" t="s">
        <v>52</v>
      </c>
      <c r="B3679" t="s">
        <v>53</v>
      </c>
      <c r="C3679" t="s">
        <v>54</v>
      </c>
      <c r="D3679" t="s">
        <v>55</v>
      </c>
      <c r="E3679" t="s">
        <v>2205</v>
      </c>
      <c r="F3679" t="s">
        <v>1247</v>
      </c>
      <c r="G3679" t="s">
        <v>1347</v>
      </c>
      <c r="H3679" t="s">
        <v>1348</v>
      </c>
      <c r="I3679" t="s">
        <v>1348</v>
      </c>
      <c r="J3679" t="s">
        <v>60</v>
      </c>
      <c r="K3679" t="s">
        <v>1349</v>
      </c>
      <c r="L3679" t="s">
        <v>62</v>
      </c>
      <c r="M3679" t="s">
        <v>1349</v>
      </c>
      <c r="N3679" t="s">
        <v>1350</v>
      </c>
      <c r="O3679" t="s">
        <v>1351</v>
      </c>
      <c r="P3679">
        <v>-20.140426999999999</v>
      </c>
      <c r="Q3679">
        <v>-44.905327999999997</v>
      </c>
      <c r="R3679" s="2" t="str">
        <f>HYPERLINK("https://www.google.com/maps?q=-20.1404270,-44.9053280","Abrir no Google Maps")</f>
        <v>Abrir no Google Maps</v>
      </c>
      <c r="S3679">
        <v>3</v>
      </c>
      <c r="T3679">
        <v>359.5810968231857</v>
      </c>
      <c r="U3679">
        <v>1</v>
      </c>
      <c r="V3679">
        <v>0</v>
      </c>
      <c r="W3679">
        <v>0.85</v>
      </c>
      <c r="X3679">
        <v>0</v>
      </c>
      <c r="Y3679">
        <v>581</v>
      </c>
      <c r="Z3679">
        <v>292.370097058873</v>
      </c>
      <c r="AA3679">
        <v>198</v>
      </c>
      <c r="AB3679">
        <v>332</v>
      </c>
      <c r="AC3679">
        <v>536</v>
      </c>
      <c r="AD3679">
        <v>0</v>
      </c>
      <c r="AE3679">
        <v>542</v>
      </c>
      <c r="AF3679">
        <v>0</v>
      </c>
      <c r="AG3679">
        <v>0</v>
      </c>
      <c r="AH3679">
        <v>129</v>
      </c>
      <c r="AI3679">
        <v>0</v>
      </c>
      <c r="AJ3679">
        <v>0</v>
      </c>
      <c r="AK3679">
        <v>23.8</v>
      </c>
      <c r="AL3679">
        <v>-20.140465449999969</v>
      </c>
      <c r="AM3679">
        <v>-44.905317129037229</v>
      </c>
      <c r="AN3679">
        <v>-20.140465449999969</v>
      </c>
      <c r="AO3679">
        <v>-44.905317129037229</v>
      </c>
      <c r="AP3679">
        <v>-20.140426999999999</v>
      </c>
      <c r="AQ3679">
        <v>-44.905327999999997</v>
      </c>
      <c r="AR3679">
        <v>4.4284788644958706</v>
      </c>
      <c r="AS3679" t="s">
        <v>65</v>
      </c>
      <c r="AT3679">
        <v>1</v>
      </c>
      <c r="AU3679" t="s">
        <v>1352</v>
      </c>
      <c r="AV3679" t="s">
        <v>1353</v>
      </c>
      <c r="AW3679" t="s">
        <v>60</v>
      </c>
      <c r="AX3679" t="s">
        <v>68</v>
      </c>
      <c r="AY3679" t="s">
        <v>69</v>
      </c>
      <c r="AZ3679" t="b">
        <v>1</v>
      </c>
    </row>
    <row r="3680" spans="1:52" x14ac:dyDescent="0.3">
      <c r="A3680" t="s">
        <v>52</v>
      </c>
      <c r="B3680" t="s">
        <v>53</v>
      </c>
      <c r="C3680" t="s">
        <v>54</v>
      </c>
      <c r="D3680" t="s">
        <v>55</v>
      </c>
      <c r="E3680" t="s">
        <v>2205</v>
      </c>
      <c r="F3680" t="s">
        <v>1247</v>
      </c>
      <c r="G3680" t="s">
        <v>467</v>
      </c>
      <c r="H3680" t="s">
        <v>468</v>
      </c>
      <c r="I3680" t="s">
        <v>468</v>
      </c>
      <c r="J3680" t="s">
        <v>60</v>
      </c>
      <c r="K3680" t="s">
        <v>462</v>
      </c>
      <c r="L3680" t="s">
        <v>62</v>
      </c>
      <c r="M3680" t="s">
        <v>462</v>
      </c>
      <c r="N3680" t="s">
        <v>469</v>
      </c>
      <c r="O3680" t="s">
        <v>470</v>
      </c>
      <c r="P3680">
        <v>-20.138233</v>
      </c>
      <c r="Q3680">
        <v>-44.908200000000001</v>
      </c>
      <c r="R3680" s="2" t="str">
        <f>HYPERLINK("https://www.google.com/maps?q=-20.1382330,-44.9082000","Abrir no Google Maps")</f>
        <v>Abrir no Google Maps</v>
      </c>
      <c r="S3680">
        <v>3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581</v>
      </c>
      <c r="Z3680">
        <v>153.18688302958171</v>
      </c>
      <c r="AA3680">
        <v>198</v>
      </c>
      <c r="AB3680">
        <v>332</v>
      </c>
      <c r="AC3680">
        <v>536</v>
      </c>
      <c r="AD3680">
        <v>0</v>
      </c>
      <c r="AE3680">
        <v>542</v>
      </c>
      <c r="AF3680">
        <v>0</v>
      </c>
      <c r="AG3680">
        <v>0</v>
      </c>
      <c r="AH3680">
        <v>129</v>
      </c>
      <c r="AI3680">
        <v>0</v>
      </c>
      <c r="AJ3680">
        <v>0</v>
      </c>
      <c r="AK3680">
        <v>23.8</v>
      </c>
      <c r="AL3680">
        <v>-20.138364899999971</v>
      </c>
      <c r="AM3680">
        <v>-44.907942114873997</v>
      </c>
      <c r="AN3680">
        <v>-20.138364899999971</v>
      </c>
      <c r="AO3680">
        <v>-44.907942114873997</v>
      </c>
      <c r="AP3680">
        <v>-20.138233</v>
      </c>
      <c r="AQ3680">
        <v>-44.908200000000001</v>
      </c>
      <c r="AR3680">
        <v>30.692690617986941</v>
      </c>
      <c r="AS3680" t="s">
        <v>65</v>
      </c>
      <c r="AT3680">
        <v>1</v>
      </c>
      <c r="AU3680" t="s">
        <v>471</v>
      </c>
      <c r="AV3680" t="s">
        <v>472</v>
      </c>
      <c r="AW3680" t="s">
        <v>60</v>
      </c>
      <c r="AX3680" t="s">
        <v>68</v>
      </c>
      <c r="AY3680" t="s">
        <v>69</v>
      </c>
      <c r="AZ3680" t="b">
        <v>1</v>
      </c>
    </row>
    <row r="3681" spans="1:52" x14ac:dyDescent="0.3">
      <c r="A3681" t="s">
        <v>52</v>
      </c>
      <c r="B3681" t="s">
        <v>53</v>
      </c>
      <c r="C3681" t="s">
        <v>54</v>
      </c>
      <c r="D3681" t="s">
        <v>55</v>
      </c>
      <c r="E3681" t="s">
        <v>2205</v>
      </c>
      <c r="F3681" t="s">
        <v>1247</v>
      </c>
      <c r="G3681" t="s">
        <v>851</v>
      </c>
      <c r="H3681" t="s">
        <v>852</v>
      </c>
      <c r="I3681" t="s">
        <v>852</v>
      </c>
      <c r="J3681" t="s">
        <v>60</v>
      </c>
      <c r="K3681" t="s">
        <v>853</v>
      </c>
      <c r="L3681" t="s">
        <v>62</v>
      </c>
      <c r="M3681" t="s">
        <v>853</v>
      </c>
      <c r="N3681" t="s">
        <v>854</v>
      </c>
      <c r="O3681" t="s">
        <v>855</v>
      </c>
      <c r="P3681">
        <v>-20.127835000000001</v>
      </c>
      <c r="Q3681">
        <v>-44.909329</v>
      </c>
      <c r="R3681" s="2" t="str">
        <f>HYPERLINK("https://www.google.com/maps?q=-20.1278350,-44.9093290","Abrir no Google Maps")</f>
        <v>Abrir no Google Maps</v>
      </c>
      <c r="S3681">
        <v>3</v>
      </c>
      <c r="T3681">
        <v>1173.033690896357</v>
      </c>
      <c r="U3681">
        <v>1</v>
      </c>
      <c r="V3681">
        <v>0</v>
      </c>
      <c r="W3681">
        <v>1</v>
      </c>
      <c r="X3681">
        <v>0</v>
      </c>
      <c r="Y3681">
        <v>581</v>
      </c>
      <c r="Z3681">
        <v>1296.5011565926129</v>
      </c>
      <c r="AA3681">
        <v>198</v>
      </c>
      <c r="AB3681">
        <v>332</v>
      </c>
      <c r="AC3681">
        <v>536</v>
      </c>
      <c r="AD3681">
        <v>0</v>
      </c>
      <c r="AE3681">
        <v>542</v>
      </c>
      <c r="AF3681">
        <v>0</v>
      </c>
      <c r="AG3681">
        <v>0</v>
      </c>
      <c r="AH3681">
        <v>129</v>
      </c>
      <c r="AI3681">
        <v>0</v>
      </c>
      <c r="AJ3681">
        <v>0</v>
      </c>
      <c r="AK3681">
        <v>23.8</v>
      </c>
      <c r="AL3681">
        <v>-20.127852899999969</v>
      </c>
      <c r="AM3681">
        <v>-44.909386667699948</v>
      </c>
      <c r="AN3681">
        <v>-20.127852899999969</v>
      </c>
      <c r="AO3681">
        <v>-44.909386667699948</v>
      </c>
      <c r="AP3681">
        <v>-20.127835000000001</v>
      </c>
      <c r="AQ3681">
        <v>-44.909329</v>
      </c>
      <c r="AR3681">
        <v>6.3483385067119924</v>
      </c>
      <c r="AS3681" t="s">
        <v>65</v>
      </c>
      <c r="AT3681">
        <v>1</v>
      </c>
      <c r="AU3681" t="s">
        <v>856</v>
      </c>
      <c r="AV3681" t="s">
        <v>857</v>
      </c>
      <c r="AW3681" t="s">
        <v>60</v>
      </c>
      <c r="AX3681" t="s">
        <v>68</v>
      </c>
      <c r="AY3681" t="s">
        <v>69</v>
      </c>
      <c r="AZ3681" t="b">
        <v>1</v>
      </c>
    </row>
    <row r="3682" spans="1:52" x14ac:dyDescent="0.3">
      <c r="A3682" t="s">
        <v>52</v>
      </c>
      <c r="B3682" t="s">
        <v>53</v>
      </c>
      <c r="C3682" t="s">
        <v>54</v>
      </c>
      <c r="D3682" t="s">
        <v>55</v>
      </c>
      <c r="E3682" t="s">
        <v>2205</v>
      </c>
      <c r="F3682" t="s">
        <v>1247</v>
      </c>
      <c r="G3682" t="s">
        <v>1354</v>
      </c>
      <c r="H3682" t="s">
        <v>1355</v>
      </c>
      <c r="I3682" t="s">
        <v>1355</v>
      </c>
      <c r="J3682" t="s">
        <v>60</v>
      </c>
      <c r="K3682" t="s">
        <v>1356</v>
      </c>
      <c r="L3682" t="s">
        <v>62</v>
      </c>
      <c r="M3682" t="s">
        <v>1356</v>
      </c>
      <c r="N3682" t="s">
        <v>1357</v>
      </c>
      <c r="O3682" t="s">
        <v>315</v>
      </c>
      <c r="P3682">
        <v>-20.132080999999999</v>
      </c>
      <c r="Q3682">
        <v>-44.908614</v>
      </c>
      <c r="R3682" s="2" t="str">
        <f>HYPERLINK("https://www.google.com/maps?q=-20.1320810,-44.9086140","Abrir no Google Maps")</f>
        <v>Abrir no Google Maps</v>
      </c>
      <c r="S3682">
        <v>3</v>
      </c>
      <c r="T3682">
        <v>701.02570959373259</v>
      </c>
      <c r="U3682">
        <v>1</v>
      </c>
      <c r="V3682">
        <v>0</v>
      </c>
      <c r="W3682">
        <v>0.85</v>
      </c>
      <c r="X3682">
        <v>0</v>
      </c>
      <c r="Y3682">
        <v>581</v>
      </c>
      <c r="Z3682">
        <v>811.38061352229215</v>
      </c>
      <c r="AA3682">
        <v>198</v>
      </c>
      <c r="AB3682">
        <v>332</v>
      </c>
      <c r="AC3682">
        <v>536</v>
      </c>
      <c r="AD3682">
        <v>0</v>
      </c>
      <c r="AE3682">
        <v>542</v>
      </c>
      <c r="AF3682">
        <v>0</v>
      </c>
      <c r="AG3682">
        <v>0</v>
      </c>
      <c r="AH3682">
        <v>129</v>
      </c>
      <c r="AI3682">
        <v>0</v>
      </c>
      <c r="AJ3682">
        <v>0</v>
      </c>
      <c r="AK3682">
        <v>23.8</v>
      </c>
      <c r="AL3682">
        <v>-20.132063499999951</v>
      </c>
      <c r="AM3682">
        <v>-44.908630454878519</v>
      </c>
      <c r="AN3682">
        <v>-20.132063499999951</v>
      </c>
      <c r="AO3682">
        <v>-44.908630454878519</v>
      </c>
      <c r="AP3682">
        <v>-20.132080999999999</v>
      </c>
      <c r="AQ3682">
        <v>-44.908614</v>
      </c>
      <c r="AR3682">
        <v>2.5986425761911551</v>
      </c>
      <c r="AS3682" t="s">
        <v>65</v>
      </c>
      <c r="AT3682">
        <v>1</v>
      </c>
      <c r="AU3682" t="s">
        <v>1358</v>
      </c>
      <c r="AV3682" t="s">
        <v>1359</v>
      </c>
      <c r="AW3682" t="s">
        <v>60</v>
      </c>
      <c r="AX3682" t="s">
        <v>68</v>
      </c>
      <c r="AY3682" t="s">
        <v>69</v>
      </c>
      <c r="AZ3682" t="b">
        <v>1</v>
      </c>
    </row>
    <row r="3683" spans="1:52" x14ac:dyDescent="0.3">
      <c r="A3683" t="s">
        <v>52</v>
      </c>
      <c r="B3683" t="s">
        <v>53</v>
      </c>
      <c r="C3683" t="s">
        <v>54</v>
      </c>
      <c r="D3683" t="s">
        <v>55</v>
      </c>
      <c r="E3683" t="s">
        <v>2205</v>
      </c>
      <c r="F3683" t="s">
        <v>1247</v>
      </c>
      <c r="G3683" t="s">
        <v>858</v>
      </c>
      <c r="H3683" t="s">
        <v>1360</v>
      </c>
      <c r="I3683" t="s">
        <v>1360</v>
      </c>
      <c r="J3683" t="s">
        <v>60</v>
      </c>
      <c r="K3683" t="s">
        <v>1356</v>
      </c>
      <c r="L3683" t="s">
        <v>62</v>
      </c>
      <c r="M3683" t="s">
        <v>1356</v>
      </c>
      <c r="N3683" t="s">
        <v>860</v>
      </c>
      <c r="O3683" t="s">
        <v>1361</v>
      </c>
      <c r="P3683">
        <v>-20.134969000000002</v>
      </c>
      <c r="Q3683">
        <v>-44.909384000000003</v>
      </c>
      <c r="R3683" s="2" t="str">
        <f>HYPERLINK("https://www.google.com/maps?q=-20.1349690,-44.9093840","Abrir no Google Maps")</f>
        <v>Abrir no Google Maps</v>
      </c>
      <c r="S3683">
        <v>3</v>
      </c>
      <c r="T3683">
        <v>413.6655911675532</v>
      </c>
      <c r="U3683">
        <v>1</v>
      </c>
      <c r="V3683">
        <v>0</v>
      </c>
      <c r="W3683">
        <v>0.85</v>
      </c>
      <c r="X3683">
        <v>0</v>
      </c>
      <c r="Y3683">
        <v>581</v>
      </c>
      <c r="Z3683">
        <v>555.30228470489919</v>
      </c>
      <c r="AA3683">
        <v>198</v>
      </c>
      <c r="AB3683">
        <v>332</v>
      </c>
      <c r="AC3683">
        <v>536</v>
      </c>
      <c r="AD3683">
        <v>0</v>
      </c>
      <c r="AE3683">
        <v>542</v>
      </c>
      <c r="AF3683">
        <v>0</v>
      </c>
      <c r="AG3683">
        <v>0</v>
      </c>
      <c r="AH3683">
        <v>129</v>
      </c>
      <c r="AI3683">
        <v>0</v>
      </c>
      <c r="AJ3683">
        <v>0</v>
      </c>
      <c r="AK3683">
        <v>23.8</v>
      </c>
      <c r="AL3683">
        <v>-20.134922099999951</v>
      </c>
      <c r="AM3683">
        <v>-44.909483975879112</v>
      </c>
      <c r="AN3683">
        <v>-20.134922099999951</v>
      </c>
      <c r="AO3683">
        <v>-44.909483975879112</v>
      </c>
      <c r="AP3683">
        <v>-20.134969000000002</v>
      </c>
      <c r="AQ3683">
        <v>-44.909384000000003</v>
      </c>
      <c r="AR3683">
        <v>11.68085867639515</v>
      </c>
      <c r="AS3683" t="s">
        <v>65</v>
      </c>
      <c r="AT3683">
        <v>1</v>
      </c>
      <c r="AU3683" t="s">
        <v>1362</v>
      </c>
      <c r="AV3683" t="s">
        <v>1363</v>
      </c>
      <c r="AW3683" t="s">
        <v>60</v>
      </c>
      <c r="AX3683" t="s">
        <v>68</v>
      </c>
      <c r="AY3683" t="s">
        <v>69</v>
      </c>
      <c r="AZ3683" t="b">
        <v>1</v>
      </c>
    </row>
    <row r="3684" spans="1:52" x14ac:dyDescent="0.3">
      <c r="A3684" t="s">
        <v>52</v>
      </c>
      <c r="B3684" t="s">
        <v>53</v>
      </c>
      <c r="C3684" t="s">
        <v>54</v>
      </c>
      <c r="D3684" t="s">
        <v>55</v>
      </c>
      <c r="E3684" t="s">
        <v>2205</v>
      </c>
      <c r="F3684" t="s">
        <v>1247</v>
      </c>
      <c r="G3684" t="s">
        <v>1364</v>
      </c>
      <c r="H3684" t="s">
        <v>1365</v>
      </c>
      <c r="I3684" t="s">
        <v>1365</v>
      </c>
      <c r="J3684" t="s">
        <v>60</v>
      </c>
      <c r="K3684" t="s">
        <v>1356</v>
      </c>
      <c r="L3684" t="s">
        <v>62</v>
      </c>
      <c r="M3684" t="s">
        <v>1356</v>
      </c>
      <c r="N3684" t="s">
        <v>1366</v>
      </c>
      <c r="O3684" t="s">
        <v>548</v>
      </c>
      <c r="P3684">
        <v>-20.131240999999999</v>
      </c>
      <c r="Q3684">
        <v>-44.910567999999998</v>
      </c>
      <c r="R3684" s="2" t="str">
        <f>HYPERLINK("https://www.google.com/maps?q=-20.1312410,-44.9105680","Abrir no Google Maps")</f>
        <v>Abrir no Google Maps</v>
      </c>
      <c r="S3684">
        <v>3</v>
      </c>
      <c r="T3684">
        <v>822.61354861726704</v>
      </c>
      <c r="U3684">
        <v>1</v>
      </c>
      <c r="V3684">
        <v>0</v>
      </c>
      <c r="W3684">
        <v>0.85</v>
      </c>
      <c r="X3684">
        <v>0</v>
      </c>
      <c r="Y3684">
        <v>581</v>
      </c>
      <c r="Z3684">
        <v>982.3990834787046</v>
      </c>
      <c r="AA3684">
        <v>198</v>
      </c>
      <c r="AB3684">
        <v>332</v>
      </c>
      <c r="AC3684">
        <v>536</v>
      </c>
      <c r="AD3684">
        <v>0</v>
      </c>
      <c r="AE3684">
        <v>542</v>
      </c>
      <c r="AF3684">
        <v>0</v>
      </c>
      <c r="AG3684">
        <v>0</v>
      </c>
      <c r="AH3684">
        <v>129</v>
      </c>
      <c r="AI3684">
        <v>0</v>
      </c>
      <c r="AJ3684">
        <v>0</v>
      </c>
      <c r="AK3684">
        <v>23.8</v>
      </c>
      <c r="AL3684">
        <v>-20.131367099999981</v>
      </c>
      <c r="AM3684">
        <v>-44.910597350758543</v>
      </c>
      <c r="AN3684">
        <v>-20.131367099999981</v>
      </c>
      <c r="AO3684">
        <v>-44.910597350758543</v>
      </c>
      <c r="AP3684">
        <v>-20.131240999999999</v>
      </c>
      <c r="AQ3684">
        <v>-44.910567999999998</v>
      </c>
      <c r="AR3684">
        <v>14.36874794070623</v>
      </c>
      <c r="AS3684" t="s">
        <v>65</v>
      </c>
      <c r="AT3684">
        <v>1</v>
      </c>
      <c r="AU3684" t="s">
        <v>1367</v>
      </c>
      <c r="AV3684" t="s">
        <v>1368</v>
      </c>
      <c r="AW3684" t="s">
        <v>60</v>
      </c>
      <c r="AX3684" t="s">
        <v>68</v>
      </c>
      <c r="AY3684" t="s">
        <v>69</v>
      </c>
      <c r="AZ3684" t="b">
        <v>1</v>
      </c>
    </row>
    <row r="3685" spans="1:52" x14ac:dyDescent="0.3">
      <c r="A3685" t="s">
        <v>52</v>
      </c>
      <c r="B3685" t="s">
        <v>53</v>
      </c>
      <c r="C3685" t="s">
        <v>54</v>
      </c>
      <c r="D3685" t="s">
        <v>55</v>
      </c>
      <c r="E3685" t="s">
        <v>2205</v>
      </c>
      <c r="F3685" t="s">
        <v>1247</v>
      </c>
      <c r="G3685" t="s">
        <v>1364</v>
      </c>
      <c r="H3685" t="s">
        <v>1369</v>
      </c>
      <c r="I3685" t="s">
        <v>1369</v>
      </c>
      <c r="J3685" t="s">
        <v>60</v>
      </c>
      <c r="K3685" t="s">
        <v>1370</v>
      </c>
      <c r="L3685" t="s">
        <v>62</v>
      </c>
      <c r="M3685" t="s">
        <v>1370</v>
      </c>
      <c r="N3685" t="s">
        <v>1366</v>
      </c>
      <c r="O3685" t="s">
        <v>989</v>
      </c>
      <c r="P3685">
        <v>-20.141185</v>
      </c>
      <c r="Q3685">
        <v>-44.914200999999998</v>
      </c>
      <c r="R3685" s="2" t="str">
        <f>HYPERLINK("https://www.google.com/maps?q=-20.1411850,-44.9142010","Abrir no Google Maps")</f>
        <v>Abrir no Google Maps</v>
      </c>
      <c r="S3685">
        <v>3</v>
      </c>
      <c r="T3685">
        <v>512.52588459346453</v>
      </c>
      <c r="U3685">
        <v>1</v>
      </c>
      <c r="V3685">
        <v>0</v>
      </c>
      <c r="W3685">
        <v>0.85</v>
      </c>
      <c r="X3685">
        <v>0</v>
      </c>
      <c r="Y3685">
        <v>581</v>
      </c>
      <c r="Z3685">
        <v>473.10673043319349</v>
      </c>
      <c r="AA3685">
        <v>198</v>
      </c>
      <c r="AB3685">
        <v>332</v>
      </c>
      <c r="AC3685">
        <v>536</v>
      </c>
      <c r="AD3685">
        <v>0</v>
      </c>
      <c r="AE3685">
        <v>542</v>
      </c>
      <c r="AF3685">
        <v>0</v>
      </c>
      <c r="AG3685">
        <v>0</v>
      </c>
      <c r="AH3685">
        <v>129</v>
      </c>
      <c r="AI3685">
        <v>0</v>
      </c>
      <c r="AJ3685">
        <v>0</v>
      </c>
      <c r="AK3685">
        <v>23.8</v>
      </c>
      <c r="AL3685">
        <v>-20.14133909999995</v>
      </c>
      <c r="AM3685">
        <v>-44.913910219286038</v>
      </c>
      <c r="AN3685">
        <v>-20.14133909999995</v>
      </c>
      <c r="AO3685">
        <v>-44.913910219286038</v>
      </c>
      <c r="AP3685">
        <v>-20.141185</v>
      </c>
      <c r="AQ3685">
        <v>-44.914200999999998</v>
      </c>
      <c r="AR3685">
        <v>34.897514361429593</v>
      </c>
      <c r="AS3685" t="s">
        <v>65</v>
      </c>
      <c r="AT3685">
        <v>1</v>
      </c>
      <c r="AU3685" t="s">
        <v>1371</v>
      </c>
      <c r="AV3685" t="s">
        <v>863</v>
      </c>
      <c r="AW3685" t="s">
        <v>60</v>
      </c>
      <c r="AX3685" t="s">
        <v>68</v>
      </c>
      <c r="AY3685" t="s">
        <v>69</v>
      </c>
      <c r="AZ3685" t="b">
        <v>1</v>
      </c>
    </row>
    <row r="3686" spans="1:52" x14ac:dyDescent="0.3">
      <c r="A3686" t="s">
        <v>52</v>
      </c>
      <c r="B3686" t="s">
        <v>53</v>
      </c>
      <c r="C3686" t="s">
        <v>54</v>
      </c>
      <c r="D3686" t="s">
        <v>55</v>
      </c>
      <c r="E3686" t="s">
        <v>2205</v>
      </c>
      <c r="F3686" t="s">
        <v>1247</v>
      </c>
      <c r="G3686" t="s">
        <v>858</v>
      </c>
      <c r="H3686" t="s">
        <v>859</v>
      </c>
      <c r="I3686" t="s">
        <v>859</v>
      </c>
      <c r="J3686" t="s">
        <v>60</v>
      </c>
      <c r="K3686" t="s">
        <v>462</v>
      </c>
      <c r="L3686" t="s">
        <v>62</v>
      </c>
      <c r="M3686" t="s">
        <v>462</v>
      </c>
      <c r="N3686" t="s">
        <v>860</v>
      </c>
      <c r="O3686" t="s">
        <v>861</v>
      </c>
      <c r="P3686">
        <v>-20.139693999999999</v>
      </c>
      <c r="Q3686">
        <v>-44.911256000000002</v>
      </c>
      <c r="R3686" s="2" t="str">
        <f>HYPERLINK("https://www.google.com/maps?q=-20.1396940,-44.9112560","Abrir no Google Maps")</f>
        <v>Abrir no Google Maps</v>
      </c>
      <c r="S3686">
        <v>3</v>
      </c>
      <c r="T3686">
        <v>380.48036838042862</v>
      </c>
      <c r="U3686">
        <v>1</v>
      </c>
      <c r="V3686">
        <v>0</v>
      </c>
      <c r="W3686">
        <v>0.85</v>
      </c>
      <c r="X3686">
        <v>0</v>
      </c>
      <c r="Y3686">
        <v>581</v>
      </c>
      <c r="Z3686">
        <v>374.61146000000178</v>
      </c>
      <c r="AA3686">
        <v>198</v>
      </c>
      <c r="AB3686">
        <v>332</v>
      </c>
      <c r="AC3686">
        <v>536</v>
      </c>
      <c r="AD3686">
        <v>0</v>
      </c>
      <c r="AE3686">
        <v>542</v>
      </c>
      <c r="AF3686">
        <v>0</v>
      </c>
      <c r="AG3686">
        <v>0</v>
      </c>
      <c r="AH3686">
        <v>129</v>
      </c>
      <c r="AI3686">
        <v>0</v>
      </c>
      <c r="AJ3686">
        <v>0</v>
      </c>
      <c r="AK3686">
        <v>23.8</v>
      </c>
      <c r="AL3686">
        <v>-20.139768699999959</v>
      </c>
      <c r="AM3686">
        <v>-44.911265351587588</v>
      </c>
      <c r="AN3686">
        <v>-20.139768699999959</v>
      </c>
      <c r="AO3686">
        <v>-44.911265351587588</v>
      </c>
      <c r="AP3686">
        <v>-20.139693999999999</v>
      </c>
      <c r="AQ3686">
        <v>-44.911256000000002</v>
      </c>
      <c r="AR3686">
        <v>8.3728438666521061</v>
      </c>
      <c r="AS3686" t="s">
        <v>65</v>
      </c>
      <c r="AT3686">
        <v>1</v>
      </c>
      <c r="AU3686" t="s">
        <v>862</v>
      </c>
      <c r="AV3686" t="s">
        <v>863</v>
      </c>
      <c r="AW3686" t="s">
        <v>60</v>
      </c>
      <c r="AX3686" t="s">
        <v>68</v>
      </c>
      <c r="AY3686" t="s">
        <v>69</v>
      </c>
      <c r="AZ3686" t="b">
        <v>1</v>
      </c>
    </row>
    <row r="3687" spans="1:52" x14ac:dyDescent="0.3">
      <c r="A3687" t="s">
        <v>52</v>
      </c>
      <c r="B3687" t="s">
        <v>53</v>
      </c>
      <c r="C3687" t="s">
        <v>54</v>
      </c>
      <c r="D3687" t="s">
        <v>55</v>
      </c>
      <c r="E3687" t="s">
        <v>2205</v>
      </c>
      <c r="F3687" t="s">
        <v>1247</v>
      </c>
      <c r="G3687" t="s">
        <v>864</v>
      </c>
      <c r="H3687" t="s">
        <v>865</v>
      </c>
      <c r="I3687" t="s">
        <v>865</v>
      </c>
      <c r="J3687" t="s">
        <v>60</v>
      </c>
      <c r="K3687" t="s">
        <v>486</v>
      </c>
      <c r="L3687" t="s">
        <v>62</v>
      </c>
      <c r="M3687" t="s">
        <v>486</v>
      </c>
      <c r="N3687" t="s">
        <v>866</v>
      </c>
      <c r="O3687" t="s">
        <v>867</v>
      </c>
      <c r="P3687">
        <v>-20.170919000000001</v>
      </c>
      <c r="Q3687">
        <v>-44.905451999999997</v>
      </c>
      <c r="R3687" s="2" t="str">
        <f>HYPERLINK("https://www.google.com/maps?q=-20.1709190,-44.9054520","Abrir no Google Maps")</f>
        <v>Abrir no Google Maps</v>
      </c>
      <c r="S3687">
        <v>3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578</v>
      </c>
      <c r="Z3687">
        <v>205.34598855748419</v>
      </c>
      <c r="AA3687">
        <v>198</v>
      </c>
      <c r="AB3687">
        <v>332</v>
      </c>
      <c r="AC3687">
        <v>536</v>
      </c>
      <c r="AD3687">
        <v>0</v>
      </c>
      <c r="AE3687">
        <v>542</v>
      </c>
      <c r="AF3687">
        <v>0</v>
      </c>
      <c r="AG3687">
        <v>0</v>
      </c>
      <c r="AH3687">
        <v>129</v>
      </c>
      <c r="AI3687">
        <v>0</v>
      </c>
      <c r="AJ3687">
        <v>0</v>
      </c>
      <c r="AK3687">
        <v>23.8</v>
      </c>
      <c r="AL3687">
        <v>-20.170854399999939</v>
      </c>
      <c r="AM3687">
        <v>-44.905524839633358</v>
      </c>
      <c r="AN3687">
        <v>-20.170854399999939</v>
      </c>
      <c r="AO3687">
        <v>-44.905524839633358</v>
      </c>
      <c r="AP3687">
        <v>-20.170919000000001</v>
      </c>
      <c r="AQ3687">
        <v>-44.905451999999997</v>
      </c>
      <c r="AR3687">
        <v>10.471140355179269</v>
      </c>
      <c r="AS3687" t="s">
        <v>65</v>
      </c>
      <c r="AT3687">
        <v>1</v>
      </c>
      <c r="AU3687" t="s">
        <v>868</v>
      </c>
      <c r="AV3687" t="s">
        <v>869</v>
      </c>
      <c r="AW3687" t="s">
        <v>60</v>
      </c>
      <c r="AX3687" t="s">
        <v>68</v>
      </c>
      <c r="AY3687" t="s">
        <v>69</v>
      </c>
      <c r="AZ3687" t="b">
        <v>1</v>
      </c>
    </row>
    <row r="3688" spans="1:52" x14ac:dyDescent="0.3">
      <c r="A3688" t="s">
        <v>52</v>
      </c>
      <c r="B3688" t="s">
        <v>53</v>
      </c>
      <c r="C3688" t="s">
        <v>54</v>
      </c>
      <c r="D3688" t="s">
        <v>55</v>
      </c>
      <c r="E3688" t="s">
        <v>2205</v>
      </c>
      <c r="F3688" t="s">
        <v>1247</v>
      </c>
      <c r="G3688" t="s">
        <v>1300</v>
      </c>
      <c r="H3688" t="s">
        <v>1372</v>
      </c>
      <c r="I3688" t="s">
        <v>1372</v>
      </c>
      <c r="J3688" t="s">
        <v>60</v>
      </c>
      <c r="K3688" t="s">
        <v>486</v>
      </c>
      <c r="L3688" t="s">
        <v>62</v>
      </c>
      <c r="M3688" t="s">
        <v>486</v>
      </c>
      <c r="N3688" t="s">
        <v>1303</v>
      </c>
      <c r="O3688" t="s">
        <v>1373</v>
      </c>
      <c r="P3688">
        <v>-20.170458</v>
      </c>
      <c r="Q3688">
        <v>-44.900936000000002</v>
      </c>
      <c r="R3688" s="2" t="str">
        <f>HYPERLINK("https://www.google.com/maps?q=-20.1704580,-44.9009360","Abrir no Google Maps")</f>
        <v>Abrir no Google Maps</v>
      </c>
      <c r="S3688">
        <v>3</v>
      </c>
      <c r="T3688">
        <v>470.55793133653339</v>
      </c>
      <c r="U3688">
        <v>1</v>
      </c>
      <c r="V3688">
        <v>0</v>
      </c>
      <c r="W3688">
        <v>0.85</v>
      </c>
      <c r="X3688">
        <v>0</v>
      </c>
      <c r="Y3688">
        <v>578</v>
      </c>
      <c r="Z3688">
        <v>645.48909402437766</v>
      </c>
      <c r="AA3688">
        <v>198</v>
      </c>
      <c r="AB3688">
        <v>332</v>
      </c>
      <c r="AC3688">
        <v>536</v>
      </c>
      <c r="AD3688">
        <v>0</v>
      </c>
      <c r="AE3688">
        <v>542</v>
      </c>
      <c r="AF3688">
        <v>0</v>
      </c>
      <c r="AG3688">
        <v>0</v>
      </c>
      <c r="AH3688">
        <v>129</v>
      </c>
      <c r="AI3688">
        <v>0</v>
      </c>
      <c r="AJ3688">
        <v>0</v>
      </c>
      <c r="AK3688">
        <v>23.8</v>
      </c>
      <c r="AL3688">
        <v>-20.17025029999996</v>
      </c>
      <c r="AM3688">
        <v>-44.901067235372473</v>
      </c>
      <c r="AN3688">
        <v>-20.17025029999996</v>
      </c>
      <c r="AO3688">
        <v>-44.901067235372473</v>
      </c>
      <c r="AP3688">
        <v>-20.170458</v>
      </c>
      <c r="AQ3688">
        <v>-44.900936000000002</v>
      </c>
      <c r="AR3688">
        <v>26.88195352459519</v>
      </c>
      <c r="AS3688" t="s">
        <v>65</v>
      </c>
      <c r="AT3688">
        <v>1</v>
      </c>
      <c r="AU3688" t="s">
        <v>1374</v>
      </c>
      <c r="AV3688" t="s">
        <v>1375</v>
      </c>
      <c r="AW3688" t="s">
        <v>60</v>
      </c>
      <c r="AX3688" t="s">
        <v>68</v>
      </c>
      <c r="AY3688" t="s">
        <v>69</v>
      </c>
      <c r="AZ3688" t="b">
        <v>1</v>
      </c>
    </row>
    <row r="3689" spans="1:52" x14ac:dyDescent="0.3">
      <c r="A3689" t="s">
        <v>52</v>
      </c>
      <c r="B3689" t="s">
        <v>53</v>
      </c>
      <c r="C3689" t="s">
        <v>54</v>
      </c>
      <c r="D3689" t="s">
        <v>55</v>
      </c>
      <c r="E3689" t="s">
        <v>2205</v>
      </c>
      <c r="F3689" t="s">
        <v>1247</v>
      </c>
      <c r="G3689" t="s">
        <v>1376</v>
      </c>
      <c r="H3689" t="s">
        <v>1377</v>
      </c>
      <c r="I3689" t="s">
        <v>1377</v>
      </c>
      <c r="J3689" t="s">
        <v>60</v>
      </c>
      <c r="K3689" t="s">
        <v>475</v>
      </c>
      <c r="L3689" t="s">
        <v>62</v>
      </c>
      <c r="M3689" t="s">
        <v>475</v>
      </c>
      <c r="N3689" t="s">
        <v>1378</v>
      </c>
      <c r="O3689" t="s">
        <v>1379</v>
      </c>
      <c r="P3689">
        <v>-20.175298000000002</v>
      </c>
      <c r="Q3689">
        <v>-44.904794000000003</v>
      </c>
      <c r="R3689" s="2" t="str">
        <f>HYPERLINK("https://www.google.com/maps?q=-20.1752980,-44.9047940","Abrir no Google Maps")</f>
        <v>Abrir no Google Maps</v>
      </c>
      <c r="S3689">
        <v>3</v>
      </c>
      <c r="T3689">
        <v>497.7557906927301</v>
      </c>
      <c r="U3689">
        <v>1</v>
      </c>
      <c r="V3689">
        <v>0</v>
      </c>
      <c r="W3689">
        <v>0.85</v>
      </c>
      <c r="X3689">
        <v>0</v>
      </c>
      <c r="Y3689">
        <v>578</v>
      </c>
      <c r="Z3689">
        <v>363.80816567363502</v>
      </c>
      <c r="AA3689">
        <v>198</v>
      </c>
      <c r="AB3689">
        <v>332</v>
      </c>
      <c r="AC3689">
        <v>536</v>
      </c>
      <c r="AD3689">
        <v>0</v>
      </c>
      <c r="AE3689">
        <v>542</v>
      </c>
      <c r="AF3689">
        <v>0</v>
      </c>
      <c r="AG3689">
        <v>0</v>
      </c>
      <c r="AH3689">
        <v>129</v>
      </c>
      <c r="AI3689">
        <v>0</v>
      </c>
      <c r="AJ3689">
        <v>0</v>
      </c>
      <c r="AK3689">
        <v>23.8</v>
      </c>
      <c r="AL3689">
        <v>-20.17530484999995</v>
      </c>
      <c r="AM3689">
        <v>-44.904834224351781</v>
      </c>
      <c r="AN3689">
        <v>-20.17530484999995</v>
      </c>
      <c r="AO3689">
        <v>-44.904834224351781</v>
      </c>
      <c r="AP3689">
        <v>-20.175298000000002</v>
      </c>
      <c r="AQ3689">
        <v>-44.904794000000003</v>
      </c>
      <c r="AR3689">
        <v>4.2716392411563806</v>
      </c>
      <c r="AS3689" t="s">
        <v>65</v>
      </c>
      <c r="AT3689">
        <v>1</v>
      </c>
      <c r="AU3689" t="s">
        <v>1380</v>
      </c>
      <c r="AV3689" t="s">
        <v>1381</v>
      </c>
      <c r="AW3689" t="s">
        <v>60</v>
      </c>
      <c r="AX3689" t="s">
        <v>68</v>
      </c>
      <c r="AY3689" t="s">
        <v>69</v>
      </c>
      <c r="AZ3689" t="b">
        <v>1</v>
      </c>
    </row>
    <row r="3690" spans="1:52" x14ac:dyDescent="0.3">
      <c r="A3690" t="s">
        <v>52</v>
      </c>
      <c r="B3690" t="s">
        <v>53</v>
      </c>
      <c r="C3690" t="s">
        <v>54</v>
      </c>
      <c r="D3690" t="s">
        <v>55</v>
      </c>
      <c r="E3690" t="s">
        <v>2205</v>
      </c>
      <c r="F3690" t="s">
        <v>1247</v>
      </c>
      <c r="G3690" t="s">
        <v>870</v>
      </c>
      <c r="H3690" t="s">
        <v>871</v>
      </c>
      <c r="I3690" t="s">
        <v>871</v>
      </c>
      <c r="J3690" t="s">
        <v>60</v>
      </c>
      <c r="K3690" t="s">
        <v>475</v>
      </c>
      <c r="L3690" t="s">
        <v>62</v>
      </c>
      <c r="M3690" t="s">
        <v>475</v>
      </c>
      <c r="N3690" t="s">
        <v>872</v>
      </c>
      <c r="O3690" t="s">
        <v>507</v>
      </c>
      <c r="P3690">
        <v>-20.176269999999999</v>
      </c>
      <c r="Q3690">
        <v>-44.909323999999998</v>
      </c>
      <c r="R3690" s="2" t="str">
        <f>HYPERLINK("https://www.google.com/maps?q=-20.1762700,-44.9093240","Abrir no Google Maps")</f>
        <v>Abrir no Google Maps</v>
      </c>
      <c r="S3690">
        <v>3</v>
      </c>
      <c r="T3690">
        <v>472.42731136821368</v>
      </c>
      <c r="U3690">
        <v>1</v>
      </c>
      <c r="V3690">
        <v>0</v>
      </c>
      <c r="W3690">
        <v>1</v>
      </c>
      <c r="X3690">
        <v>0</v>
      </c>
      <c r="Y3690">
        <v>578</v>
      </c>
      <c r="Z3690">
        <v>495.19726726344601</v>
      </c>
      <c r="AA3690">
        <v>198</v>
      </c>
      <c r="AB3690">
        <v>332</v>
      </c>
      <c r="AC3690">
        <v>536</v>
      </c>
      <c r="AD3690">
        <v>0</v>
      </c>
      <c r="AE3690">
        <v>542</v>
      </c>
      <c r="AF3690">
        <v>0</v>
      </c>
      <c r="AG3690">
        <v>0</v>
      </c>
      <c r="AH3690">
        <v>129</v>
      </c>
      <c r="AI3690">
        <v>0</v>
      </c>
      <c r="AJ3690">
        <v>0</v>
      </c>
      <c r="AK3690">
        <v>23.8</v>
      </c>
      <c r="AL3690">
        <v>-20.17630284999996</v>
      </c>
      <c r="AM3690">
        <v>-44.909199064318948</v>
      </c>
      <c r="AN3690">
        <v>-20.17630284999996</v>
      </c>
      <c r="AO3690">
        <v>-44.909199064318948</v>
      </c>
      <c r="AP3690">
        <v>-20.176269999999999</v>
      </c>
      <c r="AQ3690">
        <v>-44.909323999999998</v>
      </c>
      <c r="AR3690">
        <v>13.55691308737447</v>
      </c>
      <c r="AS3690" t="s">
        <v>65</v>
      </c>
      <c r="AT3690">
        <v>1</v>
      </c>
      <c r="AU3690" t="s">
        <v>873</v>
      </c>
      <c r="AV3690" t="s">
        <v>874</v>
      </c>
      <c r="AW3690" t="s">
        <v>60</v>
      </c>
      <c r="AX3690" t="s">
        <v>68</v>
      </c>
      <c r="AY3690" t="s">
        <v>69</v>
      </c>
      <c r="AZ3690" t="b">
        <v>1</v>
      </c>
    </row>
    <row r="3691" spans="1:52" x14ac:dyDescent="0.3">
      <c r="A3691" t="s">
        <v>52</v>
      </c>
      <c r="B3691" t="s">
        <v>53</v>
      </c>
      <c r="C3691" t="s">
        <v>54</v>
      </c>
      <c r="D3691" t="s">
        <v>55</v>
      </c>
      <c r="E3691" t="s">
        <v>2205</v>
      </c>
      <c r="F3691" t="s">
        <v>1247</v>
      </c>
      <c r="G3691" t="s">
        <v>1382</v>
      </c>
      <c r="H3691" t="s">
        <v>1383</v>
      </c>
      <c r="I3691" t="s">
        <v>1383</v>
      </c>
      <c r="J3691" t="s">
        <v>60</v>
      </c>
      <c r="K3691" t="s">
        <v>1384</v>
      </c>
      <c r="L3691" t="s">
        <v>62</v>
      </c>
      <c r="M3691" t="s">
        <v>1384</v>
      </c>
      <c r="N3691" t="s">
        <v>1385</v>
      </c>
      <c r="O3691" t="s">
        <v>1379</v>
      </c>
      <c r="P3691">
        <v>-20.168914999999998</v>
      </c>
      <c r="Q3691">
        <v>-44.897015000000003</v>
      </c>
      <c r="R3691" s="2" t="str">
        <f>HYPERLINK("https://www.google.com/maps?q=-20.1689150,-44.8970150","Abrir no Google Maps")</f>
        <v>Abrir no Google Maps</v>
      </c>
      <c r="S3691">
        <v>3</v>
      </c>
      <c r="T3691">
        <v>1082.4313448281291</v>
      </c>
      <c r="U3691">
        <v>1</v>
      </c>
      <c r="V3691">
        <v>0</v>
      </c>
      <c r="W3691">
        <v>0.85</v>
      </c>
      <c r="X3691">
        <v>0</v>
      </c>
      <c r="Y3691">
        <v>578</v>
      </c>
      <c r="Z3691">
        <v>1085.6751638476369</v>
      </c>
      <c r="AA3691">
        <v>198</v>
      </c>
      <c r="AB3691">
        <v>332</v>
      </c>
      <c r="AC3691">
        <v>536</v>
      </c>
      <c r="AD3691">
        <v>0</v>
      </c>
      <c r="AE3691">
        <v>542</v>
      </c>
      <c r="AF3691">
        <v>0</v>
      </c>
      <c r="AG3691">
        <v>0</v>
      </c>
      <c r="AH3691">
        <v>129</v>
      </c>
      <c r="AI3691">
        <v>0</v>
      </c>
      <c r="AJ3691">
        <v>0</v>
      </c>
      <c r="AK3691">
        <v>23.8</v>
      </c>
      <c r="AL3691">
        <v>-20.168195549999979</v>
      </c>
      <c r="AM3691">
        <v>-44.895555997240763</v>
      </c>
      <c r="AN3691">
        <v>-20.168195549999979</v>
      </c>
      <c r="AO3691">
        <v>-44.895555997240763</v>
      </c>
      <c r="AP3691">
        <v>-20.168914999999998</v>
      </c>
      <c r="AQ3691">
        <v>-44.897015000000003</v>
      </c>
      <c r="AR3691">
        <v>172.21377736735809</v>
      </c>
      <c r="AS3691" t="s">
        <v>65</v>
      </c>
      <c r="AT3691">
        <v>1</v>
      </c>
      <c r="AU3691" t="s">
        <v>1386</v>
      </c>
      <c r="AV3691" t="s">
        <v>1387</v>
      </c>
      <c r="AW3691" t="s">
        <v>60</v>
      </c>
      <c r="AX3691" t="s">
        <v>68</v>
      </c>
      <c r="AY3691" t="s">
        <v>69</v>
      </c>
      <c r="AZ3691" t="b">
        <v>1</v>
      </c>
    </row>
    <row r="3692" spans="1:52" x14ac:dyDescent="0.3">
      <c r="A3692" t="s">
        <v>52</v>
      </c>
      <c r="B3692" t="s">
        <v>53</v>
      </c>
      <c r="C3692" t="s">
        <v>54</v>
      </c>
      <c r="D3692" t="s">
        <v>55</v>
      </c>
      <c r="E3692" t="s">
        <v>2205</v>
      </c>
      <c r="F3692" t="s">
        <v>1247</v>
      </c>
      <c r="G3692" t="s">
        <v>473</v>
      </c>
      <c r="H3692" t="s">
        <v>474</v>
      </c>
      <c r="I3692" t="s">
        <v>474</v>
      </c>
      <c r="J3692" t="s">
        <v>60</v>
      </c>
      <c r="K3692" t="s">
        <v>475</v>
      </c>
      <c r="L3692" t="s">
        <v>62</v>
      </c>
      <c r="M3692" t="s">
        <v>475</v>
      </c>
      <c r="N3692" t="s">
        <v>406</v>
      </c>
      <c r="O3692" t="s">
        <v>476</v>
      </c>
      <c r="P3692">
        <v>-20.177902</v>
      </c>
      <c r="Q3692">
        <v>-44.908504000000001</v>
      </c>
      <c r="R3692" s="2" t="str">
        <f>HYPERLINK("https://www.google.com/maps?q=-20.1779020,-44.9085040","Abrir no Google Maps")</f>
        <v>Abrir no Google Maps</v>
      </c>
      <c r="S3692">
        <v>3</v>
      </c>
      <c r="T3692">
        <v>656.92307673247149</v>
      </c>
      <c r="U3692">
        <v>1</v>
      </c>
      <c r="V3692">
        <v>0</v>
      </c>
      <c r="W3692">
        <v>1</v>
      </c>
      <c r="X3692">
        <v>0</v>
      </c>
      <c r="Y3692">
        <v>578</v>
      </c>
      <c r="Z3692">
        <v>635.01982153722327</v>
      </c>
      <c r="AA3692">
        <v>198</v>
      </c>
      <c r="AB3692">
        <v>332</v>
      </c>
      <c r="AC3692">
        <v>536</v>
      </c>
      <c r="AD3692">
        <v>0</v>
      </c>
      <c r="AE3692">
        <v>542</v>
      </c>
      <c r="AF3692">
        <v>0</v>
      </c>
      <c r="AG3692">
        <v>0</v>
      </c>
      <c r="AH3692">
        <v>129</v>
      </c>
      <c r="AI3692">
        <v>0</v>
      </c>
      <c r="AJ3692">
        <v>0</v>
      </c>
      <c r="AK3692">
        <v>23.8</v>
      </c>
      <c r="AL3692">
        <v>-20.177800399999938</v>
      </c>
      <c r="AM3692">
        <v>-44.908361879701268</v>
      </c>
      <c r="AN3692">
        <v>-20.177800399999938</v>
      </c>
      <c r="AO3692">
        <v>-44.908361879701268</v>
      </c>
      <c r="AP3692">
        <v>-20.177902</v>
      </c>
      <c r="AQ3692">
        <v>-44.908504000000001</v>
      </c>
      <c r="AR3692">
        <v>18.666463141775541</v>
      </c>
      <c r="AS3692" t="s">
        <v>65</v>
      </c>
      <c r="AT3692">
        <v>1</v>
      </c>
      <c r="AU3692" t="s">
        <v>477</v>
      </c>
      <c r="AV3692" t="s">
        <v>478</v>
      </c>
      <c r="AW3692" t="s">
        <v>60</v>
      </c>
      <c r="AX3692" t="s">
        <v>68</v>
      </c>
      <c r="AY3692" t="s">
        <v>69</v>
      </c>
      <c r="AZ3692" t="b">
        <v>1</v>
      </c>
    </row>
    <row r="3693" spans="1:52" x14ac:dyDescent="0.3">
      <c r="A3693" t="s">
        <v>52</v>
      </c>
      <c r="B3693" t="s">
        <v>53</v>
      </c>
      <c r="C3693" t="s">
        <v>54</v>
      </c>
      <c r="D3693" t="s">
        <v>55</v>
      </c>
      <c r="E3693" t="s">
        <v>2205</v>
      </c>
      <c r="F3693" t="s">
        <v>1247</v>
      </c>
      <c r="G3693" t="s">
        <v>479</v>
      </c>
      <c r="H3693" t="s">
        <v>480</v>
      </c>
      <c r="I3693" t="s">
        <v>480</v>
      </c>
      <c r="J3693" t="s">
        <v>60</v>
      </c>
      <c r="K3693" t="s">
        <v>388</v>
      </c>
      <c r="L3693" t="s">
        <v>62</v>
      </c>
      <c r="M3693" t="s">
        <v>388</v>
      </c>
      <c r="N3693" t="s">
        <v>481</v>
      </c>
      <c r="O3693" t="s">
        <v>315</v>
      </c>
      <c r="P3693">
        <v>-20.166903999999999</v>
      </c>
      <c r="Q3693">
        <v>-44.903492</v>
      </c>
      <c r="R3693" s="2" t="str">
        <f>HYPERLINK("https://www.google.com/maps?q=-20.1669040,-44.9034920","Abrir no Google Maps")</f>
        <v>Abrir no Google Maps</v>
      </c>
      <c r="S3693">
        <v>3</v>
      </c>
      <c r="T3693">
        <v>517.12253532511602</v>
      </c>
      <c r="U3693">
        <v>1</v>
      </c>
      <c r="V3693">
        <v>0</v>
      </c>
      <c r="W3693">
        <v>1</v>
      </c>
      <c r="X3693">
        <v>0</v>
      </c>
      <c r="Y3693">
        <v>578</v>
      </c>
      <c r="Z3693">
        <v>721.79551240050432</v>
      </c>
      <c r="AA3693">
        <v>198</v>
      </c>
      <c r="AB3693">
        <v>332</v>
      </c>
      <c r="AC3693">
        <v>536</v>
      </c>
      <c r="AD3693">
        <v>0</v>
      </c>
      <c r="AE3693">
        <v>542</v>
      </c>
      <c r="AF3693">
        <v>0</v>
      </c>
      <c r="AG3693">
        <v>0</v>
      </c>
      <c r="AH3693">
        <v>129</v>
      </c>
      <c r="AI3693">
        <v>0</v>
      </c>
      <c r="AJ3693">
        <v>0</v>
      </c>
      <c r="AK3693">
        <v>23.8</v>
      </c>
      <c r="AL3693">
        <v>-20.166610649999971</v>
      </c>
      <c r="AM3693">
        <v>-44.903452988928308</v>
      </c>
      <c r="AN3693">
        <v>-20.166610649999971</v>
      </c>
      <c r="AO3693">
        <v>-44.903452988928308</v>
      </c>
      <c r="AP3693">
        <v>-20.166903999999999</v>
      </c>
      <c r="AQ3693">
        <v>-44.903492</v>
      </c>
      <c r="AR3693">
        <v>32.909175876856217</v>
      </c>
      <c r="AS3693" t="s">
        <v>65</v>
      </c>
      <c r="AT3693">
        <v>1</v>
      </c>
      <c r="AU3693" t="s">
        <v>482</v>
      </c>
      <c r="AV3693" t="s">
        <v>483</v>
      </c>
      <c r="AW3693" t="s">
        <v>60</v>
      </c>
      <c r="AX3693" t="s">
        <v>68</v>
      </c>
      <c r="AY3693" t="s">
        <v>69</v>
      </c>
      <c r="AZ3693" t="b">
        <v>1</v>
      </c>
    </row>
    <row r="3694" spans="1:52" x14ac:dyDescent="0.3">
      <c r="A3694" t="s">
        <v>52</v>
      </c>
      <c r="B3694" t="s">
        <v>53</v>
      </c>
      <c r="C3694" t="s">
        <v>54</v>
      </c>
      <c r="D3694" t="s">
        <v>55</v>
      </c>
      <c r="E3694" t="s">
        <v>2205</v>
      </c>
      <c r="F3694" t="s">
        <v>1247</v>
      </c>
      <c r="G3694" t="s">
        <v>1424</v>
      </c>
      <c r="H3694" t="s">
        <v>1425</v>
      </c>
      <c r="I3694" t="s">
        <v>1425</v>
      </c>
      <c r="J3694" t="s">
        <v>60</v>
      </c>
      <c r="K3694" t="s">
        <v>1324</v>
      </c>
      <c r="L3694" t="s">
        <v>62</v>
      </c>
      <c r="M3694" t="s">
        <v>1324</v>
      </c>
      <c r="N3694" t="s">
        <v>1426</v>
      </c>
      <c r="O3694" t="s">
        <v>938</v>
      </c>
      <c r="P3694">
        <v>-20.172844999999999</v>
      </c>
      <c r="Q3694">
        <v>-44.909215000000003</v>
      </c>
      <c r="R3694" s="2" t="str">
        <f>HYPERLINK("https://www.google.com/maps?q=-20.1728450,-44.9092150","Abrir no Google Maps")</f>
        <v>Abrir no Google Maps</v>
      </c>
      <c r="S3694">
        <v>3</v>
      </c>
      <c r="T3694">
        <v>0</v>
      </c>
      <c r="U3694">
        <v>1</v>
      </c>
      <c r="V3694">
        <v>0</v>
      </c>
      <c r="W3694">
        <v>0.85</v>
      </c>
      <c r="X3694">
        <v>0</v>
      </c>
      <c r="Y3694">
        <v>578</v>
      </c>
      <c r="Z3694">
        <v>365.56549317689053</v>
      </c>
      <c r="AA3694">
        <v>198</v>
      </c>
      <c r="AB3694">
        <v>332</v>
      </c>
      <c r="AC3694">
        <v>536</v>
      </c>
      <c r="AD3694">
        <v>0</v>
      </c>
      <c r="AE3694">
        <v>542</v>
      </c>
      <c r="AF3694">
        <v>0</v>
      </c>
      <c r="AG3694">
        <v>0</v>
      </c>
      <c r="AH3694">
        <v>129</v>
      </c>
      <c r="AI3694">
        <v>0</v>
      </c>
      <c r="AJ3694">
        <v>0</v>
      </c>
      <c r="AK3694">
        <v>23.8</v>
      </c>
      <c r="AL3694">
        <v>-20.172197349999941</v>
      </c>
      <c r="AM3694">
        <v>-44.910438675762883</v>
      </c>
      <c r="AN3694">
        <v>-20.172197349999941</v>
      </c>
      <c r="AO3694">
        <v>-44.910438675762883</v>
      </c>
      <c r="AP3694">
        <v>-20.172844999999999</v>
      </c>
      <c r="AQ3694">
        <v>-44.909215000000003</v>
      </c>
      <c r="AR3694">
        <v>146.78922919749749</v>
      </c>
      <c r="AS3694" t="s">
        <v>65</v>
      </c>
      <c r="AT3694">
        <v>1</v>
      </c>
      <c r="AU3694" t="s">
        <v>1427</v>
      </c>
      <c r="AV3694" t="s">
        <v>1428</v>
      </c>
      <c r="AW3694" t="s">
        <v>60</v>
      </c>
      <c r="AX3694" t="s">
        <v>68</v>
      </c>
      <c r="AY3694" t="s">
        <v>69</v>
      </c>
      <c r="AZ3694" t="b">
        <v>1</v>
      </c>
    </row>
    <row r="3695" spans="1:52" x14ac:dyDescent="0.3">
      <c r="A3695" t="s">
        <v>52</v>
      </c>
      <c r="B3695" t="s">
        <v>53</v>
      </c>
      <c r="C3695" t="s">
        <v>54</v>
      </c>
      <c r="D3695" t="s">
        <v>55</v>
      </c>
      <c r="E3695" t="s">
        <v>2205</v>
      </c>
      <c r="F3695" t="s">
        <v>1247</v>
      </c>
      <c r="G3695" t="s">
        <v>484</v>
      </c>
      <c r="H3695" t="s">
        <v>485</v>
      </c>
      <c r="I3695" t="s">
        <v>485</v>
      </c>
      <c r="J3695" t="s">
        <v>60</v>
      </c>
      <c r="K3695" t="s">
        <v>486</v>
      </c>
      <c r="L3695" t="s">
        <v>62</v>
      </c>
      <c r="M3695" t="s">
        <v>486</v>
      </c>
      <c r="N3695" t="s">
        <v>487</v>
      </c>
      <c r="O3695" t="s">
        <v>488</v>
      </c>
      <c r="P3695">
        <v>-20.173000999999999</v>
      </c>
      <c r="Q3695">
        <v>-44.901876999999999</v>
      </c>
      <c r="R3695" s="2" t="str">
        <f>HYPERLINK("https://www.google.com/maps?q=-20.1730010,-44.9018770","Abrir no Google Maps")</f>
        <v>Abrir no Google Maps</v>
      </c>
      <c r="S3695">
        <v>3</v>
      </c>
      <c r="T3695">
        <v>437.59695450783011</v>
      </c>
      <c r="U3695">
        <v>1</v>
      </c>
      <c r="V3695">
        <v>0</v>
      </c>
      <c r="W3695">
        <v>1</v>
      </c>
      <c r="X3695">
        <v>0</v>
      </c>
      <c r="Y3695">
        <v>578</v>
      </c>
      <c r="Z3695">
        <v>440.53629183653243</v>
      </c>
      <c r="AA3695">
        <v>198</v>
      </c>
      <c r="AB3695">
        <v>332</v>
      </c>
      <c r="AC3695">
        <v>536</v>
      </c>
      <c r="AD3695">
        <v>0</v>
      </c>
      <c r="AE3695">
        <v>542</v>
      </c>
      <c r="AF3695">
        <v>0</v>
      </c>
      <c r="AG3695">
        <v>0</v>
      </c>
      <c r="AH3695">
        <v>129</v>
      </c>
      <c r="AI3695">
        <v>0</v>
      </c>
      <c r="AJ3695">
        <v>0</v>
      </c>
      <c r="AK3695">
        <v>23.8</v>
      </c>
      <c r="AL3695">
        <v>-20.173065299999969</v>
      </c>
      <c r="AM3695">
        <v>-44.902052686008687</v>
      </c>
      <c r="AN3695">
        <v>-20.173065299999969</v>
      </c>
      <c r="AO3695">
        <v>-44.902052686008687</v>
      </c>
      <c r="AP3695">
        <v>-20.173000999999999</v>
      </c>
      <c r="AQ3695">
        <v>-44.901876999999999</v>
      </c>
      <c r="AR3695">
        <v>19.703745070768829</v>
      </c>
      <c r="AS3695" t="s">
        <v>65</v>
      </c>
      <c r="AT3695">
        <v>1</v>
      </c>
      <c r="AU3695" t="s">
        <v>489</v>
      </c>
      <c r="AV3695" t="s">
        <v>490</v>
      </c>
      <c r="AW3695" t="s">
        <v>60</v>
      </c>
      <c r="AX3695" t="s">
        <v>68</v>
      </c>
      <c r="AY3695" t="s">
        <v>69</v>
      </c>
      <c r="AZ3695" t="b">
        <v>1</v>
      </c>
    </row>
    <row r="3696" spans="1:52" x14ac:dyDescent="0.3">
      <c r="A3696" t="s">
        <v>52</v>
      </c>
      <c r="B3696" t="s">
        <v>53</v>
      </c>
      <c r="C3696" t="s">
        <v>54</v>
      </c>
      <c r="D3696" t="s">
        <v>55</v>
      </c>
      <c r="E3696" t="s">
        <v>2205</v>
      </c>
      <c r="F3696" t="s">
        <v>1247</v>
      </c>
      <c r="G3696" t="s">
        <v>491</v>
      </c>
      <c r="H3696" t="s">
        <v>492</v>
      </c>
      <c r="I3696" t="s">
        <v>492</v>
      </c>
      <c r="J3696" t="s">
        <v>60</v>
      </c>
      <c r="K3696" t="s">
        <v>475</v>
      </c>
      <c r="L3696" t="s">
        <v>62</v>
      </c>
      <c r="M3696" t="s">
        <v>475</v>
      </c>
      <c r="N3696" t="s">
        <v>493</v>
      </c>
      <c r="O3696" t="s">
        <v>494</v>
      </c>
      <c r="P3696">
        <v>-20.175250999999999</v>
      </c>
      <c r="Q3696">
        <v>-44.897357</v>
      </c>
      <c r="R3696" s="2" t="str">
        <f>HYPERLINK("https://www.google.com/maps?q=-20.1752510,-44.8973570","Abrir no Google Maps")</f>
        <v>Abrir no Google Maps</v>
      </c>
      <c r="S3696">
        <v>3</v>
      </c>
      <c r="T3696">
        <v>992.29631678149951</v>
      </c>
      <c r="U3696">
        <v>1</v>
      </c>
      <c r="V3696">
        <v>0</v>
      </c>
      <c r="W3696">
        <v>1</v>
      </c>
      <c r="X3696">
        <v>0</v>
      </c>
      <c r="Y3696">
        <v>578</v>
      </c>
      <c r="Z3696">
        <v>1008.5871064168319</v>
      </c>
      <c r="AA3696">
        <v>198</v>
      </c>
      <c r="AB3696">
        <v>332</v>
      </c>
      <c r="AC3696">
        <v>536</v>
      </c>
      <c r="AD3696">
        <v>0</v>
      </c>
      <c r="AE3696">
        <v>542</v>
      </c>
      <c r="AF3696">
        <v>0</v>
      </c>
      <c r="AG3696">
        <v>0</v>
      </c>
      <c r="AH3696">
        <v>129</v>
      </c>
      <c r="AI3696">
        <v>0</v>
      </c>
      <c r="AJ3696">
        <v>0</v>
      </c>
      <c r="AK3696">
        <v>23.8</v>
      </c>
      <c r="AL3696">
        <v>-20.175290599999951</v>
      </c>
      <c r="AM3696">
        <v>-44.897271931010721</v>
      </c>
      <c r="AN3696">
        <v>-20.175290599999951</v>
      </c>
      <c r="AO3696">
        <v>-44.897271931010721</v>
      </c>
      <c r="AP3696">
        <v>-20.175250999999999</v>
      </c>
      <c r="AQ3696">
        <v>-44.897357</v>
      </c>
      <c r="AR3696">
        <v>9.921899108467926</v>
      </c>
      <c r="AS3696" t="s">
        <v>65</v>
      </c>
      <c r="AT3696">
        <v>1</v>
      </c>
      <c r="AU3696" t="s">
        <v>495</v>
      </c>
      <c r="AV3696" t="s">
        <v>496</v>
      </c>
      <c r="AW3696" t="s">
        <v>60</v>
      </c>
      <c r="AX3696" t="s">
        <v>68</v>
      </c>
      <c r="AY3696" t="s">
        <v>69</v>
      </c>
      <c r="AZ3696" t="b">
        <v>1</v>
      </c>
    </row>
    <row r="3697" spans="1:52" x14ac:dyDescent="0.3">
      <c r="A3697" t="s">
        <v>52</v>
      </c>
      <c r="B3697" t="s">
        <v>53</v>
      </c>
      <c r="C3697" t="s">
        <v>54</v>
      </c>
      <c r="D3697" t="s">
        <v>55</v>
      </c>
      <c r="E3697" t="s">
        <v>2205</v>
      </c>
      <c r="F3697" t="s">
        <v>1247</v>
      </c>
      <c r="G3697" t="s">
        <v>1388</v>
      </c>
      <c r="H3697" t="s">
        <v>1389</v>
      </c>
      <c r="I3697" t="s">
        <v>1389</v>
      </c>
      <c r="J3697" t="s">
        <v>60</v>
      </c>
      <c r="K3697" t="s">
        <v>475</v>
      </c>
      <c r="L3697" t="s">
        <v>62</v>
      </c>
      <c r="M3697" t="s">
        <v>475</v>
      </c>
      <c r="N3697" t="s">
        <v>1390</v>
      </c>
      <c r="O3697" t="s">
        <v>855</v>
      </c>
      <c r="P3697">
        <v>-20.173748</v>
      </c>
      <c r="Q3697">
        <v>-44.894596999999997</v>
      </c>
      <c r="R3697" s="2" t="str">
        <f>HYPERLINK("https://www.google.com/maps?q=-20.1737480,-44.8945970","Abrir no Google Maps")</f>
        <v>Abrir no Google Maps</v>
      </c>
      <c r="S3697">
        <v>3</v>
      </c>
      <c r="T3697">
        <v>1217.388518792701</v>
      </c>
      <c r="U3697">
        <v>1</v>
      </c>
      <c r="V3697">
        <v>0</v>
      </c>
      <c r="W3697">
        <v>0.85</v>
      </c>
      <c r="X3697">
        <v>0</v>
      </c>
      <c r="Y3697">
        <v>578</v>
      </c>
      <c r="Z3697">
        <v>1268.0048337091989</v>
      </c>
      <c r="AA3697">
        <v>198</v>
      </c>
      <c r="AB3697">
        <v>332</v>
      </c>
      <c r="AC3697">
        <v>536</v>
      </c>
      <c r="AD3697">
        <v>0</v>
      </c>
      <c r="AE3697">
        <v>542</v>
      </c>
      <c r="AF3697">
        <v>0</v>
      </c>
      <c r="AG3697">
        <v>0</v>
      </c>
      <c r="AH3697">
        <v>129</v>
      </c>
      <c r="AI3697">
        <v>0</v>
      </c>
      <c r="AJ3697">
        <v>0</v>
      </c>
      <c r="AK3697">
        <v>23.8</v>
      </c>
      <c r="AL3697">
        <v>-20.173821999999941</v>
      </c>
      <c r="AM3697">
        <v>-44.894306105833543</v>
      </c>
      <c r="AN3697">
        <v>-20.173821999999941</v>
      </c>
      <c r="AO3697">
        <v>-44.894306105833543</v>
      </c>
      <c r="AP3697">
        <v>-20.173748</v>
      </c>
      <c r="AQ3697">
        <v>-44.894596999999997</v>
      </c>
      <c r="AR3697">
        <v>31.492193006406161</v>
      </c>
      <c r="AS3697" t="s">
        <v>65</v>
      </c>
      <c r="AT3697">
        <v>1</v>
      </c>
      <c r="AU3697" t="s">
        <v>1391</v>
      </c>
      <c r="AV3697" t="s">
        <v>1392</v>
      </c>
      <c r="AW3697" t="s">
        <v>60</v>
      </c>
      <c r="AX3697" t="s">
        <v>68</v>
      </c>
      <c r="AY3697" t="s">
        <v>69</v>
      </c>
      <c r="AZ3697" t="b">
        <v>1</v>
      </c>
    </row>
    <row r="3698" spans="1:52" x14ac:dyDescent="0.3">
      <c r="A3698" t="s">
        <v>52</v>
      </c>
      <c r="B3698" t="s">
        <v>53</v>
      </c>
      <c r="C3698" t="s">
        <v>54</v>
      </c>
      <c r="D3698" t="s">
        <v>55</v>
      </c>
      <c r="E3698" t="s">
        <v>2205</v>
      </c>
      <c r="F3698" t="s">
        <v>1247</v>
      </c>
      <c r="G3698" t="s">
        <v>1393</v>
      </c>
      <c r="H3698" t="s">
        <v>1394</v>
      </c>
      <c r="I3698" t="s">
        <v>1394</v>
      </c>
      <c r="J3698" t="s">
        <v>60</v>
      </c>
      <c r="K3698" t="s">
        <v>388</v>
      </c>
      <c r="L3698" t="s">
        <v>62</v>
      </c>
      <c r="M3698" t="s">
        <v>388</v>
      </c>
      <c r="N3698" t="s">
        <v>1395</v>
      </c>
      <c r="O3698" t="s">
        <v>1396</v>
      </c>
      <c r="P3698">
        <v>-20.167425000000001</v>
      </c>
      <c r="Q3698">
        <v>-44.907733999999998</v>
      </c>
      <c r="R3698" s="2" t="str">
        <f>HYPERLINK("https://www.google.com/maps?q=-20.1674250,-44.9077340","Abrir no Google Maps")</f>
        <v>Abrir no Google Maps</v>
      </c>
      <c r="S3698">
        <v>3</v>
      </c>
      <c r="T3698">
        <v>424.62372109792739</v>
      </c>
      <c r="U3698">
        <v>1</v>
      </c>
      <c r="V3698">
        <v>0</v>
      </c>
      <c r="W3698">
        <v>0.85</v>
      </c>
      <c r="X3698">
        <v>0</v>
      </c>
      <c r="Y3698">
        <v>578</v>
      </c>
      <c r="Z3698">
        <v>559.08337206965382</v>
      </c>
      <c r="AA3698">
        <v>198</v>
      </c>
      <c r="AB3698">
        <v>332</v>
      </c>
      <c r="AC3698">
        <v>536</v>
      </c>
      <c r="AD3698">
        <v>0</v>
      </c>
      <c r="AE3698">
        <v>542</v>
      </c>
      <c r="AF3698">
        <v>0</v>
      </c>
      <c r="AG3698">
        <v>0</v>
      </c>
      <c r="AH3698">
        <v>129</v>
      </c>
      <c r="AI3698">
        <v>0</v>
      </c>
      <c r="AJ3698">
        <v>0</v>
      </c>
      <c r="AK3698">
        <v>23.8</v>
      </c>
      <c r="AL3698">
        <v>-20.167592099999951</v>
      </c>
      <c r="AM3698">
        <v>-44.907664214502859</v>
      </c>
      <c r="AN3698">
        <v>-20.167592099999951</v>
      </c>
      <c r="AO3698">
        <v>-44.907664214502859</v>
      </c>
      <c r="AP3698">
        <v>-20.167425000000001</v>
      </c>
      <c r="AQ3698">
        <v>-44.907733999999998</v>
      </c>
      <c r="AR3698">
        <v>19.979863459652229</v>
      </c>
      <c r="AS3698" t="s">
        <v>65</v>
      </c>
      <c r="AT3698">
        <v>1</v>
      </c>
      <c r="AU3698" t="s">
        <v>1397</v>
      </c>
      <c r="AV3698" t="s">
        <v>1398</v>
      </c>
      <c r="AW3698" t="s">
        <v>60</v>
      </c>
      <c r="AX3698" t="s">
        <v>68</v>
      </c>
      <c r="AY3698" t="s">
        <v>69</v>
      </c>
      <c r="AZ3698" t="b">
        <v>1</v>
      </c>
    </row>
    <row r="3699" spans="1:52" x14ac:dyDescent="0.3">
      <c r="A3699" t="s">
        <v>52</v>
      </c>
      <c r="B3699" t="s">
        <v>53</v>
      </c>
      <c r="C3699" t="s">
        <v>54</v>
      </c>
      <c r="D3699" t="s">
        <v>55</v>
      </c>
      <c r="E3699" t="s">
        <v>2205</v>
      </c>
      <c r="F3699" t="s">
        <v>1247</v>
      </c>
      <c r="G3699" t="s">
        <v>497</v>
      </c>
      <c r="H3699" t="s">
        <v>875</v>
      </c>
      <c r="I3699" t="s">
        <v>875</v>
      </c>
      <c r="J3699" t="s">
        <v>60</v>
      </c>
      <c r="K3699" t="s">
        <v>475</v>
      </c>
      <c r="L3699" t="s">
        <v>62</v>
      </c>
      <c r="M3699" t="s">
        <v>475</v>
      </c>
      <c r="N3699" t="s">
        <v>499</v>
      </c>
      <c r="O3699" t="s">
        <v>876</v>
      </c>
      <c r="P3699">
        <v>-20.177212999999998</v>
      </c>
      <c r="Q3699">
        <v>-44.904026999999999</v>
      </c>
      <c r="R3699" s="2" t="str">
        <f>HYPERLINK("https://www.google.com/maps?q=-20.1772130,-44.9040270","Abrir no Google Maps")</f>
        <v>Abrir no Google Maps</v>
      </c>
      <c r="S3699">
        <v>3</v>
      </c>
      <c r="T3699">
        <v>706.4159561113795</v>
      </c>
      <c r="U3699">
        <v>1</v>
      </c>
      <c r="V3699">
        <v>0</v>
      </c>
      <c r="W3699">
        <v>1</v>
      </c>
      <c r="X3699">
        <v>0</v>
      </c>
      <c r="Y3699">
        <v>578</v>
      </c>
      <c r="Z3699">
        <v>588.7160518608398</v>
      </c>
      <c r="AA3699">
        <v>198</v>
      </c>
      <c r="AB3699">
        <v>332</v>
      </c>
      <c r="AC3699">
        <v>536</v>
      </c>
      <c r="AD3699">
        <v>0</v>
      </c>
      <c r="AE3699">
        <v>542</v>
      </c>
      <c r="AF3699">
        <v>0</v>
      </c>
      <c r="AG3699">
        <v>0</v>
      </c>
      <c r="AH3699">
        <v>129</v>
      </c>
      <c r="AI3699">
        <v>0</v>
      </c>
      <c r="AJ3699">
        <v>0</v>
      </c>
      <c r="AK3699">
        <v>23.8</v>
      </c>
      <c r="AL3699">
        <v>-20.177090199999949</v>
      </c>
      <c r="AM3699">
        <v>-44.904078820930181</v>
      </c>
      <c r="AN3699">
        <v>-20.177090199999949</v>
      </c>
      <c r="AO3699">
        <v>-44.904078820930181</v>
      </c>
      <c r="AP3699">
        <v>-20.177212999999998</v>
      </c>
      <c r="AQ3699">
        <v>-44.904026999999999</v>
      </c>
      <c r="AR3699">
        <v>14.7034129632295</v>
      </c>
      <c r="AS3699" t="s">
        <v>65</v>
      </c>
      <c r="AT3699">
        <v>1</v>
      </c>
      <c r="AU3699" t="s">
        <v>877</v>
      </c>
      <c r="AV3699" t="s">
        <v>878</v>
      </c>
      <c r="AW3699" t="s">
        <v>60</v>
      </c>
      <c r="AX3699" t="s">
        <v>68</v>
      </c>
      <c r="AY3699" t="s">
        <v>69</v>
      </c>
      <c r="AZ3699" t="b">
        <v>1</v>
      </c>
    </row>
    <row r="3700" spans="1:52" x14ac:dyDescent="0.3">
      <c r="A3700" t="s">
        <v>52</v>
      </c>
      <c r="B3700" t="s">
        <v>53</v>
      </c>
      <c r="C3700" t="s">
        <v>54</v>
      </c>
      <c r="D3700" t="s">
        <v>55</v>
      </c>
      <c r="E3700" t="s">
        <v>2205</v>
      </c>
      <c r="F3700" t="s">
        <v>1247</v>
      </c>
      <c r="G3700" t="s">
        <v>1399</v>
      </c>
      <c r="H3700" t="s">
        <v>1400</v>
      </c>
      <c r="I3700" t="s">
        <v>1400</v>
      </c>
      <c r="J3700" t="s">
        <v>60</v>
      </c>
      <c r="K3700" t="s">
        <v>475</v>
      </c>
      <c r="L3700" t="s">
        <v>62</v>
      </c>
      <c r="M3700" t="s">
        <v>475</v>
      </c>
      <c r="N3700" t="s">
        <v>1401</v>
      </c>
      <c r="O3700" t="s">
        <v>1080</v>
      </c>
      <c r="P3700">
        <v>-20.178809000000001</v>
      </c>
      <c r="Q3700">
        <v>-44.900204000000002</v>
      </c>
      <c r="R3700" s="2" t="str">
        <f>HYPERLINK("https://www.google.com/maps?q=-20.1788090,-44.9002040","Abrir no Google Maps")</f>
        <v>Abrir no Google Maps</v>
      </c>
      <c r="S3700">
        <v>3</v>
      </c>
      <c r="T3700">
        <v>1015.86498565614</v>
      </c>
      <c r="U3700">
        <v>1</v>
      </c>
      <c r="V3700">
        <v>0</v>
      </c>
      <c r="W3700">
        <v>0.85</v>
      </c>
      <c r="X3700">
        <v>0</v>
      </c>
      <c r="Y3700">
        <v>578</v>
      </c>
      <c r="Z3700">
        <v>954.77111474428102</v>
      </c>
      <c r="AA3700">
        <v>198</v>
      </c>
      <c r="AB3700">
        <v>332</v>
      </c>
      <c r="AC3700">
        <v>536</v>
      </c>
      <c r="AD3700">
        <v>0</v>
      </c>
      <c r="AE3700">
        <v>542</v>
      </c>
      <c r="AF3700">
        <v>0</v>
      </c>
      <c r="AG3700">
        <v>0</v>
      </c>
      <c r="AH3700">
        <v>129</v>
      </c>
      <c r="AI3700">
        <v>0</v>
      </c>
      <c r="AJ3700">
        <v>0</v>
      </c>
      <c r="AK3700">
        <v>23.8</v>
      </c>
      <c r="AL3700">
        <v>-20.178590099999951</v>
      </c>
      <c r="AM3700">
        <v>-44.90029029928732</v>
      </c>
      <c r="AN3700">
        <v>-20.178590099999951</v>
      </c>
      <c r="AO3700">
        <v>-44.90029029928732</v>
      </c>
      <c r="AP3700">
        <v>-20.178809000000001</v>
      </c>
      <c r="AQ3700">
        <v>-44.900204000000002</v>
      </c>
      <c r="AR3700">
        <v>25.982812999798391</v>
      </c>
      <c r="AS3700" t="s">
        <v>65</v>
      </c>
      <c r="AT3700">
        <v>1</v>
      </c>
      <c r="AU3700" t="s">
        <v>1402</v>
      </c>
      <c r="AV3700" t="s">
        <v>1403</v>
      </c>
      <c r="AW3700" t="s">
        <v>60</v>
      </c>
      <c r="AX3700" t="s">
        <v>68</v>
      </c>
      <c r="AY3700" t="s">
        <v>69</v>
      </c>
      <c r="AZ3700" t="b">
        <v>1</v>
      </c>
    </row>
    <row r="3701" spans="1:52" x14ac:dyDescent="0.3">
      <c r="A3701" t="s">
        <v>52</v>
      </c>
      <c r="B3701" t="s">
        <v>53</v>
      </c>
      <c r="C3701" t="s">
        <v>54</v>
      </c>
      <c r="D3701" t="s">
        <v>55</v>
      </c>
      <c r="E3701" t="s">
        <v>2205</v>
      </c>
      <c r="F3701" t="s">
        <v>1247</v>
      </c>
      <c r="G3701" t="s">
        <v>497</v>
      </c>
      <c r="H3701" t="s">
        <v>498</v>
      </c>
      <c r="I3701" t="s">
        <v>498</v>
      </c>
      <c r="J3701" t="s">
        <v>60</v>
      </c>
      <c r="K3701" t="s">
        <v>475</v>
      </c>
      <c r="L3701" t="s">
        <v>62</v>
      </c>
      <c r="M3701" t="s">
        <v>475</v>
      </c>
      <c r="N3701" t="s">
        <v>499</v>
      </c>
      <c r="O3701" t="s">
        <v>500</v>
      </c>
      <c r="P3701">
        <v>-20.175492999999999</v>
      </c>
      <c r="Q3701">
        <v>-44.900759000000001</v>
      </c>
      <c r="R3701" s="2" t="str">
        <f>HYPERLINK("https://www.google.com/maps?q=-20.1754930,-44.9007590","Abrir no Google Maps")</f>
        <v>Abrir no Google Maps</v>
      </c>
      <c r="S3701">
        <v>3</v>
      </c>
      <c r="T3701">
        <v>753.30732354720431</v>
      </c>
      <c r="U3701">
        <v>1</v>
      </c>
      <c r="V3701">
        <v>0</v>
      </c>
      <c r="W3701">
        <v>1</v>
      </c>
      <c r="X3701">
        <v>0</v>
      </c>
      <c r="Y3701">
        <v>578</v>
      </c>
      <c r="Z3701">
        <v>695.28903655431702</v>
      </c>
      <c r="AA3701">
        <v>198</v>
      </c>
      <c r="AB3701">
        <v>332</v>
      </c>
      <c r="AC3701">
        <v>536</v>
      </c>
      <c r="AD3701">
        <v>0</v>
      </c>
      <c r="AE3701">
        <v>542</v>
      </c>
      <c r="AF3701">
        <v>0</v>
      </c>
      <c r="AG3701">
        <v>0</v>
      </c>
      <c r="AH3701">
        <v>129</v>
      </c>
      <c r="AI3701">
        <v>0</v>
      </c>
      <c r="AJ3701">
        <v>0</v>
      </c>
      <c r="AK3701">
        <v>23.8</v>
      </c>
      <c r="AL3701">
        <v>-20.175825999999969</v>
      </c>
      <c r="AM3701">
        <v>-44.900600234646973</v>
      </c>
      <c r="AN3701">
        <v>-20.175825999999969</v>
      </c>
      <c r="AO3701">
        <v>-44.900600234646973</v>
      </c>
      <c r="AP3701">
        <v>-20.175492999999999</v>
      </c>
      <c r="AQ3701">
        <v>-44.900759000000001</v>
      </c>
      <c r="AR3701">
        <v>40.612267304645073</v>
      </c>
      <c r="AS3701" t="s">
        <v>65</v>
      </c>
      <c r="AT3701">
        <v>1</v>
      </c>
      <c r="AU3701" t="s">
        <v>501</v>
      </c>
      <c r="AV3701" t="s">
        <v>502</v>
      </c>
      <c r="AW3701" t="s">
        <v>60</v>
      </c>
      <c r="AX3701" t="s">
        <v>68</v>
      </c>
      <c r="AY3701" t="s">
        <v>69</v>
      </c>
      <c r="AZ3701" t="b">
        <v>1</v>
      </c>
    </row>
    <row r="3702" spans="1:52" x14ac:dyDescent="0.3">
      <c r="A3702" t="s">
        <v>52</v>
      </c>
      <c r="B3702" t="s">
        <v>53</v>
      </c>
      <c r="C3702" t="s">
        <v>54</v>
      </c>
      <c r="D3702" t="s">
        <v>55</v>
      </c>
      <c r="E3702" t="s">
        <v>2205</v>
      </c>
      <c r="F3702" t="s">
        <v>1247</v>
      </c>
      <c r="G3702" t="s">
        <v>503</v>
      </c>
      <c r="H3702" t="s">
        <v>504</v>
      </c>
      <c r="I3702" t="s">
        <v>504</v>
      </c>
      <c r="J3702" t="s">
        <v>60</v>
      </c>
      <c r="K3702" t="s">
        <v>505</v>
      </c>
      <c r="L3702" t="s">
        <v>62</v>
      </c>
      <c r="M3702" t="s">
        <v>505</v>
      </c>
      <c r="N3702" t="s">
        <v>506</v>
      </c>
      <c r="O3702" t="s">
        <v>507</v>
      </c>
      <c r="P3702">
        <v>-20.131428</v>
      </c>
      <c r="Q3702">
        <v>-44.888921000000003</v>
      </c>
      <c r="R3702" s="2" t="str">
        <f>HYPERLINK("https://www.google.com/maps?q=-20.1314280,-44.8889210","Abrir no Google Maps")</f>
        <v>Abrir no Google Maps</v>
      </c>
      <c r="S3702">
        <v>3</v>
      </c>
      <c r="T3702">
        <v>250.64150698244501</v>
      </c>
      <c r="U3702">
        <v>1</v>
      </c>
      <c r="V3702">
        <v>0</v>
      </c>
      <c r="W3702">
        <v>1</v>
      </c>
      <c r="X3702">
        <v>0</v>
      </c>
      <c r="Y3702">
        <v>564</v>
      </c>
      <c r="Z3702">
        <v>189.93933888952441</v>
      </c>
      <c r="AA3702">
        <v>198</v>
      </c>
      <c r="AB3702">
        <v>332</v>
      </c>
      <c r="AC3702">
        <v>536</v>
      </c>
      <c r="AD3702">
        <v>0</v>
      </c>
      <c r="AE3702">
        <v>542</v>
      </c>
      <c r="AF3702">
        <v>0</v>
      </c>
      <c r="AG3702">
        <v>0</v>
      </c>
      <c r="AH3702">
        <v>129</v>
      </c>
      <c r="AI3702">
        <v>0</v>
      </c>
      <c r="AJ3702">
        <v>0</v>
      </c>
      <c r="AK3702">
        <v>23.8</v>
      </c>
      <c r="AL3702">
        <v>-20.13123589999995</v>
      </c>
      <c r="AM3702">
        <v>-44.888742396501762</v>
      </c>
      <c r="AN3702">
        <v>-20.13123589999995</v>
      </c>
      <c r="AO3702">
        <v>-44.888742396501762</v>
      </c>
      <c r="AP3702">
        <v>-20.131428</v>
      </c>
      <c r="AQ3702">
        <v>-44.888921000000003</v>
      </c>
      <c r="AR3702">
        <v>28.386169462917032</v>
      </c>
      <c r="AS3702" t="s">
        <v>65</v>
      </c>
      <c r="AT3702">
        <v>1</v>
      </c>
      <c r="AU3702" t="s">
        <v>508</v>
      </c>
      <c r="AV3702" t="s">
        <v>509</v>
      </c>
      <c r="AW3702" t="s">
        <v>60</v>
      </c>
      <c r="AX3702" t="s">
        <v>68</v>
      </c>
      <c r="AY3702" t="s">
        <v>69</v>
      </c>
      <c r="AZ3702" t="b">
        <v>1</v>
      </c>
    </row>
    <row r="3703" spans="1:52" x14ac:dyDescent="0.3">
      <c r="A3703" t="s">
        <v>52</v>
      </c>
      <c r="B3703" t="s">
        <v>53</v>
      </c>
      <c r="C3703" t="s">
        <v>54</v>
      </c>
      <c r="D3703" t="s">
        <v>55</v>
      </c>
      <c r="E3703" t="s">
        <v>2205</v>
      </c>
      <c r="F3703" t="s">
        <v>1247</v>
      </c>
      <c r="G3703" t="s">
        <v>510</v>
      </c>
      <c r="H3703" t="s">
        <v>511</v>
      </c>
      <c r="I3703" t="s">
        <v>511</v>
      </c>
      <c r="J3703" t="s">
        <v>60</v>
      </c>
      <c r="K3703" t="s">
        <v>512</v>
      </c>
      <c r="L3703" t="s">
        <v>62</v>
      </c>
      <c r="M3703" t="s">
        <v>512</v>
      </c>
      <c r="N3703" t="s">
        <v>406</v>
      </c>
      <c r="O3703" t="s">
        <v>513</v>
      </c>
      <c r="P3703">
        <v>-20.127853000000002</v>
      </c>
      <c r="Q3703">
        <v>-44.891415000000002</v>
      </c>
      <c r="R3703" s="2" t="str">
        <f>HYPERLINK("https://www.google.com/maps?q=-20.1278530,-44.8914150","Abrir no Google Maps")</f>
        <v>Abrir no Google Maps</v>
      </c>
      <c r="S3703">
        <v>3</v>
      </c>
      <c r="T3703">
        <v>340.86994528233612</v>
      </c>
      <c r="U3703">
        <v>1</v>
      </c>
      <c r="V3703">
        <v>0</v>
      </c>
      <c r="W3703">
        <v>1</v>
      </c>
      <c r="X3703">
        <v>0</v>
      </c>
      <c r="Y3703">
        <v>564</v>
      </c>
      <c r="Z3703">
        <v>294.18108015916812</v>
      </c>
      <c r="AA3703">
        <v>198</v>
      </c>
      <c r="AB3703">
        <v>332</v>
      </c>
      <c r="AC3703">
        <v>536</v>
      </c>
      <c r="AD3703">
        <v>0</v>
      </c>
      <c r="AE3703">
        <v>542</v>
      </c>
      <c r="AF3703">
        <v>0</v>
      </c>
      <c r="AG3703">
        <v>0</v>
      </c>
      <c r="AH3703">
        <v>129</v>
      </c>
      <c r="AI3703">
        <v>0</v>
      </c>
      <c r="AJ3703">
        <v>0</v>
      </c>
      <c r="AK3703">
        <v>23.8</v>
      </c>
      <c r="AL3703">
        <v>-20.12777399999996</v>
      </c>
      <c r="AM3703">
        <v>-44.891400975758501</v>
      </c>
      <c r="AN3703">
        <v>-20.12777399999996</v>
      </c>
      <c r="AO3703">
        <v>-44.891400975758501</v>
      </c>
      <c r="AP3703">
        <v>-20.127853000000002</v>
      </c>
      <c r="AQ3703">
        <v>-44.891415000000002</v>
      </c>
      <c r="AR3703">
        <v>8.9156059162975616</v>
      </c>
      <c r="AS3703" t="s">
        <v>65</v>
      </c>
      <c r="AT3703">
        <v>1</v>
      </c>
      <c r="AU3703" t="s">
        <v>514</v>
      </c>
      <c r="AV3703" t="s">
        <v>515</v>
      </c>
      <c r="AW3703" t="s">
        <v>60</v>
      </c>
      <c r="AX3703" t="s">
        <v>68</v>
      </c>
      <c r="AY3703" t="s">
        <v>69</v>
      </c>
      <c r="AZ3703" t="b">
        <v>1</v>
      </c>
    </row>
    <row r="3704" spans="1:52" x14ac:dyDescent="0.3">
      <c r="A3704" t="s">
        <v>52</v>
      </c>
      <c r="B3704" t="s">
        <v>53</v>
      </c>
      <c r="C3704" t="s">
        <v>54</v>
      </c>
      <c r="D3704" t="s">
        <v>55</v>
      </c>
      <c r="E3704" t="s">
        <v>2205</v>
      </c>
      <c r="F3704" t="s">
        <v>1247</v>
      </c>
      <c r="G3704" t="s">
        <v>516</v>
      </c>
      <c r="H3704" t="s">
        <v>517</v>
      </c>
      <c r="I3704" t="s">
        <v>517</v>
      </c>
      <c r="J3704" t="s">
        <v>60</v>
      </c>
      <c r="K3704" t="s">
        <v>518</v>
      </c>
      <c r="L3704" t="s">
        <v>62</v>
      </c>
      <c r="M3704" t="s">
        <v>518</v>
      </c>
      <c r="N3704" t="s">
        <v>519</v>
      </c>
      <c r="O3704" t="s">
        <v>520</v>
      </c>
      <c r="P3704">
        <v>-20.124502</v>
      </c>
      <c r="Q3704">
        <v>-44.888424000000001</v>
      </c>
      <c r="R3704" s="2" t="str">
        <f>HYPERLINK("https://www.google.com/maps?q=-20.1245020,-44.8884240","Abrir no Google Maps")</f>
        <v>Abrir no Google Maps</v>
      </c>
      <c r="S3704">
        <v>3</v>
      </c>
      <c r="T3704">
        <v>483.42298121929559</v>
      </c>
      <c r="U3704">
        <v>1</v>
      </c>
      <c r="V3704">
        <v>0</v>
      </c>
      <c r="W3704">
        <v>1</v>
      </c>
      <c r="X3704">
        <v>0</v>
      </c>
      <c r="Y3704">
        <v>564</v>
      </c>
      <c r="Z3704">
        <v>565.43074237076587</v>
      </c>
      <c r="AA3704">
        <v>198</v>
      </c>
      <c r="AB3704">
        <v>332</v>
      </c>
      <c r="AC3704">
        <v>536</v>
      </c>
      <c r="AD3704">
        <v>0</v>
      </c>
      <c r="AE3704">
        <v>542</v>
      </c>
      <c r="AF3704">
        <v>0</v>
      </c>
      <c r="AG3704">
        <v>0</v>
      </c>
      <c r="AH3704">
        <v>129</v>
      </c>
      <c r="AI3704">
        <v>0</v>
      </c>
      <c r="AJ3704">
        <v>0</v>
      </c>
      <c r="AK3704">
        <v>23.8</v>
      </c>
      <c r="AL3704">
        <v>-20.124624949999941</v>
      </c>
      <c r="AM3704">
        <v>-44.888432821777258</v>
      </c>
      <c r="AN3704">
        <v>-20.124624949999941</v>
      </c>
      <c r="AO3704">
        <v>-44.888432821777258</v>
      </c>
      <c r="AP3704">
        <v>-20.124502</v>
      </c>
      <c r="AQ3704">
        <v>-44.888424000000001</v>
      </c>
      <c r="AR3704">
        <v>13.717819333897451</v>
      </c>
      <c r="AS3704" t="s">
        <v>65</v>
      </c>
      <c r="AT3704">
        <v>1</v>
      </c>
      <c r="AU3704" t="s">
        <v>521</v>
      </c>
      <c r="AV3704" t="s">
        <v>522</v>
      </c>
      <c r="AW3704" t="s">
        <v>60</v>
      </c>
      <c r="AX3704" t="s">
        <v>68</v>
      </c>
      <c r="AY3704" t="s">
        <v>69</v>
      </c>
      <c r="AZ3704" t="b">
        <v>1</v>
      </c>
    </row>
    <row r="3705" spans="1:52" x14ac:dyDescent="0.3">
      <c r="A3705" t="s">
        <v>52</v>
      </c>
      <c r="B3705" t="s">
        <v>53</v>
      </c>
      <c r="C3705" t="s">
        <v>54</v>
      </c>
      <c r="D3705" t="s">
        <v>55</v>
      </c>
      <c r="E3705" t="s">
        <v>2205</v>
      </c>
      <c r="F3705" t="s">
        <v>1247</v>
      </c>
      <c r="G3705" t="s">
        <v>879</v>
      </c>
      <c r="H3705" t="s">
        <v>880</v>
      </c>
      <c r="I3705" t="s">
        <v>880</v>
      </c>
      <c r="J3705" t="s">
        <v>60</v>
      </c>
      <c r="K3705" t="s">
        <v>505</v>
      </c>
      <c r="L3705" t="s">
        <v>62</v>
      </c>
      <c r="M3705" t="s">
        <v>505</v>
      </c>
      <c r="N3705" t="s">
        <v>881</v>
      </c>
      <c r="O3705" t="s">
        <v>882</v>
      </c>
      <c r="P3705">
        <v>-20.133452999999999</v>
      </c>
      <c r="Q3705">
        <v>-44.890571999999999</v>
      </c>
      <c r="R3705" s="2" t="str">
        <f>HYPERLINK("https://www.google.com/maps?q=-20.1334530,-44.8905720","Abrir no Google Maps")</f>
        <v>Abrir no Google Maps</v>
      </c>
      <c r="S3705">
        <v>3</v>
      </c>
      <c r="T3705">
        <v>373.51332104809921</v>
      </c>
      <c r="U3705">
        <v>1</v>
      </c>
      <c r="V3705">
        <v>0</v>
      </c>
      <c r="W3705">
        <v>1</v>
      </c>
      <c r="X3705">
        <v>0</v>
      </c>
      <c r="Y3705">
        <v>564</v>
      </c>
      <c r="Z3705">
        <v>422.34693311930448</v>
      </c>
      <c r="AA3705">
        <v>198</v>
      </c>
      <c r="AB3705">
        <v>332</v>
      </c>
      <c r="AC3705">
        <v>536</v>
      </c>
      <c r="AD3705">
        <v>0</v>
      </c>
      <c r="AE3705">
        <v>542</v>
      </c>
      <c r="AF3705">
        <v>0</v>
      </c>
      <c r="AG3705">
        <v>0</v>
      </c>
      <c r="AH3705">
        <v>129</v>
      </c>
      <c r="AI3705">
        <v>0</v>
      </c>
      <c r="AJ3705">
        <v>0</v>
      </c>
      <c r="AK3705">
        <v>23.8</v>
      </c>
      <c r="AL3705">
        <v>-20.133421549999952</v>
      </c>
      <c r="AM3705">
        <v>-44.890623456009052</v>
      </c>
      <c r="AN3705">
        <v>-20.133421549999952</v>
      </c>
      <c r="AO3705">
        <v>-44.890623456009052</v>
      </c>
      <c r="AP3705">
        <v>-20.133452999999999</v>
      </c>
      <c r="AQ3705">
        <v>-44.890571999999999</v>
      </c>
      <c r="AR3705">
        <v>6.4172139275452773</v>
      </c>
      <c r="AS3705" t="s">
        <v>65</v>
      </c>
      <c r="AT3705">
        <v>1</v>
      </c>
      <c r="AU3705" t="s">
        <v>883</v>
      </c>
      <c r="AV3705" t="s">
        <v>884</v>
      </c>
      <c r="AW3705" t="s">
        <v>60</v>
      </c>
      <c r="AX3705" t="s">
        <v>68</v>
      </c>
      <c r="AY3705" t="s">
        <v>69</v>
      </c>
      <c r="AZ3705" t="b">
        <v>1</v>
      </c>
    </row>
    <row r="3706" spans="1:52" x14ac:dyDescent="0.3">
      <c r="A3706" t="s">
        <v>52</v>
      </c>
      <c r="B3706" t="s">
        <v>53</v>
      </c>
      <c r="C3706" t="s">
        <v>54</v>
      </c>
      <c r="D3706" t="s">
        <v>55</v>
      </c>
      <c r="E3706" t="s">
        <v>2205</v>
      </c>
      <c r="F3706" t="s">
        <v>1247</v>
      </c>
      <c r="G3706" t="s">
        <v>815</v>
      </c>
      <c r="H3706" t="s">
        <v>1404</v>
      </c>
      <c r="I3706" t="s">
        <v>1404</v>
      </c>
      <c r="J3706" t="s">
        <v>60</v>
      </c>
      <c r="K3706" t="s">
        <v>512</v>
      </c>
      <c r="L3706" t="s">
        <v>62</v>
      </c>
      <c r="M3706" t="s">
        <v>512</v>
      </c>
      <c r="N3706" t="s">
        <v>817</v>
      </c>
      <c r="O3706" t="s">
        <v>1405</v>
      </c>
      <c r="P3706">
        <v>-20.129069999999999</v>
      </c>
      <c r="Q3706">
        <v>-44.888452000000001</v>
      </c>
      <c r="R3706" s="2" t="str">
        <f>HYPERLINK("https://www.google.com/maps?q=-20.1290700,-44.8884520","Abrir no Google Maps")</f>
        <v>Abrir no Google Maps</v>
      </c>
      <c r="S3706">
        <v>3</v>
      </c>
      <c r="T3706">
        <v>0</v>
      </c>
      <c r="U3706">
        <v>1</v>
      </c>
      <c r="V3706">
        <v>0</v>
      </c>
      <c r="W3706">
        <v>0.85</v>
      </c>
      <c r="X3706">
        <v>0</v>
      </c>
      <c r="Y3706">
        <v>564</v>
      </c>
      <c r="Z3706">
        <v>95.870354837220688</v>
      </c>
      <c r="AA3706">
        <v>198</v>
      </c>
      <c r="AB3706">
        <v>332</v>
      </c>
      <c r="AC3706">
        <v>536</v>
      </c>
      <c r="AD3706">
        <v>0</v>
      </c>
      <c r="AE3706">
        <v>542</v>
      </c>
      <c r="AF3706">
        <v>0</v>
      </c>
      <c r="AG3706">
        <v>0</v>
      </c>
      <c r="AH3706">
        <v>129</v>
      </c>
      <c r="AI3706">
        <v>0</v>
      </c>
      <c r="AJ3706">
        <v>0</v>
      </c>
      <c r="AK3706">
        <v>23.8</v>
      </c>
      <c r="AL3706">
        <v>-20.12899334999997</v>
      </c>
      <c r="AM3706">
        <v>-44.888406102471222</v>
      </c>
      <c r="AN3706">
        <v>-20.12899334999997</v>
      </c>
      <c r="AO3706">
        <v>-44.888406102471222</v>
      </c>
      <c r="AP3706">
        <v>-20.129069999999999</v>
      </c>
      <c r="AQ3706">
        <v>-44.888452000000001</v>
      </c>
      <c r="AR3706">
        <v>9.7887731150376265</v>
      </c>
      <c r="AS3706" t="s">
        <v>65</v>
      </c>
      <c r="AT3706">
        <v>1</v>
      </c>
      <c r="AU3706" t="s">
        <v>1406</v>
      </c>
      <c r="AV3706" t="s">
        <v>1407</v>
      </c>
      <c r="AW3706" t="s">
        <v>60</v>
      </c>
      <c r="AX3706" t="s">
        <v>68</v>
      </c>
      <c r="AY3706" t="s">
        <v>69</v>
      </c>
      <c r="AZ3706" t="b">
        <v>1</v>
      </c>
    </row>
    <row r="3707" spans="1:52" x14ac:dyDescent="0.3">
      <c r="A3707" t="s">
        <v>52</v>
      </c>
      <c r="B3707" t="s">
        <v>53</v>
      </c>
      <c r="C3707" t="s">
        <v>54</v>
      </c>
      <c r="D3707" t="s">
        <v>55</v>
      </c>
      <c r="E3707" t="s">
        <v>2205</v>
      </c>
      <c r="F3707" t="s">
        <v>1247</v>
      </c>
      <c r="G3707" t="s">
        <v>523</v>
      </c>
      <c r="H3707" t="s">
        <v>524</v>
      </c>
      <c r="I3707" t="s">
        <v>524</v>
      </c>
      <c r="J3707" t="s">
        <v>60</v>
      </c>
      <c r="K3707" t="s">
        <v>518</v>
      </c>
      <c r="L3707" t="s">
        <v>62</v>
      </c>
      <c r="M3707" t="s">
        <v>518</v>
      </c>
      <c r="N3707" t="s">
        <v>525</v>
      </c>
      <c r="O3707" t="s">
        <v>331</v>
      </c>
      <c r="P3707">
        <v>-20.126553000000001</v>
      </c>
      <c r="Q3707">
        <v>-44.888599999999997</v>
      </c>
      <c r="R3707" s="2" t="str">
        <f>HYPERLINK("https://www.google.com/maps?q=-20.1265530,-44.8886000","Abrir no Google Maps")</f>
        <v>Abrir no Google Maps</v>
      </c>
      <c r="S3707">
        <v>3</v>
      </c>
      <c r="T3707">
        <v>256.34043440603853</v>
      </c>
      <c r="U3707">
        <v>1</v>
      </c>
      <c r="V3707">
        <v>0</v>
      </c>
      <c r="W3707">
        <v>1</v>
      </c>
      <c r="X3707">
        <v>0</v>
      </c>
      <c r="Y3707">
        <v>564</v>
      </c>
      <c r="Z3707">
        <v>325.4404273055876</v>
      </c>
      <c r="AA3707">
        <v>198</v>
      </c>
      <c r="AB3707">
        <v>332</v>
      </c>
      <c r="AC3707">
        <v>536</v>
      </c>
      <c r="AD3707">
        <v>0</v>
      </c>
      <c r="AE3707">
        <v>542</v>
      </c>
      <c r="AF3707">
        <v>0</v>
      </c>
      <c r="AG3707">
        <v>0</v>
      </c>
      <c r="AH3707">
        <v>129</v>
      </c>
      <c r="AI3707">
        <v>0</v>
      </c>
      <c r="AJ3707">
        <v>0</v>
      </c>
      <c r="AK3707">
        <v>23.8</v>
      </c>
      <c r="AL3707">
        <v>-20.12669049999997</v>
      </c>
      <c r="AM3707">
        <v>-44.888671289876577</v>
      </c>
      <c r="AN3707">
        <v>-20.12669049999997</v>
      </c>
      <c r="AO3707">
        <v>-44.888671289876577</v>
      </c>
      <c r="AP3707">
        <v>-20.126553000000001</v>
      </c>
      <c r="AQ3707">
        <v>-44.888599999999997</v>
      </c>
      <c r="AR3707">
        <v>17.023861591720589</v>
      </c>
      <c r="AS3707" t="s">
        <v>65</v>
      </c>
      <c r="AT3707">
        <v>1</v>
      </c>
      <c r="AU3707" t="s">
        <v>526</v>
      </c>
      <c r="AV3707" t="s">
        <v>527</v>
      </c>
      <c r="AW3707" t="s">
        <v>60</v>
      </c>
      <c r="AX3707" t="s">
        <v>68</v>
      </c>
      <c r="AY3707" t="s">
        <v>69</v>
      </c>
      <c r="AZ3707" t="b">
        <v>1</v>
      </c>
    </row>
    <row r="3708" spans="1:52" x14ac:dyDescent="0.3">
      <c r="A3708" t="s">
        <v>52</v>
      </c>
      <c r="B3708" t="s">
        <v>53</v>
      </c>
      <c r="C3708" t="s">
        <v>54</v>
      </c>
      <c r="D3708" t="s">
        <v>55</v>
      </c>
      <c r="E3708" t="s">
        <v>2205</v>
      </c>
      <c r="F3708" t="s">
        <v>1247</v>
      </c>
      <c r="G3708" t="s">
        <v>1429</v>
      </c>
      <c r="H3708" t="s">
        <v>1430</v>
      </c>
      <c r="I3708" t="s">
        <v>1430</v>
      </c>
      <c r="J3708" t="s">
        <v>60</v>
      </c>
      <c r="K3708" t="s">
        <v>505</v>
      </c>
      <c r="L3708" t="s">
        <v>62</v>
      </c>
      <c r="M3708" t="s">
        <v>505</v>
      </c>
      <c r="N3708" t="s">
        <v>1431</v>
      </c>
      <c r="O3708" t="s">
        <v>1432</v>
      </c>
      <c r="P3708">
        <v>-20.132069000000001</v>
      </c>
      <c r="Q3708">
        <v>-44.891694000000001</v>
      </c>
      <c r="R3708" s="2" t="str">
        <f>HYPERLINK("https://www.google.com/maps?q=-20.1320690,-44.8916940","Abrir no Google Maps")</f>
        <v>Abrir no Google Maps</v>
      </c>
      <c r="S3708">
        <v>3</v>
      </c>
      <c r="T3708">
        <v>463.84477613866852</v>
      </c>
      <c r="U3708">
        <v>1</v>
      </c>
      <c r="V3708">
        <v>0</v>
      </c>
      <c r="W3708">
        <v>0.85</v>
      </c>
      <c r="X3708">
        <v>0</v>
      </c>
      <c r="Y3708">
        <v>564</v>
      </c>
      <c r="Z3708">
        <v>349.6044774510159</v>
      </c>
      <c r="AA3708">
        <v>198</v>
      </c>
      <c r="AB3708">
        <v>332</v>
      </c>
      <c r="AC3708">
        <v>536</v>
      </c>
      <c r="AD3708">
        <v>0</v>
      </c>
      <c r="AE3708">
        <v>542</v>
      </c>
      <c r="AF3708">
        <v>0</v>
      </c>
      <c r="AG3708">
        <v>0</v>
      </c>
      <c r="AH3708">
        <v>129</v>
      </c>
      <c r="AI3708">
        <v>0</v>
      </c>
      <c r="AJ3708">
        <v>0</v>
      </c>
      <c r="AK3708">
        <v>23.8</v>
      </c>
      <c r="AL3708">
        <v>-20.131860799999941</v>
      </c>
      <c r="AM3708">
        <v>-44.891643045551348</v>
      </c>
      <c r="AN3708">
        <v>-20.131860799999941</v>
      </c>
      <c r="AO3708">
        <v>-44.891643045551348</v>
      </c>
      <c r="AP3708">
        <v>-20.132069000000001</v>
      </c>
      <c r="AQ3708">
        <v>-44.891694000000001</v>
      </c>
      <c r="AR3708">
        <v>23.780836080569209</v>
      </c>
      <c r="AS3708" t="s">
        <v>65</v>
      </c>
      <c r="AT3708">
        <v>1</v>
      </c>
      <c r="AU3708" t="s">
        <v>1433</v>
      </c>
      <c r="AV3708" t="s">
        <v>1434</v>
      </c>
      <c r="AW3708" t="s">
        <v>60</v>
      </c>
      <c r="AX3708" t="s">
        <v>68</v>
      </c>
      <c r="AY3708" t="s">
        <v>69</v>
      </c>
      <c r="AZ3708" t="b">
        <v>1</v>
      </c>
    </row>
    <row r="3709" spans="1:52" x14ac:dyDescent="0.3">
      <c r="A3709" t="s">
        <v>52</v>
      </c>
      <c r="B3709" t="s">
        <v>53</v>
      </c>
      <c r="C3709" t="s">
        <v>54</v>
      </c>
      <c r="D3709" t="s">
        <v>55</v>
      </c>
      <c r="E3709" t="s">
        <v>2205</v>
      </c>
      <c r="F3709" t="s">
        <v>1247</v>
      </c>
      <c r="G3709" t="s">
        <v>649</v>
      </c>
      <c r="H3709" t="s">
        <v>885</v>
      </c>
      <c r="I3709" t="s">
        <v>885</v>
      </c>
      <c r="J3709" t="s">
        <v>60</v>
      </c>
      <c r="K3709" t="s">
        <v>886</v>
      </c>
      <c r="L3709" t="s">
        <v>62</v>
      </c>
      <c r="M3709" t="s">
        <v>886</v>
      </c>
      <c r="N3709" t="s">
        <v>652</v>
      </c>
      <c r="O3709" t="s">
        <v>887</v>
      </c>
      <c r="P3709">
        <v>-20.132252000000001</v>
      </c>
      <c r="Q3709">
        <v>-44.894159000000002</v>
      </c>
      <c r="R3709" s="2" t="str">
        <f>HYPERLINK("https://www.google.com/maps?q=-20.1322520,-44.8941590","Abrir no Google Maps")</f>
        <v>Abrir no Google Maps</v>
      </c>
      <c r="S3709">
        <v>3</v>
      </c>
      <c r="T3709">
        <v>699.5004749448899</v>
      </c>
      <c r="U3709">
        <v>1</v>
      </c>
      <c r="V3709">
        <v>0</v>
      </c>
      <c r="W3709">
        <v>0.85</v>
      </c>
      <c r="X3709">
        <v>0</v>
      </c>
      <c r="Y3709">
        <v>564</v>
      </c>
      <c r="Z3709">
        <v>522.21103586457991</v>
      </c>
      <c r="AA3709">
        <v>198</v>
      </c>
      <c r="AB3709">
        <v>332</v>
      </c>
      <c r="AC3709">
        <v>536</v>
      </c>
      <c r="AD3709">
        <v>0</v>
      </c>
      <c r="AE3709">
        <v>542</v>
      </c>
      <c r="AF3709">
        <v>0</v>
      </c>
      <c r="AG3709">
        <v>0</v>
      </c>
      <c r="AH3709">
        <v>129</v>
      </c>
      <c r="AI3709">
        <v>0</v>
      </c>
      <c r="AJ3709">
        <v>0</v>
      </c>
      <c r="AK3709">
        <v>23.8</v>
      </c>
      <c r="AL3709">
        <v>-20.132285999999969</v>
      </c>
      <c r="AM3709">
        <v>-44.894119001288672</v>
      </c>
      <c r="AN3709">
        <v>-20.132285999999969</v>
      </c>
      <c r="AO3709">
        <v>-44.894119001288672</v>
      </c>
      <c r="AP3709">
        <v>-20.132252000000001</v>
      </c>
      <c r="AQ3709">
        <v>-44.894159000000002</v>
      </c>
      <c r="AR3709">
        <v>5.6393921063261629</v>
      </c>
      <c r="AS3709" t="s">
        <v>65</v>
      </c>
      <c r="AT3709">
        <v>1</v>
      </c>
      <c r="AU3709" t="s">
        <v>888</v>
      </c>
      <c r="AV3709" t="s">
        <v>889</v>
      </c>
      <c r="AW3709" t="s">
        <v>60</v>
      </c>
      <c r="AX3709" t="s">
        <v>68</v>
      </c>
      <c r="AY3709" t="s">
        <v>69</v>
      </c>
      <c r="AZ3709" t="b">
        <v>1</v>
      </c>
    </row>
    <row r="3710" spans="1:52" x14ac:dyDescent="0.3">
      <c r="A3710" t="s">
        <v>52</v>
      </c>
      <c r="B3710" t="s">
        <v>53</v>
      </c>
      <c r="C3710" t="s">
        <v>54</v>
      </c>
      <c r="D3710" t="s">
        <v>55</v>
      </c>
      <c r="E3710" t="s">
        <v>2205</v>
      </c>
      <c r="F3710" t="s">
        <v>1247</v>
      </c>
      <c r="G3710" t="s">
        <v>1435</v>
      </c>
      <c r="H3710" t="s">
        <v>1436</v>
      </c>
      <c r="I3710" t="s">
        <v>1436</v>
      </c>
      <c r="J3710" t="s">
        <v>60</v>
      </c>
      <c r="K3710" t="s">
        <v>886</v>
      </c>
      <c r="L3710" t="s">
        <v>62</v>
      </c>
      <c r="M3710" t="s">
        <v>886</v>
      </c>
      <c r="N3710" t="s">
        <v>1437</v>
      </c>
      <c r="O3710" t="s">
        <v>1438</v>
      </c>
      <c r="P3710">
        <v>-20.131108000000001</v>
      </c>
      <c r="Q3710">
        <v>-44.893228000000001</v>
      </c>
      <c r="R3710" s="2" t="str">
        <f>HYPERLINK("https://www.google.com/maps?q=-20.1311080,-44.8932280","Abrir no Google Maps")</f>
        <v>Abrir no Google Maps</v>
      </c>
      <c r="S3710">
        <v>3</v>
      </c>
      <c r="T3710">
        <v>548.07497919430136</v>
      </c>
      <c r="U3710">
        <v>1</v>
      </c>
      <c r="V3710">
        <v>0</v>
      </c>
      <c r="W3710">
        <v>0.85</v>
      </c>
      <c r="X3710">
        <v>0</v>
      </c>
      <c r="Y3710">
        <v>564</v>
      </c>
      <c r="Z3710">
        <v>369.17139216388432</v>
      </c>
      <c r="AA3710">
        <v>198</v>
      </c>
      <c r="AB3710">
        <v>332</v>
      </c>
      <c r="AC3710">
        <v>536</v>
      </c>
      <c r="AD3710">
        <v>0</v>
      </c>
      <c r="AE3710">
        <v>542</v>
      </c>
      <c r="AF3710">
        <v>0</v>
      </c>
      <c r="AG3710">
        <v>0</v>
      </c>
      <c r="AH3710">
        <v>129</v>
      </c>
      <c r="AI3710">
        <v>0</v>
      </c>
      <c r="AJ3710">
        <v>0</v>
      </c>
      <c r="AK3710">
        <v>23.8</v>
      </c>
      <c r="AL3710">
        <v>-20.13103294999997</v>
      </c>
      <c r="AM3710">
        <v>-44.89318457893738</v>
      </c>
      <c r="AN3710">
        <v>-20.13103294999997</v>
      </c>
      <c r="AO3710">
        <v>-44.89318457893738</v>
      </c>
      <c r="AP3710">
        <v>-20.131108000000001</v>
      </c>
      <c r="AQ3710">
        <v>-44.893228000000001</v>
      </c>
      <c r="AR3710">
        <v>9.5076426885244203</v>
      </c>
      <c r="AS3710" t="s">
        <v>65</v>
      </c>
      <c r="AT3710">
        <v>1</v>
      </c>
      <c r="AU3710" t="s">
        <v>1439</v>
      </c>
      <c r="AV3710" t="s">
        <v>1440</v>
      </c>
      <c r="AW3710" t="s">
        <v>60</v>
      </c>
      <c r="AX3710" t="s">
        <v>68</v>
      </c>
      <c r="AY3710" t="s">
        <v>69</v>
      </c>
      <c r="AZ3710" t="b">
        <v>1</v>
      </c>
    </row>
    <row r="3711" spans="1:52" x14ac:dyDescent="0.3">
      <c r="A3711" t="s">
        <v>52</v>
      </c>
      <c r="B3711" t="s">
        <v>53</v>
      </c>
      <c r="C3711" t="s">
        <v>54</v>
      </c>
      <c r="D3711" t="s">
        <v>55</v>
      </c>
      <c r="E3711" t="s">
        <v>2205</v>
      </c>
      <c r="F3711" t="s">
        <v>1247</v>
      </c>
      <c r="G3711" t="s">
        <v>503</v>
      </c>
      <c r="H3711" t="s">
        <v>1441</v>
      </c>
      <c r="I3711" t="s">
        <v>1441</v>
      </c>
      <c r="J3711" t="s">
        <v>60</v>
      </c>
      <c r="K3711" t="s">
        <v>512</v>
      </c>
      <c r="L3711" t="s">
        <v>62</v>
      </c>
      <c r="M3711" t="s">
        <v>512</v>
      </c>
      <c r="N3711" t="s">
        <v>506</v>
      </c>
      <c r="O3711" t="s">
        <v>1442</v>
      </c>
      <c r="P3711">
        <v>-20.13036</v>
      </c>
      <c r="Q3711">
        <v>-44.891019</v>
      </c>
      <c r="R3711" s="2" t="str">
        <f>HYPERLINK("https://www.google.com/maps?q=-20.1303600,-44.8910190","Abrir no Google Maps")</f>
        <v>Abrir no Google Maps</v>
      </c>
      <c r="S3711">
        <v>3</v>
      </c>
      <c r="T3711">
        <v>313.17410616307359</v>
      </c>
      <c r="U3711">
        <v>1</v>
      </c>
      <c r="V3711">
        <v>0</v>
      </c>
      <c r="W3711">
        <v>0.85</v>
      </c>
      <c r="X3711">
        <v>0</v>
      </c>
      <c r="Y3711">
        <v>564</v>
      </c>
      <c r="Z3711">
        <v>208.43159293494489</v>
      </c>
      <c r="AA3711">
        <v>198</v>
      </c>
      <c r="AB3711">
        <v>332</v>
      </c>
      <c r="AC3711">
        <v>536</v>
      </c>
      <c r="AD3711">
        <v>0</v>
      </c>
      <c r="AE3711">
        <v>542</v>
      </c>
      <c r="AF3711">
        <v>0</v>
      </c>
      <c r="AG3711">
        <v>0</v>
      </c>
      <c r="AH3711">
        <v>129</v>
      </c>
      <c r="AI3711">
        <v>0</v>
      </c>
      <c r="AJ3711">
        <v>0</v>
      </c>
      <c r="AK3711">
        <v>23.8</v>
      </c>
      <c r="AL3711">
        <v>-20.130100449999961</v>
      </c>
      <c r="AM3711">
        <v>-44.891163633475301</v>
      </c>
      <c r="AN3711">
        <v>-20.130100449999961</v>
      </c>
      <c r="AO3711">
        <v>-44.891163633475301</v>
      </c>
      <c r="AP3711">
        <v>-20.13036</v>
      </c>
      <c r="AQ3711">
        <v>-44.891019</v>
      </c>
      <c r="AR3711">
        <v>32.608854575381159</v>
      </c>
      <c r="AS3711" t="s">
        <v>65</v>
      </c>
      <c r="AT3711">
        <v>1</v>
      </c>
      <c r="AU3711" t="s">
        <v>1443</v>
      </c>
      <c r="AV3711" t="s">
        <v>1444</v>
      </c>
      <c r="AW3711" t="s">
        <v>60</v>
      </c>
      <c r="AX3711" t="s">
        <v>68</v>
      </c>
      <c r="AY3711" t="s">
        <v>69</v>
      </c>
      <c r="AZ3711" t="b">
        <v>1</v>
      </c>
    </row>
    <row r="3712" spans="1:52" x14ac:dyDescent="0.3">
      <c r="A3712" t="s">
        <v>52</v>
      </c>
      <c r="B3712" t="s">
        <v>53</v>
      </c>
      <c r="C3712" t="s">
        <v>54</v>
      </c>
      <c r="D3712" t="s">
        <v>55</v>
      </c>
      <c r="E3712" t="s">
        <v>2205</v>
      </c>
      <c r="F3712" t="s">
        <v>1247</v>
      </c>
      <c r="G3712" t="s">
        <v>1408</v>
      </c>
      <c r="H3712" t="s">
        <v>1409</v>
      </c>
      <c r="I3712" t="s">
        <v>1409</v>
      </c>
      <c r="J3712" t="s">
        <v>60</v>
      </c>
      <c r="K3712" t="s">
        <v>200</v>
      </c>
      <c r="L3712" t="s">
        <v>62</v>
      </c>
      <c r="M3712" t="s">
        <v>200</v>
      </c>
      <c r="N3712" t="s">
        <v>1410</v>
      </c>
      <c r="O3712" t="s">
        <v>1001</v>
      </c>
      <c r="P3712">
        <v>-20.126062999999998</v>
      </c>
      <c r="Q3712">
        <v>-44.894936999999999</v>
      </c>
      <c r="R3712" s="2" t="str">
        <f>HYPERLINK("https://www.google.com/maps?q=-20.1260630,-44.8949370","Abrir no Google Maps")</f>
        <v>Abrir no Google Maps</v>
      </c>
      <c r="S3712">
        <v>3</v>
      </c>
      <c r="T3712">
        <v>747.3122077966558</v>
      </c>
      <c r="U3712">
        <v>1</v>
      </c>
      <c r="V3712">
        <v>0</v>
      </c>
      <c r="W3712">
        <v>0.85</v>
      </c>
      <c r="X3712">
        <v>0</v>
      </c>
      <c r="Y3712">
        <v>564</v>
      </c>
      <c r="Z3712">
        <v>693.80888866206885</v>
      </c>
      <c r="AA3712">
        <v>198</v>
      </c>
      <c r="AB3712">
        <v>332</v>
      </c>
      <c r="AC3712">
        <v>536</v>
      </c>
      <c r="AD3712">
        <v>0</v>
      </c>
      <c r="AE3712">
        <v>542</v>
      </c>
      <c r="AF3712">
        <v>0</v>
      </c>
      <c r="AG3712">
        <v>0</v>
      </c>
      <c r="AH3712">
        <v>129</v>
      </c>
      <c r="AI3712">
        <v>0</v>
      </c>
      <c r="AJ3712">
        <v>0</v>
      </c>
      <c r="AK3712">
        <v>23.8</v>
      </c>
      <c r="AL3712">
        <v>-20.126099149999959</v>
      </c>
      <c r="AM3712">
        <v>-44.894866076436763</v>
      </c>
      <c r="AN3712">
        <v>-20.126099149999959</v>
      </c>
      <c r="AO3712">
        <v>-44.894866076436749</v>
      </c>
      <c r="AP3712">
        <v>-20.126062999999998</v>
      </c>
      <c r="AQ3712">
        <v>-44.894936999999999</v>
      </c>
      <c r="AR3712">
        <v>8.4349593682699737</v>
      </c>
      <c r="AS3712" t="s">
        <v>65</v>
      </c>
      <c r="AT3712">
        <v>1</v>
      </c>
      <c r="AU3712" t="s">
        <v>1411</v>
      </c>
      <c r="AV3712" t="s">
        <v>1003</v>
      </c>
      <c r="AW3712" t="s">
        <v>60</v>
      </c>
      <c r="AX3712" t="s">
        <v>68</v>
      </c>
      <c r="AY3712" t="s">
        <v>69</v>
      </c>
      <c r="AZ3712" t="b">
        <v>1</v>
      </c>
    </row>
    <row r="3713" spans="1:52" x14ac:dyDescent="0.3">
      <c r="A3713" t="s">
        <v>52</v>
      </c>
      <c r="B3713" t="s">
        <v>53</v>
      </c>
      <c r="C3713" t="s">
        <v>54</v>
      </c>
      <c r="D3713" t="s">
        <v>55</v>
      </c>
      <c r="E3713" t="s">
        <v>2205</v>
      </c>
      <c r="F3713" t="s">
        <v>1247</v>
      </c>
      <c r="G3713" t="s">
        <v>528</v>
      </c>
      <c r="H3713" t="s">
        <v>529</v>
      </c>
      <c r="I3713" t="s">
        <v>529</v>
      </c>
      <c r="J3713" t="s">
        <v>60</v>
      </c>
      <c r="K3713" t="s">
        <v>530</v>
      </c>
      <c r="L3713" t="s">
        <v>62</v>
      </c>
      <c r="M3713" t="s">
        <v>530</v>
      </c>
      <c r="N3713" t="s">
        <v>531</v>
      </c>
      <c r="O3713" t="s">
        <v>532</v>
      </c>
      <c r="P3713">
        <v>-20.142457</v>
      </c>
      <c r="Q3713">
        <v>-44.891688000000002</v>
      </c>
      <c r="R3713" s="2" t="str">
        <f>HYPERLINK("https://www.google.com/maps?q=-20.1424570,-44.8916880","Abrir no Google Maps")</f>
        <v>Abrir no Google Maps</v>
      </c>
      <c r="S3713">
        <v>3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557</v>
      </c>
      <c r="Z3713">
        <v>42.611952255679803</v>
      </c>
      <c r="AA3713">
        <v>198</v>
      </c>
      <c r="AB3713">
        <v>332</v>
      </c>
      <c r="AC3713">
        <v>536</v>
      </c>
      <c r="AD3713">
        <v>0</v>
      </c>
      <c r="AE3713">
        <v>542</v>
      </c>
      <c r="AF3713">
        <v>0</v>
      </c>
      <c r="AG3713">
        <v>0</v>
      </c>
      <c r="AH3713">
        <v>129</v>
      </c>
      <c r="AI3713">
        <v>0</v>
      </c>
      <c r="AJ3713">
        <v>0</v>
      </c>
      <c r="AK3713">
        <v>23.8</v>
      </c>
      <c r="AL3713">
        <v>-20.142523099999948</v>
      </c>
      <c r="AM3713">
        <v>-44.891523817588819</v>
      </c>
      <c r="AN3713">
        <v>-20.142523099999948</v>
      </c>
      <c r="AO3713">
        <v>-44.891523817588819</v>
      </c>
      <c r="AP3713">
        <v>-20.142457</v>
      </c>
      <c r="AQ3713">
        <v>-44.891688000000002</v>
      </c>
      <c r="AR3713">
        <v>18.670129248632971</v>
      </c>
      <c r="AS3713" t="s">
        <v>65</v>
      </c>
      <c r="AT3713">
        <v>1</v>
      </c>
      <c r="AU3713" t="s">
        <v>533</v>
      </c>
      <c r="AV3713" t="s">
        <v>534</v>
      </c>
      <c r="AW3713" t="s">
        <v>60</v>
      </c>
      <c r="AX3713" t="s">
        <v>68</v>
      </c>
      <c r="AY3713" t="s">
        <v>69</v>
      </c>
      <c r="AZ3713" t="b">
        <v>1</v>
      </c>
    </row>
    <row r="3714" spans="1:52" x14ac:dyDescent="0.3">
      <c r="A3714" t="s">
        <v>52</v>
      </c>
      <c r="B3714" t="s">
        <v>53</v>
      </c>
      <c r="C3714" t="s">
        <v>54</v>
      </c>
      <c r="D3714" t="s">
        <v>55</v>
      </c>
      <c r="E3714" t="s">
        <v>2205</v>
      </c>
      <c r="F3714" t="s">
        <v>1247</v>
      </c>
      <c r="G3714" t="s">
        <v>473</v>
      </c>
      <c r="H3714" t="s">
        <v>1445</v>
      </c>
      <c r="I3714" t="s">
        <v>1445</v>
      </c>
      <c r="J3714" t="s">
        <v>60</v>
      </c>
      <c r="K3714" t="s">
        <v>892</v>
      </c>
      <c r="L3714" t="s">
        <v>62</v>
      </c>
      <c r="M3714" t="s">
        <v>892</v>
      </c>
      <c r="N3714" t="s">
        <v>406</v>
      </c>
      <c r="O3714" t="s">
        <v>1446</v>
      </c>
      <c r="P3714">
        <v>-20.14941</v>
      </c>
      <c r="Q3714">
        <v>-44.899535</v>
      </c>
      <c r="R3714" s="2" t="str">
        <f>HYPERLINK("https://www.google.com/maps?q=-20.1494100,-44.8995350","Abrir no Google Maps")</f>
        <v>Abrir no Google Maps</v>
      </c>
      <c r="S3714">
        <v>3</v>
      </c>
      <c r="T3714">
        <v>249.83945591849931</v>
      </c>
      <c r="U3714">
        <v>1</v>
      </c>
      <c r="V3714">
        <v>0</v>
      </c>
      <c r="W3714">
        <v>0.85</v>
      </c>
      <c r="X3714">
        <v>0</v>
      </c>
      <c r="Y3714">
        <v>556</v>
      </c>
      <c r="Z3714">
        <v>156.62360082488701</v>
      </c>
      <c r="AA3714">
        <v>198</v>
      </c>
      <c r="AB3714">
        <v>332</v>
      </c>
      <c r="AC3714">
        <v>536</v>
      </c>
      <c r="AD3714">
        <v>0</v>
      </c>
      <c r="AE3714">
        <v>542</v>
      </c>
      <c r="AF3714">
        <v>0</v>
      </c>
      <c r="AG3714">
        <v>0</v>
      </c>
      <c r="AH3714">
        <v>129</v>
      </c>
      <c r="AI3714">
        <v>0</v>
      </c>
      <c r="AJ3714">
        <v>0</v>
      </c>
      <c r="AK3714">
        <v>23.8</v>
      </c>
      <c r="AL3714">
        <v>-20.149341899999939</v>
      </c>
      <c r="AM3714">
        <v>-44.899575902083967</v>
      </c>
      <c r="AN3714">
        <v>-20.149341899999939</v>
      </c>
      <c r="AO3714">
        <v>-44.899575902083967</v>
      </c>
      <c r="AP3714">
        <v>-20.14941</v>
      </c>
      <c r="AQ3714">
        <v>-44.899535</v>
      </c>
      <c r="AR3714">
        <v>8.7029725999778709</v>
      </c>
      <c r="AS3714" t="s">
        <v>65</v>
      </c>
      <c r="AT3714">
        <v>1</v>
      </c>
      <c r="AU3714" t="s">
        <v>1447</v>
      </c>
      <c r="AV3714" t="s">
        <v>1448</v>
      </c>
      <c r="AW3714" t="s">
        <v>60</v>
      </c>
      <c r="AX3714" t="s">
        <v>68</v>
      </c>
      <c r="AY3714" t="s">
        <v>69</v>
      </c>
      <c r="AZ3714" t="b">
        <v>1</v>
      </c>
    </row>
    <row r="3715" spans="1:52" x14ac:dyDescent="0.3">
      <c r="A3715" t="s">
        <v>52</v>
      </c>
      <c r="B3715" t="s">
        <v>53</v>
      </c>
      <c r="C3715" t="s">
        <v>54</v>
      </c>
      <c r="D3715" t="s">
        <v>55</v>
      </c>
      <c r="E3715" t="s">
        <v>2205</v>
      </c>
      <c r="F3715" t="s">
        <v>1247</v>
      </c>
      <c r="G3715" t="s">
        <v>890</v>
      </c>
      <c r="H3715" t="s">
        <v>891</v>
      </c>
      <c r="I3715" t="s">
        <v>891</v>
      </c>
      <c r="J3715" t="s">
        <v>60</v>
      </c>
      <c r="K3715" t="s">
        <v>892</v>
      </c>
      <c r="L3715" t="s">
        <v>62</v>
      </c>
      <c r="M3715" t="s">
        <v>892</v>
      </c>
      <c r="N3715" t="s">
        <v>893</v>
      </c>
      <c r="O3715" t="s">
        <v>894</v>
      </c>
      <c r="P3715">
        <v>-20.152519000000002</v>
      </c>
      <c r="Q3715">
        <v>-44.899177000000002</v>
      </c>
      <c r="R3715" s="2" t="str">
        <f>HYPERLINK("https://www.google.com/maps?q=-20.1525190,-44.8991770","Abrir no Google Maps")</f>
        <v>Abrir no Google Maps</v>
      </c>
      <c r="S3715">
        <v>3</v>
      </c>
      <c r="T3715">
        <v>211.80188552994721</v>
      </c>
      <c r="U3715">
        <v>1</v>
      </c>
      <c r="V3715">
        <v>0</v>
      </c>
      <c r="W3715">
        <v>1</v>
      </c>
      <c r="X3715">
        <v>0</v>
      </c>
      <c r="Y3715">
        <v>556</v>
      </c>
      <c r="Z3715">
        <v>290.34804137107091</v>
      </c>
      <c r="AA3715">
        <v>198</v>
      </c>
      <c r="AB3715">
        <v>332</v>
      </c>
      <c r="AC3715">
        <v>536</v>
      </c>
      <c r="AD3715">
        <v>0</v>
      </c>
      <c r="AE3715">
        <v>542</v>
      </c>
      <c r="AF3715">
        <v>0</v>
      </c>
      <c r="AG3715">
        <v>0</v>
      </c>
      <c r="AH3715">
        <v>129</v>
      </c>
      <c r="AI3715">
        <v>0</v>
      </c>
      <c r="AJ3715">
        <v>0</v>
      </c>
      <c r="AK3715">
        <v>23.8</v>
      </c>
      <c r="AL3715">
        <v>-20.152516249999959</v>
      </c>
      <c r="AM3715">
        <v>-44.899310431333959</v>
      </c>
      <c r="AN3715">
        <v>-20.152516249999959</v>
      </c>
      <c r="AO3715">
        <v>-44.899310431333959</v>
      </c>
      <c r="AP3715">
        <v>-20.152519000000002</v>
      </c>
      <c r="AQ3715">
        <v>-44.899177000000002</v>
      </c>
      <c r="AR3715">
        <v>13.947583284957719</v>
      </c>
      <c r="AS3715" t="s">
        <v>65</v>
      </c>
      <c r="AT3715">
        <v>1</v>
      </c>
      <c r="AU3715" t="s">
        <v>895</v>
      </c>
      <c r="AV3715" t="s">
        <v>896</v>
      </c>
      <c r="AW3715" t="s">
        <v>60</v>
      </c>
      <c r="AX3715" t="s">
        <v>68</v>
      </c>
      <c r="AY3715" t="s">
        <v>69</v>
      </c>
      <c r="AZ3715" t="b">
        <v>1</v>
      </c>
    </row>
    <row r="3716" spans="1:52" x14ac:dyDescent="0.3">
      <c r="A3716" t="s">
        <v>52</v>
      </c>
      <c r="B3716" t="s">
        <v>53</v>
      </c>
      <c r="C3716" t="s">
        <v>54</v>
      </c>
      <c r="D3716" t="s">
        <v>55</v>
      </c>
      <c r="E3716" t="s">
        <v>2205</v>
      </c>
      <c r="F3716" t="s">
        <v>1247</v>
      </c>
      <c r="G3716" t="s">
        <v>535</v>
      </c>
      <c r="H3716" t="s">
        <v>536</v>
      </c>
      <c r="I3716" t="s">
        <v>536</v>
      </c>
      <c r="J3716" t="s">
        <v>60</v>
      </c>
      <c r="K3716" t="s">
        <v>388</v>
      </c>
      <c r="L3716" t="s">
        <v>62</v>
      </c>
      <c r="M3716" t="s">
        <v>388</v>
      </c>
      <c r="N3716" t="s">
        <v>537</v>
      </c>
      <c r="O3716" t="s">
        <v>538</v>
      </c>
      <c r="P3716">
        <v>-20.150061999999998</v>
      </c>
      <c r="Q3716">
        <v>-44.903379000000001</v>
      </c>
      <c r="R3716" s="2" t="str">
        <f>HYPERLINK("https://www.google.com/maps?q=-20.1500620,-44.9033790","Abrir no Google Maps")</f>
        <v>Abrir no Google Maps</v>
      </c>
      <c r="S3716">
        <v>3</v>
      </c>
      <c r="T3716">
        <v>286.20313674219977</v>
      </c>
      <c r="U3716">
        <v>1</v>
      </c>
      <c r="V3716">
        <v>0</v>
      </c>
      <c r="W3716">
        <v>1</v>
      </c>
      <c r="X3716">
        <v>0</v>
      </c>
      <c r="Y3716">
        <v>556</v>
      </c>
      <c r="Z3716">
        <v>315.81851898667401</v>
      </c>
      <c r="AA3716">
        <v>198</v>
      </c>
      <c r="AB3716">
        <v>332</v>
      </c>
      <c r="AC3716">
        <v>536</v>
      </c>
      <c r="AD3716">
        <v>0</v>
      </c>
      <c r="AE3716">
        <v>542</v>
      </c>
      <c r="AF3716">
        <v>0</v>
      </c>
      <c r="AG3716">
        <v>0</v>
      </c>
      <c r="AH3716">
        <v>129</v>
      </c>
      <c r="AI3716">
        <v>0</v>
      </c>
      <c r="AJ3716">
        <v>0</v>
      </c>
      <c r="AK3716">
        <v>23.8</v>
      </c>
      <c r="AL3716">
        <v>-20.150084299999971</v>
      </c>
      <c r="AM3716">
        <v>-44.903278407568479</v>
      </c>
      <c r="AN3716">
        <v>-20.150084299999971</v>
      </c>
      <c r="AO3716">
        <v>-44.903278407568479</v>
      </c>
      <c r="AP3716">
        <v>-20.150061999999998</v>
      </c>
      <c r="AQ3716">
        <v>-44.903379000000001</v>
      </c>
      <c r="AR3716">
        <v>10.801687336134639</v>
      </c>
      <c r="AS3716" t="s">
        <v>65</v>
      </c>
      <c r="AT3716">
        <v>1</v>
      </c>
      <c r="AU3716" t="s">
        <v>539</v>
      </c>
      <c r="AV3716" t="s">
        <v>540</v>
      </c>
      <c r="AW3716" t="s">
        <v>60</v>
      </c>
      <c r="AX3716" t="s">
        <v>68</v>
      </c>
      <c r="AY3716" t="s">
        <v>69</v>
      </c>
      <c r="AZ3716" t="b">
        <v>1</v>
      </c>
    </row>
    <row r="3717" spans="1:52" x14ac:dyDescent="0.3">
      <c r="A3717" t="s">
        <v>52</v>
      </c>
      <c r="B3717" t="s">
        <v>53</v>
      </c>
      <c r="C3717" t="s">
        <v>54</v>
      </c>
      <c r="D3717" t="s">
        <v>55</v>
      </c>
      <c r="E3717" t="s">
        <v>2205</v>
      </c>
      <c r="F3717" t="s">
        <v>1247</v>
      </c>
      <c r="G3717" t="s">
        <v>398</v>
      </c>
      <c r="H3717" t="s">
        <v>541</v>
      </c>
      <c r="I3717" t="s">
        <v>541</v>
      </c>
      <c r="J3717" t="s">
        <v>60</v>
      </c>
      <c r="K3717" t="s">
        <v>388</v>
      </c>
      <c r="L3717" t="s">
        <v>62</v>
      </c>
      <c r="M3717" t="s">
        <v>388</v>
      </c>
      <c r="N3717" t="s">
        <v>400</v>
      </c>
      <c r="O3717" t="s">
        <v>542</v>
      </c>
      <c r="P3717">
        <v>-20.151335</v>
      </c>
      <c r="Q3717">
        <v>-44.901041999999997</v>
      </c>
      <c r="R3717" s="2" t="str">
        <f>HYPERLINK("https://www.google.com/maps?q=-20.1513350,-44.9010420","Abrir no Google Maps")</f>
        <v>Abrir no Google Maps</v>
      </c>
      <c r="S3717">
        <v>3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556</v>
      </c>
      <c r="Z3717">
        <v>137.71609036908939</v>
      </c>
      <c r="AA3717">
        <v>198</v>
      </c>
      <c r="AB3717">
        <v>332</v>
      </c>
      <c r="AC3717">
        <v>536</v>
      </c>
      <c r="AD3717">
        <v>0</v>
      </c>
      <c r="AE3717">
        <v>542</v>
      </c>
      <c r="AF3717">
        <v>0</v>
      </c>
      <c r="AG3717">
        <v>0</v>
      </c>
      <c r="AH3717">
        <v>129</v>
      </c>
      <c r="AI3717">
        <v>0</v>
      </c>
      <c r="AJ3717">
        <v>0</v>
      </c>
      <c r="AK3717">
        <v>23.8</v>
      </c>
      <c r="AL3717">
        <v>-20.15125899999995</v>
      </c>
      <c r="AM3717">
        <v>-44.900838557594433</v>
      </c>
      <c r="AN3717">
        <v>-20.15125899999995</v>
      </c>
      <c r="AO3717">
        <v>-44.900838557594433</v>
      </c>
      <c r="AP3717">
        <v>-20.151335</v>
      </c>
      <c r="AQ3717">
        <v>-44.901041999999997</v>
      </c>
      <c r="AR3717">
        <v>22.882363139483491</v>
      </c>
      <c r="AS3717" t="s">
        <v>65</v>
      </c>
      <c r="AT3717">
        <v>1</v>
      </c>
      <c r="AU3717" t="s">
        <v>543</v>
      </c>
      <c r="AV3717" t="s">
        <v>544</v>
      </c>
      <c r="AW3717" t="s">
        <v>60</v>
      </c>
      <c r="AX3717" t="s">
        <v>68</v>
      </c>
      <c r="AY3717" t="s">
        <v>69</v>
      </c>
      <c r="AZ3717" t="b">
        <v>1</v>
      </c>
    </row>
    <row r="3718" spans="1:52" x14ac:dyDescent="0.3">
      <c r="A3718" t="s">
        <v>52</v>
      </c>
      <c r="B3718" t="s">
        <v>53</v>
      </c>
      <c r="C3718" t="s">
        <v>54</v>
      </c>
      <c r="D3718" t="s">
        <v>55</v>
      </c>
      <c r="E3718" t="s">
        <v>2205</v>
      </c>
      <c r="F3718" t="s">
        <v>1247</v>
      </c>
      <c r="G3718" t="s">
        <v>1412</v>
      </c>
      <c r="H3718" t="s">
        <v>1413</v>
      </c>
      <c r="I3718" t="s">
        <v>1413</v>
      </c>
      <c r="J3718" t="s">
        <v>60</v>
      </c>
      <c r="K3718" t="s">
        <v>892</v>
      </c>
      <c r="L3718" t="s">
        <v>62</v>
      </c>
      <c r="M3718" t="s">
        <v>892</v>
      </c>
      <c r="N3718" t="s">
        <v>1414</v>
      </c>
      <c r="O3718" t="s">
        <v>293</v>
      </c>
      <c r="P3718">
        <v>-20.150780999999998</v>
      </c>
      <c r="Q3718">
        <v>-44.897972000000003</v>
      </c>
      <c r="R3718" s="2" t="str">
        <f>HYPERLINK("https://www.google.com/maps?q=-20.1507810,-44.8979720","Abrir no Google Maps")</f>
        <v>Abrir no Google Maps</v>
      </c>
      <c r="S3718">
        <v>3</v>
      </c>
      <c r="T3718">
        <v>306.36394634674508</v>
      </c>
      <c r="U3718">
        <v>1</v>
      </c>
      <c r="V3718">
        <v>0</v>
      </c>
      <c r="W3718">
        <v>0.85</v>
      </c>
      <c r="X3718">
        <v>0</v>
      </c>
      <c r="Y3718">
        <v>556</v>
      </c>
      <c r="Z3718">
        <v>233.85692443628571</v>
      </c>
      <c r="AA3718">
        <v>198</v>
      </c>
      <c r="AB3718">
        <v>332</v>
      </c>
      <c r="AC3718">
        <v>536</v>
      </c>
      <c r="AD3718">
        <v>0</v>
      </c>
      <c r="AE3718">
        <v>542</v>
      </c>
      <c r="AF3718">
        <v>0</v>
      </c>
      <c r="AG3718">
        <v>0</v>
      </c>
      <c r="AH3718">
        <v>129</v>
      </c>
      <c r="AI3718">
        <v>0</v>
      </c>
      <c r="AJ3718">
        <v>0</v>
      </c>
      <c r="AK3718">
        <v>23.8</v>
      </c>
      <c r="AL3718">
        <v>-20.15074609999996</v>
      </c>
      <c r="AM3718">
        <v>-44.89795774234689</v>
      </c>
      <c r="AN3718">
        <v>-20.15074609999996</v>
      </c>
      <c r="AO3718">
        <v>-44.89795774234689</v>
      </c>
      <c r="AP3718">
        <v>-20.150780999999998</v>
      </c>
      <c r="AQ3718">
        <v>-44.897972000000003</v>
      </c>
      <c r="AR3718">
        <v>4.160995809097348</v>
      </c>
      <c r="AS3718" t="s">
        <v>65</v>
      </c>
      <c r="AT3718">
        <v>1</v>
      </c>
      <c r="AU3718" t="s">
        <v>1415</v>
      </c>
      <c r="AV3718" t="s">
        <v>1416</v>
      </c>
      <c r="AW3718" t="s">
        <v>60</v>
      </c>
      <c r="AX3718" t="s">
        <v>68</v>
      </c>
      <c r="AY3718" t="s">
        <v>69</v>
      </c>
      <c r="AZ3718" t="b">
        <v>1</v>
      </c>
    </row>
    <row r="3719" spans="1:52" x14ac:dyDescent="0.3">
      <c r="A3719" t="s">
        <v>52</v>
      </c>
      <c r="B3719" t="s">
        <v>53</v>
      </c>
      <c r="C3719" t="s">
        <v>54</v>
      </c>
      <c r="D3719" t="s">
        <v>55</v>
      </c>
      <c r="E3719" t="s">
        <v>2205</v>
      </c>
      <c r="F3719" t="s">
        <v>1247</v>
      </c>
      <c r="G3719" t="s">
        <v>1127</v>
      </c>
      <c r="H3719" t="s">
        <v>1449</v>
      </c>
      <c r="I3719" t="s">
        <v>1449</v>
      </c>
      <c r="J3719" t="s">
        <v>60</v>
      </c>
      <c r="K3719" t="s">
        <v>1450</v>
      </c>
      <c r="L3719" t="s">
        <v>62</v>
      </c>
      <c r="M3719" t="s">
        <v>1450</v>
      </c>
      <c r="N3719" t="s">
        <v>1451</v>
      </c>
      <c r="O3719" t="s">
        <v>1452</v>
      </c>
      <c r="P3719">
        <v>-20.152612000000001</v>
      </c>
      <c r="Q3719">
        <v>-44.897098</v>
      </c>
      <c r="R3719" s="2" t="str">
        <f>HYPERLINK("https://www.google.com/maps?q=-20.1526120,-44.8970980","Abrir no Google Maps")</f>
        <v>Abrir no Google Maps</v>
      </c>
      <c r="S3719">
        <v>3</v>
      </c>
      <c r="T3719">
        <v>418.6283592063233</v>
      </c>
      <c r="U3719">
        <v>1</v>
      </c>
      <c r="V3719">
        <v>0</v>
      </c>
      <c r="W3719">
        <v>0.85</v>
      </c>
      <c r="X3719">
        <v>0</v>
      </c>
      <c r="Y3719">
        <v>556</v>
      </c>
      <c r="Z3719">
        <v>387.16462225830952</v>
      </c>
      <c r="AA3719">
        <v>198</v>
      </c>
      <c r="AB3719">
        <v>332</v>
      </c>
      <c r="AC3719">
        <v>536</v>
      </c>
      <c r="AD3719">
        <v>0</v>
      </c>
      <c r="AE3719">
        <v>542</v>
      </c>
      <c r="AF3719">
        <v>0</v>
      </c>
      <c r="AG3719">
        <v>0</v>
      </c>
      <c r="AH3719">
        <v>129</v>
      </c>
      <c r="AI3719">
        <v>0</v>
      </c>
      <c r="AJ3719">
        <v>0</v>
      </c>
      <c r="AK3719">
        <v>23.8</v>
      </c>
      <c r="AL3719">
        <v>-20.15253669999996</v>
      </c>
      <c r="AM3719">
        <v>-44.897068126936119</v>
      </c>
      <c r="AN3719">
        <v>-20.15253669999996</v>
      </c>
      <c r="AO3719">
        <v>-44.897068126936119</v>
      </c>
      <c r="AP3719">
        <v>-20.152612000000001</v>
      </c>
      <c r="AQ3719">
        <v>-44.897098</v>
      </c>
      <c r="AR3719">
        <v>8.9448699164987104</v>
      </c>
      <c r="AS3719" t="s">
        <v>65</v>
      </c>
      <c r="AT3719">
        <v>1</v>
      </c>
      <c r="AU3719" t="s">
        <v>1453</v>
      </c>
      <c r="AV3719" t="s">
        <v>1454</v>
      </c>
      <c r="AW3719" t="s">
        <v>60</v>
      </c>
      <c r="AX3719" t="s">
        <v>68</v>
      </c>
      <c r="AY3719" t="s">
        <v>69</v>
      </c>
      <c r="AZ3719" t="b">
        <v>1</v>
      </c>
    </row>
    <row r="3720" spans="1:52" x14ac:dyDescent="0.3">
      <c r="A3720" t="s">
        <v>52</v>
      </c>
      <c r="B3720" t="s">
        <v>53</v>
      </c>
      <c r="C3720" t="s">
        <v>54</v>
      </c>
      <c r="D3720" t="s">
        <v>55</v>
      </c>
      <c r="E3720" t="s">
        <v>2205</v>
      </c>
      <c r="F3720" t="s">
        <v>1247</v>
      </c>
      <c r="G3720" t="s">
        <v>897</v>
      </c>
      <c r="H3720" t="s">
        <v>898</v>
      </c>
      <c r="I3720" t="s">
        <v>898</v>
      </c>
      <c r="J3720" t="s">
        <v>60</v>
      </c>
      <c r="K3720" t="s">
        <v>892</v>
      </c>
      <c r="L3720" t="s">
        <v>62</v>
      </c>
      <c r="M3720" t="s">
        <v>892</v>
      </c>
      <c r="N3720" t="s">
        <v>899</v>
      </c>
      <c r="O3720" t="s">
        <v>900</v>
      </c>
      <c r="P3720">
        <v>-20.154885</v>
      </c>
      <c r="Q3720">
        <v>-44.899890999999997</v>
      </c>
      <c r="R3720" s="2" t="str">
        <f>HYPERLINK("https://www.google.com/maps?q=-20.1548850,-44.8998910","Abrir no Google Maps")</f>
        <v>Abrir no Google Maps</v>
      </c>
      <c r="S3720">
        <v>3</v>
      </c>
      <c r="T3720">
        <v>314.66339661014308</v>
      </c>
      <c r="U3720">
        <v>1</v>
      </c>
      <c r="V3720">
        <v>0</v>
      </c>
      <c r="W3720">
        <v>1</v>
      </c>
      <c r="X3720">
        <v>0</v>
      </c>
      <c r="Y3720">
        <v>548</v>
      </c>
      <c r="Z3720">
        <v>319.02252584834253</v>
      </c>
      <c r="AA3720">
        <v>198</v>
      </c>
      <c r="AB3720">
        <v>332</v>
      </c>
      <c r="AC3720">
        <v>536</v>
      </c>
      <c r="AD3720">
        <v>0</v>
      </c>
      <c r="AE3720">
        <v>542</v>
      </c>
      <c r="AF3720">
        <v>0</v>
      </c>
      <c r="AG3720">
        <v>0</v>
      </c>
      <c r="AH3720">
        <v>129</v>
      </c>
      <c r="AI3720">
        <v>0</v>
      </c>
      <c r="AJ3720">
        <v>0</v>
      </c>
      <c r="AK3720">
        <v>23.8</v>
      </c>
      <c r="AL3720">
        <v>-20.154906649999951</v>
      </c>
      <c r="AM3720">
        <v>-44.899894072543653</v>
      </c>
      <c r="AN3720">
        <v>-20.154906649999951</v>
      </c>
      <c r="AO3720">
        <v>-44.899894072543653</v>
      </c>
      <c r="AP3720">
        <v>-20.154885</v>
      </c>
      <c r="AQ3720">
        <v>-44.899890999999997</v>
      </c>
      <c r="AR3720">
        <v>2.431373123904943</v>
      </c>
      <c r="AS3720" t="s">
        <v>65</v>
      </c>
      <c r="AT3720">
        <v>1</v>
      </c>
      <c r="AU3720" t="s">
        <v>901</v>
      </c>
      <c r="AV3720" t="s">
        <v>902</v>
      </c>
      <c r="AW3720" t="s">
        <v>60</v>
      </c>
      <c r="AX3720" t="s">
        <v>68</v>
      </c>
      <c r="AY3720" t="s">
        <v>69</v>
      </c>
      <c r="AZ3720" t="b">
        <v>1</v>
      </c>
    </row>
    <row r="3721" spans="1:52" x14ac:dyDescent="0.3">
      <c r="A3721" t="s">
        <v>52</v>
      </c>
      <c r="B3721" t="s">
        <v>53</v>
      </c>
      <c r="C3721" t="s">
        <v>54</v>
      </c>
      <c r="D3721" t="s">
        <v>55</v>
      </c>
      <c r="E3721" t="s">
        <v>2205</v>
      </c>
      <c r="F3721" t="s">
        <v>1247</v>
      </c>
      <c r="G3721" t="s">
        <v>545</v>
      </c>
      <c r="H3721" t="s">
        <v>546</v>
      </c>
      <c r="I3721" t="s">
        <v>546</v>
      </c>
      <c r="J3721" t="s">
        <v>60</v>
      </c>
      <c r="K3721" t="s">
        <v>388</v>
      </c>
      <c r="L3721" t="s">
        <v>62</v>
      </c>
      <c r="M3721" t="s">
        <v>388</v>
      </c>
      <c r="N3721" t="s">
        <v>547</v>
      </c>
      <c r="O3721" t="s">
        <v>548</v>
      </c>
      <c r="P3721">
        <v>-20.155839</v>
      </c>
      <c r="Q3721">
        <v>-44.905655000000003</v>
      </c>
      <c r="R3721" s="2" t="str">
        <f>HYPERLINK("https://www.google.com/maps?q=-20.1558390,-44.9056550","Abrir no Google Maps")</f>
        <v>Abrir no Google Maps</v>
      </c>
      <c r="S3721">
        <v>3</v>
      </c>
      <c r="T3721">
        <v>309.7643089121122</v>
      </c>
      <c r="U3721">
        <v>1</v>
      </c>
      <c r="V3721">
        <v>0</v>
      </c>
      <c r="W3721">
        <v>1</v>
      </c>
      <c r="X3721">
        <v>0</v>
      </c>
      <c r="Y3721">
        <v>548</v>
      </c>
      <c r="Z3721">
        <v>284.24281731793161</v>
      </c>
      <c r="AA3721">
        <v>198</v>
      </c>
      <c r="AB3721">
        <v>332</v>
      </c>
      <c r="AC3721">
        <v>536</v>
      </c>
      <c r="AD3721">
        <v>0</v>
      </c>
      <c r="AE3721">
        <v>542</v>
      </c>
      <c r="AF3721">
        <v>0</v>
      </c>
      <c r="AG3721">
        <v>0</v>
      </c>
      <c r="AH3721">
        <v>129</v>
      </c>
      <c r="AI3721">
        <v>0</v>
      </c>
      <c r="AJ3721">
        <v>0</v>
      </c>
      <c r="AK3721">
        <v>23.8</v>
      </c>
      <c r="AL3721">
        <v>-20.155913549999951</v>
      </c>
      <c r="AM3721">
        <v>-44.905554508392683</v>
      </c>
      <c r="AN3721">
        <v>-20.155913549999951</v>
      </c>
      <c r="AO3721">
        <v>-44.905554508392669</v>
      </c>
      <c r="AP3721">
        <v>-20.155839</v>
      </c>
      <c r="AQ3721">
        <v>-44.905655000000003</v>
      </c>
      <c r="AR3721">
        <v>13.384922093797449</v>
      </c>
      <c r="AS3721" t="s">
        <v>65</v>
      </c>
      <c r="AT3721">
        <v>1</v>
      </c>
      <c r="AU3721" t="s">
        <v>549</v>
      </c>
      <c r="AV3721" t="s">
        <v>550</v>
      </c>
      <c r="AW3721" t="s">
        <v>60</v>
      </c>
      <c r="AX3721" t="s">
        <v>68</v>
      </c>
      <c r="AY3721" t="s">
        <v>69</v>
      </c>
      <c r="AZ3721" t="b">
        <v>1</v>
      </c>
    </row>
    <row r="3722" spans="1:52" x14ac:dyDescent="0.3">
      <c r="A3722" t="s">
        <v>52</v>
      </c>
      <c r="B3722" t="s">
        <v>53</v>
      </c>
      <c r="C3722" t="s">
        <v>54</v>
      </c>
      <c r="D3722" t="s">
        <v>55</v>
      </c>
      <c r="E3722" t="s">
        <v>2205</v>
      </c>
      <c r="F3722" t="s">
        <v>1247</v>
      </c>
      <c r="G3722" t="s">
        <v>551</v>
      </c>
      <c r="H3722" t="s">
        <v>552</v>
      </c>
      <c r="I3722" t="s">
        <v>552</v>
      </c>
      <c r="J3722" t="s">
        <v>60</v>
      </c>
      <c r="K3722" t="s">
        <v>388</v>
      </c>
      <c r="L3722" t="s">
        <v>62</v>
      </c>
      <c r="M3722" t="s">
        <v>388</v>
      </c>
      <c r="N3722" t="s">
        <v>553</v>
      </c>
      <c r="O3722" t="s">
        <v>315</v>
      </c>
      <c r="P3722">
        <v>-20.153086999999999</v>
      </c>
      <c r="Q3722">
        <v>-44.905451999999997</v>
      </c>
      <c r="R3722" s="2" t="str">
        <f>HYPERLINK("https://www.google.com/maps?q=-20.1530870,-44.9054520","Abrir no Google Maps")</f>
        <v>Abrir no Google Maps</v>
      </c>
      <c r="S3722">
        <v>3</v>
      </c>
      <c r="T3722">
        <v>313.69387682409018</v>
      </c>
      <c r="U3722">
        <v>1</v>
      </c>
      <c r="V3722">
        <v>0</v>
      </c>
      <c r="W3722">
        <v>1</v>
      </c>
      <c r="X3722">
        <v>0</v>
      </c>
      <c r="Y3722">
        <v>548</v>
      </c>
      <c r="Z3722">
        <v>319.51605309906859</v>
      </c>
      <c r="AA3722">
        <v>198</v>
      </c>
      <c r="AB3722">
        <v>332</v>
      </c>
      <c r="AC3722">
        <v>536</v>
      </c>
      <c r="AD3722">
        <v>0</v>
      </c>
      <c r="AE3722">
        <v>542</v>
      </c>
      <c r="AF3722">
        <v>0</v>
      </c>
      <c r="AG3722">
        <v>0</v>
      </c>
      <c r="AH3722">
        <v>129</v>
      </c>
      <c r="AI3722">
        <v>0</v>
      </c>
      <c r="AJ3722">
        <v>0</v>
      </c>
      <c r="AK3722">
        <v>23.8</v>
      </c>
      <c r="AL3722">
        <v>-20.153043049999951</v>
      </c>
      <c r="AM3722">
        <v>-44.905348275899513</v>
      </c>
      <c r="AN3722">
        <v>-20.153043049999951</v>
      </c>
      <c r="AO3722">
        <v>-44.905348275899513</v>
      </c>
      <c r="AP3722">
        <v>-20.153086999999999</v>
      </c>
      <c r="AQ3722">
        <v>-44.905451999999997</v>
      </c>
      <c r="AR3722">
        <v>11.892619975648341</v>
      </c>
      <c r="AS3722" t="s">
        <v>65</v>
      </c>
      <c r="AT3722">
        <v>1</v>
      </c>
      <c r="AU3722" t="s">
        <v>554</v>
      </c>
      <c r="AV3722" t="s">
        <v>555</v>
      </c>
      <c r="AW3722" t="s">
        <v>60</v>
      </c>
      <c r="AX3722" t="s">
        <v>68</v>
      </c>
      <c r="AY3722" t="s">
        <v>69</v>
      </c>
      <c r="AZ3722" t="b">
        <v>1</v>
      </c>
    </row>
    <row r="3723" spans="1:52" x14ac:dyDescent="0.3">
      <c r="A3723" t="s">
        <v>52</v>
      </c>
      <c r="B3723" t="s">
        <v>53</v>
      </c>
      <c r="C3723" t="s">
        <v>54</v>
      </c>
      <c r="D3723" t="s">
        <v>55</v>
      </c>
      <c r="E3723" t="s">
        <v>2205</v>
      </c>
      <c r="F3723" t="s">
        <v>1247</v>
      </c>
      <c r="G3723" t="s">
        <v>556</v>
      </c>
      <c r="H3723" t="s">
        <v>557</v>
      </c>
      <c r="I3723" t="s">
        <v>557</v>
      </c>
      <c r="J3723" t="s">
        <v>60</v>
      </c>
      <c r="K3723" t="s">
        <v>388</v>
      </c>
      <c r="L3723" t="s">
        <v>62</v>
      </c>
      <c r="M3723" t="s">
        <v>388</v>
      </c>
      <c r="N3723" t="s">
        <v>558</v>
      </c>
      <c r="O3723" t="s">
        <v>559</v>
      </c>
      <c r="P3723">
        <v>-20.152670000000001</v>
      </c>
      <c r="Q3723">
        <v>-44.902557999999999</v>
      </c>
      <c r="R3723" s="2" t="str">
        <f>HYPERLINK("https://www.google.com/maps?q=-20.1526700,-44.9025580","Abrir no Google Maps")</f>
        <v>Abrir no Google Maps</v>
      </c>
      <c r="S3723">
        <v>3</v>
      </c>
      <c r="T3723">
        <v>228.56195217678911</v>
      </c>
      <c r="U3723">
        <v>1</v>
      </c>
      <c r="V3723">
        <v>0</v>
      </c>
      <c r="W3723">
        <v>1</v>
      </c>
      <c r="X3723">
        <v>0</v>
      </c>
      <c r="Y3723">
        <v>548</v>
      </c>
      <c r="Z3723">
        <v>250.63133895224919</v>
      </c>
      <c r="AA3723">
        <v>198</v>
      </c>
      <c r="AB3723">
        <v>332</v>
      </c>
      <c r="AC3723">
        <v>536</v>
      </c>
      <c r="AD3723">
        <v>0</v>
      </c>
      <c r="AE3723">
        <v>542</v>
      </c>
      <c r="AF3723">
        <v>0</v>
      </c>
      <c r="AG3723">
        <v>0</v>
      </c>
      <c r="AH3723">
        <v>129</v>
      </c>
      <c r="AI3723">
        <v>0</v>
      </c>
      <c r="AJ3723">
        <v>0</v>
      </c>
      <c r="AK3723">
        <v>23.8</v>
      </c>
      <c r="AL3723">
        <v>-20.152629799999939</v>
      </c>
      <c r="AM3723">
        <v>-44.902604744705201</v>
      </c>
      <c r="AN3723">
        <v>-20.152629799999939</v>
      </c>
      <c r="AO3723">
        <v>-44.902604744705201</v>
      </c>
      <c r="AP3723">
        <v>-20.152670000000001</v>
      </c>
      <c r="AQ3723">
        <v>-44.902557999999999</v>
      </c>
      <c r="AR3723">
        <v>6.6249428037111509</v>
      </c>
      <c r="AS3723" t="s">
        <v>65</v>
      </c>
      <c r="AT3723">
        <v>1</v>
      </c>
      <c r="AU3723" t="s">
        <v>560</v>
      </c>
      <c r="AV3723" t="s">
        <v>561</v>
      </c>
      <c r="AW3723" t="s">
        <v>60</v>
      </c>
      <c r="AX3723" t="s">
        <v>68</v>
      </c>
      <c r="AY3723" t="s">
        <v>69</v>
      </c>
      <c r="AZ3723" t="b">
        <v>1</v>
      </c>
    </row>
    <row r="3724" spans="1:52" x14ac:dyDescent="0.3">
      <c r="A3724" t="s">
        <v>52</v>
      </c>
      <c r="B3724" t="s">
        <v>53</v>
      </c>
      <c r="C3724" t="s">
        <v>54</v>
      </c>
      <c r="D3724" t="s">
        <v>55</v>
      </c>
      <c r="E3724" t="s">
        <v>2205</v>
      </c>
      <c r="F3724" t="s">
        <v>1247</v>
      </c>
      <c r="G3724" t="s">
        <v>562</v>
      </c>
      <c r="H3724" t="s">
        <v>563</v>
      </c>
      <c r="I3724" t="s">
        <v>563</v>
      </c>
      <c r="J3724" t="s">
        <v>60</v>
      </c>
      <c r="K3724" t="s">
        <v>388</v>
      </c>
      <c r="L3724" t="s">
        <v>62</v>
      </c>
      <c r="M3724" t="s">
        <v>388</v>
      </c>
      <c r="N3724" t="s">
        <v>564</v>
      </c>
      <c r="O3724" t="s">
        <v>565</v>
      </c>
      <c r="P3724">
        <v>-20.154432</v>
      </c>
      <c r="Q3724">
        <v>-44.902977999999997</v>
      </c>
      <c r="R3724" s="2" t="str">
        <f>HYPERLINK("https://www.google.com/maps?q=-20.1544320,-44.9029780","Abrir no Google Maps")</f>
        <v>Abrir no Google Maps</v>
      </c>
      <c r="S3724">
        <v>3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548</v>
      </c>
      <c r="Z3724">
        <v>29.424211042533759</v>
      </c>
      <c r="AA3724">
        <v>198</v>
      </c>
      <c r="AB3724">
        <v>332</v>
      </c>
      <c r="AC3724">
        <v>536</v>
      </c>
      <c r="AD3724">
        <v>0</v>
      </c>
      <c r="AE3724">
        <v>542</v>
      </c>
      <c r="AF3724">
        <v>0</v>
      </c>
      <c r="AG3724">
        <v>0</v>
      </c>
      <c r="AH3724">
        <v>129</v>
      </c>
      <c r="AI3724">
        <v>0</v>
      </c>
      <c r="AJ3724">
        <v>0</v>
      </c>
      <c r="AK3724">
        <v>23.8</v>
      </c>
      <c r="AL3724">
        <v>-20.15467689999997</v>
      </c>
      <c r="AM3724">
        <v>-44.902895281771222</v>
      </c>
      <c r="AN3724">
        <v>-20.15467689999997</v>
      </c>
      <c r="AO3724">
        <v>-44.902895281771222</v>
      </c>
      <c r="AP3724">
        <v>-20.154432</v>
      </c>
      <c r="AQ3724">
        <v>-44.902977999999997</v>
      </c>
      <c r="AR3724">
        <v>28.5999270636025</v>
      </c>
      <c r="AS3724" t="s">
        <v>65</v>
      </c>
      <c r="AT3724">
        <v>1</v>
      </c>
      <c r="AU3724" t="s">
        <v>566</v>
      </c>
      <c r="AV3724" t="s">
        <v>567</v>
      </c>
      <c r="AW3724" t="s">
        <v>60</v>
      </c>
      <c r="AX3724" t="s">
        <v>68</v>
      </c>
      <c r="AY3724" t="s">
        <v>69</v>
      </c>
      <c r="AZ3724" t="b">
        <v>1</v>
      </c>
    </row>
    <row r="3725" spans="1:52" x14ac:dyDescent="0.3">
      <c r="A3725" t="s">
        <v>52</v>
      </c>
      <c r="B3725" t="s">
        <v>53</v>
      </c>
      <c r="C3725" t="s">
        <v>54</v>
      </c>
      <c r="D3725" t="s">
        <v>55</v>
      </c>
      <c r="E3725" t="s">
        <v>2205</v>
      </c>
      <c r="F3725" t="s">
        <v>1247</v>
      </c>
      <c r="G3725" t="s">
        <v>568</v>
      </c>
      <c r="H3725" t="s">
        <v>569</v>
      </c>
      <c r="I3725" t="s">
        <v>569</v>
      </c>
      <c r="J3725" t="s">
        <v>60</v>
      </c>
      <c r="K3725" t="s">
        <v>61</v>
      </c>
      <c r="L3725" t="s">
        <v>62</v>
      </c>
      <c r="M3725" t="s">
        <v>61</v>
      </c>
      <c r="N3725" t="s">
        <v>570</v>
      </c>
      <c r="O3725" t="s">
        <v>548</v>
      </c>
      <c r="P3725">
        <v>-20.151508</v>
      </c>
      <c r="Q3725">
        <v>-44.907826</v>
      </c>
      <c r="R3725" s="2" t="str">
        <f>HYPERLINK("https://www.google.com/maps?q=-20.1515080,-44.9078260","Abrir no Google Maps")</f>
        <v>Abrir no Google Maps</v>
      </c>
      <c r="S3725">
        <v>3</v>
      </c>
      <c r="T3725">
        <v>567.15905416240514</v>
      </c>
      <c r="U3725">
        <v>1</v>
      </c>
      <c r="V3725">
        <v>0</v>
      </c>
      <c r="W3725">
        <v>0.85</v>
      </c>
      <c r="X3725">
        <v>0</v>
      </c>
      <c r="Y3725">
        <v>548</v>
      </c>
      <c r="Z3725">
        <v>560.49158010771464</v>
      </c>
      <c r="AA3725">
        <v>198</v>
      </c>
      <c r="AB3725">
        <v>332</v>
      </c>
      <c r="AC3725">
        <v>536</v>
      </c>
      <c r="AD3725">
        <v>0</v>
      </c>
      <c r="AE3725">
        <v>542</v>
      </c>
      <c r="AF3725">
        <v>0</v>
      </c>
      <c r="AG3725">
        <v>0</v>
      </c>
      <c r="AH3725">
        <v>129</v>
      </c>
      <c r="AI3725">
        <v>0</v>
      </c>
      <c r="AJ3725">
        <v>0</v>
      </c>
      <c r="AK3725">
        <v>23.8</v>
      </c>
      <c r="AL3725">
        <v>-20.15211779999996</v>
      </c>
      <c r="AM3725">
        <v>-44.907597469593128</v>
      </c>
      <c r="AN3725">
        <v>-20.15211779999996</v>
      </c>
      <c r="AO3725">
        <v>-44.907597469593128</v>
      </c>
      <c r="AP3725">
        <v>-20.151508</v>
      </c>
      <c r="AQ3725">
        <v>-44.907826</v>
      </c>
      <c r="AR3725">
        <v>71.961597929314735</v>
      </c>
      <c r="AS3725" t="s">
        <v>65</v>
      </c>
      <c r="AT3725">
        <v>1</v>
      </c>
      <c r="AU3725" t="s">
        <v>571</v>
      </c>
      <c r="AV3725" t="s">
        <v>572</v>
      </c>
      <c r="AW3725" t="s">
        <v>60</v>
      </c>
      <c r="AX3725" t="s">
        <v>68</v>
      </c>
      <c r="AY3725" t="s">
        <v>69</v>
      </c>
      <c r="AZ3725" t="b">
        <v>1</v>
      </c>
    </row>
    <row r="3726" spans="1:52" x14ac:dyDescent="0.3">
      <c r="A3726" t="s">
        <v>52</v>
      </c>
      <c r="B3726" t="s">
        <v>53</v>
      </c>
      <c r="C3726" t="s">
        <v>54</v>
      </c>
      <c r="D3726" t="s">
        <v>55</v>
      </c>
      <c r="E3726" t="s">
        <v>2205</v>
      </c>
      <c r="F3726" t="s">
        <v>1247</v>
      </c>
      <c r="G3726" t="s">
        <v>1547</v>
      </c>
      <c r="H3726" t="s">
        <v>1548</v>
      </c>
      <c r="I3726" t="s">
        <v>1548</v>
      </c>
      <c r="J3726" t="s">
        <v>60</v>
      </c>
      <c r="K3726" t="s">
        <v>1549</v>
      </c>
      <c r="L3726" t="s">
        <v>62</v>
      </c>
      <c r="M3726" t="s">
        <v>1549</v>
      </c>
      <c r="N3726" t="s">
        <v>1550</v>
      </c>
      <c r="O3726" t="s">
        <v>1551</v>
      </c>
      <c r="P3726">
        <v>-20.173258000000001</v>
      </c>
      <c r="Q3726">
        <v>-44.930354000000001</v>
      </c>
      <c r="R3726" s="2" t="str">
        <f>HYPERLINK("https://www.google.com/maps?q=-20.1732580,-44.9303540","Abrir no Google Maps")</f>
        <v>Abrir no Google Maps</v>
      </c>
      <c r="S3726">
        <v>2</v>
      </c>
      <c r="T3726">
        <v>2023.802197028052</v>
      </c>
      <c r="U3726">
        <v>1</v>
      </c>
      <c r="V3726">
        <v>0</v>
      </c>
      <c r="W3726">
        <v>0.85</v>
      </c>
      <c r="X3726">
        <v>0</v>
      </c>
      <c r="Y3726">
        <v>723</v>
      </c>
      <c r="Z3726">
        <v>1727.7445576555911</v>
      </c>
      <c r="AA3726">
        <v>198</v>
      </c>
      <c r="AB3726">
        <v>332</v>
      </c>
      <c r="AC3726">
        <v>536</v>
      </c>
      <c r="AD3726">
        <v>0</v>
      </c>
      <c r="AE3726">
        <v>542</v>
      </c>
      <c r="AF3726">
        <v>0</v>
      </c>
      <c r="AG3726">
        <v>0</v>
      </c>
      <c r="AH3726">
        <v>129</v>
      </c>
      <c r="AI3726">
        <v>0</v>
      </c>
      <c r="AJ3726">
        <v>0</v>
      </c>
      <c r="AK3726">
        <v>23.8</v>
      </c>
      <c r="AL3726">
        <v>-20.172996449999939</v>
      </c>
      <c r="AM3726">
        <v>-44.930058436825973</v>
      </c>
      <c r="AN3726">
        <v>-20.172996449999939</v>
      </c>
      <c r="AO3726">
        <v>-44.930058436825973</v>
      </c>
      <c r="AP3726">
        <v>-20.173258000000001</v>
      </c>
      <c r="AQ3726">
        <v>-44.930354000000001</v>
      </c>
      <c r="AR3726">
        <v>42.444455141884362</v>
      </c>
      <c r="AS3726" t="s">
        <v>65</v>
      </c>
      <c r="AT3726">
        <v>1</v>
      </c>
      <c r="AU3726" t="s">
        <v>1552</v>
      </c>
      <c r="AV3726" t="s">
        <v>1553</v>
      </c>
      <c r="AW3726" t="s">
        <v>60</v>
      </c>
      <c r="AX3726" t="s">
        <v>68</v>
      </c>
      <c r="AY3726" t="s">
        <v>69</v>
      </c>
      <c r="AZ3726" t="b">
        <v>1</v>
      </c>
    </row>
    <row r="3727" spans="1:52" x14ac:dyDescent="0.3">
      <c r="A3727" t="s">
        <v>52</v>
      </c>
      <c r="B3727" t="s">
        <v>53</v>
      </c>
      <c r="C3727" t="s">
        <v>54</v>
      </c>
      <c r="D3727" t="s">
        <v>55</v>
      </c>
      <c r="E3727" t="s">
        <v>2205</v>
      </c>
      <c r="F3727" t="s">
        <v>1247</v>
      </c>
      <c r="G3727" t="s">
        <v>1127</v>
      </c>
      <c r="H3727" t="s">
        <v>1455</v>
      </c>
      <c r="I3727" t="s">
        <v>1455</v>
      </c>
      <c r="J3727" t="s">
        <v>60</v>
      </c>
      <c r="K3727" t="s">
        <v>431</v>
      </c>
      <c r="L3727" t="s">
        <v>62</v>
      </c>
      <c r="M3727" t="s">
        <v>431</v>
      </c>
      <c r="N3727" t="s">
        <v>1456</v>
      </c>
      <c r="O3727" t="s">
        <v>1001</v>
      </c>
      <c r="P3727">
        <v>-20.168237999999999</v>
      </c>
      <c r="Q3727">
        <v>-44.924250999999998</v>
      </c>
      <c r="R3727" s="2" t="str">
        <f>HYPERLINK("https://www.google.com/maps?q=-20.1682380,-44.9242510","Abrir no Google Maps")</f>
        <v>Abrir no Google Maps</v>
      </c>
      <c r="S3727">
        <v>2</v>
      </c>
      <c r="T3727">
        <v>1220.188820430971</v>
      </c>
      <c r="U3727">
        <v>1</v>
      </c>
      <c r="V3727">
        <v>0</v>
      </c>
      <c r="W3727">
        <v>0.85</v>
      </c>
      <c r="X3727">
        <v>0</v>
      </c>
      <c r="Y3727">
        <v>723</v>
      </c>
      <c r="Z3727">
        <v>1092.4377883150901</v>
      </c>
      <c r="AA3727">
        <v>198</v>
      </c>
      <c r="AB3727">
        <v>332</v>
      </c>
      <c r="AC3727">
        <v>536</v>
      </c>
      <c r="AD3727">
        <v>0</v>
      </c>
      <c r="AE3727">
        <v>542</v>
      </c>
      <c r="AF3727">
        <v>0</v>
      </c>
      <c r="AG3727">
        <v>0</v>
      </c>
      <c r="AH3727">
        <v>129</v>
      </c>
      <c r="AI3727">
        <v>0</v>
      </c>
      <c r="AJ3727">
        <v>0</v>
      </c>
      <c r="AK3727">
        <v>23.8</v>
      </c>
      <c r="AL3727">
        <v>-20.168394999999951</v>
      </c>
      <c r="AM3727">
        <v>-44.923548168580673</v>
      </c>
      <c r="AN3727">
        <v>-20.168394999999951</v>
      </c>
      <c r="AO3727">
        <v>-44.923548168580673</v>
      </c>
      <c r="AP3727">
        <v>-20.168237999999999</v>
      </c>
      <c r="AQ3727">
        <v>-44.924250999999998</v>
      </c>
      <c r="AR3727">
        <v>75.492755104934275</v>
      </c>
      <c r="AS3727" t="s">
        <v>65</v>
      </c>
      <c r="AT3727">
        <v>1</v>
      </c>
      <c r="AU3727" t="s">
        <v>1457</v>
      </c>
      <c r="AV3727" t="s">
        <v>1458</v>
      </c>
      <c r="AW3727" t="s">
        <v>60</v>
      </c>
      <c r="AX3727" t="s">
        <v>68</v>
      </c>
      <c r="AY3727" t="s">
        <v>69</v>
      </c>
      <c r="AZ3727" t="b">
        <v>1</v>
      </c>
    </row>
    <row r="3728" spans="1:52" x14ac:dyDescent="0.3">
      <c r="A3728" t="s">
        <v>52</v>
      </c>
      <c r="B3728" t="s">
        <v>53</v>
      </c>
      <c r="C3728" t="s">
        <v>54</v>
      </c>
      <c r="D3728" t="s">
        <v>55</v>
      </c>
      <c r="E3728" t="s">
        <v>2205</v>
      </c>
      <c r="F3728" t="s">
        <v>1247</v>
      </c>
      <c r="G3728" t="s">
        <v>1459</v>
      </c>
      <c r="H3728" t="s">
        <v>1460</v>
      </c>
      <c r="I3728" t="s">
        <v>1460</v>
      </c>
      <c r="J3728" t="s">
        <v>60</v>
      </c>
      <c r="K3728" t="s">
        <v>431</v>
      </c>
      <c r="L3728" t="s">
        <v>62</v>
      </c>
      <c r="M3728" t="s">
        <v>431</v>
      </c>
      <c r="N3728" t="s">
        <v>1461</v>
      </c>
      <c r="O3728" t="s">
        <v>1462</v>
      </c>
      <c r="P3728">
        <v>-20.170182</v>
      </c>
      <c r="Q3728">
        <v>-44.922556999999998</v>
      </c>
      <c r="R3728" s="2" t="str">
        <f>HYPERLINK("https://www.google.com/maps?q=-20.1701820,-44.9225570","Abrir no Google Maps")</f>
        <v>Abrir no Google Maps</v>
      </c>
      <c r="S3728">
        <v>2</v>
      </c>
      <c r="T3728">
        <v>1189.3885679843149</v>
      </c>
      <c r="U3728">
        <v>1</v>
      </c>
      <c r="V3728">
        <v>0</v>
      </c>
      <c r="W3728">
        <v>0.85</v>
      </c>
      <c r="X3728">
        <v>0</v>
      </c>
      <c r="Y3728">
        <v>723</v>
      </c>
      <c r="Z3728">
        <v>961.89164604479117</v>
      </c>
      <c r="AA3728">
        <v>198</v>
      </c>
      <c r="AB3728">
        <v>332</v>
      </c>
      <c r="AC3728">
        <v>536</v>
      </c>
      <c r="AD3728">
        <v>0</v>
      </c>
      <c r="AE3728">
        <v>542</v>
      </c>
      <c r="AF3728">
        <v>0</v>
      </c>
      <c r="AG3728">
        <v>0</v>
      </c>
      <c r="AH3728">
        <v>129</v>
      </c>
      <c r="AI3728">
        <v>0</v>
      </c>
      <c r="AJ3728">
        <v>0</v>
      </c>
      <c r="AK3728">
        <v>23.8</v>
      </c>
      <c r="AL3728">
        <v>-20.169385449999961</v>
      </c>
      <c r="AM3728">
        <v>-44.922107101898007</v>
      </c>
      <c r="AN3728">
        <v>-20.169385449999961</v>
      </c>
      <c r="AO3728">
        <v>-44.922107101898007</v>
      </c>
      <c r="AP3728">
        <v>-20.170182</v>
      </c>
      <c r="AQ3728">
        <v>-44.922556999999998</v>
      </c>
      <c r="AR3728">
        <v>100.36329580049031</v>
      </c>
      <c r="AS3728" t="s">
        <v>65</v>
      </c>
      <c r="AT3728">
        <v>1</v>
      </c>
      <c r="AU3728" t="s">
        <v>1463</v>
      </c>
      <c r="AV3728" t="s">
        <v>1458</v>
      </c>
      <c r="AW3728" t="s">
        <v>60</v>
      </c>
      <c r="AX3728" t="s">
        <v>68</v>
      </c>
      <c r="AY3728" t="s">
        <v>69</v>
      </c>
      <c r="AZ3728" t="b">
        <v>1</v>
      </c>
    </row>
    <row r="3729" spans="1:52" x14ac:dyDescent="0.3">
      <c r="A3729" t="s">
        <v>52</v>
      </c>
      <c r="B3729" t="s">
        <v>53</v>
      </c>
      <c r="C3729" t="s">
        <v>54</v>
      </c>
      <c r="D3729" t="s">
        <v>55</v>
      </c>
      <c r="E3729" t="s">
        <v>2205</v>
      </c>
      <c r="F3729" t="s">
        <v>1247</v>
      </c>
      <c r="G3729" t="s">
        <v>1464</v>
      </c>
      <c r="H3729" t="s">
        <v>1485</v>
      </c>
      <c r="I3729" t="s">
        <v>1485</v>
      </c>
      <c r="J3729" t="s">
        <v>60</v>
      </c>
      <c r="K3729" t="s">
        <v>1486</v>
      </c>
      <c r="L3729" t="s">
        <v>62</v>
      </c>
      <c r="M3729" t="s">
        <v>1486</v>
      </c>
      <c r="N3729" t="s">
        <v>1467</v>
      </c>
      <c r="O3729" t="s">
        <v>1487</v>
      </c>
      <c r="P3729">
        <v>-20.162842000000001</v>
      </c>
      <c r="Q3729">
        <v>-44.883769999999998</v>
      </c>
      <c r="R3729" s="2" t="str">
        <f>HYPERLINK("https://www.google.com/maps?q=-20.1628420,-44.8837700","Abrir no Google Maps")</f>
        <v>Abrir no Google Maps</v>
      </c>
      <c r="S3729">
        <v>2</v>
      </c>
      <c r="T3729">
        <v>659.67909450906006</v>
      </c>
      <c r="U3729">
        <v>1</v>
      </c>
      <c r="V3729">
        <v>0</v>
      </c>
      <c r="W3729">
        <v>1</v>
      </c>
      <c r="X3729">
        <v>0</v>
      </c>
      <c r="Y3729">
        <v>671</v>
      </c>
      <c r="Z3729">
        <v>566.23107864368092</v>
      </c>
      <c r="AA3729">
        <v>198</v>
      </c>
      <c r="AB3729">
        <v>332</v>
      </c>
      <c r="AC3729">
        <v>536</v>
      </c>
      <c r="AD3729">
        <v>0</v>
      </c>
      <c r="AE3729">
        <v>542</v>
      </c>
      <c r="AF3729">
        <v>0</v>
      </c>
      <c r="AG3729">
        <v>0</v>
      </c>
      <c r="AH3729">
        <v>129</v>
      </c>
      <c r="AI3729">
        <v>0</v>
      </c>
      <c r="AJ3729">
        <v>0</v>
      </c>
      <c r="AK3729">
        <v>23.8</v>
      </c>
      <c r="AL3729">
        <v>-20.162791299999949</v>
      </c>
      <c r="AM3729">
        <v>-44.883966852092939</v>
      </c>
      <c r="AN3729">
        <v>-20.162791299999949</v>
      </c>
      <c r="AO3729">
        <v>-44.883966852092939</v>
      </c>
      <c r="AP3729">
        <v>-20.162842000000001</v>
      </c>
      <c r="AQ3729">
        <v>-44.883769999999998</v>
      </c>
      <c r="AR3729">
        <v>21.33085532825611</v>
      </c>
      <c r="AS3729" t="s">
        <v>65</v>
      </c>
      <c r="AT3729">
        <v>1</v>
      </c>
      <c r="AU3729" t="s">
        <v>1488</v>
      </c>
      <c r="AV3729" t="s">
        <v>1489</v>
      </c>
      <c r="AW3729" t="s">
        <v>60</v>
      </c>
      <c r="AX3729" t="s">
        <v>68</v>
      </c>
      <c r="AY3729" t="s">
        <v>69</v>
      </c>
      <c r="AZ3729" t="b">
        <v>1</v>
      </c>
    </row>
    <row r="3730" spans="1:52" x14ac:dyDescent="0.3">
      <c r="A3730" t="s">
        <v>52</v>
      </c>
      <c r="B3730" t="s">
        <v>53</v>
      </c>
      <c r="C3730" t="s">
        <v>54</v>
      </c>
      <c r="D3730" t="s">
        <v>55</v>
      </c>
      <c r="E3730" t="s">
        <v>2205</v>
      </c>
      <c r="F3730" t="s">
        <v>1247</v>
      </c>
      <c r="G3730" t="s">
        <v>1464</v>
      </c>
      <c r="H3730" t="s">
        <v>1465</v>
      </c>
      <c r="I3730" t="s">
        <v>1465</v>
      </c>
      <c r="J3730" t="s">
        <v>60</v>
      </c>
      <c r="K3730" t="s">
        <v>1466</v>
      </c>
      <c r="L3730" t="s">
        <v>62</v>
      </c>
      <c r="M3730" t="s">
        <v>1466</v>
      </c>
      <c r="N3730" t="s">
        <v>1467</v>
      </c>
      <c r="O3730" t="s">
        <v>145</v>
      </c>
      <c r="P3730">
        <v>-20.160509999999999</v>
      </c>
      <c r="Q3730">
        <v>-44.884123000000002</v>
      </c>
      <c r="R3730" s="2" t="str">
        <f>HYPERLINK("https://www.google.com/maps?q=-20.1605100,-44.8841230","Abrir no Google Maps")</f>
        <v>Abrir no Google Maps</v>
      </c>
      <c r="S3730">
        <v>2</v>
      </c>
      <c r="T3730">
        <v>650.04961276595373</v>
      </c>
      <c r="U3730">
        <v>1</v>
      </c>
      <c r="V3730">
        <v>0</v>
      </c>
      <c r="W3730">
        <v>1</v>
      </c>
      <c r="X3730">
        <v>0</v>
      </c>
      <c r="Y3730">
        <v>671</v>
      </c>
      <c r="Z3730">
        <v>591.49066685698506</v>
      </c>
      <c r="AA3730">
        <v>198</v>
      </c>
      <c r="AB3730">
        <v>332</v>
      </c>
      <c r="AC3730">
        <v>536</v>
      </c>
      <c r="AD3730">
        <v>0</v>
      </c>
      <c r="AE3730">
        <v>542</v>
      </c>
      <c r="AF3730">
        <v>0</v>
      </c>
      <c r="AG3730">
        <v>0</v>
      </c>
      <c r="AH3730">
        <v>129</v>
      </c>
      <c r="AI3730">
        <v>0</v>
      </c>
      <c r="AJ3730">
        <v>0</v>
      </c>
      <c r="AK3730">
        <v>23.8</v>
      </c>
      <c r="AL3730">
        <v>-20.16056479999995</v>
      </c>
      <c r="AM3730">
        <v>-44.88424978393428</v>
      </c>
      <c r="AN3730">
        <v>-20.160564799999939</v>
      </c>
      <c r="AO3730">
        <v>-44.88424978393428</v>
      </c>
      <c r="AP3730">
        <v>-20.160509999999999</v>
      </c>
      <c r="AQ3730">
        <v>-44.884123000000002</v>
      </c>
      <c r="AR3730">
        <v>14.585823463739541</v>
      </c>
      <c r="AS3730" t="s">
        <v>65</v>
      </c>
      <c r="AT3730">
        <v>1</v>
      </c>
      <c r="AU3730" t="s">
        <v>1468</v>
      </c>
      <c r="AV3730" t="s">
        <v>1469</v>
      </c>
      <c r="AW3730" t="s">
        <v>60</v>
      </c>
      <c r="AX3730" t="s">
        <v>68</v>
      </c>
      <c r="AY3730" t="s">
        <v>69</v>
      </c>
      <c r="AZ3730" t="b">
        <v>1</v>
      </c>
    </row>
    <row r="3731" spans="1:52" x14ac:dyDescent="0.3">
      <c r="A3731" t="s">
        <v>52</v>
      </c>
      <c r="B3731" t="s">
        <v>53</v>
      </c>
      <c r="C3731" t="s">
        <v>54</v>
      </c>
      <c r="D3731" t="s">
        <v>55</v>
      </c>
      <c r="E3731" t="s">
        <v>2205</v>
      </c>
      <c r="F3731" t="s">
        <v>1247</v>
      </c>
      <c r="G3731" t="s">
        <v>1490</v>
      </c>
      <c r="H3731" t="s">
        <v>1491</v>
      </c>
      <c r="I3731" t="s">
        <v>1491</v>
      </c>
      <c r="J3731" t="s">
        <v>60</v>
      </c>
      <c r="K3731" t="s">
        <v>336</v>
      </c>
      <c r="L3731" t="s">
        <v>62</v>
      </c>
      <c r="M3731" t="s">
        <v>336</v>
      </c>
      <c r="N3731" t="s">
        <v>1492</v>
      </c>
      <c r="O3731" t="s">
        <v>842</v>
      </c>
      <c r="P3731">
        <v>-20.164228999999999</v>
      </c>
      <c r="Q3731">
        <v>-44.876455999999997</v>
      </c>
      <c r="R3731" s="2" t="str">
        <f>HYPERLINK("https://www.google.com/maps?q=-20.1642290,-44.8764560","Abrir no Google Maps")</f>
        <v>Abrir no Google Maps</v>
      </c>
      <c r="S3731">
        <v>2</v>
      </c>
      <c r="T3731">
        <v>420.00990411628987</v>
      </c>
      <c r="U3731">
        <v>1</v>
      </c>
      <c r="V3731">
        <v>0</v>
      </c>
      <c r="W3731">
        <v>1</v>
      </c>
      <c r="X3731">
        <v>0</v>
      </c>
      <c r="Y3731">
        <v>671</v>
      </c>
      <c r="Z3731">
        <v>375.90194920648611</v>
      </c>
      <c r="AA3731">
        <v>198</v>
      </c>
      <c r="AB3731">
        <v>332</v>
      </c>
      <c r="AC3731">
        <v>536</v>
      </c>
      <c r="AD3731">
        <v>0</v>
      </c>
      <c r="AE3731">
        <v>542</v>
      </c>
      <c r="AF3731">
        <v>0</v>
      </c>
      <c r="AG3731">
        <v>0</v>
      </c>
      <c r="AH3731">
        <v>129</v>
      </c>
      <c r="AI3731">
        <v>0</v>
      </c>
      <c r="AJ3731">
        <v>0</v>
      </c>
      <c r="AK3731">
        <v>23.8</v>
      </c>
      <c r="AL3731">
        <v>-20.164255749999938</v>
      </c>
      <c r="AM3731">
        <v>-44.876471676086922</v>
      </c>
      <c r="AN3731">
        <v>-20.164255749999938</v>
      </c>
      <c r="AO3731">
        <v>-44.876471676086922</v>
      </c>
      <c r="AP3731">
        <v>-20.164228999999999</v>
      </c>
      <c r="AQ3731">
        <v>-44.876455999999997</v>
      </c>
      <c r="AR3731">
        <v>3.3986375813953771</v>
      </c>
      <c r="AS3731" t="s">
        <v>65</v>
      </c>
      <c r="AT3731">
        <v>1</v>
      </c>
      <c r="AU3731" t="s">
        <v>1493</v>
      </c>
      <c r="AV3731" t="s">
        <v>1494</v>
      </c>
      <c r="AW3731" t="s">
        <v>60</v>
      </c>
      <c r="AX3731" t="s">
        <v>68</v>
      </c>
      <c r="AY3731" t="s">
        <v>69</v>
      </c>
      <c r="AZ3731" t="b">
        <v>1</v>
      </c>
    </row>
    <row r="3732" spans="1:52" x14ac:dyDescent="0.3">
      <c r="A3732" t="s">
        <v>52</v>
      </c>
      <c r="B3732" t="s">
        <v>53</v>
      </c>
      <c r="C3732" t="s">
        <v>54</v>
      </c>
      <c r="D3732" t="s">
        <v>55</v>
      </c>
      <c r="E3732" t="s">
        <v>2205</v>
      </c>
      <c r="F3732" t="s">
        <v>1247</v>
      </c>
      <c r="G3732" t="s">
        <v>1495</v>
      </c>
      <c r="H3732" t="s">
        <v>1496</v>
      </c>
      <c r="I3732" t="s">
        <v>1496</v>
      </c>
      <c r="J3732" t="s">
        <v>60</v>
      </c>
      <c r="K3732" t="s">
        <v>1466</v>
      </c>
      <c r="L3732" t="s">
        <v>62</v>
      </c>
      <c r="M3732" t="s">
        <v>1466</v>
      </c>
      <c r="N3732" t="s">
        <v>1497</v>
      </c>
      <c r="O3732" t="s">
        <v>1498</v>
      </c>
      <c r="P3732">
        <v>-20.163160999999999</v>
      </c>
      <c r="Q3732">
        <v>-44.880460999999997</v>
      </c>
      <c r="R3732" s="2" t="str">
        <f>HYPERLINK("https://www.google.com/maps?q=-20.1631610,-44.8804610","Abrir no Google Maps")</f>
        <v>Abrir no Google Maps</v>
      </c>
      <c r="S3732">
        <v>2</v>
      </c>
      <c r="T3732">
        <v>372.63783804650222</v>
      </c>
      <c r="U3732">
        <v>1</v>
      </c>
      <c r="V3732">
        <v>0</v>
      </c>
      <c r="W3732">
        <v>1</v>
      </c>
      <c r="X3732">
        <v>0</v>
      </c>
      <c r="Y3732">
        <v>671</v>
      </c>
      <c r="Z3732">
        <v>250.43144487082299</v>
      </c>
      <c r="AA3732">
        <v>198</v>
      </c>
      <c r="AB3732">
        <v>332</v>
      </c>
      <c r="AC3732">
        <v>536</v>
      </c>
      <c r="AD3732">
        <v>0</v>
      </c>
      <c r="AE3732">
        <v>542</v>
      </c>
      <c r="AF3732">
        <v>0</v>
      </c>
      <c r="AG3732">
        <v>0</v>
      </c>
      <c r="AH3732">
        <v>129</v>
      </c>
      <c r="AI3732">
        <v>0</v>
      </c>
      <c r="AJ3732">
        <v>0</v>
      </c>
      <c r="AK3732">
        <v>23.8</v>
      </c>
      <c r="AL3732">
        <v>-20.163296749999969</v>
      </c>
      <c r="AM3732">
        <v>-44.88037544059182</v>
      </c>
      <c r="AN3732">
        <v>-20.163296749999969</v>
      </c>
      <c r="AO3732">
        <v>-44.88037544059182</v>
      </c>
      <c r="AP3732">
        <v>-20.163160999999999</v>
      </c>
      <c r="AQ3732">
        <v>-44.880460999999997</v>
      </c>
      <c r="AR3732">
        <v>17.558482416121191</v>
      </c>
      <c r="AS3732" t="s">
        <v>65</v>
      </c>
      <c r="AT3732">
        <v>1</v>
      </c>
      <c r="AU3732" t="s">
        <v>1499</v>
      </c>
      <c r="AV3732" t="s">
        <v>1500</v>
      </c>
      <c r="AW3732" t="s">
        <v>60</v>
      </c>
      <c r="AX3732" t="s">
        <v>68</v>
      </c>
      <c r="AY3732" t="s">
        <v>69</v>
      </c>
      <c r="AZ3732" t="b">
        <v>1</v>
      </c>
    </row>
    <row r="3733" spans="1:52" x14ac:dyDescent="0.3">
      <c r="A3733" t="s">
        <v>52</v>
      </c>
      <c r="B3733" t="s">
        <v>53</v>
      </c>
      <c r="C3733" t="s">
        <v>54</v>
      </c>
      <c r="D3733" t="s">
        <v>55</v>
      </c>
      <c r="E3733" t="s">
        <v>2205</v>
      </c>
      <c r="F3733" t="s">
        <v>1247</v>
      </c>
      <c r="G3733" t="s">
        <v>1501</v>
      </c>
      <c r="H3733" t="s">
        <v>1502</v>
      </c>
      <c r="I3733" t="s">
        <v>1502</v>
      </c>
      <c r="J3733" t="s">
        <v>60</v>
      </c>
      <c r="K3733" t="s">
        <v>1466</v>
      </c>
      <c r="L3733" t="s">
        <v>62</v>
      </c>
      <c r="M3733" t="s">
        <v>1466</v>
      </c>
      <c r="N3733" t="s">
        <v>1503</v>
      </c>
      <c r="O3733" t="s">
        <v>1504</v>
      </c>
      <c r="P3733">
        <v>-20.159618999999999</v>
      </c>
      <c r="Q3733">
        <v>-44.880065000000002</v>
      </c>
      <c r="R3733" s="2" t="str">
        <f>HYPERLINK("https://www.google.com/maps?q=-20.1596190,-44.8800650","Abrir no Google Maps")</f>
        <v>Abrir no Google Maps</v>
      </c>
      <c r="S3733">
        <v>2</v>
      </c>
      <c r="T3733">
        <v>243.9950282285559</v>
      </c>
      <c r="U3733">
        <v>1</v>
      </c>
      <c r="V3733">
        <v>0</v>
      </c>
      <c r="W3733">
        <v>1</v>
      </c>
      <c r="X3733">
        <v>0</v>
      </c>
      <c r="Y3733">
        <v>671</v>
      </c>
      <c r="Z3733">
        <v>265.31354384517681</v>
      </c>
      <c r="AA3733">
        <v>198</v>
      </c>
      <c r="AB3733">
        <v>332</v>
      </c>
      <c r="AC3733">
        <v>536</v>
      </c>
      <c r="AD3733">
        <v>0</v>
      </c>
      <c r="AE3733">
        <v>542</v>
      </c>
      <c r="AF3733">
        <v>0</v>
      </c>
      <c r="AG3733">
        <v>0</v>
      </c>
      <c r="AH3733">
        <v>129</v>
      </c>
      <c r="AI3733">
        <v>0</v>
      </c>
      <c r="AJ3733">
        <v>0</v>
      </c>
      <c r="AK3733">
        <v>23.8</v>
      </c>
      <c r="AL3733">
        <v>-20.159689949999969</v>
      </c>
      <c r="AM3733">
        <v>-44.880075072344489</v>
      </c>
      <c r="AN3733">
        <v>-20.159689949999969</v>
      </c>
      <c r="AO3733">
        <v>-44.880075072344489</v>
      </c>
      <c r="AP3733">
        <v>-20.159618999999999</v>
      </c>
      <c r="AQ3733">
        <v>-44.880065000000002</v>
      </c>
      <c r="AR3733">
        <v>7.9679809486040876</v>
      </c>
      <c r="AS3733" t="s">
        <v>65</v>
      </c>
      <c r="AT3733">
        <v>1</v>
      </c>
      <c r="AU3733" t="s">
        <v>1505</v>
      </c>
      <c r="AV3733" t="s">
        <v>1506</v>
      </c>
      <c r="AW3733" t="s">
        <v>60</v>
      </c>
      <c r="AX3733" t="s">
        <v>68</v>
      </c>
      <c r="AY3733" t="s">
        <v>69</v>
      </c>
      <c r="AZ3733" t="b">
        <v>1</v>
      </c>
    </row>
    <row r="3734" spans="1:52" x14ac:dyDescent="0.3">
      <c r="A3734" t="s">
        <v>52</v>
      </c>
      <c r="B3734" t="s">
        <v>53</v>
      </c>
      <c r="C3734" t="s">
        <v>54</v>
      </c>
      <c r="D3734" t="s">
        <v>55</v>
      </c>
      <c r="E3734" t="s">
        <v>2205</v>
      </c>
      <c r="F3734" t="s">
        <v>1247</v>
      </c>
      <c r="G3734" t="s">
        <v>1507</v>
      </c>
      <c r="H3734" t="s">
        <v>1508</v>
      </c>
      <c r="I3734" t="s">
        <v>1508</v>
      </c>
      <c r="J3734" t="s">
        <v>60</v>
      </c>
      <c r="K3734" t="s">
        <v>1466</v>
      </c>
      <c r="L3734" t="s">
        <v>62</v>
      </c>
      <c r="M3734" t="s">
        <v>1466</v>
      </c>
      <c r="N3734" t="s">
        <v>1509</v>
      </c>
      <c r="O3734" t="s">
        <v>270</v>
      </c>
      <c r="P3734">
        <v>-20.164501999999999</v>
      </c>
      <c r="Q3734">
        <v>-44.883226999999998</v>
      </c>
      <c r="R3734" s="2" t="str">
        <f>HYPERLINK("https://www.google.com/maps?q=-20.1645020,-44.8832270","Abrir no Google Maps")</f>
        <v>Abrir no Google Maps</v>
      </c>
      <c r="S3734">
        <v>2</v>
      </c>
      <c r="T3734">
        <v>691.62667420887726</v>
      </c>
      <c r="U3734">
        <v>1</v>
      </c>
      <c r="V3734">
        <v>0</v>
      </c>
      <c r="W3734">
        <v>1</v>
      </c>
      <c r="X3734">
        <v>0</v>
      </c>
      <c r="Y3734">
        <v>671</v>
      </c>
      <c r="Z3734">
        <v>591.13935302436732</v>
      </c>
      <c r="AA3734">
        <v>198</v>
      </c>
      <c r="AB3734">
        <v>332</v>
      </c>
      <c r="AC3734">
        <v>536</v>
      </c>
      <c r="AD3734">
        <v>0</v>
      </c>
      <c r="AE3734">
        <v>542</v>
      </c>
      <c r="AF3734">
        <v>0</v>
      </c>
      <c r="AG3734">
        <v>0</v>
      </c>
      <c r="AH3734">
        <v>129</v>
      </c>
      <c r="AI3734">
        <v>0</v>
      </c>
      <c r="AJ3734">
        <v>0</v>
      </c>
      <c r="AK3734">
        <v>23.8</v>
      </c>
      <c r="AL3734">
        <v>-20.164470149999939</v>
      </c>
      <c r="AM3734">
        <v>-44.883357321672527</v>
      </c>
      <c r="AN3734">
        <v>-20.164470149999939</v>
      </c>
      <c r="AO3734">
        <v>-44.883357321672527</v>
      </c>
      <c r="AP3734">
        <v>-20.164501999999999</v>
      </c>
      <c r="AQ3734">
        <v>-44.883226999999998</v>
      </c>
      <c r="AR3734">
        <v>14.072184947340521</v>
      </c>
      <c r="AS3734" t="s">
        <v>65</v>
      </c>
      <c r="AT3734">
        <v>1</v>
      </c>
      <c r="AU3734" t="s">
        <v>1510</v>
      </c>
      <c r="AV3734" t="s">
        <v>1511</v>
      </c>
      <c r="AW3734" t="s">
        <v>60</v>
      </c>
      <c r="AX3734" t="s">
        <v>68</v>
      </c>
      <c r="AY3734" t="s">
        <v>69</v>
      </c>
      <c r="AZ3734" t="b">
        <v>1</v>
      </c>
    </row>
    <row r="3735" spans="1:52" x14ac:dyDescent="0.3">
      <c r="A3735" t="s">
        <v>52</v>
      </c>
      <c r="B3735" t="s">
        <v>53</v>
      </c>
      <c r="C3735" t="s">
        <v>54</v>
      </c>
      <c r="D3735" t="s">
        <v>55</v>
      </c>
      <c r="E3735" t="s">
        <v>2205</v>
      </c>
      <c r="F3735" t="s">
        <v>1247</v>
      </c>
      <c r="G3735" t="s">
        <v>1554</v>
      </c>
      <c r="H3735" t="s">
        <v>1555</v>
      </c>
      <c r="I3735" t="s">
        <v>1555</v>
      </c>
      <c r="J3735" t="s">
        <v>60</v>
      </c>
      <c r="K3735" t="s">
        <v>1466</v>
      </c>
      <c r="L3735" t="s">
        <v>62</v>
      </c>
      <c r="M3735" t="s">
        <v>1466</v>
      </c>
      <c r="N3735" t="s">
        <v>1556</v>
      </c>
      <c r="O3735" t="s">
        <v>989</v>
      </c>
      <c r="P3735">
        <v>-20.160997999999999</v>
      </c>
      <c r="Q3735">
        <v>-44.878385999999999</v>
      </c>
      <c r="R3735" s="2" t="str">
        <f>HYPERLINK("https://www.google.com/maps?q=-20.1609980,-44.8783860","Abrir no Google Maps")</f>
        <v>Abrir no Google Maps</v>
      </c>
      <c r="S3735">
        <v>2</v>
      </c>
      <c r="T3735">
        <v>0</v>
      </c>
      <c r="U3735">
        <v>1</v>
      </c>
      <c r="V3735">
        <v>0</v>
      </c>
      <c r="W3735">
        <v>0.85</v>
      </c>
      <c r="X3735">
        <v>0</v>
      </c>
      <c r="Y3735">
        <v>671</v>
      </c>
      <c r="Z3735">
        <v>74.014802531188664</v>
      </c>
      <c r="AA3735">
        <v>198</v>
      </c>
      <c r="AB3735">
        <v>332</v>
      </c>
      <c r="AC3735">
        <v>536</v>
      </c>
      <c r="AD3735">
        <v>0</v>
      </c>
      <c r="AE3735">
        <v>542</v>
      </c>
      <c r="AF3735">
        <v>0</v>
      </c>
      <c r="AG3735">
        <v>0</v>
      </c>
      <c r="AH3735">
        <v>129</v>
      </c>
      <c r="AI3735">
        <v>0</v>
      </c>
      <c r="AJ3735">
        <v>0</v>
      </c>
      <c r="AK3735">
        <v>23.8</v>
      </c>
      <c r="AL3735">
        <v>-20.160758199999979</v>
      </c>
      <c r="AM3735">
        <v>-44.878032519747983</v>
      </c>
      <c r="AN3735">
        <v>-20.160758199999979</v>
      </c>
      <c r="AO3735">
        <v>-44.878032519747983</v>
      </c>
      <c r="AP3735">
        <v>-20.160997999999999</v>
      </c>
      <c r="AQ3735">
        <v>-44.878385999999999</v>
      </c>
      <c r="AR3735">
        <v>45.574638830261883</v>
      </c>
      <c r="AS3735" t="s">
        <v>65</v>
      </c>
      <c r="AT3735">
        <v>1</v>
      </c>
      <c r="AU3735" t="s">
        <v>1557</v>
      </c>
      <c r="AV3735" t="s">
        <v>1558</v>
      </c>
      <c r="AW3735" t="s">
        <v>60</v>
      </c>
      <c r="AX3735" t="s">
        <v>68</v>
      </c>
      <c r="AY3735" t="s">
        <v>69</v>
      </c>
      <c r="AZ3735" t="b">
        <v>1</v>
      </c>
    </row>
    <row r="3736" spans="1:52" x14ac:dyDescent="0.3">
      <c r="A3736" t="s">
        <v>52</v>
      </c>
      <c r="B3736" t="s">
        <v>53</v>
      </c>
      <c r="C3736" t="s">
        <v>54</v>
      </c>
      <c r="D3736" t="s">
        <v>55</v>
      </c>
      <c r="E3736" t="s">
        <v>2205</v>
      </c>
      <c r="F3736" t="s">
        <v>1247</v>
      </c>
      <c r="G3736" t="s">
        <v>1529</v>
      </c>
      <c r="H3736" t="s">
        <v>1530</v>
      </c>
      <c r="I3736" t="s">
        <v>1530</v>
      </c>
      <c r="J3736" t="s">
        <v>60</v>
      </c>
      <c r="K3736" t="s">
        <v>1466</v>
      </c>
      <c r="L3736" t="s">
        <v>62</v>
      </c>
      <c r="M3736" t="s">
        <v>1466</v>
      </c>
      <c r="N3736" t="s">
        <v>1531</v>
      </c>
      <c r="O3736" t="s">
        <v>145</v>
      </c>
      <c r="P3736">
        <v>-20.162952000000001</v>
      </c>
      <c r="Q3736">
        <v>-44.877612999999997</v>
      </c>
      <c r="R3736" s="2" t="str">
        <f>HYPERLINK("https://www.google.com/maps?q=-20.1629520,-44.8776130","Abrir no Google Maps")</f>
        <v>Abrir no Google Maps</v>
      </c>
      <c r="S3736">
        <v>2</v>
      </c>
      <c r="T3736">
        <v>229.91388913695721</v>
      </c>
      <c r="U3736">
        <v>1</v>
      </c>
      <c r="V3736">
        <v>0</v>
      </c>
      <c r="W3736">
        <v>0.85</v>
      </c>
      <c r="X3736">
        <v>0</v>
      </c>
      <c r="Y3736">
        <v>671</v>
      </c>
      <c r="Z3736">
        <v>157.6775523644973</v>
      </c>
      <c r="AA3736">
        <v>198</v>
      </c>
      <c r="AB3736">
        <v>332</v>
      </c>
      <c r="AC3736">
        <v>536</v>
      </c>
      <c r="AD3736">
        <v>0</v>
      </c>
      <c r="AE3736">
        <v>542</v>
      </c>
      <c r="AF3736">
        <v>0</v>
      </c>
      <c r="AG3736">
        <v>0</v>
      </c>
      <c r="AH3736">
        <v>129</v>
      </c>
      <c r="AI3736">
        <v>0</v>
      </c>
      <c r="AJ3736">
        <v>0</v>
      </c>
      <c r="AK3736">
        <v>23.8</v>
      </c>
      <c r="AL3736">
        <v>-20.16278829999996</v>
      </c>
      <c r="AM3736">
        <v>-44.877564655204168</v>
      </c>
      <c r="AN3736">
        <v>-20.16278829999996</v>
      </c>
      <c r="AO3736">
        <v>-44.877564655204168</v>
      </c>
      <c r="AP3736">
        <v>-20.162952000000001</v>
      </c>
      <c r="AQ3736">
        <v>-44.877612999999997</v>
      </c>
      <c r="AR3736">
        <v>18.91038935762678</v>
      </c>
      <c r="AS3736" t="s">
        <v>65</v>
      </c>
      <c r="AT3736">
        <v>1</v>
      </c>
      <c r="AU3736" t="s">
        <v>1532</v>
      </c>
      <c r="AV3736" t="s">
        <v>1533</v>
      </c>
      <c r="AW3736" t="s">
        <v>60</v>
      </c>
      <c r="AX3736" t="s">
        <v>68</v>
      </c>
      <c r="AY3736" t="s">
        <v>69</v>
      </c>
      <c r="AZ3736" t="b">
        <v>1</v>
      </c>
    </row>
    <row r="3737" spans="1:52" x14ac:dyDescent="0.3">
      <c r="A3737" t="s">
        <v>52</v>
      </c>
      <c r="B3737" t="s">
        <v>53</v>
      </c>
      <c r="C3737" t="s">
        <v>54</v>
      </c>
      <c r="D3737" t="s">
        <v>55</v>
      </c>
      <c r="E3737" t="s">
        <v>2205</v>
      </c>
      <c r="F3737" t="s">
        <v>1247</v>
      </c>
      <c r="G3737" t="s">
        <v>1333</v>
      </c>
      <c r="H3737" t="s">
        <v>1470</v>
      </c>
      <c r="I3737" t="s">
        <v>1470</v>
      </c>
      <c r="J3737" t="s">
        <v>60</v>
      </c>
      <c r="K3737" t="s">
        <v>437</v>
      </c>
      <c r="L3737" t="s">
        <v>62</v>
      </c>
      <c r="M3737" t="s">
        <v>437</v>
      </c>
      <c r="N3737" t="s">
        <v>1335</v>
      </c>
      <c r="O3737" t="s">
        <v>900</v>
      </c>
      <c r="P3737">
        <v>-20.147047000000001</v>
      </c>
      <c r="Q3737">
        <v>-44.883921999999998</v>
      </c>
      <c r="R3737" s="2" t="str">
        <f>HYPERLINK("https://www.google.com/maps?q=-20.1470470,-44.8839220","Abrir no Google Maps")</f>
        <v>Abrir no Google Maps</v>
      </c>
      <c r="S3737">
        <v>2</v>
      </c>
      <c r="T3737">
        <v>296.4098018832658</v>
      </c>
      <c r="U3737">
        <v>1</v>
      </c>
      <c r="V3737">
        <v>0</v>
      </c>
      <c r="W3737">
        <v>1</v>
      </c>
      <c r="X3737">
        <v>0</v>
      </c>
      <c r="Y3737">
        <v>653</v>
      </c>
      <c r="Z3737">
        <v>299.72271006042178</v>
      </c>
      <c r="AA3737">
        <v>198</v>
      </c>
      <c r="AB3737">
        <v>332</v>
      </c>
      <c r="AC3737">
        <v>536</v>
      </c>
      <c r="AD3737">
        <v>0</v>
      </c>
      <c r="AE3737">
        <v>542</v>
      </c>
      <c r="AF3737">
        <v>0</v>
      </c>
      <c r="AG3737">
        <v>0</v>
      </c>
      <c r="AH3737">
        <v>129</v>
      </c>
      <c r="AI3737">
        <v>0</v>
      </c>
      <c r="AJ3737">
        <v>0</v>
      </c>
      <c r="AK3737">
        <v>23.8</v>
      </c>
      <c r="AL3737">
        <v>-20.147074949999929</v>
      </c>
      <c r="AM3737">
        <v>-44.883796511502347</v>
      </c>
      <c r="AN3737">
        <v>-20.147074949999929</v>
      </c>
      <c r="AO3737">
        <v>-44.883796511502347</v>
      </c>
      <c r="AP3737">
        <v>-20.147047000000001</v>
      </c>
      <c r="AQ3737">
        <v>-44.883921999999998</v>
      </c>
      <c r="AR3737">
        <v>13.47864632994</v>
      </c>
      <c r="AS3737" t="s">
        <v>65</v>
      </c>
      <c r="AT3737">
        <v>1</v>
      </c>
      <c r="AU3737" t="s">
        <v>1471</v>
      </c>
      <c r="AV3737" t="s">
        <v>1472</v>
      </c>
      <c r="AW3737" t="s">
        <v>60</v>
      </c>
      <c r="AX3737" t="s">
        <v>68</v>
      </c>
      <c r="AY3737" t="s">
        <v>69</v>
      </c>
      <c r="AZ3737" t="b">
        <v>1</v>
      </c>
    </row>
    <row r="3738" spans="1:52" x14ac:dyDescent="0.3">
      <c r="A3738" t="s">
        <v>52</v>
      </c>
      <c r="B3738" t="s">
        <v>53</v>
      </c>
      <c r="C3738" t="s">
        <v>54</v>
      </c>
      <c r="D3738" t="s">
        <v>55</v>
      </c>
      <c r="E3738" t="s">
        <v>2205</v>
      </c>
      <c r="F3738" t="s">
        <v>1247</v>
      </c>
      <c r="G3738" t="s">
        <v>1512</v>
      </c>
      <c r="H3738" t="s">
        <v>1513</v>
      </c>
      <c r="I3738" t="s">
        <v>1513</v>
      </c>
      <c r="J3738" t="s">
        <v>60</v>
      </c>
      <c r="K3738" t="s">
        <v>1302</v>
      </c>
      <c r="L3738" t="s">
        <v>62</v>
      </c>
      <c r="M3738" t="s">
        <v>1302</v>
      </c>
      <c r="N3738" t="s">
        <v>1514</v>
      </c>
      <c r="O3738" t="s">
        <v>1515</v>
      </c>
      <c r="P3738">
        <v>-20.163709000000001</v>
      </c>
      <c r="Q3738">
        <v>-44.916074999999999</v>
      </c>
      <c r="R3738" s="2" t="str">
        <f>HYPERLINK("https://www.google.com/maps?q=-20.1637090,-44.9160750","Abrir no Google Maps")</f>
        <v>Abrir no Google Maps</v>
      </c>
      <c r="S3738">
        <v>2</v>
      </c>
      <c r="T3738">
        <v>305.09593452131332</v>
      </c>
      <c r="U3738">
        <v>1</v>
      </c>
      <c r="V3738">
        <v>0</v>
      </c>
      <c r="W3738">
        <v>1</v>
      </c>
      <c r="X3738">
        <v>0</v>
      </c>
      <c r="Y3738">
        <v>639</v>
      </c>
      <c r="Z3738">
        <v>289.37841230131949</v>
      </c>
      <c r="AA3738">
        <v>198</v>
      </c>
      <c r="AB3738">
        <v>332</v>
      </c>
      <c r="AC3738">
        <v>536</v>
      </c>
      <c r="AD3738">
        <v>0</v>
      </c>
      <c r="AE3738">
        <v>542</v>
      </c>
      <c r="AF3738">
        <v>0</v>
      </c>
      <c r="AG3738">
        <v>0</v>
      </c>
      <c r="AH3738">
        <v>129</v>
      </c>
      <c r="AI3738">
        <v>0</v>
      </c>
      <c r="AJ3738">
        <v>0</v>
      </c>
      <c r="AK3738">
        <v>23.8</v>
      </c>
      <c r="AL3738">
        <v>-20.163666449999969</v>
      </c>
      <c r="AM3738">
        <v>-44.916102906827042</v>
      </c>
      <c r="AN3738">
        <v>-20.163666449999969</v>
      </c>
      <c r="AO3738">
        <v>-44.916102906827042</v>
      </c>
      <c r="AP3738">
        <v>-20.163709000000001</v>
      </c>
      <c r="AQ3738">
        <v>-44.916074999999999</v>
      </c>
      <c r="AR3738">
        <v>5.5623892025550603</v>
      </c>
      <c r="AS3738" t="s">
        <v>65</v>
      </c>
      <c r="AT3738">
        <v>1</v>
      </c>
      <c r="AU3738" t="s">
        <v>1516</v>
      </c>
      <c r="AV3738" t="s">
        <v>1517</v>
      </c>
      <c r="AW3738" t="s">
        <v>60</v>
      </c>
      <c r="AX3738" t="s">
        <v>68</v>
      </c>
      <c r="AY3738" t="s">
        <v>69</v>
      </c>
      <c r="AZ3738" t="b">
        <v>1</v>
      </c>
    </row>
    <row r="3739" spans="1:52" x14ac:dyDescent="0.3">
      <c r="A3739" t="s">
        <v>52</v>
      </c>
      <c r="B3739" t="s">
        <v>53</v>
      </c>
      <c r="C3739" t="s">
        <v>54</v>
      </c>
      <c r="D3739" t="s">
        <v>55</v>
      </c>
      <c r="E3739" t="s">
        <v>2205</v>
      </c>
      <c r="F3739" t="s">
        <v>1247</v>
      </c>
      <c r="G3739" t="s">
        <v>1473</v>
      </c>
      <c r="H3739" t="s">
        <v>1474</v>
      </c>
      <c r="I3739" t="s">
        <v>1474</v>
      </c>
      <c r="J3739" t="s">
        <v>60</v>
      </c>
      <c r="K3739" t="s">
        <v>1302</v>
      </c>
      <c r="L3739" t="s">
        <v>62</v>
      </c>
      <c r="M3739" t="s">
        <v>1302</v>
      </c>
      <c r="N3739" t="s">
        <v>1475</v>
      </c>
      <c r="O3739" t="s">
        <v>1476</v>
      </c>
      <c r="P3739">
        <v>-20.161372</v>
      </c>
      <c r="Q3739">
        <v>-44.914636999999999</v>
      </c>
      <c r="R3739" s="2" t="str">
        <f>HYPERLINK("https://www.google.com/maps?q=-20.1613720,-44.9146370","Abrir no Google Maps")</f>
        <v>Abrir no Google Maps</v>
      </c>
      <c r="S3739">
        <v>2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639</v>
      </c>
      <c r="Z3739">
        <v>81.742669907651447</v>
      </c>
      <c r="AA3739">
        <v>198</v>
      </c>
      <c r="AB3739">
        <v>332</v>
      </c>
      <c r="AC3739">
        <v>536</v>
      </c>
      <c r="AD3739">
        <v>0</v>
      </c>
      <c r="AE3739">
        <v>542</v>
      </c>
      <c r="AF3739">
        <v>0</v>
      </c>
      <c r="AG3739">
        <v>0</v>
      </c>
      <c r="AH3739">
        <v>129</v>
      </c>
      <c r="AI3739">
        <v>0</v>
      </c>
      <c r="AJ3739">
        <v>0</v>
      </c>
      <c r="AK3739">
        <v>23.8</v>
      </c>
      <c r="AL3739">
        <v>-20.161294499999961</v>
      </c>
      <c r="AM3739">
        <v>-44.914614684493202</v>
      </c>
      <c r="AN3739">
        <v>-20.161294499999961</v>
      </c>
      <c r="AO3739">
        <v>-44.914614684493202</v>
      </c>
      <c r="AP3739">
        <v>-20.161372</v>
      </c>
      <c r="AQ3739">
        <v>-44.914636999999999</v>
      </c>
      <c r="AR3739">
        <v>8.9369058443944862</v>
      </c>
      <c r="AS3739" t="s">
        <v>65</v>
      </c>
      <c r="AT3739">
        <v>1</v>
      </c>
      <c r="AU3739" t="s">
        <v>1477</v>
      </c>
      <c r="AV3739" t="s">
        <v>1478</v>
      </c>
      <c r="AW3739" t="s">
        <v>60</v>
      </c>
      <c r="AX3739" t="s">
        <v>68</v>
      </c>
      <c r="AY3739" t="s">
        <v>69</v>
      </c>
      <c r="AZ3739" t="b">
        <v>1</v>
      </c>
    </row>
    <row r="3740" spans="1:52" x14ac:dyDescent="0.3">
      <c r="A3740" t="s">
        <v>52</v>
      </c>
      <c r="B3740" t="s">
        <v>53</v>
      </c>
      <c r="C3740" t="s">
        <v>54</v>
      </c>
      <c r="D3740" t="s">
        <v>55</v>
      </c>
      <c r="E3740" t="s">
        <v>2205</v>
      </c>
      <c r="F3740" t="s">
        <v>1247</v>
      </c>
      <c r="G3740" t="s">
        <v>1479</v>
      </c>
      <c r="H3740" t="s">
        <v>1480</v>
      </c>
      <c r="I3740" t="s">
        <v>1480</v>
      </c>
      <c r="J3740" t="s">
        <v>60</v>
      </c>
      <c r="K3740" t="s">
        <v>1302</v>
      </c>
      <c r="L3740" t="s">
        <v>62</v>
      </c>
      <c r="M3740" t="s">
        <v>1302</v>
      </c>
      <c r="N3740" t="s">
        <v>1481</v>
      </c>
      <c r="O3740" t="s">
        <v>1482</v>
      </c>
      <c r="P3740">
        <v>-20.164655</v>
      </c>
      <c r="Q3740">
        <v>-44.912697000000001</v>
      </c>
      <c r="R3740" s="2" t="str">
        <f>HYPERLINK("https://www.google.com/maps?q=-20.1646550,-44.9126970","Abrir no Google Maps")</f>
        <v>Abrir no Google Maps</v>
      </c>
      <c r="S3740">
        <v>2</v>
      </c>
      <c r="T3740">
        <v>441.50274004930441</v>
      </c>
      <c r="U3740">
        <v>1</v>
      </c>
      <c r="V3740">
        <v>0</v>
      </c>
      <c r="W3740">
        <v>1</v>
      </c>
      <c r="X3740">
        <v>0</v>
      </c>
      <c r="Y3740">
        <v>639</v>
      </c>
      <c r="Z3740">
        <v>311.03317029936522</v>
      </c>
      <c r="AA3740">
        <v>198</v>
      </c>
      <c r="AB3740">
        <v>332</v>
      </c>
      <c r="AC3740">
        <v>536</v>
      </c>
      <c r="AD3740">
        <v>0</v>
      </c>
      <c r="AE3740">
        <v>542</v>
      </c>
      <c r="AF3740">
        <v>0</v>
      </c>
      <c r="AG3740">
        <v>0</v>
      </c>
      <c r="AH3740">
        <v>129</v>
      </c>
      <c r="AI3740">
        <v>0</v>
      </c>
      <c r="AJ3740">
        <v>0</v>
      </c>
      <c r="AK3740">
        <v>23.8</v>
      </c>
      <c r="AL3740">
        <v>-20.164702999999971</v>
      </c>
      <c r="AM3740">
        <v>-44.912418857911163</v>
      </c>
      <c r="AN3740">
        <v>-20.164702999999971</v>
      </c>
      <c r="AO3740">
        <v>-44.912418857911163</v>
      </c>
      <c r="AP3740">
        <v>-20.164655</v>
      </c>
      <c r="AQ3740">
        <v>-44.912697000000001</v>
      </c>
      <c r="AR3740">
        <v>29.552017409892429</v>
      </c>
      <c r="AS3740" t="s">
        <v>65</v>
      </c>
      <c r="AT3740">
        <v>1</v>
      </c>
      <c r="AU3740" t="s">
        <v>1483</v>
      </c>
      <c r="AV3740" t="s">
        <v>1484</v>
      </c>
      <c r="AW3740" t="s">
        <v>60</v>
      </c>
      <c r="AX3740" t="s">
        <v>68</v>
      </c>
      <c r="AY3740" t="s">
        <v>69</v>
      </c>
      <c r="AZ3740" t="b">
        <v>1</v>
      </c>
    </row>
    <row r="3741" spans="1:52" x14ac:dyDescent="0.3">
      <c r="A3741" t="s">
        <v>52</v>
      </c>
      <c r="B3741" t="s">
        <v>53</v>
      </c>
      <c r="C3741" t="s">
        <v>54</v>
      </c>
      <c r="D3741" t="s">
        <v>55</v>
      </c>
      <c r="E3741" t="s">
        <v>2205</v>
      </c>
      <c r="F3741" t="s">
        <v>1247</v>
      </c>
      <c r="G3741" t="s">
        <v>1518</v>
      </c>
      <c r="H3741" t="s">
        <v>1519</v>
      </c>
      <c r="I3741" t="s">
        <v>1519</v>
      </c>
      <c r="J3741" t="s">
        <v>60</v>
      </c>
      <c r="K3741" t="s">
        <v>1302</v>
      </c>
      <c r="L3741" t="s">
        <v>62</v>
      </c>
      <c r="M3741" t="s">
        <v>1302</v>
      </c>
      <c r="N3741" t="s">
        <v>1520</v>
      </c>
      <c r="O3741" t="s">
        <v>1521</v>
      </c>
      <c r="P3741">
        <v>-20.16263</v>
      </c>
      <c r="Q3741">
        <v>-44.910342999999997</v>
      </c>
      <c r="R3741" s="2" t="str">
        <f>HYPERLINK("https://www.google.com/maps?q=-20.1626300,-44.9103430","Abrir no Google Maps")</f>
        <v>Abrir no Google Maps</v>
      </c>
      <c r="S3741">
        <v>2</v>
      </c>
      <c r="T3741">
        <v>492.63980270666781</v>
      </c>
      <c r="U3741">
        <v>1</v>
      </c>
      <c r="V3741">
        <v>0</v>
      </c>
      <c r="W3741">
        <v>1</v>
      </c>
      <c r="X3741">
        <v>0</v>
      </c>
      <c r="Y3741">
        <v>639</v>
      </c>
      <c r="Z3741">
        <v>412.49960371731271</v>
      </c>
      <c r="AA3741">
        <v>198</v>
      </c>
      <c r="AB3741">
        <v>332</v>
      </c>
      <c r="AC3741">
        <v>536</v>
      </c>
      <c r="AD3741">
        <v>0</v>
      </c>
      <c r="AE3741">
        <v>542</v>
      </c>
      <c r="AF3741">
        <v>0</v>
      </c>
      <c r="AG3741">
        <v>0</v>
      </c>
      <c r="AH3741">
        <v>129</v>
      </c>
      <c r="AI3741">
        <v>0</v>
      </c>
      <c r="AJ3741">
        <v>0</v>
      </c>
      <c r="AK3741">
        <v>23.8</v>
      </c>
      <c r="AL3741">
        <v>-20.162579949999952</v>
      </c>
      <c r="AM3741">
        <v>-44.910101148008863</v>
      </c>
      <c r="AN3741">
        <v>-20.162579949999952</v>
      </c>
      <c r="AO3741">
        <v>-44.910101148008863</v>
      </c>
      <c r="AP3741">
        <v>-20.16263</v>
      </c>
      <c r="AQ3741">
        <v>-44.910342999999997</v>
      </c>
      <c r="AR3741">
        <v>25.879932474893501</v>
      </c>
      <c r="AS3741" t="s">
        <v>65</v>
      </c>
      <c r="AT3741">
        <v>1</v>
      </c>
      <c r="AU3741" t="s">
        <v>1522</v>
      </c>
      <c r="AV3741" t="s">
        <v>1523</v>
      </c>
      <c r="AW3741" t="s">
        <v>60</v>
      </c>
      <c r="AX3741" t="s">
        <v>68</v>
      </c>
      <c r="AY3741" t="s">
        <v>69</v>
      </c>
      <c r="AZ3741" t="b">
        <v>1</v>
      </c>
    </row>
    <row r="3742" spans="1:52" x14ac:dyDescent="0.3">
      <c r="A3742" t="s">
        <v>52</v>
      </c>
      <c r="B3742" t="s">
        <v>53</v>
      </c>
      <c r="C3742" t="s">
        <v>54</v>
      </c>
      <c r="D3742" t="s">
        <v>55</v>
      </c>
      <c r="E3742" t="s">
        <v>2205</v>
      </c>
      <c r="F3742" t="s">
        <v>1247</v>
      </c>
      <c r="G3742" t="s">
        <v>1524</v>
      </c>
      <c r="H3742" t="s">
        <v>1525</v>
      </c>
      <c r="I3742" t="s">
        <v>1525</v>
      </c>
      <c r="J3742" t="s">
        <v>60</v>
      </c>
      <c r="K3742" t="s">
        <v>1302</v>
      </c>
      <c r="L3742" t="s">
        <v>62</v>
      </c>
      <c r="M3742" t="s">
        <v>1302</v>
      </c>
      <c r="N3742" t="s">
        <v>1526</v>
      </c>
      <c r="O3742" t="s">
        <v>303</v>
      </c>
      <c r="P3742">
        <v>-20.159873000000001</v>
      </c>
      <c r="Q3742">
        <v>-44.911431999999998</v>
      </c>
      <c r="R3742" s="2" t="str">
        <f>HYPERLINK("https://www.google.com/maps?q=-20.1598730,-44.9114320","Abrir no Google Maps")</f>
        <v>Abrir no Google Maps</v>
      </c>
      <c r="S3742">
        <v>2</v>
      </c>
      <c r="T3742">
        <v>359.34785817593553</v>
      </c>
      <c r="U3742">
        <v>1</v>
      </c>
      <c r="V3742">
        <v>0</v>
      </c>
      <c r="W3742">
        <v>1</v>
      </c>
      <c r="X3742">
        <v>0</v>
      </c>
      <c r="Y3742">
        <v>639</v>
      </c>
      <c r="Z3742">
        <v>388.13505700247691</v>
      </c>
      <c r="AA3742">
        <v>198</v>
      </c>
      <c r="AB3742">
        <v>332</v>
      </c>
      <c r="AC3742">
        <v>536</v>
      </c>
      <c r="AD3742">
        <v>0</v>
      </c>
      <c r="AE3742">
        <v>542</v>
      </c>
      <c r="AF3742">
        <v>0</v>
      </c>
      <c r="AG3742">
        <v>0</v>
      </c>
      <c r="AH3742">
        <v>129</v>
      </c>
      <c r="AI3742">
        <v>0</v>
      </c>
      <c r="AJ3742">
        <v>0</v>
      </c>
      <c r="AK3742">
        <v>23.8</v>
      </c>
      <c r="AL3742">
        <v>-20.159583599999969</v>
      </c>
      <c r="AM3742">
        <v>-44.911691929105316</v>
      </c>
      <c r="AN3742">
        <v>-20.159583599999969</v>
      </c>
      <c r="AO3742">
        <v>-44.911691929105316</v>
      </c>
      <c r="AP3742">
        <v>-20.159873000000001</v>
      </c>
      <c r="AQ3742">
        <v>-44.911431999999998</v>
      </c>
      <c r="AR3742">
        <v>42.138811218570019</v>
      </c>
      <c r="AS3742" t="s">
        <v>65</v>
      </c>
      <c r="AT3742">
        <v>1</v>
      </c>
      <c r="AU3742" t="s">
        <v>1527</v>
      </c>
      <c r="AV3742" t="s">
        <v>1528</v>
      </c>
      <c r="AW3742" t="s">
        <v>60</v>
      </c>
      <c r="AX3742" t="s">
        <v>68</v>
      </c>
      <c r="AY3742" t="s">
        <v>69</v>
      </c>
      <c r="AZ3742" t="b">
        <v>1</v>
      </c>
    </row>
    <row r="3743" spans="1:52" x14ac:dyDescent="0.3">
      <c r="A3743" t="s">
        <v>52</v>
      </c>
      <c r="B3743" t="s">
        <v>53</v>
      </c>
      <c r="C3743" t="s">
        <v>54</v>
      </c>
      <c r="D3743" t="s">
        <v>55</v>
      </c>
      <c r="E3743" t="s">
        <v>2205</v>
      </c>
      <c r="F3743" t="s">
        <v>1247</v>
      </c>
      <c r="G3743" t="s">
        <v>1534</v>
      </c>
      <c r="H3743" t="s">
        <v>1535</v>
      </c>
      <c r="I3743" t="s">
        <v>1535</v>
      </c>
      <c r="J3743" t="s">
        <v>60</v>
      </c>
      <c r="K3743" t="s">
        <v>1536</v>
      </c>
      <c r="L3743" t="s">
        <v>62</v>
      </c>
      <c r="M3743" t="s">
        <v>1536</v>
      </c>
      <c r="N3743" t="s">
        <v>1537</v>
      </c>
      <c r="O3743" t="s">
        <v>1538</v>
      </c>
      <c r="P3743">
        <v>-20.164618999999998</v>
      </c>
      <c r="Q3743">
        <v>-44.921776999999999</v>
      </c>
      <c r="R3743" s="2" t="str">
        <f>HYPERLINK("https://www.google.com/maps?q=-20.1646190,-44.9217770","Abrir no Google Maps")</f>
        <v>Abrir no Google Maps</v>
      </c>
      <c r="S3743">
        <v>2</v>
      </c>
      <c r="T3743">
        <v>835.70698013544222</v>
      </c>
      <c r="U3743">
        <v>1</v>
      </c>
      <c r="V3743">
        <v>0</v>
      </c>
      <c r="W3743">
        <v>0.85</v>
      </c>
      <c r="X3743">
        <v>0</v>
      </c>
      <c r="Y3743">
        <v>639</v>
      </c>
      <c r="Z3743">
        <v>821.59880323911125</v>
      </c>
      <c r="AA3743">
        <v>198</v>
      </c>
      <c r="AB3743">
        <v>332</v>
      </c>
      <c r="AC3743">
        <v>536</v>
      </c>
      <c r="AD3743">
        <v>0</v>
      </c>
      <c r="AE3743">
        <v>542</v>
      </c>
      <c r="AF3743">
        <v>0</v>
      </c>
      <c r="AG3743">
        <v>0</v>
      </c>
      <c r="AH3743">
        <v>129</v>
      </c>
      <c r="AI3743">
        <v>0</v>
      </c>
      <c r="AJ3743">
        <v>0</v>
      </c>
      <c r="AK3743">
        <v>23.8</v>
      </c>
      <c r="AL3743">
        <v>-20.164312499999969</v>
      </c>
      <c r="AM3743">
        <v>-44.921945691824099</v>
      </c>
      <c r="AN3743">
        <v>-20.164312499999969</v>
      </c>
      <c r="AO3743">
        <v>-44.921945691824099</v>
      </c>
      <c r="AP3743">
        <v>-20.164618999999998</v>
      </c>
      <c r="AQ3743">
        <v>-44.921776999999999</v>
      </c>
      <c r="AR3743">
        <v>38.404224975746608</v>
      </c>
      <c r="AS3743" t="s">
        <v>65</v>
      </c>
      <c r="AT3743">
        <v>1</v>
      </c>
      <c r="AU3743" t="s">
        <v>1539</v>
      </c>
      <c r="AV3743" t="s">
        <v>1540</v>
      </c>
      <c r="AW3743" t="s">
        <v>60</v>
      </c>
      <c r="AX3743" t="s">
        <v>68</v>
      </c>
      <c r="AY3743" t="s">
        <v>69</v>
      </c>
      <c r="AZ3743" t="b">
        <v>1</v>
      </c>
    </row>
    <row r="3744" spans="1:52" x14ac:dyDescent="0.3">
      <c r="A3744" t="s">
        <v>52</v>
      </c>
      <c r="B3744" t="s">
        <v>53</v>
      </c>
      <c r="C3744" t="s">
        <v>54</v>
      </c>
      <c r="D3744" t="s">
        <v>55</v>
      </c>
      <c r="E3744" t="s">
        <v>2205</v>
      </c>
      <c r="F3744" t="s">
        <v>1247</v>
      </c>
      <c r="G3744" t="s">
        <v>1541</v>
      </c>
      <c r="H3744" t="s">
        <v>1542</v>
      </c>
      <c r="I3744" t="s">
        <v>1542</v>
      </c>
      <c r="J3744" t="s">
        <v>60</v>
      </c>
      <c r="K3744" t="s">
        <v>1302</v>
      </c>
      <c r="L3744" t="s">
        <v>62</v>
      </c>
      <c r="M3744" t="s">
        <v>1302</v>
      </c>
      <c r="N3744" t="s">
        <v>1543</v>
      </c>
      <c r="O3744" t="s">
        <v>1544</v>
      </c>
      <c r="P3744">
        <v>-20.166267999999999</v>
      </c>
      <c r="Q3744">
        <v>-44.916902</v>
      </c>
      <c r="R3744" s="2" t="str">
        <f>HYPERLINK("https://www.google.com/maps?q=-20.1662680,-44.9169020","Abrir no Google Maps")</f>
        <v>Abrir no Google Maps</v>
      </c>
      <c r="S3744">
        <v>2</v>
      </c>
      <c r="T3744">
        <v>580.14556008922216</v>
      </c>
      <c r="U3744">
        <v>1</v>
      </c>
      <c r="V3744">
        <v>0</v>
      </c>
      <c r="W3744">
        <v>0.85</v>
      </c>
      <c r="X3744">
        <v>0</v>
      </c>
      <c r="Y3744">
        <v>639</v>
      </c>
      <c r="Z3744">
        <v>590.87477783185614</v>
      </c>
      <c r="AA3744">
        <v>198</v>
      </c>
      <c r="AB3744">
        <v>332</v>
      </c>
      <c r="AC3744">
        <v>536</v>
      </c>
      <c r="AD3744">
        <v>0</v>
      </c>
      <c r="AE3744">
        <v>542</v>
      </c>
      <c r="AF3744">
        <v>0</v>
      </c>
      <c r="AG3744">
        <v>0</v>
      </c>
      <c r="AH3744">
        <v>129</v>
      </c>
      <c r="AI3744">
        <v>0</v>
      </c>
      <c r="AJ3744">
        <v>0</v>
      </c>
      <c r="AK3744">
        <v>23.8</v>
      </c>
      <c r="AL3744">
        <v>-20.165891749999961</v>
      </c>
      <c r="AM3744">
        <v>-44.917283075074913</v>
      </c>
      <c r="AN3744">
        <v>-20.165891749999961</v>
      </c>
      <c r="AO3744">
        <v>-44.917283075074913</v>
      </c>
      <c r="AP3744">
        <v>-20.166267999999999</v>
      </c>
      <c r="AQ3744">
        <v>-44.916902</v>
      </c>
      <c r="AR3744">
        <v>57.792534087281872</v>
      </c>
      <c r="AS3744" t="s">
        <v>65</v>
      </c>
      <c r="AT3744">
        <v>1</v>
      </c>
      <c r="AU3744" t="s">
        <v>1545</v>
      </c>
      <c r="AV3744" t="s">
        <v>1546</v>
      </c>
      <c r="AW3744" t="s">
        <v>60</v>
      </c>
      <c r="AX3744" t="s">
        <v>68</v>
      </c>
      <c r="AY3744" t="s">
        <v>69</v>
      </c>
      <c r="AZ3744" t="b">
        <v>1</v>
      </c>
    </row>
    <row r="3745" spans="1:52" x14ac:dyDescent="0.3">
      <c r="A3745" t="s">
        <v>52</v>
      </c>
      <c r="B3745" t="s">
        <v>53</v>
      </c>
      <c r="C3745" t="s">
        <v>54</v>
      </c>
      <c r="D3745" t="s">
        <v>55</v>
      </c>
      <c r="E3745" t="s">
        <v>2205</v>
      </c>
      <c r="F3745" t="s">
        <v>1247</v>
      </c>
      <c r="G3745" t="s">
        <v>1559</v>
      </c>
      <c r="H3745" t="s">
        <v>1560</v>
      </c>
      <c r="I3745" t="s">
        <v>1560</v>
      </c>
      <c r="J3745" t="s">
        <v>60</v>
      </c>
      <c r="K3745" t="s">
        <v>61</v>
      </c>
      <c r="L3745" t="s">
        <v>62</v>
      </c>
      <c r="M3745" t="s">
        <v>61</v>
      </c>
      <c r="N3745" t="s">
        <v>1561</v>
      </c>
      <c r="O3745" t="s">
        <v>1562</v>
      </c>
      <c r="P3745">
        <v>-20.154959000000002</v>
      </c>
      <c r="Q3745">
        <v>-44.91525</v>
      </c>
      <c r="R3745" s="2" t="str">
        <f>HYPERLINK("https://www.google.com/maps?q=-20.1549590,-44.9152500","Abrir no Google Maps")</f>
        <v>Abrir no Google Maps</v>
      </c>
      <c r="S3745">
        <v>2</v>
      </c>
      <c r="T3745">
        <v>738.36411213380245</v>
      </c>
      <c r="U3745">
        <v>1</v>
      </c>
      <c r="V3745">
        <v>0</v>
      </c>
      <c r="W3745">
        <v>0.85</v>
      </c>
      <c r="X3745">
        <v>0</v>
      </c>
      <c r="Y3745">
        <v>639</v>
      </c>
      <c r="Z3745">
        <v>860.82840850294542</v>
      </c>
      <c r="AA3745">
        <v>198</v>
      </c>
      <c r="AB3745">
        <v>332</v>
      </c>
      <c r="AC3745">
        <v>536</v>
      </c>
      <c r="AD3745">
        <v>0</v>
      </c>
      <c r="AE3745">
        <v>542</v>
      </c>
      <c r="AF3745">
        <v>0</v>
      </c>
      <c r="AG3745">
        <v>0</v>
      </c>
      <c r="AH3745">
        <v>129</v>
      </c>
      <c r="AI3745">
        <v>0</v>
      </c>
      <c r="AJ3745">
        <v>0</v>
      </c>
      <c r="AK3745">
        <v>23.8</v>
      </c>
      <c r="AL3745">
        <v>-20.154629849999939</v>
      </c>
      <c r="AM3745">
        <v>-44.914951620624052</v>
      </c>
      <c r="AN3745">
        <v>-20.154629849999939</v>
      </c>
      <c r="AO3745">
        <v>-44.914951620624052</v>
      </c>
      <c r="AP3745">
        <v>-20.154959000000002</v>
      </c>
      <c r="AQ3745">
        <v>-44.91525</v>
      </c>
      <c r="AR3745">
        <v>48.11297170616912</v>
      </c>
      <c r="AS3745" t="s">
        <v>65</v>
      </c>
      <c r="AT3745">
        <v>1</v>
      </c>
      <c r="AU3745" t="s">
        <v>1563</v>
      </c>
      <c r="AV3745" t="s">
        <v>1564</v>
      </c>
      <c r="AW3745" t="s">
        <v>60</v>
      </c>
      <c r="AX3745" t="s">
        <v>68</v>
      </c>
      <c r="AY3745" t="s">
        <v>69</v>
      </c>
      <c r="AZ3745" t="b">
        <v>1</v>
      </c>
    </row>
    <row r="3746" spans="1:52" x14ac:dyDescent="0.3">
      <c r="A3746" t="s">
        <v>52</v>
      </c>
      <c r="B3746" t="s">
        <v>53</v>
      </c>
      <c r="C3746" t="s">
        <v>54</v>
      </c>
      <c r="D3746" t="s">
        <v>55</v>
      </c>
      <c r="E3746" t="s">
        <v>2205</v>
      </c>
      <c r="F3746" t="s">
        <v>1247</v>
      </c>
      <c r="G3746" t="s">
        <v>1607</v>
      </c>
      <c r="H3746" t="s">
        <v>1608</v>
      </c>
      <c r="I3746" t="s">
        <v>1608</v>
      </c>
      <c r="J3746" t="s">
        <v>60</v>
      </c>
      <c r="K3746" t="s">
        <v>1486</v>
      </c>
      <c r="L3746" t="s">
        <v>62</v>
      </c>
      <c r="M3746" t="s">
        <v>1486</v>
      </c>
      <c r="N3746" t="s">
        <v>1609</v>
      </c>
      <c r="O3746" t="s">
        <v>1255</v>
      </c>
      <c r="P3746">
        <v>-20.157689000000001</v>
      </c>
      <c r="Q3746">
        <v>-44.883887000000001</v>
      </c>
      <c r="R3746" s="2" t="str">
        <f>HYPERLINK("https://www.google.com/maps?q=-20.1576890,-44.8838870","Abrir no Google Maps")</f>
        <v>Abrir no Google Maps</v>
      </c>
      <c r="S3746">
        <v>1</v>
      </c>
      <c r="T3746">
        <v>603.38424821205774</v>
      </c>
      <c r="U3746">
        <v>1</v>
      </c>
      <c r="V3746">
        <v>0</v>
      </c>
      <c r="W3746">
        <v>1</v>
      </c>
      <c r="X3746">
        <v>0</v>
      </c>
      <c r="Y3746">
        <v>671</v>
      </c>
      <c r="Z3746">
        <v>682.48636898467089</v>
      </c>
      <c r="AA3746">
        <v>198</v>
      </c>
      <c r="AB3746">
        <v>332</v>
      </c>
      <c r="AC3746">
        <v>536</v>
      </c>
      <c r="AD3746">
        <v>0</v>
      </c>
      <c r="AE3746">
        <v>542</v>
      </c>
      <c r="AF3746">
        <v>0</v>
      </c>
      <c r="AG3746">
        <v>0</v>
      </c>
      <c r="AH3746">
        <v>129</v>
      </c>
      <c r="AI3746">
        <v>0</v>
      </c>
      <c r="AJ3746">
        <v>0</v>
      </c>
      <c r="AK3746">
        <v>23.8</v>
      </c>
      <c r="AL3746">
        <v>-20.157732249999949</v>
      </c>
      <c r="AM3746">
        <v>-44.883829923283272</v>
      </c>
      <c r="AN3746">
        <v>-20.157732249999949</v>
      </c>
      <c r="AO3746">
        <v>-44.883829923283272</v>
      </c>
      <c r="AP3746">
        <v>-20.157689000000001</v>
      </c>
      <c r="AQ3746">
        <v>-44.883887000000001</v>
      </c>
      <c r="AR3746">
        <v>7.6652901074925257</v>
      </c>
      <c r="AS3746" t="s">
        <v>65</v>
      </c>
      <c r="AT3746">
        <v>1</v>
      </c>
      <c r="AU3746" t="s">
        <v>1610</v>
      </c>
      <c r="AV3746" t="s">
        <v>1611</v>
      </c>
      <c r="AW3746" t="s">
        <v>60</v>
      </c>
      <c r="AX3746" t="s">
        <v>68</v>
      </c>
      <c r="AY3746" t="s">
        <v>69</v>
      </c>
      <c r="AZ3746" t="b">
        <v>1</v>
      </c>
    </row>
    <row r="3747" spans="1:52" x14ac:dyDescent="0.3">
      <c r="A3747" t="s">
        <v>52</v>
      </c>
      <c r="B3747" t="s">
        <v>53</v>
      </c>
      <c r="C3747" t="s">
        <v>54</v>
      </c>
      <c r="D3747" t="s">
        <v>55</v>
      </c>
      <c r="E3747" t="s">
        <v>2205</v>
      </c>
      <c r="F3747" t="s">
        <v>1247</v>
      </c>
      <c r="G3747" t="s">
        <v>631</v>
      </c>
      <c r="H3747" t="s">
        <v>1565</v>
      </c>
      <c r="I3747" t="s">
        <v>1565</v>
      </c>
      <c r="J3747" t="s">
        <v>60</v>
      </c>
      <c r="K3747" t="s">
        <v>530</v>
      </c>
      <c r="L3747" t="s">
        <v>62</v>
      </c>
      <c r="M3747" t="s">
        <v>530</v>
      </c>
      <c r="N3747" t="s">
        <v>633</v>
      </c>
      <c r="O3747" t="s">
        <v>1566</v>
      </c>
      <c r="P3747">
        <v>-20.143915</v>
      </c>
      <c r="Q3747">
        <v>-44.8947</v>
      </c>
      <c r="R3747" s="2" t="str">
        <f>HYPERLINK("https://www.google.com/maps?q=-20.1439150,-44.8947000","Abrir no Google Maps")</f>
        <v>Abrir no Google Maps</v>
      </c>
      <c r="S3747">
        <v>1</v>
      </c>
      <c r="T3747">
        <v>327.74435325417051</v>
      </c>
      <c r="U3747">
        <v>1</v>
      </c>
      <c r="V3747">
        <v>0</v>
      </c>
      <c r="W3747">
        <v>1</v>
      </c>
      <c r="X3747">
        <v>0</v>
      </c>
      <c r="Y3747">
        <v>602</v>
      </c>
      <c r="Z3747">
        <v>236.41345279429891</v>
      </c>
      <c r="AA3747">
        <v>198</v>
      </c>
      <c r="AB3747">
        <v>332</v>
      </c>
      <c r="AC3747">
        <v>536</v>
      </c>
      <c r="AD3747">
        <v>0</v>
      </c>
      <c r="AE3747">
        <v>542</v>
      </c>
      <c r="AF3747">
        <v>0</v>
      </c>
      <c r="AG3747">
        <v>0</v>
      </c>
      <c r="AH3747">
        <v>129</v>
      </c>
      <c r="AI3747">
        <v>0</v>
      </c>
      <c r="AJ3747">
        <v>0</v>
      </c>
      <c r="AK3747">
        <v>23.8</v>
      </c>
      <c r="AL3747">
        <v>-20.143900549999959</v>
      </c>
      <c r="AM3747">
        <v>-44.894835636584318</v>
      </c>
      <c r="AN3747">
        <v>-20.143900549999959</v>
      </c>
      <c r="AO3747">
        <v>-44.894835636584318</v>
      </c>
      <c r="AP3747">
        <v>-20.143915</v>
      </c>
      <c r="AQ3747">
        <v>-44.8947</v>
      </c>
      <c r="AR3747">
        <v>14.266440053785869</v>
      </c>
      <c r="AS3747" t="s">
        <v>65</v>
      </c>
      <c r="AT3747">
        <v>1</v>
      </c>
      <c r="AU3747" t="s">
        <v>1567</v>
      </c>
      <c r="AV3747" t="s">
        <v>1568</v>
      </c>
      <c r="AW3747" t="s">
        <v>60</v>
      </c>
      <c r="AX3747" t="s">
        <v>68</v>
      </c>
      <c r="AY3747" t="s">
        <v>69</v>
      </c>
      <c r="AZ3747" t="b">
        <v>1</v>
      </c>
    </row>
    <row r="3748" spans="1:52" x14ac:dyDescent="0.3">
      <c r="A3748" t="s">
        <v>52</v>
      </c>
      <c r="B3748" t="s">
        <v>53</v>
      </c>
      <c r="C3748" t="s">
        <v>54</v>
      </c>
      <c r="D3748" t="s">
        <v>55</v>
      </c>
      <c r="E3748" t="s">
        <v>2205</v>
      </c>
      <c r="F3748" t="s">
        <v>1247</v>
      </c>
      <c r="G3748" t="s">
        <v>1569</v>
      </c>
      <c r="H3748" t="s">
        <v>1570</v>
      </c>
      <c r="I3748" t="s">
        <v>1570</v>
      </c>
      <c r="J3748" t="s">
        <v>60</v>
      </c>
      <c r="K3748" t="s">
        <v>530</v>
      </c>
      <c r="L3748" t="s">
        <v>62</v>
      </c>
      <c r="M3748" t="s">
        <v>530</v>
      </c>
      <c r="N3748" t="s">
        <v>1571</v>
      </c>
      <c r="O3748" t="s">
        <v>598</v>
      </c>
      <c r="P3748">
        <v>-20.146418000000001</v>
      </c>
      <c r="Q3748">
        <v>-44.893861999999999</v>
      </c>
      <c r="R3748" s="2" t="str">
        <f>HYPERLINK("https://www.google.com/maps?q=-20.1464180,-44.8938620","Abrir no Google Maps")</f>
        <v>Abrir no Google Maps</v>
      </c>
      <c r="S3748">
        <v>1</v>
      </c>
      <c r="T3748">
        <v>0</v>
      </c>
      <c r="U3748">
        <v>1</v>
      </c>
      <c r="V3748">
        <v>0</v>
      </c>
      <c r="W3748">
        <v>0.85</v>
      </c>
      <c r="X3748">
        <v>0</v>
      </c>
      <c r="Y3748">
        <v>602</v>
      </c>
      <c r="Z3748">
        <v>124.5475134899211</v>
      </c>
      <c r="AA3748">
        <v>198</v>
      </c>
      <c r="AB3748">
        <v>332</v>
      </c>
      <c r="AC3748">
        <v>536</v>
      </c>
      <c r="AD3748">
        <v>0</v>
      </c>
      <c r="AE3748">
        <v>542</v>
      </c>
      <c r="AF3748">
        <v>0</v>
      </c>
      <c r="AG3748">
        <v>0</v>
      </c>
      <c r="AH3748">
        <v>129</v>
      </c>
      <c r="AI3748">
        <v>0</v>
      </c>
      <c r="AJ3748">
        <v>0</v>
      </c>
      <c r="AK3748">
        <v>23.8</v>
      </c>
      <c r="AL3748">
        <v>-20.146753399999941</v>
      </c>
      <c r="AM3748">
        <v>-44.893993355901941</v>
      </c>
      <c r="AN3748">
        <v>-20.146753399999941</v>
      </c>
      <c r="AO3748">
        <v>-44.893993355901941</v>
      </c>
      <c r="AP3748">
        <v>-20.146418000000001</v>
      </c>
      <c r="AQ3748">
        <v>-44.893861999999999</v>
      </c>
      <c r="AR3748">
        <v>39.780457157851913</v>
      </c>
      <c r="AS3748" t="s">
        <v>65</v>
      </c>
      <c r="AT3748">
        <v>1</v>
      </c>
      <c r="AU3748" t="s">
        <v>1572</v>
      </c>
      <c r="AV3748" t="s">
        <v>1573</v>
      </c>
      <c r="AW3748" t="s">
        <v>60</v>
      </c>
      <c r="AX3748" t="s">
        <v>68</v>
      </c>
      <c r="AY3748" t="s">
        <v>69</v>
      </c>
      <c r="AZ3748" t="b">
        <v>1</v>
      </c>
    </row>
    <row r="3749" spans="1:52" x14ac:dyDescent="0.3">
      <c r="A3749" t="s">
        <v>52</v>
      </c>
      <c r="B3749" t="s">
        <v>53</v>
      </c>
      <c r="C3749" t="s">
        <v>54</v>
      </c>
      <c r="D3749" t="s">
        <v>55</v>
      </c>
      <c r="E3749" t="s">
        <v>2205</v>
      </c>
      <c r="F3749" t="s">
        <v>1247</v>
      </c>
      <c r="G3749" t="s">
        <v>1569</v>
      </c>
      <c r="H3749" t="s">
        <v>1574</v>
      </c>
      <c r="I3749" t="s">
        <v>1574</v>
      </c>
      <c r="J3749" t="s">
        <v>60</v>
      </c>
      <c r="K3749" t="s">
        <v>530</v>
      </c>
      <c r="L3749" t="s">
        <v>62</v>
      </c>
      <c r="M3749" t="s">
        <v>530</v>
      </c>
      <c r="N3749" t="s">
        <v>1571</v>
      </c>
      <c r="O3749" t="s">
        <v>1575</v>
      </c>
      <c r="P3749">
        <v>-20.14554</v>
      </c>
      <c r="Q3749">
        <v>-44.895606000000001</v>
      </c>
      <c r="R3749" s="2" t="str">
        <f>HYPERLINK("https://www.google.com/maps?q=-20.1455400,-44.8956060","Abrir no Google Maps")</f>
        <v>Abrir no Google Maps</v>
      </c>
      <c r="S3749">
        <v>1</v>
      </c>
      <c r="T3749">
        <v>218.66647838959381</v>
      </c>
      <c r="U3749">
        <v>1</v>
      </c>
      <c r="V3749">
        <v>0</v>
      </c>
      <c r="W3749">
        <v>1</v>
      </c>
      <c r="X3749">
        <v>0</v>
      </c>
      <c r="Y3749">
        <v>602</v>
      </c>
      <c r="Z3749">
        <v>263.6501043391637</v>
      </c>
      <c r="AA3749">
        <v>198</v>
      </c>
      <c r="AB3749">
        <v>332</v>
      </c>
      <c r="AC3749">
        <v>536</v>
      </c>
      <c r="AD3749">
        <v>0</v>
      </c>
      <c r="AE3749">
        <v>542</v>
      </c>
      <c r="AF3749">
        <v>0</v>
      </c>
      <c r="AG3749">
        <v>0</v>
      </c>
      <c r="AH3749">
        <v>129</v>
      </c>
      <c r="AI3749">
        <v>0</v>
      </c>
      <c r="AJ3749">
        <v>0</v>
      </c>
      <c r="AK3749">
        <v>23.8</v>
      </c>
      <c r="AL3749">
        <v>-20.145504749999962</v>
      </c>
      <c r="AM3749">
        <v>-44.89561499588882</v>
      </c>
      <c r="AN3749">
        <v>-20.145504749999962</v>
      </c>
      <c r="AO3749">
        <v>-44.89561499588882</v>
      </c>
      <c r="AP3749">
        <v>-20.14554</v>
      </c>
      <c r="AQ3749">
        <v>-44.895606000000001</v>
      </c>
      <c r="AR3749">
        <v>4.0350843151508604</v>
      </c>
      <c r="AS3749" t="s">
        <v>65</v>
      </c>
      <c r="AT3749">
        <v>1</v>
      </c>
      <c r="AU3749" t="s">
        <v>1576</v>
      </c>
      <c r="AV3749" t="s">
        <v>1577</v>
      </c>
      <c r="AW3749" t="s">
        <v>60</v>
      </c>
      <c r="AX3749" t="s">
        <v>68</v>
      </c>
      <c r="AY3749" t="s">
        <v>69</v>
      </c>
      <c r="AZ3749" t="b">
        <v>1</v>
      </c>
    </row>
    <row r="3750" spans="1:52" x14ac:dyDescent="0.3">
      <c r="A3750" t="s">
        <v>52</v>
      </c>
      <c r="B3750" t="s">
        <v>53</v>
      </c>
      <c r="C3750" t="s">
        <v>54</v>
      </c>
      <c r="D3750" t="s">
        <v>55</v>
      </c>
      <c r="E3750" t="s">
        <v>2205</v>
      </c>
      <c r="F3750" t="s">
        <v>1247</v>
      </c>
      <c r="G3750" t="s">
        <v>1578</v>
      </c>
      <c r="H3750" t="s">
        <v>1579</v>
      </c>
      <c r="I3750" t="s">
        <v>1579</v>
      </c>
      <c r="J3750" t="s">
        <v>60</v>
      </c>
      <c r="K3750" t="s">
        <v>530</v>
      </c>
      <c r="L3750" t="s">
        <v>62</v>
      </c>
      <c r="M3750" t="s">
        <v>530</v>
      </c>
      <c r="N3750" t="s">
        <v>1580</v>
      </c>
      <c r="O3750" t="s">
        <v>1581</v>
      </c>
      <c r="P3750">
        <v>-20.143713999999999</v>
      </c>
      <c r="Q3750">
        <v>-44.897387999999999</v>
      </c>
      <c r="R3750" s="2" t="str">
        <f>HYPERLINK("https://www.google.com/maps?q=-20.1437140,-44.8973880","Abrir no Google Maps")</f>
        <v>Abrir no Google Maps</v>
      </c>
      <c r="S3750">
        <v>1</v>
      </c>
      <c r="T3750">
        <v>354.74438118735611</v>
      </c>
      <c r="U3750">
        <v>1</v>
      </c>
      <c r="V3750">
        <v>0</v>
      </c>
      <c r="W3750">
        <v>1</v>
      </c>
      <c r="X3750">
        <v>0</v>
      </c>
      <c r="Y3750">
        <v>588</v>
      </c>
      <c r="Z3750">
        <v>336.29881064197872</v>
      </c>
      <c r="AA3750">
        <v>198</v>
      </c>
      <c r="AB3750">
        <v>332</v>
      </c>
      <c r="AC3750">
        <v>536</v>
      </c>
      <c r="AD3750">
        <v>0</v>
      </c>
      <c r="AE3750">
        <v>542</v>
      </c>
      <c r="AF3750">
        <v>0</v>
      </c>
      <c r="AG3750">
        <v>0</v>
      </c>
      <c r="AH3750">
        <v>129</v>
      </c>
      <c r="AI3750">
        <v>0</v>
      </c>
      <c r="AJ3750">
        <v>0</v>
      </c>
      <c r="AK3750">
        <v>23.8</v>
      </c>
      <c r="AL3750">
        <v>-20.14371329999997</v>
      </c>
      <c r="AM3750">
        <v>-44.897384604125257</v>
      </c>
      <c r="AN3750">
        <v>-20.14371329999997</v>
      </c>
      <c r="AO3750">
        <v>-44.897384604125257</v>
      </c>
      <c r="AP3750">
        <v>-20.143713999999999</v>
      </c>
      <c r="AQ3750">
        <v>-44.897387999999999</v>
      </c>
      <c r="AR3750">
        <v>0.36335934693921551</v>
      </c>
      <c r="AS3750" t="s">
        <v>65</v>
      </c>
      <c r="AT3750">
        <v>1</v>
      </c>
      <c r="AU3750" t="s">
        <v>1582</v>
      </c>
      <c r="AV3750" t="s">
        <v>1583</v>
      </c>
      <c r="AW3750" t="s">
        <v>60</v>
      </c>
      <c r="AX3750" t="s">
        <v>68</v>
      </c>
      <c r="AY3750" t="s">
        <v>69</v>
      </c>
      <c r="AZ3750" t="b">
        <v>1</v>
      </c>
    </row>
    <row r="3751" spans="1:52" x14ac:dyDescent="0.3">
      <c r="A3751" t="s">
        <v>52</v>
      </c>
      <c r="B3751" t="s">
        <v>53</v>
      </c>
      <c r="C3751" t="s">
        <v>54</v>
      </c>
      <c r="D3751" t="s">
        <v>55</v>
      </c>
      <c r="E3751" t="s">
        <v>2205</v>
      </c>
      <c r="F3751" t="s">
        <v>1247</v>
      </c>
      <c r="G3751" t="s">
        <v>1584</v>
      </c>
      <c r="H3751" t="s">
        <v>1585</v>
      </c>
      <c r="I3751" t="s">
        <v>1585</v>
      </c>
      <c r="J3751" t="s">
        <v>60</v>
      </c>
      <c r="K3751" t="s">
        <v>530</v>
      </c>
      <c r="L3751" t="s">
        <v>62</v>
      </c>
      <c r="M3751" t="s">
        <v>530</v>
      </c>
      <c r="N3751" t="s">
        <v>406</v>
      </c>
      <c r="O3751" t="s">
        <v>1586</v>
      </c>
      <c r="P3751">
        <v>-20.141316</v>
      </c>
      <c r="Q3751">
        <v>-44.896424000000003</v>
      </c>
      <c r="R3751" s="2" t="str">
        <f>HYPERLINK("https://www.google.com/maps?q=-20.1413160,-44.8964240","Abrir no Google Maps")</f>
        <v>Abrir no Google Maps</v>
      </c>
      <c r="S3751">
        <v>1</v>
      </c>
      <c r="T3751">
        <v>236.6687095166524</v>
      </c>
      <c r="U3751">
        <v>1</v>
      </c>
      <c r="V3751">
        <v>0</v>
      </c>
      <c r="W3751">
        <v>1</v>
      </c>
      <c r="X3751">
        <v>0</v>
      </c>
      <c r="Y3751">
        <v>588</v>
      </c>
      <c r="Z3751">
        <v>255.50729797374251</v>
      </c>
      <c r="AA3751">
        <v>198</v>
      </c>
      <c r="AB3751">
        <v>332</v>
      </c>
      <c r="AC3751">
        <v>536</v>
      </c>
      <c r="AD3751">
        <v>0</v>
      </c>
      <c r="AE3751">
        <v>542</v>
      </c>
      <c r="AF3751">
        <v>0</v>
      </c>
      <c r="AG3751">
        <v>0</v>
      </c>
      <c r="AH3751">
        <v>129</v>
      </c>
      <c r="AI3751">
        <v>0</v>
      </c>
      <c r="AJ3751">
        <v>0</v>
      </c>
      <c r="AK3751">
        <v>23.8</v>
      </c>
      <c r="AL3751">
        <v>-20.141468299999961</v>
      </c>
      <c r="AM3751">
        <v>-44.896566678331098</v>
      </c>
      <c r="AN3751">
        <v>-20.141468299999961</v>
      </c>
      <c r="AO3751">
        <v>-44.896566678331098</v>
      </c>
      <c r="AP3751">
        <v>-20.141316</v>
      </c>
      <c r="AQ3751">
        <v>-44.896424000000003</v>
      </c>
      <c r="AR3751">
        <v>22.578666373759301</v>
      </c>
      <c r="AS3751" t="s">
        <v>65</v>
      </c>
      <c r="AT3751">
        <v>1</v>
      </c>
      <c r="AU3751" t="s">
        <v>1587</v>
      </c>
      <c r="AV3751" t="s">
        <v>1588</v>
      </c>
      <c r="AW3751" t="s">
        <v>60</v>
      </c>
      <c r="AX3751" t="s">
        <v>68</v>
      </c>
      <c r="AY3751" t="s">
        <v>69</v>
      </c>
      <c r="AZ3751" t="b">
        <v>1</v>
      </c>
    </row>
    <row r="3752" spans="1:52" x14ac:dyDescent="0.3">
      <c r="A3752" t="s">
        <v>52</v>
      </c>
      <c r="B3752" t="s">
        <v>53</v>
      </c>
      <c r="C3752" t="s">
        <v>54</v>
      </c>
      <c r="D3752" t="s">
        <v>55</v>
      </c>
      <c r="E3752" t="s">
        <v>2205</v>
      </c>
      <c r="F3752" t="s">
        <v>1247</v>
      </c>
      <c r="G3752" t="s">
        <v>1589</v>
      </c>
      <c r="H3752" t="s">
        <v>1590</v>
      </c>
      <c r="I3752" t="s">
        <v>1590</v>
      </c>
      <c r="J3752" t="s">
        <v>60</v>
      </c>
      <c r="K3752" t="s">
        <v>1591</v>
      </c>
      <c r="L3752" t="s">
        <v>62</v>
      </c>
      <c r="M3752" t="s">
        <v>1591</v>
      </c>
      <c r="N3752" t="s">
        <v>1592</v>
      </c>
      <c r="O3752" t="s">
        <v>659</v>
      </c>
      <c r="P3752">
        <v>-20.140789000000002</v>
      </c>
      <c r="Q3752">
        <v>-44.898631000000002</v>
      </c>
      <c r="R3752" s="2" t="str">
        <f>HYPERLINK("https://www.google.com/maps?q=-20.1407890,-44.8986310","Abrir no Google Maps")</f>
        <v>Abrir no Google Maps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588</v>
      </c>
      <c r="Z3752">
        <v>51.152636251897107</v>
      </c>
      <c r="AA3752">
        <v>198</v>
      </c>
      <c r="AB3752">
        <v>332</v>
      </c>
      <c r="AC3752">
        <v>536</v>
      </c>
      <c r="AD3752">
        <v>0</v>
      </c>
      <c r="AE3752">
        <v>542</v>
      </c>
      <c r="AF3752">
        <v>0</v>
      </c>
      <c r="AG3752">
        <v>0</v>
      </c>
      <c r="AH3752">
        <v>129</v>
      </c>
      <c r="AI3752">
        <v>0</v>
      </c>
      <c r="AJ3752">
        <v>0</v>
      </c>
      <c r="AK3752">
        <v>23.8</v>
      </c>
      <c r="AL3752">
        <v>-20.140759399999951</v>
      </c>
      <c r="AM3752">
        <v>-44.898703172474903</v>
      </c>
      <c r="AN3752">
        <v>-20.140759399999951</v>
      </c>
      <c r="AO3752">
        <v>-44.898703172474903</v>
      </c>
      <c r="AP3752">
        <v>-20.140789000000002</v>
      </c>
      <c r="AQ3752">
        <v>-44.898631000000002</v>
      </c>
      <c r="AR3752">
        <v>8.2312502179962053</v>
      </c>
      <c r="AS3752" t="s">
        <v>65</v>
      </c>
      <c r="AT3752">
        <v>1</v>
      </c>
      <c r="AU3752" t="s">
        <v>1593</v>
      </c>
      <c r="AV3752" t="s">
        <v>1594</v>
      </c>
      <c r="AW3752" t="s">
        <v>60</v>
      </c>
      <c r="AX3752" t="s">
        <v>68</v>
      </c>
      <c r="AY3752" t="s">
        <v>69</v>
      </c>
      <c r="AZ3752" t="b">
        <v>1</v>
      </c>
    </row>
    <row r="3753" spans="1:52" x14ac:dyDescent="0.3">
      <c r="A3753" t="s">
        <v>52</v>
      </c>
      <c r="B3753" t="s">
        <v>53</v>
      </c>
      <c r="C3753" t="s">
        <v>54</v>
      </c>
      <c r="D3753" t="s">
        <v>55</v>
      </c>
      <c r="E3753" t="s">
        <v>2205</v>
      </c>
      <c r="F3753" t="s">
        <v>1247</v>
      </c>
      <c r="G3753" t="s">
        <v>1595</v>
      </c>
      <c r="H3753" t="s">
        <v>1596</v>
      </c>
      <c r="I3753" t="s">
        <v>1596</v>
      </c>
      <c r="J3753" t="s">
        <v>60</v>
      </c>
      <c r="K3753" t="s">
        <v>530</v>
      </c>
      <c r="L3753" t="s">
        <v>62</v>
      </c>
      <c r="M3753" t="s">
        <v>530</v>
      </c>
      <c r="N3753" t="s">
        <v>1006</v>
      </c>
      <c r="O3753" t="s">
        <v>1597</v>
      </c>
      <c r="P3753">
        <v>-20.139135</v>
      </c>
      <c r="Q3753">
        <v>-44.895907000000001</v>
      </c>
      <c r="R3753" s="2" t="str">
        <f>HYPERLINK("https://www.google.com/maps?q=-20.1391350,-44.8959070","Abrir no Google Maps")</f>
        <v>Abrir no Google Maps</v>
      </c>
      <c r="S3753">
        <v>1</v>
      </c>
      <c r="T3753">
        <v>324.98342996447241</v>
      </c>
      <c r="U3753">
        <v>1</v>
      </c>
      <c r="V3753">
        <v>0</v>
      </c>
      <c r="W3753">
        <v>1</v>
      </c>
      <c r="X3753">
        <v>0</v>
      </c>
      <c r="Y3753">
        <v>588</v>
      </c>
      <c r="Z3753">
        <v>411.69998599301618</v>
      </c>
      <c r="AA3753">
        <v>198</v>
      </c>
      <c r="AB3753">
        <v>332</v>
      </c>
      <c r="AC3753">
        <v>536</v>
      </c>
      <c r="AD3753">
        <v>0</v>
      </c>
      <c r="AE3753">
        <v>542</v>
      </c>
      <c r="AF3753">
        <v>0</v>
      </c>
      <c r="AG3753">
        <v>0</v>
      </c>
      <c r="AH3753">
        <v>129</v>
      </c>
      <c r="AI3753">
        <v>0</v>
      </c>
      <c r="AJ3753">
        <v>0</v>
      </c>
      <c r="AK3753">
        <v>23.8</v>
      </c>
      <c r="AL3753">
        <v>-20.139299649999941</v>
      </c>
      <c r="AM3753">
        <v>-44.896005009217312</v>
      </c>
      <c r="AN3753">
        <v>-20.139299649999941</v>
      </c>
      <c r="AO3753">
        <v>-44.896005009217312</v>
      </c>
      <c r="AP3753">
        <v>-20.139135</v>
      </c>
      <c r="AQ3753">
        <v>-44.895907000000001</v>
      </c>
      <c r="AR3753">
        <v>20.996943428875841</v>
      </c>
      <c r="AS3753" t="s">
        <v>65</v>
      </c>
      <c r="AT3753">
        <v>1</v>
      </c>
      <c r="AU3753" t="s">
        <v>1598</v>
      </c>
      <c r="AV3753" t="s">
        <v>1599</v>
      </c>
      <c r="AW3753" t="s">
        <v>60</v>
      </c>
      <c r="AX3753" t="s">
        <v>68</v>
      </c>
      <c r="AY3753" t="s">
        <v>69</v>
      </c>
      <c r="AZ3753" t="b">
        <v>1</v>
      </c>
    </row>
    <row r="3754" spans="1:52" x14ac:dyDescent="0.3">
      <c r="A3754" t="s">
        <v>52</v>
      </c>
      <c r="B3754" t="s">
        <v>53</v>
      </c>
      <c r="C3754" t="s">
        <v>54</v>
      </c>
      <c r="D3754" t="s">
        <v>55</v>
      </c>
      <c r="E3754" t="s">
        <v>2205</v>
      </c>
      <c r="F3754" t="s">
        <v>1247</v>
      </c>
      <c r="G3754" t="s">
        <v>1342</v>
      </c>
      <c r="H3754" t="s">
        <v>1600</v>
      </c>
      <c r="I3754" t="s">
        <v>1600</v>
      </c>
      <c r="J3754" t="s">
        <v>60</v>
      </c>
      <c r="K3754" t="s">
        <v>462</v>
      </c>
      <c r="L3754" t="s">
        <v>62</v>
      </c>
      <c r="M3754" t="s">
        <v>462</v>
      </c>
      <c r="N3754" t="s">
        <v>921</v>
      </c>
      <c r="O3754" t="s">
        <v>1601</v>
      </c>
      <c r="P3754">
        <v>-20.140741999999999</v>
      </c>
      <c r="Q3754">
        <v>-44.902729000000001</v>
      </c>
      <c r="R3754" s="2" t="str">
        <f>HYPERLINK("https://www.google.com/maps?q=-20.1407420,-44.9027290","Abrir no Google Maps")</f>
        <v>Abrir no Google Maps</v>
      </c>
      <c r="S3754">
        <v>1</v>
      </c>
      <c r="T3754">
        <v>373.97936588503438</v>
      </c>
      <c r="U3754">
        <v>1</v>
      </c>
      <c r="V3754">
        <v>0</v>
      </c>
      <c r="W3754">
        <v>1</v>
      </c>
      <c r="X3754">
        <v>0</v>
      </c>
      <c r="Y3754">
        <v>588</v>
      </c>
      <c r="Z3754">
        <v>427.55758539734131</v>
      </c>
      <c r="AA3754">
        <v>198</v>
      </c>
      <c r="AB3754">
        <v>332</v>
      </c>
      <c r="AC3754">
        <v>536</v>
      </c>
      <c r="AD3754">
        <v>0</v>
      </c>
      <c r="AE3754">
        <v>542</v>
      </c>
      <c r="AF3754">
        <v>0</v>
      </c>
      <c r="AG3754">
        <v>0</v>
      </c>
      <c r="AH3754">
        <v>129</v>
      </c>
      <c r="AI3754">
        <v>0</v>
      </c>
      <c r="AJ3754">
        <v>0</v>
      </c>
      <c r="AK3754">
        <v>23.8</v>
      </c>
      <c r="AL3754">
        <v>-20.140729549999971</v>
      </c>
      <c r="AM3754">
        <v>-44.902779454814521</v>
      </c>
      <c r="AN3754">
        <v>-20.140729549999971</v>
      </c>
      <c r="AO3754">
        <v>-44.902779454814521</v>
      </c>
      <c r="AP3754">
        <v>-20.140741999999999</v>
      </c>
      <c r="AQ3754">
        <v>-44.902729000000001</v>
      </c>
      <c r="AR3754">
        <v>5.4522610212697993</v>
      </c>
      <c r="AS3754" t="s">
        <v>65</v>
      </c>
      <c r="AT3754">
        <v>1</v>
      </c>
      <c r="AU3754" t="s">
        <v>1602</v>
      </c>
      <c r="AV3754" t="s">
        <v>1603</v>
      </c>
      <c r="AW3754" t="s">
        <v>60</v>
      </c>
      <c r="AX3754" t="s">
        <v>68</v>
      </c>
      <c r="AY3754" t="s">
        <v>69</v>
      </c>
      <c r="AZ3754" t="b">
        <v>1</v>
      </c>
    </row>
    <row r="3755" spans="1:52" x14ac:dyDescent="0.3">
      <c r="A3755" t="s">
        <v>52</v>
      </c>
      <c r="B3755" t="s">
        <v>53</v>
      </c>
      <c r="C3755" t="s">
        <v>54</v>
      </c>
      <c r="D3755" t="s">
        <v>55</v>
      </c>
      <c r="E3755" t="s">
        <v>2205</v>
      </c>
      <c r="F3755" t="s">
        <v>1247</v>
      </c>
      <c r="G3755" t="s">
        <v>1612</v>
      </c>
      <c r="H3755" t="s">
        <v>1613</v>
      </c>
      <c r="I3755" t="s">
        <v>1613</v>
      </c>
      <c r="J3755" t="s">
        <v>60</v>
      </c>
      <c r="K3755" t="s">
        <v>1349</v>
      </c>
      <c r="L3755" t="s">
        <v>62</v>
      </c>
      <c r="M3755" t="s">
        <v>1349</v>
      </c>
      <c r="N3755" t="s">
        <v>1614</v>
      </c>
      <c r="O3755" t="s">
        <v>710</v>
      </c>
      <c r="P3755">
        <v>-20.141335999999999</v>
      </c>
      <c r="Q3755">
        <v>-44.901133000000002</v>
      </c>
      <c r="R3755" s="2" t="str">
        <f>HYPERLINK("https://www.google.com/maps?q=-20.1413360,-44.9011330","Abrir no Google Maps")</f>
        <v>Abrir no Google Maps</v>
      </c>
      <c r="S3755">
        <v>1</v>
      </c>
      <c r="T3755">
        <v>257.92927430829218</v>
      </c>
      <c r="U3755">
        <v>1</v>
      </c>
      <c r="V3755">
        <v>0</v>
      </c>
      <c r="W3755">
        <v>0.85</v>
      </c>
      <c r="X3755">
        <v>0</v>
      </c>
      <c r="Y3755">
        <v>588</v>
      </c>
      <c r="Z3755">
        <v>252.62617475231269</v>
      </c>
      <c r="AA3755">
        <v>198</v>
      </c>
      <c r="AB3755">
        <v>332</v>
      </c>
      <c r="AC3755">
        <v>536</v>
      </c>
      <c r="AD3755">
        <v>0</v>
      </c>
      <c r="AE3755">
        <v>542</v>
      </c>
      <c r="AF3755">
        <v>0</v>
      </c>
      <c r="AG3755">
        <v>0</v>
      </c>
      <c r="AH3755">
        <v>129</v>
      </c>
      <c r="AI3755">
        <v>0</v>
      </c>
      <c r="AJ3755">
        <v>0</v>
      </c>
      <c r="AK3755">
        <v>23.8</v>
      </c>
      <c r="AL3755">
        <v>-20.141297649999959</v>
      </c>
      <c r="AM3755">
        <v>-44.901104406351408</v>
      </c>
      <c r="AN3755">
        <v>-20.141297649999959</v>
      </c>
      <c r="AO3755">
        <v>-44.901104406351408</v>
      </c>
      <c r="AP3755">
        <v>-20.141335999999999</v>
      </c>
      <c r="AQ3755">
        <v>-44.901133000000002</v>
      </c>
      <c r="AR3755">
        <v>5.211130154459668</v>
      </c>
      <c r="AS3755" t="s">
        <v>65</v>
      </c>
      <c r="AT3755">
        <v>1</v>
      </c>
      <c r="AU3755" t="s">
        <v>1615</v>
      </c>
      <c r="AV3755" t="s">
        <v>1616</v>
      </c>
      <c r="AW3755" t="s">
        <v>60</v>
      </c>
      <c r="AX3755" t="s">
        <v>68</v>
      </c>
      <c r="AY3755" t="s">
        <v>69</v>
      </c>
      <c r="AZ3755" t="b">
        <v>1</v>
      </c>
    </row>
    <row r="3756" spans="1:52" x14ac:dyDescent="0.3">
      <c r="A3756" t="s">
        <v>52</v>
      </c>
      <c r="B3756" t="s">
        <v>53</v>
      </c>
      <c r="C3756" t="s">
        <v>54</v>
      </c>
      <c r="D3756" t="s">
        <v>55</v>
      </c>
      <c r="E3756" t="s">
        <v>2205</v>
      </c>
      <c r="F3756" t="s">
        <v>1247</v>
      </c>
      <c r="G3756" t="s">
        <v>1584</v>
      </c>
      <c r="H3756" t="s">
        <v>1604</v>
      </c>
      <c r="I3756" t="s">
        <v>1604</v>
      </c>
      <c r="J3756" t="s">
        <v>60</v>
      </c>
      <c r="K3756" t="s">
        <v>530</v>
      </c>
      <c r="L3756" t="s">
        <v>62</v>
      </c>
      <c r="M3756" t="s">
        <v>530</v>
      </c>
      <c r="N3756" t="s">
        <v>406</v>
      </c>
      <c r="O3756" t="s">
        <v>1267</v>
      </c>
      <c r="P3756">
        <v>-20.147068000000001</v>
      </c>
      <c r="Q3756">
        <v>-44.898629999999997</v>
      </c>
      <c r="R3756" s="2" t="str">
        <f>HYPERLINK("https://www.google.com/maps?q=-20.1470680,-44.8986300","Abrir no Google Maps")</f>
        <v>Abrir no Google Maps</v>
      </c>
      <c r="S3756">
        <v>1</v>
      </c>
      <c r="T3756">
        <v>468.5580266389448</v>
      </c>
      <c r="U3756">
        <v>1</v>
      </c>
      <c r="V3756">
        <v>0</v>
      </c>
      <c r="W3756">
        <v>1</v>
      </c>
      <c r="X3756">
        <v>0</v>
      </c>
      <c r="Y3756">
        <v>556</v>
      </c>
      <c r="Z3756">
        <v>447.77738134922419</v>
      </c>
      <c r="AA3756">
        <v>198</v>
      </c>
      <c r="AB3756">
        <v>332</v>
      </c>
      <c r="AC3756">
        <v>536</v>
      </c>
      <c r="AD3756">
        <v>0</v>
      </c>
      <c r="AE3756">
        <v>542</v>
      </c>
      <c r="AF3756">
        <v>0</v>
      </c>
      <c r="AG3756">
        <v>0</v>
      </c>
      <c r="AH3756">
        <v>129</v>
      </c>
      <c r="AI3756">
        <v>0</v>
      </c>
      <c r="AJ3756">
        <v>0</v>
      </c>
      <c r="AK3756">
        <v>23.8</v>
      </c>
      <c r="AL3756">
        <v>-20.14701759999997</v>
      </c>
      <c r="AM3756">
        <v>-44.898633710342303</v>
      </c>
      <c r="AN3756">
        <v>-20.14701759999997</v>
      </c>
      <c r="AO3756">
        <v>-44.898633710342303</v>
      </c>
      <c r="AP3756">
        <v>-20.147068000000001</v>
      </c>
      <c r="AQ3756">
        <v>-44.898629999999997</v>
      </c>
      <c r="AR3756">
        <v>5.6239118246064832</v>
      </c>
      <c r="AS3756" t="s">
        <v>65</v>
      </c>
      <c r="AT3756">
        <v>1</v>
      </c>
      <c r="AU3756" t="s">
        <v>1605</v>
      </c>
      <c r="AV3756" t="s">
        <v>1606</v>
      </c>
      <c r="AW3756" t="s">
        <v>60</v>
      </c>
      <c r="AX3756" t="s">
        <v>68</v>
      </c>
      <c r="AY3756" t="s">
        <v>69</v>
      </c>
      <c r="AZ3756" t="b">
        <v>1</v>
      </c>
    </row>
    <row r="3757" spans="1:52" x14ac:dyDescent="0.3">
      <c r="A3757" t="s">
        <v>52</v>
      </c>
      <c r="B3757" t="s">
        <v>53</v>
      </c>
      <c r="C3757" t="s">
        <v>54</v>
      </c>
      <c r="D3757" t="s">
        <v>55</v>
      </c>
      <c r="E3757" t="s">
        <v>2206</v>
      </c>
      <c r="F3757" t="s">
        <v>57</v>
      </c>
      <c r="G3757" t="s">
        <v>219</v>
      </c>
      <c r="H3757" t="s">
        <v>220</v>
      </c>
      <c r="I3757" t="s">
        <v>220</v>
      </c>
      <c r="J3757" t="s">
        <v>60</v>
      </c>
      <c r="K3757" t="s">
        <v>214</v>
      </c>
      <c r="L3757" t="s">
        <v>62</v>
      </c>
      <c r="M3757" t="s">
        <v>214</v>
      </c>
      <c r="N3757" t="s">
        <v>221</v>
      </c>
      <c r="O3757" t="s">
        <v>222</v>
      </c>
      <c r="P3757">
        <v>-20.158049999999999</v>
      </c>
      <c r="Q3757">
        <v>-44.868823999999996</v>
      </c>
      <c r="R3757" s="2" t="str">
        <f>HYPERLINK("https://www.google.com/maps?q=-20.1580500,-44.8688240","Abrir no Google Maps")</f>
        <v>Abrir no Google Maps</v>
      </c>
      <c r="S3757">
        <v>4</v>
      </c>
      <c r="T3757">
        <v>400.85705002223079</v>
      </c>
      <c r="U3757">
        <v>4</v>
      </c>
      <c r="V3757">
        <v>0.4171511657421017</v>
      </c>
      <c r="W3757">
        <v>1</v>
      </c>
      <c r="X3757">
        <v>0.4171511657421017</v>
      </c>
      <c r="Y3757">
        <v>531</v>
      </c>
      <c r="Z3757">
        <v>493.98501624607121</v>
      </c>
      <c r="AA3757">
        <v>198</v>
      </c>
      <c r="AB3757">
        <v>332</v>
      </c>
      <c r="AC3757">
        <v>536</v>
      </c>
      <c r="AD3757">
        <v>33.19</v>
      </c>
      <c r="AE3757">
        <v>542</v>
      </c>
      <c r="AF3757">
        <v>41</v>
      </c>
      <c r="AG3757">
        <v>175</v>
      </c>
      <c r="AH3757">
        <v>129</v>
      </c>
      <c r="AI3757">
        <v>7.56</v>
      </c>
      <c r="AJ3757">
        <v>32.29</v>
      </c>
      <c r="AK3757">
        <v>23.8</v>
      </c>
      <c r="AL3757">
        <v>-20.158020649999969</v>
      </c>
      <c r="AM3757">
        <v>-44.868748475381317</v>
      </c>
      <c r="AN3757">
        <v>-20.158020649999969</v>
      </c>
      <c r="AO3757">
        <v>-44.868748475381331</v>
      </c>
      <c r="AP3757">
        <v>-20.158049999999999</v>
      </c>
      <c r="AQ3757">
        <v>-44.868823999999996</v>
      </c>
      <c r="AR3757">
        <v>8.5419571471718818</v>
      </c>
      <c r="AS3757" t="s">
        <v>65</v>
      </c>
      <c r="AT3757">
        <v>1</v>
      </c>
      <c r="AU3757" t="s">
        <v>223</v>
      </c>
      <c r="AV3757" t="s">
        <v>224</v>
      </c>
      <c r="AW3757" t="s">
        <v>60</v>
      </c>
      <c r="AX3757" t="s">
        <v>68</v>
      </c>
      <c r="AY3757" t="s">
        <v>69</v>
      </c>
      <c r="AZ3757" t="b">
        <v>1</v>
      </c>
    </row>
    <row r="3758" spans="1:52" x14ac:dyDescent="0.3">
      <c r="A3758" t="s">
        <v>52</v>
      </c>
      <c r="B3758" t="s">
        <v>53</v>
      </c>
      <c r="C3758" t="s">
        <v>54</v>
      </c>
      <c r="D3758" t="s">
        <v>55</v>
      </c>
      <c r="E3758" t="s">
        <v>2206</v>
      </c>
      <c r="F3758" t="s">
        <v>57</v>
      </c>
      <c r="G3758" t="s">
        <v>238</v>
      </c>
      <c r="H3758" t="s">
        <v>239</v>
      </c>
      <c r="I3758" t="s">
        <v>239</v>
      </c>
      <c r="J3758" t="s">
        <v>60</v>
      </c>
      <c r="K3758" t="s">
        <v>227</v>
      </c>
      <c r="L3758" t="s">
        <v>62</v>
      </c>
      <c r="M3758" t="s">
        <v>227</v>
      </c>
      <c r="N3758" t="s">
        <v>240</v>
      </c>
      <c r="O3758" t="s">
        <v>202</v>
      </c>
      <c r="P3758">
        <v>-20.155833999999999</v>
      </c>
      <c r="Q3758">
        <v>-44.859437999999997</v>
      </c>
      <c r="R3758" s="2" t="str">
        <f>HYPERLINK("https://www.google.com/maps?q=-20.1558340,-44.8594380","Abrir no Google Maps")</f>
        <v>Abrir no Google Maps</v>
      </c>
      <c r="S3758">
        <v>4</v>
      </c>
      <c r="T3758">
        <v>381.00646482339403</v>
      </c>
      <c r="U3758">
        <v>4</v>
      </c>
      <c r="V3758">
        <v>0.4217439978112924</v>
      </c>
      <c r="W3758">
        <v>1</v>
      </c>
      <c r="X3758">
        <v>0.4217439978112924</v>
      </c>
      <c r="Y3758">
        <v>518</v>
      </c>
      <c r="Z3758">
        <v>484.9275363207239</v>
      </c>
      <c r="AA3758">
        <v>198</v>
      </c>
      <c r="AB3758">
        <v>332</v>
      </c>
      <c r="AC3758">
        <v>536</v>
      </c>
      <c r="AD3758">
        <v>33.19</v>
      </c>
      <c r="AE3758">
        <v>542</v>
      </c>
      <c r="AF3758">
        <v>41</v>
      </c>
      <c r="AG3758">
        <v>175</v>
      </c>
      <c r="AH3758">
        <v>129</v>
      </c>
      <c r="AI3758">
        <v>7.56</v>
      </c>
      <c r="AJ3758">
        <v>32.29</v>
      </c>
      <c r="AK3758">
        <v>23.8</v>
      </c>
      <c r="AL3758">
        <v>-20.155935399999979</v>
      </c>
      <c r="AM3758">
        <v>-44.859367525422847</v>
      </c>
      <c r="AN3758">
        <v>-20.155935399999979</v>
      </c>
      <c r="AO3758">
        <v>-44.859367525422847</v>
      </c>
      <c r="AP3758">
        <v>-20.155833999999999</v>
      </c>
      <c r="AQ3758">
        <v>-44.859437999999997</v>
      </c>
      <c r="AR3758">
        <v>13.477960508152201</v>
      </c>
      <c r="AS3758" t="s">
        <v>65</v>
      </c>
      <c r="AT3758">
        <v>1</v>
      </c>
      <c r="AU3758" t="s">
        <v>241</v>
      </c>
      <c r="AV3758" t="s">
        <v>242</v>
      </c>
      <c r="AW3758" t="s">
        <v>60</v>
      </c>
      <c r="AX3758" t="s">
        <v>68</v>
      </c>
      <c r="AY3758" t="s">
        <v>69</v>
      </c>
      <c r="AZ3758" t="b">
        <v>1</v>
      </c>
    </row>
    <row r="3759" spans="1:52" x14ac:dyDescent="0.3">
      <c r="A3759" t="s">
        <v>52</v>
      </c>
      <c r="B3759" t="s">
        <v>53</v>
      </c>
      <c r="C3759" t="s">
        <v>54</v>
      </c>
      <c r="D3759" t="s">
        <v>55</v>
      </c>
      <c r="E3759" t="s">
        <v>2206</v>
      </c>
      <c r="F3759" t="s">
        <v>57</v>
      </c>
      <c r="G3759" t="s">
        <v>1618</v>
      </c>
      <c r="H3759" t="s">
        <v>1619</v>
      </c>
      <c r="I3759" t="s">
        <v>1619</v>
      </c>
      <c r="J3759" t="s">
        <v>60</v>
      </c>
      <c r="K3759" t="s">
        <v>227</v>
      </c>
      <c r="L3759" t="s">
        <v>62</v>
      </c>
      <c r="M3759" t="s">
        <v>227</v>
      </c>
      <c r="N3759" t="s">
        <v>228</v>
      </c>
      <c r="O3759" t="s">
        <v>1620</v>
      </c>
      <c r="P3759">
        <v>-20.159497999999999</v>
      </c>
      <c r="Q3759">
        <v>-44.852925999999997</v>
      </c>
      <c r="R3759" s="2" t="str">
        <f>HYPERLINK("https://www.google.com/maps?q=-20.1594980,-44.8529260","Abrir no Google Maps")</f>
        <v>Abrir no Google Maps</v>
      </c>
      <c r="S3759">
        <v>4</v>
      </c>
      <c r="T3759">
        <v>560.11627509727657</v>
      </c>
      <c r="U3759">
        <v>4</v>
      </c>
      <c r="V3759">
        <v>0.45700654752708791</v>
      </c>
      <c r="W3759">
        <v>1</v>
      </c>
      <c r="X3759">
        <v>0.45700654752708791</v>
      </c>
      <c r="Y3759">
        <v>491</v>
      </c>
      <c r="Z3759">
        <v>609.25494989442086</v>
      </c>
      <c r="AA3759">
        <v>198</v>
      </c>
      <c r="AB3759">
        <v>332</v>
      </c>
      <c r="AC3759">
        <v>536</v>
      </c>
      <c r="AD3759">
        <v>33.19</v>
      </c>
      <c r="AE3759">
        <v>542</v>
      </c>
      <c r="AF3759">
        <v>41</v>
      </c>
      <c r="AG3759">
        <v>175</v>
      </c>
      <c r="AH3759">
        <v>129</v>
      </c>
      <c r="AI3759">
        <v>7.56</v>
      </c>
      <c r="AJ3759">
        <v>32.29</v>
      </c>
      <c r="AK3759">
        <v>23.8</v>
      </c>
      <c r="AL3759">
        <v>-20.159495399999969</v>
      </c>
      <c r="AM3759">
        <v>-44.85297928977559</v>
      </c>
      <c r="AN3759">
        <v>-20.159495399999969</v>
      </c>
      <c r="AO3759">
        <v>-44.85297928977559</v>
      </c>
      <c r="AP3759">
        <v>-20.159497999999999</v>
      </c>
      <c r="AQ3759">
        <v>-44.852925999999997</v>
      </c>
      <c r="AR3759">
        <v>5.5763081103260701</v>
      </c>
      <c r="AS3759" t="s">
        <v>65</v>
      </c>
      <c r="AT3759">
        <v>1</v>
      </c>
      <c r="AU3759" t="s">
        <v>1621</v>
      </c>
      <c r="AV3759" t="s">
        <v>1622</v>
      </c>
      <c r="AW3759" t="s">
        <v>60</v>
      </c>
      <c r="AX3759" t="s">
        <v>68</v>
      </c>
      <c r="AY3759" t="s">
        <v>69</v>
      </c>
      <c r="AZ3759" t="b">
        <v>1</v>
      </c>
    </row>
    <row r="3760" spans="1:52" x14ac:dyDescent="0.3">
      <c r="A3760" t="s">
        <v>52</v>
      </c>
      <c r="B3760" t="s">
        <v>53</v>
      </c>
      <c r="C3760" t="s">
        <v>54</v>
      </c>
      <c r="D3760" t="s">
        <v>55</v>
      </c>
      <c r="E3760" t="s">
        <v>2206</v>
      </c>
      <c r="F3760" t="s">
        <v>57</v>
      </c>
      <c r="G3760" t="s">
        <v>253</v>
      </c>
      <c r="H3760" t="s">
        <v>254</v>
      </c>
      <c r="I3760" t="s">
        <v>254</v>
      </c>
      <c r="J3760" t="s">
        <v>60</v>
      </c>
      <c r="K3760" t="s">
        <v>255</v>
      </c>
      <c r="L3760" t="s">
        <v>62</v>
      </c>
      <c r="M3760" t="s">
        <v>255</v>
      </c>
      <c r="N3760" t="s">
        <v>256</v>
      </c>
      <c r="O3760" t="s">
        <v>257</v>
      </c>
      <c r="P3760">
        <v>-20.159638000000001</v>
      </c>
      <c r="Q3760">
        <v>-44.849030999999997</v>
      </c>
      <c r="R3760" s="2" t="str">
        <f>HYPERLINK("https://www.google.com/maps?q=-20.1596380,-44.8490310","Abrir no Google Maps")</f>
        <v>Abrir no Google Maps</v>
      </c>
      <c r="S3760">
        <v>4</v>
      </c>
      <c r="T3760">
        <v>691.81173220845892</v>
      </c>
      <c r="U3760">
        <v>4</v>
      </c>
      <c r="V3760">
        <v>0.44519013298541621</v>
      </c>
      <c r="W3760">
        <v>1</v>
      </c>
      <c r="X3760">
        <v>0.44519013298541621</v>
      </c>
      <c r="Y3760">
        <v>292</v>
      </c>
      <c r="Z3760">
        <v>678.56824923431736</v>
      </c>
      <c r="AA3760">
        <v>198</v>
      </c>
      <c r="AB3760">
        <v>332</v>
      </c>
      <c r="AC3760">
        <v>536</v>
      </c>
      <c r="AD3760">
        <v>33.19</v>
      </c>
      <c r="AE3760">
        <v>542</v>
      </c>
      <c r="AF3760">
        <v>41</v>
      </c>
      <c r="AG3760">
        <v>175</v>
      </c>
      <c r="AH3760">
        <v>129</v>
      </c>
      <c r="AI3760">
        <v>7.56</v>
      </c>
      <c r="AJ3760">
        <v>32.29</v>
      </c>
      <c r="AK3760">
        <v>23.8</v>
      </c>
      <c r="AL3760">
        <v>-20.159590049999959</v>
      </c>
      <c r="AM3760">
        <v>-44.849181856774607</v>
      </c>
      <c r="AN3760">
        <v>-20.159590049999959</v>
      </c>
      <c r="AO3760">
        <v>-44.849181856774607</v>
      </c>
      <c r="AP3760">
        <v>-20.159638000000001</v>
      </c>
      <c r="AQ3760">
        <v>-44.849030999999997</v>
      </c>
      <c r="AR3760">
        <v>16.643712040087191</v>
      </c>
      <c r="AS3760" t="s">
        <v>65</v>
      </c>
      <c r="AT3760">
        <v>1</v>
      </c>
      <c r="AU3760" t="s">
        <v>258</v>
      </c>
      <c r="AV3760" t="s">
        <v>259</v>
      </c>
      <c r="AW3760" t="s">
        <v>60</v>
      </c>
      <c r="AX3760" t="s">
        <v>68</v>
      </c>
      <c r="AY3760" t="s">
        <v>69</v>
      </c>
      <c r="AZ3760" t="b">
        <v>1</v>
      </c>
    </row>
    <row r="3761" spans="1:52" x14ac:dyDescent="0.3">
      <c r="A3761" t="s">
        <v>52</v>
      </c>
      <c r="B3761" t="s">
        <v>53</v>
      </c>
      <c r="C3761" t="s">
        <v>54</v>
      </c>
      <c r="D3761" t="s">
        <v>55</v>
      </c>
      <c r="E3761" t="s">
        <v>2206</v>
      </c>
      <c r="F3761" t="s">
        <v>57</v>
      </c>
      <c r="G3761" t="s">
        <v>1623</v>
      </c>
      <c r="H3761" t="s">
        <v>1624</v>
      </c>
      <c r="I3761" t="s">
        <v>1624</v>
      </c>
      <c r="J3761" t="s">
        <v>60</v>
      </c>
      <c r="K3761" t="s">
        <v>281</v>
      </c>
      <c r="L3761" t="s">
        <v>62</v>
      </c>
      <c r="M3761" t="s">
        <v>281</v>
      </c>
      <c r="N3761" t="s">
        <v>1625</v>
      </c>
      <c r="O3761" t="s">
        <v>1538</v>
      </c>
      <c r="P3761">
        <v>-20.177247000000001</v>
      </c>
      <c r="Q3761">
        <v>-44.848650999999997</v>
      </c>
      <c r="R3761" s="2" t="str">
        <f>HYPERLINK("https://www.google.com/maps?q=-20.1772470,-44.8486510","Abrir no Google Maps")</f>
        <v>Abrir no Google Maps</v>
      </c>
      <c r="S3761">
        <v>4</v>
      </c>
      <c r="T3761">
        <v>1293.074917502197</v>
      </c>
      <c r="U3761">
        <v>4</v>
      </c>
      <c r="V3761">
        <v>0.50490678678754208</v>
      </c>
      <c r="W3761">
        <v>1</v>
      </c>
      <c r="X3761">
        <v>0.50490678678754208</v>
      </c>
      <c r="Y3761">
        <v>292</v>
      </c>
      <c r="Z3761">
        <v>1225.3954943545491</v>
      </c>
      <c r="AA3761">
        <v>198</v>
      </c>
      <c r="AB3761">
        <v>332</v>
      </c>
      <c r="AC3761">
        <v>536</v>
      </c>
      <c r="AD3761">
        <v>33.19</v>
      </c>
      <c r="AE3761">
        <v>542</v>
      </c>
      <c r="AF3761">
        <v>41</v>
      </c>
      <c r="AG3761">
        <v>175</v>
      </c>
      <c r="AH3761">
        <v>129</v>
      </c>
      <c r="AI3761">
        <v>7.56</v>
      </c>
      <c r="AJ3761">
        <v>32.29</v>
      </c>
      <c r="AK3761">
        <v>23.8</v>
      </c>
      <c r="AL3761">
        <v>-20.17729789999996</v>
      </c>
      <c r="AM3761">
        <v>-44.848543982702637</v>
      </c>
      <c r="AN3761">
        <v>-20.17729789999996</v>
      </c>
      <c r="AO3761">
        <v>-44.848543982702637</v>
      </c>
      <c r="AP3761">
        <v>-20.177247000000001</v>
      </c>
      <c r="AQ3761">
        <v>-44.848650999999997</v>
      </c>
      <c r="AR3761">
        <v>12.53570773213052</v>
      </c>
      <c r="AS3761" t="s">
        <v>65</v>
      </c>
      <c r="AT3761">
        <v>1</v>
      </c>
      <c r="AU3761" t="s">
        <v>1626</v>
      </c>
      <c r="AV3761" t="s">
        <v>1627</v>
      </c>
      <c r="AW3761" t="s">
        <v>60</v>
      </c>
      <c r="AX3761" t="s">
        <v>68</v>
      </c>
      <c r="AY3761" t="s">
        <v>69</v>
      </c>
      <c r="AZ3761" t="b">
        <v>1</v>
      </c>
    </row>
    <row r="3762" spans="1:52" x14ac:dyDescent="0.3">
      <c r="A3762" t="s">
        <v>52</v>
      </c>
      <c r="B3762" t="s">
        <v>53</v>
      </c>
      <c r="C3762" t="s">
        <v>54</v>
      </c>
      <c r="D3762" t="s">
        <v>55</v>
      </c>
      <c r="E3762" t="s">
        <v>2206</v>
      </c>
      <c r="F3762" t="s">
        <v>57</v>
      </c>
      <c r="G3762" t="s">
        <v>260</v>
      </c>
      <c r="H3762" t="s">
        <v>261</v>
      </c>
      <c r="I3762" t="s">
        <v>261</v>
      </c>
      <c r="J3762" t="s">
        <v>60</v>
      </c>
      <c r="K3762" t="s">
        <v>262</v>
      </c>
      <c r="L3762" t="s">
        <v>62</v>
      </c>
      <c r="M3762" t="s">
        <v>262</v>
      </c>
      <c r="N3762" t="s">
        <v>263</v>
      </c>
      <c r="O3762" t="s">
        <v>264</v>
      </c>
      <c r="P3762">
        <v>-20.162230000000001</v>
      </c>
      <c r="Q3762">
        <v>-44.850189</v>
      </c>
      <c r="R3762" s="2" t="str">
        <f>HYPERLINK("https://www.google.com/maps?q=-20.1622300,-44.8501890","Abrir no Google Maps")</f>
        <v>Abrir no Google Maps</v>
      </c>
      <c r="S3762">
        <v>4</v>
      </c>
      <c r="T3762">
        <v>485.03737650296068</v>
      </c>
      <c r="U3762">
        <v>4</v>
      </c>
      <c r="V3762">
        <v>0.4711273276559062</v>
      </c>
      <c r="W3762">
        <v>1</v>
      </c>
      <c r="X3762">
        <v>0.4711273276559062</v>
      </c>
      <c r="Y3762">
        <v>292</v>
      </c>
      <c r="Z3762">
        <v>461.03925198673232</v>
      </c>
      <c r="AA3762">
        <v>198</v>
      </c>
      <c r="AB3762">
        <v>332</v>
      </c>
      <c r="AC3762">
        <v>536</v>
      </c>
      <c r="AD3762">
        <v>33.19</v>
      </c>
      <c r="AE3762">
        <v>542</v>
      </c>
      <c r="AF3762">
        <v>41</v>
      </c>
      <c r="AG3762">
        <v>175</v>
      </c>
      <c r="AH3762">
        <v>129</v>
      </c>
      <c r="AI3762">
        <v>7.56</v>
      </c>
      <c r="AJ3762">
        <v>32.29</v>
      </c>
      <c r="AK3762">
        <v>23.8</v>
      </c>
      <c r="AL3762">
        <v>-20.162067849999971</v>
      </c>
      <c r="AM3762">
        <v>-44.850230909322903</v>
      </c>
      <c r="AN3762">
        <v>-20.162067849999971</v>
      </c>
      <c r="AO3762">
        <v>-44.850230909322903</v>
      </c>
      <c r="AP3762">
        <v>-20.162230000000001</v>
      </c>
      <c r="AQ3762">
        <v>-44.850189</v>
      </c>
      <c r="AR3762">
        <v>18.574218491036259</v>
      </c>
      <c r="AS3762" t="s">
        <v>65</v>
      </c>
      <c r="AT3762">
        <v>1</v>
      </c>
      <c r="AU3762" t="s">
        <v>265</v>
      </c>
      <c r="AV3762" t="s">
        <v>266</v>
      </c>
      <c r="AW3762" t="s">
        <v>60</v>
      </c>
      <c r="AX3762" t="s">
        <v>68</v>
      </c>
      <c r="AY3762" t="s">
        <v>69</v>
      </c>
      <c r="AZ3762" t="b">
        <v>1</v>
      </c>
    </row>
    <row r="3763" spans="1:52" x14ac:dyDescent="0.3">
      <c r="A3763" t="s">
        <v>52</v>
      </c>
      <c r="B3763" t="s">
        <v>53</v>
      </c>
      <c r="C3763" t="s">
        <v>54</v>
      </c>
      <c r="D3763" t="s">
        <v>55</v>
      </c>
      <c r="E3763" t="s">
        <v>2206</v>
      </c>
      <c r="F3763" t="s">
        <v>57</v>
      </c>
      <c r="G3763" t="s">
        <v>1628</v>
      </c>
      <c r="H3763" t="s">
        <v>1629</v>
      </c>
      <c r="I3763" t="s">
        <v>1629</v>
      </c>
      <c r="J3763" t="s">
        <v>60</v>
      </c>
      <c r="K3763" t="s">
        <v>136</v>
      </c>
      <c r="L3763" t="s">
        <v>62</v>
      </c>
      <c r="M3763" t="s">
        <v>136</v>
      </c>
      <c r="N3763" t="s">
        <v>1630</v>
      </c>
      <c r="O3763" t="s">
        <v>103</v>
      </c>
      <c r="P3763">
        <v>-20.169488999999999</v>
      </c>
      <c r="Q3763">
        <v>-44.848812000000002</v>
      </c>
      <c r="R3763" s="2" t="str">
        <f>HYPERLINK("https://www.google.com/maps?q=-20.1694890,-44.8488120","Abrir no Google Maps")</f>
        <v>Abrir no Google Maps</v>
      </c>
      <c r="S3763">
        <v>4</v>
      </c>
      <c r="T3763">
        <v>426.92881761579793</v>
      </c>
      <c r="U3763">
        <v>4</v>
      </c>
      <c r="V3763">
        <v>0.49754879493721771</v>
      </c>
      <c r="W3763">
        <v>1</v>
      </c>
      <c r="X3763">
        <v>0.49754879493721771</v>
      </c>
      <c r="Y3763">
        <v>292</v>
      </c>
      <c r="Z3763">
        <v>345.01829288722871</v>
      </c>
      <c r="AA3763">
        <v>198</v>
      </c>
      <c r="AB3763">
        <v>332</v>
      </c>
      <c r="AC3763">
        <v>536</v>
      </c>
      <c r="AD3763">
        <v>33.19</v>
      </c>
      <c r="AE3763">
        <v>542</v>
      </c>
      <c r="AF3763">
        <v>41</v>
      </c>
      <c r="AG3763">
        <v>175</v>
      </c>
      <c r="AH3763">
        <v>129</v>
      </c>
      <c r="AI3763">
        <v>7.56</v>
      </c>
      <c r="AJ3763">
        <v>32.29</v>
      </c>
      <c r="AK3763">
        <v>23.8</v>
      </c>
      <c r="AL3763">
        <v>-20.169293749999959</v>
      </c>
      <c r="AM3763">
        <v>-44.848899945665508</v>
      </c>
      <c r="AN3763">
        <v>-20.169293749999959</v>
      </c>
      <c r="AO3763">
        <v>-44.848899945665508</v>
      </c>
      <c r="AP3763">
        <v>-20.169488999999999</v>
      </c>
      <c r="AQ3763">
        <v>-44.848812000000002</v>
      </c>
      <c r="AR3763">
        <v>23.598134321543789</v>
      </c>
      <c r="AS3763" t="s">
        <v>65</v>
      </c>
      <c r="AT3763">
        <v>1</v>
      </c>
      <c r="AU3763" t="s">
        <v>1631</v>
      </c>
      <c r="AV3763" t="s">
        <v>1632</v>
      </c>
      <c r="AW3763" t="s">
        <v>60</v>
      </c>
      <c r="AX3763" t="s">
        <v>68</v>
      </c>
      <c r="AY3763" t="s">
        <v>69</v>
      </c>
      <c r="AZ3763" t="b">
        <v>1</v>
      </c>
    </row>
    <row r="3764" spans="1:52" x14ac:dyDescent="0.3">
      <c r="A3764" t="s">
        <v>52</v>
      </c>
      <c r="B3764" t="s">
        <v>53</v>
      </c>
      <c r="C3764" t="s">
        <v>54</v>
      </c>
      <c r="D3764" t="s">
        <v>55</v>
      </c>
      <c r="E3764" t="s">
        <v>2206</v>
      </c>
      <c r="F3764" t="s">
        <v>57</v>
      </c>
      <c r="G3764" t="s">
        <v>267</v>
      </c>
      <c r="H3764" t="s">
        <v>268</v>
      </c>
      <c r="I3764" t="s">
        <v>268</v>
      </c>
      <c r="J3764" t="s">
        <v>60</v>
      </c>
      <c r="K3764" t="s">
        <v>150</v>
      </c>
      <c r="L3764" t="s">
        <v>62</v>
      </c>
      <c r="M3764" t="s">
        <v>150</v>
      </c>
      <c r="N3764" t="s">
        <v>269</v>
      </c>
      <c r="O3764" t="s">
        <v>270</v>
      </c>
      <c r="P3764">
        <v>-20.172367999999999</v>
      </c>
      <c r="Q3764">
        <v>-44.848661</v>
      </c>
      <c r="R3764" s="2" t="str">
        <f>HYPERLINK("https://www.google.com/maps?q=-20.1723680,-44.8486610","Abrir no Google Maps")</f>
        <v>Abrir no Google Maps</v>
      </c>
      <c r="S3764">
        <v>4</v>
      </c>
      <c r="T3764">
        <v>759.75892180950234</v>
      </c>
      <c r="U3764">
        <v>4</v>
      </c>
      <c r="V3764">
        <v>0.50189488358734236</v>
      </c>
      <c r="W3764">
        <v>1</v>
      </c>
      <c r="X3764">
        <v>0.50189488358734236</v>
      </c>
      <c r="Y3764">
        <v>292</v>
      </c>
      <c r="Z3764">
        <v>735.80511761487242</v>
      </c>
      <c r="AA3764">
        <v>198</v>
      </c>
      <c r="AB3764">
        <v>332</v>
      </c>
      <c r="AC3764">
        <v>536</v>
      </c>
      <c r="AD3764">
        <v>33.19</v>
      </c>
      <c r="AE3764">
        <v>542</v>
      </c>
      <c r="AF3764">
        <v>41</v>
      </c>
      <c r="AG3764">
        <v>175</v>
      </c>
      <c r="AH3764">
        <v>129</v>
      </c>
      <c r="AI3764">
        <v>7.56</v>
      </c>
      <c r="AJ3764">
        <v>32.29</v>
      </c>
      <c r="AK3764">
        <v>23.8</v>
      </c>
      <c r="AL3764">
        <v>-20.172435999999951</v>
      </c>
      <c r="AM3764">
        <v>-44.84866233556005</v>
      </c>
      <c r="AN3764">
        <v>-20.172435999999951</v>
      </c>
      <c r="AO3764">
        <v>-44.84866233556005</v>
      </c>
      <c r="AP3764">
        <v>-20.172367999999999</v>
      </c>
      <c r="AQ3764">
        <v>-44.848661</v>
      </c>
      <c r="AR3764">
        <v>7.5710462874877198</v>
      </c>
      <c r="AS3764" t="s">
        <v>65</v>
      </c>
      <c r="AT3764">
        <v>1</v>
      </c>
      <c r="AU3764" t="s">
        <v>271</v>
      </c>
      <c r="AV3764" t="s">
        <v>272</v>
      </c>
      <c r="AW3764" t="s">
        <v>60</v>
      </c>
      <c r="AX3764" t="s">
        <v>68</v>
      </c>
      <c r="AY3764" t="s">
        <v>69</v>
      </c>
      <c r="AZ3764" t="b">
        <v>1</v>
      </c>
    </row>
    <row r="3765" spans="1:52" x14ac:dyDescent="0.3">
      <c r="A3765" t="s">
        <v>52</v>
      </c>
      <c r="B3765" t="s">
        <v>53</v>
      </c>
      <c r="C3765" t="s">
        <v>54</v>
      </c>
      <c r="D3765" t="s">
        <v>55</v>
      </c>
      <c r="E3765" t="s">
        <v>2206</v>
      </c>
      <c r="F3765" t="s">
        <v>57</v>
      </c>
      <c r="G3765" t="s">
        <v>273</v>
      </c>
      <c r="H3765" t="s">
        <v>274</v>
      </c>
      <c r="I3765" t="s">
        <v>274</v>
      </c>
      <c r="J3765" t="s">
        <v>60</v>
      </c>
      <c r="K3765" t="s">
        <v>143</v>
      </c>
      <c r="L3765" t="s">
        <v>62</v>
      </c>
      <c r="M3765" t="s">
        <v>143</v>
      </c>
      <c r="N3765" t="s">
        <v>275</v>
      </c>
      <c r="O3765" t="s">
        <v>276</v>
      </c>
      <c r="P3765">
        <v>-20.171367</v>
      </c>
      <c r="Q3765">
        <v>-44.844709999999999</v>
      </c>
      <c r="R3765" s="2" t="str">
        <f>HYPERLINK("https://www.google.com/maps?q=-20.1713670,-44.8447100","Abrir no Google Maps")</f>
        <v>Abrir no Google Maps</v>
      </c>
      <c r="S3765">
        <v>4</v>
      </c>
      <c r="T3765">
        <v>700.36715126879801</v>
      </c>
      <c r="U3765">
        <v>4</v>
      </c>
      <c r="V3765">
        <v>0.50227305865043981</v>
      </c>
      <c r="W3765">
        <v>1</v>
      </c>
      <c r="X3765">
        <v>0.50227305865043981</v>
      </c>
      <c r="Y3765">
        <v>292</v>
      </c>
      <c r="Z3765">
        <v>767.70201658334747</v>
      </c>
      <c r="AA3765">
        <v>198</v>
      </c>
      <c r="AB3765">
        <v>332</v>
      </c>
      <c r="AC3765">
        <v>536</v>
      </c>
      <c r="AD3765">
        <v>33.19</v>
      </c>
      <c r="AE3765">
        <v>542</v>
      </c>
      <c r="AF3765">
        <v>41</v>
      </c>
      <c r="AG3765">
        <v>175</v>
      </c>
      <c r="AH3765">
        <v>129</v>
      </c>
      <c r="AI3765">
        <v>7.56</v>
      </c>
      <c r="AJ3765">
        <v>32.29</v>
      </c>
      <c r="AK3765">
        <v>23.8</v>
      </c>
      <c r="AL3765">
        <v>-20.17140124999997</v>
      </c>
      <c r="AM3765">
        <v>-44.844758486699448</v>
      </c>
      <c r="AN3765">
        <v>-20.171401249999981</v>
      </c>
      <c r="AO3765">
        <v>-44.844758486699448</v>
      </c>
      <c r="AP3765">
        <v>-20.171367</v>
      </c>
      <c r="AQ3765">
        <v>-44.844709999999999</v>
      </c>
      <c r="AR3765">
        <v>6.3408204899540994</v>
      </c>
      <c r="AS3765" t="s">
        <v>65</v>
      </c>
      <c r="AT3765">
        <v>1</v>
      </c>
      <c r="AU3765" t="s">
        <v>277</v>
      </c>
      <c r="AV3765" t="s">
        <v>278</v>
      </c>
      <c r="AW3765" t="s">
        <v>60</v>
      </c>
      <c r="AX3765" t="s">
        <v>68</v>
      </c>
      <c r="AY3765" t="s">
        <v>69</v>
      </c>
      <c r="AZ3765" t="b">
        <v>1</v>
      </c>
    </row>
    <row r="3766" spans="1:52" x14ac:dyDescent="0.3">
      <c r="A3766" t="s">
        <v>52</v>
      </c>
      <c r="B3766" t="s">
        <v>53</v>
      </c>
      <c r="C3766" t="s">
        <v>54</v>
      </c>
      <c r="D3766" t="s">
        <v>55</v>
      </c>
      <c r="E3766" t="s">
        <v>2206</v>
      </c>
      <c r="F3766" t="s">
        <v>57</v>
      </c>
      <c r="G3766" t="s">
        <v>279</v>
      </c>
      <c r="H3766" t="s">
        <v>280</v>
      </c>
      <c r="I3766" t="s">
        <v>280</v>
      </c>
      <c r="J3766" t="s">
        <v>60</v>
      </c>
      <c r="K3766" t="s">
        <v>281</v>
      </c>
      <c r="L3766" t="s">
        <v>62</v>
      </c>
      <c r="M3766" t="s">
        <v>281</v>
      </c>
      <c r="N3766" t="s">
        <v>282</v>
      </c>
      <c r="O3766" t="s">
        <v>283</v>
      </c>
      <c r="P3766">
        <v>-20.175312999999999</v>
      </c>
      <c r="Q3766">
        <v>-44.848562999999999</v>
      </c>
      <c r="R3766" s="2" t="str">
        <f>HYPERLINK("https://www.google.com/maps?q=-20.1753130,-44.8485630","Abrir no Google Maps")</f>
        <v>Abrir no Google Maps</v>
      </c>
      <c r="S3766">
        <v>4</v>
      </c>
      <c r="T3766">
        <v>1076.9164078034139</v>
      </c>
      <c r="U3766">
        <v>4</v>
      </c>
      <c r="V3766">
        <v>0.53349591596986035</v>
      </c>
      <c r="W3766">
        <v>1</v>
      </c>
      <c r="X3766">
        <v>0.53349591596986035</v>
      </c>
      <c r="Y3766">
        <v>292</v>
      </c>
      <c r="Z3766">
        <v>1035.650579259463</v>
      </c>
      <c r="AA3766">
        <v>198</v>
      </c>
      <c r="AB3766">
        <v>332</v>
      </c>
      <c r="AC3766">
        <v>536</v>
      </c>
      <c r="AD3766">
        <v>33.19</v>
      </c>
      <c r="AE3766">
        <v>542</v>
      </c>
      <c r="AF3766">
        <v>41</v>
      </c>
      <c r="AG3766">
        <v>175</v>
      </c>
      <c r="AH3766">
        <v>129</v>
      </c>
      <c r="AI3766">
        <v>7.56</v>
      </c>
      <c r="AJ3766">
        <v>32.29</v>
      </c>
      <c r="AK3766">
        <v>23.8</v>
      </c>
      <c r="AL3766">
        <v>-20.175338949999961</v>
      </c>
      <c r="AM3766">
        <v>-44.848523168324952</v>
      </c>
      <c r="AN3766">
        <v>-20.175338949999961</v>
      </c>
      <c r="AO3766">
        <v>-44.848523168324952</v>
      </c>
      <c r="AP3766">
        <v>-20.175312999999999</v>
      </c>
      <c r="AQ3766">
        <v>-44.848562999999999</v>
      </c>
      <c r="AR3766">
        <v>5.0662709576519056</v>
      </c>
      <c r="AS3766" t="s">
        <v>65</v>
      </c>
      <c r="AT3766">
        <v>1</v>
      </c>
      <c r="AU3766" t="s">
        <v>284</v>
      </c>
      <c r="AV3766" t="s">
        <v>285</v>
      </c>
      <c r="AW3766" t="s">
        <v>60</v>
      </c>
      <c r="AX3766" t="s">
        <v>68</v>
      </c>
      <c r="AY3766" t="s">
        <v>69</v>
      </c>
      <c r="AZ3766" t="b">
        <v>1</v>
      </c>
    </row>
    <row r="3767" spans="1:52" x14ac:dyDescent="0.3">
      <c r="A3767" t="s">
        <v>52</v>
      </c>
      <c r="B3767" t="s">
        <v>53</v>
      </c>
      <c r="C3767" t="s">
        <v>54</v>
      </c>
      <c r="D3767" t="s">
        <v>55</v>
      </c>
      <c r="E3767" t="s">
        <v>2206</v>
      </c>
      <c r="F3767" t="s">
        <v>57</v>
      </c>
      <c r="G3767" t="s">
        <v>134</v>
      </c>
      <c r="H3767" t="s">
        <v>135</v>
      </c>
      <c r="I3767" t="s">
        <v>135</v>
      </c>
      <c r="J3767" t="s">
        <v>60</v>
      </c>
      <c r="K3767" t="s">
        <v>136</v>
      </c>
      <c r="L3767" t="s">
        <v>62</v>
      </c>
      <c r="M3767" t="s">
        <v>136</v>
      </c>
      <c r="N3767" t="s">
        <v>137</v>
      </c>
      <c r="O3767" t="s">
        <v>138</v>
      </c>
      <c r="P3767">
        <v>-20.165773000000002</v>
      </c>
      <c r="Q3767">
        <v>-44.847566999999998</v>
      </c>
      <c r="R3767" s="2" t="str">
        <f>HYPERLINK("https://www.google.com/maps?q=-20.1657730,-44.8475670","Abrir no Google Maps")</f>
        <v>Abrir no Google Maps</v>
      </c>
      <c r="S3767">
        <v>4</v>
      </c>
      <c r="T3767">
        <v>0</v>
      </c>
      <c r="U3767">
        <v>4</v>
      </c>
      <c r="V3767">
        <v>0.46628411635028211</v>
      </c>
      <c r="W3767">
        <v>1</v>
      </c>
      <c r="X3767">
        <v>0.46628411635028211</v>
      </c>
      <c r="Y3767">
        <v>292</v>
      </c>
      <c r="Z3767">
        <v>98.987346341524855</v>
      </c>
      <c r="AA3767">
        <v>198</v>
      </c>
      <c r="AB3767">
        <v>332</v>
      </c>
      <c r="AC3767">
        <v>536</v>
      </c>
      <c r="AD3767">
        <v>33.19</v>
      </c>
      <c r="AE3767">
        <v>542</v>
      </c>
      <c r="AF3767">
        <v>41</v>
      </c>
      <c r="AG3767">
        <v>175</v>
      </c>
      <c r="AH3767">
        <v>129</v>
      </c>
      <c r="AI3767">
        <v>7.56</v>
      </c>
      <c r="AJ3767">
        <v>32.29</v>
      </c>
      <c r="AK3767">
        <v>23.8</v>
      </c>
      <c r="AL3767">
        <v>-20.16565029999995</v>
      </c>
      <c r="AM3767">
        <v>-44.847556627666897</v>
      </c>
      <c r="AN3767">
        <v>-20.16565029999995</v>
      </c>
      <c r="AO3767">
        <v>-44.847556627666897</v>
      </c>
      <c r="AP3767">
        <v>-20.165773000000002</v>
      </c>
      <c r="AQ3767">
        <v>-44.847566999999998</v>
      </c>
      <c r="AR3767">
        <v>13.701900146251189</v>
      </c>
      <c r="AS3767" t="s">
        <v>65</v>
      </c>
      <c r="AT3767">
        <v>1</v>
      </c>
      <c r="AU3767" t="s">
        <v>139</v>
      </c>
      <c r="AV3767" t="s">
        <v>140</v>
      </c>
      <c r="AW3767" t="s">
        <v>60</v>
      </c>
      <c r="AX3767" t="s">
        <v>68</v>
      </c>
      <c r="AY3767" t="s">
        <v>69</v>
      </c>
      <c r="AZ3767" t="b">
        <v>1</v>
      </c>
    </row>
    <row r="3768" spans="1:52" x14ac:dyDescent="0.3">
      <c r="A3768" t="s">
        <v>52</v>
      </c>
      <c r="B3768" t="s">
        <v>53</v>
      </c>
      <c r="C3768" t="s">
        <v>54</v>
      </c>
      <c r="D3768" t="s">
        <v>55</v>
      </c>
      <c r="E3768" t="s">
        <v>2206</v>
      </c>
      <c r="F3768" t="s">
        <v>57</v>
      </c>
      <c r="G3768" t="s">
        <v>253</v>
      </c>
      <c r="H3768" t="s">
        <v>286</v>
      </c>
      <c r="I3768" t="s">
        <v>286</v>
      </c>
      <c r="J3768" t="s">
        <v>60</v>
      </c>
      <c r="K3768" t="s">
        <v>136</v>
      </c>
      <c r="L3768" t="s">
        <v>62</v>
      </c>
      <c r="M3768" t="s">
        <v>136</v>
      </c>
      <c r="N3768" t="s">
        <v>256</v>
      </c>
      <c r="O3768" t="s">
        <v>287</v>
      </c>
      <c r="P3768">
        <v>-20.165067000000001</v>
      </c>
      <c r="Q3768">
        <v>-44.851146999999997</v>
      </c>
      <c r="R3768" s="2" t="str">
        <f>HYPERLINK("https://www.google.com/maps?q=-20.1650670,-44.8511470","Abrir no Google Maps")</f>
        <v>Abrir no Google Maps</v>
      </c>
      <c r="S3768">
        <v>4</v>
      </c>
      <c r="T3768">
        <v>374.14945573570043</v>
      </c>
      <c r="U3768">
        <v>4</v>
      </c>
      <c r="V3768">
        <v>0.4641303851013916</v>
      </c>
      <c r="W3768">
        <v>1</v>
      </c>
      <c r="X3768">
        <v>0.4641303851013916</v>
      </c>
      <c r="Y3768">
        <v>292</v>
      </c>
      <c r="Z3768">
        <v>295.9878686859272</v>
      </c>
      <c r="AA3768">
        <v>198</v>
      </c>
      <c r="AB3768">
        <v>332</v>
      </c>
      <c r="AC3768">
        <v>536</v>
      </c>
      <c r="AD3768">
        <v>33.19</v>
      </c>
      <c r="AE3768">
        <v>542</v>
      </c>
      <c r="AF3768">
        <v>41</v>
      </c>
      <c r="AG3768">
        <v>175</v>
      </c>
      <c r="AH3768">
        <v>129</v>
      </c>
      <c r="AI3768">
        <v>7.56</v>
      </c>
      <c r="AJ3768">
        <v>32.29</v>
      </c>
      <c r="AK3768">
        <v>23.8</v>
      </c>
      <c r="AL3768">
        <v>-20.164961799999961</v>
      </c>
      <c r="AM3768">
        <v>-44.851062119796737</v>
      </c>
      <c r="AN3768">
        <v>-20.164961799999961</v>
      </c>
      <c r="AO3768">
        <v>-44.851062119796737</v>
      </c>
      <c r="AP3768">
        <v>-20.165067000000001</v>
      </c>
      <c r="AQ3768">
        <v>-44.851146999999997</v>
      </c>
      <c r="AR3768">
        <v>14.690666366415</v>
      </c>
      <c r="AS3768" t="s">
        <v>65</v>
      </c>
      <c r="AT3768">
        <v>1</v>
      </c>
      <c r="AU3768" t="s">
        <v>288</v>
      </c>
      <c r="AV3768" t="s">
        <v>289</v>
      </c>
      <c r="AW3768" t="s">
        <v>60</v>
      </c>
      <c r="AX3768" t="s">
        <v>68</v>
      </c>
      <c r="AY3768" t="s">
        <v>69</v>
      </c>
      <c r="AZ3768" t="b">
        <v>1</v>
      </c>
    </row>
    <row r="3769" spans="1:52" x14ac:dyDescent="0.3">
      <c r="A3769" t="s">
        <v>52</v>
      </c>
      <c r="B3769" t="s">
        <v>53</v>
      </c>
      <c r="C3769" t="s">
        <v>54</v>
      </c>
      <c r="D3769" t="s">
        <v>55</v>
      </c>
      <c r="E3769" t="s">
        <v>2206</v>
      </c>
      <c r="F3769" t="s">
        <v>57</v>
      </c>
      <c r="G3769" t="s">
        <v>141</v>
      </c>
      <c r="H3769" t="s">
        <v>142</v>
      </c>
      <c r="I3769" t="s">
        <v>142</v>
      </c>
      <c r="J3769" t="s">
        <v>60</v>
      </c>
      <c r="K3769" t="s">
        <v>143</v>
      </c>
      <c r="L3769" t="s">
        <v>62</v>
      </c>
      <c r="M3769" t="s">
        <v>143</v>
      </c>
      <c r="N3769" t="s">
        <v>144</v>
      </c>
      <c r="O3769" t="s">
        <v>145</v>
      </c>
      <c r="P3769">
        <v>-20.163377000000001</v>
      </c>
      <c r="Q3769">
        <v>-44.843598</v>
      </c>
      <c r="R3769" s="2" t="str">
        <f>HYPERLINK("https://www.google.com/maps?q=-20.1633770,-44.8435980","Abrir no Google Maps")</f>
        <v>Abrir no Google Maps</v>
      </c>
      <c r="S3769">
        <v>4</v>
      </c>
      <c r="T3769">
        <v>481.58374128635978</v>
      </c>
      <c r="U3769">
        <v>4</v>
      </c>
      <c r="V3769">
        <v>0.46789591011868648</v>
      </c>
      <c r="W3769">
        <v>1</v>
      </c>
      <c r="X3769">
        <v>0.46789591011868648</v>
      </c>
      <c r="Y3769">
        <v>292</v>
      </c>
      <c r="Z3769">
        <v>575.44522663909652</v>
      </c>
      <c r="AA3769">
        <v>198</v>
      </c>
      <c r="AB3769">
        <v>332</v>
      </c>
      <c r="AC3769">
        <v>536</v>
      </c>
      <c r="AD3769">
        <v>33.19</v>
      </c>
      <c r="AE3769">
        <v>542</v>
      </c>
      <c r="AF3769">
        <v>41</v>
      </c>
      <c r="AG3769">
        <v>175</v>
      </c>
      <c r="AH3769">
        <v>129</v>
      </c>
      <c r="AI3769">
        <v>7.56</v>
      </c>
      <c r="AJ3769">
        <v>32.29</v>
      </c>
      <c r="AK3769">
        <v>23.8</v>
      </c>
      <c r="AL3769">
        <v>-20.16343344999996</v>
      </c>
      <c r="AM3769">
        <v>-44.843590796247732</v>
      </c>
      <c r="AN3769">
        <v>-20.16343344999996</v>
      </c>
      <c r="AO3769">
        <v>-44.843590796247732</v>
      </c>
      <c r="AP3769">
        <v>-20.163377000000001</v>
      </c>
      <c r="AQ3769">
        <v>-44.843598</v>
      </c>
      <c r="AR3769">
        <v>6.3289415646640057</v>
      </c>
      <c r="AS3769" t="s">
        <v>65</v>
      </c>
      <c r="AT3769">
        <v>1</v>
      </c>
      <c r="AU3769" t="s">
        <v>146</v>
      </c>
      <c r="AV3769" t="s">
        <v>147</v>
      </c>
      <c r="AW3769" t="s">
        <v>60</v>
      </c>
      <c r="AX3769" t="s">
        <v>68</v>
      </c>
      <c r="AY3769" t="s">
        <v>69</v>
      </c>
      <c r="AZ3769" t="b">
        <v>1</v>
      </c>
    </row>
    <row r="3770" spans="1:52" x14ac:dyDescent="0.3">
      <c r="A3770" t="s">
        <v>52</v>
      </c>
      <c r="B3770" t="s">
        <v>53</v>
      </c>
      <c r="C3770" t="s">
        <v>54</v>
      </c>
      <c r="D3770" t="s">
        <v>55</v>
      </c>
      <c r="E3770" t="s">
        <v>2206</v>
      </c>
      <c r="F3770" t="s">
        <v>57</v>
      </c>
      <c r="G3770" t="s">
        <v>290</v>
      </c>
      <c r="H3770" t="s">
        <v>291</v>
      </c>
      <c r="I3770" t="s">
        <v>291</v>
      </c>
      <c r="J3770" t="s">
        <v>60</v>
      </c>
      <c r="K3770" t="s">
        <v>143</v>
      </c>
      <c r="L3770" t="s">
        <v>62</v>
      </c>
      <c r="M3770" t="s">
        <v>143</v>
      </c>
      <c r="N3770" t="s">
        <v>292</v>
      </c>
      <c r="O3770" t="s">
        <v>293</v>
      </c>
      <c r="P3770">
        <v>-20.164380999999999</v>
      </c>
      <c r="Q3770">
        <v>-44.841638000000003</v>
      </c>
      <c r="R3770" s="2" t="str">
        <f>HYPERLINK("https://www.google.com/maps?q=-20.1643810,-44.8416380","Abrir no Google Maps")</f>
        <v>Abrir no Google Maps</v>
      </c>
      <c r="S3770">
        <v>4</v>
      </c>
      <c r="T3770">
        <v>653.87342410001406</v>
      </c>
      <c r="U3770">
        <v>4</v>
      </c>
      <c r="V3770">
        <v>0.43636262904858431</v>
      </c>
      <c r="W3770">
        <v>1</v>
      </c>
      <c r="X3770">
        <v>0.43636262904858431</v>
      </c>
      <c r="Y3770">
        <v>292</v>
      </c>
      <c r="Z3770">
        <v>761.66023684754805</v>
      </c>
      <c r="AA3770">
        <v>198</v>
      </c>
      <c r="AB3770">
        <v>332</v>
      </c>
      <c r="AC3770">
        <v>536</v>
      </c>
      <c r="AD3770">
        <v>33.19</v>
      </c>
      <c r="AE3770">
        <v>542</v>
      </c>
      <c r="AF3770">
        <v>41</v>
      </c>
      <c r="AG3770">
        <v>175</v>
      </c>
      <c r="AH3770">
        <v>129</v>
      </c>
      <c r="AI3770">
        <v>7.56</v>
      </c>
      <c r="AJ3770">
        <v>32.29</v>
      </c>
      <c r="AK3770">
        <v>23.8</v>
      </c>
      <c r="AL3770">
        <v>-20.16420624999995</v>
      </c>
      <c r="AM3770">
        <v>-44.841488984995642</v>
      </c>
      <c r="AN3770">
        <v>-20.16420624999995</v>
      </c>
      <c r="AO3770">
        <v>-44.841488984995642</v>
      </c>
      <c r="AP3770">
        <v>-20.164380999999999</v>
      </c>
      <c r="AQ3770">
        <v>-44.841638000000003</v>
      </c>
      <c r="AR3770">
        <v>24.91789254993785</v>
      </c>
      <c r="AS3770" t="s">
        <v>65</v>
      </c>
      <c r="AT3770">
        <v>1</v>
      </c>
      <c r="AU3770" t="s">
        <v>294</v>
      </c>
      <c r="AV3770" t="s">
        <v>295</v>
      </c>
      <c r="AW3770" t="s">
        <v>60</v>
      </c>
      <c r="AX3770" t="s">
        <v>68</v>
      </c>
      <c r="AY3770" t="s">
        <v>69</v>
      </c>
      <c r="AZ3770" t="b">
        <v>1</v>
      </c>
    </row>
    <row r="3771" spans="1:52" x14ac:dyDescent="0.3">
      <c r="A3771" t="s">
        <v>52</v>
      </c>
      <c r="B3771" t="s">
        <v>53</v>
      </c>
      <c r="C3771" t="s">
        <v>54</v>
      </c>
      <c r="D3771" t="s">
        <v>55</v>
      </c>
      <c r="E3771" t="s">
        <v>2206</v>
      </c>
      <c r="F3771" t="s">
        <v>57</v>
      </c>
      <c r="G3771" t="s">
        <v>253</v>
      </c>
      <c r="H3771" t="s">
        <v>296</v>
      </c>
      <c r="I3771" t="s">
        <v>296</v>
      </c>
      <c r="J3771" t="s">
        <v>60</v>
      </c>
      <c r="K3771" t="s">
        <v>136</v>
      </c>
      <c r="L3771" t="s">
        <v>62</v>
      </c>
      <c r="M3771" t="s">
        <v>136</v>
      </c>
      <c r="N3771" t="s">
        <v>256</v>
      </c>
      <c r="O3771" t="s">
        <v>297</v>
      </c>
      <c r="P3771">
        <v>-20.168476999999999</v>
      </c>
      <c r="Q3771">
        <v>-44.852528</v>
      </c>
      <c r="R3771" s="2" t="str">
        <f>HYPERLINK("https://www.google.com/maps?q=-20.1684770,-44.8525280","Abrir no Google Maps")</f>
        <v>Abrir no Google Maps</v>
      </c>
      <c r="S3771">
        <v>4</v>
      </c>
      <c r="T3771">
        <v>587.16898087421623</v>
      </c>
      <c r="U3771">
        <v>4</v>
      </c>
      <c r="V3771">
        <v>0.47503161247638348</v>
      </c>
      <c r="W3771">
        <v>1</v>
      </c>
      <c r="X3771">
        <v>0.47503161247638348</v>
      </c>
      <c r="Y3771">
        <v>292</v>
      </c>
      <c r="Z3771">
        <v>471.75619463337938</v>
      </c>
      <c r="AA3771">
        <v>198</v>
      </c>
      <c r="AB3771">
        <v>332</v>
      </c>
      <c r="AC3771">
        <v>536</v>
      </c>
      <c r="AD3771">
        <v>33.19</v>
      </c>
      <c r="AE3771">
        <v>542</v>
      </c>
      <c r="AF3771">
        <v>41</v>
      </c>
      <c r="AG3771">
        <v>175</v>
      </c>
      <c r="AH3771">
        <v>129</v>
      </c>
      <c r="AI3771">
        <v>7.56</v>
      </c>
      <c r="AJ3771">
        <v>32.29</v>
      </c>
      <c r="AK3771">
        <v>23.8</v>
      </c>
      <c r="AL3771">
        <v>-20.16846514999995</v>
      </c>
      <c r="AM3771">
        <v>-44.852319844682007</v>
      </c>
      <c r="AN3771">
        <v>-20.168465149999939</v>
      </c>
      <c r="AO3771">
        <v>-44.852319844682007</v>
      </c>
      <c r="AP3771">
        <v>-20.168476999999999</v>
      </c>
      <c r="AQ3771">
        <v>-44.852528</v>
      </c>
      <c r="AR3771">
        <v>21.790984536052999</v>
      </c>
      <c r="AS3771" t="s">
        <v>65</v>
      </c>
      <c r="AT3771">
        <v>1</v>
      </c>
      <c r="AU3771" t="s">
        <v>298</v>
      </c>
      <c r="AV3771" t="s">
        <v>299</v>
      </c>
      <c r="AW3771" t="s">
        <v>60</v>
      </c>
      <c r="AX3771" t="s">
        <v>68</v>
      </c>
      <c r="AY3771" t="s">
        <v>69</v>
      </c>
      <c r="AZ3771" t="b">
        <v>1</v>
      </c>
    </row>
    <row r="3772" spans="1:52" x14ac:dyDescent="0.3">
      <c r="A3772" t="s">
        <v>52</v>
      </c>
      <c r="B3772" t="s">
        <v>53</v>
      </c>
      <c r="C3772" t="s">
        <v>54</v>
      </c>
      <c r="D3772" t="s">
        <v>55</v>
      </c>
      <c r="E3772" t="s">
        <v>2206</v>
      </c>
      <c r="F3772" t="s">
        <v>57</v>
      </c>
      <c r="G3772" t="s">
        <v>253</v>
      </c>
      <c r="H3772" t="s">
        <v>1633</v>
      </c>
      <c r="I3772" t="s">
        <v>1633</v>
      </c>
      <c r="J3772" t="s">
        <v>60</v>
      </c>
      <c r="K3772" t="s">
        <v>982</v>
      </c>
      <c r="L3772" t="s">
        <v>62</v>
      </c>
      <c r="M3772" t="s">
        <v>982</v>
      </c>
      <c r="N3772" t="s">
        <v>256</v>
      </c>
      <c r="O3772" t="s">
        <v>1634</v>
      </c>
      <c r="P3772">
        <v>-20.170407000000001</v>
      </c>
      <c r="Q3772">
        <v>-44.853330999999997</v>
      </c>
      <c r="R3772" s="2" t="str">
        <f>HYPERLINK("https://www.google.com/maps?q=-20.1704070,-44.8533310","Abrir no Google Maps")</f>
        <v>Abrir no Google Maps</v>
      </c>
      <c r="S3772">
        <v>4</v>
      </c>
      <c r="T3772">
        <v>801.41180076523165</v>
      </c>
      <c r="U3772">
        <v>4</v>
      </c>
      <c r="V3772">
        <v>0.49913344953193239</v>
      </c>
      <c r="W3772">
        <v>1</v>
      </c>
      <c r="X3772">
        <v>0.49913344953193239</v>
      </c>
      <c r="Y3772">
        <v>292</v>
      </c>
      <c r="Z3772">
        <v>726.46828777213966</v>
      </c>
      <c r="AA3772">
        <v>198</v>
      </c>
      <c r="AB3772">
        <v>332</v>
      </c>
      <c r="AC3772">
        <v>536</v>
      </c>
      <c r="AD3772">
        <v>33.19</v>
      </c>
      <c r="AE3772">
        <v>542</v>
      </c>
      <c r="AF3772">
        <v>41</v>
      </c>
      <c r="AG3772">
        <v>175</v>
      </c>
      <c r="AH3772">
        <v>129</v>
      </c>
      <c r="AI3772">
        <v>7.56</v>
      </c>
      <c r="AJ3772">
        <v>32.29</v>
      </c>
      <c r="AK3772">
        <v>23.8</v>
      </c>
      <c r="AL3772">
        <v>-20.170412849999959</v>
      </c>
      <c r="AM3772">
        <v>-44.853334311192633</v>
      </c>
      <c r="AN3772">
        <v>-20.170412849999959</v>
      </c>
      <c r="AO3772">
        <v>-44.853334311192633</v>
      </c>
      <c r="AP3772">
        <v>-20.170407000000001</v>
      </c>
      <c r="AQ3772">
        <v>-44.853330999999997</v>
      </c>
      <c r="AR3772">
        <v>0.73743023728700929</v>
      </c>
      <c r="AS3772" t="s">
        <v>65</v>
      </c>
      <c r="AT3772">
        <v>1</v>
      </c>
      <c r="AU3772" t="s">
        <v>1635</v>
      </c>
      <c r="AV3772" t="s">
        <v>1636</v>
      </c>
      <c r="AW3772" t="s">
        <v>60</v>
      </c>
      <c r="AX3772" t="s">
        <v>68</v>
      </c>
      <c r="AY3772" t="s">
        <v>69</v>
      </c>
      <c r="AZ3772" t="b">
        <v>1</v>
      </c>
    </row>
    <row r="3773" spans="1:52" x14ac:dyDescent="0.3">
      <c r="A3773" t="s">
        <v>52</v>
      </c>
      <c r="B3773" t="s">
        <v>53</v>
      </c>
      <c r="C3773" t="s">
        <v>54</v>
      </c>
      <c r="D3773" t="s">
        <v>55</v>
      </c>
      <c r="E3773" t="s">
        <v>2206</v>
      </c>
      <c r="F3773" t="s">
        <v>57</v>
      </c>
      <c r="G3773" t="s">
        <v>148</v>
      </c>
      <c r="H3773" t="s">
        <v>149</v>
      </c>
      <c r="I3773" t="s">
        <v>149</v>
      </c>
      <c r="J3773" t="s">
        <v>60</v>
      </c>
      <c r="K3773" t="s">
        <v>150</v>
      </c>
      <c r="L3773" t="s">
        <v>62</v>
      </c>
      <c r="M3773" t="s">
        <v>150</v>
      </c>
      <c r="N3773" t="s">
        <v>151</v>
      </c>
      <c r="O3773" t="s">
        <v>152</v>
      </c>
      <c r="P3773">
        <v>-20.174192999999999</v>
      </c>
      <c r="Q3773">
        <v>-44.850782000000002</v>
      </c>
      <c r="R3773" s="2" t="str">
        <f>HYPERLINK("https://www.google.com/maps?q=-20.1741930,-44.8507820","Abrir no Google Maps")</f>
        <v>Abrir no Google Maps</v>
      </c>
      <c r="S3773">
        <v>4</v>
      </c>
      <c r="T3773">
        <v>994.93657848632188</v>
      </c>
      <c r="U3773">
        <v>4</v>
      </c>
      <c r="V3773">
        <v>0.50291225632702574</v>
      </c>
      <c r="W3773">
        <v>1</v>
      </c>
      <c r="X3773">
        <v>0.50291225632702574</v>
      </c>
      <c r="Y3773">
        <v>292</v>
      </c>
      <c r="Z3773">
        <v>948.95851793804729</v>
      </c>
      <c r="AA3773">
        <v>198</v>
      </c>
      <c r="AB3773">
        <v>332</v>
      </c>
      <c r="AC3773">
        <v>536</v>
      </c>
      <c r="AD3773">
        <v>33.19</v>
      </c>
      <c r="AE3773">
        <v>542</v>
      </c>
      <c r="AF3773">
        <v>41</v>
      </c>
      <c r="AG3773">
        <v>175</v>
      </c>
      <c r="AH3773">
        <v>129</v>
      </c>
      <c r="AI3773">
        <v>7.56</v>
      </c>
      <c r="AJ3773">
        <v>32.29</v>
      </c>
      <c r="AK3773">
        <v>23.8</v>
      </c>
      <c r="AL3773">
        <v>-20.174122099999941</v>
      </c>
      <c r="AM3773">
        <v>-44.850744657037339</v>
      </c>
      <c r="AN3773">
        <v>-20.174122099999941</v>
      </c>
      <c r="AO3773">
        <v>-44.850744657037339</v>
      </c>
      <c r="AP3773">
        <v>-20.174192999999999</v>
      </c>
      <c r="AQ3773">
        <v>-44.850782000000002</v>
      </c>
      <c r="AR3773">
        <v>8.8044534253701947</v>
      </c>
      <c r="AS3773" t="s">
        <v>65</v>
      </c>
      <c r="AT3773">
        <v>1</v>
      </c>
      <c r="AU3773" t="s">
        <v>153</v>
      </c>
      <c r="AV3773" t="s">
        <v>154</v>
      </c>
      <c r="AW3773" t="s">
        <v>60</v>
      </c>
      <c r="AX3773" t="s">
        <v>68</v>
      </c>
      <c r="AY3773" t="s">
        <v>69</v>
      </c>
      <c r="AZ3773" t="b">
        <v>1</v>
      </c>
    </row>
    <row r="3774" spans="1:52" x14ac:dyDescent="0.3">
      <c r="A3774" t="s">
        <v>52</v>
      </c>
      <c r="B3774" t="s">
        <v>53</v>
      </c>
      <c r="C3774" t="s">
        <v>54</v>
      </c>
      <c r="D3774" t="s">
        <v>55</v>
      </c>
      <c r="E3774" t="s">
        <v>2206</v>
      </c>
      <c r="F3774" t="s">
        <v>57</v>
      </c>
      <c r="G3774" t="s">
        <v>300</v>
      </c>
      <c r="H3774" t="s">
        <v>301</v>
      </c>
      <c r="I3774" t="s">
        <v>301</v>
      </c>
      <c r="J3774" t="s">
        <v>60</v>
      </c>
      <c r="K3774" t="s">
        <v>150</v>
      </c>
      <c r="L3774" t="s">
        <v>62</v>
      </c>
      <c r="M3774" t="s">
        <v>150</v>
      </c>
      <c r="N3774" t="s">
        <v>302</v>
      </c>
      <c r="O3774" t="s">
        <v>303</v>
      </c>
      <c r="P3774">
        <v>-20.172993000000002</v>
      </c>
      <c r="Q3774">
        <v>-44.853588999999999</v>
      </c>
      <c r="R3774" s="2" t="str">
        <f>HYPERLINK("https://www.google.com/maps?q=-20.1729930,-44.8535890","Abrir no Google Maps")</f>
        <v>Abrir no Google Maps</v>
      </c>
      <c r="S3774">
        <v>4</v>
      </c>
      <c r="T3774">
        <v>1041.446216907221</v>
      </c>
      <c r="U3774">
        <v>4</v>
      </c>
      <c r="V3774">
        <v>0.47614213027540642</v>
      </c>
      <c r="W3774">
        <v>1</v>
      </c>
      <c r="X3774">
        <v>0.47614213027540642</v>
      </c>
      <c r="Y3774">
        <v>292</v>
      </c>
      <c r="Z3774">
        <v>978.86270909763937</v>
      </c>
      <c r="AA3774">
        <v>198</v>
      </c>
      <c r="AB3774">
        <v>332</v>
      </c>
      <c r="AC3774">
        <v>536</v>
      </c>
      <c r="AD3774">
        <v>33.19</v>
      </c>
      <c r="AE3774">
        <v>542</v>
      </c>
      <c r="AF3774">
        <v>41</v>
      </c>
      <c r="AG3774">
        <v>175</v>
      </c>
      <c r="AH3774">
        <v>129</v>
      </c>
      <c r="AI3774">
        <v>7.56</v>
      </c>
      <c r="AJ3774">
        <v>32.29</v>
      </c>
      <c r="AK3774">
        <v>23.8</v>
      </c>
      <c r="AL3774">
        <v>-20.173142449999968</v>
      </c>
      <c r="AM3774">
        <v>-44.853588035903172</v>
      </c>
      <c r="AN3774">
        <v>-20.173142449999968</v>
      </c>
      <c r="AO3774">
        <v>-44.853588035903172</v>
      </c>
      <c r="AP3774">
        <v>-20.172993000000002</v>
      </c>
      <c r="AQ3774">
        <v>-44.853588999999999</v>
      </c>
      <c r="AR3774">
        <v>16.637078994259841</v>
      </c>
      <c r="AS3774" t="s">
        <v>65</v>
      </c>
      <c r="AT3774">
        <v>1</v>
      </c>
      <c r="AU3774" t="s">
        <v>304</v>
      </c>
      <c r="AV3774" t="s">
        <v>305</v>
      </c>
      <c r="AW3774" t="s">
        <v>60</v>
      </c>
      <c r="AX3774" t="s">
        <v>68</v>
      </c>
      <c r="AY3774" t="s">
        <v>69</v>
      </c>
      <c r="AZ3774" t="b">
        <v>1</v>
      </c>
    </row>
    <row r="3775" spans="1:52" x14ac:dyDescent="0.3">
      <c r="A3775" t="s">
        <v>52</v>
      </c>
      <c r="B3775" t="s">
        <v>53</v>
      </c>
      <c r="C3775" t="s">
        <v>54</v>
      </c>
      <c r="D3775" t="s">
        <v>55</v>
      </c>
      <c r="E3775" t="s">
        <v>2206</v>
      </c>
      <c r="F3775" t="s">
        <v>57</v>
      </c>
      <c r="G3775" t="s">
        <v>1708</v>
      </c>
      <c r="H3775" t="s">
        <v>1709</v>
      </c>
      <c r="I3775" t="s">
        <v>1709</v>
      </c>
      <c r="J3775" t="s">
        <v>60</v>
      </c>
      <c r="K3775" t="s">
        <v>1710</v>
      </c>
      <c r="L3775" t="s">
        <v>62</v>
      </c>
      <c r="M3775" t="s">
        <v>1710</v>
      </c>
      <c r="N3775" t="s">
        <v>1711</v>
      </c>
      <c r="O3775" t="s">
        <v>1712</v>
      </c>
      <c r="P3775">
        <v>-20.15184</v>
      </c>
      <c r="Q3775">
        <v>-44.83925</v>
      </c>
      <c r="R3775" s="2" t="str">
        <f>HYPERLINK("https://www.google.com/maps?q=-20.1518400,-44.8392500","Abrir no Google Maps")</f>
        <v>Abrir no Google Maps</v>
      </c>
      <c r="S3775">
        <v>4</v>
      </c>
      <c r="T3775">
        <v>1728.5795777153901</v>
      </c>
      <c r="U3775">
        <v>4</v>
      </c>
      <c r="V3775">
        <v>0.49501678977966901</v>
      </c>
      <c r="W3775">
        <v>0.85</v>
      </c>
      <c r="X3775">
        <v>0.42076427131271871</v>
      </c>
      <c r="Y3775">
        <v>292</v>
      </c>
      <c r="Z3775">
        <v>1820.006956919507</v>
      </c>
      <c r="AA3775">
        <v>198</v>
      </c>
      <c r="AB3775">
        <v>332</v>
      </c>
      <c r="AC3775">
        <v>536</v>
      </c>
      <c r="AD3775">
        <v>33.19</v>
      </c>
      <c r="AE3775">
        <v>542</v>
      </c>
      <c r="AF3775">
        <v>41</v>
      </c>
      <c r="AG3775">
        <v>175</v>
      </c>
      <c r="AH3775">
        <v>129</v>
      </c>
      <c r="AI3775">
        <v>7.56</v>
      </c>
      <c r="AJ3775">
        <v>32.29</v>
      </c>
      <c r="AK3775">
        <v>23.8</v>
      </c>
      <c r="AL3775">
        <v>-20.151719099999951</v>
      </c>
      <c r="AM3775">
        <v>-44.840074931592113</v>
      </c>
      <c r="AN3775">
        <v>-20.151719099999951</v>
      </c>
      <c r="AO3775">
        <v>-44.840074931592113</v>
      </c>
      <c r="AP3775">
        <v>-20.15184</v>
      </c>
      <c r="AQ3775">
        <v>-44.83925</v>
      </c>
      <c r="AR3775">
        <v>87.254018820689481</v>
      </c>
      <c r="AS3775" t="s">
        <v>65</v>
      </c>
      <c r="AT3775">
        <v>1</v>
      </c>
      <c r="AU3775" t="s">
        <v>1713</v>
      </c>
      <c r="AV3775" t="s">
        <v>1714</v>
      </c>
      <c r="AW3775" t="s">
        <v>60</v>
      </c>
      <c r="AX3775" t="s">
        <v>68</v>
      </c>
      <c r="AY3775" t="s">
        <v>69</v>
      </c>
      <c r="AZ3775" t="b">
        <v>1</v>
      </c>
    </row>
    <row r="3776" spans="1:52" x14ac:dyDescent="0.3">
      <c r="A3776" t="s">
        <v>52</v>
      </c>
      <c r="B3776" t="s">
        <v>53</v>
      </c>
      <c r="C3776" t="s">
        <v>54</v>
      </c>
      <c r="D3776" t="s">
        <v>55</v>
      </c>
      <c r="E3776" t="s">
        <v>2206</v>
      </c>
      <c r="F3776" t="s">
        <v>57</v>
      </c>
      <c r="G3776" t="s">
        <v>306</v>
      </c>
      <c r="H3776" t="s">
        <v>307</v>
      </c>
      <c r="I3776" t="s">
        <v>307</v>
      </c>
      <c r="J3776" t="s">
        <v>60</v>
      </c>
      <c r="K3776" t="s">
        <v>143</v>
      </c>
      <c r="L3776" t="s">
        <v>62</v>
      </c>
      <c r="M3776" t="s">
        <v>143</v>
      </c>
      <c r="N3776" t="s">
        <v>308</v>
      </c>
      <c r="O3776" t="s">
        <v>309</v>
      </c>
      <c r="P3776">
        <v>-20.167071</v>
      </c>
      <c r="Q3776">
        <v>-44.842730000000003</v>
      </c>
      <c r="R3776" s="2" t="str">
        <f>HYPERLINK("https://www.google.com/maps?q=-20.1670710,-44.8427300","Abrir no Google Maps")</f>
        <v>Abrir no Google Maps</v>
      </c>
      <c r="S3776">
        <v>4</v>
      </c>
      <c r="T3776">
        <v>535.14780070571521</v>
      </c>
      <c r="U3776">
        <v>4</v>
      </c>
      <c r="V3776">
        <v>0.4859369435452659</v>
      </c>
      <c r="W3776">
        <v>1</v>
      </c>
      <c r="X3776">
        <v>0.4859369435452659</v>
      </c>
      <c r="Y3776">
        <v>292</v>
      </c>
      <c r="Z3776">
        <v>582.78942050501109</v>
      </c>
      <c r="AA3776">
        <v>198</v>
      </c>
      <c r="AB3776">
        <v>332</v>
      </c>
      <c r="AC3776">
        <v>536</v>
      </c>
      <c r="AD3776">
        <v>33.19</v>
      </c>
      <c r="AE3776">
        <v>542</v>
      </c>
      <c r="AF3776">
        <v>41</v>
      </c>
      <c r="AG3776">
        <v>175</v>
      </c>
      <c r="AH3776">
        <v>129</v>
      </c>
      <c r="AI3776">
        <v>7.56</v>
      </c>
      <c r="AJ3776">
        <v>32.29</v>
      </c>
      <c r="AK3776">
        <v>23.8</v>
      </c>
      <c r="AL3776">
        <v>-20.167006799999971</v>
      </c>
      <c r="AM3776">
        <v>-44.842640974693197</v>
      </c>
      <c r="AN3776">
        <v>-20.167006799999971</v>
      </c>
      <c r="AO3776">
        <v>-44.842640974693197</v>
      </c>
      <c r="AP3776">
        <v>-20.167071</v>
      </c>
      <c r="AQ3776">
        <v>-44.842730000000003</v>
      </c>
      <c r="AR3776">
        <v>11.73100304278117</v>
      </c>
      <c r="AS3776" t="s">
        <v>65</v>
      </c>
      <c r="AT3776">
        <v>1</v>
      </c>
      <c r="AU3776" t="s">
        <v>310</v>
      </c>
      <c r="AV3776" t="s">
        <v>311</v>
      </c>
      <c r="AW3776" t="s">
        <v>60</v>
      </c>
      <c r="AX3776" t="s">
        <v>68</v>
      </c>
      <c r="AY3776" t="s">
        <v>69</v>
      </c>
      <c r="AZ3776" t="b">
        <v>1</v>
      </c>
    </row>
    <row r="3777" spans="1:52" x14ac:dyDescent="0.3">
      <c r="A3777" t="s">
        <v>52</v>
      </c>
      <c r="B3777" t="s">
        <v>53</v>
      </c>
      <c r="C3777" t="s">
        <v>54</v>
      </c>
      <c r="D3777" t="s">
        <v>55</v>
      </c>
      <c r="E3777" t="s">
        <v>2206</v>
      </c>
      <c r="F3777" t="s">
        <v>57</v>
      </c>
      <c r="G3777" t="s">
        <v>312</v>
      </c>
      <c r="H3777" t="s">
        <v>313</v>
      </c>
      <c r="I3777" t="s">
        <v>313</v>
      </c>
      <c r="J3777" t="s">
        <v>60</v>
      </c>
      <c r="K3777" t="s">
        <v>143</v>
      </c>
      <c r="L3777" t="s">
        <v>62</v>
      </c>
      <c r="M3777" t="s">
        <v>143</v>
      </c>
      <c r="N3777" t="s">
        <v>314</v>
      </c>
      <c r="O3777" t="s">
        <v>315</v>
      </c>
      <c r="P3777">
        <v>-20.168939000000002</v>
      </c>
      <c r="Q3777">
        <v>-44.843286999999997</v>
      </c>
      <c r="R3777" s="2" t="str">
        <f>HYPERLINK("https://www.google.com/maps?q=-20.1689390,-44.8432870","Abrir no Google Maps")</f>
        <v>Abrir no Google Maps</v>
      </c>
      <c r="S3777">
        <v>4</v>
      </c>
      <c r="T3777">
        <v>582.22902758915586</v>
      </c>
      <c r="U3777">
        <v>4</v>
      </c>
      <c r="V3777">
        <v>0.46979205344113317</v>
      </c>
      <c r="W3777">
        <v>1</v>
      </c>
      <c r="X3777">
        <v>0.46979205344113317</v>
      </c>
      <c r="Y3777">
        <v>292</v>
      </c>
      <c r="Z3777">
        <v>628.29035609472794</v>
      </c>
      <c r="AA3777">
        <v>198</v>
      </c>
      <c r="AB3777">
        <v>332</v>
      </c>
      <c r="AC3777">
        <v>536</v>
      </c>
      <c r="AD3777">
        <v>33.19</v>
      </c>
      <c r="AE3777">
        <v>542</v>
      </c>
      <c r="AF3777">
        <v>41</v>
      </c>
      <c r="AG3777">
        <v>175</v>
      </c>
      <c r="AH3777">
        <v>129</v>
      </c>
      <c r="AI3777">
        <v>7.56</v>
      </c>
      <c r="AJ3777">
        <v>32.29</v>
      </c>
      <c r="AK3777">
        <v>23.8</v>
      </c>
      <c r="AL3777">
        <v>-20.16917709999996</v>
      </c>
      <c r="AM3777">
        <v>-44.84342194427667</v>
      </c>
      <c r="AN3777">
        <v>-20.16917709999996</v>
      </c>
      <c r="AO3777">
        <v>-44.84342194427667</v>
      </c>
      <c r="AP3777">
        <v>-20.168939000000002</v>
      </c>
      <c r="AQ3777">
        <v>-44.843286999999997</v>
      </c>
      <c r="AR3777">
        <v>30.02272213565665</v>
      </c>
      <c r="AS3777" t="s">
        <v>65</v>
      </c>
      <c r="AT3777">
        <v>1</v>
      </c>
      <c r="AU3777" t="s">
        <v>316</v>
      </c>
      <c r="AV3777" t="s">
        <v>311</v>
      </c>
      <c r="AW3777" t="s">
        <v>60</v>
      </c>
      <c r="AX3777" t="s">
        <v>68</v>
      </c>
      <c r="AY3777" t="s">
        <v>69</v>
      </c>
      <c r="AZ3777" t="b">
        <v>1</v>
      </c>
    </row>
    <row r="3778" spans="1:52" x14ac:dyDescent="0.3">
      <c r="A3778" t="s">
        <v>52</v>
      </c>
      <c r="B3778" t="s">
        <v>53</v>
      </c>
      <c r="C3778" t="s">
        <v>54</v>
      </c>
      <c r="D3778" t="s">
        <v>55</v>
      </c>
      <c r="E3778" t="s">
        <v>2206</v>
      </c>
      <c r="F3778" t="s">
        <v>57</v>
      </c>
      <c r="G3778" t="s">
        <v>260</v>
      </c>
      <c r="H3778" t="s">
        <v>317</v>
      </c>
      <c r="I3778" t="s">
        <v>317</v>
      </c>
      <c r="J3778" t="s">
        <v>60</v>
      </c>
      <c r="K3778" t="s">
        <v>255</v>
      </c>
      <c r="L3778" t="s">
        <v>62</v>
      </c>
      <c r="M3778" t="s">
        <v>255</v>
      </c>
      <c r="N3778" t="s">
        <v>263</v>
      </c>
      <c r="O3778" t="s">
        <v>318</v>
      </c>
      <c r="P3778">
        <v>-20.163532</v>
      </c>
      <c r="Q3778">
        <v>-44.846910999999999</v>
      </c>
      <c r="R3778" s="2" t="str">
        <f>HYPERLINK("https://www.google.com/maps?q=-20.1635320,-44.8469110","Abrir no Google Maps")</f>
        <v>Abrir no Google Maps</v>
      </c>
      <c r="S3778">
        <v>4</v>
      </c>
      <c r="T3778">
        <v>259.92389401636012</v>
      </c>
      <c r="U3778">
        <v>4</v>
      </c>
      <c r="V3778">
        <v>0.48212844330253241</v>
      </c>
      <c r="W3778">
        <v>1</v>
      </c>
      <c r="X3778">
        <v>0.48212844330253241</v>
      </c>
      <c r="Y3778">
        <v>292</v>
      </c>
      <c r="Z3778">
        <v>316.26738966059708</v>
      </c>
      <c r="AA3778">
        <v>198</v>
      </c>
      <c r="AB3778">
        <v>332</v>
      </c>
      <c r="AC3778">
        <v>536</v>
      </c>
      <c r="AD3778">
        <v>33.19</v>
      </c>
      <c r="AE3778">
        <v>542</v>
      </c>
      <c r="AF3778">
        <v>41</v>
      </c>
      <c r="AG3778">
        <v>175</v>
      </c>
      <c r="AH3778">
        <v>129</v>
      </c>
      <c r="AI3778">
        <v>7.56</v>
      </c>
      <c r="AJ3778">
        <v>32.29</v>
      </c>
      <c r="AK3778">
        <v>23.8</v>
      </c>
      <c r="AL3778">
        <v>-20.16343344999996</v>
      </c>
      <c r="AM3778">
        <v>-44.846734659744428</v>
      </c>
      <c r="AN3778">
        <v>-20.16343344999996</v>
      </c>
      <c r="AO3778">
        <v>-44.846734659744428</v>
      </c>
      <c r="AP3778">
        <v>-20.163532</v>
      </c>
      <c r="AQ3778">
        <v>-44.846910999999999</v>
      </c>
      <c r="AR3778">
        <v>21.445575432006599</v>
      </c>
      <c r="AS3778" t="s">
        <v>65</v>
      </c>
      <c r="AT3778">
        <v>1</v>
      </c>
      <c r="AU3778" t="s">
        <v>319</v>
      </c>
      <c r="AV3778" t="s">
        <v>320</v>
      </c>
      <c r="AW3778" t="s">
        <v>60</v>
      </c>
      <c r="AX3778" t="s">
        <v>68</v>
      </c>
      <c r="AY3778" t="s">
        <v>69</v>
      </c>
      <c r="AZ3778" t="b">
        <v>1</v>
      </c>
    </row>
    <row r="3779" spans="1:52" x14ac:dyDescent="0.3">
      <c r="A3779" t="s">
        <v>52</v>
      </c>
      <c r="B3779" t="s">
        <v>53</v>
      </c>
      <c r="C3779" t="s">
        <v>54</v>
      </c>
      <c r="D3779" t="s">
        <v>55</v>
      </c>
      <c r="E3779" t="s">
        <v>2206</v>
      </c>
      <c r="F3779" t="s">
        <v>57</v>
      </c>
      <c r="G3779" t="s">
        <v>321</v>
      </c>
      <c r="H3779" t="s">
        <v>322</v>
      </c>
      <c r="I3779" t="s">
        <v>322</v>
      </c>
      <c r="J3779" t="s">
        <v>60</v>
      </c>
      <c r="K3779" t="s">
        <v>323</v>
      </c>
      <c r="L3779" t="s">
        <v>62</v>
      </c>
      <c r="M3779" t="s">
        <v>323</v>
      </c>
      <c r="N3779" t="s">
        <v>324</v>
      </c>
      <c r="O3779" t="s">
        <v>325</v>
      </c>
      <c r="P3779">
        <v>-20.151437999999999</v>
      </c>
      <c r="Q3779">
        <v>-44.855761000000001</v>
      </c>
      <c r="R3779" s="2" t="str">
        <f>HYPERLINK("https://www.google.com/maps?q=-20.1514380,-44.8557610","Abrir no Google Maps")</f>
        <v>Abrir no Google Maps</v>
      </c>
      <c r="S3779">
        <v>4</v>
      </c>
      <c r="T3779">
        <v>970.69989262042009</v>
      </c>
      <c r="U3779">
        <v>4</v>
      </c>
      <c r="V3779">
        <v>0.49843649207435531</v>
      </c>
      <c r="W3779">
        <v>1</v>
      </c>
      <c r="X3779">
        <v>0.49843649207435531</v>
      </c>
      <c r="Y3779">
        <v>264</v>
      </c>
      <c r="Z3779">
        <v>1041.0105988261671</v>
      </c>
      <c r="AA3779">
        <v>198</v>
      </c>
      <c r="AB3779">
        <v>332</v>
      </c>
      <c r="AC3779">
        <v>536</v>
      </c>
      <c r="AD3779">
        <v>33.19</v>
      </c>
      <c r="AE3779">
        <v>542</v>
      </c>
      <c r="AF3779">
        <v>41</v>
      </c>
      <c r="AG3779">
        <v>175</v>
      </c>
      <c r="AH3779">
        <v>129</v>
      </c>
      <c r="AI3779">
        <v>7.56</v>
      </c>
      <c r="AJ3779">
        <v>32.29</v>
      </c>
      <c r="AK3779">
        <v>23.8</v>
      </c>
      <c r="AL3779">
        <v>-20.15142824999996</v>
      </c>
      <c r="AM3779">
        <v>-44.854100160898767</v>
      </c>
      <c r="AN3779">
        <v>-20.15142824999996</v>
      </c>
      <c r="AO3779">
        <v>-44.854100160898767</v>
      </c>
      <c r="AP3779">
        <v>-20.151437999999999</v>
      </c>
      <c r="AQ3779">
        <v>-44.855761000000001</v>
      </c>
      <c r="AR3779">
        <v>173.57036632351381</v>
      </c>
      <c r="AS3779" t="s">
        <v>65</v>
      </c>
      <c r="AT3779">
        <v>1</v>
      </c>
      <c r="AU3779" t="s">
        <v>326</v>
      </c>
      <c r="AV3779" t="s">
        <v>327</v>
      </c>
      <c r="AW3779" t="s">
        <v>60</v>
      </c>
      <c r="AX3779" t="s">
        <v>68</v>
      </c>
      <c r="AY3779" t="s">
        <v>69</v>
      </c>
      <c r="AZ3779" t="b">
        <v>1</v>
      </c>
    </row>
    <row r="3780" spans="1:52" x14ac:dyDescent="0.3">
      <c r="A3780" t="s">
        <v>52</v>
      </c>
      <c r="B3780" t="s">
        <v>53</v>
      </c>
      <c r="C3780" t="s">
        <v>54</v>
      </c>
      <c r="D3780" t="s">
        <v>55</v>
      </c>
      <c r="E3780" t="s">
        <v>2206</v>
      </c>
      <c r="F3780" t="s">
        <v>57</v>
      </c>
      <c r="G3780" t="s">
        <v>328</v>
      </c>
      <c r="H3780" t="s">
        <v>329</v>
      </c>
      <c r="I3780" t="s">
        <v>329</v>
      </c>
      <c r="J3780" t="s">
        <v>60</v>
      </c>
      <c r="K3780" t="s">
        <v>157</v>
      </c>
      <c r="L3780" t="s">
        <v>62</v>
      </c>
      <c r="M3780" t="s">
        <v>157</v>
      </c>
      <c r="N3780" t="s">
        <v>330</v>
      </c>
      <c r="O3780" t="s">
        <v>331</v>
      </c>
      <c r="P3780">
        <v>-20.167981999999999</v>
      </c>
      <c r="Q3780">
        <v>-44.885706999999996</v>
      </c>
      <c r="R3780" s="2" t="str">
        <f>HYPERLINK("https://www.google.com/maps?q=-20.1679820,-44.8857070","Abrir no Google Maps")</f>
        <v>Abrir no Google Maps</v>
      </c>
      <c r="S3780">
        <v>4</v>
      </c>
      <c r="T3780">
        <v>594.70112534633722</v>
      </c>
      <c r="U3780">
        <v>4</v>
      </c>
      <c r="V3780">
        <v>0.4210485918971173</v>
      </c>
      <c r="W3780">
        <v>1</v>
      </c>
      <c r="X3780">
        <v>0.4210485918971173</v>
      </c>
      <c r="Y3780">
        <v>232</v>
      </c>
      <c r="Z3780">
        <v>560.38516624860983</v>
      </c>
      <c r="AA3780">
        <v>198</v>
      </c>
      <c r="AB3780">
        <v>332</v>
      </c>
      <c r="AC3780">
        <v>536</v>
      </c>
      <c r="AD3780">
        <v>33.19</v>
      </c>
      <c r="AE3780">
        <v>542</v>
      </c>
      <c r="AF3780">
        <v>41</v>
      </c>
      <c r="AG3780">
        <v>175</v>
      </c>
      <c r="AH3780">
        <v>129</v>
      </c>
      <c r="AI3780">
        <v>7.56</v>
      </c>
      <c r="AJ3780">
        <v>32.29</v>
      </c>
      <c r="AK3780">
        <v>23.8</v>
      </c>
      <c r="AL3780">
        <v>-20.167931149999959</v>
      </c>
      <c r="AM3780">
        <v>-44.885606821741909</v>
      </c>
      <c r="AN3780">
        <v>-20.167931149999959</v>
      </c>
      <c r="AO3780">
        <v>-44.885606821741909</v>
      </c>
      <c r="AP3780">
        <v>-20.167981999999999</v>
      </c>
      <c r="AQ3780">
        <v>-44.885706999999996</v>
      </c>
      <c r="AR3780">
        <v>11.90056149590643</v>
      </c>
      <c r="AS3780" t="s">
        <v>65</v>
      </c>
      <c r="AT3780">
        <v>1</v>
      </c>
      <c r="AU3780" t="s">
        <v>332</v>
      </c>
      <c r="AV3780" t="s">
        <v>333</v>
      </c>
      <c r="AW3780" t="s">
        <v>60</v>
      </c>
      <c r="AX3780" t="s">
        <v>68</v>
      </c>
      <c r="AY3780" t="s">
        <v>69</v>
      </c>
      <c r="AZ3780" t="b">
        <v>1</v>
      </c>
    </row>
    <row r="3781" spans="1:52" x14ac:dyDescent="0.3">
      <c r="A3781" t="s">
        <v>52</v>
      </c>
      <c r="B3781" t="s">
        <v>53</v>
      </c>
      <c r="C3781" t="s">
        <v>54</v>
      </c>
      <c r="D3781" t="s">
        <v>55</v>
      </c>
      <c r="E3781" t="s">
        <v>2206</v>
      </c>
      <c r="F3781" t="s">
        <v>57</v>
      </c>
      <c r="G3781" t="s">
        <v>155</v>
      </c>
      <c r="H3781" t="s">
        <v>156</v>
      </c>
      <c r="I3781" t="s">
        <v>156</v>
      </c>
      <c r="J3781" t="s">
        <v>60</v>
      </c>
      <c r="K3781" t="s">
        <v>157</v>
      </c>
      <c r="L3781" t="s">
        <v>62</v>
      </c>
      <c r="M3781" t="s">
        <v>157</v>
      </c>
      <c r="N3781" t="s">
        <v>158</v>
      </c>
      <c r="O3781" t="s">
        <v>159</v>
      </c>
      <c r="P3781">
        <v>-20.166302999999999</v>
      </c>
      <c r="Q3781">
        <v>-44.880659999999999</v>
      </c>
      <c r="R3781" s="2" t="str">
        <f>HYPERLINK("https://www.google.com/maps?q=-20.1663030,-44.8806600","Abrir no Google Maps")</f>
        <v>Abrir no Google Maps</v>
      </c>
      <c r="S3781">
        <v>4</v>
      </c>
      <c r="T3781">
        <v>504.41812426451338</v>
      </c>
      <c r="U3781">
        <v>4</v>
      </c>
      <c r="V3781">
        <v>0.42870920118582689</v>
      </c>
      <c r="W3781">
        <v>1</v>
      </c>
      <c r="X3781">
        <v>0.42870920118582689</v>
      </c>
      <c r="Y3781">
        <v>232</v>
      </c>
      <c r="Z3781">
        <v>279.57571553948952</v>
      </c>
      <c r="AA3781">
        <v>198</v>
      </c>
      <c r="AB3781">
        <v>332</v>
      </c>
      <c r="AC3781">
        <v>536</v>
      </c>
      <c r="AD3781">
        <v>33.19</v>
      </c>
      <c r="AE3781">
        <v>542</v>
      </c>
      <c r="AF3781">
        <v>41</v>
      </c>
      <c r="AG3781">
        <v>175</v>
      </c>
      <c r="AH3781">
        <v>129</v>
      </c>
      <c r="AI3781">
        <v>7.56</v>
      </c>
      <c r="AJ3781">
        <v>32.29</v>
      </c>
      <c r="AK3781">
        <v>23.8</v>
      </c>
      <c r="AL3781">
        <v>-20.166700449999951</v>
      </c>
      <c r="AM3781">
        <v>-44.880573341714289</v>
      </c>
      <c r="AN3781">
        <v>-20.166700449999951</v>
      </c>
      <c r="AO3781">
        <v>-44.880573341714289</v>
      </c>
      <c r="AP3781">
        <v>-20.166302999999999</v>
      </c>
      <c r="AQ3781">
        <v>-44.880659999999999</v>
      </c>
      <c r="AR3781">
        <v>45.161304979350312</v>
      </c>
      <c r="AS3781" t="s">
        <v>65</v>
      </c>
      <c r="AT3781">
        <v>1</v>
      </c>
      <c r="AU3781" t="s">
        <v>160</v>
      </c>
      <c r="AV3781" t="s">
        <v>161</v>
      </c>
      <c r="AW3781" t="s">
        <v>60</v>
      </c>
      <c r="AX3781" t="s">
        <v>68</v>
      </c>
      <c r="AY3781" t="s">
        <v>69</v>
      </c>
      <c r="AZ3781" t="b">
        <v>1</v>
      </c>
    </row>
    <row r="3782" spans="1:52" x14ac:dyDescent="0.3">
      <c r="A3782" t="s">
        <v>52</v>
      </c>
      <c r="B3782" t="s">
        <v>53</v>
      </c>
      <c r="C3782" t="s">
        <v>54</v>
      </c>
      <c r="D3782" t="s">
        <v>55</v>
      </c>
      <c r="E3782" t="s">
        <v>2206</v>
      </c>
      <c r="F3782" t="s">
        <v>57</v>
      </c>
      <c r="G3782" t="s">
        <v>341</v>
      </c>
      <c r="H3782" t="s">
        <v>342</v>
      </c>
      <c r="I3782" t="s">
        <v>342</v>
      </c>
      <c r="J3782" t="s">
        <v>60</v>
      </c>
      <c r="K3782" t="s">
        <v>164</v>
      </c>
      <c r="L3782" t="s">
        <v>62</v>
      </c>
      <c r="M3782" t="s">
        <v>164</v>
      </c>
      <c r="N3782" t="s">
        <v>343</v>
      </c>
      <c r="O3782" t="s">
        <v>344</v>
      </c>
      <c r="P3782">
        <v>-20.17606</v>
      </c>
      <c r="Q3782">
        <v>-44.880409999999998</v>
      </c>
      <c r="R3782" s="2" t="str">
        <f>HYPERLINK("https://www.google.com/maps?q=-20.1760600,-44.8804100","Abrir no Google Maps")</f>
        <v>Abrir no Google Maps</v>
      </c>
      <c r="S3782">
        <v>4</v>
      </c>
      <c r="T3782">
        <v>556.35468246023754</v>
      </c>
      <c r="U3782">
        <v>4</v>
      </c>
      <c r="V3782">
        <v>0.44714080232782538</v>
      </c>
      <c r="W3782">
        <v>1</v>
      </c>
      <c r="X3782">
        <v>0.44714080232782538</v>
      </c>
      <c r="Y3782">
        <v>232</v>
      </c>
      <c r="Z3782">
        <v>674.22003156100322</v>
      </c>
      <c r="AA3782">
        <v>198</v>
      </c>
      <c r="AB3782">
        <v>332</v>
      </c>
      <c r="AC3782">
        <v>536</v>
      </c>
      <c r="AD3782">
        <v>33.19</v>
      </c>
      <c r="AE3782">
        <v>542</v>
      </c>
      <c r="AF3782">
        <v>41</v>
      </c>
      <c r="AG3782">
        <v>175</v>
      </c>
      <c r="AH3782">
        <v>129</v>
      </c>
      <c r="AI3782">
        <v>7.56</v>
      </c>
      <c r="AJ3782">
        <v>32.29</v>
      </c>
      <c r="AK3782">
        <v>23.8</v>
      </c>
      <c r="AL3782">
        <v>-20.176226899999961</v>
      </c>
      <c r="AM3782">
        <v>-44.880527903427911</v>
      </c>
      <c r="AN3782">
        <v>-20.176226899999961</v>
      </c>
      <c r="AO3782">
        <v>-44.880527903427911</v>
      </c>
      <c r="AP3782">
        <v>-20.17606</v>
      </c>
      <c r="AQ3782">
        <v>-44.880409999999998</v>
      </c>
      <c r="AR3782">
        <v>22.292677247804349</v>
      </c>
      <c r="AS3782" t="s">
        <v>65</v>
      </c>
      <c r="AT3782">
        <v>1</v>
      </c>
      <c r="AU3782" t="s">
        <v>345</v>
      </c>
      <c r="AV3782" t="s">
        <v>346</v>
      </c>
      <c r="AW3782" t="s">
        <v>60</v>
      </c>
      <c r="AX3782" t="s">
        <v>68</v>
      </c>
      <c r="AY3782" t="s">
        <v>69</v>
      </c>
      <c r="AZ3782" t="b">
        <v>1</v>
      </c>
    </row>
    <row r="3783" spans="1:52" x14ac:dyDescent="0.3">
      <c r="A3783" t="s">
        <v>52</v>
      </c>
      <c r="B3783" t="s">
        <v>53</v>
      </c>
      <c r="C3783" t="s">
        <v>54</v>
      </c>
      <c r="D3783" t="s">
        <v>55</v>
      </c>
      <c r="E3783" t="s">
        <v>2206</v>
      </c>
      <c r="F3783" t="s">
        <v>57</v>
      </c>
      <c r="G3783" t="s">
        <v>162</v>
      </c>
      <c r="H3783" t="s">
        <v>163</v>
      </c>
      <c r="I3783" t="s">
        <v>163</v>
      </c>
      <c r="J3783" t="s">
        <v>60</v>
      </c>
      <c r="K3783" t="s">
        <v>164</v>
      </c>
      <c r="L3783" t="s">
        <v>62</v>
      </c>
      <c r="M3783" t="s">
        <v>164</v>
      </c>
      <c r="N3783" t="s">
        <v>165</v>
      </c>
      <c r="O3783" t="s">
        <v>166</v>
      </c>
      <c r="P3783">
        <v>-20.175967</v>
      </c>
      <c r="Q3783">
        <v>-44.876730000000002</v>
      </c>
      <c r="R3783" s="2" t="str">
        <f>HYPERLINK("https://www.google.com/maps?q=-20.1759670,-44.8767300","Abrir no Google Maps")</f>
        <v>Abrir no Google Maps</v>
      </c>
      <c r="S3783">
        <v>4</v>
      </c>
      <c r="T3783">
        <v>692.5753730151132</v>
      </c>
      <c r="U3783">
        <v>4</v>
      </c>
      <c r="V3783">
        <v>0.4565138439964348</v>
      </c>
      <c r="W3783">
        <v>1</v>
      </c>
      <c r="X3783">
        <v>0.4565138439964348</v>
      </c>
      <c r="Y3783">
        <v>232</v>
      </c>
      <c r="Z3783">
        <v>686.15054949166824</v>
      </c>
      <c r="AA3783">
        <v>198</v>
      </c>
      <c r="AB3783">
        <v>332</v>
      </c>
      <c r="AC3783">
        <v>536</v>
      </c>
      <c r="AD3783">
        <v>33.19</v>
      </c>
      <c r="AE3783">
        <v>542</v>
      </c>
      <c r="AF3783">
        <v>41</v>
      </c>
      <c r="AG3783">
        <v>175</v>
      </c>
      <c r="AH3783">
        <v>129</v>
      </c>
      <c r="AI3783">
        <v>7.56</v>
      </c>
      <c r="AJ3783">
        <v>32.29</v>
      </c>
      <c r="AK3783">
        <v>23.8</v>
      </c>
      <c r="AL3783">
        <v>-20.17598664999997</v>
      </c>
      <c r="AM3783">
        <v>-44.876806510253203</v>
      </c>
      <c r="AN3783">
        <v>-20.17598664999997</v>
      </c>
      <c r="AO3783">
        <v>-44.876806510253203</v>
      </c>
      <c r="AP3783">
        <v>-20.175967</v>
      </c>
      <c r="AQ3783">
        <v>-44.876730000000002</v>
      </c>
      <c r="AR3783">
        <v>8.2883514287440097</v>
      </c>
      <c r="AS3783" t="s">
        <v>65</v>
      </c>
      <c r="AT3783">
        <v>1</v>
      </c>
      <c r="AU3783" t="s">
        <v>167</v>
      </c>
      <c r="AV3783" t="s">
        <v>168</v>
      </c>
      <c r="AW3783" t="s">
        <v>60</v>
      </c>
      <c r="AX3783" t="s">
        <v>68</v>
      </c>
      <c r="AY3783" t="s">
        <v>69</v>
      </c>
      <c r="AZ3783" t="b">
        <v>1</v>
      </c>
    </row>
    <row r="3784" spans="1:52" x14ac:dyDescent="0.3">
      <c r="A3784" t="s">
        <v>52</v>
      </c>
      <c r="B3784" t="s">
        <v>53</v>
      </c>
      <c r="C3784" t="s">
        <v>54</v>
      </c>
      <c r="D3784" t="s">
        <v>55</v>
      </c>
      <c r="E3784" t="s">
        <v>2206</v>
      </c>
      <c r="F3784" t="s">
        <v>57</v>
      </c>
      <c r="G3784" t="s">
        <v>347</v>
      </c>
      <c r="H3784" t="s">
        <v>348</v>
      </c>
      <c r="I3784" t="s">
        <v>348</v>
      </c>
      <c r="J3784" t="s">
        <v>60</v>
      </c>
      <c r="K3784" t="s">
        <v>157</v>
      </c>
      <c r="L3784" t="s">
        <v>62</v>
      </c>
      <c r="M3784" t="s">
        <v>157</v>
      </c>
      <c r="N3784" t="s">
        <v>349</v>
      </c>
      <c r="O3784" t="s">
        <v>350</v>
      </c>
      <c r="P3784">
        <v>-20.171206999999999</v>
      </c>
      <c r="Q3784">
        <v>-44.881143999999999</v>
      </c>
      <c r="R3784" s="2" t="str">
        <f>HYPERLINK("https://www.google.com/maps?q=-20.1712070,-44.8811440","Abrir no Google Maps")</f>
        <v>Abrir no Google Maps</v>
      </c>
      <c r="S3784">
        <v>4</v>
      </c>
      <c r="T3784">
        <v>0</v>
      </c>
      <c r="U3784">
        <v>4</v>
      </c>
      <c r="V3784">
        <v>0.4300839992552315</v>
      </c>
      <c r="W3784">
        <v>1</v>
      </c>
      <c r="X3784">
        <v>0.4300839992552315</v>
      </c>
      <c r="Y3784">
        <v>232</v>
      </c>
      <c r="Z3784">
        <v>184.81719774496389</v>
      </c>
      <c r="AA3784">
        <v>198</v>
      </c>
      <c r="AB3784">
        <v>332</v>
      </c>
      <c r="AC3784">
        <v>536</v>
      </c>
      <c r="AD3784">
        <v>33.19</v>
      </c>
      <c r="AE3784">
        <v>542</v>
      </c>
      <c r="AF3784">
        <v>41</v>
      </c>
      <c r="AG3784">
        <v>175</v>
      </c>
      <c r="AH3784">
        <v>129</v>
      </c>
      <c r="AI3784">
        <v>7.56</v>
      </c>
      <c r="AJ3784">
        <v>32.29</v>
      </c>
      <c r="AK3784">
        <v>23.8</v>
      </c>
      <c r="AL3784">
        <v>-20.171229949999969</v>
      </c>
      <c r="AM3784">
        <v>-44.881113944480241</v>
      </c>
      <c r="AN3784">
        <v>-20.171229949999969</v>
      </c>
      <c r="AO3784">
        <v>-44.881113944480241</v>
      </c>
      <c r="AP3784">
        <v>-20.171206999999999</v>
      </c>
      <c r="AQ3784">
        <v>-44.881143999999999</v>
      </c>
      <c r="AR3784">
        <v>4.0484763362859333</v>
      </c>
      <c r="AS3784" t="s">
        <v>65</v>
      </c>
      <c r="AT3784">
        <v>1</v>
      </c>
      <c r="AU3784" t="s">
        <v>351</v>
      </c>
      <c r="AV3784" t="s">
        <v>352</v>
      </c>
      <c r="AW3784" t="s">
        <v>60</v>
      </c>
      <c r="AX3784" t="s">
        <v>68</v>
      </c>
      <c r="AY3784" t="s">
        <v>69</v>
      </c>
      <c r="AZ3784" t="b">
        <v>1</v>
      </c>
    </row>
    <row r="3785" spans="1:52" x14ac:dyDescent="0.3">
      <c r="A3785" t="s">
        <v>52</v>
      </c>
      <c r="B3785" t="s">
        <v>53</v>
      </c>
      <c r="C3785" t="s">
        <v>54</v>
      </c>
      <c r="D3785" t="s">
        <v>55</v>
      </c>
      <c r="E3785" t="s">
        <v>2206</v>
      </c>
      <c r="F3785" t="s">
        <v>57</v>
      </c>
      <c r="G3785" t="s">
        <v>1127</v>
      </c>
      <c r="H3785" t="s">
        <v>1643</v>
      </c>
      <c r="I3785" t="s">
        <v>1643</v>
      </c>
      <c r="J3785" t="s">
        <v>60</v>
      </c>
      <c r="K3785" t="s">
        <v>1644</v>
      </c>
      <c r="L3785" t="s">
        <v>62</v>
      </c>
      <c r="M3785" t="s">
        <v>1644</v>
      </c>
      <c r="N3785" t="s">
        <v>1645</v>
      </c>
      <c r="O3785" t="s">
        <v>1646</v>
      </c>
      <c r="P3785">
        <v>-20.144261</v>
      </c>
      <c r="Q3785">
        <v>-44.872231999999997</v>
      </c>
      <c r="R3785" s="2" t="str">
        <f>HYPERLINK("https://www.google.com/maps?q=-20.1442610,-44.8722320","Abrir no Google Maps")</f>
        <v>Abrir no Google Maps</v>
      </c>
      <c r="S3785">
        <v>4</v>
      </c>
      <c r="T3785">
        <v>347.76810049345352</v>
      </c>
      <c r="U3785">
        <v>4</v>
      </c>
      <c r="V3785">
        <v>0.52388174260134801</v>
      </c>
      <c r="W3785">
        <v>0.85</v>
      </c>
      <c r="X3785">
        <v>0.44529948121114582</v>
      </c>
      <c r="Y3785">
        <v>209</v>
      </c>
      <c r="Z3785">
        <v>239.9249814054366</v>
      </c>
      <c r="AA3785">
        <v>198</v>
      </c>
      <c r="AB3785">
        <v>332</v>
      </c>
      <c r="AC3785">
        <v>536</v>
      </c>
      <c r="AD3785">
        <v>33.19</v>
      </c>
      <c r="AE3785">
        <v>542</v>
      </c>
      <c r="AF3785">
        <v>41</v>
      </c>
      <c r="AG3785">
        <v>175</v>
      </c>
      <c r="AH3785">
        <v>129</v>
      </c>
      <c r="AI3785">
        <v>7.56</v>
      </c>
      <c r="AJ3785">
        <v>32.29</v>
      </c>
      <c r="AK3785">
        <v>23.8</v>
      </c>
      <c r="AL3785">
        <v>-20.144283649999949</v>
      </c>
      <c r="AM3785">
        <v>-44.872299150008573</v>
      </c>
      <c r="AN3785">
        <v>-20.144283649999949</v>
      </c>
      <c r="AO3785">
        <v>-44.872299150008573</v>
      </c>
      <c r="AP3785">
        <v>-20.144261</v>
      </c>
      <c r="AQ3785">
        <v>-44.872231999999997</v>
      </c>
      <c r="AR3785">
        <v>7.4570759248114484</v>
      </c>
      <c r="AS3785" t="s">
        <v>65</v>
      </c>
      <c r="AT3785">
        <v>1</v>
      </c>
      <c r="AU3785" t="s">
        <v>1647</v>
      </c>
      <c r="AV3785" t="s">
        <v>1648</v>
      </c>
      <c r="AW3785" t="s">
        <v>60</v>
      </c>
      <c r="AX3785" t="s">
        <v>68</v>
      </c>
      <c r="AY3785" t="s">
        <v>69</v>
      </c>
      <c r="AZ3785" t="b">
        <v>1</v>
      </c>
    </row>
    <row r="3786" spans="1:52" x14ac:dyDescent="0.3">
      <c r="A3786" t="s">
        <v>52</v>
      </c>
      <c r="B3786" t="s">
        <v>53</v>
      </c>
      <c r="C3786" t="s">
        <v>54</v>
      </c>
      <c r="D3786" t="s">
        <v>55</v>
      </c>
      <c r="E3786" t="s">
        <v>2206</v>
      </c>
      <c r="F3786" t="s">
        <v>57</v>
      </c>
      <c r="G3786" t="s">
        <v>353</v>
      </c>
      <c r="H3786" t="s">
        <v>354</v>
      </c>
      <c r="I3786" t="s">
        <v>354</v>
      </c>
      <c r="J3786" t="s">
        <v>60</v>
      </c>
      <c r="K3786" t="s">
        <v>355</v>
      </c>
      <c r="L3786" t="s">
        <v>62</v>
      </c>
      <c r="M3786" t="s">
        <v>355</v>
      </c>
      <c r="N3786" t="s">
        <v>356</v>
      </c>
      <c r="O3786" t="s">
        <v>357</v>
      </c>
      <c r="P3786">
        <v>-20.147373999999999</v>
      </c>
      <c r="Q3786">
        <v>-44.875141999999997</v>
      </c>
      <c r="R3786" s="2" t="str">
        <f>HYPERLINK("https://www.google.com/maps?q=-20.1473740,-44.8751420","Abrir no Google Maps")</f>
        <v>Abrir no Google Maps</v>
      </c>
      <c r="S3786">
        <v>4</v>
      </c>
      <c r="T3786">
        <v>394.29708169591709</v>
      </c>
      <c r="U3786">
        <v>4</v>
      </c>
      <c r="V3786">
        <v>0.41765826619050328</v>
      </c>
      <c r="W3786">
        <v>1</v>
      </c>
      <c r="X3786">
        <v>0.41765826619050328</v>
      </c>
      <c r="Y3786">
        <v>209</v>
      </c>
      <c r="Z3786">
        <v>326.95034461828868</v>
      </c>
      <c r="AA3786">
        <v>198</v>
      </c>
      <c r="AB3786">
        <v>332</v>
      </c>
      <c r="AC3786">
        <v>536</v>
      </c>
      <c r="AD3786">
        <v>33.19</v>
      </c>
      <c r="AE3786">
        <v>542</v>
      </c>
      <c r="AF3786">
        <v>41</v>
      </c>
      <c r="AG3786">
        <v>175</v>
      </c>
      <c r="AH3786">
        <v>129</v>
      </c>
      <c r="AI3786">
        <v>7.56</v>
      </c>
      <c r="AJ3786">
        <v>32.29</v>
      </c>
      <c r="AK3786">
        <v>23.8</v>
      </c>
      <c r="AL3786">
        <v>-20.147207999999949</v>
      </c>
      <c r="AM3786">
        <v>-44.875152120336942</v>
      </c>
      <c r="AN3786">
        <v>-20.147207999999949</v>
      </c>
      <c r="AO3786">
        <v>-44.875152120336942</v>
      </c>
      <c r="AP3786">
        <v>-20.147373999999999</v>
      </c>
      <c r="AQ3786">
        <v>-44.875141999999997</v>
      </c>
      <c r="AR3786">
        <v>18.509363081081169</v>
      </c>
      <c r="AS3786" t="s">
        <v>65</v>
      </c>
      <c r="AT3786">
        <v>1</v>
      </c>
      <c r="AU3786" t="s">
        <v>358</v>
      </c>
      <c r="AV3786" t="s">
        <v>359</v>
      </c>
      <c r="AW3786" t="s">
        <v>60</v>
      </c>
      <c r="AX3786" t="s">
        <v>68</v>
      </c>
      <c r="AY3786" t="s">
        <v>69</v>
      </c>
      <c r="AZ3786" t="b">
        <v>1</v>
      </c>
    </row>
    <row r="3787" spans="1:52" x14ac:dyDescent="0.3">
      <c r="A3787" t="s">
        <v>52</v>
      </c>
      <c r="B3787" t="s">
        <v>53</v>
      </c>
      <c r="C3787" t="s">
        <v>54</v>
      </c>
      <c r="D3787" t="s">
        <v>55</v>
      </c>
      <c r="E3787" t="s">
        <v>2206</v>
      </c>
      <c r="F3787" t="s">
        <v>57</v>
      </c>
      <c r="G3787" t="s">
        <v>1649</v>
      </c>
      <c r="H3787" t="s">
        <v>1650</v>
      </c>
      <c r="I3787" t="s">
        <v>1650</v>
      </c>
      <c r="J3787" t="s">
        <v>60</v>
      </c>
      <c r="K3787" t="s">
        <v>355</v>
      </c>
      <c r="L3787" t="s">
        <v>62</v>
      </c>
      <c r="M3787" t="s">
        <v>355</v>
      </c>
      <c r="N3787" t="s">
        <v>1651</v>
      </c>
      <c r="O3787" t="s">
        <v>293</v>
      </c>
      <c r="P3787">
        <v>-20.141983</v>
      </c>
      <c r="Q3787">
        <v>-44.871161000000001</v>
      </c>
      <c r="R3787" s="2" t="str">
        <f>HYPERLINK("https://www.google.com/maps?q=-20.1419830,-44.8711610","Abrir no Google Maps")</f>
        <v>Abrir no Google Maps</v>
      </c>
      <c r="S3787">
        <v>4</v>
      </c>
      <c r="T3787">
        <v>492.40092389187612</v>
      </c>
      <c r="U3787">
        <v>4</v>
      </c>
      <c r="V3787">
        <v>0.50815408684351671</v>
      </c>
      <c r="W3787">
        <v>1</v>
      </c>
      <c r="X3787">
        <v>0.50815408684351671</v>
      </c>
      <c r="Y3787">
        <v>209</v>
      </c>
      <c r="Z3787">
        <v>425.51195583014947</v>
      </c>
      <c r="AA3787">
        <v>198</v>
      </c>
      <c r="AB3787">
        <v>332</v>
      </c>
      <c r="AC3787">
        <v>536</v>
      </c>
      <c r="AD3787">
        <v>33.19</v>
      </c>
      <c r="AE3787">
        <v>542</v>
      </c>
      <c r="AF3787">
        <v>41</v>
      </c>
      <c r="AG3787">
        <v>175</v>
      </c>
      <c r="AH3787">
        <v>129</v>
      </c>
      <c r="AI3787">
        <v>7.56</v>
      </c>
      <c r="AJ3787">
        <v>32.29</v>
      </c>
      <c r="AK3787">
        <v>23.8</v>
      </c>
      <c r="AL3787">
        <v>-20.142006349999971</v>
      </c>
      <c r="AM3787">
        <v>-44.871190369486733</v>
      </c>
      <c r="AN3787">
        <v>-20.142006349999981</v>
      </c>
      <c r="AO3787">
        <v>-44.871190369486733</v>
      </c>
      <c r="AP3787">
        <v>-20.141983</v>
      </c>
      <c r="AQ3787">
        <v>-44.871161000000001</v>
      </c>
      <c r="AR3787">
        <v>4.0221964388318616</v>
      </c>
      <c r="AS3787" t="s">
        <v>65</v>
      </c>
      <c r="AT3787">
        <v>1</v>
      </c>
      <c r="AU3787" t="s">
        <v>1652</v>
      </c>
      <c r="AV3787" t="s">
        <v>1653</v>
      </c>
      <c r="AW3787" t="s">
        <v>60</v>
      </c>
      <c r="AX3787" t="s">
        <v>68</v>
      </c>
      <c r="AY3787" t="s">
        <v>69</v>
      </c>
      <c r="AZ3787" t="b">
        <v>1</v>
      </c>
    </row>
    <row r="3788" spans="1:52" x14ac:dyDescent="0.3">
      <c r="A3788" t="s">
        <v>52</v>
      </c>
      <c r="B3788" t="s">
        <v>53</v>
      </c>
      <c r="C3788" t="s">
        <v>54</v>
      </c>
      <c r="D3788" t="s">
        <v>55</v>
      </c>
      <c r="E3788" t="s">
        <v>2206</v>
      </c>
      <c r="F3788" t="s">
        <v>57</v>
      </c>
      <c r="G3788" t="s">
        <v>1654</v>
      </c>
      <c r="H3788" t="s">
        <v>1655</v>
      </c>
      <c r="I3788" t="s">
        <v>1655</v>
      </c>
      <c r="J3788" t="s">
        <v>60</v>
      </c>
      <c r="K3788" t="s">
        <v>368</v>
      </c>
      <c r="L3788" t="s">
        <v>62</v>
      </c>
      <c r="M3788" t="s">
        <v>368</v>
      </c>
      <c r="N3788" t="s">
        <v>1656</v>
      </c>
      <c r="O3788" t="s">
        <v>1657</v>
      </c>
      <c r="P3788">
        <v>-20.143647999999999</v>
      </c>
      <c r="Q3788">
        <v>-44.870466</v>
      </c>
      <c r="R3788" s="2" t="str">
        <f>HYPERLINK("https://www.google.com/maps?q=-20.1436480,-44.8704660","Abrir no Google Maps")</f>
        <v>Abrir no Google Maps</v>
      </c>
      <c r="S3788">
        <v>4</v>
      </c>
      <c r="T3788">
        <v>545.81556277505979</v>
      </c>
      <c r="U3788">
        <v>4</v>
      </c>
      <c r="V3788">
        <v>0.47777184392616789</v>
      </c>
      <c r="W3788">
        <v>1</v>
      </c>
      <c r="X3788">
        <v>0.47777184392616789</v>
      </c>
      <c r="Y3788">
        <v>198</v>
      </c>
      <c r="Z3788">
        <v>258.83396188518708</v>
      </c>
      <c r="AA3788">
        <v>198</v>
      </c>
      <c r="AB3788">
        <v>332</v>
      </c>
      <c r="AC3788">
        <v>536</v>
      </c>
      <c r="AD3788">
        <v>33.19</v>
      </c>
      <c r="AE3788">
        <v>542</v>
      </c>
      <c r="AF3788">
        <v>41</v>
      </c>
      <c r="AG3788">
        <v>175</v>
      </c>
      <c r="AH3788">
        <v>129</v>
      </c>
      <c r="AI3788">
        <v>7.56</v>
      </c>
      <c r="AJ3788">
        <v>32.29</v>
      </c>
      <c r="AK3788">
        <v>23.8</v>
      </c>
      <c r="AL3788">
        <v>-20.143704099999951</v>
      </c>
      <c r="AM3788">
        <v>-44.870339403868741</v>
      </c>
      <c r="AN3788">
        <v>-20.143704099999951</v>
      </c>
      <c r="AO3788">
        <v>-44.870339403868741</v>
      </c>
      <c r="AP3788">
        <v>-20.143647999999999</v>
      </c>
      <c r="AQ3788">
        <v>-44.870466</v>
      </c>
      <c r="AR3788">
        <v>14.63048136060379</v>
      </c>
      <c r="AS3788" t="s">
        <v>65</v>
      </c>
      <c r="AT3788">
        <v>1</v>
      </c>
      <c r="AU3788" t="s">
        <v>1658</v>
      </c>
      <c r="AV3788" t="s">
        <v>1659</v>
      </c>
      <c r="AW3788" t="s">
        <v>60</v>
      </c>
      <c r="AX3788" t="s">
        <v>68</v>
      </c>
      <c r="AY3788" t="s">
        <v>69</v>
      </c>
      <c r="AZ3788" t="b">
        <v>1</v>
      </c>
    </row>
    <row r="3789" spans="1:52" x14ac:dyDescent="0.3">
      <c r="A3789" t="s">
        <v>52</v>
      </c>
      <c r="B3789" t="s">
        <v>53</v>
      </c>
      <c r="C3789" t="s">
        <v>54</v>
      </c>
      <c r="D3789" t="s">
        <v>55</v>
      </c>
      <c r="E3789" t="s">
        <v>2206</v>
      </c>
      <c r="F3789" t="s">
        <v>57</v>
      </c>
      <c r="G3789" t="s">
        <v>1660</v>
      </c>
      <c r="H3789" t="s">
        <v>1661</v>
      </c>
      <c r="I3789" t="s">
        <v>1661</v>
      </c>
      <c r="J3789" t="s">
        <v>60</v>
      </c>
      <c r="K3789" t="s">
        <v>164</v>
      </c>
      <c r="L3789" t="s">
        <v>62</v>
      </c>
      <c r="M3789" t="s">
        <v>164</v>
      </c>
      <c r="N3789" t="s">
        <v>1662</v>
      </c>
      <c r="O3789" t="s">
        <v>1663</v>
      </c>
      <c r="P3789">
        <v>-20.181692000000002</v>
      </c>
      <c r="Q3789">
        <v>-44.877276000000002</v>
      </c>
      <c r="R3789" s="2" t="str">
        <f>HYPERLINK("https://www.google.com/maps?q=-20.1816920,-44.8772760","Abrir no Google Maps")</f>
        <v>Abrir no Google Maps</v>
      </c>
      <c r="S3789">
        <v>4</v>
      </c>
      <c r="T3789">
        <v>630.49689192580956</v>
      </c>
      <c r="U3789">
        <v>4</v>
      </c>
      <c r="V3789">
        <v>0.49331734905592178</v>
      </c>
      <c r="W3789">
        <v>1</v>
      </c>
      <c r="X3789">
        <v>0.49331734905592178</v>
      </c>
      <c r="Y3789">
        <v>101</v>
      </c>
      <c r="Z3789">
        <v>732.81472992851411</v>
      </c>
      <c r="AA3789">
        <v>198</v>
      </c>
      <c r="AB3789">
        <v>332</v>
      </c>
      <c r="AC3789">
        <v>536</v>
      </c>
      <c r="AD3789">
        <v>33.19</v>
      </c>
      <c r="AE3789">
        <v>542</v>
      </c>
      <c r="AF3789">
        <v>41</v>
      </c>
      <c r="AG3789">
        <v>175</v>
      </c>
      <c r="AH3789">
        <v>129</v>
      </c>
      <c r="AI3789">
        <v>7.56</v>
      </c>
      <c r="AJ3789">
        <v>32.29</v>
      </c>
      <c r="AK3789">
        <v>23.8</v>
      </c>
      <c r="AL3789">
        <v>-20.181644349999971</v>
      </c>
      <c r="AM3789">
        <v>-44.876890970787557</v>
      </c>
      <c r="AN3789">
        <v>-20.181644349999971</v>
      </c>
      <c r="AO3789">
        <v>-44.876890970787557</v>
      </c>
      <c r="AP3789">
        <v>-20.181692000000002</v>
      </c>
      <c r="AQ3789">
        <v>-44.877276000000002</v>
      </c>
      <c r="AR3789">
        <v>40.578104107908509</v>
      </c>
      <c r="AS3789" t="s">
        <v>65</v>
      </c>
      <c r="AT3789">
        <v>1</v>
      </c>
      <c r="AU3789" t="s">
        <v>1664</v>
      </c>
      <c r="AV3789" t="s">
        <v>1665</v>
      </c>
      <c r="AW3789" t="s">
        <v>60</v>
      </c>
      <c r="AX3789" t="s">
        <v>68</v>
      </c>
      <c r="AY3789" t="s">
        <v>69</v>
      </c>
      <c r="AZ3789" t="b">
        <v>1</v>
      </c>
    </row>
    <row r="3790" spans="1:52" x14ac:dyDescent="0.3">
      <c r="A3790" t="s">
        <v>52</v>
      </c>
      <c r="B3790" t="s">
        <v>53</v>
      </c>
      <c r="C3790" t="s">
        <v>54</v>
      </c>
      <c r="D3790" t="s">
        <v>55</v>
      </c>
      <c r="E3790" t="s">
        <v>2206</v>
      </c>
      <c r="F3790" t="s">
        <v>57</v>
      </c>
      <c r="G3790" t="s">
        <v>1739</v>
      </c>
      <c r="H3790" t="s">
        <v>1740</v>
      </c>
      <c r="I3790" t="s">
        <v>1740</v>
      </c>
      <c r="J3790" t="s">
        <v>60</v>
      </c>
      <c r="K3790" t="s">
        <v>164</v>
      </c>
      <c r="L3790" t="s">
        <v>62</v>
      </c>
      <c r="M3790" t="s">
        <v>164</v>
      </c>
      <c r="N3790" t="s">
        <v>1741</v>
      </c>
      <c r="O3790" t="s">
        <v>395</v>
      </c>
      <c r="P3790">
        <v>-20.185585</v>
      </c>
      <c r="Q3790">
        <v>-44.881284000000001</v>
      </c>
      <c r="R3790" s="2" t="str">
        <f>HYPERLINK("https://www.google.com/maps?q=-20.1855850,-44.8812840","Abrir no Google Maps")</f>
        <v>Abrir no Google Maps</v>
      </c>
      <c r="S3790">
        <v>4</v>
      </c>
      <c r="T3790">
        <v>0</v>
      </c>
      <c r="U3790">
        <v>4</v>
      </c>
      <c r="V3790">
        <v>0.50193923050789879</v>
      </c>
      <c r="W3790">
        <v>0.85</v>
      </c>
      <c r="X3790">
        <v>0.42664834593171402</v>
      </c>
      <c r="Y3790">
        <v>101</v>
      </c>
      <c r="Z3790">
        <v>50.899335234186083</v>
      </c>
      <c r="AA3790">
        <v>198</v>
      </c>
      <c r="AB3790">
        <v>332</v>
      </c>
      <c r="AC3790">
        <v>536</v>
      </c>
      <c r="AD3790">
        <v>33.19</v>
      </c>
      <c r="AE3790">
        <v>542</v>
      </c>
      <c r="AF3790">
        <v>41</v>
      </c>
      <c r="AG3790">
        <v>175</v>
      </c>
      <c r="AH3790">
        <v>129</v>
      </c>
      <c r="AI3790">
        <v>7.56</v>
      </c>
      <c r="AJ3790">
        <v>32.29</v>
      </c>
      <c r="AK3790">
        <v>23.8</v>
      </c>
      <c r="AL3790">
        <v>-20.185672099999952</v>
      </c>
      <c r="AM3790">
        <v>-44.881158973926922</v>
      </c>
      <c r="AN3790">
        <v>-20.185672099999952</v>
      </c>
      <c r="AO3790">
        <v>-44.881158973926922</v>
      </c>
      <c r="AP3790">
        <v>-20.185585</v>
      </c>
      <c r="AQ3790">
        <v>-44.881284000000001</v>
      </c>
      <c r="AR3790">
        <v>16.268229707677129</v>
      </c>
      <c r="AS3790" t="s">
        <v>65</v>
      </c>
      <c r="AT3790">
        <v>1</v>
      </c>
      <c r="AU3790" t="s">
        <v>1742</v>
      </c>
      <c r="AV3790" t="s">
        <v>1743</v>
      </c>
      <c r="AW3790" t="s">
        <v>60</v>
      </c>
      <c r="AX3790" t="s">
        <v>68</v>
      </c>
      <c r="AY3790" t="s">
        <v>69</v>
      </c>
      <c r="AZ3790" t="b">
        <v>1</v>
      </c>
    </row>
    <row r="3791" spans="1:52" x14ac:dyDescent="0.3">
      <c r="A3791" t="s">
        <v>52</v>
      </c>
      <c r="B3791" t="s">
        <v>53</v>
      </c>
      <c r="C3791" t="s">
        <v>54</v>
      </c>
      <c r="D3791" t="s">
        <v>55</v>
      </c>
      <c r="E3791" t="s">
        <v>2206</v>
      </c>
      <c r="F3791" t="s">
        <v>57</v>
      </c>
      <c r="G3791" t="s">
        <v>1666</v>
      </c>
      <c r="H3791" t="s">
        <v>1667</v>
      </c>
      <c r="I3791" t="s">
        <v>1667</v>
      </c>
      <c r="J3791" t="s">
        <v>60</v>
      </c>
      <c r="K3791" t="s">
        <v>164</v>
      </c>
      <c r="L3791" t="s">
        <v>62</v>
      </c>
      <c r="M3791" t="s">
        <v>164</v>
      </c>
      <c r="N3791" t="s">
        <v>1668</v>
      </c>
      <c r="O3791" t="s">
        <v>977</v>
      </c>
      <c r="P3791">
        <v>-20.188607999999999</v>
      </c>
      <c r="Q3791">
        <v>-44.884746999999997</v>
      </c>
      <c r="R3791" s="2" t="str">
        <f>HYPERLINK("https://www.google.com/maps?q=-20.1886080,-44.8847470","Abrir no Google Maps")</f>
        <v>Abrir no Google Maps</v>
      </c>
      <c r="S3791">
        <v>4</v>
      </c>
      <c r="T3791">
        <v>501.52638987448978</v>
      </c>
      <c r="U3791">
        <v>4</v>
      </c>
      <c r="V3791">
        <v>0.52286455494670314</v>
      </c>
      <c r="W3791">
        <v>0.85</v>
      </c>
      <c r="X3791">
        <v>0.44443487170469759</v>
      </c>
      <c r="Y3791">
        <v>101</v>
      </c>
      <c r="Z3791">
        <v>489.47740203600989</v>
      </c>
      <c r="AA3791">
        <v>198</v>
      </c>
      <c r="AB3791">
        <v>332</v>
      </c>
      <c r="AC3791">
        <v>536</v>
      </c>
      <c r="AD3791">
        <v>33.19</v>
      </c>
      <c r="AE3791">
        <v>542</v>
      </c>
      <c r="AF3791">
        <v>41</v>
      </c>
      <c r="AG3791">
        <v>175</v>
      </c>
      <c r="AH3791">
        <v>129</v>
      </c>
      <c r="AI3791">
        <v>7.56</v>
      </c>
      <c r="AJ3791">
        <v>32.29</v>
      </c>
      <c r="AK3791">
        <v>23.8</v>
      </c>
      <c r="AL3791">
        <v>-20.188808899999941</v>
      </c>
      <c r="AM3791">
        <v>-44.884623554762321</v>
      </c>
      <c r="AN3791">
        <v>-20.188808899999941</v>
      </c>
      <c r="AO3791">
        <v>-44.884623554762321</v>
      </c>
      <c r="AP3791">
        <v>-20.188607999999999</v>
      </c>
      <c r="AQ3791">
        <v>-44.884746999999997</v>
      </c>
      <c r="AR3791">
        <v>25.8167710394147</v>
      </c>
      <c r="AS3791" t="s">
        <v>65</v>
      </c>
      <c r="AT3791">
        <v>1</v>
      </c>
      <c r="AU3791" t="s">
        <v>1669</v>
      </c>
      <c r="AV3791" t="s">
        <v>1670</v>
      </c>
      <c r="AW3791" t="s">
        <v>60</v>
      </c>
      <c r="AX3791" t="s">
        <v>68</v>
      </c>
      <c r="AY3791" t="s">
        <v>69</v>
      </c>
      <c r="AZ3791" t="b">
        <v>1</v>
      </c>
    </row>
    <row r="3792" spans="1:52" x14ac:dyDescent="0.3">
      <c r="A3792" t="s">
        <v>52</v>
      </c>
      <c r="B3792" t="s">
        <v>53</v>
      </c>
      <c r="C3792" t="s">
        <v>54</v>
      </c>
      <c r="D3792" t="s">
        <v>55</v>
      </c>
      <c r="E3792" t="s">
        <v>2206</v>
      </c>
      <c r="F3792" t="s">
        <v>57</v>
      </c>
      <c r="G3792" t="s">
        <v>373</v>
      </c>
      <c r="H3792" t="s">
        <v>374</v>
      </c>
      <c r="I3792" t="s">
        <v>374</v>
      </c>
      <c r="J3792" t="s">
        <v>60</v>
      </c>
      <c r="K3792" t="s">
        <v>375</v>
      </c>
      <c r="L3792" t="s">
        <v>62</v>
      </c>
      <c r="M3792" t="s">
        <v>375</v>
      </c>
      <c r="N3792" t="s">
        <v>376</v>
      </c>
      <c r="O3792" t="s">
        <v>377</v>
      </c>
      <c r="P3792">
        <v>-20.178172</v>
      </c>
      <c r="Q3792">
        <v>-44.882871999999999</v>
      </c>
      <c r="R3792" s="2" t="str">
        <f>HYPERLINK("https://www.google.com/maps?q=-20.1781720,-44.8828720","Abrir no Google Maps")</f>
        <v>Abrir no Google Maps</v>
      </c>
      <c r="S3792">
        <v>4</v>
      </c>
      <c r="T3792">
        <v>817.23317190190858</v>
      </c>
      <c r="U3792">
        <v>4</v>
      </c>
      <c r="V3792">
        <v>0.52889894390581715</v>
      </c>
      <c r="W3792">
        <v>1</v>
      </c>
      <c r="X3792">
        <v>0.52889894390581715</v>
      </c>
      <c r="Y3792">
        <v>101</v>
      </c>
      <c r="Z3792">
        <v>845.03006728789421</v>
      </c>
      <c r="AA3792">
        <v>198</v>
      </c>
      <c r="AB3792">
        <v>332</v>
      </c>
      <c r="AC3792">
        <v>536</v>
      </c>
      <c r="AD3792">
        <v>33.19</v>
      </c>
      <c r="AE3792">
        <v>542</v>
      </c>
      <c r="AF3792">
        <v>41</v>
      </c>
      <c r="AG3792">
        <v>175</v>
      </c>
      <c r="AH3792">
        <v>129</v>
      </c>
      <c r="AI3792">
        <v>7.56</v>
      </c>
      <c r="AJ3792">
        <v>32.29</v>
      </c>
      <c r="AK3792">
        <v>23.8</v>
      </c>
      <c r="AL3792">
        <v>-20.178380049999959</v>
      </c>
      <c r="AM3792">
        <v>-44.883070555357122</v>
      </c>
      <c r="AN3792">
        <v>-20.178380049999959</v>
      </c>
      <c r="AO3792">
        <v>-44.883070555357122</v>
      </c>
      <c r="AP3792">
        <v>-20.178172</v>
      </c>
      <c r="AQ3792">
        <v>-44.882871999999999</v>
      </c>
      <c r="AR3792">
        <v>31.093588149250511</v>
      </c>
      <c r="AS3792" t="s">
        <v>65</v>
      </c>
      <c r="AT3792">
        <v>1</v>
      </c>
      <c r="AU3792" t="s">
        <v>378</v>
      </c>
      <c r="AV3792" t="s">
        <v>379</v>
      </c>
      <c r="AW3792" t="s">
        <v>60</v>
      </c>
      <c r="AX3792" t="s">
        <v>68</v>
      </c>
      <c r="AY3792" t="s">
        <v>69</v>
      </c>
      <c r="AZ3792" t="b">
        <v>1</v>
      </c>
    </row>
    <row r="3793" spans="1:52" x14ac:dyDescent="0.3">
      <c r="A3793" t="s">
        <v>52</v>
      </c>
      <c r="B3793" t="s">
        <v>53</v>
      </c>
      <c r="C3793" t="s">
        <v>54</v>
      </c>
      <c r="D3793" t="s">
        <v>55</v>
      </c>
      <c r="E3793" t="s">
        <v>2206</v>
      </c>
      <c r="F3793" t="s">
        <v>57</v>
      </c>
      <c r="G3793" t="s">
        <v>1671</v>
      </c>
      <c r="H3793" t="s">
        <v>1672</v>
      </c>
      <c r="I3793" t="s">
        <v>1672</v>
      </c>
      <c r="J3793" t="s">
        <v>60</v>
      </c>
      <c r="K3793" t="s">
        <v>375</v>
      </c>
      <c r="L3793" t="s">
        <v>62</v>
      </c>
      <c r="M3793" t="s">
        <v>375</v>
      </c>
      <c r="N3793" t="s">
        <v>1673</v>
      </c>
      <c r="O3793" t="s">
        <v>370</v>
      </c>
      <c r="P3793">
        <v>-20.180724000000001</v>
      </c>
      <c r="Q3793">
        <v>-44.886913999999997</v>
      </c>
      <c r="R3793" s="2" t="str">
        <f>HYPERLINK("https://www.google.com/maps?q=-20.1807240,-44.8869140","Abrir no Google Maps")</f>
        <v>Abrir no Google Maps</v>
      </c>
      <c r="S3793">
        <v>4</v>
      </c>
      <c r="T3793">
        <v>814.7424073839951</v>
      </c>
      <c r="U3793">
        <v>4</v>
      </c>
      <c r="V3793">
        <v>0.55451618584458429</v>
      </c>
      <c r="W3793">
        <v>1</v>
      </c>
      <c r="X3793">
        <v>0.55451618584458429</v>
      </c>
      <c r="Y3793">
        <v>101</v>
      </c>
      <c r="Z3793">
        <v>808.23656795472721</v>
      </c>
      <c r="AA3793">
        <v>198</v>
      </c>
      <c r="AB3793">
        <v>332</v>
      </c>
      <c r="AC3793">
        <v>536</v>
      </c>
      <c r="AD3793">
        <v>33.19</v>
      </c>
      <c r="AE3793">
        <v>542</v>
      </c>
      <c r="AF3793">
        <v>41</v>
      </c>
      <c r="AG3793">
        <v>175</v>
      </c>
      <c r="AH3793">
        <v>129</v>
      </c>
      <c r="AI3793">
        <v>7.56</v>
      </c>
      <c r="AJ3793">
        <v>32.29</v>
      </c>
      <c r="AK3793">
        <v>23.8</v>
      </c>
      <c r="AL3793">
        <v>-20.18071869999994</v>
      </c>
      <c r="AM3793">
        <v>-44.886927989725393</v>
      </c>
      <c r="AN3793">
        <v>-20.18071869999994</v>
      </c>
      <c r="AO3793">
        <v>-44.886927989725393</v>
      </c>
      <c r="AP3793">
        <v>-20.180724000000001</v>
      </c>
      <c r="AQ3793">
        <v>-44.886913999999997</v>
      </c>
      <c r="AR3793">
        <v>1.5763090046691759</v>
      </c>
      <c r="AS3793" t="s">
        <v>65</v>
      </c>
      <c r="AT3793">
        <v>1</v>
      </c>
      <c r="AU3793" t="s">
        <v>1674</v>
      </c>
      <c r="AV3793" t="s">
        <v>1642</v>
      </c>
      <c r="AW3793" t="s">
        <v>60</v>
      </c>
      <c r="AX3793" t="s">
        <v>68</v>
      </c>
      <c r="AY3793" t="s">
        <v>69</v>
      </c>
      <c r="AZ3793" t="b">
        <v>1</v>
      </c>
    </row>
    <row r="3794" spans="1:52" x14ac:dyDescent="0.3">
      <c r="A3794" t="s">
        <v>52</v>
      </c>
      <c r="B3794" t="s">
        <v>53</v>
      </c>
      <c r="C3794" t="s">
        <v>54</v>
      </c>
      <c r="D3794" t="s">
        <v>55</v>
      </c>
      <c r="E3794" t="s">
        <v>2206</v>
      </c>
      <c r="F3794" t="s">
        <v>57</v>
      </c>
      <c r="G3794" t="s">
        <v>1671</v>
      </c>
      <c r="H3794" t="s">
        <v>1675</v>
      </c>
      <c r="I3794" t="s">
        <v>1675</v>
      </c>
      <c r="J3794" t="s">
        <v>60</v>
      </c>
      <c r="K3794" t="s">
        <v>1676</v>
      </c>
      <c r="L3794" t="s">
        <v>62</v>
      </c>
      <c r="M3794" t="s">
        <v>1676</v>
      </c>
      <c r="N3794" t="s">
        <v>1673</v>
      </c>
      <c r="O3794" t="s">
        <v>283</v>
      </c>
      <c r="P3794">
        <v>-20.183022000000001</v>
      </c>
      <c r="Q3794">
        <v>-44.885517</v>
      </c>
      <c r="R3794" s="2" t="str">
        <f>HYPERLINK("https://www.google.com/maps?q=-20.1830220,-44.8855170","Abrir no Google Maps")</f>
        <v>Abrir no Google Maps</v>
      </c>
      <c r="S3794">
        <v>4</v>
      </c>
      <c r="T3794">
        <v>532.27605375591554</v>
      </c>
      <c r="U3794">
        <v>4</v>
      </c>
      <c r="V3794">
        <v>0.53096830148352647</v>
      </c>
      <c r="W3794">
        <v>0.85</v>
      </c>
      <c r="X3794">
        <v>0.4513230562609975</v>
      </c>
      <c r="Y3794">
        <v>101</v>
      </c>
      <c r="Z3794">
        <v>549.01511922042539</v>
      </c>
      <c r="AA3794">
        <v>198</v>
      </c>
      <c r="AB3794">
        <v>332</v>
      </c>
      <c r="AC3794">
        <v>536</v>
      </c>
      <c r="AD3794">
        <v>33.19</v>
      </c>
      <c r="AE3794">
        <v>542</v>
      </c>
      <c r="AF3794">
        <v>41</v>
      </c>
      <c r="AG3794">
        <v>175</v>
      </c>
      <c r="AH3794">
        <v>129</v>
      </c>
      <c r="AI3794">
        <v>7.56</v>
      </c>
      <c r="AJ3794">
        <v>32.29</v>
      </c>
      <c r="AK3794">
        <v>23.8</v>
      </c>
      <c r="AL3794">
        <v>-20.182930199999959</v>
      </c>
      <c r="AM3794">
        <v>-44.885344551029888</v>
      </c>
      <c r="AN3794">
        <v>-20.182930199999959</v>
      </c>
      <c r="AO3794">
        <v>-44.885344551029888</v>
      </c>
      <c r="AP3794">
        <v>-20.183022000000001</v>
      </c>
      <c r="AQ3794">
        <v>-44.885517</v>
      </c>
      <c r="AR3794">
        <v>20.714454632752489</v>
      </c>
      <c r="AS3794" t="s">
        <v>65</v>
      </c>
      <c r="AT3794">
        <v>1</v>
      </c>
      <c r="AU3794" t="s">
        <v>1677</v>
      </c>
      <c r="AV3794" t="s">
        <v>1678</v>
      </c>
      <c r="AW3794" t="s">
        <v>60</v>
      </c>
      <c r="AX3794" t="s">
        <v>68</v>
      </c>
      <c r="AY3794" t="s">
        <v>69</v>
      </c>
      <c r="AZ3794" t="b">
        <v>1</v>
      </c>
    </row>
    <row r="3795" spans="1:52" x14ac:dyDescent="0.3">
      <c r="A3795" t="s">
        <v>52</v>
      </c>
      <c r="B3795" t="s">
        <v>53</v>
      </c>
      <c r="C3795" t="s">
        <v>54</v>
      </c>
      <c r="D3795" t="s">
        <v>55</v>
      </c>
      <c r="E3795" t="s">
        <v>2206</v>
      </c>
      <c r="F3795" t="s">
        <v>57</v>
      </c>
      <c r="G3795" t="s">
        <v>176</v>
      </c>
      <c r="H3795" t="s">
        <v>177</v>
      </c>
      <c r="I3795" t="s">
        <v>177</v>
      </c>
      <c r="J3795" t="s">
        <v>60</v>
      </c>
      <c r="K3795" t="s">
        <v>178</v>
      </c>
      <c r="L3795" t="s">
        <v>62</v>
      </c>
      <c r="M3795" t="s">
        <v>178</v>
      </c>
      <c r="N3795" t="s">
        <v>179</v>
      </c>
      <c r="O3795" t="s">
        <v>180</v>
      </c>
      <c r="P3795">
        <v>-20.129152999999999</v>
      </c>
      <c r="Q3795">
        <v>-44.859299</v>
      </c>
      <c r="R3795" s="2" t="str">
        <f>HYPERLINK("https://www.google.com/maps?q=-20.1291530,-44.8592990","Abrir no Google Maps")</f>
        <v>Abrir no Google Maps</v>
      </c>
      <c r="S3795">
        <v>4</v>
      </c>
      <c r="T3795">
        <v>0</v>
      </c>
      <c r="U3795">
        <v>4</v>
      </c>
      <c r="V3795">
        <v>0.4611539877059338</v>
      </c>
      <c r="W3795">
        <v>1</v>
      </c>
      <c r="X3795">
        <v>0.4611539877059338</v>
      </c>
      <c r="Y3795">
        <v>95</v>
      </c>
      <c r="Z3795">
        <v>323.58963420291411</v>
      </c>
      <c r="AA3795">
        <v>198</v>
      </c>
      <c r="AB3795">
        <v>332</v>
      </c>
      <c r="AC3795">
        <v>536</v>
      </c>
      <c r="AD3795">
        <v>33.19</v>
      </c>
      <c r="AE3795">
        <v>542</v>
      </c>
      <c r="AF3795">
        <v>41</v>
      </c>
      <c r="AG3795">
        <v>175</v>
      </c>
      <c r="AH3795">
        <v>129</v>
      </c>
      <c r="AI3795">
        <v>7.56</v>
      </c>
      <c r="AJ3795">
        <v>32.29</v>
      </c>
      <c r="AK3795">
        <v>23.8</v>
      </c>
      <c r="AL3795">
        <v>-20.129260799999969</v>
      </c>
      <c r="AM3795">
        <v>-44.859468344955843</v>
      </c>
      <c r="AN3795">
        <v>-20.129260799999969</v>
      </c>
      <c r="AO3795">
        <v>-44.859468344955843</v>
      </c>
      <c r="AP3795">
        <v>-20.129152999999999</v>
      </c>
      <c r="AQ3795">
        <v>-44.859299</v>
      </c>
      <c r="AR3795">
        <v>21.38451122307773</v>
      </c>
      <c r="AS3795" t="s">
        <v>65</v>
      </c>
      <c r="AT3795">
        <v>1</v>
      </c>
      <c r="AU3795" t="s">
        <v>181</v>
      </c>
      <c r="AV3795" t="s">
        <v>182</v>
      </c>
      <c r="AW3795" t="s">
        <v>60</v>
      </c>
      <c r="AX3795" t="s">
        <v>68</v>
      </c>
      <c r="AY3795" t="s">
        <v>69</v>
      </c>
      <c r="AZ3795" t="b">
        <v>1</v>
      </c>
    </row>
    <row r="3796" spans="1:52" x14ac:dyDescent="0.3">
      <c r="A3796" t="s">
        <v>52</v>
      </c>
      <c r="B3796" t="s">
        <v>53</v>
      </c>
      <c r="C3796" t="s">
        <v>54</v>
      </c>
      <c r="D3796" t="s">
        <v>55</v>
      </c>
      <c r="E3796" t="s">
        <v>2206</v>
      </c>
      <c r="F3796" t="s">
        <v>57</v>
      </c>
      <c r="G3796" t="s">
        <v>1679</v>
      </c>
      <c r="H3796" t="s">
        <v>1680</v>
      </c>
      <c r="I3796" t="s">
        <v>1680</v>
      </c>
      <c r="J3796" t="s">
        <v>60</v>
      </c>
      <c r="K3796" t="s">
        <v>1681</v>
      </c>
      <c r="L3796" t="s">
        <v>62</v>
      </c>
      <c r="M3796" t="s">
        <v>1681</v>
      </c>
      <c r="N3796" t="s">
        <v>1682</v>
      </c>
      <c r="O3796" t="s">
        <v>315</v>
      </c>
      <c r="P3796">
        <v>-20.136075999999999</v>
      </c>
      <c r="Q3796">
        <v>-44.854410999999999</v>
      </c>
      <c r="R3796" s="2" t="str">
        <f>HYPERLINK("https://www.google.com/maps?q=-20.1360760,-44.8544110","Abrir no Google Maps")</f>
        <v>Abrir no Google Maps</v>
      </c>
      <c r="S3796">
        <v>4</v>
      </c>
      <c r="T3796">
        <v>923.14535705095284</v>
      </c>
      <c r="U3796">
        <v>4</v>
      </c>
      <c r="V3796">
        <v>0.45264017841571558</v>
      </c>
      <c r="W3796">
        <v>1</v>
      </c>
      <c r="X3796">
        <v>0.45264017841571558</v>
      </c>
      <c r="Y3796">
        <v>95</v>
      </c>
      <c r="Z3796">
        <v>512.25410822465881</v>
      </c>
      <c r="AA3796">
        <v>198</v>
      </c>
      <c r="AB3796">
        <v>332</v>
      </c>
      <c r="AC3796">
        <v>536</v>
      </c>
      <c r="AD3796">
        <v>33.19</v>
      </c>
      <c r="AE3796">
        <v>542</v>
      </c>
      <c r="AF3796">
        <v>41</v>
      </c>
      <c r="AG3796">
        <v>175</v>
      </c>
      <c r="AH3796">
        <v>129</v>
      </c>
      <c r="AI3796">
        <v>7.56</v>
      </c>
      <c r="AJ3796">
        <v>32.29</v>
      </c>
      <c r="AK3796">
        <v>23.8</v>
      </c>
      <c r="AL3796">
        <v>-20.13612434999996</v>
      </c>
      <c r="AM3796">
        <v>-44.854448179058288</v>
      </c>
      <c r="AN3796">
        <v>-20.13612434999996</v>
      </c>
      <c r="AO3796">
        <v>-44.854448179058288</v>
      </c>
      <c r="AP3796">
        <v>-20.136075999999999</v>
      </c>
      <c r="AQ3796">
        <v>-44.854410999999999</v>
      </c>
      <c r="AR3796">
        <v>6.6384360450222868</v>
      </c>
      <c r="AS3796" t="s">
        <v>65</v>
      </c>
      <c r="AT3796">
        <v>1</v>
      </c>
      <c r="AU3796" t="s">
        <v>1683</v>
      </c>
      <c r="AV3796" t="s">
        <v>1684</v>
      </c>
      <c r="AW3796" t="s">
        <v>60</v>
      </c>
      <c r="AX3796" t="s">
        <v>68</v>
      </c>
      <c r="AY3796" t="s">
        <v>69</v>
      </c>
      <c r="AZ3796" t="b">
        <v>1</v>
      </c>
    </row>
    <row r="3797" spans="1:52" x14ac:dyDescent="0.3">
      <c r="A3797" t="s">
        <v>52</v>
      </c>
      <c r="B3797" t="s">
        <v>53</v>
      </c>
      <c r="C3797" t="s">
        <v>54</v>
      </c>
      <c r="D3797" t="s">
        <v>55</v>
      </c>
      <c r="E3797" t="s">
        <v>2206</v>
      </c>
      <c r="F3797" t="s">
        <v>57</v>
      </c>
      <c r="G3797" t="s">
        <v>183</v>
      </c>
      <c r="H3797" t="s">
        <v>184</v>
      </c>
      <c r="I3797" t="s">
        <v>184</v>
      </c>
      <c r="J3797" t="s">
        <v>60</v>
      </c>
      <c r="K3797" t="s">
        <v>185</v>
      </c>
      <c r="L3797" t="s">
        <v>62</v>
      </c>
      <c r="M3797" t="s">
        <v>185</v>
      </c>
      <c r="N3797" t="s">
        <v>186</v>
      </c>
      <c r="O3797" t="s">
        <v>187</v>
      </c>
      <c r="P3797">
        <v>-20.134855000000002</v>
      </c>
      <c r="Q3797">
        <v>-44.860174000000001</v>
      </c>
      <c r="R3797" s="2" t="str">
        <f>HYPERLINK("https://www.google.com/maps?q=-20.1348550,-44.8601740","Abrir no Google Maps")</f>
        <v>Abrir no Google Maps</v>
      </c>
      <c r="S3797">
        <v>4</v>
      </c>
      <c r="T3797">
        <v>625.96998974571841</v>
      </c>
      <c r="U3797">
        <v>4</v>
      </c>
      <c r="V3797">
        <v>0.42475426090301321</v>
      </c>
      <c r="W3797">
        <v>1</v>
      </c>
      <c r="X3797">
        <v>0.42475426090301321</v>
      </c>
      <c r="Y3797">
        <v>95</v>
      </c>
      <c r="Z3797">
        <v>257.67818504656498</v>
      </c>
      <c r="AA3797">
        <v>198</v>
      </c>
      <c r="AB3797">
        <v>332</v>
      </c>
      <c r="AC3797">
        <v>536</v>
      </c>
      <c r="AD3797">
        <v>33.19</v>
      </c>
      <c r="AE3797">
        <v>542</v>
      </c>
      <c r="AF3797">
        <v>41</v>
      </c>
      <c r="AG3797">
        <v>175</v>
      </c>
      <c r="AH3797">
        <v>129</v>
      </c>
      <c r="AI3797">
        <v>7.56</v>
      </c>
      <c r="AJ3797">
        <v>32.29</v>
      </c>
      <c r="AK3797">
        <v>23.8</v>
      </c>
      <c r="AL3797">
        <v>-20.134903999999981</v>
      </c>
      <c r="AM3797">
        <v>-44.859880285335962</v>
      </c>
      <c r="AN3797">
        <v>-20.134903999999981</v>
      </c>
      <c r="AO3797">
        <v>-44.859880285335962</v>
      </c>
      <c r="AP3797">
        <v>-20.134855000000002</v>
      </c>
      <c r="AQ3797">
        <v>-44.860174000000001</v>
      </c>
      <c r="AR3797">
        <v>31.178921696823132</v>
      </c>
      <c r="AS3797" t="s">
        <v>65</v>
      </c>
      <c r="AT3797">
        <v>1</v>
      </c>
      <c r="AU3797" t="s">
        <v>188</v>
      </c>
      <c r="AV3797" t="s">
        <v>189</v>
      </c>
      <c r="AW3797" t="s">
        <v>60</v>
      </c>
      <c r="AX3797" t="s">
        <v>68</v>
      </c>
      <c r="AY3797" t="s">
        <v>69</v>
      </c>
      <c r="AZ3797" t="b">
        <v>1</v>
      </c>
    </row>
    <row r="3798" spans="1:52" x14ac:dyDescent="0.3">
      <c r="A3798" t="s">
        <v>52</v>
      </c>
      <c r="B3798" t="s">
        <v>53</v>
      </c>
      <c r="C3798" t="s">
        <v>54</v>
      </c>
      <c r="D3798" t="s">
        <v>55</v>
      </c>
      <c r="E3798" t="s">
        <v>2206</v>
      </c>
      <c r="F3798" t="s">
        <v>190</v>
      </c>
      <c r="G3798" t="s">
        <v>191</v>
      </c>
      <c r="H3798" t="s">
        <v>192</v>
      </c>
      <c r="I3798" t="s">
        <v>192</v>
      </c>
      <c r="J3798" t="s">
        <v>60</v>
      </c>
      <c r="K3798" t="s">
        <v>193</v>
      </c>
      <c r="L3798" t="s">
        <v>62</v>
      </c>
      <c r="M3798" t="s">
        <v>193</v>
      </c>
      <c r="N3798" t="s">
        <v>194</v>
      </c>
      <c r="O3798" t="s">
        <v>195</v>
      </c>
      <c r="P3798">
        <v>-20.143266000000001</v>
      </c>
      <c r="Q3798">
        <v>-44.912075000000002</v>
      </c>
      <c r="R3798" s="2" t="str">
        <f>HYPERLINK("https://www.google.com/maps?q=-20.1432660,-44.9120750","Abrir no Google Maps")</f>
        <v>Abrir no Google Maps</v>
      </c>
      <c r="S3798">
        <v>4</v>
      </c>
      <c r="T3798">
        <v>467.04339396175408</v>
      </c>
      <c r="U3798">
        <v>3</v>
      </c>
      <c r="V3798">
        <v>0.38668628570793911</v>
      </c>
      <c r="W3798">
        <v>1</v>
      </c>
      <c r="X3798">
        <v>0.38668628570793911</v>
      </c>
      <c r="Y3798">
        <v>747</v>
      </c>
      <c r="Z3798">
        <v>585.1742452866996</v>
      </c>
      <c r="AA3798">
        <v>198</v>
      </c>
      <c r="AB3798">
        <v>332</v>
      </c>
      <c r="AC3798">
        <v>536</v>
      </c>
      <c r="AD3798">
        <v>33.19</v>
      </c>
      <c r="AE3798">
        <v>542</v>
      </c>
      <c r="AF3798">
        <v>41</v>
      </c>
      <c r="AG3798">
        <v>175</v>
      </c>
      <c r="AH3798">
        <v>129</v>
      </c>
      <c r="AI3798">
        <v>7.56</v>
      </c>
      <c r="AJ3798">
        <v>32.29</v>
      </c>
      <c r="AK3798">
        <v>23.8</v>
      </c>
      <c r="AL3798">
        <v>-20.143307949999951</v>
      </c>
      <c r="AM3798">
        <v>-44.912066629431067</v>
      </c>
      <c r="AN3798">
        <v>-20.143307949999951</v>
      </c>
      <c r="AO3798">
        <v>-44.912066629431067</v>
      </c>
      <c r="AP3798">
        <v>-20.143266000000001</v>
      </c>
      <c r="AQ3798">
        <v>-44.912075000000002</v>
      </c>
      <c r="AR3798">
        <v>4.751108024498329</v>
      </c>
      <c r="AS3798" t="s">
        <v>65</v>
      </c>
      <c r="AT3798">
        <v>1</v>
      </c>
      <c r="AU3798" t="s">
        <v>196</v>
      </c>
      <c r="AV3798" t="s">
        <v>197</v>
      </c>
      <c r="AW3798" t="s">
        <v>60</v>
      </c>
      <c r="AX3798" t="s">
        <v>68</v>
      </c>
      <c r="AY3798" t="s">
        <v>69</v>
      </c>
      <c r="AZ3798" t="b">
        <v>1</v>
      </c>
    </row>
    <row r="3799" spans="1:52" x14ac:dyDescent="0.3">
      <c r="A3799" t="s">
        <v>52</v>
      </c>
      <c r="B3799" t="s">
        <v>53</v>
      </c>
      <c r="C3799" t="s">
        <v>54</v>
      </c>
      <c r="D3799" t="s">
        <v>55</v>
      </c>
      <c r="E3799" t="s">
        <v>2206</v>
      </c>
      <c r="F3799" t="s">
        <v>190</v>
      </c>
      <c r="G3799" t="s">
        <v>1248</v>
      </c>
      <c r="H3799" t="s">
        <v>1249</v>
      </c>
      <c r="I3799" t="s">
        <v>1249</v>
      </c>
      <c r="J3799" t="s">
        <v>60</v>
      </c>
      <c r="K3799" t="s">
        <v>61</v>
      </c>
      <c r="L3799" t="s">
        <v>62</v>
      </c>
      <c r="M3799" t="s">
        <v>61</v>
      </c>
      <c r="N3799" t="s">
        <v>1250</v>
      </c>
      <c r="O3799" t="s">
        <v>202</v>
      </c>
      <c r="P3799">
        <v>-20.145337999999999</v>
      </c>
      <c r="Q3799">
        <v>-44.906260000000003</v>
      </c>
      <c r="R3799" s="2" t="str">
        <f>HYPERLINK("https://www.google.com/maps?q=-20.1453380,-44.9062600","Abrir no Google Maps")</f>
        <v>Abrir no Google Maps</v>
      </c>
      <c r="S3799">
        <v>4</v>
      </c>
      <c r="T3799">
        <v>231.8105263092443</v>
      </c>
      <c r="U3799">
        <v>3</v>
      </c>
      <c r="V3799">
        <v>0.43733073809605361</v>
      </c>
      <c r="W3799">
        <v>0.85</v>
      </c>
      <c r="X3799">
        <v>0.37173112738164549</v>
      </c>
      <c r="Y3799">
        <v>747</v>
      </c>
      <c r="Z3799">
        <v>210.09098260239841</v>
      </c>
      <c r="AA3799">
        <v>198</v>
      </c>
      <c r="AB3799">
        <v>332</v>
      </c>
      <c r="AC3799">
        <v>536</v>
      </c>
      <c r="AD3799">
        <v>33.19</v>
      </c>
      <c r="AE3799">
        <v>542</v>
      </c>
      <c r="AF3799">
        <v>41</v>
      </c>
      <c r="AG3799">
        <v>175</v>
      </c>
      <c r="AH3799">
        <v>129</v>
      </c>
      <c r="AI3799">
        <v>7.56</v>
      </c>
      <c r="AJ3799">
        <v>32.29</v>
      </c>
      <c r="AK3799">
        <v>23.8</v>
      </c>
      <c r="AL3799">
        <v>-20.14545934999995</v>
      </c>
      <c r="AM3799">
        <v>-44.906243174283489</v>
      </c>
      <c r="AN3799">
        <v>-20.14545934999995</v>
      </c>
      <c r="AO3799">
        <v>-44.906243174283489</v>
      </c>
      <c r="AP3799">
        <v>-20.145337999999999</v>
      </c>
      <c r="AQ3799">
        <v>-44.906260000000003</v>
      </c>
      <c r="AR3799">
        <v>13.622651392262521</v>
      </c>
      <c r="AS3799" t="s">
        <v>65</v>
      </c>
      <c r="AT3799">
        <v>1</v>
      </c>
      <c r="AU3799" t="s">
        <v>1251</v>
      </c>
      <c r="AV3799" t="s">
        <v>1252</v>
      </c>
      <c r="AW3799" t="s">
        <v>60</v>
      </c>
      <c r="AX3799" t="s">
        <v>68</v>
      </c>
      <c r="AY3799" t="s">
        <v>69</v>
      </c>
      <c r="AZ3799" t="b">
        <v>1</v>
      </c>
    </row>
    <row r="3800" spans="1:52" x14ac:dyDescent="0.3">
      <c r="A3800" t="s">
        <v>52</v>
      </c>
      <c r="B3800" t="s">
        <v>53</v>
      </c>
      <c r="C3800" t="s">
        <v>54</v>
      </c>
      <c r="D3800" t="s">
        <v>55</v>
      </c>
      <c r="E3800" t="s">
        <v>2206</v>
      </c>
      <c r="F3800" t="s">
        <v>190</v>
      </c>
      <c r="G3800" t="s">
        <v>83</v>
      </c>
      <c r="H3800" t="s">
        <v>84</v>
      </c>
      <c r="I3800" t="s">
        <v>84</v>
      </c>
      <c r="J3800" t="s">
        <v>60</v>
      </c>
      <c r="K3800" t="s">
        <v>61</v>
      </c>
      <c r="L3800" t="s">
        <v>62</v>
      </c>
      <c r="M3800" t="s">
        <v>61</v>
      </c>
      <c r="N3800" t="s">
        <v>85</v>
      </c>
      <c r="O3800" t="s">
        <v>86</v>
      </c>
      <c r="P3800">
        <v>-20.149799000000002</v>
      </c>
      <c r="Q3800">
        <v>-44.906517000000001</v>
      </c>
      <c r="R3800" s="2" t="str">
        <f>HYPERLINK("https://www.google.com/maps?q=-20.1497990,-44.9065170","Abrir no Google Maps")</f>
        <v>Abrir no Google Maps</v>
      </c>
      <c r="S3800">
        <v>4</v>
      </c>
      <c r="T3800">
        <v>487.90051105537998</v>
      </c>
      <c r="U3800">
        <v>3</v>
      </c>
      <c r="V3800">
        <v>0.35988678074732389</v>
      </c>
      <c r="W3800">
        <v>1</v>
      </c>
      <c r="X3800">
        <v>0.35988678074732389</v>
      </c>
      <c r="Y3800">
        <v>747</v>
      </c>
      <c r="Z3800">
        <v>365.93785960107078</v>
      </c>
      <c r="AA3800">
        <v>198</v>
      </c>
      <c r="AB3800">
        <v>332</v>
      </c>
      <c r="AC3800">
        <v>536</v>
      </c>
      <c r="AD3800">
        <v>33.19</v>
      </c>
      <c r="AE3800">
        <v>542</v>
      </c>
      <c r="AF3800">
        <v>41</v>
      </c>
      <c r="AG3800">
        <v>175</v>
      </c>
      <c r="AH3800">
        <v>129</v>
      </c>
      <c r="AI3800">
        <v>7.56</v>
      </c>
      <c r="AJ3800">
        <v>32.29</v>
      </c>
      <c r="AK3800">
        <v>23.8</v>
      </c>
      <c r="AL3800">
        <v>-20.149879599999959</v>
      </c>
      <c r="AM3800">
        <v>-44.906746466068469</v>
      </c>
      <c r="AN3800">
        <v>-20.149879599999959</v>
      </c>
      <c r="AO3800">
        <v>-44.906746466068469</v>
      </c>
      <c r="AP3800">
        <v>-20.149799000000002</v>
      </c>
      <c r="AQ3800">
        <v>-44.906517000000001</v>
      </c>
      <c r="AR3800">
        <v>25.604276856970429</v>
      </c>
      <c r="AS3800" t="s">
        <v>65</v>
      </c>
      <c r="AT3800">
        <v>1</v>
      </c>
      <c r="AU3800" t="s">
        <v>87</v>
      </c>
      <c r="AV3800" t="s">
        <v>88</v>
      </c>
      <c r="AW3800" t="s">
        <v>60</v>
      </c>
      <c r="AX3800" t="s">
        <v>68</v>
      </c>
      <c r="AY3800" t="s">
        <v>69</v>
      </c>
      <c r="AZ3800" t="b">
        <v>1</v>
      </c>
    </row>
    <row r="3801" spans="1:52" x14ac:dyDescent="0.3">
      <c r="A3801" t="s">
        <v>52</v>
      </c>
      <c r="B3801" t="s">
        <v>53</v>
      </c>
      <c r="C3801" t="s">
        <v>54</v>
      </c>
      <c r="D3801" t="s">
        <v>55</v>
      </c>
      <c r="E3801" t="s">
        <v>2206</v>
      </c>
      <c r="F3801" t="s">
        <v>190</v>
      </c>
      <c r="G3801" t="s">
        <v>212</v>
      </c>
      <c r="H3801" t="s">
        <v>213</v>
      </c>
      <c r="I3801" t="s">
        <v>213</v>
      </c>
      <c r="J3801" t="s">
        <v>60</v>
      </c>
      <c r="K3801" t="s">
        <v>214</v>
      </c>
      <c r="L3801" t="s">
        <v>62</v>
      </c>
      <c r="M3801" t="s">
        <v>214</v>
      </c>
      <c r="N3801" t="s">
        <v>215</v>
      </c>
      <c r="O3801" t="s">
        <v>216</v>
      </c>
      <c r="P3801">
        <v>-20.158149000000002</v>
      </c>
      <c r="Q3801">
        <v>-44.872593000000002</v>
      </c>
      <c r="R3801" s="2" t="str">
        <f>HYPERLINK("https://www.google.com/maps?q=-20.1581490,-44.8725930","Abrir no Google Maps")</f>
        <v>Abrir no Google Maps</v>
      </c>
      <c r="S3801">
        <v>4</v>
      </c>
      <c r="T3801">
        <v>0</v>
      </c>
      <c r="U3801">
        <v>3</v>
      </c>
      <c r="V3801">
        <v>0.4000729484081994</v>
      </c>
      <c r="W3801">
        <v>1</v>
      </c>
      <c r="X3801">
        <v>0.4000729484081994</v>
      </c>
      <c r="Y3801">
        <v>531</v>
      </c>
      <c r="Z3801">
        <v>127.8805352974544</v>
      </c>
      <c r="AA3801">
        <v>198</v>
      </c>
      <c r="AB3801">
        <v>332</v>
      </c>
      <c r="AC3801">
        <v>536</v>
      </c>
      <c r="AD3801">
        <v>33.19</v>
      </c>
      <c r="AE3801">
        <v>542</v>
      </c>
      <c r="AF3801">
        <v>41</v>
      </c>
      <c r="AG3801">
        <v>175</v>
      </c>
      <c r="AH3801">
        <v>129</v>
      </c>
      <c r="AI3801">
        <v>7.56</v>
      </c>
      <c r="AJ3801">
        <v>32.29</v>
      </c>
      <c r="AK3801">
        <v>23.8</v>
      </c>
      <c r="AL3801">
        <v>-20.158114249999951</v>
      </c>
      <c r="AM3801">
        <v>-44.872583123264782</v>
      </c>
      <c r="AN3801">
        <v>-20.158114249999951</v>
      </c>
      <c r="AO3801">
        <v>-44.872583123264782</v>
      </c>
      <c r="AP3801">
        <v>-20.158149000000002</v>
      </c>
      <c r="AQ3801">
        <v>-44.872593000000002</v>
      </c>
      <c r="AR3801">
        <v>4.0036956087599238</v>
      </c>
      <c r="AS3801" t="s">
        <v>65</v>
      </c>
      <c r="AT3801">
        <v>1</v>
      </c>
      <c r="AU3801" t="s">
        <v>217</v>
      </c>
      <c r="AV3801" t="s">
        <v>218</v>
      </c>
      <c r="AW3801" t="s">
        <v>60</v>
      </c>
      <c r="AX3801" t="s">
        <v>68</v>
      </c>
      <c r="AY3801" t="s">
        <v>69</v>
      </c>
      <c r="AZ3801" t="b">
        <v>1</v>
      </c>
    </row>
    <row r="3802" spans="1:52" x14ac:dyDescent="0.3">
      <c r="A3802" t="s">
        <v>52</v>
      </c>
      <c r="B3802" t="s">
        <v>53</v>
      </c>
      <c r="C3802" t="s">
        <v>54</v>
      </c>
      <c r="D3802" t="s">
        <v>55</v>
      </c>
      <c r="E3802" t="s">
        <v>2206</v>
      </c>
      <c r="F3802" t="s">
        <v>190</v>
      </c>
      <c r="G3802" t="s">
        <v>225</v>
      </c>
      <c r="H3802" t="s">
        <v>226</v>
      </c>
      <c r="I3802" t="s">
        <v>226</v>
      </c>
      <c r="J3802" t="s">
        <v>60</v>
      </c>
      <c r="K3802" t="s">
        <v>227</v>
      </c>
      <c r="L3802" t="s">
        <v>62</v>
      </c>
      <c r="M3802" t="s">
        <v>227</v>
      </c>
      <c r="N3802" t="s">
        <v>228</v>
      </c>
      <c r="O3802" t="s">
        <v>229</v>
      </c>
      <c r="P3802">
        <v>-20.156986</v>
      </c>
      <c r="Q3802">
        <v>-44.857474000000003</v>
      </c>
      <c r="R3802" s="2" t="str">
        <f>HYPERLINK("https://www.google.com/maps?q=-20.1569860,-44.8574740","Abrir no Google Maps")</f>
        <v>Abrir no Google Maps</v>
      </c>
      <c r="S3802">
        <v>4</v>
      </c>
      <c r="T3802">
        <v>270.52797591847911</v>
      </c>
      <c r="U3802">
        <v>3</v>
      </c>
      <c r="V3802">
        <v>0.41604679779663228</v>
      </c>
      <c r="W3802">
        <v>1</v>
      </c>
      <c r="X3802">
        <v>0.41604679779663228</v>
      </c>
      <c r="Y3802">
        <v>518</v>
      </c>
      <c r="Z3802">
        <v>441.86584449256071</v>
      </c>
      <c r="AA3802">
        <v>198</v>
      </c>
      <c r="AB3802">
        <v>332</v>
      </c>
      <c r="AC3802">
        <v>536</v>
      </c>
      <c r="AD3802">
        <v>33.19</v>
      </c>
      <c r="AE3802">
        <v>542</v>
      </c>
      <c r="AF3802">
        <v>41</v>
      </c>
      <c r="AG3802">
        <v>175</v>
      </c>
      <c r="AH3802">
        <v>129</v>
      </c>
      <c r="AI3802">
        <v>7.56</v>
      </c>
      <c r="AJ3802">
        <v>32.29</v>
      </c>
      <c r="AK3802">
        <v>23.8</v>
      </c>
      <c r="AL3802">
        <v>-20.156957249999952</v>
      </c>
      <c r="AM3802">
        <v>-44.857396682659299</v>
      </c>
      <c r="AN3802">
        <v>-20.156957249999952</v>
      </c>
      <c r="AO3802">
        <v>-44.857396682659299</v>
      </c>
      <c r="AP3802">
        <v>-20.156986</v>
      </c>
      <c r="AQ3802">
        <v>-44.857474000000003</v>
      </c>
      <c r="AR3802">
        <v>8.6905800579264607</v>
      </c>
      <c r="AS3802" t="s">
        <v>65</v>
      </c>
      <c r="AT3802">
        <v>1</v>
      </c>
      <c r="AU3802" t="s">
        <v>230</v>
      </c>
      <c r="AV3802" t="s">
        <v>231</v>
      </c>
      <c r="AW3802" t="s">
        <v>60</v>
      </c>
      <c r="AX3802" t="s">
        <v>68</v>
      </c>
      <c r="AY3802" t="s">
        <v>69</v>
      </c>
      <c r="AZ3802" t="b">
        <v>1</v>
      </c>
    </row>
    <row r="3803" spans="1:52" x14ac:dyDescent="0.3">
      <c r="A3803" t="s">
        <v>52</v>
      </c>
      <c r="B3803" t="s">
        <v>53</v>
      </c>
      <c r="C3803" t="s">
        <v>54</v>
      </c>
      <c r="D3803" t="s">
        <v>55</v>
      </c>
      <c r="E3803" t="s">
        <v>2206</v>
      </c>
      <c r="F3803" t="s">
        <v>190</v>
      </c>
      <c r="G3803" t="s">
        <v>232</v>
      </c>
      <c r="H3803" t="s">
        <v>233</v>
      </c>
      <c r="I3803" t="s">
        <v>233</v>
      </c>
      <c r="J3803" t="s">
        <v>60</v>
      </c>
      <c r="K3803" t="s">
        <v>227</v>
      </c>
      <c r="L3803" t="s">
        <v>62</v>
      </c>
      <c r="M3803" t="s">
        <v>227</v>
      </c>
      <c r="N3803" t="s">
        <v>234</v>
      </c>
      <c r="O3803" t="s">
        <v>235</v>
      </c>
      <c r="P3803">
        <v>-20.158666</v>
      </c>
      <c r="Q3803">
        <v>-44.861398999999999</v>
      </c>
      <c r="R3803" s="2" t="str">
        <f>HYPERLINK("https://www.google.com/maps?q=-20.1586660,-44.8613990","Abrir no Google Maps")</f>
        <v>Abrir no Google Maps</v>
      </c>
      <c r="S3803">
        <v>4</v>
      </c>
      <c r="T3803">
        <v>330.01505397941582</v>
      </c>
      <c r="U3803">
        <v>3</v>
      </c>
      <c r="V3803">
        <v>0.40531041529451228</v>
      </c>
      <c r="W3803">
        <v>1</v>
      </c>
      <c r="X3803">
        <v>0.40531041529451228</v>
      </c>
      <c r="Y3803">
        <v>518</v>
      </c>
      <c r="Z3803">
        <v>251.8092920281106</v>
      </c>
      <c r="AA3803">
        <v>198</v>
      </c>
      <c r="AB3803">
        <v>332</v>
      </c>
      <c r="AC3803">
        <v>536</v>
      </c>
      <c r="AD3803">
        <v>33.19</v>
      </c>
      <c r="AE3803">
        <v>542</v>
      </c>
      <c r="AF3803">
        <v>41</v>
      </c>
      <c r="AG3803">
        <v>175</v>
      </c>
      <c r="AH3803">
        <v>129</v>
      </c>
      <c r="AI3803">
        <v>7.56</v>
      </c>
      <c r="AJ3803">
        <v>32.29</v>
      </c>
      <c r="AK3803">
        <v>23.8</v>
      </c>
      <c r="AL3803">
        <v>-20.158631449999969</v>
      </c>
      <c r="AM3803">
        <v>-44.861424574758061</v>
      </c>
      <c r="AN3803">
        <v>-20.158631449999969</v>
      </c>
      <c r="AO3803">
        <v>-44.861424574758061</v>
      </c>
      <c r="AP3803">
        <v>-20.158666</v>
      </c>
      <c r="AQ3803">
        <v>-44.861398999999999</v>
      </c>
      <c r="AR3803">
        <v>4.6835056709567411</v>
      </c>
      <c r="AS3803" t="s">
        <v>65</v>
      </c>
      <c r="AT3803">
        <v>1</v>
      </c>
      <c r="AU3803" t="s">
        <v>236</v>
      </c>
      <c r="AV3803" t="s">
        <v>237</v>
      </c>
      <c r="AW3803" t="s">
        <v>60</v>
      </c>
      <c r="AX3803" t="s">
        <v>68</v>
      </c>
      <c r="AY3803" t="s">
        <v>69</v>
      </c>
      <c r="AZ3803" t="b">
        <v>1</v>
      </c>
    </row>
    <row r="3804" spans="1:52" x14ac:dyDescent="0.3">
      <c r="A3804" t="s">
        <v>52</v>
      </c>
      <c r="B3804" t="s">
        <v>53</v>
      </c>
      <c r="C3804" t="s">
        <v>54</v>
      </c>
      <c r="D3804" t="s">
        <v>55</v>
      </c>
      <c r="E3804" t="s">
        <v>2206</v>
      </c>
      <c r="F3804" t="s">
        <v>190</v>
      </c>
      <c r="G3804" t="s">
        <v>2207</v>
      </c>
      <c r="H3804" t="s">
        <v>2208</v>
      </c>
      <c r="I3804" t="s">
        <v>2208</v>
      </c>
      <c r="J3804" t="s">
        <v>60</v>
      </c>
      <c r="K3804" t="s">
        <v>227</v>
      </c>
      <c r="L3804" t="s">
        <v>62</v>
      </c>
      <c r="M3804" t="s">
        <v>227</v>
      </c>
      <c r="N3804" t="s">
        <v>2209</v>
      </c>
      <c r="O3804" t="s">
        <v>2210</v>
      </c>
      <c r="P3804">
        <v>-20.159182999999999</v>
      </c>
      <c r="Q3804">
        <v>-44.858448000000003</v>
      </c>
      <c r="R3804" s="2" t="str">
        <f>HYPERLINK("https://www.google.com/maps?q=-20.1591830,-44.8584480","Abrir no Google Maps")</f>
        <v>Abrir no Google Maps</v>
      </c>
      <c r="S3804">
        <v>4</v>
      </c>
      <c r="T3804">
        <v>0</v>
      </c>
      <c r="U3804">
        <v>3</v>
      </c>
      <c r="V3804">
        <v>0.42723402505279179</v>
      </c>
      <c r="W3804">
        <v>0.85</v>
      </c>
      <c r="X3804">
        <v>0.36314892129487297</v>
      </c>
      <c r="Y3804">
        <v>518</v>
      </c>
      <c r="Z3804">
        <v>134.5083704691157</v>
      </c>
      <c r="AA3804">
        <v>198</v>
      </c>
      <c r="AB3804">
        <v>332</v>
      </c>
      <c r="AC3804">
        <v>536</v>
      </c>
      <c r="AD3804">
        <v>33.19</v>
      </c>
      <c r="AE3804">
        <v>542</v>
      </c>
      <c r="AF3804">
        <v>41</v>
      </c>
      <c r="AG3804">
        <v>175</v>
      </c>
      <c r="AH3804">
        <v>129</v>
      </c>
      <c r="AI3804">
        <v>7.56</v>
      </c>
      <c r="AJ3804">
        <v>32.29</v>
      </c>
      <c r="AK3804">
        <v>23.8</v>
      </c>
      <c r="AL3804">
        <v>-20.159236649999961</v>
      </c>
      <c r="AM3804">
        <v>-44.858332253616709</v>
      </c>
      <c r="AN3804">
        <v>-20.159236649999961</v>
      </c>
      <c r="AO3804">
        <v>-44.858332253616709</v>
      </c>
      <c r="AP3804">
        <v>-20.159182999999999</v>
      </c>
      <c r="AQ3804">
        <v>-44.858448000000003</v>
      </c>
      <c r="AR3804">
        <v>13.48964977008214</v>
      </c>
      <c r="AS3804" t="s">
        <v>65</v>
      </c>
      <c r="AT3804">
        <v>1</v>
      </c>
      <c r="AU3804" t="s">
        <v>2211</v>
      </c>
      <c r="AV3804" t="s">
        <v>2212</v>
      </c>
      <c r="AW3804" t="s">
        <v>60</v>
      </c>
      <c r="AX3804" t="s">
        <v>68</v>
      </c>
      <c r="AY3804" t="s">
        <v>69</v>
      </c>
      <c r="AZ3804" t="b">
        <v>1</v>
      </c>
    </row>
    <row r="3805" spans="1:52" x14ac:dyDescent="0.3">
      <c r="A3805" t="s">
        <v>52</v>
      </c>
      <c r="B3805" t="s">
        <v>53</v>
      </c>
      <c r="C3805" t="s">
        <v>54</v>
      </c>
      <c r="D3805" t="s">
        <v>55</v>
      </c>
      <c r="E3805" t="s">
        <v>2206</v>
      </c>
      <c r="F3805" t="s">
        <v>190</v>
      </c>
      <c r="G3805" t="s">
        <v>1685</v>
      </c>
      <c r="H3805" t="s">
        <v>1686</v>
      </c>
      <c r="I3805" t="s">
        <v>1686</v>
      </c>
      <c r="J3805" t="s">
        <v>60</v>
      </c>
      <c r="K3805" t="s">
        <v>262</v>
      </c>
      <c r="L3805" t="s">
        <v>62</v>
      </c>
      <c r="M3805" t="s">
        <v>262</v>
      </c>
      <c r="N3805" t="s">
        <v>1687</v>
      </c>
      <c r="O3805" t="s">
        <v>1688</v>
      </c>
      <c r="P3805">
        <v>-20.159354</v>
      </c>
      <c r="Q3805">
        <v>-44.855550000000001</v>
      </c>
      <c r="R3805" s="2" t="str">
        <f>HYPERLINK("https://www.google.com/maps?q=-20.1593540,-44.8555500","Abrir no Google Maps")</f>
        <v>Abrir no Google Maps</v>
      </c>
      <c r="S3805">
        <v>4</v>
      </c>
      <c r="T3805">
        <v>274.97810369746082</v>
      </c>
      <c r="U3805">
        <v>3</v>
      </c>
      <c r="V3805">
        <v>0.44592043345391358</v>
      </c>
      <c r="W3805">
        <v>0.85</v>
      </c>
      <c r="X3805">
        <v>0.37903236843582649</v>
      </c>
      <c r="Y3805">
        <v>491</v>
      </c>
      <c r="Z3805">
        <v>435.37144349550522</v>
      </c>
      <c r="AA3805">
        <v>198</v>
      </c>
      <c r="AB3805">
        <v>332</v>
      </c>
      <c r="AC3805">
        <v>536</v>
      </c>
      <c r="AD3805">
        <v>33.19</v>
      </c>
      <c r="AE3805">
        <v>542</v>
      </c>
      <c r="AF3805">
        <v>41</v>
      </c>
      <c r="AG3805">
        <v>175</v>
      </c>
      <c r="AH3805">
        <v>129</v>
      </c>
      <c r="AI3805">
        <v>7.56</v>
      </c>
      <c r="AJ3805">
        <v>32.29</v>
      </c>
      <c r="AK3805">
        <v>23.8</v>
      </c>
      <c r="AL3805">
        <v>-20.159411649999949</v>
      </c>
      <c r="AM3805">
        <v>-44.855707414762733</v>
      </c>
      <c r="AN3805">
        <v>-20.159411649999949</v>
      </c>
      <c r="AO3805">
        <v>-44.855707414762733</v>
      </c>
      <c r="AP3805">
        <v>-20.159354</v>
      </c>
      <c r="AQ3805">
        <v>-44.855550000000001</v>
      </c>
      <c r="AR3805">
        <v>17.65741114106341</v>
      </c>
      <c r="AS3805" t="s">
        <v>65</v>
      </c>
      <c r="AT3805">
        <v>1</v>
      </c>
      <c r="AU3805" t="s">
        <v>1689</v>
      </c>
      <c r="AV3805" t="s">
        <v>1690</v>
      </c>
      <c r="AW3805" t="s">
        <v>60</v>
      </c>
      <c r="AX3805" t="s">
        <v>68</v>
      </c>
      <c r="AY3805" t="s">
        <v>69</v>
      </c>
      <c r="AZ3805" t="b">
        <v>1</v>
      </c>
    </row>
    <row r="3806" spans="1:52" x14ac:dyDescent="0.3">
      <c r="A3806" t="s">
        <v>52</v>
      </c>
      <c r="B3806" t="s">
        <v>53</v>
      </c>
      <c r="C3806" t="s">
        <v>54</v>
      </c>
      <c r="D3806" t="s">
        <v>55</v>
      </c>
      <c r="E3806" t="s">
        <v>2206</v>
      </c>
      <c r="F3806" t="s">
        <v>190</v>
      </c>
      <c r="G3806" t="s">
        <v>1691</v>
      </c>
      <c r="H3806" t="s">
        <v>1692</v>
      </c>
      <c r="I3806" t="s">
        <v>1692</v>
      </c>
      <c r="J3806" t="s">
        <v>60</v>
      </c>
      <c r="K3806" t="s">
        <v>355</v>
      </c>
      <c r="L3806" t="s">
        <v>62</v>
      </c>
      <c r="M3806" t="s">
        <v>355</v>
      </c>
      <c r="N3806" t="s">
        <v>1693</v>
      </c>
      <c r="O3806" t="s">
        <v>1446</v>
      </c>
      <c r="P3806">
        <v>-20.14547</v>
      </c>
      <c r="Q3806">
        <v>-44.877133999999998</v>
      </c>
      <c r="R3806" s="2" t="str">
        <f>HYPERLINK("https://www.google.com/maps?q=-20.1454700,-44.8771340","Abrir no Google Maps")</f>
        <v>Abrir no Google Maps</v>
      </c>
      <c r="S3806">
        <v>4</v>
      </c>
      <c r="T3806">
        <v>258.39225185862313</v>
      </c>
      <c r="U3806">
        <v>3</v>
      </c>
      <c r="V3806">
        <v>0.43898477961432508</v>
      </c>
      <c r="W3806">
        <v>0.85</v>
      </c>
      <c r="X3806">
        <v>0.37313706267217628</v>
      </c>
      <c r="Y3806">
        <v>465</v>
      </c>
      <c r="Z3806">
        <v>177.55740786989961</v>
      </c>
      <c r="AA3806">
        <v>198</v>
      </c>
      <c r="AB3806">
        <v>332</v>
      </c>
      <c r="AC3806">
        <v>536</v>
      </c>
      <c r="AD3806">
        <v>33.19</v>
      </c>
      <c r="AE3806">
        <v>542</v>
      </c>
      <c r="AF3806">
        <v>41</v>
      </c>
      <c r="AG3806">
        <v>175</v>
      </c>
      <c r="AH3806">
        <v>129</v>
      </c>
      <c r="AI3806">
        <v>7.56</v>
      </c>
      <c r="AJ3806">
        <v>32.29</v>
      </c>
      <c r="AK3806">
        <v>23.8</v>
      </c>
      <c r="AL3806">
        <v>-20.14545944999994</v>
      </c>
      <c r="AM3806">
        <v>-44.877145069822348</v>
      </c>
      <c r="AN3806">
        <v>-20.14545944999994</v>
      </c>
      <c r="AO3806">
        <v>-44.877145069822348</v>
      </c>
      <c r="AP3806">
        <v>-20.14547</v>
      </c>
      <c r="AQ3806">
        <v>-44.877133999999998</v>
      </c>
      <c r="AR3806">
        <v>1.6485448005145531</v>
      </c>
      <c r="AS3806" t="s">
        <v>65</v>
      </c>
      <c r="AT3806">
        <v>1</v>
      </c>
      <c r="AU3806" t="s">
        <v>1694</v>
      </c>
      <c r="AV3806" t="s">
        <v>1695</v>
      </c>
      <c r="AW3806" t="s">
        <v>60</v>
      </c>
      <c r="AX3806" t="s">
        <v>68</v>
      </c>
      <c r="AY3806" t="s">
        <v>69</v>
      </c>
      <c r="AZ3806" t="b">
        <v>1</v>
      </c>
    </row>
    <row r="3807" spans="1:52" x14ac:dyDescent="0.3">
      <c r="A3807" t="s">
        <v>52</v>
      </c>
      <c r="B3807" t="s">
        <v>53</v>
      </c>
      <c r="C3807" t="s">
        <v>54</v>
      </c>
      <c r="D3807" t="s">
        <v>55</v>
      </c>
      <c r="E3807" t="s">
        <v>2206</v>
      </c>
      <c r="F3807" t="s">
        <v>190</v>
      </c>
      <c r="G3807" t="s">
        <v>127</v>
      </c>
      <c r="H3807" t="s">
        <v>128</v>
      </c>
      <c r="I3807" t="s">
        <v>128</v>
      </c>
      <c r="J3807" t="s">
        <v>60</v>
      </c>
      <c r="K3807" t="s">
        <v>129</v>
      </c>
      <c r="L3807" t="s">
        <v>62</v>
      </c>
      <c r="M3807" t="s">
        <v>129</v>
      </c>
      <c r="N3807" t="s">
        <v>130</v>
      </c>
      <c r="O3807" t="s">
        <v>131</v>
      </c>
      <c r="P3807">
        <v>-20.130752000000001</v>
      </c>
      <c r="Q3807">
        <v>-44.865676999999998</v>
      </c>
      <c r="R3807" s="2" t="str">
        <f>HYPERLINK("https://www.google.com/maps?q=-20.1307520,-44.8656770","Abrir no Google Maps")</f>
        <v>Abrir no Google Maps</v>
      </c>
      <c r="S3807">
        <v>4</v>
      </c>
      <c r="T3807">
        <v>666.25741128624747</v>
      </c>
      <c r="U3807">
        <v>3</v>
      </c>
      <c r="V3807">
        <v>0.35680927749288599</v>
      </c>
      <c r="W3807">
        <v>1</v>
      </c>
      <c r="X3807">
        <v>0.35680927749288599</v>
      </c>
      <c r="Y3807">
        <v>387</v>
      </c>
      <c r="Z3807">
        <v>838.7193965949632</v>
      </c>
      <c r="AA3807">
        <v>198</v>
      </c>
      <c r="AB3807">
        <v>332</v>
      </c>
      <c r="AC3807">
        <v>536</v>
      </c>
      <c r="AD3807">
        <v>33.19</v>
      </c>
      <c r="AE3807">
        <v>542</v>
      </c>
      <c r="AF3807">
        <v>41</v>
      </c>
      <c r="AG3807">
        <v>175</v>
      </c>
      <c r="AH3807">
        <v>129</v>
      </c>
      <c r="AI3807">
        <v>7.56</v>
      </c>
      <c r="AJ3807">
        <v>32.29</v>
      </c>
      <c r="AK3807">
        <v>23.8</v>
      </c>
      <c r="AL3807">
        <v>-20.130734049999969</v>
      </c>
      <c r="AM3807">
        <v>-44.86564904282416</v>
      </c>
      <c r="AN3807">
        <v>-20.130734049999969</v>
      </c>
      <c r="AO3807">
        <v>-44.86564904282416</v>
      </c>
      <c r="AP3807">
        <v>-20.130752000000001</v>
      </c>
      <c r="AQ3807">
        <v>-44.865676999999998</v>
      </c>
      <c r="AR3807">
        <v>3.539952280780454</v>
      </c>
      <c r="AS3807" t="s">
        <v>65</v>
      </c>
      <c r="AT3807">
        <v>1</v>
      </c>
      <c r="AU3807" t="s">
        <v>132</v>
      </c>
      <c r="AV3807" t="s">
        <v>133</v>
      </c>
      <c r="AW3807" t="s">
        <v>60</v>
      </c>
      <c r="AX3807" t="s">
        <v>68</v>
      </c>
      <c r="AY3807" t="s">
        <v>69</v>
      </c>
      <c r="AZ3807" t="b">
        <v>1</v>
      </c>
    </row>
    <row r="3808" spans="1:52" x14ac:dyDescent="0.3">
      <c r="A3808" t="s">
        <v>52</v>
      </c>
      <c r="B3808" t="s">
        <v>53</v>
      </c>
      <c r="C3808" t="s">
        <v>54</v>
      </c>
      <c r="D3808" t="s">
        <v>55</v>
      </c>
      <c r="E3808" t="s">
        <v>2206</v>
      </c>
      <c r="F3808" t="s">
        <v>190</v>
      </c>
      <c r="G3808" t="s">
        <v>243</v>
      </c>
      <c r="H3808" t="s">
        <v>244</v>
      </c>
      <c r="I3808" t="s">
        <v>244</v>
      </c>
      <c r="J3808" t="s">
        <v>60</v>
      </c>
      <c r="K3808" t="s">
        <v>214</v>
      </c>
      <c r="L3808" t="s">
        <v>62</v>
      </c>
      <c r="M3808" t="s">
        <v>214</v>
      </c>
      <c r="N3808" t="s">
        <v>245</v>
      </c>
      <c r="O3808" t="s">
        <v>246</v>
      </c>
      <c r="P3808">
        <v>-20.156296999999999</v>
      </c>
      <c r="Q3808">
        <v>-44.873035999999999</v>
      </c>
      <c r="R3808" s="2" t="str">
        <f>HYPERLINK("https://www.google.com/maps?q=-20.1562970,-44.8730360","Abrir no Google Maps")</f>
        <v>Abrir no Google Maps</v>
      </c>
      <c r="S3808">
        <v>4</v>
      </c>
      <c r="T3808">
        <v>198.04479306725889</v>
      </c>
      <c r="U3808">
        <v>3</v>
      </c>
      <c r="V3808">
        <v>0.38253695605025601</v>
      </c>
      <c r="W3808">
        <v>1</v>
      </c>
      <c r="X3808">
        <v>0.38253695605025601</v>
      </c>
      <c r="Y3808">
        <v>305</v>
      </c>
      <c r="Z3808">
        <v>267.7765515134916</v>
      </c>
      <c r="AA3808">
        <v>198</v>
      </c>
      <c r="AB3808">
        <v>332</v>
      </c>
      <c r="AC3808">
        <v>536</v>
      </c>
      <c r="AD3808">
        <v>33.19</v>
      </c>
      <c r="AE3808">
        <v>542</v>
      </c>
      <c r="AF3808">
        <v>41</v>
      </c>
      <c r="AG3808">
        <v>175</v>
      </c>
      <c r="AH3808">
        <v>129</v>
      </c>
      <c r="AI3808">
        <v>7.56</v>
      </c>
      <c r="AJ3808">
        <v>32.29</v>
      </c>
      <c r="AK3808">
        <v>23.8</v>
      </c>
      <c r="AL3808">
        <v>-20.156361349999941</v>
      </c>
      <c r="AM3808">
        <v>-44.87296512500793</v>
      </c>
      <c r="AN3808">
        <v>-20.156361349999941</v>
      </c>
      <c r="AO3808">
        <v>-44.87296512500793</v>
      </c>
      <c r="AP3808">
        <v>-20.156296999999999</v>
      </c>
      <c r="AQ3808">
        <v>-44.873035999999999</v>
      </c>
      <c r="AR3808">
        <v>10.304009356726979</v>
      </c>
      <c r="AS3808" t="s">
        <v>65</v>
      </c>
      <c r="AT3808">
        <v>1</v>
      </c>
      <c r="AU3808" t="s">
        <v>247</v>
      </c>
      <c r="AV3808" t="s">
        <v>248</v>
      </c>
      <c r="AW3808" t="s">
        <v>60</v>
      </c>
      <c r="AX3808" t="s">
        <v>68</v>
      </c>
      <c r="AY3808" t="s">
        <v>69</v>
      </c>
      <c r="AZ3808" t="b">
        <v>1</v>
      </c>
    </row>
    <row r="3809" spans="1:52" x14ac:dyDescent="0.3">
      <c r="A3809" t="s">
        <v>52</v>
      </c>
      <c r="B3809" t="s">
        <v>53</v>
      </c>
      <c r="C3809" t="s">
        <v>54</v>
      </c>
      <c r="D3809" t="s">
        <v>55</v>
      </c>
      <c r="E3809" t="s">
        <v>2206</v>
      </c>
      <c r="F3809" t="s">
        <v>190</v>
      </c>
      <c r="G3809" t="s">
        <v>212</v>
      </c>
      <c r="H3809" t="s">
        <v>249</v>
      </c>
      <c r="I3809" t="s">
        <v>249</v>
      </c>
      <c r="J3809" t="s">
        <v>60</v>
      </c>
      <c r="K3809" t="s">
        <v>214</v>
      </c>
      <c r="L3809" t="s">
        <v>62</v>
      </c>
      <c r="M3809" t="s">
        <v>214</v>
      </c>
      <c r="N3809" t="s">
        <v>215</v>
      </c>
      <c r="O3809" t="s">
        <v>250</v>
      </c>
      <c r="P3809">
        <v>-20.153901000000001</v>
      </c>
      <c r="Q3809">
        <v>-44.873201000000002</v>
      </c>
      <c r="R3809" s="2" t="str">
        <f>HYPERLINK("https://www.google.com/maps?q=-20.1539010,-44.8732010","Abrir no Google Maps")</f>
        <v>Abrir no Google Maps</v>
      </c>
      <c r="S3809">
        <v>4</v>
      </c>
      <c r="T3809">
        <v>478.23282142593177</v>
      </c>
      <c r="U3809">
        <v>3</v>
      </c>
      <c r="V3809">
        <v>0.40809084826520081</v>
      </c>
      <c r="W3809">
        <v>1</v>
      </c>
      <c r="X3809">
        <v>0.40809084826520081</v>
      </c>
      <c r="Y3809">
        <v>305</v>
      </c>
      <c r="Z3809">
        <v>392.82025973713081</v>
      </c>
      <c r="AA3809">
        <v>198</v>
      </c>
      <c r="AB3809">
        <v>332</v>
      </c>
      <c r="AC3809">
        <v>536</v>
      </c>
      <c r="AD3809">
        <v>33.19</v>
      </c>
      <c r="AE3809">
        <v>542</v>
      </c>
      <c r="AF3809">
        <v>41</v>
      </c>
      <c r="AG3809">
        <v>175</v>
      </c>
      <c r="AH3809">
        <v>129</v>
      </c>
      <c r="AI3809">
        <v>7.56</v>
      </c>
      <c r="AJ3809">
        <v>32.29</v>
      </c>
      <c r="AK3809">
        <v>23.8</v>
      </c>
      <c r="AL3809">
        <v>-20.153814849999971</v>
      </c>
      <c r="AM3809">
        <v>-44.87304592111829</v>
      </c>
      <c r="AN3809">
        <v>-20.153814849999971</v>
      </c>
      <c r="AO3809">
        <v>-44.87304592111829</v>
      </c>
      <c r="AP3809">
        <v>-20.153901000000001</v>
      </c>
      <c r="AQ3809">
        <v>-44.873201000000002</v>
      </c>
      <c r="AR3809">
        <v>18.831316146831309</v>
      </c>
      <c r="AS3809" t="s">
        <v>65</v>
      </c>
      <c r="AT3809">
        <v>1</v>
      </c>
      <c r="AU3809" t="s">
        <v>251</v>
      </c>
      <c r="AV3809" t="s">
        <v>252</v>
      </c>
      <c r="AW3809" t="s">
        <v>60</v>
      </c>
      <c r="AX3809" t="s">
        <v>68</v>
      </c>
      <c r="AY3809" t="s">
        <v>69</v>
      </c>
      <c r="AZ3809" t="b">
        <v>1</v>
      </c>
    </row>
    <row r="3810" spans="1:52" x14ac:dyDescent="0.3">
      <c r="A3810" t="s">
        <v>52</v>
      </c>
      <c r="B3810" t="s">
        <v>53</v>
      </c>
      <c r="C3810" t="s">
        <v>54</v>
      </c>
      <c r="D3810" t="s">
        <v>55</v>
      </c>
      <c r="E3810" t="s">
        <v>2206</v>
      </c>
      <c r="F3810" t="s">
        <v>190</v>
      </c>
      <c r="G3810" t="s">
        <v>1696</v>
      </c>
      <c r="H3810" t="s">
        <v>1697</v>
      </c>
      <c r="I3810" t="s">
        <v>1697</v>
      </c>
      <c r="J3810" t="s">
        <v>60</v>
      </c>
      <c r="K3810" t="s">
        <v>143</v>
      </c>
      <c r="L3810" t="s">
        <v>62</v>
      </c>
      <c r="M3810" t="s">
        <v>143</v>
      </c>
      <c r="N3810" t="s">
        <v>1698</v>
      </c>
      <c r="O3810" t="s">
        <v>1699</v>
      </c>
      <c r="P3810">
        <v>-20.164061</v>
      </c>
      <c r="Q3810">
        <v>-44.839478</v>
      </c>
      <c r="R3810" s="2" t="str">
        <f>HYPERLINK("https://www.google.com/maps?q=-20.1640610,-44.8394780","Abrir no Google Maps")</f>
        <v>Abrir no Google Maps</v>
      </c>
      <c r="S3810">
        <v>4</v>
      </c>
      <c r="T3810">
        <v>877.73340935244505</v>
      </c>
      <c r="U3810">
        <v>3</v>
      </c>
      <c r="V3810">
        <v>0.45174861297936553</v>
      </c>
      <c r="W3810">
        <v>0.85</v>
      </c>
      <c r="X3810">
        <v>0.38398632103246072</v>
      </c>
      <c r="Y3810">
        <v>292</v>
      </c>
      <c r="Z3810">
        <v>961.72330387274496</v>
      </c>
      <c r="AA3810">
        <v>198</v>
      </c>
      <c r="AB3810">
        <v>332</v>
      </c>
      <c r="AC3810">
        <v>536</v>
      </c>
      <c r="AD3810">
        <v>33.19</v>
      </c>
      <c r="AE3810">
        <v>542</v>
      </c>
      <c r="AF3810">
        <v>41</v>
      </c>
      <c r="AG3810">
        <v>175</v>
      </c>
      <c r="AH3810">
        <v>129</v>
      </c>
      <c r="AI3810">
        <v>7.56</v>
      </c>
      <c r="AJ3810">
        <v>32.29</v>
      </c>
      <c r="AK3810">
        <v>23.8</v>
      </c>
      <c r="AL3810">
        <v>-20.164152949999931</v>
      </c>
      <c r="AM3810">
        <v>-44.839307994949444</v>
      </c>
      <c r="AN3810">
        <v>-20.164152949999931</v>
      </c>
      <c r="AO3810">
        <v>-44.839307994949444</v>
      </c>
      <c r="AP3810">
        <v>-20.164061</v>
      </c>
      <c r="AQ3810">
        <v>-44.839478</v>
      </c>
      <c r="AR3810">
        <v>20.50291216141127</v>
      </c>
      <c r="AS3810" t="s">
        <v>65</v>
      </c>
      <c r="AT3810">
        <v>1</v>
      </c>
      <c r="AU3810" t="s">
        <v>1700</v>
      </c>
      <c r="AV3810" t="s">
        <v>1701</v>
      </c>
      <c r="AW3810" t="s">
        <v>60</v>
      </c>
      <c r="AX3810" t="s">
        <v>68</v>
      </c>
      <c r="AY3810" t="s">
        <v>69</v>
      </c>
      <c r="AZ3810" t="b">
        <v>1</v>
      </c>
    </row>
    <row r="3811" spans="1:52" x14ac:dyDescent="0.3">
      <c r="A3811" t="s">
        <v>52</v>
      </c>
      <c r="B3811" t="s">
        <v>53</v>
      </c>
      <c r="C3811" t="s">
        <v>54</v>
      </c>
      <c r="D3811" t="s">
        <v>55</v>
      </c>
      <c r="E3811" t="s">
        <v>2206</v>
      </c>
      <c r="F3811" t="s">
        <v>190</v>
      </c>
      <c r="G3811" t="s">
        <v>1702</v>
      </c>
      <c r="H3811" t="s">
        <v>1703</v>
      </c>
      <c r="I3811" t="s">
        <v>1703</v>
      </c>
      <c r="J3811" t="s">
        <v>60</v>
      </c>
      <c r="K3811" t="s">
        <v>143</v>
      </c>
      <c r="L3811" t="s">
        <v>62</v>
      </c>
      <c r="M3811" t="s">
        <v>143</v>
      </c>
      <c r="N3811" t="s">
        <v>1704</v>
      </c>
      <c r="O3811" t="s">
        <v>1705</v>
      </c>
      <c r="P3811">
        <v>-20.166733000000001</v>
      </c>
      <c r="Q3811">
        <v>-44.837273000000003</v>
      </c>
      <c r="R3811" s="2" t="str">
        <f>HYPERLINK("https://www.google.com/maps?q=-20.1667330,-44.8372730","Abrir no Google Maps")</f>
        <v>Abrir no Google Maps</v>
      </c>
      <c r="S3811">
        <v>4</v>
      </c>
      <c r="T3811">
        <v>1092.9004991941661</v>
      </c>
      <c r="U3811">
        <v>3</v>
      </c>
      <c r="V3811">
        <v>0.43761585978586842</v>
      </c>
      <c r="W3811">
        <v>0.85</v>
      </c>
      <c r="X3811">
        <v>0.37197348081798809</v>
      </c>
      <c r="Y3811">
        <v>292</v>
      </c>
      <c r="Z3811">
        <v>1132.696229139676</v>
      </c>
      <c r="AA3811">
        <v>198</v>
      </c>
      <c r="AB3811">
        <v>332</v>
      </c>
      <c r="AC3811">
        <v>536</v>
      </c>
      <c r="AD3811">
        <v>33.19</v>
      </c>
      <c r="AE3811">
        <v>542</v>
      </c>
      <c r="AF3811">
        <v>41</v>
      </c>
      <c r="AG3811">
        <v>175</v>
      </c>
      <c r="AH3811">
        <v>129</v>
      </c>
      <c r="AI3811">
        <v>7.56</v>
      </c>
      <c r="AJ3811">
        <v>32.29</v>
      </c>
      <c r="AK3811">
        <v>23.8</v>
      </c>
      <c r="AL3811">
        <v>-20.166934899999941</v>
      </c>
      <c r="AM3811">
        <v>-44.837186632575722</v>
      </c>
      <c r="AN3811">
        <v>-20.166934899999941</v>
      </c>
      <c r="AO3811">
        <v>-44.837186632575722</v>
      </c>
      <c r="AP3811">
        <v>-20.166733000000001</v>
      </c>
      <c r="AQ3811">
        <v>-44.837273000000003</v>
      </c>
      <c r="AR3811">
        <v>24.219800989920522</v>
      </c>
      <c r="AS3811" t="s">
        <v>65</v>
      </c>
      <c r="AT3811">
        <v>1</v>
      </c>
      <c r="AU3811" t="s">
        <v>1706</v>
      </c>
      <c r="AV3811" t="s">
        <v>1707</v>
      </c>
      <c r="AW3811" t="s">
        <v>60</v>
      </c>
      <c r="AX3811" t="s">
        <v>68</v>
      </c>
      <c r="AY3811" t="s">
        <v>69</v>
      </c>
      <c r="AZ3811" t="b">
        <v>1</v>
      </c>
    </row>
    <row r="3812" spans="1:52" x14ac:dyDescent="0.3">
      <c r="A3812" t="s">
        <v>52</v>
      </c>
      <c r="B3812" t="s">
        <v>53</v>
      </c>
      <c r="C3812" t="s">
        <v>54</v>
      </c>
      <c r="D3812" t="s">
        <v>55</v>
      </c>
      <c r="E3812" t="s">
        <v>2206</v>
      </c>
      <c r="F3812" t="s">
        <v>190</v>
      </c>
      <c r="G3812" t="s">
        <v>1715</v>
      </c>
      <c r="H3812" t="s">
        <v>1716</v>
      </c>
      <c r="I3812" t="s">
        <v>1716</v>
      </c>
      <c r="J3812" t="s">
        <v>60</v>
      </c>
      <c r="K3812" t="s">
        <v>255</v>
      </c>
      <c r="L3812" t="s">
        <v>62</v>
      </c>
      <c r="M3812" t="s">
        <v>255</v>
      </c>
      <c r="N3812" t="s">
        <v>1698</v>
      </c>
      <c r="O3812" t="s">
        <v>315</v>
      </c>
      <c r="P3812">
        <v>-20.161683</v>
      </c>
      <c r="Q3812">
        <v>-44.845424999999999</v>
      </c>
      <c r="R3812" s="2" t="str">
        <f>HYPERLINK("https://www.google.com/maps?q=-20.1616830,-44.8454250","Abrir no Google Maps")</f>
        <v>Abrir no Google Maps</v>
      </c>
      <c r="S3812">
        <v>4</v>
      </c>
      <c r="T3812">
        <v>524.43989478411606</v>
      </c>
      <c r="U3812">
        <v>3</v>
      </c>
      <c r="V3812">
        <v>0.44031387720352561</v>
      </c>
      <c r="W3812">
        <v>0.85</v>
      </c>
      <c r="X3812">
        <v>0.37426679562299681</v>
      </c>
      <c r="Y3812">
        <v>292</v>
      </c>
      <c r="Z3812">
        <v>608.20869498965567</v>
      </c>
      <c r="AA3812">
        <v>198</v>
      </c>
      <c r="AB3812">
        <v>332</v>
      </c>
      <c r="AC3812">
        <v>536</v>
      </c>
      <c r="AD3812">
        <v>33.19</v>
      </c>
      <c r="AE3812">
        <v>542</v>
      </c>
      <c r="AF3812">
        <v>41</v>
      </c>
      <c r="AG3812">
        <v>175</v>
      </c>
      <c r="AH3812">
        <v>129</v>
      </c>
      <c r="AI3812">
        <v>7.56</v>
      </c>
      <c r="AJ3812">
        <v>32.29</v>
      </c>
      <c r="AK3812">
        <v>23.8</v>
      </c>
      <c r="AL3812">
        <v>-20.161451749999941</v>
      </c>
      <c r="AM3812">
        <v>-44.845228942326678</v>
      </c>
      <c r="AN3812">
        <v>-20.161451749999941</v>
      </c>
      <c r="AO3812">
        <v>-44.845228942326678</v>
      </c>
      <c r="AP3812">
        <v>-20.161683</v>
      </c>
      <c r="AQ3812">
        <v>-44.845424999999999</v>
      </c>
      <c r="AR3812">
        <v>32.900447293752777</v>
      </c>
      <c r="AS3812" t="s">
        <v>65</v>
      </c>
      <c r="AT3812">
        <v>1</v>
      </c>
      <c r="AU3812" t="s">
        <v>1717</v>
      </c>
      <c r="AV3812" t="s">
        <v>320</v>
      </c>
      <c r="AW3812" t="s">
        <v>60</v>
      </c>
      <c r="AX3812" t="s">
        <v>68</v>
      </c>
      <c r="AY3812" t="s">
        <v>69</v>
      </c>
      <c r="AZ3812" t="b">
        <v>1</v>
      </c>
    </row>
    <row r="3813" spans="1:52" x14ac:dyDescent="0.3">
      <c r="A3813" t="s">
        <v>52</v>
      </c>
      <c r="B3813" t="s">
        <v>53</v>
      </c>
      <c r="C3813" t="s">
        <v>54</v>
      </c>
      <c r="D3813" t="s">
        <v>55</v>
      </c>
      <c r="E3813" t="s">
        <v>2206</v>
      </c>
      <c r="F3813" t="s">
        <v>190</v>
      </c>
      <c r="G3813" t="s">
        <v>334</v>
      </c>
      <c r="H3813" t="s">
        <v>335</v>
      </c>
      <c r="I3813" t="s">
        <v>335</v>
      </c>
      <c r="J3813" t="s">
        <v>60</v>
      </c>
      <c r="K3813" t="s">
        <v>336</v>
      </c>
      <c r="L3813" t="s">
        <v>62</v>
      </c>
      <c r="M3813" t="s">
        <v>336</v>
      </c>
      <c r="N3813" t="s">
        <v>337</v>
      </c>
      <c r="O3813" t="s">
        <v>338</v>
      </c>
      <c r="P3813">
        <v>-20.168142</v>
      </c>
      <c r="Q3813">
        <v>-44.875697000000002</v>
      </c>
      <c r="R3813" s="2" t="str">
        <f>HYPERLINK("https://www.google.com/maps?q=-20.1681420,-44.8756970","Abrir no Google Maps")</f>
        <v>Abrir no Google Maps</v>
      </c>
      <c r="S3813">
        <v>4</v>
      </c>
      <c r="T3813">
        <v>678.04878367834192</v>
      </c>
      <c r="U3813">
        <v>3</v>
      </c>
      <c r="V3813">
        <v>0.4081447221108736</v>
      </c>
      <c r="W3813">
        <v>1</v>
      </c>
      <c r="X3813">
        <v>0.4081447221108736</v>
      </c>
      <c r="Y3813">
        <v>232</v>
      </c>
      <c r="Z3813">
        <v>595.98467532792097</v>
      </c>
      <c r="AA3813">
        <v>198</v>
      </c>
      <c r="AB3813">
        <v>332</v>
      </c>
      <c r="AC3813">
        <v>536</v>
      </c>
      <c r="AD3813">
        <v>33.19</v>
      </c>
      <c r="AE3813">
        <v>542</v>
      </c>
      <c r="AF3813">
        <v>41</v>
      </c>
      <c r="AG3813">
        <v>175</v>
      </c>
      <c r="AH3813">
        <v>129</v>
      </c>
      <c r="AI3813">
        <v>7.56</v>
      </c>
      <c r="AJ3813">
        <v>32.29</v>
      </c>
      <c r="AK3813">
        <v>23.8</v>
      </c>
      <c r="AL3813">
        <v>-20.16787839999995</v>
      </c>
      <c r="AM3813">
        <v>-44.875681825945229</v>
      </c>
      <c r="AN3813">
        <v>-20.16787839999995</v>
      </c>
      <c r="AO3813">
        <v>-44.875681825945229</v>
      </c>
      <c r="AP3813">
        <v>-20.168142</v>
      </c>
      <c r="AQ3813">
        <v>-44.875697000000002</v>
      </c>
      <c r="AR3813">
        <v>29.386760063894371</v>
      </c>
      <c r="AS3813" t="s">
        <v>65</v>
      </c>
      <c r="AT3813">
        <v>1</v>
      </c>
      <c r="AU3813" t="s">
        <v>339</v>
      </c>
      <c r="AV3813" t="s">
        <v>340</v>
      </c>
      <c r="AW3813" t="s">
        <v>60</v>
      </c>
      <c r="AX3813" t="s">
        <v>68</v>
      </c>
      <c r="AY3813" t="s">
        <v>69</v>
      </c>
      <c r="AZ3813" t="b">
        <v>1</v>
      </c>
    </row>
    <row r="3814" spans="1:52" x14ac:dyDescent="0.3">
      <c r="A3814" t="s">
        <v>52</v>
      </c>
      <c r="B3814" t="s">
        <v>53</v>
      </c>
      <c r="C3814" t="s">
        <v>54</v>
      </c>
      <c r="D3814" t="s">
        <v>55</v>
      </c>
      <c r="E3814" t="s">
        <v>2206</v>
      </c>
      <c r="F3814" t="s">
        <v>190</v>
      </c>
      <c r="G3814" t="s">
        <v>1718</v>
      </c>
      <c r="H3814" t="s">
        <v>1719</v>
      </c>
      <c r="I3814" t="s">
        <v>1719</v>
      </c>
      <c r="J3814" t="s">
        <v>60</v>
      </c>
      <c r="K3814" t="s">
        <v>157</v>
      </c>
      <c r="L3814" t="s">
        <v>62</v>
      </c>
      <c r="M3814" t="s">
        <v>157</v>
      </c>
      <c r="N3814" t="s">
        <v>1720</v>
      </c>
      <c r="O3814" t="s">
        <v>1504</v>
      </c>
      <c r="P3814">
        <v>-20.171738999999999</v>
      </c>
      <c r="Q3814">
        <v>-44.883522999999997</v>
      </c>
      <c r="R3814" s="2" t="str">
        <f>HYPERLINK("https://www.google.com/maps?q=-20.1717390,-44.8835230","Abrir no Google Maps")</f>
        <v>Abrir no Google Maps</v>
      </c>
      <c r="S3814">
        <v>4</v>
      </c>
      <c r="T3814">
        <v>256.99601600395061</v>
      </c>
      <c r="U3814">
        <v>3</v>
      </c>
      <c r="V3814">
        <v>0.42779822920904909</v>
      </c>
      <c r="W3814">
        <v>0.85</v>
      </c>
      <c r="X3814">
        <v>0.36362849482769172</v>
      </c>
      <c r="Y3814">
        <v>232</v>
      </c>
      <c r="Z3814">
        <v>340.87195921482072</v>
      </c>
      <c r="AA3814">
        <v>198</v>
      </c>
      <c r="AB3814">
        <v>332</v>
      </c>
      <c r="AC3814">
        <v>536</v>
      </c>
      <c r="AD3814">
        <v>33.19</v>
      </c>
      <c r="AE3814">
        <v>542</v>
      </c>
      <c r="AF3814">
        <v>41</v>
      </c>
      <c r="AG3814">
        <v>175</v>
      </c>
      <c r="AH3814">
        <v>129</v>
      </c>
      <c r="AI3814">
        <v>7.56</v>
      </c>
      <c r="AJ3814">
        <v>32.29</v>
      </c>
      <c r="AK3814">
        <v>23.8</v>
      </c>
      <c r="AL3814">
        <v>-20.171852049999959</v>
      </c>
      <c r="AM3814">
        <v>-44.883483547306533</v>
      </c>
      <c r="AN3814">
        <v>-20.171852049999959</v>
      </c>
      <c r="AO3814">
        <v>-44.883483547306533</v>
      </c>
      <c r="AP3814">
        <v>-20.171738999999999</v>
      </c>
      <c r="AQ3814">
        <v>-44.883522999999997</v>
      </c>
      <c r="AR3814">
        <v>13.24274259208917</v>
      </c>
      <c r="AS3814" t="s">
        <v>65</v>
      </c>
      <c r="AT3814">
        <v>1</v>
      </c>
      <c r="AU3814" t="s">
        <v>1721</v>
      </c>
      <c r="AV3814" t="s">
        <v>352</v>
      </c>
      <c r="AW3814" t="s">
        <v>60</v>
      </c>
      <c r="AX3814" t="s">
        <v>68</v>
      </c>
      <c r="AY3814" t="s">
        <v>69</v>
      </c>
      <c r="AZ3814" t="b">
        <v>1</v>
      </c>
    </row>
    <row r="3815" spans="1:52" x14ac:dyDescent="0.3">
      <c r="A3815" t="s">
        <v>52</v>
      </c>
      <c r="B3815" t="s">
        <v>53</v>
      </c>
      <c r="C3815" t="s">
        <v>54</v>
      </c>
      <c r="D3815" t="s">
        <v>55</v>
      </c>
      <c r="E3815" t="s">
        <v>2206</v>
      </c>
      <c r="F3815" t="s">
        <v>190</v>
      </c>
      <c r="G3815" t="s">
        <v>1637</v>
      </c>
      <c r="H3815" t="s">
        <v>1638</v>
      </c>
      <c r="I3815" t="s">
        <v>1638</v>
      </c>
      <c r="J3815" t="s">
        <v>60</v>
      </c>
      <c r="K3815" t="s">
        <v>375</v>
      </c>
      <c r="L3815" t="s">
        <v>62</v>
      </c>
      <c r="M3815" t="s">
        <v>375</v>
      </c>
      <c r="N3815" t="s">
        <v>1639</v>
      </c>
      <c r="O3815" t="s">
        <v>1640</v>
      </c>
      <c r="P3815">
        <v>-20.179231999999999</v>
      </c>
      <c r="Q3815">
        <v>-44.885683999999998</v>
      </c>
      <c r="R3815" s="2" t="str">
        <f>HYPERLINK("https://www.google.com/maps?q=-20.1792320,-44.8856840","Abrir no Google Maps")</f>
        <v>Abrir no Google Maps</v>
      </c>
      <c r="S3815">
        <v>4</v>
      </c>
      <c r="T3815">
        <v>801.46262351669486</v>
      </c>
      <c r="U3815">
        <v>3</v>
      </c>
      <c r="V3815">
        <v>0.45</v>
      </c>
      <c r="W3815">
        <v>0.85</v>
      </c>
      <c r="X3815">
        <v>0.38250000000000001</v>
      </c>
      <c r="Y3815">
        <v>232</v>
      </c>
      <c r="Z3815">
        <v>1050.1168515236079</v>
      </c>
      <c r="AA3815">
        <v>198</v>
      </c>
      <c r="AB3815">
        <v>332</v>
      </c>
      <c r="AC3815">
        <v>536</v>
      </c>
      <c r="AD3815">
        <v>33.19</v>
      </c>
      <c r="AE3815">
        <v>542</v>
      </c>
      <c r="AF3815">
        <v>41</v>
      </c>
      <c r="AG3815">
        <v>175</v>
      </c>
      <c r="AH3815">
        <v>129</v>
      </c>
      <c r="AI3815">
        <v>7.56</v>
      </c>
      <c r="AJ3815">
        <v>32.29</v>
      </c>
      <c r="AK3815">
        <v>23.8</v>
      </c>
      <c r="AL3815">
        <v>-20.174313549999969</v>
      </c>
      <c r="AM3815">
        <v>-44.888054159272059</v>
      </c>
      <c r="AN3815">
        <v>-20.174313549999969</v>
      </c>
      <c r="AO3815">
        <v>-44.888054159272059</v>
      </c>
      <c r="AP3815">
        <v>-20.179231999999999</v>
      </c>
      <c r="AQ3815">
        <v>-44.885683999999998</v>
      </c>
      <c r="AR3815">
        <v>600.92840546618686</v>
      </c>
      <c r="AS3815" t="s">
        <v>65</v>
      </c>
      <c r="AT3815">
        <v>1</v>
      </c>
      <c r="AU3815" t="s">
        <v>1641</v>
      </c>
      <c r="AV3815" t="s">
        <v>1642</v>
      </c>
      <c r="AW3815" t="s">
        <v>60</v>
      </c>
      <c r="AX3815" t="s">
        <v>68</v>
      </c>
      <c r="AY3815" t="s">
        <v>69</v>
      </c>
      <c r="AZ3815" t="b">
        <v>1</v>
      </c>
    </row>
    <row r="3816" spans="1:52" x14ac:dyDescent="0.3">
      <c r="A3816" t="s">
        <v>52</v>
      </c>
      <c r="B3816" t="s">
        <v>53</v>
      </c>
      <c r="C3816" t="s">
        <v>54</v>
      </c>
      <c r="D3816" t="s">
        <v>55</v>
      </c>
      <c r="E3816" t="s">
        <v>2206</v>
      </c>
      <c r="F3816" t="s">
        <v>190</v>
      </c>
      <c r="G3816" t="s">
        <v>360</v>
      </c>
      <c r="H3816" t="s">
        <v>361</v>
      </c>
      <c r="I3816" t="s">
        <v>361</v>
      </c>
      <c r="J3816" t="s">
        <v>60</v>
      </c>
      <c r="K3816" t="s">
        <v>362</v>
      </c>
      <c r="L3816" t="s">
        <v>62</v>
      </c>
      <c r="M3816" t="s">
        <v>362</v>
      </c>
      <c r="N3816" t="s">
        <v>363</v>
      </c>
      <c r="O3816" t="s">
        <v>235</v>
      </c>
      <c r="P3816">
        <v>-20.143716999999999</v>
      </c>
      <c r="Q3816">
        <v>-44.875278000000002</v>
      </c>
      <c r="R3816" s="2" t="str">
        <f>HYPERLINK("https://www.google.com/maps?q=-20.1437170,-44.8752780","Abrir no Google Maps")</f>
        <v>Abrir no Google Maps</v>
      </c>
      <c r="S3816">
        <v>4</v>
      </c>
      <c r="T3816">
        <v>0</v>
      </c>
      <c r="U3816">
        <v>3</v>
      </c>
      <c r="V3816">
        <v>0.41243057797820992</v>
      </c>
      <c r="W3816">
        <v>1</v>
      </c>
      <c r="X3816">
        <v>0.41243057797820992</v>
      </c>
      <c r="Y3816">
        <v>209</v>
      </c>
      <c r="Z3816">
        <v>121.8438559354383</v>
      </c>
      <c r="AA3816">
        <v>198</v>
      </c>
      <c r="AB3816">
        <v>332</v>
      </c>
      <c r="AC3816">
        <v>536</v>
      </c>
      <c r="AD3816">
        <v>33.19</v>
      </c>
      <c r="AE3816">
        <v>542</v>
      </c>
      <c r="AF3816">
        <v>41</v>
      </c>
      <c r="AG3816">
        <v>175</v>
      </c>
      <c r="AH3816">
        <v>129</v>
      </c>
      <c r="AI3816">
        <v>7.56</v>
      </c>
      <c r="AJ3816">
        <v>32.29</v>
      </c>
      <c r="AK3816">
        <v>23.8</v>
      </c>
      <c r="AL3816">
        <v>-20.143665999999961</v>
      </c>
      <c r="AM3816">
        <v>-44.875561853046079</v>
      </c>
      <c r="AN3816">
        <v>-20.143665999999961</v>
      </c>
      <c r="AO3816">
        <v>-44.875561853046079</v>
      </c>
      <c r="AP3816">
        <v>-20.143716999999999</v>
      </c>
      <c r="AQ3816">
        <v>-44.875278000000002</v>
      </c>
      <c r="AR3816">
        <v>30.20407282671313</v>
      </c>
      <c r="AS3816" t="s">
        <v>65</v>
      </c>
      <c r="AT3816">
        <v>1</v>
      </c>
      <c r="AU3816" t="s">
        <v>364</v>
      </c>
      <c r="AV3816" t="s">
        <v>365</v>
      </c>
      <c r="AW3816" t="s">
        <v>60</v>
      </c>
      <c r="AX3816" t="s">
        <v>68</v>
      </c>
      <c r="AY3816" t="s">
        <v>69</v>
      </c>
      <c r="AZ3816" t="b">
        <v>1</v>
      </c>
    </row>
    <row r="3817" spans="1:52" x14ac:dyDescent="0.3">
      <c r="A3817" t="s">
        <v>52</v>
      </c>
      <c r="B3817" t="s">
        <v>53</v>
      </c>
      <c r="C3817" t="s">
        <v>54</v>
      </c>
      <c r="D3817" t="s">
        <v>55</v>
      </c>
      <c r="E3817" t="s">
        <v>2206</v>
      </c>
      <c r="F3817" t="s">
        <v>190</v>
      </c>
      <c r="G3817" t="s">
        <v>1722</v>
      </c>
      <c r="H3817" t="s">
        <v>1723</v>
      </c>
      <c r="I3817" t="s">
        <v>1723</v>
      </c>
      <c r="J3817" t="s">
        <v>60</v>
      </c>
      <c r="K3817" t="s">
        <v>355</v>
      </c>
      <c r="L3817" t="s">
        <v>62</v>
      </c>
      <c r="M3817" t="s">
        <v>355</v>
      </c>
      <c r="N3817" t="s">
        <v>1724</v>
      </c>
      <c r="O3817" t="s">
        <v>1725</v>
      </c>
      <c r="P3817">
        <v>-20.143581999999999</v>
      </c>
      <c r="Q3817">
        <v>-44.873627999999997</v>
      </c>
      <c r="R3817" s="2" t="str">
        <f>HYPERLINK("https://www.google.com/maps?q=-20.1435820,-44.8736280","Abrir no Google Maps")</f>
        <v>Abrir no Google Maps</v>
      </c>
      <c r="S3817">
        <v>4</v>
      </c>
      <c r="T3817">
        <v>208.52786918687181</v>
      </c>
      <c r="U3817">
        <v>3</v>
      </c>
      <c r="V3817">
        <v>0.4342666096496659</v>
      </c>
      <c r="W3817">
        <v>0.85</v>
      </c>
      <c r="X3817">
        <v>0.36912661820221598</v>
      </c>
      <c r="Y3817">
        <v>209</v>
      </c>
      <c r="Z3817">
        <v>128.3269726321931</v>
      </c>
      <c r="AA3817">
        <v>198</v>
      </c>
      <c r="AB3817">
        <v>332</v>
      </c>
      <c r="AC3817">
        <v>536</v>
      </c>
      <c r="AD3817">
        <v>33.19</v>
      </c>
      <c r="AE3817">
        <v>542</v>
      </c>
      <c r="AF3817">
        <v>41</v>
      </c>
      <c r="AG3817">
        <v>175</v>
      </c>
      <c r="AH3817">
        <v>129</v>
      </c>
      <c r="AI3817">
        <v>7.56</v>
      </c>
      <c r="AJ3817">
        <v>32.29</v>
      </c>
      <c r="AK3817">
        <v>23.8</v>
      </c>
      <c r="AL3817">
        <v>-20.143898149999959</v>
      </c>
      <c r="AM3817">
        <v>-44.873581764571512</v>
      </c>
      <c r="AN3817">
        <v>-20.143898149999959</v>
      </c>
      <c r="AO3817">
        <v>-44.873581764571512</v>
      </c>
      <c r="AP3817">
        <v>-20.143581999999999</v>
      </c>
      <c r="AQ3817">
        <v>-44.873627999999997</v>
      </c>
      <c r="AR3817">
        <v>35.5239912670961</v>
      </c>
      <c r="AS3817" t="s">
        <v>65</v>
      </c>
      <c r="AT3817">
        <v>1</v>
      </c>
      <c r="AU3817" t="s">
        <v>1726</v>
      </c>
      <c r="AV3817" t="s">
        <v>1727</v>
      </c>
      <c r="AW3817" t="s">
        <v>60</v>
      </c>
      <c r="AX3817" t="s">
        <v>68</v>
      </c>
      <c r="AY3817" t="s">
        <v>69</v>
      </c>
      <c r="AZ3817" t="b">
        <v>1</v>
      </c>
    </row>
    <row r="3818" spans="1:52" x14ac:dyDescent="0.3">
      <c r="A3818" t="s">
        <v>52</v>
      </c>
      <c r="B3818" t="s">
        <v>53</v>
      </c>
      <c r="C3818" t="s">
        <v>54</v>
      </c>
      <c r="D3818" t="s">
        <v>55</v>
      </c>
      <c r="E3818" t="s">
        <v>2206</v>
      </c>
      <c r="F3818" t="s">
        <v>190</v>
      </c>
      <c r="G3818" t="s">
        <v>366</v>
      </c>
      <c r="H3818" t="s">
        <v>367</v>
      </c>
      <c r="I3818" t="s">
        <v>367</v>
      </c>
      <c r="J3818" t="s">
        <v>60</v>
      </c>
      <c r="K3818" t="s">
        <v>368</v>
      </c>
      <c r="L3818" t="s">
        <v>62</v>
      </c>
      <c r="M3818" t="s">
        <v>368</v>
      </c>
      <c r="N3818" t="s">
        <v>369</v>
      </c>
      <c r="O3818" t="s">
        <v>370</v>
      </c>
      <c r="P3818">
        <v>-20.144553999999999</v>
      </c>
      <c r="Q3818">
        <v>-44.868183000000002</v>
      </c>
      <c r="R3818" s="2" t="str">
        <f>HYPERLINK("https://www.google.com/maps?q=-20.1445540,-44.8681830","Abrir no Google Maps")</f>
        <v>Abrir no Google Maps</v>
      </c>
      <c r="S3818">
        <v>4</v>
      </c>
      <c r="T3818">
        <v>783.87848835431373</v>
      </c>
      <c r="U3818">
        <v>3</v>
      </c>
      <c r="V3818">
        <v>0.39861967085331679</v>
      </c>
      <c r="W3818">
        <v>1</v>
      </c>
      <c r="X3818">
        <v>0.39861967085331679</v>
      </c>
      <c r="Y3818">
        <v>198</v>
      </c>
      <c r="Z3818">
        <v>360.68413994394842</v>
      </c>
      <c r="AA3818">
        <v>198</v>
      </c>
      <c r="AB3818">
        <v>332</v>
      </c>
      <c r="AC3818">
        <v>536</v>
      </c>
      <c r="AD3818">
        <v>33.19</v>
      </c>
      <c r="AE3818">
        <v>542</v>
      </c>
      <c r="AF3818">
        <v>41</v>
      </c>
      <c r="AG3818">
        <v>175</v>
      </c>
      <c r="AH3818">
        <v>129</v>
      </c>
      <c r="AI3818">
        <v>7.56</v>
      </c>
      <c r="AJ3818">
        <v>32.29</v>
      </c>
      <c r="AK3818">
        <v>23.8</v>
      </c>
      <c r="AL3818">
        <v>-20.144487399999949</v>
      </c>
      <c r="AM3818">
        <v>-44.868111936674481</v>
      </c>
      <c r="AN3818">
        <v>-20.144487399999939</v>
      </c>
      <c r="AO3818">
        <v>-44.868111936674481</v>
      </c>
      <c r="AP3818">
        <v>-20.144553999999999</v>
      </c>
      <c r="AQ3818">
        <v>-44.868183000000002</v>
      </c>
      <c r="AR3818">
        <v>10.49400387332288</v>
      </c>
      <c r="AS3818" t="s">
        <v>65</v>
      </c>
      <c r="AT3818">
        <v>1</v>
      </c>
      <c r="AU3818" t="s">
        <v>371</v>
      </c>
      <c r="AV3818" t="s">
        <v>372</v>
      </c>
      <c r="AW3818" t="s">
        <v>60</v>
      </c>
      <c r="AX3818" t="s">
        <v>68</v>
      </c>
      <c r="AY3818" t="s">
        <v>69</v>
      </c>
      <c r="AZ3818" t="b">
        <v>1</v>
      </c>
    </row>
    <row r="3819" spans="1:52" x14ac:dyDescent="0.3">
      <c r="A3819" t="s">
        <v>52</v>
      </c>
      <c r="B3819" t="s">
        <v>53</v>
      </c>
      <c r="C3819" t="s">
        <v>54</v>
      </c>
      <c r="D3819" t="s">
        <v>55</v>
      </c>
      <c r="E3819" t="s">
        <v>2206</v>
      </c>
      <c r="F3819" t="s">
        <v>190</v>
      </c>
      <c r="G3819" t="s">
        <v>1728</v>
      </c>
      <c r="H3819" t="s">
        <v>1729</v>
      </c>
      <c r="I3819" t="s">
        <v>1729</v>
      </c>
      <c r="J3819" t="s">
        <v>60</v>
      </c>
      <c r="K3819" t="s">
        <v>171</v>
      </c>
      <c r="L3819" t="s">
        <v>62</v>
      </c>
      <c r="M3819" t="s">
        <v>171</v>
      </c>
      <c r="N3819" t="s">
        <v>1730</v>
      </c>
      <c r="O3819" t="s">
        <v>1731</v>
      </c>
      <c r="P3819">
        <v>-20.153237000000001</v>
      </c>
      <c r="Q3819">
        <v>-44.893830999999999</v>
      </c>
      <c r="R3819" s="2" t="str">
        <f>HYPERLINK("https://www.google.com/maps?q=-20.1532370,-44.8938310","Abrir no Google Maps")</f>
        <v>Abrir no Google Maps</v>
      </c>
      <c r="S3819">
        <v>4</v>
      </c>
      <c r="T3819">
        <v>413.69072684661631</v>
      </c>
      <c r="U3819">
        <v>3</v>
      </c>
      <c r="V3819">
        <v>0.38214765587938221</v>
      </c>
      <c r="W3819">
        <v>1</v>
      </c>
      <c r="X3819">
        <v>0.38214765587938221</v>
      </c>
      <c r="Y3819">
        <v>129</v>
      </c>
      <c r="Z3819">
        <v>276.95856023076033</v>
      </c>
      <c r="AA3819">
        <v>198</v>
      </c>
      <c r="AB3819">
        <v>332</v>
      </c>
      <c r="AC3819">
        <v>536</v>
      </c>
      <c r="AD3819">
        <v>33.19</v>
      </c>
      <c r="AE3819">
        <v>542</v>
      </c>
      <c r="AF3819">
        <v>41</v>
      </c>
      <c r="AG3819">
        <v>175</v>
      </c>
      <c r="AH3819">
        <v>129</v>
      </c>
      <c r="AI3819">
        <v>7.56</v>
      </c>
      <c r="AJ3819">
        <v>32.29</v>
      </c>
      <c r="AK3819">
        <v>23.8</v>
      </c>
      <c r="AL3819">
        <v>-20.15278304999995</v>
      </c>
      <c r="AM3819">
        <v>-44.894325691070982</v>
      </c>
      <c r="AN3819">
        <v>-20.15278304999995</v>
      </c>
      <c r="AO3819">
        <v>-44.894325691070982</v>
      </c>
      <c r="AP3819">
        <v>-20.153237000000001</v>
      </c>
      <c r="AQ3819">
        <v>-44.893830999999999</v>
      </c>
      <c r="AR3819">
        <v>72.293093135883012</v>
      </c>
      <c r="AS3819" t="s">
        <v>65</v>
      </c>
      <c r="AT3819">
        <v>1</v>
      </c>
      <c r="AU3819" t="s">
        <v>1732</v>
      </c>
      <c r="AV3819" t="s">
        <v>1733</v>
      </c>
      <c r="AW3819" t="s">
        <v>60</v>
      </c>
      <c r="AX3819" t="s">
        <v>68</v>
      </c>
      <c r="AY3819" t="s">
        <v>69</v>
      </c>
      <c r="AZ3819" t="b">
        <v>1</v>
      </c>
    </row>
    <row r="3820" spans="1:52" x14ac:dyDescent="0.3">
      <c r="A3820" t="s">
        <v>52</v>
      </c>
      <c r="B3820" t="s">
        <v>53</v>
      </c>
      <c r="C3820" t="s">
        <v>54</v>
      </c>
      <c r="D3820" t="s">
        <v>55</v>
      </c>
      <c r="E3820" t="s">
        <v>2206</v>
      </c>
      <c r="F3820" t="s">
        <v>190</v>
      </c>
      <c r="G3820" t="s">
        <v>1193</v>
      </c>
      <c r="H3820" t="s">
        <v>1734</v>
      </c>
      <c r="I3820" t="s">
        <v>1734</v>
      </c>
      <c r="J3820" t="s">
        <v>60</v>
      </c>
      <c r="K3820" t="s">
        <v>1735</v>
      </c>
      <c r="L3820" t="s">
        <v>62</v>
      </c>
      <c r="M3820" t="s">
        <v>1735</v>
      </c>
      <c r="N3820" t="s">
        <v>1736</v>
      </c>
      <c r="O3820" t="s">
        <v>315</v>
      </c>
      <c r="P3820">
        <v>-20.200367</v>
      </c>
      <c r="Q3820">
        <v>-44.880668999999997</v>
      </c>
      <c r="R3820" s="2" t="str">
        <f>HYPERLINK("https://www.google.com/maps?q=-20.2003670,-44.8806690","Abrir no Google Maps")</f>
        <v>Abrir no Google Maps</v>
      </c>
      <c r="S3820">
        <v>4</v>
      </c>
      <c r="T3820">
        <v>1820.469679459095</v>
      </c>
      <c r="U3820">
        <v>3</v>
      </c>
      <c r="V3820">
        <v>0.41965813792657952</v>
      </c>
      <c r="W3820">
        <v>0.85</v>
      </c>
      <c r="X3820">
        <v>0.35670941723759259</v>
      </c>
      <c r="Y3820">
        <v>101</v>
      </c>
      <c r="Z3820">
        <v>1841.9598393829469</v>
      </c>
      <c r="AA3820">
        <v>198</v>
      </c>
      <c r="AB3820">
        <v>332</v>
      </c>
      <c r="AC3820">
        <v>536</v>
      </c>
      <c r="AD3820">
        <v>33.19</v>
      </c>
      <c r="AE3820">
        <v>542</v>
      </c>
      <c r="AF3820">
        <v>41</v>
      </c>
      <c r="AG3820">
        <v>175</v>
      </c>
      <c r="AH3820">
        <v>129</v>
      </c>
      <c r="AI3820">
        <v>7.56</v>
      </c>
      <c r="AJ3820">
        <v>32.29</v>
      </c>
      <c r="AK3820">
        <v>23.8</v>
      </c>
      <c r="AL3820">
        <v>-20.202122099999968</v>
      </c>
      <c r="AM3820">
        <v>-44.88131085114675</v>
      </c>
      <c r="AN3820">
        <v>-20.202122099999968</v>
      </c>
      <c r="AO3820">
        <v>-44.88131085114675</v>
      </c>
      <c r="AP3820">
        <v>-20.200367</v>
      </c>
      <c r="AQ3820">
        <v>-44.880668999999997</v>
      </c>
      <c r="AR3820">
        <v>206.56442547254821</v>
      </c>
      <c r="AS3820" t="s">
        <v>65</v>
      </c>
      <c r="AT3820">
        <v>1</v>
      </c>
      <c r="AU3820" t="s">
        <v>1737</v>
      </c>
      <c r="AV3820" t="s">
        <v>1738</v>
      </c>
      <c r="AW3820" t="s">
        <v>60</v>
      </c>
      <c r="AX3820" t="s">
        <v>68</v>
      </c>
      <c r="AY3820" t="s">
        <v>69</v>
      </c>
      <c r="AZ3820" t="b">
        <v>1</v>
      </c>
    </row>
    <row r="3821" spans="1:52" x14ac:dyDescent="0.3">
      <c r="A3821" t="s">
        <v>52</v>
      </c>
      <c r="B3821" t="s">
        <v>53</v>
      </c>
      <c r="C3821" t="s">
        <v>54</v>
      </c>
      <c r="D3821" t="s">
        <v>55</v>
      </c>
      <c r="E3821" t="s">
        <v>2206</v>
      </c>
      <c r="F3821" t="s">
        <v>190</v>
      </c>
      <c r="G3821" t="s">
        <v>1744</v>
      </c>
      <c r="H3821" t="s">
        <v>1745</v>
      </c>
      <c r="I3821" t="s">
        <v>1745</v>
      </c>
      <c r="J3821" t="s">
        <v>60</v>
      </c>
      <c r="K3821" t="s">
        <v>1676</v>
      </c>
      <c r="L3821" t="s">
        <v>62</v>
      </c>
      <c r="M3821" t="s">
        <v>1676</v>
      </c>
      <c r="N3821" t="s">
        <v>1746</v>
      </c>
      <c r="O3821" t="s">
        <v>1747</v>
      </c>
      <c r="P3821">
        <v>-20.180457000000001</v>
      </c>
      <c r="Q3821">
        <v>-44.880989</v>
      </c>
      <c r="R3821" s="2" t="str">
        <f>HYPERLINK("https://www.google.com/maps?q=-20.1804570,-44.8809890","Abrir no Google Maps")</f>
        <v>Abrir no Google Maps</v>
      </c>
      <c r="S3821">
        <v>4</v>
      </c>
      <c r="T3821">
        <v>594.60456790345131</v>
      </c>
      <c r="U3821">
        <v>3</v>
      </c>
      <c r="V3821">
        <v>0.45901050591330772</v>
      </c>
      <c r="W3821">
        <v>0.85</v>
      </c>
      <c r="X3821">
        <v>0.39015893002631158</v>
      </c>
      <c r="Y3821">
        <v>101</v>
      </c>
      <c r="Z3821">
        <v>644.27072665474043</v>
      </c>
      <c r="AA3821">
        <v>198</v>
      </c>
      <c r="AB3821">
        <v>332</v>
      </c>
      <c r="AC3821">
        <v>536</v>
      </c>
      <c r="AD3821">
        <v>33.19</v>
      </c>
      <c r="AE3821">
        <v>542</v>
      </c>
      <c r="AF3821">
        <v>41</v>
      </c>
      <c r="AG3821">
        <v>175</v>
      </c>
      <c r="AH3821">
        <v>129</v>
      </c>
      <c r="AI3821">
        <v>7.56</v>
      </c>
      <c r="AJ3821">
        <v>32.29</v>
      </c>
      <c r="AK3821">
        <v>23.8</v>
      </c>
      <c r="AL3821">
        <v>-20.180299249999969</v>
      </c>
      <c r="AM3821">
        <v>-44.881100391239819</v>
      </c>
      <c r="AN3821">
        <v>-20.180299249999969</v>
      </c>
      <c r="AO3821">
        <v>-44.881100391239819</v>
      </c>
      <c r="AP3821">
        <v>-20.180457000000001</v>
      </c>
      <c r="AQ3821">
        <v>-44.880989</v>
      </c>
      <c r="AR3821">
        <v>21.067561465339171</v>
      </c>
      <c r="AS3821" t="s">
        <v>65</v>
      </c>
      <c r="AT3821">
        <v>1</v>
      </c>
      <c r="AU3821" t="s">
        <v>1748</v>
      </c>
      <c r="AV3821" t="s">
        <v>1749</v>
      </c>
      <c r="AW3821" t="s">
        <v>60</v>
      </c>
      <c r="AX3821" t="s">
        <v>68</v>
      </c>
      <c r="AY3821" t="s">
        <v>69</v>
      </c>
      <c r="AZ3821" t="b">
        <v>1</v>
      </c>
    </row>
    <row r="3822" spans="1:52" x14ac:dyDescent="0.3">
      <c r="A3822" t="s">
        <v>52</v>
      </c>
      <c r="B3822" t="s">
        <v>53</v>
      </c>
      <c r="C3822" t="s">
        <v>54</v>
      </c>
      <c r="D3822" t="s">
        <v>55</v>
      </c>
      <c r="E3822" t="s">
        <v>2206</v>
      </c>
      <c r="F3822" t="s">
        <v>190</v>
      </c>
      <c r="G3822" t="s">
        <v>2143</v>
      </c>
      <c r="H3822" t="s">
        <v>2144</v>
      </c>
      <c r="I3822" t="s">
        <v>2144</v>
      </c>
      <c r="J3822" t="s">
        <v>60</v>
      </c>
      <c r="K3822" t="s">
        <v>775</v>
      </c>
      <c r="L3822" t="s">
        <v>62</v>
      </c>
      <c r="M3822" t="s">
        <v>775</v>
      </c>
      <c r="N3822" t="s">
        <v>2145</v>
      </c>
      <c r="O3822" t="s">
        <v>338</v>
      </c>
      <c r="P3822">
        <v>-20.134360999999998</v>
      </c>
      <c r="Q3822">
        <v>-44.864097000000001</v>
      </c>
      <c r="R3822" s="2" t="str">
        <f>HYPERLINK("https://www.google.com/maps?q=-20.1343610,-44.8640970","Abrir no Google Maps")</f>
        <v>Abrir no Google Maps</v>
      </c>
      <c r="S3822">
        <v>4</v>
      </c>
      <c r="T3822">
        <v>816.98059007873292</v>
      </c>
      <c r="U3822">
        <v>3</v>
      </c>
      <c r="V3822">
        <v>0.42548788194373199</v>
      </c>
      <c r="W3822">
        <v>0.85</v>
      </c>
      <c r="X3822">
        <v>0.36166469965217218</v>
      </c>
      <c r="Y3822">
        <v>95</v>
      </c>
      <c r="Z3822">
        <v>640.83519745619276</v>
      </c>
      <c r="AA3822">
        <v>198</v>
      </c>
      <c r="AB3822">
        <v>332</v>
      </c>
      <c r="AC3822">
        <v>536</v>
      </c>
      <c r="AD3822">
        <v>33.19</v>
      </c>
      <c r="AE3822">
        <v>542</v>
      </c>
      <c r="AF3822">
        <v>41</v>
      </c>
      <c r="AG3822">
        <v>175</v>
      </c>
      <c r="AH3822">
        <v>129</v>
      </c>
      <c r="AI3822">
        <v>7.56</v>
      </c>
      <c r="AJ3822">
        <v>32.29</v>
      </c>
      <c r="AK3822">
        <v>23.8</v>
      </c>
      <c r="AL3822">
        <v>-20.13513999999995</v>
      </c>
      <c r="AM3822">
        <v>-44.864196126214942</v>
      </c>
      <c r="AN3822">
        <v>-20.13513999999995</v>
      </c>
      <c r="AO3822">
        <v>-44.864196126214942</v>
      </c>
      <c r="AP3822">
        <v>-20.134360999999998</v>
      </c>
      <c r="AQ3822">
        <v>-44.864097000000001</v>
      </c>
      <c r="AR3822">
        <v>87.334966645184039</v>
      </c>
      <c r="AS3822" t="s">
        <v>65</v>
      </c>
      <c r="AT3822">
        <v>1</v>
      </c>
      <c r="AU3822" t="s">
        <v>2146</v>
      </c>
      <c r="AV3822" t="s">
        <v>2147</v>
      </c>
      <c r="AW3822" t="s">
        <v>60</v>
      </c>
      <c r="AX3822" t="s">
        <v>68</v>
      </c>
      <c r="AY3822" t="s">
        <v>69</v>
      </c>
      <c r="AZ3822" t="b">
        <v>1</v>
      </c>
    </row>
    <row r="3823" spans="1:52" x14ac:dyDescent="0.3">
      <c r="A3823" t="s">
        <v>52</v>
      </c>
      <c r="B3823" t="s">
        <v>53</v>
      </c>
      <c r="C3823" t="s">
        <v>54</v>
      </c>
      <c r="D3823" t="s">
        <v>55</v>
      </c>
      <c r="E3823" t="s">
        <v>2206</v>
      </c>
      <c r="F3823" t="s">
        <v>190</v>
      </c>
      <c r="G3823" t="s">
        <v>870</v>
      </c>
      <c r="H3823" t="s">
        <v>871</v>
      </c>
      <c r="I3823" t="s">
        <v>871</v>
      </c>
      <c r="J3823" t="s">
        <v>60</v>
      </c>
      <c r="K3823" t="s">
        <v>475</v>
      </c>
      <c r="L3823" t="s">
        <v>62</v>
      </c>
      <c r="M3823" t="s">
        <v>475</v>
      </c>
      <c r="N3823" t="s">
        <v>872</v>
      </c>
      <c r="O3823" t="s">
        <v>507</v>
      </c>
      <c r="P3823">
        <v>-20.176269999999999</v>
      </c>
      <c r="Q3823">
        <v>-44.909323999999998</v>
      </c>
      <c r="R3823" s="2" t="str">
        <f>HYPERLINK("https://www.google.com/maps?q=-20.1762700,-44.9093240","Abrir no Google Maps")</f>
        <v>Abrir no Google Maps</v>
      </c>
      <c r="S3823">
        <v>3</v>
      </c>
      <c r="T3823">
        <v>472.42731136821368</v>
      </c>
      <c r="U3823">
        <v>4</v>
      </c>
      <c r="V3823">
        <v>0.45649276636472119</v>
      </c>
      <c r="W3823">
        <v>1</v>
      </c>
      <c r="X3823">
        <v>0.45649276636472119</v>
      </c>
      <c r="Y3823">
        <v>578</v>
      </c>
      <c r="Z3823">
        <v>495.19726726344601</v>
      </c>
      <c r="AA3823">
        <v>198</v>
      </c>
      <c r="AB3823">
        <v>332</v>
      </c>
      <c r="AC3823">
        <v>536</v>
      </c>
      <c r="AD3823">
        <v>33.19</v>
      </c>
      <c r="AE3823">
        <v>542</v>
      </c>
      <c r="AF3823">
        <v>41</v>
      </c>
      <c r="AG3823">
        <v>175</v>
      </c>
      <c r="AH3823">
        <v>129</v>
      </c>
      <c r="AI3823">
        <v>7.56</v>
      </c>
      <c r="AJ3823">
        <v>32.29</v>
      </c>
      <c r="AK3823">
        <v>23.8</v>
      </c>
      <c r="AL3823">
        <v>-20.17630284999996</v>
      </c>
      <c r="AM3823">
        <v>-44.909199064318948</v>
      </c>
      <c r="AN3823">
        <v>-20.17630284999996</v>
      </c>
      <c r="AO3823">
        <v>-44.909199064318948</v>
      </c>
      <c r="AP3823">
        <v>-20.176269999999999</v>
      </c>
      <c r="AQ3823">
        <v>-44.909323999999998</v>
      </c>
      <c r="AR3823">
        <v>13.55691308737447</v>
      </c>
      <c r="AS3823" t="s">
        <v>65</v>
      </c>
      <c r="AT3823">
        <v>1</v>
      </c>
      <c r="AU3823" t="s">
        <v>873</v>
      </c>
      <c r="AV3823" t="s">
        <v>874</v>
      </c>
      <c r="AW3823" t="s">
        <v>60</v>
      </c>
      <c r="AX3823" t="s">
        <v>68</v>
      </c>
      <c r="AY3823" t="s">
        <v>69</v>
      </c>
      <c r="AZ3823" t="b">
        <v>1</v>
      </c>
    </row>
    <row r="3824" spans="1:52" x14ac:dyDescent="0.3">
      <c r="A3824" t="s">
        <v>52</v>
      </c>
      <c r="B3824" t="s">
        <v>53</v>
      </c>
      <c r="C3824" t="s">
        <v>54</v>
      </c>
      <c r="D3824" t="s">
        <v>55</v>
      </c>
      <c r="E3824" t="s">
        <v>2206</v>
      </c>
      <c r="F3824" t="s">
        <v>190</v>
      </c>
      <c r="G3824" t="s">
        <v>903</v>
      </c>
      <c r="H3824" t="s">
        <v>904</v>
      </c>
      <c r="I3824" t="s">
        <v>904</v>
      </c>
      <c r="J3824" t="s">
        <v>60</v>
      </c>
      <c r="K3824" t="s">
        <v>905</v>
      </c>
      <c r="L3824" t="s">
        <v>62</v>
      </c>
      <c r="M3824" t="s">
        <v>905</v>
      </c>
      <c r="N3824" t="s">
        <v>906</v>
      </c>
      <c r="O3824" t="s">
        <v>907</v>
      </c>
      <c r="P3824">
        <v>-20.112969</v>
      </c>
      <c r="Q3824">
        <v>-44.891264</v>
      </c>
      <c r="R3824" s="2" t="str">
        <f>HYPERLINK("https://www.google.com/maps?q=-20.1129690,-44.8912640","Abrir no Google Maps")</f>
        <v>Abrir no Google Maps</v>
      </c>
      <c r="S3824">
        <v>3</v>
      </c>
      <c r="T3824">
        <v>760.33197426397032</v>
      </c>
      <c r="U3824">
        <v>4</v>
      </c>
      <c r="V3824">
        <v>0.4255051048286263</v>
      </c>
      <c r="W3824">
        <v>1</v>
      </c>
      <c r="X3824">
        <v>0.4255051048286263</v>
      </c>
      <c r="Y3824">
        <v>536</v>
      </c>
      <c r="Z3824">
        <v>755.3791742519096</v>
      </c>
      <c r="AA3824">
        <v>198</v>
      </c>
      <c r="AB3824">
        <v>332</v>
      </c>
      <c r="AC3824">
        <v>536</v>
      </c>
      <c r="AD3824">
        <v>33.19</v>
      </c>
      <c r="AE3824">
        <v>542</v>
      </c>
      <c r="AF3824">
        <v>41</v>
      </c>
      <c r="AG3824">
        <v>175</v>
      </c>
      <c r="AH3824">
        <v>129</v>
      </c>
      <c r="AI3824">
        <v>7.56</v>
      </c>
      <c r="AJ3824">
        <v>32.29</v>
      </c>
      <c r="AK3824">
        <v>23.8</v>
      </c>
      <c r="AL3824">
        <v>-20.11260604999995</v>
      </c>
      <c r="AM3824">
        <v>-44.891480970454502</v>
      </c>
      <c r="AN3824">
        <v>-20.11260604999995</v>
      </c>
      <c r="AO3824">
        <v>-44.891480970454502</v>
      </c>
      <c r="AP3824">
        <v>-20.112969</v>
      </c>
      <c r="AQ3824">
        <v>-44.891264</v>
      </c>
      <c r="AR3824">
        <v>46.334053708506183</v>
      </c>
      <c r="AS3824" t="s">
        <v>65</v>
      </c>
      <c r="AT3824">
        <v>1</v>
      </c>
      <c r="AU3824" t="s">
        <v>908</v>
      </c>
      <c r="AV3824" t="s">
        <v>909</v>
      </c>
      <c r="AW3824" t="s">
        <v>60</v>
      </c>
      <c r="AX3824" t="s">
        <v>68</v>
      </c>
      <c r="AY3824" t="s">
        <v>69</v>
      </c>
      <c r="AZ3824" t="b">
        <v>1</v>
      </c>
    </row>
    <row r="3825" spans="1:52" x14ac:dyDescent="0.3">
      <c r="A3825" t="s">
        <v>52</v>
      </c>
      <c r="B3825" t="s">
        <v>53</v>
      </c>
      <c r="C3825" t="s">
        <v>54</v>
      </c>
      <c r="D3825" t="s">
        <v>55</v>
      </c>
      <c r="E3825" t="s">
        <v>2206</v>
      </c>
      <c r="F3825" t="s">
        <v>190</v>
      </c>
      <c r="G3825" t="s">
        <v>935</v>
      </c>
      <c r="H3825" t="s">
        <v>936</v>
      </c>
      <c r="I3825" t="s">
        <v>936</v>
      </c>
      <c r="J3825" t="s">
        <v>60</v>
      </c>
      <c r="K3825" t="s">
        <v>193</v>
      </c>
      <c r="L3825" t="s">
        <v>62</v>
      </c>
      <c r="M3825" t="s">
        <v>193</v>
      </c>
      <c r="N3825" t="s">
        <v>937</v>
      </c>
      <c r="O3825" t="s">
        <v>938</v>
      </c>
      <c r="P3825">
        <v>-20.144727</v>
      </c>
      <c r="Q3825">
        <v>-44.919978999999998</v>
      </c>
      <c r="R3825" s="2" t="str">
        <f>HYPERLINK("https://www.google.com/maps?q=-20.1447270,-44.9199790","Abrir no Google Maps")</f>
        <v>Abrir no Google Maps</v>
      </c>
      <c r="S3825">
        <v>3</v>
      </c>
      <c r="T3825">
        <v>341.13992759662477</v>
      </c>
      <c r="U3825">
        <v>4</v>
      </c>
      <c r="V3825">
        <v>0.42310363650838112</v>
      </c>
      <c r="W3825">
        <v>1</v>
      </c>
      <c r="X3825">
        <v>0.42310363650838112</v>
      </c>
      <c r="Y3825">
        <v>508</v>
      </c>
      <c r="Z3825">
        <v>274.58151985101409</v>
      </c>
      <c r="AA3825">
        <v>198</v>
      </c>
      <c r="AB3825">
        <v>332</v>
      </c>
      <c r="AC3825">
        <v>536</v>
      </c>
      <c r="AD3825">
        <v>33.19</v>
      </c>
      <c r="AE3825">
        <v>542</v>
      </c>
      <c r="AF3825">
        <v>41</v>
      </c>
      <c r="AG3825">
        <v>175</v>
      </c>
      <c r="AH3825">
        <v>129</v>
      </c>
      <c r="AI3825">
        <v>7.56</v>
      </c>
      <c r="AJ3825">
        <v>32.29</v>
      </c>
      <c r="AK3825">
        <v>23.8</v>
      </c>
      <c r="AL3825">
        <v>-20.144771099999961</v>
      </c>
      <c r="AM3825">
        <v>-44.92003491095209</v>
      </c>
      <c r="AN3825">
        <v>-20.144771099999961</v>
      </c>
      <c r="AO3825">
        <v>-44.92003491095209</v>
      </c>
      <c r="AP3825">
        <v>-20.144727</v>
      </c>
      <c r="AQ3825">
        <v>-44.919978999999998</v>
      </c>
      <c r="AR3825">
        <v>7.6317760459664177</v>
      </c>
      <c r="AS3825" t="s">
        <v>65</v>
      </c>
      <c r="AT3825">
        <v>1</v>
      </c>
      <c r="AU3825" t="s">
        <v>939</v>
      </c>
      <c r="AV3825" t="s">
        <v>940</v>
      </c>
      <c r="AW3825" t="s">
        <v>60</v>
      </c>
      <c r="AX3825" t="s">
        <v>68</v>
      </c>
      <c r="AY3825" t="s">
        <v>69</v>
      </c>
      <c r="AZ3825" t="b">
        <v>1</v>
      </c>
    </row>
    <row r="3826" spans="1:52" x14ac:dyDescent="0.3">
      <c r="A3826" t="s">
        <v>52</v>
      </c>
      <c r="B3826" t="s">
        <v>53</v>
      </c>
      <c r="C3826" t="s">
        <v>54</v>
      </c>
      <c r="D3826" t="s">
        <v>55</v>
      </c>
      <c r="E3826" t="s">
        <v>2206</v>
      </c>
      <c r="F3826" t="s">
        <v>190</v>
      </c>
      <c r="G3826" t="s">
        <v>941</v>
      </c>
      <c r="H3826" t="s">
        <v>942</v>
      </c>
      <c r="I3826" t="s">
        <v>942</v>
      </c>
      <c r="J3826" t="s">
        <v>60</v>
      </c>
      <c r="K3826" t="s">
        <v>193</v>
      </c>
      <c r="L3826" t="s">
        <v>62</v>
      </c>
      <c r="M3826" t="s">
        <v>193</v>
      </c>
      <c r="N3826" t="s">
        <v>943</v>
      </c>
      <c r="O3826" t="s">
        <v>257</v>
      </c>
      <c r="P3826">
        <v>-20.142042</v>
      </c>
      <c r="Q3826">
        <v>-44.917906000000002</v>
      </c>
      <c r="R3826" s="2" t="str">
        <f>HYPERLINK("https://www.google.com/maps?q=-20.1420420,-44.9179060","Abrir no Google Maps")</f>
        <v>Abrir no Google Maps</v>
      </c>
      <c r="S3826">
        <v>3</v>
      </c>
      <c r="T3826">
        <v>373.14048213045743</v>
      </c>
      <c r="U3826">
        <v>4</v>
      </c>
      <c r="V3826">
        <v>0.4377072495321927</v>
      </c>
      <c r="W3826">
        <v>1</v>
      </c>
      <c r="X3826">
        <v>0.4377072495321927</v>
      </c>
      <c r="Y3826">
        <v>508</v>
      </c>
      <c r="Z3826">
        <v>271.52693841106122</v>
      </c>
      <c r="AA3826">
        <v>198</v>
      </c>
      <c r="AB3826">
        <v>332</v>
      </c>
      <c r="AC3826">
        <v>536</v>
      </c>
      <c r="AD3826">
        <v>33.19</v>
      </c>
      <c r="AE3826">
        <v>542</v>
      </c>
      <c r="AF3826">
        <v>41</v>
      </c>
      <c r="AG3826">
        <v>175</v>
      </c>
      <c r="AH3826">
        <v>129</v>
      </c>
      <c r="AI3826">
        <v>7.56</v>
      </c>
      <c r="AJ3826">
        <v>32.29</v>
      </c>
      <c r="AK3826">
        <v>23.8</v>
      </c>
      <c r="AL3826">
        <v>-20.14198914999994</v>
      </c>
      <c r="AM3826">
        <v>-44.918192618397512</v>
      </c>
      <c r="AN3826">
        <v>-20.14198914999994</v>
      </c>
      <c r="AO3826">
        <v>-44.918192618397512</v>
      </c>
      <c r="AP3826">
        <v>-20.142042</v>
      </c>
      <c r="AQ3826">
        <v>-44.917906000000002</v>
      </c>
      <c r="AR3826">
        <v>30.527314493281139</v>
      </c>
      <c r="AS3826" t="s">
        <v>65</v>
      </c>
      <c r="AT3826">
        <v>1</v>
      </c>
      <c r="AU3826" t="s">
        <v>944</v>
      </c>
      <c r="AV3826" t="s">
        <v>945</v>
      </c>
      <c r="AW3826" t="s">
        <v>60</v>
      </c>
      <c r="AX3826" t="s">
        <v>68</v>
      </c>
      <c r="AY3826" t="s">
        <v>69</v>
      </c>
      <c r="AZ3826" t="b">
        <v>1</v>
      </c>
    </row>
    <row r="3827" spans="1:52" x14ac:dyDescent="0.3">
      <c r="A3827" t="s">
        <v>52</v>
      </c>
      <c r="B3827" t="s">
        <v>53</v>
      </c>
      <c r="C3827" t="s">
        <v>54</v>
      </c>
      <c r="D3827" t="s">
        <v>55</v>
      </c>
      <c r="E3827" t="s">
        <v>2206</v>
      </c>
      <c r="F3827" t="s">
        <v>190</v>
      </c>
      <c r="G3827" t="s">
        <v>946</v>
      </c>
      <c r="H3827" t="s">
        <v>947</v>
      </c>
      <c r="I3827" t="s">
        <v>947</v>
      </c>
      <c r="J3827" t="s">
        <v>60</v>
      </c>
      <c r="K3827" t="s">
        <v>193</v>
      </c>
      <c r="L3827" t="s">
        <v>62</v>
      </c>
      <c r="M3827" t="s">
        <v>193</v>
      </c>
      <c r="N3827" t="s">
        <v>948</v>
      </c>
      <c r="O3827" t="s">
        <v>949</v>
      </c>
      <c r="P3827">
        <v>-20.141646000000001</v>
      </c>
      <c r="Q3827">
        <v>-44.920682999999997</v>
      </c>
      <c r="R3827" s="2" t="str">
        <f>HYPERLINK("https://www.google.com/maps?q=-20.1416460,-44.9206830","Abrir no Google Maps")</f>
        <v>Abrir no Google Maps</v>
      </c>
      <c r="S3827">
        <v>3</v>
      </c>
      <c r="T3827">
        <v>538.41742581974165</v>
      </c>
      <c r="U3827">
        <v>4</v>
      </c>
      <c r="V3827">
        <v>0.42281049548818161</v>
      </c>
      <c r="W3827">
        <v>1</v>
      </c>
      <c r="X3827">
        <v>0.42281049548818161</v>
      </c>
      <c r="Y3827">
        <v>508</v>
      </c>
      <c r="Z3827">
        <v>459.99626097363068</v>
      </c>
      <c r="AA3827">
        <v>198</v>
      </c>
      <c r="AB3827">
        <v>332</v>
      </c>
      <c r="AC3827">
        <v>536</v>
      </c>
      <c r="AD3827">
        <v>33.19</v>
      </c>
      <c r="AE3827">
        <v>542</v>
      </c>
      <c r="AF3827">
        <v>41</v>
      </c>
      <c r="AG3827">
        <v>175</v>
      </c>
      <c r="AH3827">
        <v>129</v>
      </c>
      <c r="AI3827">
        <v>7.56</v>
      </c>
      <c r="AJ3827">
        <v>32.29</v>
      </c>
      <c r="AK3827">
        <v>23.8</v>
      </c>
      <c r="AL3827">
        <v>-20.141877549999979</v>
      </c>
      <c r="AM3827">
        <v>-44.920658074778594</v>
      </c>
      <c r="AN3827">
        <v>-20.141877549999979</v>
      </c>
      <c r="AO3827">
        <v>-44.920658074778594</v>
      </c>
      <c r="AP3827">
        <v>-20.141646000000001</v>
      </c>
      <c r="AQ3827">
        <v>-44.920682999999997</v>
      </c>
      <c r="AR3827">
        <v>25.907443828287509</v>
      </c>
      <c r="AS3827" t="s">
        <v>65</v>
      </c>
      <c r="AT3827">
        <v>1</v>
      </c>
      <c r="AU3827" t="s">
        <v>950</v>
      </c>
      <c r="AV3827" t="s">
        <v>951</v>
      </c>
      <c r="AW3827" t="s">
        <v>60</v>
      </c>
      <c r="AX3827" t="s">
        <v>68</v>
      </c>
      <c r="AY3827" t="s">
        <v>69</v>
      </c>
      <c r="AZ3827" t="b">
        <v>1</v>
      </c>
    </row>
    <row r="3828" spans="1:52" x14ac:dyDescent="0.3">
      <c r="A3828" t="s">
        <v>52</v>
      </c>
      <c r="B3828" t="s">
        <v>53</v>
      </c>
      <c r="C3828" t="s">
        <v>54</v>
      </c>
      <c r="D3828" t="s">
        <v>55</v>
      </c>
      <c r="E3828" t="s">
        <v>2206</v>
      </c>
      <c r="F3828" t="s">
        <v>190</v>
      </c>
      <c r="G3828" t="s">
        <v>957</v>
      </c>
      <c r="H3828" t="s">
        <v>958</v>
      </c>
      <c r="I3828" t="s">
        <v>958</v>
      </c>
      <c r="J3828" t="s">
        <v>60</v>
      </c>
      <c r="K3828" t="s">
        <v>262</v>
      </c>
      <c r="L3828" t="s">
        <v>62</v>
      </c>
      <c r="M3828" t="s">
        <v>262</v>
      </c>
      <c r="N3828" t="s">
        <v>959</v>
      </c>
      <c r="O3828" t="s">
        <v>960</v>
      </c>
      <c r="P3828">
        <v>-20.165469999999999</v>
      </c>
      <c r="Q3828">
        <v>-44.854308000000003</v>
      </c>
      <c r="R3828" s="2" t="str">
        <f>HYPERLINK("https://www.google.com/maps?q=-20.1654700,-44.8543080","Abrir no Google Maps")</f>
        <v>Abrir no Google Maps</v>
      </c>
      <c r="S3828">
        <v>3</v>
      </c>
      <c r="T3828">
        <v>555.06043712641599</v>
      </c>
      <c r="U3828">
        <v>4</v>
      </c>
      <c r="V3828">
        <v>0.43245116928843119</v>
      </c>
      <c r="W3828">
        <v>1</v>
      </c>
      <c r="X3828">
        <v>0.43245116928843119</v>
      </c>
      <c r="Y3828">
        <v>491</v>
      </c>
      <c r="Z3828">
        <v>423.16855805320131</v>
      </c>
      <c r="AA3828">
        <v>198</v>
      </c>
      <c r="AB3828">
        <v>332</v>
      </c>
      <c r="AC3828">
        <v>536</v>
      </c>
      <c r="AD3828">
        <v>33.19</v>
      </c>
      <c r="AE3828">
        <v>542</v>
      </c>
      <c r="AF3828">
        <v>41</v>
      </c>
      <c r="AG3828">
        <v>175</v>
      </c>
      <c r="AH3828">
        <v>129</v>
      </c>
      <c r="AI3828">
        <v>7.56</v>
      </c>
      <c r="AJ3828">
        <v>32.29</v>
      </c>
      <c r="AK3828">
        <v>23.8</v>
      </c>
      <c r="AL3828">
        <v>-20.165538449999961</v>
      </c>
      <c r="AM3828">
        <v>-44.854274624633042</v>
      </c>
      <c r="AN3828">
        <v>-20.165538449999961</v>
      </c>
      <c r="AO3828">
        <v>-44.854274624633042</v>
      </c>
      <c r="AP3828">
        <v>-20.165469999999999</v>
      </c>
      <c r="AQ3828">
        <v>-44.854308000000003</v>
      </c>
      <c r="AR3828">
        <v>8.3800661572970956</v>
      </c>
      <c r="AS3828" t="s">
        <v>65</v>
      </c>
      <c r="AT3828">
        <v>1</v>
      </c>
      <c r="AU3828" t="s">
        <v>961</v>
      </c>
      <c r="AV3828" t="s">
        <v>962</v>
      </c>
      <c r="AW3828" t="s">
        <v>60</v>
      </c>
      <c r="AX3828" t="s">
        <v>68</v>
      </c>
      <c r="AY3828" t="s">
        <v>69</v>
      </c>
      <c r="AZ3828" t="b">
        <v>1</v>
      </c>
    </row>
    <row r="3829" spans="1:52" x14ac:dyDescent="0.3">
      <c r="A3829" t="s">
        <v>52</v>
      </c>
      <c r="B3829" t="s">
        <v>53</v>
      </c>
      <c r="C3829" t="s">
        <v>54</v>
      </c>
      <c r="D3829" t="s">
        <v>55</v>
      </c>
      <c r="E3829" t="s">
        <v>2206</v>
      </c>
      <c r="F3829" t="s">
        <v>190</v>
      </c>
      <c r="G3829" t="s">
        <v>957</v>
      </c>
      <c r="H3829" t="s">
        <v>1750</v>
      </c>
      <c r="I3829" t="s">
        <v>1750</v>
      </c>
      <c r="J3829" t="s">
        <v>60</v>
      </c>
      <c r="K3829" t="s">
        <v>982</v>
      </c>
      <c r="L3829" t="s">
        <v>62</v>
      </c>
      <c r="M3829" t="s">
        <v>982</v>
      </c>
      <c r="N3829" t="s">
        <v>959</v>
      </c>
      <c r="O3829" t="s">
        <v>1751</v>
      </c>
      <c r="P3829">
        <v>-20.164285</v>
      </c>
      <c r="Q3829">
        <v>-44.857562000000001</v>
      </c>
      <c r="R3829" s="2" t="str">
        <f>HYPERLINK("https://www.google.com/maps?q=-20.1642850,-44.8575620","Abrir no Google Maps")</f>
        <v>Abrir no Google Maps</v>
      </c>
      <c r="S3829">
        <v>3</v>
      </c>
      <c r="T3829">
        <v>275.89108588842112</v>
      </c>
      <c r="U3829">
        <v>4</v>
      </c>
      <c r="V3829">
        <v>0.42508379651310518</v>
      </c>
      <c r="W3829">
        <v>1</v>
      </c>
      <c r="X3829">
        <v>0.42508379651310518</v>
      </c>
      <c r="Y3829">
        <v>491</v>
      </c>
      <c r="Z3829">
        <v>150.50906778215881</v>
      </c>
      <c r="AA3829">
        <v>198</v>
      </c>
      <c r="AB3829">
        <v>332</v>
      </c>
      <c r="AC3829">
        <v>536</v>
      </c>
      <c r="AD3829">
        <v>33.19</v>
      </c>
      <c r="AE3829">
        <v>542</v>
      </c>
      <c r="AF3829">
        <v>41</v>
      </c>
      <c r="AG3829">
        <v>175</v>
      </c>
      <c r="AH3829">
        <v>129</v>
      </c>
      <c r="AI3829">
        <v>7.56</v>
      </c>
      <c r="AJ3829">
        <v>32.29</v>
      </c>
      <c r="AK3829">
        <v>23.8</v>
      </c>
      <c r="AL3829">
        <v>-20.164333749999969</v>
      </c>
      <c r="AM3829">
        <v>-44.857568319333943</v>
      </c>
      <c r="AN3829">
        <v>-20.164333749999969</v>
      </c>
      <c r="AO3829">
        <v>-44.857568319333943</v>
      </c>
      <c r="AP3829">
        <v>-20.164285</v>
      </c>
      <c r="AQ3829">
        <v>-44.857562000000001</v>
      </c>
      <c r="AR3829">
        <v>5.4668788625524281</v>
      </c>
      <c r="AS3829" t="s">
        <v>65</v>
      </c>
      <c r="AT3829">
        <v>1</v>
      </c>
      <c r="AU3829" t="s">
        <v>1752</v>
      </c>
      <c r="AV3829" t="s">
        <v>1753</v>
      </c>
      <c r="AW3829" t="s">
        <v>60</v>
      </c>
      <c r="AX3829" t="s">
        <v>68</v>
      </c>
      <c r="AY3829" t="s">
        <v>69</v>
      </c>
      <c r="AZ3829" t="b">
        <v>1</v>
      </c>
    </row>
    <row r="3830" spans="1:52" x14ac:dyDescent="0.3">
      <c r="A3830" t="s">
        <v>52</v>
      </c>
      <c r="B3830" t="s">
        <v>53</v>
      </c>
      <c r="C3830" t="s">
        <v>54</v>
      </c>
      <c r="D3830" t="s">
        <v>55</v>
      </c>
      <c r="E3830" t="s">
        <v>2206</v>
      </c>
      <c r="F3830" t="s">
        <v>190</v>
      </c>
      <c r="G3830" t="s">
        <v>963</v>
      </c>
      <c r="H3830" t="s">
        <v>964</v>
      </c>
      <c r="I3830" t="s">
        <v>964</v>
      </c>
      <c r="J3830" t="s">
        <v>60</v>
      </c>
      <c r="K3830" t="s">
        <v>702</v>
      </c>
      <c r="L3830" t="s">
        <v>62</v>
      </c>
      <c r="M3830" t="s">
        <v>702</v>
      </c>
      <c r="N3830" t="s">
        <v>965</v>
      </c>
      <c r="O3830" t="s">
        <v>960</v>
      </c>
      <c r="P3830">
        <v>-20.164622000000001</v>
      </c>
      <c r="Q3830">
        <v>-44.860289999999999</v>
      </c>
      <c r="R3830" s="2" t="str">
        <f>HYPERLINK("https://www.google.com/maps?q=-20.1646220,-44.8602900","Abrir no Google Maps")</f>
        <v>Abrir no Google Maps</v>
      </c>
      <c r="S3830">
        <v>3</v>
      </c>
      <c r="T3830">
        <v>393.43725605569188</v>
      </c>
      <c r="U3830">
        <v>4</v>
      </c>
      <c r="V3830">
        <v>0.4196860650478948</v>
      </c>
      <c r="W3830">
        <v>1</v>
      </c>
      <c r="X3830">
        <v>0.4196860650478948</v>
      </c>
      <c r="Y3830">
        <v>491</v>
      </c>
      <c r="Z3830">
        <v>358.96336458076678</v>
      </c>
      <c r="AA3830">
        <v>198</v>
      </c>
      <c r="AB3830">
        <v>332</v>
      </c>
      <c r="AC3830">
        <v>536</v>
      </c>
      <c r="AD3830">
        <v>33.19</v>
      </c>
      <c r="AE3830">
        <v>542</v>
      </c>
      <c r="AF3830">
        <v>41</v>
      </c>
      <c r="AG3830">
        <v>175</v>
      </c>
      <c r="AH3830">
        <v>129</v>
      </c>
      <c r="AI3830">
        <v>7.56</v>
      </c>
      <c r="AJ3830">
        <v>32.29</v>
      </c>
      <c r="AK3830">
        <v>23.8</v>
      </c>
      <c r="AL3830">
        <v>-20.164560849999951</v>
      </c>
      <c r="AM3830">
        <v>-44.860330680844072</v>
      </c>
      <c r="AN3830">
        <v>-20.164560849999951</v>
      </c>
      <c r="AO3830">
        <v>-44.860330680844072</v>
      </c>
      <c r="AP3830">
        <v>-20.164622000000001</v>
      </c>
      <c r="AQ3830">
        <v>-44.860289999999999</v>
      </c>
      <c r="AR3830">
        <v>8.0255448908437454</v>
      </c>
      <c r="AS3830" t="s">
        <v>65</v>
      </c>
      <c r="AT3830">
        <v>1</v>
      </c>
      <c r="AU3830" t="s">
        <v>966</v>
      </c>
      <c r="AV3830" t="s">
        <v>967</v>
      </c>
      <c r="AW3830" t="s">
        <v>60</v>
      </c>
      <c r="AX3830" t="s">
        <v>68</v>
      </c>
      <c r="AY3830" t="s">
        <v>69</v>
      </c>
      <c r="AZ3830" t="b">
        <v>1</v>
      </c>
    </row>
    <row r="3831" spans="1:52" x14ac:dyDescent="0.3">
      <c r="A3831" t="s">
        <v>52</v>
      </c>
      <c r="B3831" t="s">
        <v>53</v>
      </c>
      <c r="C3831" t="s">
        <v>54</v>
      </c>
      <c r="D3831" t="s">
        <v>55</v>
      </c>
      <c r="E3831" t="s">
        <v>2206</v>
      </c>
      <c r="F3831" t="s">
        <v>190</v>
      </c>
      <c r="G3831" t="s">
        <v>968</v>
      </c>
      <c r="H3831" t="s">
        <v>969</v>
      </c>
      <c r="I3831" t="s">
        <v>969</v>
      </c>
      <c r="J3831" t="s">
        <v>60</v>
      </c>
      <c r="K3831" t="s">
        <v>262</v>
      </c>
      <c r="L3831" t="s">
        <v>62</v>
      </c>
      <c r="M3831" t="s">
        <v>262</v>
      </c>
      <c r="N3831" t="s">
        <v>970</v>
      </c>
      <c r="O3831" t="s">
        <v>971</v>
      </c>
      <c r="P3831">
        <v>-20.163060999999999</v>
      </c>
      <c r="Q3831">
        <v>-44.854047000000001</v>
      </c>
      <c r="R3831" s="2" t="str">
        <f>HYPERLINK("https://www.google.com/maps?q=-20.1630610,-44.8540470","Abrir no Google Maps")</f>
        <v>Abrir no Google Maps</v>
      </c>
      <c r="S3831">
        <v>3</v>
      </c>
      <c r="T3831">
        <v>418.63868463200271</v>
      </c>
      <c r="U3831">
        <v>4</v>
      </c>
      <c r="V3831">
        <v>0.44387131344307268</v>
      </c>
      <c r="W3831">
        <v>1</v>
      </c>
      <c r="X3831">
        <v>0.44387131344307268</v>
      </c>
      <c r="Y3831">
        <v>491</v>
      </c>
      <c r="Z3831">
        <v>339.19068595447408</v>
      </c>
      <c r="AA3831">
        <v>198</v>
      </c>
      <c r="AB3831">
        <v>332</v>
      </c>
      <c r="AC3831">
        <v>536</v>
      </c>
      <c r="AD3831">
        <v>33.19</v>
      </c>
      <c r="AE3831">
        <v>542</v>
      </c>
      <c r="AF3831">
        <v>41</v>
      </c>
      <c r="AG3831">
        <v>175</v>
      </c>
      <c r="AH3831">
        <v>129</v>
      </c>
      <c r="AI3831">
        <v>7.56</v>
      </c>
      <c r="AJ3831">
        <v>32.29</v>
      </c>
      <c r="AK3831">
        <v>23.8</v>
      </c>
      <c r="AL3831">
        <v>-20.163118949999959</v>
      </c>
      <c r="AM3831">
        <v>-44.854106723889032</v>
      </c>
      <c r="AN3831">
        <v>-20.163118949999959</v>
      </c>
      <c r="AO3831">
        <v>-44.854106723889032</v>
      </c>
      <c r="AP3831">
        <v>-20.163060999999999</v>
      </c>
      <c r="AQ3831">
        <v>-44.854047000000001</v>
      </c>
      <c r="AR3831">
        <v>8.9758322935491428</v>
      </c>
      <c r="AS3831" t="s">
        <v>65</v>
      </c>
      <c r="AT3831">
        <v>1</v>
      </c>
      <c r="AU3831" t="s">
        <v>972</v>
      </c>
      <c r="AV3831" t="s">
        <v>973</v>
      </c>
      <c r="AW3831" t="s">
        <v>60</v>
      </c>
      <c r="AX3831" t="s">
        <v>68</v>
      </c>
      <c r="AY3831" t="s">
        <v>69</v>
      </c>
      <c r="AZ3831" t="b">
        <v>1</v>
      </c>
    </row>
    <row r="3832" spans="1:52" x14ac:dyDescent="0.3">
      <c r="A3832" t="s">
        <v>52</v>
      </c>
      <c r="B3832" t="s">
        <v>53</v>
      </c>
      <c r="C3832" t="s">
        <v>54</v>
      </c>
      <c r="D3832" t="s">
        <v>55</v>
      </c>
      <c r="E3832" t="s">
        <v>2206</v>
      </c>
      <c r="F3832" t="s">
        <v>190</v>
      </c>
      <c r="G3832" t="s">
        <v>974</v>
      </c>
      <c r="H3832" t="s">
        <v>975</v>
      </c>
      <c r="I3832" t="s">
        <v>975</v>
      </c>
      <c r="J3832" t="s">
        <v>60</v>
      </c>
      <c r="K3832" t="s">
        <v>702</v>
      </c>
      <c r="L3832" t="s">
        <v>62</v>
      </c>
      <c r="M3832" t="s">
        <v>702</v>
      </c>
      <c r="N3832" t="s">
        <v>976</v>
      </c>
      <c r="O3832" t="s">
        <v>977</v>
      </c>
      <c r="P3832">
        <v>-20.167021999999999</v>
      </c>
      <c r="Q3832">
        <v>-44.863095000000001</v>
      </c>
      <c r="R3832" s="2" t="str">
        <f>HYPERLINK("https://www.google.com/maps?q=-20.1670220,-44.8630950","Abrir no Google Maps")</f>
        <v>Abrir no Google Maps</v>
      </c>
      <c r="S3832">
        <v>3</v>
      </c>
      <c r="T3832">
        <v>629.02897442495839</v>
      </c>
      <c r="U3832">
        <v>4</v>
      </c>
      <c r="V3832">
        <v>0.44263228731358911</v>
      </c>
      <c r="W3832">
        <v>1</v>
      </c>
      <c r="X3832">
        <v>0.44263228731358911</v>
      </c>
      <c r="Y3832">
        <v>491</v>
      </c>
      <c r="Z3832">
        <v>693.48000708961661</v>
      </c>
      <c r="AA3832">
        <v>198</v>
      </c>
      <c r="AB3832">
        <v>332</v>
      </c>
      <c r="AC3832">
        <v>536</v>
      </c>
      <c r="AD3832">
        <v>33.19</v>
      </c>
      <c r="AE3832">
        <v>542</v>
      </c>
      <c r="AF3832">
        <v>41</v>
      </c>
      <c r="AG3832">
        <v>175</v>
      </c>
      <c r="AH3832">
        <v>129</v>
      </c>
      <c r="AI3832">
        <v>7.56</v>
      </c>
      <c r="AJ3832">
        <v>32.29</v>
      </c>
      <c r="AK3832">
        <v>23.8</v>
      </c>
      <c r="AL3832">
        <v>-20.167032199999941</v>
      </c>
      <c r="AM3832">
        <v>-44.863123980291967</v>
      </c>
      <c r="AN3832">
        <v>-20.167032199999941</v>
      </c>
      <c r="AO3832">
        <v>-44.863123980291967</v>
      </c>
      <c r="AP3832">
        <v>-20.167021999999999</v>
      </c>
      <c r="AQ3832">
        <v>-44.863095000000001</v>
      </c>
      <c r="AR3832">
        <v>3.2341734571542871</v>
      </c>
      <c r="AS3832" t="s">
        <v>65</v>
      </c>
      <c r="AT3832">
        <v>1</v>
      </c>
      <c r="AU3832" t="s">
        <v>978</v>
      </c>
      <c r="AV3832" t="s">
        <v>979</v>
      </c>
      <c r="AW3832" t="s">
        <v>60</v>
      </c>
      <c r="AX3832" t="s">
        <v>68</v>
      </c>
      <c r="AY3832" t="s">
        <v>69</v>
      </c>
      <c r="AZ3832" t="b">
        <v>1</v>
      </c>
    </row>
    <row r="3833" spans="1:52" x14ac:dyDescent="0.3">
      <c r="A3833" t="s">
        <v>52</v>
      </c>
      <c r="B3833" t="s">
        <v>53</v>
      </c>
      <c r="C3833" t="s">
        <v>54</v>
      </c>
      <c r="D3833" t="s">
        <v>55</v>
      </c>
      <c r="E3833" t="s">
        <v>2206</v>
      </c>
      <c r="F3833" t="s">
        <v>190</v>
      </c>
      <c r="G3833" t="s">
        <v>968</v>
      </c>
      <c r="H3833" t="s">
        <v>1754</v>
      </c>
      <c r="I3833" t="s">
        <v>1754</v>
      </c>
      <c r="J3833" t="s">
        <v>60</v>
      </c>
      <c r="K3833" t="s">
        <v>262</v>
      </c>
      <c r="L3833" t="s">
        <v>62</v>
      </c>
      <c r="M3833" t="s">
        <v>262</v>
      </c>
      <c r="N3833" t="s">
        <v>970</v>
      </c>
      <c r="O3833" t="s">
        <v>1331</v>
      </c>
      <c r="P3833">
        <v>-20.161989999999999</v>
      </c>
      <c r="Q3833">
        <v>-44.857933000000003</v>
      </c>
      <c r="R3833" s="2" t="str">
        <f>HYPERLINK("https://www.google.com/maps?q=-20.1619900,-44.8579330","Abrir no Google Maps")</f>
        <v>Abrir no Google Maps</v>
      </c>
      <c r="S3833">
        <v>3</v>
      </c>
      <c r="T3833">
        <v>0</v>
      </c>
      <c r="U3833">
        <v>4</v>
      </c>
      <c r="V3833">
        <v>0.46818759028423418</v>
      </c>
      <c r="W3833">
        <v>1</v>
      </c>
      <c r="X3833">
        <v>0.46818759028423418</v>
      </c>
      <c r="Y3833">
        <v>491</v>
      </c>
      <c r="Z3833">
        <v>131.1697533741382</v>
      </c>
      <c r="AA3833">
        <v>198</v>
      </c>
      <c r="AB3833">
        <v>332</v>
      </c>
      <c r="AC3833">
        <v>536</v>
      </c>
      <c r="AD3833">
        <v>33.19</v>
      </c>
      <c r="AE3833">
        <v>542</v>
      </c>
      <c r="AF3833">
        <v>41</v>
      </c>
      <c r="AG3833">
        <v>175</v>
      </c>
      <c r="AH3833">
        <v>129</v>
      </c>
      <c r="AI3833">
        <v>7.56</v>
      </c>
      <c r="AJ3833">
        <v>32.29</v>
      </c>
      <c r="AK3833">
        <v>23.8</v>
      </c>
      <c r="AL3833">
        <v>-20.161858549999948</v>
      </c>
      <c r="AM3833">
        <v>-44.857884031071968</v>
      </c>
      <c r="AN3833">
        <v>-20.161858549999948</v>
      </c>
      <c r="AO3833">
        <v>-44.857884031071968</v>
      </c>
      <c r="AP3833">
        <v>-20.161989999999999</v>
      </c>
      <c r="AQ3833">
        <v>-44.857933000000003</v>
      </c>
      <c r="AR3833">
        <v>15.501957281614381</v>
      </c>
      <c r="AS3833" t="s">
        <v>65</v>
      </c>
      <c r="AT3833">
        <v>1</v>
      </c>
      <c r="AU3833" t="s">
        <v>1755</v>
      </c>
      <c r="AV3833" t="s">
        <v>1756</v>
      </c>
      <c r="AW3833" t="s">
        <v>60</v>
      </c>
      <c r="AX3833" t="s">
        <v>68</v>
      </c>
      <c r="AY3833" t="s">
        <v>69</v>
      </c>
      <c r="AZ3833" t="b">
        <v>1</v>
      </c>
    </row>
    <row r="3834" spans="1:52" x14ac:dyDescent="0.3">
      <c r="A3834" t="s">
        <v>52</v>
      </c>
      <c r="B3834" t="s">
        <v>53</v>
      </c>
      <c r="C3834" t="s">
        <v>54</v>
      </c>
      <c r="D3834" t="s">
        <v>55</v>
      </c>
      <c r="E3834" t="s">
        <v>2206</v>
      </c>
      <c r="F3834" t="s">
        <v>190</v>
      </c>
      <c r="G3834" t="s">
        <v>980</v>
      </c>
      <c r="H3834" t="s">
        <v>981</v>
      </c>
      <c r="I3834" t="s">
        <v>981</v>
      </c>
      <c r="J3834" t="s">
        <v>60</v>
      </c>
      <c r="K3834" t="s">
        <v>982</v>
      </c>
      <c r="L3834" t="s">
        <v>62</v>
      </c>
      <c r="M3834" t="s">
        <v>982</v>
      </c>
      <c r="N3834" t="s">
        <v>983</v>
      </c>
      <c r="O3834" t="s">
        <v>264</v>
      </c>
      <c r="P3834">
        <v>-20.166967</v>
      </c>
      <c r="Q3834">
        <v>-44.859355000000001</v>
      </c>
      <c r="R3834" s="2" t="str">
        <f>HYPERLINK("https://www.google.com/maps?q=-20.1669670,-44.8593550","Abrir no Google Maps")</f>
        <v>Abrir no Google Maps</v>
      </c>
      <c r="S3834">
        <v>3</v>
      </c>
      <c r="T3834">
        <v>577.54934865824521</v>
      </c>
      <c r="U3834">
        <v>4</v>
      </c>
      <c r="V3834">
        <v>0.44924459084210178</v>
      </c>
      <c r="W3834">
        <v>1</v>
      </c>
      <c r="X3834">
        <v>0.44924459084210178</v>
      </c>
      <c r="Y3834">
        <v>491</v>
      </c>
      <c r="Z3834">
        <v>433.59782149216659</v>
      </c>
      <c r="AA3834">
        <v>198</v>
      </c>
      <c r="AB3834">
        <v>332</v>
      </c>
      <c r="AC3834">
        <v>536</v>
      </c>
      <c r="AD3834">
        <v>33.19</v>
      </c>
      <c r="AE3834">
        <v>542</v>
      </c>
      <c r="AF3834">
        <v>41</v>
      </c>
      <c r="AG3834">
        <v>175</v>
      </c>
      <c r="AH3834">
        <v>129</v>
      </c>
      <c r="AI3834">
        <v>7.56</v>
      </c>
      <c r="AJ3834">
        <v>32.29</v>
      </c>
      <c r="AK3834">
        <v>23.8</v>
      </c>
      <c r="AL3834">
        <v>-20.16694954999997</v>
      </c>
      <c r="AM3834">
        <v>-44.859100695938046</v>
      </c>
      <c r="AN3834">
        <v>-20.16694954999997</v>
      </c>
      <c r="AO3834">
        <v>-44.859100695938046</v>
      </c>
      <c r="AP3834">
        <v>-20.166967</v>
      </c>
      <c r="AQ3834">
        <v>-44.859355000000001</v>
      </c>
      <c r="AR3834">
        <v>26.644458793923111</v>
      </c>
      <c r="AS3834" t="s">
        <v>65</v>
      </c>
      <c r="AT3834">
        <v>1</v>
      </c>
      <c r="AU3834" t="s">
        <v>984</v>
      </c>
      <c r="AV3834" t="s">
        <v>985</v>
      </c>
      <c r="AW3834" t="s">
        <v>60</v>
      </c>
      <c r="AX3834" t="s">
        <v>68</v>
      </c>
      <c r="AY3834" t="s">
        <v>69</v>
      </c>
      <c r="AZ3834" t="b">
        <v>1</v>
      </c>
    </row>
    <row r="3835" spans="1:52" x14ac:dyDescent="0.3">
      <c r="A3835" t="s">
        <v>52</v>
      </c>
      <c r="B3835" t="s">
        <v>53</v>
      </c>
      <c r="C3835" t="s">
        <v>54</v>
      </c>
      <c r="D3835" t="s">
        <v>55</v>
      </c>
      <c r="E3835" t="s">
        <v>2206</v>
      </c>
      <c r="F3835" t="s">
        <v>190</v>
      </c>
      <c r="G3835" t="s">
        <v>986</v>
      </c>
      <c r="H3835" t="s">
        <v>987</v>
      </c>
      <c r="I3835" t="s">
        <v>987</v>
      </c>
      <c r="J3835" t="s">
        <v>60</v>
      </c>
      <c r="K3835" t="s">
        <v>702</v>
      </c>
      <c r="L3835" t="s">
        <v>62</v>
      </c>
      <c r="M3835" t="s">
        <v>702</v>
      </c>
      <c r="N3835" t="s">
        <v>988</v>
      </c>
      <c r="O3835" t="s">
        <v>989</v>
      </c>
      <c r="P3835">
        <v>-20.1691</v>
      </c>
      <c r="Q3835">
        <v>-44.860813999999998</v>
      </c>
      <c r="R3835" s="2" t="str">
        <f>HYPERLINK("https://www.google.com/maps?q=-20.1691000,-44.8608140","Abrir no Google Maps")</f>
        <v>Abrir no Google Maps</v>
      </c>
      <c r="S3835">
        <v>3</v>
      </c>
      <c r="T3835">
        <v>596.11124105675003</v>
      </c>
      <c r="U3835">
        <v>4</v>
      </c>
      <c r="V3835">
        <v>0.47387608847272811</v>
      </c>
      <c r="W3835">
        <v>1</v>
      </c>
      <c r="X3835">
        <v>0.47387608847272811</v>
      </c>
      <c r="Y3835">
        <v>491</v>
      </c>
      <c r="Z3835">
        <v>741.65354053819078</v>
      </c>
      <c r="AA3835">
        <v>198</v>
      </c>
      <c r="AB3835">
        <v>332</v>
      </c>
      <c r="AC3835">
        <v>536</v>
      </c>
      <c r="AD3835">
        <v>33.19</v>
      </c>
      <c r="AE3835">
        <v>542</v>
      </c>
      <c r="AF3835">
        <v>41</v>
      </c>
      <c r="AG3835">
        <v>175</v>
      </c>
      <c r="AH3835">
        <v>129</v>
      </c>
      <c r="AI3835">
        <v>7.56</v>
      </c>
      <c r="AJ3835">
        <v>32.29</v>
      </c>
      <c r="AK3835">
        <v>23.8</v>
      </c>
      <c r="AL3835">
        <v>-20.168995449999951</v>
      </c>
      <c r="AM3835">
        <v>-44.86088900357106</v>
      </c>
      <c r="AN3835">
        <v>-20.168995449999951</v>
      </c>
      <c r="AO3835">
        <v>-44.86088900357106</v>
      </c>
      <c r="AP3835">
        <v>-20.1691</v>
      </c>
      <c r="AQ3835">
        <v>-44.860813999999998</v>
      </c>
      <c r="AR3835">
        <v>14.03138702725616</v>
      </c>
      <c r="AS3835" t="s">
        <v>65</v>
      </c>
      <c r="AT3835">
        <v>1</v>
      </c>
      <c r="AU3835" t="s">
        <v>990</v>
      </c>
      <c r="AV3835" t="s">
        <v>991</v>
      </c>
      <c r="AW3835" t="s">
        <v>60</v>
      </c>
      <c r="AX3835" t="s">
        <v>68</v>
      </c>
      <c r="AY3835" t="s">
        <v>69</v>
      </c>
      <c r="AZ3835" t="b">
        <v>1</v>
      </c>
    </row>
    <row r="3836" spans="1:52" x14ac:dyDescent="0.3">
      <c r="A3836" t="s">
        <v>52</v>
      </c>
      <c r="B3836" t="s">
        <v>53</v>
      </c>
      <c r="C3836" t="s">
        <v>54</v>
      </c>
      <c r="D3836" t="s">
        <v>55</v>
      </c>
      <c r="E3836" t="s">
        <v>2206</v>
      </c>
      <c r="F3836" t="s">
        <v>190</v>
      </c>
      <c r="G3836" t="s">
        <v>1014</v>
      </c>
      <c r="H3836" t="s">
        <v>1015</v>
      </c>
      <c r="I3836" t="s">
        <v>1015</v>
      </c>
      <c r="J3836" t="s">
        <v>60</v>
      </c>
      <c r="K3836" t="s">
        <v>1016</v>
      </c>
      <c r="L3836" t="s">
        <v>62</v>
      </c>
      <c r="M3836" t="s">
        <v>1016</v>
      </c>
      <c r="N3836" t="s">
        <v>1017</v>
      </c>
      <c r="O3836" t="s">
        <v>1018</v>
      </c>
      <c r="P3836">
        <v>-20.174461000000001</v>
      </c>
      <c r="Q3836">
        <v>-44.868710999999998</v>
      </c>
      <c r="R3836" s="2" t="str">
        <f>HYPERLINK("https://www.google.com/maps?q=-20.1744610,-44.8687110","Abrir no Google Maps")</f>
        <v>Abrir no Google Maps</v>
      </c>
      <c r="S3836">
        <v>3</v>
      </c>
      <c r="T3836">
        <v>435.39504742850158</v>
      </c>
      <c r="U3836">
        <v>4</v>
      </c>
      <c r="V3836">
        <v>0.46346306115450608</v>
      </c>
      <c r="W3836">
        <v>1</v>
      </c>
      <c r="X3836">
        <v>0.46346306115450608</v>
      </c>
      <c r="Y3836">
        <v>422</v>
      </c>
      <c r="Z3836">
        <v>264.99958639233438</v>
      </c>
      <c r="AA3836">
        <v>198</v>
      </c>
      <c r="AB3836">
        <v>332</v>
      </c>
      <c r="AC3836">
        <v>536</v>
      </c>
      <c r="AD3836">
        <v>33.19</v>
      </c>
      <c r="AE3836">
        <v>542</v>
      </c>
      <c r="AF3836">
        <v>41</v>
      </c>
      <c r="AG3836">
        <v>175</v>
      </c>
      <c r="AH3836">
        <v>129</v>
      </c>
      <c r="AI3836">
        <v>7.56</v>
      </c>
      <c r="AJ3836">
        <v>32.29</v>
      </c>
      <c r="AK3836">
        <v>23.8</v>
      </c>
      <c r="AL3836">
        <v>-20.174459749999951</v>
      </c>
      <c r="AM3836">
        <v>-44.868877789186897</v>
      </c>
      <c r="AN3836">
        <v>-20.174459749999951</v>
      </c>
      <c r="AO3836">
        <v>-44.868877789186897</v>
      </c>
      <c r="AP3836">
        <v>-20.174461000000001</v>
      </c>
      <c r="AQ3836">
        <v>-44.868710999999998</v>
      </c>
      <c r="AR3836">
        <v>17.42838555603738</v>
      </c>
      <c r="AS3836" t="s">
        <v>65</v>
      </c>
      <c r="AT3836">
        <v>1</v>
      </c>
      <c r="AU3836" t="s">
        <v>1019</v>
      </c>
      <c r="AV3836" t="s">
        <v>1020</v>
      </c>
      <c r="AW3836" t="s">
        <v>60</v>
      </c>
      <c r="AX3836" t="s">
        <v>68</v>
      </c>
      <c r="AY3836" t="s">
        <v>69</v>
      </c>
      <c r="AZ3836" t="b">
        <v>1</v>
      </c>
    </row>
    <row r="3837" spans="1:52" x14ac:dyDescent="0.3">
      <c r="A3837" t="s">
        <v>52</v>
      </c>
      <c r="B3837" t="s">
        <v>53</v>
      </c>
      <c r="C3837" t="s">
        <v>54</v>
      </c>
      <c r="D3837" t="s">
        <v>55</v>
      </c>
      <c r="E3837" t="s">
        <v>2206</v>
      </c>
      <c r="F3837" t="s">
        <v>190</v>
      </c>
      <c r="G3837" t="s">
        <v>1021</v>
      </c>
      <c r="H3837" t="s">
        <v>1022</v>
      </c>
      <c r="I3837" t="s">
        <v>1022</v>
      </c>
      <c r="J3837" t="s">
        <v>60</v>
      </c>
      <c r="K3837" t="s">
        <v>1023</v>
      </c>
      <c r="L3837" t="s">
        <v>62</v>
      </c>
      <c r="M3837" t="s">
        <v>1023</v>
      </c>
      <c r="N3837" t="s">
        <v>1024</v>
      </c>
      <c r="O3837" t="s">
        <v>1025</v>
      </c>
      <c r="P3837">
        <v>-20.169588999999998</v>
      </c>
      <c r="Q3837">
        <v>-44.866636</v>
      </c>
      <c r="R3837" s="2" t="str">
        <f>HYPERLINK("https://www.google.com/maps?q=-20.1695890,-44.8666360","Abrir no Google Maps")</f>
        <v>Abrir no Google Maps</v>
      </c>
      <c r="S3837">
        <v>3</v>
      </c>
      <c r="T3837">
        <v>326.02709617860302</v>
      </c>
      <c r="U3837">
        <v>4</v>
      </c>
      <c r="V3837">
        <v>0.4433816644787833</v>
      </c>
      <c r="W3837">
        <v>1</v>
      </c>
      <c r="X3837">
        <v>0.4433816644787833</v>
      </c>
      <c r="Y3837">
        <v>422</v>
      </c>
      <c r="Z3837">
        <v>333.05362278862168</v>
      </c>
      <c r="AA3837">
        <v>198</v>
      </c>
      <c r="AB3837">
        <v>332</v>
      </c>
      <c r="AC3837">
        <v>536</v>
      </c>
      <c r="AD3837">
        <v>33.19</v>
      </c>
      <c r="AE3837">
        <v>542</v>
      </c>
      <c r="AF3837">
        <v>41</v>
      </c>
      <c r="AG3837">
        <v>175</v>
      </c>
      <c r="AH3837">
        <v>129</v>
      </c>
      <c r="AI3837">
        <v>7.56</v>
      </c>
      <c r="AJ3837">
        <v>32.29</v>
      </c>
      <c r="AK3837">
        <v>23.8</v>
      </c>
      <c r="AL3837">
        <v>-20.16956104999997</v>
      </c>
      <c r="AM3837">
        <v>-44.866560528183591</v>
      </c>
      <c r="AN3837">
        <v>-20.16956104999997</v>
      </c>
      <c r="AO3837">
        <v>-44.866560528183591</v>
      </c>
      <c r="AP3837">
        <v>-20.169588999999998</v>
      </c>
      <c r="AQ3837">
        <v>-44.866636</v>
      </c>
      <c r="AR3837">
        <v>8.4778927137831293</v>
      </c>
      <c r="AS3837" t="s">
        <v>65</v>
      </c>
      <c r="AT3837">
        <v>1</v>
      </c>
      <c r="AU3837" t="s">
        <v>1026</v>
      </c>
      <c r="AV3837" t="s">
        <v>1027</v>
      </c>
      <c r="AW3837" t="s">
        <v>60</v>
      </c>
      <c r="AX3837" t="s">
        <v>68</v>
      </c>
      <c r="AY3837" t="s">
        <v>69</v>
      </c>
      <c r="AZ3837" t="b">
        <v>1</v>
      </c>
    </row>
    <row r="3838" spans="1:52" x14ac:dyDescent="0.3">
      <c r="A3838" t="s">
        <v>52</v>
      </c>
      <c r="B3838" t="s">
        <v>53</v>
      </c>
      <c r="C3838" t="s">
        <v>54</v>
      </c>
      <c r="D3838" t="s">
        <v>55</v>
      </c>
      <c r="E3838" t="s">
        <v>2206</v>
      </c>
      <c r="F3838" t="s">
        <v>190</v>
      </c>
      <c r="G3838" t="s">
        <v>1028</v>
      </c>
      <c r="H3838" t="s">
        <v>1029</v>
      </c>
      <c r="I3838" t="s">
        <v>1029</v>
      </c>
      <c r="J3838" t="s">
        <v>60</v>
      </c>
      <c r="K3838" t="s">
        <v>1016</v>
      </c>
      <c r="L3838" t="s">
        <v>62</v>
      </c>
      <c r="M3838" t="s">
        <v>1016</v>
      </c>
      <c r="N3838" t="s">
        <v>1030</v>
      </c>
      <c r="O3838" t="s">
        <v>855</v>
      </c>
      <c r="P3838">
        <v>-20.169778000000001</v>
      </c>
      <c r="Q3838">
        <v>-44.871940000000002</v>
      </c>
      <c r="R3838" s="2" t="str">
        <f>HYPERLINK("https://www.google.com/maps?q=-20.1697780,-44.8719400","Abrir no Google Maps")</f>
        <v>Abrir no Google Maps</v>
      </c>
      <c r="S3838">
        <v>3</v>
      </c>
      <c r="T3838">
        <v>730.45462447863167</v>
      </c>
      <c r="U3838">
        <v>4</v>
      </c>
      <c r="V3838">
        <v>0.43264988235117541</v>
      </c>
      <c r="W3838">
        <v>1</v>
      </c>
      <c r="X3838">
        <v>0.43264988235117541</v>
      </c>
      <c r="Y3838">
        <v>422</v>
      </c>
      <c r="Z3838">
        <v>600.74952959765801</v>
      </c>
      <c r="AA3838">
        <v>198</v>
      </c>
      <c r="AB3838">
        <v>332</v>
      </c>
      <c r="AC3838">
        <v>536</v>
      </c>
      <c r="AD3838">
        <v>33.19</v>
      </c>
      <c r="AE3838">
        <v>542</v>
      </c>
      <c r="AF3838">
        <v>41</v>
      </c>
      <c r="AG3838">
        <v>175</v>
      </c>
      <c r="AH3838">
        <v>129</v>
      </c>
      <c r="AI3838">
        <v>7.56</v>
      </c>
      <c r="AJ3838">
        <v>32.29</v>
      </c>
      <c r="AK3838">
        <v>23.8</v>
      </c>
      <c r="AL3838">
        <v>-20.169770599999961</v>
      </c>
      <c r="AM3838">
        <v>-44.871857291666629</v>
      </c>
      <c r="AN3838">
        <v>-20.169770599999961</v>
      </c>
      <c r="AO3838">
        <v>-44.871857291666629</v>
      </c>
      <c r="AP3838">
        <v>-20.169778000000001</v>
      </c>
      <c r="AQ3838">
        <v>-44.871940000000002</v>
      </c>
      <c r="AR3838">
        <v>8.6816379320830315</v>
      </c>
      <c r="AS3838" t="s">
        <v>65</v>
      </c>
      <c r="AT3838">
        <v>1</v>
      </c>
      <c r="AU3838" t="s">
        <v>1031</v>
      </c>
      <c r="AV3838" t="s">
        <v>1032</v>
      </c>
      <c r="AW3838" t="s">
        <v>60</v>
      </c>
      <c r="AX3838" t="s">
        <v>68</v>
      </c>
      <c r="AY3838" t="s">
        <v>69</v>
      </c>
      <c r="AZ3838" t="b">
        <v>1</v>
      </c>
    </row>
    <row r="3839" spans="1:52" x14ac:dyDescent="0.3">
      <c r="A3839" t="s">
        <v>52</v>
      </c>
      <c r="B3839" t="s">
        <v>53</v>
      </c>
      <c r="C3839" t="s">
        <v>54</v>
      </c>
      <c r="D3839" t="s">
        <v>55</v>
      </c>
      <c r="E3839" t="s">
        <v>2206</v>
      </c>
      <c r="F3839" t="s">
        <v>190</v>
      </c>
      <c r="G3839" t="s">
        <v>1033</v>
      </c>
      <c r="H3839" t="s">
        <v>1034</v>
      </c>
      <c r="I3839" t="s">
        <v>1034</v>
      </c>
      <c r="J3839" t="s">
        <v>60</v>
      </c>
      <c r="K3839" t="s">
        <v>1016</v>
      </c>
      <c r="L3839" t="s">
        <v>62</v>
      </c>
      <c r="M3839" t="s">
        <v>1016</v>
      </c>
      <c r="N3839" t="s">
        <v>1035</v>
      </c>
      <c r="O3839" t="s">
        <v>1036</v>
      </c>
      <c r="P3839">
        <v>-20.176404999999999</v>
      </c>
      <c r="Q3839">
        <v>-44.871102</v>
      </c>
      <c r="R3839" s="2" t="str">
        <f>HYPERLINK("https://www.google.com/maps?q=-20.1764050,-44.8711020","Abrir no Google Maps")</f>
        <v>Abrir no Google Maps</v>
      </c>
      <c r="S3839">
        <v>3</v>
      </c>
      <c r="T3839">
        <v>746.17794449655105</v>
      </c>
      <c r="U3839">
        <v>4</v>
      </c>
      <c r="V3839">
        <v>0.45829974391637868</v>
      </c>
      <c r="W3839">
        <v>1</v>
      </c>
      <c r="X3839">
        <v>0.45829974391637868</v>
      </c>
      <c r="Y3839">
        <v>422</v>
      </c>
      <c r="Z3839">
        <v>532.61564453099913</v>
      </c>
      <c r="AA3839">
        <v>198</v>
      </c>
      <c r="AB3839">
        <v>332</v>
      </c>
      <c r="AC3839">
        <v>536</v>
      </c>
      <c r="AD3839">
        <v>33.19</v>
      </c>
      <c r="AE3839">
        <v>542</v>
      </c>
      <c r="AF3839">
        <v>41</v>
      </c>
      <c r="AG3839">
        <v>175</v>
      </c>
      <c r="AH3839">
        <v>129</v>
      </c>
      <c r="AI3839">
        <v>7.56</v>
      </c>
      <c r="AJ3839">
        <v>32.29</v>
      </c>
      <c r="AK3839">
        <v>23.8</v>
      </c>
      <c r="AL3839">
        <v>-20.176464949999971</v>
      </c>
      <c r="AM3839">
        <v>-44.871010194676387</v>
      </c>
      <c r="AN3839">
        <v>-20.176464949999971</v>
      </c>
      <c r="AO3839">
        <v>-44.871010194676387</v>
      </c>
      <c r="AP3839">
        <v>-20.176404999999999</v>
      </c>
      <c r="AQ3839">
        <v>-44.871102</v>
      </c>
      <c r="AR3839">
        <v>11.68571547850415</v>
      </c>
      <c r="AS3839" t="s">
        <v>65</v>
      </c>
      <c r="AT3839">
        <v>1</v>
      </c>
      <c r="AU3839" t="s">
        <v>1037</v>
      </c>
      <c r="AV3839" t="s">
        <v>1038</v>
      </c>
      <c r="AW3839" t="s">
        <v>60</v>
      </c>
      <c r="AX3839" t="s">
        <v>68</v>
      </c>
      <c r="AY3839" t="s">
        <v>69</v>
      </c>
      <c r="AZ3839" t="b">
        <v>1</v>
      </c>
    </row>
    <row r="3840" spans="1:52" x14ac:dyDescent="0.3">
      <c r="A3840" t="s">
        <v>52</v>
      </c>
      <c r="B3840" t="s">
        <v>53</v>
      </c>
      <c r="C3840" t="s">
        <v>54</v>
      </c>
      <c r="D3840" t="s">
        <v>55</v>
      </c>
      <c r="E3840" t="s">
        <v>2206</v>
      </c>
      <c r="F3840" t="s">
        <v>190</v>
      </c>
      <c r="G3840" t="s">
        <v>693</v>
      </c>
      <c r="H3840" t="s">
        <v>694</v>
      </c>
      <c r="I3840" t="s">
        <v>694</v>
      </c>
      <c r="J3840" t="s">
        <v>60</v>
      </c>
      <c r="K3840" t="s">
        <v>695</v>
      </c>
      <c r="L3840" t="s">
        <v>62</v>
      </c>
      <c r="M3840" t="s">
        <v>695</v>
      </c>
      <c r="N3840" t="s">
        <v>696</v>
      </c>
      <c r="O3840" t="s">
        <v>697</v>
      </c>
      <c r="P3840">
        <v>-20.174917000000001</v>
      </c>
      <c r="Q3840">
        <v>-44.857677000000002</v>
      </c>
      <c r="R3840" s="2" t="str">
        <f>HYPERLINK("https://www.google.com/maps?q=-20.1749170,-44.8576770","Abrir no Google Maps")</f>
        <v>Abrir no Google Maps</v>
      </c>
      <c r="S3840">
        <v>3</v>
      </c>
      <c r="T3840">
        <v>850.52349144267646</v>
      </c>
      <c r="U3840">
        <v>4</v>
      </c>
      <c r="V3840">
        <v>0.48059279130668192</v>
      </c>
      <c r="W3840">
        <v>1</v>
      </c>
      <c r="X3840">
        <v>0.48059279130668192</v>
      </c>
      <c r="Y3840">
        <v>422</v>
      </c>
      <c r="Z3840">
        <v>1042.4685698911451</v>
      </c>
      <c r="AA3840">
        <v>198</v>
      </c>
      <c r="AB3840">
        <v>332</v>
      </c>
      <c r="AC3840">
        <v>536</v>
      </c>
      <c r="AD3840">
        <v>33.19</v>
      </c>
      <c r="AE3840">
        <v>542</v>
      </c>
      <c r="AF3840">
        <v>41</v>
      </c>
      <c r="AG3840">
        <v>175</v>
      </c>
      <c r="AH3840">
        <v>129</v>
      </c>
      <c r="AI3840">
        <v>7.56</v>
      </c>
      <c r="AJ3840">
        <v>32.29</v>
      </c>
      <c r="AK3840">
        <v>23.8</v>
      </c>
      <c r="AL3840">
        <v>-20.17483459999994</v>
      </c>
      <c r="AM3840">
        <v>-44.857715667542379</v>
      </c>
      <c r="AN3840">
        <v>-20.17483459999994</v>
      </c>
      <c r="AO3840">
        <v>-44.857715667542379</v>
      </c>
      <c r="AP3840">
        <v>-20.174917000000001</v>
      </c>
      <c r="AQ3840">
        <v>-44.857677000000002</v>
      </c>
      <c r="AR3840">
        <v>10.02318555136439</v>
      </c>
      <c r="AS3840" t="s">
        <v>65</v>
      </c>
      <c r="AT3840">
        <v>1</v>
      </c>
      <c r="AU3840" t="s">
        <v>698</v>
      </c>
      <c r="AV3840" t="s">
        <v>699</v>
      </c>
      <c r="AW3840" t="s">
        <v>60</v>
      </c>
      <c r="AX3840" t="s">
        <v>68</v>
      </c>
      <c r="AY3840" t="s">
        <v>69</v>
      </c>
      <c r="AZ3840" t="b">
        <v>1</v>
      </c>
    </row>
    <row r="3841" spans="1:52" x14ac:dyDescent="0.3">
      <c r="A3841" t="s">
        <v>52</v>
      </c>
      <c r="B3841" t="s">
        <v>53</v>
      </c>
      <c r="C3841" t="s">
        <v>54</v>
      </c>
      <c r="D3841" t="s">
        <v>55</v>
      </c>
      <c r="E3841" t="s">
        <v>2206</v>
      </c>
      <c r="F3841" t="s">
        <v>190</v>
      </c>
      <c r="G3841" t="s">
        <v>1039</v>
      </c>
      <c r="H3841" t="s">
        <v>1040</v>
      </c>
      <c r="I3841" t="s">
        <v>1040</v>
      </c>
      <c r="J3841" t="s">
        <v>60</v>
      </c>
      <c r="K3841" t="s">
        <v>1023</v>
      </c>
      <c r="L3841" t="s">
        <v>62</v>
      </c>
      <c r="M3841" t="s">
        <v>1023</v>
      </c>
      <c r="N3841" t="s">
        <v>1041</v>
      </c>
      <c r="O3841" t="s">
        <v>738</v>
      </c>
      <c r="P3841">
        <v>-20.172284000000001</v>
      </c>
      <c r="Q3841">
        <v>-44.865392999999997</v>
      </c>
      <c r="R3841" s="2" t="str">
        <f>HYPERLINK("https://www.google.com/maps?q=-20.1722840,-44.8653930","Abrir no Google Maps")</f>
        <v>Abrir no Google Maps</v>
      </c>
      <c r="S3841">
        <v>3</v>
      </c>
      <c r="T3841">
        <v>0</v>
      </c>
      <c r="U3841">
        <v>4</v>
      </c>
      <c r="V3841">
        <v>0.44942821365850272</v>
      </c>
      <c r="W3841">
        <v>1</v>
      </c>
      <c r="X3841">
        <v>0.44942821365850272</v>
      </c>
      <c r="Y3841">
        <v>422</v>
      </c>
      <c r="Z3841">
        <v>202.96804500763591</v>
      </c>
      <c r="AA3841">
        <v>198</v>
      </c>
      <c r="AB3841">
        <v>332</v>
      </c>
      <c r="AC3841">
        <v>536</v>
      </c>
      <c r="AD3841">
        <v>33.19</v>
      </c>
      <c r="AE3841">
        <v>542</v>
      </c>
      <c r="AF3841">
        <v>41</v>
      </c>
      <c r="AG3841">
        <v>175</v>
      </c>
      <c r="AH3841">
        <v>129</v>
      </c>
      <c r="AI3841">
        <v>7.56</v>
      </c>
      <c r="AJ3841">
        <v>32.29</v>
      </c>
      <c r="AK3841">
        <v>23.8</v>
      </c>
      <c r="AL3841">
        <v>-20.17229514999994</v>
      </c>
      <c r="AM3841">
        <v>-44.865398249858011</v>
      </c>
      <c r="AN3841">
        <v>-20.17229514999994</v>
      </c>
      <c r="AO3841">
        <v>-44.865398249858011</v>
      </c>
      <c r="AP3841">
        <v>-20.172284000000001</v>
      </c>
      <c r="AQ3841">
        <v>-44.865392999999997</v>
      </c>
      <c r="AR3841">
        <v>1.357036084497409</v>
      </c>
      <c r="AS3841" t="s">
        <v>65</v>
      </c>
      <c r="AT3841">
        <v>1</v>
      </c>
      <c r="AU3841" t="s">
        <v>1042</v>
      </c>
      <c r="AV3841" t="s">
        <v>1043</v>
      </c>
      <c r="AW3841" t="s">
        <v>60</v>
      </c>
      <c r="AX3841" t="s">
        <v>68</v>
      </c>
      <c r="AY3841" t="s">
        <v>69</v>
      </c>
      <c r="AZ3841" t="b">
        <v>1</v>
      </c>
    </row>
    <row r="3842" spans="1:52" x14ac:dyDescent="0.3">
      <c r="A3842" t="s">
        <v>52</v>
      </c>
      <c r="B3842" t="s">
        <v>53</v>
      </c>
      <c r="C3842" t="s">
        <v>54</v>
      </c>
      <c r="D3842" t="s">
        <v>55</v>
      </c>
      <c r="E3842" t="s">
        <v>2206</v>
      </c>
      <c r="F3842" t="s">
        <v>190</v>
      </c>
      <c r="G3842" t="s">
        <v>700</v>
      </c>
      <c r="H3842" t="s">
        <v>701</v>
      </c>
      <c r="I3842" t="s">
        <v>701</v>
      </c>
      <c r="J3842" t="s">
        <v>60</v>
      </c>
      <c r="K3842" t="s">
        <v>702</v>
      </c>
      <c r="L3842" t="s">
        <v>62</v>
      </c>
      <c r="M3842" t="s">
        <v>702</v>
      </c>
      <c r="N3842" t="s">
        <v>703</v>
      </c>
      <c r="O3842" t="s">
        <v>315</v>
      </c>
      <c r="P3842">
        <v>-20.172599000000002</v>
      </c>
      <c r="Q3842">
        <v>-44.85915</v>
      </c>
      <c r="R3842" s="2" t="str">
        <f>HYPERLINK("https://www.google.com/maps?q=-20.1725990,-44.8591500","Abrir no Google Maps")</f>
        <v>Abrir no Google Maps</v>
      </c>
      <c r="S3842">
        <v>3</v>
      </c>
      <c r="T3842">
        <v>665.1003223445598</v>
      </c>
      <c r="U3842">
        <v>4</v>
      </c>
      <c r="V3842">
        <v>0.44289186802979358</v>
      </c>
      <c r="W3842">
        <v>1</v>
      </c>
      <c r="X3842">
        <v>0.44289186802979358</v>
      </c>
      <c r="Y3842">
        <v>422</v>
      </c>
      <c r="Z3842">
        <v>843.09189615634341</v>
      </c>
      <c r="AA3842">
        <v>198</v>
      </c>
      <c r="AB3842">
        <v>332</v>
      </c>
      <c r="AC3842">
        <v>536</v>
      </c>
      <c r="AD3842">
        <v>33.19</v>
      </c>
      <c r="AE3842">
        <v>542</v>
      </c>
      <c r="AF3842">
        <v>41</v>
      </c>
      <c r="AG3842">
        <v>175</v>
      </c>
      <c r="AH3842">
        <v>129</v>
      </c>
      <c r="AI3842">
        <v>7.56</v>
      </c>
      <c r="AJ3842">
        <v>32.29</v>
      </c>
      <c r="AK3842">
        <v>23.8</v>
      </c>
      <c r="AL3842">
        <v>-20.172576899999971</v>
      </c>
      <c r="AM3842">
        <v>-44.859040110359317</v>
      </c>
      <c r="AN3842">
        <v>-20.172576899999971</v>
      </c>
      <c r="AO3842">
        <v>-44.859040110359317</v>
      </c>
      <c r="AP3842">
        <v>-20.172599000000002</v>
      </c>
      <c r="AQ3842">
        <v>-44.85915</v>
      </c>
      <c r="AR3842">
        <v>11.743118835828479</v>
      </c>
      <c r="AS3842" t="s">
        <v>65</v>
      </c>
      <c r="AT3842">
        <v>1</v>
      </c>
      <c r="AU3842" t="s">
        <v>704</v>
      </c>
      <c r="AV3842" t="s">
        <v>705</v>
      </c>
      <c r="AW3842" t="s">
        <v>60</v>
      </c>
      <c r="AX3842" t="s">
        <v>68</v>
      </c>
      <c r="AY3842" t="s">
        <v>69</v>
      </c>
      <c r="AZ3842" t="b">
        <v>1</v>
      </c>
    </row>
    <row r="3843" spans="1:52" x14ac:dyDescent="0.3">
      <c r="A3843" t="s">
        <v>52</v>
      </c>
      <c r="B3843" t="s">
        <v>53</v>
      </c>
      <c r="C3843" t="s">
        <v>54</v>
      </c>
      <c r="D3843" t="s">
        <v>55</v>
      </c>
      <c r="E3843" t="s">
        <v>2206</v>
      </c>
      <c r="F3843" t="s">
        <v>190</v>
      </c>
      <c r="G3843" t="s">
        <v>1044</v>
      </c>
      <c r="H3843" t="s">
        <v>1045</v>
      </c>
      <c r="I3843" t="s">
        <v>1045</v>
      </c>
      <c r="J3843" t="s">
        <v>60</v>
      </c>
      <c r="K3843" t="s">
        <v>702</v>
      </c>
      <c r="L3843" t="s">
        <v>62</v>
      </c>
      <c r="M3843" t="s">
        <v>702</v>
      </c>
      <c r="N3843" t="s">
        <v>983</v>
      </c>
      <c r="O3843" t="s">
        <v>1046</v>
      </c>
      <c r="P3843">
        <v>-20.172056000000001</v>
      </c>
      <c r="Q3843">
        <v>-44.861556999999998</v>
      </c>
      <c r="R3843" s="2" t="str">
        <f>HYPERLINK("https://www.google.com/maps?q=-20.1720560,-44.8615570","Abrir no Google Maps")</f>
        <v>Abrir no Google Maps</v>
      </c>
      <c r="S3843">
        <v>3</v>
      </c>
      <c r="T3843">
        <v>387.50881633442719</v>
      </c>
      <c r="U3843">
        <v>4</v>
      </c>
      <c r="V3843">
        <v>0.42337328977151972</v>
      </c>
      <c r="W3843">
        <v>1</v>
      </c>
      <c r="X3843">
        <v>0.42337328977151972</v>
      </c>
      <c r="Y3843">
        <v>422</v>
      </c>
      <c r="Z3843">
        <v>592.01060063884404</v>
      </c>
      <c r="AA3843">
        <v>198</v>
      </c>
      <c r="AB3843">
        <v>332</v>
      </c>
      <c r="AC3843">
        <v>536</v>
      </c>
      <c r="AD3843">
        <v>33.19</v>
      </c>
      <c r="AE3843">
        <v>542</v>
      </c>
      <c r="AF3843">
        <v>41</v>
      </c>
      <c r="AG3843">
        <v>175</v>
      </c>
      <c r="AH3843">
        <v>129</v>
      </c>
      <c r="AI3843">
        <v>7.56</v>
      </c>
      <c r="AJ3843">
        <v>32.29</v>
      </c>
      <c r="AK3843">
        <v>23.8</v>
      </c>
      <c r="AL3843">
        <v>-20.171880149999961</v>
      </c>
      <c r="AM3843">
        <v>-44.861715860253369</v>
      </c>
      <c r="AN3843">
        <v>-20.171880149999961</v>
      </c>
      <c r="AO3843">
        <v>-44.861715860253369</v>
      </c>
      <c r="AP3843">
        <v>-20.172056000000001</v>
      </c>
      <c r="AQ3843">
        <v>-44.861556999999998</v>
      </c>
      <c r="AR3843">
        <v>25.66616443825145</v>
      </c>
      <c r="AS3843" t="s">
        <v>65</v>
      </c>
      <c r="AT3843">
        <v>1</v>
      </c>
      <c r="AU3843" t="s">
        <v>1047</v>
      </c>
      <c r="AV3843" t="s">
        <v>705</v>
      </c>
      <c r="AW3843" t="s">
        <v>60</v>
      </c>
      <c r="AX3843" t="s">
        <v>68</v>
      </c>
      <c r="AY3843" t="s">
        <v>69</v>
      </c>
      <c r="AZ3843" t="b">
        <v>1</v>
      </c>
    </row>
    <row r="3844" spans="1:52" x14ac:dyDescent="0.3">
      <c r="A3844" t="s">
        <v>52</v>
      </c>
      <c r="B3844" t="s">
        <v>53</v>
      </c>
      <c r="C3844" t="s">
        <v>54</v>
      </c>
      <c r="D3844" t="s">
        <v>55</v>
      </c>
      <c r="E3844" t="s">
        <v>2206</v>
      </c>
      <c r="F3844" t="s">
        <v>190</v>
      </c>
      <c r="G3844" t="s">
        <v>734</v>
      </c>
      <c r="H3844" t="s">
        <v>735</v>
      </c>
      <c r="I3844" t="s">
        <v>735</v>
      </c>
      <c r="J3844" t="s">
        <v>60</v>
      </c>
      <c r="K3844" t="s">
        <v>736</v>
      </c>
      <c r="L3844" t="s">
        <v>62</v>
      </c>
      <c r="M3844" t="s">
        <v>736</v>
      </c>
      <c r="N3844" t="s">
        <v>737</v>
      </c>
      <c r="O3844" t="s">
        <v>738</v>
      </c>
      <c r="P3844">
        <v>-20.113050000000001</v>
      </c>
      <c r="Q3844">
        <v>-44.977640999999998</v>
      </c>
      <c r="R3844" s="2" t="str">
        <f>HYPERLINK("https://www.google.com/maps?q=-20.1130500,-44.9776410","Abrir no Google Maps")</f>
        <v>Abrir no Google Maps</v>
      </c>
      <c r="S3844">
        <v>3</v>
      </c>
      <c r="T3844">
        <v>1057.751631532733</v>
      </c>
      <c r="U3844">
        <v>4</v>
      </c>
      <c r="V3844">
        <v>0.43837972213483339</v>
      </c>
      <c r="W3844">
        <v>1</v>
      </c>
      <c r="X3844">
        <v>0.43837972213483339</v>
      </c>
      <c r="Y3844">
        <v>385</v>
      </c>
      <c r="Z3844">
        <v>1001.029655866156</v>
      </c>
      <c r="AA3844">
        <v>198</v>
      </c>
      <c r="AB3844">
        <v>332</v>
      </c>
      <c r="AC3844">
        <v>536</v>
      </c>
      <c r="AD3844">
        <v>33.19</v>
      </c>
      <c r="AE3844">
        <v>542</v>
      </c>
      <c r="AF3844">
        <v>41</v>
      </c>
      <c r="AG3844">
        <v>175</v>
      </c>
      <c r="AH3844">
        <v>129</v>
      </c>
      <c r="AI3844">
        <v>7.56</v>
      </c>
      <c r="AJ3844">
        <v>32.29</v>
      </c>
      <c r="AK3844">
        <v>23.8</v>
      </c>
      <c r="AL3844">
        <v>-20.112977499999939</v>
      </c>
      <c r="AM3844">
        <v>-44.977939579895221</v>
      </c>
      <c r="AN3844">
        <v>-20.112977499999939</v>
      </c>
      <c r="AO3844">
        <v>-44.977939579895221</v>
      </c>
      <c r="AP3844">
        <v>-20.113050000000001</v>
      </c>
      <c r="AQ3844">
        <v>-44.977640999999998</v>
      </c>
      <c r="AR3844">
        <v>32.23754556505741</v>
      </c>
      <c r="AS3844" t="s">
        <v>65</v>
      </c>
      <c r="AT3844">
        <v>1</v>
      </c>
      <c r="AU3844" t="s">
        <v>739</v>
      </c>
      <c r="AV3844" t="s">
        <v>740</v>
      </c>
      <c r="AW3844" t="s">
        <v>60</v>
      </c>
      <c r="AX3844" t="s">
        <v>68</v>
      </c>
      <c r="AY3844" t="s">
        <v>69</v>
      </c>
      <c r="AZ3844" t="b">
        <v>1</v>
      </c>
    </row>
    <row r="3845" spans="1:52" x14ac:dyDescent="0.3">
      <c r="A3845" t="s">
        <v>52</v>
      </c>
      <c r="B3845" t="s">
        <v>53</v>
      </c>
      <c r="C3845" t="s">
        <v>54</v>
      </c>
      <c r="D3845" t="s">
        <v>55</v>
      </c>
      <c r="E3845" t="s">
        <v>2206</v>
      </c>
      <c r="F3845" t="s">
        <v>190</v>
      </c>
      <c r="G3845" t="s">
        <v>734</v>
      </c>
      <c r="H3845" t="s">
        <v>1068</v>
      </c>
      <c r="I3845" t="s">
        <v>1068</v>
      </c>
      <c r="J3845" t="s">
        <v>60</v>
      </c>
      <c r="K3845" t="s">
        <v>736</v>
      </c>
      <c r="L3845" t="s">
        <v>62</v>
      </c>
      <c r="M3845" t="s">
        <v>736</v>
      </c>
      <c r="N3845" t="s">
        <v>1069</v>
      </c>
      <c r="O3845" t="s">
        <v>1070</v>
      </c>
      <c r="P3845">
        <v>-20.110289999999999</v>
      </c>
      <c r="Q3845">
        <v>-44.981574000000002</v>
      </c>
      <c r="R3845" s="2" t="str">
        <f>HYPERLINK("https://www.google.com/maps?q=-20.1102900,-44.9815740","Abrir no Google Maps")</f>
        <v>Abrir no Google Maps</v>
      </c>
      <c r="S3845">
        <v>3</v>
      </c>
      <c r="T3845">
        <v>1081.8012210194311</v>
      </c>
      <c r="U3845">
        <v>4</v>
      </c>
      <c r="V3845">
        <v>0.4741965557059471</v>
      </c>
      <c r="W3845">
        <v>1</v>
      </c>
      <c r="X3845">
        <v>0.4741965557059471</v>
      </c>
      <c r="Y3845">
        <v>385</v>
      </c>
      <c r="Z3845">
        <v>1009.915869278438</v>
      </c>
      <c r="AA3845">
        <v>198</v>
      </c>
      <c r="AB3845">
        <v>332</v>
      </c>
      <c r="AC3845">
        <v>536</v>
      </c>
      <c r="AD3845">
        <v>33.19</v>
      </c>
      <c r="AE3845">
        <v>542</v>
      </c>
      <c r="AF3845">
        <v>41</v>
      </c>
      <c r="AG3845">
        <v>175</v>
      </c>
      <c r="AH3845">
        <v>129</v>
      </c>
      <c r="AI3845">
        <v>7.56</v>
      </c>
      <c r="AJ3845">
        <v>32.29</v>
      </c>
      <c r="AK3845">
        <v>23.8</v>
      </c>
      <c r="AL3845">
        <v>-20.110281699999941</v>
      </c>
      <c r="AM3845">
        <v>-44.98144213076452</v>
      </c>
      <c r="AN3845">
        <v>-20.110281699999941</v>
      </c>
      <c r="AO3845">
        <v>-44.98144213076452</v>
      </c>
      <c r="AP3845">
        <v>-20.110289999999999</v>
      </c>
      <c r="AQ3845">
        <v>-44.981574000000002</v>
      </c>
      <c r="AR3845">
        <v>13.815631287504781</v>
      </c>
      <c r="AS3845" t="s">
        <v>65</v>
      </c>
      <c r="AT3845">
        <v>1</v>
      </c>
      <c r="AU3845" t="s">
        <v>1071</v>
      </c>
      <c r="AV3845" t="s">
        <v>1072</v>
      </c>
      <c r="AW3845" t="s">
        <v>60</v>
      </c>
      <c r="AX3845" t="s">
        <v>68</v>
      </c>
      <c r="AY3845" t="s">
        <v>69</v>
      </c>
      <c r="AZ3845" t="b">
        <v>1</v>
      </c>
    </row>
    <row r="3846" spans="1:52" x14ac:dyDescent="0.3">
      <c r="A3846" t="s">
        <v>52</v>
      </c>
      <c r="B3846" t="s">
        <v>53</v>
      </c>
      <c r="C3846" t="s">
        <v>54</v>
      </c>
      <c r="D3846" t="s">
        <v>55</v>
      </c>
      <c r="E3846" t="s">
        <v>2206</v>
      </c>
      <c r="F3846" t="s">
        <v>190</v>
      </c>
      <c r="G3846" t="s">
        <v>1077</v>
      </c>
      <c r="H3846" t="s">
        <v>1078</v>
      </c>
      <c r="I3846" t="s">
        <v>1078</v>
      </c>
      <c r="J3846" t="s">
        <v>60</v>
      </c>
      <c r="K3846" t="s">
        <v>761</v>
      </c>
      <c r="L3846" t="s">
        <v>62</v>
      </c>
      <c r="M3846" t="s">
        <v>761</v>
      </c>
      <c r="N3846" t="s">
        <v>1079</v>
      </c>
      <c r="O3846" t="s">
        <v>1080</v>
      </c>
      <c r="P3846">
        <v>-20.119579999999999</v>
      </c>
      <c r="Q3846">
        <v>-44.855030999999997</v>
      </c>
      <c r="R3846" s="2" t="str">
        <f>HYPERLINK("https://www.google.com/maps?q=-20.1195800,-44.8550310","Abrir no Google Maps")</f>
        <v>Abrir no Google Maps</v>
      </c>
      <c r="S3846">
        <v>3</v>
      </c>
      <c r="T3846">
        <v>800.32085104254202</v>
      </c>
      <c r="U3846">
        <v>4</v>
      </c>
      <c r="V3846">
        <v>0.44312802315272731</v>
      </c>
      <c r="W3846">
        <v>1</v>
      </c>
      <c r="X3846">
        <v>0.44312802315272731</v>
      </c>
      <c r="Y3846">
        <v>350</v>
      </c>
      <c r="Z3846">
        <v>431.56201899267722</v>
      </c>
      <c r="AA3846">
        <v>198</v>
      </c>
      <c r="AB3846">
        <v>332</v>
      </c>
      <c r="AC3846">
        <v>536</v>
      </c>
      <c r="AD3846">
        <v>33.19</v>
      </c>
      <c r="AE3846">
        <v>542</v>
      </c>
      <c r="AF3846">
        <v>41</v>
      </c>
      <c r="AG3846">
        <v>175</v>
      </c>
      <c r="AH3846">
        <v>129</v>
      </c>
      <c r="AI3846">
        <v>7.56</v>
      </c>
      <c r="AJ3846">
        <v>32.29</v>
      </c>
      <c r="AK3846">
        <v>23.8</v>
      </c>
      <c r="AL3846">
        <v>-20.119806999999948</v>
      </c>
      <c r="AM3846">
        <v>-44.855901548391778</v>
      </c>
      <c r="AN3846">
        <v>-20.119806999999948</v>
      </c>
      <c r="AO3846">
        <v>-44.855901548391778</v>
      </c>
      <c r="AP3846">
        <v>-20.119579999999999</v>
      </c>
      <c r="AQ3846">
        <v>-44.855030999999997</v>
      </c>
      <c r="AR3846">
        <v>94.439141250965164</v>
      </c>
      <c r="AS3846" t="s">
        <v>65</v>
      </c>
      <c r="AT3846">
        <v>1</v>
      </c>
      <c r="AU3846" t="s">
        <v>1081</v>
      </c>
      <c r="AV3846" t="s">
        <v>1082</v>
      </c>
      <c r="AW3846" t="s">
        <v>60</v>
      </c>
      <c r="AX3846" t="s">
        <v>68</v>
      </c>
      <c r="AY3846" t="s">
        <v>69</v>
      </c>
      <c r="AZ3846" t="b">
        <v>1</v>
      </c>
    </row>
    <row r="3847" spans="1:52" x14ac:dyDescent="0.3">
      <c r="A3847" t="s">
        <v>52</v>
      </c>
      <c r="B3847" t="s">
        <v>53</v>
      </c>
      <c r="C3847" t="s">
        <v>54</v>
      </c>
      <c r="D3847" t="s">
        <v>55</v>
      </c>
      <c r="E3847" t="s">
        <v>2206</v>
      </c>
      <c r="F3847" t="s">
        <v>190</v>
      </c>
      <c r="G3847" t="s">
        <v>1083</v>
      </c>
      <c r="H3847" t="s">
        <v>1084</v>
      </c>
      <c r="I3847" t="s">
        <v>1084</v>
      </c>
      <c r="J3847" t="s">
        <v>60</v>
      </c>
      <c r="K3847" t="s">
        <v>761</v>
      </c>
      <c r="L3847" t="s">
        <v>62</v>
      </c>
      <c r="M3847" t="s">
        <v>761</v>
      </c>
      <c r="N3847" t="s">
        <v>1085</v>
      </c>
      <c r="O3847" t="s">
        <v>1086</v>
      </c>
      <c r="P3847">
        <v>-20.124312</v>
      </c>
      <c r="Q3847">
        <v>-44.850425000000001</v>
      </c>
      <c r="R3847" s="2" t="str">
        <f>HYPERLINK("https://www.google.com/maps?q=-20.1243120,-44.8504250","Abrir no Google Maps")</f>
        <v>Abrir no Google Maps</v>
      </c>
      <c r="S3847">
        <v>3</v>
      </c>
      <c r="T3847">
        <v>0</v>
      </c>
      <c r="U3847">
        <v>4</v>
      </c>
      <c r="V3847">
        <v>0.48421988634392238</v>
      </c>
      <c r="W3847">
        <v>1</v>
      </c>
      <c r="X3847">
        <v>0.48421988634392238</v>
      </c>
      <c r="Y3847">
        <v>350</v>
      </c>
      <c r="Z3847">
        <v>380.24040721202471</v>
      </c>
      <c r="AA3847">
        <v>198</v>
      </c>
      <c r="AB3847">
        <v>332</v>
      </c>
      <c r="AC3847">
        <v>536</v>
      </c>
      <c r="AD3847">
        <v>33.19</v>
      </c>
      <c r="AE3847">
        <v>542</v>
      </c>
      <c r="AF3847">
        <v>41</v>
      </c>
      <c r="AG3847">
        <v>175</v>
      </c>
      <c r="AH3847">
        <v>129</v>
      </c>
      <c r="AI3847">
        <v>7.56</v>
      </c>
      <c r="AJ3847">
        <v>32.29</v>
      </c>
      <c r="AK3847">
        <v>23.8</v>
      </c>
      <c r="AL3847">
        <v>-20.126267499999951</v>
      </c>
      <c r="AM3847">
        <v>-44.852460192840908</v>
      </c>
      <c r="AN3847">
        <v>-20.126267499999951</v>
      </c>
      <c r="AO3847">
        <v>-44.852460192840908</v>
      </c>
      <c r="AP3847">
        <v>-20.124312</v>
      </c>
      <c r="AQ3847">
        <v>-44.850425000000001</v>
      </c>
      <c r="AR3847">
        <v>304.36574074135672</v>
      </c>
      <c r="AS3847" t="s">
        <v>65</v>
      </c>
      <c r="AT3847">
        <v>1</v>
      </c>
      <c r="AU3847" t="s">
        <v>1087</v>
      </c>
      <c r="AV3847" t="s">
        <v>1088</v>
      </c>
      <c r="AW3847" t="s">
        <v>60</v>
      </c>
      <c r="AX3847" t="s">
        <v>68</v>
      </c>
      <c r="AY3847" t="s">
        <v>69</v>
      </c>
      <c r="AZ3847" t="b">
        <v>1</v>
      </c>
    </row>
    <row r="3848" spans="1:52" x14ac:dyDescent="0.3">
      <c r="A3848" t="s">
        <v>52</v>
      </c>
      <c r="B3848" t="s">
        <v>53</v>
      </c>
      <c r="C3848" t="s">
        <v>54</v>
      </c>
      <c r="D3848" t="s">
        <v>55</v>
      </c>
      <c r="E3848" t="s">
        <v>2206</v>
      </c>
      <c r="F3848" t="s">
        <v>190</v>
      </c>
      <c r="G3848" t="s">
        <v>1089</v>
      </c>
      <c r="H3848" t="s">
        <v>1090</v>
      </c>
      <c r="I3848" t="s">
        <v>1090</v>
      </c>
      <c r="J3848" t="s">
        <v>60</v>
      </c>
      <c r="K3848" t="s">
        <v>761</v>
      </c>
      <c r="L3848" t="s">
        <v>62</v>
      </c>
      <c r="M3848" t="s">
        <v>761</v>
      </c>
      <c r="N3848" t="s">
        <v>1091</v>
      </c>
      <c r="O3848" t="s">
        <v>86</v>
      </c>
      <c r="P3848">
        <v>-20.116182999999999</v>
      </c>
      <c r="Q3848">
        <v>-44.850524</v>
      </c>
      <c r="R3848" s="2" t="str">
        <f>HYPERLINK("https://www.google.com/maps?q=-20.1161830,-44.8505240","Abrir no Google Maps")</f>
        <v>Abrir no Google Maps</v>
      </c>
      <c r="S3848">
        <v>3</v>
      </c>
      <c r="T3848">
        <v>1142.6607426309961</v>
      </c>
      <c r="U3848">
        <v>4</v>
      </c>
      <c r="V3848">
        <v>0.45780162707791899</v>
      </c>
      <c r="W3848">
        <v>1</v>
      </c>
      <c r="X3848">
        <v>0.45780162707791899</v>
      </c>
      <c r="Y3848">
        <v>350</v>
      </c>
      <c r="Z3848">
        <v>723.44841640590141</v>
      </c>
      <c r="AA3848">
        <v>198</v>
      </c>
      <c r="AB3848">
        <v>332</v>
      </c>
      <c r="AC3848">
        <v>536</v>
      </c>
      <c r="AD3848">
        <v>33.19</v>
      </c>
      <c r="AE3848">
        <v>542</v>
      </c>
      <c r="AF3848">
        <v>41</v>
      </c>
      <c r="AG3848">
        <v>175</v>
      </c>
      <c r="AH3848">
        <v>129</v>
      </c>
      <c r="AI3848">
        <v>7.56</v>
      </c>
      <c r="AJ3848">
        <v>32.29</v>
      </c>
      <c r="AK3848">
        <v>23.8</v>
      </c>
      <c r="AL3848">
        <v>-20.11605684999995</v>
      </c>
      <c r="AM3848">
        <v>-44.850832861808193</v>
      </c>
      <c r="AN3848">
        <v>-20.11605684999995</v>
      </c>
      <c r="AO3848">
        <v>-44.850832861808193</v>
      </c>
      <c r="AP3848">
        <v>-20.116182999999999</v>
      </c>
      <c r="AQ3848">
        <v>-44.850524</v>
      </c>
      <c r="AR3848">
        <v>35.207009729928053</v>
      </c>
      <c r="AS3848" t="s">
        <v>65</v>
      </c>
      <c r="AT3848">
        <v>1</v>
      </c>
      <c r="AU3848" t="s">
        <v>1092</v>
      </c>
      <c r="AV3848" t="s">
        <v>1093</v>
      </c>
      <c r="AW3848" t="s">
        <v>60</v>
      </c>
      <c r="AX3848" t="s">
        <v>68</v>
      </c>
      <c r="AY3848" t="s">
        <v>69</v>
      </c>
      <c r="AZ3848" t="b">
        <v>1</v>
      </c>
    </row>
    <row r="3849" spans="1:52" x14ac:dyDescent="0.3">
      <c r="A3849" t="s">
        <v>52</v>
      </c>
      <c r="B3849" t="s">
        <v>53</v>
      </c>
      <c r="C3849" t="s">
        <v>54</v>
      </c>
      <c r="D3849" t="s">
        <v>55</v>
      </c>
      <c r="E3849" t="s">
        <v>2206</v>
      </c>
      <c r="F3849" t="s">
        <v>190</v>
      </c>
      <c r="G3849" t="s">
        <v>1094</v>
      </c>
      <c r="H3849" t="s">
        <v>1095</v>
      </c>
      <c r="I3849" t="s">
        <v>1095</v>
      </c>
      <c r="J3849" t="s">
        <v>60</v>
      </c>
      <c r="K3849" t="s">
        <v>761</v>
      </c>
      <c r="L3849" t="s">
        <v>62</v>
      </c>
      <c r="M3849" t="s">
        <v>761</v>
      </c>
      <c r="N3849" t="s">
        <v>1096</v>
      </c>
      <c r="O3849" t="s">
        <v>1070</v>
      </c>
      <c r="P3849">
        <v>-20.122955999999999</v>
      </c>
      <c r="Q3849">
        <v>-44.847842</v>
      </c>
      <c r="R3849" s="2" t="str">
        <f>HYPERLINK("https://www.google.com/maps?q=-20.1229560,-44.8478420","Abrir no Google Maps")</f>
        <v>Abrir no Google Maps</v>
      </c>
      <c r="S3849">
        <v>3</v>
      </c>
      <c r="T3849">
        <v>611.23533866709147</v>
      </c>
      <c r="U3849">
        <v>4</v>
      </c>
      <c r="V3849">
        <v>0.49847380889269011</v>
      </c>
      <c r="W3849">
        <v>1</v>
      </c>
      <c r="X3849">
        <v>0.49847380889269011</v>
      </c>
      <c r="Y3849">
        <v>350</v>
      </c>
      <c r="Z3849">
        <v>567.3129443637539</v>
      </c>
      <c r="AA3849">
        <v>198</v>
      </c>
      <c r="AB3849">
        <v>332</v>
      </c>
      <c r="AC3849">
        <v>536</v>
      </c>
      <c r="AD3849">
        <v>33.19</v>
      </c>
      <c r="AE3849">
        <v>542</v>
      </c>
      <c r="AF3849">
        <v>41</v>
      </c>
      <c r="AG3849">
        <v>175</v>
      </c>
      <c r="AH3849">
        <v>129</v>
      </c>
      <c r="AI3849">
        <v>7.56</v>
      </c>
      <c r="AJ3849">
        <v>32.29</v>
      </c>
      <c r="AK3849">
        <v>23.8</v>
      </c>
      <c r="AL3849">
        <v>-20.122854299999972</v>
      </c>
      <c r="AM3849">
        <v>-44.847862495675152</v>
      </c>
      <c r="AN3849">
        <v>-20.122854299999972</v>
      </c>
      <c r="AO3849">
        <v>-44.847862495675152</v>
      </c>
      <c r="AP3849">
        <v>-20.122955999999999</v>
      </c>
      <c r="AQ3849">
        <v>-44.847842</v>
      </c>
      <c r="AR3849">
        <v>11.522154044835331</v>
      </c>
      <c r="AS3849" t="s">
        <v>65</v>
      </c>
      <c r="AT3849">
        <v>1</v>
      </c>
      <c r="AU3849" t="s">
        <v>1097</v>
      </c>
      <c r="AV3849" t="s">
        <v>1098</v>
      </c>
      <c r="AW3849" t="s">
        <v>60</v>
      </c>
      <c r="AX3849" t="s">
        <v>68</v>
      </c>
      <c r="AY3849" t="s">
        <v>69</v>
      </c>
      <c r="AZ3849" t="b">
        <v>1</v>
      </c>
    </row>
    <row r="3850" spans="1:52" x14ac:dyDescent="0.3">
      <c r="A3850" t="s">
        <v>52</v>
      </c>
      <c r="B3850" t="s">
        <v>53</v>
      </c>
      <c r="C3850" t="s">
        <v>54</v>
      </c>
      <c r="D3850" t="s">
        <v>55</v>
      </c>
      <c r="E3850" t="s">
        <v>2206</v>
      </c>
      <c r="F3850" t="s">
        <v>190</v>
      </c>
      <c r="G3850" t="s">
        <v>1901</v>
      </c>
      <c r="H3850" t="s">
        <v>1902</v>
      </c>
      <c r="I3850" t="s">
        <v>1902</v>
      </c>
      <c r="J3850" t="s">
        <v>60</v>
      </c>
      <c r="K3850" t="s">
        <v>761</v>
      </c>
      <c r="L3850" t="s">
        <v>62</v>
      </c>
      <c r="M3850" t="s">
        <v>761</v>
      </c>
      <c r="N3850" t="s">
        <v>1903</v>
      </c>
      <c r="O3850" t="s">
        <v>604</v>
      </c>
      <c r="P3850">
        <v>-20.120100999999998</v>
      </c>
      <c r="Q3850">
        <v>-44.845737</v>
      </c>
      <c r="R3850" s="2" t="str">
        <f>HYPERLINK("https://www.google.com/maps?q=-20.1201010,-44.8457370","Abrir no Google Maps")</f>
        <v>Abrir no Google Maps</v>
      </c>
      <c r="S3850">
        <v>3</v>
      </c>
      <c r="T3850">
        <v>1004.735730632553</v>
      </c>
      <c r="U3850">
        <v>4</v>
      </c>
      <c r="V3850">
        <v>0.4904616419497328</v>
      </c>
      <c r="W3850">
        <v>0.85</v>
      </c>
      <c r="X3850">
        <v>0.41689239565727287</v>
      </c>
      <c r="Y3850">
        <v>350</v>
      </c>
      <c r="Z3850">
        <v>830.02999366281665</v>
      </c>
      <c r="AA3850">
        <v>198</v>
      </c>
      <c r="AB3850">
        <v>332</v>
      </c>
      <c r="AC3850">
        <v>536</v>
      </c>
      <c r="AD3850">
        <v>33.19</v>
      </c>
      <c r="AE3850">
        <v>542</v>
      </c>
      <c r="AF3850">
        <v>41</v>
      </c>
      <c r="AG3850">
        <v>175</v>
      </c>
      <c r="AH3850">
        <v>129</v>
      </c>
      <c r="AI3850">
        <v>7.56</v>
      </c>
      <c r="AJ3850">
        <v>32.29</v>
      </c>
      <c r="AK3850">
        <v>23.8</v>
      </c>
      <c r="AL3850">
        <v>-20.120147299999928</v>
      </c>
      <c r="AM3850">
        <v>-44.84535984827329</v>
      </c>
      <c r="AN3850">
        <v>-20.120147299999928</v>
      </c>
      <c r="AO3850">
        <v>-44.84535984827329</v>
      </c>
      <c r="AP3850">
        <v>-20.120100999999998</v>
      </c>
      <c r="AQ3850">
        <v>-44.845737</v>
      </c>
      <c r="AR3850">
        <v>39.757854400729308</v>
      </c>
      <c r="AS3850" t="s">
        <v>65</v>
      </c>
      <c r="AT3850">
        <v>1</v>
      </c>
      <c r="AU3850" t="s">
        <v>1904</v>
      </c>
      <c r="AV3850" t="s">
        <v>1905</v>
      </c>
      <c r="AW3850" t="s">
        <v>60</v>
      </c>
      <c r="AX3850" t="s">
        <v>68</v>
      </c>
      <c r="AY3850" t="s">
        <v>69</v>
      </c>
      <c r="AZ3850" t="b">
        <v>1</v>
      </c>
    </row>
    <row r="3851" spans="1:52" x14ac:dyDescent="0.3">
      <c r="A3851" t="s">
        <v>52</v>
      </c>
      <c r="B3851" t="s">
        <v>53</v>
      </c>
      <c r="C3851" t="s">
        <v>54</v>
      </c>
      <c r="D3851" t="s">
        <v>55</v>
      </c>
      <c r="E3851" t="s">
        <v>2206</v>
      </c>
      <c r="F3851" t="s">
        <v>190</v>
      </c>
      <c r="G3851" t="s">
        <v>759</v>
      </c>
      <c r="H3851" t="s">
        <v>760</v>
      </c>
      <c r="I3851" t="s">
        <v>760</v>
      </c>
      <c r="J3851" t="s">
        <v>60</v>
      </c>
      <c r="K3851" t="s">
        <v>761</v>
      </c>
      <c r="L3851" t="s">
        <v>62</v>
      </c>
      <c r="M3851" t="s">
        <v>761</v>
      </c>
      <c r="N3851" t="s">
        <v>762</v>
      </c>
      <c r="O3851" t="s">
        <v>763</v>
      </c>
      <c r="P3851">
        <v>-20.118755</v>
      </c>
      <c r="Q3851">
        <v>-44.850627000000003</v>
      </c>
      <c r="R3851" s="2" t="str">
        <f>HYPERLINK("https://www.google.com/maps?q=-20.1187550,-44.8506270","Abrir no Google Maps")</f>
        <v>Abrir no Google Maps</v>
      </c>
      <c r="S3851">
        <v>3</v>
      </c>
      <c r="T3851">
        <v>848.81670834514034</v>
      </c>
      <c r="U3851">
        <v>4</v>
      </c>
      <c r="V3851">
        <v>0.43406513440888489</v>
      </c>
      <c r="W3851">
        <v>1</v>
      </c>
      <c r="X3851">
        <v>0.43406513440888489</v>
      </c>
      <c r="Y3851">
        <v>350</v>
      </c>
      <c r="Z3851">
        <v>443.51354125420028</v>
      </c>
      <c r="AA3851">
        <v>198</v>
      </c>
      <c r="AB3851">
        <v>332</v>
      </c>
      <c r="AC3851">
        <v>536</v>
      </c>
      <c r="AD3851">
        <v>33.19</v>
      </c>
      <c r="AE3851">
        <v>542</v>
      </c>
      <c r="AF3851">
        <v>41</v>
      </c>
      <c r="AG3851">
        <v>175</v>
      </c>
      <c r="AH3851">
        <v>129</v>
      </c>
      <c r="AI3851">
        <v>7.56</v>
      </c>
      <c r="AJ3851">
        <v>32.29</v>
      </c>
      <c r="AK3851">
        <v>23.8</v>
      </c>
      <c r="AL3851">
        <v>-20.11882464999994</v>
      </c>
      <c r="AM3851">
        <v>-44.850497004056017</v>
      </c>
      <c r="AN3851">
        <v>-20.11882464999994</v>
      </c>
      <c r="AO3851">
        <v>-44.850497004056017</v>
      </c>
      <c r="AP3851">
        <v>-20.118755</v>
      </c>
      <c r="AQ3851">
        <v>-44.850627000000003</v>
      </c>
      <c r="AR3851">
        <v>15.6445928866994</v>
      </c>
      <c r="AS3851" t="s">
        <v>65</v>
      </c>
      <c r="AT3851">
        <v>1</v>
      </c>
      <c r="AU3851" t="s">
        <v>764</v>
      </c>
      <c r="AV3851" t="s">
        <v>765</v>
      </c>
      <c r="AW3851" t="s">
        <v>60</v>
      </c>
      <c r="AX3851" t="s">
        <v>68</v>
      </c>
      <c r="AY3851" t="s">
        <v>69</v>
      </c>
      <c r="AZ3851" t="b">
        <v>1</v>
      </c>
    </row>
    <row r="3852" spans="1:52" x14ac:dyDescent="0.3">
      <c r="A3852" t="s">
        <v>52</v>
      </c>
      <c r="B3852" t="s">
        <v>53</v>
      </c>
      <c r="C3852" t="s">
        <v>54</v>
      </c>
      <c r="D3852" t="s">
        <v>55</v>
      </c>
      <c r="E3852" t="s">
        <v>2206</v>
      </c>
      <c r="F3852" t="s">
        <v>190</v>
      </c>
      <c r="G3852" t="s">
        <v>1121</v>
      </c>
      <c r="H3852" t="s">
        <v>1122</v>
      </c>
      <c r="I3852" t="s">
        <v>1122</v>
      </c>
      <c r="J3852" t="s">
        <v>60</v>
      </c>
      <c r="K3852" t="s">
        <v>1123</v>
      </c>
      <c r="L3852" t="s">
        <v>62</v>
      </c>
      <c r="M3852" t="s">
        <v>1123</v>
      </c>
      <c r="N3852" t="s">
        <v>1124</v>
      </c>
      <c r="O3852" t="s">
        <v>74</v>
      </c>
      <c r="P3852">
        <v>-20.105318</v>
      </c>
      <c r="Q3852">
        <v>-44.879216</v>
      </c>
      <c r="R3852" s="2" t="str">
        <f>HYPERLINK("https://www.google.com/maps?q=-20.1053180,-44.8792160","Abrir no Google Maps")</f>
        <v>Abrir no Google Maps</v>
      </c>
      <c r="S3852">
        <v>3</v>
      </c>
      <c r="T3852">
        <v>318.57668516180911</v>
      </c>
      <c r="U3852">
        <v>4</v>
      </c>
      <c r="V3852">
        <v>0.44610376013991482</v>
      </c>
      <c r="W3852">
        <v>1</v>
      </c>
      <c r="X3852">
        <v>0.44610376013991482</v>
      </c>
      <c r="Y3852">
        <v>314</v>
      </c>
      <c r="Z3852">
        <v>207.50829098881519</v>
      </c>
      <c r="AA3852">
        <v>198</v>
      </c>
      <c r="AB3852">
        <v>332</v>
      </c>
      <c r="AC3852">
        <v>536</v>
      </c>
      <c r="AD3852">
        <v>33.19</v>
      </c>
      <c r="AE3852">
        <v>542</v>
      </c>
      <c r="AF3852">
        <v>41</v>
      </c>
      <c r="AG3852">
        <v>175</v>
      </c>
      <c r="AH3852">
        <v>129</v>
      </c>
      <c r="AI3852">
        <v>7.56</v>
      </c>
      <c r="AJ3852">
        <v>32.29</v>
      </c>
      <c r="AK3852">
        <v>23.8</v>
      </c>
      <c r="AL3852">
        <v>-20.105361049999939</v>
      </c>
      <c r="AM3852">
        <v>-44.87924613740698</v>
      </c>
      <c r="AN3852">
        <v>-20.105361049999939</v>
      </c>
      <c r="AO3852">
        <v>-44.87924613740698</v>
      </c>
      <c r="AP3852">
        <v>-20.105318</v>
      </c>
      <c r="AQ3852">
        <v>-44.879216</v>
      </c>
      <c r="AR3852">
        <v>5.7351338374851242</v>
      </c>
      <c r="AS3852" t="s">
        <v>65</v>
      </c>
      <c r="AT3852">
        <v>1</v>
      </c>
      <c r="AU3852" t="s">
        <v>1125</v>
      </c>
      <c r="AV3852" t="s">
        <v>1126</v>
      </c>
      <c r="AW3852" t="s">
        <v>60</v>
      </c>
      <c r="AX3852" t="s">
        <v>68</v>
      </c>
      <c r="AY3852" t="s">
        <v>69</v>
      </c>
      <c r="AZ3852" t="b">
        <v>1</v>
      </c>
    </row>
    <row r="3853" spans="1:52" x14ac:dyDescent="0.3">
      <c r="A3853" t="s">
        <v>52</v>
      </c>
      <c r="B3853" t="s">
        <v>53</v>
      </c>
      <c r="C3853" t="s">
        <v>54</v>
      </c>
      <c r="D3853" t="s">
        <v>55</v>
      </c>
      <c r="E3853" t="s">
        <v>2206</v>
      </c>
      <c r="F3853" t="s">
        <v>190</v>
      </c>
      <c r="G3853" t="s">
        <v>1127</v>
      </c>
      <c r="H3853" t="s">
        <v>1128</v>
      </c>
      <c r="I3853" t="s">
        <v>1128</v>
      </c>
      <c r="J3853" t="s">
        <v>60</v>
      </c>
      <c r="K3853" t="s">
        <v>1129</v>
      </c>
      <c r="L3853" t="s">
        <v>62</v>
      </c>
      <c r="M3853" t="s">
        <v>1129</v>
      </c>
      <c r="N3853" t="s">
        <v>1130</v>
      </c>
      <c r="O3853" t="s">
        <v>357</v>
      </c>
      <c r="P3853">
        <v>-20.106638</v>
      </c>
      <c r="Q3853">
        <v>-44.883538000000001</v>
      </c>
      <c r="R3853" s="2" t="str">
        <f>HYPERLINK("https://www.google.com/maps?q=-20.1066380,-44.8835380","Abrir no Google Maps")</f>
        <v>Abrir no Google Maps</v>
      </c>
      <c r="S3853">
        <v>3</v>
      </c>
      <c r="T3853">
        <v>754.03514396665969</v>
      </c>
      <c r="U3853">
        <v>4</v>
      </c>
      <c r="V3853">
        <v>0.47852079000970899</v>
      </c>
      <c r="W3853">
        <v>1</v>
      </c>
      <c r="X3853">
        <v>0.47852079000970899</v>
      </c>
      <c r="Y3853">
        <v>314</v>
      </c>
      <c r="Z3853">
        <v>584.1161650721092</v>
      </c>
      <c r="AA3853">
        <v>198</v>
      </c>
      <c r="AB3853">
        <v>332</v>
      </c>
      <c r="AC3853">
        <v>536</v>
      </c>
      <c r="AD3853">
        <v>33.19</v>
      </c>
      <c r="AE3853">
        <v>542</v>
      </c>
      <c r="AF3853">
        <v>41</v>
      </c>
      <c r="AG3853">
        <v>175</v>
      </c>
      <c r="AH3853">
        <v>129</v>
      </c>
      <c r="AI3853">
        <v>7.56</v>
      </c>
      <c r="AJ3853">
        <v>32.29</v>
      </c>
      <c r="AK3853">
        <v>23.8</v>
      </c>
      <c r="AL3853">
        <v>-20.106599599999949</v>
      </c>
      <c r="AM3853">
        <v>-44.883527947279568</v>
      </c>
      <c r="AN3853">
        <v>-20.106599599999949</v>
      </c>
      <c r="AO3853">
        <v>-44.883527947279568</v>
      </c>
      <c r="AP3853">
        <v>-20.106638</v>
      </c>
      <c r="AQ3853">
        <v>-44.883538000000001</v>
      </c>
      <c r="AR3853">
        <v>4.4019630384815924</v>
      </c>
      <c r="AS3853" t="s">
        <v>65</v>
      </c>
      <c r="AT3853">
        <v>1</v>
      </c>
      <c r="AU3853" t="s">
        <v>1131</v>
      </c>
      <c r="AV3853" t="s">
        <v>1132</v>
      </c>
      <c r="AW3853" t="s">
        <v>60</v>
      </c>
      <c r="AX3853" t="s">
        <v>68</v>
      </c>
      <c r="AY3853" t="s">
        <v>69</v>
      </c>
      <c r="AZ3853" t="b">
        <v>1</v>
      </c>
    </row>
    <row r="3854" spans="1:52" x14ac:dyDescent="0.3">
      <c r="A3854" t="s">
        <v>52</v>
      </c>
      <c r="B3854" t="s">
        <v>53</v>
      </c>
      <c r="C3854" t="s">
        <v>54</v>
      </c>
      <c r="D3854" t="s">
        <v>55</v>
      </c>
      <c r="E3854" t="s">
        <v>2206</v>
      </c>
      <c r="F3854" t="s">
        <v>190</v>
      </c>
      <c r="G3854" t="s">
        <v>1133</v>
      </c>
      <c r="H3854" t="s">
        <v>1134</v>
      </c>
      <c r="I3854" t="s">
        <v>1134</v>
      </c>
      <c r="J3854" t="s">
        <v>60</v>
      </c>
      <c r="K3854" t="s">
        <v>1123</v>
      </c>
      <c r="L3854" t="s">
        <v>62</v>
      </c>
      <c r="M3854" t="s">
        <v>1123</v>
      </c>
      <c r="N3854" t="s">
        <v>1135</v>
      </c>
      <c r="O3854" t="s">
        <v>138</v>
      </c>
      <c r="P3854">
        <v>-20.106113000000001</v>
      </c>
      <c r="Q3854">
        <v>-44.876035999999999</v>
      </c>
      <c r="R3854" s="2" t="str">
        <f>HYPERLINK("https://www.google.com/maps?q=-20.1061130,-44.8760360","Abrir no Google Maps")</f>
        <v>Abrir no Google Maps</v>
      </c>
      <c r="S3854">
        <v>3</v>
      </c>
      <c r="T3854">
        <v>0</v>
      </c>
      <c r="U3854">
        <v>4</v>
      </c>
      <c r="V3854">
        <v>0.4300897683872113</v>
      </c>
      <c r="W3854">
        <v>1</v>
      </c>
      <c r="X3854">
        <v>0.4300897683872113</v>
      </c>
      <c r="Y3854">
        <v>314</v>
      </c>
      <c r="Z3854">
        <v>98.504848991092999</v>
      </c>
      <c r="AA3854">
        <v>198</v>
      </c>
      <c r="AB3854">
        <v>332</v>
      </c>
      <c r="AC3854">
        <v>536</v>
      </c>
      <c r="AD3854">
        <v>33.19</v>
      </c>
      <c r="AE3854">
        <v>542</v>
      </c>
      <c r="AF3854">
        <v>41</v>
      </c>
      <c r="AG3854">
        <v>175</v>
      </c>
      <c r="AH3854">
        <v>129</v>
      </c>
      <c r="AI3854">
        <v>7.56</v>
      </c>
      <c r="AJ3854">
        <v>32.29</v>
      </c>
      <c r="AK3854">
        <v>23.8</v>
      </c>
      <c r="AL3854">
        <v>-20.106190249999941</v>
      </c>
      <c r="AM3854">
        <v>-44.876327742253288</v>
      </c>
      <c r="AN3854">
        <v>-20.106190249999941</v>
      </c>
      <c r="AO3854">
        <v>-44.876327742253288</v>
      </c>
      <c r="AP3854">
        <v>-20.106113000000001</v>
      </c>
      <c r="AQ3854">
        <v>-44.876035999999999</v>
      </c>
      <c r="AR3854">
        <v>31.686742853465731</v>
      </c>
      <c r="AS3854" t="s">
        <v>65</v>
      </c>
      <c r="AT3854">
        <v>1</v>
      </c>
      <c r="AU3854" t="s">
        <v>1136</v>
      </c>
      <c r="AV3854" t="s">
        <v>1137</v>
      </c>
      <c r="AW3854" t="s">
        <v>60</v>
      </c>
      <c r="AX3854" t="s">
        <v>68</v>
      </c>
      <c r="AY3854" t="s">
        <v>69</v>
      </c>
      <c r="AZ3854" t="b">
        <v>1</v>
      </c>
    </row>
    <row r="3855" spans="1:52" x14ac:dyDescent="0.3">
      <c r="A3855" t="s">
        <v>52</v>
      </c>
      <c r="B3855" t="s">
        <v>53</v>
      </c>
      <c r="C3855" t="s">
        <v>54</v>
      </c>
      <c r="D3855" t="s">
        <v>55</v>
      </c>
      <c r="E3855" t="s">
        <v>2206</v>
      </c>
      <c r="F3855" t="s">
        <v>190</v>
      </c>
      <c r="G3855" t="s">
        <v>1138</v>
      </c>
      <c r="H3855" t="s">
        <v>1139</v>
      </c>
      <c r="I3855" t="s">
        <v>1139</v>
      </c>
      <c r="J3855" t="s">
        <v>60</v>
      </c>
      <c r="K3855" t="s">
        <v>1140</v>
      </c>
      <c r="L3855" t="s">
        <v>62</v>
      </c>
      <c r="M3855" t="s">
        <v>1140</v>
      </c>
      <c r="N3855" t="s">
        <v>1141</v>
      </c>
      <c r="O3855" t="s">
        <v>293</v>
      </c>
      <c r="P3855">
        <v>-20.103041999999999</v>
      </c>
      <c r="Q3855">
        <v>-44.882694999999998</v>
      </c>
      <c r="R3855" s="2" t="str">
        <f>HYPERLINK("https://www.google.com/maps?q=-20.1030420,-44.8826950","Abrir no Google Maps")</f>
        <v>Abrir no Google Maps</v>
      </c>
      <c r="S3855">
        <v>3</v>
      </c>
      <c r="T3855">
        <v>764.07293048598467</v>
      </c>
      <c r="U3855">
        <v>4</v>
      </c>
      <c r="V3855">
        <v>0.4566894462540334</v>
      </c>
      <c r="W3855">
        <v>1</v>
      </c>
      <c r="X3855">
        <v>0.4566894462540334</v>
      </c>
      <c r="Y3855">
        <v>314</v>
      </c>
      <c r="Z3855">
        <v>696.03268335706969</v>
      </c>
      <c r="AA3855">
        <v>198</v>
      </c>
      <c r="AB3855">
        <v>332</v>
      </c>
      <c r="AC3855">
        <v>536</v>
      </c>
      <c r="AD3855">
        <v>33.19</v>
      </c>
      <c r="AE3855">
        <v>542</v>
      </c>
      <c r="AF3855">
        <v>41</v>
      </c>
      <c r="AG3855">
        <v>175</v>
      </c>
      <c r="AH3855">
        <v>129</v>
      </c>
      <c r="AI3855">
        <v>7.56</v>
      </c>
      <c r="AJ3855">
        <v>32.29</v>
      </c>
      <c r="AK3855">
        <v>23.8</v>
      </c>
      <c r="AL3855">
        <v>-20.10298734999995</v>
      </c>
      <c r="AM3855">
        <v>-44.882802925792483</v>
      </c>
      <c r="AN3855">
        <v>-20.10298734999995</v>
      </c>
      <c r="AO3855">
        <v>-44.882802925792483</v>
      </c>
      <c r="AP3855">
        <v>-20.103041999999999</v>
      </c>
      <c r="AQ3855">
        <v>-44.882694999999998</v>
      </c>
      <c r="AR3855">
        <v>12.8180317775525</v>
      </c>
      <c r="AS3855" t="s">
        <v>65</v>
      </c>
      <c r="AT3855">
        <v>1</v>
      </c>
      <c r="AU3855" t="s">
        <v>1142</v>
      </c>
      <c r="AV3855" t="s">
        <v>1143</v>
      </c>
      <c r="AW3855" t="s">
        <v>60</v>
      </c>
      <c r="AX3855" t="s">
        <v>68</v>
      </c>
      <c r="AY3855" t="s">
        <v>69</v>
      </c>
      <c r="AZ3855" t="b">
        <v>1</v>
      </c>
    </row>
    <row r="3856" spans="1:52" x14ac:dyDescent="0.3">
      <c r="A3856" t="s">
        <v>52</v>
      </c>
      <c r="B3856" t="s">
        <v>53</v>
      </c>
      <c r="C3856" t="s">
        <v>54</v>
      </c>
      <c r="D3856" t="s">
        <v>55</v>
      </c>
      <c r="E3856" t="s">
        <v>2206</v>
      </c>
      <c r="F3856" t="s">
        <v>190</v>
      </c>
      <c r="G3856" t="s">
        <v>1133</v>
      </c>
      <c r="H3856" t="s">
        <v>1144</v>
      </c>
      <c r="I3856" t="s">
        <v>1144</v>
      </c>
      <c r="J3856" t="s">
        <v>60</v>
      </c>
      <c r="K3856" t="s">
        <v>1123</v>
      </c>
      <c r="L3856" t="s">
        <v>62</v>
      </c>
      <c r="M3856" t="s">
        <v>1123</v>
      </c>
      <c r="N3856" t="s">
        <v>1135</v>
      </c>
      <c r="O3856" t="s">
        <v>907</v>
      </c>
      <c r="P3856">
        <v>-20.100351</v>
      </c>
      <c r="Q3856">
        <v>-44.878037999999997</v>
      </c>
      <c r="R3856" s="2" t="str">
        <f>HYPERLINK("https://www.google.com/maps?q=-20.1003510,-44.8780380","Abrir no Google Maps")</f>
        <v>Abrir no Google Maps</v>
      </c>
      <c r="S3856">
        <v>3</v>
      </c>
      <c r="T3856">
        <v>665.56785712469116</v>
      </c>
      <c r="U3856">
        <v>4</v>
      </c>
      <c r="V3856">
        <v>0.47873409445787191</v>
      </c>
      <c r="W3856">
        <v>1</v>
      </c>
      <c r="X3856">
        <v>0.47873409445787191</v>
      </c>
      <c r="Y3856">
        <v>314</v>
      </c>
      <c r="Z3856">
        <v>584.8532299266725</v>
      </c>
      <c r="AA3856">
        <v>198</v>
      </c>
      <c r="AB3856">
        <v>332</v>
      </c>
      <c r="AC3856">
        <v>536</v>
      </c>
      <c r="AD3856">
        <v>33.19</v>
      </c>
      <c r="AE3856">
        <v>542</v>
      </c>
      <c r="AF3856">
        <v>41</v>
      </c>
      <c r="AG3856">
        <v>175</v>
      </c>
      <c r="AH3856">
        <v>129</v>
      </c>
      <c r="AI3856">
        <v>7.56</v>
      </c>
      <c r="AJ3856">
        <v>32.29</v>
      </c>
      <c r="AK3856">
        <v>23.8</v>
      </c>
      <c r="AL3856">
        <v>-20.100420499999959</v>
      </c>
      <c r="AM3856">
        <v>-44.878125332575927</v>
      </c>
      <c r="AN3856">
        <v>-20.100420499999959</v>
      </c>
      <c r="AO3856">
        <v>-44.878125332575927</v>
      </c>
      <c r="AP3856">
        <v>-20.100351</v>
      </c>
      <c r="AQ3856">
        <v>-44.878037999999997</v>
      </c>
      <c r="AR3856">
        <v>11.966993892024719</v>
      </c>
      <c r="AS3856" t="s">
        <v>65</v>
      </c>
      <c r="AT3856">
        <v>1</v>
      </c>
      <c r="AU3856" t="s">
        <v>1145</v>
      </c>
      <c r="AV3856" t="s">
        <v>1146</v>
      </c>
      <c r="AW3856" t="s">
        <v>60</v>
      </c>
      <c r="AX3856" t="s">
        <v>68</v>
      </c>
      <c r="AY3856" t="s">
        <v>69</v>
      </c>
      <c r="AZ3856" t="b">
        <v>1</v>
      </c>
    </row>
    <row r="3857" spans="1:52" x14ac:dyDescent="0.3">
      <c r="A3857" t="s">
        <v>52</v>
      </c>
      <c r="B3857" t="s">
        <v>53</v>
      </c>
      <c r="C3857" t="s">
        <v>54</v>
      </c>
      <c r="D3857" t="s">
        <v>55</v>
      </c>
      <c r="E3857" t="s">
        <v>2206</v>
      </c>
      <c r="F3857" t="s">
        <v>190</v>
      </c>
      <c r="G3857" t="s">
        <v>789</v>
      </c>
      <c r="H3857" t="s">
        <v>790</v>
      </c>
      <c r="I3857" t="s">
        <v>790</v>
      </c>
      <c r="J3857" t="s">
        <v>60</v>
      </c>
      <c r="K3857" t="s">
        <v>791</v>
      </c>
      <c r="L3857" t="s">
        <v>62</v>
      </c>
      <c r="M3857" t="s">
        <v>791</v>
      </c>
      <c r="N3857" t="s">
        <v>792</v>
      </c>
      <c r="O3857" t="s">
        <v>793</v>
      </c>
      <c r="P3857">
        <v>-20.114263000000001</v>
      </c>
      <c r="Q3857">
        <v>-44.910150000000002</v>
      </c>
      <c r="R3857" s="2" t="str">
        <f>HYPERLINK("https://www.google.com/maps?q=-20.1142630,-44.9101500","Abrir no Google Maps")</f>
        <v>Abrir no Google Maps</v>
      </c>
      <c r="S3857">
        <v>3</v>
      </c>
      <c r="T3857">
        <v>1039.6249825628629</v>
      </c>
      <c r="U3857">
        <v>4</v>
      </c>
      <c r="V3857">
        <v>0.44752057752031499</v>
      </c>
      <c r="W3857">
        <v>1</v>
      </c>
      <c r="X3857">
        <v>0.44752057752031499</v>
      </c>
      <c r="Y3857">
        <v>300</v>
      </c>
      <c r="Z3857">
        <v>1156.8405524690361</v>
      </c>
      <c r="AA3857">
        <v>198</v>
      </c>
      <c r="AB3857">
        <v>332</v>
      </c>
      <c r="AC3857">
        <v>536</v>
      </c>
      <c r="AD3857">
        <v>33.19</v>
      </c>
      <c r="AE3857">
        <v>542</v>
      </c>
      <c r="AF3857">
        <v>41</v>
      </c>
      <c r="AG3857">
        <v>175</v>
      </c>
      <c r="AH3857">
        <v>129</v>
      </c>
      <c r="AI3857">
        <v>7.56</v>
      </c>
      <c r="AJ3857">
        <v>32.29</v>
      </c>
      <c r="AK3857">
        <v>23.8</v>
      </c>
      <c r="AL3857">
        <v>-20.113823899999939</v>
      </c>
      <c r="AM3857">
        <v>-44.910704705968108</v>
      </c>
      <c r="AN3857">
        <v>-20.113823899999939</v>
      </c>
      <c r="AO3857">
        <v>-44.910704705968108</v>
      </c>
      <c r="AP3857">
        <v>-20.114263000000001</v>
      </c>
      <c r="AQ3857">
        <v>-44.910150000000002</v>
      </c>
      <c r="AR3857">
        <v>75.838236800419978</v>
      </c>
      <c r="AS3857" t="s">
        <v>65</v>
      </c>
      <c r="AT3857">
        <v>1</v>
      </c>
      <c r="AU3857" t="s">
        <v>794</v>
      </c>
      <c r="AV3857" t="s">
        <v>795</v>
      </c>
      <c r="AW3857" t="s">
        <v>60</v>
      </c>
      <c r="AX3857" t="s">
        <v>68</v>
      </c>
      <c r="AY3857" t="s">
        <v>69</v>
      </c>
      <c r="AZ3857" t="b">
        <v>1</v>
      </c>
    </row>
    <row r="3858" spans="1:52" x14ac:dyDescent="0.3">
      <c r="A3858" t="s">
        <v>52</v>
      </c>
      <c r="B3858" t="s">
        <v>53</v>
      </c>
      <c r="C3858" t="s">
        <v>54</v>
      </c>
      <c r="D3858" t="s">
        <v>55</v>
      </c>
      <c r="E3858" t="s">
        <v>2206</v>
      </c>
      <c r="F3858" t="s">
        <v>190</v>
      </c>
      <c r="G3858" t="s">
        <v>1147</v>
      </c>
      <c r="H3858" t="s">
        <v>1148</v>
      </c>
      <c r="I3858" t="s">
        <v>1148</v>
      </c>
      <c r="J3858" t="s">
        <v>60</v>
      </c>
      <c r="K3858" t="s">
        <v>798</v>
      </c>
      <c r="L3858" t="s">
        <v>62</v>
      </c>
      <c r="M3858" t="s">
        <v>798</v>
      </c>
      <c r="N3858" t="s">
        <v>1149</v>
      </c>
      <c r="O3858" t="s">
        <v>836</v>
      </c>
      <c r="P3858">
        <v>-20.112448000000001</v>
      </c>
      <c r="Q3858">
        <v>-44.904887000000002</v>
      </c>
      <c r="R3858" s="2" t="str">
        <f>HYPERLINK("https://www.google.com/maps?q=-20.1124480,-44.9048870","Abrir no Google Maps")</f>
        <v>Abrir no Google Maps</v>
      </c>
      <c r="S3858">
        <v>3</v>
      </c>
      <c r="T3858">
        <v>404.16588765758058</v>
      </c>
      <c r="U3858">
        <v>4</v>
      </c>
      <c r="V3858">
        <v>0.45263762813864927</v>
      </c>
      <c r="W3858">
        <v>1</v>
      </c>
      <c r="X3858">
        <v>0.45263762813864927</v>
      </c>
      <c r="Y3858">
        <v>300</v>
      </c>
      <c r="Z3858">
        <v>435.21165957304731</v>
      </c>
      <c r="AA3858">
        <v>198</v>
      </c>
      <c r="AB3858">
        <v>332</v>
      </c>
      <c r="AC3858">
        <v>536</v>
      </c>
      <c r="AD3858">
        <v>33.19</v>
      </c>
      <c r="AE3858">
        <v>542</v>
      </c>
      <c r="AF3858">
        <v>41</v>
      </c>
      <c r="AG3858">
        <v>175</v>
      </c>
      <c r="AH3858">
        <v>129</v>
      </c>
      <c r="AI3858">
        <v>7.56</v>
      </c>
      <c r="AJ3858">
        <v>32.29</v>
      </c>
      <c r="AK3858">
        <v>23.8</v>
      </c>
      <c r="AL3858">
        <v>-20.11243479999996</v>
      </c>
      <c r="AM3858">
        <v>-44.904803228053026</v>
      </c>
      <c r="AN3858">
        <v>-20.11243479999996</v>
      </c>
      <c r="AO3858">
        <v>-44.904803228053026</v>
      </c>
      <c r="AP3858">
        <v>-20.112448000000001</v>
      </c>
      <c r="AQ3858">
        <v>-44.904887000000002</v>
      </c>
      <c r="AR3858">
        <v>8.8792525353759544</v>
      </c>
      <c r="AS3858" t="s">
        <v>65</v>
      </c>
      <c r="AT3858">
        <v>1</v>
      </c>
      <c r="AU3858" t="s">
        <v>1150</v>
      </c>
      <c r="AV3858" t="s">
        <v>1151</v>
      </c>
      <c r="AW3858" t="s">
        <v>60</v>
      </c>
      <c r="AX3858" t="s">
        <v>68</v>
      </c>
      <c r="AY3858" t="s">
        <v>69</v>
      </c>
      <c r="AZ3858" t="b">
        <v>1</v>
      </c>
    </row>
    <row r="3859" spans="1:52" x14ac:dyDescent="0.3">
      <c r="A3859" t="s">
        <v>52</v>
      </c>
      <c r="B3859" t="s">
        <v>53</v>
      </c>
      <c r="C3859" t="s">
        <v>54</v>
      </c>
      <c r="D3859" t="s">
        <v>55</v>
      </c>
      <c r="E3859" t="s">
        <v>2206</v>
      </c>
      <c r="F3859" t="s">
        <v>190</v>
      </c>
      <c r="G3859" t="s">
        <v>1763</v>
      </c>
      <c r="H3859" t="s">
        <v>1764</v>
      </c>
      <c r="I3859" t="s">
        <v>1764</v>
      </c>
      <c r="J3859" t="s">
        <v>60</v>
      </c>
      <c r="K3859" t="s">
        <v>798</v>
      </c>
      <c r="L3859" t="s">
        <v>62</v>
      </c>
      <c r="M3859" t="s">
        <v>798</v>
      </c>
      <c r="N3859" t="s">
        <v>1765</v>
      </c>
      <c r="O3859" t="s">
        <v>1766</v>
      </c>
      <c r="P3859">
        <v>-20.111158</v>
      </c>
      <c r="Q3859">
        <v>-44.901231000000003</v>
      </c>
      <c r="R3859" s="2" t="str">
        <f>HYPERLINK("https://www.google.com/maps?q=-20.1111580,-44.9012310","Abrir no Google Maps")</f>
        <v>Abrir no Google Maps</v>
      </c>
      <c r="S3859">
        <v>3</v>
      </c>
      <c r="T3859">
        <v>0</v>
      </c>
      <c r="U3859">
        <v>4</v>
      </c>
      <c r="V3859">
        <v>0.4356775613590706</v>
      </c>
      <c r="W3859">
        <v>1</v>
      </c>
      <c r="X3859">
        <v>0.4356775613590706</v>
      </c>
      <c r="Y3859">
        <v>300</v>
      </c>
      <c r="Z3859">
        <v>159.5707781627477</v>
      </c>
      <c r="AA3859">
        <v>198</v>
      </c>
      <c r="AB3859">
        <v>332</v>
      </c>
      <c r="AC3859">
        <v>536</v>
      </c>
      <c r="AD3859">
        <v>33.19</v>
      </c>
      <c r="AE3859">
        <v>542</v>
      </c>
      <c r="AF3859">
        <v>41</v>
      </c>
      <c r="AG3859">
        <v>175</v>
      </c>
      <c r="AH3859">
        <v>129</v>
      </c>
      <c r="AI3859">
        <v>7.56</v>
      </c>
      <c r="AJ3859">
        <v>32.29</v>
      </c>
      <c r="AK3859">
        <v>23.8</v>
      </c>
      <c r="AL3859">
        <v>-20.111381299999941</v>
      </c>
      <c r="AM3859">
        <v>-44.90110111260114</v>
      </c>
      <c r="AN3859">
        <v>-20.111381299999941</v>
      </c>
      <c r="AO3859">
        <v>-44.90110111260114</v>
      </c>
      <c r="AP3859">
        <v>-20.111158</v>
      </c>
      <c r="AQ3859">
        <v>-44.901231000000003</v>
      </c>
      <c r="AR3859">
        <v>28.32410367036935</v>
      </c>
      <c r="AS3859" t="s">
        <v>65</v>
      </c>
      <c r="AT3859">
        <v>1</v>
      </c>
      <c r="AU3859" t="s">
        <v>1767</v>
      </c>
      <c r="AV3859" t="s">
        <v>1768</v>
      </c>
      <c r="AW3859" t="s">
        <v>60</v>
      </c>
      <c r="AX3859" t="s">
        <v>68</v>
      </c>
      <c r="AY3859" t="s">
        <v>69</v>
      </c>
      <c r="AZ3859" t="b">
        <v>1</v>
      </c>
    </row>
    <row r="3860" spans="1:52" x14ac:dyDescent="0.3">
      <c r="A3860" t="s">
        <v>52</v>
      </c>
      <c r="B3860" t="s">
        <v>53</v>
      </c>
      <c r="C3860" t="s">
        <v>54</v>
      </c>
      <c r="D3860" t="s">
        <v>55</v>
      </c>
      <c r="E3860" t="s">
        <v>2206</v>
      </c>
      <c r="F3860" t="s">
        <v>190</v>
      </c>
      <c r="G3860" t="s">
        <v>1152</v>
      </c>
      <c r="H3860" t="s">
        <v>1153</v>
      </c>
      <c r="I3860" t="s">
        <v>1153</v>
      </c>
      <c r="J3860" t="s">
        <v>60</v>
      </c>
      <c r="K3860" t="s">
        <v>798</v>
      </c>
      <c r="L3860" t="s">
        <v>62</v>
      </c>
      <c r="M3860" t="s">
        <v>798</v>
      </c>
      <c r="N3860" t="s">
        <v>1154</v>
      </c>
      <c r="O3860" t="s">
        <v>293</v>
      </c>
      <c r="P3860">
        <v>-20.112477999999999</v>
      </c>
      <c r="Q3860">
        <v>-44.903066000000003</v>
      </c>
      <c r="R3860" s="2" t="str">
        <f>HYPERLINK("https://www.google.com/maps?q=-20.1124780,-44.9030660","Abrir no Google Maps")</f>
        <v>Abrir no Google Maps</v>
      </c>
      <c r="S3860">
        <v>3</v>
      </c>
      <c r="T3860">
        <v>246.8131690803576</v>
      </c>
      <c r="U3860">
        <v>4</v>
      </c>
      <c r="V3860">
        <v>0.4415957216938392</v>
      </c>
      <c r="W3860">
        <v>1</v>
      </c>
      <c r="X3860">
        <v>0.4415957216938392</v>
      </c>
      <c r="Y3860">
        <v>300</v>
      </c>
      <c r="Z3860">
        <v>335.63974056009812</v>
      </c>
      <c r="AA3860">
        <v>198</v>
      </c>
      <c r="AB3860">
        <v>332</v>
      </c>
      <c r="AC3860">
        <v>536</v>
      </c>
      <c r="AD3860">
        <v>33.19</v>
      </c>
      <c r="AE3860">
        <v>542</v>
      </c>
      <c r="AF3860">
        <v>41</v>
      </c>
      <c r="AG3860">
        <v>175</v>
      </c>
      <c r="AH3860">
        <v>129</v>
      </c>
      <c r="AI3860">
        <v>7.56</v>
      </c>
      <c r="AJ3860">
        <v>32.29</v>
      </c>
      <c r="AK3860">
        <v>23.8</v>
      </c>
      <c r="AL3860">
        <v>-20.112499949999972</v>
      </c>
      <c r="AM3860">
        <v>-44.903143791889391</v>
      </c>
      <c r="AN3860">
        <v>-20.112499949999972</v>
      </c>
      <c r="AO3860">
        <v>-44.903143791889391</v>
      </c>
      <c r="AP3860">
        <v>-20.112477999999999</v>
      </c>
      <c r="AQ3860">
        <v>-44.903066000000003</v>
      </c>
      <c r="AR3860">
        <v>8.4908959019572912</v>
      </c>
      <c r="AS3860" t="s">
        <v>65</v>
      </c>
      <c r="AT3860">
        <v>1</v>
      </c>
      <c r="AU3860" t="s">
        <v>1155</v>
      </c>
      <c r="AV3860" t="s">
        <v>1156</v>
      </c>
      <c r="AW3860" t="s">
        <v>60</v>
      </c>
      <c r="AX3860" t="s">
        <v>68</v>
      </c>
      <c r="AY3860" t="s">
        <v>69</v>
      </c>
      <c r="AZ3860" t="b">
        <v>1</v>
      </c>
    </row>
    <row r="3861" spans="1:52" x14ac:dyDescent="0.3">
      <c r="A3861" t="s">
        <v>52</v>
      </c>
      <c r="B3861" t="s">
        <v>53</v>
      </c>
      <c r="C3861" t="s">
        <v>54</v>
      </c>
      <c r="D3861" t="s">
        <v>55</v>
      </c>
      <c r="E3861" t="s">
        <v>2206</v>
      </c>
      <c r="F3861" t="s">
        <v>190</v>
      </c>
      <c r="G3861" t="s">
        <v>1769</v>
      </c>
      <c r="H3861" t="s">
        <v>1770</v>
      </c>
      <c r="I3861" t="s">
        <v>1770</v>
      </c>
      <c r="J3861" t="s">
        <v>60</v>
      </c>
      <c r="K3861" t="s">
        <v>791</v>
      </c>
      <c r="L3861" t="s">
        <v>62</v>
      </c>
      <c r="M3861" t="s">
        <v>791</v>
      </c>
      <c r="N3861" t="s">
        <v>1771</v>
      </c>
      <c r="O3861" t="s">
        <v>494</v>
      </c>
      <c r="P3861">
        <v>-20.108464999999999</v>
      </c>
      <c r="Q3861">
        <v>-44.902169000000001</v>
      </c>
      <c r="R3861" s="2" t="str">
        <f>HYPERLINK("https://www.google.com/maps?q=-20.1084650,-44.9021690","Abrir no Google Maps")</f>
        <v>Abrir no Google Maps</v>
      </c>
      <c r="S3861">
        <v>3</v>
      </c>
      <c r="T3861">
        <v>332.55452480320798</v>
      </c>
      <c r="U3861">
        <v>4</v>
      </c>
      <c r="V3861">
        <v>0.44170285262396392</v>
      </c>
      <c r="W3861">
        <v>1</v>
      </c>
      <c r="X3861">
        <v>0.44170285262396392</v>
      </c>
      <c r="Y3861">
        <v>300</v>
      </c>
      <c r="Z3861">
        <v>139.01495543278119</v>
      </c>
      <c r="AA3861">
        <v>198</v>
      </c>
      <c r="AB3861">
        <v>332</v>
      </c>
      <c r="AC3861">
        <v>536</v>
      </c>
      <c r="AD3861">
        <v>33.19</v>
      </c>
      <c r="AE3861">
        <v>542</v>
      </c>
      <c r="AF3861">
        <v>41</v>
      </c>
      <c r="AG3861">
        <v>175</v>
      </c>
      <c r="AH3861">
        <v>129</v>
      </c>
      <c r="AI3861">
        <v>7.56</v>
      </c>
      <c r="AJ3861">
        <v>32.29</v>
      </c>
      <c r="AK3861">
        <v>23.8</v>
      </c>
      <c r="AL3861">
        <v>-20.108420149999969</v>
      </c>
      <c r="AM3861">
        <v>-44.90164352007664</v>
      </c>
      <c r="AN3861">
        <v>-20.108420149999969</v>
      </c>
      <c r="AO3861">
        <v>-44.90164352007664</v>
      </c>
      <c r="AP3861">
        <v>-20.108464999999999</v>
      </c>
      <c r="AQ3861">
        <v>-44.902169000000001</v>
      </c>
      <c r="AR3861">
        <v>55.157130612493773</v>
      </c>
      <c r="AS3861" t="s">
        <v>65</v>
      </c>
      <c r="AT3861">
        <v>1</v>
      </c>
      <c r="AU3861" t="s">
        <v>1772</v>
      </c>
      <c r="AV3861" t="s">
        <v>1773</v>
      </c>
      <c r="AW3861" t="s">
        <v>60</v>
      </c>
      <c r="AX3861" t="s">
        <v>68</v>
      </c>
      <c r="AY3861" t="s">
        <v>69</v>
      </c>
      <c r="AZ3861" t="b">
        <v>1</v>
      </c>
    </row>
    <row r="3862" spans="1:52" x14ac:dyDescent="0.3">
      <c r="A3862" t="s">
        <v>52</v>
      </c>
      <c r="B3862" t="s">
        <v>53</v>
      </c>
      <c r="C3862" t="s">
        <v>54</v>
      </c>
      <c r="D3862" t="s">
        <v>55</v>
      </c>
      <c r="E3862" t="s">
        <v>2206</v>
      </c>
      <c r="F3862" t="s">
        <v>190</v>
      </c>
      <c r="G3862" t="s">
        <v>796</v>
      </c>
      <c r="H3862" t="s">
        <v>797</v>
      </c>
      <c r="I3862" t="s">
        <v>797</v>
      </c>
      <c r="J3862" t="s">
        <v>60</v>
      </c>
      <c r="K3862" t="s">
        <v>798</v>
      </c>
      <c r="L3862" t="s">
        <v>62</v>
      </c>
      <c r="M3862" t="s">
        <v>798</v>
      </c>
      <c r="N3862" t="s">
        <v>799</v>
      </c>
      <c r="O3862" t="s">
        <v>800</v>
      </c>
      <c r="P3862">
        <v>-20.105681000000001</v>
      </c>
      <c r="Q3862">
        <v>-44.902771999999999</v>
      </c>
      <c r="R3862" s="2" t="str">
        <f>HYPERLINK("https://www.google.com/maps?q=-20.1056810,-44.9027720","Abrir no Google Maps")</f>
        <v>Abrir no Google Maps</v>
      </c>
      <c r="S3862">
        <v>3</v>
      </c>
      <c r="T3862">
        <v>654.76334876090721</v>
      </c>
      <c r="U3862">
        <v>4</v>
      </c>
      <c r="V3862">
        <v>0.45872162213351592</v>
      </c>
      <c r="W3862">
        <v>1</v>
      </c>
      <c r="X3862">
        <v>0.45872162213351592</v>
      </c>
      <c r="Y3862">
        <v>300</v>
      </c>
      <c r="Z3862">
        <v>473.90209409135377</v>
      </c>
      <c r="AA3862">
        <v>198</v>
      </c>
      <c r="AB3862">
        <v>332</v>
      </c>
      <c r="AC3862">
        <v>536</v>
      </c>
      <c r="AD3862">
        <v>33.19</v>
      </c>
      <c r="AE3862">
        <v>542</v>
      </c>
      <c r="AF3862">
        <v>41</v>
      </c>
      <c r="AG3862">
        <v>175</v>
      </c>
      <c r="AH3862">
        <v>129</v>
      </c>
      <c r="AI3862">
        <v>7.56</v>
      </c>
      <c r="AJ3862">
        <v>32.29</v>
      </c>
      <c r="AK3862">
        <v>23.8</v>
      </c>
      <c r="AL3862">
        <v>-20.105710249999959</v>
      </c>
      <c r="AM3862">
        <v>-44.902887601574513</v>
      </c>
      <c r="AN3862">
        <v>-20.105710249999959</v>
      </c>
      <c r="AO3862">
        <v>-44.902887601574513</v>
      </c>
      <c r="AP3862">
        <v>-20.105681000000001</v>
      </c>
      <c r="AQ3862">
        <v>-44.902771999999999</v>
      </c>
      <c r="AR3862">
        <v>12.5155291382583</v>
      </c>
      <c r="AS3862" t="s">
        <v>65</v>
      </c>
      <c r="AT3862">
        <v>1</v>
      </c>
      <c r="AU3862" t="s">
        <v>801</v>
      </c>
      <c r="AV3862" t="s">
        <v>802</v>
      </c>
      <c r="AW3862" t="s">
        <v>60</v>
      </c>
      <c r="AX3862" t="s">
        <v>68</v>
      </c>
      <c r="AY3862" t="s">
        <v>69</v>
      </c>
      <c r="AZ3862" t="b">
        <v>1</v>
      </c>
    </row>
    <row r="3863" spans="1:52" x14ac:dyDescent="0.3">
      <c r="A3863" t="s">
        <v>52</v>
      </c>
      <c r="B3863" t="s">
        <v>53</v>
      </c>
      <c r="C3863" t="s">
        <v>54</v>
      </c>
      <c r="D3863" t="s">
        <v>55</v>
      </c>
      <c r="E3863" t="s">
        <v>2206</v>
      </c>
      <c r="F3863" t="s">
        <v>190</v>
      </c>
      <c r="G3863" t="s">
        <v>1157</v>
      </c>
      <c r="H3863" t="s">
        <v>1158</v>
      </c>
      <c r="I3863" t="s">
        <v>1158</v>
      </c>
      <c r="J3863" t="s">
        <v>60</v>
      </c>
      <c r="K3863" t="s">
        <v>791</v>
      </c>
      <c r="L3863" t="s">
        <v>62</v>
      </c>
      <c r="M3863" t="s">
        <v>791</v>
      </c>
      <c r="N3863" t="s">
        <v>1159</v>
      </c>
      <c r="O3863" t="s">
        <v>1160</v>
      </c>
      <c r="P3863">
        <v>-20.108114</v>
      </c>
      <c r="Q3863">
        <v>-44.905804000000003</v>
      </c>
      <c r="R3863" s="2" t="str">
        <f>HYPERLINK("https://www.google.com/maps?q=-20.1081140,-44.9058040","Abrir no Google Maps")</f>
        <v>Abrir no Google Maps</v>
      </c>
      <c r="S3863">
        <v>3</v>
      </c>
      <c r="T3863">
        <v>603.1428230097074</v>
      </c>
      <c r="U3863">
        <v>4</v>
      </c>
      <c r="V3863">
        <v>0.4833262834186195</v>
      </c>
      <c r="W3863">
        <v>1</v>
      </c>
      <c r="X3863">
        <v>0.4833262834186195</v>
      </c>
      <c r="Y3863">
        <v>300</v>
      </c>
      <c r="Z3863">
        <v>444.71482981499793</v>
      </c>
      <c r="AA3863">
        <v>198</v>
      </c>
      <c r="AB3863">
        <v>332</v>
      </c>
      <c r="AC3863">
        <v>536</v>
      </c>
      <c r="AD3863">
        <v>33.19</v>
      </c>
      <c r="AE3863">
        <v>542</v>
      </c>
      <c r="AF3863">
        <v>41</v>
      </c>
      <c r="AG3863">
        <v>175</v>
      </c>
      <c r="AH3863">
        <v>129</v>
      </c>
      <c r="AI3863">
        <v>7.56</v>
      </c>
      <c r="AJ3863">
        <v>32.29</v>
      </c>
      <c r="AK3863">
        <v>23.8</v>
      </c>
      <c r="AL3863">
        <v>-20.108146549999962</v>
      </c>
      <c r="AM3863">
        <v>-44.905744943453513</v>
      </c>
      <c r="AN3863">
        <v>-20.108146549999962</v>
      </c>
      <c r="AO3863">
        <v>-44.905744943453513</v>
      </c>
      <c r="AP3863">
        <v>-20.108114</v>
      </c>
      <c r="AQ3863">
        <v>-44.905804000000003</v>
      </c>
      <c r="AR3863">
        <v>7.1582799138071884</v>
      </c>
      <c r="AS3863" t="s">
        <v>65</v>
      </c>
      <c r="AT3863">
        <v>1</v>
      </c>
      <c r="AU3863" t="s">
        <v>1161</v>
      </c>
      <c r="AV3863" t="s">
        <v>1162</v>
      </c>
      <c r="AW3863" t="s">
        <v>60</v>
      </c>
      <c r="AX3863" t="s">
        <v>68</v>
      </c>
      <c r="AY3863" t="s">
        <v>69</v>
      </c>
      <c r="AZ3863" t="b">
        <v>1</v>
      </c>
    </row>
    <row r="3864" spans="1:52" x14ac:dyDescent="0.3">
      <c r="A3864" t="s">
        <v>52</v>
      </c>
      <c r="B3864" t="s">
        <v>53</v>
      </c>
      <c r="C3864" t="s">
        <v>54</v>
      </c>
      <c r="D3864" t="s">
        <v>55</v>
      </c>
      <c r="E3864" t="s">
        <v>2206</v>
      </c>
      <c r="F3864" t="s">
        <v>190</v>
      </c>
      <c r="G3864" t="s">
        <v>1780</v>
      </c>
      <c r="H3864" t="s">
        <v>1781</v>
      </c>
      <c r="I3864" t="s">
        <v>1781</v>
      </c>
      <c r="J3864" t="s">
        <v>60</v>
      </c>
      <c r="K3864" t="s">
        <v>791</v>
      </c>
      <c r="L3864" t="s">
        <v>62</v>
      </c>
      <c r="M3864" t="s">
        <v>791</v>
      </c>
      <c r="N3864" t="s">
        <v>1782</v>
      </c>
      <c r="O3864" t="s">
        <v>283</v>
      </c>
      <c r="P3864">
        <v>-20.111986999999999</v>
      </c>
      <c r="Q3864">
        <v>-44.915275999999999</v>
      </c>
      <c r="R3864" s="2" t="str">
        <f>HYPERLINK("https://www.google.com/maps?q=-20.1119870,-44.9152760","Abrir no Google Maps")</f>
        <v>Abrir no Google Maps</v>
      </c>
      <c r="S3864">
        <v>3</v>
      </c>
      <c r="T3864">
        <v>1467.0043378534899</v>
      </c>
      <c r="U3864">
        <v>4</v>
      </c>
      <c r="V3864">
        <v>0.51798564919768564</v>
      </c>
      <c r="W3864">
        <v>0.85</v>
      </c>
      <c r="X3864">
        <v>0.44028780181803279</v>
      </c>
      <c r="Y3864">
        <v>300</v>
      </c>
      <c r="Z3864">
        <v>1478.329767690894</v>
      </c>
      <c r="AA3864">
        <v>198</v>
      </c>
      <c r="AB3864">
        <v>332</v>
      </c>
      <c r="AC3864">
        <v>536</v>
      </c>
      <c r="AD3864">
        <v>33.19</v>
      </c>
      <c r="AE3864">
        <v>542</v>
      </c>
      <c r="AF3864">
        <v>41</v>
      </c>
      <c r="AG3864">
        <v>175</v>
      </c>
      <c r="AH3864">
        <v>129</v>
      </c>
      <c r="AI3864">
        <v>7.56</v>
      </c>
      <c r="AJ3864">
        <v>32.29</v>
      </c>
      <c r="AK3864">
        <v>23.8</v>
      </c>
      <c r="AL3864">
        <v>-20.11213934999995</v>
      </c>
      <c r="AM3864">
        <v>-44.915112261589371</v>
      </c>
      <c r="AN3864">
        <v>-20.11213934999995</v>
      </c>
      <c r="AO3864">
        <v>-44.915112261589371</v>
      </c>
      <c r="AP3864">
        <v>-20.111986999999999</v>
      </c>
      <c r="AQ3864">
        <v>-44.915275999999999</v>
      </c>
      <c r="AR3864">
        <v>24.095258739308729</v>
      </c>
      <c r="AS3864" t="s">
        <v>65</v>
      </c>
      <c r="AT3864">
        <v>1</v>
      </c>
      <c r="AU3864" t="s">
        <v>1783</v>
      </c>
      <c r="AV3864" t="s">
        <v>1784</v>
      </c>
      <c r="AW3864" t="s">
        <v>60</v>
      </c>
      <c r="AX3864" t="s">
        <v>68</v>
      </c>
      <c r="AY3864" t="s">
        <v>69</v>
      </c>
      <c r="AZ3864" t="b">
        <v>1</v>
      </c>
    </row>
    <row r="3865" spans="1:52" x14ac:dyDescent="0.3">
      <c r="A3865" t="s">
        <v>52</v>
      </c>
      <c r="B3865" t="s">
        <v>53</v>
      </c>
      <c r="C3865" t="s">
        <v>54</v>
      </c>
      <c r="D3865" t="s">
        <v>55</v>
      </c>
      <c r="E3865" t="s">
        <v>2206</v>
      </c>
      <c r="F3865" t="s">
        <v>190</v>
      </c>
      <c r="G3865" t="s">
        <v>1940</v>
      </c>
      <c r="H3865" t="s">
        <v>1941</v>
      </c>
      <c r="I3865" t="s">
        <v>1941</v>
      </c>
      <c r="J3865" t="s">
        <v>60</v>
      </c>
      <c r="K3865" t="s">
        <v>791</v>
      </c>
      <c r="L3865" t="s">
        <v>62</v>
      </c>
      <c r="M3865" t="s">
        <v>791</v>
      </c>
      <c r="N3865" t="s">
        <v>1942</v>
      </c>
      <c r="O3865" t="s">
        <v>1943</v>
      </c>
      <c r="P3865">
        <v>-20.10868</v>
      </c>
      <c r="Q3865">
        <v>-44.914802999999999</v>
      </c>
      <c r="R3865" s="2" t="str">
        <f>HYPERLINK("https://www.google.com/maps?q=-20.1086800,-44.9148030","Abrir no Google Maps")</f>
        <v>Abrir no Google Maps</v>
      </c>
      <c r="S3865">
        <v>3</v>
      </c>
      <c r="T3865">
        <v>1497.818218016964</v>
      </c>
      <c r="U3865">
        <v>4</v>
      </c>
      <c r="V3865">
        <v>0.49999481170527621</v>
      </c>
      <c r="W3865">
        <v>0.85</v>
      </c>
      <c r="X3865">
        <v>0.42499558994948478</v>
      </c>
      <c r="Y3865">
        <v>300</v>
      </c>
      <c r="Z3865">
        <v>1347.8282808622</v>
      </c>
      <c r="AA3865">
        <v>198</v>
      </c>
      <c r="AB3865">
        <v>332</v>
      </c>
      <c r="AC3865">
        <v>536</v>
      </c>
      <c r="AD3865">
        <v>33.19</v>
      </c>
      <c r="AE3865">
        <v>542</v>
      </c>
      <c r="AF3865">
        <v>41</v>
      </c>
      <c r="AG3865">
        <v>175</v>
      </c>
      <c r="AH3865">
        <v>129</v>
      </c>
      <c r="AI3865">
        <v>7.56</v>
      </c>
      <c r="AJ3865">
        <v>32.29</v>
      </c>
      <c r="AK3865">
        <v>23.8</v>
      </c>
      <c r="AL3865">
        <v>-20.108341949999978</v>
      </c>
      <c r="AM3865">
        <v>-44.915063905998323</v>
      </c>
      <c r="AN3865">
        <v>-20.108341949999978</v>
      </c>
      <c r="AO3865">
        <v>-44.915063905998323</v>
      </c>
      <c r="AP3865">
        <v>-20.10868</v>
      </c>
      <c r="AQ3865">
        <v>-44.914802999999999</v>
      </c>
      <c r="AR3865">
        <v>46.47578843967414</v>
      </c>
      <c r="AS3865" t="s">
        <v>65</v>
      </c>
      <c r="AT3865">
        <v>1</v>
      </c>
      <c r="AU3865" t="s">
        <v>1944</v>
      </c>
      <c r="AV3865" t="s">
        <v>1945</v>
      </c>
      <c r="AW3865" t="s">
        <v>60</v>
      </c>
      <c r="AX3865" t="s">
        <v>68</v>
      </c>
      <c r="AY3865" t="s">
        <v>69</v>
      </c>
      <c r="AZ3865" t="b">
        <v>1</v>
      </c>
    </row>
    <row r="3866" spans="1:52" x14ac:dyDescent="0.3">
      <c r="A3866" t="s">
        <v>52</v>
      </c>
      <c r="B3866" t="s">
        <v>53</v>
      </c>
      <c r="C3866" t="s">
        <v>54</v>
      </c>
      <c r="D3866" t="s">
        <v>55</v>
      </c>
      <c r="E3866" t="s">
        <v>2206</v>
      </c>
      <c r="F3866" t="s">
        <v>190</v>
      </c>
      <c r="G3866" t="s">
        <v>1163</v>
      </c>
      <c r="H3866" t="s">
        <v>1164</v>
      </c>
      <c r="I3866" t="s">
        <v>1164</v>
      </c>
      <c r="J3866" t="s">
        <v>60</v>
      </c>
      <c r="K3866" t="s">
        <v>1165</v>
      </c>
      <c r="L3866" t="s">
        <v>62</v>
      </c>
      <c r="M3866" t="s">
        <v>1165</v>
      </c>
      <c r="N3866" t="s">
        <v>1166</v>
      </c>
      <c r="O3866" t="s">
        <v>1167</v>
      </c>
      <c r="P3866">
        <v>-20.155543000000002</v>
      </c>
      <c r="Q3866">
        <v>-44.863444000000001</v>
      </c>
      <c r="R3866" s="2" t="str">
        <f>HYPERLINK("https://www.google.com/maps?q=-20.1555430,-44.8634440","Abrir no Google Maps")</f>
        <v>Abrir no Google Maps</v>
      </c>
      <c r="S3866">
        <v>3</v>
      </c>
      <c r="T3866">
        <v>314.02353400254742</v>
      </c>
      <c r="U3866">
        <v>4</v>
      </c>
      <c r="V3866">
        <v>0.4369435217696056</v>
      </c>
      <c r="W3866">
        <v>1</v>
      </c>
      <c r="X3866">
        <v>0.4369435217696056</v>
      </c>
      <c r="Y3866">
        <v>264</v>
      </c>
      <c r="Z3866">
        <v>282.65065866463459</v>
      </c>
      <c r="AA3866">
        <v>198</v>
      </c>
      <c r="AB3866">
        <v>332</v>
      </c>
      <c r="AC3866">
        <v>536</v>
      </c>
      <c r="AD3866">
        <v>33.19</v>
      </c>
      <c r="AE3866">
        <v>542</v>
      </c>
      <c r="AF3866">
        <v>41</v>
      </c>
      <c r="AG3866">
        <v>175</v>
      </c>
      <c r="AH3866">
        <v>129</v>
      </c>
      <c r="AI3866">
        <v>7.56</v>
      </c>
      <c r="AJ3866">
        <v>32.29</v>
      </c>
      <c r="AK3866">
        <v>23.8</v>
      </c>
      <c r="AL3866">
        <v>-20.155436449999939</v>
      </c>
      <c r="AM3866">
        <v>-44.863557722691183</v>
      </c>
      <c r="AN3866">
        <v>-20.155436449999939</v>
      </c>
      <c r="AO3866">
        <v>-44.863557722691183</v>
      </c>
      <c r="AP3866">
        <v>-20.155543000000002</v>
      </c>
      <c r="AQ3866">
        <v>-44.863444000000001</v>
      </c>
      <c r="AR3866">
        <v>16.790610674079979</v>
      </c>
      <c r="AS3866" t="s">
        <v>65</v>
      </c>
      <c r="AT3866">
        <v>1</v>
      </c>
      <c r="AU3866" t="s">
        <v>1168</v>
      </c>
      <c r="AV3866" t="s">
        <v>1169</v>
      </c>
      <c r="AW3866" t="s">
        <v>60</v>
      </c>
      <c r="AX3866" t="s">
        <v>68</v>
      </c>
      <c r="AY3866" t="s">
        <v>69</v>
      </c>
      <c r="AZ3866" t="b">
        <v>1</v>
      </c>
    </row>
    <row r="3867" spans="1:52" x14ac:dyDescent="0.3">
      <c r="A3867" t="s">
        <v>52</v>
      </c>
      <c r="B3867" t="s">
        <v>53</v>
      </c>
      <c r="C3867" t="s">
        <v>54</v>
      </c>
      <c r="D3867" t="s">
        <v>55</v>
      </c>
      <c r="E3867" t="s">
        <v>2206</v>
      </c>
      <c r="F3867" t="s">
        <v>190</v>
      </c>
      <c r="G3867" t="s">
        <v>1785</v>
      </c>
      <c r="H3867" t="s">
        <v>1786</v>
      </c>
      <c r="I3867" t="s">
        <v>1786</v>
      </c>
      <c r="J3867" t="s">
        <v>60</v>
      </c>
      <c r="K3867" t="s">
        <v>323</v>
      </c>
      <c r="L3867" t="s">
        <v>62</v>
      </c>
      <c r="M3867" t="s">
        <v>323</v>
      </c>
      <c r="N3867" t="s">
        <v>1787</v>
      </c>
      <c r="O3867" t="s">
        <v>166</v>
      </c>
      <c r="P3867">
        <v>-20.150456999999999</v>
      </c>
      <c r="Q3867">
        <v>-44.859959000000003</v>
      </c>
      <c r="R3867" s="2" t="str">
        <f>HYPERLINK("https://www.google.com/maps?q=-20.1504570,-44.8599590","Abrir no Google Maps")</f>
        <v>Abrir no Google Maps</v>
      </c>
      <c r="S3867">
        <v>3</v>
      </c>
      <c r="T3867">
        <v>658.64381182775185</v>
      </c>
      <c r="U3867">
        <v>4</v>
      </c>
      <c r="V3867">
        <v>0.47852131432628331</v>
      </c>
      <c r="W3867">
        <v>1</v>
      </c>
      <c r="X3867">
        <v>0.47852131432628331</v>
      </c>
      <c r="Y3867">
        <v>264</v>
      </c>
      <c r="Z3867">
        <v>516.83560872131818</v>
      </c>
      <c r="AA3867">
        <v>198</v>
      </c>
      <c r="AB3867">
        <v>332</v>
      </c>
      <c r="AC3867">
        <v>536</v>
      </c>
      <c r="AD3867">
        <v>33.19</v>
      </c>
      <c r="AE3867">
        <v>542</v>
      </c>
      <c r="AF3867">
        <v>41</v>
      </c>
      <c r="AG3867">
        <v>175</v>
      </c>
      <c r="AH3867">
        <v>129</v>
      </c>
      <c r="AI3867">
        <v>7.56</v>
      </c>
      <c r="AJ3867">
        <v>32.29</v>
      </c>
      <c r="AK3867">
        <v>23.8</v>
      </c>
      <c r="AL3867">
        <v>-20.150445899999969</v>
      </c>
      <c r="AM3867">
        <v>-44.860119388819953</v>
      </c>
      <c r="AN3867">
        <v>-20.150445899999969</v>
      </c>
      <c r="AO3867">
        <v>-44.860119388819953</v>
      </c>
      <c r="AP3867">
        <v>-20.150456999999999</v>
      </c>
      <c r="AQ3867">
        <v>-44.859959000000003</v>
      </c>
      <c r="AR3867">
        <v>16.807117810283469</v>
      </c>
      <c r="AS3867" t="s">
        <v>65</v>
      </c>
      <c r="AT3867">
        <v>1</v>
      </c>
      <c r="AU3867" t="s">
        <v>1788</v>
      </c>
      <c r="AV3867" t="s">
        <v>1789</v>
      </c>
      <c r="AW3867" t="s">
        <v>60</v>
      </c>
      <c r="AX3867" t="s">
        <v>68</v>
      </c>
      <c r="AY3867" t="s">
        <v>69</v>
      </c>
      <c r="AZ3867" t="b">
        <v>1</v>
      </c>
    </row>
    <row r="3868" spans="1:52" x14ac:dyDescent="0.3">
      <c r="A3868" t="s">
        <v>52</v>
      </c>
      <c r="B3868" t="s">
        <v>53</v>
      </c>
      <c r="C3868" t="s">
        <v>54</v>
      </c>
      <c r="D3868" t="s">
        <v>55</v>
      </c>
      <c r="E3868" t="s">
        <v>2206</v>
      </c>
      <c r="F3868" t="s">
        <v>190</v>
      </c>
      <c r="G3868" t="s">
        <v>1170</v>
      </c>
      <c r="H3868" t="s">
        <v>1171</v>
      </c>
      <c r="I3868" t="s">
        <v>1171</v>
      </c>
      <c r="J3868" t="s">
        <v>60</v>
      </c>
      <c r="K3868" t="s">
        <v>1165</v>
      </c>
      <c r="L3868" t="s">
        <v>62</v>
      </c>
      <c r="M3868" t="s">
        <v>1165</v>
      </c>
      <c r="N3868" t="s">
        <v>1172</v>
      </c>
      <c r="O3868" t="s">
        <v>1160</v>
      </c>
      <c r="P3868">
        <v>-20.158208999999999</v>
      </c>
      <c r="Q3868">
        <v>-44.865242000000002</v>
      </c>
      <c r="R3868" s="2" t="str">
        <f>HYPERLINK("https://www.google.com/maps?q=-20.1582090,-44.8652420","Abrir no Google Maps")</f>
        <v>Abrir no Google Maps</v>
      </c>
      <c r="S3868">
        <v>3</v>
      </c>
      <c r="T3868">
        <v>529.55269054560301</v>
      </c>
      <c r="U3868">
        <v>4</v>
      </c>
      <c r="V3868">
        <v>0.43150770750180678</v>
      </c>
      <c r="W3868">
        <v>1</v>
      </c>
      <c r="X3868">
        <v>0.43150770750180678</v>
      </c>
      <c r="Y3868">
        <v>264</v>
      </c>
      <c r="Z3868">
        <v>576.82525833351326</v>
      </c>
      <c r="AA3868">
        <v>198</v>
      </c>
      <c r="AB3868">
        <v>332</v>
      </c>
      <c r="AC3868">
        <v>536</v>
      </c>
      <c r="AD3868">
        <v>33.19</v>
      </c>
      <c r="AE3868">
        <v>542</v>
      </c>
      <c r="AF3868">
        <v>41</v>
      </c>
      <c r="AG3868">
        <v>175</v>
      </c>
      <c r="AH3868">
        <v>129</v>
      </c>
      <c r="AI3868">
        <v>7.56</v>
      </c>
      <c r="AJ3868">
        <v>32.29</v>
      </c>
      <c r="AK3868">
        <v>23.8</v>
      </c>
      <c r="AL3868">
        <v>-20.15813384999996</v>
      </c>
      <c r="AM3868">
        <v>-44.865189279062598</v>
      </c>
      <c r="AN3868">
        <v>-20.15813384999996</v>
      </c>
      <c r="AO3868">
        <v>-44.865189279062598</v>
      </c>
      <c r="AP3868">
        <v>-20.158208999999999</v>
      </c>
      <c r="AQ3868">
        <v>-44.865242000000002</v>
      </c>
      <c r="AR3868">
        <v>10.01690313145691</v>
      </c>
      <c r="AS3868" t="s">
        <v>65</v>
      </c>
      <c r="AT3868">
        <v>1</v>
      </c>
      <c r="AU3868" t="s">
        <v>1173</v>
      </c>
      <c r="AV3868" t="s">
        <v>1174</v>
      </c>
      <c r="AW3868" t="s">
        <v>60</v>
      </c>
      <c r="AX3868" t="s">
        <v>68</v>
      </c>
      <c r="AY3868" t="s">
        <v>69</v>
      </c>
      <c r="AZ3868" t="b">
        <v>1</v>
      </c>
    </row>
    <row r="3869" spans="1:52" x14ac:dyDescent="0.3">
      <c r="A3869" t="s">
        <v>52</v>
      </c>
      <c r="B3869" t="s">
        <v>53</v>
      </c>
      <c r="C3869" t="s">
        <v>54</v>
      </c>
      <c r="D3869" t="s">
        <v>55</v>
      </c>
      <c r="E3869" t="s">
        <v>2206</v>
      </c>
      <c r="F3869" t="s">
        <v>190</v>
      </c>
      <c r="G3869" t="s">
        <v>1175</v>
      </c>
      <c r="H3869" t="s">
        <v>1176</v>
      </c>
      <c r="I3869" t="s">
        <v>1176</v>
      </c>
      <c r="J3869" t="s">
        <v>60</v>
      </c>
      <c r="K3869" t="s">
        <v>1177</v>
      </c>
      <c r="L3869" t="s">
        <v>62</v>
      </c>
      <c r="M3869" t="s">
        <v>1177</v>
      </c>
      <c r="N3869" t="s">
        <v>1178</v>
      </c>
      <c r="O3869" t="s">
        <v>1179</v>
      </c>
      <c r="P3869">
        <v>-20.153393000000001</v>
      </c>
      <c r="Q3869">
        <v>-44.865701999999999</v>
      </c>
      <c r="R3869" s="2" t="str">
        <f>HYPERLINK("https://www.google.com/maps?q=-20.1533930,-44.8657020","Abrir no Google Maps")</f>
        <v>Abrir no Google Maps</v>
      </c>
      <c r="S3869">
        <v>3</v>
      </c>
      <c r="T3869">
        <v>0</v>
      </c>
      <c r="U3869">
        <v>4</v>
      </c>
      <c r="V3869">
        <v>0.44899065868239468</v>
      </c>
      <c r="W3869">
        <v>1</v>
      </c>
      <c r="X3869">
        <v>0.44899065868239468</v>
      </c>
      <c r="Y3869">
        <v>264</v>
      </c>
      <c r="Z3869">
        <v>187.61117597536</v>
      </c>
      <c r="AA3869">
        <v>198</v>
      </c>
      <c r="AB3869">
        <v>332</v>
      </c>
      <c r="AC3869">
        <v>536</v>
      </c>
      <c r="AD3869">
        <v>33.19</v>
      </c>
      <c r="AE3869">
        <v>542</v>
      </c>
      <c r="AF3869">
        <v>41</v>
      </c>
      <c r="AG3869">
        <v>175</v>
      </c>
      <c r="AH3869">
        <v>129</v>
      </c>
      <c r="AI3869">
        <v>7.56</v>
      </c>
      <c r="AJ3869">
        <v>32.29</v>
      </c>
      <c r="AK3869">
        <v>23.8</v>
      </c>
      <c r="AL3869">
        <v>-20.153365199999971</v>
      </c>
      <c r="AM3869">
        <v>-44.865611713780503</v>
      </c>
      <c r="AN3869">
        <v>-20.153365199999971</v>
      </c>
      <c r="AO3869">
        <v>-44.865611713780503</v>
      </c>
      <c r="AP3869">
        <v>-20.153393000000001</v>
      </c>
      <c r="AQ3869">
        <v>-44.865701999999999</v>
      </c>
      <c r="AR3869">
        <v>9.9298532940923003</v>
      </c>
      <c r="AS3869" t="s">
        <v>65</v>
      </c>
      <c r="AT3869">
        <v>1</v>
      </c>
      <c r="AU3869" t="s">
        <v>1180</v>
      </c>
      <c r="AV3869" t="s">
        <v>1181</v>
      </c>
      <c r="AW3869" t="s">
        <v>60</v>
      </c>
      <c r="AX3869" t="s">
        <v>68</v>
      </c>
      <c r="AY3869" t="s">
        <v>69</v>
      </c>
      <c r="AZ3869" t="b">
        <v>1</v>
      </c>
    </row>
    <row r="3870" spans="1:52" x14ac:dyDescent="0.3">
      <c r="A3870" t="s">
        <v>52</v>
      </c>
      <c r="B3870" t="s">
        <v>53</v>
      </c>
      <c r="C3870" t="s">
        <v>54</v>
      </c>
      <c r="D3870" t="s">
        <v>55</v>
      </c>
      <c r="E3870" t="s">
        <v>2206</v>
      </c>
      <c r="F3870" t="s">
        <v>190</v>
      </c>
      <c r="G3870" t="s">
        <v>1187</v>
      </c>
      <c r="H3870" t="s">
        <v>1188</v>
      </c>
      <c r="I3870" t="s">
        <v>1188</v>
      </c>
      <c r="J3870" t="s">
        <v>60</v>
      </c>
      <c r="K3870" t="s">
        <v>1177</v>
      </c>
      <c r="L3870" t="s">
        <v>62</v>
      </c>
      <c r="M3870" t="s">
        <v>1177</v>
      </c>
      <c r="N3870" t="s">
        <v>1189</v>
      </c>
      <c r="O3870" t="s">
        <v>1190</v>
      </c>
      <c r="P3870">
        <v>-20.151606999999998</v>
      </c>
      <c r="Q3870">
        <v>-44.870784999999998</v>
      </c>
      <c r="R3870" s="2" t="str">
        <f>HYPERLINK("https://www.google.com/maps?q=-20.1516070,-44.8707850","Abrir no Google Maps")</f>
        <v>Abrir no Google Maps</v>
      </c>
      <c r="S3870">
        <v>3</v>
      </c>
      <c r="T3870">
        <v>592.7601508996878</v>
      </c>
      <c r="U3870">
        <v>4</v>
      </c>
      <c r="V3870">
        <v>0.42643333867395838</v>
      </c>
      <c r="W3870">
        <v>1</v>
      </c>
      <c r="X3870">
        <v>0.42643333867395838</v>
      </c>
      <c r="Y3870">
        <v>198</v>
      </c>
      <c r="Z3870">
        <v>605.75141653963317</v>
      </c>
      <c r="AA3870">
        <v>198</v>
      </c>
      <c r="AB3870">
        <v>332</v>
      </c>
      <c r="AC3870">
        <v>536</v>
      </c>
      <c r="AD3870">
        <v>33.19</v>
      </c>
      <c r="AE3870">
        <v>542</v>
      </c>
      <c r="AF3870">
        <v>41</v>
      </c>
      <c r="AG3870">
        <v>175</v>
      </c>
      <c r="AH3870">
        <v>129</v>
      </c>
      <c r="AI3870">
        <v>7.56</v>
      </c>
      <c r="AJ3870">
        <v>32.29</v>
      </c>
      <c r="AK3870">
        <v>23.8</v>
      </c>
      <c r="AL3870">
        <v>-20.151457849999961</v>
      </c>
      <c r="AM3870">
        <v>-44.870912038726253</v>
      </c>
      <c r="AN3870">
        <v>-20.151457849999961</v>
      </c>
      <c r="AO3870">
        <v>-44.870912038726253</v>
      </c>
      <c r="AP3870">
        <v>-20.151606999999998</v>
      </c>
      <c r="AQ3870">
        <v>-44.870784999999998</v>
      </c>
      <c r="AR3870">
        <v>21.258671186047941</v>
      </c>
      <c r="AS3870" t="s">
        <v>65</v>
      </c>
      <c r="AT3870">
        <v>1</v>
      </c>
      <c r="AU3870" t="s">
        <v>1191</v>
      </c>
      <c r="AV3870" t="s">
        <v>1192</v>
      </c>
      <c r="AW3870" t="s">
        <v>60</v>
      </c>
      <c r="AX3870" t="s">
        <v>68</v>
      </c>
      <c r="AY3870" t="s">
        <v>69</v>
      </c>
      <c r="AZ3870" t="b">
        <v>1</v>
      </c>
    </row>
    <row r="3871" spans="1:52" x14ac:dyDescent="0.3">
      <c r="A3871" t="s">
        <v>52</v>
      </c>
      <c r="B3871" t="s">
        <v>53</v>
      </c>
      <c r="C3871" t="s">
        <v>54</v>
      </c>
      <c r="D3871" t="s">
        <v>55</v>
      </c>
      <c r="E3871" t="s">
        <v>2206</v>
      </c>
      <c r="F3871" t="s">
        <v>190</v>
      </c>
      <c r="G3871" t="s">
        <v>1790</v>
      </c>
      <c r="H3871" t="s">
        <v>1791</v>
      </c>
      <c r="I3871" t="s">
        <v>1791</v>
      </c>
      <c r="J3871" t="s">
        <v>60</v>
      </c>
      <c r="K3871" t="s">
        <v>781</v>
      </c>
      <c r="L3871" t="s">
        <v>62</v>
      </c>
      <c r="M3871" t="s">
        <v>781</v>
      </c>
      <c r="N3871" t="s">
        <v>1792</v>
      </c>
      <c r="O3871" t="s">
        <v>1438</v>
      </c>
      <c r="P3871">
        <v>-20.140640999999999</v>
      </c>
      <c r="Q3871">
        <v>-44.865606999999997</v>
      </c>
      <c r="R3871" s="2" t="str">
        <f>HYPERLINK("https://www.google.com/maps?q=-20.1406410,-44.8656070","Abrir no Google Maps")</f>
        <v>Abrir no Google Maps</v>
      </c>
      <c r="S3871">
        <v>3</v>
      </c>
      <c r="T3871">
        <v>718.83674500124857</v>
      </c>
      <c r="U3871">
        <v>4</v>
      </c>
      <c r="V3871">
        <v>0.44036427285822971</v>
      </c>
      <c r="W3871">
        <v>1</v>
      </c>
      <c r="X3871">
        <v>0.44036427285822971</v>
      </c>
      <c r="Y3871">
        <v>198</v>
      </c>
      <c r="Z3871">
        <v>796.27455839490824</v>
      </c>
      <c r="AA3871">
        <v>198</v>
      </c>
      <c r="AB3871">
        <v>332</v>
      </c>
      <c r="AC3871">
        <v>536</v>
      </c>
      <c r="AD3871">
        <v>33.19</v>
      </c>
      <c r="AE3871">
        <v>542</v>
      </c>
      <c r="AF3871">
        <v>41</v>
      </c>
      <c r="AG3871">
        <v>175</v>
      </c>
      <c r="AH3871">
        <v>129</v>
      </c>
      <c r="AI3871">
        <v>7.56</v>
      </c>
      <c r="AJ3871">
        <v>32.29</v>
      </c>
      <c r="AK3871">
        <v>23.8</v>
      </c>
      <c r="AL3871">
        <v>-20.14068544999995</v>
      </c>
      <c r="AM3871">
        <v>-44.865682971258813</v>
      </c>
      <c r="AN3871">
        <v>-20.140685449999939</v>
      </c>
      <c r="AO3871">
        <v>-44.865682971258813</v>
      </c>
      <c r="AP3871">
        <v>-20.140640999999999</v>
      </c>
      <c r="AQ3871">
        <v>-44.865606999999997</v>
      </c>
      <c r="AR3871">
        <v>9.3556137916774258</v>
      </c>
      <c r="AS3871" t="s">
        <v>65</v>
      </c>
      <c r="AT3871">
        <v>1</v>
      </c>
      <c r="AU3871" t="s">
        <v>1793</v>
      </c>
      <c r="AV3871" t="s">
        <v>1794</v>
      </c>
      <c r="AW3871" t="s">
        <v>60</v>
      </c>
      <c r="AX3871" t="s">
        <v>68</v>
      </c>
      <c r="AY3871" t="s">
        <v>69</v>
      </c>
      <c r="AZ3871" t="b">
        <v>1</v>
      </c>
    </row>
    <row r="3872" spans="1:52" x14ac:dyDescent="0.3">
      <c r="A3872" t="s">
        <v>52</v>
      </c>
      <c r="B3872" t="s">
        <v>53</v>
      </c>
      <c r="C3872" t="s">
        <v>54</v>
      </c>
      <c r="D3872" t="s">
        <v>55</v>
      </c>
      <c r="E3872" t="s">
        <v>2206</v>
      </c>
      <c r="F3872" t="s">
        <v>190</v>
      </c>
      <c r="G3872" t="s">
        <v>1193</v>
      </c>
      <c r="H3872" t="s">
        <v>1194</v>
      </c>
      <c r="I3872" t="s">
        <v>1194</v>
      </c>
      <c r="J3872" t="s">
        <v>60</v>
      </c>
      <c r="K3872" t="s">
        <v>1195</v>
      </c>
      <c r="L3872" t="s">
        <v>62</v>
      </c>
      <c r="M3872" t="s">
        <v>1195</v>
      </c>
      <c r="N3872" t="s">
        <v>1196</v>
      </c>
      <c r="O3872" t="s">
        <v>1197</v>
      </c>
      <c r="P3872">
        <v>-20.105342</v>
      </c>
      <c r="Q3872">
        <v>-44.964716000000003</v>
      </c>
      <c r="R3872" s="2" t="str">
        <f>HYPERLINK("https://www.google.com/maps?q=-20.1053420,-44.9647160","Abrir no Google Maps")</f>
        <v>Abrir no Google Maps</v>
      </c>
      <c r="S3872">
        <v>3</v>
      </c>
      <c r="T3872">
        <v>893.28710125086457</v>
      </c>
      <c r="U3872">
        <v>4</v>
      </c>
      <c r="V3872">
        <v>0.44069648902294961</v>
      </c>
      <c r="W3872">
        <v>1</v>
      </c>
      <c r="X3872">
        <v>0.44069648902294961</v>
      </c>
      <c r="Y3872">
        <v>187</v>
      </c>
      <c r="Z3872">
        <v>592.18957175243293</v>
      </c>
      <c r="AA3872">
        <v>198</v>
      </c>
      <c r="AB3872">
        <v>332</v>
      </c>
      <c r="AC3872">
        <v>536</v>
      </c>
      <c r="AD3872">
        <v>33.19</v>
      </c>
      <c r="AE3872">
        <v>542</v>
      </c>
      <c r="AF3872">
        <v>41</v>
      </c>
      <c r="AG3872">
        <v>175</v>
      </c>
      <c r="AH3872">
        <v>129</v>
      </c>
      <c r="AI3872">
        <v>7.56</v>
      </c>
      <c r="AJ3872">
        <v>32.29</v>
      </c>
      <c r="AK3872">
        <v>23.8</v>
      </c>
      <c r="AL3872">
        <v>-20.105505699999949</v>
      </c>
      <c r="AM3872">
        <v>-44.964494228377532</v>
      </c>
      <c r="AN3872">
        <v>-20.105505699999949</v>
      </c>
      <c r="AO3872">
        <v>-44.964494228377532</v>
      </c>
      <c r="AP3872">
        <v>-20.105342</v>
      </c>
      <c r="AQ3872">
        <v>-44.964716000000003</v>
      </c>
      <c r="AR3872">
        <v>29.48797728637869</v>
      </c>
      <c r="AS3872" t="s">
        <v>65</v>
      </c>
      <c r="AT3872">
        <v>1</v>
      </c>
      <c r="AU3872" t="s">
        <v>1198</v>
      </c>
      <c r="AV3872" t="s">
        <v>1199</v>
      </c>
      <c r="AW3872" t="s">
        <v>60</v>
      </c>
      <c r="AX3872" t="s">
        <v>68</v>
      </c>
      <c r="AY3872" t="s">
        <v>69</v>
      </c>
      <c r="AZ3872" t="b">
        <v>1</v>
      </c>
    </row>
    <row r="3873" spans="1:52" x14ac:dyDescent="0.3">
      <c r="A3873" t="s">
        <v>52</v>
      </c>
      <c r="B3873" t="s">
        <v>53</v>
      </c>
      <c r="C3873" t="s">
        <v>54</v>
      </c>
      <c r="D3873" t="s">
        <v>55</v>
      </c>
      <c r="E3873" t="s">
        <v>2206</v>
      </c>
      <c r="F3873" t="s">
        <v>190</v>
      </c>
      <c r="G3873" t="s">
        <v>1966</v>
      </c>
      <c r="H3873" t="s">
        <v>1967</v>
      </c>
      <c r="I3873" t="s">
        <v>1967</v>
      </c>
      <c r="J3873" t="s">
        <v>60</v>
      </c>
      <c r="K3873" t="s">
        <v>1968</v>
      </c>
      <c r="L3873" t="s">
        <v>62</v>
      </c>
      <c r="M3873" t="s">
        <v>1968</v>
      </c>
      <c r="N3873" t="s">
        <v>1969</v>
      </c>
      <c r="O3873" t="s">
        <v>1476</v>
      </c>
      <c r="P3873">
        <v>-20.197641999999998</v>
      </c>
      <c r="Q3873">
        <v>-44.916038</v>
      </c>
      <c r="R3873" s="2" t="str">
        <f>HYPERLINK("https://www.google.com/maps?q=-20.1976420,-44.9160380","Abrir no Google Maps")</f>
        <v>Abrir no Google Maps</v>
      </c>
      <c r="S3873">
        <v>3</v>
      </c>
      <c r="T3873">
        <v>1439.13475701932</v>
      </c>
      <c r="U3873">
        <v>4</v>
      </c>
      <c r="V3873">
        <v>0.50513386370681035</v>
      </c>
      <c r="W3873">
        <v>0.85</v>
      </c>
      <c r="X3873">
        <v>0.4293637841507888</v>
      </c>
      <c r="Y3873">
        <v>135</v>
      </c>
      <c r="Z3873">
        <v>1733.8683911476401</v>
      </c>
      <c r="AA3873">
        <v>198</v>
      </c>
      <c r="AB3873">
        <v>332</v>
      </c>
      <c r="AC3873">
        <v>536</v>
      </c>
      <c r="AD3873">
        <v>33.19</v>
      </c>
      <c r="AE3873">
        <v>542</v>
      </c>
      <c r="AF3873">
        <v>41</v>
      </c>
      <c r="AG3873">
        <v>175</v>
      </c>
      <c r="AH3873">
        <v>129</v>
      </c>
      <c r="AI3873">
        <v>7.56</v>
      </c>
      <c r="AJ3873">
        <v>32.29</v>
      </c>
      <c r="AK3873">
        <v>23.8</v>
      </c>
      <c r="AL3873">
        <v>-20.19762214999994</v>
      </c>
      <c r="AM3873">
        <v>-44.916074568962941</v>
      </c>
      <c r="AN3873">
        <v>-20.19762214999994</v>
      </c>
      <c r="AO3873">
        <v>-44.916074568962941</v>
      </c>
      <c r="AP3873">
        <v>-20.197641999999998</v>
      </c>
      <c r="AQ3873">
        <v>-44.916038</v>
      </c>
      <c r="AR3873">
        <v>4.4135276350484256</v>
      </c>
      <c r="AS3873" t="s">
        <v>65</v>
      </c>
      <c r="AT3873">
        <v>1</v>
      </c>
      <c r="AU3873" t="s">
        <v>1970</v>
      </c>
      <c r="AV3873" t="s">
        <v>1971</v>
      </c>
      <c r="AW3873" t="s">
        <v>60</v>
      </c>
      <c r="AX3873" t="s">
        <v>68</v>
      </c>
      <c r="AY3873" t="s">
        <v>69</v>
      </c>
      <c r="AZ3873" t="b">
        <v>1</v>
      </c>
    </row>
    <row r="3874" spans="1:52" x14ac:dyDescent="0.3">
      <c r="A3874" t="s">
        <v>52</v>
      </c>
      <c r="B3874" t="s">
        <v>53</v>
      </c>
      <c r="C3874" t="s">
        <v>54</v>
      </c>
      <c r="D3874" t="s">
        <v>55</v>
      </c>
      <c r="E3874" t="s">
        <v>2206</v>
      </c>
      <c r="F3874" t="s">
        <v>190</v>
      </c>
      <c r="G3874" t="s">
        <v>1200</v>
      </c>
      <c r="H3874" t="s">
        <v>1201</v>
      </c>
      <c r="I3874" t="s">
        <v>1201</v>
      </c>
      <c r="J3874" t="s">
        <v>60</v>
      </c>
      <c r="K3874" t="s">
        <v>1202</v>
      </c>
      <c r="L3874" t="s">
        <v>62</v>
      </c>
      <c r="M3874" t="s">
        <v>1202</v>
      </c>
      <c r="N3874" t="s">
        <v>1203</v>
      </c>
      <c r="O3874" t="s">
        <v>710</v>
      </c>
      <c r="P3874">
        <v>-20.191745999999998</v>
      </c>
      <c r="Q3874">
        <v>-44.904957000000003</v>
      </c>
      <c r="R3874" s="2" t="str">
        <f>HYPERLINK("https://www.google.com/maps?q=-20.1917460,-44.9049570","Abrir no Google Maps")</f>
        <v>Abrir no Google Maps</v>
      </c>
      <c r="S3874">
        <v>3</v>
      </c>
      <c r="T3874">
        <v>882.9384716293963</v>
      </c>
      <c r="U3874">
        <v>4</v>
      </c>
      <c r="V3874">
        <v>0.46389004233245668</v>
      </c>
      <c r="W3874">
        <v>1</v>
      </c>
      <c r="X3874">
        <v>0.46389004233245668</v>
      </c>
      <c r="Y3874">
        <v>135</v>
      </c>
      <c r="Z3874">
        <v>802.45927673397398</v>
      </c>
      <c r="AA3874">
        <v>198</v>
      </c>
      <c r="AB3874">
        <v>332</v>
      </c>
      <c r="AC3874">
        <v>536</v>
      </c>
      <c r="AD3874">
        <v>33.19</v>
      </c>
      <c r="AE3874">
        <v>542</v>
      </c>
      <c r="AF3874">
        <v>41</v>
      </c>
      <c r="AG3874">
        <v>175</v>
      </c>
      <c r="AH3874">
        <v>129</v>
      </c>
      <c r="AI3874">
        <v>7.56</v>
      </c>
      <c r="AJ3874">
        <v>32.29</v>
      </c>
      <c r="AK3874">
        <v>23.8</v>
      </c>
      <c r="AL3874">
        <v>-20.19172654999997</v>
      </c>
      <c r="AM3874">
        <v>-44.904976932073851</v>
      </c>
      <c r="AN3874">
        <v>-20.19172654999997</v>
      </c>
      <c r="AO3874">
        <v>-44.904976932073851</v>
      </c>
      <c r="AP3874">
        <v>-20.191745999999998</v>
      </c>
      <c r="AQ3874">
        <v>-44.904957000000003</v>
      </c>
      <c r="AR3874">
        <v>3.004110632807953</v>
      </c>
      <c r="AS3874" t="s">
        <v>65</v>
      </c>
      <c r="AT3874">
        <v>1</v>
      </c>
      <c r="AU3874" t="s">
        <v>1204</v>
      </c>
      <c r="AV3874" t="s">
        <v>1205</v>
      </c>
      <c r="AW3874" t="s">
        <v>60</v>
      </c>
      <c r="AX3874" t="s">
        <v>68</v>
      </c>
      <c r="AY3874" t="s">
        <v>69</v>
      </c>
      <c r="AZ3874" t="b">
        <v>1</v>
      </c>
    </row>
    <row r="3875" spans="1:52" x14ac:dyDescent="0.3">
      <c r="A3875" t="s">
        <v>52</v>
      </c>
      <c r="B3875" t="s">
        <v>53</v>
      </c>
      <c r="C3875" t="s">
        <v>54</v>
      </c>
      <c r="D3875" t="s">
        <v>55</v>
      </c>
      <c r="E3875" t="s">
        <v>2206</v>
      </c>
      <c r="F3875" t="s">
        <v>190</v>
      </c>
      <c r="G3875" t="s">
        <v>1978</v>
      </c>
      <c r="H3875" t="s">
        <v>1979</v>
      </c>
      <c r="I3875" t="s">
        <v>1979</v>
      </c>
      <c r="J3875" t="s">
        <v>60</v>
      </c>
      <c r="K3875" t="s">
        <v>822</v>
      </c>
      <c r="L3875" t="s">
        <v>62</v>
      </c>
      <c r="M3875" t="s">
        <v>822</v>
      </c>
      <c r="N3875" t="s">
        <v>1980</v>
      </c>
      <c r="O3875" t="s">
        <v>1981</v>
      </c>
      <c r="P3875">
        <v>-20.183568000000001</v>
      </c>
      <c r="Q3875">
        <v>-44.904950999999997</v>
      </c>
      <c r="R3875" s="2" t="str">
        <f>HYPERLINK("https://www.google.com/maps?q=-20.1835680,-44.9049510","Abrir no Google Maps")</f>
        <v>Abrir no Google Maps</v>
      </c>
      <c r="S3875">
        <v>3</v>
      </c>
      <c r="T3875">
        <v>739.49865836455649</v>
      </c>
      <c r="U3875">
        <v>4</v>
      </c>
      <c r="V3875">
        <v>0.49359932885851759</v>
      </c>
      <c r="W3875">
        <v>0.85</v>
      </c>
      <c r="X3875">
        <v>0.41955942952974001</v>
      </c>
      <c r="Y3875">
        <v>135</v>
      </c>
      <c r="Z3875">
        <v>563.62602480507815</v>
      </c>
      <c r="AA3875">
        <v>198</v>
      </c>
      <c r="AB3875">
        <v>332</v>
      </c>
      <c r="AC3875">
        <v>536</v>
      </c>
      <c r="AD3875">
        <v>33.19</v>
      </c>
      <c r="AE3875">
        <v>542</v>
      </c>
      <c r="AF3875">
        <v>41</v>
      </c>
      <c r="AG3875">
        <v>175</v>
      </c>
      <c r="AH3875">
        <v>129</v>
      </c>
      <c r="AI3875">
        <v>7.56</v>
      </c>
      <c r="AJ3875">
        <v>32.29</v>
      </c>
      <c r="AK3875">
        <v>23.8</v>
      </c>
      <c r="AL3875">
        <v>-20.18318414999996</v>
      </c>
      <c r="AM3875">
        <v>-44.903984104996781</v>
      </c>
      <c r="AN3875">
        <v>-20.18318414999996</v>
      </c>
      <c r="AO3875">
        <v>-44.903984104996781</v>
      </c>
      <c r="AP3875">
        <v>-20.183568000000001</v>
      </c>
      <c r="AQ3875">
        <v>-44.904950999999997</v>
      </c>
      <c r="AR3875">
        <v>109.69044287201569</v>
      </c>
      <c r="AS3875" t="s">
        <v>65</v>
      </c>
      <c r="AT3875">
        <v>1</v>
      </c>
      <c r="AU3875" t="s">
        <v>1982</v>
      </c>
      <c r="AV3875" t="s">
        <v>1983</v>
      </c>
      <c r="AW3875" t="s">
        <v>60</v>
      </c>
      <c r="AX3875" t="s">
        <v>68</v>
      </c>
      <c r="AY3875" t="s">
        <v>69</v>
      </c>
      <c r="AZ3875" t="b">
        <v>1</v>
      </c>
    </row>
    <row r="3876" spans="1:52" x14ac:dyDescent="0.3">
      <c r="A3876" t="s">
        <v>52</v>
      </c>
      <c r="B3876" t="s">
        <v>53</v>
      </c>
      <c r="C3876" t="s">
        <v>54</v>
      </c>
      <c r="D3876" t="s">
        <v>55</v>
      </c>
      <c r="E3876" t="s">
        <v>2206</v>
      </c>
      <c r="F3876" t="s">
        <v>190</v>
      </c>
      <c r="G3876" t="s">
        <v>1795</v>
      </c>
      <c r="H3876" t="s">
        <v>1796</v>
      </c>
      <c r="I3876" t="s">
        <v>1796</v>
      </c>
      <c r="J3876" t="s">
        <v>60</v>
      </c>
      <c r="K3876" t="s">
        <v>1797</v>
      </c>
      <c r="L3876" t="s">
        <v>62</v>
      </c>
      <c r="M3876" t="s">
        <v>1797</v>
      </c>
      <c r="N3876" t="s">
        <v>1798</v>
      </c>
      <c r="O3876" t="s">
        <v>166</v>
      </c>
      <c r="P3876">
        <v>-20.137136999999999</v>
      </c>
      <c r="Q3876">
        <v>-44.844737000000002</v>
      </c>
      <c r="R3876" s="2" t="str">
        <f>HYPERLINK("https://www.google.com/maps?q=-20.1371370,-44.8447370","Abrir no Google Maps")</f>
        <v>Abrir no Google Maps</v>
      </c>
      <c r="S3876">
        <v>3</v>
      </c>
      <c r="T3876">
        <v>1265.572541081038</v>
      </c>
      <c r="U3876">
        <v>4</v>
      </c>
      <c r="V3876">
        <v>0.50708781935418068</v>
      </c>
      <c r="W3876">
        <v>0.85</v>
      </c>
      <c r="X3876">
        <v>0.43102464645105348</v>
      </c>
      <c r="Y3876">
        <v>118</v>
      </c>
      <c r="Z3876">
        <v>1247.9681773794671</v>
      </c>
      <c r="AA3876">
        <v>198</v>
      </c>
      <c r="AB3876">
        <v>332</v>
      </c>
      <c r="AC3876">
        <v>536</v>
      </c>
      <c r="AD3876">
        <v>33.19</v>
      </c>
      <c r="AE3876">
        <v>542</v>
      </c>
      <c r="AF3876">
        <v>41</v>
      </c>
      <c r="AG3876">
        <v>175</v>
      </c>
      <c r="AH3876">
        <v>129</v>
      </c>
      <c r="AI3876">
        <v>7.56</v>
      </c>
      <c r="AJ3876">
        <v>32.29</v>
      </c>
      <c r="AK3876">
        <v>23.8</v>
      </c>
      <c r="AL3876">
        <v>-20.137060849999951</v>
      </c>
      <c r="AM3876">
        <v>-44.844683186696408</v>
      </c>
      <c r="AN3876">
        <v>-20.137060849999951</v>
      </c>
      <c r="AO3876">
        <v>-44.844683186696408</v>
      </c>
      <c r="AP3876">
        <v>-20.137136999999999</v>
      </c>
      <c r="AQ3876">
        <v>-44.844737000000002</v>
      </c>
      <c r="AR3876">
        <v>10.173135199564809</v>
      </c>
      <c r="AS3876" t="s">
        <v>65</v>
      </c>
      <c r="AT3876">
        <v>1</v>
      </c>
      <c r="AU3876" t="s">
        <v>1799</v>
      </c>
      <c r="AV3876" t="s">
        <v>1800</v>
      </c>
      <c r="AW3876" t="s">
        <v>60</v>
      </c>
      <c r="AX3876" t="s">
        <v>68</v>
      </c>
      <c r="AY3876" t="s">
        <v>69</v>
      </c>
      <c r="AZ3876" t="b">
        <v>1</v>
      </c>
    </row>
    <row r="3877" spans="1:52" x14ac:dyDescent="0.3">
      <c r="A3877" t="s">
        <v>52</v>
      </c>
      <c r="B3877" t="s">
        <v>53</v>
      </c>
      <c r="C3877" t="s">
        <v>54</v>
      </c>
      <c r="D3877" t="s">
        <v>55</v>
      </c>
      <c r="E3877" t="s">
        <v>2206</v>
      </c>
      <c r="F3877" t="s">
        <v>190</v>
      </c>
      <c r="G3877" t="s">
        <v>1218</v>
      </c>
      <c r="H3877" t="s">
        <v>1219</v>
      </c>
      <c r="I3877" t="s">
        <v>1219</v>
      </c>
      <c r="J3877" t="s">
        <v>60</v>
      </c>
      <c r="K3877" t="s">
        <v>828</v>
      </c>
      <c r="L3877" t="s">
        <v>62</v>
      </c>
      <c r="M3877" t="s">
        <v>828</v>
      </c>
      <c r="N3877" t="s">
        <v>1220</v>
      </c>
      <c r="O3877" t="s">
        <v>1221</v>
      </c>
      <c r="P3877">
        <v>-20.132722000000001</v>
      </c>
      <c r="Q3877">
        <v>-44.843550999999998</v>
      </c>
      <c r="R3877" s="2" t="str">
        <f>HYPERLINK("https://www.google.com/maps?q=-20.1327220,-44.8435510","Abrir no Google Maps")</f>
        <v>Abrir no Google Maps</v>
      </c>
      <c r="S3877">
        <v>3</v>
      </c>
      <c r="T3877">
        <v>846.88659580558431</v>
      </c>
      <c r="U3877">
        <v>4</v>
      </c>
      <c r="V3877">
        <v>0.49964638447971788</v>
      </c>
      <c r="W3877">
        <v>1</v>
      </c>
      <c r="X3877">
        <v>0.49964638447971788</v>
      </c>
      <c r="Y3877">
        <v>118</v>
      </c>
      <c r="Z3877">
        <v>797.91643890712305</v>
      </c>
      <c r="AA3877">
        <v>198</v>
      </c>
      <c r="AB3877">
        <v>332</v>
      </c>
      <c r="AC3877">
        <v>536</v>
      </c>
      <c r="AD3877">
        <v>33.19</v>
      </c>
      <c r="AE3877">
        <v>542</v>
      </c>
      <c r="AF3877">
        <v>41</v>
      </c>
      <c r="AG3877">
        <v>175</v>
      </c>
      <c r="AH3877">
        <v>129</v>
      </c>
      <c r="AI3877">
        <v>7.56</v>
      </c>
      <c r="AJ3877">
        <v>32.29</v>
      </c>
      <c r="AK3877">
        <v>23.8</v>
      </c>
      <c r="AL3877">
        <v>-20.132714949999979</v>
      </c>
      <c r="AM3877">
        <v>-44.843475702545703</v>
      </c>
      <c r="AN3877">
        <v>-20.132714949999979</v>
      </c>
      <c r="AO3877">
        <v>-44.843475702545703</v>
      </c>
      <c r="AP3877">
        <v>-20.132722000000001</v>
      </c>
      <c r="AQ3877">
        <v>-44.843550999999998</v>
      </c>
      <c r="AR3877">
        <v>7.9089820822755481</v>
      </c>
      <c r="AS3877" t="s">
        <v>65</v>
      </c>
      <c r="AT3877">
        <v>1</v>
      </c>
      <c r="AU3877" t="s">
        <v>1222</v>
      </c>
      <c r="AV3877" t="s">
        <v>1223</v>
      </c>
      <c r="AW3877" t="s">
        <v>60</v>
      </c>
      <c r="AX3877" t="s">
        <v>68</v>
      </c>
      <c r="AY3877" t="s">
        <v>69</v>
      </c>
      <c r="AZ3877" t="b">
        <v>1</v>
      </c>
    </row>
    <row r="3878" spans="1:52" x14ac:dyDescent="0.3">
      <c r="A3878" t="s">
        <v>52</v>
      </c>
      <c r="B3878" t="s">
        <v>53</v>
      </c>
      <c r="C3878" t="s">
        <v>54</v>
      </c>
      <c r="D3878" t="s">
        <v>55</v>
      </c>
      <c r="E3878" t="s">
        <v>2206</v>
      </c>
      <c r="F3878" t="s">
        <v>190</v>
      </c>
      <c r="G3878" t="s">
        <v>1801</v>
      </c>
      <c r="H3878" t="s">
        <v>1802</v>
      </c>
      <c r="I3878" t="s">
        <v>1802</v>
      </c>
      <c r="J3878" t="s">
        <v>60</v>
      </c>
      <c r="K3878" t="s">
        <v>1803</v>
      </c>
      <c r="L3878" t="s">
        <v>62</v>
      </c>
      <c r="M3878" t="s">
        <v>1803</v>
      </c>
      <c r="N3878" t="s">
        <v>1804</v>
      </c>
      <c r="O3878" t="s">
        <v>1805</v>
      </c>
      <c r="P3878">
        <v>-20.131599000000001</v>
      </c>
      <c r="Q3878">
        <v>-44.839945</v>
      </c>
      <c r="R3878" s="2" t="str">
        <f>HYPERLINK("https://www.google.com/maps?q=-20.1315990,-44.8399450","Abrir no Google Maps")</f>
        <v>Abrir no Google Maps</v>
      </c>
      <c r="S3878">
        <v>3</v>
      </c>
      <c r="T3878">
        <v>480.67866935083049</v>
      </c>
      <c r="U3878">
        <v>4</v>
      </c>
      <c r="V3878">
        <v>0.48764691993017839</v>
      </c>
      <c r="W3878">
        <v>1</v>
      </c>
      <c r="X3878">
        <v>0.48764691993017839</v>
      </c>
      <c r="Y3878">
        <v>118</v>
      </c>
      <c r="Z3878">
        <v>505.26312452494989</v>
      </c>
      <c r="AA3878">
        <v>198</v>
      </c>
      <c r="AB3878">
        <v>332</v>
      </c>
      <c r="AC3878">
        <v>536</v>
      </c>
      <c r="AD3878">
        <v>33.19</v>
      </c>
      <c r="AE3878">
        <v>542</v>
      </c>
      <c r="AF3878">
        <v>41</v>
      </c>
      <c r="AG3878">
        <v>175</v>
      </c>
      <c r="AH3878">
        <v>129</v>
      </c>
      <c r="AI3878">
        <v>7.56</v>
      </c>
      <c r="AJ3878">
        <v>32.29</v>
      </c>
      <c r="AK3878">
        <v>23.8</v>
      </c>
      <c r="AL3878">
        <v>-20.131561999999949</v>
      </c>
      <c r="AM3878">
        <v>-44.839930272274998</v>
      </c>
      <c r="AN3878">
        <v>-20.131561999999949</v>
      </c>
      <c r="AO3878">
        <v>-44.839930272274998</v>
      </c>
      <c r="AP3878">
        <v>-20.131599000000001</v>
      </c>
      <c r="AQ3878">
        <v>-44.839945</v>
      </c>
      <c r="AR3878">
        <v>4.3970860299791923</v>
      </c>
      <c r="AS3878" t="s">
        <v>65</v>
      </c>
      <c r="AT3878">
        <v>1</v>
      </c>
      <c r="AU3878" t="s">
        <v>1806</v>
      </c>
      <c r="AV3878" t="s">
        <v>1807</v>
      </c>
      <c r="AW3878" t="s">
        <v>60</v>
      </c>
      <c r="AX3878" t="s">
        <v>68</v>
      </c>
      <c r="AY3878" t="s">
        <v>69</v>
      </c>
      <c r="AZ3878" t="b">
        <v>1</v>
      </c>
    </row>
    <row r="3879" spans="1:52" x14ac:dyDescent="0.3">
      <c r="A3879" t="s">
        <v>52</v>
      </c>
      <c r="B3879" t="s">
        <v>53</v>
      </c>
      <c r="C3879" t="s">
        <v>54</v>
      </c>
      <c r="D3879" t="s">
        <v>55</v>
      </c>
      <c r="E3879" t="s">
        <v>2206</v>
      </c>
      <c r="F3879" t="s">
        <v>190</v>
      </c>
      <c r="G3879" t="s">
        <v>1224</v>
      </c>
      <c r="H3879" t="s">
        <v>1230</v>
      </c>
      <c r="I3879" t="s">
        <v>1230</v>
      </c>
      <c r="J3879" t="s">
        <v>60</v>
      </c>
      <c r="K3879" t="s">
        <v>828</v>
      </c>
      <c r="L3879" t="s">
        <v>62</v>
      </c>
      <c r="M3879" t="s">
        <v>828</v>
      </c>
      <c r="N3879" t="s">
        <v>1231</v>
      </c>
      <c r="O3879" t="s">
        <v>1232</v>
      </c>
      <c r="P3879">
        <v>-20.136106000000002</v>
      </c>
      <c r="Q3879">
        <v>-44.838470999999998</v>
      </c>
      <c r="R3879" s="2" t="str">
        <f>HYPERLINK("https://www.google.com/maps?q=-20.1361060,-44.8384710","Abrir no Google Maps")</f>
        <v>Abrir no Google Maps</v>
      </c>
      <c r="S3879">
        <v>3</v>
      </c>
      <c r="T3879">
        <v>910.01690137237858</v>
      </c>
      <c r="U3879">
        <v>4</v>
      </c>
      <c r="V3879">
        <v>0.50447393153835229</v>
      </c>
      <c r="W3879">
        <v>1</v>
      </c>
      <c r="X3879">
        <v>0.50447393153835229</v>
      </c>
      <c r="Y3879">
        <v>118</v>
      </c>
      <c r="Z3879">
        <v>892.76979321439796</v>
      </c>
      <c r="AA3879">
        <v>198</v>
      </c>
      <c r="AB3879">
        <v>332</v>
      </c>
      <c r="AC3879">
        <v>536</v>
      </c>
      <c r="AD3879">
        <v>33.19</v>
      </c>
      <c r="AE3879">
        <v>542</v>
      </c>
      <c r="AF3879">
        <v>41</v>
      </c>
      <c r="AG3879">
        <v>175</v>
      </c>
      <c r="AH3879">
        <v>129</v>
      </c>
      <c r="AI3879">
        <v>7.56</v>
      </c>
      <c r="AJ3879">
        <v>32.29</v>
      </c>
      <c r="AK3879">
        <v>23.8</v>
      </c>
      <c r="AL3879">
        <v>-20.136356149999951</v>
      </c>
      <c r="AM3879">
        <v>-44.838929886373997</v>
      </c>
      <c r="AN3879">
        <v>-20.136356149999951</v>
      </c>
      <c r="AO3879">
        <v>-44.838929886373997</v>
      </c>
      <c r="AP3879">
        <v>-20.136106000000002</v>
      </c>
      <c r="AQ3879">
        <v>-44.838470999999998</v>
      </c>
      <c r="AR3879">
        <v>55.458802856549369</v>
      </c>
      <c r="AS3879" t="s">
        <v>65</v>
      </c>
      <c r="AT3879">
        <v>1</v>
      </c>
      <c r="AU3879" t="s">
        <v>1233</v>
      </c>
      <c r="AV3879" t="s">
        <v>1234</v>
      </c>
      <c r="AW3879" t="s">
        <v>60</v>
      </c>
      <c r="AX3879" t="s">
        <v>68</v>
      </c>
      <c r="AY3879" t="s">
        <v>69</v>
      </c>
      <c r="AZ3879" t="b">
        <v>1</v>
      </c>
    </row>
    <row r="3880" spans="1:52" x14ac:dyDescent="0.3">
      <c r="A3880" t="s">
        <v>52</v>
      </c>
      <c r="B3880" t="s">
        <v>53</v>
      </c>
      <c r="C3880" t="s">
        <v>54</v>
      </c>
      <c r="D3880" t="s">
        <v>55</v>
      </c>
      <c r="E3880" t="s">
        <v>2206</v>
      </c>
      <c r="F3880" t="s">
        <v>190</v>
      </c>
      <c r="G3880" t="s">
        <v>826</v>
      </c>
      <c r="H3880" t="s">
        <v>827</v>
      </c>
      <c r="I3880" t="s">
        <v>827</v>
      </c>
      <c r="J3880" t="s">
        <v>60</v>
      </c>
      <c r="K3880" t="s">
        <v>828</v>
      </c>
      <c r="L3880" t="s">
        <v>62</v>
      </c>
      <c r="M3880" t="s">
        <v>828</v>
      </c>
      <c r="N3880" t="s">
        <v>829</v>
      </c>
      <c r="O3880" t="s">
        <v>830</v>
      </c>
      <c r="P3880">
        <v>-20.128309999999999</v>
      </c>
      <c r="Q3880">
        <v>-44.8367</v>
      </c>
      <c r="R3880" s="2" t="str">
        <f>HYPERLINK("https://www.google.com/maps?q=-20.1283100,-44.8367000","Abrir no Google Maps")</f>
        <v>Abrir no Google Maps</v>
      </c>
      <c r="S3880">
        <v>3</v>
      </c>
      <c r="T3880">
        <v>0</v>
      </c>
      <c r="U3880">
        <v>4</v>
      </c>
      <c r="V3880">
        <v>0.46050229819017519</v>
      </c>
      <c r="W3880">
        <v>1</v>
      </c>
      <c r="X3880">
        <v>0.46050229819017519</v>
      </c>
      <c r="Y3880">
        <v>118</v>
      </c>
      <c r="Z3880">
        <v>65.93296364139367</v>
      </c>
      <c r="AA3880">
        <v>198</v>
      </c>
      <c r="AB3880">
        <v>332</v>
      </c>
      <c r="AC3880">
        <v>536</v>
      </c>
      <c r="AD3880">
        <v>33.19</v>
      </c>
      <c r="AE3880">
        <v>542</v>
      </c>
      <c r="AF3880">
        <v>41</v>
      </c>
      <c r="AG3880">
        <v>175</v>
      </c>
      <c r="AH3880">
        <v>129</v>
      </c>
      <c r="AI3880">
        <v>7.56</v>
      </c>
      <c r="AJ3880">
        <v>32.29</v>
      </c>
      <c r="AK3880">
        <v>23.8</v>
      </c>
      <c r="AL3880">
        <v>-20.128383649999961</v>
      </c>
      <c r="AM3880">
        <v>-44.836795615491283</v>
      </c>
      <c r="AN3880">
        <v>-20.128383649999961</v>
      </c>
      <c r="AO3880">
        <v>-44.836795615491283</v>
      </c>
      <c r="AP3880">
        <v>-20.128309999999999</v>
      </c>
      <c r="AQ3880">
        <v>-44.8367</v>
      </c>
      <c r="AR3880">
        <v>12.92654496723039</v>
      </c>
      <c r="AS3880" t="s">
        <v>65</v>
      </c>
      <c r="AT3880">
        <v>1</v>
      </c>
      <c r="AU3880" t="s">
        <v>831</v>
      </c>
      <c r="AV3880" t="s">
        <v>832</v>
      </c>
      <c r="AW3880" t="s">
        <v>60</v>
      </c>
      <c r="AX3880" t="s">
        <v>68</v>
      </c>
      <c r="AY3880" t="s">
        <v>69</v>
      </c>
      <c r="AZ3880" t="b">
        <v>1</v>
      </c>
    </row>
    <row r="3881" spans="1:52" x14ac:dyDescent="0.3">
      <c r="A3881" t="s">
        <v>52</v>
      </c>
      <c r="B3881" t="s">
        <v>53</v>
      </c>
      <c r="C3881" t="s">
        <v>54</v>
      </c>
      <c r="D3881" t="s">
        <v>55</v>
      </c>
      <c r="E3881" t="s">
        <v>2206</v>
      </c>
      <c r="F3881" t="s">
        <v>190</v>
      </c>
      <c r="G3881" t="s">
        <v>1193</v>
      </c>
      <c r="H3881" t="s">
        <v>2025</v>
      </c>
      <c r="I3881" t="s">
        <v>2025</v>
      </c>
      <c r="J3881" t="s">
        <v>60</v>
      </c>
      <c r="K3881" t="s">
        <v>1710</v>
      </c>
      <c r="L3881" t="s">
        <v>62</v>
      </c>
      <c r="M3881" t="s">
        <v>1710</v>
      </c>
      <c r="N3881" t="s">
        <v>2026</v>
      </c>
      <c r="O3881" t="s">
        <v>1438</v>
      </c>
      <c r="P3881">
        <v>-20.147459000000001</v>
      </c>
      <c r="Q3881">
        <v>-44.839049000000003</v>
      </c>
      <c r="R3881" s="2" t="str">
        <f>HYPERLINK("https://www.google.com/maps?q=-20.1474590,-44.8390490","Abrir no Google Maps")</f>
        <v>Abrir no Google Maps</v>
      </c>
      <c r="S3881">
        <v>3</v>
      </c>
      <c r="T3881">
        <v>2134.7842223159018</v>
      </c>
      <c r="U3881">
        <v>4</v>
      </c>
      <c r="V3881">
        <v>0.50575972571996664</v>
      </c>
      <c r="W3881">
        <v>0.85</v>
      </c>
      <c r="X3881">
        <v>0.42989576686197162</v>
      </c>
      <c r="Y3881">
        <v>118</v>
      </c>
      <c r="Z3881">
        <v>2105.8235104165119</v>
      </c>
      <c r="AA3881">
        <v>198</v>
      </c>
      <c r="AB3881">
        <v>332</v>
      </c>
      <c r="AC3881">
        <v>536</v>
      </c>
      <c r="AD3881">
        <v>33.19</v>
      </c>
      <c r="AE3881">
        <v>542</v>
      </c>
      <c r="AF3881">
        <v>41</v>
      </c>
      <c r="AG3881">
        <v>175</v>
      </c>
      <c r="AH3881">
        <v>129</v>
      </c>
      <c r="AI3881">
        <v>7.56</v>
      </c>
      <c r="AJ3881">
        <v>32.29</v>
      </c>
      <c r="AK3881">
        <v>23.8</v>
      </c>
      <c r="AL3881">
        <v>-20.147568249999949</v>
      </c>
      <c r="AM3881">
        <v>-44.838938056199567</v>
      </c>
      <c r="AN3881">
        <v>-20.147568249999949</v>
      </c>
      <c r="AO3881">
        <v>-44.838938056199567</v>
      </c>
      <c r="AP3881">
        <v>-20.147459000000001</v>
      </c>
      <c r="AQ3881">
        <v>-44.839049000000003</v>
      </c>
      <c r="AR3881">
        <v>16.80298816089098</v>
      </c>
      <c r="AS3881" t="s">
        <v>65</v>
      </c>
      <c r="AT3881">
        <v>1</v>
      </c>
      <c r="AU3881" t="s">
        <v>2027</v>
      </c>
      <c r="AV3881" t="s">
        <v>2028</v>
      </c>
      <c r="AW3881" t="s">
        <v>60</v>
      </c>
      <c r="AX3881" t="s">
        <v>68</v>
      </c>
      <c r="AY3881" t="s">
        <v>69</v>
      </c>
      <c r="AZ3881" t="b">
        <v>1</v>
      </c>
    </row>
    <row r="3882" spans="1:52" x14ac:dyDescent="0.3">
      <c r="A3882" t="s">
        <v>52</v>
      </c>
      <c r="B3882" t="s">
        <v>53</v>
      </c>
      <c r="C3882" t="s">
        <v>54</v>
      </c>
      <c r="D3882" t="s">
        <v>55</v>
      </c>
      <c r="E3882" t="s">
        <v>2206</v>
      </c>
      <c r="F3882" t="s">
        <v>190</v>
      </c>
      <c r="G3882" t="s">
        <v>1813</v>
      </c>
      <c r="H3882" t="s">
        <v>1814</v>
      </c>
      <c r="I3882" t="s">
        <v>1814</v>
      </c>
      <c r="J3882" t="s">
        <v>60</v>
      </c>
      <c r="K3882" t="s">
        <v>1815</v>
      </c>
      <c r="L3882" t="s">
        <v>62</v>
      </c>
      <c r="M3882" t="s">
        <v>1815</v>
      </c>
      <c r="N3882" t="s">
        <v>1816</v>
      </c>
      <c r="O3882" t="s">
        <v>793</v>
      </c>
      <c r="P3882">
        <v>-20.144487999999999</v>
      </c>
      <c r="Q3882">
        <v>-44.836683000000001</v>
      </c>
      <c r="R3882" s="2" t="str">
        <f>HYPERLINK("https://www.google.com/maps?q=-20.1444880,-44.8366830","Abrir no Google Maps")</f>
        <v>Abrir no Google Maps</v>
      </c>
      <c r="S3882">
        <v>3</v>
      </c>
      <c r="T3882">
        <v>1786.4671732320769</v>
      </c>
      <c r="U3882">
        <v>4</v>
      </c>
      <c r="V3882">
        <v>0.53015225769190999</v>
      </c>
      <c r="W3882">
        <v>0.85</v>
      </c>
      <c r="X3882">
        <v>0.45062941903812348</v>
      </c>
      <c r="Y3882">
        <v>118</v>
      </c>
      <c r="Z3882">
        <v>1788.4311204774231</v>
      </c>
      <c r="AA3882">
        <v>198</v>
      </c>
      <c r="AB3882">
        <v>332</v>
      </c>
      <c r="AC3882">
        <v>536</v>
      </c>
      <c r="AD3882">
        <v>33.19</v>
      </c>
      <c r="AE3882">
        <v>542</v>
      </c>
      <c r="AF3882">
        <v>41</v>
      </c>
      <c r="AG3882">
        <v>175</v>
      </c>
      <c r="AH3882">
        <v>129</v>
      </c>
      <c r="AI3882">
        <v>7.56</v>
      </c>
      <c r="AJ3882">
        <v>32.29</v>
      </c>
      <c r="AK3882">
        <v>23.8</v>
      </c>
      <c r="AL3882">
        <v>-20.14452704999994</v>
      </c>
      <c r="AM3882">
        <v>-44.836757520268662</v>
      </c>
      <c r="AN3882">
        <v>-20.14452704999994</v>
      </c>
      <c r="AO3882">
        <v>-44.836757520268662</v>
      </c>
      <c r="AP3882">
        <v>-20.144487999999999</v>
      </c>
      <c r="AQ3882">
        <v>-44.836683000000001</v>
      </c>
      <c r="AR3882">
        <v>8.9191793946858624</v>
      </c>
      <c r="AS3882" t="s">
        <v>65</v>
      </c>
      <c r="AT3882">
        <v>1</v>
      </c>
      <c r="AU3882" t="s">
        <v>1817</v>
      </c>
      <c r="AV3882" t="s">
        <v>1818</v>
      </c>
      <c r="AW3882" t="s">
        <v>60</v>
      </c>
      <c r="AX3882" t="s">
        <v>68</v>
      </c>
      <c r="AY3882" t="s">
        <v>69</v>
      </c>
      <c r="AZ3882" t="b">
        <v>1</v>
      </c>
    </row>
    <row r="3883" spans="1:52" x14ac:dyDescent="0.3">
      <c r="A3883" t="s">
        <v>52</v>
      </c>
      <c r="B3883" t="s">
        <v>53</v>
      </c>
      <c r="C3883" t="s">
        <v>54</v>
      </c>
      <c r="D3883" t="s">
        <v>55</v>
      </c>
      <c r="E3883" t="s">
        <v>2206</v>
      </c>
      <c r="F3883" t="s">
        <v>190</v>
      </c>
      <c r="G3883" t="s">
        <v>1819</v>
      </c>
      <c r="H3883" t="s">
        <v>1820</v>
      </c>
      <c r="I3883" t="s">
        <v>1820</v>
      </c>
      <c r="J3883" t="s">
        <v>60</v>
      </c>
      <c r="K3883" t="s">
        <v>1821</v>
      </c>
      <c r="L3883" t="s">
        <v>62</v>
      </c>
      <c r="M3883" t="s">
        <v>1821</v>
      </c>
      <c r="N3883" t="s">
        <v>1822</v>
      </c>
      <c r="O3883" t="s">
        <v>250</v>
      </c>
      <c r="P3883">
        <v>-20.206074999999998</v>
      </c>
      <c r="Q3883">
        <v>-44.923881999999999</v>
      </c>
      <c r="R3883" s="2" t="str">
        <f>HYPERLINK("https://www.google.com/maps?q=-20.2060750,-44.9238820","Abrir no Google Maps")</f>
        <v>Abrir no Google Maps</v>
      </c>
      <c r="S3883">
        <v>3</v>
      </c>
      <c r="T3883">
        <v>2167.614130207975</v>
      </c>
      <c r="U3883">
        <v>4</v>
      </c>
      <c r="V3883">
        <v>0.51284937189865287</v>
      </c>
      <c r="W3883">
        <v>1</v>
      </c>
      <c r="X3883">
        <v>0.51284937189865287</v>
      </c>
      <c r="Y3883">
        <v>113</v>
      </c>
      <c r="Z3883">
        <v>2279.572967498636</v>
      </c>
      <c r="AA3883">
        <v>198</v>
      </c>
      <c r="AB3883">
        <v>332</v>
      </c>
      <c r="AC3883">
        <v>536</v>
      </c>
      <c r="AD3883">
        <v>33.19</v>
      </c>
      <c r="AE3883">
        <v>542</v>
      </c>
      <c r="AF3883">
        <v>41</v>
      </c>
      <c r="AG3883">
        <v>175</v>
      </c>
      <c r="AH3883">
        <v>129</v>
      </c>
      <c r="AI3883">
        <v>7.56</v>
      </c>
      <c r="AJ3883">
        <v>32.29</v>
      </c>
      <c r="AK3883">
        <v>23.8</v>
      </c>
      <c r="AL3883">
        <v>-20.206031099999961</v>
      </c>
      <c r="AM3883">
        <v>-44.923641529947623</v>
      </c>
      <c r="AN3883">
        <v>-20.206031099999961</v>
      </c>
      <c r="AO3883">
        <v>-44.923641529947623</v>
      </c>
      <c r="AP3883">
        <v>-20.206074999999998</v>
      </c>
      <c r="AQ3883">
        <v>-44.923881999999999</v>
      </c>
      <c r="AR3883">
        <v>25.59258324329182</v>
      </c>
      <c r="AS3883" t="s">
        <v>65</v>
      </c>
      <c r="AT3883">
        <v>1</v>
      </c>
      <c r="AU3883" t="s">
        <v>1823</v>
      </c>
      <c r="AV3883" t="s">
        <v>1824</v>
      </c>
      <c r="AW3883" t="s">
        <v>60</v>
      </c>
      <c r="AX3883" t="s">
        <v>68</v>
      </c>
      <c r="AY3883" t="s">
        <v>69</v>
      </c>
      <c r="AZ3883" t="b">
        <v>1</v>
      </c>
    </row>
    <row r="3884" spans="1:52" x14ac:dyDescent="0.3">
      <c r="A3884" t="s">
        <v>52</v>
      </c>
      <c r="B3884" t="s">
        <v>53</v>
      </c>
      <c r="C3884" t="s">
        <v>54</v>
      </c>
      <c r="D3884" t="s">
        <v>55</v>
      </c>
      <c r="E3884" t="s">
        <v>2206</v>
      </c>
      <c r="F3884" t="s">
        <v>190</v>
      </c>
      <c r="G3884" t="s">
        <v>1825</v>
      </c>
      <c r="H3884" t="s">
        <v>1826</v>
      </c>
      <c r="I3884" t="s">
        <v>1826</v>
      </c>
      <c r="J3884" t="s">
        <v>60</v>
      </c>
      <c r="K3884" t="s">
        <v>1821</v>
      </c>
      <c r="L3884" t="s">
        <v>62</v>
      </c>
      <c r="M3884" t="s">
        <v>1821</v>
      </c>
      <c r="N3884" t="s">
        <v>1827</v>
      </c>
      <c r="O3884" t="s">
        <v>303</v>
      </c>
      <c r="P3884">
        <v>-20.209962000000001</v>
      </c>
      <c r="Q3884">
        <v>-44.922398000000001</v>
      </c>
      <c r="R3884" s="2" t="str">
        <f>HYPERLINK("https://www.google.com/maps?q=-20.2099620,-44.9223980","Abrir no Google Maps")</f>
        <v>Abrir no Google Maps</v>
      </c>
      <c r="S3884">
        <v>3</v>
      </c>
      <c r="T3884">
        <v>2648.9288862562971</v>
      </c>
      <c r="U3884">
        <v>4</v>
      </c>
      <c r="V3884">
        <v>0.52142163161409083</v>
      </c>
      <c r="W3884">
        <v>1</v>
      </c>
      <c r="X3884">
        <v>0.52142163161409083</v>
      </c>
      <c r="Y3884">
        <v>113</v>
      </c>
      <c r="Z3884">
        <v>2658.455493028307</v>
      </c>
      <c r="AA3884">
        <v>198</v>
      </c>
      <c r="AB3884">
        <v>332</v>
      </c>
      <c r="AC3884">
        <v>536</v>
      </c>
      <c r="AD3884">
        <v>33.19</v>
      </c>
      <c r="AE3884">
        <v>542</v>
      </c>
      <c r="AF3884">
        <v>41</v>
      </c>
      <c r="AG3884">
        <v>175</v>
      </c>
      <c r="AH3884">
        <v>129</v>
      </c>
      <c r="AI3884">
        <v>7.56</v>
      </c>
      <c r="AJ3884">
        <v>32.29</v>
      </c>
      <c r="AK3884">
        <v>23.8</v>
      </c>
      <c r="AL3884">
        <v>-20.210291849999951</v>
      </c>
      <c r="AM3884">
        <v>-44.921758447931353</v>
      </c>
      <c r="AN3884">
        <v>-20.210291849999951</v>
      </c>
      <c r="AO3884">
        <v>-44.921758447931353</v>
      </c>
      <c r="AP3884">
        <v>-20.209962000000001</v>
      </c>
      <c r="AQ3884">
        <v>-44.922398000000001</v>
      </c>
      <c r="AR3884">
        <v>76.23686013355892</v>
      </c>
      <c r="AS3884" t="s">
        <v>65</v>
      </c>
      <c r="AT3884">
        <v>1</v>
      </c>
      <c r="AU3884" t="s">
        <v>1828</v>
      </c>
      <c r="AV3884" t="s">
        <v>1829</v>
      </c>
      <c r="AW3884" t="s">
        <v>60</v>
      </c>
      <c r="AX3884" t="s">
        <v>68</v>
      </c>
      <c r="AY3884" t="s">
        <v>69</v>
      </c>
      <c r="AZ3884" t="b">
        <v>1</v>
      </c>
    </row>
    <row r="3885" spans="1:52" x14ac:dyDescent="0.3">
      <c r="A3885" t="s">
        <v>52</v>
      </c>
      <c r="B3885" t="s">
        <v>53</v>
      </c>
      <c r="C3885" t="s">
        <v>54</v>
      </c>
      <c r="D3885" t="s">
        <v>55</v>
      </c>
      <c r="E3885" t="s">
        <v>2206</v>
      </c>
      <c r="F3885" t="s">
        <v>190</v>
      </c>
      <c r="G3885" t="s">
        <v>2057</v>
      </c>
      <c r="H3885" t="s">
        <v>2058</v>
      </c>
      <c r="I3885" t="s">
        <v>2058</v>
      </c>
      <c r="J3885" t="s">
        <v>60</v>
      </c>
      <c r="K3885" t="s">
        <v>1237</v>
      </c>
      <c r="L3885" t="s">
        <v>62</v>
      </c>
      <c r="M3885" t="s">
        <v>1237</v>
      </c>
      <c r="N3885" t="s">
        <v>2059</v>
      </c>
      <c r="O3885" t="s">
        <v>315</v>
      </c>
      <c r="P3885">
        <v>-20.198418</v>
      </c>
      <c r="Q3885">
        <v>-44.937344000000003</v>
      </c>
      <c r="R3885" s="2" t="str">
        <f>HYPERLINK("https://www.google.com/maps?q=-20.1984180,-44.9373440","Abrir no Google Maps")</f>
        <v>Abrir no Google Maps</v>
      </c>
      <c r="S3885">
        <v>3</v>
      </c>
      <c r="T3885">
        <v>681.20132559707884</v>
      </c>
      <c r="U3885">
        <v>4</v>
      </c>
      <c r="V3885">
        <v>0.49362314532860918</v>
      </c>
      <c r="W3885">
        <v>0.85</v>
      </c>
      <c r="X3885">
        <v>0.4195796735293178</v>
      </c>
      <c r="Y3885">
        <v>113</v>
      </c>
      <c r="Z3885">
        <v>639.34162859061189</v>
      </c>
      <c r="AA3885">
        <v>198</v>
      </c>
      <c r="AB3885">
        <v>332</v>
      </c>
      <c r="AC3885">
        <v>536</v>
      </c>
      <c r="AD3885">
        <v>33.19</v>
      </c>
      <c r="AE3885">
        <v>542</v>
      </c>
      <c r="AF3885">
        <v>41</v>
      </c>
      <c r="AG3885">
        <v>175</v>
      </c>
      <c r="AH3885">
        <v>129</v>
      </c>
      <c r="AI3885">
        <v>7.56</v>
      </c>
      <c r="AJ3885">
        <v>32.29</v>
      </c>
      <c r="AK3885">
        <v>23.8</v>
      </c>
      <c r="AL3885">
        <v>-20.198113949999939</v>
      </c>
      <c r="AM3885">
        <v>-44.937138435092578</v>
      </c>
      <c r="AN3885">
        <v>-20.198113949999939</v>
      </c>
      <c r="AO3885">
        <v>-44.937138435092578</v>
      </c>
      <c r="AP3885">
        <v>-20.198418</v>
      </c>
      <c r="AQ3885">
        <v>-44.937344000000003</v>
      </c>
      <c r="AR3885">
        <v>40.085388434380476</v>
      </c>
      <c r="AS3885" t="s">
        <v>65</v>
      </c>
      <c r="AT3885">
        <v>1</v>
      </c>
      <c r="AU3885" t="s">
        <v>2060</v>
      </c>
      <c r="AV3885" t="s">
        <v>2061</v>
      </c>
      <c r="AW3885" t="s">
        <v>60</v>
      </c>
      <c r="AX3885" t="s">
        <v>68</v>
      </c>
      <c r="AY3885" t="s">
        <v>69</v>
      </c>
      <c r="AZ3885" t="b">
        <v>1</v>
      </c>
    </row>
    <row r="3886" spans="1:52" x14ac:dyDescent="0.3">
      <c r="A3886" t="s">
        <v>52</v>
      </c>
      <c r="B3886" t="s">
        <v>53</v>
      </c>
      <c r="C3886" t="s">
        <v>54</v>
      </c>
      <c r="D3886" t="s">
        <v>55</v>
      </c>
      <c r="E3886" t="s">
        <v>2206</v>
      </c>
      <c r="F3886" t="s">
        <v>190</v>
      </c>
      <c r="G3886" t="s">
        <v>1830</v>
      </c>
      <c r="H3886" t="s">
        <v>1831</v>
      </c>
      <c r="I3886" t="s">
        <v>1831</v>
      </c>
      <c r="J3886" t="s">
        <v>60</v>
      </c>
      <c r="K3886" t="s">
        <v>1243</v>
      </c>
      <c r="L3886" t="s">
        <v>62</v>
      </c>
      <c r="M3886" t="s">
        <v>1243</v>
      </c>
      <c r="N3886" t="s">
        <v>1832</v>
      </c>
      <c r="O3886" t="s">
        <v>1833</v>
      </c>
      <c r="P3886">
        <v>-20.196815999999998</v>
      </c>
      <c r="Q3886">
        <v>-44.940482000000003</v>
      </c>
      <c r="R3886" s="2" t="str">
        <f>HYPERLINK("https://www.google.com/maps?q=-20.1968160,-44.9404820","Abrir no Google Maps")</f>
        <v>Abrir no Google Maps</v>
      </c>
      <c r="S3886">
        <v>3</v>
      </c>
      <c r="T3886">
        <v>536.34378309151361</v>
      </c>
      <c r="U3886">
        <v>4</v>
      </c>
      <c r="V3886">
        <v>0.46517912125188982</v>
      </c>
      <c r="W3886">
        <v>1</v>
      </c>
      <c r="X3886">
        <v>0.46517912125188982</v>
      </c>
      <c r="Y3886">
        <v>113</v>
      </c>
      <c r="Z3886">
        <v>376.90325621866373</v>
      </c>
      <c r="AA3886">
        <v>198</v>
      </c>
      <c r="AB3886">
        <v>332</v>
      </c>
      <c r="AC3886">
        <v>536</v>
      </c>
      <c r="AD3886">
        <v>33.19</v>
      </c>
      <c r="AE3886">
        <v>542</v>
      </c>
      <c r="AF3886">
        <v>41</v>
      </c>
      <c r="AG3886">
        <v>175</v>
      </c>
      <c r="AH3886">
        <v>129</v>
      </c>
      <c r="AI3886">
        <v>7.56</v>
      </c>
      <c r="AJ3886">
        <v>32.29</v>
      </c>
      <c r="AK3886">
        <v>23.8</v>
      </c>
      <c r="AL3886">
        <v>-20.196517149999949</v>
      </c>
      <c r="AM3886">
        <v>-44.94010487355537</v>
      </c>
      <c r="AN3886">
        <v>-20.196517149999949</v>
      </c>
      <c r="AO3886">
        <v>-44.94010487355537</v>
      </c>
      <c r="AP3886">
        <v>-20.196815999999998</v>
      </c>
      <c r="AQ3886">
        <v>-44.940482000000003</v>
      </c>
      <c r="AR3886">
        <v>51.566969969189948</v>
      </c>
      <c r="AS3886" t="s">
        <v>65</v>
      </c>
      <c r="AT3886">
        <v>1</v>
      </c>
      <c r="AU3886" t="s">
        <v>1834</v>
      </c>
      <c r="AV3886" t="s">
        <v>1835</v>
      </c>
      <c r="AW3886" t="s">
        <v>60</v>
      </c>
      <c r="AX3886" t="s">
        <v>68</v>
      </c>
      <c r="AY3886" t="s">
        <v>69</v>
      </c>
      <c r="AZ3886" t="b">
        <v>1</v>
      </c>
    </row>
    <row r="3887" spans="1:52" x14ac:dyDescent="0.3">
      <c r="A3887" t="s">
        <v>52</v>
      </c>
      <c r="B3887" t="s">
        <v>53</v>
      </c>
      <c r="C3887" t="s">
        <v>54</v>
      </c>
      <c r="D3887" t="s">
        <v>55</v>
      </c>
      <c r="E3887" t="s">
        <v>2206</v>
      </c>
      <c r="F3887" t="s">
        <v>190</v>
      </c>
      <c r="G3887" t="s">
        <v>1836</v>
      </c>
      <c r="H3887" t="s">
        <v>1837</v>
      </c>
      <c r="I3887" t="s">
        <v>1837</v>
      </c>
      <c r="J3887" t="s">
        <v>60</v>
      </c>
      <c r="K3887" t="s">
        <v>1243</v>
      </c>
      <c r="L3887" t="s">
        <v>62</v>
      </c>
      <c r="M3887" t="s">
        <v>1243</v>
      </c>
      <c r="N3887" t="s">
        <v>1838</v>
      </c>
      <c r="O3887" t="s">
        <v>1839</v>
      </c>
      <c r="P3887">
        <v>-20.194417999999999</v>
      </c>
      <c r="Q3887">
        <v>-44.943080999999999</v>
      </c>
      <c r="R3887" s="2" t="str">
        <f>HYPERLINK("https://www.google.com/maps?q=-20.1944180,-44.9430810","Abrir no Google Maps")</f>
        <v>Abrir no Google Maps</v>
      </c>
      <c r="S3887">
        <v>3</v>
      </c>
      <c r="T3887">
        <v>570.3426559957137</v>
      </c>
      <c r="U3887">
        <v>4</v>
      </c>
      <c r="V3887">
        <v>0.486566798583217</v>
      </c>
      <c r="W3887">
        <v>1</v>
      </c>
      <c r="X3887">
        <v>0.486566798583217</v>
      </c>
      <c r="Y3887">
        <v>113</v>
      </c>
      <c r="Z3887">
        <v>342.73864025959449</v>
      </c>
      <c r="AA3887">
        <v>198</v>
      </c>
      <c r="AB3887">
        <v>332</v>
      </c>
      <c r="AC3887">
        <v>536</v>
      </c>
      <c r="AD3887">
        <v>33.19</v>
      </c>
      <c r="AE3887">
        <v>542</v>
      </c>
      <c r="AF3887">
        <v>41</v>
      </c>
      <c r="AG3887">
        <v>175</v>
      </c>
      <c r="AH3887">
        <v>129</v>
      </c>
      <c r="AI3887">
        <v>7.56</v>
      </c>
      <c r="AJ3887">
        <v>32.29</v>
      </c>
      <c r="AK3887">
        <v>23.8</v>
      </c>
      <c r="AL3887">
        <v>-20.194494749999929</v>
      </c>
      <c r="AM3887">
        <v>-44.942951635393733</v>
      </c>
      <c r="AN3887">
        <v>-20.194494749999929</v>
      </c>
      <c r="AO3887">
        <v>-44.942951635393733</v>
      </c>
      <c r="AP3887">
        <v>-20.194417999999999</v>
      </c>
      <c r="AQ3887">
        <v>-44.943080999999999</v>
      </c>
      <c r="AR3887">
        <v>15.9896188813922</v>
      </c>
      <c r="AS3887" t="s">
        <v>65</v>
      </c>
      <c r="AT3887">
        <v>1</v>
      </c>
      <c r="AU3887" t="s">
        <v>1840</v>
      </c>
      <c r="AV3887" t="s">
        <v>1841</v>
      </c>
      <c r="AW3887" t="s">
        <v>60</v>
      </c>
      <c r="AX3887" t="s">
        <v>68</v>
      </c>
      <c r="AY3887" t="s">
        <v>69</v>
      </c>
      <c r="AZ3887" t="b">
        <v>1</v>
      </c>
    </row>
    <row r="3888" spans="1:52" x14ac:dyDescent="0.3">
      <c r="A3888" t="s">
        <v>52</v>
      </c>
      <c r="B3888" t="s">
        <v>53</v>
      </c>
      <c r="C3888" t="s">
        <v>54</v>
      </c>
      <c r="D3888" t="s">
        <v>55</v>
      </c>
      <c r="E3888" t="s">
        <v>2206</v>
      </c>
      <c r="F3888" t="s">
        <v>190</v>
      </c>
      <c r="G3888" t="s">
        <v>1235</v>
      </c>
      <c r="H3888" t="s">
        <v>1236</v>
      </c>
      <c r="I3888" t="s">
        <v>1236</v>
      </c>
      <c r="J3888" t="s">
        <v>60</v>
      </c>
      <c r="K3888" t="s">
        <v>1237</v>
      </c>
      <c r="L3888" t="s">
        <v>62</v>
      </c>
      <c r="M3888" t="s">
        <v>1237</v>
      </c>
      <c r="N3888" t="s">
        <v>1238</v>
      </c>
      <c r="O3888" t="s">
        <v>315</v>
      </c>
      <c r="P3888">
        <v>-20.199687000000001</v>
      </c>
      <c r="Q3888">
        <v>-44.941882999999997</v>
      </c>
      <c r="R3888" s="2" t="str">
        <f>HYPERLINK("https://www.google.com/maps?q=-20.1996870,-44.9418830","Abrir no Google Maps")</f>
        <v>Abrir no Google Maps</v>
      </c>
      <c r="S3888">
        <v>3</v>
      </c>
      <c r="T3888">
        <v>928.80393950893483</v>
      </c>
      <c r="U3888">
        <v>4</v>
      </c>
      <c r="V3888">
        <v>0.48574133191651148</v>
      </c>
      <c r="W3888">
        <v>1</v>
      </c>
      <c r="X3888">
        <v>0.48574133191651148</v>
      </c>
      <c r="Y3888">
        <v>113</v>
      </c>
      <c r="Z3888">
        <v>798.11967422937732</v>
      </c>
      <c r="AA3888">
        <v>198</v>
      </c>
      <c r="AB3888">
        <v>332</v>
      </c>
      <c r="AC3888">
        <v>536</v>
      </c>
      <c r="AD3888">
        <v>33.19</v>
      </c>
      <c r="AE3888">
        <v>542</v>
      </c>
      <c r="AF3888">
        <v>41</v>
      </c>
      <c r="AG3888">
        <v>175</v>
      </c>
      <c r="AH3888">
        <v>129</v>
      </c>
      <c r="AI3888">
        <v>7.56</v>
      </c>
      <c r="AJ3888">
        <v>32.29</v>
      </c>
      <c r="AK3888">
        <v>23.8</v>
      </c>
      <c r="AL3888">
        <v>-20.199663899999958</v>
      </c>
      <c r="AM3888">
        <v>-44.941858448694838</v>
      </c>
      <c r="AN3888">
        <v>-20.199663899999958</v>
      </c>
      <c r="AO3888">
        <v>-44.941858448694838</v>
      </c>
      <c r="AP3888">
        <v>-20.199687000000001</v>
      </c>
      <c r="AQ3888">
        <v>-44.941882999999997</v>
      </c>
      <c r="AR3888">
        <v>3.632019521873886</v>
      </c>
      <c r="AS3888" t="s">
        <v>65</v>
      </c>
      <c r="AT3888">
        <v>1</v>
      </c>
      <c r="AU3888" t="s">
        <v>1239</v>
      </c>
      <c r="AV3888" t="s">
        <v>1240</v>
      </c>
      <c r="AW3888" t="s">
        <v>60</v>
      </c>
      <c r="AX3888" t="s">
        <v>68</v>
      </c>
      <c r="AY3888" t="s">
        <v>69</v>
      </c>
      <c r="AZ3888" t="b">
        <v>1</v>
      </c>
    </row>
    <row r="3889" spans="1:52" x14ac:dyDescent="0.3">
      <c r="A3889" t="s">
        <v>52</v>
      </c>
      <c r="B3889" t="s">
        <v>53</v>
      </c>
      <c r="C3889" t="s">
        <v>54</v>
      </c>
      <c r="D3889" t="s">
        <v>55</v>
      </c>
      <c r="E3889" t="s">
        <v>2206</v>
      </c>
      <c r="F3889" t="s">
        <v>190</v>
      </c>
      <c r="G3889" t="s">
        <v>1842</v>
      </c>
      <c r="H3889" t="s">
        <v>1843</v>
      </c>
      <c r="I3889" t="s">
        <v>1843</v>
      </c>
      <c r="J3889" t="s">
        <v>60</v>
      </c>
      <c r="K3889" t="s">
        <v>1243</v>
      </c>
      <c r="L3889" t="s">
        <v>62</v>
      </c>
      <c r="M3889" t="s">
        <v>1243</v>
      </c>
      <c r="N3889" t="s">
        <v>1844</v>
      </c>
      <c r="O3889" t="s">
        <v>598</v>
      </c>
      <c r="P3889">
        <v>-20.191507999999999</v>
      </c>
      <c r="Q3889">
        <v>-44.942765000000001</v>
      </c>
      <c r="R3889" s="2" t="str">
        <f>HYPERLINK("https://www.google.com/maps?q=-20.1915080,-44.9427650","Abrir no Google Maps")</f>
        <v>Abrir no Google Maps</v>
      </c>
      <c r="S3889">
        <v>3</v>
      </c>
      <c r="T3889">
        <v>481.65843439031818</v>
      </c>
      <c r="U3889">
        <v>4</v>
      </c>
      <c r="V3889">
        <v>0.46666587769021528</v>
      </c>
      <c r="W3889">
        <v>1</v>
      </c>
      <c r="X3889">
        <v>0.46666587769021528</v>
      </c>
      <c r="Y3889">
        <v>113</v>
      </c>
      <c r="Z3889">
        <v>403.01657911729887</v>
      </c>
      <c r="AA3889">
        <v>198</v>
      </c>
      <c r="AB3889">
        <v>332</v>
      </c>
      <c r="AC3889">
        <v>536</v>
      </c>
      <c r="AD3889">
        <v>33.19</v>
      </c>
      <c r="AE3889">
        <v>542</v>
      </c>
      <c r="AF3889">
        <v>41</v>
      </c>
      <c r="AG3889">
        <v>175</v>
      </c>
      <c r="AH3889">
        <v>129</v>
      </c>
      <c r="AI3889">
        <v>7.56</v>
      </c>
      <c r="AJ3889">
        <v>32.29</v>
      </c>
      <c r="AK3889">
        <v>23.8</v>
      </c>
      <c r="AL3889">
        <v>-20.19144764999993</v>
      </c>
      <c r="AM3889">
        <v>-44.942723431709183</v>
      </c>
      <c r="AN3889">
        <v>-20.19144764999993</v>
      </c>
      <c r="AO3889">
        <v>-44.942723431709183</v>
      </c>
      <c r="AP3889">
        <v>-20.191507999999999</v>
      </c>
      <c r="AQ3889">
        <v>-44.942765000000001</v>
      </c>
      <c r="AR3889">
        <v>7.9997116897974587</v>
      </c>
      <c r="AS3889" t="s">
        <v>65</v>
      </c>
      <c r="AT3889">
        <v>1</v>
      </c>
      <c r="AU3889" t="s">
        <v>1845</v>
      </c>
      <c r="AV3889" t="s">
        <v>1846</v>
      </c>
      <c r="AW3889" t="s">
        <v>60</v>
      </c>
      <c r="AX3889" t="s">
        <v>68</v>
      </c>
      <c r="AY3889" t="s">
        <v>69</v>
      </c>
      <c r="AZ3889" t="b">
        <v>1</v>
      </c>
    </row>
    <row r="3890" spans="1:52" x14ac:dyDescent="0.3">
      <c r="A3890" t="s">
        <v>52</v>
      </c>
      <c r="B3890" t="s">
        <v>53</v>
      </c>
      <c r="C3890" t="s">
        <v>54</v>
      </c>
      <c r="D3890" t="s">
        <v>55</v>
      </c>
      <c r="E3890" t="s">
        <v>2206</v>
      </c>
      <c r="F3890" t="s">
        <v>190</v>
      </c>
      <c r="G3890" t="s">
        <v>1241</v>
      </c>
      <c r="H3890" t="s">
        <v>1242</v>
      </c>
      <c r="I3890" t="s">
        <v>1242</v>
      </c>
      <c r="J3890" t="s">
        <v>60</v>
      </c>
      <c r="K3890" t="s">
        <v>1243</v>
      </c>
      <c r="L3890" t="s">
        <v>62</v>
      </c>
      <c r="M3890" t="s">
        <v>1243</v>
      </c>
      <c r="N3890" t="s">
        <v>1244</v>
      </c>
      <c r="O3890" t="s">
        <v>315</v>
      </c>
      <c r="P3890">
        <v>-20.188538000000001</v>
      </c>
      <c r="Q3890">
        <v>-44.930104</v>
      </c>
      <c r="R3890" s="2" t="str">
        <f>HYPERLINK("https://www.google.com/maps?q=-20.1885380,-44.9301040","Abrir no Google Maps")</f>
        <v>Abrir no Google Maps</v>
      </c>
      <c r="S3890">
        <v>3</v>
      </c>
      <c r="T3890">
        <v>928.27105405717066</v>
      </c>
      <c r="U3890">
        <v>4</v>
      </c>
      <c r="V3890">
        <v>0.46286096233874108</v>
      </c>
      <c r="W3890">
        <v>1</v>
      </c>
      <c r="X3890">
        <v>0.46286096233874108</v>
      </c>
      <c r="Y3890">
        <v>113</v>
      </c>
      <c r="Z3890">
        <v>1111.4269393179579</v>
      </c>
      <c r="AA3890">
        <v>198</v>
      </c>
      <c r="AB3890">
        <v>332</v>
      </c>
      <c r="AC3890">
        <v>536</v>
      </c>
      <c r="AD3890">
        <v>33.19</v>
      </c>
      <c r="AE3890">
        <v>542</v>
      </c>
      <c r="AF3890">
        <v>41</v>
      </c>
      <c r="AG3890">
        <v>175</v>
      </c>
      <c r="AH3890">
        <v>129</v>
      </c>
      <c r="AI3890">
        <v>7.56</v>
      </c>
      <c r="AJ3890">
        <v>32.29</v>
      </c>
      <c r="AK3890">
        <v>23.8</v>
      </c>
      <c r="AL3890">
        <v>-20.18852899999996</v>
      </c>
      <c r="AM3890">
        <v>-44.930083089036543</v>
      </c>
      <c r="AN3890">
        <v>-20.18852899999996</v>
      </c>
      <c r="AO3890">
        <v>-44.930083089036543</v>
      </c>
      <c r="AP3890">
        <v>-20.188538000000001</v>
      </c>
      <c r="AQ3890">
        <v>-44.930104</v>
      </c>
      <c r="AR3890">
        <v>2.4035564137158438</v>
      </c>
      <c r="AS3890" t="s">
        <v>65</v>
      </c>
      <c r="AT3890">
        <v>1</v>
      </c>
      <c r="AU3890" t="s">
        <v>1245</v>
      </c>
      <c r="AV3890" t="s">
        <v>1246</v>
      </c>
      <c r="AW3890" t="s">
        <v>60</v>
      </c>
      <c r="AX3890" t="s">
        <v>68</v>
      </c>
      <c r="AY3890" t="s">
        <v>69</v>
      </c>
      <c r="AZ3890" t="b">
        <v>1</v>
      </c>
    </row>
    <row r="3891" spans="1:52" x14ac:dyDescent="0.3">
      <c r="A3891" t="s">
        <v>52</v>
      </c>
      <c r="B3891" t="s">
        <v>53</v>
      </c>
      <c r="C3891" t="s">
        <v>54</v>
      </c>
      <c r="D3891" t="s">
        <v>55</v>
      </c>
      <c r="E3891" t="s">
        <v>2206</v>
      </c>
      <c r="F3891" t="s">
        <v>190</v>
      </c>
      <c r="G3891" t="s">
        <v>2068</v>
      </c>
      <c r="H3891" t="s">
        <v>2069</v>
      </c>
      <c r="I3891" t="s">
        <v>2069</v>
      </c>
      <c r="J3891" t="s">
        <v>60</v>
      </c>
      <c r="K3891" t="s">
        <v>1243</v>
      </c>
      <c r="L3891" t="s">
        <v>62</v>
      </c>
      <c r="M3891" t="s">
        <v>1243</v>
      </c>
      <c r="N3891" t="s">
        <v>2070</v>
      </c>
      <c r="O3891" t="s">
        <v>2071</v>
      </c>
      <c r="P3891">
        <v>-20.191583999999999</v>
      </c>
      <c r="Q3891">
        <v>-44.935839999999999</v>
      </c>
      <c r="R3891" s="2" t="str">
        <f>HYPERLINK("https://www.google.com/maps?q=-20.1915840,-44.9358400","Abrir no Google Maps")</f>
        <v>Abrir no Google Maps</v>
      </c>
      <c r="S3891">
        <v>3</v>
      </c>
      <c r="T3891">
        <v>307.37698546101831</v>
      </c>
      <c r="U3891">
        <v>4</v>
      </c>
      <c r="V3891">
        <v>0.4947940757831773</v>
      </c>
      <c r="W3891">
        <v>0.85</v>
      </c>
      <c r="X3891">
        <v>0.42057496441570069</v>
      </c>
      <c r="Y3891">
        <v>113</v>
      </c>
      <c r="Z3891">
        <v>564.35501618411911</v>
      </c>
      <c r="AA3891">
        <v>198</v>
      </c>
      <c r="AB3891">
        <v>332</v>
      </c>
      <c r="AC3891">
        <v>536</v>
      </c>
      <c r="AD3891">
        <v>33.19</v>
      </c>
      <c r="AE3891">
        <v>542</v>
      </c>
      <c r="AF3891">
        <v>41</v>
      </c>
      <c r="AG3891">
        <v>175</v>
      </c>
      <c r="AH3891">
        <v>129</v>
      </c>
      <c r="AI3891">
        <v>7.56</v>
      </c>
      <c r="AJ3891">
        <v>32.29</v>
      </c>
      <c r="AK3891">
        <v>23.8</v>
      </c>
      <c r="AL3891">
        <v>-20.191156699999961</v>
      </c>
      <c r="AM3891">
        <v>-44.935363697152681</v>
      </c>
      <c r="AN3891">
        <v>-20.191156699999961</v>
      </c>
      <c r="AO3891">
        <v>-44.935363697152681</v>
      </c>
      <c r="AP3891">
        <v>-20.191583999999999</v>
      </c>
      <c r="AQ3891">
        <v>-44.935839999999999</v>
      </c>
      <c r="AR3891">
        <v>68.84070092388103</v>
      </c>
      <c r="AS3891" t="s">
        <v>65</v>
      </c>
      <c r="AT3891">
        <v>1</v>
      </c>
      <c r="AU3891" t="s">
        <v>2072</v>
      </c>
      <c r="AV3891" t="s">
        <v>2073</v>
      </c>
      <c r="AW3891" t="s">
        <v>60</v>
      </c>
      <c r="AX3891" t="s">
        <v>68</v>
      </c>
      <c r="AY3891" t="s">
        <v>69</v>
      </c>
      <c r="AZ3891" t="b">
        <v>1</v>
      </c>
    </row>
    <row r="3892" spans="1:52" x14ac:dyDescent="0.3">
      <c r="A3892" t="s">
        <v>52</v>
      </c>
      <c r="B3892" t="s">
        <v>53</v>
      </c>
      <c r="C3892" t="s">
        <v>54</v>
      </c>
      <c r="D3892" t="s">
        <v>55</v>
      </c>
      <c r="E3892" t="s">
        <v>2206</v>
      </c>
      <c r="F3892" t="s">
        <v>190</v>
      </c>
      <c r="G3892" t="s">
        <v>1235</v>
      </c>
      <c r="H3892" t="s">
        <v>1847</v>
      </c>
      <c r="I3892" t="s">
        <v>1847</v>
      </c>
      <c r="J3892" t="s">
        <v>60</v>
      </c>
      <c r="K3892" t="s">
        <v>1243</v>
      </c>
      <c r="L3892" t="s">
        <v>62</v>
      </c>
      <c r="M3892" t="s">
        <v>1243</v>
      </c>
      <c r="N3892" t="s">
        <v>1238</v>
      </c>
      <c r="O3892" t="s">
        <v>1351</v>
      </c>
      <c r="P3892">
        <v>-20.194087</v>
      </c>
      <c r="Q3892">
        <v>-44.936889999999998</v>
      </c>
      <c r="R3892" s="2" t="str">
        <f>HYPERLINK("https://www.google.com/maps?q=-20.1940870,-44.9368900","Abrir no Google Maps")</f>
        <v>Abrir no Google Maps</v>
      </c>
      <c r="S3892">
        <v>3</v>
      </c>
      <c r="T3892">
        <v>257.18642318734362</v>
      </c>
      <c r="U3892">
        <v>4</v>
      </c>
      <c r="V3892">
        <v>0.51015762944750842</v>
      </c>
      <c r="W3892">
        <v>1</v>
      </c>
      <c r="X3892">
        <v>0.51015762944750842</v>
      </c>
      <c r="Y3892">
        <v>113</v>
      </c>
      <c r="Z3892">
        <v>339.77652558311001</v>
      </c>
      <c r="AA3892">
        <v>198</v>
      </c>
      <c r="AB3892">
        <v>332</v>
      </c>
      <c r="AC3892">
        <v>536</v>
      </c>
      <c r="AD3892">
        <v>33.19</v>
      </c>
      <c r="AE3892">
        <v>542</v>
      </c>
      <c r="AF3892">
        <v>41</v>
      </c>
      <c r="AG3892">
        <v>175</v>
      </c>
      <c r="AH3892">
        <v>129</v>
      </c>
      <c r="AI3892">
        <v>7.56</v>
      </c>
      <c r="AJ3892">
        <v>32.29</v>
      </c>
      <c r="AK3892">
        <v>23.8</v>
      </c>
      <c r="AL3892">
        <v>-20.19405954999996</v>
      </c>
      <c r="AM3892">
        <v>-44.936949074015281</v>
      </c>
      <c r="AN3892">
        <v>-20.19405954999996</v>
      </c>
      <c r="AO3892">
        <v>-44.936949074015281</v>
      </c>
      <c r="AP3892">
        <v>-20.194087</v>
      </c>
      <c r="AQ3892">
        <v>-44.936889999999998</v>
      </c>
      <c r="AR3892">
        <v>6.8869138825619167</v>
      </c>
      <c r="AS3892" t="s">
        <v>65</v>
      </c>
      <c r="AT3892">
        <v>1</v>
      </c>
      <c r="AU3892" t="s">
        <v>1848</v>
      </c>
      <c r="AV3892" t="s">
        <v>1849</v>
      </c>
      <c r="AW3892" t="s">
        <v>60</v>
      </c>
      <c r="AX3892" t="s">
        <v>68</v>
      </c>
      <c r="AY3892" t="s">
        <v>69</v>
      </c>
      <c r="AZ3892" t="b">
        <v>1</v>
      </c>
    </row>
    <row r="3893" spans="1:52" x14ac:dyDescent="0.3">
      <c r="A3893" t="s">
        <v>52</v>
      </c>
      <c r="B3893" t="s">
        <v>53</v>
      </c>
      <c r="C3893" t="s">
        <v>54</v>
      </c>
      <c r="D3893" t="s">
        <v>55</v>
      </c>
      <c r="E3893" t="s">
        <v>2206</v>
      </c>
      <c r="F3893" t="s">
        <v>190</v>
      </c>
      <c r="G3893" t="s">
        <v>1850</v>
      </c>
      <c r="H3893" t="s">
        <v>1851</v>
      </c>
      <c r="I3893" t="s">
        <v>1851</v>
      </c>
      <c r="J3893" t="s">
        <v>60</v>
      </c>
      <c r="K3893" t="s">
        <v>1681</v>
      </c>
      <c r="L3893" t="s">
        <v>62</v>
      </c>
      <c r="M3893" t="s">
        <v>1681</v>
      </c>
      <c r="N3893" t="s">
        <v>1852</v>
      </c>
      <c r="O3893" t="s">
        <v>1853</v>
      </c>
      <c r="P3893">
        <v>-20.139354000000001</v>
      </c>
      <c r="Q3893">
        <v>-44.855398999999998</v>
      </c>
      <c r="R3893" s="2" t="str">
        <f>HYPERLINK("https://www.google.com/maps?q=-20.1393540,-44.8553990","Abrir no Google Maps")</f>
        <v>Abrir no Google Maps</v>
      </c>
      <c r="S3893">
        <v>3</v>
      </c>
      <c r="T3893">
        <v>694.41696355871329</v>
      </c>
      <c r="U3893">
        <v>4</v>
      </c>
      <c r="V3893">
        <v>0.47637432292053999</v>
      </c>
      <c r="W3893">
        <v>1</v>
      </c>
      <c r="X3893">
        <v>0.47637432292053999</v>
      </c>
      <c r="Y3893">
        <v>95</v>
      </c>
      <c r="Z3893">
        <v>790.58507878435637</v>
      </c>
      <c r="AA3893">
        <v>198</v>
      </c>
      <c r="AB3893">
        <v>332</v>
      </c>
      <c r="AC3893">
        <v>536</v>
      </c>
      <c r="AD3893">
        <v>33.19</v>
      </c>
      <c r="AE3893">
        <v>542</v>
      </c>
      <c r="AF3893">
        <v>41</v>
      </c>
      <c r="AG3893">
        <v>175</v>
      </c>
      <c r="AH3893">
        <v>129</v>
      </c>
      <c r="AI3893">
        <v>7.56</v>
      </c>
      <c r="AJ3893">
        <v>32.29</v>
      </c>
      <c r="AK3893">
        <v>23.8</v>
      </c>
      <c r="AL3893">
        <v>-20.139412599999961</v>
      </c>
      <c r="AM3893">
        <v>-44.855150404999961</v>
      </c>
      <c r="AN3893">
        <v>-20.139412599999961</v>
      </c>
      <c r="AO3893">
        <v>-44.855150404999961</v>
      </c>
      <c r="AP3893">
        <v>-20.139354000000001</v>
      </c>
      <c r="AQ3893">
        <v>-44.855398999999998</v>
      </c>
      <c r="AR3893">
        <v>26.787980665123101</v>
      </c>
      <c r="AS3893" t="s">
        <v>65</v>
      </c>
      <c r="AT3893">
        <v>1</v>
      </c>
      <c r="AU3893" t="s">
        <v>1854</v>
      </c>
      <c r="AV3893" t="s">
        <v>1855</v>
      </c>
      <c r="AW3893" t="s">
        <v>60</v>
      </c>
      <c r="AX3893" t="s">
        <v>68</v>
      </c>
      <c r="AY3893" t="s">
        <v>69</v>
      </c>
      <c r="AZ3893" t="b">
        <v>1</v>
      </c>
    </row>
    <row r="3894" spans="1:52" x14ac:dyDescent="0.3">
      <c r="A3894" t="s">
        <v>52</v>
      </c>
      <c r="B3894" t="s">
        <v>53</v>
      </c>
      <c r="C3894" t="s">
        <v>54</v>
      </c>
      <c r="D3894" t="s">
        <v>55</v>
      </c>
      <c r="E3894" t="s">
        <v>2206</v>
      </c>
      <c r="F3894" t="s">
        <v>190</v>
      </c>
      <c r="G3894" t="s">
        <v>380</v>
      </c>
      <c r="H3894" t="s">
        <v>381</v>
      </c>
      <c r="I3894" t="s">
        <v>381</v>
      </c>
      <c r="J3894" t="s">
        <v>60</v>
      </c>
      <c r="K3894" t="s">
        <v>72</v>
      </c>
      <c r="L3894" t="s">
        <v>62</v>
      </c>
      <c r="M3894" t="s">
        <v>72</v>
      </c>
      <c r="N3894" t="s">
        <v>382</v>
      </c>
      <c r="O3894" t="s">
        <v>383</v>
      </c>
      <c r="P3894">
        <v>-20.147182000000001</v>
      </c>
      <c r="Q3894">
        <v>-44.912728999999999</v>
      </c>
      <c r="R3894" s="2" t="str">
        <f>HYPERLINK("https://www.google.com/maps?q=-20.1471820,-44.9127290","Abrir no Google Maps")</f>
        <v>Abrir no Google Maps</v>
      </c>
      <c r="S3894">
        <v>3</v>
      </c>
      <c r="T3894">
        <v>478.0141981540923</v>
      </c>
      <c r="U3894">
        <v>3</v>
      </c>
      <c r="V3894">
        <v>0.38336308767281968</v>
      </c>
      <c r="W3894">
        <v>1</v>
      </c>
      <c r="X3894">
        <v>0.38336308767281968</v>
      </c>
      <c r="Y3894">
        <v>747</v>
      </c>
      <c r="Z3894">
        <v>494.0254290673729</v>
      </c>
      <c r="AA3894">
        <v>198</v>
      </c>
      <c r="AB3894">
        <v>332</v>
      </c>
      <c r="AC3894">
        <v>536</v>
      </c>
      <c r="AD3894">
        <v>33.19</v>
      </c>
      <c r="AE3894">
        <v>542</v>
      </c>
      <c r="AF3894">
        <v>41</v>
      </c>
      <c r="AG3894">
        <v>175</v>
      </c>
      <c r="AH3894">
        <v>129</v>
      </c>
      <c r="AI3894">
        <v>7.56</v>
      </c>
      <c r="AJ3894">
        <v>32.29</v>
      </c>
      <c r="AK3894">
        <v>23.8</v>
      </c>
      <c r="AL3894">
        <v>-20.147375599999979</v>
      </c>
      <c r="AM3894">
        <v>-44.912907472879468</v>
      </c>
      <c r="AN3894">
        <v>-20.147375599999979</v>
      </c>
      <c r="AO3894">
        <v>-44.912907472879468</v>
      </c>
      <c r="AP3894">
        <v>-20.147182000000001</v>
      </c>
      <c r="AQ3894">
        <v>-44.912728999999999</v>
      </c>
      <c r="AR3894">
        <v>28.50197694184326</v>
      </c>
      <c r="AS3894" t="s">
        <v>65</v>
      </c>
      <c r="AT3894">
        <v>1</v>
      </c>
      <c r="AU3894" t="s">
        <v>384</v>
      </c>
      <c r="AV3894" t="s">
        <v>385</v>
      </c>
      <c r="AW3894" t="s">
        <v>60</v>
      </c>
      <c r="AX3894" t="s">
        <v>68</v>
      </c>
      <c r="AY3894" t="s">
        <v>69</v>
      </c>
      <c r="AZ3894" t="b">
        <v>1</v>
      </c>
    </row>
    <row r="3895" spans="1:52" x14ac:dyDescent="0.3">
      <c r="A3895" t="s">
        <v>52</v>
      </c>
      <c r="B3895" t="s">
        <v>53</v>
      </c>
      <c r="C3895" t="s">
        <v>54</v>
      </c>
      <c r="D3895" t="s">
        <v>55</v>
      </c>
      <c r="E3895" t="s">
        <v>2206</v>
      </c>
      <c r="F3895" t="s">
        <v>190</v>
      </c>
      <c r="G3895" t="s">
        <v>833</v>
      </c>
      <c r="H3895" t="s">
        <v>834</v>
      </c>
      <c r="I3895" t="s">
        <v>834</v>
      </c>
      <c r="J3895" t="s">
        <v>60</v>
      </c>
      <c r="K3895" t="s">
        <v>388</v>
      </c>
      <c r="L3895" t="s">
        <v>62</v>
      </c>
      <c r="M3895" t="s">
        <v>388</v>
      </c>
      <c r="N3895" t="s">
        <v>835</v>
      </c>
      <c r="O3895" t="s">
        <v>836</v>
      </c>
      <c r="P3895">
        <v>-20.157906000000001</v>
      </c>
      <c r="Q3895">
        <v>-44.900458999999998</v>
      </c>
      <c r="R3895" s="2" t="str">
        <f>HYPERLINK("https://www.google.com/maps?q=-20.1579060,-44.9004590","Abrir no Google Maps")</f>
        <v>Abrir no Google Maps</v>
      </c>
      <c r="S3895">
        <v>3</v>
      </c>
      <c r="T3895">
        <v>0</v>
      </c>
      <c r="U3895">
        <v>3</v>
      </c>
      <c r="V3895">
        <v>0.37747030220340461</v>
      </c>
      <c r="W3895">
        <v>1</v>
      </c>
      <c r="X3895">
        <v>0.37747030220340461</v>
      </c>
      <c r="Y3895">
        <v>729</v>
      </c>
      <c r="Z3895">
        <v>203.63168486652771</v>
      </c>
      <c r="AA3895">
        <v>198</v>
      </c>
      <c r="AB3895">
        <v>332</v>
      </c>
      <c r="AC3895">
        <v>536</v>
      </c>
      <c r="AD3895">
        <v>33.19</v>
      </c>
      <c r="AE3895">
        <v>542</v>
      </c>
      <c r="AF3895">
        <v>41</v>
      </c>
      <c r="AG3895">
        <v>175</v>
      </c>
      <c r="AH3895">
        <v>129</v>
      </c>
      <c r="AI3895">
        <v>7.56</v>
      </c>
      <c r="AJ3895">
        <v>32.29</v>
      </c>
      <c r="AK3895">
        <v>23.8</v>
      </c>
      <c r="AL3895">
        <v>-20.157925749999951</v>
      </c>
      <c r="AM3895">
        <v>-44.900484707799812</v>
      </c>
      <c r="AN3895">
        <v>-20.157925749999951</v>
      </c>
      <c r="AO3895">
        <v>-44.900484707799812</v>
      </c>
      <c r="AP3895">
        <v>-20.157906000000001</v>
      </c>
      <c r="AQ3895">
        <v>-44.900458999999998</v>
      </c>
      <c r="AR3895">
        <v>3.4714515960382508</v>
      </c>
      <c r="AS3895" t="s">
        <v>65</v>
      </c>
      <c r="AT3895">
        <v>1</v>
      </c>
      <c r="AU3895" t="s">
        <v>837</v>
      </c>
      <c r="AV3895" t="s">
        <v>838</v>
      </c>
      <c r="AW3895" t="s">
        <v>60</v>
      </c>
      <c r="AX3895" t="s">
        <v>68</v>
      </c>
      <c r="AY3895" t="s">
        <v>69</v>
      </c>
      <c r="AZ3895" t="b">
        <v>1</v>
      </c>
    </row>
    <row r="3896" spans="1:52" x14ac:dyDescent="0.3">
      <c r="A3896" t="s">
        <v>52</v>
      </c>
      <c r="B3896" t="s">
        <v>53</v>
      </c>
      <c r="C3896" t="s">
        <v>54</v>
      </c>
      <c r="D3896" t="s">
        <v>55</v>
      </c>
      <c r="E3896" t="s">
        <v>2206</v>
      </c>
      <c r="F3896" t="s">
        <v>190</v>
      </c>
      <c r="G3896" t="s">
        <v>839</v>
      </c>
      <c r="H3896" t="s">
        <v>840</v>
      </c>
      <c r="I3896" t="s">
        <v>840</v>
      </c>
      <c r="J3896" t="s">
        <v>60</v>
      </c>
      <c r="K3896" t="s">
        <v>388</v>
      </c>
      <c r="L3896" t="s">
        <v>62</v>
      </c>
      <c r="M3896" t="s">
        <v>388</v>
      </c>
      <c r="N3896" t="s">
        <v>841</v>
      </c>
      <c r="O3896" t="s">
        <v>842</v>
      </c>
      <c r="P3896">
        <v>-20.159977999999999</v>
      </c>
      <c r="Q3896">
        <v>-44.900207000000002</v>
      </c>
      <c r="R3896" s="2" t="str">
        <f>HYPERLINK("https://www.google.com/maps?q=-20.1599780,-44.9002070","Abrir no Google Maps")</f>
        <v>Abrir no Google Maps</v>
      </c>
      <c r="S3896">
        <v>3</v>
      </c>
      <c r="T3896">
        <v>213.24333517300789</v>
      </c>
      <c r="U3896">
        <v>3</v>
      </c>
      <c r="V3896">
        <v>0.37580926377860902</v>
      </c>
      <c r="W3896">
        <v>1</v>
      </c>
      <c r="X3896">
        <v>0.37580926377860902</v>
      </c>
      <c r="Y3896">
        <v>729</v>
      </c>
      <c r="Z3896">
        <v>315.47173727880028</v>
      </c>
      <c r="AA3896">
        <v>198</v>
      </c>
      <c r="AB3896">
        <v>332</v>
      </c>
      <c r="AC3896">
        <v>536</v>
      </c>
      <c r="AD3896">
        <v>33.19</v>
      </c>
      <c r="AE3896">
        <v>542</v>
      </c>
      <c r="AF3896">
        <v>41</v>
      </c>
      <c r="AG3896">
        <v>175</v>
      </c>
      <c r="AH3896">
        <v>129</v>
      </c>
      <c r="AI3896">
        <v>7.56</v>
      </c>
      <c r="AJ3896">
        <v>32.29</v>
      </c>
      <c r="AK3896">
        <v>23.8</v>
      </c>
      <c r="AL3896">
        <v>-20.159825649999959</v>
      </c>
      <c r="AM3896">
        <v>-44.900143828909613</v>
      </c>
      <c r="AN3896">
        <v>-20.159825649999959</v>
      </c>
      <c r="AO3896">
        <v>-44.900143828909613</v>
      </c>
      <c r="AP3896">
        <v>-20.159977999999999</v>
      </c>
      <c r="AQ3896">
        <v>-44.900207000000002</v>
      </c>
      <c r="AR3896">
        <v>18.199073573580371</v>
      </c>
      <c r="AS3896" t="s">
        <v>65</v>
      </c>
      <c r="AT3896">
        <v>1</v>
      </c>
      <c r="AU3896" t="s">
        <v>843</v>
      </c>
      <c r="AV3896" t="s">
        <v>844</v>
      </c>
      <c r="AW3896" t="s">
        <v>60</v>
      </c>
      <c r="AX3896" t="s">
        <v>68</v>
      </c>
      <c r="AY3896" t="s">
        <v>69</v>
      </c>
      <c r="AZ3896" t="b">
        <v>1</v>
      </c>
    </row>
    <row r="3897" spans="1:52" x14ac:dyDescent="0.3">
      <c r="A3897" t="s">
        <v>52</v>
      </c>
      <c r="B3897" t="s">
        <v>53</v>
      </c>
      <c r="C3897" t="s">
        <v>54</v>
      </c>
      <c r="D3897" t="s">
        <v>55</v>
      </c>
      <c r="E3897" t="s">
        <v>2206</v>
      </c>
      <c r="F3897" t="s">
        <v>190</v>
      </c>
      <c r="G3897" t="s">
        <v>1278</v>
      </c>
      <c r="H3897" t="s">
        <v>1279</v>
      </c>
      <c r="I3897" t="s">
        <v>1279</v>
      </c>
      <c r="J3897" t="s">
        <v>60</v>
      </c>
      <c r="K3897" t="s">
        <v>388</v>
      </c>
      <c r="L3897" t="s">
        <v>62</v>
      </c>
      <c r="M3897" t="s">
        <v>388</v>
      </c>
      <c r="N3897" t="s">
        <v>1280</v>
      </c>
      <c r="O3897" t="s">
        <v>216</v>
      </c>
      <c r="P3897">
        <v>-20.15681</v>
      </c>
      <c r="Q3897">
        <v>-44.899290999999998</v>
      </c>
      <c r="R3897" s="2" t="str">
        <f>HYPERLINK("https://www.google.com/maps?q=-20.1568100,-44.8992910","Abrir no Google Maps")</f>
        <v>Abrir no Google Maps</v>
      </c>
      <c r="S3897">
        <v>3</v>
      </c>
      <c r="T3897">
        <v>180.10162979749811</v>
      </c>
      <c r="U3897">
        <v>3</v>
      </c>
      <c r="V3897">
        <v>0.43779824430629671</v>
      </c>
      <c r="W3897">
        <v>0.85</v>
      </c>
      <c r="X3897">
        <v>0.37212850766035221</v>
      </c>
      <c r="Y3897">
        <v>729</v>
      </c>
      <c r="Z3897">
        <v>368.06065118133841</v>
      </c>
      <c r="AA3897">
        <v>198</v>
      </c>
      <c r="AB3897">
        <v>332</v>
      </c>
      <c r="AC3897">
        <v>536</v>
      </c>
      <c r="AD3897">
        <v>33.19</v>
      </c>
      <c r="AE3897">
        <v>542</v>
      </c>
      <c r="AF3897">
        <v>41</v>
      </c>
      <c r="AG3897">
        <v>175</v>
      </c>
      <c r="AH3897">
        <v>129</v>
      </c>
      <c r="AI3897">
        <v>7.56</v>
      </c>
      <c r="AJ3897">
        <v>32.29</v>
      </c>
      <c r="AK3897">
        <v>23.8</v>
      </c>
      <c r="AL3897">
        <v>-20.156785649999961</v>
      </c>
      <c r="AM3897">
        <v>-44.899254812291332</v>
      </c>
      <c r="AN3897">
        <v>-20.156785649999961</v>
      </c>
      <c r="AO3897">
        <v>-44.899254812291332</v>
      </c>
      <c r="AP3897">
        <v>-20.15681</v>
      </c>
      <c r="AQ3897">
        <v>-44.899290999999998</v>
      </c>
      <c r="AR3897">
        <v>4.6528211992813118</v>
      </c>
      <c r="AS3897" t="s">
        <v>65</v>
      </c>
      <c r="AT3897">
        <v>1</v>
      </c>
      <c r="AU3897" t="s">
        <v>1281</v>
      </c>
      <c r="AV3897" t="s">
        <v>1282</v>
      </c>
      <c r="AW3897" t="s">
        <v>60</v>
      </c>
      <c r="AX3897" t="s">
        <v>68</v>
      </c>
      <c r="AY3897" t="s">
        <v>69</v>
      </c>
      <c r="AZ3897" t="b">
        <v>1</v>
      </c>
    </row>
    <row r="3898" spans="1:52" x14ac:dyDescent="0.3">
      <c r="A3898" t="s">
        <v>52</v>
      </c>
      <c r="B3898" t="s">
        <v>53</v>
      </c>
      <c r="C3898" t="s">
        <v>54</v>
      </c>
      <c r="D3898" t="s">
        <v>55</v>
      </c>
      <c r="E3898" t="s">
        <v>2206</v>
      </c>
      <c r="F3898" t="s">
        <v>190</v>
      </c>
      <c r="G3898" t="s">
        <v>1417</v>
      </c>
      <c r="H3898" t="s">
        <v>1418</v>
      </c>
      <c r="I3898" t="s">
        <v>1418</v>
      </c>
      <c r="J3898" t="s">
        <v>60</v>
      </c>
      <c r="K3898" t="s">
        <v>1419</v>
      </c>
      <c r="L3898" t="s">
        <v>62</v>
      </c>
      <c r="M3898" t="s">
        <v>1419</v>
      </c>
      <c r="N3898" t="s">
        <v>1420</v>
      </c>
      <c r="O3898" t="s">
        <v>1421</v>
      </c>
      <c r="P3898">
        <v>-20.159427000000001</v>
      </c>
      <c r="Q3898">
        <v>-44.897143</v>
      </c>
      <c r="R3898" s="2" t="str">
        <f>HYPERLINK("https://www.google.com/maps?q=-20.1594270,-44.8971430","Abrir no Google Maps")</f>
        <v>Abrir no Google Maps</v>
      </c>
      <c r="S3898">
        <v>3</v>
      </c>
      <c r="T3898">
        <v>392.64349875646298</v>
      </c>
      <c r="U3898">
        <v>3</v>
      </c>
      <c r="V3898">
        <v>0.44789135796066443</v>
      </c>
      <c r="W3898">
        <v>0.85</v>
      </c>
      <c r="X3898">
        <v>0.38070765426656478</v>
      </c>
      <c r="Y3898">
        <v>729</v>
      </c>
      <c r="Z3898">
        <v>550.20062797366995</v>
      </c>
      <c r="AA3898">
        <v>198</v>
      </c>
      <c r="AB3898">
        <v>332</v>
      </c>
      <c r="AC3898">
        <v>536</v>
      </c>
      <c r="AD3898">
        <v>33.19</v>
      </c>
      <c r="AE3898">
        <v>542</v>
      </c>
      <c r="AF3898">
        <v>41</v>
      </c>
      <c r="AG3898">
        <v>175</v>
      </c>
      <c r="AH3898">
        <v>129</v>
      </c>
      <c r="AI3898">
        <v>7.56</v>
      </c>
      <c r="AJ3898">
        <v>32.29</v>
      </c>
      <c r="AK3898">
        <v>23.8</v>
      </c>
      <c r="AL3898">
        <v>-20.15946549999995</v>
      </c>
      <c r="AM3898">
        <v>-44.89709959354267</v>
      </c>
      <c r="AN3898">
        <v>-20.15946549999995</v>
      </c>
      <c r="AO3898">
        <v>-44.89709959354267</v>
      </c>
      <c r="AP3898">
        <v>-20.159427000000001</v>
      </c>
      <c r="AQ3898">
        <v>-44.897143</v>
      </c>
      <c r="AR3898">
        <v>6.2404649979039286</v>
      </c>
      <c r="AS3898" t="s">
        <v>65</v>
      </c>
      <c r="AT3898">
        <v>1</v>
      </c>
      <c r="AU3898" t="s">
        <v>1422</v>
      </c>
      <c r="AV3898" t="s">
        <v>1423</v>
      </c>
      <c r="AW3898" t="s">
        <v>60</v>
      </c>
      <c r="AX3898" t="s">
        <v>68</v>
      </c>
      <c r="AY3898" t="s">
        <v>69</v>
      </c>
      <c r="AZ3898" t="b">
        <v>1</v>
      </c>
    </row>
    <row r="3899" spans="1:52" x14ac:dyDescent="0.3">
      <c r="A3899" t="s">
        <v>52</v>
      </c>
      <c r="B3899" t="s">
        <v>53</v>
      </c>
      <c r="C3899" t="s">
        <v>54</v>
      </c>
      <c r="D3899" t="s">
        <v>55</v>
      </c>
      <c r="E3899" t="s">
        <v>2206</v>
      </c>
      <c r="F3899" t="s">
        <v>190</v>
      </c>
      <c r="G3899" t="s">
        <v>422</v>
      </c>
      <c r="H3899" t="s">
        <v>423</v>
      </c>
      <c r="I3899" t="s">
        <v>423</v>
      </c>
      <c r="J3899" t="s">
        <v>60</v>
      </c>
      <c r="K3899" t="s">
        <v>424</v>
      </c>
      <c r="L3899" t="s">
        <v>62</v>
      </c>
      <c r="M3899" t="s">
        <v>424</v>
      </c>
      <c r="N3899" t="s">
        <v>425</v>
      </c>
      <c r="O3899" t="s">
        <v>426</v>
      </c>
      <c r="P3899">
        <v>-20.177748000000001</v>
      </c>
      <c r="Q3899">
        <v>-44.912475000000001</v>
      </c>
      <c r="R3899" s="2" t="str">
        <f>HYPERLINK("https://www.google.com/maps?q=-20.1777480,-44.9124750","Abrir no Google Maps")</f>
        <v>Abrir no Google Maps</v>
      </c>
      <c r="S3899">
        <v>3</v>
      </c>
      <c r="T3899">
        <v>657.07560140436533</v>
      </c>
      <c r="U3899">
        <v>3</v>
      </c>
      <c r="V3899">
        <v>0.40006328014573311</v>
      </c>
      <c r="W3899">
        <v>1</v>
      </c>
      <c r="X3899">
        <v>0.40006328014573311</v>
      </c>
      <c r="Y3899">
        <v>723</v>
      </c>
      <c r="Z3899">
        <v>796.94198000561175</v>
      </c>
      <c r="AA3899">
        <v>198</v>
      </c>
      <c r="AB3899">
        <v>332</v>
      </c>
      <c r="AC3899">
        <v>536</v>
      </c>
      <c r="AD3899">
        <v>33.19</v>
      </c>
      <c r="AE3899">
        <v>542</v>
      </c>
      <c r="AF3899">
        <v>41</v>
      </c>
      <c r="AG3899">
        <v>175</v>
      </c>
      <c r="AH3899">
        <v>129</v>
      </c>
      <c r="AI3899">
        <v>7.56</v>
      </c>
      <c r="AJ3899">
        <v>32.29</v>
      </c>
      <c r="AK3899">
        <v>23.8</v>
      </c>
      <c r="AL3899">
        <v>-20.177761749999949</v>
      </c>
      <c r="AM3899">
        <v>-44.91263311624418</v>
      </c>
      <c r="AN3899">
        <v>-20.177761749999949</v>
      </c>
      <c r="AO3899">
        <v>-44.91263311624418</v>
      </c>
      <c r="AP3899">
        <v>-20.177748000000001</v>
      </c>
      <c r="AQ3899">
        <v>-44.912475000000001</v>
      </c>
      <c r="AR3899">
        <v>16.591996803075372</v>
      </c>
      <c r="AS3899" t="s">
        <v>65</v>
      </c>
      <c r="AT3899">
        <v>1</v>
      </c>
      <c r="AU3899" t="s">
        <v>427</v>
      </c>
      <c r="AV3899" t="s">
        <v>428</v>
      </c>
      <c r="AW3899" t="s">
        <v>60</v>
      </c>
      <c r="AX3899" t="s">
        <v>68</v>
      </c>
      <c r="AY3899" t="s">
        <v>69</v>
      </c>
      <c r="AZ3899" t="b">
        <v>1</v>
      </c>
    </row>
    <row r="3900" spans="1:52" x14ac:dyDescent="0.3">
      <c r="A3900" t="s">
        <v>52</v>
      </c>
      <c r="B3900" t="s">
        <v>53</v>
      </c>
      <c r="C3900" t="s">
        <v>54</v>
      </c>
      <c r="D3900" t="s">
        <v>55</v>
      </c>
      <c r="E3900" t="s">
        <v>2206</v>
      </c>
      <c r="F3900" t="s">
        <v>190</v>
      </c>
      <c r="G3900" t="s">
        <v>1318</v>
      </c>
      <c r="H3900" t="s">
        <v>1319</v>
      </c>
      <c r="I3900" t="s">
        <v>1319</v>
      </c>
      <c r="J3900" t="s">
        <v>60</v>
      </c>
      <c r="K3900" t="s">
        <v>1314</v>
      </c>
      <c r="L3900" t="s">
        <v>62</v>
      </c>
      <c r="M3900" t="s">
        <v>1314</v>
      </c>
      <c r="N3900" t="s">
        <v>1320</v>
      </c>
      <c r="O3900" t="s">
        <v>1321</v>
      </c>
      <c r="P3900">
        <v>-20.178615000000001</v>
      </c>
      <c r="Q3900">
        <v>-44.924697999999999</v>
      </c>
      <c r="R3900" s="2" t="str">
        <f>HYPERLINK("https://www.google.com/maps?q=-20.1786150,-44.9246980","Abrir no Google Maps")</f>
        <v>Abrir no Google Maps</v>
      </c>
      <c r="S3900">
        <v>3</v>
      </c>
      <c r="T3900">
        <v>1583.462557226148</v>
      </c>
      <c r="U3900">
        <v>3</v>
      </c>
      <c r="V3900">
        <v>0.43354214160591548</v>
      </c>
      <c r="W3900">
        <v>0.85</v>
      </c>
      <c r="X3900">
        <v>0.36851082036502808</v>
      </c>
      <c r="Y3900">
        <v>723</v>
      </c>
      <c r="Z3900">
        <v>1414.1542726995031</v>
      </c>
      <c r="AA3900">
        <v>198</v>
      </c>
      <c r="AB3900">
        <v>332</v>
      </c>
      <c r="AC3900">
        <v>536</v>
      </c>
      <c r="AD3900">
        <v>33.19</v>
      </c>
      <c r="AE3900">
        <v>542</v>
      </c>
      <c r="AF3900">
        <v>41</v>
      </c>
      <c r="AG3900">
        <v>175</v>
      </c>
      <c r="AH3900">
        <v>129</v>
      </c>
      <c r="AI3900">
        <v>7.56</v>
      </c>
      <c r="AJ3900">
        <v>32.29</v>
      </c>
      <c r="AK3900">
        <v>23.8</v>
      </c>
      <c r="AL3900">
        <v>-20.17821329999995</v>
      </c>
      <c r="AM3900">
        <v>-44.924188563452951</v>
      </c>
      <c r="AN3900">
        <v>-20.17821329999995</v>
      </c>
      <c r="AO3900">
        <v>-44.924188563452951</v>
      </c>
      <c r="AP3900">
        <v>-20.178615000000001</v>
      </c>
      <c r="AQ3900">
        <v>-44.924697999999999</v>
      </c>
      <c r="AR3900">
        <v>69.520116290580319</v>
      </c>
      <c r="AS3900" t="s">
        <v>65</v>
      </c>
      <c r="AT3900">
        <v>1</v>
      </c>
      <c r="AU3900" t="s">
        <v>1322</v>
      </c>
      <c r="AV3900" t="s">
        <v>1317</v>
      </c>
      <c r="AW3900" t="s">
        <v>60</v>
      </c>
      <c r="AX3900" t="s">
        <v>68</v>
      </c>
      <c r="AY3900" t="s">
        <v>69</v>
      </c>
      <c r="AZ3900" t="b">
        <v>1</v>
      </c>
    </row>
    <row r="3901" spans="1:52" x14ac:dyDescent="0.3">
      <c r="A3901" t="s">
        <v>52</v>
      </c>
      <c r="B3901" t="s">
        <v>53</v>
      </c>
      <c r="C3901" t="s">
        <v>54</v>
      </c>
      <c r="D3901" t="s">
        <v>55</v>
      </c>
      <c r="E3901" t="s">
        <v>2206</v>
      </c>
      <c r="F3901" t="s">
        <v>190</v>
      </c>
      <c r="G3901" t="s">
        <v>851</v>
      </c>
      <c r="H3901" t="s">
        <v>852</v>
      </c>
      <c r="I3901" t="s">
        <v>852</v>
      </c>
      <c r="J3901" t="s">
        <v>60</v>
      </c>
      <c r="K3901" t="s">
        <v>853</v>
      </c>
      <c r="L3901" t="s">
        <v>62</v>
      </c>
      <c r="M3901" t="s">
        <v>853</v>
      </c>
      <c r="N3901" t="s">
        <v>854</v>
      </c>
      <c r="O3901" t="s">
        <v>855</v>
      </c>
      <c r="P3901">
        <v>-20.127835000000001</v>
      </c>
      <c r="Q3901">
        <v>-44.909329</v>
      </c>
      <c r="R3901" s="2" t="str">
        <f>HYPERLINK("https://www.google.com/maps?q=-20.1278350,-44.9093290","Abrir no Google Maps")</f>
        <v>Abrir no Google Maps</v>
      </c>
      <c r="S3901">
        <v>3</v>
      </c>
      <c r="T3901">
        <v>1173.033690896357</v>
      </c>
      <c r="U3901">
        <v>3</v>
      </c>
      <c r="V3901">
        <v>0.39958995208360609</v>
      </c>
      <c r="W3901">
        <v>1</v>
      </c>
      <c r="X3901">
        <v>0.39958995208360609</v>
      </c>
      <c r="Y3901">
        <v>581</v>
      </c>
      <c r="Z3901">
        <v>1296.5011565926129</v>
      </c>
      <c r="AA3901">
        <v>198</v>
      </c>
      <c r="AB3901">
        <v>332</v>
      </c>
      <c r="AC3901">
        <v>536</v>
      </c>
      <c r="AD3901">
        <v>33.19</v>
      </c>
      <c r="AE3901">
        <v>542</v>
      </c>
      <c r="AF3901">
        <v>41</v>
      </c>
      <c r="AG3901">
        <v>175</v>
      </c>
      <c r="AH3901">
        <v>129</v>
      </c>
      <c r="AI3901">
        <v>7.56</v>
      </c>
      <c r="AJ3901">
        <v>32.29</v>
      </c>
      <c r="AK3901">
        <v>23.8</v>
      </c>
      <c r="AL3901">
        <v>-20.127852899999969</v>
      </c>
      <c r="AM3901">
        <v>-44.909386667699948</v>
      </c>
      <c r="AN3901">
        <v>-20.127852899999969</v>
      </c>
      <c r="AO3901">
        <v>-44.909386667699948</v>
      </c>
      <c r="AP3901">
        <v>-20.127835000000001</v>
      </c>
      <c r="AQ3901">
        <v>-44.909329</v>
      </c>
      <c r="AR3901">
        <v>6.3483385067119924</v>
      </c>
      <c r="AS3901" t="s">
        <v>65</v>
      </c>
      <c r="AT3901">
        <v>1</v>
      </c>
      <c r="AU3901" t="s">
        <v>856</v>
      </c>
      <c r="AV3901" t="s">
        <v>857</v>
      </c>
      <c r="AW3901" t="s">
        <v>60</v>
      </c>
      <c r="AX3901" t="s">
        <v>68</v>
      </c>
      <c r="AY3901" t="s">
        <v>69</v>
      </c>
      <c r="AZ3901" t="b">
        <v>1</v>
      </c>
    </row>
    <row r="3902" spans="1:52" x14ac:dyDescent="0.3">
      <c r="A3902" t="s">
        <v>52</v>
      </c>
      <c r="B3902" t="s">
        <v>53</v>
      </c>
      <c r="C3902" t="s">
        <v>54</v>
      </c>
      <c r="D3902" t="s">
        <v>55</v>
      </c>
      <c r="E3902" t="s">
        <v>2206</v>
      </c>
      <c r="F3902" t="s">
        <v>190</v>
      </c>
      <c r="G3902" t="s">
        <v>864</v>
      </c>
      <c r="H3902" t="s">
        <v>865</v>
      </c>
      <c r="I3902" t="s">
        <v>865</v>
      </c>
      <c r="J3902" t="s">
        <v>60</v>
      </c>
      <c r="K3902" t="s">
        <v>486</v>
      </c>
      <c r="L3902" t="s">
        <v>62</v>
      </c>
      <c r="M3902" t="s">
        <v>486</v>
      </c>
      <c r="N3902" t="s">
        <v>866</v>
      </c>
      <c r="O3902" t="s">
        <v>867</v>
      </c>
      <c r="P3902">
        <v>-20.170919000000001</v>
      </c>
      <c r="Q3902">
        <v>-44.905451999999997</v>
      </c>
      <c r="R3902" s="2" t="str">
        <f>HYPERLINK("https://www.google.com/maps?q=-20.1709190,-44.9054520","Abrir no Google Maps")</f>
        <v>Abrir no Google Maps</v>
      </c>
      <c r="S3902">
        <v>3</v>
      </c>
      <c r="T3902">
        <v>0</v>
      </c>
      <c r="U3902">
        <v>3</v>
      </c>
      <c r="V3902">
        <v>0.36033162098677968</v>
      </c>
      <c r="W3902">
        <v>1</v>
      </c>
      <c r="X3902">
        <v>0.36033162098677968</v>
      </c>
      <c r="Y3902">
        <v>578</v>
      </c>
      <c r="Z3902">
        <v>205.34598855748419</v>
      </c>
      <c r="AA3902">
        <v>198</v>
      </c>
      <c r="AB3902">
        <v>332</v>
      </c>
      <c r="AC3902">
        <v>536</v>
      </c>
      <c r="AD3902">
        <v>33.19</v>
      </c>
      <c r="AE3902">
        <v>542</v>
      </c>
      <c r="AF3902">
        <v>41</v>
      </c>
      <c r="AG3902">
        <v>175</v>
      </c>
      <c r="AH3902">
        <v>129</v>
      </c>
      <c r="AI3902">
        <v>7.56</v>
      </c>
      <c r="AJ3902">
        <v>32.29</v>
      </c>
      <c r="AK3902">
        <v>23.8</v>
      </c>
      <c r="AL3902">
        <v>-20.170854399999939</v>
      </c>
      <c r="AM3902">
        <v>-44.905524839633358</v>
      </c>
      <c r="AN3902">
        <v>-20.170854399999939</v>
      </c>
      <c r="AO3902">
        <v>-44.905524839633358</v>
      </c>
      <c r="AP3902">
        <v>-20.170919000000001</v>
      </c>
      <c r="AQ3902">
        <v>-44.905451999999997</v>
      </c>
      <c r="AR3902">
        <v>10.471140355179269</v>
      </c>
      <c r="AS3902" t="s">
        <v>65</v>
      </c>
      <c r="AT3902">
        <v>1</v>
      </c>
      <c r="AU3902" t="s">
        <v>868</v>
      </c>
      <c r="AV3902" t="s">
        <v>869</v>
      </c>
      <c r="AW3902" t="s">
        <v>60</v>
      </c>
      <c r="AX3902" t="s">
        <v>68</v>
      </c>
      <c r="AY3902" t="s">
        <v>69</v>
      </c>
      <c r="AZ3902" t="b">
        <v>1</v>
      </c>
    </row>
    <row r="3903" spans="1:52" x14ac:dyDescent="0.3">
      <c r="A3903" t="s">
        <v>52</v>
      </c>
      <c r="B3903" t="s">
        <v>53</v>
      </c>
      <c r="C3903" t="s">
        <v>54</v>
      </c>
      <c r="D3903" t="s">
        <v>55</v>
      </c>
      <c r="E3903" t="s">
        <v>2206</v>
      </c>
      <c r="F3903" t="s">
        <v>190</v>
      </c>
      <c r="G3903" t="s">
        <v>1376</v>
      </c>
      <c r="H3903" t="s">
        <v>1377</v>
      </c>
      <c r="I3903" t="s">
        <v>1377</v>
      </c>
      <c r="J3903" t="s">
        <v>60</v>
      </c>
      <c r="K3903" t="s">
        <v>475</v>
      </c>
      <c r="L3903" t="s">
        <v>62</v>
      </c>
      <c r="M3903" t="s">
        <v>475</v>
      </c>
      <c r="N3903" t="s">
        <v>1378</v>
      </c>
      <c r="O3903" t="s">
        <v>1379</v>
      </c>
      <c r="P3903">
        <v>-20.175298000000002</v>
      </c>
      <c r="Q3903">
        <v>-44.904794000000003</v>
      </c>
      <c r="R3903" s="2" t="str">
        <f>HYPERLINK("https://www.google.com/maps?q=-20.1752980,-44.9047940","Abrir no Google Maps")</f>
        <v>Abrir no Google Maps</v>
      </c>
      <c r="S3903">
        <v>3</v>
      </c>
      <c r="T3903">
        <v>497.7557906927301</v>
      </c>
      <c r="U3903">
        <v>3</v>
      </c>
      <c r="V3903">
        <v>0.42756449625773801</v>
      </c>
      <c r="W3903">
        <v>0.85</v>
      </c>
      <c r="X3903">
        <v>0.36342982181907729</v>
      </c>
      <c r="Y3903">
        <v>578</v>
      </c>
      <c r="Z3903">
        <v>363.80816567363502</v>
      </c>
      <c r="AA3903">
        <v>198</v>
      </c>
      <c r="AB3903">
        <v>332</v>
      </c>
      <c r="AC3903">
        <v>536</v>
      </c>
      <c r="AD3903">
        <v>33.19</v>
      </c>
      <c r="AE3903">
        <v>542</v>
      </c>
      <c r="AF3903">
        <v>41</v>
      </c>
      <c r="AG3903">
        <v>175</v>
      </c>
      <c r="AH3903">
        <v>129</v>
      </c>
      <c r="AI3903">
        <v>7.56</v>
      </c>
      <c r="AJ3903">
        <v>32.29</v>
      </c>
      <c r="AK3903">
        <v>23.8</v>
      </c>
      <c r="AL3903">
        <v>-20.17530484999995</v>
      </c>
      <c r="AM3903">
        <v>-44.904834224351781</v>
      </c>
      <c r="AN3903">
        <v>-20.17530484999995</v>
      </c>
      <c r="AO3903">
        <v>-44.904834224351781</v>
      </c>
      <c r="AP3903">
        <v>-20.175298000000002</v>
      </c>
      <c r="AQ3903">
        <v>-44.904794000000003</v>
      </c>
      <c r="AR3903">
        <v>4.2716392411563806</v>
      </c>
      <c r="AS3903" t="s">
        <v>65</v>
      </c>
      <c r="AT3903">
        <v>1</v>
      </c>
      <c r="AU3903" t="s">
        <v>1380</v>
      </c>
      <c r="AV3903" t="s">
        <v>1381</v>
      </c>
      <c r="AW3903" t="s">
        <v>60</v>
      </c>
      <c r="AX3903" t="s">
        <v>68</v>
      </c>
      <c r="AY3903" t="s">
        <v>69</v>
      </c>
      <c r="AZ3903" t="b">
        <v>1</v>
      </c>
    </row>
    <row r="3904" spans="1:52" x14ac:dyDescent="0.3">
      <c r="A3904" t="s">
        <v>52</v>
      </c>
      <c r="B3904" t="s">
        <v>53</v>
      </c>
      <c r="C3904" t="s">
        <v>54</v>
      </c>
      <c r="D3904" t="s">
        <v>55</v>
      </c>
      <c r="E3904" t="s">
        <v>2206</v>
      </c>
      <c r="F3904" t="s">
        <v>190</v>
      </c>
      <c r="G3904" t="s">
        <v>473</v>
      </c>
      <c r="H3904" t="s">
        <v>474</v>
      </c>
      <c r="I3904" t="s">
        <v>474</v>
      </c>
      <c r="J3904" t="s">
        <v>60</v>
      </c>
      <c r="K3904" t="s">
        <v>475</v>
      </c>
      <c r="L3904" t="s">
        <v>62</v>
      </c>
      <c r="M3904" t="s">
        <v>475</v>
      </c>
      <c r="N3904" t="s">
        <v>406</v>
      </c>
      <c r="O3904" t="s">
        <v>476</v>
      </c>
      <c r="P3904">
        <v>-20.177902</v>
      </c>
      <c r="Q3904">
        <v>-44.908504000000001</v>
      </c>
      <c r="R3904" s="2" t="str">
        <f>HYPERLINK("https://www.google.com/maps?q=-20.1779020,-44.9085040","Abrir no Google Maps")</f>
        <v>Abrir no Google Maps</v>
      </c>
      <c r="S3904">
        <v>3</v>
      </c>
      <c r="T3904">
        <v>656.92307673247149</v>
      </c>
      <c r="U3904">
        <v>3</v>
      </c>
      <c r="V3904">
        <v>0.40849307883178132</v>
      </c>
      <c r="W3904">
        <v>1</v>
      </c>
      <c r="X3904">
        <v>0.40849307883178132</v>
      </c>
      <c r="Y3904">
        <v>578</v>
      </c>
      <c r="Z3904">
        <v>635.01982153722327</v>
      </c>
      <c r="AA3904">
        <v>198</v>
      </c>
      <c r="AB3904">
        <v>332</v>
      </c>
      <c r="AC3904">
        <v>536</v>
      </c>
      <c r="AD3904">
        <v>33.19</v>
      </c>
      <c r="AE3904">
        <v>542</v>
      </c>
      <c r="AF3904">
        <v>41</v>
      </c>
      <c r="AG3904">
        <v>175</v>
      </c>
      <c r="AH3904">
        <v>129</v>
      </c>
      <c r="AI3904">
        <v>7.56</v>
      </c>
      <c r="AJ3904">
        <v>32.29</v>
      </c>
      <c r="AK3904">
        <v>23.8</v>
      </c>
      <c r="AL3904">
        <v>-20.177800399999938</v>
      </c>
      <c r="AM3904">
        <v>-44.908361879701268</v>
      </c>
      <c r="AN3904">
        <v>-20.177800399999938</v>
      </c>
      <c r="AO3904">
        <v>-44.908361879701268</v>
      </c>
      <c r="AP3904">
        <v>-20.177902</v>
      </c>
      <c r="AQ3904">
        <v>-44.908504000000001</v>
      </c>
      <c r="AR3904">
        <v>18.666463141775541</v>
      </c>
      <c r="AS3904" t="s">
        <v>65</v>
      </c>
      <c r="AT3904">
        <v>1</v>
      </c>
      <c r="AU3904" t="s">
        <v>477</v>
      </c>
      <c r="AV3904" t="s">
        <v>478</v>
      </c>
      <c r="AW3904" t="s">
        <v>60</v>
      </c>
      <c r="AX3904" t="s">
        <v>68</v>
      </c>
      <c r="AY3904" t="s">
        <v>69</v>
      </c>
      <c r="AZ3904" t="b">
        <v>1</v>
      </c>
    </row>
    <row r="3905" spans="1:52" x14ac:dyDescent="0.3">
      <c r="A3905" t="s">
        <v>52</v>
      </c>
      <c r="B3905" t="s">
        <v>53</v>
      </c>
      <c r="C3905" t="s">
        <v>54</v>
      </c>
      <c r="D3905" t="s">
        <v>55</v>
      </c>
      <c r="E3905" t="s">
        <v>2206</v>
      </c>
      <c r="F3905" t="s">
        <v>190</v>
      </c>
      <c r="G3905" t="s">
        <v>479</v>
      </c>
      <c r="H3905" t="s">
        <v>480</v>
      </c>
      <c r="I3905" t="s">
        <v>480</v>
      </c>
      <c r="J3905" t="s">
        <v>60</v>
      </c>
      <c r="K3905" t="s">
        <v>388</v>
      </c>
      <c r="L3905" t="s">
        <v>62</v>
      </c>
      <c r="M3905" t="s">
        <v>388</v>
      </c>
      <c r="N3905" t="s">
        <v>481</v>
      </c>
      <c r="O3905" t="s">
        <v>315</v>
      </c>
      <c r="P3905">
        <v>-20.166903999999999</v>
      </c>
      <c r="Q3905">
        <v>-44.903492</v>
      </c>
      <c r="R3905" s="2" t="str">
        <f>HYPERLINK("https://www.google.com/maps?q=-20.1669040,-44.9034920","Abrir no Google Maps")</f>
        <v>Abrir no Google Maps</v>
      </c>
      <c r="S3905">
        <v>3</v>
      </c>
      <c r="T3905">
        <v>517.12253532511602</v>
      </c>
      <c r="U3905">
        <v>3</v>
      </c>
      <c r="V3905">
        <v>0.36764466052232581</v>
      </c>
      <c r="W3905">
        <v>1</v>
      </c>
      <c r="X3905">
        <v>0.36764466052232581</v>
      </c>
      <c r="Y3905">
        <v>578</v>
      </c>
      <c r="Z3905">
        <v>721.79551240050432</v>
      </c>
      <c r="AA3905">
        <v>198</v>
      </c>
      <c r="AB3905">
        <v>332</v>
      </c>
      <c r="AC3905">
        <v>536</v>
      </c>
      <c r="AD3905">
        <v>33.19</v>
      </c>
      <c r="AE3905">
        <v>542</v>
      </c>
      <c r="AF3905">
        <v>41</v>
      </c>
      <c r="AG3905">
        <v>175</v>
      </c>
      <c r="AH3905">
        <v>129</v>
      </c>
      <c r="AI3905">
        <v>7.56</v>
      </c>
      <c r="AJ3905">
        <v>32.29</v>
      </c>
      <c r="AK3905">
        <v>23.8</v>
      </c>
      <c r="AL3905">
        <v>-20.166610649999971</v>
      </c>
      <c r="AM3905">
        <v>-44.903452988928308</v>
      </c>
      <c r="AN3905">
        <v>-20.166610649999971</v>
      </c>
      <c r="AO3905">
        <v>-44.903452988928308</v>
      </c>
      <c r="AP3905">
        <v>-20.166903999999999</v>
      </c>
      <c r="AQ3905">
        <v>-44.903492</v>
      </c>
      <c r="AR3905">
        <v>32.909175876856217</v>
      </c>
      <c r="AS3905" t="s">
        <v>65</v>
      </c>
      <c r="AT3905">
        <v>1</v>
      </c>
      <c r="AU3905" t="s">
        <v>482</v>
      </c>
      <c r="AV3905" t="s">
        <v>483</v>
      </c>
      <c r="AW3905" t="s">
        <v>60</v>
      </c>
      <c r="AX3905" t="s">
        <v>68</v>
      </c>
      <c r="AY3905" t="s">
        <v>69</v>
      </c>
      <c r="AZ3905" t="b">
        <v>1</v>
      </c>
    </row>
    <row r="3906" spans="1:52" x14ac:dyDescent="0.3">
      <c r="A3906" t="s">
        <v>52</v>
      </c>
      <c r="B3906" t="s">
        <v>53</v>
      </c>
      <c r="C3906" t="s">
        <v>54</v>
      </c>
      <c r="D3906" t="s">
        <v>55</v>
      </c>
      <c r="E3906" t="s">
        <v>2206</v>
      </c>
      <c r="F3906" t="s">
        <v>190</v>
      </c>
      <c r="G3906" t="s">
        <v>484</v>
      </c>
      <c r="H3906" t="s">
        <v>485</v>
      </c>
      <c r="I3906" t="s">
        <v>485</v>
      </c>
      <c r="J3906" t="s">
        <v>60</v>
      </c>
      <c r="K3906" t="s">
        <v>486</v>
      </c>
      <c r="L3906" t="s">
        <v>62</v>
      </c>
      <c r="M3906" t="s">
        <v>486</v>
      </c>
      <c r="N3906" t="s">
        <v>487</v>
      </c>
      <c r="O3906" t="s">
        <v>488</v>
      </c>
      <c r="P3906">
        <v>-20.173000999999999</v>
      </c>
      <c r="Q3906">
        <v>-44.901876999999999</v>
      </c>
      <c r="R3906" s="2" t="str">
        <f>HYPERLINK("https://www.google.com/maps?q=-20.1730010,-44.9018770","Abrir no Google Maps")</f>
        <v>Abrir no Google Maps</v>
      </c>
      <c r="S3906">
        <v>3</v>
      </c>
      <c r="T3906">
        <v>437.59695450783011</v>
      </c>
      <c r="U3906">
        <v>3</v>
      </c>
      <c r="V3906">
        <v>0.39491708183300639</v>
      </c>
      <c r="W3906">
        <v>1</v>
      </c>
      <c r="X3906">
        <v>0.39491708183300639</v>
      </c>
      <c r="Y3906">
        <v>578</v>
      </c>
      <c r="Z3906">
        <v>440.53629183653243</v>
      </c>
      <c r="AA3906">
        <v>198</v>
      </c>
      <c r="AB3906">
        <v>332</v>
      </c>
      <c r="AC3906">
        <v>536</v>
      </c>
      <c r="AD3906">
        <v>33.19</v>
      </c>
      <c r="AE3906">
        <v>542</v>
      </c>
      <c r="AF3906">
        <v>41</v>
      </c>
      <c r="AG3906">
        <v>175</v>
      </c>
      <c r="AH3906">
        <v>129</v>
      </c>
      <c r="AI3906">
        <v>7.56</v>
      </c>
      <c r="AJ3906">
        <v>32.29</v>
      </c>
      <c r="AK3906">
        <v>23.8</v>
      </c>
      <c r="AL3906">
        <v>-20.173065299999969</v>
      </c>
      <c r="AM3906">
        <v>-44.902052686008687</v>
      </c>
      <c r="AN3906">
        <v>-20.173065299999969</v>
      </c>
      <c r="AO3906">
        <v>-44.902052686008687</v>
      </c>
      <c r="AP3906">
        <v>-20.173000999999999</v>
      </c>
      <c r="AQ3906">
        <v>-44.901876999999999</v>
      </c>
      <c r="AR3906">
        <v>19.703745070768829</v>
      </c>
      <c r="AS3906" t="s">
        <v>65</v>
      </c>
      <c r="AT3906">
        <v>1</v>
      </c>
      <c r="AU3906" t="s">
        <v>489</v>
      </c>
      <c r="AV3906" t="s">
        <v>490</v>
      </c>
      <c r="AW3906" t="s">
        <v>60</v>
      </c>
      <c r="AX3906" t="s">
        <v>68</v>
      </c>
      <c r="AY3906" t="s">
        <v>69</v>
      </c>
      <c r="AZ3906" t="b">
        <v>1</v>
      </c>
    </row>
    <row r="3907" spans="1:52" x14ac:dyDescent="0.3">
      <c r="A3907" t="s">
        <v>52</v>
      </c>
      <c r="B3907" t="s">
        <v>53</v>
      </c>
      <c r="C3907" t="s">
        <v>54</v>
      </c>
      <c r="D3907" t="s">
        <v>55</v>
      </c>
      <c r="E3907" t="s">
        <v>2206</v>
      </c>
      <c r="F3907" t="s">
        <v>190</v>
      </c>
      <c r="G3907" t="s">
        <v>491</v>
      </c>
      <c r="H3907" t="s">
        <v>492</v>
      </c>
      <c r="I3907" t="s">
        <v>492</v>
      </c>
      <c r="J3907" t="s">
        <v>60</v>
      </c>
      <c r="K3907" t="s">
        <v>475</v>
      </c>
      <c r="L3907" t="s">
        <v>62</v>
      </c>
      <c r="M3907" t="s">
        <v>475</v>
      </c>
      <c r="N3907" t="s">
        <v>493</v>
      </c>
      <c r="O3907" t="s">
        <v>494</v>
      </c>
      <c r="P3907">
        <v>-20.175250999999999</v>
      </c>
      <c r="Q3907">
        <v>-44.897357</v>
      </c>
      <c r="R3907" s="2" t="str">
        <f>HYPERLINK("https://www.google.com/maps?q=-20.1752510,-44.8973570","Abrir no Google Maps")</f>
        <v>Abrir no Google Maps</v>
      </c>
      <c r="S3907">
        <v>3</v>
      </c>
      <c r="T3907">
        <v>992.29631678149951</v>
      </c>
      <c r="U3907">
        <v>3</v>
      </c>
      <c r="V3907">
        <v>0.39985897111838292</v>
      </c>
      <c r="W3907">
        <v>1</v>
      </c>
      <c r="X3907">
        <v>0.39985897111838292</v>
      </c>
      <c r="Y3907">
        <v>578</v>
      </c>
      <c r="Z3907">
        <v>1008.5871064168319</v>
      </c>
      <c r="AA3907">
        <v>198</v>
      </c>
      <c r="AB3907">
        <v>332</v>
      </c>
      <c r="AC3907">
        <v>536</v>
      </c>
      <c r="AD3907">
        <v>33.19</v>
      </c>
      <c r="AE3907">
        <v>542</v>
      </c>
      <c r="AF3907">
        <v>41</v>
      </c>
      <c r="AG3907">
        <v>175</v>
      </c>
      <c r="AH3907">
        <v>129</v>
      </c>
      <c r="AI3907">
        <v>7.56</v>
      </c>
      <c r="AJ3907">
        <v>32.29</v>
      </c>
      <c r="AK3907">
        <v>23.8</v>
      </c>
      <c r="AL3907">
        <v>-20.175290599999951</v>
      </c>
      <c r="AM3907">
        <v>-44.897271931010721</v>
      </c>
      <c r="AN3907">
        <v>-20.175290599999951</v>
      </c>
      <c r="AO3907">
        <v>-44.897271931010721</v>
      </c>
      <c r="AP3907">
        <v>-20.175250999999999</v>
      </c>
      <c r="AQ3907">
        <v>-44.897357</v>
      </c>
      <c r="AR3907">
        <v>9.921899108467926</v>
      </c>
      <c r="AS3907" t="s">
        <v>65</v>
      </c>
      <c r="AT3907">
        <v>1</v>
      </c>
      <c r="AU3907" t="s">
        <v>495</v>
      </c>
      <c r="AV3907" t="s">
        <v>496</v>
      </c>
      <c r="AW3907" t="s">
        <v>60</v>
      </c>
      <c r="AX3907" t="s">
        <v>68</v>
      </c>
      <c r="AY3907" t="s">
        <v>69</v>
      </c>
      <c r="AZ3907" t="b">
        <v>1</v>
      </c>
    </row>
    <row r="3908" spans="1:52" x14ac:dyDescent="0.3">
      <c r="A3908" t="s">
        <v>52</v>
      </c>
      <c r="B3908" t="s">
        <v>53</v>
      </c>
      <c r="C3908" t="s">
        <v>54</v>
      </c>
      <c r="D3908" t="s">
        <v>55</v>
      </c>
      <c r="E3908" t="s">
        <v>2206</v>
      </c>
      <c r="F3908" t="s">
        <v>190</v>
      </c>
      <c r="G3908" t="s">
        <v>497</v>
      </c>
      <c r="H3908" t="s">
        <v>875</v>
      </c>
      <c r="I3908" t="s">
        <v>875</v>
      </c>
      <c r="J3908" t="s">
        <v>60</v>
      </c>
      <c r="K3908" t="s">
        <v>475</v>
      </c>
      <c r="L3908" t="s">
        <v>62</v>
      </c>
      <c r="M3908" t="s">
        <v>475</v>
      </c>
      <c r="N3908" t="s">
        <v>499</v>
      </c>
      <c r="O3908" t="s">
        <v>876</v>
      </c>
      <c r="P3908">
        <v>-20.177212999999998</v>
      </c>
      <c r="Q3908">
        <v>-44.904026999999999</v>
      </c>
      <c r="R3908" s="2" t="str">
        <f>HYPERLINK("https://www.google.com/maps?q=-20.1772130,-44.9040270","Abrir no Google Maps")</f>
        <v>Abrir no Google Maps</v>
      </c>
      <c r="S3908">
        <v>3</v>
      </c>
      <c r="T3908">
        <v>706.4159561113795</v>
      </c>
      <c r="U3908">
        <v>3</v>
      </c>
      <c r="V3908">
        <v>0.39936119231969591</v>
      </c>
      <c r="W3908">
        <v>1</v>
      </c>
      <c r="X3908">
        <v>0.39936119231969591</v>
      </c>
      <c r="Y3908">
        <v>578</v>
      </c>
      <c r="Z3908">
        <v>588.7160518608398</v>
      </c>
      <c r="AA3908">
        <v>198</v>
      </c>
      <c r="AB3908">
        <v>332</v>
      </c>
      <c r="AC3908">
        <v>536</v>
      </c>
      <c r="AD3908">
        <v>33.19</v>
      </c>
      <c r="AE3908">
        <v>542</v>
      </c>
      <c r="AF3908">
        <v>41</v>
      </c>
      <c r="AG3908">
        <v>175</v>
      </c>
      <c r="AH3908">
        <v>129</v>
      </c>
      <c r="AI3908">
        <v>7.56</v>
      </c>
      <c r="AJ3908">
        <v>32.29</v>
      </c>
      <c r="AK3908">
        <v>23.8</v>
      </c>
      <c r="AL3908">
        <v>-20.177090199999949</v>
      </c>
      <c r="AM3908">
        <v>-44.904078820930181</v>
      </c>
      <c r="AN3908">
        <v>-20.177090199999949</v>
      </c>
      <c r="AO3908">
        <v>-44.904078820930181</v>
      </c>
      <c r="AP3908">
        <v>-20.177212999999998</v>
      </c>
      <c r="AQ3908">
        <v>-44.904026999999999</v>
      </c>
      <c r="AR3908">
        <v>14.7034129632295</v>
      </c>
      <c r="AS3908" t="s">
        <v>65</v>
      </c>
      <c r="AT3908">
        <v>1</v>
      </c>
      <c r="AU3908" t="s">
        <v>877</v>
      </c>
      <c r="AV3908" t="s">
        <v>878</v>
      </c>
      <c r="AW3908" t="s">
        <v>60</v>
      </c>
      <c r="AX3908" t="s">
        <v>68</v>
      </c>
      <c r="AY3908" t="s">
        <v>69</v>
      </c>
      <c r="AZ3908" t="b">
        <v>1</v>
      </c>
    </row>
    <row r="3909" spans="1:52" x14ac:dyDescent="0.3">
      <c r="A3909" t="s">
        <v>52</v>
      </c>
      <c r="B3909" t="s">
        <v>53</v>
      </c>
      <c r="C3909" t="s">
        <v>54</v>
      </c>
      <c r="D3909" t="s">
        <v>55</v>
      </c>
      <c r="E3909" t="s">
        <v>2206</v>
      </c>
      <c r="F3909" t="s">
        <v>190</v>
      </c>
      <c r="G3909" t="s">
        <v>1399</v>
      </c>
      <c r="H3909" t="s">
        <v>1400</v>
      </c>
      <c r="I3909" t="s">
        <v>1400</v>
      </c>
      <c r="J3909" t="s">
        <v>60</v>
      </c>
      <c r="K3909" t="s">
        <v>475</v>
      </c>
      <c r="L3909" t="s">
        <v>62</v>
      </c>
      <c r="M3909" t="s">
        <v>475</v>
      </c>
      <c r="N3909" t="s">
        <v>1401</v>
      </c>
      <c r="O3909" t="s">
        <v>1080</v>
      </c>
      <c r="P3909">
        <v>-20.178809000000001</v>
      </c>
      <c r="Q3909">
        <v>-44.900204000000002</v>
      </c>
      <c r="R3909" s="2" t="str">
        <f>HYPERLINK("https://www.google.com/maps?q=-20.1788090,-44.9002040","Abrir no Google Maps")</f>
        <v>Abrir no Google Maps</v>
      </c>
      <c r="S3909">
        <v>3</v>
      </c>
      <c r="T3909">
        <v>1015.86498565614</v>
      </c>
      <c r="U3909">
        <v>3</v>
      </c>
      <c r="V3909">
        <v>0.43171480093950071</v>
      </c>
      <c r="W3909">
        <v>0.85</v>
      </c>
      <c r="X3909">
        <v>0.3669575807985756</v>
      </c>
      <c r="Y3909">
        <v>578</v>
      </c>
      <c r="Z3909">
        <v>954.77111474428102</v>
      </c>
      <c r="AA3909">
        <v>198</v>
      </c>
      <c r="AB3909">
        <v>332</v>
      </c>
      <c r="AC3909">
        <v>536</v>
      </c>
      <c r="AD3909">
        <v>33.19</v>
      </c>
      <c r="AE3909">
        <v>542</v>
      </c>
      <c r="AF3909">
        <v>41</v>
      </c>
      <c r="AG3909">
        <v>175</v>
      </c>
      <c r="AH3909">
        <v>129</v>
      </c>
      <c r="AI3909">
        <v>7.56</v>
      </c>
      <c r="AJ3909">
        <v>32.29</v>
      </c>
      <c r="AK3909">
        <v>23.8</v>
      </c>
      <c r="AL3909">
        <v>-20.178590099999951</v>
      </c>
      <c r="AM3909">
        <v>-44.90029029928732</v>
      </c>
      <c r="AN3909">
        <v>-20.178590099999951</v>
      </c>
      <c r="AO3909">
        <v>-44.90029029928732</v>
      </c>
      <c r="AP3909">
        <v>-20.178809000000001</v>
      </c>
      <c r="AQ3909">
        <v>-44.900204000000002</v>
      </c>
      <c r="AR3909">
        <v>25.982812999798391</v>
      </c>
      <c r="AS3909" t="s">
        <v>65</v>
      </c>
      <c r="AT3909">
        <v>1</v>
      </c>
      <c r="AU3909" t="s">
        <v>1402</v>
      </c>
      <c r="AV3909" t="s">
        <v>1403</v>
      </c>
      <c r="AW3909" t="s">
        <v>60</v>
      </c>
      <c r="AX3909" t="s">
        <v>68</v>
      </c>
      <c r="AY3909" t="s">
        <v>69</v>
      </c>
      <c r="AZ3909" t="b">
        <v>1</v>
      </c>
    </row>
    <row r="3910" spans="1:52" x14ac:dyDescent="0.3">
      <c r="A3910" t="s">
        <v>52</v>
      </c>
      <c r="B3910" t="s">
        <v>53</v>
      </c>
      <c r="C3910" t="s">
        <v>54</v>
      </c>
      <c r="D3910" t="s">
        <v>55</v>
      </c>
      <c r="E3910" t="s">
        <v>2206</v>
      </c>
      <c r="F3910" t="s">
        <v>190</v>
      </c>
      <c r="G3910" t="s">
        <v>497</v>
      </c>
      <c r="H3910" t="s">
        <v>498</v>
      </c>
      <c r="I3910" t="s">
        <v>498</v>
      </c>
      <c r="J3910" t="s">
        <v>60</v>
      </c>
      <c r="K3910" t="s">
        <v>475</v>
      </c>
      <c r="L3910" t="s">
        <v>62</v>
      </c>
      <c r="M3910" t="s">
        <v>475</v>
      </c>
      <c r="N3910" t="s">
        <v>499</v>
      </c>
      <c r="O3910" t="s">
        <v>500</v>
      </c>
      <c r="P3910">
        <v>-20.175492999999999</v>
      </c>
      <c r="Q3910">
        <v>-44.900759000000001</v>
      </c>
      <c r="R3910" s="2" t="str">
        <f>HYPERLINK("https://www.google.com/maps?q=-20.1754930,-44.9007590","Abrir no Google Maps")</f>
        <v>Abrir no Google Maps</v>
      </c>
      <c r="S3910">
        <v>3</v>
      </c>
      <c r="T3910">
        <v>753.30732354720431</v>
      </c>
      <c r="U3910">
        <v>3</v>
      </c>
      <c r="V3910">
        <v>0.37088020382738979</v>
      </c>
      <c r="W3910">
        <v>1</v>
      </c>
      <c r="X3910">
        <v>0.37088020382738979</v>
      </c>
      <c r="Y3910">
        <v>578</v>
      </c>
      <c r="Z3910">
        <v>695.28903655431702</v>
      </c>
      <c r="AA3910">
        <v>198</v>
      </c>
      <c r="AB3910">
        <v>332</v>
      </c>
      <c r="AC3910">
        <v>536</v>
      </c>
      <c r="AD3910">
        <v>33.19</v>
      </c>
      <c r="AE3910">
        <v>542</v>
      </c>
      <c r="AF3910">
        <v>41</v>
      </c>
      <c r="AG3910">
        <v>175</v>
      </c>
      <c r="AH3910">
        <v>129</v>
      </c>
      <c r="AI3910">
        <v>7.56</v>
      </c>
      <c r="AJ3910">
        <v>32.29</v>
      </c>
      <c r="AK3910">
        <v>23.8</v>
      </c>
      <c r="AL3910">
        <v>-20.175825999999969</v>
      </c>
      <c r="AM3910">
        <v>-44.900600234646973</v>
      </c>
      <c r="AN3910">
        <v>-20.175825999999969</v>
      </c>
      <c r="AO3910">
        <v>-44.900600234646973</v>
      </c>
      <c r="AP3910">
        <v>-20.175492999999999</v>
      </c>
      <c r="AQ3910">
        <v>-44.900759000000001</v>
      </c>
      <c r="AR3910">
        <v>40.612267304645073</v>
      </c>
      <c r="AS3910" t="s">
        <v>65</v>
      </c>
      <c r="AT3910">
        <v>1</v>
      </c>
      <c r="AU3910" t="s">
        <v>501</v>
      </c>
      <c r="AV3910" t="s">
        <v>502</v>
      </c>
      <c r="AW3910" t="s">
        <v>60</v>
      </c>
      <c r="AX3910" t="s">
        <v>68</v>
      </c>
      <c r="AY3910" t="s">
        <v>69</v>
      </c>
      <c r="AZ3910" t="b">
        <v>1</v>
      </c>
    </row>
    <row r="3911" spans="1:52" x14ac:dyDescent="0.3">
      <c r="A3911" t="s">
        <v>52</v>
      </c>
      <c r="B3911" t="s">
        <v>53</v>
      </c>
      <c r="C3911" t="s">
        <v>54</v>
      </c>
      <c r="D3911" t="s">
        <v>55</v>
      </c>
      <c r="E3911" t="s">
        <v>2206</v>
      </c>
      <c r="F3911" t="s">
        <v>190</v>
      </c>
      <c r="G3911" t="s">
        <v>879</v>
      </c>
      <c r="H3911" t="s">
        <v>880</v>
      </c>
      <c r="I3911" t="s">
        <v>880</v>
      </c>
      <c r="J3911" t="s">
        <v>60</v>
      </c>
      <c r="K3911" t="s">
        <v>505</v>
      </c>
      <c r="L3911" t="s">
        <v>62</v>
      </c>
      <c r="M3911" t="s">
        <v>505</v>
      </c>
      <c r="N3911" t="s">
        <v>881</v>
      </c>
      <c r="O3911" t="s">
        <v>882</v>
      </c>
      <c r="P3911">
        <v>-20.133452999999999</v>
      </c>
      <c r="Q3911">
        <v>-44.890571999999999</v>
      </c>
      <c r="R3911" s="2" t="str">
        <f>HYPERLINK("https://www.google.com/maps?q=-20.1334530,-44.8905720","Abrir no Google Maps")</f>
        <v>Abrir no Google Maps</v>
      </c>
      <c r="S3911">
        <v>3</v>
      </c>
      <c r="T3911">
        <v>373.51332104809921</v>
      </c>
      <c r="U3911">
        <v>3</v>
      </c>
      <c r="V3911">
        <v>0.38660763192621228</v>
      </c>
      <c r="W3911">
        <v>1</v>
      </c>
      <c r="X3911">
        <v>0.38660763192621228</v>
      </c>
      <c r="Y3911">
        <v>564</v>
      </c>
      <c r="Z3911">
        <v>422.34693311930448</v>
      </c>
      <c r="AA3911">
        <v>198</v>
      </c>
      <c r="AB3911">
        <v>332</v>
      </c>
      <c r="AC3911">
        <v>536</v>
      </c>
      <c r="AD3911">
        <v>33.19</v>
      </c>
      <c r="AE3911">
        <v>542</v>
      </c>
      <c r="AF3911">
        <v>41</v>
      </c>
      <c r="AG3911">
        <v>175</v>
      </c>
      <c r="AH3911">
        <v>129</v>
      </c>
      <c r="AI3911">
        <v>7.56</v>
      </c>
      <c r="AJ3911">
        <v>32.29</v>
      </c>
      <c r="AK3911">
        <v>23.8</v>
      </c>
      <c r="AL3911">
        <v>-20.133421549999952</v>
      </c>
      <c r="AM3911">
        <v>-44.890623456009052</v>
      </c>
      <c r="AN3911">
        <v>-20.133421549999952</v>
      </c>
      <c r="AO3911">
        <v>-44.890623456009052</v>
      </c>
      <c r="AP3911">
        <v>-20.133452999999999</v>
      </c>
      <c r="AQ3911">
        <v>-44.890571999999999</v>
      </c>
      <c r="AR3911">
        <v>6.4172139275452773</v>
      </c>
      <c r="AS3911" t="s">
        <v>65</v>
      </c>
      <c r="AT3911">
        <v>1</v>
      </c>
      <c r="AU3911" t="s">
        <v>883</v>
      </c>
      <c r="AV3911" t="s">
        <v>884</v>
      </c>
      <c r="AW3911" t="s">
        <v>60</v>
      </c>
      <c r="AX3911" t="s">
        <v>68</v>
      </c>
      <c r="AY3911" t="s">
        <v>69</v>
      </c>
      <c r="AZ3911" t="b">
        <v>1</v>
      </c>
    </row>
    <row r="3912" spans="1:52" x14ac:dyDescent="0.3">
      <c r="A3912" t="s">
        <v>52</v>
      </c>
      <c r="B3912" t="s">
        <v>53</v>
      </c>
      <c r="C3912" t="s">
        <v>54</v>
      </c>
      <c r="D3912" t="s">
        <v>55</v>
      </c>
      <c r="E3912" t="s">
        <v>2206</v>
      </c>
      <c r="F3912" t="s">
        <v>190</v>
      </c>
      <c r="G3912" t="s">
        <v>1429</v>
      </c>
      <c r="H3912" t="s">
        <v>1430</v>
      </c>
      <c r="I3912" t="s">
        <v>1430</v>
      </c>
      <c r="J3912" t="s">
        <v>60</v>
      </c>
      <c r="K3912" t="s">
        <v>505</v>
      </c>
      <c r="L3912" t="s">
        <v>62</v>
      </c>
      <c r="M3912" t="s">
        <v>505</v>
      </c>
      <c r="N3912" t="s">
        <v>1431</v>
      </c>
      <c r="O3912" t="s">
        <v>1432</v>
      </c>
      <c r="P3912">
        <v>-20.132069000000001</v>
      </c>
      <c r="Q3912">
        <v>-44.891694000000001</v>
      </c>
      <c r="R3912" s="2" t="str">
        <f>HYPERLINK("https://www.google.com/maps?q=-20.1320690,-44.8916940","Abrir no Google Maps")</f>
        <v>Abrir no Google Maps</v>
      </c>
      <c r="S3912">
        <v>3</v>
      </c>
      <c r="T3912">
        <v>463.84477613866852</v>
      </c>
      <c r="U3912">
        <v>3</v>
      </c>
      <c r="V3912">
        <v>0.4441099743056367</v>
      </c>
      <c r="W3912">
        <v>0.85</v>
      </c>
      <c r="X3912">
        <v>0.37749347815979117</v>
      </c>
      <c r="Y3912">
        <v>564</v>
      </c>
      <c r="Z3912">
        <v>349.6044774510159</v>
      </c>
      <c r="AA3912">
        <v>198</v>
      </c>
      <c r="AB3912">
        <v>332</v>
      </c>
      <c r="AC3912">
        <v>536</v>
      </c>
      <c r="AD3912">
        <v>33.19</v>
      </c>
      <c r="AE3912">
        <v>542</v>
      </c>
      <c r="AF3912">
        <v>41</v>
      </c>
      <c r="AG3912">
        <v>175</v>
      </c>
      <c r="AH3912">
        <v>129</v>
      </c>
      <c r="AI3912">
        <v>7.56</v>
      </c>
      <c r="AJ3912">
        <v>32.29</v>
      </c>
      <c r="AK3912">
        <v>23.8</v>
      </c>
      <c r="AL3912">
        <v>-20.131860799999941</v>
      </c>
      <c r="AM3912">
        <v>-44.891643045551348</v>
      </c>
      <c r="AN3912">
        <v>-20.131860799999941</v>
      </c>
      <c r="AO3912">
        <v>-44.891643045551348</v>
      </c>
      <c r="AP3912">
        <v>-20.132069000000001</v>
      </c>
      <c r="AQ3912">
        <v>-44.891694000000001</v>
      </c>
      <c r="AR3912">
        <v>23.780836080569209</v>
      </c>
      <c r="AS3912" t="s">
        <v>65</v>
      </c>
      <c r="AT3912">
        <v>1</v>
      </c>
      <c r="AU3912" t="s">
        <v>1433</v>
      </c>
      <c r="AV3912" t="s">
        <v>1434</v>
      </c>
      <c r="AW3912" t="s">
        <v>60</v>
      </c>
      <c r="AX3912" t="s">
        <v>68</v>
      </c>
      <c r="AY3912" t="s">
        <v>69</v>
      </c>
      <c r="AZ3912" t="b">
        <v>1</v>
      </c>
    </row>
    <row r="3913" spans="1:52" x14ac:dyDescent="0.3">
      <c r="A3913" t="s">
        <v>52</v>
      </c>
      <c r="B3913" t="s">
        <v>53</v>
      </c>
      <c r="C3913" t="s">
        <v>54</v>
      </c>
      <c r="D3913" t="s">
        <v>55</v>
      </c>
      <c r="E3913" t="s">
        <v>2206</v>
      </c>
      <c r="F3913" t="s">
        <v>190</v>
      </c>
      <c r="G3913" t="s">
        <v>1435</v>
      </c>
      <c r="H3913" t="s">
        <v>1436</v>
      </c>
      <c r="I3913" t="s">
        <v>1436</v>
      </c>
      <c r="J3913" t="s">
        <v>60</v>
      </c>
      <c r="K3913" t="s">
        <v>886</v>
      </c>
      <c r="L3913" t="s">
        <v>62</v>
      </c>
      <c r="M3913" t="s">
        <v>886</v>
      </c>
      <c r="N3913" t="s">
        <v>1437</v>
      </c>
      <c r="O3913" t="s">
        <v>1438</v>
      </c>
      <c r="P3913">
        <v>-20.131108000000001</v>
      </c>
      <c r="Q3913">
        <v>-44.893228000000001</v>
      </c>
      <c r="R3913" s="2" t="str">
        <f>HYPERLINK("https://www.google.com/maps?q=-20.1311080,-44.8932280","Abrir no Google Maps")</f>
        <v>Abrir no Google Maps</v>
      </c>
      <c r="S3913">
        <v>3</v>
      </c>
      <c r="T3913">
        <v>548.07497919430136</v>
      </c>
      <c r="U3913">
        <v>3</v>
      </c>
      <c r="V3913">
        <v>0.46823800482575839</v>
      </c>
      <c r="W3913">
        <v>0.85</v>
      </c>
      <c r="X3913">
        <v>0.39800230410189458</v>
      </c>
      <c r="Y3913">
        <v>564</v>
      </c>
      <c r="Z3913">
        <v>369.17139216388432</v>
      </c>
      <c r="AA3913">
        <v>198</v>
      </c>
      <c r="AB3913">
        <v>332</v>
      </c>
      <c r="AC3913">
        <v>536</v>
      </c>
      <c r="AD3913">
        <v>33.19</v>
      </c>
      <c r="AE3913">
        <v>542</v>
      </c>
      <c r="AF3913">
        <v>41</v>
      </c>
      <c r="AG3913">
        <v>175</v>
      </c>
      <c r="AH3913">
        <v>129</v>
      </c>
      <c r="AI3913">
        <v>7.56</v>
      </c>
      <c r="AJ3913">
        <v>32.29</v>
      </c>
      <c r="AK3913">
        <v>23.8</v>
      </c>
      <c r="AL3913">
        <v>-20.13103294999997</v>
      </c>
      <c r="AM3913">
        <v>-44.89318457893738</v>
      </c>
      <c r="AN3913">
        <v>-20.13103294999997</v>
      </c>
      <c r="AO3913">
        <v>-44.89318457893738</v>
      </c>
      <c r="AP3913">
        <v>-20.131108000000001</v>
      </c>
      <c r="AQ3913">
        <v>-44.893228000000001</v>
      </c>
      <c r="AR3913">
        <v>9.5076426885244203</v>
      </c>
      <c r="AS3913" t="s">
        <v>65</v>
      </c>
      <c r="AT3913">
        <v>1</v>
      </c>
      <c r="AU3913" t="s">
        <v>1439</v>
      </c>
      <c r="AV3913" t="s">
        <v>1440</v>
      </c>
      <c r="AW3913" t="s">
        <v>60</v>
      </c>
      <c r="AX3913" t="s">
        <v>68</v>
      </c>
      <c r="AY3913" t="s">
        <v>69</v>
      </c>
      <c r="AZ3913" t="b">
        <v>1</v>
      </c>
    </row>
    <row r="3914" spans="1:52" x14ac:dyDescent="0.3">
      <c r="A3914" t="s">
        <v>52</v>
      </c>
      <c r="B3914" t="s">
        <v>53</v>
      </c>
      <c r="C3914" t="s">
        <v>54</v>
      </c>
      <c r="D3914" t="s">
        <v>55</v>
      </c>
      <c r="E3914" t="s">
        <v>2206</v>
      </c>
      <c r="F3914" t="s">
        <v>190</v>
      </c>
      <c r="G3914" t="s">
        <v>473</v>
      </c>
      <c r="H3914" t="s">
        <v>1445</v>
      </c>
      <c r="I3914" t="s">
        <v>1445</v>
      </c>
      <c r="J3914" t="s">
        <v>60</v>
      </c>
      <c r="K3914" t="s">
        <v>892</v>
      </c>
      <c r="L3914" t="s">
        <v>62</v>
      </c>
      <c r="M3914" t="s">
        <v>892</v>
      </c>
      <c r="N3914" t="s">
        <v>406</v>
      </c>
      <c r="O3914" t="s">
        <v>1446</v>
      </c>
      <c r="P3914">
        <v>-20.14941</v>
      </c>
      <c r="Q3914">
        <v>-44.899535</v>
      </c>
      <c r="R3914" s="2" t="str">
        <f>HYPERLINK("https://www.google.com/maps?q=-20.1494100,-44.8995350","Abrir no Google Maps")</f>
        <v>Abrir no Google Maps</v>
      </c>
      <c r="S3914">
        <v>3</v>
      </c>
      <c r="T3914">
        <v>249.83945591849931</v>
      </c>
      <c r="U3914">
        <v>3</v>
      </c>
      <c r="V3914">
        <v>0.42055829643220782</v>
      </c>
      <c r="W3914">
        <v>0.85</v>
      </c>
      <c r="X3914">
        <v>0.35747455196737671</v>
      </c>
      <c r="Y3914">
        <v>556</v>
      </c>
      <c r="Z3914">
        <v>156.62360082488701</v>
      </c>
      <c r="AA3914">
        <v>198</v>
      </c>
      <c r="AB3914">
        <v>332</v>
      </c>
      <c r="AC3914">
        <v>536</v>
      </c>
      <c r="AD3914">
        <v>33.19</v>
      </c>
      <c r="AE3914">
        <v>542</v>
      </c>
      <c r="AF3914">
        <v>41</v>
      </c>
      <c r="AG3914">
        <v>175</v>
      </c>
      <c r="AH3914">
        <v>129</v>
      </c>
      <c r="AI3914">
        <v>7.56</v>
      </c>
      <c r="AJ3914">
        <v>32.29</v>
      </c>
      <c r="AK3914">
        <v>23.8</v>
      </c>
      <c r="AL3914">
        <v>-20.149341899999939</v>
      </c>
      <c r="AM3914">
        <v>-44.899575902083967</v>
      </c>
      <c r="AN3914">
        <v>-20.149341899999939</v>
      </c>
      <c r="AO3914">
        <v>-44.899575902083967</v>
      </c>
      <c r="AP3914">
        <v>-20.14941</v>
      </c>
      <c r="AQ3914">
        <v>-44.899535</v>
      </c>
      <c r="AR3914">
        <v>8.7029725999778709</v>
      </c>
      <c r="AS3914" t="s">
        <v>65</v>
      </c>
      <c r="AT3914">
        <v>1</v>
      </c>
      <c r="AU3914" t="s">
        <v>1447</v>
      </c>
      <c r="AV3914" t="s">
        <v>1448</v>
      </c>
      <c r="AW3914" t="s">
        <v>60</v>
      </c>
      <c r="AX3914" t="s">
        <v>68</v>
      </c>
      <c r="AY3914" t="s">
        <v>69</v>
      </c>
      <c r="AZ3914" t="b">
        <v>1</v>
      </c>
    </row>
    <row r="3915" spans="1:52" x14ac:dyDescent="0.3">
      <c r="A3915" t="s">
        <v>52</v>
      </c>
      <c r="B3915" t="s">
        <v>53</v>
      </c>
      <c r="C3915" t="s">
        <v>54</v>
      </c>
      <c r="D3915" t="s">
        <v>55</v>
      </c>
      <c r="E3915" t="s">
        <v>2206</v>
      </c>
      <c r="F3915" t="s">
        <v>190</v>
      </c>
      <c r="G3915" t="s">
        <v>890</v>
      </c>
      <c r="H3915" t="s">
        <v>891</v>
      </c>
      <c r="I3915" t="s">
        <v>891</v>
      </c>
      <c r="J3915" t="s">
        <v>60</v>
      </c>
      <c r="K3915" t="s">
        <v>892</v>
      </c>
      <c r="L3915" t="s">
        <v>62</v>
      </c>
      <c r="M3915" t="s">
        <v>892</v>
      </c>
      <c r="N3915" t="s">
        <v>893</v>
      </c>
      <c r="O3915" t="s">
        <v>894</v>
      </c>
      <c r="P3915">
        <v>-20.152519000000002</v>
      </c>
      <c r="Q3915">
        <v>-44.899177000000002</v>
      </c>
      <c r="R3915" s="2" t="str">
        <f>HYPERLINK("https://www.google.com/maps?q=-20.1525190,-44.8991770","Abrir no Google Maps")</f>
        <v>Abrir no Google Maps</v>
      </c>
      <c r="S3915">
        <v>3</v>
      </c>
      <c r="T3915">
        <v>211.80188552994721</v>
      </c>
      <c r="U3915">
        <v>3</v>
      </c>
      <c r="V3915">
        <v>0.4139883552370251</v>
      </c>
      <c r="W3915">
        <v>1</v>
      </c>
      <c r="X3915">
        <v>0.4139883552370251</v>
      </c>
      <c r="Y3915">
        <v>556</v>
      </c>
      <c r="Z3915">
        <v>290.34804137107091</v>
      </c>
      <c r="AA3915">
        <v>198</v>
      </c>
      <c r="AB3915">
        <v>332</v>
      </c>
      <c r="AC3915">
        <v>536</v>
      </c>
      <c r="AD3915">
        <v>33.19</v>
      </c>
      <c r="AE3915">
        <v>542</v>
      </c>
      <c r="AF3915">
        <v>41</v>
      </c>
      <c r="AG3915">
        <v>175</v>
      </c>
      <c r="AH3915">
        <v>129</v>
      </c>
      <c r="AI3915">
        <v>7.56</v>
      </c>
      <c r="AJ3915">
        <v>32.29</v>
      </c>
      <c r="AK3915">
        <v>23.8</v>
      </c>
      <c r="AL3915">
        <v>-20.152516249999959</v>
      </c>
      <c r="AM3915">
        <v>-44.899310431333959</v>
      </c>
      <c r="AN3915">
        <v>-20.152516249999959</v>
      </c>
      <c r="AO3915">
        <v>-44.899310431333959</v>
      </c>
      <c r="AP3915">
        <v>-20.152519000000002</v>
      </c>
      <c r="AQ3915">
        <v>-44.899177000000002</v>
      </c>
      <c r="AR3915">
        <v>13.947583284957719</v>
      </c>
      <c r="AS3915" t="s">
        <v>65</v>
      </c>
      <c r="AT3915">
        <v>1</v>
      </c>
      <c r="AU3915" t="s">
        <v>895</v>
      </c>
      <c r="AV3915" t="s">
        <v>896</v>
      </c>
      <c r="AW3915" t="s">
        <v>60</v>
      </c>
      <c r="AX3915" t="s">
        <v>68</v>
      </c>
      <c r="AY3915" t="s">
        <v>69</v>
      </c>
      <c r="AZ3915" t="b">
        <v>1</v>
      </c>
    </row>
    <row r="3916" spans="1:52" x14ac:dyDescent="0.3">
      <c r="A3916" t="s">
        <v>52</v>
      </c>
      <c r="B3916" t="s">
        <v>53</v>
      </c>
      <c r="C3916" t="s">
        <v>54</v>
      </c>
      <c r="D3916" t="s">
        <v>55</v>
      </c>
      <c r="E3916" t="s">
        <v>2206</v>
      </c>
      <c r="F3916" t="s">
        <v>190</v>
      </c>
      <c r="G3916" t="s">
        <v>1412</v>
      </c>
      <c r="H3916" t="s">
        <v>1413</v>
      </c>
      <c r="I3916" t="s">
        <v>1413</v>
      </c>
      <c r="J3916" t="s">
        <v>60</v>
      </c>
      <c r="K3916" t="s">
        <v>892</v>
      </c>
      <c r="L3916" t="s">
        <v>62</v>
      </c>
      <c r="M3916" t="s">
        <v>892</v>
      </c>
      <c r="N3916" t="s">
        <v>1414</v>
      </c>
      <c r="O3916" t="s">
        <v>293</v>
      </c>
      <c r="P3916">
        <v>-20.150780999999998</v>
      </c>
      <c r="Q3916">
        <v>-44.897972000000003</v>
      </c>
      <c r="R3916" s="2" t="str">
        <f>HYPERLINK("https://www.google.com/maps?q=-20.1507810,-44.8979720","Abrir no Google Maps")</f>
        <v>Abrir no Google Maps</v>
      </c>
      <c r="S3916">
        <v>3</v>
      </c>
      <c r="T3916">
        <v>306.36394634674508</v>
      </c>
      <c r="U3916">
        <v>3</v>
      </c>
      <c r="V3916">
        <v>0.41996846093870882</v>
      </c>
      <c r="W3916">
        <v>0.85</v>
      </c>
      <c r="X3916">
        <v>0.35697319179790249</v>
      </c>
      <c r="Y3916">
        <v>556</v>
      </c>
      <c r="Z3916">
        <v>233.85692443628571</v>
      </c>
      <c r="AA3916">
        <v>198</v>
      </c>
      <c r="AB3916">
        <v>332</v>
      </c>
      <c r="AC3916">
        <v>536</v>
      </c>
      <c r="AD3916">
        <v>33.19</v>
      </c>
      <c r="AE3916">
        <v>542</v>
      </c>
      <c r="AF3916">
        <v>41</v>
      </c>
      <c r="AG3916">
        <v>175</v>
      </c>
      <c r="AH3916">
        <v>129</v>
      </c>
      <c r="AI3916">
        <v>7.56</v>
      </c>
      <c r="AJ3916">
        <v>32.29</v>
      </c>
      <c r="AK3916">
        <v>23.8</v>
      </c>
      <c r="AL3916">
        <v>-20.15074609999996</v>
      </c>
      <c r="AM3916">
        <v>-44.89795774234689</v>
      </c>
      <c r="AN3916">
        <v>-20.15074609999996</v>
      </c>
      <c r="AO3916">
        <v>-44.89795774234689</v>
      </c>
      <c r="AP3916">
        <v>-20.150780999999998</v>
      </c>
      <c r="AQ3916">
        <v>-44.897972000000003</v>
      </c>
      <c r="AR3916">
        <v>4.160995809097348</v>
      </c>
      <c r="AS3916" t="s">
        <v>65</v>
      </c>
      <c r="AT3916">
        <v>1</v>
      </c>
      <c r="AU3916" t="s">
        <v>1415</v>
      </c>
      <c r="AV3916" t="s">
        <v>1416</v>
      </c>
      <c r="AW3916" t="s">
        <v>60</v>
      </c>
      <c r="AX3916" t="s">
        <v>68</v>
      </c>
      <c r="AY3916" t="s">
        <v>69</v>
      </c>
      <c r="AZ3916" t="b">
        <v>1</v>
      </c>
    </row>
    <row r="3917" spans="1:52" x14ac:dyDescent="0.3">
      <c r="A3917" t="s">
        <v>52</v>
      </c>
      <c r="B3917" t="s">
        <v>53</v>
      </c>
      <c r="C3917" t="s">
        <v>54</v>
      </c>
      <c r="D3917" t="s">
        <v>55</v>
      </c>
      <c r="E3917" t="s">
        <v>2206</v>
      </c>
      <c r="F3917" t="s">
        <v>190</v>
      </c>
      <c r="G3917" t="s">
        <v>897</v>
      </c>
      <c r="H3917" t="s">
        <v>898</v>
      </c>
      <c r="I3917" t="s">
        <v>898</v>
      </c>
      <c r="J3917" t="s">
        <v>60</v>
      </c>
      <c r="K3917" t="s">
        <v>892</v>
      </c>
      <c r="L3917" t="s">
        <v>62</v>
      </c>
      <c r="M3917" t="s">
        <v>892</v>
      </c>
      <c r="N3917" t="s">
        <v>899</v>
      </c>
      <c r="O3917" t="s">
        <v>900</v>
      </c>
      <c r="P3917">
        <v>-20.154885</v>
      </c>
      <c r="Q3917">
        <v>-44.899890999999997</v>
      </c>
      <c r="R3917" s="2" t="str">
        <f>HYPERLINK("https://www.google.com/maps?q=-20.1548850,-44.8998910","Abrir no Google Maps")</f>
        <v>Abrir no Google Maps</v>
      </c>
      <c r="S3917">
        <v>3</v>
      </c>
      <c r="T3917">
        <v>314.66339661014308</v>
      </c>
      <c r="U3917">
        <v>3</v>
      </c>
      <c r="V3917">
        <v>0.3783370346692197</v>
      </c>
      <c r="W3917">
        <v>1</v>
      </c>
      <c r="X3917">
        <v>0.3783370346692197</v>
      </c>
      <c r="Y3917">
        <v>548</v>
      </c>
      <c r="Z3917">
        <v>319.02252584834253</v>
      </c>
      <c r="AA3917">
        <v>198</v>
      </c>
      <c r="AB3917">
        <v>332</v>
      </c>
      <c r="AC3917">
        <v>536</v>
      </c>
      <c r="AD3917">
        <v>33.19</v>
      </c>
      <c r="AE3917">
        <v>542</v>
      </c>
      <c r="AF3917">
        <v>41</v>
      </c>
      <c r="AG3917">
        <v>175</v>
      </c>
      <c r="AH3917">
        <v>129</v>
      </c>
      <c r="AI3917">
        <v>7.56</v>
      </c>
      <c r="AJ3917">
        <v>32.29</v>
      </c>
      <c r="AK3917">
        <v>23.8</v>
      </c>
      <c r="AL3917">
        <v>-20.154906649999951</v>
      </c>
      <c r="AM3917">
        <v>-44.899894072543653</v>
      </c>
      <c r="AN3917">
        <v>-20.154906649999951</v>
      </c>
      <c r="AO3917">
        <v>-44.899894072543653</v>
      </c>
      <c r="AP3917">
        <v>-20.154885</v>
      </c>
      <c r="AQ3917">
        <v>-44.899890999999997</v>
      </c>
      <c r="AR3917">
        <v>2.431373123904943</v>
      </c>
      <c r="AS3917" t="s">
        <v>65</v>
      </c>
      <c r="AT3917">
        <v>1</v>
      </c>
      <c r="AU3917" t="s">
        <v>901</v>
      </c>
      <c r="AV3917" t="s">
        <v>902</v>
      </c>
      <c r="AW3917" t="s">
        <v>60</v>
      </c>
      <c r="AX3917" t="s">
        <v>68</v>
      </c>
      <c r="AY3917" t="s">
        <v>69</v>
      </c>
      <c r="AZ3917" t="b">
        <v>1</v>
      </c>
    </row>
    <row r="3918" spans="1:52" x14ac:dyDescent="0.3">
      <c r="A3918" t="s">
        <v>52</v>
      </c>
      <c r="B3918" t="s">
        <v>53</v>
      </c>
      <c r="C3918" t="s">
        <v>54</v>
      </c>
      <c r="D3918" t="s">
        <v>55</v>
      </c>
      <c r="E3918" t="s">
        <v>2206</v>
      </c>
      <c r="F3918" t="s">
        <v>190</v>
      </c>
      <c r="G3918" t="s">
        <v>910</v>
      </c>
      <c r="H3918" t="s">
        <v>911</v>
      </c>
      <c r="I3918" t="s">
        <v>911</v>
      </c>
      <c r="J3918" t="s">
        <v>60</v>
      </c>
      <c r="K3918" t="s">
        <v>207</v>
      </c>
      <c r="L3918" t="s">
        <v>62</v>
      </c>
      <c r="M3918" t="s">
        <v>207</v>
      </c>
      <c r="N3918" t="s">
        <v>912</v>
      </c>
      <c r="O3918" t="s">
        <v>548</v>
      </c>
      <c r="P3918">
        <v>-20.116987000000002</v>
      </c>
      <c r="Q3918">
        <v>-44.885240000000003</v>
      </c>
      <c r="R3918" s="2" t="str">
        <f>HYPERLINK("https://www.google.com/maps?q=-20.1169870,-44.8852400","Abrir no Google Maps")</f>
        <v>Abrir no Google Maps</v>
      </c>
      <c r="S3918">
        <v>3</v>
      </c>
      <c r="T3918">
        <v>283.94804862214067</v>
      </c>
      <c r="U3918">
        <v>3</v>
      </c>
      <c r="V3918">
        <v>0.3935304126855293</v>
      </c>
      <c r="W3918">
        <v>1</v>
      </c>
      <c r="X3918">
        <v>0.3935304126855293</v>
      </c>
      <c r="Y3918">
        <v>536</v>
      </c>
      <c r="Z3918">
        <v>297.39410031170689</v>
      </c>
      <c r="AA3918">
        <v>198</v>
      </c>
      <c r="AB3918">
        <v>332</v>
      </c>
      <c r="AC3918">
        <v>536</v>
      </c>
      <c r="AD3918">
        <v>33.19</v>
      </c>
      <c r="AE3918">
        <v>542</v>
      </c>
      <c r="AF3918">
        <v>41</v>
      </c>
      <c r="AG3918">
        <v>175</v>
      </c>
      <c r="AH3918">
        <v>129</v>
      </c>
      <c r="AI3918">
        <v>7.56</v>
      </c>
      <c r="AJ3918">
        <v>32.29</v>
      </c>
      <c r="AK3918">
        <v>23.8</v>
      </c>
      <c r="AL3918">
        <v>-20.116999599999961</v>
      </c>
      <c r="AM3918">
        <v>-44.885197873315192</v>
      </c>
      <c r="AN3918">
        <v>-20.116999599999961</v>
      </c>
      <c r="AO3918">
        <v>-44.885197873315192</v>
      </c>
      <c r="AP3918">
        <v>-20.116987000000002</v>
      </c>
      <c r="AQ3918">
        <v>-44.885240000000003</v>
      </c>
      <c r="AR3918">
        <v>4.6214387870334246</v>
      </c>
      <c r="AS3918" t="s">
        <v>65</v>
      </c>
      <c r="AT3918">
        <v>1</v>
      </c>
      <c r="AU3918" t="s">
        <v>913</v>
      </c>
      <c r="AV3918" t="s">
        <v>914</v>
      </c>
      <c r="AW3918" t="s">
        <v>60</v>
      </c>
      <c r="AX3918" t="s">
        <v>68</v>
      </c>
      <c r="AY3918" t="s">
        <v>69</v>
      </c>
      <c r="AZ3918" t="b">
        <v>1</v>
      </c>
    </row>
    <row r="3919" spans="1:52" x14ac:dyDescent="0.3">
      <c r="A3919" t="s">
        <v>52</v>
      </c>
      <c r="B3919" t="s">
        <v>53</v>
      </c>
      <c r="C3919" t="s">
        <v>54</v>
      </c>
      <c r="D3919" t="s">
        <v>55</v>
      </c>
      <c r="E3919" t="s">
        <v>2206</v>
      </c>
      <c r="F3919" t="s">
        <v>190</v>
      </c>
      <c r="G3919" t="s">
        <v>232</v>
      </c>
      <c r="H3919" t="s">
        <v>925</v>
      </c>
      <c r="I3919" t="s">
        <v>925</v>
      </c>
      <c r="J3919" t="s">
        <v>60</v>
      </c>
      <c r="K3919" t="s">
        <v>702</v>
      </c>
      <c r="L3919" t="s">
        <v>62</v>
      </c>
      <c r="M3919" t="s">
        <v>702</v>
      </c>
      <c r="N3919" t="s">
        <v>234</v>
      </c>
      <c r="O3919" t="s">
        <v>926</v>
      </c>
      <c r="P3919">
        <v>-20.165887999999999</v>
      </c>
      <c r="Q3919">
        <v>-44.865220000000001</v>
      </c>
      <c r="R3919" s="2" t="str">
        <f>HYPERLINK("https://www.google.com/maps?q=-20.1658880,-44.8652200","Abrir no Google Maps")</f>
        <v>Abrir no Google Maps</v>
      </c>
      <c r="S3919">
        <v>3</v>
      </c>
      <c r="T3919">
        <v>711.71706763776342</v>
      </c>
      <c r="U3919">
        <v>3</v>
      </c>
      <c r="V3919">
        <v>0.40188132135971472</v>
      </c>
      <c r="W3919">
        <v>1</v>
      </c>
      <c r="X3919">
        <v>0.40188132135971472</v>
      </c>
      <c r="Y3919">
        <v>518</v>
      </c>
      <c r="Z3919">
        <v>801.45781285603209</v>
      </c>
      <c r="AA3919">
        <v>198</v>
      </c>
      <c r="AB3919">
        <v>332</v>
      </c>
      <c r="AC3919">
        <v>536</v>
      </c>
      <c r="AD3919">
        <v>33.19</v>
      </c>
      <c r="AE3919">
        <v>542</v>
      </c>
      <c r="AF3919">
        <v>41</v>
      </c>
      <c r="AG3919">
        <v>175</v>
      </c>
      <c r="AH3919">
        <v>129</v>
      </c>
      <c r="AI3919">
        <v>7.56</v>
      </c>
      <c r="AJ3919">
        <v>32.29</v>
      </c>
      <c r="AK3919">
        <v>23.8</v>
      </c>
      <c r="AL3919">
        <v>-20.165865449999959</v>
      </c>
      <c r="AM3919">
        <v>-44.865240434761468</v>
      </c>
      <c r="AN3919">
        <v>-20.165865449999959</v>
      </c>
      <c r="AO3919">
        <v>-44.865240434761468</v>
      </c>
      <c r="AP3919">
        <v>-20.165887999999999</v>
      </c>
      <c r="AQ3919">
        <v>-44.865220000000001</v>
      </c>
      <c r="AR3919">
        <v>3.2956262004279409</v>
      </c>
      <c r="AS3919" t="s">
        <v>65</v>
      </c>
      <c r="AT3919">
        <v>1</v>
      </c>
      <c r="AU3919" t="s">
        <v>927</v>
      </c>
      <c r="AV3919" t="s">
        <v>928</v>
      </c>
      <c r="AW3919" t="s">
        <v>60</v>
      </c>
      <c r="AX3919" t="s">
        <v>68</v>
      </c>
      <c r="AY3919" t="s">
        <v>69</v>
      </c>
      <c r="AZ3919" t="b">
        <v>1</v>
      </c>
    </row>
    <row r="3920" spans="1:52" x14ac:dyDescent="0.3">
      <c r="A3920" t="s">
        <v>52</v>
      </c>
      <c r="B3920" t="s">
        <v>53</v>
      </c>
      <c r="C3920" t="s">
        <v>54</v>
      </c>
      <c r="D3920" t="s">
        <v>55</v>
      </c>
      <c r="E3920" t="s">
        <v>2206</v>
      </c>
      <c r="F3920" t="s">
        <v>190</v>
      </c>
      <c r="G3920" t="s">
        <v>2213</v>
      </c>
      <c r="H3920" t="s">
        <v>2214</v>
      </c>
      <c r="I3920" t="s">
        <v>2214</v>
      </c>
      <c r="J3920" t="s">
        <v>60</v>
      </c>
      <c r="K3920" t="s">
        <v>702</v>
      </c>
      <c r="L3920" t="s">
        <v>62</v>
      </c>
      <c r="M3920" t="s">
        <v>702</v>
      </c>
      <c r="N3920" t="s">
        <v>2215</v>
      </c>
      <c r="O3920" t="s">
        <v>2216</v>
      </c>
      <c r="P3920">
        <v>-20.163260000000001</v>
      </c>
      <c r="Q3920">
        <v>-44.862287999999999</v>
      </c>
      <c r="R3920" s="2" t="str">
        <f>HYPERLINK("https://www.google.com/maps?q=-20.1632600,-44.8622880","Abrir no Google Maps")</f>
        <v>Abrir no Google Maps</v>
      </c>
      <c r="S3920">
        <v>3</v>
      </c>
      <c r="T3920">
        <v>451.92124356180528</v>
      </c>
      <c r="U3920">
        <v>3</v>
      </c>
      <c r="V3920">
        <v>0.45778476331360951</v>
      </c>
      <c r="W3920">
        <v>0.85</v>
      </c>
      <c r="X3920">
        <v>0.38911704881656811</v>
      </c>
      <c r="Y3920">
        <v>518</v>
      </c>
      <c r="Z3920">
        <v>339.67455888958699</v>
      </c>
      <c r="AA3920">
        <v>198</v>
      </c>
      <c r="AB3920">
        <v>332</v>
      </c>
      <c r="AC3920">
        <v>536</v>
      </c>
      <c r="AD3920">
        <v>33.19</v>
      </c>
      <c r="AE3920">
        <v>542</v>
      </c>
      <c r="AF3920">
        <v>41</v>
      </c>
      <c r="AG3920">
        <v>175</v>
      </c>
      <c r="AH3920">
        <v>129</v>
      </c>
      <c r="AI3920">
        <v>7.56</v>
      </c>
      <c r="AJ3920">
        <v>32.29</v>
      </c>
      <c r="AK3920">
        <v>23.8</v>
      </c>
      <c r="AL3920">
        <v>-20.16226019999996</v>
      </c>
      <c r="AM3920">
        <v>-44.862187749999961</v>
      </c>
      <c r="AN3920">
        <v>-20.16226019999996</v>
      </c>
      <c r="AO3920">
        <v>-44.862187749999961</v>
      </c>
      <c r="AP3920">
        <v>-20.163260000000001</v>
      </c>
      <c r="AQ3920">
        <v>-44.862287999999999</v>
      </c>
      <c r="AR3920">
        <v>111.7896763886434</v>
      </c>
      <c r="AS3920" t="s">
        <v>65</v>
      </c>
      <c r="AT3920">
        <v>1</v>
      </c>
      <c r="AU3920" t="s">
        <v>2217</v>
      </c>
      <c r="AV3920" t="s">
        <v>2218</v>
      </c>
      <c r="AW3920" t="s">
        <v>60</v>
      </c>
      <c r="AX3920" t="s">
        <v>68</v>
      </c>
      <c r="AY3920" t="s">
        <v>69</v>
      </c>
      <c r="AZ3920" t="b">
        <v>1</v>
      </c>
    </row>
    <row r="3921" spans="1:52" x14ac:dyDescent="0.3">
      <c r="A3921" t="s">
        <v>52</v>
      </c>
      <c r="B3921" t="s">
        <v>53</v>
      </c>
      <c r="C3921" t="s">
        <v>54</v>
      </c>
      <c r="D3921" t="s">
        <v>55</v>
      </c>
      <c r="E3921" t="s">
        <v>2206</v>
      </c>
      <c r="F3921" t="s">
        <v>190</v>
      </c>
      <c r="G3921" t="s">
        <v>929</v>
      </c>
      <c r="H3921" t="s">
        <v>930</v>
      </c>
      <c r="I3921" t="s">
        <v>930</v>
      </c>
      <c r="J3921" t="s">
        <v>60</v>
      </c>
      <c r="K3921" t="s">
        <v>72</v>
      </c>
      <c r="L3921" t="s">
        <v>62</v>
      </c>
      <c r="M3921" t="s">
        <v>72</v>
      </c>
      <c r="N3921" t="s">
        <v>931</v>
      </c>
      <c r="O3921" t="s">
        <v>932</v>
      </c>
      <c r="P3921">
        <v>-20.144780999999998</v>
      </c>
      <c r="Q3921">
        <v>-44.914259000000001</v>
      </c>
      <c r="R3921" s="2" t="str">
        <f>HYPERLINK("https://www.google.com/maps?q=-20.1447810,-44.9142590","Abrir no Google Maps")</f>
        <v>Abrir no Google Maps</v>
      </c>
      <c r="S3921">
        <v>3</v>
      </c>
      <c r="T3921">
        <v>256.09363485874093</v>
      </c>
      <c r="U3921">
        <v>3</v>
      </c>
      <c r="V3921">
        <v>0.3691473020774857</v>
      </c>
      <c r="W3921">
        <v>1</v>
      </c>
      <c r="X3921">
        <v>0.3691473020774857</v>
      </c>
      <c r="Y3921">
        <v>508</v>
      </c>
      <c r="Z3921">
        <v>318.29766547935321</v>
      </c>
      <c r="AA3921">
        <v>198</v>
      </c>
      <c r="AB3921">
        <v>332</v>
      </c>
      <c r="AC3921">
        <v>536</v>
      </c>
      <c r="AD3921">
        <v>33.19</v>
      </c>
      <c r="AE3921">
        <v>542</v>
      </c>
      <c r="AF3921">
        <v>41</v>
      </c>
      <c r="AG3921">
        <v>175</v>
      </c>
      <c r="AH3921">
        <v>129</v>
      </c>
      <c r="AI3921">
        <v>7.56</v>
      </c>
      <c r="AJ3921">
        <v>32.29</v>
      </c>
      <c r="AK3921">
        <v>23.8</v>
      </c>
      <c r="AL3921">
        <v>-20.144721899999951</v>
      </c>
      <c r="AM3921">
        <v>-44.914368749511411</v>
      </c>
      <c r="AN3921">
        <v>-20.144721899999951</v>
      </c>
      <c r="AO3921">
        <v>-44.914368749511411</v>
      </c>
      <c r="AP3921">
        <v>-20.144780999999998</v>
      </c>
      <c r="AQ3921">
        <v>-44.914259000000001</v>
      </c>
      <c r="AR3921">
        <v>13.22280973360979</v>
      </c>
      <c r="AS3921" t="s">
        <v>65</v>
      </c>
      <c r="AT3921">
        <v>1</v>
      </c>
      <c r="AU3921" t="s">
        <v>933</v>
      </c>
      <c r="AV3921" t="s">
        <v>934</v>
      </c>
      <c r="AW3921" t="s">
        <v>60</v>
      </c>
      <c r="AX3921" t="s">
        <v>68</v>
      </c>
      <c r="AY3921" t="s">
        <v>69</v>
      </c>
      <c r="AZ3921" t="b">
        <v>1</v>
      </c>
    </row>
    <row r="3922" spans="1:52" x14ac:dyDescent="0.3">
      <c r="A3922" t="s">
        <v>52</v>
      </c>
      <c r="B3922" t="s">
        <v>53</v>
      </c>
      <c r="C3922" t="s">
        <v>54</v>
      </c>
      <c r="D3922" t="s">
        <v>55</v>
      </c>
      <c r="E3922" t="s">
        <v>2206</v>
      </c>
      <c r="F3922" t="s">
        <v>190</v>
      </c>
      <c r="G3922" t="s">
        <v>625</v>
      </c>
      <c r="H3922" t="s">
        <v>626</v>
      </c>
      <c r="I3922" t="s">
        <v>626</v>
      </c>
      <c r="J3922" t="s">
        <v>60</v>
      </c>
      <c r="K3922" t="s">
        <v>193</v>
      </c>
      <c r="L3922" t="s">
        <v>62</v>
      </c>
      <c r="M3922" t="s">
        <v>193</v>
      </c>
      <c r="N3922" t="s">
        <v>627</v>
      </c>
      <c r="O3922" t="s">
        <v>628</v>
      </c>
      <c r="P3922">
        <v>-20.145171999999999</v>
      </c>
      <c r="Q3922">
        <v>-44.916764000000001</v>
      </c>
      <c r="R3922" s="2" t="str">
        <f>HYPERLINK("https://www.google.com/maps?q=-20.1451720,-44.9167640","Abrir no Google Maps")</f>
        <v>Abrir no Google Maps</v>
      </c>
      <c r="S3922">
        <v>3</v>
      </c>
      <c r="T3922">
        <v>0</v>
      </c>
      <c r="U3922">
        <v>3</v>
      </c>
      <c r="V3922">
        <v>0.39370414826641281</v>
      </c>
      <c r="W3922">
        <v>1</v>
      </c>
      <c r="X3922">
        <v>0.39370414826641281</v>
      </c>
      <c r="Y3922">
        <v>508</v>
      </c>
      <c r="Z3922">
        <v>79.403393114466795</v>
      </c>
      <c r="AA3922">
        <v>198</v>
      </c>
      <c r="AB3922">
        <v>332</v>
      </c>
      <c r="AC3922">
        <v>536</v>
      </c>
      <c r="AD3922">
        <v>33.19</v>
      </c>
      <c r="AE3922">
        <v>542</v>
      </c>
      <c r="AF3922">
        <v>41</v>
      </c>
      <c r="AG3922">
        <v>175</v>
      </c>
      <c r="AH3922">
        <v>129</v>
      </c>
      <c r="AI3922">
        <v>7.56</v>
      </c>
      <c r="AJ3922">
        <v>32.29</v>
      </c>
      <c r="AK3922">
        <v>23.8</v>
      </c>
      <c r="AL3922">
        <v>-20.145089199999969</v>
      </c>
      <c r="AM3922">
        <v>-44.916788127791321</v>
      </c>
      <c r="AN3922">
        <v>-20.145089199999969</v>
      </c>
      <c r="AO3922">
        <v>-44.916788127791321</v>
      </c>
      <c r="AP3922">
        <v>-20.145171999999999</v>
      </c>
      <c r="AQ3922">
        <v>-44.916764000000001</v>
      </c>
      <c r="AR3922">
        <v>9.555991267747272</v>
      </c>
      <c r="AS3922" t="s">
        <v>65</v>
      </c>
      <c r="AT3922">
        <v>1</v>
      </c>
      <c r="AU3922" t="s">
        <v>629</v>
      </c>
      <c r="AV3922" t="s">
        <v>630</v>
      </c>
      <c r="AW3922" t="s">
        <v>60</v>
      </c>
      <c r="AX3922" t="s">
        <v>68</v>
      </c>
      <c r="AY3922" t="s">
        <v>69</v>
      </c>
      <c r="AZ3922" t="b">
        <v>1</v>
      </c>
    </row>
    <row r="3923" spans="1:52" x14ac:dyDescent="0.3">
      <c r="A3923" t="s">
        <v>52</v>
      </c>
      <c r="B3923" t="s">
        <v>53</v>
      </c>
      <c r="C3923" t="s">
        <v>54</v>
      </c>
      <c r="D3923" t="s">
        <v>55</v>
      </c>
      <c r="E3923" t="s">
        <v>2206</v>
      </c>
      <c r="F3923" t="s">
        <v>190</v>
      </c>
      <c r="G3923" t="s">
        <v>1856</v>
      </c>
      <c r="H3923" t="s">
        <v>1857</v>
      </c>
      <c r="I3923" t="s">
        <v>1857</v>
      </c>
      <c r="J3923" t="s">
        <v>60</v>
      </c>
      <c r="K3923" t="s">
        <v>982</v>
      </c>
      <c r="L3923" t="s">
        <v>62</v>
      </c>
      <c r="M3923" t="s">
        <v>982</v>
      </c>
      <c r="N3923" t="s">
        <v>1858</v>
      </c>
      <c r="O3923" t="s">
        <v>1859</v>
      </c>
      <c r="P3923">
        <v>-20.170065000000001</v>
      </c>
      <c r="Q3923">
        <v>-44.856502999999996</v>
      </c>
      <c r="R3923" s="2" t="str">
        <f>HYPERLINK("https://www.google.com/maps?q=-20.1700650,-44.8565030","Abrir no Google Maps")</f>
        <v>Abrir no Google Maps</v>
      </c>
      <c r="S3923">
        <v>3</v>
      </c>
      <c r="T3923">
        <v>924.49628970405706</v>
      </c>
      <c r="U3923">
        <v>3</v>
      </c>
      <c r="V3923">
        <v>0.46834863530013821</v>
      </c>
      <c r="W3923">
        <v>0.85</v>
      </c>
      <c r="X3923">
        <v>0.39809634000511751</v>
      </c>
      <c r="Y3923">
        <v>491</v>
      </c>
      <c r="Z3923">
        <v>781.19994751508341</v>
      </c>
      <c r="AA3923">
        <v>198</v>
      </c>
      <c r="AB3923">
        <v>332</v>
      </c>
      <c r="AC3923">
        <v>536</v>
      </c>
      <c r="AD3923">
        <v>33.19</v>
      </c>
      <c r="AE3923">
        <v>542</v>
      </c>
      <c r="AF3923">
        <v>41</v>
      </c>
      <c r="AG3923">
        <v>175</v>
      </c>
      <c r="AH3923">
        <v>129</v>
      </c>
      <c r="AI3923">
        <v>7.56</v>
      </c>
      <c r="AJ3923">
        <v>32.29</v>
      </c>
      <c r="AK3923">
        <v>23.8</v>
      </c>
      <c r="AL3923">
        <v>-20.170106749999949</v>
      </c>
      <c r="AM3923">
        <v>-44.856479111371733</v>
      </c>
      <c r="AN3923">
        <v>-20.170106749999949</v>
      </c>
      <c r="AO3923">
        <v>-44.856479111371733</v>
      </c>
      <c r="AP3923">
        <v>-20.170065000000001</v>
      </c>
      <c r="AQ3923">
        <v>-44.856502999999996</v>
      </c>
      <c r="AR3923">
        <v>5.275535546946946</v>
      </c>
      <c r="AS3923" t="s">
        <v>65</v>
      </c>
      <c r="AT3923">
        <v>1</v>
      </c>
      <c r="AU3923" t="s">
        <v>1860</v>
      </c>
      <c r="AV3923" t="s">
        <v>1861</v>
      </c>
      <c r="AW3923" t="s">
        <v>60</v>
      </c>
      <c r="AX3923" t="s">
        <v>68</v>
      </c>
      <c r="AY3923" t="s">
        <v>69</v>
      </c>
      <c r="AZ3923" t="b">
        <v>1</v>
      </c>
    </row>
    <row r="3924" spans="1:52" x14ac:dyDescent="0.3">
      <c r="A3924" t="s">
        <v>52</v>
      </c>
      <c r="B3924" t="s">
        <v>53</v>
      </c>
      <c r="C3924" t="s">
        <v>54</v>
      </c>
      <c r="D3924" t="s">
        <v>55</v>
      </c>
      <c r="E3924" t="s">
        <v>2206</v>
      </c>
      <c r="F3924" t="s">
        <v>190</v>
      </c>
      <c r="G3924" t="s">
        <v>1856</v>
      </c>
      <c r="H3924" t="s">
        <v>1862</v>
      </c>
      <c r="I3924" t="s">
        <v>1862</v>
      </c>
      <c r="J3924" t="s">
        <v>60</v>
      </c>
      <c r="K3924" t="s">
        <v>982</v>
      </c>
      <c r="L3924" t="s">
        <v>62</v>
      </c>
      <c r="M3924" t="s">
        <v>982</v>
      </c>
      <c r="N3924" t="s">
        <v>1858</v>
      </c>
      <c r="O3924" t="s">
        <v>1863</v>
      </c>
      <c r="P3924">
        <v>-20.167763000000001</v>
      </c>
      <c r="Q3924">
        <v>-44.855682000000002</v>
      </c>
      <c r="R3924" s="2" t="str">
        <f>HYPERLINK("https://www.google.com/maps?q=-20.1677630,-44.8556820","Abrir no Google Maps")</f>
        <v>Abrir no Google Maps</v>
      </c>
      <c r="S3924">
        <v>3</v>
      </c>
      <c r="T3924">
        <v>695.0286862160923</v>
      </c>
      <c r="U3924">
        <v>3</v>
      </c>
      <c r="V3924">
        <v>0.47620679551281409</v>
      </c>
      <c r="W3924">
        <v>0.85</v>
      </c>
      <c r="X3924">
        <v>0.40477577618589189</v>
      </c>
      <c r="Y3924">
        <v>491</v>
      </c>
      <c r="Z3924">
        <v>586.96149177670804</v>
      </c>
      <c r="AA3924">
        <v>198</v>
      </c>
      <c r="AB3924">
        <v>332</v>
      </c>
      <c r="AC3924">
        <v>536</v>
      </c>
      <c r="AD3924">
        <v>33.19</v>
      </c>
      <c r="AE3924">
        <v>542</v>
      </c>
      <c r="AF3924">
        <v>41</v>
      </c>
      <c r="AG3924">
        <v>175</v>
      </c>
      <c r="AH3924">
        <v>129</v>
      </c>
      <c r="AI3924">
        <v>7.56</v>
      </c>
      <c r="AJ3924">
        <v>32.29</v>
      </c>
      <c r="AK3924">
        <v>23.8</v>
      </c>
      <c r="AL3924">
        <v>-20.16777439999996</v>
      </c>
      <c r="AM3924">
        <v>-44.855650314695723</v>
      </c>
      <c r="AN3924">
        <v>-20.16777439999996</v>
      </c>
      <c r="AO3924">
        <v>-44.855650314695723</v>
      </c>
      <c r="AP3924">
        <v>-20.167763000000001</v>
      </c>
      <c r="AQ3924">
        <v>-44.855682000000002</v>
      </c>
      <c r="AR3924">
        <v>3.5458197041869921</v>
      </c>
      <c r="AS3924" t="s">
        <v>65</v>
      </c>
      <c r="AT3924">
        <v>1</v>
      </c>
      <c r="AU3924" t="s">
        <v>1864</v>
      </c>
      <c r="AV3924" t="s">
        <v>1861</v>
      </c>
      <c r="AW3924" t="s">
        <v>60</v>
      </c>
      <c r="AX3924" t="s">
        <v>68</v>
      </c>
      <c r="AY3924" t="s">
        <v>69</v>
      </c>
      <c r="AZ3924" t="b">
        <v>1</v>
      </c>
    </row>
    <row r="3925" spans="1:52" x14ac:dyDescent="0.3">
      <c r="A3925" t="s">
        <v>52</v>
      </c>
      <c r="B3925" t="s">
        <v>53</v>
      </c>
      <c r="C3925" t="s">
        <v>54</v>
      </c>
      <c r="D3925" t="s">
        <v>55</v>
      </c>
      <c r="E3925" t="s">
        <v>2206</v>
      </c>
      <c r="F3925" t="s">
        <v>190</v>
      </c>
      <c r="G3925" t="s">
        <v>1865</v>
      </c>
      <c r="H3925" t="s">
        <v>1866</v>
      </c>
      <c r="I3925" t="s">
        <v>1866</v>
      </c>
      <c r="J3925" t="s">
        <v>60</v>
      </c>
      <c r="K3925" t="s">
        <v>1867</v>
      </c>
      <c r="L3925" t="s">
        <v>62</v>
      </c>
      <c r="M3925" t="s">
        <v>1867</v>
      </c>
      <c r="N3925" t="s">
        <v>1868</v>
      </c>
      <c r="O3925" t="s">
        <v>331</v>
      </c>
      <c r="P3925">
        <v>-20.181349000000001</v>
      </c>
      <c r="Q3925">
        <v>-44.855376</v>
      </c>
      <c r="R3925" s="2" t="str">
        <f>HYPERLINK("https://www.google.com/maps?q=-20.1813490,-44.8553760","Abrir no Google Maps")</f>
        <v>Abrir no Google Maps</v>
      </c>
      <c r="S3925">
        <v>3</v>
      </c>
      <c r="T3925">
        <v>1480.8140209554069</v>
      </c>
      <c r="U3925">
        <v>3</v>
      </c>
      <c r="V3925">
        <v>0.44251176578664708</v>
      </c>
      <c r="W3925">
        <v>0.85</v>
      </c>
      <c r="X3925">
        <v>0.37613500091864999</v>
      </c>
      <c r="Y3925">
        <v>422</v>
      </c>
      <c r="Z3925">
        <v>1626.22889540284</v>
      </c>
      <c r="AA3925">
        <v>198</v>
      </c>
      <c r="AB3925">
        <v>332</v>
      </c>
      <c r="AC3925">
        <v>536</v>
      </c>
      <c r="AD3925">
        <v>33.19</v>
      </c>
      <c r="AE3925">
        <v>542</v>
      </c>
      <c r="AF3925">
        <v>41</v>
      </c>
      <c r="AG3925">
        <v>175</v>
      </c>
      <c r="AH3925">
        <v>129</v>
      </c>
      <c r="AI3925">
        <v>7.56</v>
      </c>
      <c r="AJ3925">
        <v>32.29</v>
      </c>
      <c r="AK3925">
        <v>23.8</v>
      </c>
      <c r="AL3925">
        <v>-20.18159664999996</v>
      </c>
      <c r="AM3925">
        <v>-44.855209881649429</v>
      </c>
      <c r="AN3925">
        <v>-20.18159664999996</v>
      </c>
      <c r="AO3925">
        <v>-44.855209881649429</v>
      </c>
      <c r="AP3925">
        <v>-20.181349000000001</v>
      </c>
      <c r="AQ3925">
        <v>-44.855376</v>
      </c>
      <c r="AR3925">
        <v>32.577291538690083</v>
      </c>
      <c r="AS3925" t="s">
        <v>65</v>
      </c>
      <c r="AT3925">
        <v>1</v>
      </c>
      <c r="AU3925" t="s">
        <v>1869</v>
      </c>
      <c r="AV3925" t="s">
        <v>1870</v>
      </c>
      <c r="AW3925" t="s">
        <v>60</v>
      </c>
      <c r="AX3925" t="s">
        <v>68</v>
      </c>
      <c r="AY3925" t="s">
        <v>69</v>
      </c>
      <c r="AZ3925" t="b">
        <v>1</v>
      </c>
    </row>
    <row r="3926" spans="1:52" x14ac:dyDescent="0.3">
      <c r="A3926" t="s">
        <v>52</v>
      </c>
      <c r="B3926" t="s">
        <v>53</v>
      </c>
      <c r="C3926" t="s">
        <v>54</v>
      </c>
      <c r="D3926" t="s">
        <v>55</v>
      </c>
      <c r="E3926" t="s">
        <v>2206</v>
      </c>
      <c r="F3926" t="s">
        <v>190</v>
      </c>
      <c r="G3926" t="s">
        <v>1871</v>
      </c>
      <c r="H3926" t="s">
        <v>1872</v>
      </c>
      <c r="I3926" t="s">
        <v>1872</v>
      </c>
      <c r="J3926" t="s">
        <v>60</v>
      </c>
      <c r="K3926" t="s">
        <v>1873</v>
      </c>
      <c r="L3926" t="s">
        <v>62</v>
      </c>
      <c r="M3926" t="s">
        <v>1873</v>
      </c>
      <c r="N3926" t="s">
        <v>1874</v>
      </c>
      <c r="O3926" t="s">
        <v>1777</v>
      </c>
      <c r="P3926">
        <v>-20.174001000000001</v>
      </c>
      <c r="Q3926">
        <v>-44.858052999999998</v>
      </c>
      <c r="R3926" s="2" t="str">
        <f>HYPERLINK("https://www.google.com/maps?q=-20.1740010,-44.8580530","Abrir no Google Maps")</f>
        <v>Abrir no Google Maps</v>
      </c>
      <c r="S3926">
        <v>3</v>
      </c>
      <c r="T3926">
        <v>781.46073891498543</v>
      </c>
      <c r="U3926">
        <v>3</v>
      </c>
      <c r="V3926">
        <v>0.452465131841357</v>
      </c>
      <c r="W3926">
        <v>0.85</v>
      </c>
      <c r="X3926">
        <v>0.38459536206515338</v>
      </c>
      <c r="Y3926">
        <v>422</v>
      </c>
      <c r="Z3926">
        <v>952.0433747489468</v>
      </c>
      <c r="AA3926">
        <v>198</v>
      </c>
      <c r="AB3926">
        <v>332</v>
      </c>
      <c r="AC3926">
        <v>536</v>
      </c>
      <c r="AD3926">
        <v>33.19</v>
      </c>
      <c r="AE3926">
        <v>542</v>
      </c>
      <c r="AF3926">
        <v>41</v>
      </c>
      <c r="AG3926">
        <v>175</v>
      </c>
      <c r="AH3926">
        <v>129</v>
      </c>
      <c r="AI3926">
        <v>7.56</v>
      </c>
      <c r="AJ3926">
        <v>32.29</v>
      </c>
      <c r="AK3926">
        <v>23.8</v>
      </c>
      <c r="AL3926">
        <v>-20.173775449999969</v>
      </c>
      <c r="AM3926">
        <v>-44.858085656466983</v>
      </c>
      <c r="AN3926">
        <v>-20.173775449999969</v>
      </c>
      <c r="AO3926">
        <v>-44.858085656466983</v>
      </c>
      <c r="AP3926">
        <v>-20.174001000000001</v>
      </c>
      <c r="AQ3926">
        <v>-44.858052999999998</v>
      </c>
      <c r="AR3926">
        <v>25.339036445914079</v>
      </c>
      <c r="AS3926" t="s">
        <v>65</v>
      </c>
      <c r="AT3926">
        <v>1</v>
      </c>
      <c r="AU3926" t="s">
        <v>1875</v>
      </c>
      <c r="AV3926" t="s">
        <v>1876</v>
      </c>
      <c r="AW3926" t="s">
        <v>60</v>
      </c>
      <c r="AX3926" t="s">
        <v>68</v>
      </c>
      <c r="AY3926" t="s">
        <v>69</v>
      </c>
      <c r="AZ3926" t="b">
        <v>1</v>
      </c>
    </row>
    <row r="3927" spans="1:52" x14ac:dyDescent="0.3">
      <c r="A3927" t="s">
        <v>52</v>
      </c>
      <c r="B3927" t="s">
        <v>53</v>
      </c>
      <c r="C3927" t="s">
        <v>54</v>
      </c>
      <c r="D3927" t="s">
        <v>55</v>
      </c>
      <c r="E3927" t="s">
        <v>2206</v>
      </c>
      <c r="F3927" t="s">
        <v>190</v>
      </c>
      <c r="G3927" t="s">
        <v>1877</v>
      </c>
      <c r="H3927" t="s">
        <v>1878</v>
      </c>
      <c r="I3927" t="s">
        <v>1878</v>
      </c>
      <c r="J3927" t="s">
        <v>60</v>
      </c>
      <c r="K3927" t="s">
        <v>1023</v>
      </c>
      <c r="L3927" t="s">
        <v>62</v>
      </c>
      <c r="M3927" t="s">
        <v>1023</v>
      </c>
      <c r="N3927" t="s">
        <v>1879</v>
      </c>
      <c r="O3927" t="s">
        <v>1880</v>
      </c>
      <c r="P3927">
        <v>-20.174357000000001</v>
      </c>
      <c r="Q3927">
        <v>-44.866101</v>
      </c>
      <c r="R3927" s="2" t="str">
        <f>HYPERLINK("https://www.google.com/maps?q=-20.1743570,-44.8661010","Abrir no Google Maps")</f>
        <v>Abrir no Google Maps</v>
      </c>
      <c r="S3927">
        <v>3</v>
      </c>
      <c r="T3927">
        <v>238.56176556684929</v>
      </c>
      <c r="U3927">
        <v>3</v>
      </c>
      <c r="V3927">
        <v>0.46117221622012128</v>
      </c>
      <c r="W3927">
        <v>0.85</v>
      </c>
      <c r="X3927">
        <v>0.39199638378710311</v>
      </c>
      <c r="Y3927">
        <v>422</v>
      </c>
      <c r="Z3927">
        <v>225.29948026941889</v>
      </c>
      <c r="AA3927">
        <v>198</v>
      </c>
      <c r="AB3927">
        <v>332</v>
      </c>
      <c r="AC3927">
        <v>536</v>
      </c>
      <c r="AD3927">
        <v>33.19</v>
      </c>
      <c r="AE3927">
        <v>542</v>
      </c>
      <c r="AF3927">
        <v>41</v>
      </c>
      <c r="AG3927">
        <v>175</v>
      </c>
      <c r="AH3927">
        <v>129</v>
      </c>
      <c r="AI3927">
        <v>7.56</v>
      </c>
      <c r="AJ3927">
        <v>32.29</v>
      </c>
      <c r="AK3927">
        <v>23.8</v>
      </c>
      <c r="AL3927">
        <v>-20.17434419999995</v>
      </c>
      <c r="AM3927">
        <v>-44.866107665675429</v>
      </c>
      <c r="AN3927">
        <v>-20.17434419999995</v>
      </c>
      <c r="AO3927">
        <v>-44.866107665675429</v>
      </c>
      <c r="AP3927">
        <v>-20.174357000000001</v>
      </c>
      <c r="AQ3927">
        <v>-44.866101</v>
      </c>
      <c r="AR3927">
        <v>1.586013294508726</v>
      </c>
      <c r="AS3927" t="s">
        <v>65</v>
      </c>
      <c r="AT3927">
        <v>1</v>
      </c>
      <c r="AU3927" t="s">
        <v>1881</v>
      </c>
      <c r="AV3927" t="s">
        <v>1043</v>
      </c>
      <c r="AW3927" t="s">
        <v>60</v>
      </c>
      <c r="AX3927" t="s">
        <v>68</v>
      </c>
      <c r="AY3927" t="s">
        <v>69</v>
      </c>
      <c r="AZ3927" t="b">
        <v>1</v>
      </c>
    </row>
    <row r="3928" spans="1:52" x14ac:dyDescent="0.3">
      <c r="A3928" t="s">
        <v>52</v>
      </c>
      <c r="B3928" t="s">
        <v>53</v>
      </c>
      <c r="C3928" t="s">
        <v>54</v>
      </c>
      <c r="D3928" t="s">
        <v>55</v>
      </c>
      <c r="E3928" t="s">
        <v>2206</v>
      </c>
      <c r="F3928" t="s">
        <v>190</v>
      </c>
      <c r="G3928" t="s">
        <v>706</v>
      </c>
      <c r="H3928" t="s">
        <v>707</v>
      </c>
      <c r="I3928" t="s">
        <v>707</v>
      </c>
      <c r="J3928" t="s">
        <v>60</v>
      </c>
      <c r="K3928" t="s">
        <v>708</v>
      </c>
      <c r="L3928" t="s">
        <v>62</v>
      </c>
      <c r="M3928" t="s">
        <v>708</v>
      </c>
      <c r="N3928" t="s">
        <v>709</v>
      </c>
      <c r="O3928" t="s">
        <v>710</v>
      </c>
      <c r="P3928">
        <v>-20.127054999999999</v>
      </c>
      <c r="Q3928">
        <v>-44.872073</v>
      </c>
      <c r="R3928" s="2" t="str">
        <f>HYPERLINK("https://www.google.com/maps?q=-20.1270550,-44.8720730","Abrir no Google Maps")</f>
        <v>Abrir no Google Maps</v>
      </c>
      <c r="S3928">
        <v>3</v>
      </c>
      <c r="T3928">
        <v>395.91108553086929</v>
      </c>
      <c r="U3928">
        <v>3</v>
      </c>
      <c r="V3928">
        <v>0.35679854601956162</v>
      </c>
      <c r="W3928">
        <v>1</v>
      </c>
      <c r="X3928">
        <v>0.35679854601956162</v>
      </c>
      <c r="Y3928">
        <v>387</v>
      </c>
      <c r="Z3928">
        <v>518.31496622382247</v>
      </c>
      <c r="AA3928">
        <v>198</v>
      </c>
      <c r="AB3928">
        <v>332</v>
      </c>
      <c r="AC3928">
        <v>536</v>
      </c>
      <c r="AD3928">
        <v>33.19</v>
      </c>
      <c r="AE3928">
        <v>542</v>
      </c>
      <c r="AF3928">
        <v>41</v>
      </c>
      <c r="AG3928">
        <v>175</v>
      </c>
      <c r="AH3928">
        <v>129</v>
      </c>
      <c r="AI3928">
        <v>7.56</v>
      </c>
      <c r="AJ3928">
        <v>32.29</v>
      </c>
      <c r="AK3928">
        <v>23.8</v>
      </c>
      <c r="AL3928">
        <v>-20.126854749999978</v>
      </c>
      <c r="AM3928">
        <v>-44.871712455027861</v>
      </c>
      <c r="AN3928">
        <v>-20.126854749999978</v>
      </c>
      <c r="AO3928">
        <v>-44.871712455027861</v>
      </c>
      <c r="AP3928">
        <v>-20.127054999999999</v>
      </c>
      <c r="AQ3928">
        <v>-44.872073</v>
      </c>
      <c r="AR3928">
        <v>43.784435535392717</v>
      </c>
      <c r="AS3928" t="s">
        <v>65</v>
      </c>
      <c r="AT3928">
        <v>1</v>
      </c>
      <c r="AU3928" t="s">
        <v>711</v>
      </c>
      <c r="AV3928" t="s">
        <v>712</v>
      </c>
      <c r="AW3928" t="s">
        <v>60</v>
      </c>
      <c r="AX3928" t="s">
        <v>68</v>
      </c>
      <c r="AY3928" t="s">
        <v>69</v>
      </c>
      <c r="AZ3928" t="b">
        <v>1</v>
      </c>
    </row>
    <row r="3929" spans="1:52" x14ac:dyDescent="0.3">
      <c r="A3929" t="s">
        <v>52</v>
      </c>
      <c r="B3929" t="s">
        <v>53</v>
      </c>
      <c r="C3929" t="s">
        <v>54</v>
      </c>
      <c r="D3929" t="s">
        <v>55</v>
      </c>
      <c r="E3929" t="s">
        <v>2206</v>
      </c>
      <c r="F3929" t="s">
        <v>190</v>
      </c>
      <c r="G3929" t="s">
        <v>734</v>
      </c>
      <c r="H3929" t="s">
        <v>1059</v>
      </c>
      <c r="I3929" t="s">
        <v>1059</v>
      </c>
      <c r="J3929" t="s">
        <v>60</v>
      </c>
      <c r="K3929" t="s">
        <v>736</v>
      </c>
      <c r="L3929" t="s">
        <v>62</v>
      </c>
      <c r="M3929" t="s">
        <v>736</v>
      </c>
      <c r="N3929" t="s">
        <v>1060</v>
      </c>
      <c r="O3929" t="s">
        <v>1061</v>
      </c>
      <c r="P3929">
        <v>-20.104700000000001</v>
      </c>
      <c r="Q3929">
        <v>-44.972988000000001</v>
      </c>
      <c r="R3929" s="2" t="str">
        <f>HYPERLINK("https://www.google.com/maps?q=-20.1047000,-44.9729880","Abrir no Google Maps")</f>
        <v>Abrir no Google Maps</v>
      </c>
      <c r="S3929">
        <v>3</v>
      </c>
      <c r="T3929">
        <v>0</v>
      </c>
      <c r="U3929">
        <v>3</v>
      </c>
      <c r="V3929">
        <v>0.36911725126488087</v>
      </c>
      <c r="W3929">
        <v>1</v>
      </c>
      <c r="X3929">
        <v>0.36911725126488087</v>
      </c>
      <c r="Y3929">
        <v>385</v>
      </c>
      <c r="Z3929">
        <v>130.87424695814411</v>
      </c>
      <c r="AA3929">
        <v>198</v>
      </c>
      <c r="AB3929">
        <v>332</v>
      </c>
      <c r="AC3929">
        <v>536</v>
      </c>
      <c r="AD3929">
        <v>33.19</v>
      </c>
      <c r="AE3929">
        <v>542</v>
      </c>
      <c r="AF3929">
        <v>41</v>
      </c>
      <c r="AG3929">
        <v>175</v>
      </c>
      <c r="AH3929">
        <v>129</v>
      </c>
      <c r="AI3929">
        <v>7.56</v>
      </c>
      <c r="AJ3929">
        <v>32.29</v>
      </c>
      <c r="AK3929">
        <v>23.8</v>
      </c>
      <c r="AL3929">
        <v>-20.104640449999948</v>
      </c>
      <c r="AM3929">
        <v>-44.972990283032523</v>
      </c>
      <c r="AN3929">
        <v>-20.104640449999948</v>
      </c>
      <c r="AO3929">
        <v>-44.972990283032509</v>
      </c>
      <c r="AP3929">
        <v>-20.104700000000001</v>
      </c>
      <c r="AQ3929">
        <v>-44.972988000000001</v>
      </c>
      <c r="AR3929">
        <v>6.6334007529191332</v>
      </c>
      <c r="AS3929" t="s">
        <v>65</v>
      </c>
      <c r="AT3929">
        <v>1</v>
      </c>
      <c r="AU3929" t="s">
        <v>1062</v>
      </c>
      <c r="AV3929" t="s">
        <v>1063</v>
      </c>
      <c r="AW3929" t="s">
        <v>60</v>
      </c>
      <c r="AX3929" t="s">
        <v>68</v>
      </c>
      <c r="AY3929" t="s">
        <v>69</v>
      </c>
      <c r="AZ3929" t="b">
        <v>1</v>
      </c>
    </row>
    <row r="3930" spans="1:52" x14ac:dyDescent="0.3">
      <c r="A3930" t="s">
        <v>52</v>
      </c>
      <c r="B3930" t="s">
        <v>53</v>
      </c>
      <c r="C3930" t="s">
        <v>54</v>
      </c>
      <c r="D3930" t="s">
        <v>55</v>
      </c>
      <c r="E3930" t="s">
        <v>2206</v>
      </c>
      <c r="F3930" t="s">
        <v>190</v>
      </c>
      <c r="G3930" t="s">
        <v>734</v>
      </c>
      <c r="H3930" t="s">
        <v>1064</v>
      </c>
      <c r="I3930" t="s">
        <v>1064</v>
      </c>
      <c r="J3930" t="s">
        <v>60</v>
      </c>
      <c r="K3930" t="s">
        <v>530</v>
      </c>
      <c r="L3930" t="s">
        <v>62</v>
      </c>
      <c r="M3930" t="s">
        <v>530</v>
      </c>
      <c r="N3930" t="s">
        <v>1060</v>
      </c>
      <c r="O3930" t="s">
        <v>1065</v>
      </c>
      <c r="P3930">
        <v>-20.102878</v>
      </c>
      <c r="Q3930">
        <v>-44.974297</v>
      </c>
      <c r="R3930" s="2" t="str">
        <f>HYPERLINK("https://www.google.com/maps?q=-20.1028780,-44.9742970","Abrir no Google Maps")</f>
        <v>Abrir no Google Maps</v>
      </c>
      <c r="S3930">
        <v>3</v>
      </c>
      <c r="T3930">
        <v>261.64376156647683</v>
      </c>
      <c r="U3930">
        <v>3</v>
      </c>
      <c r="V3930">
        <v>0.3866527509727325</v>
      </c>
      <c r="W3930">
        <v>1</v>
      </c>
      <c r="X3930">
        <v>0.3866527509727325</v>
      </c>
      <c r="Y3930">
        <v>385</v>
      </c>
      <c r="Z3930">
        <v>272.78931550338098</v>
      </c>
      <c r="AA3930">
        <v>198</v>
      </c>
      <c r="AB3930">
        <v>332</v>
      </c>
      <c r="AC3930">
        <v>536</v>
      </c>
      <c r="AD3930">
        <v>33.19</v>
      </c>
      <c r="AE3930">
        <v>542</v>
      </c>
      <c r="AF3930">
        <v>41</v>
      </c>
      <c r="AG3930">
        <v>175</v>
      </c>
      <c r="AH3930">
        <v>129</v>
      </c>
      <c r="AI3930">
        <v>7.56</v>
      </c>
      <c r="AJ3930">
        <v>32.29</v>
      </c>
      <c r="AK3930">
        <v>23.8</v>
      </c>
      <c r="AL3930">
        <v>-20.102914199999962</v>
      </c>
      <c r="AM3930">
        <v>-44.974700580584418</v>
      </c>
      <c r="AN3930">
        <v>-20.102914199999962</v>
      </c>
      <c r="AO3930">
        <v>-44.974700580584418</v>
      </c>
      <c r="AP3930">
        <v>-20.102878</v>
      </c>
      <c r="AQ3930">
        <v>-44.974297</v>
      </c>
      <c r="AR3930">
        <v>42.381535645626968</v>
      </c>
      <c r="AS3930" t="s">
        <v>65</v>
      </c>
      <c r="AT3930">
        <v>1</v>
      </c>
      <c r="AU3930" t="s">
        <v>1066</v>
      </c>
      <c r="AV3930" t="s">
        <v>1067</v>
      </c>
      <c r="AW3930" t="s">
        <v>60</v>
      </c>
      <c r="AX3930" t="s">
        <v>68</v>
      </c>
      <c r="AY3930" t="s">
        <v>69</v>
      </c>
      <c r="AZ3930" t="b">
        <v>1</v>
      </c>
    </row>
    <row r="3931" spans="1:52" x14ac:dyDescent="0.3">
      <c r="A3931" t="s">
        <v>52</v>
      </c>
      <c r="B3931" t="s">
        <v>53</v>
      </c>
      <c r="C3931" t="s">
        <v>54</v>
      </c>
      <c r="D3931" t="s">
        <v>55</v>
      </c>
      <c r="E3931" t="s">
        <v>2206</v>
      </c>
      <c r="F3931" t="s">
        <v>190</v>
      </c>
      <c r="G3931" t="s">
        <v>1193</v>
      </c>
      <c r="H3931" t="s">
        <v>1882</v>
      </c>
      <c r="I3931" t="s">
        <v>1882</v>
      </c>
      <c r="J3931" t="s">
        <v>60</v>
      </c>
      <c r="K3931" t="s">
        <v>1883</v>
      </c>
      <c r="L3931" t="s">
        <v>62</v>
      </c>
      <c r="M3931" t="s">
        <v>1883</v>
      </c>
      <c r="N3931" t="s">
        <v>1884</v>
      </c>
      <c r="O3931" t="s">
        <v>1160</v>
      </c>
      <c r="P3931">
        <v>-20.107638999999999</v>
      </c>
      <c r="Q3931">
        <v>-44.977660999999998</v>
      </c>
      <c r="R3931" s="2" t="str">
        <f>HYPERLINK("https://www.google.com/maps?q=-20.1076390,-44.9776610","Abrir no Google Maps")</f>
        <v>Abrir no Google Maps</v>
      </c>
      <c r="S3931">
        <v>3</v>
      </c>
      <c r="T3931">
        <v>608.39572210639471</v>
      </c>
      <c r="U3931">
        <v>3</v>
      </c>
      <c r="V3931">
        <v>0.44779491097977298</v>
      </c>
      <c r="W3931">
        <v>0.85</v>
      </c>
      <c r="X3931">
        <v>0.38062567433280697</v>
      </c>
      <c r="Y3931">
        <v>385</v>
      </c>
      <c r="Z3931">
        <v>530.9352253690181</v>
      </c>
      <c r="AA3931">
        <v>198</v>
      </c>
      <c r="AB3931">
        <v>332</v>
      </c>
      <c r="AC3931">
        <v>536</v>
      </c>
      <c r="AD3931">
        <v>33.19</v>
      </c>
      <c r="AE3931">
        <v>542</v>
      </c>
      <c r="AF3931">
        <v>41</v>
      </c>
      <c r="AG3931">
        <v>175</v>
      </c>
      <c r="AH3931">
        <v>129</v>
      </c>
      <c r="AI3931">
        <v>7.56</v>
      </c>
      <c r="AJ3931">
        <v>32.29</v>
      </c>
      <c r="AK3931">
        <v>23.8</v>
      </c>
      <c r="AL3931">
        <v>-20.108160549999951</v>
      </c>
      <c r="AM3931">
        <v>-44.977460928547927</v>
      </c>
      <c r="AN3931">
        <v>-20.108160549999951</v>
      </c>
      <c r="AO3931">
        <v>-44.977460928547927</v>
      </c>
      <c r="AP3931">
        <v>-20.107638999999999</v>
      </c>
      <c r="AQ3931">
        <v>-44.977660999999998</v>
      </c>
      <c r="AR3931">
        <v>61.711038202914558</v>
      </c>
      <c r="AS3931" t="s">
        <v>65</v>
      </c>
      <c r="AT3931">
        <v>1</v>
      </c>
      <c r="AU3931" t="s">
        <v>1885</v>
      </c>
      <c r="AV3931" t="s">
        <v>1886</v>
      </c>
      <c r="AW3931" t="s">
        <v>60</v>
      </c>
      <c r="AX3931" t="s">
        <v>68</v>
      </c>
      <c r="AY3931" t="s">
        <v>69</v>
      </c>
      <c r="AZ3931" t="b">
        <v>1</v>
      </c>
    </row>
    <row r="3932" spans="1:52" x14ac:dyDescent="0.3">
      <c r="A3932" t="s">
        <v>52</v>
      </c>
      <c r="B3932" t="s">
        <v>53</v>
      </c>
      <c r="C3932" t="s">
        <v>54</v>
      </c>
      <c r="D3932" t="s">
        <v>55</v>
      </c>
      <c r="E3932" t="s">
        <v>2206</v>
      </c>
      <c r="F3932" t="s">
        <v>190</v>
      </c>
      <c r="G3932" t="s">
        <v>734</v>
      </c>
      <c r="H3932" t="s">
        <v>1887</v>
      </c>
      <c r="I3932" t="s">
        <v>1887</v>
      </c>
      <c r="J3932" t="s">
        <v>60</v>
      </c>
      <c r="K3932" t="s">
        <v>1888</v>
      </c>
      <c r="L3932" t="s">
        <v>62</v>
      </c>
      <c r="M3932" t="s">
        <v>1888</v>
      </c>
      <c r="N3932" t="s">
        <v>1889</v>
      </c>
      <c r="O3932" t="s">
        <v>315</v>
      </c>
      <c r="P3932">
        <v>-20.114208999999999</v>
      </c>
      <c r="Q3932">
        <v>-44.971148999999997</v>
      </c>
      <c r="R3932" s="2" t="str">
        <f>HYPERLINK("https://www.google.com/maps?q=-20.1142090,-44.9711490","Abrir no Google Maps")</f>
        <v>Abrir no Google Maps</v>
      </c>
      <c r="S3932">
        <v>3</v>
      </c>
      <c r="T3932">
        <v>1086.582133354412</v>
      </c>
      <c r="U3932">
        <v>3</v>
      </c>
      <c r="V3932">
        <v>0.42134690184609941</v>
      </c>
      <c r="W3932">
        <v>0.85</v>
      </c>
      <c r="X3932">
        <v>0.35814486656918448</v>
      </c>
      <c r="Y3932">
        <v>385</v>
      </c>
      <c r="Z3932">
        <v>1003.653273589985</v>
      </c>
      <c r="AA3932">
        <v>198</v>
      </c>
      <c r="AB3932">
        <v>332</v>
      </c>
      <c r="AC3932">
        <v>536</v>
      </c>
      <c r="AD3932">
        <v>33.19</v>
      </c>
      <c r="AE3932">
        <v>542</v>
      </c>
      <c r="AF3932">
        <v>41</v>
      </c>
      <c r="AG3932">
        <v>175</v>
      </c>
      <c r="AH3932">
        <v>129</v>
      </c>
      <c r="AI3932">
        <v>7.56</v>
      </c>
      <c r="AJ3932">
        <v>32.29</v>
      </c>
      <c r="AK3932">
        <v>23.8</v>
      </c>
      <c r="AL3932">
        <v>-20.11431239999996</v>
      </c>
      <c r="AM3932">
        <v>-44.971198169186643</v>
      </c>
      <c r="AN3932">
        <v>-20.11431239999996</v>
      </c>
      <c r="AO3932">
        <v>-44.971198169186643</v>
      </c>
      <c r="AP3932">
        <v>-20.114208999999999</v>
      </c>
      <c r="AQ3932">
        <v>-44.971148999999997</v>
      </c>
      <c r="AR3932">
        <v>12.60585565293578</v>
      </c>
      <c r="AS3932" t="s">
        <v>65</v>
      </c>
      <c r="AT3932">
        <v>1</v>
      </c>
      <c r="AU3932" t="s">
        <v>1890</v>
      </c>
      <c r="AV3932" t="s">
        <v>1891</v>
      </c>
      <c r="AW3932" t="s">
        <v>60</v>
      </c>
      <c r="AX3932" t="s">
        <v>68</v>
      </c>
      <c r="AY3932" t="s">
        <v>69</v>
      </c>
      <c r="AZ3932" t="b">
        <v>1</v>
      </c>
    </row>
    <row r="3933" spans="1:52" x14ac:dyDescent="0.3">
      <c r="A3933" t="s">
        <v>52</v>
      </c>
      <c r="B3933" t="s">
        <v>53</v>
      </c>
      <c r="C3933" t="s">
        <v>54</v>
      </c>
      <c r="D3933" t="s">
        <v>55</v>
      </c>
      <c r="E3933" t="s">
        <v>2206</v>
      </c>
      <c r="F3933" t="s">
        <v>190</v>
      </c>
      <c r="G3933" t="s">
        <v>734</v>
      </c>
      <c r="H3933" t="s">
        <v>1896</v>
      </c>
      <c r="I3933" t="s">
        <v>1896</v>
      </c>
      <c r="J3933" t="s">
        <v>60</v>
      </c>
      <c r="K3933" t="s">
        <v>1897</v>
      </c>
      <c r="L3933" t="s">
        <v>62</v>
      </c>
      <c r="M3933" t="s">
        <v>1897</v>
      </c>
      <c r="N3933" t="s">
        <v>1898</v>
      </c>
      <c r="O3933" t="s">
        <v>1504</v>
      </c>
      <c r="P3933">
        <v>-20.107769000000001</v>
      </c>
      <c r="Q3933">
        <v>-44.970954999999996</v>
      </c>
      <c r="R3933" s="2" t="str">
        <f>HYPERLINK("https://www.google.com/maps?q=-20.1077690,-44.9709550","Abrir no Google Maps")</f>
        <v>Abrir no Google Maps</v>
      </c>
      <c r="S3933">
        <v>3</v>
      </c>
      <c r="T3933">
        <v>476.78106430105362</v>
      </c>
      <c r="U3933">
        <v>3</v>
      </c>
      <c r="V3933">
        <v>0.42772191654562408</v>
      </c>
      <c r="W3933">
        <v>0.85</v>
      </c>
      <c r="X3933">
        <v>0.36356362906378048</v>
      </c>
      <c r="Y3933">
        <v>385</v>
      </c>
      <c r="Z3933">
        <v>509.54667933721629</v>
      </c>
      <c r="AA3933">
        <v>198</v>
      </c>
      <c r="AB3933">
        <v>332</v>
      </c>
      <c r="AC3933">
        <v>536</v>
      </c>
      <c r="AD3933">
        <v>33.19</v>
      </c>
      <c r="AE3933">
        <v>542</v>
      </c>
      <c r="AF3933">
        <v>41</v>
      </c>
      <c r="AG3933">
        <v>175</v>
      </c>
      <c r="AH3933">
        <v>129</v>
      </c>
      <c r="AI3933">
        <v>7.56</v>
      </c>
      <c r="AJ3933">
        <v>32.29</v>
      </c>
      <c r="AK3933">
        <v>23.8</v>
      </c>
      <c r="AL3933">
        <v>-20.108115599999959</v>
      </c>
      <c r="AM3933">
        <v>-44.970294209500551</v>
      </c>
      <c r="AN3933">
        <v>-20.108115599999959</v>
      </c>
      <c r="AO3933">
        <v>-44.970294209500551</v>
      </c>
      <c r="AP3933">
        <v>-20.107769000000001</v>
      </c>
      <c r="AQ3933">
        <v>-44.970954999999996</v>
      </c>
      <c r="AR3933">
        <v>79.120816966903064</v>
      </c>
      <c r="AS3933" t="s">
        <v>65</v>
      </c>
      <c r="AT3933">
        <v>1</v>
      </c>
      <c r="AU3933" t="s">
        <v>1899</v>
      </c>
      <c r="AV3933" t="s">
        <v>1900</v>
      </c>
      <c r="AW3933" t="s">
        <v>60</v>
      </c>
      <c r="AX3933" t="s">
        <v>68</v>
      </c>
      <c r="AY3933" t="s">
        <v>69</v>
      </c>
      <c r="AZ3933" t="b">
        <v>1</v>
      </c>
    </row>
    <row r="3934" spans="1:52" x14ac:dyDescent="0.3">
      <c r="A3934" t="s">
        <v>52</v>
      </c>
      <c r="B3934" t="s">
        <v>53</v>
      </c>
      <c r="C3934" t="s">
        <v>54</v>
      </c>
      <c r="D3934" t="s">
        <v>55</v>
      </c>
      <c r="E3934" t="s">
        <v>2206</v>
      </c>
      <c r="F3934" t="s">
        <v>190</v>
      </c>
      <c r="G3934" t="s">
        <v>1077</v>
      </c>
      <c r="H3934" t="s">
        <v>2219</v>
      </c>
      <c r="I3934" t="s">
        <v>2219</v>
      </c>
      <c r="J3934" t="s">
        <v>60</v>
      </c>
      <c r="K3934" t="s">
        <v>761</v>
      </c>
      <c r="L3934" t="s">
        <v>62</v>
      </c>
      <c r="M3934" t="s">
        <v>761</v>
      </c>
      <c r="N3934" t="s">
        <v>1079</v>
      </c>
      <c r="O3934" t="s">
        <v>2220</v>
      </c>
      <c r="P3934">
        <v>-20.121144999999999</v>
      </c>
      <c r="Q3934">
        <v>-44.851453999999997</v>
      </c>
      <c r="R3934" s="2" t="str">
        <f>HYPERLINK("https://www.google.com/maps?q=-20.1211450,-44.8514540","Abrir no Google Maps")</f>
        <v>Abrir no Google Maps</v>
      </c>
      <c r="S3934">
        <v>3</v>
      </c>
      <c r="T3934">
        <v>578.73267975801093</v>
      </c>
      <c r="U3934">
        <v>3</v>
      </c>
      <c r="V3934">
        <v>0.42547756280277949</v>
      </c>
      <c r="W3934">
        <v>0.85</v>
      </c>
      <c r="X3934">
        <v>0.36165592838236249</v>
      </c>
      <c r="Y3934">
        <v>350</v>
      </c>
      <c r="Z3934">
        <v>213.3195465810166</v>
      </c>
      <c r="AA3934">
        <v>198</v>
      </c>
      <c r="AB3934">
        <v>332</v>
      </c>
      <c r="AC3934">
        <v>536</v>
      </c>
      <c r="AD3934">
        <v>33.19</v>
      </c>
      <c r="AE3934">
        <v>542</v>
      </c>
      <c r="AF3934">
        <v>41</v>
      </c>
      <c r="AG3934">
        <v>175</v>
      </c>
      <c r="AH3934">
        <v>129</v>
      </c>
      <c r="AI3934">
        <v>7.56</v>
      </c>
      <c r="AJ3934">
        <v>32.29</v>
      </c>
      <c r="AK3934">
        <v>23.8</v>
      </c>
      <c r="AL3934">
        <v>-20.121127199999961</v>
      </c>
      <c r="AM3934">
        <v>-44.851440578985603</v>
      </c>
      <c r="AN3934">
        <v>-20.121127199999961</v>
      </c>
      <c r="AO3934">
        <v>-44.851440578985603</v>
      </c>
      <c r="AP3934">
        <v>-20.121144999999999</v>
      </c>
      <c r="AQ3934">
        <v>-44.851453999999997</v>
      </c>
      <c r="AR3934">
        <v>2.4278169290048641</v>
      </c>
      <c r="AS3934" t="s">
        <v>65</v>
      </c>
      <c r="AT3934">
        <v>1</v>
      </c>
      <c r="AU3934" t="s">
        <v>2221</v>
      </c>
      <c r="AV3934" t="s">
        <v>765</v>
      </c>
      <c r="AW3934" t="s">
        <v>60</v>
      </c>
      <c r="AX3934" t="s">
        <v>68</v>
      </c>
      <c r="AY3934" t="s">
        <v>69</v>
      </c>
      <c r="AZ3934" t="b">
        <v>1</v>
      </c>
    </row>
    <row r="3935" spans="1:52" x14ac:dyDescent="0.3">
      <c r="A3935" t="s">
        <v>52</v>
      </c>
      <c r="B3935" t="s">
        <v>53</v>
      </c>
      <c r="C3935" t="s">
        <v>54</v>
      </c>
      <c r="D3935" t="s">
        <v>55</v>
      </c>
      <c r="E3935" t="s">
        <v>2206</v>
      </c>
      <c r="F3935" t="s">
        <v>190</v>
      </c>
      <c r="G3935" t="s">
        <v>773</v>
      </c>
      <c r="H3935" t="s">
        <v>774</v>
      </c>
      <c r="I3935" t="s">
        <v>774</v>
      </c>
      <c r="J3935" t="s">
        <v>60</v>
      </c>
      <c r="K3935" t="s">
        <v>775</v>
      </c>
      <c r="L3935" t="s">
        <v>62</v>
      </c>
      <c r="M3935" t="s">
        <v>775</v>
      </c>
      <c r="N3935" t="s">
        <v>776</v>
      </c>
      <c r="O3935" t="s">
        <v>250</v>
      </c>
      <c r="P3935">
        <v>-20.135413</v>
      </c>
      <c r="Q3935">
        <v>-44.868969999999997</v>
      </c>
      <c r="R3935" s="2" t="str">
        <f>HYPERLINK("https://www.google.com/maps?q=-20.1354130,-44.8689700","Abrir no Google Maps")</f>
        <v>Abrir no Google Maps</v>
      </c>
      <c r="S3935">
        <v>3</v>
      </c>
      <c r="T3935">
        <v>403.5118397372845</v>
      </c>
      <c r="U3935">
        <v>3</v>
      </c>
      <c r="V3935">
        <v>0.37037377657202319</v>
      </c>
      <c r="W3935">
        <v>1</v>
      </c>
      <c r="X3935">
        <v>0.37037377657202319</v>
      </c>
      <c r="Y3935">
        <v>332</v>
      </c>
      <c r="Z3935">
        <v>455.74614750795899</v>
      </c>
      <c r="AA3935">
        <v>198</v>
      </c>
      <c r="AB3935">
        <v>332</v>
      </c>
      <c r="AC3935">
        <v>536</v>
      </c>
      <c r="AD3935">
        <v>33.19</v>
      </c>
      <c r="AE3935">
        <v>542</v>
      </c>
      <c r="AF3935">
        <v>41</v>
      </c>
      <c r="AG3935">
        <v>175</v>
      </c>
      <c r="AH3935">
        <v>129</v>
      </c>
      <c r="AI3935">
        <v>7.56</v>
      </c>
      <c r="AJ3935">
        <v>32.29</v>
      </c>
      <c r="AK3935">
        <v>23.8</v>
      </c>
      <c r="AL3935">
        <v>-20.13561149999995</v>
      </c>
      <c r="AM3935">
        <v>-44.868817260088647</v>
      </c>
      <c r="AN3935">
        <v>-20.13561149999995</v>
      </c>
      <c r="AO3935">
        <v>-44.868817260088647</v>
      </c>
      <c r="AP3935">
        <v>-20.135413</v>
      </c>
      <c r="AQ3935">
        <v>-44.868969999999997</v>
      </c>
      <c r="AR3935">
        <v>27.26024434808955</v>
      </c>
      <c r="AS3935" t="s">
        <v>65</v>
      </c>
      <c r="AT3935">
        <v>1</v>
      </c>
      <c r="AU3935" t="s">
        <v>777</v>
      </c>
      <c r="AV3935" t="s">
        <v>778</v>
      </c>
      <c r="AW3935" t="s">
        <v>60</v>
      </c>
      <c r="AX3935" t="s">
        <v>68</v>
      </c>
      <c r="AY3935" t="s">
        <v>69</v>
      </c>
      <c r="AZ3935" t="b">
        <v>1</v>
      </c>
    </row>
    <row r="3936" spans="1:52" x14ac:dyDescent="0.3">
      <c r="A3936" t="s">
        <v>52</v>
      </c>
      <c r="B3936" t="s">
        <v>53</v>
      </c>
      <c r="C3936" t="s">
        <v>54</v>
      </c>
      <c r="D3936" t="s">
        <v>55</v>
      </c>
      <c r="E3936" t="s">
        <v>2206</v>
      </c>
      <c r="F3936" t="s">
        <v>190</v>
      </c>
      <c r="G3936" t="s">
        <v>1099</v>
      </c>
      <c r="H3936" t="s">
        <v>1100</v>
      </c>
      <c r="I3936" t="s">
        <v>1100</v>
      </c>
      <c r="J3936" t="s">
        <v>60</v>
      </c>
      <c r="K3936" t="s">
        <v>781</v>
      </c>
      <c r="L3936" t="s">
        <v>62</v>
      </c>
      <c r="M3936" t="s">
        <v>781</v>
      </c>
      <c r="N3936" t="s">
        <v>1101</v>
      </c>
      <c r="O3936" t="s">
        <v>235</v>
      </c>
      <c r="P3936">
        <v>-20.136811999999999</v>
      </c>
      <c r="Q3936">
        <v>-44.872388000000001</v>
      </c>
      <c r="R3936" s="2" t="str">
        <f>HYPERLINK("https://www.google.com/maps?q=-20.1368120,-44.8723880","Abrir no Google Maps")</f>
        <v>Abrir no Google Maps</v>
      </c>
      <c r="S3936">
        <v>3</v>
      </c>
      <c r="T3936">
        <v>0</v>
      </c>
      <c r="U3936">
        <v>3</v>
      </c>
      <c r="V3936">
        <v>0.3615089454911693</v>
      </c>
      <c r="W3936">
        <v>1</v>
      </c>
      <c r="X3936">
        <v>0.3615089454911693</v>
      </c>
      <c r="Y3936">
        <v>332</v>
      </c>
      <c r="Z3936">
        <v>121.0319884418894</v>
      </c>
      <c r="AA3936">
        <v>198</v>
      </c>
      <c r="AB3936">
        <v>332</v>
      </c>
      <c r="AC3936">
        <v>536</v>
      </c>
      <c r="AD3936">
        <v>33.19</v>
      </c>
      <c r="AE3936">
        <v>542</v>
      </c>
      <c r="AF3936">
        <v>41</v>
      </c>
      <c r="AG3936">
        <v>175</v>
      </c>
      <c r="AH3936">
        <v>129</v>
      </c>
      <c r="AI3936">
        <v>7.56</v>
      </c>
      <c r="AJ3936">
        <v>32.29</v>
      </c>
      <c r="AK3936">
        <v>23.8</v>
      </c>
      <c r="AL3936">
        <v>-20.136943099999939</v>
      </c>
      <c r="AM3936">
        <v>-44.872411407897907</v>
      </c>
      <c r="AN3936">
        <v>-20.136943099999939</v>
      </c>
      <c r="AO3936">
        <v>-44.872411407897907</v>
      </c>
      <c r="AP3936">
        <v>-20.136811999999999</v>
      </c>
      <c r="AQ3936">
        <v>-44.872388000000001</v>
      </c>
      <c r="AR3936">
        <v>14.79769012694347</v>
      </c>
      <c r="AS3936" t="s">
        <v>65</v>
      </c>
      <c r="AT3936">
        <v>1</v>
      </c>
      <c r="AU3936" t="s">
        <v>1102</v>
      </c>
      <c r="AV3936" t="s">
        <v>1103</v>
      </c>
      <c r="AW3936" t="s">
        <v>60</v>
      </c>
      <c r="AX3936" t="s">
        <v>68</v>
      </c>
      <c r="AY3936" t="s">
        <v>69</v>
      </c>
      <c r="AZ3936" t="b">
        <v>1</v>
      </c>
    </row>
    <row r="3937" spans="1:52" x14ac:dyDescent="0.3">
      <c r="A3937" t="s">
        <v>52</v>
      </c>
      <c r="B3937" t="s">
        <v>53</v>
      </c>
      <c r="C3937" t="s">
        <v>54</v>
      </c>
      <c r="D3937" t="s">
        <v>55</v>
      </c>
      <c r="E3937" t="s">
        <v>2206</v>
      </c>
      <c r="F3937" t="s">
        <v>190</v>
      </c>
      <c r="G3937" t="s">
        <v>779</v>
      </c>
      <c r="H3937" t="s">
        <v>780</v>
      </c>
      <c r="I3937" t="s">
        <v>780</v>
      </c>
      <c r="J3937" t="s">
        <v>60</v>
      </c>
      <c r="K3937" t="s">
        <v>781</v>
      </c>
      <c r="L3937" t="s">
        <v>62</v>
      </c>
      <c r="M3937" t="s">
        <v>781</v>
      </c>
      <c r="N3937" t="s">
        <v>782</v>
      </c>
      <c r="O3937" t="s">
        <v>783</v>
      </c>
      <c r="P3937">
        <v>-20.137938999999999</v>
      </c>
      <c r="Q3937">
        <v>-44.865873000000001</v>
      </c>
      <c r="R3937" s="2" t="str">
        <f>HYPERLINK("https://www.google.com/maps?q=-20.1379390,-44.8658730","Abrir no Google Maps")</f>
        <v>Abrir no Google Maps</v>
      </c>
      <c r="S3937">
        <v>3</v>
      </c>
      <c r="T3937">
        <v>663.24596349877265</v>
      </c>
      <c r="U3937">
        <v>3</v>
      </c>
      <c r="V3937">
        <v>0.39828169561437188</v>
      </c>
      <c r="W3937">
        <v>1</v>
      </c>
      <c r="X3937">
        <v>0.39828169561437188</v>
      </c>
      <c r="Y3937">
        <v>332</v>
      </c>
      <c r="Z3937">
        <v>724.72470227972997</v>
      </c>
      <c r="AA3937">
        <v>198</v>
      </c>
      <c r="AB3937">
        <v>332</v>
      </c>
      <c r="AC3937">
        <v>536</v>
      </c>
      <c r="AD3937">
        <v>33.19</v>
      </c>
      <c r="AE3937">
        <v>542</v>
      </c>
      <c r="AF3937">
        <v>41</v>
      </c>
      <c r="AG3937">
        <v>175</v>
      </c>
      <c r="AH3937">
        <v>129</v>
      </c>
      <c r="AI3937">
        <v>7.56</v>
      </c>
      <c r="AJ3937">
        <v>32.29</v>
      </c>
      <c r="AK3937">
        <v>23.8</v>
      </c>
      <c r="AL3937">
        <v>-20.137865449999961</v>
      </c>
      <c r="AM3937">
        <v>-44.866141027847057</v>
      </c>
      <c r="AN3937">
        <v>-20.137865449999961</v>
      </c>
      <c r="AO3937">
        <v>-44.866141027847057</v>
      </c>
      <c r="AP3937">
        <v>-20.137938999999999</v>
      </c>
      <c r="AQ3937">
        <v>-44.865873000000001</v>
      </c>
      <c r="AR3937">
        <v>29.184856191831059</v>
      </c>
      <c r="AS3937" t="s">
        <v>65</v>
      </c>
      <c r="AT3937">
        <v>1</v>
      </c>
      <c r="AU3937" t="s">
        <v>784</v>
      </c>
      <c r="AV3937" t="s">
        <v>785</v>
      </c>
      <c r="AW3937" t="s">
        <v>60</v>
      </c>
      <c r="AX3937" t="s">
        <v>68</v>
      </c>
      <c r="AY3937" t="s">
        <v>69</v>
      </c>
      <c r="AZ3937" t="b">
        <v>1</v>
      </c>
    </row>
    <row r="3938" spans="1:52" x14ac:dyDescent="0.3">
      <c r="A3938" t="s">
        <v>52</v>
      </c>
      <c r="B3938" t="s">
        <v>53</v>
      </c>
      <c r="C3938" t="s">
        <v>54</v>
      </c>
      <c r="D3938" t="s">
        <v>55</v>
      </c>
      <c r="E3938" t="s">
        <v>2206</v>
      </c>
      <c r="F3938" t="s">
        <v>190</v>
      </c>
      <c r="G3938" t="s">
        <v>1104</v>
      </c>
      <c r="H3938" t="s">
        <v>1105</v>
      </c>
      <c r="I3938" t="s">
        <v>1105</v>
      </c>
      <c r="J3938" t="s">
        <v>60</v>
      </c>
      <c r="K3938" t="s">
        <v>781</v>
      </c>
      <c r="L3938" t="s">
        <v>62</v>
      </c>
      <c r="M3938" t="s">
        <v>781</v>
      </c>
      <c r="N3938" t="s">
        <v>1106</v>
      </c>
      <c r="O3938" t="s">
        <v>1080</v>
      </c>
      <c r="P3938">
        <v>-20.138683</v>
      </c>
      <c r="Q3938">
        <v>-44.868507999999999</v>
      </c>
      <c r="R3938" s="2" t="str">
        <f>HYPERLINK("https://www.google.com/maps?q=-20.1386830,-44.8685080","Abrir no Google Maps")</f>
        <v>Abrir no Google Maps</v>
      </c>
      <c r="S3938">
        <v>3</v>
      </c>
      <c r="T3938">
        <v>450.88210098833099</v>
      </c>
      <c r="U3938">
        <v>3</v>
      </c>
      <c r="V3938">
        <v>0.4075055222550597</v>
      </c>
      <c r="W3938">
        <v>1</v>
      </c>
      <c r="X3938">
        <v>0.4075055222550597</v>
      </c>
      <c r="Y3938">
        <v>332</v>
      </c>
      <c r="Z3938">
        <v>601.27669048153166</v>
      </c>
      <c r="AA3938">
        <v>198</v>
      </c>
      <c r="AB3938">
        <v>332</v>
      </c>
      <c r="AC3938">
        <v>536</v>
      </c>
      <c r="AD3938">
        <v>33.19</v>
      </c>
      <c r="AE3938">
        <v>542</v>
      </c>
      <c r="AF3938">
        <v>41</v>
      </c>
      <c r="AG3938">
        <v>175</v>
      </c>
      <c r="AH3938">
        <v>129</v>
      </c>
      <c r="AI3938">
        <v>7.56</v>
      </c>
      <c r="AJ3938">
        <v>32.29</v>
      </c>
      <c r="AK3938">
        <v>23.8</v>
      </c>
      <c r="AL3938">
        <v>-20.13870544999995</v>
      </c>
      <c r="AM3938">
        <v>-44.868521774012208</v>
      </c>
      <c r="AN3938">
        <v>-20.138705449999939</v>
      </c>
      <c r="AO3938">
        <v>-44.868521774012208</v>
      </c>
      <c r="AP3938">
        <v>-20.138683</v>
      </c>
      <c r="AQ3938">
        <v>-44.868507999999999</v>
      </c>
      <c r="AR3938">
        <v>2.8841042175322271</v>
      </c>
      <c r="AS3938" t="s">
        <v>65</v>
      </c>
      <c r="AT3938">
        <v>1</v>
      </c>
      <c r="AU3938" t="s">
        <v>1107</v>
      </c>
      <c r="AV3938" t="s">
        <v>1108</v>
      </c>
      <c r="AW3938" t="s">
        <v>60</v>
      </c>
      <c r="AX3938" t="s">
        <v>68</v>
      </c>
      <c r="AY3938" t="s">
        <v>69</v>
      </c>
      <c r="AZ3938" t="b">
        <v>1</v>
      </c>
    </row>
    <row r="3939" spans="1:52" x14ac:dyDescent="0.3">
      <c r="A3939" t="s">
        <v>52</v>
      </c>
      <c r="B3939" t="s">
        <v>53</v>
      </c>
      <c r="C3939" t="s">
        <v>54</v>
      </c>
      <c r="D3939" t="s">
        <v>55</v>
      </c>
      <c r="E3939" t="s">
        <v>2206</v>
      </c>
      <c r="F3939" t="s">
        <v>190</v>
      </c>
      <c r="G3939" t="s">
        <v>1906</v>
      </c>
      <c r="H3939" t="s">
        <v>1907</v>
      </c>
      <c r="I3939" t="s">
        <v>1907</v>
      </c>
      <c r="J3939" t="s">
        <v>60</v>
      </c>
      <c r="K3939" t="s">
        <v>362</v>
      </c>
      <c r="L3939" t="s">
        <v>62</v>
      </c>
      <c r="M3939" t="s">
        <v>362</v>
      </c>
      <c r="N3939" t="s">
        <v>1908</v>
      </c>
      <c r="O3939" t="s">
        <v>1909</v>
      </c>
      <c r="P3939">
        <v>-20.138714</v>
      </c>
      <c r="Q3939">
        <v>-44.872736000000003</v>
      </c>
      <c r="R3939" s="2" t="str">
        <f>HYPERLINK("https://www.google.com/maps?q=-20.1387140,-44.8727360","Abrir no Google Maps")</f>
        <v>Abrir no Google Maps</v>
      </c>
      <c r="S3939">
        <v>3</v>
      </c>
      <c r="T3939">
        <v>204.03161929799671</v>
      </c>
      <c r="U3939">
        <v>3</v>
      </c>
      <c r="V3939">
        <v>0.4444402182399555</v>
      </c>
      <c r="W3939">
        <v>0.85</v>
      </c>
      <c r="X3939">
        <v>0.37777418550396219</v>
      </c>
      <c r="Y3939">
        <v>332</v>
      </c>
      <c r="Z3939">
        <v>318.98956929839972</v>
      </c>
      <c r="AA3939">
        <v>198</v>
      </c>
      <c r="AB3939">
        <v>332</v>
      </c>
      <c r="AC3939">
        <v>536</v>
      </c>
      <c r="AD3939">
        <v>33.19</v>
      </c>
      <c r="AE3939">
        <v>542</v>
      </c>
      <c r="AF3939">
        <v>41</v>
      </c>
      <c r="AG3939">
        <v>175</v>
      </c>
      <c r="AH3939">
        <v>129</v>
      </c>
      <c r="AI3939">
        <v>7.56</v>
      </c>
      <c r="AJ3939">
        <v>32.29</v>
      </c>
      <c r="AK3939">
        <v>23.8</v>
      </c>
      <c r="AL3939">
        <v>-20.138752749999949</v>
      </c>
      <c r="AM3939">
        <v>-44.872785060765217</v>
      </c>
      <c r="AN3939">
        <v>-20.138752749999949</v>
      </c>
      <c r="AO3939">
        <v>-44.872785060765217</v>
      </c>
      <c r="AP3939">
        <v>-20.138714</v>
      </c>
      <c r="AQ3939">
        <v>-44.872736000000003</v>
      </c>
      <c r="AR3939">
        <v>6.7006900304588592</v>
      </c>
      <c r="AS3939" t="s">
        <v>65</v>
      </c>
      <c r="AT3939">
        <v>1</v>
      </c>
      <c r="AU3939" t="s">
        <v>1910</v>
      </c>
      <c r="AV3939" t="s">
        <v>1911</v>
      </c>
      <c r="AW3939" t="s">
        <v>60</v>
      </c>
      <c r="AX3939" t="s">
        <v>68</v>
      </c>
      <c r="AY3939" t="s">
        <v>69</v>
      </c>
      <c r="AZ3939" t="b">
        <v>1</v>
      </c>
    </row>
    <row r="3940" spans="1:52" x14ac:dyDescent="0.3">
      <c r="A3940" t="s">
        <v>52</v>
      </c>
      <c r="B3940" t="s">
        <v>53</v>
      </c>
      <c r="C3940" t="s">
        <v>54</v>
      </c>
      <c r="D3940" t="s">
        <v>55</v>
      </c>
      <c r="E3940" t="s">
        <v>2206</v>
      </c>
      <c r="F3940" t="s">
        <v>190</v>
      </c>
      <c r="G3940" t="s">
        <v>1109</v>
      </c>
      <c r="H3940" t="s">
        <v>1110</v>
      </c>
      <c r="I3940" t="s">
        <v>1110</v>
      </c>
      <c r="J3940" t="s">
        <v>60</v>
      </c>
      <c r="K3940" t="s">
        <v>768</v>
      </c>
      <c r="L3940" t="s">
        <v>62</v>
      </c>
      <c r="M3940" t="s">
        <v>768</v>
      </c>
      <c r="N3940" t="s">
        <v>1111</v>
      </c>
      <c r="O3940" t="s">
        <v>1112</v>
      </c>
      <c r="P3940">
        <v>-20.135508000000002</v>
      </c>
      <c r="Q3940">
        <v>-44.871786999999998</v>
      </c>
      <c r="R3940" s="2" t="str">
        <f>HYPERLINK("https://www.google.com/maps?q=-20.1355080,-44.8717870","Abrir no Google Maps")</f>
        <v>Abrir no Google Maps</v>
      </c>
      <c r="S3940">
        <v>3</v>
      </c>
      <c r="T3940">
        <v>167.5382405548801</v>
      </c>
      <c r="U3940">
        <v>3</v>
      </c>
      <c r="V3940">
        <v>0.37789259446525331</v>
      </c>
      <c r="W3940">
        <v>1</v>
      </c>
      <c r="X3940">
        <v>0.37789259446525331</v>
      </c>
      <c r="Y3940">
        <v>332</v>
      </c>
      <c r="Z3940">
        <v>179.76671916562941</v>
      </c>
      <c r="AA3940">
        <v>198</v>
      </c>
      <c r="AB3940">
        <v>332</v>
      </c>
      <c r="AC3940">
        <v>536</v>
      </c>
      <c r="AD3940">
        <v>33.19</v>
      </c>
      <c r="AE3940">
        <v>542</v>
      </c>
      <c r="AF3940">
        <v>41</v>
      </c>
      <c r="AG3940">
        <v>175</v>
      </c>
      <c r="AH3940">
        <v>129</v>
      </c>
      <c r="AI3940">
        <v>7.56</v>
      </c>
      <c r="AJ3940">
        <v>32.29</v>
      </c>
      <c r="AK3940">
        <v>23.8</v>
      </c>
      <c r="AL3940">
        <v>-20.135532899999959</v>
      </c>
      <c r="AM3940">
        <v>-44.871828172735903</v>
      </c>
      <c r="AN3940">
        <v>-20.135532899999959</v>
      </c>
      <c r="AO3940">
        <v>-44.871828172735903</v>
      </c>
      <c r="AP3940">
        <v>-20.135508000000002</v>
      </c>
      <c r="AQ3940">
        <v>-44.871786999999998</v>
      </c>
      <c r="AR3940">
        <v>5.1186859635787858</v>
      </c>
      <c r="AS3940" t="s">
        <v>65</v>
      </c>
      <c r="AT3940">
        <v>1</v>
      </c>
      <c r="AU3940" t="s">
        <v>1113</v>
      </c>
      <c r="AV3940" t="s">
        <v>1114</v>
      </c>
      <c r="AW3940" t="s">
        <v>60</v>
      </c>
      <c r="AX3940" t="s">
        <v>68</v>
      </c>
      <c r="AY3940" t="s">
        <v>69</v>
      </c>
      <c r="AZ3940" t="b">
        <v>1</v>
      </c>
    </row>
    <row r="3941" spans="1:52" x14ac:dyDescent="0.3">
      <c r="A3941" t="s">
        <v>52</v>
      </c>
      <c r="B3941" t="s">
        <v>53</v>
      </c>
      <c r="C3941" t="s">
        <v>54</v>
      </c>
      <c r="D3941" t="s">
        <v>55</v>
      </c>
      <c r="E3941" t="s">
        <v>2206</v>
      </c>
      <c r="F3941" t="s">
        <v>190</v>
      </c>
      <c r="G3941" t="s">
        <v>2109</v>
      </c>
      <c r="H3941" t="s">
        <v>2110</v>
      </c>
      <c r="I3941" t="s">
        <v>2110</v>
      </c>
      <c r="J3941" t="s">
        <v>60</v>
      </c>
      <c r="K3941" t="s">
        <v>781</v>
      </c>
      <c r="L3941" t="s">
        <v>62</v>
      </c>
      <c r="M3941" t="s">
        <v>781</v>
      </c>
      <c r="N3941" t="s">
        <v>2111</v>
      </c>
      <c r="O3941" t="s">
        <v>830</v>
      </c>
      <c r="P3941">
        <v>-20.138555</v>
      </c>
      <c r="Q3941">
        <v>-44.870283999999998</v>
      </c>
      <c r="R3941" s="2" t="str">
        <f>HYPERLINK("https://www.google.com/maps?q=-20.1385550,-44.8702840","Abrir no Google Maps")</f>
        <v>Abrir no Google Maps</v>
      </c>
      <c r="S3941">
        <v>3</v>
      </c>
      <c r="T3941">
        <v>282.99569910083773</v>
      </c>
      <c r="U3941">
        <v>3</v>
      </c>
      <c r="V3941">
        <v>0.4283542439038156</v>
      </c>
      <c r="W3941">
        <v>0.85</v>
      </c>
      <c r="X3941">
        <v>0.36410110731824319</v>
      </c>
      <c r="Y3941">
        <v>332</v>
      </c>
      <c r="Z3941">
        <v>387.1795741504522</v>
      </c>
      <c r="AA3941">
        <v>198</v>
      </c>
      <c r="AB3941">
        <v>332</v>
      </c>
      <c r="AC3941">
        <v>536</v>
      </c>
      <c r="AD3941">
        <v>33.19</v>
      </c>
      <c r="AE3941">
        <v>542</v>
      </c>
      <c r="AF3941">
        <v>41</v>
      </c>
      <c r="AG3941">
        <v>175</v>
      </c>
      <c r="AH3941">
        <v>129</v>
      </c>
      <c r="AI3941">
        <v>7.56</v>
      </c>
      <c r="AJ3941">
        <v>32.29</v>
      </c>
      <c r="AK3941">
        <v>23.8</v>
      </c>
      <c r="AL3941">
        <v>-20.138577899999941</v>
      </c>
      <c r="AM3941">
        <v>-44.870329210766158</v>
      </c>
      <c r="AN3941">
        <v>-20.138577899999941</v>
      </c>
      <c r="AO3941">
        <v>-44.870329210766158</v>
      </c>
      <c r="AP3941">
        <v>-20.138555</v>
      </c>
      <c r="AQ3941">
        <v>-44.870283999999998</v>
      </c>
      <c r="AR3941">
        <v>5.3689629216704953</v>
      </c>
      <c r="AS3941" t="s">
        <v>65</v>
      </c>
      <c r="AT3941">
        <v>1</v>
      </c>
      <c r="AU3941" t="s">
        <v>2112</v>
      </c>
      <c r="AV3941" t="s">
        <v>2113</v>
      </c>
      <c r="AW3941" t="s">
        <v>60</v>
      </c>
      <c r="AX3941" t="s">
        <v>68</v>
      </c>
      <c r="AY3941" t="s">
        <v>69</v>
      </c>
      <c r="AZ3941" t="b">
        <v>1</v>
      </c>
    </row>
    <row r="3942" spans="1:52" x14ac:dyDescent="0.3">
      <c r="A3942" t="s">
        <v>52</v>
      </c>
      <c r="B3942" t="s">
        <v>53</v>
      </c>
      <c r="C3942" t="s">
        <v>54</v>
      </c>
      <c r="D3942" t="s">
        <v>55</v>
      </c>
      <c r="E3942" t="s">
        <v>2206</v>
      </c>
      <c r="F3942" t="s">
        <v>190</v>
      </c>
      <c r="G3942" t="s">
        <v>1757</v>
      </c>
      <c r="H3942" t="s">
        <v>1758</v>
      </c>
      <c r="I3942" t="s">
        <v>1758</v>
      </c>
      <c r="J3942" t="s">
        <v>60</v>
      </c>
      <c r="K3942" t="s">
        <v>362</v>
      </c>
      <c r="L3942" t="s">
        <v>62</v>
      </c>
      <c r="M3942" t="s">
        <v>362</v>
      </c>
      <c r="N3942" t="s">
        <v>1759</v>
      </c>
      <c r="O3942" t="s">
        <v>1760</v>
      </c>
      <c r="P3942">
        <v>-20.140051</v>
      </c>
      <c r="Q3942">
        <v>-44.871685999999997</v>
      </c>
      <c r="R3942" s="2" t="str">
        <f>HYPERLINK("https://www.google.com/maps?q=-20.1400510,-44.8716860","Abrir no Google Maps")</f>
        <v>Abrir no Google Maps</v>
      </c>
      <c r="S3942">
        <v>3</v>
      </c>
      <c r="T3942">
        <v>352.31744538617551</v>
      </c>
      <c r="U3942">
        <v>3</v>
      </c>
      <c r="V3942">
        <v>0.43051489504802948</v>
      </c>
      <c r="W3942">
        <v>0.85</v>
      </c>
      <c r="X3942">
        <v>0.36593766079082513</v>
      </c>
      <c r="Y3942">
        <v>332</v>
      </c>
      <c r="Z3942">
        <v>504.25252355351739</v>
      </c>
      <c r="AA3942">
        <v>198</v>
      </c>
      <c r="AB3942">
        <v>332</v>
      </c>
      <c r="AC3942">
        <v>536</v>
      </c>
      <c r="AD3942">
        <v>33.19</v>
      </c>
      <c r="AE3942">
        <v>542</v>
      </c>
      <c r="AF3942">
        <v>41</v>
      </c>
      <c r="AG3942">
        <v>175</v>
      </c>
      <c r="AH3942">
        <v>129</v>
      </c>
      <c r="AI3942">
        <v>7.56</v>
      </c>
      <c r="AJ3942">
        <v>32.29</v>
      </c>
      <c r="AK3942">
        <v>23.8</v>
      </c>
      <c r="AL3942">
        <v>-20.140052049999959</v>
      </c>
      <c r="AM3942">
        <v>-44.871685093874923</v>
      </c>
      <c r="AN3942">
        <v>-20.140052049999959</v>
      </c>
      <c r="AO3942">
        <v>-44.871685093874909</v>
      </c>
      <c r="AP3942">
        <v>-20.140051</v>
      </c>
      <c r="AQ3942">
        <v>-44.871685999999997</v>
      </c>
      <c r="AR3942">
        <v>0.1504354058892336</v>
      </c>
      <c r="AS3942" t="s">
        <v>65</v>
      </c>
      <c r="AT3942">
        <v>1</v>
      </c>
      <c r="AU3942" t="s">
        <v>1761</v>
      </c>
      <c r="AV3942" t="s">
        <v>1762</v>
      </c>
      <c r="AW3942" t="s">
        <v>60</v>
      </c>
      <c r="AX3942" t="s">
        <v>68</v>
      </c>
      <c r="AY3942" t="s">
        <v>69</v>
      </c>
      <c r="AZ3942" t="b">
        <v>1</v>
      </c>
    </row>
    <row r="3943" spans="1:52" x14ac:dyDescent="0.3">
      <c r="A3943" t="s">
        <v>52</v>
      </c>
      <c r="B3943" t="s">
        <v>53</v>
      </c>
      <c r="C3943" t="s">
        <v>54</v>
      </c>
      <c r="D3943" t="s">
        <v>55</v>
      </c>
      <c r="E3943" t="s">
        <v>2206</v>
      </c>
      <c r="F3943" t="s">
        <v>190</v>
      </c>
      <c r="G3943" t="s">
        <v>1912</v>
      </c>
      <c r="H3943" t="s">
        <v>1913</v>
      </c>
      <c r="I3943" t="s">
        <v>1913</v>
      </c>
      <c r="J3943" t="s">
        <v>60</v>
      </c>
      <c r="K3943" t="s">
        <v>362</v>
      </c>
      <c r="L3943" t="s">
        <v>62</v>
      </c>
      <c r="M3943" t="s">
        <v>362</v>
      </c>
      <c r="N3943" t="s">
        <v>1914</v>
      </c>
      <c r="O3943" t="s">
        <v>1915</v>
      </c>
      <c r="P3943">
        <v>-20.140284999999999</v>
      </c>
      <c r="Q3943">
        <v>-44.870319000000002</v>
      </c>
      <c r="R3943" s="2" t="str">
        <f>HYPERLINK("https://www.google.com/maps?q=-20.1402850,-44.8703190","Abrir no Google Maps")</f>
        <v>Abrir no Google Maps</v>
      </c>
      <c r="S3943">
        <v>3</v>
      </c>
      <c r="T3943">
        <v>434.44452831439162</v>
      </c>
      <c r="U3943">
        <v>3</v>
      </c>
      <c r="V3943">
        <v>0.4840066261314499</v>
      </c>
      <c r="W3943">
        <v>0.85</v>
      </c>
      <c r="X3943">
        <v>0.41140563221173237</v>
      </c>
      <c r="Y3943">
        <v>332</v>
      </c>
      <c r="Z3943">
        <v>530.54012138211078</v>
      </c>
      <c r="AA3943">
        <v>198</v>
      </c>
      <c r="AB3943">
        <v>332</v>
      </c>
      <c r="AC3943">
        <v>536</v>
      </c>
      <c r="AD3943">
        <v>33.19</v>
      </c>
      <c r="AE3943">
        <v>542</v>
      </c>
      <c r="AF3943">
        <v>41</v>
      </c>
      <c r="AG3943">
        <v>175</v>
      </c>
      <c r="AH3943">
        <v>129</v>
      </c>
      <c r="AI3943">
        <v>7.56</v>
      </c>
      <c r="AJ3943">
        <v>32.29</v>
      </c>
      <c r="AK3943">
        <v>23.8</v>
      </c>
      <c r="AL3943">
        <v>-20.140318649999951</v>
      </c>
      <c r="AM3943">
        <v>-44.870288960878582</v>
      </c>
      <c r="AN3943">
        <v>-20.140318649999951</v>
      </c>
      <c r="AO3943">
        <v>-44.870288960878582</v>
      </c>
      <c r="AP3943">
        <v>-20.140284999999999</v>
      </c>
      <c r="AQ3943">
        <v>-44.870319000000002</v>
      </c>
      <c r="AR3943">
        <v>4.8875589971016922</v>
      </c>
      <c r="AS3943" t="s">
        <v>65</v>
      </c>
      <c r="AT3943">
        <v>1</v>
      </c>
      <c r="AU3943" t="s">
        <v>1916</v>
      </c>
      <c r="AV3943" t="s">
        <v>1917</v>
      </c>
      <c r="AW3943" t="s">
        <v>60</v>
      </c>
      <c r="AX3943" t="s">
        <v>68</v>
      </c>
      <c r="AY3943" t="s">
        <v>69</v>
      </c>
      <c r="AZ3943" t="b">
        <v>1</v>
      </c>
    </row>
    <row r="3944" spans="1:52" x14ac:dyDescent="0.3">
      <c r="A3944" t="s">
        <v>52</v>
      </c>
      <c r="B3944" t="s">
        <v>53</v>
      </c>
      <c r="C3944" t="s">
        <v>54</v>
      </c>
      <c r="D3944" t="s">
        <v>55</v>
      </c>
      <c r="E3944" t="s">
        <v>2206</v>
      </c>
      <c r="F3944" t="s">
        <v>190</v>
      </c>
      <c r="G3944" t="s">
        <v>607</v>
      </c>
      <c r="H3944" t="s">
        <v>786</v>
      </c>
      <c r="I3944" t="s">
        <v>786</v>
      </c>
      <c r="J3944" t="s">
        <v>60</v>
      </c>
      <c r="K3944" t="s">
        <v>609</v>
      </c>
      <c r="L3944" t="s">
        <v>62</v>
      </c>
      <c r="M3944" t="s">
        <v>609</v>
      </c>
      <c r="N3944" t="s">
        <v>610</v>
      </c>
      <c r="O3944" t="s">
        <v>315</v>
      </c>
      <c r="P3944">
        <v>-20.108561999999999</v>
      </c>
      <c r="Q3944">
        <v>-44.883811000000001</v>
      </c>
      <c r="R3944" s="2" t="str">
        <f>HYPERLINK("https://www.google.com/maps?q=-20.1085620,-44.8838110","Abrir no Google Maps")</f>
        <v>Abrir no Google Maps</v>
      </c>
      <c r="S3944">
        <v>3</v>
      </c>
      <c r="T3944">
        <v>875.82813532572072</v>
      </c>
      <c r="U3944">
        <v>3</v>
      </c>
      <c r="V3944">
        <v>0.37067180120250848</v>
      </c>
      <c r="W3944">
        <v>1</v>
      </c>
      <c r="X3944">
        <v>0.37067180120250848</v>
      </c>
      <c r="Y3944">
        <v>314</v>
      </c>
      <c r="Z3944">
        <v>824.504668554717</v>
      </c>
      <c r="AA3944">
        <v>198</v>
      </c>
      <c r="AB3944">
        <v>332</v>
      </c>
      <c r="AC3944">
        <v>536</v>
      </c>
      <c r="AD3944">
        <v>33.19</v>
      </c>
      <c r="AE3944">
        <v>542</v>
      </c>
      <c r="AF3944">
        <v>41</v>
      </c>
      <c r="AG3944">
        <v>175</v>
      </c>
      <c r="AH3944">
        <v>129</v>
      </c>
      <c r="AI3944">
        <v>7.56</v>
      </c>
      <c r="AJ3944">
        <v>32.29</v>
      </c>
      <c r="AK3944">
        <v>23.8</v>
      </c>
      <c r="AL3944">
        <v>-20.108622949999951</v>
      </c>
      <c r="AM3944">
        <v>-44.884300516660261</v>
      </c>
      <c r="AN3944">
        <v>-20.108622949999951</v>
      </c>
      <c r="AO3944">
        <v>-44.884300516660261</v>
      </c>
      <c r="AP3944">
        <v>-20.108561999999999</v>
      </c>
      <c r="AQ3944">
        <v>-44.883811000000001</v>
      </c>
      <c r="AR3944">
        <v>51.619098272465493</v>
      </c>
      <c r="AS3944" t="s">
        <v>65</v>
      </c>
      <c r="AT3944">
        <v>1</v>
      </c>
      <c r="AU3944" t="s">
        <v>787</v>
      </c>
      <c r="AV3944" t="s">
        <v>788</v>
      </c>
      <c r="AW3944" t="s">
        <v>60</v>
      </c>
      <c r="AX3944" t="s">
        <v>68</v>
      </c>
      <c r="AY3944" t="s">
        <v>69</v>
      </c>
      <c r="AZ3944" t="b">
        <v>1</v>
      </c>
    </row>
    <row r="3945" spans="1:52" x14ac:dyDescent="0.3">
      <c r="A3945" t="s">
        <v>52</v>
      </c>
      <c r="B3945" t="s">
        <v>53</v>
      </c>
      <c r="C3945" t="s">
        <v>54</v>
      </c>
      <c r="D3945" t="s">
        <v>55</v>
      </c>
      <c r="E3945" t="s">
        <v>2206</v>
      </c>
      <c r="F3945" t="s">
        <v>190</v>
      </c>
      <c r="G3945" t="s">
        <v>2114</v>
      </c>
      <c r="H3945" t="s">
        <v>2115</v>
      </c>
      <c r="I3945" t="s">
        <v>2115</v>
      </c>
      <c r="J3945" t="s">
        <v>60</v>
      </c>
      <c r="K3945" t="s">
        <v>1123</v>
      </c>
      <c r="L3945" t="s">
        <v>62</v>
      </c>
      <c r="M3945" t="s">
        <v>1123</v>
      </c>
      <c r="N3945" t="s">
        <v>2116</v>
      </c>
      <c r="O3945" t="s">
        <v>2117</v>
      </c>
      <c r="P3945">
        <v>-20.102357000000001</v>
      </c>
      <c r="Q3945">
        <v>-44.876989000000002</v>
      </c>
      <c r="R3945" s="2" t="str">
        <f>HYPERLINK("https://www.google.com/maps?q=-20.1023570,-44.8769890","Abrir no Google Maps")</f>
        <v>Abrir no Google Maps</v>
      </c>
      <c r="S3945">
        <v>3</v>
      </c>
      <c r="T3945">
        <v>454.11282395638511</v>
      </c>
      <c r="U3945">
        <v>3</v>
      </c>
      <c r="V3945">
        <v>0.42612975345363208</v>
      </c>
      <c r="W3945">
        <v>0.85</v>
      </c>
      <c r="X3945">
        <v>0.36221029043558728</v>
      </c>
      <c r="Y3945">
        <v>314</v>
      </c>
      <c r="Z3945">
        <v>352.26842550518722</v>
      </c>
      <c r="AA3945">
        <v>198</v>
      </c>
      <c r="AB3945">
        <v>332</v>
      </c>
      <c r="AC3945">
        <v>536</v>
      </c>
      <c r="AD3945">
        <v>33.19</v>
      </c>
      <c r="AE3945">
        <v>542</v>
      </c>
      <c r="AF3945">
        <v>41</v>
      </c>
      <c r="AG3945">
        <v>175</v>
      </c>
      <c r="AH3945">
        <v>129</v>
      </c>
      <c r="AI3945">
        <v>7.56</v>
      </c>
      <c r="AJ3945">
        <v>32.29</v>
      </c>
      <c r="AK3945">
        <v>23.8</v>
      </c>
      <c r="AL3945">
        <v>-20.10213364999996</v>
      </c>
      <c r="AM3945">
        <v>-44.876983461947091</v>
      </c>
      <c r="AN3945">
        <v>-20.10213364999996</v>
      </c>
      <c r="AO3945">
        <v>-44.876983461947091</v>
      </c>
      <c r="AP3945">
        <v>-20.102357000000001</v>
      </c>
      <c r="AQ3945">
        <v>-44.876989000000002</v>
      </c>
      <c r="AR3945">
        <v>24.870061372191081</v>
      </c>
      <c r="AS3945" t="s">
        <v>65</v>
      </c>
      <c r="AT3945">
        <v>1</v>
      </c>
      <c r="AU3945" t="s">
        <v>2118</v>
      </c>
      <c r="AV3945" t="s">
        <v>1146</v>
      </c>
      <c r="AW3945" t="s">
        <v>60</v>
      </c>
      <c r="AX3945" t="s">
        <v>68</v>
      </c>
      <c r="AY3945" t="s">
        <v>69</v>
      </c>
      <c r="AZ3945" t="b">
        <v>1</v>
      </c>
    </row>
    <row r="3946" spans="1:52" x14ac:dyDescent="0.3">
      <c r="A3946" t="s">
        <v>52</v>
      </c>
      <c r="B3946" t="s">
        <v>53</v>
      </c>
      <c r="C3946" t="s">
        <v>54</v>
      </c>
      <c r="D3946" t="s">
        <v>55</v>
      </c>
      <c r="E3946" t="s">
        <v>2206</v>
      </c>
      <c r="F3946" t="s">
        <v>190</v>
      </c>
      <c r="G3946" t="s">
        <v>1918</v>
      </c>
      <c r="H3946" t="s">
        <v>1919</v>
      </c>
      <c r="I3946" t="s">
        <v>1919</v>
      </c>
      <c r="J3946" t="s">
        <v>60</v>
      </c>
      <c r="K3946" t="s">
        <v>1123</v>
      </c>
      <c r="L3946" t="s">
        <v>62</v>
      </c>
      <c r="M3946" t="s">
        <v>1123</v>
      </c>
      <c r="N3946" t="s">
        <v>1920</v>
      </c>
      <c r="O3946" t="s">
        <v>488</v>
      </c>
      <c r="P3946">
        <v>-20.101592</v>
      </c>
      <c r="Q3946">
        <v>-44.873168</v>
      </c>
      <c r="R3946" s="2" t="str">
        <f>HYPERLINK("https://www.google.com/maps?q=-20.1015920,-44.8731680","Abrir no Google Maps")</f>
        <v>Abrir no Google Maps</v>
      </c>
      <c r="S3946">
        <v>3</v>
      </c>
      <c r="T3946">
        <v>645.78864758037298</v>
      </c>
      <c r="U3946">
        <v>3</v>
      </c>
      <c r="V3946">
        <v>0.45118535076186278</v>
      </c>
      <c r="W3946">
        <v>0.85</v>
      </c>
      <c r="X3946">
        <v>0.38350754814758342</v>
      </c>
      <c r="Y3946">
        <v>314</v>
      </c>
      <c r="Z3946">
        <v>638.12677452007381</v>
      </c>
      <c r="AA3946">
        <v>198</v>
      </c>
      <c r="AB3946">
        <v>332</v>
      </c>
      <c r="AC3946">
        <v>536</v>
      </c>
      <c r="AD3946">
        <v>33.19</v>
      </c>
      <c r="AE3946">
        <v>542</v>
      </c>
      <c r="AF3946">
        <v>41</v>
      </c>
      <c r="AG3946">
        <v>175</v>
      </c>
      <c r="AH3946">
        <v>129</v>
      </c>
      <c r="AI3946">
        <v>7.56</v>
      </c>
      <c r="AJ3946">
        <v>32.29</v>
      </c>
      <c r="AK3946">
        <v>23.8</v>
      </c>
      <c r="AL3946">
        <v>-20.10147439999994</v>
      </c>
      <c r="AM3946">
        <v>-44.872688858759382</v>
      </c>
      <c r="AN3946">
        <v>-20.10147439999994</v>
      </c>
      <c r="AO3946">
        <v>-44.872688858759382</v>
      </c>
      <c r="AP3946">
        <v>-20.101592</v>
      </c>
      <c r="AQ3946">
        <v>-44.873168</v>
      </c>
      <c r="AR3946">
        <v>51.771442800867931</v>
      </c>
      <c r="AS3946" t="s">
        <v>65</v>
      </c>
      <c r="AT3946">
        <v>1</v>
      </c>
      <c r="AU3946" t="s">
        <v>1921</v>
      </c>
      <c r="AV3946" t="s">
        <v>1922</v>
      </c>
      <c r="AW3946" t="s">
        <v>60</v>
      </c>
      <c r="AX3946" t="s">
        <v>68</v>
      </c>
      <c r="AY3946" t="s">
        <v>69</v>
      </c>
      <c r="AZ3946" t="b">
        <v>1</v>
      </c>
    </row>
    <row r="3947" spans="1:52" x14ac:dyDescent="0.3">
      <c r="A3947" t="s">
        <v>52</v>
      </c>
      <c r="B3947" t="s">
        <v>53</v>
      </c>
      <c r="C3947" t="s">
        <v>54</v>
      </c>
      <c r="D3947" t="s">
        <v>55</v>
      </c>
      <c r="E3947" t="s">
        <v>2206</v>
      </c>
      <c r="F3947" t="s">
        <v>190</v>
      </c>
      <c r="G3947" t="s">
        <v>1923</v>
      </c>
      <c r="H3947" t="s">
        <v>1924</v>
      </c>
      <c r="I3947" t="s">
        <v>1924</v>
      </c>
      <c r="J3947" t="s">
        <v>60</v>
      </c>
      <c r="K3947" t="s">
        <v>1925</v>
      </c>
      <c r="L3947" t="s">
        <v>62</v>
      </c>
      <c r="M3947" t="s">
        <v>1925</v>
      </c>
      <c r="N3947" t="s">
        <v>1184</v>
      </c>
      <c r="O3947" t="s">
        <v>1926</v>
      </c>
      <c r="P3947">
        <v>-20.110175999999999</v>
      </c>
      <c r="Q3947">
        <v>-44.878174000000001</v>
      </c>
      <c r="R3947" s="2" t="str">
        <f>HYPERLINK("https://www.google.com/maps?q=-20.1101760,-44.8781740","Abrir no Google Maps")</f>
        <v>Abrir no Google Maps</v>
      </c>
      <c r="S3947">
        <v>3</v>
      </c>
      <c r="T3947">
        <v>483.09360915139621</v>
      </c>
      <c r="U3947">
        <v>3</v>
      </c>
      <c r="V3947">
        <v>0.44301008728153068</v>
      </c>
      <c r="W3947">
        <v>0.85</v>
      </c>
      <c r="X3947">
        <v>0.37655857418930111</v>
      </c>
      <c r="Y3947">
        <v>314</v>
      </c>
      <c r="Z3947">
        <v>570.40116580928134</v>
      </c>
      <c r="AA3947">
        <v>198</v>
      </c>
      <c r="AB3947">
        <v>332</v>
      </c>
      <c r="AC3947">
        <v>536</v>
      </c>
      <c r="AD3947">
        <v>33.19</v>
      </c>
      <c r="AE3947">
        <v>542</v>
      </c>
      <c r="AF3947">
        <v>41</v>
      </c>
      <c r="AG3947">
        <v>175</v>
      </c>
      <c r="AH3947">
        <v>129</v>
      </c>
      <c r="AI3947">
        <v>7.56</v>
      </c>
      <c r="AJ3947">
        <v>32.29</v>
      </c>
      <c r="AK3947">
        <v>23.8</v>
      </c>
      <c r="AL3947">
        <v>-20.110151299999959</v>
      </c>
      <c r="AM3947">
        <v>-44.878270449999967</v>
      </c>
      <c r="AN3947">
        <v>-20.110151299999959</v>
      </c>
      <c r="AO3947">
        <v>-44.878270449999967</v>
      </c>
      <c r="AP3947">
        <v>-20.110175999999999</v>
      </c>
      <c r="AQ3947">
        <v>-44.878174000000001</v>
      </c>
      <c r="AR3947">
        <v>10.450435955197751</v>
      </c>
      <c r="AS3947" t="s">
        <v>65</v>
      </c>
      <c r="AT3947">
        <v>1</v>
      </c>
      <c r="AU3947" t="s">
        <v>1927</v>
      </c>
      <c r="AV3947" t="s">
        <v>1928</v>
      </c>
      <c r="AW3947" t="s">
        <v>60</v>
      </c>
      <c r="AX3947" t="s">
        <v>68</v>
      </c>
      <c r="AY3947" t="s">
        <v>69</v>
      </c>
      <c r="AZ3947" t="b">
        <v>1</v>
      </c>
    </row>
    <row r="3948" spans="1:52" x14ac:dyDescent="0.3">
      <c r="A3948" t="s">
        <v>52</v>
      </c>
      <c r="B3948" t="s">
        <v>53</v>
      </c>
      <c r="C3948" t="s">
        <v>54</v>
      </c>
      <c r="D3948" t="s">
        <v>55</v>
      </c>
      <c r="E3948" t="s">
        <v>2206</v>
      </c>
      <c r="F3948" t="s">
        <v>190</v>
      </c>
      <c r="G3948" t="s">
        <v>1929</v>
      </c>
      <c r="H3948" t="s">
        <v>1930</v>
      </c>
      <c r="I3948" t="s">
        <v>1930</v>
      </c>
      <c r="J3948" t="s">
        <v>60</v>
      </c>
      <c r="K3948" t="s">
        <v>1265</v>
      </c>
      <c r="L3948" t="s">
        <v>62</v>
      </c>
      <c r="M3948" t="s">
        <v>1265</v>
      </c>
      <c r="N3948" t="s">
        <v>1931</v>
      </c>
      <c r="O3948" t="s">
        <v>1932</v>
      </c>
      <c r="P3948">
        <v>-20.114929</v>
      </c>
      <c r="Q3948">
        <v>-44.905743999999999</v>
      </c>
      <c r="R3948" s="2" t="str">
        <f>HYPERLINK("https://www.google.com/maps?q=-20.1149290,-44.9057440","Abrir no Google Maps")</f>
        <v>Abrir no Google Maps</v>
      </c>
      <c r="S3948">
        <v>3</v>
      </c>
      <c r="T3948">
        <v>637.15270418882039</v>
      </c>
      <c r="U3948">
        <v>3</v>
      </c>
      <c r="V3948">
        <v>0.4708168346444751</v>
      </c>
      <c r="W3948">
        <v>0.85</v>
      </c>
      <c r="X3948">
        <v>0.40019430944780382</v>
      </c>
      <c r="Y3948">
        <v>300</v>
      </c>
      <c r="Z3948">
        <v>687.66887304438887</v>
      </c>
      <c r="AA3948">
        <v>198</v>
      </c>
      <c r="AB3948">
        <v>332</v>
      </c>
      <c r="AC3948">
        <v>536</v>
      </c>
      <c r="AD3948">
        <v>33.19</v>
      </c>
      <c r="AE3948">
        <v>542</v>
      </c>
      <c r="AF3948">
        <v>41</v>
      </c>
      <c r="AG3948">
        <v>175</v>
      </c>
      <c r="AH3948">
        <v>129</v>
      </c>
      <c r="AI3948">
        <v>7.56</v>
      </c>
      <c r="AJ3948">
        <v>32.29</v>
      </c>
      <c r="AK3948">
        <v>23.8</v>
      </c>
      <c r="AL3948">
        <v>-20.115029799999949</v>
      </c>
      <c r="AM3948">
        <v>-44.905816489739038</v>
      </c>
      <c r="AN3948">
        <v>-20.115029799999949</v>
      </c>
      <c r="AO3948">
        <v>-44.905816489739038</v>
      </c>
      <c r="AP3948">
        <v>-20.114929</v>
      </c>
      <c r="AQ3948">
        <v>-44.905743999999999</v>
      </c>
      <c r="AR3948">
        <v>13.5398779152241</v>
      </c>
      <c r="AS3948" t="s">
        <v>65</v>
      </c>
      <c r="AT3948">
        <v>1</v>
      </c>
      <c r="AU3948" t="s">
        <v>1933</v>
      </c>
      <c r="AV3948" t="s">
        <v>1934</v>
      </c>
      <c r="AW3948" t="s">
        <v>60</v>
      </c>
      <c r="AX3948" t="s">
        <v>68</v>
      </c>
      <c r="AY3948" t="s">
        <v>69</v>
      </c>
      <c r="AZ3948" t="b">
        <v>1</v>
      </c>
    </row>
    <row r="3949" spans="1:52" x14ac:dyDescent="0.3">
      <c r="A3949" t="s">
        <v>52</v>
      </c>
      <c r="B3949" t="s">
        <v>53</v>
      </c>
      <c r="C3949" t="s">
        <v>54</v>
      </c>
      <c r="D3949" t="s">
        <v>55</v>
      </c>
      <c r="E3949" t="s">
        <v>2206</v>
      </c>
      <c r="F3949" t="s">
        <v>190</v>
      </c>
      <c r="G3949" t="s">
        <v>1935</v>
      </c>
      <c r="H3949" t="s">
        <v>1936</v>
      </c>
      <c r="I3949" t="s">
        <v>1936</v>
      </c>
      <c r="J3949" t="s">
        <v>60</v>
      </c>
      <c r="K3949" t="s">
        <v>1265</v>
      </c>
      <c r="L3949" t="s">
        <v>62</v>
      </c>
      <c r="M3949" t="s">
        <v>1265</v>
      </c>
      <c r="N3949" t="s">
        <v>1937</v>
      </c>
      <c r="O3949" t="s">
        <v>738</v>
      </c>
      <c r="P3949">
        <v>-20.112497999999999</v>
      </c>
      <c r="Q3949">
        <v>-44.907307000000003</v>
      </c>
      <c r="R3949" s="2" t="str">
        <f>HYPERLINK("https://www.google.com/maps?q=-20.1124980,-44.9073070","Abrir no Google Maps")</f>
        <v>Abrir no Google Maps</v>
      </c>
      <c r="S3949">
        <v>3</v>
      </c>
      <c r="T3949">
        <v>682.46188175859595</v>
      </c>
      <c r="U3949">
        <v>3</v>
      </c>
      <c r="V3949">
        <v>0.45837986003863729</v>
      </c>
      <c r="W3949">
        <v>0.85</v>
      </c>
      <c r="X3949">
        <v>0.38962288103284171</v>
      </c>
      <c r="Y3949">
        <v>300</v>
      </c>
      <c r="Z3949">
        <v>693.47964384474699</v>
      </c>
      <c r="AA3949">
        <v>198</v>
      </c>
      <c r="AB3949">
        <v>332</v>
      </c>
      <c r="AC3949">
        <v>536</v>
      </c>
      <c r="AD3949">
        <v>33.19</v>
      </c>
      <c r="AE3949">
        <v>542</v>
      </c>
      <c r="AF3949">
        <v>41</v>
      </c>
      <c r="AG3949">
        <v>175</v>
      </c>
      <c r="AH3949">
        <v>129</v>
      </c>
      <c r="AI3949">
        <v>7.56</v>
      </c>
      <c r="AJ3949">
        <v>32.29</v>
      </c>
      <c r="AK3949">
        <v>23.8</v>
      </c>
      <c r="AL3949">
        <v>-20.112429099999961</v>
      </c>
      <c r="AM3949">
        <v>-44.907534975307001</v>
      </c>
      <c r="AN3949">
        <v>-20.112429099999961</v>
      </c>
      <c r="AO3949">
        <v>-44.907534975307001</v>
      </c>
      <c r="AP3949">
        <v>-20.112497999999999</v>
      </c>
      <c r="AQ3949">
        <v>-44.907307000000003</v>
      </c>
      <c r="AR3949">
        <v>25.034526020325121</v>
      </c>
      <c r="AS3949" t="s">
        <v>65</v>
      </c>
      <c r="AT3949">
        <v>1</v>
      </c>
      <c r="AU3949" t="s">
        <v>1938</v>
      </c>
      <c r="AV3949" t="s">
        <v>1939</v>
      </c>
      <c r="AW3949" t="s">
        <v>60</v>
      </c>
      <c r="AX3949" t="s">
        <v>68</v>
      </c>
      <c r="AY3949" t="s">
        <v>69</v>
      </c>
      <c r="AZ3949" t="b">
        <v>1</v>
      </c>
    </row>
    <row r="3950" spans="1:52" x14ac:dyDescent="0.3">
      <c r="A3950" t="s">
        <v>52</v>
      </c>
      <c r="B3950" t="s">
        <v>53</v>
      </c>
      <c r="C3950" t="s">
        <v>54</v>
      </c>
      <c r="D3950" t="s">
        <v>55</v>
      </c>
      <c r="E3950" t="s">
        <v>2206</v>
      </c>
      <c r="F3950" t="s">
        <v>190</v>
      </c>
      <c r="G3950" t="s">
        <v>1774</v>
      </c>
      <c r="H3950" t="s">
        <v>1775</v>
      </c>
      <c r="I3950" t="s">
        <v>1775</v>
      </c>
      <c r="J3950" t="s">
        <v>60</v>
      </c>
      <c r="K3950" t="s">
        <v>791</v>
      </c>
      <c r="L3950" t="s">
        <v>62</v>
      </c>
      <c r="M3950" t="s">
        <v>791</v>
      </c>
      <c r="N3950" t="s">
        <v>1776</v>
      </c>
      <c r="O3950" t="s">
        <v>1777</v>
      </c>
      <c r="P3950">
        <v>-20.108148</v>
      </c>
      <c r="Q3950">
        <v>-44.909519000000003</v>
      </c>
      <c r="R3950" s="2" t="str">
        <f>HYPERLINK("https://www.google.com/maps?q=-20.1081480,-44.9095190","Abrir no Google Maps")</f>
        <v>Abrir no Google Maps</v>
      </c>
      <c r="S3950">
        <v>3</v>
      </c>
      <c r="T3950">
        <v>960.99382263787027</v>
      </c>
      <c r="U3950">
        <v>3</v>
      </c>
      <c r="V3950">
        <v>0.48873024409847271</v>
      </c>
      <c r="W3950">
        <v>0.85</v>
      </c>
      <c r="X3950">
        <v>0.4154207074837018</v>
      </c>
      <c r="Y3950">
        <v>300</v>
      </c>
      <c r="Z3950">
        <v>830.02784879078899</v>
      </c>
      <c r="AA3950">
        <v>198</v>
      </c>
      <c r="AB3950">
        <v>332</v>
      </c>
      <c r="AC3950">
        <v>536</v>
      </c>
      <c r="AD3950">
        <v>33.19</v>
      </c>
      <c r="AE3950">
        <v>542</v>
      </c>
      <c r="AF3950">
        <v>41</v>
      </c>
      <c r="AG3950">
        <v>175</v>
      </c>
      <c r="AH3950">
        <v>129</v>
      </c>
      <c r="AI3950">
        <v>7.56</v>
      </c>
      <c r="AJ3950">
        <v>32.29</v>
      </c>
      <c r="AK3950">
        <v>23.8</v>
      </c>
      <c r="AL3950">
        <v>-20.10824884999996</v>
      </c>
      <c r="AM3950">
        <v>-44.909675442736678</v>
      </c>
      <c r="AN3950">
        <v>-20.10824884999996</v>
      </c>
      <c r="AO3950">
        <v>-44.909675442736678</v>
      </c>
      <c r="AP3950">
        <v>-20.108148</v>
      </c>
      <c r="AQ3950">
        <v>-44.909519000000003</v>
      </c>
      <c r="AR3950">
        <v>19.8363090254621</v>
      </c>
      <c r="AS3950" t="s">
        <v>65</v>
      </c>
      <c r="AT3950">
        <v>1</v>
      </c>
      <c r="AU3950" t="s">
        <v>1778</v>
      </c>
      <c r="AV3950" t="s">
        <v>1779</v>
      </c>
      <c r="AW3950" t="s">
        <v>60</v>
      </c>
      <c r="AX3950" t="s">
        <v>68</v>
      </c>
      <c r="AY3950" t="s">
        <v>69</v>
      </c>
      <c r="AZ3950" t="b">
        <v>1</v>
      </c>
    </row>
    <row r="3951" spans="1:52" x14ac:dyDescent="0.3">
      <c r="A3951" t="s">
        <v>52</v>
      </c>
      <c r="B3951" t="s">
        <v>53</v>
      </c>
      <c r="C3951" t="s">
        <v>54</v>
      </c>
      <c r="D3951" t="s">
        <v>55</v>
      </c>
      <c r="E3951" t="s">
        <v>2206</v>
      </c>
      <c r="F3951" t="s">
        <v>190</v>
      </c>
      <c r="G3951" t="s">
        <v>1946</v>
      </c>
      <c r="H3951" t="s">
        <v>1947</v>
      </c>
      <c r="I3951" t="s">
        <v>1947</v>
      </c>
      <c r="J3951" t="s">
        <v>60</v>
      </c>
      <c r="K3951" t="s">
        <v>1710</v>
      </c>
      <c r="L3951" t="s">
        <v>62</v>
      </c>
      <c r="M3951" t="s">
        <v>1710</v>
      </c>
      <c r="N3951" t="s">
        <v>1948</v>
      </c>
      <c r="O3951" t="s">
        <v>98</v>
      </c>
      <c r="P3951">
        <v>-20.148572000000001</v>
      </c>
      <c r="Q3951">
        <v>-44.844358</v>
      </c>
      <c r="R3951" s="2" t="str">
        <f>HYPERLINK("https://www.google.com/maps?q=-20.1485720,-44.8443580","Abrir no Google Maps")</f>
        <v>Abrir no Google Maps</v>
      </c>
      <c r="S3951">
        <v>3</v>
      </c>
      <c r="T3951">
        <v>1659.680029693056</v>
      </c>
      <c r="U3951">
        <v>3</v>
      </c>
      <c r="V3951">
        <v>0.44350488444977898</v>
      </c>
      <c r="W3951">
        <v>0.85</v>
      </c>
      <c r="X3951">
        <v>0.37697915178231212</v>
      </c>
      <c r="Y3951">
        <v>292</v>
      </c>
      <c r="Z3951">
        <v>2031.793037782372</v>
      </c>
      <c r="AA3951">
        <v>198</v>
      </c>
      <c r="AB3951">
        <v>332</v>
      </c>
      <c r="AC3951">
        <v>536</v>
      </c>
      <c r="AD3951">
        <v>33.19</v>
      </c>
      <c r="AE3951">
        <v>542</v>
      </c>
      <c r="AF3951">
        <v>41</v>
      </c>
      <c r="AG3951">
        <v>175</v>
      </c>
      <c r="AH3951">
        <v>129</v>
      </c>
      <c r="AI3951">
        <v>7.56</v>
      </c>
      <c r="AJ3951">
        <v>32.29</v>
      </c>
      <c r="AK3951">
        <v>23.8</v>
      </c>
      <c r="AL3951">
        <v>-20.14798144999995</v>
      </c>
      <c r="AM3951">
        <v>-44.844440972238857</v>
      </c>
      <c r="AN3951">
        <v>-20.147981449999939</v>
      </c>
      <c r="AO3951">
        <v>-44.844440972238857</v>
      </c>
      <c r="AP3951">
        <v>-20.148572000000001</v>
      </c>
      <c r="AQ3951">
        <v>-44.844358</v>
      </c>
      <c r="AR3951">
        <v>66.309438774786855</v>
      </c>
      <c r="AS3951" t="s">
        <v>65</v>
      </c>
      <c r="AT3951">
        <v>1</v>
      </c>
      <c r="AU3951" t="s">
        <v>1949</v>
      </c>
      <c r="AV3951" t="s">
        <v>1950</v>
      </c>
      <c r="AW3951" t="s">
        <v>60</v>
      </c>
      <c r="AX3951" t="s">
        <v>68</v>
      </c>
      <c r="AY3951" t="s">
        <v>69</v>
      </c>
      <c r="AZ3951" t="b">
        <v>1</v>
      </c>
    </row>
    <row r="3952" spans="1:52" x14ac:dyDescent="0.3">
      <c r="A3952" t="s">
        <v>52</v>
      </c>
      <c r="B3952" t="s">
        <v>53</v>
      </c>
      <c r="C3952" t="s">
        <v>54</v>
      </c>
      <c r="D3952" t="s">
        <v>55</v>
      </c>
      <c r="E3952" t="s">
        <v>2206</v>
      </c>
      <c r="F3952" t="s">
        <v>190</v>
      </c>
      <c r="G3952" t="s">
        <v>1951</v>
      </c>
      <c r="H3952" t="s">
        <v>1952</v>
      </c>
      <c r="I3952" t="s">
        <v>1952</v>
      </c>
      <c r="J3952" t="s">
        <v>60</v>
      </c>
      <c r="K3952" t="s">
        <v>1177</v>
      </c>
      <c r="L3952" t="s">
        <v>62</v>
      </c>
      <c r="M3952" t="s">
        <v>1177</v>
      </c>
      <c r="N3952" t="s">
        <v>1953</v>
      </c>
      <c r="O3952" t="s">
        <v>1297</v>
      </c>
      <c r="P3952">
        <v>-20.151040999999999</v>
      </c>
      <c r="Q3952">
        <v>-44.866993999999998</v>
      </c>
      <c r="R3952" s="2" t="str">
        <f>HYPERLINK("https://www.google.com/maps?q=-20.1510410,-44.8669940","Abrir no Google Maps")</f>
        <v>Abrir no Google Maps</v>
      </c>
      <c r="S3952">
        <v>3</v>
      </c>
      <c r="T3952">
        <v>283.36618500961418</v>
      </c>
      <c r="U3952">
        <v>3</v>
      </c>
      <c r="V3952">
        <v>0.44249258121615992</v>
      </c>
      <c r="W3952">
        <v>0.85</v>
      </c>
      <c r="X3952">
        <v>0.37611869403373588</v>
      </c>
      <c r="Y3952">
        <v>264</v>
      </c>
      <c r="Z3952">
        <v>359.76740081296248</v>
      </c>
      <c r="AA3952">
        <v>198</v>
      </c>
      <c r="AB3952">
        <v>332</v>
      </c>
      <c r="AC3952">
        <v>536</v>
      </c>
      <c r="AD3952">
        <v>33.19</v>
      </c>
      <c r="AE3952">
        <v>542</v>
      </c>
      <c r="AF3952">
        <v>41</v>
      </c>
      <c r="AG3952">
        <v>175</v>
      </c>
      <c r="AH3952">
        <v>129</v>
      </c>
      <c r="AI3952">
        <v>7.56</v>
      </c>
      <c r="AJ3952">
        <v>32.29</v>
      </c>
      <c r="AK3952">
        <v>23.8</v>
      </c>
      <c r="AL3952">
        <v>-20.151039049999959</v>
      </c>
      <c r="AM3952">
        <v>-44.866745260785819</v>
      </c>
      <c r="AN3952">
        <v>-20.151039049999959</v>
      </c>
      <c r="AO3952">
        <v>-44.866745260785819</v>
      </c>
      <c r="AP3952">
        <v>-20.151040999999999</v>
      </c>
      <c r="AQ3952">
        <v>-44.866993999999998</v>
      </c>
      <c r="AR3952">
        <v>25.99560986527592</v>
      </c>
      <c r="AS3952" t="s">
        <v>65</v>
      </c>
      <c r="AT3952">
        <v>1</v>
      </c>
      <c r="AU3952" t="s">
        <v>1954</v>
      </c>
      <c r="AV3952" t="s">
        <v>1955</v>
      </c>
      <c r="AW3952" t="s">
        <v>60</v>
      </c>
      <c r="AX3952" t="s">
        <v>68</v>
      </c>
      <c r="AY3952" t="s">
        <v>69</v>
      </c>
      <c r="AZ3952" t="b">
        <v>1</v>
      </c>
    </row>
    <row r="3953" spans="1:52" x14ac:dyDescent="0.3">
      <c r="A3953" t="s">
        <v>52</v>
      </c>
      <c r="B3953" t="s">
        <v>53</v>
      </c>
      <c r="C3953" t="s">
        <v>54</v>
      </c>
      <c r="D3953" t="s">
        <v>55</v>
      </c>
      <c r="E3953" t="s">
        <v>2206</v>
      </c>
      <c r="F3953" t="s">
        <v>190</v>
      </c>
      <c r="G3953" t="s">
        <v>734</v>
      </c>
      <c r="H3953" t="s">
        <v>1956</v>
      </c>
      <c r="I3953" t="s">
        <v>1956</v>
      </c>
      <c r="J3953" t="s">
        <v>60</v>
      </c>
      <c r="K3953" t="s">
        <v>736</v>
      </c>
      <c r="L3953" t="s">
        <v>62</v>
      </c>
      <c r="M3953" t="s">
        <v>736</v>
      </c>
      <c r="N3953" t="s">
        <v>1957</v>
      </c>
      <c r="O3953" t="s">
        <v>98</v>
      </c>
      <c r="P3953">
        <v>-20.102477</v>
      </c>
      <c r="Q3953">
        <v>-44.96687</v>
      </c>
      <c r="R3953" s="2" t="str">
        <f>HYPERLINK("https://www.google.com/maps?q=-20.1024770,-44.9668700","Abrir no Google Maps")</f>
        <v>Abrir no Google Maps</v>
      </c>
      <c r="S3953">
        <v>3</v>
      </c>
      <c r="T3953">
        <v>707.66831236770724</v>
      </c>
      <c r="U3953">
        <v>3</v>
      </c>
      <c r="V3953">
        <v>0.45402009537942778</v>
      </c>
      <c r="W3953">
        <v>0.85</v>
      </c>
      <c r="X3953">
        <v>0.3859170810725136</v>
      </c>
      <c r="Y3953">
        <v>187</v>
      </c>
      <c r="Z3953">
        <v>501.32994199953549</v>
      </c>
      <c r="AA3953">
        <v>198</v>
      </c>
      <c r="AB3953">
        <v>332</v>
      </c>
      <c r="AC3953">
        <v>536</v>
      </c>
      <c r="AD3953">
        <v>33.19</v>
      </c>
      <c r="AE3953">
        <v>542</v>
      </c>
      <c r="AF3953">
        <v>41</v>
      </c>
      <c r="AG3953">
        <v>175</v>
      </c>
      <c r="AH3953">
        <v>129</v>
      </c>
      <c r="AI3953">
        <v>7.56</v>
      </c>
      <c r="AJ3953">
        <v>32.29</v>
      </c>
      <c r="AK3953">
        <v>23.8</v>
      </c>
      <c r="AL3953">
        <v>-20.102224349999972</v>
      </c>
      <c r="AM3953">
        <v>-44.966722474833823</v>
      </c>
      <c r="AN3953">
        <v>-20.102224349999972</v>
      </c>
      <c r="AO3953">
        <v>-44.966722474833823</v>
      </c>
      <c r="AP3953">
        <v>-20.102477</v>
      </c>
      <c r="AQ3953">
        <v>-44.96687</v>
      </c>
      <c r="AR3953">
        <v>32.075775513591331</v>
      </c>
      <c r="AS3953" t="s">
        <v>65</v>
      </c>
      <c r="AT3953">
        <v>1</v>
      </c>
      <c r="AU3953" t="s">
        <v>1958</v>
      </c>
      <c r="AV3953" t="s">
        <v>1959</v>
      </c>
      <c r="AW3953" t="s">
        <v>60</v>
      </c>
      <c r="AX3953" t="s">
        <v>68</v>
      </c>
      <c r="AY3953" t="s">
        <v>69</v>
      </c>
      <c r="AZ3953" t="b">
        <v>1</v>
      </c>
    </row>
    <row r="3954" spans="1:52" x14ac:dyDescent="0.3">
      <c r="A3954" t="s">
        <v>52</v>
      </c>
      <c r="B3954" t="s">
        <v>53</v>
      </c>
      <c r="C3954" t="s">
        <v>54</v>
      </c>
      <c r="D3954" t="s">
        <v>55</v>
      </c>
      <c r="E3954" t="s">
        <v>2206</v>
      </c>
      <c r="F3954" t="s">
        <v>190</v>
      </c>
      <c r="G3954" t="s">
        <v>1972</v>
      </c>
      <c r="H3954" t="s">
        <v>1973</v>
      </c>
      <c r="I3954" t="s">
        <v>1973</v>
      </c>
      <c r="J3954" t="s">
        <v>60</v>
      </c>
      <c r="K3954" t="s">
        <v>1974</v>
      </c>
      <c r="L3954" t="s">
        <v>62</v>
      </c>
      <c r="M3954" t="s">
        <v>1974</v>
      </c>
      <c r="N3954" t="s">
        <v>1975</v>
      </c>
      <c r="O3954" t="s">
        <v>112</v>
      </c>
      <c r="P3954">
        <v>-20.190601000000001</v>
      </c>
      <c r="Q3954">
        <v>-44.915455000000001</v>
      </c>
      <c r="R3954" s="2" t="str">
        <f>HYPERLINK("https://www.google.com/maps?q=-20.1906010,-44.9154550","Abrir no Google Maps")</f>
        <v>Abrir no Google Maps</v>
      </c>
      <c r="S3954">
        <v>3</v>
      </c>
      <c r="T3954">
        <v>789.59047047105469</v>
      </c>
      <c r="U3954">
        <v>3</v>
      </c>
      <c r="V3954">
        <v>0.45042867083708499</v>
      </c>
      <c r="W3954">
        <v>0.85</v>
      </c>
      <c r="X3954">
        <v>0.38286437021152231</v>
      </c>
      <c r="Y3954">
        <v>135</v>
      </c>
      <c r="Z3954">
        <v>1165.508260311045</v>
      </c>
      <c r="AA3954">
        <v>198</v>
      </c>
      <c r="AB3954">
        <v>332</v>
      </c>
      <c r="AC3954">
        <v>536</v>
      </c>
      <c r="AD3954">
        <v>33.19</v>
      </c>
      <c r="AE3954">
        <v>542</v>
      </c>
      <c r="AF3954">
        <v>41</v>
      </c>
      <c r="AG3954">
        <v>175</v>
      </c>
      <c r="AH3954">
        <v>129</v>
      </c>
      <c r="AI3954">
        <v>7.56</v>
      </c>
      <c r="AJ3954">
        <v>32.29</v>
      </c>
      <c r="AK3954">
        <v>23.8</v>
      </c>
      <c r="AL3954">
        <v>-20.19048524999997</v>
      </c>
      <c r="AM3954">
        <v>-44.916155008672732</v>
      </c>
      <c r="AN3954">
        <v>-20.19048524999997</v>
      </c>
      <c r="AO3954">
        <v>-44.916155008672732</v>
      </c>
      <c r="AP3954">
        <v>-20.190601000000001</v>
      </c>
      <c r="AQ3954">
        <v>-44.915455000000001</v>
      </c>
      <c r="AR3954">
        <v>74.262903738444592</v>
      </c>
      <c r="AS3954" t="s">
        <v>65</v>
      </c>
      <c r="AT3954">
        <v>1</v>
      </c>
      <c r="AU3954" t="s">
        <v>1976</v>
      </c>
      <c r="AV3954" t="s">
        <v>1977</v>
      </c>
      <c r="AW3954" t="s">
        <v>60</v>
      </c>
      <c r="AX3954" t="s">
        <v>68</v>
      </c>
      <c r="AY3954" t="s">
        <v>69</v>
      </c>
      <c r="AZ3954" t="b">
        <v>1</v>
      </c>
    </row>
    <row r="3955" spans="1:52" x14ac:dyDescent="0.3">
      <c r="A3955" t="s">
        <v>52</v>
      </c>
      <c r="B3955" t="s">
        <v>53</v>
      </c>
      <c r="C3955" t="s">
        <v>54</v>
      </c>
      <c r="D3955" t="s">
        <v>55</v>
      </c>
      <c r="E3955" t="s">
        <v>2206</v>
      </c>
      <c r="F3955" t="s">
        <v>190</v>
      </c>
      <c r="G3955" t="s">
        <v>1984</v>
      </c>
      <c r="H3955" t="s">
        <v>1985</v>
      </c>
      <c r="I3955" t="s">
        <v>1985</v>
      </c>
      <c r="J3955" t="s">
        <v>60</v>
      </c>
      <c r="K3955" t="s">
        <v>1986</v>
      </c>
      <c r="L3955" t="s">
        <v>62</v>
      </c>
      <c r="M3955" t="s">
        <v>1986</v>
      </c>
      <c r="N3955" t="s">
        <v>1987</v>
      </c>
      <c r="O3955" t="s">
        <v>1688</v>
      </c>
      <c r="P3955">
        <v>-20.181958999999999</v>
      </c>
      <c r="Q3955">
        <v>-44.922638999999997</v>
      </c>
      <c r="R3955" s="2" t="str">
        <f>HYPERLINK("https://www.google.com/maps?q=-20.1819590,-44.9226390","Abrir no Google Maps")</f>
        <v>Abrir no Google Maps</v>
      </c>
      <c r="S3955">
        <v>3</v>
      </c>
      <c r="T3955">
        <v>1352.8884133235149</v>
      </c>
      <c r="U3955">
        <v>3</v>
      </c>
      <c r="V3955">
        <v>0.4437726595425634</v>
      </c>
      <c r="W3955">
        <v>0.85</v>
      </c>
      <c r="X3955">
        <v>0.37720676061117892</v>
      </c>
      <c r="Y3955">
        <v>135</v>
      </c>
      <c r="Z3955">
        <v>1626.445728536507</v>
      </c>
      <c r="AA3955">
        <v>198</v>
      </c>
      <c r="AB3955">
        <v>332</v>
      </c>
      <c r="AC3955">
        <v>536</v>
      </c>
      <c r="AD3955">
        <v>33.19</v>
      </c>
      <c r="AE3955">
        <v>542</v>
      </c>
      <c r="AF3955">
        <v>41</v>
      </c>
      <c r="AG3955">
        <v>175</v>
      </c>
      <c r="AH3955">
        <v>129</v>
      </c>
      <c r="AI3955">
        <v>7.56</v>
      </c>
      <c r="AJ3955">
        <v>32.29</v>
      </c>
      <c r="AK3955">
        <v>23.8</v>
      </c>
      <c r="AL3955">
        <v>-20.181999799999939</v>
      </c>
      <c r="AM3955">
        <v>-44.922869974430867</v>
      </c>
      <c r="AN3955">
        <v>-20.181999799999939</v>
      </c>
      <c r="AO3955">
        <v>-44.922869974430867</v>
      </c>
      <c r="AP3955">
        <v>-20.181958999999999</v>
      </c>
      <c r="AQ3955">
        <v>-44.922638999999997</v>
      </c>
      <c r="AR3955">
        <v>24.55705514780848</v>
      </c>
      <c r="AS3955" t="s">
        <v>65</v>
      </c>
      <c r="AT3955">
        <v>1</v>
      </c>
      <c r="AU3955" t="s">
        <v>1988</v>
      </c>
      <c r="AV3955" t="s">
        <v>1989</v>
      </c>
      <c r="AW3955" t="s">
        <v>60</v>
      </c>
      <c r="AX3955" t="s">
        <v>68</v>
      </c>
      <c r="AY3955" t="s">
        <v>69</v>
      </c>
      <c r="AZ3955" t="b">
        <v>1</v>
      </c>
    </row>
    <row r="3956" spans="1:52" x14ac:dyDescent="0.3">
      <c r="A3956" t="s">
        <v>52</v>
      </c>
      <c r="B3956" t="s">
        <v>53</v>
      </c>
      <c r="C3956" t="s">
        <v>54</v>
      </c>
      <c r="D3956" t="s">
        <v>55</v>
      </c>
      <c r="E3956" t="s">
        <v>2206</v>
      </c>
      <c r="F3956" t="s">
        <v>190</v>
      </c>
      <c r="G3956" t="s">
        <v>1200</v>
      </c>
      <c r="H3956" t="s">
        <v>2139</v>
      </c>
      <c r="I3956" t="s">
        <v>2139</v>
      </c>
      <c r="J3956" t="s">
        <v>60</v>
      </c>
      <c r="K3956" t="s">
        <v>822</v>
      </c>
      <c r="L3956" t="s">
        <v>62</v>
      </c>
      <c r="M3956" t="s">
        <v>822</v>
      </c>
      <c r="N3956" t="s">
        <v>1203</v>
      </c>
      <c r="O3956" t="s">
        <v>1438</v>
      </c>
      <c r="P3956">
        <v>-20.184719999999999</v>
      </c>
      <c r="Q3956">
        <v>-44.906370000000003</v>
      </c>
      <c r="R3956" s="2" t="str">
        <f>HYPERLINK("https://www.google.com/maps?q=-20.1847200,-44.9063700","Abrir no Google Maps")</f>
        <v>Abrir no Google Maps</v>
      </c>
      <c r="S3956">
        <v>3</v>
      </c>
      <c r="T3956">
        <v>449.57787654629061</v>
      </c>
      <c r="U3956">
        <v>3</v>
      </c>
      <c r="V3956">
        <v>0.4286222700917825</v>
      </c>
      <c r="W3956">
        <v>0.85</v>
      </c>
      <c r="X3956">
        <v>0.3643289295780151</v>
      </c>
      <c r="Y3956">
        <v>135</v>
      </c>
      <c r="Z3956">
        <v>137.4655678931708</v>
      </c>
      <c r="AA3956">
        <v>198</v>
      </c>
      <c r="AB3956">
        <v>332</v>
      </c>
      <c r="AC3956">
        <v>536</v>
      </c>
      <c r="AD3956">
        <v>33.19</v>
      </c>
      <c r="AE3956">
        <v>542</v>
      </c>
      <c r="AF3956">
        <v>41</v>
      </c>
      <c r="AG3956">
        <v>175</v>
      </c>
      <c r="AH3956">
        <v>129</v>
      </c>
      <c r="AI3956">
        <v>7.56</v>
      </c>
      <c r="AJ3956">
        <v>32.29</v>
      </c>
      <c r="AK3956">
        <v>23.8</v>
      </c>
      <c r="AL3956">
        <v>-20.184714349999979</v>
      </c>
      <c r="AM3956">
        <v>-44.906364103234253</v>
      </c>
      <c r="AN3956">
        <v>-20.184714349999979</v>
      </c>
      <c r="AO3956">
        <v>-44.906364103234253</v>
      </c>
      <c r="AP3956">
        <v>-20.184719999999999</v>
      </c>
      <c r="AQ3956">
        <v>-44.906370000000003</v>
      </c>
      <c r="AR3956">
        <v>0.88044535780078881</v>
      </c>
      <c r="AS3956" t="s">
        <v>65</v>
      </c>
      <c r="AT3956">
        <v>1</v>
      </c>
      <c r="AU3956" t="s">
        <v>2140</v>
      </c>
      <c r="AV3956" t="s">
        <v>2141</v>
      </c>
      <c r="AW3956" t="s">
        <v>60</v>
      </c>
      <c r="AX3956" t="s">
        <v>68</v>
      </c>
      <c r="AY3956" t="s">
        <v>69</v>
      </c>
      <c r="AZ3956" t="b">
        <v>1</v>
      </c>
    </row>
    <row r="3957" spans="1:52" x14ac:dyDescent="0.3">
      <c r="A3957" t="s">
        <v>52</v>
      </c>
      <c r="B3957" t="s">
        <v>53</v>
      </c>
      <c r="C3957" t="s">
        <v>54</v>
      </c>
      <c r="D3957" t="s">
        <v>55</v>
      </c>
      <c r="E3957" t="s">
        <v>2206</v>
      </c>
      <c r="F3957" t="s">
        <v>190</v>
      </c>
      <c r="G3957" t="s">
        <v>1990</v>
      </c>
      <c r="H3957" t="s">
        <v>1991</v>
      </c>
      <c r="I3957" t="s">
        <v>1991</v>
      </c>
      <c r="J3957" t="s">
        <v>60</v>
      </c>
      <c r="K3957" t="s">
        <v>822</v>
      </c>
      <c r="L3957" t="s">
        <v>62</v>
      </c>
      <c r="M3957" t="s">
        <v>822</v>
      </c>
      <c r="N3957" t="s">
        <v>1992</v>
      </c>
      <c r="O3957" t="s">
        <v>1993</v>
      </c>
      <c r="P3957">
        <v>-20.185697000000001</v>
      </c>
      <c r="Q3957">
        <v>-44.910505999999998</v>
      </c>
      <c r="R3957" s="2" t="str">
        <f>HYPERLINK("https://www.google.com/maps?q=-20.1856970,-44.9105060","Abrir no Google Maps")</f>
        <v>Abrir no Google Maps</v>
      </c>
      <c r="S3957">
        <v>3</v>
      </c>
      <c r="T3957">
        <v>0</v>
      </c>
      <c r="U3957">
        <v>3</v>
      </c>
      <c r="V3957">
        <v>0.45134733315863318</v>
      </c>
      <c r="W3957">
        <v>0.85</v>
      </c>
      <c r="X3957">
        <v>0.38364523318483817</v>
      </c>
      <c r="Y3957">
        <v>135</v>
      </c>
      <c r="Z3957">
        <v>343.69681053463609</v>
      </c>
      <c r="AA3957">
        <v>198</v>
      </c>
      <c r="AB3957">
        <v>332</v>
      </c>
      <c r="AC3957">
        <v>536</v>
      </c>
      <c r="AD3957">
        <v>33.19</v>
      </c>
      <c r="AE3957">
        <v>542</v>
      </c>
      <c r="AF3957">
        <v>41</v>
      </c>
      <c r="AG3957">
        <v>175</v>
      </c>
      <c r="AH3957">
        <v>129</v>
      </c>
      <c r="AI3957">
        <v>7.56</v>
      </c>
      <c r="AJ3957">
        <v>32.29</v>
      </c>
      <c r="AK3957">
        <v>23.8</v>
      </c>
      <c r="AL3957">
        <v>-20.185715749999961</v>
      </c>
      <c r="AM3957">
        <v>-44.910534239471573</v>
      </c>
      <c r="AN3957">
        <v>-20.185715749999961</v>
      </c>
      <c r="AO3957">
        <v>-44.910534239471573</v>
      </c>
      <c r="AP3957">
        <v>-20.185697000000001</v>
      </c>
      <c r="AQ3957">
        <v>-44.910505999999998</v>
      </c>
      <c r="AR3957">
        <v>3.6141753980162412</v>
      </c>
      <c r="AS3957" t="s">
        <v>65</v>
      </c>
      <c r="AT3957">
        <v>1</v>
      </c>
      <c r="AU3957" t="s">
        <v>1994</v>
      </c>
      <c r="AV3957" t="s">
        <v>1995</v>
      </c>
      <c r="AW3957" t="s">
        <v>60</v>
      </c>
      <c r="AX3957" t="s">
        <v>68</v>
      </c>
      <c r="AY3957" t="s">
        <v>69</v>
      </c>
      <c r="AZ3957" t="b">
        <v>1</v>
      </c>
    </row>
    <row r="3958" spans="1:52" x14ac:dyDescent="0.3">
      <c r="A3958" t="s">
        <v>52</v>
      </c>
      <c r="B3958" t="s">
        <v>53</v>
      </c>
      <c r="C3958" t="s">
        <v>54</v>
      </c>
      <c r="D3958" t="s">
        <v>55</v>
      </c>
      <c r="E3958" t="s">
        <v>2206</v>
      </c>
      <c r="F3958" t="s">
        <v>190</v>
      </c>
      <c r="G3958" t="s">
        <v>1996</v>
      </c>
      <c r="H3958" t="s">
        <v>1997</v>
      </c>
      <c r="I3958" t="s">
        <v>1997</v>
      </c>
      <c r="J3958" t="s">
        <v>60</v>
      </c>
      <c r="K3958" t="s">
        <v>475</v>
      </c>
      <c r="L3958" t="s">
        <v>62</v>
      </c>
      <c r="M3958" t="s">
        <v>475</v>
      </c>
      <c r="N3958" t="s">
        <v>1998</v>
      </c>
      <c r="O3958" t="s">
        <v>315</v>
      </c>
      <c r="P3958">
        <v>-20.179940999999999</v>
      </c>
      <c r="Q3958">
        <v>-44.903188999999998</v>
      </c>
      <c r="R3958" s="2" t="str">
        <f>HYPERLINK("https://www.google.com/maps?q=-20.1799410,-44.9031890","Abrir no Google Maps")</f>
        <v>Abrir no Google Maps</v>
      </c>
      <c r="S3958">
        <v>3</v>
      </c>
      <c r="T3958">
        <v>1015.833316462985</v>
      </c>
      <c r="U3958">
        <v>3</v>
      </c>
      <c r="V3958">
        <v>0.4365272609038699</v>
      </c>
      <c r="W3958">
        <v>0.85</v>
      </c>
      <c r="X3958">
        <v>0.37104817176828941</v>
      </c>
      <c r="Y3958">
        <v>135</v>
      </c>
      <c r="Z3958">
        <v>598.61969260901481</v>
      </c>
      <c r="AA3958">
        <v>198</v>
      </c>
      <c r="AB3958">
        <v>332</v>
      </c>
      <c r="AC3958">
        <v>536</v>
      </c>
      <c r="AD3958">
        <v>33.19</v>
      </c>
      <c r="AE3958">
        <v>542</v>
      </c>
      <c r="AF3958">
        <v>41</v>
      </c>
      <c r="AG3958">
        <v>175</v>
      </c>
      <c r="AH3958">
        <v>129</v>
      </c>
      <c r="AI3958">
        <v>7.56</v>
      </c>
      <c r="AJ3958">
        <v>32.29</v>
      </c>
      <c r="AK3958">
        <v>23.8</v>
      </c>
      <c r="AL3958">
        <v>-20.179854799999958</v>
      </c>
      <c r="AM3958">
        <v>-44.903051508274217</v>
      </c>
      <c r="AN3958">
        <v>-20.179854799999958</v>
      </c>
      <c r="AO3958">
        <v>-44.903051508274217</v>
      </c>
      <c r="AP3958">
        <v>-20.179940999999999</v>
      </c>
      <c r="AQ3958">
        <v>-44.903188999999998</v>
      </c>
      <c r="AR3958">
        <v>17.276054833368239</v>
      </c>
      <c r="AS3958" t="s">
        <v>65</v>
      </c>
      <c r="AT3958">
        <v>1</v>
      </c>
      <c r="AU3958" t="s">
        <v>1999</v>
      </c>
      <c r="AV3958" t="s">
        <v>2000</v>
      </c>
      <c r="AW3958" t="s">
        <v>60</v>
      </c>
      <c r="AX3958" t="s">
        <v>68</v>
      </c>
      <c r="AY3958" t="s">
        <v>69</v>
      </c>
      <c r="AZ3958" t="b">
        <v>1</v>
      </c>
    </row>
    <row r="3959" spans="1:52" x14ac:dyDescent="0.3">
      <c r="A3959" t="s">
        <v>52</v>
      </c>
      <c r="B3959" t="s">
        <v>53</v>
      </c>
      <c r="C3959" t="s">
        <v>54</v>
      </c>
      <c r="D3959" t="s">
        <v>55</v>
      </c>
      <c r="E3959" t="s">
        <v>2206</v>
      </c>
      <c r="F3959" t="s">
        <v>190</v>
      </c>
      <c r="G3959" t="s">
        <v>422</v>
      </c>
      <c r="H3959" t="s">
        <v>2001</v>
      </c>
      <c r="I3959" t="s">
        <v>2001</v>
      </c>
      <c r="J3959" t="s">
        <v>60</v>
      </c>
      <c r="K3959" t="s">
        <v>475</v>
      </c>
      <c r="L3959" t="s">
        <v>62</v>
      </c>
      <c r="M3959" t="s">
        <v>475</v>
      </c>
      <c r="N3959" t="s">
        <v>425</v>
      </c>
      <c r="O3959" t="s">
        <v>1663</v>
      </c>
      <c r="P3959">
        <v>-20.180004</v>
      </c>
      <c r="Q3959">
        <v>-44.911242999999999</v>
      </c>
      <c r="R3959" s="2" t="str">
        <f>HYPERLINK("https://www.google.com/maps?q=-20.1800040,-44.9112430","Abrir no Google Maps")</f>
        <v>Abrir no Google Maps</v>
      </c>
      <c r="S3959">
        <v>3</v>
      </c>
      <c r="T3959">
        <v>529.77473531196472</v>
      </c>
      <c r="U3959">
        <v>3</v>
      </c>
      <c r="V3959">
        <v>0.43804991825624479</v>
      </c>
      <c r="W3959">
        <v>0.85</v>
      </c>
      <c r="X3959">
        <v>0.37234243051780808</v>
      </c>
      <c r="Y3959">
        <v>135</v>
      </c>
      <c r="Z3959">
        <v>464.21721188606858</v>
      </c>
      <c r="AA3959">
        <v>198</v>
      </c>
      <c r="AB3959">
        <v>332</v>
      </c>
      <c r="AC3959">
        <v>536</v>
      </c>
      <c r="AD3959">
        <v>33.19</v>
      </c>
      <c r="AE3959">
        <v>542</v>
      </c>
      <c r="AF3959">
        <v>41</v>
      </c>
      <c r="AG3959">
        <v>175</v>
      </c>
      <c r="AH3959">
        <v>129</v>
      </c>
      <c r="AI3959">
        <v>7.56</v>
      </c>
      <c r="AJ3959">
        <v>32.29</v>
      </c>
      <c r="AK3959">
        <v>23.8</v>
      </c>
      <c r="AL3959">
        <v>-20.180959999999949</v>
      </c>
      <c r="AM3959">
        <v>-44.911115442322981</v>
      </c>
      <c r="AN3959">
        <v>-20.180959999999949</v>
      </c>
      <c r="AO3959">
        <v>-44.911115442322981</v>
      </c>
      <c r="AP3959">
        <v>-20.180004</v>
      </c>
      <c r="AQ3959">
        <v>-44.911242999999999</v>
      </c>
      <c r="AR3959">
        <v>107.2532506205936</v>
      </c>
      <c r="AS3959" t="s">
        <v>65</v>
      </c>
      <c r="AT3959">
        <v>1</v>
      </c>
      <c r="AU3959" t="s">
        <v>2002</v>
      </c>
      <c r="AV3959" t="s">
        <v>1211</v>
      </c>
      <c r="AW3959" t="s">
        <v>60</v>
      </c>
      <c r="AX3959" t="s">
        <v>68</v>
      </c>
      <c r="AY3959" t="s">
        <v>69</v>
      </c>
      <c r="AZ3959" t="b">
        <v>1</v>
      </c>
    </row>
    <row r="3960" spans="1:52" x14ac:dyDescent="0.3">
      <c r="A3960" t="s">
        <v>52</v>
      </c>
      <c r="B3960" t="s">
        <v>53</v>
      </c>
      <c r="C3960" t="s">
        <v>54</v>
      </c>
      <c r="D3960" t="s">
        <v>55</v>
      </c>
      <c r="E3960" t="s">
        <v>2206</v>
      </c>
      <c r="F3960" t="s">
        <v>190</v>
      </c>
      <c r="G3960" t="s">
        <v>1206</v>
      </c>
      <c r="H3960" t="s">
        <v>1207</v>
      </c>
      <c r="I3960" t="s">
        <v>1207</v>
      </c>
      <c r="J3960" t="s">
        <v>60</v>
      </c>
      <c r="K3960" t="s">
        <v>475</v>
      </c>
      <c r="L3960" t="s">
        <v>62</v>
      </c>
      <c r="M3960" t="s">
        <v>475</v>
      </c>
      <c r="N3960" t="s">
        <v>1208</v>
      </c>
      <c r="O3960" t="s">
        <v>1209</v>
      </c>
      <c r="P3960">
        <v>-20.180554999999998</v>
      </c>
      <c r="Q3960">
        <v>-44.905642999999998</v>
      </c>
      <c r="R3960" s="2" t="str">
        <f>HYPERLINK("https://www.google.com/maps?q=-20.1805550,-44.9056430","Abrir no Google Maps")</f>
        <v>Abrir no Google Maps</v>
      </c>
      <c r="S3960">
        <v>3</v>
      </c>
      <c r="T3960">
        <v>768.13826761541702</v>
      </c>
      <c r="U3960">
        <v>3</v>
      </c>
      <c r="V3960">
        <v>0.40250956808210148</v>
      </c>
      <c r="W3960">
        <v>1</v>
      </c>
      <c r="X3960">
        <v>0.40250956808210148</v>
      </c>
      <c r="Y3960">
        <v>135</v>
      </c>
      <c r="Z3960">
        <v>442.64437152702573</v>
      </c>
      <c r="AA3960">
        <v>198</v>
      </c>
      <c r="AB3960">
        <v>332</v>
      </c>
      <c r="AC3960">
        <v>536</v>
      </c>
      <c r="AD3960">
        <v>33.19</v>
      </c>
      <c r="AE3960">
        <v>542</v>
      </c>
      <c r="AF3960">
        <v>41</v>
      </c>
      <c r="AG3960">
        <v>175</v>
      </c>
      <c r="AH3960">
        <v>129</v>
      </c>
      <c r="AI3960">
        <v>7.56</v>
      </c>
      <c r="AJ3960">
        <v>32.29</v>
      </c>
      <c r="AK3960">
        <v>23.8</v>
      </c>
      <c r="AL3960">
        <v>-20.180439499999949</v>
      </c>
      <c r="AM3960">
        <v>-44.905757266135502</v>
      </c>
      <c r="AN3960">
        <v>-20.180439499999949</v>
      </c>
      <c r="AO3960">
        <v>-44.905757266135502</v>
      </c>
      <c r="AP3960">
        <v>-20.180554999999998</v>
      </c>
      <c r="AQ3960">
        <v>-44.905642999999998</v>
      </c>
      <c r="AR3960">
        <v>17.545924993698129</v>
      </c>
      <c r="AS3960" t="s">
        <v>65</v>
      </c>
      <c r="AT3960">
        <v>1</v>
      </c>
      <c r="AU3960" t="s">
        <v>1210</v>
      </c>
      <c r="AV3960" t="s">
        <v>1211</v>
      </c>
      <c r="AW3960" t="s">
        <v>60</v>
      </c>
      <c r="AX3960" t="s">
        <v>68</v>
      </c>
      <c r="AY3960" t="s">
        <v>69</v>
      </c>
      <c r="AZ3960" t="b">
        <v>1</v>
      </c>
    </row>
    <row r="3961" spans="1:52" x14ac:dyDescent="0.3">
      <c r="A3961" t="s">
        <v>52</v>
      </c>
      <c r="B3961" t="s">
        <v>53</v>
      </c>
      <c r="C3961" t="s">
        <v>54</v>
      </c>
      <c r="D3961" t="s">
        <v>55</v>
      </c>
      <c r="E3961" t="s">
        <v>2206</v>
      </c>
      <c r="F3961" t="s">
        <v>190</v>
      </c>
      <c r="G3961" t="s">
        <v>1212</v>
      </c>
      <c r="H3961" t="s">
        <v>1213</v>
      </c>
      <c r="I3961" t="s">
        <v>1213</v>
      </c>
      <c r="J3961" t="s">
        <v>60</v>
      </c>
      <c r="K3961" t="s">
        <v>171</v>
      </c>
      <c r="L3961" t="s">
        <v>62</v>
      </c>
      <c r="M3961" t="s">
        <v>171</v>
      </c>
      <c r="N3961" t="s">
        <v>1214</v>
      </c>
      <c r="O3961" t="s">
        <v>1215</v>
      </c>
      <c r="P3961">
        <v>-20.152812999999998</v>
      </c>
      <c r="Q3961">
        <v>-44.889853000000002</v>
      </c>
      <c r="R3961" s="2" t="str">
        <f>HYPERLINK("https://www.google.com/maps?q=-20.1528130,-44.8898530","Abrir no Google Maps")</f>
        <v>Abrir no Google Maps</v>
      </c>
      <c r="S3961">
        <v>3</v>
      </c>
      <c r="T3961">
        <v>404.11054739579231</v>
      </c>
      <c r="U3961">
        <v>3</v>
      </c>
      <c r="V3961">
        <v>0.36149802895657629</v>
      </c>
      <c r="W3961">
        <v>1</v>
      </c>
      <c r="X3961">
        <v>0.36149802895657629</v>
      </c>
      <c r="Y3961">
        <v>129</v>
      </c>
      <c r="Z3961">
        <v>222.94297160630171</v>
      </c>
      <c r="AA3961">
        <v>198</v>
      </c>
      <c r="AB3961">
        <v>332</v>
      </c>
      <c r="AC3961">
        <v>536</v>
      </c>
      <c r="AD3961">
        <v>33.19</v>
      </c>
      <c r="AE3961">
        <v>542</v>
      </c>
      <c r="AF3961">
        <v>41</v>
      </c>
      <c r="AG3961">
        <v>175</v>
      </c>
      <c r="AH3961">
        <v>129</v>
      </c>
      <c r="AI3961">
        <v>7.56</v>
      </c>
      <c r="AJ3961">
        <v>32.29</v>
      </c>
      <c r="AK3961">
        <v>23.8</v>
      </c>
      <c r="AL3961">
        <v>-20.152851999999971</v>
      </c>
      <c r="AM3961">
        <v>-44.889864659228088</v>
      </c>
      <c r="AN3961">
        <v>-20.152851999999971</v>
      </c>
      <c r="AO3961">
        <v>-44.889864659228088</v>
      </c>
      <c r="AP3961">
        <v>-20.152812999999998</v>
      </c>
      <c r="AQ3961">
        <v>-44.889853000000002</v>
      </c>
      <c r="AR3961">
        <v>4.5092186597325066</v>
      </c>
      <c r="AS3961" t="s">
        <v>65</v>
      </c>
      <c r="AT3961">
        <v>1</v>
      </c>
      <c r="AU3961" t="s">
        <v>1216</v>
      </c>
      <c r="AV3961" t="s">
        <v>1217</v>
      </c>
      <c r="AW3961" t="s">
        <v>60</v>
      </c>
      <c r="AX3961" t="s">
        <v>68</v>
      </c>
      <c r="AY3961" t="s">
        <v>69</v>
      </c>
      <c r="AZ3961" t="b">
        <v>1</v>
      </c>
    </row>
    <row r="3962" spans="1:52" x14ac:dyDescent="0.3">
      <c r="A3962" t="s">
        <v>52</v>
      </c>
      <c r="B3962" t="s">
        <v>53</v>
      </c>
      <c r="C3962" t="s">
        <v>54</v>
      </c>
      <c r="D3962" t="s">
        <v>55</v>
      </c>
      <c r="E3962" t="s">
        <v>2206</v>
      </c>
      <c r="F3962" t="s">
        <v>190</v>
      </c>
      <c r="G3962" t="s">
        <v>2003</v>
      </c>
      <c r="H3962" t="s">
        <v>2004</v>
      </c>
      <c r="I3962" t="s">
        <v>2004</v>
      </c>
      <c r="J3962" t="s">
        <v>60</v>
      </c>
      <c r="K3962" t="s">
        <v>437</v>
      </c>
      <c r="L3962" t="s">
        <v>62</v>
      </c>
      <c r="M3962" t="s">
        <v>437</v>
      </c>
      <c r="N3962" t="s">
        <v>2005</v>
      </c>
      <c r="O3962" t="s">
        <v>848</v>
      </c>
      <c r="P3962">
        <v>-20.151282999999999</v>
      </c>
      <c r="Q3962">
        <v>-44.878397</v>
      </c>
      <c r="R3962" s="2" t="str">
        <f>HYPERLINK("https://www.google.com/maps?q=-20.1512830,-44.8783970","Abrir no Google Maps")</f>
        <v>Abrir no Google Maps</v>
      </c>
      <c r="S3962">
        <v>3</v>
      </c>
      <c r="T3962">
        <v>545.72865549073447</v>
      </c>
      <c r="U3962">
        <v>3</v>
      </c>
      <c r="V3962">
        <v>0.48499651028699903</v>
      </c>
      <c r="W3962">
        <v>0.85</v>
      </c>
      <c r="X3962">
        <v>0.41224703374394922</v>
      </c>
      <c r="Y3962">
        <v>120</v>
      </c>
      <c r="Z3962">
        <v>435.31127212865022</v>
      </c>
      <c r="AA3962">
        <v>198</v>
      </c>
      <c r="AB3962">
        <v>332</v>
      </c>
      <c r="AC3962">
        <v>536</v>
      </c>
      <c r="AD3962">
        <v>33.19</v>
      </c>
      <c r="AE3962">
        <v>542</v>
      </c>
      <c r="AF3962">
        <v>41</v>
      </c>
      <c r="AG3962">
        <v>175</v>
      </c>
      <c r="AH3962">
        <v>129</v>
      </c>
      <c r="AI3962">
        <v>7.56</v>
      </c>
      <c r="AJ3962">
        <v>32.29</v>
      </c>
      <c r="AK3962">
        <v>23.8</v>
      </c>
      <c r="AL3962">
        <v>-20.151758949999959</v>
      </c>
      <c r="AM3962">
        <v>-44.877545001789308</v>
      </c>
      <c r="AN3962">
        <v>-20.151758949999959</v>
      </c>
      <c r="AO3962">
        <v>-44.877545001789308</v>
      </c>
      <c r="AP3962">
        <v>-20.151282999999999</v>
      </c>
      <c r="AQ3962">
        <v>-44.878397</v>
      </c>
      <c r="AR3962">
        <v>103.60987807859161</v>
      </c>
      <c r="AS3962" t="s">
        <v>65</v>
      </c>
      <c r="AT3962">
        <v>1</v>
      </c>
      <c r="AU3962" t="s">
        <v>2006</v>
      </c>
      <c r="AV3962" t="s">
        <v>2007</v>
      </c>
      <c r="AW3962" t="s">
        <v>60</v>
      </c>
      <c r="AX3962" t="s">
        <v>68</v>
      </c>
      <c r="AY3962" t="s">
        <v>69</v>
      </c>
      <c r="AZ3962" t="b">
        <v>1</v>
      </c>
    </row>
    <row r="3963" spans="1:52" x14ac:dyDescent="0.3">
      <c r="A3963" t="s">
        <v>52</v>
      </c>
      <c r="B3963" t="s">
        <v>53</v>
      </c>
      <c r="C3963" t="s">
        <v>54</v>
      </c>
      <c r="D3963" t="s">
        <v>55</v>
      </c>
      <c r="E3963" t="s">
        <v>2206</v>
      </c>
      <c r="F3963" t="s">
        <v>190</v>
      </c>
      <c r="G3963" t="s">
        <v>2008</v>
      </c>
      <c r="H3963" t="s">
        <v>2009</v>
      </c>
      <c r="I3963" t="s">
        <v>2009</v>
      </c>
      <c r="J3963" t="s">
        <v>60</v>
      </c>
      <c r="K3963" t="s">
        <v>2010</v>
      </c>
      <c r="L3963" t="s">
        <v>62</v>
      </c>
      <c r="M3963" t="s">
        <v>2010</v>
      </c>
      <c r="N3963" t="s">
        <v>2011</v>
      </c>
      <c r="O3963" t="s">
        <v>2012</v>
      </c>
      <c r="P3963">
        <v>-20.118297999999999</v>
      </c>
      <c r="Q3963">
        <v>-44.838487999999998</v>
      </c>
      <c r="R3963" s="2" t="str">
        <f>HYPERLINK("https://www.google.com/maps?q=-20.1182980,-44.8384880","Abrir no Google Maps")</f>
        <v>Abrir no Google Maps</v>
      </c>
      <c r="S3963">
        <v>3</v>
      </c>
      <c r="T3963">
        <v>1127.69090971931</v>
      </c>
      <c r="U3963">
        <v>3</v>
      </c>
      <c r="V3963">
        <v>0.44460298871356568</v>
      </c>
      <c r="W3963">
        <v>0.85</v>
      </c>
      <c r="X3963">
        <v>0.37791254040653077</v>
      </c>
      <c r="Y3963">
        <v>118</v>
      </c>
      <c r="Z3963">
        <v>1304.1094969996529</v>
      </c>
      <c r="AA3963">
        <v>198</v>
      </c>
      <c r="AB3963">
        <v>332</v>
      </c>
      <c r="AC3963">
        <v>536</v>
      </c>
      <c r="AD3963">
        <v>33.19</v>
      </c>
      <c r="AE3963">
        <v>542</v>
      </c>
      <c r="AF3963">
        <v>41</v>
      </c>
      <c r="AG3963">
        <v>175</v>
      </c>
      <c r="AH3963">
        <v>129</v>
      </c>
      <c r="AI3963">
        <v>7.56</v>
      </c>
      <c r="AJ3963">
        <v>32.29</v>
      </c>
      <c r="AK3963">
        <v>23.8</v>
      </c>
      <c r="AL3963">
        <v>-20.118270449999951</v>
      </c>
      <c r="AM3963">
        <v>-44.838121221737303</v>
      </c>
      <c r="AN3963">
        <v>-20.118270449999951</v>
      </c>
      <c r="AO3963">
        <v>-44.838121221737303</v>
      </c>
      <c r="AP3963">
        <v>-20.118297999999999</v>
      </c>
      <c r="AQ3963">
        <v>-44.838487999999998</v>
      </c>
      <c r="AR3963">
        <v>38.460983471643253</v>
      </c>
      <c r="AS3963" t="s">
        <v>65</v>
      </c>
      <c r="AT3963">
        <v>1</v>
      </c>
      <c r="AU3963" t="s">
        <v>2013</v>
      </c>
      <c r="AV3963" t="s">
        <v>2014</v>
      </c>
      <c r="AW3963" t="s">
        <v>60</v>
      </c>
      <c r="AX3963" t="s">
        <v>68</v>
      </c>
      <c r="AY3963" t="s">
        <v>69</v>
      </c>
      <c r="AZ3963" t="b">
        <v>1</v>
      </c>
    </row>
    <row r="3964" spans="1:52" x14ac:dyDescent="0.3">
      <c r="A3964" t="s">
        <v>52</v>
      </c>
      <c r="B3964" t="s">
        <v>53</v>
      </c>
      <c r="C3964" t="s">
        <v>54</v>
      </c>
      <c r="D3964" t="s">
        <v>55</v>
      </c>
      <c r="E3964" t="s">
        <v>2206</v>
      </c>
      <c r="F3964" t="s">
        <v>190</v>
      </c>
      <c r="G3964" t="s">
        <v>2015</v>
      </c>
      <c r="H3964" t="s">
        <v>2016</v>
      </c>
      <c r="I3964" t="s">
        <v>2016</v>
      </c>
      <c r="J3964" t="s">
        <v>60</v>
      </c>
      <c r="K3964" t="s">
        <v>2010</v>
      </c>
      <c r="L3964" t="s">
        <v>62</v>
      </c>
      <c r="M3964" t="s">
        <v>2010</v>
      </c>
      <c r="N3964" t="s">
        <v>2017</v>
      </c>
      <c r="O3964" t="s">
        <v>202</v>
      </c>
      <c r="P3964">
        <v>-20.127607000000001</v>
      </c>
      <c r="Q3964">
        <v>-44.833697000000001</v>
      </c>
      <c r="R3964" s="2" t="str">
        <f>HYPERLINK("https://www.google.com/maps?q=-20.1276070,-44.8336970","Abrir no Google Maps")</f>
        <v>Abrir no Google Maps</v>
      </c>
      <c r="S3964">
        <v>3</v>
      </c>
      <c r="T3964">
        <v>313.23341761890651</v>
      </c>
      <c r="U3964">
        <v>3</v>
      </c>
      <c r="V3964">
        <v>0.48805068143024749</v>
      </c>
      <c r="W3964">
        <v>0.85</v>
      </c>
      <c r="X3964">
        <v>0.41484307921571029</v>
      </c>
      <c r="Y3964">
        <v>118</v>
      </c>
      <c r="Z3964">
        <v>357.91926098592711</v>
      </c>
      <c r="AA3964">
        <v>198</v>
      </c>
      <c r="AB3964">
        <v>332</v>
      </c>
      <c r="AC3964">
        <v>536</v>
      </c>
      <c r="AD3964">
        <v>33.19</v>
      </c>
      <c r="AE3964">
        <v>542</v>
      </c>
      <c r="AF3964">
        <v>41</v>
      </c>
      <c r="AG3964">
        <v>175</v>
      </c>
      <c r="AH3964">
        <v>129</v>
      </c>
      <c r="AI3964">
        <v>7.56</v>
      </c>
      <c r="AJ3964">
        <v>32.29</v>
      </c>
      <c r="AK3964">
        <v>23.8</v>
      </c>
      <c r="AL3964">
        <v>-20.127577799999951</v>
      </c>
      <c r="AM3964">
        <v>-44.833922781418423</v>
      </c>
      <c r="AN3964">
        <v>-20.127577799999951</v>
      </c>
      <c r="AO3964">
        <v>-44.833922781418423</v>
      </c>
      <c r="AP3964">
        <v>-20.127607000000001</v>
      </c>
      <c r="AQ3964">
        <v>-44.833697000000001</v>
      </c>
      <c r="AR3964">
        <v>23.82183710940641</v>
      </c>
      <c r="AS3964" t="s">
        <v>65</v>
      </c>
      <c r="AT3964">
        <v>1</v>
      </c>
      <c r="AU3964" t="s">
        <v>2018</v>
      </c>
      <c r="AV3964" t="s">
        <v>2019</v>
      </c>
      <c r="AW3964" t="s">
        <v>60</v>
      </c>
      <c r="AX3964" t="s">
        <v>68</v>
      </c>
      <c r="AY3964" t="s">
        <v>69</v>
      </c>
      <c r="AZ3964" t="b">
        <v>1</v>
      </c>
    </row>
    <row r="3965" spans="1:52" x14ac:dyDescent="0.3">
      <c r="A3965" t="s">
        <v>52</v>
      </c>
      <c r="B3965" t="s">
        <v>53</v>
      </c>
      <c r="C3965" t="s">
        <v>54</v>
      </c>
      <c r="D3965" t="s">
        <v>55</v>
      </c>
      <c r="E3965" t="s">
        <v>2206</v>
      </c>
      <c r="F3965" t="s">
        <v>190</v>
      </c>
      <c r="G3965" t="s">
        <v>1193</v>
      </c>
      <c r="H3965" t="s">
        <v>2020</v>
      </c>
      <c r="I3965" t="s">
        <v>2020</v>
      </c>
      <c r="J3965" t="s">
        <v>60</v>
      </c>
      <c r="K3965" t="s">
        <v>1803</v>
      </c>
      <c r="L3965" t="s">
        <v>62</v>
      </c>
      <c r="M3965" t="s">
        <v>1803</v>
      </c>
      <c r="N3965" t="s">
        <v>2021</v>
      </c>
      <c r="O3965" t="s">
        <v>2022</v>
      </c>
      <c r="P3965">
        <v>-20.131063000000001</v>
      </c>
      <c r="Q3965">
        <v>-44.835818000000003</v>
      </c>
      <c r="R3965" s="2" t="str">
        <f>HYPERLINK("https://www.google.com/maps?q=-20.1310630,-44.8358180","Abrir no Google Maps")</f>
        <v>Abrir no Google Maps</v>
      </c>
      <c r="S3965">
        <v>3</v>
      </c>
      <c r="T3965">
        <v>341.23125780909078</v>
      </c>
      <c r="U3965">
        <v>3</v>
      </c>
      <c r="V3965">
        <v>0.46998500431599333</v>
      </c>
      <c r="W3965">
        <v>0.85</v>
      </c>
      <c r="X3965">
        <v>0.39948725366859428</v>
      </c>
      <c r="Y3965">
        <v>118</v>
      </c>
      <c r="Z3965">
        <v>313.11962562154281</v>
      </c>
      <c r="AA3965">
        <v>198</v>
      </c>
      <c r="AB3965">
        <v>332</v>
      </c>
      <c r="AC3965">
        <v>536</v>
      </c>
      <c r="AD3965">
        <v>33.19</v>
      </c>
      <c r="AE3965">
        <v>542</v>
      </c>
      <c r="AF3965">
        <v>41</v>
      </c>
      <c r="AG3965">
        <v>175</v>
      </c>
      <c r="AH3965">
        <v>129</v>
      </c>
      <c r="AI3965">
        <v>7.56</v>
      </c>
      <c r="AJ3965">
        <v>32.29</v>
      </c>
      <c r="AK3965">
        <v>23.8</v>
      </c>
      <c r="AL3965">
        <v>-20.131250049999949</v>
      </c>
      <c r="AM3965">
        <v>-44.835592156063377</v>
      </c>
      <c r="AN3965">
        <v>-20.131250049999949</v>
      </c>
      <c r="AO3965">
        <v>-44.835592156063377</v>
      </c>
      <c r="AP3965">
        <v>-20.131063000000001</v>
      </c>
      <c r="AQ3965">
        <v>-44.835818000000003</v>
      </c>
      <c r="AR3965">
        <v>31.47647942151896</v>
      </c>
      <c r="AS3965" t="s">
        <v>65</v>
      </c>
      <c r="AT3965">
        <v>1</v>
      </c>
      <c r="AU3965" t="s">
        <v>2023</v>
      </c>
      <c r="AV3965" t="s">
        <v>2024</v>
      </c>
      <c r="AW3965" t="s">
        <v>60</v>
      </c>
      <c r="AX3965" t="s">
        <v>68</v>
      </c>
      <c r="AY3965" t="s">
        <v>69</v>
      </c>
      <c r="AZ3965" t="b">
        <v>1</v>
      </c>
    </row>
    <row r="3966" spans="1:52" x14ac:dyDescent="0.3">
      <c r="A3966" t="s">
        <v>52</v>
      </c>
      <c r="B3966" t="s">
        <v>53</v>
      </c>
      <c r="C3966" t="s">
        <v>54</v>
      </c>
      <c r="D3966" t="s">
        <v>55</v>
      </c>
      <c r="E3966" t="s">
        <v>2206</v>
      </c>
      <c r="F3966" t="s">
        <v>190</v>
      </c>
      <c r="G3966" t="s">
        <v>1808</v>
      </c>
      <c r="H3966" t="s">
        <v>1809</v>
      </c>
      <c r="I3966" t="s">
        <v>1809</v>
      </c>
      <c r="J3966" t="s">
        <v>60</v>
      </c>
      <c r="K3966" t="s">
        <v>1710</v>
      </c>
      <c r="L3966" t="s">
        <v>62</v>
      </c>
      <c r="M3966" t="s">
        <v>1710</v>
      </c>
      <c r="N3966" t="s">
        <v>1810</v>
      </c>
      <c r="O3966" t="s">
        <v>297</v>
      </c>
      <c r="P3966">
        <v>-20.144154</v>
      </c>
      <c r="Q3966">
        <v>-44.840567</v>
      </c>
      <c r="R3966" s="2" t="str">
        <f>HYPERLINK("https://www.google.com/maps?q=-20.1441540,-44.8405670","Abrir no Google Maps")</f>
        <v>Abrir no Google Maps</v>
      </c>
      <c r="S3966">
        <v>3</v>
      </c>
      <c r="T3966">
        <v>1790.4609200116779</v>
      </c>
      <c r="U3966">
        <v>3</v>
      </c>
      <c r="V3966">
        <v>0.44275300488025948</v>
      </c>
      <c r="W3966">
        <v>0.85</v>
      </c>
      <c r="X3966">
        <v>0.37634005414822053</v>
      </c>
      <c r="Y3966">
        <v>118</v>
      </c>
      <c r="Z3966">
        <v>1718.5674352993251</v>
      </c>
      <c r="AA3966">
        <v>198</v>
      </c>
      <c r="AB3966">
        <v>332</v>
      </c>
      <c r="AC3966">
        <v>536</v>
      </c>
      <c r="AD3966">
        <v>33.19</v>
      </c>
      <c r="AE3966">
        <v>542</v>
      </c>
      <c r="AF3966">
        <v>41</v>
      </c>
      <c r="AG3966">
        <v>175</v>
      </c>
      <c r="AH3966">
        <v>129</v>
      </c>
      <c r="AI3966">
        <v>7.56</v>
      </c>
      <c r="AJ3966">
        <v>32.29</v>
      </c>
      <c r="AK3966">
        <v>23.8</v>
      </c>
      <c r="AL3966">
        <v>-20.144149799999951</v>
      </c>
      <c r="AM3966">
        <v>-44.840643310374091</v>
      </c>
      <c r="AN3966">
        <v>-20.144149799999951</v>
      </c>
      <c r="AO3966">
        <v>-44.840643310374091</v>
      </c>
      <c r="AP3966">
        <v>-20.144154</v>
      </c>
      <c r="AQ3966">
        <v>-44.840567</v>
      </c>
      <c r="AR3966">
        <v>7.9889254965004346</v>
      </c>
      <c r="AS3966" t="s">
        <v>65</v>
      </c>
      <c r="AT3966">
        <v>1</v>
      </c>
      <c r="AU3966" t="s">
        <v>1811</v>
      </c>
      <c r="AV3966" t="s">
        <v>1812</v>
      </c>
      <c r="AW3966" t="s">
        <v>60</v>
      </c>
      <c r="AX3966" t="s">
        <v>68</v>
      </c>
      <c r="AY3966" t="s">
        <v>69</v>
      </c>
      <c r="AZ3966" t="b">
        <v>1</v>
      </c>
    </row>
    <row r="3967" spans="1:52" x14ac:dyDescent="0.3">
      <c r="A3967" t="s">
        <v>52</v>
      </c>
      <c r="B3967" t="s">
        <v>53</v>
      </c>
      <c r="C3967" t="s">
        <v>54</v>
      </c>
      <c r="D3967" t="s">
        <v>55</v>
      </c>
      <c r="E3967" t="s">
        <v>2206</v>
      </c>
      <c r="F3967" t="s">
        <v>190</v>
      </c>
      <c r="G3967" t="s">
        <v>2034</v>
      </c>
      <c r="H3967" t="s">
        <v>2035</v>
      </c>
      <c r="I3967" t="s">
        <v>2035</v>
      </c>
      <c r="J3967" t="s">
        <v>60</v>
      </c>
      <c r="K3967" t="s">
        <v>2036</v>
      </c>
      <c r="L3967" t="s">
        <v>62</v>
      </c>
      <c r="M3967" t="s">
        <v>2036</v>
      </c>
      <c r="N3967" t="s">
        <v>2037</v>
      </c>
      <c r="O3967" t="s">
        <v>2038</v>
      </c>
      <c r="P3967">
        <v>-20.187795999999999</v>
      </c>
      <c r="Q3967">
        <v>-44.950932999999999</v>
      </c>
      <c r="R3967" s="2" t="str">
        <f>HYPERLINK("https://www.google.com/maps?q=-20.1877960,-44.9509330","Abrir no Google Maps")</f>
        <v>Abrir no Google Maps</v>
      </c>
      <c r="S3967">
        <v>3</v>
      </c>
      <c r="T3967">
        <v>1422.0314004446971</v>
      </c>
      <c r="U3967">
        <v>3</v>
      </c>
      <c r="V3967">
        <v>0.44474308579173849</v>
      </c>
      <c r="W3967">
        <v>0.85</v>
      </c>
      <c r="X3967">
        <v>0.37803162292297771</v>
      </c>
      <c r="Y3967">
        <v>113</v>
      </c>
      <c r="Z3967">
        <v>1408.9974407319651</v>
      </c>
      <c r="AA3967">
        <v>198</v>
      </c>
      <c r="AB3967">
        <v>332</v>
      </c>
      <c r="AC3967">
        <v>536</v>
      </c>
      <c r="AD3967">
        <v>33.19</v>
      </c>
      <c r="AE3967">
        <v>542</v>
      </c>
      <c r="AF3967">
        <v>41</v>
      </c>
      <c r="AG3967">
        <v>175</v>
      </c>
      <c r="AH3967">
        <v>129</v>
      </c>
      <c r="AI3967">
        <v>7.56</v>
      </c>
      <c r="AJ3967">
        <v>32.29</v>
      </c>
      <c r="AK3967">
        <v>23.8</v>
      </c>
      <c r="AL3967">
        <v>-20.187850249999968</v>
      </c>
      <c r="AM3967">
        <v>-44.951024485175793</v>
      </c>
      <c r="AN3967">
        <v>-20.187850249999968</v>
      </c>
      <c r="AO3967">
        <v>-44.951024485175793</v>
      </c>
      <c r="AP3967">
        <v>-20.187795999999999</v>
      </c>
      <c r="AQ3967">
        <v>-44.950932999999999</v>
      </c>
      <c r="AR3967">
        <v>11.30643151318464</v>
      </c>
      <c r="AS3967" t="s">
        <v>65</v>
      </c>
      <c r="AT3967">
        <v>1</v>
      </c>
      <c r="AU3967" t="s">
        <v>2039</v>
      </c>
      <c r="AV3967" t="s">
        <v>2040</v>
      </c>
      <c r="AW3967" t="s">
        <v>60</v>
      </c>
      <c r="AX3967" t="s">
        <v>68</v>
      </c>
      <c r="AY3967" t="s">
        <v>69</v>
      </c>
      <c r="AZ3967" t="b">
        <v>1</v>
      </c>
    </row>
    <row r="3968" spans="1:52" x14ac:dyDescent="0.3">
      <c r="A3968" t="s">
        <v>52</v>
      </c>
      <c r="B3968" t="s">
        <v>53</v>
      </c>
      <c r="C3968" t="s">
        <v>54</v>
      </c>
      <c r="D3968" t="s">
        <v>55</v>
      </c>
      <c r="E3968" t="s">
        <v>2206</v>
      </c>
      <c r="F3968" t="s">
        <v>190</v>
      </c>
      <c r="G3968" t="s">
        <v>2041</v>
      </c>
      <c r="H3968" t="s">
        <v>2042</v>
      </c>
      <c r="I3968" t="s">
        <v>2042</v>
      </c>
      <c r="J3968" t="s">
        <v>60</v>
      </c>
      <c r="K3968" t="s">
        <v>2043</v>
      </c>
      <c r="L3968" t="s">
        <v>62</v>
      </c>
      <c r="M3968" t="s">
        <v>2043</v>
      </c>
      <c r="N3968" t="s">
        <v>2044</v>
      </c>
      <c r="O3968" t="s">
        <v>315</v>
      </c>
      <c r="P3968">
        <v>-20.188009999999998</v>
      </c>
      <c r="Q3968">
        <v>-44.977105999999999</v>
      </c>
      <c r="R3968" s="2" t="str">
        <f>HYPERLINK("https://www.google.com/maps?q=-20.1880100,-44.9771060","Abrir no Google Maps")</f>
        <v>Abrir no Google Maps</v>
      </c>
      <c r="S3968">
        <v>3</v>
      </c>
      <c r="T3968">
        <v>4071.843125038275</v>
      </c>
      <c r="U3968">
        <v>3</v>
      </c>
      <c r="V3968">
        <v>0.42683331865357232</v>
      </c>
      <c r="W3968">
        <v>0.85</v>
      </c>
      <c r="X3968">
        <v>0.36280832085553649</v>
      </c>
      <c r="Y3968">
        <v>113</v>
      </c>
      <c r="Z3968">
        <v>3944.416275976987</v>
      </c>
      <c r="AA3968">
        <v>198</v>
      </c>
      <c r="AB3968">
        <v>332</v>
      </c>
      <c r="AC3968">
        <v>536</v>
      </c>
      <c r="AD3968">
        <v>33.19</v>
      </c>
      <c r="AE3968">
        <v>542</v>
      </c>
      <c r="AF3968">
        <v>41</v>
      </c>
      <c r="AG3968">
        <v>175</v>
      </c>
      <c r="AH3968">
        <v>129</v>
      </c>
      <c r="AI3968">
        <v>7.56</v>
      </c>
      <c r="AJ3968">
        <v>32.29</v>
      </c>
      <c r="AK3968">
        <v>23.8</v>
      </c>
      <c r="AL3968">
        <v>-20.18816804999997</v>
      </c>
      <c r="AM3968">
        <v>-44.976912393565307</v>
      </c>
      <c r="AN3968">
        <v>-20.18816804999997</v>
      </c>
      <c r="AO3968">
        <v>-44.976912393565307</v>
      </c>
      <c r="AP3968">
        <v>-20.188009999999998</v>
      </c>
      <c r="AQ3968">
        <v>-44.977105999999999</v>
      </c>
      <c r="AR3968">
        <v>26.809194929544319</v>
      </c>
      <c r="AS3968" t="s">
        <v>65</v>
      </c>
      <c r="AT3968">
        <v>1</v>
      </c>
      <c r="AU3968" t="s">
        <v>2045</v>
      </c>
      <c r="AV3968" t="s">
        <v>2046</v>
      </c>
      <c r="AW3968" t="s">
        <v>60</v>
      </c>
      <c r="AX3968" t="s">
        <v>68</v>
      </c>
      <c r="AY3968" t="s">
        <v>69</v>
      </c>
      <c r="AZ3968" t="b">
        <v>1</v>
      </c>
    </row>
    <row r="3969" spans="1:52" x14ac:dyDescent="0.3">
      <c r="A3969" t="s">
        <v>52</v>
      </c>
      <c r="B3969" t="s">
        <v>53</v>
      </c>
      <c r="C3969" t="s">
        <v>54</v>
      </c>
      <c r="D3969" t="s">
        <v>55</v>
      </c>
      <c r="E3969" t="s">
        <v>2206</v>
      </c>
      <c r="F3969" t="s">
        <v>190</v>
      </c>
      <c r="G3969" t="s">
        <v>2051</v>
      </c>
      <c r="H3969" t="s">
        <v>2052</v>
      </c>
      <c r="I3969" t="s">
        <v>2052</v>
      </c>
      <c r="J3969" t="s">
        <v>60</v>
      </c>
      <c r="K3969" t="s">
        <v>2053</v>
      </c>
      <c r="L3969" t="s">
        <v>62</v>
      </c>
      <c r="M3969" t="s">
        <v>2053</v>
      </c>
      <c r="N3969" t="s">
        <v>2054</v>
      </c>
      <c r="O3969" t="s">
        <v>1373</v>
      </c>
      <c r="P3969">
        <v>-20.199961999999999</v>
      </c>
      <c r="Q3969">
        <v>-44.924002999999999</v>
      </c>
      <c r="R3969" s="2" t="str">
        <f>HYPERLINK("https://www.google.com/maps?q=-20.1999620,-44.9240030","Abrir no Google Maps")</f>
        <v>Abrir no Google Maps</v>
      </c>
      <c r="S3969">
        <v>3</v>
      </c>
      <c r="T3969">
        <v>1745.0796238990249</v>
      </c>
      <c r="U3969">
        <v>3</v>
      </c>
      <c r="V3969">
        <v>0.4619349940537214</v>
      </c>
      <c r="W3969">
        <v>0.85</v>
      </c>
      <c r="X3969">
        <v>0.3926447449456632</v>
      </c>
      <c r="Y3969">
        <v>113</v>
      </c>
      <c r="Z3969">
        <v>1847.2276352920239</v>
      </c>
      <c r="AA3969">
        <v>198</v>
      </c>
      <c r="AB3969">
        <v>332</v>
      </c>
      <c r="AC3969">
        <v>536</v>
      </c>
      <c r="AD3969">
        <v>33.19</v>
      </c>
      <c r="AE3969">
        <v>542</v>
      </c>
      <c r="AF3969">
        <v>41</v>
      </c>
      <c r="AG3969">
        <v>175</v>
      </c>
      <c r="AH3969">
        <v>129</v>
      </c>
      <c r="AI3969">
        <v>7.56</v>
      </c>
      <c r="AJ3969">
        <v>32.29</v>
      </c>
      <c r="AK3969">
        <v>23.8</v>
      </c>
      <c r="AL3969">
        <v>-20.20027129999994</v>
      </c>
      <c r="AM3969">
        <v>-44.923912195320469</v>
      </c>
      <c r="AN3969">
        <v>-20.20027129999994</v>
      </c>
      <c r="AO3969">
        <v>-44.923912195320469</v>
      </c>
      <c r="AP3969">
        <v>-20.199961999999999</v>
      </c>
      <c r="AQ3969">
        <v>-44.924002999999999</v>
      </c>
      <c r="AR3969">
        <v>35.714266260335641</v>
      </c>
      <c r="AS3969" t="s">
        <v>65</v>
      </c>
      <c r="AT3969">
        <v>1</v>
      </c>
      <c r="AU3969" t="s">
        <v>2055</v>
      </c>
      <c r="AV3969" t="s">
        <v>2056</v>
      </c>
      <c r="AW3969" t="s">
        <v>60</v>
      </c>
      <c r="AX3969" t="s">
        <v>68</v>
      </c>
      <c r="AY3969" t="s">
        <v>69</v>
      </c>
      <c r="AZ3969" t="b">
        <v>1</v>
      </c>
    </row>
    <row r="3970" spans="1:52" x14ac:dyDescent="0.3">
      <c r="A3970" t="s">
        <v>52</v>
      </c>
      <c r="B3970" t="s">
        <v>53</v>
      </c>
      <c r="C3970" t="s">
        <v>54</v>
      </c>
      <c r="D3970" t="s">
        <v>55</v>
      </c>
      <c r="E3970" t="s">
        <v>2206</v>
      </c>
      <c r="F3970" t="s">
        <v>190</v>
      </c>
      <c r="G3970" t="s">
        <v>2062</v>
      </c>
      <c r="H3970" t="s">
        <v>2063</v>
      </c>
      <c r="I3970" t="s">
        <v>2063</v>
      </c>
      <c r="J3970" t="s">
        <v>60</v>
      </c>
      <c r="K3970" t="s">
        <v>1237</v>
      </c>
      <c r="L3970" t="s">
        <v>62</v>
      </c>
      <c r="M3970" t="s">
        <v>1237</v>
      </c>
      <c r="N3970" t="s">
        <v>2064</v>
      </c>
      <c r="O3970" t="s">
        <v>2065</v>
      </c>
      <c r="P3970">
        <v>-20.199923999999999</v>
      </c>
      <c r="Q3970">
        <v>-44.945999999999998</v>
      </c>
      <c r="R3970" s="2" t="str">
        <f>HYPERLINK("https://www.google.com/maps?q=-20.1999240,-44.9460000","Abrir no Google Maps")</f>
        <v>Abrir no Google Maps</v>
      </c>
      <c r="S3970">
        <v>3</v>
      </c>
      <c r="T3970">
        <v>1216.1967888086051</v>
      </c>
      <c r="U3970">
        <v>3</v>
      </c>
      <c r="V3970">
        <v>0.46934272527780158</v>
      </c>
      <c r="W3970">
        <v>0.85</v>
      </c>
      <c r="X3970">
        <v>0.39894131648613129</v>
      </c>
      <c r="Y3970">
        <v>113</v>
      </c>
      <c r="Z3970">
        <v>968.58538409204391</v>
      </c>
      <c r="AA3970">
        <v>198</v>
      </c>
      <c r="AB3970">
        <v>332</v>
      </c>
      <c r="AC3970">
        <v>536</v>
      </c>
      <c r="AD3970">
        <v>33.19</v>
      </c>
      <c r="AE3970">
        <v>542</v>
      </c>
      <c r="AF3970">
        <v>41</v>
      </c>
      <c r="AG3970">
        <v>175</v>
      </c>
      <c r="AH3970">
        <v>129</v>
      </c>
      <c r="AI3970">
        <v>7.56</v>
      </c>
      <c r="AJ3970">
        <v>32.29</v>
      </c>
      <c r="AK3970">
        <v>23.8</v>
      </c>
      <c r="AL3970">
        <v>-20.199893249999949</v>
      </c>
      <c r="AM3970">
        <v>-44.946291931421001</v>
      </c>
      <c r="AN3970">
        <v>-20.199893249999949</v>
      </c>
      <c r="AO3970">
        <v>-44.946291931421001</v>
      </c>
      <c r="AP3970">
        <v>-20.199923999999999</v>
      </c>
      <c r="AQ3970">
        <v>-44.945999999999998</v>
      </c>
      <c r="AR3970">
        <v>30.690481010373571</v>
      </c>
      <c r="AS3970" t="s">
        <v>65</v>
      </c>
      <c r="AT3970">
        <v>1</v>
      </c>
      <c r="AU3970" t="s">
        <v>2066</v>
      </c>
      <c r="AV3970" t="s">
        <v>2067</v>
      </c>
      <c r="AW3970" t="s">
        <v>60</v>
      </c>
      <c r="AX3970" t="s">
        <v>68</v>
      </c>
      <c r="AY3970" t="s">
        <v>69</v>
      </c>
      <c r="AZ3970" t="b">
        <v>1</v>
      </c>
    </row>
    <row r="3971" spans="1:52" x14ac:dyDescent="0.3">
      <c r="A3971" t="s">
        <v>52</v>
      </c>
      <c r="B3971" t="s">
        <v>53</v>
      </c>
      <c r="C3971" t="s">
        <v>54</v>
      </c>
      <c r="D3971" t="s">
        <v>55</v>
      </c>
      <c r="E3971" t="s">
        <v>2206</v>
      </c>
      <c r="F3971" t="s">
        <v>190</v>
      </c>
      <c r="G3971" t="s">
        <v>2074</v>
      </c>
      <c r="H3971" t="s">
        <v>2075</v>
      </c>
      <c r="I3971" t="s">
        <v>2075</v>
      </c>
      <c r="J3971" t="s">
        <v>60</v>
      </c>
      <c r="K3971" t="s">
        <v>1314</v>
      </c>
      <c r="L3971" t="s">
        <v>62</v>
      </c>
      <c r="M3971" t="s">
        <v>1314</v>
      </c>
      <c r="N3971" t="s">
        <v>2076</v>
      </c>
      <c r="O3971" t="s">
        <v>2077</v>
      </c>
      <c r="P3971">
        <v>-20.176835000000001</v>
      </c>
      <c r="Q3971">
        <v>-44.930950000000003</v>
      </c>
      <c r="R3971" s="2" t="str">
        <f>HYPERLINK("https://www.google.com/maps?q=-20.1768350,-44.9309500","Abrir no Google Maps")</f>
        <v>Abrir no Google Maps</v>
      </c>
      <c r="S3971">
        <v>3</v>
      </c>
      <c r="T3971">
        <v>1806.8580939436499</v>
      </c>
      <c r="U3971">
        <v>3</v>
      </c>
      <c r="V3971">
        <v>0.4543955406692356</v>
      </c>
      <c r="W3971">
        <v>0.85</v>
      </c>
      <c r="X3971">
        <v>0.38623620956885019</v>
      </c>
      <c r="Y3971">
        <v>113</v>
      </c>
      <c r="Z3971">
        <v>1921.313394530237</v>
      </c>
      <c r="AA3971">
        <v>198</v>
      </c>
      <c r="AB3971">
        <v>332</v>
      </c>
      <c r="AC3971">
        <v>536</v>
      </c>
      <c r="AD3971">
        <v>33.19</v>
      </c>
      <c r="AE3971">
        <v>542</v>
      </c>
      <c r="AF3971">
        <v>41</v>
      </c>
      <c r="AG3971">
        <v>175</v>
      </c>
      <c r="AH3971">
        <v>129</v>
      </c>
      <c r="AI3971">
        <v>7.56</v>
      </c>
      <c r="AJ3971">
        <v>32.29</v>
      </c>
      <c r="AK3971">
        <v>23.8</v>
      </c>
      <c r="AL3971">
        <v>-20.17717879999995</v>
      </c>
      <c r="AM3971">
        <v>-44.930977454083752</v>
      </c>
      <c r="AN3971">
        <v>-20.17717879999995</v>
      </c>
      <c r="AO3971">
        <v>-44.930977454083752</v>
      </c>
      <c r="AP3971">
        <v>-20.176835000000001</v>
      </c>
      <c r="AQ3971">
        <v>-44.930950000000003</v>
      </c>
      <c r="AR3971">
        <v>38.379173360223952</v>
      </c>
      <c r="AS3971" t="s">
        <v>65</v>
      </c>
      <c r="AT3971">
        <v>1</v>
      </c>
      <c r="AU3971" t="s">
        <v>2078</v>
      </c>
      <c r="AV3971" t="s">
        <v>1553</v>
      </c>
      <c r="AW3971" t="s">
        <v>60</v>
      </c>
      <c r="AX3971" t="s">
        <v>68</v>
      </c>
      <c r="AY3971" t="s">
        <v>69</v>
      </c>
      <c r="AZ3971" t="b">
        <v>1</v>
      </c>
    </row>
    <row r="3972" spans="1:52" x14ac:dyDescent="0.3">
      <c r="A3972" t="s">
        <v>52</v>
      </c>
      <c r="B3972" t="s">
        <v>53</v>
      </c>
      <c r="C3972" t="s">
        <v>54</v>
      </c>
      <c r="D3972" t="s">
        <v>55</v>
      </c>
      <c r="E3972" t="s">
        <v>2206</v>
      </c>
      <c r="F3972" t="s">
        <v>190</v>
      </c>
      <c r="G3972" t="s">
        <v>2079</v>
      </c>
      <c r="H3972" t="s">
        <v>2080</v>
      </c>
      <c r="I3972" t="s">
        <v>2080</v>
      </c>
      <c r="J3972" t="s">
        <v>60</v>
      </c>
      <c r="K3972" t="s">
        <v>1243</v>
      </c>
      <c r="L3972" t="s">
        <v>62</v>
      </c>
      <c r="M3972" t="s">
        <v>1243</v>
      </c>
      <c r="N3972" t="s">
        <v>2081</v>
      </c>
      <c r="O3972" t="s">
        <v>2082</v>
      </c>
      <c r="P3972">
        <v>-20.192271000000002</v>
      </c>
      <c r="Q3972">
        <v>-44.938338999999999</v>
      </c>
      <c r="R3972" s="2" t="str">
        <f>HYPERLINK("https://www.google.com/maps?q=-20.1922710,-44.9383390","Abrir no Google Maps")</f>
        <v>Abrir no Google Maps</v>
      </c>
      <c r="S3972">
        <v>3</v>
      </c>
      <c r="T3972">
        <v>0</v>
      </c>
      <c r="U3972">
        <v>3</v>
      </c>
      <c r="V3972">
        <v>0.4612941327139336</v>
      </c>
      <c r="W3972">
        <v>0.85</v>
      </c>
      <c r="X3972">
        <v>0.39210001280684348</v>
      </c>
      <c r="Y3972">
        <v>113</v>
      </c>
      <c r="Z3972">
        <v>189.74224055455261</v>
      </c>
      <c r="AA3972">
        <v>198</v>
      </c>
      <c r="AB3972">
        <v>332</v>
      </c>
      <c r="AC3972">
        <v>536</v>
      </c>
      <c r="AD3972">
        <v>33.19</v>
      </c>
      <c r="AE3972">
        <v>542</v>
      </c>
      <c r="AF3972">
        <v>41</v>
      </c>
      <c r="AG3972">
        <v>175</v>
      </c>
      <c r="AH3972">
        <v>129</v>
      </c>
      <c r="AI3972">
        <v>7.56</v>
      </c>
      <c r="AJ3972">
        <v>32.29</v>
      </c>
      <c r="AK3972">
        <v>23.8</v>
      </c>
      <c r="AL3972">
        <v>-20.19203359999997</v>
      </c>
      <c r="AM3972">
        <v>-44.938155258198137</v>
      </c>
      <c r="AN3972">
        <v>-20.192033599999981</v>
      </c>
      <c r="AO3972">
        <v>-44.938155258198137</v>
      </c>
      <c r="AP3972">
        <v>-20.192271000000002</v>
      </c>
      <c r="AQ3972">
        <v>-44.938338999999999</v>
      </c>
      <c r="AR3972">
        <v>32.663931097584417</v>
      </c>
      <c r="AS3972" t="s">
        <v>65</v>
      </c>
      <c r="AT3972">
        <v>1</v>
      </c>
      <c r="AU3972" t="s">
        <v>2083</v>
      </c>
      <c r="AV3972" t="s">
        <v>1849</v>
      </c>
      <c r="AW3972" t="s">
        <v>60</v>
      </c>
      <c r="AX3972" t="s">
        <v>68</v>
      </c>
      <c r="AY3972" t="s">
        <v>69</v>
      </c>
      <c r="AZ3972" t="b">
        <v>1</v>
      </c>
    </row>
    <row r="3973" spans="1:52" x14ac:dyDescent="0.3">
      <c r="A3973" t="s">
        <v>52</v>
      </c>
      <c r="B3973" t="s">
        <v>53</v>
      </c>
      <c r="C3973" t="s">
        <v>54</v>
      </c>
      <c r="D3973" t="s">
        <v>55</v>
      </c>
      <c r="E3973" t="s">
        <v>2206</v>
      </c>
      <c r="F3973" t="s">
        <v>1247</v>
      </c>
      <c r="G3973" t="s">
        <v>191</v>
      </c>
      <c r="H3973" t="s">
        <v>192</v>
      </c>
      <c r="I3973" t="s">
        <v>192</v>
      </c>
      <c r="J3973" t="s">
        <v>60</v>
      </c>
      <c r="K3973" t="s">
        <v>193</v>
      </c>
      <c r="L3973" t="s">
        <v>62</v>
      </c>
      <c r="M3973" t="s">
        <v>193</v>
      </c>
      <c r="N3973" t="s">
        <v>194</v>
      </c>
      <c r="O3973" t="s">
        <v>195</v>
      </c>
      <c r="P3973">
        <v>-20.143266000000001</v>
      </c>
      <c r="Q3973">
        <v>-44.912075000000002</v>
      </c>
      <c r="R3973" s="2" t="str">
        <f>HYPERLINK("https://www.google.com/maps?q=-20.1432660,-44.9120750","Abrir no Google Maps")</f>
        <v>Abrir no Google Maps</v>
      </c>
      <c r="S3973">
        <v>4</v>
      </c>
      <c r="T3973">
        <v>467.04339396175408</v>
      </c>
      <c r="U3973">
        <v>3</v>
      </c>
      <c r="V3973">
        <v>0.38668628570793911</v>
      </c>
      <c r="W3973">
        <v>1</v>
      </c>
      <c r="X3973">
        <v>0.38668628570793911</v>
      </c>
      <c r="Y3973">
        <v>747</v>
      </c>
      <c r="Z3973">
        <v>585.1742452866996</v>
      </c>
      <c r="AA3973">
        <v>198</v>
      </c>
      <c r="AB3973">
        <v>332</v>
      </c>
      <c r="AC3973">
        <v>536</v>
      </c>
      <c r="AD3973">
        <v>33.19</v>
      </c>
      <c r="AE3973">
        <v>542</v>
      </c>
      <c r="AF3973">
        <v>41</v>
      </c>
      <c r="AG3973">
        <v>175</v>
      </c>
      <c r="AH3973">
        <v>129</v>
      </c>
      <c r="AI3973">
        <v>7.56</v>
      </c>
      <c r="AJ3973">
        <v>32.29</v>
      </c>
      <c r="AK3973">
        <v>23.8</v>
      </c>
      <c r="AL3973">
        <v>-20.143307949999951</v>
      </c>
      <c r="AM3973">
        <v>-44.912066629431067</v>
      </c>
      <c r="AN3973">
        <v>-20.143307949999951</v>
      </c>
      <c r="AO3973">
        <v>-44.912066629431067</v>
      </c>
      <c r="AP3973">
        <v>-20.143266000000001</v>
      </c>
      <c r="AQ3973">
        <v>-44.912075000000002</v>
      </c>
      <c r="AR3973">
        <v>4.751108024498329</v>
      </c>
      <c r="AS3973" t="s">
        <v>65</v>
      </c>
      <c r="AT3973">
        <v>1</v>
      </c>
      <c r="AU3973" t="s">
        <v>196</v>
      </c>
      <c r="AV3973" t="s">
        <v>197</v>
      </c>
      <c r="AW3973" t="s">
        <v>60</v>
      </c>
      <c r="AX3973" t="s">
        <v>68</v>
      </c>
      <c r="AY3973" t="s">
        <v>69</v>
      </c>
      <c r="AZ3973" t="b">
        <v>1</v>
      </c>
    </row>
    <row r="3974" spans="1:52" x14ac:dyDescent="0.3">
      <c r="A3974" t="s">
        <v>52</v>
      </c>
      <c r="B3974" t="s">
        <v>53</v>
      </c>
      <c r="C3974" t="s">
        <v>54</v>
      </c>
      <c r="D3974" t="s">
        <v>55</v>
      </c>
      <c r="E3974" t="s">
        <v>2206</v>
      </c>
      <c r="F3974" t="s">
        <v>1247</v>
      </c>
      <c r="G3974" t="s">
        <v>1248</v>
      </c>
      <c r="H3974" t="s">
        <v>1249</v>
      </c>
      <c r="I3974" t="s">
        <v>1249</v>
      </c>
      <c r="J3974" t="s">
        <v>60</v>
      </c>
      <c r="K3974" t="s">
        <v>61</v>
      </c>
      <c r="L3974" t="s">
        <v>62</v>
      </c>
      <c r="M3974" t="s">
        <v>61</v>
      </c>
      <c r="N3974" t="s">
        <v>1250</v>
      </c>
      <c r="O3974" t="s">
        <v>202</v>
      </c>
      <c r="P3974">
        <v>-20.145337999999999</v>
      </c>
      <c r="Q3974">
        <v>-44.906260000000003</v>
      </c>
      <c r="R3974" s="2" t="str">
        <f>HYPERLINK("https://www.google.com/maps?q=-20.1453380,-44.9062600","Abrir no Google Maps")</f>
        <v>Abrir no Google Maps</v>
      </c>
      <c r="S3974">
        <v>4</v>
      </c>
      <c r="T3974">
        <v>231.8105263092443</v>
      </c>
      <c r="U3974">
        <v>3</v>
      </c>
      <c r="V3974">
        <v>0.43733073809605361</v>
      </c>
      <c r="W3974">
        <v>0.85</v>
      </c>
      <c r="X3974">
        <v>0.37173112738164549</v>
      </c>
      <c r="Y3974">
        <v>747</v>
      </c>
      <c r="Z3974">
        <v>210.09098260239841</v>
      </c>
      <c r="AA3974">
        <v>198</v>
      </c>
      <c r="AB3974">
        <v>332</v>
      </c>
      <c r="AC3974">
        <v>536</v>
      </c>
      <c r="AD3974">
        <v>33.19</v>
      </c>
      <c r="AE3974">
        <v>542</v>
      </c>
      <c r="AF3974">
        <v>41</v>
      </c>
      <c r="AG3974">
        <v>175</v>
      </c>
      <c r="AH3974">
        <v>129</v>
      </c>
      <c r="AI3974">
        <v>7.56</v>
      </c>
      <c r="AJ3974">
        <v>32.29</v>
      </c>
      <c r="AK3974">
        <v>23.8</v>
      </c>
      <c r="AL3974">
        <v>-20.14545934999995</v>
      </c>
      <c r="AM3974">
        <v>-44.906243174283489</v>
      </c>
      <c r="AN3974">
        <v>-20.14545934999995</v>
      </c>
      <c r="AO3974">
        <v>-44.906243174283489</v>
      </c>
      <c r="AP3974">
        <v>-20.145337999999999</v>
      </c>
      <c r="AQ3974">
        <v>-44.906260000000003</v>
      </c>
      <c r="AR3974">
        <v>13.622651392262521</v>
      </c>
      <c r="AS3974" t="s">
        <v>65</v>
      </c>
      <c r="AT3974">
        <v>1</v>
      </c>
      <c r="AU3974" t="s">
        <v>1251</v>
      </c>
      <c r="AV3974" t="s">
        <v>1252</v>
      </c>
      <c r="AW3974" t="s">
        <v>60</v>
      </c>
      <c r="AX3974" t="s">
        <v>68</v>
      </c>
      <c r="AY3974" t="s">
        <v>69</v>
      </c>
      <c r="AZ3974" t="b">
        <v>1</v>
      </c>
    </row>
    <row r="3975" spans="1:52" x14ac:dyDescent="0.3">
      <c r="A3975" t="s">
        <v>52</v>
      </c>
      <c r="B3975" t="s">
        <v>53</v>
      </c>
      <c r="C3975" t="s">
        <v>54</v>
      </c>
      <c r="D3975" t="s">
        <v>55</v>
      </c>
      <c r="E3975" t="s">
        <v>2206</v>
      </c>
      <c r="F3975" t="s">
        <v>1247</v>
      </c>
      <c r="G3975" t="s">
        <v>83</v>
      </c>
      <c r="H3975" t="s">
        <v>84</v>
      </c>
      <c r="I3975" t="s">
        <v>84</v>
      </c>
      <c r="J3975" t="s">
        <v>60</v>
      </c>
      <c r="K3975" t="s">
        <v>61</v>
      </c>
      <c r="L3975" t="s">
        <v>62</v>
      </c>
      <c r="M3975" t="s">
        <v>61</v>
      </c>
      <c r="N3975" t="s">
        <v>85</v>
      </c>
      <c r="O3975" t="s">
        <v>86</v>
      </c>
      <c r="P3975">
        <v>-20.149799000000002</v>
      </c>
      <c r="Q3975">
        <v>-44.906517000000001</v>
      </c>
      <c r="R3975" s="2" t="str">
        <f>HYPERLINK("https://www.google.com/maps?q=-20.1497990,-44.9065170","Abrir no Google Maps")</f>
        <v>Abrir no Google Maps</v>
      </c>
      <c r="S3975">
        <v>4</v>
      </c>
      <c r="T3975">
        <v>487.90051105537998</v>
      </c>
      <c r="U3975">
        <v>3</v>
      </c>
      <c r="V3975">
        <v>0.35988678074732389</v>
      </c>
      <c r="W3975">
        <v>1</v>
      </c>
      <c r="X3975">
        <v>0.35988678074732389</v>
      </c>
      <c r="Y3975">
        <v>747</v>
      </c>
      <c r="Z3975">
        <v>365.93785960107078</v>
      </c>
      <c r="AA3975">
        <v>198</v>
      </c>
      <c r="AB3975">
        <v>332</v>
      </c>
      <c r="AC3975">
        <v>536</v>
      </c>
      <c r="AD3975">
        <v>33.19</v>
      </c>
      <c r="AE3975">
        <v>542</v>
      </c>
      <c r="AF3975">
        <v>41</v>
      </c>
      <c r="AG3975">
        <v>175</v>
      </c>
      <c r="AH3975">
        <v>129</v>
      </c>
      <c r="AI3975">
        <v>7.56</v>
      </c>
      <c r="AJ3975">
        <v>32.29</v>
      </c>
      <c r="AK3975">
        <v>23.8</v>
      </c>
      <c r="AL3975">
        <v>-20.149879599999959</v>
      </c>
      <c r="AM3975">
        <v>-44.906746466068469</v>
      </c>
      <c r="AN3975">
        <v>-20.149879599999959</v>
      </c>
      <c r="AO3975">
        <v>-44.906746466068469</v>
      </c>
      <c r="AP3975">
        <v>-20.149799000000002</v>
      </c>
      <c r="AQ3975">
        <v>-44.906517000000001</v>
      </c>
      <c r="AR3975">
        <v>25.604276856970429</v>
      </c>
      <c r="AS3975" t="s">
        <v>65</v>
      </c>
      <c r="AT3975">
        <v>1</v>
      </c>
      <c r="AU3975" t="s">
        <v>87</v>
      </c>
      <c r="AV3975" t="s">
        <v>88</v>
      </c>
      <c r="AW3975" t="s">
        <v>60</v>
      </c>
      <c r="AX3975" t="s">
        <v>68</v>
      </c>
      <c r="AY3975" t="s">
        <v>69</v>
      </c>
      <c r="AZ3975" t="b">
        <v>1</v>
      </c>
    </row>
    <row r="3976" spans="1:52" x14ac:dyDescent="0.3">
      <c r="A3976" t="s">
        <v>52</v>
      </c>
      <c r="B3976" t="s">
        <v>53</v>
      </c>
      <c r="C3976" t="s">
        <v>54</v>
      </c>
      <c r="D3976" t="s">
        <v>55</v>
      </c>
      <c r="E3976" t="s">
        <v>2206</v>
      </c>
      <c r="F3976" t="s">
        <v>1247</v>
      </c>
      <c r="G3976" t="s">
        <v>58</v>
      </c>
      <c r="H3976" t="s">
        <v>59</v>
      </c>
      <c r="I3976" t="s">
        <v>59</v>
      </c>
      <c r="J3976" t="s">
        <v>60</v>
      </c>
      <c r="K3976" t="s">
        <v>61</v>
      </c>
      <c r="L3976" t="s">
        <v>62</v>
      </c>
      <c r="M3976" t="s">
        <v>61</v>
      </c>
      <c r="N3976" t="s">
        <v>63</v>
      </c>
      <c r="O3976" t="s">
        <v>64</v>
      </c>
      <c r="P3976">
        <v>-20.147940999999999</v>
      </c>
      <c r="Q3976">
        <v>-44.906514000000001</v>
      </c>
      <c r="R3976" s="2" t="str">
        <f>HYPERLINK("https://www.google.com/maps?q=-20.1479410,-44.9065140","Abrir no Google Maps")</f>
        <v>Abrir no Google Maps</v>
      </c>
      <c r="S3976">
        <v>4</v>
      </c>
      <c r="T3976">
        <v>308.67004994113421</v>
      </c>
      <c r="U3976">
        <v>2</v>
      </c>
      <c r="V3976">
        <v>0.3075324869422047</v>
      </c>
      <c r="W3976">
        <v>1</v>
      </c>
      <c r="X3976">
        <v>0.3075324869422047</v>
      </c>
      <c r="Y3976">
        <v>747</v>
      </c>
      <c r="Z3976">
        <v>274.71440454502522</v>
      </c>
      <c r="AA3976">
        <v>198</v>
      </c>
      <c r="AB3976">
        <v>332</v>
      </c>
      <c r="AC3976">
        <v>536</v>
      </c>
      <c r="AD3976">
        <v>33.19</v>
      </c>
      <c r="AE3976">
        <v>542</v>
      </c>
      <c r="AF3976">
        <v>41</v>
      </c>
      <c r="AG3976">
        <v>175</v>
      </c>
      <c r="AH3976">
        <v>129</v>
      </c>
      <c r="AI3976">
        <v>7.56</v>
      </c>
      <c r="AJ3976">
        <v>32.29</v>
      </c>
      <c r="AK3976">
        <v>23.8</v>
      </c>
      <c r="AL3976">
        <v>-20.147947799999969</v>
      </c>
      <c r="AM3976">
        <v>-44.906591596129203</v>
      </c>
      <c r="AN3976">
        <v>-20.147947799999969</v>
      </c>
      <c r="AO3976">
        <v>-44.906591596129203</v>
      </c>
      <c r="AP3976">
        <v>-20.147940999999999</v>
      </c>
      <c r="AQ3976">
        <v>-44.906514000000001</v>
      </c>
      <c r="AR3976">
        <v>8.1446636170570326</v>
      </c>
      <c r="AS3976" t="s">
        <v>65</v>
      </c>
      <c r="AT3976">
        <v>1</v>
      </c>
      <c r="AU3976" t="s">
        <v>66</v>
      </c>
      <c r="AV3976" t="s">
        <v>67</v>
      </c>
      <c r="AW3976" t="s">
        <v>60</v>
      </c>
      <c r="AX3976" t="s">
        <v>68</v>
      </c>
      <c r="AY3976" t="s">
        <v>69</v>
      </c>
      <c r="AZ3976" t="b">
        <v>1</v>
      </c>
    </row>
    <row r="3977" spans="1:52" x14ac:dyDescent="0.3">
      <c r="A3977" t="s">
        <v>52</v>
      </c>
      <c r="B3977" t="s">
        <v>53</v>
      </c>
      <c r="C3977" t="s">
        <v>54</v>
      </c>
      <c r="D3977" t="s">
        <v>55</v>
      </c>
      <c r="E3977" t="s">
        <v>2206</v>
      </c>
      <c r="F3977" t="s">
        <v>1247</v>
      </c>
      <c r="G3977" t="s">
        <v>83</v>
      </c>
      <c r="H3977" t="s">
        <v>1253</v>
      </c>
      <c r="I3977" t="s">
        <v>1253</v>
      </c>
      <c r="J3977" t="s">
        <v>60</v>
      </c>
      <c r="K3977" t="s">
        <v>72</v>
      </c>
      <c r="L3977" t="s">
        <v>62</v>
      </c>
      <c r="M3977" t="s">
        <v>72</v>
      </c>
      <c r="N3977" t="s">
        <v>1254</v>
      </c>
      <c r="O3977" t="s">
        <v>1255</v>
      </c>
      <c r="P3977">
        <v>-20.147164</v>
      </c>
      <c r="Q3977">
        <v>-44.905259000000001</v>
      </c>
      <c r="R3977" s="2" t="str">
        <f>HYPERLINK("https://www.google.com/maps?q=-20.1471640,-44.9052590","Abrir no Google Maps")</f>
        <v>Abrir no Google Maps</v>
      </c>
      <c r="S3977">
        <v>4</v>
      </c>
      <c r="T3977">
        <v>364.08569180502712</v>
      </c>
      <c r="U3977">
        <v>2</v>
      </c>
      <c r="V3977">
        <v>0.37445674076662938</v>
      </c>
      <c r="W3977">
        <v>0.85</v>
      </c>
      <c r="X3977">
        <v>0.31828822965163489</v>
      </c>
      <c r="Y3977">
        <v>747</v>
      </c>
      <c r="Z3977">
        <v>309.89238988435022</v>
      </c>
      <c r="AA3977">
        <v>198</v>
      </c>
      <c r="AB3977">
        <v>332</v>
      </c>
      <c r="AC3977">
        <v>536</v>
      </c>
      <c r="AD3977">
        <v>33.19</v>
      </c>
      <c r="AE3977">
        <v>542</v>
      </c>
      <c r="AF3977">
        <v>41</v>
      </c>
      <c r="AG3977">
        <v>175</v>
      </c>
      <c r="AH3977">
        <v>129</v>
      </c>
      <c r="AI3977">
        <v>7.56</v>
      </c>
      <c r="AJ3977">
        <v>32.29</v>
      </c>
      <c r="AK3977">
        <v>23.8</v>
      </c>
      <c r="AL3977">
        <v>-20.14718674999995</v>
      </c>
      <c r="AM3977">
        <v>-44.905292621565764</v>
      </c>
      <c r="AN3977">
        <v>-20.147186749999939</v>
      </c>
      <c r="AO3977">
        <v>-44.905292621565764</v>
      </c>
      <c r="AP3977">
        <v>-20.147164</v>
      </c>
      <c r="AQ3977">
        <v>-44.905259000000001</v>
      </c>
      <c r="AR3977">
        <v>4.3312880650984971</v>
      </c>
      <c r="AS3977" t="s">
        <v>65</v>
      </c>
      <c r="AT3977">
        <v>1</v>
      </c>
      <c r="AU3977" t="s">
        <v>1256</v>
      </c>
      <c r="AV3977" t="s">
        <v>1257</v>
      </c>
      <c r="AW3977" t="s">
        <v>60</v>
      </c>
      <c r="AX3977" t="s">
        <v>68</v>
      </c>
      <c r="AY3977" t="s">
        <v>69</v>
      </c>
      <c r="AZ3977" t="b">
        <v>1</v>
      </c>
    </row>
    <row r="3978" spans="1:52" x14ac:dyDescent="0.3">
      <c r="A3978" t="s">
        <v>52</v>
      </c>
      <c r="B3978" t="s">
        <v>53</v>
      </c>
      <c r="C3978" t="s">
        <v>54</v>
      </c>
      <c r="D3978" t="s">
        <v>55</v>
      </c>
      <c r="E3978" t="s">
        <v>2206</v>
      </c>
      <c r="F3978" t="s">
        <v>1247</v>
      </c>
      <c r="G3978" t="s">
        <v>70</v>
      </c>
      <c r="H3978" t="s">
        <v>71</v>
      </c>
      <c r="I3978" t="s">
        <v>71</v>
      </c>
      <c r="J3978" t="s">
        <v>60</v>
      </c>
      <c r="K3978" t="s">
        <v>72</v>
      </c>
      <c r="L3978" t="s">
        <v>62</v>
      </c>
      <c r="M3978" t="s">
        <v>72</v>
      </c>
      <c r="N3978" t="s">
        <v>73</v>
      </c>
      <c r="O3978" t="s">
        <v>74</v>
      </c>
      <c r="P3978">
        <v>-20.149349000000001</v>
      </c>
      <c r="Q3978">
        <v>-44.910784</v>
      </c>
      <c r="R3978" s="2" t="str">
        <f>HYPERLINK("https://www.google.com/maps?q=-20.1493490,-44.9107840","Abrir no Google Maps")</f>
        <v>Abrir no Google Maps</v>
      </c>
      <c r="S3978">
        <v>4</v>
      </c>
      <c r="T3978">
        <v>472.43876549769578</v>
      </c>
      <c r="U3978">
        <v>2</v>
      </c>
      <c r="V3978">
        <v>0.31795887228832398</v>
      </c>
      <c r="W3978">
        <v>1</v>
      </c>
      <c r="X3978">
        <v>0.31795887228832398</v>
      </c>
      <c r="Y3978">
        <v>747</v>
      </c>
      <c r="Z3978">
        <v>441.03921887407779</v>
      </c>
      <c r="AA3978">
        <v>198</v>
      </c>
      <c r="AB3978">
        <v>332</v>
      </c>
      <c r="AC3978">
        <v>536</v>
      </c>
      <c r="AD3978">
        <v>33.19</v>
      </c>
      <c r="AE3978">
        <v>542</v>
      </c>
      <c r="AF3978">
        <v>41</v>
      </c>
      <c r="AG3978">
        <v>175</v>
      </c>
      <c r="AH3978">
        <v>129</v>
      </c>
      <c r="AI3978">
        <v>7.56</v>
      </c>
      <c r="AJ3978">
        <v>32.29</v>
      </c>
      <c r="AK3978">
        <v>23.8</v>
      </c>
      <c r="AL3978">
        <v>-20.149403999999951</v>
      </c>
      <c r="AM3978">
        <v>-44.91080895147438</v>
      </c>
      <c r="AN3978">
        <v>-20.149403999999951</v>
      </c>
      <c r="AO3978">
        <v>-44.91080895147438</v>
      </c>
      <c r="AP3978">
        <v>-20.149349000000001</v>
      </c>
      <c r="AQ3978">
        <v>-44.910784</v>
      </c>
      <c r="AR3978">
        <v>6.6547592699416382</v>
      </c>
      <c r="AS3978" t="s">
        <v>65</v>
      </c>
      <c r="AT3978">
        <v>1</v>
      </c>
      <c r="AU3978" t="s">
        <v>75</v>
      </c>
      <c r="AV3978" t="s">
        <v>76</v>
      </c>
      <c r="AW3978" t="s">
        <v>60</v>
      </c>
      <c r="AX3978" t="s">
        <v>68</v>
      </c>
      <c r="AY3978" t="s">
        <v>69</v>
      </c>
      <c r="AZ3978" t="b">
        <v>1</v>
      </c>
    </row>
    <row r="3979" spans="1:52" x14ac:dyDescent="0.3">
      <c r="A3979" t="s">
        <v>52</v>
      </c>
      <c r="B3979" t="s">
        <v>53</v>
      </c>
      <c r="C3979" t="s">
        <v>54</v>
      </c>
      <c r="D3979" t="s">
        <v>55</v>
      </c>
      <c r="E3979" t="s">
        <v>2206</v>
      </c>
      <c r="F3979" t="s">
        <v>1247</v>
      </c>
      <c r="G3979" t="s">
        <v>89</v>
      </c>
      <c r="H3979" t="s">
        <v>90</v>
      </c>
      <c r="I3979" t="s">
        <v>90</v>
      </c>
      <c r="J3979" t="s">
        <v>60</v>
      </c>
      <c r="K3979" t="s">
        <v>72</v>
      </c>
      <c r="L3979" t="s">
        <v>62</v>
      </c>
      <c r="M3979" t="s">
        <v>72</v>
      </c>
      <c r="N3979" t="s">
        <v>91</v>
      </c>
      <c r="O3979" t="s">
        <v>92</v>
      </c>
      <c r="P3979">
        <v>-20.145848999999998</v>
      </c>
      <c r="Q3979">
        <v>-44.908419000000002</v>
      </c>
      <c r="R3979" s="2" t="str">
        <f>HYPERLINK("https://www.google.com/maps?q=-20.1458490,-44.9084190","Abrir no Google Maps")</f>
        <v>Abrir no Google Maps</v>
      </c>
      <c r="S3979">
        <v>4</v>
      </c>
      <c r="T3979">
        <v>0</v>
      </c>
      <c r="U3979">
        <v>2</v>
      </c>
      <c r="V3979">
        <v>0.32517602451207772</v>
      </c>
      <c r="W3979">
        <v>1</v>
      </c>
      <c r="X3979">
        <v>0.32517602451207772</v>
      </c>
      <c r="Y3979">
        <v>747</v>
      </c>
      <c r="Z3979">
        <v>136.08168502765241</v>
      </c>
      <c r="AA3979">
        <v>198</v>
      </c>
      <c r="AB3979">
        <v>332</v>
      </c>
      <c r="AC3979">
        <v>536</v>
      </c>
      <c r="AD3979">
        <v>33.19</v>
      </c>
      <c r="AE3979">
        <v>542</v>
      </c>
      <c r="AF3979">
        <v>41</v>
      </c>
      <c r="AG3979">
        <v>175</v>
      </c>
      <c r="AH3979">
        <v>129</v>
      </c>
      <c r="AI3979">
        <v>7.56</v>
      </c>
      <c r="AJ3979">
        <v>32.29</v>
      </c>
      <c r="AK3979">
        <v>23.8</v>
      </c>
      <c r="AL3979">
        <v>-20.14576979999995</v>
      </c>
      <c r="AM3979">
        <v>-44.908436775053183</v>
      </c>
      <c r="AN3979">
        <v>-20.14576979999995</v>
      </c>
      <c r="AO3979">
        <v>-44.908436775053183</v>
      </c>
      <c r="AP3979">
        <v>-20.145848999999998</v>
      </c>
      <c r="AQ3979">
        <v>-44.908419000000002</v>
      </c>
      <c r="AR3979">
        <v>9.0101247482327356</v>
      </c>
      <c r="AS3979" t="s">
        <v>65</v>
      </c>
      <c r="AT3979">
        <v>1</v>
      </c>
      <c r="AU3979" t="s">
        <v>93</v>
      </c>
      <c r="AV3979" t="s">
        <v>94</v>
      </c>
      <c r="AW3979" t="s">
        <v>60</v>
      </c>
      <c r="AX3979" t="s">
        <v>68</v>
      </c>
      <c r="AY3979" t="s">
        <v>69</v>
      </c>
      <c r="AZ3979" t="b">
        <v>1</v>
      </c>
    </row>
    <row r="3980" spans="1:52" x14ac:dyDescent="0.3">
      <c r="A3980" t="s">
        <v>52</v>
      </c>
      <c r="B3980" t="s">
        <v>53</v>
      </c>
      <c r="C3980" t="s">
        <v>54</v>
      </c>
      <c r="D3980" t="s">
        <v>55</v>
      </c>
      <c r="E3980" t="s">
        <v>2206</v>
      </c>
      <c r="F3980" t="s">
        <v>1247</v>
      </c>
      <c r="G3980" t="s">
        <v>95</v>
      </c>
      <c r="H3980" t="s">
        <v>96</v>
      </c>
      <c r="I3980" t="s">
        <v>96</v>
      </c>
      <c r="J3980" t="s">
        <v>60</v>
      </c>
      <c r="K3980" t="s">
        <v>72</v>
      </c>
      <c r="L3980" t="s">
        <v>62</v>
      </c>
      <c r="M3980" t="s">
        <v>72</v>
      </c>
      <c r="N3980" t="s">
        <v>97</v>
      </c>
      <c r="O3980" t="s">
        <v>98</v>
      </c>
      <c r="P3980">
        <v>-20.144062999999999</v>
      </c>
      <c r="Q3980">
        <v>-44.909627999999998</v>
      </c>
      <c r="R3980" s="2" t="str">
        <f>HYPERLINK("https://www.google.com/maps?q=-20.1440630,-44.9096280","Abrir no Google Maps")</f>
        <v>Abrir no Google Maps</v>
      </c>
      <c r="S3980">
        <v>4</v>
      </c>
      <c r="T3980">
        <v>205.27083326529291</v>
      </c>
      <c r="U3980">
        <v>2</v>
      </c>
      <c r="V3980">
        <v>0.32894216021396078</v>
      </c>
      <c r="W3980">
        <v>1</v>
      </c>
      <c r="X3980">
        <v>0.32894216021396078</v>
      </c>
      <c r="Y3980">
        <v>747</v>
      </c>
      <c r="Z3980">
        <v>336.75785483480968</v>
      </c>
      <c r="AA3980">
        <v>198</v>
      </c>
      <c r="AB3980">
        <v>332</v>
      </c>
      <c r="AC3980">
        <v>536</v>
      </c>
      <c r="AD3980">
        <v>33.19</v>
      </c>
      <c r="AE3980">
        <v>542</v>
      </c>
      <c r="AF3980">
        <v>41</v>
      </c>
      <c r="AG3980">
        <v>175</v>
      </c>
      <c r="AH3980">
        <v>129</v>
      </c>
      <c r="AI3980">
        <v>7.56</v>
      </c>
      <c r="AJ3980">
        <v>32.29</v>
      </c>
      <c r="AK3980">
        <v>23.8</v>
      </c>
      <c r="AL3980">
        <v>-20.144164099999951</v>
      </c>
      <c r="AM3980">
        <v>-44.909420167767642</v>
      </c>
      <c r="AN3980">
        <v>-20.144164099999951</v>
      </c>
      <c r="AO3980">
        <v>-44.909420167767642</v>
      </c>
      <c r="AP3980">
        <v>-20.144062999999999</v>
      </c>
      <c r="AQ3980">
        <v>-44.909627999999998</v>
      </c>
      <c r="AR3980">
        <v>24.46321571724976</v>
      </c>
      <c r="AS3980" t="s">
        <v>65</v>
      </c>
      <c r="AT3980">
        <v>1</v>
      </c>
      <c r="AU3980" t="s">
        <v>99</v>
      </c>
      <c r="AV3980" t="s">
        <v>94</v>
      </c>
      <c r="AW3980" t="s">
        <v>60</v>
      </c>
      <c r="AX3980" t="s">
        <v>68</v>
      </c>
      <c r="AY3980" t="s">
        <v>69</v>
      </c>
      <c r="AZ3980" t="b">
        <v>1</v>
      </c>
    </row>
    <row r="3981" spans="1:52" x14ac:dyDescent="0.3">
      <c r="A3981" t="s">
        <v>52</v>
      </c>
      <c r="B3981" t="s">
        <v>53</v>
      </c>
      <c r="C3981" t="s">
        <v>54</v>
      </c>
      <c r="D3981" t="s">
        <v>55</v>
      </c>
      <c r="E3981" t="s">
        <v>2206</v>
      </c>
      <c r="F3981" t="s">
        <v>1247</v>
      </c>
      <c r="G3981" t="s">
        <v>1258</v>
      </c>
      <c r="H3981" t="s">
        <v>1259</v>
      </c>
      <c r="I3981" t="s">
        <v>1259</v>
      </c>
      <c r="J3981" t="s">
        <v>60</v>
      </c>
      <c r="K3981" t="s">
        <v>905</v>
      </c>
      <c r="L3981" t="s">
        <v>62</v>
      </c>
      <c r="M3981" t="s">
        <v>905</v>
      </c>
      <c r="N3981" t="s">
        <v>1260</v>
      </c>
      <c r="O3981" t="s">
        <v>628</v>
      </c>
      <c r="P3981">
        <v>-20.113569999999999</v>
      </c>
      <c r="Q3981">
        <v>-44.897216</v>
      </c>
      <c r="R3981" s="2" t="str">
        <f>HYPERLINK("https://www.google.com/maps?q=-20.1135700,-44.8972160","Abrir no Google Maps")</f>
        <v>Abrir no Google Maps</v>
      </c>
      <c r="S3981">
        <v>4</v>
      </c>
      <c r="T3981">
        <v>418.54368277643368</v>
      </c>
      <c r="U3981">
        <v>2</v>
      </c>
      <c r="V3981">
        <v>0.38882156211233071</v>
      </c>
      <c r="W3981">
        <v>0.85</v>
      </c>
      <c r="X3981">
        <v>0.33049832779548111</v>
      </c>
      <c r="Y3981">
        <v>567</v>
      </c>
      <c r="Z3981">
        <v>315.02989622191018</v>
      </c>
      <c r="AA3981">
        <v>198</v>
      </c>
      <c r="AB3981">
        <v>332</v>
      </c>
      <c r="AC3981">
        <v>536</v>
      </c>
      <c r="AD3981">
        <v>33.19</v>
      </c>
      <c r="AE3981">
        <v>542</v>
      </c>
      <c r="AF3981">
        <v>41</v>
      </c>
      <c r="AG3981">
        <v>175</v>
      </c>
      <c r="AH3981">
        <v>129</v>
      </c>
      <c r="AI3981">
        <v>7.56</v>
      </c>
      <c r="AJ3981">
        <v>32.29</v>
      </c>
      <c r="AK3981">
        <v>23.8</v>
      </c>
      <c r="AL3981">
        <v>-20.113750149999959</v>
      </c>
      <c r="AM3981">
        <v>-44.897427949999937</v>
      </c>
      <c r="AN3981">
        <v>-20.113750149999959</v>
      </c>
      <c r="AO3981">
        <v>-44.897427949999937</v>
      </c>
      <c r="AP3981">
        <v>-20.113569999999999</v>
      </c>
      <c r="AQ3981">
        <v>-44.897216</v>
      </c>
      <c r="AR3981">
        <v>29.883644534822711</v>
      </c>
      <c r="AS3981" t="s">
        <v>65</v>
      </c>
      <c r="AT3981">
        <v>1</v>
      </c>
      <c r="AU3981" t="s">
        <v>1261</v>
      </c>
      <c r="AV3981" t="s">
        <v>1262</v>
      </c>
      <c r="AW3981" t="s">
        <v>60</v>
      </c>
      <c r="AX3981" t="s">
        <v>68</v>
      </c>
      <c r="AY3981" t="s">
        <v>69</v>
      </c>
      <c r="AZ3981" t="b">
        <v>1</v>
      </c>
    </row>
    <row r="3982" spans="1:52" x14ac:dyDescent="0.3">
      <c r="A3982" t="s">
        <v>52</v>
      </c>
      <c r="B3982" t="s">
        <v>53</v>
      </c>
      <c r="C3982" t="s">
        <v>54</v>
      </c>
      <c r="D3982" t="s">
        <v>55</v>
      </c>
      <c r="E3982" t="s">
        <v>2206</v>
      </c>
      <c r="F3982" t="s">
        <v>1247</v>
      </c>
      <c r="G3982" t="s">
        <v>1263</v>
      </c>
      <c r="H3982" t="s">
        <v>1264</v>
      </c>
      <c r="I3982" t="s">
        <v>1264</v>
      </c>
      <c r="J3982" t="s">
        <v>60</v>
      </c>
      <c r="K3982" t="s">
        <v>1265</v>
      </c>
      <c r="L3982" t="s">
        <v>62</v>
      </c>
      <c r="M3982" t="s">
        <v>1265</v>
      </c>
      <c r="N3982" t="s">
        <v>1266</v>
      </c>
      <c r="O3982" t="s">
        <v>1267</v>
      </c>
      <c r="P3982">
        <v>-20.116924000000001</v>
      </c>
      <c r="Q3982">
        <v>-44.906587000000002</v>
      </c>
      <c r="R3982" s="2" t="str">
        <f>HYPERLINK("https://www.google.com/maps?q=-20.1169240,-44.9065870","Abrir no Google Maps")</f>
        <v>Abrir no Google Maps</v>
      </c>
      <c r="S3982">
        <v>4</v>
      </c>
      <c r="T3982">
        <v>745.10453961787857</v>
      </c>
      <c r="U3982">
        <v>2</v>
      </c>
      <c r="V3982">
        <v>0.34996223833060369</v>
      </c>
      <c r="W3982">
        <v>0.85</v>
      </c>
      <c r="X3982">
        <v>0.29746790258101308</v>
      </c>
      <c r="Y3982">
        <v>567</v>
      </c>
      <c r="Z3982">
        <v>816.44456345071217</v>
      </c>
      <c r="AA3982">
        <v>198</v>
      </c>
      <c r="AB3982">
        <v>332</v>
      </c>
      <c r="AC3982">
        <v>536</v>
      </c>
      <c r="AD3982">
        <v>33.19</v>
      </c>
      <c r="AE3982">
        <v>542</v>
      </c>
      <c r="AF3982">
        <v>41</v>
      </c>
      <c r="AG3982">
        <v>175</v>
      </c>
      <c r="AH3982">
        <v>129</v>
      </c>
      <c r="AI3982">
        <v>7.56</v>
      </c>
      <c r="AJ3982">
        <v>32.29</v>
      </c>
      <c r="AK3982">
        <v>23.8</v>
      </c>
      <c r="AL3982">
        <v>-20.117279149999941</v>
      </c>
      <c r="AM3982">
        <v>-44.906397211815133</v>
      </c>
      <c r="AN3982">
        <v>-20.117279149999941</v>
      </c>
      <c r="AO3982">
        <v>-44.906397211815133</v>
      </c>
      <c r="AP3982">
        <v>-20.116924000000001</v>
      </c>
      <c r="AQ3982">
        <v>-44.906587000000002</v>
      </c>
      <c r="AR3982">
        <v>44.233430660980403</v>
      </c>
      <c r="AS3982" t="s">
        <v>65</v>
      </c>
      <c r="AT3982">
        <v>1</v>
      </c>
      <c r="AU3982" t="s">
        <v>1268</v>
      </c>
      <c r="AV3982" t="s">
        <v>1269</v>
      </c>
      <c r="AW3982" t="s">
        <v>60</v>
      </c>
      <c r="AX3982" t="s">
        <v>68</v>
      </c>
      <c r="AY3982" t="s">
        <v>69</v>
      </c>
      <c r="AZ3982" t="b">
        <v>1</v>
      </c>
    </row>
    <row r="3983" spans="1:52" x14ac:dyDescent="0.3">
      <c r="A3983" t="s">
        <v>52</v>
      </c>
      <c r="B3983" t="s">
        <v>53</v>
      </c>
      <c r="C3983" t="s">
        <v>54</v>
      </c>
      <c r="D3983" t="s">
        <v>55</v>
      </c>
      <c r="E3983" t="s">
        <v>2206</v>
      </c>
      <c r="F3983" t="s">
        <v>1247</v>
      </c>
      <c r="G3983" t="s">
        <v>115</v>
      </c>
      <c r="H3983" t="s">
        <v>116</v>
      </c>
      <c r="I3983" t="s">
        <v>116</v>
      </c>
      <c r="J3983" t="s">
        <v>60</v>
      </c>
      <c r="K3983" t="s">
        <v>117</v>
      </c>
      <c r="L3983" t="s">
        <v>62</v>
      </c>
      <c r="M3983" t="s">
        <v>117</v>
      </c>
      <c r="N3983" t="s">
        <v>118</v>
      </c>
      <c r="O3983" t="s">
        <v>119</v>
      </c>
      <c r="P3983">
        <v>-20.116992</v>
      </c>
      <c r="Q3983">
        <v>-44.899355</v>
      </c>
      <c r="R3983" s="2" t="str">
        <f>HYPERLINK("https://www.google.com/maps?q=-20.1169920,-44.8993550","Abrir no Google Maps")</f>
        <v>Abrir no Google Maps</v>
      </c>
      <c r="S3983">
        <v>4</v>
      </c>
      <c r="T3983">
        <v>0</v>
      </c>
      <c r="U3983">
        <v>2</v>
      </c>
      <c r="V3983">
        <v>0.3423778014222057</v>
      </c>
      <c r="W3983">
        <v>1</v>
      </c>
      <c r="X3983">
        <v>0.3423778014222057</v>
      </c>
      <c r="Y3983">
        <v>567</v>
      </c>
      <c r="Z3983">
        <v>54.913678078353321</v>
      </c>
      <c r="AA3983">
        <v>198</v>
      </c>
      <c r="AB3983">
        <v>332</v>
      </c>
      <c r="AC3983">
        <v>536</v>
      </c>
      <c r="AD3983">
        <v>33.19</v>
      </c>
      <c r="AE3983">
        <v>542</v>
      </c>
      <c r="AF3983">
        <v>41</v>
      </c>
      <c r="AG3983">
        <v>175</v>
      </c>
      <c r="AH3983">
        <v>129</v>
      </c>
      <c r="AI3983">
        <v>7.56</v>
      </c>
      <c r="AJ3983">
        <v>32.29</v>
      </c>
      <c r="AK3983">
        <v>23.8</v>
      </c>
      <c r="AL3983">
        <v>-20.117107749999949</v>
      </c>
      <c r="AM3983">
        <v>-44.899271226243108</v>
      </c>
      <c r="AN3983">
        <v>-20.117107749999949</v>
      </c>
      <c r="AO3983">
        <v>-44.899271226243108</v>
      </c>
      <c r="AP3983">
        <v>-20.116992</v>
      </c>
      <c r="AQ3983">
        <v>-44.899355</v>
      </c>
      <c r="AR3983">
        <v>15.579196044083419</v>
      </c>
      <c r="AS3983" t="s">
        <v>65</v>
      </c>
      <c r="AT3983">
        <v>1</v>
      </c>
      <c r="AU3983" t="s">
        <v>120</v>
      </c>
      <c r="AV3983" t="s">
        <v>121</v>
      </c>
      <c r="AW3983" t="s">
        <v>60</v>
      </c>
      <c r="AX3983" t="s">
        <v>68</v>
      </c>
      <c r="AY3983" t="s">
        <v>69</v>
      </c>
      <c r="AZ3983" t="b">
        <v>1</v>
      </c>
    </row>
    <row r="3984" spans="1:52" x14ac:dyDescent="0.3">
      <c r="A3984" t="s">
        <v>52</v>
      </c>
      <c r="B3984" t="s">
        <v>53</v>
      </c>
      <c r="C3984" t="s">
        <v>54</v>
      </c>
      <c r="D3984" t="s">
        <v>55</v>
      </c>
      <c r="E3984" t="s">
        <v>2206</v>
      </c>
      <c r="F3984" t="s">
        <v>1247</v>
      </c>
      <c r="G3984" t="s">
        <v>122</v>
      </c>
      <c r="H3984" t="s">
        <v>123</v>
      </c>
      <c r="I3984" t="s">
        <v>123</v>
      </c>
      <c r="J3984" t="s">
        <v>60</v>
      </c>
      <c r="K3984" t="s">
        <v>117</v>
      </c>
      <c r="L3984" t="s">
        <v>62</v>
      </c>
      <c r="M3984" t="s">
        <v>117</v>
      </c>
      <c r="N3984" t="s">
        <v>124</v>
      </c>
      <c r="O3984" t="s">
        <v>125</v>
      </c>
      <c r="P3984">
        <v>-20.11853</v>
      </c>
      <c r="Q3984">
        <v>-44.896925000000003</v>
      </c>
      <c r="R3984" s="2" t="str">
        <f>HYPERLINK("https://www.google.com/maps?q=-20.1185300,-44.8969250","Abrir no Google Maps")</f>
        <v>Abrir no Google Maps</v>
      </c>
      <c r="S3984">
        <v>4</v>
      </c>
      <c r="T3984">
        <v>325.32255721093247</v>
      </c>
      <c r="U3984">
        <v>2</v>
      </c>
      <c r="V3984">
        <v>0.32046309784878962</v>
      </c>
      <c r="W3984">
        <v>1</v>
      </c>
      <c r="X3984">
        <v>0.32046309784878962</v>
      </c>
      <c r="Y3984">
        <v>567</v>
      </c>
      <c r="Z3984">
        <v>306.04423478678871</v>
      </c>
      <c r="AA3984">
        <v>198</v>
      </c>
      <c r="AB3984">
        <v>332</v>
      </c>
      <c r="AC3984">
        <v>536</v>
      </c>
      <c r="AD3984">
        <v>33.19</v>
      </c>
      <c r="AE3984">
        <v>542</v>
      </c>
      <c r="AF3984">
        <v>41</v>
      </c>
      <c r="AG3984">
        <v>175</v>
      </c>
      <c r="AH3984">
        <v>129</v>
      </c>
      <c r="AI3984">
        <v>7.56</v>
      </c>
      <c r="AJ3984">
        <v>32.29</v>
      </c>
      <c r="AK3984">
        <v>23.8</v>
      </c>
      <c r="AL3984">
        <v>-20.118682499999949</v>
      </c>
      <c r="AM3984">
        <v>-44.896643089287927</v>
      </c>
      <c r="AN3984">
        <v>-20.118682499999949</v>
      </c>
      <c r="AO3984">
        <v>-44.896643089287927</v>
      </c>
      <c r="AP3984">
        <v>-20.11853</v>
      </c>
      <c r="AQ3984">
        <v>-44.896925000000003</v>
      </c>
      <c r="AR3984">
        <v>34.007698996886518</v>
      </c>
      <c r="AS3984" t="s">
        <v>65</v>
      </c>
      <c r="AT3984">
        <v>1</v>
      </c>
      <c r="AU3984" t="s">
        <v>126</v>
      </c>
      <c r="AV3984" t="s">
        <v>121</v>
      </c>
      <c r="AW3984" t="s">
        <v>60</v>
      </c>
      <c r="AX3984" t="s">
        <v>68</v>
      </c>
      <c r="AY3984" t="s">
        <v>69</v>
      </c>
      <c r="AZ3984" t="b">
        <v>1</v>
      </c>
    </row>
    <row r="3985" spans="1:52" x14ac:dyDescent="0.3">
      <c r="A3985" t="s">
        <v>52</v>
      </c>
      <c r="B3985" t="s">
        <v>53</v>
      </c>
      <c r="C3985" t="s">
        <v>54</v>
      </c>
      <c r="D3985" t="s">
        <v>55</v>
      </c>
      <c r="E3985" t="s">
        <v>2206</v>
      </c>
      <c r="F3985" t="s">
        <v>1247</v>
      </c>
      <c r="G3985" t="s">
        <v>77</v>
      </c>
      <c r="H3985" t="s">
        <v>78</v>
      </c>
      <c r="I3985" t="s">
        <v>78</v>
      </c>
      <c r="J3985" t="s">
        <v>60</v>
      </c>
      <c r="K3985" t="s">
        <v>72</v>
      </c>
      <c r="L3985" t="s">
        <v>62</v>
      </c>
      <c r="M3985" t="s">
        <v>72</v>
      </c>
      <c r="N3985" t="s">
        <v>79</v>
      </c>
      <c r="O3985" t="s">
        <v>80</v>
      </c>
      <c r="P3985">
        <v>-20.147821</v>
      </c>
      <c r="Q3985">
        <v>-44.908887</v>
      </c>
      <c r="R3985" s="2" t="str">
        <f>HYPERLINK("https://www.google.com/maps?q=-20.1478210,-44.9088870","Abrir no Google Maps")</f>
        <v>Abrir no Google Maps</v>
      </c>
      <c r="S3985">
        <v>4</v>
      </c>
      <c r="T3985">
        <v>232.2893841532152</v>
      </c>
      <c r="U3985">
        <v>1</v>
      </c>
      <c r="V3985">
        <v>0.25599853929949917</v>
      </c>
      <c r="W3985">
        <v>1</v>
      </c>
      <c r="X3985">
        <v>0.25599853929949917</v>
      </c>
      <c r="Y3985">
        <v>747</v>
      </c>
      <c r="Z3985">
        <v>195.3668648953757</v>
      </c>
      <c r="AA3985">
        <v>198</v>
      </c>
      <c r="AB3985">
        <v>332</v>
      </c>
      <c r="AC3985">
        <v>536</v>
      </c>
      <c r="AD3985">
        <v>33.19</v>
      </c>
      <c r="AE3985">
        <v>542</v>
      </c>
      <c r="AF3985">
        <v>41</v>
      </c>
      <c r="AG3985">
        <v>175</v>
      </c>
      <c r="AH3985">
        <v>129</v>
      </c>
      <c r="AI3985">
        <v>7.56</v>
      </c>
      <c r="AJ3985">
        <v>32.29</v>
      </c>
      <c r="AK3985">
        <v>23.8</v>
      </c>
      <c r="AL3985">
        <v>-20.147802849999952</v>
      </c>
      <c r="AM3985">
        <v>-44.908989919229477</v>
      </c>
      <c r="AN3985">
        <v>-20.147802849999952</v>
      </c>
      <c r="AO3985">
        <v>-44.908989919229491</v>
      </c>
      <c r="AP3985">
        <v>-20.147821</v>
      </c>
      <c r="AQ3985">
        <v>-44.908887</v>
      </c>
      <c r="AR3985">
        <v>10.944007761262529</v>
      </c>
      <c r="AS3985" t="s">
        <v>65</v>
      </c>
      <c r="AT3985">
        <v>1</v>
      </c>
      <c r="AU3985" t="s">
        <v>81</v>
      </c>
      <c r="AV3985" t="s">
        <v>82</v>
      </c>
      <c r="AW3985" t="s">
        <v>60</v>
      </c>
      <c r="AX3985" t="s">
        <v>68</v>
      </c>
      <c r="AY3985" t="s">
        <v>69</v>
      </c>
      <c r="AZ3985" t="b">
        <v>1</v>
      </c>
    </row>
    <row r="3986" spans="1:52" x14ac:dyDescent="0.3">
      <c r="A3986" t="s">
        <v>52</v>
      </c>
      <c r="B3986" t="s">
        <v>53</v>
      </c>
      <c r="C3986" t="s">
        <v>54</v>
      </c>
      <c r="D3986" t="s">
        <v>55</v>
      </c>
      <c r="E3986" t="s">
        <v>2206</v>
      </c>
      <c r="F3986" t="s">
        <v>1247</v>
      </c>
      <c r="G3986" t="s">
        <v>100</v>
      </c>
      <c r="H3986" t="s">
        <v>101</v>
      </c>
      <c r="I3986" t="s">
        <v>101</v>
      </c>
      <c r="J3986" t="s">
        <v>60</v>
      </c>
      <c r="K3986" t="s">
        <v>61</v>
      </c>
      <c r="L3986" t="s">
        <v>62</v>
      </c>
      <c r="M3986" t="s">
        <v>61</v>
      </c>
      <c r="N3986" t="s">
        <v>102</v>
      </c>
      <c r="O3986" t="s">
        <v>103</v>
      </c>
      <c r="P3986">
        <v>-20.151098999999999</v>
      </c>
      <c r="Q3986">
        <v>-44.909699000000003</v>
      </c>
      <c r="R3986" s="2" t="str">
        <f>HYPERLINK("https://www.google.com/maps?q=-20.1510990,-44.9096990","Abrir no Google Maps")</f>
        <v>Abrir no Google Maps</v>
      </c>
      <c r="S3986">
        <v>4</v>
      </c>
      <c r="T3986">
        <v>628.5023128813533</v>
      </c>
      <c r="U3986">
        <v>1</v>
      </c>
      <c r="V3986">
        <v>0.19575630832248259</v>
      </c>
      <c r="W3986">
        <v>1</v>
      </c>
      <c r="X3986">
        <v>0.19575630832248259</v>
      </c>
      <c r="Y3986">
        <v>747</v>
      </c>
      <c r="Z3986">
        <v>563.16456625265948</v>
      </c>
      <c r="AA3986">
        <v>198</v>
      </c>
      <c r="AB3986">
        <v>332</v>
      </c>
      <c r="AC3986">
        <v>536</v>
      </c>
      <c r="AD3986">
        <v>33.19</v>
      </c>
      <c r="AE3986">
        <v>542</v>
      </c>
      <c r="AF3986">
        <v>41</v>
      </c>
      <c r="AG3986">
        <v>175</v>
      </c>
      <c r="AH3986">
        <v>129</v>
      </c>
      <c r="AI3986">
        <v>7.56</v>
      </c>
      <c r="AJ3986">
        <v>32.29</v>
      </c>
      <c r="AK3986">
        <v>23.8</v>
      </c>
      <c r="AL3986">
        <v>-20.151307349999971</v>
      </c>
      <c r="AM3986">
        <v>-44.909772836123523</v>
      </c>
      <c r="AN3986">
        <v>-20.151307349999971</v>
      </c>
      <c r="AO3986">
        <v>-44.909772836123523</v>
      </c>
      <c r="AP3986">
        <v>-20.151098999999999</v>
      </c>
      <c r="AQ3986">
        <v>-44.909699000000003</v>
      </c>
      <c r="AR3986">
        <v>24.443417349564811</v>
      </c>
      <c r="AS3986" t="s">
        <v>65</v>
      </c>
      <c r="AT3986">
        <v>1</v>
      </c>
      <c r="AU3986" t="s">
        <v>104</v>
      </c>
      <c r="AV3986" t="s">
        <v>105</v>
      </c>
      <c r="AW3986" t="s">
        <v>60</v>
      </c>
      <c r="AX3986" t="s">
        <v>68</v>
      </c>
      <c r="AY3986" t="s">
        <v>69</v>
      </c>
      <c r="AZ3986" t="b">
        <v>1</v>
      </c>
    </row>
    <row r="3987" spans="1:52" x14ac:dyDescent="0.3">
      <c r="A3987" t="s">
        <v>52</v>
      </c>
      <c r="B3987" t="s">
        <v>53</v>
      </c>
      <c r="C3987" t="s">
        <v>54</v>
      </c>
      <c r="D3987" t="s">
        <v>55</v>
      </c>
      <c r="E3987" t="s">
        <v>2206</v>
      </c>
      <c r="F3987" t="s">
        <v>1247</v>
      </c>
      <c r="G3987" t="s">
        <v>100</v>
      </c>
      <c r="H3987" t="s">
        <v>106</v>
      </c>
      <c r="I3987" t="s">
        <v>106</v>
      </c>
      <c r="J3987" t="s">
        <v>60</v>
      </c>
      <c r="K3987" t="s">
        <v>61</v>
      </c>
      <c r="L3987" t="s">
        <v>62</v>
      </c>
      <c r="M3987" t="s">
        <v>61</v>
      </c>
      <c r="N3987" t="s">
        <v>102</v>
      </c>
      <c r="O3987" t="s">
        <v>103</v>
      </c>
      <c r="P3987">
        <v>-20.151107</v>
      </c>
      <c r="Q3987">
        <v>-44.908918</v>
      </c>
      <c r="R3987" s="2" t="str">
        <f>HYPERLINK("https://www.google.com/maps?q=-20.1511070,-44.9089180","Abrir no Google Maps")</f>
        <v>Abrir no Google Maps</v>
      </c>
      <c r="S3987">
        <v>4</v>
      </c>
      <c r="T3987">
        <v>615.86400245321579</v>
      </c>
      <c r="U3987">
        <v>1</v>
      </c>
      <c r="V3987">
        <v>0.14475613947782029</v>
      </c>
      <c r="W3987">
        <v>0.85</v>
      </c>
      <c r="X3987">
        <v>0.12304271855614719</v>
      </c>
      <c r="Y3987">
        <v>747</v>
      </c>
      <c r="Z3987">
        <v>535.34543763764702</v>
      </c>
      <c r="AA3987">
        <v>198</v>
      </c>
      <c r="AB3987">
        <v>332</v>
      </c>
      <c r="AC3987">
        <v>536</v>
      </c>
      <c r="AD3987">
        <v>33.19</v>
      </c>
      <c r="AE3987">
        <v>542</v>
      </c>
      <c r="AF3987">
        <v>41</v>
      </c>
      <c r="AG3987">
        <v>175</v>
      </c>
      <c r="AH3987">
        <v>129</v>
      </c>
      <c r="AI3987">
        <v>7.56</v>
      </c>
      <c r="AJ3987">
        <v>32.29</v>
      </c>
      <c r="AK3987">
        <v>23.8</v>
      </c>
      <c r="AL3987">
        <v>-20.151307349999971</v>
      </c>
      <c r="AM3987">
        <v>-44.909024234051429</v>
      </c>
      <c r="AN3987">
        <v>-20.151307349999971</v>
      </c>
      <c r="AO3987">
        <v>-44.909024234051429</v>
      </c>
      <c r="AP3987">
        <v>-20.151107</v>
      </c>
      <c r="AQ3987">
        <v>-44.908918</v>
      </c>
      <c r="AR3987">
        <v>24.91340747371116</v>
      </c>
      <c r="AS3987" t="s">
        <v>65</v>
      </c>
      <c r="AT3987">
        <v>1</v>
      </c>
      <c r="AU3987" t="s">
        <v>107</v>
      </c>
      <c r="AV3987" t="s">
        <v>105</v>
      </c>
      <c r="AW3987" t="s">
        <v>60</v>
      </c>
      <c r="AX3987" t="s">
        <v>68</v>
      </c>
      <c r="AY3987" t="s">
        <v>69</v>
      </c>
      <c r="AZ3987" t="b">
        <v>1</v>
      </c>
    </row>
    <row r="3988" spans="1:52" x14ac:dyDescent="0.3">
      <c r="A3988" t="s">
        <v>52</v>
      </c>
      <c r="B3988" t="s">
        <v>53</v>
      </c>
      <c r="C3988" t="s">
        <v>54</v>
      </c>
      <c r="D3988" t="s">
        <v>55</v>
      </c>
      <c r="E3988" t="s">
        <v>2206</v>
      </c>
      <c r="F3988" t="s">
        <v>1247</v>
      </c>
      <c r="G3988" t="s">
        <v>108</v>
      </c>
      <c r="H3988" t="s">
        <v>109</v>
      </c>
      <c r="I3988" t="s">
        <v>109</v>
      </c>
      <c r="J3988" t="s">
        <v>60</v>
      </c>
      <c r="K3988" t="s">
        <v>110</v>
      </c>
      <c r="L3988" t="s">
        <v>62</v>
      </c>
      <c r="M3988" t="s">
        <v>110</v>
      </c>
      <c r="N3988" t="s">
        <v>111</v>
      </c>
      <c r="O3988" t="s">
        <v>112</v>
      </c>
      <c r="P3988">
        <v>-20.122233999999999</v>
      </c>
      <c r="Q3988">
        <v>-44.909194999999997</v>
      </c>
      <c r="R3988" s="2" t="str">
        <f>HYPERLINK("https://www.google.com/maps?q=-20.1222340,-44.9091950","Abrir no Google Maps")</f>
        <v>Abrir no Google Maps</v>
      </c>
      <c r="S3988">
        <v>4</v>
      </c>
      <c r="T3988">
        <v>1171.396020763932</v>
      </c>
      <c r="U3988">
        <v>1</v>
      </c>
      <c r="V3988">
        <v>0.29720378046972351</v>
      </c>
      <c r="W3988">
        <v>0.85</v>
      </c>
      <c r="X3988">
        <v>0.25262321339926502</v>
      </c>
      <c r="Y3988">
        <v>567</v>
      </c>
      <c r="Z3988">
        <v>1238.711234283244</v>
      </c>
      <c r="AA3988">
        <v>198</v>
      </c>
      <c r="AB3988">
        <v>332</v>
      </c>
      <c r="AC3988">
        <v>536</v>
      </c>
      <c r="AD3988">
        <v>33.19</v>
      </c>
      <c r="AE3988">
        <v>542</v>
      </c>
      <c r="AF3988">
        <v>41</v>
      </c>
      <c r="AG3988">
        <v>175</v>
      </c>
      <c r="AH3988">
        <v>129</v>
      </c>
      <c r="AI3988">
        <v>7.56</v>
      </c>
      <c r="AJ3988">
        <v>32.29</v>
      </c>
      <c r="AK3988">
        <v>23.8</v>
      </c>
      <c r="AL3988">
        <v>-20.121881249999941</v>
      </c>
      <c r="AM3988">
        <v>-44.909273766094323</v>
      </c>
      <c r="AN3988">
        <v>-20.121881249999941</v>
      </c>
      <c r="AO3988">
        <v>-44.909273766094323</v>
      </c>
      <c r="AP3988">
        <v>-20.122233999999999</v>
      </c>
      <c r="AQ3988">
        <v>-44.909194999999997</v>
      </c>
      <c r="AR3988">
        <v>40.12192930593006</v>
      </c>
      <c r="AS3988" t="s">
        <v>65</v>
      </c>
      <c r="AT3988">
        <v>1</v>
      </c>
      <c r="AU3988" t="s">
        <v>113</v>
      </c>
      <c r="AV3988" t="s">
        <v>114</v>
      </c>
      <c r="AW3988" t="s">
        <v>60</v>
      </c>
      <c r="AX3988" t="s">
        <v>68</v>
      </c>
      <c r="AY3988" t="s">
        <v>69</v>
      </c>
      <c r="AZ3988" t="b">
        <v>1</v>
      </c>
    </row>
    <row r="3989" spans="1:52" x14ac:dyDescent="0.3">
      <c r="A3989" t="s">
        <v>52</v>
      </c>
      <c r="B3989" t="s">
        <v>53</v>
      </c>
      <c r="C3989" t="s">
        <v>54</v>
      </c>
      <c r="D3989" t="s">
        <v>55</v>
      </c>
      <c r="E3989" t="s">
        <v>2206</v>
      </c>
      <c r="F3989" t="s">
        <v>1247</v>
      </c>
      <c r="G3989" t="s">
        <v>198</v>
      </c>
      <c r="H3989" t="s">
        <v>199</v>
      </c>
      <c r="I3989" t="s">
        <v>199</v>
      </c>
      <c r="J3989" t="s">
        <v>60</v>
      </c>
      <c r="K3989" t="s">
        <v>200</v>
      </c>
      <c r="L3989" t="s">
        <v>62</v>
      </c>
      <c r="M3989" t="s">
        <v>200</v>
      </c>
      <c r="N3989" t="s">
        <v>201</v>
      </c>
      <c r="O3989" t="s">
        <v>202</v>
      </c>
      <c r="P3989">
        <v>-20.122433000000001</v>
      </c>
      <c r="Q3989">
        <v>-44.897013999999999</v>
      </c>
      <c r="R3989" s="2" t="str">
        <f>HYPERLINK("https://www.google.com/maps?q=-20.1224330,-44.8970140","Abrir no Google Maps")</f>
        <v>Abrir no Google Maps</v>
      </c>
      <c r="S3989">
        <v>4</v>
      </c>
      <c r="T3989">
        <v>616.04759279207849</v>
      </c>
      <c r="U3989">
        <v>1</v>
      </c>
      <c r="V3989">
        <v>0.2701497462193217</v>
      </c>
      <c r="W3989">
        <v>0.85</v>
      </c>
      <c r="X3989">
        <v>0.2296272842864234</v>
      </c>
      <c r="Y3989">
        <v>567</v>
      </c>
      <c r="Z3989">
        <v>655.51024138861465</v>
      </c>
      <c r="AA3989">
        <v>198</v>
      </c>
      <c r="AB3989">
        <v>332</v>
      </c>
      <c r="AC3989">
        <v>536</v>
      </c>
      <c r="AD3989">
        <v>33.19</v>
      </c>
      <c r="AE3989">
        <v>542</v>
      </c>
      <c r="AF3989">
        <v>41</v>
      </c>
      <c r="AG3989">
        <v>175</v>
      </c>
      <c r="AH3989">
        <v>129</v>
      </c>
      <c r="AI3989">
        <v>7.56</v>
      </c>
      <c r="AJ3989">
        <v>32.29</v>
      </c>
      <c r="AK3989">
        <v>23.8</v>
      </c>
      <c r="AL3989">
        <v>-20.122144949999949</v>
      </c>
      <c r="AM3989">
        <v>-44.896761973125983</v>
      </c>
      <c r="AN3989">
        <v>-20.122144949999949</v>
      </c>
      <c r="AO3989">
        <v>-44.896761973125983</v>
      </c>
      <c r="AP3989">
        <v>-20.122433000000001</v>
      </c>
      <c r="AQ3989">
        <v>-44.897013999999999</v>
      </c>
      <c r="AR3989">
        <v>41.499066772735389</v>
      </c>
      <c r="AS3989" t="s">
        <v>65</v>
      </c>
      <c r="AT3989">
        <v>1</v>
      </c>
      <c r="AU3989" t="s">
        <v>203</v>
      </c>
      <c r="AV3989" t="s">
        <v>204</v>
      </c>
      <c r="AW3989" t="s">
        <v>60</v>
      </c>
      <c r="AX3989" t="s">
        <v>68</v>
      </c>
      <c r="AY3989" t="s">
        <v>69</v>
      </c>
      <c r="AZ3989" t="b">
        <v>1</v>
      </c>
    </row>
    <row r="3990" spans="1:52" x14ac:dyDescent="0.3">
      <c r="A3990" t="s">
        <v>52</v>
      </c>
      <c r="B3990" t="s">
        <v>53</v>
      </c>
      <c r="C3990" t="s">
        <v>54</v>
      </c>
      <c r="D3990" t="s">
        <v>55</v>
      </c>
      <c r="E3990" t="s">
        <v>2206</v>
      </c>
      <c r="F3990" t="s">
        <v>1247</v>
      </c>
      <c r="G3990" t="s">
        <v>205</v>
      </c>
      <c r="H3990" t="s">
        <v>206</v>
      </c>
      <c r="I3990" t="s">
        <v>206</v>
      </c>
      <c r="J3990" t="s">
        <v>60</v>
      </c>
      <c r="K3990" t="s">
        <v>207</v>
      </c>
      <c r="L3990" t="s">
        <v>62</v>
      </c>
      <c r="M3990" t="s">
        <v>207</v>
      </c>
      <c r="N3990" t="s">
        <v>208</v>
      </c>
      <c r="O3990" t="s">
        <v>209</v>
      </c>
      <c r="P3990">
        <v>-20.117533999999999</v>
      </c>
      <c r="Q3990">
        <v>-44.892943000000002</v>
      </c>
      <c r="R3990" s="2" t="str">
        <f>HYPERLINK("https://www.google.com/maps?q=-20.1175340,-44.8929430","Abrir no Google Maps")</f>
        <v>Abrir no Google Maps</v>
      </c>
      <c r="S3990">
        <v>4</v>
      </c>
      <c r="T3990">
        <v>601.98486688021592</v>
      </c>
      <c r="U3990">
        <v>1</v>
      </c>
      <c r="V3990">
        <v>0.31663372428644782</v>
      </c>
      <c r="W3990">
        <v>0.85</v>
      </c>
      <c r="X3990">
        <v>0.26913866564348071</v>
      </c>
      <c r="Y3990">
        <v>567</v>
      </c>
      <c r="Z3990">
        <v>574.59225706016446</v>
      </c>
      <c r="AA3990">
        <v>198</v>
      </c>
      <c r="AB3990">
        <v>332</v>
      </c>
      <c r="AC3990">
        <v>536</v>
      </c>
      <c r="AD3990">
        <v>33.19</v>
      </c>
      <c r="AE3990">
        <v>542</v>
      </c>
      <c r="AF3990">
        <v>41</v>
      </c>
      <c r="AG3990">
        <v>175</v>
      </c>
      <c r="AH3990">
        <v>129</v>
      </c>
      <c r="AI3990">
        <v>7.56</v>
      </c>
      <c r="AJ3990">
        <v>32.29</v>
      </c>
      <c r="AK3990">
        <v>23.8</v>
      </c>
      <c r="AL3990">
        <v>-20.11671494999996</v>
      </c>
      <c r="AM3990">
        <v>-44.89352717833448</v>
      </c>
      <c r="AN3990">
        <v>-20.11671494999996</v>
      </c>
      <c r="AO3990">
        <v>-44.89352717833448</v>
      </c>
      <c r="AP3990">
        <v>-20.117533999999999</v>
      </c>
      <c r="AQ3990">
        <v>-44.892943000000002</v>
      </c>
      <c r="AR3990">
        <v>109.7357164799156</v>
      </c>
      <c r="AS3990" t="s">
        <v>65</v>
      </c>
      <c r="AT3990">
        <v>1</v>
      </c>
      <c r="AU3990" t="s">
        <v>210</v>
      </c>
      <c r="AV3990" t="s">
        <v>211</v>
      </c>
      <c r="AW3990" t="s">
        <v>60</v>
      </c>
      <c r="AX3990" t="s">
        <v>68</v>
      </c>
      <c r="AY3990" t="s">
        <v>69</v>
      </c>
      <c r="AZ3990" t="b">
        <v>1</v>
      </c>
    </row>
    <row r="3991" spans="1:52" x14ac:dyDescent="0.3">
      <c r="A3991" t="s">
        <v>52</v>
      </c>
      <c r="B3991" t="s">
        <v>53</v>
      </c>
      <c r="C3991" t="s">
        <v>54</v>
      </c>
      <c r="D3991" t="s">
        <v>55</v>
      </c>
      <c r="E3991" t="s">
        <v>2206</v>
      </c>
      <c r="F3991" t="s">
        <v>1247</v>
      </c>
      <c r="G3991" t="s">
        <v>1127</v>
      </c>
      <c r="H3991" t="s">
        <v>1270</v>
      </c>
      <c r="I3991" t="s">
        <v>1270</v>
      </c>
      <c r="J3991" t="s">
        <v>60</v>
      </c>
      <c r="K3991" t="s">
        <v>200</v>
      </c>
      <c r="L3991" t="s">
        <v>62</v>
      </c>
      <c r="M3991" t="s">
        <v>200</v>
      </c>
      <c r="N3991" t="s">
        <v>1271</v>
      </c>
      <c r="O3991" t="s">
        <v>315</v>
      </c>
      <c r="P3991">
        <v>-20.123483</v>
      </c>
      <c r="Q3991">
        <v>-44.904159</v>
      </c>
      <c r="R3991" s="2" t="str">
        <f>HYPERLINK("https://www.google.com/maps?q=-20.1234830,-44.9041590","Abrir no Google Maps")</f>
        <v>Abrir no Google Maps</v>
      </c>
      <c r="S3991">
        <v>4</v>
      </c>
      <c r="T3991">
        <v>1046.2792913459141</v>
      </c>
      <c r="U3991">
        <v>1</v>
      </c>
      <c r="V3991">
        <v>0.26578947368421052</v>
      </c>
      <c r="W3991">
        <v>0.85</v>
      </c>
      <c r="X3991">
        <v>0.22592105263157891</v>
      </c>
      <c r="Y3991">
        <v>567</v>
      </c>
      <c r="Z3991">
        <v>1072.1273144328541</v>
      </c>
      <c r="AA3991">
        <v>198</v>
      </c>
      <c r="AB3991">
        <v>332</v>
      </c>
      <c r="AC3991">
        <v>536</v>
      </c>
      <c r="AD3991">
        <v>33.19</v>
      </c>
      <c r="AE3991">
        <v>542</v>
      </c>
      <c r="AF3991">
        <v>41</v>
      </c>
      <c r="AG3991">
        <v>175</v>
      </c>
      <c r="AH3991">
        <v>129</v>
      </c>
      <c r="AI3991">
        <v>7.56</v>
      </c>
      <c r="AJ3991">
        <v>32.29</v>
      </c>
      <c r="AK3991">
        <v>23.8</v>
      </c>
      <c r="AL3991">
        <v>-20.12548399999994</v>
      </c>
      <c r="AM3991">
        <v>-44.903913990586467</v>
      </c>
      <c r="AN3991">
        <v>-20.12548399999994</v>
      </c>
      <c r="AO3991">
        <v>-44.903913990586467</v>
      </c>
      <c r="AP3991">
        <v>-20.123483</v>
      </c>
      <c r="AQ3991">
        <v>-44.904159</v>
      </c>
      <c r="AR3991">
        <v>224.218591682908</v>
      </c>
      <c r="AS3991" t="s">
        <v>65</v>
      </c>
      <c r="AT3991">
        <v>1</v>
      </c>
      <c r="AU3991" t="s">
        <v>1272</v>
      </c>
      <c r="AV3991" t="s">
        <v>1273</v>
      </c>
      <c r="AW3991" t="s">
        <v>60</v>
      </c>
      <c r="AX3991" t="s">
        <v>68</v>
      </c>
      <c r="AY3991" t="s">
        <v>69</v>
      </c>
      <c r="AZ3991" t="b">
        <v>1</v>
      </c>
    </row>
    <row r="3992" spans="1:52" x14ac:dyDescent="0.3">
      <c r="A3992" t="s">
        <v>52</v>
      </c>
      <c r="B3992" t="s">
        <v>53</v>
      </c>
      <c r="C3992" t="s">
        <v>54</v>
      </c>
      <c r="D3992" t="s">
        <v>55</v>
      </c>
      <c r="E3992" t="s">
        <v>2206</v>
      </c>
      <c r="F3992" t="s">
        <v>1247</v>
      </c>
      <c r="G3992" t="s">
        <v>870</v>
      </c>
      <c r="H3992" t="s">
        <v>871</v>
      </c>
      <c r="I3992" t="s">
        <v>871</v>
      </c>
      <c r="J3992" t="s">
        <v>60</v>
      </c>
      <c r="K3992" t="s">
        <v>475</v>
      </c>
      <c r="L3992" t="s">
        <v>62</v>
      </c>
      <c r="M3992" t="s">
        <v>475</v>
      </c>
      <c r="N3992" t="s">
        <v>872</v>
      </c>
      <c r="O3992" t="s">
        <v>507</v>
      </c>
      <c r="P3992">
        <v>-20.176269999999999</v>
      </c>
      <c r="Q3992">
        <v>-44.909323999999998</v>
      </c>
      <c r="R3992" s="2" t="str">
        <f>HYPERLINK("https://www.google.com/maps?q=-20.1762700,-44.9093240","Abrir no Google Maps")</f>
        <v>Abrir no Google Maps</v>
      </c>
      <c r="S3992">
        <v>3</v>
      </c>
      <c r="T3992">
        <v>472.42731136821368</v>
      </c>
      <c r="U3992">
        <v>4</v>
      </c>
      <c r="V3992">
        <v>0.45649276636472119</v>
      </c>
      <c r="W3992">
        <v>1</v>
      </c>
      <c r="X3992">
        <v>0.45649276636472119</v>
      </c>
      <c r="Y3992">
        <v>578</v>
      </c>
      <c r="Z3992">
        <v>495.19726726344601</v>
      </c>
      <c r="AA3992">
        <v>198</v>
      </c>
      <c r="AB3992">
        <v>332</v>
      </c>
      <c r="AC3992">
        <v>536</v>
      </c>
      <c r="AD3992">
        <v>33.19</v>
      </c>
      <c r="AE3992">
        <v>542</v>
      </c>
      <c r="AF3992">
        <v>41</v>
      </c>
      <c r="AG3992">
        <v>175</v>
      </c>
      <c r="AH3992">
        <v>129</v>
      </c>
      <c r="AI3992">
        <v>7.56</v>
      </c>
      <c r="AJ3992">
        <v>32.29</v>
      </c>
      <c r="AK3992">
        <v>23.8</v>
      </c>
      <c r="AL3992">
        <v>-20.17630284999996</v>
      </c>
      <c r="AM3992">
        <v>-44.909199064318948</v>
      </c>
      <c r="AN3992">
        <v>-20.17630284999996</v>
      </c>
      <c r="AO3992">
        <v>-44.909199064318948</v>
      </c>
      <c r="AP3992">
        <v>-20.176269999999999</v>
      </c>
      <c r="AQ3992">
        <v>-44.909323999999998</v>
      </c>
      <c r="AR3992">
        <v>13.55691308737447</v>
      </c>
      <c r="AS3992" t="s">
        <v>65</v>
      </c>
      <c r="AT3992">
        <v>1</v>
      </c>
      <c r="AU3992" t="s">
        <v>873</v>
      </c>
      <c r="AV3992" t="s">
        <v>874</v>
      </c>
      <c r="AW3992" t="s">
        <v>60</v>
      </c>
      <c r="AX3992" t="s">
        <v>68</v>
      </c>
      <c r="AY3992" t="s">
        <v>69</v>
      </c>
      <c r="AZ3992" t="b">
        <v>1</v>
      </c>
    </row>
    <row r="3993" spans="1:52" x14ac:dyDescent="0.3">
      <c r="A3993" t="s">
        <v>52</v>
      </c>
      <c r="B3993" t="s">
        <v>53</v>
      </c>
      <c r="C3993" t="s">
        <v>54</v>
      </c>
      <c r="D3993" t="s">
        <v>55</v>
      </c>
      <c r="E3993" t="s">
        <v>2206</v>
      </c>
      <c r="F3993" t="s">
        <v>1247</v>
      </c>
      <c r="G3993" t="s">
        <v>380</v>
      </c>
      <c r="H3993" t="s">
        <v>381</v>
      </c>
      <c r="I3993" t="s">
        <v>381</v>
      </c>
      <c r="J3993" t="s">
        <v>60</v>
      </c>
      <c r="K3993" t="s">
        <v>72</v>
      </c>
      <c r="L3993" t="s">
        <v>62</v>
      </c>
      <c r="M3993" t="s">
        <v>72</v>
      </c>
      <c r="N3993" t="s">
        <v>382</v>
      </c>
      <c r="O3993" t="s">
        <v>383</v>
      </c>
      <c r="P3993">
        <v>-20.147182000000001</v>
      </c>
      <c r="Q3993">
        <v>-44.912728999999999</v>
      </c>
      <c r="R3993" s="2" t="str">
        <f>HYPERLINK("https://www.google.com/maps?q=-20.1471820,-44.9127290","Abrir no Google Maps")</f>
        <v>Abrir no Google Maps</v>
      </c>
      <c r="S3993">
        <v>3</v>
      </c>
      <c r="T3993">
        <v>478.0141981540923</v>
      </c>
      <c r="U3993">
        <v>3</v>
      </c>
      <c r="V3993">
        <v>0.38336308767281968</v>
      </c>
      <c r="W3993">
        <v>1</v>
      </c>
      <c r="X3993">
        <v>0.38336308767281968</v>
      </c>
      <c r="Y3993">
        <v>747</v>
      </c>
      <c r="Z3993">
        <v>494.0254290673729</v>
      </c>
      <c r="AA3993">
        <v>198</v>
      </c>
      <c r="AB3993">
        <v>332</v>
      </c>
      <c r="AC3993">
        <v>536</v>
      </c>
      <c r="AD3993">
        <v>33.19</v>
      </c>
      <c r="AE3993">
        <v>542</v>
      </c>
      <c r="AF3993">
        <v>41</v>
      </c>
      <c r="AG3993">
        <v>175</v>
      </c>
      <c r="AH3993">
        <v>129</v>
      </c>
      <c r="AI3993">
        <v>7.56</v>
      </c>
      <c r="AJ3993">
        <v>32.29</v>
      </c>
      <c r="AK3993">
        <v>23.8</v>
      </c>
      <c r="AL3993">
        <v>-20.147375599999979</v>
      </c>
      <c r="AM3993">
        <v>-44.912907472879468</v>
      </c>
      <c r="AN3993">
        <v>-20.147375599999979</v>
      </c>
      <c r="AO3993">
        <v>-44.912907472879468</v>
      </c>
      <c r="AP3993">
        <v>-20.147182000000001</v>
      </c>
      <c r="AQ3993">
        <v>-44.912728999999999</v>
      </c>
      <c r="AR3993">
        <v>28.50197694184326</v>
      </c>
      <c r="AS3993" t="s">
        <v>65</v>
      </c>
      <c r="AT3993">
        <v>1</v>
      </c>
      <c r="AU3993" t="s">
        <v>384</v>
      </c>
      <c r="AV3993" t="s">
        <v>385</v>
      </c>
      <c r="AW3993" t="s">
        <v>60</v>
      </c>
      <c r="AX3993" t="s">
        <v>68</v>
      </c>
      <c r="AY3993" t="s">
        <v>69</v>
      </c>
      <c r="AZ3993" t="b">
        <v>1</v>
      </c>
    </row>
    <row r="3994" spans="1:52" x14ac:dyDescent="0.3">
      <c r="A3994" t="s">
        <v>52</v>
      </c>
      <c r="B3994" t="s">
        <v>53</v>
      </c>
      <c r="C3994" t="s">
        <v>54</v>
      </c>
      <c r="D3994" t="s">
        <v>55</v>
      </c>
      <c r="E3994" t="s">
        <v>2206</v>
      </c>
      <c r="F3994" t="s">
        <v>1247</v>
      </c>
      <c r="G3994" t="s">
        <v>833</v>
      </c>
      <c r="H3994" t="s">
        <v>834</v>
      </c>
      <c r="I3994" t="s">
        <v>834</v>
      </c>
      <c r="J3994" t="s">
        <v>60</v>
      </c>
      <c r="K3994" t="s">
        <v>388</v>
      </c>
      <c r="L3994" t="s">
        <v>62</v>
      </c>
      <c r="M3994" t="s">
        <v>388</v>
      </c>
      <c r="N3994" t="s">
        <v>835</v>
      </c>
      <c r="O3994" t="s">
        <v>836</v>
      </c>
      <c r="P3994">
        <v>-20.157906000000001</v>
      </c>
      <c r="Q3994">
        <v>-44.900458999999998</v>
      </c>
      <c r="R3994" s="2" t="str">
        <f>HYPERLINK("https://www.google.com/maps?q=-20.1579060,-44.9004590","Abrir no Google Maps")</f>
        <v>Abrir no Google Maps</v>
      </c>
      <c r="S3994">
        <v>3</v>
      </c>
      <c r="T3994">
        <v>0</v>
      </c>
      <c r="U3994">
        <v>3</v>
      </c>
      <c r="V3994">
        <v>0.37747030220340461</v>
      </c>
      <c r="W3994">
        <v>1</v>
      </c>
      <c r="X3994">
        <v>0.37747030220340461</v>
      </c>
      <c r="Y3994">
        <v>729</v>
      </c>
      <c r="Z3994">
        <v>203.63168486652771</v>
      </c>
      <c r="AA3994">
        <v>198</v>
      </c>
      <c r="AB3994">
        <v>332</v>
      </c>
      <c r="AC3994">
        <v>536</v>
      </c>
      <c r="AD3994">
        <v>33.19</v>
      </c>
      <c r="AE3994">
        <v>542</v>
      </c>
      <c r="AF3994">
        <v>41</v>
      </c>
      <c r="AG3994">
        <v>175</v>
      </c>
      <c r="AH3994">
        <v>129</v>
      </c>
      <c r="AI3994">
        <v>7.56</v>
      </c>
      <c r="AJ3994">
        <v>32.29</v>
      </c>
      <c r="AK3994">
        <v>23.8</v>
      </c>
      <c r="AL3994">
        <v>-20.157925749999951</v>
      </c>
      <c r="AM3994">
        <v>-44.900484707799812</v>
      </c>
      <c r="AN3994">
        <v>-20.157925749999951</v>
      </c>
      <c r="AO3994">
        <v>-44.900484707799812</v>
      </c>
      <c r="AP3994">
        <v>-20.157906000000001</v>
      </c>
      <c r="AQ3994">
        <v>-44.900458999999998</v>
      </c>
      <c r="AR3994">
        <v>3.4714515960382508</v>
      </c>
      <c r="AS3994" t="s">
        <v>65</v>
      </c>
      <c r="AT3994">
        <v>1</v>
      </c>
      <c r="AU3994" t="s">
        <v>837</v>
      </c>
      <c r="AV3994" t="s">
        <v>838</v>
      </c>
      <c r="AW3994" t="s">
        <v>60</v>
      </c>
      <c r="AX3994" t="s">
        <v>68</v>
      </c>
      <c r="AY3994" t="s">
        <v>69</v>
      </c>
      <c r="AZ3994" t="b">
        <v>1</v>
      </c>
    </row>
    <row r="3995" spans="1:52" x14ac:dyDescent="0.3">
      <c r="A3995" t="s">
        <v>52</v>
      </c>
      <c r="B3995" t="s">
        <v>53</v>
      </c>
      <c r="C3995" t="s">
        <v>54</v>
      </c>
      <c r="D3995" t="s">
        <v>55</v>
      </c>
      <c r="E3995" t="s">
        <v>2206</v>
      </c>
      <c r="F3995" t="s">
        <v>1247</v>
      </c>
      <c r="G3995" t="s">
        <v>839</v>
      </c>
      <c r="H3995" t="s">
        <v>840</v>
      </c>
      <c r="I3995" t="s">
        <v>840</v>
      </c>
      <c r="J3995" t="s">
        <v>60</v>
      </c>
      <c r="K3995" t="s">
        <v>388</v>
      </c>
      <c r="L3995" t="s">
        <v>62</v>
      </c>
      <c r="M3995" t="s">
        <v>388</v>
      </c>
      <c r="N3995" t="s">
        <v>841</v>
      </c>
      <c r="O3995" t="s">
        <v>842</v>
      </c>
      <c r="P3995">
        <v>-20.159977999999999</v>
      </c>
      <c r="Q3995">
        <v>-44.900207000000002</v>
      </c>
      <c r="R3995" s="2" t="str">
        <f>HYPERLINK("https://www.google.com/maps?q=-20.1599780,-44.9002070","Abrir no Google Maps")</f>
        <v>Abrir no Google Maps</v>
      </c>
      <c r="S3995">
        <v>3</v>
      </c>
      <c r="T3995">
        <v>213.24333517300789</v>
      </c>
      <c r="U3995">
        <v>3</v>
      </c>
      <c r="V3995">
        <v>0.37580926377860902</v>
      </c>
      <c r="W3995">
        <v>1</v>
      </c>
      <c r="X3995">
        <v>0.37580926377860902</v>
      </c>
      <c r="Y3995">
        <v>729</v>
      </c>
      <c r="Z3995">
        <v>315.47173727880028</v>
      </c>
      <c r="AA3995">
        <v>198</v>
      </c>
      <c r="AB3995">
        <v>332</v>
      </c>
      <c r="AC3995">
        <v>536</v>
      </c>
      <c r="AD3995">
        <v>33.19</v>
      </c>
      <c r="AE3995">
        <v>542</v>
      </c>
      <c r="AF3995">
        <v>41</v>
      </c>
      <c r="AG3995">
        <v>175</v>
      </c>
      <c r="AH3995">
        <v>129</v>
      </c>
      <c r="AI3995">
        <v>7.56</v>
      </c>
      <c r="AJ3995">
        <v>32.29</v>
      </c>
      <c r="AK3995">
        <v>23.8</v>
      </c>
      <c r="AL3995">
        <v>-20.159825649999959</v>
      </c>
      <c r="AM3995">
        <v>-44.900143828909613</v>
      </c>
      <c r="AN3995">
        <v>-20.159825649999959</v>
      </c>
      <c r="AO3995">
        <v>-44.900143828909613</v>
      </c>
      <c r="AP3995">
        <v>-20.159977999999999</v>
      </c>
      <c r="AQ3995">
        <v>-44.900207000000002</v>
      </c>
      <c r="AR3995">
        <v>18.199073573580371</v>
      </c>
      <c r="AS3995" t="s">
        <v>65</v>
      </c>
      <c r="AT3995">
        <v>1</v>
      </c>
      <c r="AU3995" t="s">
        <v>843</v>
      </c>
      <c r="AV3995" t="s">
        <v>844</v>
      </c>
      <c r="AW3995" t="s">
        <v>60</v>
      </c>
      <c r="AX3995" t="s">
        <v>68</v>
      </c>
      <c r="AY3995" t="s">
        <v>69</v>
      </c>
      <c r="AZ3995" t="b">
        <v>1</v>
      </c>
    </row>
    <row r="3996" spans="1:52" x14ac:dyDescent="0.3">
      <c r="A3996" t="s">
        <v>52</v>
      </c>
      <c r="B3996" t="s">
        <v>53</v>
      </c>
      <c r="C3996" t="s">
        <v>54</v>
      </c>
      <c r="D3996" t="s">
        <v>55</v>
      </c>
      <c r="E3996" t="s">
        <v>2206</v>
      </c>
      <c r="F3996" t="s">
        <v>1247</v>
      </c>
      <c r="G3996" t="s">
        <v>1278</v>
      </c>
      <c r="H3996" t="s">
        <v>1279</v>
      </c>
      <c r="I3996" t="s">
        <v>1279</v>
      </c>
      <c r="J3996" t="s">
        <v>60</v>
      </c>
      <c r="K3996" t="s">
        <v>388</v>
      </c>
      <c r="L3996" t="s">
        <v>62</v>
      </c>
      <c r="M3996" t="s">
        <v>388</v>
      </c>
      <c r="N3996" t="s">
        <v>1280</v>
      </c>
      <c r="O3996" t="s">
        <v>216</v>
      </c>
      <c r="P3996">
        <v>-20.15681</v>
      </c>
      <c r="Q3996">
        <v>-44.899290999999998</v>
      </c>
      <c r="R3996" s="2" t="str">
        <f>HYPERLINK("https://www.google.com/maps?q=-20.1568100,-44.8992910","Abrir no Google Maps")</f>
        <v>Abrir no Google Maps</v>
      </c>
      <c r="S3996">
        <v>3</v>
      </c>
      <c r="T3996">
        <v>180.10162979749811</v>
      </c>
      <c r="U3996">
        <v>3</v>
      </c>
      <c r="V3996">
        <v>0.43779824430629671</v>
      </c>
      <c r="W3996">
        <v>0.85</v>
      </c>
      <c r="X3996">
        <v>0.37212850766035221</v>
      </c>
      <c r="Y3996">
        <v>729</v>
      </c>
      <c r="Z3996">
        <v>368.06065118133841</v>
      </c>
      <c r="AA3996">
        <v>198</v>
      </c>
      <c r="AB3996">
        <v>332</v>
      </c>
      <c r="AC3996">
        <v>536</v>
      </c>
      <c r="AD3996">
        <v>33.19</v>
      </c>
      <c r="AE3996">
        <v>542</v>
      </c>
      <c r="AF3996">
        <v>41</v>
      </c>
      <c r="AG3996">
        <v>175</v>
      </c>
      <c r="AH3996">
        <v>129</v>
      </c>
      <c r="AI3996">
        <v>7.56</v>
      </c>
      <c r="AJ3996">
        <v>32.29</v>
      </c>
      <c r="AK3996">
        <v>23.8</v>
      </c>
      <c r="AL3996">
        <v>-20.156785649999961</v>
      </c>
      <c r="AM3996">
        <v>-44.899254812291332</v>
      </c>
      <c r="AN3996">
        <v>-20.156785649999961</v>
      </c>
      <c r="AO3996">
        <v>-44.899254812291332</v>
      </c>
      <c r="AP3996">
        <v>-20.15681</v>
      </c>
      <c r="AQ3996">
        <v>-44.899290999999998</v>
      </c>
      <c r="AR3996">
        <v>4.6528211992813118</v>
      </c>
      <c r="AS3996" t="s">
        <v>65</v>
      </c>
      <c r="AT3996">
        <v>1</v>
      </c>
      <c r="AU3996" t="s">
        <v>1281</v>
      </c>
      <c r="AV3996" t="s">
        <v>1282</v>
      </c>
      <c r="AW3996" t="s">
        <v>60</v>
      </c>
      <c r="AX3996" t="s">
        <v>68</v>
      </c>
      <c r="AY3996" t="s">
        <v>69</v>
      </c>
      <c r="AZ3996" t="b">
        <v>1</v>
      </c>
    </row>
    <row r="3997" spans="1:52" x14ac:dyDescent="0.3">
      <c r="A3997" t="s">
        <v>52</v>
      </c>
      <c r="B3997" t="s">
        <v>53</v>
      </c>
      <c r="C3997" t="s">
        <v>54</v>
      </c>
      <c r="D3997" t="s">
        <v>55</v>
      </c>
      <c r="E3997" t="s">
        <v>2206</v>
      </c>
      <c r="F3997" t="s">
        <v>1247</v>
      </c>
      <c r="G3997" t="s">
        <v>1417</v>
      </c>
      <c r="H3997" t="s">
        <v>1418</v>
      </c>
      <c r="I3997" t="s">
        <v>1418</v>
      </c>
      <c r="J3997" t="s">
        <v>60</v>
      </c>
      <c r="K3997" t="s">
        <v>1419</v>
      </c>
      <c r="L3997" t="s">
        <v>62</v>
      </c>
      <c r="M3997" t="s">
        <v>1419</v>
      </c>
      <c r="N3997" t="s">
        <v>1420</v>
      </c>
      <c r="O3997" t="s">
        <v>1421</v>
      </c>
      <c r="P3997">
        <v>-20.159427000000001</v>
      </c>
      <c r="Q3997">
        <v>-44.897143</v>
      </c>
      <c r="R3997" s="2" t="str">
        <f>HYPERLINK("https://www.google.com/maps?q=-20.1594270,-44.8971430","Abrir no Google Maps")</f>
        <v>Abrir no Google Maps</v>
      </c>
      <c r="S3997">
        <v>3</v>
      </c>
      <c r="T3997">
        <v>392.64349875646298</v>
      </c>
      <c r="U3997">
        <v>3</v>
      </c>
      <c r="V3997">
        <v>0.44789135796066443</v>
      </c>
      <c r="W3997">
        <v>0.85</v>
      </c>
      <c r="X3997">
        <v>0.38070765426656478</v>
      </c>
      <c r="Y3997">
        <v>729</v>
      </c>
      <c r="Z3997">
        <v>550.20062797366995</v>
      </c>
      <c r="AA3997">
        <v>198</v>
      </c>
      <c r="AB3997">
        <v>332</v>
      </c>
      <c r="AC3997">
        <v>536</v>
      </c>
      <c r="AD3997">
        <v>33.19</v>
      </c>
      <c r="AE3997">
        <v>542</v>
      </c>
      <c r="AF3997">
        <v>41</v>
      </c>
      <c r="AG3997">
        <v>175</v>
      </c>
      <c r="AH3997">
        <v>129</v>
      </c>
      <c r="AI3997">
        <v>7.56</v>
      </c>
      <c r="AJ3997">
        <v>32.29</v>
      </c>
      <c r="AK3997">
        <v>23.8</v>
      </c>
      <c r="AL3997">
        <v>-20.15946549999995</v>
      </c>
      <c r="AM3997">
        <v>-44.89709959354267</v>
      </c>
      <c r="AN3997">
        <v>-20.15946549999995</v>
      </c>
      <c r="AO3997">
        <v>-44.89709959354267</v>
      </c>
      <c r="AP3997">
        <v>-20.159427000000001</v>
      </c>
      <c r="AQ3997">
        <v>-44.897143</v>
      </c>
      <c r="AR3997">
        <v>6.2404649979039286</v>
      </c>
      <c r="AS3997" t="s">
        <v>65</v>
      </c>
      <c r="AT3997">
        <v>1</v>
      </c>
      <c r="AU3997" t="s">
        <v>1422</v>
      </c>
      <c r="AV3997" t="s">
        <v>1423</v>
      </c>
      <c r="AW3997" t="s">
        <v>60</v>
      </c>
      <c r="AX3997" t="s">
        <v>68</v>
      </c>
      <c r="AY3997" t="s">
        <v>69</v>
      </c>
      <c r="AZ3997" t="b">
        <v>1</v>
      </c>
    </row>
    <row r="3998" spans="1:52" x14ac:dyDescent="0.3">
      <c r="A3998" t="s">
        <v>52</v>
      </c>
      <c r="B3998" t="s">
        <v>53</v>
      </c>
      <c r="C3998" t="s">
        <v>54</v>
      </c>
      <c r="D3998" t="s">
        <v>55</v>
      </c>
      <c r="E3998" t="s">
        <v>2206</v>
      </c>
      <c r="F3998" t="s">
        <v>1247</v>
      </c>
      <c r="G3998" t="s">
        <v>422</v>
      </c>
      <c r="H3998" t="s">
        <v>423</v>
      </c>
      <c r="I3998" t="s">
        <v>423</v>
      </c>
      <c r="J3998" t="s">
        <v>60</v>
      </c>
      <c r="K3998" t="s">
        <v>424</v>
      </c>
      <c r="L3998" t="s">
        <v>62</v>
      </c>
      <c r="M3998" t="s">
        <v>424</v>
      </c>
      <c r="N3998" t="s">
        <v>425</v>
      </c>
      <c r="O3998" t="s">
        <v>426</v>
      </c>
      <c r="P3998">
        <v>-20.177748000000001</v>
      </c>
      <c r="Q3998">
        <v>-44.912475000000001</v>
      </c>
      <c r="R3998" s="2" t="str">
        <f>HYPERLINK("https://www.google.com/maps?q=-20.1777480,-44.9124750","Abrir no Google Maps")</f>
        <v>Abrir no Google Maps</v>
      </c>
      <c r="S3998">
        <v>3</v>
      </c>
      <c r="T3998">
        <v>657.07560140436533</v>
      </c>
      <c r="U3998">
        <v>3</v>
      </c>
      <c r="V3998">
        <v>0.40006328014573311</v>
      </c>
      <c r="W3998">
        <v>1</v>
      </c>
      <c r="X3998">
        <v>0.40006328014573311</v>
      </c>
      <c r="Y3998">
        <v>723</v>
      </c>
      <c r="Z3998">
        <v>796.94198000561175</v>
      </c>
      <c r="AA3998">
        <v>198</v>
      </c>
      <c r="AB3998">
        <v>332</v>
      </c>
      <c r="AC3998">
        <v>536</v>
      </c>
      <c r="AD3998">
        <v>33.19</v>
      </c>
      <c r="AE3998">
        <v>542</v>
      </c>
      <c r="AF3998">
        <v>41</v>
      </c>
      <c r="AG3998">
        <v>175</v>
      </c>
      <c r="AH3998">
        <v>129</v>
      </c>
      <c r="AI3998">
        <v>7.56</v>
      </c>
      <c r="AJ3998">
        <v>32.29</v>
      </c>
      <c r="AK3998">
        <v>23.8</v>
      </c>
      <c r="AL3998">
        <v>-20.177761749999949</v>
      </c>
      <c r="AM3998">
        <v>-44.91263311624418</v>
      </c>
      <c r="AN3998">
        <v>-20.177761749999949</v>
      </c>
      <c r="AO3998">
        <v>-44.91263311624418</v>
      </c>
      <c r="AP3998">
        <v>-20.177748000000001</v>
      </c>
      <c r="AQ3998">
        <v>-44.912475000000001</v>
      </c>
      <c r="AR3998">
        <v>16.591996803075372</v>
      </c>
      <c r="AS3998" t="s">
        <v>65</v>
      </c>
      <c r="AT3998">
        <v>1</v>
      </c>
      <c r="AU3998" t="s">
        <v>427</v>
      </c>
      <c r="AV3998" t="s">
        <v>428</v>
      </c>
      <c r="AW3998" t="s">
        <v>60</v>
      </c>
      <c r="AX3998" t="s">
        <v>68</v>
      </c>
      <c r="AY3998" t="s">
        <v>69</v>
      </c>
      <c r="AZ3998" t="b">
        <v>1</v>
      </c>
    </row>
    <row r="3999" spans="1:52" x14ac:dyDescent="0.3">
      <c r="A3999" t="s">
        <v>52</v>
      </c>
      <c r="B3999" t="s">
        <v>53</v>
      </c>
      <c r="C3999" t="s">
        <v>54</v>
      </c>
      <c r="D3999" t="s">
        <v>55</v>
      </c>
      <c r="E3999" t="s">
        <v>2206</v>
      </c>
      <c r="F3999" t="s">
        <v>1247</v>
      </c>
      <c r="G3999" t="s">
        <v>1318</v>
      </c>
      <c r="H3999" t="s">
        <v>1319</v>
      </c>
      <c r="I3999" t="s">
        <v>1319</v>
      </c>
      <c r="J3999" t="s">
        <v>60</v>
      </c>
      <c r="K3999" t="s">
        <v>1314</v>
      </c>
      <c r="L3999" t="s">
        <v>62</v>
      </c>
      <c r="M3999" t="s">
        <v>1314</v>
      </c>
      <c r="N3999" t="s">
        <v>1320</v>
      </c>
      <c r="O3999" t="s">
        <v>1321</v>
      </c>
      <c r="P3999">
        <v>-20.178615000000001</v>
      </c>
      <c r="Q3999">
        <v>-44.924697999999999</v>
      </c>
      <c r="R3999" s="2" t="str">
        <f>HYPERLINK("https://www.google.com/maps?q=-20.1786150,-44.9246980","Abrir no Google Maps")</f>
        <v>Abrir no Google Maps</v>
      </c>
      <c r="S3999">
        <v>3</v>
      </c>
      <c r="T3999">
        <v>1583.462557226148</v>
      </c>
      <c r="U3999">
        <v>3</v>
      </c>
      <c r="V3999">
        <v>0.43354214160591548</v>
      </c>
      <c r="W3999">
        <v>0.85</v>
      </c>
      <c r="X3999">
        <v>0.36851082036502808</v>
      </c>
      <c r="Y3999">
        <v>723</v>
      </c>
      <c r="Z3999">
        <v>1414.1542726995031</v>
      </c>
      <c r="AA3999">
        <v>198</v>
      </c>
      <c r="AB3999">
        <v>332</v>
      </c>
      <c r="AC3999">
        <v>536</v>
      </c>
      <c r="AD3999">
        <v>33.19</v>
      </c>
      <c r="AE3999">
        <v>542</v>
      </c>
      <c r="AF3999">
        <v>41</v>
      </c>
      <c r="AG3999">
        <v>175</v>
      </c>
      <c r="AH3999">
        <v>129</v>
      </c>
      <c r="AI3999">
        <v>7.56</v>
      </c>
      <c r="AJ3999">
        <v>32.29</v>
      </c>
      <c r="AK3999">
        <v>23.8</v>
      </c>
      <c r="AL3999">
        <v>-20.17821329999995</v>
      </c>
      <c r="AM3999">
        <v>-44.924188563452951</v>
      </c>
      <c r="AN3999">
        <v>-20.17821329999995</v>
      </c>
      <c r="AO3999">
        <v>-44.924188563452951</v>
      </c>
      <c r="AP3999">
        <v>-20.178615000000001</v>
      </c>
      <c r="AQ3999">
        <v>-44.924697999999999</v>
      </c>
      <c r="AR3999">
        <v>69.520116290580319</v>
      </c>
      <c r="AS3999" t="s">
        <v>65</v>
      </c>
      <c r="AT3999">
        <v>1</v>
      </c>
      <c r="AU3999" t="s">
        <v>1322</v>
      </c>
      <c r="AV3999" t="s">
        <v>1317</v>
      </c>
      <c r="AW3999" t="s">
        <v>60</v>
      </c>
      <c r="AX3999" t="s">
        <v>68</v>
      </c>
      <c r="AY3999" t="s">
        <v>69</v>
      </c>
      <c r="AZ3999" t="b">
        <v>1</v>
      </c>
    </row>
    <row r="4000" spans="1:52" x14ac:dyDescent="0.3">
      <c r="A4000" t="s">
        <v>52</v>
      </c>
      <c r="B4000" t="s">
        <v>53</v>
      </c>
      <c r="C4000" t="s">
        <v>54</v>
      </c>
      <c r="D4000" t="s">
        <v>55</v>
      </c>
      <c r="E4000" t="s">
        <v>2206</v>
      </c>
      <c r="F4000" t="s">
        <v>1247</v>
      </c>
      <c r="G4000" t="s">
        <v>851</v>
      </c>
      <c r="H4000" t="s">
        <v>852</v>
      </c>
      <c r="I4000" t="s">
        <v>852</v>
      </c>
      <c r="J4000" t="s">
        <v>60</v>
      </c>
      <c r="K4000" t="s">
        <v>853</v>
      </c>
      <c r="L4000" t="s">
        <v>62</v>
      </c>
      <c r="M4000" t="s">
        <v>853</v>
      </c>
      <c r="N4000" t="s">
        <v>854</v>
      </c>
      <c r="O4000" t="s">
        <v>855</v>
      </c>
      <c r="P4000">
        <v>-20.127835000000001</v>
      </c>
      <c r="Q4000">
        <v>-44.909329</v>
      </c>
      <c r="R4000" s="2" t="str">
        <f>HYPERLINK("https://www.google.com/maps?q=-20.1278350,-44.9093290","Abrir no Google Maps")</f>
        <v>Abrir no Google Maps</v>
      </c>
      <c r="S4000">
        <v>3</v>
      </c>
      <c r="T4000">
        <v>1173.033690896357</v>
      </c>
      <c r="U4000">
        <v>3</v>
      </c>
      <c r="V4000">
        <v>0.39958995208360609</v>
      </c>
      <c r="W4000">
        <v>1</v>
      </c>
      <c r="X4000">
        <v>0.39958995208360609</v>
      </c>
      <c r="Y4000">
        <v>581</v>
      </c>
      <c r="Z4000">
        <v>1296.5011565926129</v>
      </c>
      <c r="AA4000">
        <v>198</v>
      </c>
      <c r="AB4000">
        <v>332</v>
      </c>
      <c r="AC4000">
        <v>536</v>
      </c>
      <c r="AD4000">
        <v>33.19</v>
      </c>
      <c r="AE4000">
        <v>542</v>
      </c>
      <c r="AF4000">
        <v>41</v>
      </c>
      <c r="AG4000">
        <v>175</v>
      </c>
      <c r="AH4000">
        <v>129</v>
      </c>
      <c r="AI4000">
        <v>7.56</v>
      </c>
      <c r="AJ4000">
        <v>32.29</v>
      </c>
      <c r="AK4000">
        <v>23.8</v>
      </c>
      <c r="AL4000">
        <v>-20.127852899999969</v>
      </c>
      <c r="AM4000">
        <v>-44.909386667699948</v>
      </c>
      <c r="AN4000">
        <v>-20.127852899999969</v>
      </c>
      <c r="AO4000">
        <v>-44.909386667699948</v>
      </c>
      <c r="AP4000">
        <v>-20.127835000000001</v>
      </c>
      <c r="AQ4000">
        <v>-44.909329</v>
      </c>
      <c r="AR4000">
        <v>6.3483385067119924</v>
      </c>
      <c r="AS4000" t="s">
        <v>65</v>
      </c>
      <c r="AT4000">
        <v>1</v>
      </c>
      <c r="AU4000" t="s">
        <v>856</v>
      </c>
      <c r="AV4000" t="s">
        <v>857</v>
      </c>
      <c r="AW4000" t="s">
        <v>60</v>
      </c>
      <c r="AX4000" t="s">
        <v>68</v>
      </c>
      <c r="AY4000" t="s">
        <v>69</v>
      </c>
      <c r="AZ4000" t="b">
        <v>1</v>
      </c>
    </row>
    <row r="4001" spans="1:52" x14ac:dyDescent="0.3">
      <c r="A4001" t="s">
        <v>52</v>
      </c>
      <c r="B4001" t="s">
        <v>53</v>
      </c>
      <c r="C4001" t="s">
        <v>54</v>
      </c>
      <c r="D4001" t="s">
        <v>55</v>
      </c>
      <c r="E4001" t="s">
        <v>2206</v>
      </c>
      <c r="F4001" t="s">
        <v>1247</v>
      </c>
      <c r="G4001" t="s">
        <v>864</v>
      </c>
      <c r="H4001" t="s">
        <v>865</v>
      </c>
      <c r="I4001" t="s">
        <v>865</v>
      </c>
      <c r="J4001" t="s">
        <v>60</v>
      </c>
      <c r="K4001" t="s">
        <v>486</v>
      </c>
      <c r="L4001" t="s">
        <v>62</v>
      </c>
      <c r="M4001" t="s">
        <v>486</v>
      </c>
      <c r="N4001" t="s">
        <v>866</v>
      </c>
      <c r="O4001" t="s">
        <v>867</v>
      </c>
      <c r="P4001">
        <v>-20.170919000000001</v>
      </c>
      <c r="Q4001">
        <v>-44.905451999999997</v>
      </c>
      <c r="R4001" s="2" t="str">
        <f>HYPERLINK("https://www.google.com/maps?q=-20.1709190,-44.9054520","Abrir no Google Maps")</f>
        <v>Abrir no Google Maps</v>
      </c>
      <c r="S4001">
        <v>3</v>
      </c>
      <c r="T4001">
        <v>0</v>
      </c>
      <c r="U4001">
        <v>3</v>
      </c>
      <c r="V4001">
        <v>0.36033162098677968</v>
      </c>
      <c r="W4001">
        <v>1</v>
      </c>
      <c r="X4001">
        <v>0.36033162098677968</v>
      </c>
      <c r="Y4001">
        <v>578</v>
      </c>
      <c r="Z4001">
        <v>205.34598855748419</v>
      </c>
      <c r="AA4001">
        <v>198</v>
      </c>
      <c r="AB4001">
        <v>332</v>
      </c>
      <c r="AC4001">
        <v>536</v>
      </c>
      <c r="AD4001">
        <v>33.19</v>
      </c>
      <c r="AE4001">
        <v>542</v>
      </c>
      <c r="AF4001">
        <v>41</v>
      </c>
      <c r="AG4001">
        <v>175</v>
      </c>
      <c r="AH4001">
        <v>129</v>
      </c>
      <c r="AI4001">
        <v>7.56</v>
      </c>
      <c r="AJ4001">
        <v>32.29</v>
      </c>
      <c r="AK4001">
        <v>23.8</v>
      </c>
      <c r="AL4001">
        <v>-20.170854399999939</v>
      </c>
      <c r="AM4001">
        <v>-44.905524839633358</v>
      </c>
      <c r="AN4001">
        <v>-20.170854399999939</v>
      </c>
      <c r="AO4001">
        <v>-44.905524839633358</v>
      </c>
      <c r="AP4001">
        <v>-20.170919000000001</v>
      </c>
      <c r="AQ4001">
        <v>-44.905451999999997</v>
      </c>
      <c r="AR4001">
        <v>10.471140355179269</v>
      </c>
      <c r="AS4001" t="s">
        <v>65</v>
      </c>
      <c r="AT4001">
        <v>1</v>
      </c>
      <c r="AU4001" t="s">
        <v>868</v>
      </c>
      <c r="AV4001" t="s">
        <v>869</v>
      </c>
      <c r="AW4001" t="s">
        <v>60</v>
      </c>
      <c r="AX4001" t="s">
        <v>68</v>
      </c>
      <c r="AY4001" t="s">
        <v>69</v>
      </c>
      <c r="AZ4001" t="b">
        <v>1</v>
      </c>
    </row>
    <row r="4002" spans="1:52" x14ac:dyDescent="0.3">
      <c r="A4002" t="s">
        <v>52</v>
      </c>
      <c r="B4002" t="s">
        <v>53</v>
      </c>
      <c r="C4002" t="s">
        <v>54</v>
      </c>
      <c r="D4002" t="s">
        <v>55</v>
      </c>
      <c r="E4002" t="s">
        <v>2206</v>
      </c>
      <c r="F4002" t="s">
        <v>1247</v>
      </c>
      <c r="G4002" t="s">
        <v>1376</v>
      </c>
      <c r="H4002" t="s">
        <v>1377</v>
      </c>
      <c r="I4002" t="s">
        <v>1377</v>
      </c>
      <c r="J4002" t="s">
        <v>60</v>
      </c>
      <c r="K4002" t="s">
        <v>475</v>
      </c>
      <c r="L4002" t="s">
        <v>62</v>
      </c>
      <c r="M4002" t="s">
        <v>475</v>
      </c>
      <c r="N4002" t="s">
        <v>1378</v>
      </c>
      <c r="O4002" t="s">
        <v>1379</v>
      </c>
      <c r="P4002">
        <v>-20.175298000000002</v>
      </c>
      <c r="Q4002">
        <v>-44.904794000000003</v>
      </c>
      <c r="R4002" s="2" t="str">
        <f>HYPERLINK("https://www.google.com/maps?q=-20.1752980,-44.9047940","Abrir no Google Maps")</f>
        <v>Abrir no Google Maps</v>
      </c>
      <c r="S4002">
        <v>3</v>
      </c>
      <c r="T4002">
        <v>497.7557906927301</v>
      </c>
      <c r="U4002">
        <v>3</v>
      </c>
      <c r="V4002">
        <v>0.42756449625773801</v>
      </c>
      <c r="W4002">
        <v>0.85</v>
      </c>
      <c r="X4002">
        <v>0.36342982181907729</v>
      </c>
      <c r="Y4002">
        <v>578</v>
      </c>
      <c r="Z4002">
        <v>363.80816567363502</v>
      </c>
      <c r="AA4002">
        <v>198</v>
      </c>
      <c r="AB4002">
        <v>332</v>
      </c>
      <c r="AC4002">
        <v>536</v>
      </c>
      <c r="AD4002">
        <v>33.19</v>
      </c>
      <c r="AE4002">
        <v>542</v>
      </c>
      <c r="AF4002">
        <v>41</v>
      </c>
      <c r="AG4002">
        <v>175</v>
      </c>
      <c r="AH4002">
        <v>129</v>
      </c>
      <c r="AI4002">
        <v>7.56</v>
      </c>
      <c r="AJ4002">
        <v>32.29</v>
      </c>
      <c r="AK4002">
        <v>23.8</v>
      </c>
      <c r="AL4002">
        <v>-20.17530484999995</v>
      </c>
      <c r="AM4002">
        <v>-44.904834224351781</v>
      </c>
      <c r="AN4002">
        <v>-20.17530484999995</v>
      </c>
      <c r="AO4002">
        <v>-44.904834224351781</v>
      </c>
      <c r="AP4002">
        <v>-20.175298000000002</v>
      </c>
      <c r="AQ4002">
        <v>-44.904794000000003</v>
      </c>
      <c r="AR4002">
        <v>4.2716392411563806</v>
      </c>
      <c r="AS4002" t="s">
        <v>65</v>
      </c>
      <c r="AT4002">
        <v>1</v>
      </c>
      <c r="AU4002" t="s">
        <v>1380</v>
      </c>
      <c r="AV4002" t="s">
        <v>1381</v>
      </c>
      <c r="AW4002" t="s">
        <v>60</v>
      </c>
      <c r="AX4002" t="s">
        <v>68</v>
      </c>
      <c r="AY4002" t="s">
        <v>69</v>
      </c>
      <c r="AZ4002" t="b">
        <v>1</v>
      </c>
    </row>
    <row r="4003" spans="1:52" x14ac:dyDescent="0.3">
      <c r="A4003" t="s">
        <v>52</v>
      </c>
      <c r="B4003" t="s">
        <v>53</v>
      </c>
      <c r="C4003" t="s">
        <v>54</v>
      </c>
      <c r="D4003" t="s">
        <v>55</v>
      </c>
      <c r="E4003" t="s">
        <v>2206</v>
      </c>
      <c r="F4003" t="s">
        <v>1247</v>
      </c>
      <c r="G4003" t="s">
        <v>473</v>
      </c>
      <c r="H4003" t="s">
        <v>474</v>
      </c>
      <c r="I4003" t="s">
        <v>474</v>
      </c>
      <c r="J4003" t="s">
        <v>60</v>
      </c>
      <c r="K4003" t="s">
        <v>475</v>
      </c>
      <c r="L4003" t="s">
        <v>62</v>
      </c>
      <c r="M4003" t="s">
        <v>475</v>
      </c>
      <c r="N4003" t="s">
        <v>406</v>
      </c>
      <c r="O4003" t="s">
        <v>476</v>
      </c>
      <c r="P4003">
        <v>-20.177902</v>
      </c>
      <c r="Q4003">
        <v>-44.908504000000001</v>
      </c>
      <c r="R4003" s="2" t="str">
        <f>HYPERLINK("https://www.google.com/maps?q=-20.1779020,-44.9085040","Abrir no Google Maps")</f>
        <v>Abrir no Google Maps</v>
      </c>
      <c r="S4003">
        <v>3</v>
      </c>
      <c r="T4003">
        <v>656.92307673247149</v>
      </c>
      <c r="U4003">
        <v>3</v>
      </c>
      <c r="V4003">
        <v>0.40849307883178132</v>
      </c>
      <c r="W4003">
        <v>1</v>
      </c>
      <c r="X4003">
        <v>0.40849307883178132</v>
      </c>
      <c r="Y4003">
        <v>578</v>
      </c>
      <c r="Z4003">
        <v>635.01982153722327</v>
      </c>
      <c r="AA4003">
        <v>198</v>
      </c>
      <c r="AB4003">
        <v>332</v>
      </c>
      <c r="AC4003">
        <v>536</v>
      </c>
      <c r="AD4003">
        <v>33.19</v>
      </c>
      <c r="AE4003">
        <v>542</v>
      </c>
      <c r="AF4003">
        <v>41</v>
      </c>
      <c r="AG4003">
        <v>175</v>
      </c>
      <c r="AH4003">
        <v>129</v>
      </c>
      <c r="AI4003">
        <v>7.56</v>
      </c>
      <c r="AJ4003">
        <v>32.29</v>
      </c>
      <c r="AK4003">
        <v>23.8</v>
      </c>
      <c r="AL4003">
        <v>-20.177800399999938</v>
      </c>
      <c r="AM4003">
        <v>-44.908361879701268</v>
      </c>
      <c r="AN4003">
        <v>-20.177800399999938</v>
      </c>
      <c r="AO4003">
        <v>-44.908361879701268</v>
      </c>
      <c r="AP4003">
        <v>-20.177902</v>
      </c>
      <c r="AQ4003">
        <v>-44.908504000000001</v>
      </c>
      <c r="AR4003">
        <v>18.666463141775541</v>
      </c>
      <c r="AS4003" t="s">
        <v>65</v>
      </c>
      <c r="AT4003">
        <v>1</v>
      </c>
      <c r="AU4003" t="s">
        <v>477</v>
      </c>
      <c r="AV4003" t="s">
        <v>478</v>
      </c>
      <c r="AW4003" t="s">
        <v>60</v>
      </c>
      <c r="AX4003" t="s">
        <v>68</v>
      </c>
      <c r="AY4003" t="s">
        <v>69</v>
      </c>
      <c r="AZ4003" t="b">
        <v>1</v>
      </c>
    </row>
    <row r="4004" spans="1:52" x14ac:dyDescent="0.3">
      <c r="A4004" t="s">
        <v>52</v>
      </c>
      <c r="B4004" t="s">
        <v>53</v>
      </c>
      <c r="C4004" t="s">
        <v>54</v>
      </c>
      <c r="D4004" t="s">
        <v>55</v>
      </c>
      <c r="E4004" t="s">
        <v>2206</v>
      </c>
      <c r="F4004" t="s">
        <v>1247</v>
      </c>
      <c r="G4004" t="s">
        <v>479</v>
      </c>
      <c r="H4004" t="s">
        <v>480</v>
      </c>
      <c r="I4004" t="s">
        <v>480</v>
      </c>
      <c r="J4004" t="s">
        <v>60</v>
      </c>
      <c r="K4004" t="s">
        <v>388</v>
      </c>
      <c r="L4004" t="s">
        <v>62</v>
      </c>
      <c r="M4004" t="s">
        <v>388</v>
      </c>
      <c r="N4004" t="s">
        <v>481</v>
      </c>
      <c r="O4004" t="s">
        <v>315</v>
      </c>
      <c r="P4004">
        <v>-20.166903999999999</v>
      </c>
      <c r="Q4004">
        <v>-44.903492</v>
      </c>
      <c r="R4004" s="2" t="str">
        <f>HYPERLINK("https://www.google.com/maps?q=-20.1669040,-44.9034920","Abrir no Google Maps")</f>
        <v>Abrir no Google Maps</v>
      </c>
      <c r="S4004">
        <v>3</v>
      </c>
      <c r="T4004">
        <v>517.12253532511602</v>
      </c>
      <c r="U4004">
        <v>3</v>
      </c>
      <c r="V4004">
        <v>0.36764466052232581</v>
      </c>
      <c r="W4004">
        <v>1</v>
      </c>
      <c r="X4004">
        <v>0.36764466052232581</v>
      </c>
      <c r="Y4004">
        <v>578</v>
      </c>
      <c r="Z4004">
        <v>721.79551240050432</v>
      </c>
      <c r="AA4004">
        <v>198</v>
      </c>
      <c r="AB4004">
        <v>332</v>
      </c>
      <c r="AC4004">
        <v>536</v>
      </c>
      <c r="AD4004">
        <v>33.19</v>
      </c>
      <c r="AE4004">
        <v>542</v>
      </c>
      <c r="AF4004">
        <v>41</v>
      </c>
      <c r="AG4004">
        <v>175</v>
      </c>
      <c r="AH4004">
        <v>129</v>
      </c>
      <c r="AI4004">
        <v>7.56</v>
      </c>
      <c r="AJ4004">
        <v>32.29</v>
      </c>
      <c r="AK4004">
        <v>23.8</v>
      </c>
      <c r="AL4004">
        <v>-20.166610649999971</v>
      </c>
      <c r="AM4004">
        <v>-44.903452988928308</v>
      </c>
      <c r="AN4004">
        <v>-20.166610649999971</v>
      </c>
      <c r="AO4004">
        <v>-44.903452988928308</v>
      </c>
      <c r="AP4004">
        <v>-20.166903999999999</v>
      </c>
      <c r="AQ4004">
        <v>-44.903492</v>
      </c>
      <c r="AR4004">
        <v>32.909175876856217</v>
      </c>
      <c r="AS4004" t="s">
        <v>65</v>
      </c>
      <c r="AT4004">
        <v>1</v>
      </c>
      <c r="AU4004" t="s">
        <v>482</v>
      </c>
      <c r="AV4004" t="s">
        <v>483</v>
      </c>
      <c r="AW4004" t="s">
        <v>60</v>
      </c>
      <c r="AX4004" t="s">
        <v>68</v>
      </c>
      <c r="AY4004" t="s">
        <v>69</v>
      </c>
      <c r="AZ4004" t="b">
        <v>1</v>
      </c>
    </row>
    <row r="4005" spans="1:52" x14ac:dyDescent="0.3">
      <c r="A4005" t="s">
        <v>52</v>
      </c>
      <c r="B4005" t="s">
        <v>53</v>
      </c>
      <c r="C4005" t="s">
        <v>54</v>
      </c>
      <c r="D4005" t="s">
        <v>55</v>
      </c>
      <c r="E4005" t="s">
        <v>2206</v>
      </c>
      <c r="F4005" t="s">
        <v>1247</v>
      </c>
      <c r="G4005" t="s">
        <v>484</v>
      </c>
      <c r="H4005" t="s">
        <v>485</v>
      </c>
      <c r="I4005" t="s">
        <v>485</v>
      </c>
      <c r="J4005" t="s">
        <v>60</v>
      </c>
      <c r="K4005" t="s">
        <v>486</v>
      </c>
      <c r="L4005" t="s">
        <v>62</v>
      </c>
      <c r="M4005" t="s">
        <v>486</v>
      </c>
      <c r="N4005" t="s">
        <v>487</v>
      </c>
      <c r="O4005" t="s">
        <v>488</v>
      </c>
      <c r="P4005">
        <v>-20.173000999999999</v>
      </c>
      <c r="Q4005">
        <v>-44.901876999999999</v>
      </c>
      <c r="R4005" s="2" t="str">
        <f>HYPERLINK("https://www.google.com/maps?q=-20.1730010,-44.9018770","Abrir no Google Maps")</f>
        <v>Abrir no Google Maps</v>
      </c>
      <c r="S4005">
        <v>3</v>
      </c>
      <c r="T4005">
        <v>437.59695450783011</v>
      </c>
      <c r="U4005">
        <v>3</v>
      </c>
      <c r="V4005">
        <v>0.39491708183300639</v>
      </c>
      <c r="W4005">
        <v>1</v>
      </c>
      <c r="X4005">
        <v>0.39491708183300639</v>
      </c>
      <c r="Y4005">
        <v>578</v>
      </c>
      <c r="Z4005">
        <v>440.53629183653243</v>
      </c>
      <c r="AA4005">
        <v>198</v>
      </c>
      <c r="AB4005">
        <v>332</v>
      </c>
      <c r="AC4005">
        <v>536</v>
      </c>
      <c r="AD4005">
        <v>33.19</v>
      </c>
      <c r="AE4005">
        <v>542</v>
      </c>
      <c r="AF4005">
        <v>41</v>
      </c>
      <c r="AG4005">
        <v>175</v>
      </c>
      <c r="AH4005">
        <v>129</v>
      </c>
      <c r="AI4005">
        <v>7.56</v>
      </c>
      <c r="AJ4005">
        <v>32.29</v>
      </c>
      <c r="AK4005">
        <v>23.8</v>
      </c>
      <c r="AL4005">
        <v>-20.173065299999969</v>
      </c>
      <c r="AM4005">
        <v>-44.902052686008687</v>
      </c>
      <c r="AN4005">
        <v>-20.173065299999969</v>
      </c>
      <c r="AO4005">
        <v>-44.902052686008687</v>
      </c>
      <c r="AP4005">
        <v>-20.173000999999999</v>
      </c>
      <c r="AQ4005">
        <v>-44.901876999999999</v>
      </c>
      <c r="AR4005">
        <v>19.703745070768829</v>
      </c>
      <c r="AS4005" t="s">
        <v>65</v>
      </c>
      <c r="AT4005">
        <v>1</v>
      </c>
      <c r="AU4005" t="s">
        <v>489</v>
      </c>
      <c r="AV4005" t="s">
        <v>490</v>
      </c>
      <c r="AW4005" t="s">
        <v>60</v>
      </c>
      <c r="AX4005" t="s">
        <v>68</v>
      </c>
      <c r="AY4005" t="s">
        <v>69</v>
      </c>
      <c r="AZ4005" t="b">
        <v>1</v>
      </c>
    </row>
    <row r="4006" spans="1:52" x14ac:dyDescent="0.3">
      <c r="A4006" t="s">
        <v>52</v>
      </c>
      <c r="B4006" t="s">
        <v>53</v>
      </c>
      <c r="C4006" t="s">
        <v>54</v>
      </c>
      <c r="D4006" t="s">
        <v>55</v>
      </c>
      <c r="E4006" t="s">
        <v>2206</v>
      </c>
      <c r="F4006" t="s">
        <v>1247</v>
      </c>
      <c r="G4006" t="s">
        <v>491</v>
      </c>
      <c r="H4006" t="s">
        <v>492</v>
      </c>
      <c r="I4006" t="s">
        <v>492</v>
      </c>
      <c r="J4006" t="s">
        <v>60</v>
      </c>
      <c r="K4006" t="s">
        <v>475</v>
      </c>
      <c r="L4006" t="s">
        <v>62</v>
      </c>
      <c r="M4006" t="s">
        <v>475</v>
      </c>
      <c r="N4006" t="s">
        <v>493</v>
      </c>
      <c r="O4006" t="s">
        <v>494</v>
      </c>
      <c r="P4006">
        <v>-20.175250999999999</v>
      </c>
      <c r="Q4006">
        <v>-44.897357</v>
      </c>
      <c r="R4006" s="2" t="str">
        <f>HYPERLINK("https://www.google.com/maps?q=-20.1752510,-44.8973570","Abrir no Google Maps")</f>
        <v>Abrir no Google Maps</v>
      </c>
      <c r="S4006">
        <v>3</v>
      </c>
      <c r="T4006">
        <v>992.29631678149951</v>
      </c>
      <c r="U4006">
        <v>3</v>
      </c>
      <c r="V4006">
        <v>0.39985897111838292</v>
      </c>
      <c r="W4006">
        <v>1</v>
      </c>
      <c r="X4006">
        <v>0.39985897111838292</v>
      </c>
      <c r="Y4006">
        <v>578</v>
      </c>
      <c r="Z4006">
        <v>1008.5871064168319</v>
      </c>
      <c r="AA4006">
        <v>198</v>
      </c>
      <c r="AB4006">
        <v>332</v>
      </c>
      <c r="AC4006">
        <v>536</v>
      </c>
      <c r="AD4006">
        <v>33.19</v>
      </c>
      <c r="AE4006">
        <v>542</v>
      </c>
      <c r="AF4006">
        <v>41</v>
      </c>
      <c r="AG4006">
        <v>175</v>
      </c>
      <c r="AH4006">
        <v>129</v>
      </c>
      <c r="AI4006">
        <v>7.56</v>
      </c>
      <c r="AJ4006">
        <v>32.29</v>
      </c>
      <c r="AK4006">
        <v>23.8</v>
      </c>
      <c r="AL4006">
        <v>-20.175290599999951</v>
      </c>
      <c r="AM4006">
        <v>-44.897271931010721</v>
      </c>
      <c r="AN4006">
        <v>-20.175290599999951</v>
      </c>
      <c r="AO4006">
        <v>-44.897271931010721</v>
      </c>
      <c r="AP4006">
        <v>-20.175250999999999</v>
      </c>
      <c r="AQ4006">
        <v>-44.897357</v>
      </c>
      <c r="AR4006">
        <v>9.921899108467926</v>
      </c>
      <c r="AS4006" t="s">
        <v>65</v>
      </c>
      <c r="AT4006">
        <v>1</v>
      </c>
      <c r="AU4006" t="s">
        <v>495</v>
      </c>
      <c r="AV4006" t="s">
        <v>496</v>
      </c>
      <c r="AW4006" t="s">
        <v>60</v>
      </c>
      <c r="AX4006" t="s">
        <v>68</v>
      </c>
      <c r="AY4006" t="s">
        <v>69</v>
      </c>
      <c r="AZ4006" t="b">
        <v>1</v>
      </c>
    </row>
    <row r="4007" spans="1:52" x14ac:dyDescent="0.3">
      <c r="A4007" t="s">
        <v>52</v>
      </c>
      <c r="B4007" t="s">
        <v>53</v>
      </c>
      <c r="C4007" t="s">
        <v>54</v>
      </c>
      <c r="D4007" t="s">
        <v>55</v>
      </c>
      <c r="E4007" t="s">
        <v>2206</v>
      </c>
      <c r="F4007" t="s">
        <v>1247</v>
      </c>
      <c r="G4007" t="s">
        <v>497</v>
      </c>
      <c r="H4007" t="s">
        <v>875</v>
      </c>
      <c r="I4007" t="s">
        <v>875</v>
      </c>
      <c r="J4007" t="s">
        <v>60</v>
      </c>
      <c r="K4007" t="s">
        <v>475</v>
      </c>
      <c r="L4007" t="s">
        <v>62</v>
      </c>
      <c r="M4007" t="s">
        <v>475</v>
      </c>
      <c r="N4007" t="s">
        <v>499</v>
      </c>
      <c r="O4007" t="s">
        <v>876</v>
      </c>
      <c r="P4007">
        <v>-20.177212999999998</v>
      </c>
      <c r="Q4007">
        <v>-44.904026999999999</v>
      </c>
      <c r="R4007" s="2" t="str">
        <f>HYPERLINK("https://www.google.com/maps?q=-20.1772130,-44.9040270","Abrir no Google Maps")</f>
        <v>Abrir no Google Maps</v>
      </c>
      <c r="S4007">
        <v>3</v>
      </c>
      <c r="T4007">
        <v>706.4159561113795</v>
      </c>
      <c r="U4007">
        <v>3</v>
      </c>
      <c r="V4007">
        <v>0.39936119231969591</v>
      </c>
      <c r="W4007">
        <v>1</v>
      </c>
      <c r="X4007">
        <v>0.39936119231969591</v>
      </c>
      <c r="Y4007">
        <v>578</v>
      </c>
      <c r="Z4007">
        <v>588.7160518608398</v>
      </c>
      <c r="AA4007">
        <v>198</v>
      </c>
      <c r="AB4007">
        <v>332</v>
      </c>
      <c r="AC4007">
        <v>536</v>
      </c>
      <c r="AD4007">
        <v>33.19</v>
      </c>
      <c r="AE4007">
        <v>542</v>
      </c>
      <c r="AF4007">
        <v>41</v>
      </c>
      <c r="AG4007">
        <v>175</v>
      </c>
      <c r="AH4007">
        <v>129</v>
      </c>
      <c r="AI4007">
        <v>7.56</v>
      </c>
      <c r="AJ4007">
        <v>32.29</v>
      </c>
      <c r="AK4007">
        <v>23.8</v>
      </c>
      <c r="AL4007">
        <v>-20.177090199999949</v>
      </c>
      <c r="AM4007">
        <v>-44.904078820930181</v>
      </c>
      <c r="AN4007">
        <v>-20.177090199999949</v>
      </c>
      <c r="AO4007">
        <v>-44.904078820930181</v>
      </c>
      <c r="AP4007">
        <v>-20.177212999999998</v>
      </c>
      <c r="AQ4007">
        <v>-44.904026999999999</v>
      </c>
      <c r="AR4007">
        <v>14.7034129632295</v>
      </c>
      <c r="AS4007" t="s">
        <v>65</v>
      </c>
      <c r="AT4007">
        <v>1</v>
      </c>
      <c r="AU4007" t="s">
        <v>877</v>
      </c>
      <c r="AV4007" t="s">
        <v>878</v>
      </c>
      <c r="AW4007" t="s">
        <v>60</v>
      </c>
      <c r="AX4007" t="s">
        <v>68</v>
      </c>
      <c r="AY4007" t="s">
        <v>69</v>
      </c>
      <c r="AZ4007" t="b">
        <v>1</v>
      </c>
    </row>
    <row r="4008" spans="1:52" x14ac:dyDescent="0.3">
      <c r="A4008" t="s">
        <v>52</v>
      </c>
      <c r="B4008" t="s">
        <v>53</v>
      </c>
      <c r="C4008" t="s">
        <v>54</v>
      </c>
      <c r="D4008" t="s">
        <v>55</v>
      </c>
      <c r="E4008" t="s">
        <v>2206</v>
      </c>
      <c r="F4008" t="s">
        <v>1247</v>
      </c>
      <c r="G4008" t="s">
        <v>1399</v>
      </c>
      <c r="H4008" t="s">
        <v>1400</v>
      </c>
      <c r="I4008" t="s">
        <v>1400</v>
      </c>
      <c r="J4008" t="s">
        <v>60</v>
      </c>
      <c r="K4008" t="s">
        <v>475</v>
      </c>
      <c r="L4008" t="s">
        <v>62</v>
      </c>
      <c r="M4008" t="s">
        <v>475</v>
      </c>
      <c r="N4008" t="s">
        <v>1401</v>
      </c>
      <c r="O4008" t="s">
        <v>1080</v>
      </c>
      <c r="P4008">
        <v>-20.178809000000001</v>
      </c>
      <c r="Q4008">
        <v>-44.900204000000002</v>
      </c>
      <c r="R4008" s="2" t="str">
        <f>HYPERLINK("https://www.google.com/maps?q=-20.1788090,-44.9002040","Abrir no Google Maps")</f>
        <v>Abrir no Google Maps</v>
      </c>
      <c r="S4008">
        <v>3</v>
      </c>
      <c r="T4008">
        <v>1015.86498565614</v>
      </c>
      <c r="U4008">
        <v>3</v>
      </c>
      <c r="V4008">
        <v>0.43171480093950071</v>
      </c>
      <c r="W4008">
        <v>0.85</v>
      </c>
      <c r="X4008">
        <v>0.3669575807985756</v>
      </c>
      <c r="Y4008">
        <v>578</v>
      </c>
      <c r="Z4008">
        <v>954.77111474428102</v>
      </c>
      <c r="AA4008">
        <v>198</v>
      </c>
      <c r="AB4008">
        <v>332</v>
      </c>
      <c r="AC4008">
        <v>536</v>
      </c>
      <c r="AD4008">
        <v>33.19</v>
      </c>
      <c r="AE4008">
        <v>542</v>
      </c>
      <c r="AF4008">
        <v>41</v>
      </c>
      <c r="AG4008">
        <v>175</v>
      </c>
      <c r="AH4008">
        <v>129</v>
      </c>
      <c r="AI4008">
        <v>7.56</v>
      </c>
      <c r="AJ4008">
        <v>32.29</v>
      </c>
      <c r="AK4008">
        <v>23.8</v>
      </c>
      <c r="AL4008">
        <v>-20.178590099999951</v>
      </c>
      <c r="AM4008">
        <v>-44.90029029928732</v>
      </c>
      <c r="AN4008">
        <v>-20.178590099999951</v>
      </c>
      <c r="AO4008">
        <v>-44.90029029928732</v>
      </c>
      <c r="AP4008">
        <v>-20.178809000000001</v>
      </c>
      <c r="AQ4008">
        <v>-44.900204000000002</v>
      </c>
      <c r="AR4008">
        <v>25.982812999798391</v>
      </c>
      <c r="AS4008" t="s">
        <v>65</v>
      </c>
      <c r="AT4008">
        <v>1</v>
      </c>
      <c r="AU4008" t="s">
        <v>1402</v>
      </c>
      <c r="AV4008" t="s">
        <v>1403</v>
      </c>
      <c r="AW4008" t="s">
        <v>60</v>
      </c>
      <c r="AX4008" t="s">
        <v>68</v>
      </c>
      <c r="AY4008" t="s">
        <v>69</v>
      </c>
      <c r="AZ4008" t="b">
        <v>1</v>
      </c>
    </row>
    <row r="4009" spans="1:52" x14ac:dyDescent="0.3">
      <c r="A4009" t="s">
        <v>52</v>
      </c>
      <c r="B4009" t="s">
        <v>53</v>
      </c>
      <c r="C4009" t="s">
        <v>54</v>
      </c>
      <c r="D4009" t="s">
        <v>55</v>
      </c>
      <c r="E4009" t="s">
        <v>2206</v>
      </c>
      <c r="F4009" t="s">
        <v>1247</v>
      </c>
      <c r="G4009" t="s">
        <v>497</v>
      </c>
      <c r="H4009" t="s">
        <v>498</v>
      </c>
      <c r="I4009" t="s">
        <v>498</v>
      </c>
      <c r="J4009" t="s">
        <v>60</v>
      </c>
      <c r="K4009" t="s">
        <v>475</v>
      </c>
      <c r="L4009" t="s">
        <v>62</v>
      </c>
      <c r="M4009" t="s">
        <v>475</v>
      </c>
      <c r="N4009" t="s">
        <v>499</v>
      </c>
      <c r="O4009" t="s">
        <v>500</v>
      </c>
      <c r="P4009">
        <v>-20.175492999999999</v>
      </c>
      <c r="Q4009">
        <v>-44.900759000000001</v>
      </c>
      <c r="R4009" s="2" t="str">
        <f>HYPERLINK("https://www.google.com/maps?q=-20.1754930,-44.9007590","Abrir no Google Maps")</f>
        <v>Abrir no Google Maps</v>
      </c>
      <c r="S4009">
        <v>3</v>
      </c>
      <c r="T4009">
        <v>753.30732354720431</v>
      </c>
      <c r="U4009">
        <v>3</v>
      </c>
      <c r="V4009">
        <v>0.37088020382738979</v>
      </c>
      <c r="W4009">
        <v>1</v>
      </c>
      <c r="X4009">
        <v>0.37088020382738979</v>
      </c>
      <c r="Y4009">
        <v>578</v>
      </c>
      <c r="Z4009">
        <v>695.28903655431702</v>
      </c>
      <c r="AA4009">
        <v>198</v>
      </c>
      <c r="AB4009">
        <v>332</v>
      </c>
      <c r="AC4009">
        <v>536</v>
      </c>
      <c r="AD4009">
        <v>33.19</v>
      </c>
      <c r="AE4009">
        <v>542</v>
      </c>
      <c r="AF4009">
        <v>41</v>
      </c>
      <c r="AG4009">
        <v>175</v>
      </c>
      <c r="AH4009">
        <v>129</v>
      </c>
      <c r="AI4009">
        <v>7.56</v>
      </c>
      <c r="AJ4009">
        <v>32.29</v>
      </c>
      <c r="AK4009">
        <v>23.8</v>
      </c>
      <c r="AL4009">
        <v>-20.175825999999969</v>
      </c>
      <c r="AM4009">
        <v>-44.900600234646973</v>
      </c>
      <c r="AN4009">
        <v>-20.175825999999969</v>
      </c>
      <c r="AO4009">
        <v>-44.900600234646973</v>
      </c>
      <c r="AP4009">
        <v>-20.175492999999999</v>
      </c>
      <c r="AQ4009">
        <v>-44.900759000000001</v>
      </c>
      <c r="AR4009">
        <v>40.612267304645073</v>
      </c>
      <c r="AS4009" t="s">
        <v>65</v>
      </c>
      <c r="AT4009">
        <v>1</v>
      </c>
      <c r="AU4009" t="s">
        <v>501</v>
      </c>
      <c r="AV4009" t="s">
        <v>502</v>
      </c>
      <c r="AW4009" t="s">
        <v>60</v>
      </c>
      <c r="AX4009" t="s">
        <v>68</v>
      </c>
      <c r="AY4009" t="s">
        <v>69</v>
      </c>
      <c r="AZ4009" t="b">
        <v>1</v>
      </c>
    </row>
    <row r="4010" spans="1:52" x14ac:dyDescent="0.3">
      <c r="A4010" t="s">
        <v>52</v>
      </c>
      <c r="B4010" t="s">
        <v>53</v>
      </c>
      <c r="C4010" t="s">
        <v>54</v>
      </c>
      <c r="D4010" t="s">
        <v>55</v>
      </c>
      <c r="E4010" t="s">
        <v>2206</v>
      </c>
      <c r="F4010" t="s">
        <v>1247</v>
      </c>
      <c r="G4010" t="s">
        <v>879</v>
      </c>
      <c r="H4010" t="s">
        <v>880</v>
      </c>
      <c r="I4010" t="s">
        <v>880</v>
      </c>
      <c r="J4010" t="s">
        <v>60</v>
      </c>
      <c r="K4010" t="s">
        <v>505</v>
      </c>
      <c r="L4010" t="s">
        <v>62</v>
      </c>
      <c r="M4010" t="s">
        <v>505</v>
      </c>
      <c r="N4010" t="s">
        <v>881</v>
      </c>
      <c r="O4010" t="s">
        <v>882</v>
      </c>
      <c r="P4010">
        <v>-20.133452999999999</v>
      </c>
      <c r="Q4010">
        <v>-44.890571999999999</v>
      </c>
      <c r="R4010" s="2" t="str">
        <f>HYPERLINK("https://www.google.com/maps?q=-20.1334530,-44.8905720","Abrir no Google Maps")</f>
        <v>Abrir no Google Maps</v>
      </c>
      <c r="S4010">
        <v>3</v>
      </c>
      <c r="T4010">
        <v>373.51332104809921</v>
      </c>
      <c r="U4010">
        <v>3</v>
      </c>
      <c r="V4010">
        <v>0.38660763192621228</v>
      </c>
      <c r="W4010">
        <v>1</v>
      </c>
      <c r="X4010">
        <v>0.38660763192621228</v>
      </c>
      <c r="Y4010">
        <v>564</v>
      </c>
      <c r="Z4010">
        <v>422.34693311930448</v>
      </c>
      <c r="AA4010">
        <v>198</v>
      </c>
      <c r="AB4010">
        <v>332</v>
      </c>
      <c r="AC4010">
        <v>536</v>
      </c>
      <c r="AD4010">
        <v>33.19</v>
      </c>
      <c r="AE4010">
        <v>542</v>
      </c>
      <c r="AF4010">
        <v>41</v>
      </c>
      <c r="AG4010">
        <v>175</v>
      </c>
      <c r="AH4010">
        <v>129</v>
      </c>
      <c r="AI4010">
        <v>7.56</v>
      </c>
      <c r="AJ4010">
        <v>32.29</v>
      </c>
      <c r="AK4010">
        <v>23.8</v>
      </c>
      <c r="AL4010">
        <v>-20.133421549999952</v>
      </c>
      <c r="AM4010">
        <v>-44.890623456009052</v>
      </c>
      <c r="AN4010">
        <v>-20.133421549999952</v>
      </c>
      <c r="AO4010">
        <v>-44.890623456009052</v>
      </c>
      <c r="AP4010">
        <v>-20.133452999999999</v>
      </c>
      <c r="AQ4010">
        <v>-44.890571999999999</v>
      </c>
      <c r="AR4010">
        <v>6.4172139275452773</v>
      </c>
      <c r="AS4010" t="s">
        <v>65</v>
      </c>
      <c r="AT4010">
        <v>1</v>
      </c>
      <c r="AU4010" t="s">
        <v>883</v>
      </c>
      <c r="AV4010" t="s">
        <v>884</v>
      </c>
      <c r="AW4010" t="s">
        <v>60</v>
      </c>
      <c r="AX4010" t="s">
        <v>68</v>
      </c>
      <c r="AY4010" t="s">
        <v>69</v>
      </c>
      <c r="AZ4010" t="b">
        <v>1</v>
      </c>
    </row>
    <row r="4011" spans="1:52" x14ac:dyDescent="0.3">
      <c r="A4011" t="s">
        <v>52</v>
      </c>
      <c r="B4011" t="s">
        <v>53</v>
      </c>
      <c r="C4011" t="s">
        <v>54</v>
      </c>
      <c r="D4011" t="s">
        <v>55</v>
      </c>
      <c r="E4011" t="s">
        <v>2206</v>
      </c>
      <c r="F4011" t="s">
        <v>1247</v>
      </c>
      <c r="G4011" t="s">
        <v>1429</v>
      </c>
      <c r="H4011" t="s">
        <v>1430</v>
      </c>
      <c r="I4011" t="s">
        <v>1430</v>
      </c>
      <c r="J4011" t="s">
        <v>60</v>
      </c>
      <c r="K4011" t="s">
        <v>505</v>
      </c>
      <c r="L4011" t="s">
        <v>62</v>
      </c>
      <c r="M4011" t="s">
        <v>505</v>
      </c>
      <c r="N4011" t="s">
        <v>1431</v>
      </c>
      <c r="O4011" t="s">
        <v>1432</v>
      </c>
      <c r="P4011">
        <v>-20.132069000000001</v>
      </c>
      <c r="Q4011">
        <v>-44.891694000000001</v>
      </c>
      <c r="R4011" s="2" t="str">
        <f>HYPERLINK("https://www.google.com/maps?q=-20.1320690,-44.8916940","Abrir no Google Maps")</f>
        <v>Abrir no Google Maps</v>
      </c>
      <c r="S4011">
        <v>3</v>
      </c>
      <c r="T4011">
        <v>463.84477613866852</v>
      </c>
      <c r="U4011">
        <v>3</v>
      </c>
      <c r="V4011">
        <v>0.4441099743056367</v>
      </c>
      <c r="W4011">
        <v>0.85</v>
      </c>
      <c r="X4011">
        <v>0.37749347815979117</v>
      </c>
      <c r="Y4011">
        <v>564</v>
      </c>
      <c r="Z4011">
        <v>349.6044774510159</v>
      </c>
      <c r="AA4011">
        <v>198</v>
      </c>
      <c r="AB4011">
        <v>332</v>
      </c>
      <c r="AC4011">
        <v>536</v>
      </c>
      <c r="AD4011">
        <v>33.19</v>
      </c>
      <c r="AE4011">
        <v>542</v>
      </c>
      <c r="AF4011">
        <v>41</v>
      </c>
      <c r="AG4011">
        <v>175</v>
      </c>
      <c r="AH4011">
        <v>129</v>
      </c>
      <c r="AI4011">
        <v>7.56</v>
      </c>
      <c r="AJ4011">
        <v>32.29</v>
      </c>
      <c r="AK4011">
        <v>23.8</v>
      </c>
      <c r="AL4011">
        <v>-20.131860799999941</v>
      </c>
      <c r="AM4011">
        <v>-44.891643045551348</v>
      </c>
      <c r="AN4011">
        <v>-20.131860799999941</v>
      </c>
      <c r="AO4011">
        <v>-44.891643045551348</v>
      </c>
      <c r="AP4011">
        <v>-20.132069000000001</v>
      </c>
      <c r="AQ4011">
        <v>-44.891694000000001</v>
      </c>
      <c r="AR4011">
        <v>23.780836080569209</v>
      </c>
      <c r="AS4011" t="s">
        <v>65</v>
      </c>
      <c r="AT4011">
        <v>1</v>
      </c>
      <c r="AU4011" t="s">
        <v>1433</v>
      </c>
      <c r="AV4011" t="s">
        <v>1434</v>
      </c>
      <c r="AW4011" t="s">
        <v>60</v>
      </c>
      <c r="AX4011" t="s">
        <v>68</v>
      </c>
      <c r="AY4011" t="s">
        <v>69</v>
      </c>
      <c r="AZ4011" t="b">
        <v>1</v>
      </c>
    </row>
    <row r="4012" spans="1:52" x14ac:dyDescent="0.3">
      <c r="A4012" t="s">
        <v>52</v>
      </c>
      <c r="B4012" t="s">
        <v>53</v>
      </c>
      <c r="C4012" t="s">
        <v>54</v>
      </c>
      <c r="D4012" t="s">
        <v>55</v>
      </c>
      <c r="E4012" t="s">
        <v>2206</v>
      </c>
      <c r="F4012" t="s">
        <v>1247</v>
      </c>
      <c r="G4012" t="s">
        <v>1435</v>
      </c>
      <c r="H4012" t="s">
        <v>1436</v>
      </c>
      <c r="I4012" t="s">
        <v>1436</v>
      </c>
      <c r="J4012" t="s">
        <v>60</v>
      </c>
      <c r="K4012" t="s">
        <v>886</v>
      </c>
      <c r="L4012" t="s">
        <v>62</v>
      </c>
      <c r="M4012" t="s">
        <v>886</v>
      </c>
      <c r="N4012" t="s">
        <v>1437</v>
      </c>
      <c r="O4012" t="s">
        <v>1438</v>
      </c>
      <c r="P4012">
        <v>-20.131108000000001</v>
      </c>
      <c r="Q4012">
        <v>-44.893228000000001</v>
      </c>
      <c r="R4012" s="2" t="str">
        <f>HYPERLINK("https://www.google.com/maps?q=-20.1311080,-44.8932280","Abrir no Google Maps")</f>
        <v>Abrir no Google Maps</v>
      </c>
      <c r="S4012">
        <v>3</v>
      </c>
      <c r="T4012">
        <v>548.07497919430136</v>
      </c>
      <c r="U4012">
        <v>3</v>
      </c>
      <c r="V4012">
        <v>0.46823800482575839</v>
      </c>
      <c r="W4012">
        <v>0.85</v>
      </c>
      <c r="X4012">
        <v>0.39800230410189458</v>
      </c>
      <c r="Y4012">
        <v>564</v>
      </c>
      <c r="Z4012">
        <v>369.17139216388432</v>
      </c>
      <c r="AA4012">
        <v>198</v>
      </c>
      <c r="AB4012">
        <v>332</v>
      </c>
      <c r="AC4012">
        <v>536</v>
      </c>
      <c r="AD4012">
        <v>33.19</v>
      </c>
      <c r="AE4012">
        <v>542</v>
      </c>
      <c r="AF4012">
        <v>41</v>
      </c>
      <c r="AG4012">
        <v>175</v>
      </c>
      <c r="AH4012">
        <v>129</v>
      </c>
      <c r="AI4012">
        <v>7.56</v>
      </c>
      <c r="AJ4012">
        <v>32.29</v>
      </c>
      <c r="AK4012">
        <v>23.8</v>
      </c>
      <c r="AL4012">
        <v>-20.13103294999997</v>
      </c>
      <c r="AM4012">
        <v>-44.89318457893738</v>
      </c>
      <c r="AN4012">
        <v>-20.13103294999997</v>
      </c>
      <c r="AO4012">
        <v>-44.89318457893738</v>
      </c>
      <c r="AP4012">
        <v>-20.131108000000001</v>
      </c>
      <c r="AQ4012">
        <v>-44.893228000000001</v>
      </c>
      <c r="AR4012">
        <v>9.5076426885244203</v>
      </c>
      <c r="AS4012" t="s">
        <v>65</v>
      </c>
      <c r="AT4012">
        <v>1</v>
      </c>
      <c r="AU4012" t="s">
        <v>1439</v>
      </c>
      <c r="AV4012" t="s">
        <v>1440</v>
      </c>
      <c r="AW4012" t="s">
        <v>60</v>
      </c>
      <c r="AX4012" t="s">
        <v>68</v>
      </c>
      <c r="AY4012" t="s">
        <v>69</v>
      </c>
      <c r="AZ4012" t="b">
        <v>1</v>
      </c>
    </row>
    <row r="4013" spans="1:52" x14ac:dyDescent="0.3">
      <c r="A4013" t="s">
        <v>52</v>
      </c>
      <c r="B4013" t="s">
        <v>53</v>
      </c>
      <c r="C4013" t="s">
        <v>54</v>
      </c>
      <c r="D4013" t="s">
        <v>55</v>
      </c>
      <c r="E4013" t="s">
        <v>2206</v>
      </c>
      <c r="F4013" t="s">
        <v>1247</v>
      </c>
      <c r="G4013" t="s">
        <v>473</v>
      </c>
      <c r="H4013" t="s">
        <v>1445</v>
      </c>
      <c r="I4013" t="s">
        <v>1445</v>
      </c>
      <c r="J4013" t="s">
        <v>60</v>
      </c>
      <c r="K4013" t="s">
        <v>892</v>
      </c>
      <c r="L4013" t="s">
        <v>62</v>
      </c>
      <c r="M4013" t="s">
        <v>892</v>
      </c>
      <c r="N4013" t="s">
        <v>406</v>
      </c>
      <c r="O4013" t="s">
        <v>1446</v>
      </c>
      <c r="P4013">
        <v>-20.14941</v>
      </c>
      <c r="Q4013">
        <v>-44.899535</v>
      </c>
      <c r="R4013" s="2" t="str">
        <f>HYPERLINK("https://www.google.com/maps?q=-20.1494100,-44.8995350","Abrir no Google Maps")</f>
        <v>Abrir no Google Maps</v>
      </c>
      <c r="S4013">
        <v>3</v>
      </c>
      <c r="T4013">
        <v>249.83945591849931</v>
      </c>
      <c r="U4013">
        <v>3</v>
      </c>
      <c r="V4013">
        <v>0.42055829643220782</v>
      </c>
      <c r="W4013">
        <v>0.85</v>
      </c>
      <c r="X4013">
        <v>0.35747455196737671</v>
      </c>
      <c r="Y4013">
        <v>556</v>
      </c>
      <c r="Z4013">
        <v>156.62360082488701</v>
      </c>
      <c r="AA4013">
        <v>198</v>
      </c>
      <c r="AB4013">
        <v>332</v>
      </c>
      <c r="AC4013">
        <v>536</v>
      </c>
      <c r="AD4013">
        <v>33.19</v>
      </c>
      <c r="AE4013">
        <v>542</v>
      </c>
      <c r="AF4013">
        <v>41</v>
      </c>
      <c r="AG4013">
        <v>175</v>
      </c>
      <c r="AH4013">
        <v>129</v>
      </c>
      <c r="AI4013">
        <v>7.56</v>
      </c>
      <c r="AJ4013">
        <v>32.29</v>
      </c>
      <c r="AK4013">
        <v>23.8</v>
      </c>
      <c r="AL4013">
        <v>-20.149341899999939</v>
      </c>
      <c r="AM4013">
        <v>-44.899575902083967</v>
      </c>
      <c r="AN4013">
        <v>-20.149341899999939</v>
      </c>
      <c r="AO4013">
        <v>-44.899575902083967</v>
      </c>
      <c r="AP4013">
        <v>-20.14941</v>
      </c>
      <c r="AQ4013">
        <v>-44.899535</v>
      </c>
      <c r="AR4013">
        <v>8.7029725999778709</v>
      </c>
      <c r="AS4013" t="s">
        <v>65</v>
      </c>
      <c r="AT4013">
        <v>1</v>
      </c>
      <c r="AU4013" t="s">
        <v>1447</v>
      </c>
      <c r="AV4013" t="s">
        <v>1448</v>
      </c>
      <c r="AW4013" t="s">
        <v>60</v>
      </c>
      <c r="AX4013" t="s">
        <v>68</v>
      </c>
      <c r="AY4013" t="s">
        <v>69</v>
      </c>
      <c r="AZ4013" t="b">
        <v>1</v>
      </c>
    </row>
    <row r="4014" spans="1:52" x14ac:dyDescent="0.3">
      <c r="A4014" t="s">
        <v>52</v>
      </c>
      <c r="B4014" t="s">
        <v>53</v>
      </c>
      <c r="C4014" t="s">
        <v>54</v>
      </c>
      <c r="D4014" t="s">
        <v>55</v>
      </c>
      <c r="E4014" t="s">
        <v>2206</v>
      </c>
      <c r="F4014" t="s">
        <v>1247</v>
      </c>
      <c r="G4014" t="s">
        <v>890</v>
      </c>
      <c r="H4014" t="s">
        <v>891</v>
      </c>
      <c r="I4014" t="s">
        <v>891</v>
      </c>
      <c r="J4014" t="s">
        <v>60</v>
      </c>
      <c r="K4014" t="s">
        <v>892</v>
      </c>
      <c r="L4014" t="s">
        <v>62</v>
      </c>
      <c r="M4014" t="s">
        <v>892</v>
      </c>
      <c r="N4014" t="s">
        <v>893</v>
      </c>
      <c r="O4014" t="s">
        <v>894</v>
      </c>
      <c r="P4014">
        <v>-20.152519000000002</v>
      </c>
      <c r="Q4014">
        <v>-44.899177000000002</v>
      </c>
      <c r="R4014" s="2" t="str">
        <f>HYPERLINK("https://www.google.com/maps?q=-20.1525190,-44.8991770","Abrir no Google Maps")</f>
        <v>Abrir no Google Maps</v>
      </c>
      <c r="S4014">
        <v>3</v>
      </c>
      <c r="T4014">
        <v>211.80188552994721</v>
      </c>
      <c r="U4014">
        <v>3</v>
      </c>
      <c r="V4014">
        <v>0.4139883552370251</v>
      </c>
      <c r="W4014">
        <v>1</v>
      </c>
      <c r="X4014">
        <v>0.4139883552370251</v>
      </c>
      <c r="Y4014">
        <v>556</v>
      </c>
      <c r="Z4014">
        <v>290.34804137107091</v>
      </c>
      <c r="AA4014">
        <v>198</v>
      </c>
      <c r="AB4014">
        <v>332</v>
      </c>
      <c r="AC4014">
        <v>536</v>
      </c>
      <c r="AD4014">
        <v>33.19</v>
      </c>
      <c r="AE4014">
        <v>542</v>
      </c>
      <c r="AF4014">
        <v>41</v>
      </c>
      <c r="AG4014">
        <v>175</v>
      </c>
      <c r="AH4014">
        <v>129</v>
      </c>
      <c r="AI4014">
        <v>7.56</v>
      </c>
      <c r="AJ4014">
        <v>32.29</v>
      </c>
      <c r="AK4014">
        <v>23.8</v>
      </c>
      <c r="AL4014">
        <v>-20.152516249999959</v>
      </c>
      <c r="AM4014">
        <v>-44.899310431333959</v>
      </c>
      <c r="AN4014">
        <v>-20.152516249999959</v>
      </c>
      <c r="AO4014">
        <v>-44.899310431333959</v>
      </c>
      <c r="AP4014">
        <v>-20.152519000000002</v>
      </c>
      <c r="AQ4014">
        <v>-44.899177000000002</v>
      </c>
      <c r="AR4014">
        <v>13.947583284957719</v>
      </c>
      <c r="AS4014" t="s">
        <v>65</v>
      </c>
      <c r="AT4014">
        <v>1</v>
      </c>
      <c r="AU4014" t="s">
        <v>895</v>
      </c>
      <c r="AV4014" t="s">
        <v>896</v>
      </c>
      <c r="AW4014" t="s">
        <v>60</v>
      </c>
      <c r="AX4014" t="s">
        <v>68</v>
      </c>
      <c r="AY4014" t="s">
        <v>69</v>
      </c>
      <c r="AZ4014" t="b">
        <v>1</v>
      </c>
    </row>
    <row r="4015" spans="1:52" x14ac:dyDescent="0.3">
      <c r="A4015" t="s">
        <v>52</v>
      </c>
      <c r="B4015" t="s">
        <v>53</v>
      </c>
      <c r="C4015" t="s">
        <v>54</v>
      </c>
      <c r="D4015" t="s">
        <v>55</v>
      </c>
      <c r="E4015" t="s">
        <v>2206</v>
      </c>
      <c r="F4015" t="s">
        <v>1247</v>
      </c>
      <c r="G4015" t="s">
        <v>1412</v>
      </c>
      <c r="H4015" t="s">
        <v>1413</v>
      </c>
      <c r="I4015" t="s">
        <v>1413</v>
      </c>
      <c r="J4015" t="s">
        <v>60</v>
      </c>
      <c r="K4015" t="s">
        <v>892</v>
      </c>
      <c r="L4015" t="s">
        <v>62</v>
      </c>
      <c r="M4015" t="s">
        <v>892</v>
      </c>
      <c r="N4015" t="s">
        <v>1414</v>
      </c>
      <c r="O4015" t="s">
        <v>293</v>
      </c>
      <c r="P4015">
        <v>-20.150780999999998</v>
      </c>
      <c r="Q4015">
        <v>-44.897972000000003</v>
      </c>
      <c r="R4015" s="2" t="str">
        <f>HYPERLINK("https://www.google.com/maps?q=-20.1507810,-44.8979720","Abrir no Google Maps")</f>
        <v>Abrir no Google Maps</v>
      </c>
      <c r="S4015">
        <v>3</v>
      </c>
      <c r="T4015">
        <v>306.36394634674508</v>
      </c>
      <c r="U4015">
        <v>3</v>
      </c>
      <c r="V4015">
        <v>0.41996846093870882</v>
      </c>
      <c r="W4015">
        <v>0.85</v>
      </c>
      <c r="X4015">
        <v>0.35697319179790249</v>
      </c>
      <c r="Y4015">
        <v>556</v>
      </c>
      <c r="Z4015">
        <v>233.85692443628571</v>
      </c>
      <c r="AA4015">
        <v>198</v>
      </c>
      <c r="AB4015">
        <v>332</v>
      </c>
      <c r="AC4015">
        <v>536</v>
      </c>
      <c r="AD4015">
        <v>33.19</v>
      </c>
      <c r="AE4015">
        <v>542</v>
      </c>
      <c r="AF4015">
        <v>41</v>
      </c>
      <c r="AG4015">
        <v>175</v>
      </c>
      <c r="AH4015">
        <v>129</v>
      </c>
      <c r="AI4015">
        <v>7.56</v>
      </c>
      <c r="AJ4015">
        <v>32.29</v>
      </c>
      <c r="AK4015">
        <v>23.8</v>
      </c>
      <c r="AL4015">
        <v>-20.15074609999996</v>
      </c>
      <c r="AM4015">
        <v>-44.89795774234689</v>
      </c>
      <c r="AN4015">
        <v>-20.15074609999996</v>
      </c>
      <c r="AO4015">
        <v>-44.89795774234689</v>
      </c>
      <c r="AP4015">
        <v>-20.150780999999998</v>
      </c>
      <c r="AQ4015">
        <v>-44.897972000000003</v>
      </c>
      <c r="AR4015">
        <v>4.160995809097348</v>
      </c>
      <c r="AS4015" t="s">
        <v>65</v>
      </c>
      <c r="AT4015">
        <v>1</v>
      </c>
      <c r="AU4015" t="s">
        <v>1415</v>
      </c>
      <c r="AV4015" t="s">
        <v>1416</v>
      </c>
      <c r="AW4015" t="s">
        <v>60</v>
      </c>
      <c r="AX4015" t="s">
        <v>68</v>
      </c>
      <c r="AY4015" t="s">
        <v>69</v>
      </c>
      <c r="AZ4015" t="b">
        <v>1</v>
      </c>
    </row>
    <row r="4016" spans="1:52" x14ac:dyDescent="0.3">
      <c r="A4016" t="s">
        <v>52</v>
      </c>
      <c r="B4016" t="s">
        <v>53</v>
      </c>
      <c r="C4016" t="s">
        <v>54</v>
      </c>
      <c r="D4016" t="s">
        <v>55</v>
      </c>
      <c r="E4016" t="s">
        <v>2206</v>
      </c>
      <c r="F4016" t="s">
        <v>1247</v>
      </c>
      <c r="G4016" t="s">
        <v>897</v>
      </c>
      <c r="H4016" t="s">
        <v>898</v>
      </c>
      <c r="I4016" t="s">
        <v>898</v>
      </c>
      <c r="J4016" t="s">
        <v>60</v>
      </c>
      <c r="K4016" t="s">
        <v>892</v>
      </c>
      <c r="L4016" t="s">
        <v>62</v>
      </c>
      <c r="M4016" t="s">
        <v>892</v>
      </c>
      <c r="N4016" t="s">
        <v>899</v>
      </c>
      <c r="O4016" t="s">
        <v>900</v>
      </c>
      <c r="P4016">
        <v>-20.154885</v>
      </c>
      <c r="Q4016">
        <v>-44.899890999999997</v>
      </c>
      <c r="R4016" s="2" t="str">
        <f>HYPERLINK("https://www.google.com/maps?q=-20.1548850,-44.8998910","Abrir no Google Maps")</f>
        <v>Abrir no Google Maps</v>
      </c>
      <c r="S4016">
        <v>3</v>
      </c>
      <c r="T4016">
        <v>314.66339661014308</v>
      </c>
      <c r="U4016">
        <v>3</v>
      </c>
      <c r="V4016">
        <v>0.3783370346692197</v>
      </c>
      <c r="W4016">
        <v>1</v>
      </c>
      <c r="X4016">
        <v>0.3783370346692197</v>
      </c>
      <c r="Y4016">
        <v>548</v>
      </c>
      <c r="Z4016">
        <v>319.02252584834253</v>
      </c>
      <c r="AA4016">
        <v>198</v>
      </c>
      <c r="AB4016">
        <v>332</v>
      </c>
      <c r="AC4016">
        <v>536</v>
      </c>
      <c r="AD4016">
        <v>33.19</v>
      </c>
      <c r="AE4016">
        <v>542</v>
      </c>
      <c r="AF4016">
        <v>41</v>
      </c>
      <c r="AG4016">
        <v>175</v>
      </c>
      <c r="AH4016">
        <v>129</v>
      </c>
      <c r="AI4016">
        <v>7.56</v>
      </c>
      <c r="AJ4016">
        <v>32.29</v>
      </c>
      <c r="AK4016">
        <v>23.8</v>
      </c>
      <c r="AL4016">
        <v>-20.154906649999951</v>
      </c>
      <c r="AM4016">
        <v>-44.899894072543653</v>
      </c>
      <c r="AN4016">
        <v>-20.154906649999951</v>
      </c>
      <c r="AO4016">
        <v>-44.899894072543653</v>
      </c>
      <c r="AP4016">
        <v>-20.154885</v>
      </c>
      <c r="AQ4016">
        <v>-44.899890999999997</v>
      </c>
      <c r="AR4016">
        <v>2.431373123904943</v>
      </c>
      <c r="AS4016" t="s">
        <v>65</v>
      </c>
      <c r="AT4016">
        <v>1</v>
      </c>
      <c r="AU4016" t="s">
        <v>901</v>
      </c>
      <c r="AV4016" t="s">
        <v>902</v>
      </c>
      <c r="AW4016" t="s">
        <v>60</v>
      </c>
      <c r="AX4016" t="s">
        <v>68</v>
      </c>
      <c r="AY4016" t="s">
        <v>69</v>
      </c>
      <c r="AZ4016" t="b">
        <v>1</v>
      </c>
    </row>
    <row r="4017" spans="1:52" x14ac:dyDescent="0.3">
      <c r="A4017" t="s">
        <v>52</v>
      </c>
      <c r="B4017" t="s">
        <v>53</v>
      </c>
      <c r="C4017" t="s">
        <v>54</v>
      </c>
      <c r="D4017" t="s">
        <v>55</v>
      </c>
      <c r="E4017" t="s">
        <v>2206</v>
      </c>
      <c r="F4017" t="s">
        <v>1247</v>
      </c>
      <c r="G4017" t="s">
        <v>386</v>
      </c>
      <c r="H4017" t="s">
        <v>387</v>
      </c>
      <c r="I4017" t="s">
        <v>387</v>
      </c>
      <c r="J4017" t="s">
        <v>60</v>
      </c>
      <c r="K4017" t="s">
        <v>388</v>
      </c>
      <c r="L4017" t="s">
        <v>62</v>
      </c>
      <c r="M4017" t="s">
        <v>388</v>
      </c>
      <c r="N4017" t="s">
        <v>389</v>
      </c>
      <c r="O4017" t="s">
        <v>357</v>
      </c>
      <c r="P4017">
        <v>-20.161041999999998</v>
      </c>
      <c r="Q4017">
        <v>-44.901242000000003</v>
      </c>
      <c r="R4017" s="2" t="str">
        <f>HYPERLINK("https://www.google.com/maps?q=-20.1610420,-44.9012420","Abrir no Google Maps")</f>
        <v>Abrir no Google Maps</v>
      </c>
      <c r="S4017">
        <v>3</v>
      </c>
      <c r="T4017">
        <v>440.22183232279212</v>
      </c>
      <c r="U4017">
        <v>2</v>
      </c>
      <c r="V4017">
        <v>0.34772982199681629</v>
      </c>
      <c r="W4017">
        <v>1</v>
      </c>
      <c r="X4017">
        <v>0.34772982199681629</v>
      </c>
      <c r="Y4017">
        <v>729</v>
      </c>
      <c r="Z4017">
        <v>398.48306829302379</v>
      </c>
      <c r="AA4017">
        <v>198</v>
      </c>
      <c r="AB4017">
        <v>332</v>
      </c>
      <c r="AC4017">
        <v>536</v>
      </c>
      <c r="AD4017">
        <v>33.19</v>
      </c>
      <c r="AE4017">
        <v>542</v>
      </c>
      <c r="AF4017">
        <v>41</v>
      </c>
      <c r="AG4017">
        <v>175</v>
      </c>
      <c r="AH4017">
        <v>129</v>
      </c>
      <c r="AI4017">
        <v>7.56</v>
      </c>
      <c r="AJ4017">
        <v>32.29</v>
      </c>
      <c r="AK4017">
        <v>23.8</v>
      </c>
      <c r="AL4017">
        <v>-20.16176629999995</v>
      </c>
      <c r="AM4017">
        <v>-44.901582787827898</v>
      </c>
      <c r="AN4017">
        <v>-20.16176629999995</v>
      </c>
      <c r="AO4017">
        <v>-44.901582787827898</v>
      </c>
      <c r="AP4017">
        <v>-20.161041999999998</v>
      </c>
      <c r="AQ4017">
        <v>-44.901242000000003</v>
      </c>
      <c r="AR4017">
        <v>88.143369157892835</v>
      </c>
      <c r="AS4017" t="s">
        <v>65</v>
      </c>
      <c r="AT4017">
        <v>1</v>
      </c>
      <c r="AU4017" t="s">
        <v>390</v>
      </c>
      <c r="AV4017" t="s">
        <v>391</v>
      </c>
      <c r="AW4017" t="s">
        <v>60</v>
      </c>
      <c r="AX4017" t="s">
        <v>68</v>
      </c>
      <c r="AY4017" t="s">
        <v>69</v>
      </c>
      <c r="AZ4017" t="b">
        <v>1</v>
      </c>
    </row>
    <row r="4018" spans="1:52" x14ac:dyDescent="0.3">
      <c r="A4018" t="s">
        <v>52</v>
      </c>
      <c r="B4018" t="s">
        <v>53</v>
      </c>
      <c r="C4018" t="s">
        <v>54</v>
      </c>
      <c r="D4018" t="s">
        <v>55</v>
      </c>
      <c r="E4018" t="s">
        <v>2206</v>
      </c>
      <c r="F4018" t="s">
        <v>1247</v>
      </c>
      <c r="G4018" t="s">
        <v>392</v>
      </c>
      <c r="H4018" t="s">
        <v>393</v>
      </c>
      <c r="I4018" t="s">
        <v>393</v>
      </c>
      <c r="J4018" t="s">
        <v>60</v>
      </c>
      <c r="K4018" t="s">
        <v>388</v>
      </c>
      <c r="L4018" t="s">
        <v>62</v>
      </c>
      <c r="M4018" t="s">
        <v>388</v>
      </c>
      <c r="N4018" t="s">
        <v>394</v>
      </c>
      <c r="O4018" t="s">
        <v>395</v>
      </c>
      <c r="P4018">
        <v>-20.158066999999999</v>
      </c>
      <c r="Q4018">
        <v>-44.908164999999997</v>
      </c>
      <c r="R4018" s="2" t="str">
        <f>HYPERLINK("https://www.google.com/maps?q=-20.1580670,-44.9081650","Abrir no Google Maps")</f>
        <v>Abrir no Google Maps</v>
      </c>
      <c r="S4018">
        <v>3</v>
      </c>
      <c r="T4018">
        <v>666.74434317993041</v>
      </c>
      <c r="U4018">
        <v>2</v>
      </c>
      <c r="V4018">
        <v>0.34824723550415859</v>
      </c>
      <c r="W4018">
        <v>1</v>
      </c>
      <c r="X4018">
        <v>0.34824723550415859</v>
      </c>
      <c r="Y4018">
        <v>729</v>
      </c>
      <c r="Z4018">
        <v>612.4323328215396</v>
      </c>
      <c r="AA4018">
        <v>198</v>
      </c>
      <c r="AB4018">
        <v>332</v>
      </c>
      <c r="AC4018">
        <v>536</v>
      </c>
      <c r="AD4018">
        <v>33.19</v>
      </c>
      <c r="AE4018">
        <v>542</v>
      </c>
      <c r="AF4018">
        <v>41</v>
      </c>
      <c r="AG4018">
        <v>175</v>
      </c>
      <c r="AH4018">
        <v>129</v>
      </c>
      <c r="AI4018">
        <v>7.56</v>
      </c>
      <c r="AJ4018">
        <v>32.29</v>
      </c>
      <c r="AK4018">
        <v>23.8</v>
      </c>
      <c r="AL4018">
        <v>-20.158151449999959</v>
      </c>
      <c r="AM4018">
        <v>-44.908107718360938</v>
      </c>
      <c r="AN4018">
        <v>-20.158151449999959</v>
      </c>
      <c r="AO4018">
        <v>-44.908107718360938</v>
      </c>
      <c r="AP4018">
        <v>-20.158066999999999</v>
      </c>
      <c r="AQ4018">
        <v>-44.908164999999997</v>
      </c>
      <c r="AR4018">
        <v>11.14497345894574</v>
      </c>
      <c r="AS4018" t="s">
        <v>65</v>
      </c>
      <c r="AT4018">
        <v>1</v>
      </c>
      <c r="AU4018" t="s">
        <v>396</v>
      </c>
      <c r="AV4018" t="s">
        <v>397</v>
      </c>
      <c r="AW4018" t="s">
        <v>60</v>
      </c>
      <c r="AX4018" t="s">
        <v>68</v>
      </c>
      <c r="AY4018" t="s">
        <v>69</v>
      </c>
      <c r="AZ4018" t="b">
        <v>1</v>
      </c>
    </row>
    <row r="4019" spans="1:52" x14ac:dyDescent="0.3">
      <c r="A4019" t="s">
        <v>52</v>
      </c>
      <c r="B4019" t="s">
        <v>53</v>
      </c>
      <c r="C4019" t="s">
        <v>54</v>
      </c>
      <c r="D4019" t="s">
        <v>55</v>
      </c>
      <c r="E4019" t="s">
        <v>2206</v>
      </c>
      <c r="F4019" t="s">
        <v>1247</v>
      </c>
      <c r="G4019" t="s">
        <v>839</v>
      </c>
      <c r="H4019" t="s">
        <v>1274</v>
      </c>
      <c r="I4019" t="s">
        <v>1274</v>
      </c>
      <c r="J4019" t="s">
        <v>60</v>
      </c>
      <c r="K4019" t="s">
        <v>388</v>
      </c>
      <c r="L4019" t="s">
        <v>62</v>
      </c>
      <c r="M4019" t="s">
        <v>388</v>
      </c>
      <c r="N4019" t="s">
        <v>841</v>
      </c>
      <c r="O4019" t="s">
        <v>1275</v>
      </c>
      <c r="P4019">
        <v>-20.157979999999998</v>
      </c>
      <c r="Q4019">
        <v>-44.906365999999998</v>
      </c>
      <c r="R4019" s="2" t="str">
        <f>HYPERLINK("https://www.google.com/maps?q=-20.1579800,-44.9063660","Abrir no Google Maps")</f>
        <v>Abrir no Google Maps</v>
      </c>
      <c r="S4019">
        <v>3</v>
      </c>
      <c r="T4019">
        <v>519.48953004348823</v>
      </c>
      <c r="U4019">
        <v>2</v>
      </c>
      <c r="V4019">
        <v>0.37300369571940589</v>
      </c>
      <c r="W4019">
        <v>0.85</v>
      </c>
      <c r="X4019">
        <v>0.31705314136149498</v>
      </c>
      <c r="Y4019">
        <v>729</v>
      </c>
      <c r="Z4019">
        <v>393.22938248316768</v>
      </c>
      <c r="AA4019">
        <v>198</v>
      </c>
      <c r="AB4019">
        <v>332</v>
      </c>
      <c r="AC4019">
        <v>536</v>
      </c>
      <c r="AD4019">
        <v>33.19</v>
      </c>
      <c r="AE4019">
        <v>542</v>
      </c>
      <c r="AF4019">
        <v>41</v>
      </c>
      <c r="AG4019">
        <v>175</v>
      </c>
      <c r="AH4019">
        <v>129</v>
      </c>
      <c r="AI4019">
        <v>7.56</v>
      </c>
      <c r="AJ4019">
        <v>32.29</v>
      </c>
      <c r="AK4019">
        <v>23.8</v>
      </c>
      <c r="AL4019">
        <v>-20.157977799999941</v>
      </c>
      <c r="AM4019">
        <v>-44.906429896327573</v>
      </c>
      <c r="AN4019">
        <v>-20.157977799999941</v>
      </c>
      <c r="AO4019">
        <v>-44.906429896327573</v>
      </c>
      <c r="AP4019">
        <v>-20.157979999999998</v>
      </c>
      <c r="AQ4019">
        <v>-44.906365999999998</v>
      </c>
      <c r="AR4019">
        <v>6.6817330699236734</v>
      </c>
      <c r="AS4019" t="s">
        <v>65</v>
      </c>
      <c r="AT4019">
        <v>1</v>
      </c>
      <c r="AU4019" t="s">
        <v>1276</v>
      </c>
      <c r="AV4019" t="s">
        <v>1277</v>
      </c>
      <c r="AW4019" t="s">
        <v>60</v>
      </c>
      <c r="AX4019" t="s">
        <v>68</v>
      </c>
      <c r="AY4019" t="s">
        <v>69</v>
      </c>
      <c r="AZ4019" t="b">
        <v>1</v>
      </c>
    </row>
    <row r="4020" spans="1:52" x14ac:dyDescent="0.3">
      <c r="A4020" t="s">
        <v>52</v>
      </c>
      <c r="B4020" t="s">
        <v>53</v>
      </c>
      <c r="C4020" t="s">
        <v>54</v>
      </c>
      <c r="D4020" t="s">
        <v>55</v>
      </c>
      <c r="E4020" t="s">
        <v>2206</v>
      </c>
      <c r="F4020" t="s">
        <v>1247</v>
      </c>
      <c r="G4020" t="s">
        <v>398</v>
      </c>
      <c r="H4020" t="s">
        <v>399</v>
      </c>
      <c r="I4020" t="s">
        <v>399</v>
      </c>
      <c r="J4020" t="s">
        <v>60</v>
      </c>
      <c r="K4020" t="s">
        <v>388</v>
      </c>
      <c r="L4020" t="s">
        <v>62</v>
      </c>
      <c r="M4020" t="s">
        <v>388</v>
      </c>
      <c r="N4020" t="s">
        <v>400</v>
      </c>
      <c r="O4020" t="s">
        <v>401</v>
      </c>
      <c r="P4020">
        <v>-20.160157000000002</v>
      </c>
      <c r="Q4020">
        <v>-44.904347999999999</v>
      </c>
      <c r="R4020" s="2" t="str">
        <f>HYPERLINK("https://www.google.com/maps?q=-20.1601570,-44.9043480","Abrir no Google Maps")</f>
        <v>Abrir no Google Maps</v>
      </c>
      <c r="S4020">
        <v>3</v>
      </c>
      <c r="T4020">
        <v>469.26088527154809</v>
      </c>
      <c r="U4020">
        <v>2</v>
      </c>
      <c r="V4020">
        <v>0.29431596596860071</v>
      </c>
      <c r="W4020">
        <v>1</v>
      </c>
      <c r="X4020">
        <v>0.29431596596860071</v>
      </c>
      <c r="Y4020">
        <v>729</v>
      </c>
      <c r="Z4020">
        <v>253.57832452309071</v>
      </c>
      <c r="AA4020">
        <v>198</v>
      </c>
      <c r="AB4020">
        <v>332</v>
      </c>
      <c r="AC4020">
        <v>536</v>
      </c>
      <c r="AD4020">
        <v>33.19</v>
      </c>
      <c r="AE4020">
        <v>542</v>
      </c>
      <c r="AF4020">
        <v>41</v>
      </c>
      <c r="AG4020">
        <v>175</v>
      </c>
      <c r="AH4020">
        <v>129</v>
      </c>
      <c r="AI4020">
        <v>7.56</v>
      </c>
      <c r="AJ4020">
        <v>32.29</v>
      </c>
      <c r="AK4020">
        <v>23.8</v>
      </c>
      <c r="AL4020">
        <v>-20.160007949999969</v>
      </c>
      <c r="AM4020">
        <v>-44.904396608560482</v>
      </c>
      <c r="AN4020">
        <v>-20.160007949999969</v>
      </c>
      <c r="AO4020">
        <v>-44.904396608560482</v>
      </c>
      <c r="AP4020">
        <v>-20.160157000000002</v>
      </c>
      <c r="AQ4020">
        <v>-44.904347999999999</v>
      </c>
      <c r="AR4020">
        <v>17.35237255387942</v>
      </c>
      <c r="AS4020" t="s">
        <v>65</v>
      </c>
      <c r="AT4020">
        <v>1</v>
      </c>
      <c r="AU4020" t="s">
        <v>402</v>
      </c>
      <c r="AV4020" t="s">
        <v>403</v>
      </c>
      <c r="AW4020" t="s">
        <v>60</v>
      </c>
      <c r="AX4020" t="s">
        <v>68</v>
      </c>
      <c r="AY4020" t="s">
        <v>69</v>
      </c>
      <c r="AZ4020" t="b">
        <v>1</v>
      </c>
    </row>
    <row r="4021" spans="1:52" x14ac:dyDescent="0.3">
      <c r="A4021" t="s">
        <v>52</v>
      </c>
      <c r="B4021" t="s">
        <v>53</v>
      </c>
      <c r="C4021" t="s">
        <v>54</v>
      </c>
      <c r="D4021" t="s">
        <v>55</v>
      </c>
      <c r="E4021" t="s">
        <v>2206</v>
      </c>
      <c r="F4021" t="s">
        <v>1247</v>
      </c>
      <c r="G4021" t="s">
        <v>404</v>
      </c>
      <c r="H4021" t="s">
        <v>405</v>
      </c>
      <c r="I4021" t="s">
        <v>405</v>
      </c>
      <c r="J4021" t="s">
        <v>60</v>
      </c>
      <c r="K4021" t="s">
        <v>388</v>
      </c>
      <c r="L4021" t="s">
        <v>62</v>
      </c>
      <c r="M4021" t="s">
        <v>388</v>
      </c>
      <c r="N4021" t="s">
        <v>406</v>
      </c>
      <c r="O4021" t="s">
        <v>407</v>
      </c>
      <c r="P4021">
        <v>-20.162780999999999</v>
      </c>
      <c r="Q4021">
        <v>-44.904437999999999</v>
      </c>
      <c r="R4021" s="2" t="str">
        <f>HYPERLINK("https://www.google.com/maps?q=-20.1627810,-44.9044380","Abrir no Google Maps")</f>
        <v>Abrir no Google Maps</v>
      </c>
      <c r="S4021">
        <v>3</v>
      </c>
      <c r="T4021">
        <v>681.0891377731482</v>
      </c>
      <c r="U4021">
        <v>2</v>
      </c>
      <c r="V4021">
        <v>0.30953864795367692</v>
      </c>
      <c r="W4021">
        <v>1</v>
      </c>
      <c r="X4021">
        <v>0.30953864795367692</v>
      </c>
      <c r="Y4021">
        <v>729</v>
      </c>
      <c r="Z4021">
        <v>564.17713687218622</v>
      </c>
      <c r="AA4021">
        <v>198</v>
      </c>
      <c r="AB4021">
        <v>332</v>
      </c>
      <c r="AC4021">
        <v>536</v>
      </c>
      <c r="AD4021">
        <v>33.19</v>
      </c>
      <c r="AE4021">
        <v>542</v>
      </c>
      <c r="AF4021">
        <v>41</v>
      </c>
      <c r="AG4021">
        <v>175</v>
      </c>
      <c r="AH4021">
        <v>129</v>
      </c>
      <c r="AI4021">
        <v>7.56</v>
      </c>
      <c r="AJ4021">
        <v>32.29</v>
      </c>
      <c r="AK4021">
        <v>23.8</v>
      </c>
      <c r="AL4021">
        <v>-20.16295434999995</v>
      </c>
      <c r="AM4021">
        <v>-44.904242686956152</v>
      </c>
      <c r="AN4021">
        <v>-20.16295434999995</v>
      </c>
      <c r="AO4021">
        <v>-44.904242686956152</v>
      </c>
      <c r="AP4021">
        <v>-20.162780999999999</v>
      </c>
      <c r="AQ4021">
        <v>-44.904437999999999</v>
      </c>
      <c r="AR4021">
        <v>28.088191280523411</v>
      </c>
      <c r="AS4021" t="s">
        <v>65</v>
      </c>
      <c r="AT4021">
        <v>1</v>
      </c>
      <c r="AU4021" t="s">
        <v>408</v>
      </c>
      <c r="AV4021" t="s">
        <v>409</v>
      </c>
      <c r="AW4021" t="s">
        <v>60</v>
      </c>
      <c r="AX4021" t="s">
        <v>68</v>
      </c>
      <c r="AY4021" t="s">
        <v>69</v>
      </c>
      <c r="AZ4021" t="b">
        <v>1</v>
      </c>
    </row>
    <row r="4022" spans="1:52" x14ac:dyDescent="0.3">
      <c r="A4022" t="s">
        <v>52</v>
      </c>
      <c r="B4022" t="s">
        <v>53</v>
      </c>
      <c r="C4022" t="s">
        <v>54</v>
      </c>
      <c r="D4022" t="s">
        <v>55</v>
      </c>
      <c r="E4022" t="s">
        <v>2206</v>
      </c>
      <c r="F4022" t="s">
        <v>1247</v>
      </c>
      <c r="G4022" t="s">
        <v>410</v>
      </c>
      <c r="H4022" t="s">
        <v>411</v>
      </c>
      <c r="I4022" t="s">
        <v>411</v>
      </c>
      <c r="J4022" t="s">
        <v>60</v>
      </c>
      <c r="K4022" t="s">
        <v>388</v>
      </c>
      <c r="L4022" t="s">
        <v>62</v>
      </c>
      <c r="M4022" t="s">
        <v>388</v>
      </c>
      <c r="N4022" t="s">
        <v>412</v>
      </c>
      <c r="O4022" t="s">
        <v>413</v>
      </c>
      <c r="P4022">
        <v>-20.161394000000001</v>
      </c>
      <c r="Q4022">
        <v>-44.906725999999999</v>
      </c>
      <c r="R4022" s="2" t="str">
        <f>HYPERLINK("https://www.google.com/maps?q=-20.1613940,-44.9067260","Abrir no Google Maps")</f>
        <v>Abrir no Google Maps</v>
      </c>
      <c r="S4022">
        <v>3</v>
      </c>
      <c r="T4022">
        <v>763.68157548493457</v>
      </c>
      <c r="U4022">
        <v>2</v>
      </c>
      <c r="V4022">
        <v>0.31764590512137347</v>
      </c>
      <c r="W4022">
        <v>1</v>
      </c>
      <c r="X4022">
        <v>0.31764590512137347</v>
      </c>
      <c r="Y4022">
        <v>729</v>
      </c>
      <c r="Z4022">
        <v>551.70379325948545</v>
      </c>
      <c r="AA4022">
        <v>198</v>
      </c>
      <c r="AB4022">
        <v>332</v>
      </c>
      <c r="AC4022">
        <v>536</v>
      </c>
      <c r="AD4022">
        <v>33.19</v>
      </c>
      <c r="AE4022">
        <v>542</v>
      </c>
      <c r="AF4022">
        <v>41</v>
      </c>
      <c r="AG4022">
        <v>175</v>
      </c>
      <c r="AH4022">
        <v>129</v>
      </c>
      <c r="AI4022">
        <v>7.56</v>
      </c>
      <c r="AJ4022">
        <v>32.29</v>
      </c>
      <c r="AK4022">
        <v>23.8</v>
      </c>
      <c r="AL4022">
        <v>-20.161371049999929</v>
      </c>
      <c r="AM4022">
        <v>-44.906816797310228</v>
      </c>
      <c r="AN4022">
        <v>-20.161371049999929</v>
      </c>
      <c r="AO4022">
        <v>-44.906816797310228</v>
      </c>
      <c r="AP4022">
        <v>-20.161394000000001</v>
      </c>
      <c r="AQ4022">
        <v>-44.906725999999999</v>
      </c>
      <c r="AR4022">
        <v>9.8261555662022495</v>
      </c>
      <c r="AS4022" t="s">
        <v>65</v>
      </c>
      <c r="AT4022">
        <v>1</v>
      </c>
      <c r="AU4022" t="s">
        <v>414</v>
      </c>
      <c r="AV4022" t="s">
        <v>415</v>
      </c>
      <c r="AW4022" t="s">
        <v>60</v>
      </c>
      <c r="AX4022" t="s">
        <v>68</v>
      </c>
      <c r="AY4022" t="s">
        <v>69</v>
      </c>
      <c r="AZ4022" t="b">
        <v>1</v>
      </c>
    </row>
    <row r="4023" spans="1:52" x14ac:dyDescent="0.3">
      <c r="A4023" t="s">
        <v>52</v>
      </c>
      <c r="B4023" t="s">
        <v>53</v>
      </c>
      <c r="C4023" t="s">
        <v>54</v>
      </c>
      <c r="D4023" t="s">
        <v>55</v>
      </c>
      <c r="E4023" t="s">
        <v>2206</v>
      </c>
      <c r="F4023" t="s">
        <v>1247</v>
      </c>
      <c r="G4023" t="s">
        <v>1283</v>
      </c>
      <c r="H4023" t="s">
        <v>1284</v>
      </c>
      <c r="I4023" t="s">
        <v>1284</v>
      </c>
      <c r="J4023" t="s">
        <v>60</v>
      </c>
      <c r="K4023" t="s">
        <v>388</v>
      </c>
      <c r="L4023" t="s">
        <v>62</v>
      </c>
      <c r="M4023" t="s">
        <v>388</v>
      </c>
      <c r="N4023" t="s">
        <v>400</v>
      </c>
      <c r="O4023" t="s">
        <v>1285</v>
      </c>
      <c r="P4023">
        <v>-20.156977999999999</v>
      </c>
      <c r="Q4023">
        <v>-44.90325</v>
      </c>
      <c r="R4023" s="2" t="str">
        <f>HYPERLINK("https://www.google.com/maps?q=-20.1569780,-44.9032500","Abrir no Google Maps")</f>
        <v>Abrir no Google Maps</v>
      </c>
      <c r="S4023">
        <v>3</v>
      </c>
      <c r="T4023">
        <v>256.05633739092571</v>
      </c>
      <c r="U4023">
        <v>2</v>
      </c>
      <c r="V4023">
        <v>0.37319097709571492</v>
      </c>
      <c r="W4023">
        <v>0.85</v>
      </c>
      <c r="X4023">
        <v>0.31721233053135772</v>
      </c>
      <c r="Y4023">
        <v>729</v>
      </c>
      <c r="Z4023">
        <v>162.99447055889971</v>
      </c>
      <c r="AA4023">
        <v>198</v>
      </c>
      <c r="AB4023">
        <v>332</v>
      </c>
      <c r="AC4023">
        <v>536</v>
      </c>
      <c r="AD4023">
        <v>33.19</v>
      </c>
      <c r="AE4023">
        <v>542</v>
      </c>
      <c r="AF4023">
        <v>41</v>
      </c>
      <c r="AG4023">
        <v>175</v>
      </c>
      <c r="AH4023">
        <v>129</v>
      </c>
      <c r="AI4023">
        <v>7.56</v>
      </c>
      <c r="AJ4023">
        <v>32.29</v>
      </c>
      <c r="AK4023">
        <v>23.8</v>
      </c>
      <c r="AL4023">
        <v>-20.15696524999996</v>
      </c>
      <c r="AM4023">
        <v>-44.903258102626708</v>
      </c>
      <c r="AN4023">
        <v>-20.15696524999996</v>
      </c>
      <c r="AO4023">
        <v>-44.903258102626708</v>
      </c>
      <c r="AP4023">
        <v>-20.156977999999999</v>
      </c>
      <c r="AQ4023">
        <v>-44.90325</v>
      </c>
      <c r="AR4023">
        <v>1.6527147033629741</v>
      </c>
      <c r="AS4023" t="s">
        <v>65</v>
      </c>
      <c r="AT4023">
        <v>1</v>
      </c>
      <c r="AU4023" t="s">
        <v>1286</v>
      </c>
      <c r="AV4023" t="s">
        <v>1287</v>
      </c>
      <c r="AW4023" t="s">
        <v>60</v>
      </c>
      <c r="AX4023" t="s">
        <v>68</v>
      </c>
      <c r="AY4023" t="s">
        <v>69</v>
      </c>
      <c r="AZ4023" t="b">
        <v>1</v>
      </c>
    </row>
    <row r="4024" spans="1:52" x14ac:dyDescent="0.3">
      <c r="A4024" t="s">
        <v>52</v>
      </c>
      <c r="B4024" t="s">
        <v>53</v>
      </c>
      <c r="C4024" t="s">
        <v>54</v>
      </c>
      <c r="D4024" t="s">
        <v>55</v>
      </c>
      <c r="E4024" t="s">
        <v>2206</v>
      </c>
      <c r="F4024" t="s">
        <v>1247</v>
      </c>
      <c r="G4024" t="s">
        <v>416</v>
      </c>
      <c r="H4024" t="s">
        <v>417</v>
      </c>
      <c r="I4024" t="s">
        <v>417</v>
      </c>
      <c r="J4024" t="s">
        <v>60</v>
      </c>
      <c r="K4024" t="s">
        <v>418</v>
      </c>
      <c r="L4024" t="s">
        <v>62</v>
      </c>
      <c r="M4024" t="s">
        <v>418</v>
      </c>
      <c r="N4024" t="s">
        <v>419</v>
      </c>
      <c r="O4024" t="s">
        <v>202</v>
      </c>
      <c r="P4024">
        <v>-20.169886000000002</v>
      </c>
      <c r="Q4024">
        <v>-44.913288000000001</v>
      </c>
      <c r="R4024" s="2" t="str">
        <f>HYPERLINK("https://www.google.com/maps?q=-20.1698860,-44.9132880","Abrir no Google Maps")</f>
        <v>Abrir no Google Maps</v>
      </c>
      <c r="S4024">
        <v>3</v>
      </c>
      <c r="T4024">
        <v>422.88733632898152</v>
      </c>
      <c r="U4024">
        <v>2</v>
      </c>
      <c r="V4024">
        <v>0.35181836068594918</v>
      </c>
      <c r="W4024">
        <v>1</v>
      </c>
      <c r="X4024">
        <v>0.35181836068594918</v>
      </c>
      <c r="Y4024">
        <v>723</v>
      </c>
      <c r="Z4024">
        <v>128.65003864232261</v>
      </c>
      <c r="AA4024">
        <v>198</v>
      </c>
      <c r="AB4024">
        <v>332</v>
      </c>
      <c r="AC4024">
        <v>536</v>
      </c>
      <c r="AD4024">
        <v>33.19</v>
      </c>
      <c r="AE4024">
        <v>542</v>
      </c>
      <c r="AF4024">
        <v>41</v>
      </c>
      <c r="AG4024">
        <v>175</v>
      </c>
      <c r="AH4024">
        <v>129</v>
      </c>
      <c r="AI4024">
        <v>7.56</v>
      </c>
      <c r="AJ4024">
        <v>32.29</v>
      </c>
      <c r="AK4024">
        <v>23.8</v>
      </c>
      <c r="AL4024">
        <v>-20.16970024999998</v>
      </c>
      <c r="AM4024">
        <v>-44.913502201257437</v>
      </c>
      <c r="AN4024">
        <v>-20.16970024999998</v>
      </c>
      <c r="AO4024">
        <v>-44.913502201257437</v>
      </c>
      <c r="AP4024">
        <v>-20.169886000000002</v>
      </c>
      <c r="AQ4024">
        <v>-44.913288000000001</v>
      </c>
      <c r="AR4024">
        <v>30.47208587597606</v>
      </c>
      <c r="AS4024" t="s">
        <v>65</v>
      </c>
      <c r="AT4024">
        <v>1</v>
      </c>
      <c r="AU4024" t="s">
        <v>420</v>
      </c>
      <c r="AV4024" t="s">
        <v>421</v>
      </c>
      <c r="AW4024" t="s">
        <v>60</v>
      </c>
      <c r="AX4024" t="s">
        <v>68</v>
      </c>
      <c r="AY4024" t="s">
        <v>69</v>
      </c>
      <c r="AZ4024" t="b">
        <v>1</v>
      </c>
    </row>
    <row r="4025" spans="1:52" x14ac:dyDescent="0.3">
      <c r="A4025" t="s">
        <v>52</v>
      </c>
      <c r="B4025" t="s">
        <v>53</v>
      </c>
      <c r="C4025" t="s">
        <v>54</v>
      </c>
      <c r="D4025" t="s">
        <v>55</v>
      </c>
      <c r="E4025" t="s">
        <v>2206</v>
      </c>
      <c r="F4025" t="s">
        <v>1247</v>
      </c>
      <c r="G4025" t="s">
        <v>1288</v>
      </c>
      <c r="H4025" t="s">
        <v>1289</v>
      </c>
      <c r="I4025" t="s">
        <v>1289</v>
      </c>
      <c r="J4025" t="s">
        <v>60</v>
      </c>
      <c r="K4025" t="s">
        <v>1290</v>
      </c>
      <c r="L4025" t="s">
        <v>62</v>
      </c>
      <c r="M4025" t="s">
        <v>1290</v>
      </c>
      <c r="N4025" t="s">
        <v>1291</v>
      </c>
      <c r="O4025" t="s">
        <v>315</v>
      </c>
      <c r="P4025">
        <v>-20.171008</v>
      </c>
      <c r="Q4025">
        <v>-44.918908999999999</v>
      </c>
      <c r="R4025" s="2" t="str">
        <f>HYPERLINK("https://www.google.com/maps?q=-20.1710080,-44.9189090","Abrir no Google Maps")</f>
        <v>Abrir no Google Maps</v>
      </c>
      <c r="S4025">
        <v>3</v>
      </c>
      <c r="T4025">
        <v>972.86786700299888</v>
      </c>
      <c r="U4025">
        <v>2</v>
      </c>
      <c r="V4025">
        <v>0.35147187114868128</v>
      </c>
      <c r="W4025">
        <v>0.85</v>
      </c>
      <c r="X4025">
        <v>0.2987510904763791</v>
      </c>
      <c r="Y4025">
        <v>723</v>
      </c>
      <c r="Z4025">
        <v>690.55600110253613</v>
      </c>
      <c r="AA4025">
        <v>198</v>
      </c>
      <c r="AB4025">
        <v>332</v>
      </c>
      <c r="AC4025">
        <v>536</v>
      </c>
      <c r="AD4025">
        <v>33.19</v>
      </c>
      <c r="AE4025">
        <v>542</v>
      </c>
      <c r="AF4025">
        <v>41</v>
      </c>
      <c r="AG4025">
        <v>175</v>
      </c>
      <c r="AH4025">
        <v>129</v>
      </c>
      <c r="AI4025">
        <v>7.56</v>
      </c>
      <c r="AJ4025">
        <v>32.29</v>
      </c>
      <c r="AK4025">
        <v>23.8</v>
      </c>
      <c r="AL4025">
        <v>-20.171738249999979</v>
      </c>
      <c r="AM4025">
        <v>-44.919736490382917</v>
      </c>
      <c r="AN4025">
        <v>-20.171738249999979</v>
      </c>
      <c r="AO4025">
        <v>-44.919736490382931</v>
      </c>
      <c r="AP4025">
        <v>-20.171008</v>
      </c>
      <c r="AQ4025">
        <v>-44.918908999999999</v>
      </c>
      <c r="AR4025">
        <v>118.678920061485</v>
      </c>
      <c r="AS4025" t="s">
        <v>65</v>
      </c>
      <c r="AT4025">
        <v>1</v>
      </c>
      <c r="AU4025" t="s">
        <v>1292</v>
      </c>
      <c r="AV4025" t="s">
        <v>1293</v>
      </c>
      <c r="AW4025" t="s">
        <v>60</v>
      </c>
      <c r="AX4025" t="s">
        <v>68</v>
      </c>
      <c r="AY4025" t="s">
        <v>69</v>
      </c>
      <c r="AZ4025" t="b">
        <v>1</v>
      </c>
    </row>
    <row r="4026" spans="1:52" x14ac:dyDescent="0.3">
      <c r="A4026" t="s">
        <v>52</v>
      </c>
      <c r="B4026" t="s">
        <v>53</v>
      </c>
      <c r="C4026" t="s">
        <v>54</v>
      </c>
      <c r="D4026" t="s">
        <v>55</v>
      </c>
      <c r="E4026" t="s">
        <v>2206</v>
      </c>
      <c r="F4026" t="s">
        <v>1247</v>
      </c>
      <c r="G4026" t="s">
        <v>1294</v>
      </c>
      <c r="H4026" t="s">
        <v>1295</v>
      </c>
      <c r="I4026" t="s">
        <v>1295</v>
      </c>
      <c r="J4026" t="s">
        <v>60</v>
      </c>
      <c r="K4026" t="s">
        <v>418</v>
      </c>
      <c r="L4026" t="s">
        <v>62</v>
      </c>
      <c r="M4026" t="s">
        <v>418</v>
      </c>
      <c r="N4026" t="s">
        <v>1296</v>
      </c>
      <c r="O4026" t="s">
        <v>1297</v>
      </c>
      <c r="P4026">
        <v>-20.169899999999998</v>
      </c>
      <c r="Q4026">
        <v>-44.916176999999998</v>
      </c>
      <c r="R4026" s="2" t="str">
        <f>HYPERLINK("https://www.google.com/maps?q=-20.1699000,-44.9161770","Abrir no Google Maps")</f>
        <v>Abrir no Google Maps</v>
      </c>
      <c r="S4026">
        <v>3</v>
      </c>
      <c r="T4026">
        <v>658.15251036568407</v>
      </c>
      <c r="U4026">
        <v>2</v>
      </c>
      <c r="V4026">
        <v>0.36721844737319193</v>
      </c>
      <c r="W4026">
        <v>0.85</v>
      </c>
      <c r="X4026">
        <v>0.31213568026721311</v>
      </c>
      <c r="Y4026">
        <v>723</v>
      </c>
      <c r="Z4026">
        <v>400.39092274559039</v>
      </c>
      <c r="AA4026">
        <v>198</v>
      </c>
      <c r="AB4026">
        <v>332</v>
      </c>
      <c r="AC4026">
        <v>536</v>
      </c>
      <c r="AD4026">
        <v>33.19</v>
      </c>
      <c r="AE4026">
        <v>542</v>
      </c>
      <c r="AF4026">
        <v>41</v>
      </c>
      <c r="AG4026">
        <v>175</v>
      </c>
      <c r="AH4026">
        <v>129</v>
      </c>
      <c r="AI4026">
        <v>7.56</v>
      </c>
      <c r="AJ4026">
        <v>32.29</v>
      </c>
      <c r="AK4026">
        <v>23.8</v>
      </c>
      <c r="AL4026">
        <v>-20.169898399999941</v>
      </c>
      <c r="AM4026">
        <v>-44.916247682868359</v>
      </c>
      <c r="AN4026">
        <v>-20.169898399999941</v>
      </c>
      <c r="AO4026">
        <v>-44.916247682868359</v>
      </c>
      <c r="AP4026">
        <v>-20.169899999999998</v>
      </c>
      <c r="AQ4026">
        <v>-44.916176999999998</v>
      </c>
      <c r="AR4026">
        <v>7.388028048308902</v>
      </c>
      <c r="AS4026" t="s">
        <v>65</v>
      </c>
      <c r="AT4026">
        <v>1</v>
      </c>
      <c r="AU4026" t="s">
        <v>1298</v>
      </c>
      <c r="AV4026" t="s">
        <v>1299</v>
      </c>
      <c r="AW4026" t="s">
        <v>60</v>
      </c>
      <c r="AX4026" t="s">
        <v>68</v>
      </c>
      <c r="AY4026" t="s">
        <v>69</v>
      </c>
      <c r="AZ4026" t="b">
        <v>1</v>
      </c>
    </row>
    <row r="4027" spans="1:52" x14ac:dyDescent="0.3">
      <c r="A4027" t="s">
        <v>52</v>
      </c>
      <c r="B4027" t="s">
        <v>53</v>
      </c>
      <c r="C4027" t="s">
        <v>54</v>
      </c>
      <c r="D4027" t="s">
        <v>55</v>
      </c>
      <c r="E4027" t="s">
        <v>2206</v>
      </c>
      <c r="F4027" t="s">
        <v>1247</v>
      </c>
      <c r="G4027" t="s">
        <v>1300</v>
      </c>
      <c r="H4027" t="s">
        <v>1301</v>
      </c>
      <c r="I4027" t="s">
        <v>1301</v>
      </c>
      <c r="J4027" t="s">
        <v>60</v>
      </c>
      <c r="K4027" t="s">
        <v>1302</v>
      </c>
      <c r="L4027" t="s">
        <v>62</v>
      </c>
      <c r="M4027" t="s">
        <v>1302</v>
      </c>
      <c r="N4027" t="s">
        <v>1303</v>
      </c>
      <c r="O4027" t="s">
        <v>1304</v>
      </c>
      <c r="P4027">
        <v>-20.166618</v>
      </c>
      <c r="Q4027">
        <v>-44.912920999999997</v>
      </c>
      <c r="R4027" s="2" t="str">
        <f>HYPERLINK("https://www.google.com/maps?q=-20.1666180,-44.9129210","Abrir no Google Maps")</f>
        <v>Abrir no Google Maps</v>
      </c>
      <c r="S4027">
        <v>3</v>
      </c>
      <c r="T4027">
        <v>636.32880156364706</v>
      </c>
      <c r="U4027">
        <v>2</v>
      </c>
      <c r="V4027">
        <v>0.38937234969519158</v>
      </c>
      <c r="W4027">
        <v>0.85</v>
      </c>
      <c r="X4027">
        <v>0.33096649724091282</v>
      </c>
      <c r="Y4027">
        <v>723</v>
      </c>
      <c r="Z4027">
        <v>407.62145176971592</v>
      </c>
      <c r="AA4027">
        <v>198</v>
      </c>
      <c r="AB4027">
        <v>332</v>
      </c>
      <c r="AC4027">
        <v>536</v>
      </c>
      <c r="AD4027">
        <v>33.19</v>
      </c>
      <c r="AE4027">
        <v>542</v>
      </c>
      <c r="AF4027">
        <v>41</v>
      </c>
      <c r="AG4027">
        <v>175</v>
      </c>
      <c r="AH4027">
        <v>129</v>
      </c>
      <c r="AI4027">
        <v>7.56</v>
      </c>
      <c r="AJ4027">
        <v>32.29</v>
      </c>
      <c r="AK4027">
        <v>23.8</v>
      </c>
      <c r="AL4027">
        <v>-20.166924799999951</v>
      </c>
      <c r="AM4027">
        <v>-44.912868681724092</v>
      </c>
      <c r="AN4027">
        <v>-20.166924799999951</v>
      </c>
      <c r="AO4027">
        <v>-44.912868681724092</v>
      </c>
      <c r="AP4027">
        <v>-20.166618</v>
      </c>
      <c r="AQ4027">
        <v>-44.912920999999997</v>
      </c>
      <c r="AR4027">
        <v>34.587771860198139</v>
      </c>
      <c r="AS4027" t="s">
        <v>65</v>
      </c>
      <c r="AT4027">
        <v>1</v>
      </c>
      <c r="AU4027" t="s">
        <v>1305</v>
      </c>
      <c r="AV4027" t="s">
        <v>1306</v>
      </c>
      <c r="AW4027" t="s">
        <v>60</v>
      </c>
      <c r="AX4027" t="s">
        <v>68</v>
      </c>
      <c r="AY4027" t="s">
        <v>69</v>
      </c>
      <c r="AZ4027" t="b">
        <v>1</v>
      </c>
    </row>
    <row r="4028" spans="1:52" x14ac:dyDescent="0.3">
      <c r="A4028" t="s">
        <v>52</v>
      </c>
      <c r="B4028" t="s">
        <v>53</v>
      </c>
      <c r="C4028" t="s">
        <v>54</v>
      </c>
      <c r="D4028" t="s">
        <v>55</v>
      </c>
      <c r="E4028" t="s">
        <v>2206</v>
      </c>
      <c r="F4028" t="s">
        <v>1247</v>
      </c>
      <c r="G4028" t="s">
        <v>1312</v>
      </c>
      <c r="H4028" t="s">
        <v>1313</v>
      </c>
      <c r="I4028" t="s">
        <v>1313</v>
      </c>
      <c r="J4028" t="s">
        <v>60</v>
      </c>
      <c r="K4028" t="s">
        <v>1314</v>
      </c>
      <c r="L4028" t="s">
        <v>62</v>
      </c>
      <c r="M4028" t="s">
        <v>1314</v>
      </c>
      <c r="N4028" t="s">
        <v>1315</v>
      </c>
      <c r="O4028" t="s">
        <v>315</v>
      </c>
      <c r="P4028">
        <v>-20.179649999999999</v>
      </c>
      <c r="Q4028">
        <v>-44.927177</v>
      </c>
      <c r="R4028" s="2" t="str">
        <f>HYPERLINK("https://www.google.com/maps?q=-20.1796500,-44.9271770","Abrir no Google Maps")</f>
        <v>Abrir no Google Maps</v>
      </c>
      <c r="S4028">
        <v>3</v>
      </c>
      <c r="T4028">
        <v>1742.181438658615</v>
      </c>
      <c r="U4028">
        <v>2</v>
      </c>
      <c r="V4028">
        <v>0.41516983576840599</v>
      </c>
      <c r="W4028">
        <v>0.85</v>
      </c>
      <c r="X4028">
        <v>0.35289436040314509</v>
      </c>
      <c r="Y4028">
        <v>723</v>
      </c>
      <c r="Z4028">
        <v>1801.262037027635</v>
      </c>
      <c r="AA4028">
        <v>198</v>
      </c>
      <c r="AB4028">
        <v>332</v>
      </c>
      <c r="AC4028">
        <v>536</v>
      </c>
      <c r="AD4028">
        <v>33.19</v>
      </c>
      <c r="AE4028">
        <v>542</v>
      </c>
      <c r="AF4028">
        <v>41</v>
      </c>
      <c r="AG4028">
        <v>175</v>
      </c>
      <c r="AH4028">
        <v>129</v>
      </c>
      <c r="AI4028">
        <v>7.56</v>
      </c>
      <c r="AJ4028">
        <v>32.29</v>
      </c>
      <c r="AK4028">
        <v>23.8</v>
      </c>
      <c r="AL4028">
        <v>-20.18058599999998</v>
      </c>
      <c r="AM4028">
        <v>-44.926708474999977</v>
      </c>
      <c r="AN4028">
        <v>-20.18058599999998</v>
      </c>
      <c r="AO4028">
        <v>-44.926708474999977</v>
      </c>
      <c r="AP4028">
        <v>-20.179649999999999</v>
      </c>
      <c r="AQ4028">
        <v>-44.927177</v>
      </c>
      <c r="AR4028">
        <v>115.1226868075416</v>
      </c>
      <c r="AS4028" t="s">
        <v>65</v>
      </c>
      <c r="AT4028">
        <v>1</v>
      </c>
      <c r="AU4028" t="s">
        <v>1316</v>
      </c>
      <c r="AV4028" t="s">
        <v>1317</v>
      </c>
      <c r="AW4028" t="s">
        <v>60</v>
      </c>
      <c r="AX4028" t="s">
        <v>68</v>
      </c>
      <c r="AY4028" t="s">
        <v>69</v>
      </c>
      <c r="AZ4028" t="b">
        <v>1</v>
      </c>
    </row>
    <row r="4029" spans="1:52" x14ac:dyDescent="0.3">
      <c r="A4029" t="s">
        <v>52</v>
      </c>
      <c r="B4029" t="s">
        <v>53</v>
      </c>
      <c r="C4029" t="s">
        <v>54</v>
      </c>
      <c r="D4029" t="s">
        <v>55</v>
      </c>
      <c r="E4029" t="s">
        <v>2206</v>
      </c>
      <c r="F4029" t="s">
        <v>1247</v>
      </c>
      <c r="G4029" t="s">
        <v>422</v>
      </c>
      <c r="H4029" t="s">
        <v>1323</v>
      </c>
      <c r="I4029" t="s">
        <v>1323</v>
      </c>
      <c r="J4029" t="s">
        <v>60</v>
      </c>
      <c r="K4029" t="s">
        <v>1324</v>
      </c>
      <c r="L4029" t="s">
        <v>62</v>
      </c>
      <c r="M4029" t="s">
        <v>1324</v>
      </c>
      <c r="N4029" t="s">
        <v>425</v>
      </c>
      <c r="O4029" t="s">
        <v>1325</v>
      </c>
      <c r="P4029">
        <v>-20.175142000000001</v>
      </c>
      <c r="Q4029">
        <v>-44.913783000000002</v>
      </c>
      <c r="R4029" s="2" t="str">
        <f>HYPERLINK("https://www.google.com/maps?q=-20.1751420,-44.9137830","Abrir no Google Maps")</f>
        <v>Abrir no Google Maps</v>
      </c>
      <c r="S4029">
        <v>3</v>
      </c>
      <c r="T4029">
        <v>495.73888273066677</v>
      </c>
      <c r="U4029">
        <v>2</v>
      </c>
      <c r="V4029">
        <v>0.3851146899771134</v>
      </c>
      <c r="W4029">
        <v>0.85</v>
      </c>
      <c r="X4029">
        <v>0.3273474864805464</v>
      </c>
      <c r="Y4029">
        <v>723</v>
      </c>
      <c r="Z4029">
        <v>488.51574748236328</v>
      </c>
      <c r="AA4029">
        <v>198</v>
      </c>
      <c r="AB4029">
        <v>332</v>
      </c>
      <c r="AC4029">
        <v>536</v>
      </c>
      <c r="AD4029">
        <v>33.19</v>
      </c>
      <c r="AE4029">
        <v>542</v>
      </c>
      <c r="AF4029">
        <v>41</v>
      </c>
      <c r="AG4029">
        <v>175</v>
      </c>
      <c r="AH4029">
        <v>129</v>
      </c>
      <c r="AI4029">
        <v>7.56</v>
      </c>
      <c r="AJ4029">
        <v>32.29</v>
      </c>
      <c r="AK4029">
        <v>23.8</v>
      </c>
      <c r="AL4029">
        <v>-20.175195199999958</v>
      </c>
      <c r="AM4029">
        <v>-44.913964122548052</v>
      </c>
      <c r="AN4029">
        <v>-20.175195199999958</v>
      </c>
      <c r="AO4029">
        <v>-44.913964122548052</v>
      </c>
      <c r="AP4029">
        <v>-20.175142000000001</v>
      </c>
      <c r="AQ4029">
        <v>-44.913783000000002</v>
      </c>
      <c r="AR4029">
        <v>19.830402633152101</v>
      </c>
      <c r="AS4029" t="s">
        <v>65</v>
      </c>
      <c r="AT4029">
        <v>1</v>
      </c>
      <c r="AU4029" t="s">
        <v>1326</v>
      </c>
      <c r="AV4029" t="s">
        <v>1327</v>
      </c>
      <c r="AW4029" t="s">
        <v>60</v>
      </c>
      <c r="AX4029" t="s">
        <v>68</v>
      </c>
      <c r="AY4029" t="s">
        <v>69</v>
      </c>
      <c r="AZ4029" t="b">
        <v>1</v>
      </c>
    </row>
    <row r="4030" spans="1:52" x14ac:dyDescent="0.3">
      <c r="A4030" t="s">
        <v>52</v>
      </c>
      <c r="B4030" t="s">
        <v>53</v>
      </c>
      <c r="C4030" t="s">
        <v>54</v>
      </c>
      <c r="D4030" t="s">
        <v>55</v>
      </c>
      <c r="E4030" t="s">
        <v>2206</v>
      </c>
      <c r="F4030" t="s">
        <v>1247</v>
      </c>
      <c r="G4030" t="s">
        <v>435</v>
      </c>
      <c r="H4030" t="s">
        <v>436</v>
      </c>
      <c r="I4030" t="s">
        <v>436</v>
      </c>
      <c r="J4030" t="s">
        <v>60</v>
      </c>
      <c r="K4030" t="s">
        <v>437</v>
      </c>
      <c r="L4030" t="s">
        <v>62</v>
      </c>
      <c r="M4030" t="s">
        <v>437</v>
      </c>
      <c r="N4030" t="s">
        <v>438</v>
      </c>
      <c r="O4030" t="s">
        <v>439</v>
      </c>
      <c r="P4030">
        <v>-20.145613000000001</v>
      </c>
      <c r="Q4030">
        <v>-44.882375000000003</v>
      </c>
      <c r="R4030" s="2" t="str">
        <f>HYPERLINK("https://www.google.com/maps?q=-20.1456130,-44.8823750","Abrir no Google Maps")</f>
        <v>Abrir no Google Maps</v>
      </c>
      <c r="S4030">
        <v>3</v>
      </c>
      <c r="T4030">
        <v>305.65092112314198</v>
      </c>
      <c r="U4030">
        <v>2</v>
      </c>
      <c r="V4030">
        <v>0.32629823013788101</v>
      </c>
      <c r="W4030">
        <v>1</v>
      </c>
      <c r="X4030">
        <v>0.32629823013788101</v>
      </c>
      <c r="Y4030">
        <v>653</v>
      </c>
      <c r="Z4030">
        <v>349.55297035282501</v>
      </c>
      <c r="AA4030">
        <v>198</v>
      </c>
      <c r="AB4030">
        <v>332</v>
      </c>
      <c r="AC4030">
        <v>536</v>
      </c>
      <c r="AD4030">
        <v>33.19</v>
      </c>
      <c r="AE4030">
        <v>542</v>
      </c>
      <c r="AF4030">
        <v>41</v>
      </c>
      <c r="AG4030">
        <v>175</v>
      </c>
      <c r="AH4030">
        <v>129</v>
      </c>
      <c r="AI4030">
        <v>7.56</v>
      </c>
      <c r="AJ4030">
        <v>32.29</v>
      </c>
      <c r="AK4030">
        <v>23.8</v>
      </c>
      <c r="AL4030">
        <v>-20.14550464999996</v>
      </c>
      <c r="AM4030">
        <v>-44.882157007077737</v>
      </c>
      <c r="AN4030">
        <v>-20.14550464999996</v>
      </c>
      <c r="AO4030">
        <v>-44.882157007077737</v>
      </c>
      <c r="AP4030">
        <v>-20.145613000000001</v>
      </c>
      <c r="AQ4030">
        <v>-44.882375000000003</v>
      </c>
      <c r="AR4030">
        <v>25.77819791856259</v>
      </c>
      <c r="AS4030" t="s">
        <v>65</v>
      </c>
      <c r="AT4030">
        <v>1</v>
      </c>
      <c r="AU4030" t="s">
        <v>440</v>
      </c>
      <c r="AV4030" t="s">
        <v>441</v>
      </c>
      <c r="AW4030" t="s">
        <v>60</v>
      </c>
      <c r="AX4030" t="s">
        <v>68</v>
      </c>
      <c r="AY4030" t="s">
        <v>69</v>
      </c>
      <c r="AZ4030" t="b">
        <v>1</v>
      </c>
    </row>
    <row r="4031" spans="1:52" x14ac:dyDescent="0.3">
      <c r="A4031" t="s">
        <v>52</v>
      </c>
      <c r="B4031" t="s">
        <v>53</v>
      </c>
      <c r="C4031" t="s">
        <v>54</v>
      </c>
      <c r="D4031" t="s">
        <v>55</v>
      </c>
      <c r="E4031" t="s">
        <v>2206</v>
      </c>
      <c r="F4031" t="s">
        <v>1247</v>
      </c>
      <c r="G4031" t="s">
        <v>1333</v>
      </c>
      <c r="H4031" t="s">
        <v>1334</v>
      </c>
      <c r="I4031" t="s">
        <v>1334</v>
      </c>
      <c r="J4031" t="s">
        <v>60</v>
      </c>
      <c r="K4031" t="s">
        <v>437</v>
      </c>
      <c r="L4031" t="s">
        <v>62</v>
      </c>
      <c r="M4031" t="s">
        <v>437</v>
      </c>
      <c r="N4031" t="s">
        <v>1335</v>
      </c>
      <c r="O4031" t="s">
        <v>807</v>
      </c>
      <c r="P4031">
        <v>-20.148</v>
      </c>
      <c r="Q4031">
        <v>-44.880944999999997</v>
      </c>
      <c r="R4031" s="2" t="str">
        <f>HYPERLINK("https://www.google.com/maps?q=-20.1480000,-44.8809450","Abrir no Google Maps")</f>
        <v>Abrir no Google Maps</v>
      </c>
      <c r="S4031">
        <v>3</v>
      </c>
      <c r="T4031">
        <v>0</v>
      </c>
      <c r="U4031">
        <v>2</v>
      </c>
      <c r="V4031">
        <v>0.34595441214030642</v>
      </c>
      <c r="W4031">
        <v>0.85</v>
      </c>
      <c r="X4031">
        <v>0.29406125031926039</v>
      </c>
      <c r="Y4031">
        <v>653</v>
      </c>
      <c r="Z4031">
        <v>108.2792411420544</v>
      </c>
      <c r="AA4031">
        <v>198</v>
      </c>
      <c r="AB4031">
        <v>332</v>
      </c>
      <c r="AC4031">
        <v>536</v>
      </c>
      <c r="AD4031">
        <v>33.19</v>
      </c>
      <c r="AE4031">
        <v>542</v>
      </c>
      <c r="AF4031">
        <v>41</v>
      </c>
      <c r="AG4031">
        <v>175</v>
      </c>
      <c r="AH4031">
        <v>129</v>
      </c>
      <c r="AI4031">
        <v>7.56</v>
      </c>
      <c r="AJ4031">
        <v>32.29</v>
      </c>
      <c r="AK4031">
        <v>23.8</v>
      </c>
      <c r="AL4031">
        <v>-20.14802099999994</v>
      </c>
      <c r="AM4031">
        <v>-44.880951206225959</v>
      </c>
      <c r="AN4031">
        <v>-20.14802099999994</v>
      </c>
      <c r="AO4031">
        <v>-44.880951206225959</v>
      </c>
      <c r="AP4031">
        <v>-20.148</v>
      </c>
      <c r="AQ4031">
        <v>-44.880944999999997</v>
      </c>
      <c r="AR4031">
        <v>2.4260288619737169</v>
      </c>
      <c r="AS4031" t="s">
        <v>65</v>
      </c>
      <c r="AT4031">
        <v>1</v>
      </c>
      <c r="AU4031" t="s">
        <v>1336</v>
      </c>
      <c r="AV4031" t="s">
        <v>1337</v>
      </c>
      <c r="AW4031" t="s">
        <v>60</v>
      </c>
      <c r="AX4031" t="s">
        <v>68</v>
      </c>
      <c r="AY4031" t="s">
        <v>69</v>
      </c>
      <c r="AZ4031" t="b">
        <v>1</v>
      </c>
    </row>
    <row r="4032" spans="1:52" x14ac:dyDescent="0.3">
      <c r="A4032" t="s">
        <v>52</v>
      </c>
      <c r="B4032" t="s">
        <v>53</v>
      </c>
      <c r="C4032" t="s">
        <v>54</v>
      </c>
      <c r="D4032" t="s">
        <v>55</v>
      </c>
      <c r="E4032" t="s">
        <v>2206</v>
      </c>
      <c r="F4032" t="s">
        <v>1247</v>
      </c>
      <c r="G4032" t="s">
        <v>442</v>
      </c>
      <c r="H4032" t="s">
        <v>443</v>
      </c>
      <c r="I4032" t="s">
        <v>443</v>
      </c>
      <c r="J4032" t="s">
        <v>60</v>
      </c>
      <c r="K4032" t="s">
        <v>437</v>
      </c>
      <c r="L4032" t="s">
        <v>62</v>
      </c>
      <c r="M4032" t="s">
        <v>437</v>
      </c>
      <c r="N4032" t="s">
        <v>444</v>
      </c>
      <c r="O4032" t="s">
        <v>445</v>
      </c>
      <c r="P4032">
        <v>-20.149744999999999</v>
      </c>
      <c r="Q4032">
        <v>-44.881385000000002</v>
      </c>
      <c r="R4032" s="2" t="str">
        <f>HYPERLINK("https://www.google.com/maps?q=-20.1497450,-44.8813850","Abrir no Google Maps")</f>
        <v>Abrir no Google Maps</v>
      </c>
      <c r="S4032">
        <v>3</v>
      </c>
      <c r="T4032">
        <v>188.80690546111239</v>
      </c>
      <c r="U4032">
        <v>2</v>
      </c>
      <c r="V4032">
        <v>0.30529648513922358</v>
      </c>
      <c r="W4032">
        <v>1</v>
      </c>
      <c r="X4032">
        <v>0.30529648513922358</v>
      </c>
      <c r="Y4032">
        <v>653</v>
      </c>
      <c r="Z4032">
        <v>86.575080390731017</v>
      </c>
      <c r="AA4032">
        <v>198</v>
      </c>
      <c r="AB4032">
        <v>332</v>
      </c>
      <c r="AC4032">
        <v>536</v>
      </c>
      <c r="AD4032">
        <v>33.19</v>
      </c>
      <c r="AE4032">
        <v>542</v>
      </c>
      <c r="AF4032">
        <v>41</v>
      </c>
      <c r="AG4032">
        <v>175</v>
      </c>
      <c r="AH4032">
        <v>129</v>
      </c>
      <c r="AI4032">
        <v>7.56</v>
      </c>
      <c r="AJ4032">
        <v>32.29</v>
      </c>
      <c r="AK4032">
        <v>23.8</v>
      </c>
      <c r="AL4032">
        <v>-20.149645149999941</v>
      </c>
      <c r="AM4032">
        <v>-44.881504585149607</v>
      </c>
      <c r="AN4032">
        <v>-20.149645149999941</v>
      </c>
      <c r="AO4032">
        <v>-44.881504585149607</v>
      </c>
      <c r="AP4032">
        <v>-20.149744999999999</v>
      </c>
      <c r="AQ4032">
        <v>-44.881385000000002</v>
      </c>
      <c r="AR4032">
        <v>16.725323110840389</v>
      </c>
      <c r="AS4032" t="s">
        <v>65</v>
      </c>
      <c r="AT4032">
        <v>1</v>
      </c>
      <c r="AU4032" t="s">
        <v>446</v>
      </c>
      <c r="AV4032" t="s">
        <v>447</v>
      </c>
      <c r="AW4032" t="s">
        <v>60</v>
      </c>
      <c r="AX4032" t="s">
        <v>68</v>
      </c>
      <c r="AY4032" t="s">
        <v>69</v>
      </c>
      <c r="AZ4032" t="b">
        <v>1</v>
      </c>
    </row>
    <row r="4033" spans="1:52" x14ac:dyDescent="0.3">
      <c r="A4033" t="s">
        <v>52</v>
      </c>
      <c r="B4033" t="s">
        <v>53</v>
      </c>
      <c r="C4033" t="s">
        <v>54</v>
      </c>
      <c r="D4033" t="s">
        <v>55</v>
      </c>
      <c r="E4033" t="s">
        <v>2206</v>
      </c>
      <c r="F4033" t="s">
        <v>1247</v>
      </c>
      <c r="G4033" t="s">
        <v>448</v>
      </c>
      <c r="H4033" t="s">
        <v>449</v>
      </c>
      <c r="I4033" t="s">
        <v>449</v>
      </c>
      <c r="J4033" t="s">
        <v>60</v>
      </c>
      <c r="K4033" t="s">
        <v>388</v>
      </c>
      <c r="L4033" t="s">
        <v>62</v>
      </c>
      <c r="M4033" t="s">
        <v>388</v>
      </c>
      <c r="N4033" t="s">
        <v>450</v>
      </c>
      <c r="O4033" t="s">
        <v>451</v>
      </c>
      <c r="P4033">
        <v>-20.163981</v>
      </c>
      <c r="Q4033">
        <v>-44.907128999999998</v>
      </c>
      <c r="R4033" s="2" t="str">
        <f>HYPERLINK("https://www.google.com/maps?q=-20.1639810,-44.9071290","Abrir no Google Maps")</f>
        <v>Abrir no Google Maps</v>
      </c>
      <c r="S4033">
        <v>3</v>
      </c>
      <c r="T4033">
        <v>782.50730806588319</v>
      </c>
      <c r="U4033">
        <v>2</v>
      </c>
      <c r="V4033">
        <v>0.29436987199178838</v>
      </c>
      <c r="W4033">
        <v>1</v>
      </c>
      <c r="X4033">
        <v>0.29436987199178838</v>
      </c>
      <c r="Y4033">
        <v>639</v>
      </c>
      <c r="Z4033">
        <v>710.90621453796166</v>
      </c>
      <c r="AA4033">
        <v>198</v>
      </c>
      <c r="AB4033">
        <v>332</v>
      </c>
      <c r="AC4033">
        <v>536</v>
      </c>
      <c r="AD4033">
        <v>33.19</v>
      </c>
      <c r="AE4033">
        <v>542</v>
      </c>
      <c r="AF4033">
        <v>41</v>
      </c>
      <c r="AG4033">
        <v>175</v>
      </c>
      <c r="AH4033">
        <v>129</v>
      </c>
      <c r="AI4033">
        <v>7.56</v>
      </c>
      <c r="AJ4033">
        <v>32.29</v>
      </c>
      <c r="AK4033">
        <v>23.8</v>
      </c>
      <c r="AL4033">
        <v>-20.163958349999969</v>
      </c>
      <c r="AM4033">
        <v>-44.907180923930973</v>
      </c>
      <c r="AN4033">
        <v>-20.163958349999969</v>
      </c>
      <c r="AO4033">
        <v>-44.907180923930973</v>
      </c>
      <c r="AP4033">
        <v>-20.163981</v>
      </c>
      <c r="AQ4033">
        <v>-44.907128999999998</v>
      </c>
      <c r="AR4033">
        <v>5.9831345092457884</v>
      </c>
      <c r="AS4033" t="s">
        <v>65</v>
      </c>
      <c r="AT4033">
        <v>1</v>
      </c>
      <c r="AU4033" t="s">
        <v>452</v>
      </c>
      <c r="AV4033" t="s">
        <v>453</v>
      </c>
      <c r="AW4033" t="s">
        <v>60</v>
      </c>
      <c r="AX4033" t="s">
        <v>68</v>
      </c>
      <c r="AY4033" t="s">
        <v>69</v>
      </c>
      <c r="AZ4033" t="b">
        <v>1</v>
      </c>
    </row>
    <row r="4034" spans="1:52" x14ac:dyDescent="0.3">
      <c r="A4034" t="s">
        <v>52</v>
      </c>
      <c r="B4034" t="s">
        <v>53</v>
      </c>
      <c r="C4034" t="s">
        <v>54</v>
      </c>
      <c r="D4034" t="s">
        <v>55</v>
      </c>
      <c r="E4034" t="s">
        <v>2206</v>
      </c>
      <c r="F4034" t="s">
        <v>1247</v>
      </c>
      <c r="G4034" t="s">
        <v>1342</v>
      </c>
      <c r="H4034" t="s">
        <v>1343</v>
      </c>
      <c r="I4034" t="s">
        <v>1343</v>
      </c>
      <c r="J4034" t="s">
        <v>60</v>
      </c>
      <c r="K4034" t="s">
        <v>462</v>
      </c>
      <c r="L4034" t="s">
        <v>62</v>
      </c>
      <c r="M4034" t="s">
        <v>462</v>
      </c>
      <c r="N4034" t="s">
        <v>921</v>
      </c>
      <c r="O4034" t="s">
        <v>1344</v>
      </c>
      <c r="P4034">
        <v>-20.137526000000001</v>
      </c>
      <c r="Q4034">
        <v>-44.912452999999999</v>
      </c>
      <c r="R4034" s="2" t="str">
        <f>HYPERLINK("https://www.google.com/maps?q=-20.1375260,-44.9124530","Abrir no Google Maps")</f>
        <v>Abrir no Google Maps</v>
      </c>
      <c r="S4034">
        <v>3</v>
      </c>
      <c r="T4034">
        <v>446.95091416730708</v>
      </c>
      <c r="U4034">
        <v>2</v>
      </c>
      <c r="V4034">
        <v>0.35623279142004571</v>
      </c>
      <c r="W4034">
        <v>0.85</v>
      </c>
      <c r="X4034">
        <v>0.30279787270703878</v>
      </c>
      <c r="Y4034">
        <v>581</v>
      </c>
      <c r="Z4034">
        <v>507.4747778269288</v>
      </c>
      <c r="AA4034">
        <v>198</v>
      </c>
      <c r="AB4034">
        <v>332</v>
      </c>
      <c r="AC4034">
        <v>536</v>
      </c>
      <c r="AD4034">
        <v>33.19</v>
      </c>
      <c r="AE4034">
        <v>542</v>
      </c>
      <c r="AF4034">
        <v>41</v>
      </c>
      <c r="AG4034">
        <v>175</v>
      </c>
      <c r="AH4034">
        <v>129</v>
      </c>
      <c r="AI4034">
        <v>7.56</v>
      </c>
      <c r="AJ4034">
        <v>32.29</v>
      </c>
      <c r="AK4034">
        <v>23.8</v>
      </c>
      <c r="AL4034">
        <v>-20.136672649999959</v>
      </c>
      <c r="AM4034">
        <v>-44.911825104396357</v>
      </c>
      <c r="AN4034">
        <v>-20.136672649999959</v>
      </c>
      <c r="AO4034">
        <v>-44.911825104396357</v>
      </c>
      <c r="AP4034">
        <v>-20.137526000000001</v>
      </c>
      <c r="AQ4034">
        <v>-44.912452999999999</v>
      </c>
      <c r="AR4034">
        <v>115.45843265992529</v>
      </c>
      <c r="AS4034" t="s">
        <v>65</v>
      </c>
      <c r="AT4034">
        <v>1</v>
      </c>
      <c r="AU4034" t="s">
        <v>1345</v>
      </c>
      <c r="AV4034" t="s">
        <v>1346</v>
      </c>
      <c r="AW4034" t="s">
        <v>60</v>
      </c>
      <c r="AX4034" t="s">
        <v>68</v>
      </c>
      <c r="AY4034" t="s">
        <v>69</v>
      </c>
      <c r="AZ4034" t="b">
        <v>1</v>
      </c>
    </row>
    <row r="4035" spans="1:52" x14ac:dyDescent="0.3">
      <c r="A4035" t="s">
        <v>52</v>
      </c>
      <c r="B4035" t="s">
        <v>53</v>
      </c>
      <c r="C4035" t="s">
        <v>54</v>
      </c>
      <c r="D4035" t="s">
        <v>55</v>
      </c>
      <c r="E4035" t="s">
        <v>2206</v>
      </c>
      <c r="F4035" t="s">
        <v>1247</v>
      </c>
      <c r="G4035" t="s">
        <v>467</v>
      </c>
      <c r="H4035" t="s">
        <v>468</v>
      </c>
      <c r="I4035" t="s">
        <v>468</v>
      </c>
      <c r="J4035" t="s">
        <v>60</v>
      </c>
      <c r="K4035" t="s">
        <v>462</v>
      </c>
      <c r="L4035" t="s">
        <v>62</v>
      </c>
      <c r="M4035" t="s">
        <v>462</v>
      </c>
      <c r="N4035" t="s">
        <v>469</v>
      </c>
      <c r="O4035" t="s">
        <v>470</v>
      </c>
      <c r="P4035">
        <v>-20.138233</v>
      </c>
      <c r="Q4035">
        <v>-44.908200000000001</v>
      </c>
      <c r="R4035" s="2" t="str">
        <f>HYPERLINK("https://www.google.com/maps?q=-20.1382330,-44.9082000","Abrir no Google Maps")</f>
        <v>Abrir no Google Maps</v>
      </c>
      <c r="S4035">
        <v>3</v>
      </c>
      <c r="T4035">
        <v>0</v>
      </c>
      <c r="U4035">
        <v>2</v>
      </c>
      <c r="V4035">
        <v>0.3116571094883836</v>
      </c>
      <c r="W4035">
        <v>1</v>
      </c>
      <c r="X4035">
        <v>0.3116571094883836</v>
      </c>
      <c r="Y4035">
        <v>581</v>
      </c>
      <c r="Z4035">
        <v>153.18688302958171</v>
      </c>
      <c r="AA4035">
        <v>198</v>
      </c>
      <c r="AB4035">
        <v>332</v>
      </c>
      <c r="AC4035">
        <v>536</v>
      </c>
      <c r="AD4035">
        <v>33.19</v>
      </c>
      <c r="AE4035">
        <v>542</v>
      </c>
      <c r="AF4035">
        <v>41</v>
      </c>
      <c r="AG4035">
        <v>175</v>
      </c>
      <c r="AH4035">
        <v>129</v>
      </c>
      <c r="AI4035">
        <v>7.56</v>
      </c>
      <c r="AJ4035">
        <v>32.29</v>
      </c>
      <c r="AK4035">
        <v>23.8</v>
      </c>
      <c r="AL4035">
        <v>-20.138364899999971</v>
      </c>
      <c r="AM4035">
        <v>-44.907942114873997</v>
      </c>
      <c r="AN4035">
        <v>-20.138364899999971</v>
      </c>
      <c r="AO4035">
        <v>-44.907942114873997</v>
      </c>
      <c r="AP4035">
        <v>-20.138233</v>
      </c>
      <c r="AQ4035">
        <v>-44.908200000000001</v>
      </c>
      <c r="AR4035">
        <v>30.692690617986941</v>
      </c>
      <c r="AS4035" t="s">
        <v>65</v>
      </c>
      <c r="AT4035">
        <v>1</v>
      </c>
      <c r="AU4035" t="s">
        <v>471</v>
      </c>
      <c r="AV4035" t="s">
        <v>472</v>
      </c>
      <c r="AW4035" t="s">
        <v>60</v>
      </c>
      <c r="AX4035" t="s">
        <v>68</v>
      </c>
      <c r="AY4035" t="s">
        <v>69</v>
      </c>
      <c r="AZ4035" t="b">
        <v>1</v>
      </c>
    </row>
    <row r="4036" spans="1:52" x14ac:dyDescent="0.3">
      <c r="A4036" t="s">
        <v>52</v>
      </c>
      <c r="B4036" t="s">
        <v>53</v>
      </c>
      <c r="C4036" t="s">
        <v>54</v>
      </c>
      <c r="D4036" t="s">
        <v>55</v>
      </c>
      <c r="E4036" t="s">
        <v>2206</v>
      </c>
      <c r="F4036" t="s">
        <v>1247</v>
      </c>
      <c r="G4036" t="s">
        <v>1354</v>
      </c>
      <c r="H4036" t="s">
        <v>1355</v>
      </c>
      <c r="I4036" t="s">
        <v>1355</v>
      </c>
      <c r="J4036" t="s">
        <v>60</v>
      </c>
      <c r="K4036" t="s">
        <v>1356</v>
      </c>
      <c r="L4036" t="s">
        <v>62</v>
      </c>
      <c r="M4036" t="s">
        <v>1356</v>
      </c>
      <c r="N4036" t="s">
        <v>1357</v>
      </c>
      <c r="O4036" t="s">
        <v>315</v>
      </c>
      <c r="P4036">
        <v>-20.132080999999999</v>
      </c>
      <c r="Q4036">
        <v>-44.908614</v>
      </c>
      <c r="R4036" s="2" t="str">
        <f>HYPERLINK("https://www.google.com/maps?q=-20.1320810,-44.9086140","Abrir no Google Maps")</f>
        <v>Abrir no Google Maps</v>
      </c>
      <c r="S4036">
        <v>3</v>
      </c>
      <c r="T4036">
        <v>701.02570959373259</v>
      </c>
      <c r="U4036">
        <v>2</v>
      </c>
      <c r="V4036">
        <v>0.37983123622845621</v>
      </c>
      <c r="W4036">
        <v>0.85</v>
      </c>
      <c r="X4036">
        <v>0.32285655079418779</v>
      </c>
      <c r="Y4036">
        <v>581</v>
      </c>
      <c r="Z4036">
        <v>811.38061352229215</v>
      </c>
      <c r="AA4036">
        <v>198</v>
      </c>
      <c r="AB4036">
        <v>332</v>
      </c>
      <c r="AC4036">
        <v>536</v>
      </c>
      <c r="AD4036">
        <v>33.19</v>
      </c>
      <c r="AE4036">
        <v>542</v>
      </c>
      <c r="AF4036">
        <v>41</v>
      </c>
      <c r="AG4036">
        <v>175</v>
      </c>
      <c r="AH4036">
        <v>129</v>
      </c>
      <c r="AI4036">
        <v>7.56</v>
      </c>
      <c r="AJ4036">
        <v>32.29</v>
      </c>
      <c r="AK4036">
        <v>23.8</v>
      </c>
      <c r="AL4036">
        <v>-20.132063499999951</v>
      </c>
      <c r="AM4036">
        <v>-44.908630454878519</v>
      </c>
      <c r="AN4036">
        <v>-20.132063499999951</v>
      </c>
      <c r="AO4036">
        <v>-44.908630454878519</v>
      </c>
      <c r="AP4036">
        <v>-20.132080999999999</v>
      </c>
      <c r="AQ4036">
        <v>-44.908614</v>
      </c>
      <c r="AR4036">
        <v>2.5986425761911551</v>
      </c>
      <c r="AS4036" t="s">
        <v>65</v>
      </c>
      <c r="AT4036">
        <v>1</v>
      </c>
      <c r="AU4036" t="s">
        <v>1358</v>
      </c>
      <c r="AV4036" t="s">
        <v>1359</v>
      </c>
      <c r="AW4036" t="s">
        <v>60</v>
      </c>
      <c r="AX4036" t="s">
        <v>68</v>
      </c>
      <c r="AY4036" t="s">
        <v>69</v>
      </c>
      <c r="AZ4036" t="b">
        <v>1</v>
      </c>
    </row>
    <row r="4037" spans="1:52" x14ac:dyDescent="0.3">
      <c r="A4037" t="s">
        <v>52</v>
      </c>
      <c r="B4037" t="s">
        <v>53</v>
      </c>
      <c r="C4037" t="s">
        <v>54</v>
      </c>
      <c r="D4037" t="s">
        <v>55</v>
      </c>
      <c r="E4037" t="s">
        <v>2206</v>
      </c>
      <c r="F4037" t="s">
        <v>1247</v>
      </c>
      <c r="G4037" t="s">
        <v>1364</v>
      </c>
      <c r="H4037" t="s">
        <v>1365</v>
      </c>
      <c r="I4037" t="s">
        <v>1365</v>
      </c>
      <c r="J4037" t="s">
        <v>60</v>
      </c>
      <c r="K4037" t="s">
        <v>1356</v>
      </c>
      <c r="L4037" t="s">
        <v>62</v>
      </c>
      <c r="M4037" t="s">
        <v>1356</v>
      </c>
      <c r="N4037" t="s">
        <v>1366</v>
      </c>
      <c r="O4037" t="s">
        <v>548</v>
      </c>
      <c r="P4037">
        <v>-20.131240999999999</v>
      </c>
      <c r="Q4037">
        <v>-44.910567999999998</v>
      </c>
      <c r="R4037" s="2" t="str">
        <f>HYPERLINK("https://www.google.com/maps?q=-20.1312410,-44.9105680","Abrir no Google Maps")</f>
        <v>Abrir no Google Maps</v>
      </c>
      <c r="S4037">
        <v>3</v>
      </c>
      <c r="T4037">
        <v>822.61354861726704</v>
      </c>
      <c r="U4037">
        <v>2</v>
      </c>
      <c r="V4037">
        <v>0.37314278072538182</v>
      </c>
      <c r="W4037">
        <v>0.85</v>
      </c>
      <c r="X4037">
        <v>0.31717136361657461</v>
      </c>
      <c r="Y4037">
        <v>581</v>
      </c>
      <c r="Z4037">
        <v>982.3990834787046</v>
      </c>
      <c r="AA4037">
        <v>198</v>
      </c>
      <c r="AB4037">
        <v>332</v>
      </c>
      <c r="AC4037">
        <v>536</v>
      </c>
      <c r="AD4037">
        <v>33.19</v>
      </c>
      <c r="AE4037">
        <v>542</v>
      </c>
      <c r="AF4037">
        <v>41</v>
      </c>
      <c r="AG4037">
        <v>175</v>
      </c>
      <c r="AH4037">
        <v>129</v>
      </c>
      <c r="AI4037">
        <v>7.56</v>
      </c>
      <c r="AJ4037">
        <v>32.29</v>
      </c>
      <c r="AK4037">
        <v>23.8</v>
      </c>
      <c r="AL4037">
        <v>-20.131367099999981</v>
      </c>
      <c r="AM4037">
        <v>-44.910597350758543</v>
      </c>
      <c r="AN4037">
        <v>-20.131367099999981</v>
      </c>
      <c r="AO4037">
        <v>-44.910597350758543</v>
      </c>
      <c r="AP4037">
        <v>-20.131240999999999</v>
      </c>
      <c r="AQ4037">
        <v>-44.910567999999998</v>
      </c>
      <c r="AR4037">
        <v>14.36874794070623</v>
      </c>
      <c r="AS4037" t="s">
        <v>65</v>
      </c>
      <c r="AT4037">
        <v>1</v>
      </c>
      <c r="AU4037" t="s">
        <v>1367</v>
      </c>
      <c r="AV4037" t="s">
        <v>1368</v>
      </c>
      <c r="AW4037" t="s">
        <v>60</v>
      </c>
      <c r="AX4037" t="s">
        <v>68</v>
      </c>
      <c r="AY4037" t="s">
        <v>69</v>
      </c>
      <c r="AZ4037" t="b">
        <v>1</v>
      </c>
    </row>
    <row r="4038" spans="1:52" x14ac:dyDescent="0.3">
      <c r="A4038" t="s">
        <v>52</v>
      </c>
      <c r="B4038" t="s">
        <v>53</v>
      </c>
      <c r="C4038" t="s">
        <v>54</v>
      </c>
      <c r="D4038" t="s">
        <v>55</v>
      </c>
      <c r="E4038" t="s">
        <v>2206</v>
      </c>
      <c r="F4038" t="s">
        <v>1247</v>
      </c>
      <c r="G4038" t="s">
        <v>1364</v>
      </c>
      <c r="H4038" t="s">
        <v>1369</v>
      </c>
      <c r="I4038" t="s">
        <v>1369</v>
      </c>
      <c r="J4038" t="s">
        <v>60</v>
      </c>
      <c r="K4038" t="s">
        <v>1370</v>
      </c>
      <c r="L4038" t="s">
        <v>62</v>
      </c>
      <c r="M4038" t="s">
        <v>1370</v>
      </c>
      <c r="N4038" t="s">
        <v>1366</v>
      </c>
      <c r="O4038" t="s">
        <v>989</v>
      </c>
      <c r="P4038">
        <v>-20.141185</v>
      </c>
      <c r="Q4038">
        <v>-44.914200999999998</v>
      </c>
      <c r="R4038" s="2" t="str">
        <f>HYPERLINK("https://www.google.com/maps?q=-20.1411850,-44.9142010","Abrir no Google Maps")</f>
        <v>Abrir no Google Maps</v>
      </c>
      <c r="S4038">
        <v>3</v>
      </c>
      <c r="T4038">
        <v>512.52588459346453</v>
      </c>
      <c r="U4038">
        <v>2</v>
      </c>
      <c r="V4038">
        <v>0.3462672024414899</v>
      </c>
      <c r="W4038">
        <v>0.85</v>
      </c>
      <c r="X4038">
        <v>0.2943271220752664</v>
      </c>
      <c r="Y4038">
        <v>581</v>
      </c>
      <c r="Z4038">
        <v>473.10673043319349</v>
      </c>
      <c r="AA4038">
        <v>198</v>
      </c>
      <c r="AB4038">
        <v>332</v>
      </c>
      <c r="AC4038">
        <v>536</v>
      </c>
      <c r="AD4038">
        <v>33.19</v>
      </c>
      <c r="AE4038">
        <v>542</v>
      </c>
      <c r="AF4038">
        <v>41</v>
      </c>
      <c r="AG4038">
        <v>175</v>
      </c>
      <c r="AH4038">
        <v>129</v>
      </c>
      <c r="AI4038">
        <v>7.56</v>
      </c>
      <c r="AJ4038">
        <v>32.29</v>
      </c>
      <c r="AK4038">
        <v>23.8</v>
      </c>
      <c r="AL4038">
        <v>-20.14133909999995</v>
      </c>
      <c r="AM4038">
        <v>-44.913910219286038</v>
      </c>
      <c r="AN4038">
        <v>-20.14133909999995</v>
      </c>
      <c r="AO4038">
        <v>-44.913910219286038</v>
      </c>
      <c r="AP4038">
        <v>-20.141185</v>
      </c>
      <c r="AQ4038">
        <v>-44.914200999999998</v>
      </c>
      <c r="AR4038">
        <v>34.897514361429593</v>
      </c>
      <c r="AS4038" t="s">
        <v>65</v>
      </c>
      <c r="AT4038">
        <v>1</v>
      </c>
      <c r="AU4038" t="s">
        <v>1371</v>
      </c>
      <c r="AV4038" t="s">
        <v>863</v>
      </c>
      <c r="AW4038" t="s">
        <v>60</v>
      </c>
      <c r="AX4038" t="s">
        <v>68</v>
      </c>
      <c r="AY4038" t="s">
        <v>69</v>
      </c>
      <c r="AZ4038" t="b">
        <v>1</v>
      </c>
    </row>
    <row r="4039" spans="1:52" x14ac:dyDescent="0.3">
      <c r="A4039" t="s">
        <v>52</v>
      </c>
      <c r="B4039" t="s">
        <v>53</v>
      </c>
      <c r="C4039" t="s">
        <v>54</v>
      </c>
      <c r="D4039" t="s">
        <v>55</v>
      </c>
      <c r="E4039" t="s">
        <v>2206</v>
      </c>
      <c r="F4039" t="s">
        <v>1247</v>
      </c>
      <c r="G4039" t="s">
        <v>1382</v>
      </c>
      <c r="H4039" t="s">
        <v>1383</v>
      </c>
      <c r="I4039" t="s">
        <v>1383</v>
      </c>
      <c r="J4039" t="s">
        <v>60</v>
      </c>
      <c r="K4039" t="s">
        <v>1384</v>
      </c>
      <c r="L4039" t="s">
        <v>62</v>
      </c>
      <c r="M4039" t="s">
        <v>1384</v>
      </c>
      <c r="N4039" t="s">
        <v>1385</v>
      </c>
      <c r="O4039" t="s">
        <v>1379</v>
      </c>
      <c r="P4039">
        <v>-20.168914999999998</v>
      </c>
      <c r="Q4039">
        <v>-44.897015000000003</v>
      </c>
      <c r="R4039" s="2" t="str">
        <f>HYPERLINK("https://www.google.com/maps?q=-20.1689150,-44.8970150","Abrir no Google Maps")</f>
        <v>Abrir no Google Maps</v>
      </c>
      <c r="S4039">
        <v>3</v>
      </c>
      <c r="T4039">
        <v>1082.4313448281291</v>
      </c>
      <c r="U4039">
        <v>2</v>
      </c>
      <c r="V4039">
        <v>0.3946541107443608</v>
      </c>
      <c r="W4039">
        <v>0.85</v>
      </c>
      <c r="X4039">
        <v>0.33545599413270671</v>
      </c>
      <c r="Y4039">
        <v>578</v>
      </c>
      <c r="Z4039">
        <v>1085.6751638476369</v>
      </c>
      <c r="AA4039">
        <v>198</v>
      </c>
      <c r="AB4039">
        <v>332</v>
      </c>
      <c r="AC4039">
        <v>536</v>
      </c>
      <c r="AD4039">
        <v>33.19</v>
      </c>
      <c r="AE4039">
        <v>542</v>
      </c>
      <c r="AF4039">
        <v>41</v>
      </c>
      <c r="AG4039">
        <v>175</v>
      </c>
      <c r="AH4039">
        <v>129</v>
      </c>
      <c r="AI4039">
        <v>7.56</v>
      </c>
      <c r="AJ4039">
        <v>32.29</v>
      </c>
      <c r="AK4039">
        <v>23.8</v>
      </c>
      <c r="AL4039">
        <v>-20.168195549999979</v>
      </c>
      <c r="AM4039">
        <v>-44.895555997240763</v>
      </c>
      <c r="AN4039">
        <v>-20.168195549999979</v>
      </c>
      <c r="AO4039">
        <v>-44.895555997240763</v>
      </c>
      <c r="AP4039">
        <v>-20.168914999999998</v>
      </c>
      <c r="AQ4039">
        <v>-44.897015000000003</v>
      </c>
      <c r="AR4039">
        <v>172.21377736735809</v>
      </c>
      <c r="AS4039" t="s">
        <v>65</v>
      </c>
      <c r="AT4039">
        <v>1</v>
      </c>
      <c r="AU4039" t="s">
        <v>1386</v>
      </c>
      <c r="AV4039" t="s">
        <v>1387</v>
      </c>
      <c r="AW4039" t="s">
        <v>60</v>
      </c>
      <c r="AX4039" t="s">
        <v>68</v>
      </c>
      <c r="AY4039" t="s">
        <v>69</v>
      </c>
      <c r="AZ4039" t="b">
        <v>1</v>
      </c>
    </row>
    <row r="4040" spans="1:52" x14ac:dyDescent="0.3">
      <c r="A4040" t="s">
        <v>52</v>
      </c>
      <c r="B4040" t="s">
        <v>53</v>
      </c>
      <c r="C4040" t="s">
        <v>54</v>
      </c>
      <c r="D4040" t="s">
        <v>55</v>
      </c>
      <c r="E4040" t="s">
        <v>2206</v>
      </c>
      <c r="F4040" t="s">
        <v>1247</v>
      </c>
      <c r="G4040" t="s">
        <v>1424</v>
      </c>
      <c r="H4040" t="s">
        <v>1425</v>
      </c>
      <c r="I4040" t="s">
        <v>1425</v>
      </c>
      <c r="J4040" t="s">
        <v>60</v>
      </c>
      <c r="K4040" t="s">
        <v>1324</v>
      </c>
      <c r="L4040" t="s">
        <v>62</v>
      </c>
      <c r="M4040" t="s">
        <v>1324</v>
      </c>
      <c r="N4040" t="s">
        <v>1426</v>
      </c>
      <c r="O4040" t="s">
        <v>938</v>
      </c>
      <c r="P4040">
        <v>-20.172844999999999</v>
      </c>
      <c r="Q4040">
        <v>-44.909215000000003</v>
      </c>
      <c r="R4040" s="2" t="str">
        <f>HYPERLINK("https://www.google.com/maps?q=-20.1728450,-44.9092150","Abrir no Google Maps")</f>
        <v>Abrir no Google Maps</v>
      </c>
      <c r="S4040">
        <v>3</v>
      </c>
      <c r="T4040">
        <v>0</v>
      </c>
      <c r="U4040">
        <v>2</v>
      </c>
      <c r="V4040">
        <v>0.370546875</v>
      </c>
      <c r="W4040">
        <v>0.85</v>
      </c>
      <c r="X4040">
        <v>0.31496484375</v>
      </c>
      <c r="Y4040">
        <v>578</v>
      </c>
      <c r="Z4040">
        <v>365.56549317689053</v>
      </c>
      <c r="AA4040">
        <v>198</v>
      </c>
      <c r="AB4040">
        <v>332</v>
      </c>
      <c r="AC4040">
        <v>536</v>
      </c>
      <c r="AD4040">
        <v>33.19</v>
      </c>
      <c r="AE4040">
        <v>542</v>
      </c>
      <c r="AF4040">
        <v>41</v>
      </c>
      <c r="AG4040">
        <v>175</v>
      </c>
      <c r="AH4040">
        <v>129</v>
      </c>
      <c r="AI4040">
        <v>7.56</v>
      </c>
      <c r="AJ4040">
        <v>32.29</v>
      </c>
      <c r="AK4040">
        <v>23.8</v>
      </c>
      <c r="AL4040">
        <v>-20.172197349999941</v>
      </c>
      <c r="AM4040">
        <v>-44.910438675762883</v>
      </c>
      <c r="AN4040">
        <v>-20.172197349999941</v>
      </c>
      <c r="AO4040">
        <v>-44.910438675762883</v>
      </c>
      <c r="AP4040">
        <v>-20.172844999999999</v>
      </c>
      <c r="AQ4040">
        <v>-44.909215000000003</v>
      </c>
      <c r="AR4040">
        <v>146.78922919749749</v>
      </c>
      <c r="AS4040" t="s">
        <v>65</v>
      </c>
      <c r="AT4040">
        <v>1</v>
      </c>
      <c r="AU4040" t="s">
        <v>1427</v>
      </c>
      <c r="AV4040" t="s">
        <v>1428</v>
      </c>
      <c r="AW4040" t="s">
        <v>60</v>
      </c>
      <c r="AX4040" t="s">
        <v>68</v>
      </c>
      <c r="AY4040" t="s">
        <v>69</v>
      </c>
      <c r="AZ4040" t="b">
        <v>1</v>
      </c>
    </row>
    <row r="4041" spans="1:52" x14ac:dyDescent="0.3">
      <c r="A4041" t="s">
        <v>52</v>
      </c>
      <c r="B4041" t="s">
        <v>53</v>
      </c>
      <c r="C4041" t="s">
        <v>54</v>
      </c>
      <c r="D4041" t="s">
        <v>55</v>
      </c>
      <c r="E4041" t="s">
        <v>2206</v>
      </c>
      <c r="F4041" t="s">
        <v>1247</v>
      </c>
      <c r="G4041" t="s">
        <v>1388</v>
      </c>
      <c r="H4041" t="s">
        <v>1389</v>
      </c>
      <c r="I4041" t="s">
        <v>1389</v>
      </c>
      <c r="J4041" t="s">
        <v>60</v>
      </c>
      <c r="K4041" t="s">
        <v>475</v>
      </c>
      <c r="L4041" t="s">
        <v>62</v>
      </c>
      <c r="M4041" t="s">
        <v>475</v>
      </c>
      <c r="N4041" t="s">
        <v>1390</v>
      </c>
      <c r="O4041" t="s">
        <v>855</v>
      </c>
      <c r="P4041">
        <v>-20.173748</v>
      </c>
      <c r="Q4041">
        <v>-44.894596999999997</v>
      </c>
      <c r="R4041" s="2" t="str">
        <f>HYPERLINK("https://www.google.com/maps?q=-20.1737480,-44.8945970","Abrir no Google Maps")</f>
        <v>Abrir no Google Maps</v>
      </c>
      <c r="S4041">
        <v>3</v>
      </c>
      <c r="T4041">
        <v>1217.388518792701</v>
      </c>
      <c r="U4041">
        <v>2</v>
      </c>
      <c r="V4041">
        <v>0.39077364351282567</v>
      </c>
      <c r="W4041">
        <v>0.85</v>
      </c>
      <c r="X4041">
        <v>0.3321575969859018</v>
      </c>
      <c r="Y4041">
        <v>578</v>
      </c>
      <c r="Z4041">
        <v>1268.0048337091989</v>
      </c>
      <c r="AA4041">
        <v>198</v>
      </c>
      <c r="AB4041">
        <v>332</v>
      </c>
      <c r="AC4041">
        <v>536</v>
      </c>
      <c r="AD4041">
        <v>33.19</v>
      </c>
      <c r="AE4041">
        <v>542</v>
      </c>
      <c r="AF4041">
        <v>41</v>
      </c>
      <c r="AG4041">
        <v>175</v>
      </c>
      <c r="AH4041">
        <v>129</v>
      </c>
      <c r="AI4041">
        <v>7.56</v>
      </c>
      <c r="AJ4041">
        <v>32.29</v>
      </c>
      <c r="AK4041">
        <v>23.8</v>
      </c>
      <c r="AL4041">
        <v>-20.173821999999941</v>
      </c>
      <c r="AM4041">
        <v>-44.894306105833543</v>
      </c>
      <c r="AN4041">
        <v>-20.173821999999941</v>
      </c>
      <c r="AO4041">
        <v>-44.894306105833543</v>
      </c>
      <c r="AP4041">
        <v>-20.173748</v>
      </c>
      <c r="AQ4041">
        <v>-44.894596999999997</v>
      </c>
      <c r="AR4041">
        <v>31.492193006406161</v>
      </c>
      <c r="AS4041" t="s">
        <v>65</v>
      </c>
      <c r="AT4041">
        <v>1</v>
      </c>
      <c r="AU4041" t="s">
        <v>1391</v>
      </c>
      <c r="AV4041" t="s">
        <v>1392</v>
      </c>
      <c r="AW4041" t="s">
        <v>60</v>
      </c>
      <c r="AX4041" t="s">
        <v>68</v>
      </c>
      <c r="AY4041" t="s">
        <v>69</v>
      </c>
      <c r="AZ4041" t="b">
        <v>1</v>
      </c>
    </row>
    <row r="4042" spans="1:52" x14ac:dyDescent="0.3">
      <c r="A4042" t="s">
        <v>52</v>
      </c>
      <c r="B4042" t="s">
        <v>53</v>
      </c>
      <c r="C4042" t="s">
        <v>54</v>
      </c>
      <c r="D4042" t="s">
        <v>55</v>
      </c>
      <c r="E4042" t="s">
        <v>2206</v>
      </c>
      <c r="F4042" t="s">
        <v>1247</v>
      </c>
      <c r="G4042" t="s">
        <v>503</v>
      </c>
      <c r="H4042" t="s">
        <v>504</v>
      </c>
      <c r="I4042" t="s">
        <v>504</v>
      </c>
      <c r="J4042" t="s">
        <v>60</v>
      </c>
      <c r="K4042" t="s">
        <v>505</v>
      </c>
      <c r="L4042" t="s">
        <v>62</v>
      </c>
      <c r="M4042" t="s">
        <v>505</v>
      </c>
      <c r="N4042" t="s">
        <v>506</v>
      </c>
      <c r="O4042" t="s">
        <v>507</v>
      </c>
      <c r="P4042">
        <v>-20.131428</v>
      </c>
      <c r="Q4042">
        <v>-44.888921000000003</v>
      </c>
      <c r="R4042" s="2" t="str">
        <f>HYPERLINK("https://www.google.com/maps?q=-20.1314280,-44.8889210","Abrir no Google Maps")</f>
        <v>Abrir no Google Maps</v>
      </c>
      <c r="S4042">
        <v>3</v>
      </c>
      <c r="T4042">
        <v>250.64150698244501</v>
      </c>
      <c r="U4042">
        <v>2</v>
      </c>
      <c r="V4042">
        <v>0.3423585645546432</v>
      </c>
      <c r="W4042">
        <v>1</v>
      </c>
      <c r="X4042">
        <v>0.3423585645546432</v>
      </c>
      <c r="Y4042">
        <v>564</v>
      </c>
      <c r="Z4042">
        <v>189.93933888952441</v>
      </c>
      <c r="AA4042">
        <v>198</v>
      </c>
      <c r="AB4042">
        <v>332</v>
      </c>
      <c r="AC4042">
        <v>536</v>
      </c>
      <c r="AD4042">
        <v>33.19</v>
      </c>
      <c r="AE4042">
        <v>542</v>
      </c>
      <c r="AF4042">
        <v>41</v>
      </c>
      <c r="AG4042">
        <v>175</v>
      </c>
      <c r="AH4042">
        <v>129</v>
      </c>
      <c r="AI4042">
        <v>7.56</v>
      </c>
      <c r="AJ4042">
        <v>32.29</v>
      </c>
      <c r="AK4042">
        <v>23.8</v>
      </c>
      <c r="AL4042">
        <v>-20.13123589999995</v>
      </c>
      <c r="AM4042">
        <v>-44.888742396501762</v>
      </c>
      <c r="AN4042">
        <v>-20.13123589999995</v>
      </c>
      <c r="AO4042">
        <v>-44.888742396501762</v>
      </c>
      <c r="AP4042">
        <v>-20.131428</v>
      </c>
      <c r="AQ4042">
        <v>-44.888921000000003</v>
      </c>
      <c r="AR4042">
        <v>28.386169462917032</v>
      </c>
      <c r="AS4042" t="s">
        <v>65</v>
      </c>
      <c r="AT4042">
        <v>1</v>
      </c>
      <c r="AU4042" t="s">
        <v>508</v>
      </c>
      <c r="AV4042" t="s">
        <v>509</v>
      </c>
      <c r="AW4042" t="s">
        <v>60</v>
      </c>
      <c r="AX4042" t="s">
        <v>68</v>
      </c>
      <c r="AY4042" t="s">
        <v>69</v>
      </c>
      <c r="AZ4042" t="b">
        <v>1</v>
      </c>
    </row>
    <row r="4043" spans="1:52" x14ac:dyDescent="0.3">
      <c r="A4043" t="s">
        <v>52</v>
      </c>
      <c r="B4043" t="s">
        <v>53</v>
      </c>
      <c r="C4043" t="s">
        <v>54</v>
      </c>
      <c r="D4043" t="s">
        <v>55</v>
      </c>
      <c r="E4043" t="s">
        <v>2206</v>
      </c>
      <c r="F4043" t="s">
        <v>1247</v>
      </c>
      <c r="G4043" t="s">
        <v>510</v>
      </c>
      <c r="H4043" t="s">
        <v>511</v>
      </c>
      <c r="I4043" t="s">
        <v>511</v>
      </c>
      <c r="J4043" t="s">
        <v>60</v>
      </c>
      <c r="K4043" t="s">
        <v>512</v>
      </c>
      <c r="L4043" t="s">
        <v>62</v>
      </c>
      <c r="M4043" t="s">
        <v>512</v>
      </c>
      <c r="N4043" t="s">
        <v>406</v>
      </c>
      <c r="O4043" t="s">
        <v>513</v>
      </c>
      <c r="P4043">
        <v>-20.127853000000002</v>
      </c>
      <c r="Q4043">
        <v>-44.891415000000002</v>
      </c>
      <c r="R4043" s="2" t="str">
        <f>HYPERLINK("https://www.google.com/maps?q=-20.1278530,-44.8914150","Abrir no Google Maps")</f>
        <v>Abrir no Google Maps</v>
      </c>
      <c r="S4043">
        <v>3</v>
      </c>
      <c r="T4043">
        <v>340.86994528233612</v>
      </c>
      <c r="U4043">
        <v>2</v>
      </c>
      <c r="V4043">
        <v>0.3421294471312884</v>
      </c>
      <c r="W4043">
        <v>1</v>
      </c>
      <c r="X4043">
        <v>0.3421294471312884</v>
      </c>
      <c r="Y4043">
        <v>564</v>
      </c>
      <c r="Z4043">
        <v>294.18108015916812</v>
      </c>
      <c r="AA4043">
        <v>198</v>
      </c>
      <c r="AB4043">
        <v>332</v>
      </c>
      <c r="AC4043">
        <v>536</v>
      </c>
      <c r="AD4043">
        <v>33.19</v>
      </c>
      <c r="AE4043">
        <v>542</v>
      </c>
      <c r="AF4043">
        <v>41</v>
      </c>
      <c r="AG4043">
        <v>175</v>
      </c>
      <c r="AH4043">
        <v>129</v>
      </c>
      <c r="AI4043">
        <v>7.56</v>
      </c>
      <c r="AJ4043">
        <v>32.29</v>
      </c>
      <c r="AK4043">
        <v>23.8</v>
      </c>
      <c r="AL4043">
        <v>-20.12777399999996</v>
      </c>
      <c r="AM4043">
        <v>-44.891400975758501</v>
      </c>
      <c r="AN4043">
        <v>-20.12777399999996</v>
      </c>
      <c r="AO4043">
        <v>-44.891400975758501</v>
      </c>
      <c r="AP4043">
        <v>-20.127853000000002</v>
      </c>
      <c r="AQ4043">
        <v>-44.891415000000002</v>
      </c>
      <c r="AR4043">
        <v>8.9156059162975616</v>
      </c>
      <c r="AS4043" t="s">
        <v>65</v>
      </c>
      <c r="AT4043">
        <v>1</v>
      </c>
      <c r="AU4043" t="s">
        <v>514</v>
      </c>
      <c r="AV4043" t="s">
        <v>515</v>
      </c>
      <c r="AW4043" t="s">
        <v>60</v>
      </c>
      <c r="AX4043" t="s">
        <v>68</v>
      </c>
      <c r="AY4043" t="s">
        <v>69</v>
      </c>
      <c r="AZ4043" t="b">
        <v>1</v>
      </c>
    </row>
    <row r="4044" spans="1:52" x14ac:dyDescent="0.3">
      <c r="A4044" t="s">
        <v>52</v>
      </c>
      <c r="B4044" t="s">
        <v>53</v>
      </c>
      <c r="C4044" t="s">
        <v>54</v>
      </c>
      <c r="D4044" t="s">
        <v>55</v>
      </c>
      <c r="E4044" t="s">
        <v>2206</v>
      </c>
      <c r="F4044" t="s">
        <v>1247</v>
      </c>
      <c r="G4044" t="s">
        <v>523</v>
      </c>
      <c r="H4044" t="s">
        <v>524</v>
      </c>
      <c r="I4044" t="s">
        <v>524</v>
      </c>
      <c r="J4044" t="s">
        <v>60</v>
      </c>
      <c r="K4044" t="s">
        <v>518</v>
      </c>
      <c r="L4044" t="s">
        <v>62</v>
      </c>
      <c r="M4044" t="s">
        <v>518</v>
      </c>
      <c r="N4044" t="s">
        <v>525</v>
      </c>
      <c r="O4044" t="s">
        <v>331</v>
      </c>
      <c r="P4044">
        <v>-20.126553000000001</v>
      </c>
      <c r="Q4044">
        <v>-44.888599999999997</v>
      </c>
      <c r="R4044" s="2" t="str">
        <f>HYPERLINK("https://www.google.com/maps?q=-20.1265530,-44.8886000","Abrir no Google Maps")</f>
        <v>Abrir no Google Maps</v>
      </c>
      <c r="S4044">
        <v>3</v>
      </c>
      <c r="T4044">
        <v>256.34043440603853</v>
      </c>
      <c r="U4044">
        <v>2</v>
      </c>
      <c r="V4044">
        <v>0.32890184632535308</v>
      </c>
      <c r="W4044">
        <v>1</v>
      </c>
      <c r="X4044">
        <v>0.32890184632535308</v>
      </c>
      <c r="Y4044">
        <v>564</v>
      </c>
      <c r="Z4044">
        <v>325.4404273055876</v>
      </c>
      <c r="AA4044">
        <v>198</v>
      </c>
      <c r="AB4044">
        <v>332</v>
      </c>
      <c r="AC4044">
        <v>536</v>
      </c>
      <c r="AD4044">
        <v>33.19</v>
      </c>
      <c r="AE4044">
        <v>542</v>
      </c>
      <c r="AF4044">
        <v>41</v>
      </c>
      <c r="AG4044">
        <v>175</v>
      </c>
      <c r="AH4044">
        <v>129</v>
      </c>
      <c r="AI4044">
        <v>7.56</v>
      </c>
      <c r="AJ4044">
        <v>32.29</v>
      </c>
      <c r="AK4044">
        <v>23.8</v>
      </c>
      <c r="AL4044">
        <v>-20.12669049999997</v>
      </c>
      <c r="AM4044">
        <v>-44.888671289876577</v>
      </c>
      <c r="AN4044">
        <v>-20.12669049999997</v>
      </c>
      <c r="AO4044">
        <v>-44.888671289876577</v>
      </c>
      <c r="AP4044">
        <v>-20.126553000000001</v>
      </c>
      <c r="AQ4044">
        <v>-44.888599999999997</v>
      </c>
      <c r="AR4044">
        <v>17.023861591720589</v>
      </c>
      <c r="AS4044" t="s">
        <v>65</v>
      </c>
      <c r="AT4044">
        <v>1</v>
      </c>
      <c r="AU4044" t="s">
        <v>526</v>
      </c>
      <c r="AV4044" t="s">
        <v>527</v>
      </c>
      <c r="AW4044" t="s">
        <v>60</v>
      </c>
      <c r="AX4044" t="s">
        <v>68</v>
      </c>
      <c r="AY4044" t="s">
        <v>69</v>
      </c>
      <c r="AZ4044" t="b">
        <v>1</v>
      </c>
    </row>
    <row r="4045" spans="1:52" x14ac:dyDescent="0.3">
      <c r="A4045" t="s">
        <v>52</v>
      </c>
      <c r="B4045" t="s">
        <v>53</v>
      </c>
      <c r="C4045" t="s">
        <v>54</v>
      </c>
      <c r="D4045" t="s">
        <v>55</v>
      </c>
      <c r="E4045" t="s">
        <v>2206</v>
      </c>
      <c r="F4045" t="s">
        <v>1247</v>
      </c>
      <c r="G4045" t="s">
        <v>503</v>
      </c>
      <c r="H4045" t="s">
        <v>1441</v>
      </c>
      <c r="I4045" t="s">
        <v>1441</v>
      </c>
      <c r="J4045" t="s">
        <v>60</v>
      </c>
      <c r="K4045" t="s">
        <v>512</v>
      </c>
      <c r="L4045" t="s">
        <v>62</v>
      </c>
      <c r="M4045" t="s">
        <v>512</v>
      </c>
      <c r="N4045" t="s">
        <v>506</v>
      </c>
      <c r="O4045" t="s">
        <v>1442</v>
      </c>
      <c r="P4045">
        <v>-20.13036</v>
      </c>
      <c r="Q4045">
        <v>-44.891019</v>
      </c>
      <c r="R4045" s="2" t="str">
        <f>HYPERLINK("https://www.google.com/maps?q=-20.1303600,-44.8910190","Abrir no Google Maps")</f>
        <v>Abrir no Google Maps</v>
      </c>
      <c r="S4045">
        <v>3</v>
      </c>
      <c r="T4045">
        <v>313.17410616307359</v>
      </c>
      <c r="U4045">
        <v>2</v>
      </c>
      <c r="V4045">
        <v>0.39839292493194761</v>
      </c>
      <c r="W4045">
        <v>0.85</v>
      </c>
      <c r="X4045">
        <v>0.33863398619215551</v>
      </c>
      <c r="Y4045">
        <v>564</v>
      </c>
      <c r="Z4045">
        <v>208.43159293494489</v>
      </c>
      <c r="AA4045">
        <v>198</v>
      </c>
      <c r="AB4045">
        <v>332</v>
      </c>
      <c r="AC4045">
        <v>536</v>
      </c>
      <c r="AD4045">
        <v>33.19</v>
      </c>
      <c r="AE4045">
        <v>542</v>
      </c>
      <c r="AF4045">
        <v>41</v>
      </c>
      <c r="AG4045">
        <v>175</v>
      </c>
      <c r="AH4045">
        <v>129</v>
      </c>
      <c r="AI4045">
        <v>7.56</v>
      </c>
      <c r="AJ4045">
        <v>32.29</v>
      </c>
      <c r="AK4045">
        <v>23.8</v>
      </c>
      <c r="AL4045">
        <v>-20.130100449999961</v>
      </c>
      <c r="AM4045">
        <v>-44.891163633475301</v>
      </c>
      <c r="AN4045">
        <v>-20.130100449999961</v>
      </c>
      <c r="AO4045">
        <v>-44.891163633475301</v>
      </c>
      <c r="AP4045">
        <v>-20.13036</v>
      </c>
      <c r="AQ4045">
        <v>-44.891019</v>
      </c>
      <c r="AR4045">
        <v>32.608854575381159</v>
      </c>
      <c r="AS4045" t="s">
        <v>65</v>
      </c>
      <c r="AT4045">
        <v>1</v>
      </c>
      <c r="AU4045" t="s">
        <v>1443</v>
      </c>
      <c r="AV4045" t="s">
        <v>1444</v>
      </c>
      <c r="AW4045" t="s">
        <v>60</v>
      </c>
      <c r="AX4045" t="s">
        <v>68</v>
      </c>
      <c r="AY4045" t="s">
        <v>69</v>
      </c>
      <c r="AZ4045" t="b">
        <v>1</v>
      </c>
    </row>
    <row r="4046" spans="1:52" x14ac:dyDescent="0.3">
      <c r="A4046" t="s">
        <v>52</v>
      </c>
      <c r="B4046" t="s">
        <v>53</v>
      </c>
      <c r="C4046" t="s">
        <v>54</v>
      </c>
      <c r="D4046" t="s">
        <v>55</v>
      </c>
      <c r="E4046" t="s">
        <v>2206</v>
      </c>
      <c r="F4046" t="s">
        <v>1247</v>
      </c>
      <c r="G4046" t="s">
        <v>398</v>
      </c>
      <c r="H4046" t="s">
        <v>541</v>
      </c>
      <c r="I4046" t="s">
        <v>541</v>
      </c>
      <c r="J4046" t="s">
        <v>60</v>
      </c>
      <c r="K4046" t="s">
        <v>388</v>
      </c>
      <c r="L4046" t="s">
        <v>62</v>
      </c>
      <c r="M4046" t="s">
        <v>388</v>
      </c>
      <c r="N4046" t="s">
        <v>400</v>
      </c>
      <c r="O4046" t="s">
        <v>542</v>
      </c>
      <c r="P4046">
        <v>-20.151335</v>
      </c>
      <c r="Q4046">
        <v>-44.901041999999997</v>
      </c>
      <c r="R4046" s="2" t="str">
        <f>HYPERLINK("https://www.google.com/maps?q=-20.1513350,-44.9010420","Abrir no Google Maps")</f>
        <v>Abrir no Google Maps</v>
      </c>
      <c r="S4046">
        <v>3</v>
      </c>
      <c r="T4046">
        <v>0</v>
      </c>
      <c r="U4046">
        <v>2</v>
      </c>
      <c r="V4046">
        <v>0.33443257310533309</v>
      </c>
      <c r="W4046">
        <v>1</v>
      </c>
      <c r="X4046">
        <v>0.33443257310533309</v>
      </c>
      <c r="Y4046">
        <v>556</v>
      </c>
      <c r="Z4046">
        <v>137.71609036908939</v>
      </c>
      <c r="AA4046">
        <v>198</v>
      </c>
      <c r="AB4046">
        <v>332</v>
      </c>
      <c r="AC4046">
        <v>536</v>
      </c>
      <c r="AD4046">
        <v>33.19</v>
      </c>
      <c r="AE4046">
        <v>542</v>
      </c>
      <c r="AF4046">
        <v>41</v>
      </c>
      <c r="AG4046">
        <v>175</v>
      </c>
      <c r="AH4046">
        <v>129</v>
      </c>
      <c r="AI4046">
        <v>7.56</v>
      </c>
      <c r="AJ4046">
        <v>32.29</v>
      </c>
      <c r="AK4046">
        <v>23.8</v>
      </c>
      <c r="AL4046">
        <v>-20.15125899999995</v>
      </c>
      <c r="AM4046">
        <v>-44.900838557594433</v>
      </c>
      <c r="AN4046">
        <v>-20.15125899999995</v>
      </c>
      <c r="AO4046">
        <v>-44.900838557594433</v>
      </c>
      <c r="AP4046">
        <v>-20.151335</v>
      </c>
      <c r="AQ4046">
        <v>-44.901041999999997</v>
      </c>
      <c r="AR4046">
        <v>22.882363139483491</v>
      </c>
      <c r="AS4046" t="s">
        <v>65</v>
      </c>
      <c r="AT4046">
        <v>1</v>
      </c>
      <c r="AU4046" t="s">
        <v>543</v>
      </c>
      <c r="AV4046" t="s">
        <v>544</v>
      </c>
      <c r="AW4046" t="s">
        <v>60</v>
      </c>
      <c r="AX4046" t="s">
        <v>68</v>
      </c>
      <c r="AY4046" t="s">
        <v>69</v>
      </c>
      <c r="AZ4046" t="b">
        <v>1</v>
      </c>
    </row>
    <row r="4047" spans="1:52" x14ac:dyDescent="0.3">
      <c r="A4047" t="s">
        <v>52</v>
      </c>
      <c r="B4047" t="s">
        <v>53</v>
      </c>
      <c r="C4047" t="s">
        <v>54</v>
      </c>
      <c r="D4047" t="s">
        <v>55</v>
      </c>
      <c r="E4047" t="s">
        <v>2206</v>
      </c>
      <c r="F4047" t="s">
        <v>1247</v>
      </c>
      <c r="G4047" t="s">
        <v>1127</v>
      </c>
      <c r="H4047" t="s">
        <v>1449</v>
      </c>
      <c r="I4047" t="s">
        <v>1449</v>
      </c>
      <c r="J4047" t="s">
        <v>60</v>
      </c>
      <c r="K4047" t="s">
        <v>1450</v>
      </c>
      <c r="L4047" t="s">
        <v>62</v>
      </c>
      <c r="M4047" t="s">
        <v>1450</v>
      </c>
      <c r="N4047" t="s">
        <v>1451</v>
      </c>
      <c r="O4047" t="s">
        <v>1452</v>
      </c>
      <c r="P4047">
        <v>-20.152612000000001</v>
      </c>
      <c r="Q4047">
        <v>-44.897098</v>
      </c>
      <c r="R4047" s="2" t="str">
        <f>HYPERLINK("https://www.google.com/maps?q=-20.1526120,-44.8970980","Abrir no Google Maps")</f>
        <v>Abrir no Google Maps</v>
      </c>
      <c r="S4047">
        <v>3</v>
      </c>
      <c r="T4047">
        <v>418.6283592063233</v>
      </c>
      <c r="U4047">
        <v>2</v>
      </c>
      <c r="V4047">
        <v>0.40389487368671478</v>
      </c>
      <c r="W4047">
        <v>0.85</v>
      </c>
      <c r="X4047">
        <v>0.34331064263370747</v>
      </c>
      <c r="Y4047">
        <v>556</v>
      </c>
      <c r="Z4047">
        <v>387.16462225830952</v>
      </c>
      <c r="AA4047">
        <v>198</v>
      </c>
      <c r="AB4047">
        <v>332</v>
      </c>
      <c r="AC4047">
        <v>536</v>
      </c>
      <c r="AD4047">
        <v>33.19</v>
      </c>
      <c r="AE4047">
        <v>542</v>
      </c>
      <c r="AF4047">
        <v>41</v>
      </c>
      <c r="AG4047">
        <v>175</v>
      </c>
      <c r="AH4047">
        <v>129</v>
      </c>
      <c r="AI4047">
        <v>7.56</v>
      </c>
      <c r="AJ4047">
        <v>32.29</v>
      </c>
      <c r="AK4047">
        <v>23.8</v>
      </c>
      <c r="AL4047">
        <v>-20.15253669999996</v>
      </c>
      <c r="AM4047">
        <v>-44.897068126936119</v>
      </c>
      <c r="AN4047">
        <v>-20.15253669999996</v>
      </c>
      <c r="AO4047">
        <v>-44.897068126936119</v>
      </c>
      <c r="AP4047">
        <v>-20.152612000000001</v>
      </c>
      <c r="AQ4047">
        <v>-44.897098</v>
      </c>
      <c r="AR4047">
        <v>8.9448699164987104</v>
      </c>
      <c r="AS4047" t="s">
        <v>65</v>
      </c>
      <c r="AT4047">
        <v>1</v>
      </c>
      <c r="AU4047" t="s">
        <v>1453</v>
      </c>
      <c r="AV4047" t="s">
        <v>1454</v>
      </c>
      <c r="AW4047" t="s">
        <v>60</v>
      </c>
      <c r="AX4047" t="s">
        <v>68</v>
      </c>
      <c r="AY4047" t="s">
        <v>69</v>
      </c>
      <c r="AZ4047" t="b">
        <v>1</v>
      </c>
    </row>
    <row r="4048" spans="1:52" x14ac:dyDescent="0.3">
      <c r="A4048" t="s">
        <v>52</v>
      </c>
      <c r="B4048" t="s">
        <v>53</v>
      </c>
      <c r="C4048" t="s">
        <v>54</v>
      </c>
      <c r="D4048" t="s">
        <v>55</v>
      </c>
      <c r="E4048" t="s">
        <v>2206</v>
      </c>
      <c r="F4048" t="s">
        <v>1247</v>
      </c>
      <c r="G4048" t="s">
        <v>545</v>
      </c>
      <c r="H4048" t="s">
        <v>546</v>
      </c>
      <c r="I4048" t="s">
        <v>546</v>
      </c>
      <c r="J4048" t="s">
        <v>60</v>
      </c>
      <c r="K4048" t="s">
        <v>388</v>
      </c>
      <c r="L4048" t="s">
        <v>62</v>
      </c>
      <c r="M4048" t="s">
        <v>388</v>
      </c>
      <c r="N4048" t="s">
        <v>547</v>
      </c>
      <c r="O4048" t="s">
        <v>548</v>
      </c>
      <c r="P4048">
        <v>-20.155839</v>
      </c>
      <c r="Q4048">
        <v>-44.905655000000003</v>
      </c>
      <c r="R4048" s="2" t="str">
        <f>HYPERLINK("https://www.google.com/maps?q=-20.1558390,-44.9056550","Abrir no Google Maps")</f>
        <v>Abrir no Google Maps</v>
      </c>
      <c r="S4048">
        <v>3</v>
      </c>
      <c r="T4048">
        <v>309.7643089121122</v>
      </c>
      <c r="U4048">
        <v>2</v>
      </c>
      <c r="V4048">
        <v>0.2958486312290563</v>
      </c>
      <c r="W4048">
        <v>1</v>
      </c>
      <c r="X4048">
        <v>0.2958486312290563</v>
      </c>
      <c r="Y4048">
        <v>548</v>
      </c>
      <c r="Z4048">
        <v>284.24281731793161</v>
      </c>
      <c r="AA4048">
        <v>198</v>
      </c>
      <c r="AB4048">
        <v>332</v>
      </c>
      <c r="AC4048">
        <v>536</v>
      </c>
      <c r="AD4048">
        <v>33.19</v>
      </c>
      <c r="AE4048">
        <v>542</v>
      </c>
      <c r="AF4048">
        <v>41</v>
      </c>
      <c r="AG4048">
        <v>175</v>
      </c>
      <c r="AH4048">
        <v>129</v>
      </c>
      <c r="AI4048">
        <v>7.56</v>
      </c>
      <c r="AJ4048">
        <v>32.29</v>
      </c>
      <c r="AK4048">
        <v>23.8</v>
      </c>
      <c r="AL4048">
        <v>-20.155913549999951</v>
      </c>
      <c r="AM4048">
        <v>-44.905554508392683</v>
      </c>
      <c r="AN4048">
        <v>-20.155913549999951</v>
      </c>
      <c r="AO4048">
        <v>-44.905554508392669</v>
      </c>
      <c r="AP4048">
        <v>-20.155839</v>
      </c>
      <c r="AQ4048">
        <v>-44.905655000000003</v>
      </c>
      <c r="AR4048">
        <v>13.384922093797449</v>
      </c>
      <c r="AS4048" t="s">
        <v>65</v>
      </c>
      <c r="AT4048">
        <v>1</v>
      </c>
      <c r="AU4048" t="s">
        <v>549</v>
      </c>
      <c r="AV4048" t="s">
        <v>550</v>
      </c>
      <c r="AW4048" t="s">
        <v>60</v>
      </c>
      <c r="AX4048" t="s">
        <v>68</v>
      </c>
      <c r="AY4048" t="s">
        <v>69</v>
      </c>
      <c r="AZ4048" t="b">
        <v>1</v>
      </c>
    </row>
    <row r="4049" spans="1:52" x14ac:dyDescent="0.3">
      <c r="A4049" t="s">
        <v>52</v>
      </c>
      <c r="B4049" t="s">
        <v>53</v>
      </c>
      <c r="C4049" t="s">
        <v>54</v>
      </c>
      <c r="D4049" t="s">
        <v>55</v>
      </c>
      <c r="E4049" t="s">
        <v>2206</v>
      </c>
      <c r="F4049" t="s">
        <v>1247</v>
      </c>
      <c r="G4049" t="s">
        <v>551</v>
      </c>
      <c r="H4049" t="s">
        <v>552</v>
      </c>
      <c r="I4049" t="s">
        <v>552</v>
      </c>
      <c r="J4049" t="s">
        <v>60</v>
      </c>
      <c r="K4049" t="s">
        <v>388</v>
      </c>
      <c r="L4049" t="s">
        <v>62</v>
      </c>
      <c r="M4049" t="s">
        <v>388</v>
      </c>
      <c r="N4049" t="s">
        <v>553</v>
      </c>
      <c r="O4049" t="s">
        <v>315</v>
      </c>
      <c r="P4049">
        <v>-20.153086999999999</v>
      </c>
      <c r="Q4049">
        <v>-44.905451999999997</v>
      </c>
      <c r="R4049" s="2" t="str">
        <f>HYPERLINK("https://www.google.com/maps?q=-20.1530870,-44.9054520","Abrir no Google Maps")</f>
        <v>Abrir no Google Maps</v>
      </c>
      <c r="S4049">
        <v>3</v>
      </c>
      <c r="T4049">
        <v>313.69387682409018</v>
      </c>
      <c r="U4049">
        <v>2</v>
      </c>
      <c r="V4049">
        <v>0.34941569937590933</v>
      </c>
      <c r="W4049">
        <v>1</v>
      </c>
      <c r="X4049">
        <v>0.34941569937590933</v>
      </c>
      <c r="Y4049">
        <v>548</v>
      </c>
      <c r="Z4049">
        <v>319.51605309906859</v>
      </c>
      <c r="AA4049">
        <v>198</v>
      </c>
      <c r="AB4049">
        <v>332</v>
      </c>
      <c r="AC4049">
        <v>536</v>
      </c>
      <c r="AD4049">
        <v>33.19</v>
      </c>
      <c r="AE4049">
        <v>542</v>
      </c>
      <c r="AF4049">
        <v>41</v>
      </c>
      <c r="AG4049">
        <v>175</v>
      </c>
      <c r="AH4049">
        <v>129</v>
      </c>
      <c r="AI4049">
        <v>7.56</v>
      </c>
      <c r="AJ4049">
        <v>32.29</v>
      </c>
      <c r="AK4049">
        <v>23.8</v>
      </c>
      <c r="AL4049">
        <v>-20.153043049999951</v>
      </c>
      <c r="AM4049">
        <v>-44.905348275899513</v>
      </c>
      <c r="AN4049">
        <v>-20.153043049999951</v>
      </c>
      <c r="AO4049">
        <v>-44.905348275899513</v>
      </c>
      <c r="AP4049">
        <v>-20.153086999999999</v>
      </c>
      <c r="AQ4049">
        <v>-44.905451999999997</v>
      </c>
      <c r="AR4049">
        <v>11.892619975648341</v>
      </c>
      <c r="AS4049" t="s">
        <v>65</v>
      </c>
      <c r="AT4049">
        <v>1</v>
      </c>
      <c r="AU4049" t="s">
        <v>554</v>
      </c>
      <c r="AV4049" t="s">
        <v>555</v>
      </c>
      <c r="AW4049" t="s">
        <v>60</v>
      </c>
      <c r="AX4049" t="s">
        <v>68</v>
      </c>
      <c r="AY4049" t="s">
        <v>69</v>
      </c>
      <c r="AZ4049" t="b">
        <v>1</v>
      </c>
    </row>
    <row r="4050" spans="1:52" x14ac:dyDescent="0.3">
      <c r="A4050" t="s">
        <v>52</v>
      </c>
      <c r="B4050" t="s">
        <v>53</v>
      </c>
      <c r="C4050" t="s">
        <v>54</v>
      </c>
      <c r="D4050" t="s">
        <v>55</v>
      </c>
      <c r="E4050" t="s">
        <v>2206</v>
      </c>
      <c r="F4050" t="s">
        <v>1247</v>
      </c>
      <c r="G4050" t="s">
        <v>556</v>
      </c>
      <c r="H4050" t="s">
        <v>557</v>
      </c>
      <c r="I4050" t="s">
        <v>557</v>
      </c>
      <c r="J4050" t="s">
        <v>60</v>
      </c>
      <c r="K4050" t="s">
        <v>388</v>
      </c>
      <c r="L4050" t="s">
        <v>62</v>
      </c>
      <c r="M4050" t="s">
        <v>388</v>
      </c>
      <c r="N4050" t="s">
        <v>558</v>
      </c>
      <c r="O4050" t="s">
        <v>559</v>
      </c>
      <c r="P4050">
        <v>-20.152670000000001</v>
      </c>
      <c r="Q4050">
        <v>-44.902557999999999</v>
      </c>
      <c r="R4050" s="2" t="str">
        <f>HYPERLINK("https://www.google.com/maps?q=-20.1526700,-44.9025580","Abrir no Google Maps")</f>
        <v>Abrir no Google Maps</v>
      </c>
      <c r="S4050">
        <v>3</v>
      </c>
      <c r="T4050">
        <v>228.56195217678911</v>
      </c>
      <c r="U4050">
        <v>2</v>
      </c>
      <c r="V4050">
        <v>0.3000930823348405</v>
      </c>
      <c r="W4050">
        <v>1</v>
      </c>
      <c r="X4050">
        <v>0.3000930823348405</v>
      </c>
      <c r="Y4050">
        <v>548</v>
      </c>
      <c r="Z4050">
        <v>250.63133895224919</v>
      </c>
      <c r="AA4050">
        <v>198</v>
      </c>
      <c r="AB4050">
        <v>332</v>
      </c>
      <c r="AC4050">
        <v>536</v>
      </c>
      <c r="AD4050">
        <v>33.19</v>
      </c>
      <c r="AE4050">
        <v>542</v>
      </c>
      <c r="AF4050">
        <v>41</v>
      </c>
      <c r="AG4050">
        <v>175</v>
      </c>
      <c r="AH4050">
        <v>129</v>
      </c>
      <c r="AI4050">
        <v>7.56</v>
      </c>
      <c r="AJ4050">
        <v>32.29</v>
      </c>
      <c r="AK4050">
        <v>23.8</v>
      </c>
      <c r="AL4050">
        <v>-20.152629799999939</v>
      </c>
      <c r="AM4050">
        <v>-44.902604744705201</v>
      </c>
      <c r="AN4050">
        <v>-20.152629799999939</v>
      </c>
      <c r="AO4050">
        <v>-44.902604744705201</v>
      </c>
      <c r="AP4050">
        <v>-20.152670000000001</v>
      </c>
      <c r="AQ4050">
        <v>-44.902557999999999</v>
      </c>
      <c r="AR4050">
        <v>6.6249428037111509</v>
      </c>
      <c r="AS4050" t="s">
        <v>65</v>
      </c>
      <c r="AT4050">
        <v>1</v>
      </c>
      <c r="AU4050" t="s">
        <v>560</v>
      </c>
      <c r="AV4050" t="s">
        <v>561</v>
      </c>
      <c r="AW4050" t="s">
        <v>60</v>
      </c>
      <c r="AX4050" t="s">
        <v>68</v>
      </c>
      <c r="AY4050" t="s">
        <v>69</v>
      </c>
      <c r="AZ4050" t="b">
        <v>1</v>
      </c>
    </row>
    <row r="4051" spans="1:52" x14ac:dyDescent="0.3">
      <c r="A4051" t="s">
        <v>52</v>
      </c>
      <c r="B4051" t="s">
        <v>53</v>
      </c>
      <c r="C4051" t="s">
        <v>54</v>
      </c>
      <c r="D4051" t="s">
        <v>55</v>
      </c>
      <c r="E4051" t="s">
        <v>2206</v>
      </c>
      <c r="F4051" t="s">
        <v>1247</v>
      </c>
      <c r="G4051" t="s">
        <v>562</v>
      </c>
      <c r="H4051" t="s">
        <v>563</v>
      </c>
      <c r="I4051" t="s">
        <v>563</v>
      </c>
      <c r="J4051" t="s">
        <v>60</v>
      </c>
      <c r="K4051" t="s">
        <v>388</v>
      </c>
      <c r="L4051" t="s">
        <v>62</v>
      </c>
      <c r="M4051" t="s">
        <v>388</v>
      </c>
      <c r="N4051" t="s">
        <v>564</v>
      </c>
      <c r="O4051" t="s">
        <v>565</v>
      </c>
      <c r="P4051">
        <v>-20.154432</v>
      </c>
      <c r="Q4051">
        <v>-44.902977999999997</v>
      </c>
      <c r="R4051" s="2" t="str">
        <f>HYPERLINK("https://www.google.com/maps?q=-20.1544320,-44.9029780","Abrir no Google Maps")</f>
        <v>Abrir no Google Maps</v>
      </c>
      <c r="S4051">
        <v>3</v>
      </c>
      <c r="T4051">
        <v>0</v>
      </c>
      <c r="U4051">
        <v>2</v>
      </c>
      <c r="V4051">
        <v>0.30636134700573908</v>
      </c>
      <c r="W4051">
        <v>1</v>
      </c>
      <c r="X4051">
        <v>0.30636134700573908</v>
      </c>
      <c r="Y4051">
        <v>548</v>
      </c>
      <c r="Z4051">
        <v>29.424211042533759</v>
      </c>
      <c r="AA4051">
        <v>198</v>
      </c>
      <c r="AB4051">
        <v>332</v>
      </c>
      <c r="AC4051">
        <v>536</v>
      </c>
      <c r="AD4051">
        <v>33.19</v>
      </c>
      <c r="AE4051">
        <v>542</v>
      </c>
      <c r="AF4051">
        <v>41</v>
      </c>
      <c r="AG4051">
        <v>175</v>
      </c>
      <c r="AH4051">
        <v>129</v>
      </c>
      <c r="AI4051">
        <v>7.56</v>
      </c>
      <c r="AJ4051">
        <v>32.29</v>
      </c>
      <c r="AK4051">
        <v>23.8</v>
      </c>
      <c r="AL4051">
        <v>-20.15467689999997</v>
      </c>
      <c r="AM4051">
        <v>-44.902895281771222</v>
      </c>
      <c r="AN4051">
        <v>-20.15467689999997</v>
      </c>
      <c r="AO4051">
        <v>-44.902895281771222</v>
      </c>
      <c r="AP4051">
        <v>-20.154432</v>
      </c>
      <c r="AQ4051">
        <v>-44.902977999999997</v>
      </c>
      <c r="AR4051">
        <v>28.5999270636025</v>
      </c>
      <c r="AS4051" t="s">
        <v>65</v>
      </c>
      <c r="AT4051">
        <v>1</v>
      </c>
      <c r="AU4051" t="s">
        <v>566</v>
      </c>
      <c r="AV4051" t="s">
        <v>567</v>
      </c>
      <c r="AW4051" t="s">
        <v>60</v>
      </c>
      <c r="AX4051" t="s">
        <v>68</v>
      </c>
      <c r="AY4051" t="s">
        <v>69</v>
      </c>
      <c r="AZ4051" t="b">
        <v>1</v>
      </c>
    </row>
    <row r="4052" spans="1:52" x14ac:dyDescent="0.3">
      <c r="A4052" t="s">
        <v>52</v>
      </c>
      <c r="B4052" t="s">
        <v>53</v>
      </c>
      <c r="C4052" t="s">
        <v>54</v>
      </c>
      <c r="D4052" t="s">
        <v>55</v>
      </c>
      <c r="E4052" t="s">
        <v>2206</v>
      </c>
      <c r="F4052" t="s">
        <v>1247</v>
      </c>
      <c r="G4052" t="s">
        <v>1307</v>
      </c>
      <c r="H4052" t="s">
        <v>1308</v>
      </c>
      <c r="I4052" t="s">
        <v>1308</v>
      </c>
      <c r="J4052" t="s">
        <v>60</v>
      </c>
      <c r="K4052" t="s">
        <v>1302</v>
      </c>
      <c r="L4052" t="s">
        <v>62</v>
      </c>
      <c r="M4052" t="s">
        <v>1302</v>
      </c>
      <c r="N4052" t="s">
        <v>558</v>
      </c>
      <c r="O4052" t="s">
        <v>1309</v>
      </c>
      <c r="P4052">
        <v>-20.169051</v>
      </c>
      <c r="Q4052">
        <v>-44.910093000000003</v>
      </c>
      <c r="R4052" s="2" t="str">
        <f>HYPERLINK("https://www.google.com/maps?q=-20.1690510,-44.9100930","Abrir no Google Maps")</f>
        <v>Abrir no Google Maps</v>
      </c>
      <c r="S4052">
        <v>3</v>
      </c>
      <c r="T4052">
        <v>375.90504489887479</v>
      </c>
      <c r="U4052">
        <v>1</v>
      </c>
      <c r="V4052">
        <v>0.23726448027039801</v>
      </c>
      <c r="W4052">
        <v>0.85</v>
      </c>
      <c r="X4052">
        <v>0.2016748082298383</v>
      </c>
      <c r="Y4052">
        <v>723</v>
      </c>
      <c r="Z4052">
        <v>456.19893675176831</v>
      </c>
      <c r="AA4052">
        <v>198</v>
      </c>
      <c r="AB4052">
        <v>332</v>
      </c>
      <c r="AC4052">
        <v>536</v>
      </c>
      <c r="AD4052">
        <v>33.19</v>
      </c>
      <c r="AE4052">
        <v>542</v>
      </c>
      <c r="AF4052">
        <v>41</v>
      </c>
      <c r="AG4052">
        <v>175</v>
      </c>
      <c r="AH4052">
        <v>129</v>
      </c>
      <c r="AI4052">
        <v>7.56</v>
      </c>
      <c r="AJ4052">
        <v>32.29</v>
      </c>
      <c r="AK4052">
        <v>23.8</v>
      </c>
      <c r="AL4052">
        <v>-20.168810949999941</v>
      </c>
      <c r="AM4052">
        <v>-44.910156475447927</v>
      </c>
      <c r="AN4052">
        <v>-20.168810949999941</v>
      </c>
      <c r="AO4052">
        <v>-44.910156475447927</v>
      </c>
      <c r="AP4052">
        <v>-20.169051</v>
      </c>
      <c r="AQ4052">
        <v>-44.910093000000003</v>
      </c>
      <c r="AR4052">
        <v>27.533232396417059</v>
      </c>
      <c r="AS4052" t="s">
        <v>65</v>
      </c>
      <c r="AT4052">
        <v>1</v>
      </c>
      <c r="AU4052" t="s">
        <v>1310</v>
      </c>
      <c r="AV4052" t="s">
        <v>1311</v>
      </c>
      <c r="AW4052" t="s">
        <v>60</v>
      </c>
      <c r="AX4052" t="s">
        <v>68</v>
      </c>
      <c r="AY4052" t="s">
        <v>69</v>
      </c>
      <c r="AZ4052" t="b">
        <v>1</v>
      </c>
    </row>
    <row r="4053" spans="1:52" x14ac:dyDescent="0.3">
      <c r="A4053" t="s">
        <v>52</v>
      </c>
      <c r="B4053" t="s">
        <v>53</v>
      </c>
      <c r="C4053" t="s">
        <v>54</v>
      </c>
      <c r="D4053" t="s">
        <v>55</v>
      </c>
      <c r="E4053" t="s">
        <v>2206</v>
      </c>
      <c r="F4053" t="s">
        <v>1247</v>
      </c>
      <c r="G4053" t="s">
        <v>845</v>
      </c>
      <c r="H4053" t="s">
        <v>846</v>
      </c>
      <c r="I4053" t="s">
        <v>846</v>
      </c>
      <c r="J4053" t="s">
        <v>60</v>
      </c>
      <c r="K4053" t="s">
        <v>424</v>
      </c>
      <c r="L4053" t="s">
        <v>62</v>
      </c>
      <c r="M4053" t="s">
        <v>424</v>
      </c>
      <c r="N4053" t="s">
        <v>847</v>
      </c>
      <c r="O4053" t="s">
        <v>848</v>
      </c>
      <c r="P4053">
        <v>-20.175523999999999</v>
      </c>
      <c r="Q4053">
        <v>-44.918016999999999</v>
      </c>
      <c r="R4053" s="2" t="str">
        <f>HYPERLINK("https://www.google.com/maps?q=-20.1755240,-44.9180170","Abrir no Google Maps")</f>
        <v>Abrir no Google Maps</v>
      </c>
      <c r="S4053">
        <v>3</v>
      </c>
      <c r="T4053">
        <v>833.59191671824021</v>
      </c>
      <c r="U4053">
        <v>1</v>
      </c>
      <c r="V4053">
        <v>0.33337674710705029</v>
      </c>
      <c r="W4053">
        <v>0.85</v>
      </c>
      <c r="X4053">
        <v>0.28337023504099268</v>
      </c>
      <c r="Y4053">
        <v>723</v>
      </c>
      <c r="Z4053">
        <v>701.05790658871581</v>
      </c>
      <c r="AA4053">
        <v>198</v>
      </c>
      <c r="AB4053">
        <v>332</v>
      </c>
      <c r="AC4053">
        <v>536</v>
      </c>
      <c r="AD4053">
        <v>33.19</v>
      </c>
      <c r="AE4053">
        <v>542</v>
      </c>
      <c r="AF4053">
        <v>41</v>
      </c>
      <c r="AG4053">
        <v>175</v>
      </c>
      <c r="AH4053">
        <v>129</v>
      </c>
      <c r="AI4053">
        <v>7.56</v>
      </c>
      <c r="AJ4053">
        <v>32.29</v>
      </c>
      <c r="AK4053">
        <v>23.8</v>
      </c>
      <c r="AL4053">
        <v>-20.17533859999995</v>
      </c>
      <c r="AM4053">
        <v>-44.917689627873088</v>
      </c>
      <c r="AN4053">
        <v>-20.17533859999995</v>
      </c>
      <c r="AO4053">
        <v>-44.917689627873088</v>
      </c>
      <c r="AP4053">
        <v>-20.175523999999999</v>
      </c>
      <c r="AQ4053">
        <v>-44.918016999999999</v>
      </c>
      <c r="AR4053">
        <v>39.950898228213873</v>
      </c>
      <c r="AS4053" t="s">
        <v>65</v>
      </c>
      <c r="AT4053">
        <v>1</v>
      </c>
      <c r="AU4053" t="s">
        <v>849</v>
      </c>
      <c r="AV4053" t="s">
        <v>850</v>
      </c>
      <c r="AW4053" t="s">
        <v>60</v>
      </c>
      <c r="AX4053" t="s">
        <v>68</v>
      </c>
      <c r="AY4053" t="s">
        <v>69</v>
      </c>
      <c r="AZ4053" t="b">
        <v>1</v>
      </c>
    </row>
    <row r="4054" spans="1:52" x14ac:dyDescent="0.3">
      <c r="A4054" t="s">
        <v>52</v>
      </c>
      <c r="B4054" t="s">
        <v>53</v>
      </c>
      <c r="C4054" t="s">
        <v>54</v>
      </c>
      <c r="D4054" t="s">
        <v>55</v>
      </c>
      <c r="E4054" t="s">
        <v>2206</v>
      </c>
      <c r="F4054" t="s">
        <v>1247</v>
      </c>
      <c r="G4054" t="s">
        <v>429</v>
      </c>
      <c r="H4054" t="s">
        <v>430</v>
      </c>
      <c r="I4054" t="s">
        <v>430</v>
      </c>
      <c r="J4054" t="s">
        <v>60</v>
      </c>
      <c r="K4054" t="s">
        <v>431</v>
      </c>
      <c r="L4054" t="s">
        <v>62</v>
      </c>
      <c r="M4054" t="s">
        <v>431</v>
      </c>
      <c r="N4054" t="s">
        <v>432</v>
      </c>
      <c r="O4054" t="s">
        <v>315</v>
      </c>
      <c r="P4054">
        <v>-20.172698</v>
      </c>
      <c r="Q4054">
        <v>-44.923842</v>
      </c>
      <c r="R4054" s="2" t="str">
        <f>HYPERLINK("https://www.google.com/maps?q=-20.1726980,-44.9238420","Abrir no Google Maps")</f>
        <v>Abrir no Google Maps</v>
      </c>
      <c r="S4054">
        <v>3</v>
      </c>
      <c r="T4054">
        <v>1376.1843173402931</v>
      </c>
      <c r="U4054">
        <v>1</v>
      </c>
      <c r="V4054">
        <v>0.29487446162305297</v>
      </c>
      <c r="W4054">
        <v>0.85</v>
      </c>
      <c r="X4054">
        <v>0.25064329237959498</v>
      </c>
      <c r="Y4054">
        <v>723</v>
      </c>
      <c r="Z4054">
        <v>1101.340635002096</v>
      </c>
      <c r="AA4054">
        <v>198</v>
      </c>
      <c r="AB4054">
        <v>332</v>
      </c>
      <c r="AC4054">
        <v>536</v>
      </c>
      <c r="AD4054">
        <v>33.19</v>
      </c>
      <c r="AE4054">
        <v>542</v>
      </c>
      <c r="AF4054">
        <v>41</v>
      </c>
      <c r="AG4054">
        <v>175</v>
      </c>
      <c r="AH4054">
        <v>129</v>
      </c>
      <c r="AI4054">
        <v>7.56</v>
      </c>
      <c r="AJ4054">
        <v>32.29</v>
      </c>
      <c r="AK4054">
        <v>23.8</v>
      </c>
      <c r="AL4054">
        <v>-20.172942799999959</v>
      </c>
      <c r="AM4054">
        <v>-44.923585372665762</v>
      </c>
      <c r="AN4054">
        <v>-20.172942799999959</v>
      </c>
      <c r="AO4054">
        <v>-44.923585372665762</v>
      </c>
      <c r="AP4054">
        <v>-20.172698</v>
      </c>
      <c r="AQ4054">
        <v>-44.923842</v>
      </c>
      <c r="AR4054">
        <v>38.231981408478958</v>
      </c>
      <c r="AS4054" t="s">
        <v>65</v>
      </c>
      <c r="AT4054">
        <v>1</v>
      </c>
      <c r="AU4054" t="s">
        <v>433</v>
      </c>
      <c r="AV4054" t="s">
        <v>434</v>
      </c>
      <c r="AW4054" t="s">
        <v>60</v>
      </c>
      <c r="AX4054" t="s">
        <v>68</v>
      </c>
      <c r="AY4054" t="s">
        <v>69</v>
      </c>
      <c r="AZ4054" t="b">
        <v>1</v>
      </c>
    </row>
    <row r="4055" spans="1:52" x14ac:dyDescent="0.3">
      <c r="A4055" t="s">
        <v>52</v>
      </c>
      <c r="B4055" t="s">
        <v>53</v>
      </c>
      <c r="C4055" t="s">
        <v>54</v>
      </c>
      <c r="D4055" t="s">
        <v>55</v>
      </c>
      <c r="E4055" t="s">
        <v>2206</v>
      </c>
      <c r="F4055" t="s">
        <v>1247</v>
      </c>
      <c r="G4055" t="s">
        <v>1328</v>
      </c>
      <c r="H4055" t="s">
        <v>1329</v>
      </c>
      <c r="I4055" t="s">
        <v>1329</v>
      </c>
      <c r="J4055" t="s">
        <v>60</v>
      </c>
      <c r="K4055" t="s">
        <v>1324</v>
      </c>
      <c r="L4055" t="s">
        <v>62</v>
      </c>
      <c r="M4055" t="s">
        <v>1324</v>
      </c>
      <c r="N4055" t="s">
        <v>1330</v>
      </c>
      <c r="O4055" t="s">
        <v>1331</v>
      </c>
      <c r="P4055">
        <v>-20.172984</v>
      </c>
      <c r="Q4055">
        <v>-44.915225999999997</v>
      </c>
      <c r="R4055" s="2" t="str">
        <f>HYPERLINK("https://www.google.com/maps?q=-20.1729840,-44.9152260","Abrir no Google Maps")</f>
        <v>Abrir no Google Maps</v>
      </c>
      <c r="S4055">
        <v>3</v>
      </c>
      <c r="T4055">
        <v>498.21203543103741</v>
      </c>
      <c r="U4055">
        <v>1</v>
      </c>
      <c r="V4055">
        <v>0.33997766261726409</v>
      </c>
      <c r="W4055">
        <v>0.85</v>
      </c>
      <c r="X4055">
        <v>0.28898101322467451</v>
      </c>
      <c r="Y4055">
        <v>723</v>
      </c>
      <c r="Z4055">
        <v>297.36167326949931</v>
      </c>
      <c r="AA4055">
        <v>198</v>
      </c>
      <c r="AB4055">
        <v>332</v>
      </c>
      <c r="AC4055">
        <v>536</v>
      </c>
      <c r="AD4055">
        <v>33.19</v>
      </c>
      <c r="AE4055">
        <v>542</v>
      </c>
      <c r="AF4055">
        <v>41</v>
      </c>
      <c r="AG4055">
        <v>175</v>
      </c>
      <c r="AH4055">
        <v>129</v>
      </c>
      <c r="AI4055">
        <v>7.56</v>
      </c>
      <c r="AJ4055">
        <v>32.29</v>
      </c>
      <c r="AK4055">
        <v>23.8</v>
      </c>
      <c r="AL4055">
        <v>-20.172838899999959</v>
      </c>
      <c r="AM4055">
        <v>-44.915158011603552</v>
      </c>
      <c r="AN4055">
        <v>-20.172838899999959</v>
      </c>
      <c r="AO4055">
        <v>-44.915158011603552</v>
      </c>
      <c r="AP4055">
        <v>-20.172984</v>
      </c>
      <c r="AQ4055">
        <v>-44.915225999999997</v>
      </c>
      <c r="AR4055">
        <v>17.645788305942119</v>
      </c>
      <c r="AS4055" t="s">
        <v>65</v>
      </c>
      <c r="AT4055">
        <v>1</v>
      </c>
      <c r="AU4055" t="s">
        <v>1332</v>
      </c>
      <c r="AV4055" t="s">
        <v>1327</v>
      </c>
      <c r="AW4055" t="s">
        <v>60</v>
      </c>
      <c r="AX4055" t="s">
        <v>68</v>
      </c>
      <c r="AY4055" t="s">
        <v>69</v>
      </c>
      <c r="AZ4055" t="b">
        <v>1</v>
      </c>
    </row>
    <row r="4056" spans="1:52" x14ac:dyDescent="0.3">
      <c r="A4056" t="s">
        <v>52</v>
      </c>
      <c r="B4056" t="s">
        <v>53</v>
      </c>
      <c r="C4056" t="s">
        <v>54</v>
      </c>
      <c r="D4056" t="s">
        <v>55</v>
      </c>
      <c r="E4056" t="s">
        <v>2206</v>
      </c>
      <c r="F4056" t="s">
        <v>1247</v>
      </c>
      <c r="G4056" t="s">
        <v>479</v>
      </c>
      <c r="H4056" t="s">
        <v>1338</v>
      </c>
      <c r="I4056" t="s">
        <v>1338</v>
      </c>
      <c r="J4056" t="s">
        <v>60</v>
      </c>
      <c r="K4056" t="s">
        <v>1302</v>
      </c>
      <c r="L4056" t="s">
        <v>62</v>
      </c>
      <c r="M4056" t="s">
        <v>1302</v>
      </c>
      <c r="N4056" t="s">
        <v>481</v>
      </c>
      <c r="O4056" t="s">
        <v>1339</v>
      </c>
      <c r="P4056">
        <v>-20.165590000000002</v>
      </c>
      <c r="Q4056">
        <v>-44.907876000000002</v>
      </c>
      <c r="R4056" s="2" t="str">
        <f>HYPERLINK("https://www.google.com/maps?q=-20.1655900,-44.9078760","Abrir no Google Maps")</f>
        <v>Abrir no Google Maps</v>
      </c>
      <c r="S4056">
        <v>3</v>
      </c>
      <c r="T4056">
        <v>626.07643944893005</v>
      </c>
      <c r="U4056">
        <v>1</v>
      </c>
      <c r="V4056">
        <v>0.29669381774516168</v>
      </c>
      <c r="W4056">
        <v>0.85</v>
      </c>
      <c r="X4056">
        <v>0.25218974508338737</v>
      </c>
      <c r="Y4056">
        <v>639</v>
      </c>
      <c r="Z4056">
        <v>723.2656461789519</v>
      </c>
      <c r="AA4056">
        <v>198</v>
      </c>
      <c r="AB4056">
        <v>332</v>
      </c>
      <c r="AC4056">
        <v>536</v>
      </c>
      <c r="AD4056">
        <v>33.19</v>
      </c>
      <c r="AE4056">
        <v>542</v>
      </c>
      <c r="AF4056">
        <v>41</v>
      </c>
      <c r="AG4056">
        <v>175</v>
      </c>
      <c r="AH4056">
        <v>129</v>
      </c>
      <c r="AI4056">
        <v>7.56</v>
      </c>
      <c r="AJ4056">
        <v>32.29</v>
      </c>
      <c r="AK4056">
        <v>23.8</v>
      </c>
      <c r="AL4056">
        <v>-20.16561419999994</v>
      </c>
      <c r="AM4056">
        <v>-44.907783360572083</v>
      </c>
      <c r="AN4056">
        <v>-20.16561419999994</v>
      </c>
      <c r="AO4056">
        <v>-44.907783360572083</v>
      </c>
      <c r="AP4056">
        <v>-20.165590000000002</v>
      </c>
      <c r="AQ4056">
        <v>-44.907876000000002</v>
      </c>
      <c r="AR4056">
        <v>10.04831364257741</v>
      </c>
      <c r="AS4056" t="s">
        <v>65</v>
      </c>
      <c r="AT4056">
        <v>1</v>
      </c>
      <c r="AU4056" t="s">
        <v>1340</v>
      </c>
      <c r="AV4056" t="s">
        <v>1341</v>
      </c>
      <c r="AW4056" t="s">
        <v>60</v>
      </c>
      <c r="AX4056" t="s">
        <v>68</v>
      </c>
      <c r="AY4056" t="s">
        <v>69</v>
      </c>
      <c r="AZ4056" t="b">
        <v>1</v>
      </c>
    </row>
    <row r="4057" spans="1:52" x14ac:dyDescent="0.3">
      <c r="A4057" t="s">
        <v>52</v>
      </c>
      <c r="B4057" t="s">
        <v>53</v>
      </c>
      <c r="C4057" t="s">
        <v>54</v>
      </c>
      <c r="D4057" t="s">
        <v>55</v>
      </c>
      <c r="E4057" t="s">
        <v>2206</v>
      </c>
      <c r="F4057" t="s">
        <v>1247</v>
      </c>
      <c r="G4057" t="s">
        <v>454</v>
      </c>
      <c r="H4057" t="s">
        <v>455</v>
      </c>
      <c r="I4057" t="s">
        <v>455</v>
      </c>
      <c r="J4057" t="s">
        <v>60</v>
      </c>
      <c r="K4057" t="s">
        <v>456</v>
      </c>
      <c r="L4057" t="s">
        <v>62</v>
      </c>
      <c r="M4057" t="s">
        <v>456</v>
      </c>
      <c r="N4057" t="s">
        <v>102</v>
      </c>
      <c r="O4057" t="s">
        <v>457</v>
      </c>
      <c r="P4057">
        <v>-20.138373999999999</v>
      </c>
      <c r="Q4057">
        <v>-44.903756999999999</v>
      </c>
      <c r="R4057" s="2" t="str">
        <f>HYPERLINK("https://www.google.com/maps?q=-20.1383740,-44.9037570","Abrir no Google Maps")</f>
        <v>Abrir no Google Maps</v>
      </c>
      <c r="S4057">
        <v>3</v>
      </c>
      <c r="T4057">
        <v>357.59466273594461</v>
      </c>
      <c r="U4057">
        <v>1</v>
      </c>
      <c r="V4057">
        <v>0.28288782990047873</v>
      </c>
      <c r="W4057">
        <v>1</v>
      </c>
      <c r="X4057">
        <v>0.28288782990047873</v>
      </c>
      <c r="Y4057">
        <v>581</v>
      </c>
      <c r="Z4057">
        <v>406.92482694505992</v>
      </c>
      <c r="AA4057">
        <v>198</v>
      </c>
      <c r="AB4057">
        <v>332</v>
      </c>
      <c r="AC4057">
        <v>536</v>
      </c>
      <c r="AD4057">
        <v>33.19</v>
      </c>
      <c r="AE4057">
        <v>542</v>
      </c>
      <c r="AF4057">
        <v>41</v>
      </c>
      <c r="AG4057">
        <v>175</v>
      </c>
      <c r="AH4057">
        <v>129</v>
      </c>
      <c r="AI4057">
        <v>7.56</v>
      </c>
      <c r="AJ4057">
        <v>32.29</v>
      </c>
      <c r="AK4057">
        <v>23.8</v>
      </c>
      <c r="AL4057">
        <v>-20.138338199999961</v>
      </c>
      <c r="AM4057">
        <v>-44.903768618976301</v>
      </c>
      <c r="AN4057">
        <v>-20.138338199999961</v>
      </c>
      <c r="AO4057">
        <v>-44.903768618976301</v>
      </c>
      <c r="AP4057">
        <v>-20.138373999999999</v>
      </c>
      <c r="AQ4057">
        <v>-44.903756999999999</v>
      </c>
      <c r="AR4057">
        <v>4.1661625938922704</v>
      </c>
      <c r="AS4057" t="s">
        <v>65</v>
      </c>
      <c r="AT4057">
        <v>1</v>
      </c>
      <c r="AU4057" t="s">
        <v>458</v>
      </c>
      <c r="AV4057" t="s">
        <v>459</v>
      </c>
      <c r="AW4057" t="s">
        <v>60</v>
      </c>
      <c r="AX4057" t="s">
        <v>68</v>
      </c>
      <c r="AY4057" t="s">
        <v>69</v>
      </c>
      <c r="AZ4057" t="b">
        <v>1</v>
      </c>
    </row>
    <row r="4058" spans="1:52" x14ac:dyDescent="0.3">
      <c r="A4058" t="s">
        <v>52</v>
      </c>
      <c r="B4058" t="s">
        <v>53</v>
      </c>
      <c r="C4058" t="s">
        <v>54</v>
      </c>
      <c r="D4058" t="s">
        <v>55</v>
      </c>
      <c r="E4058" t="s">
        <v>2206</v>
      </c>
      <c r="F4058" t="s">
        <v>1247</v>
      </c>
      <c r="G4058" t="s">
        <v>460</v>
      </c>
      <c r="H4058" t="s">
        <v>461</v>
      </c>
      <c r="I4058" t="s">
        <v>461</v>
      </c>
      <c r="J4058" t="s">
        <v>60</v>
      </c>
      <c r="K4058" t="s">
        <v>462</v>
      </c>
      <c r="L4058" t="s">
        <v>62</v>
      </c>
      <c r="M4058" t="s">
        <v>462</v>
      </c>
      <c r="N4058" t="s">
        <v>463</v>
      </c>
      <c r="O4058" t="s">
        <v>464</v>
      </c>
      <c r="P4058">
        <v>-20.137919</v>
      </c>
      <c r="Q4058">
        <v>-44.905591000000001</v>
      </c>
      <c r="R4058" s="2" t="str">
        <f>HYPERLINK("https://www.google.com/maps?q=-20.1379190,-44.9055910","Abrir no Google Maps")</f>
        <v>Abrir no Google Maps</v>
      </c>
      <c r="S4058">
        <v>3</v>
      </c>
      <c r="T4058">
        <v>262.01115919461103</v>
      </c>
      <c r="U4058">
        <v>1</v>
      </c>
      <c r="V4058">
        <v>0.2838757326604372</v>
      </c>
      <c r="W4058">
        <v>1</v>
      </c>
      <c r="X4058">
        <v>0.2838757326604372</v>
      </c>
      <c r="Y4058">
        <v>581</v>
      </c>
      <c r="Z4058">
        <v>318.63337303219271</v>
      </c>
      <c r="AA4058">
        <v>198</v>
      </c>
      <c r="AB4058">
        <v>332</v>
      </c>
      <c r="AC4058">
        <v>536</v>
      </c>
      <c r="AD4058">
        <v>33.19</v>
      </c>
      <c r="AE4058">
        <v>542</v>
      </c>
      <c r="AF4058">
        <v>41</v>
      </c>
      <c r="AG4058">
        <v>175</v>
      </c>
      <c r="AH4058">
        <v>129</v>
      </c>
      <c r="AI4058">
        <v>7.56</v>
      </c>
      <c r="AJ4058">
        <v>32.29</v>
      </c>
      <c r="AK4058">
        <v>23.8</v>
      </c>
      <c r="AL4058">
        <v>-20.13789079999998</v>
      </c>
      <c r="AM4058">
        <v>-44.90548593520333</v>
      </c>
      <c r="AN4058">
        <v>-20.13789079999998</v>
      </c>
      <c r="AO4058">
        <v>-44.90548593520333</v>
      </c>
      <c r="AP4058">
        <v>-20.137919</v>
      </c>
      <c r="AQ4058">
        <v>-44.905591000000001</v>
      </c>
      <c r="AR4058">
        <v>11.42072348298178</v>
      </c>
      <c r="AS4058" t="s">
        <v>65</v>
      </c>
      <c r="AT4058">
        <v>1</v>
      </c>
      <c r="AU4058" t="s">
        <v>465</v>
      </c>
      <c r="AV4058" t="s">
        <v>466</v>
      </c>
      <c r="AW4058" t="s">
        <v>60</v>
      </c>
      <c r="AX4058" t="s">
        <v>68</v>
      </c>
      <c r="AY4058" t="s">
        <v>69</v>
      </c>
      <c r="AZ4058" t="b">
        <v>1</v>
      </c>
    </row>
    <row r="4059" spans="1:52" x14ac:dyDescent="0.3">
      <c r="A4059" t="s">
        <v>52</v>
      </c>
      <c r="B4059" t="s">
        <v>53</v>
      </c>
      <c r="C4059" t="s">
        <v>54</v>
      </c>
      <c r="D4059" t="s">
        <v>55</v>
      </c>
      <c r="E4059" t="s">
        <v>2206</v>
      </c>
      <c r="F4059" t="s">
        <v>1247</v>
      </c>
      <c r="G4059" t="s">
        <v>1347</v>
      </c>
      <c r="H4059" t="s">
        <v>1348</v>
      </c>
      <c r="I4059" t="s">
        <v>1348</v>
      </c>
      <c r="J4059" t="s">
        <v>60</v>
      </c>
      <c r="K4059" t="s">
        <v>1349</v>
      </c>
      <c r="L4059" t="s">
        <v>62</v>
      </c>
      <c r="M4059" t="s">
        <v>1349</v>
      </c>
      <c r="N4059" t="s">
        <v>1350</v>
      </c>
      <c r="O4059" t="s">
        <v>1351</v>
      </c>
      <c r="P4059">
        <v>-20.140426999999999</v>
      </c>
      <c r="Q4059">
        <v>-44.905327999999997</v>
      </c>
      <c r="R4059" s="2" t="str">
        <f>HYPERLINK("https://www.google.com/maps?q=-20.1404270,-44.9053280","Abrir no Google Maps")</f>
        <v>Abrir no Google Maps</v>
      </c>
      <c r="S4059">
        <v>3</v>
      </c>
      <c r="T4059">
        <v>359.5810968231857</v>
      </c>
      <c r="U4059">
        <v>1</v>
      </c>
      <c r="V4059">
        <v>0.27085436970448679</v>
      </c>
      <c r="W4059">
        <v>0.85</v>
      </c>
      <c r="X4059">
        <v>0.23022621424881379</v>
      </c>
      <c r="Y4059">
        <v>581</v>
      </c>
      <c r="Z4059">
        <v>292.370097058873</v>
      </c>
      <c r="AA4059">
        <v>198</v>
      </c>
      <c r="AB4059">
        <v>332</v>
      </c>
      <c r="AC4059">
        <v>536</v>
      </c>
      <c r="AD4059">
        <v>33.19</v>
      </c>
      <c r="AE4059">
        <v>542</v>
      </c>
      <c r="AF4059">
        <v>41</v>
      </c>
      <c r="AG4059">
        <v>175</v>
      </c>
      <c r="AH4059">
        <v>129</v>
      </c>
      <c r="AI4059">
        <v>7.56</v>
      </c>
      <c r="AJ4059">
        <v>32.29</v>
      </c>
      <c r="AK4059">
        <v>23.8</v>
      </c>
      <c r="AL4059">
        <v>-20.140465449999969</v>
      </c>
      <c r="AM4059">
        <v>-44.905317129037229</v>
      </c>
      <c r="AN4059">
        <v>-20.140465449999969</v>
      </c>
      <c r="AO4059">
        <v>-44.905317129037229</v>
      </c>
      <c r="AP4059">
        <v>-20.140426999999999</v>
      </c>
      <c r="AQ4059">
        <v>-44.905327999999997</v>
      </c>
      <c r="AR4059">
        <v>4.4284788644958706</v>
      </c>
      <c r="AS4059" t="s">
        <v>65</v>
      </c>
      <c r="AT4059">
        <v>1</v>
      </c>
      <c r="AU4059" t="s">
        <v>1352</v>
      </c>
      <c r="AV4059" t="s">
        <v>1353</v>
      </c>
      <c r="AW4059" t="s">
        <v>60</v>
      </c>
      <c r="AX4059" t="s">
        <v>68</v>
      </c>
      <c r="AY4059" t="s">
        <v>69</v>
      </c>
      <c r="AZ4059" t="b">
        <v>1</v>
      </c>
    </row>
    <row r="4060" spans="1:52" x14ac:dyDescent="0.3">
      <c r="A4060" t="s">
        <v>52</v>
      </c>
      <c r="B4060" t="s">
        <v>53</v>
      </c>
      <c r="C4060" t="s">
        <v>54</v>
      </c>
      <c r="D4060" t="s">
        <v>55</v>
      </c>
      <c r="E4060" t="s">
        <v>2206</v>
      </c>
      <c r="F4060" t="s">
        <v>1247</v>
      </c>
      <c r="G4060" t="s">
        <v>858</v>
      </c>
      <c r="H4060" t="s">
        <v>1360</v>
      </c>
      <c r="I4060" t="s">
        <v>1360</v>
      </c>
      <c r="J4060" t="s">
        <v>60</v>
      </c>
      <c r="K4060" t="s">
        <v>1356</v>
      </c>
      <c r="L4060" t="s">
        <v>62</v>
      </c>
      <c r="M4060" t="s">
        <v>1356</v>
      </c>
      <c r="N4060" t="s">
        <v>860</v>
      </c>
      <c r="O4060" t="s">
        <v>1361</v>
      </c>
      <c r="P4060">
        <v>-20.134969000000002</v>
      </c>
      <c r="Q4060">
        <v>-44.909384000000003</v>
      </c>
      <c r="R4060" s="2" t="str">
        <f>HYPERLINK("https://www.google.com/maps?q=-20.1349690,-44.9093840","Abrir no Google Maps")</f>
        <v>Abrir no Google Maps</v>
      </c>
      <c r="S4060">
        <v>3</v>
      </c>
      <c r="T4060">
        <v>413.6655911675532</v>
      </c>
      <c r="U4060">
        <v>1</v>
      </c>
      <c r="V4060">
        <v>0.324102916154829</v>
      </c>
      <c r="W4060">
        <v>0.85</v>
      </c>
      <c r="X4060">
        <v>0.27548747873160462</v>
      </c>
      <c r="Y4060">
        <v>581</v>
      </c>
      <c r="Z4060">
        <v>555.30228470489919</v>
      </c>
      <c r="AA4060">
        <v>198</v>
      </c>
      <c r="AB4060">
        <v>332</v>
      </c>
      <c r="AC4060">
        <v>536</v>
      </c>
      <c r="AD4060">
        <v>33.19</v>
      </c>
      <c r="AE4060">
        <v>542</v>
      </c>
      <c r="AF4060">
        <v>41</v>
      </c>
      <c r="AG4060">
        <v>175</v>
      </c>
      <c r="AH4060">
        <v>129</v>
      </c>
      <c r="AI4060">
        <v>7.56</v>
      </c>
      <c r="AJ4060">
        <v>32.29</v>
      </c>
      <c r="AK4060">
        <v>23.8</v>
      </c>
      <c r="AL4060">
        <v>-20.134922099999951</v>
      </c>
      <c r="AM4060">
        <v>-44.909483975879112</v>
      </c>
      <c r="AN4060">
        <v>-20.134922099999951</v>
      </c>
      <c r="AO4060">
        <v>-44.909483975879112</v>
      </c>
      <c r="AP4060">
        <v>-20.134969000000002</v>
      </c>
      <c r="AQ4060">
        <v>-44.909384000000003</v>
      </c>
      <c r="AR4060">
        <v>11.68085867639515</v>
      </c>
      <c r="AS4060" t="s">
        <v>65</v>
      </c>
      <c r="AT4060">
        <v>1</v>
      </c>
      <c r="AU4060" t="s">
        <v>1362</v>
      </c>
      <c r="AV4060" t="s">
        <v>1363</v>
      </c>
      <c r="AW4060" t="s">
        <v>60</v>
      </c>
      <c r="AX4060" t="s">
        <v>68</v>
      </c>
      <c r="AY4060" t="s">
        <v>69</v>
      </c>
      <c r="AZ4060" t="b">
        <v>1</v>
      </c>
    </row>
    <row r="4061" spans="1:52" x14ac:dyDescent="0.3">
      <c r="A4061" t="s">
        <v>52</v>
      </c>
      <c r="B4061" t="s">
        <v>53</v>
      </c>
      <c r="C4061" t="s">
        <v>54</v>
      </c>
      <c r="D4061" t="s">
        <v>55</v>
      </c>
      <c r="E4061" t="s">
        <v>2206</v>
      </c>
      <c r="F4061" t="s">
        <v>1247</v>
      </c>
      <c r="G4061" t="s">
        <v>858</v>
      </c>
      <c r="H4061" t="s">
        <v>859</v>
      </c>
      <c r="I4061" t="s">
        <v>859</v>
      </c>
      <c r="J4061" t="s">
        <v>60</v>
      </c>
      <c r="K4061" t="s">
        <v>462</v>
      </c>
      <c r="L4061" t="s">
        <v>62</v>
      </c>
      <c r="M4061" t="s">
        <v>462</v>
      </c>
      <c r="N4061" t="s">
        <v>860</v>
      </c>
      <c r="O4061" t="s">
        <v>861</v>
      </c>
      <c r="P4061">
        <v>-20.139693999999999</v>
      </c>
      <c r="Q4061">
        <v>-44.911256000000002</v>
      </c>
      <c r="R4061" s="2" t="str">
        <f>HYPERLINK("https://www.google.com/maps?q=-20.1396940,-44.9112560","Abrir no Google Maps")</f>
        <v>Abrir no Google Maps</v>
      </c>
      <c r="S4061">
        <v>3</v>
      </c>
      <c r="T4061">
        <v>380.48036838042862</v>
      </c>
      <c r="U4061">
        <v>1</v>
      </c>
      <c r="V4061">
        <v>0.22249277087685251</v>
      </c>
      <c r="W4061">
        <v>0.85</v>
      </c>
      <c r="X4061">
        <v>0.1891188552453246</v>
      </c>
      <c r="Y4061">
        <v>581</v>
      </c>
      <c r="Z4061">
        <v>374.61146000000178</v>
      </c>
      <c r="AA4061">
        <v>198</v>
      </c>
      <c r="AB4061">
        <v>332</v>
      </c>
      <c r="AC4061">
        <v>536</v>
      </c>
      <c r="AD4061">
        <v>33.19</v>
      </c>
      <c r="AE4061">
        <v>542</v>
      </c>
      <c r="AF4061">
        <v>41</v>
      </c>
      <c r="AG4061">
        <v>175</v>
      </c>
      <c r="AH4061">
        <v>129</v>
      </c>
      <c r="AI4061">
        <v>7.56</v>
      </c>
      <c r="AJ4061">
        <v>32.29</v>
      </c>
      <c r="AK4061">
        <v>23.8</v>
      </c>
      <c r="AL4061">
        <v>-20.139768699999959</v>
      </c>
      <c r="AM4061">
        <v>-44.911265351587588</v>
      </c>
      <c r="AN4061">
        <v>-20.139768699999959</v>
      </c>
      <c r="AO4061">
        <v>-44.911265351587588</v>
      </c>
      <c r="AP4061">
        <v>-20.139693999999999</v>
      </c>
      <c r="AQ4061">
        <v>-44.911256000000002</v>
      </c>
      <c r="AR4061">
        <v>8.3728438666521061</v>
      </c>
      <c r="AS4061" t="s">
        <v>65</v>
      </c>
      <c r="AT4061">
        <v>1</v>
      </c>
      <c r="AU4061" t="s">
        <v>862</v>
      </c>
      <c r="AV4061" t="s">
        <v>863</v>
      </c>
      <c r="AW4061" t="s">
        <v>60</v>
      </c>
      <c r="AX4061" t="s">
        <v>68</v>
      </c>
      <c r="AY4061" t="s">
        <v>69</v>
      </c>
      <c r="AZ4061" t="b">
        <v>1</v>
      </c>
    </row>
    <row r="4062" spans="1:52" x14ac:dyDescent="0.3">
      <c r="A4062" t="s">
        <v>52</v>
      </c>
      <c r="B4062" t="s">
        <v>53</v>
      </c>
      <c r="C4062" t="s">
        <v>54</v>
      </c>
      <c r="D4062" t="s">
        <v>55</v>
      </c>
      <c r="E4062" t="s">
        <v>2206</v>
      </c>
      <c r="F4062" t="s">
        <v>1247</v>
      </c>
      <c r="G4062" t="s">
        <v>1300</v>
      </c>
      <c r="H4062" t="s">
        <v>1372</v>
      </c>
      <c r="I4062" t="s">
        <v>1372</v>
      </c>
      <c r="J4062" t="s">
        <v>60</v>
      </c>
      <c r="K4062" t="s">
        <v>486</v>
      </c>
      <c r="L4062" t="s">
        <v>62</v>
      </c>
      <c r="M4062" t="s">
        <v>486</v>
      </c>
      <c r="N4062" t="s">
        <v>1303</v>
      </c>
      <c r="O4062" t="s">
        <v>1373</v>
      </c>
      <c r="P4062">
        <v>-20.170458</v>
      </c>
      <c r="Q4062">
        <v>-44.900936000000002</v>
      </c>
      <c r="R4062" s="2" t="str">
        <f>HYPERLINK("https://www.google.com/maps?q=-20.1704580,-44.9009360","Abrir no Google Maps")</f>
        <v>Abrir no Google Maps</v>
      </c>
      <c r="S4062">
        <v>3</v>
      </c>
      <c r="T4062">
        <v>470.55793133653339</v>
      </c>
      <c r="U4062">
        <v>1</v>
      </c>
      <c r="V4062">
        <v>0.32190968029720962</v>
      </c>
      <c r="W4062">
        <v>0.85</v>
      </c>
      <c r="X4062">
        <v>0.27362322825262819</v>
      </c>
      <c r="Y4062">
        <v>578</v>
      </c>
      <c r="Z4062">
        <v>645.48909402437766</v>
      </c>
      <c r="AA4062">
        <v>198</v>
      </c>
      <c r="AB4062">
        <v>332</v>
      </c>
      <c r="AC4062">
        <v>536</v>
      </c>
      <c r="AD4062">
        <v>33.19</v>
      </c>
      <c r="AE4062">
        <v>542</v>
      </c>
      <c r="AF4062">
        <v>41</v>
      </c>
      <c r="AG4062">
        <v>175</v>
      </c>
      <c r="AH4062">
        <v>129</v>
      </c>
      <c r="AI4062">
        <v>7.56</v>
      </c>
      <c r="AJ4062">
        <v>32.29</v>
      </c>
      <c r="AK4062">
        <v>23.8</v>
      </c>
      <c r="AL4062">
        <v>-20.17025029999996</v>
      </c>
      <c r="AM4062">
        <v>-44.901067235372473</v>
      </c>
      <c r="AN4062">
        <v>-20.17025029999996</v>
      </c>
      <c r="AO4062">
        <v>-44.901067235372473</v>
      </c>
      <c r="AP4062">
        <v>-20.170458</v>
      </c>
      <c r="AQ4062">
        <v>-44.900936000000002</v>
      </c>
      <c r="AR4062">
        <v>26.88195352459519</v>
      </c>
      <c r="AS4062" t="s">
        <v>65</v>
      </c>
      <c r="AT4062">
        <v>1</v>
      </c>
      <c r="AU4062" t="s">
        <v>1374</v>
      </c>
      <c r="AV4062" t="s">
        <v>1375</v>
      </c>
      <c r="AW4062" t="s">
        <v>60</v>
      </c>
      <c r="AX4062" t="s">
        <v>68</v>
      </c>
      <c r="AY4062" t="s">
        <v>69</v>
      </c>
      <c r="AZ4062" t="b">
        <v>1</v>
      </c>
    </row>
    <row r="4063" spans="1:52" x14ac:dyDescent="0.3">
      <c r="A4063" t="s">
        <v>52</v>
      </c>
      <c r="B4063" t="s">
        <v>53</v>
      </c>
      <c r="C4063" t="s">
        <v>54</v>
      </c>
      <c r="D4063" t="s">
        <v>55</v>
      </c>
      <c r="E4063" t="s">
        <v>2206</v>
      </c>
      <c r="F4063" t="s">
        <v>1247</v>
      </c>
      <c r="G4063" t="s">
        <v>1393</v>
      </c>
      <c r="H4063" t="s">
        <v>1394</v>
      </c>
      <c r="I4063" t="s">
        <v>1394</v>
      </c>
      <c r="J4063" t="s">
        <v>60</v>
      </c>
      <c r="K4063" t="s">
        <v>388</v>
      </c>
      <c r="L4063" t="s">
        <v>62</v>
      </c>
      <c r="M4063" t="s">
        <v>388</v>
      </c>
      <c r="N4063" t="s">
        <v>1395</v>
      </c>
      <c r="O4063" t="s">
        <v>1396</v>
      </c>
      <c r="P4063">
        <v>-20.167425000000001</v>
      </c>
      <c r="Q4063">
        <v>-44.907733999999998</v>
      </c>
      <c r="R4063" s="2" t="str">
        <f>HYPERLINK("https://www.google.com/maps?q=-20.1674250,-44.9077340","Abrir no Google Maps")</f>
        <v>Abrir no Google Maps</v>
      </c>
      <c r="S4063">
        <v>3</v>
      </c>
      <c r="T4063">
        <v>424.62372109792739</v>
      </c>
      <c r="U4063">
        <v>1</v>
      </c>
      <c r="V4063">
        <v>0.313003971646584</v>
      </c>
      <c r="W4063">
        <v>0.85</v>
      </c>
      <c r="X4063">
        <v>0.26605337589959638</v>
      </c>
      <c r="Y4063">
        <v>578</v>
      </c>
      <c r="Z4063">
        <v>559.08337206965382</v>
      </c>
      <c r="AA4063">
        <v>198</v>
      </c>
      <c r="AB4063">
        <v>332</v>
      </c>
      <c r="AC4063">
        <v>536</v>
      </c>
      <c r="AD4063">
        <v>33.19</v>
      </c>
      <c r="AE4063">
        <v>542</v>
      </c>
      <c r="AF4063">
        <v>41</v>
      </c>
      <c r="AG4063">
        <v>175</v>
      </c>
      <c r="AH4063">
        <v>129</v>
      </c>
      <c r="AI4063">
        <v>7.56</v>
      </c>
      <c r="AJ4063">
        <v>32.29</v>
      </c>
      <c r="AK4063">
        <v>23.8</v>
      </c>
      <c r="AL4063">
        <v>-20.167592099999951</v>
      </c>
      <c r="AM4063">
        <v>-44.907664214502859</v>
      </c>
      <c r="AN4063">
        <v>-20.167592099999951</v>
      </c>
      <c r="AO4063">
        <v>-44.907664214502859</v>
      </c>
      <c r="AP4063">
        <v>-20.167425000000001</v>
      </c>
      <c r="AQ4063">
        <v>-44.907733999999998</v>
      </c>
      <c r="AR4063">
        <v>19.979863459652229</v>
      </c>
      <c r="AS4063" t="s">
        <v>65</v>
      </c>
      <c r="AT4063">
        <v>1</v>
      </c>
      <c r="AU4063" t="s">
        <v>1397</v>
      </c>
      <c r="AV4063" t="s">
        <v>1398</v>
      </c>
      <c r="AW4063" t="s">
        <v>60</v>
      </c>
      <c r="AX4063" t="s">
        <v>68</v>
      </c>
      <c r="AY4063" t="s">
        <v>69</v>
      </c>
      <c r="AZ4063" t="b">
        <v>1</v>
      </c>
    </row>
    <row r="4064" spans="1:52" x14ac:dyDescent="0.3">
      <c r="A4064" t="s">
        <v>52</v>
      </c>
      <c r="B4064" t="s">
        <v>53</v>
      </c>
      <c r="C4064" t="s">
        <v>54</v>
      </c>
      <c r="D4064" t="s">
        <v>55</v>
      </c>
      <c r="E4064" t="s">
        <v>2206</v>
      </c>
      <c r="F4064" t="s">
        <v>1247</v>
      </c>
      <c r="G4064" t="s">
        <v>516</v>
      </c>
      <c r="H4064" t="s">
        <v>517</v>
      </c>
      <c r="I4064" t="s">
        <v>517</v>
      </c>
      <c r="J4064" t="s">
        <v>60</v>
      </c>
      <c r="K4064" t="s">
        <v>518</v>
      </c>
      <c r="L4064" t="s">
        <v>62</v>
      </c>
      <c r="M4064" t="s">
        <v>518</v>
      </c>
      <c r="N4064" t="s">
        <v>519</v>
      </c>
      <c r="O4064" t="s">
        <v>520</v>
      </c>
      <c r="P4064">
        <v>-20.124502</v>
      </c>
      <c r="Q4064">
        <v>-44.888424000000001</v>
      </c>
      <c r="R4064" s="2" t="str">
        <f>HYPERLINK("https://www.google.com/maps?q=-20.1245020,-44.8884240","Abrir no Google Maps")</f>
        <v>Abrir no Google Maps</v>
      </c>
      <c r="S4064">
        <v>3</v>
      </c>
      <c r="T4064">
        <v>483.42298121929559</v>
      </c>
      <c r="U4064">
        <v>1</v>
      </c>
      <c r="V4064">
        <v>0.28263370837984308</v>
      </c>
      <c r="W4064">
        <v>1</v>
      </c>
      <c r="X4064">
        <v>0.28263370837984308</v>
      </c>
      <c r="Y4064">
        <v>564</v>
      </c>
      <c r="Z4064">
        <v>565.43074237076587</v>
      </c>
      <c r="AA4064">
        <v>198</v>
      </c>
      <c r="AB4064">
        <v>332</v>
      </c>
      <c r="AC4064">
        <v>536</v>
      </c>
      <c r="AD4064">
        <v>33.19</v>
      </c>
      <c r="AE4064">
        <v>542</v>
      </c>
      <c r="AF4064">
        <v>41</v>
      </c>
      <c r="AG4064">
        <v>175</v>
      </c>
      <c r="AH4064">
        <v>129</v>
      </c>
      <c r="AI4064">
        <v>7.56</v>
      </c>
      <c r="AJ4064">
        <v>32.29</v>
      </c>
      <c r="AK4064">
        <v>23.8</v>
      </c>
      <c r="AL4064">
        <v>-20.124624949999941</v>
      </c>
      <c r="AM4064">
        <v>-44.888432821777258</v>
      </c>
      <c r="AN4064">
        <v>-20.124624949999941</v>
      </c>
      <c r="AO4064">
        <v>-44.888432821777258</v>
      </c>
      <c r="AP4064">
        <v>-20.124502</v>
      </c>
      <c r="AQ4064">
        <v>-44.888424000000001</v>
      </c>
      <c r="AR4064">
        <v>13.717819333897451</v>
      </c>
      <c r="AS4064" t="s">
        <v>65</v>
      </c>
      <c r="AT4064">
        <v>1</v>
      </c>
      <c r="AU4064" t="s">
        <v>521</v>
      </c>
      <c r="AV4064" t="s">
        <v>522</v>
      </c>
      <c r="AW4064" t="s">
        <v>60</v>
      </c>
      <c r="AX4064" t="s">
        <v>68</v>
      </c>
      <c r="AY4064" t="s">
        <v>69</v>
      </c>
      <c r="AZ4064" t="b">
        <v>1</v>
      </c>
    </row>
    <row r="4065" spans="1:52" x14ac:dyDescent="0.3">
      <c r="A4065" t="s">
        <v>52</v>
      </c>
      <c r="B4065" t="s">
        <v>53</v>
      </c>
      <c r="C4065" t="s">
        <v>54</v>
      </c>
      <c r="D4065" t="s">
        <v>55</v>
      </c>
      <c r="E4065" t="s">
        <v>2206</v>
      </c>
      <c r="F4065" t="s">
        <v>1247</v>
      </c>
      <c r="G4065" t="s">
        <v>815</v>
      </c>
      <c r="H4065" t="s">
        <v>1404</v>
      </c>
      <c r="I4065" t="s">
        <v>1404</v>
      </c>
      <c r="J4065" t="s">
        <v>60</v>
      </c>
      <c r="K4065" t="s">
        <v>512</v>
      </c>
      <c r="L4065" t="s">
        <v>62</v>
      </c>
      <c r="M4065" t="s">
        <v>512</v>
      </c>
      <c r="N4065" t="s">
        <v>817</v>
      </c>
      <c r="O4065" t="s">
        <v>1405</v>
      </c>
      <c r="P4065">
        <v>-20.129069999999999</v>
      </c>
      <c r="Q4065">
        <v>-44.888452000000001</v>
      </c>
      <c r="R4065" s="2" t="str">
        <f>HYPERLINK("https://www.google.com/maps?q=-20.1290700,-44.8884520","Abrir no Google Maps")</f>
        <v>Abrir no Google Maps</v>
      </c>
      <c r="S4065">
        <v>3</v>
      </c>
      <c r="T4065">
        <v>0</v>
      </c>
      <c r="U4065">
        <v>1</v>
      </c>
      <c r="V4065">
        <v>0.32916792437258841</v>
      </c>
      <c r="W4065">
        <v>0.85</v>
      </c>
      <c r="X4065">
        <v>0.27979273571670021</v>
      </c>
      <c r="Y4065">
        <v>564</v>
      </c>
      <c r="Z4065">
        <v>95.870354837220688</v>
      </c>
      <c r="AA4065">
        <v>198</v>
      </c>
      <c r="AB4065">
        <v>332</v>
      </c>
      <c r="AC4065">
        <v>536</v>
      </c>
      <c r="AD4065">
        <v>33.19</v>
      </c>
      <c r="AE4065">
        <v>542</v>
      </c>
      <c r="AF4065">
        <v>41</v>
      </c>
      <c r="AG4065">
        <v>175</v>
      </c>
      <c r="AH4065">
        <v>129</v>
      </c>
      <c r="AI4065">
        <v>7.56</v>
      </c>
      <c r="AJ4065">
        <v>32.29</v>
      </c>
      <c r="AK4065">
        <v>23.8</v>
      </c>
      <c r="AL4065">
        <v>-20.12899334999997</v>
      </c>
      <c r="AM4065">
        <v>-44.888406102471222</v>
      </c>
      <c r="AN4065">
        <v>-20.12899334999997</v>
      </c>
      <c r="AO4065">
        <v>-44.888406102471222</v>
      </c>
      <c r="AP4065">
        <v>-20.129069999999999</v>
      </c>
      <c r="AQ4065">
        <v>-44.888452000000001</v>
      </c>
      <c r="AR4065">
        <v>9.7887731150376265</v>
      </c>
      <c r="AS4065" t="s">
        <v>65</v>
      </c>
      <c r="AT4065">
        <v>1</v>
      </c>
      <c r="AU4065" t="s">
        <v>1406</v>
      </c>
      <c r="AV4065" t="s">
        <v>1407</v>
      </c>
      <c r="AW4065" t="s">
        <v>60</v>
      </c>
      <c r="AX4065" t="s">
        <v>68</v>
      </c>
      <c r="AY4065" t="s">
        <v>69</v>
      </c>
      <c r="AZ4065" t="b">
        <v>1</v>
      </c>
    </row>
    <row r="4066" spans="1:52" x14ac:dyDescent="0.3">
      <c r="A4066" t="s">
        <v>52</v>
      </c>
      <c r="B4066" t="s">
        <v>53</v>
      </c>
      <c r="C4066" t="s">
        <v>54</v>
      </c>
      <c r="D4066" t="s">
        <v>55</v>
      </c>
      <c r="E4066" t="s">
        <v>2206</v>
      </c>
      <c r="F4066" t="s">
        <v>1247</v>
      </c>
      <c r="G4066" t="s">
        <v>649</v>
      </c>
      <c r="H4066" t="s">
        <v>885</v>
      </c>
      <c r="I4066" t="s">
        <v>885</v>
      </c>
      <c r="J4066" t="s">
        <v>60</v>
      </c>
      <c r="K4066" t="s">
        <v>886</v>
      </c>
      <c r="L4066" t="s">
        <v>62</v>
      </c>
      <c r="M4066" t="s">
        <v>886</v>
      </c>
      <c r="N4066" t="s">
        <v>652</v>
      </c>
      <c r="O4066" t="s">
        <v>887</v>
      </c>
      <c r="P4066">
        <v>-20.132252000000001</v>
      </c>
      <c r="Q4066">
        <v>-44.894159000000002</v>
      </c>
      <c r="R4066" s="2" t="str">
        <f>HYPERLINK("https://www.google.com/maps?q=-20.1322520,-44.8941590","Abrir no Google Maps")</f>
        <v>Abrir no Google Maps</v>
      </c>
      <c r="S4066">
        <v>3</v>
      </c>
      <c r="T4066">
        <v>699.5004749448899</v>
      </c>
      <c r="U4066">
        <v>1</v>
      </c>
      <c r="V4066">
        <v>0.30433360908685309</v>
      </c>
      <c r="W4066">
        <v>0.85</v>
      </c>
      <c r="X4066">
        <v>0.25868356772382511</v>
      </c>
      <c r="Y4066">
        <v>564</v>
      </c>
      <c r="Z4066">
        <v>522.21103586457991</v>
      </c>
      <c r="AA4066">
        <v>198</v>
      </c>
      <c r="AB4066">
        <v>332</v>
      </c>
      <c r="AC4066">
        <v>536</v>
      </c>
      <c r="AD4066">
        <v>33.19</v>
      </c>
      <c r="AE4066">
        <v>542</v>
      </c>
      <c r="AF4066">
        <v>41</v>
      </c>
      <c r="AG4066">
        <v>175</v>
      </c>
      <c r="AH4066">
        <v>129</v>
      </c>
      <c r="AI4066">
        <v>7.56</v>
      </c>
      <c r="AJ4066">
        <v>32.29</v>
      </c>
      <c r="AK4066">
        <v>23.8</v>
      </c>
      <c r="AL4066">
        <v>-20.132285999999969</v>
      </c>
      <c r="AM4066">
        <v>-44.894119001288672</v>
      </c>
      <c r="AN4066">
        <v>-20.132285999999969</v>
      </c>
      <c r="AO4066">
        <v>-44.894119001288672</v>
      </c>
      <c r="AP4066">
        <v>-20.132252000000001</v>
      </c>
      <c r="AQ4066">
        <v>-44.894159000000002</v>
      </c>
      <c r="AR4066">
        <v>5.6393921063261629</v>
      </c>
      <c r="AS4066" t="s">
        <v>65</v>
      </c>
      <c r="AT4066">
        <v>1</v>
      </c>
      <c r="AU4066" t="s">
        <v>888</v>
      </c>
      <c r="AV4066" t="s">
        <v>889</v>
      </c>
      <c r="AW4066" t="s">
        <v>60</v>
      </c>
      <c r="AX4066" t="s">
        <v>68</v>
      </c>
      <c r="AY4066" t="s">
        <v>69</v>
      </c>
      <c r="AZ4066" t="b">
        <v>1</v>
      </c>
    </row>
    <row r="4067" spans="1:52" x14ac:dyDescent="0.3">
      <c r="A4067" t="s">
        <v>52</v>
      </c>
      <c r="B4067" t="s">
        <v>53</v>
      </c>
      <c r="C4067" t="s">
        <v>54</v>
      </c>
      <c r="D4067" t="s">
        <v>55</v>
      </c>
      <c r="E4067" t="s">
        <v>2206</v>
      </c>
      <c r="F4067" t="s">
        <v>1247</v>
      </c>
      <c r="G4067" t="s">
        <v>1408</v>
      </c>
      <c r="H4067" t="s">
        <v>1409</v>
      </c>
      <c r="I4067" t="s">
        <v>1409</v>
      </c>
      <c r="J4067" t="s">
        <v>60</v>
      </c>
      <c r="K4067" t="s">
        <v>200</v>
      </c>
      <c r="L4067" t="s">
        <v>62</v>
      </c>
      <c r="M4067" t="s">
        <v>200</v>
      </c>
      <c r="N4067" t="s">
        <v>1410</v>
      </c>
      <c r="O4067" t="s">
        <v>1001</v>
      </c>
      <c r="P4067">
        <v>-20.126062999999998</v>
      </c>
      <c r="Q4067">
        <v>-44.894936999999999</v>
      </c>
      <c r="R4067" s="2" t="str">
        <f>HYPERLINK("https://www.google.com/maps?q=-20.1260630,-44.8949370","Abrir no Google Maps")</f>
        <v>Abrir no Google Maps</v>
      </c>
      <c r="S4067">
        <v>3</v>
      </c>
      <c r="T4067">
        <v>747.3122077966558</v>
      </c>
      <c r="U4067">
        <v>1</v>
      </c>
      <c r="V4067">
        <v>0.3255499371229269</v>
      </c>
      <c r="W4067">
        <v>0.85</v>
      </c>
      <c r="X4067">
        <v>0.27671744655448788</v>
      </c>
      <c r="Y4067">
        <v>564</v>
      </c>
      <c r="Z4067">
        <v>693.80888866206885</v>
      </c>
      <c r="AA4067">
        <v>198</v>
      </c>
      <c r="AB4067">
        <v>332</v>
      </c>
      <c r="AC4067">
        <v>536</v>
      </c>
      <c r="AD4067">
        <v>33.19</v>
      </c>
      <c r="AE4067">
        <v>542</v>
      </c>
      <c r="AF4067">
        <v>41</v>
      </c>
      <c r="AG4067">
        <v>175</v>
      </c>
      <c r="AH4067">
        <v>129</v>
      </c>
      <c r="AI4067">
        <v>7.56</v>
      </c>
      <c r="AJ4067">
        <v>32.29</v>
      </c>
      <c r="AK4067">
        <v>23.8</v>
      </c>
      <c r="AL4067">
        <v>-20.126099149999959</v>
      </c>
      <c r="AM4067">
        <v>-44.894866076436763</v>
      </c>
      <c r="AN4067">
        <v>-20.126099149999959</v>
      </c>
      <c r="AO4067">
        <v>-44.894866076436749</v>
      </c>
      <c r="AP4067">
        <v>-20.126062999999998</v>
      </c>
      <c r="AQ4067">
        <v>-44.894936999999999</v>
      </c>
      <c r="AR4067">
        <v>8.4349593682699737</v>
      </c>
      <c r="AS4067" t="s">
        <v>65</v>
      </c>
      <c r="AT4067">
        <v>1</v>
      </c>
      <c r="AU4067" t="s">
        <v>1411</v>
      </c>
      <c r="AV4067" t="s">
        <v>1003</v>
      </c>
      <c r="AW4067" t="s">
        <v>60</v>
      </c>
      <c r="AX4067" t="s">
        <v>68</v>
      </c>
      <c r="AY4067" t="s">
        <v>69</v>
      </c>
      <c r="AZ4067" t="b">
        <v>1</v>
      </c>
    </row>
    <row r="4068" spans="1:52" x14ac:dyDescent="0.3">
      <c r="A4068" t="s">
        <v>52</v>
      </c>
      <c r="B4068" t="s">
        <v>53</v>
      </c>
      <c r="C4068" t="s">
        <v>54</v>
      </c>
      <c r="D4068" t="s">
        <v>55</v>
      </c>
      <c r="E4068" t="s">
        <v>2206</v>
      </c>
      <c r="F4068" t="s">
        <v>1247</v>
      </c>
      <c r="G4068" t="s">
        <v>528</v>
      </c>
      <c r="H4068" t="s">
        <v>529</v>
      </c>
      <c r="I4068" t="s">
        <v>529</v>
      </c>
      <c r="J4068" t="s">
        <v>60</v>
      </c>
      <c r="K4068" t="s">
        <v>530</v>
      </c>
      <c r="L4068" t="s">
        <v>62</v>
      </c>
      <c r="M4068" t="s">
        <v>530</v>
      </c>
      <c r="N4068" t="s">
        <v>531</v>
      </c>
      <c r="O4068" t="s">
        <v>532</v>
      </c>
      <c r="P4068">
        <v>-20.142457</v>
      </c>
      <c r="Q4068">
        <v>-44.891688000000002</v>
      </c>
      <c r="R4068" s="2" t="str">
        <f>HYPERLINK("https://www.google.com/maps?q=-20.1424570,-44.8916880","Abrir no Google Maps")</f>
        <v>Abrir no Google Maps</v>
      </c>
      <c r="S4068">
        <v>3</v>
      </c>
      <c r="T4068">
        <v>0</v>
      </c>
      <c r="U4068">
        <v>1</v>
      </c>
      <c r="V4068">
        <v>0.19883376854346599</v>
      </c>
      <c r="W4068">
        <v>1</v>
      </c>
      <c r="X4068">
        <v>0.19883376854346599</v>
      </c>
      <c r="Y4068">
        <v>557</v>
      </c>
      <c r="Z4068">
        <v>42.611952255679803</v>
      </c>
      <c r="AA4068">
        <v>198</v>
      </c>
      <c r="AB4068">
        <v>332</v>
      </c>
      <c r="AC4068">
        <v>536</v>
      </c>
      <c r="AD4068">
        <v>33.19</v>
      </c>
      <c r="AE4068">
        <v>542</v>
      </c>
      <c r="AF4068">
        <v>41</v>
      </c>
      <c r="AG4068">
        <v>175</v>
      </c>
      <c r="AH4068">
        <v>129</v>
      </c>
      <c r="AI4068">
        <v>7.56</v>
      </c>
      <c r="AJ4068">
        <v>32.29</v>
      </c>
      <c r="AK4068">
        <v>23.8</v>
      </c>
      <c r="AL4068">
        <v>-20.142523099999948</v>
      </c>
      <c r="AM4068">
        <v>-44.891523817588819</v>
      </c>
      <c r="AN4068">
        <v>-20.142523099999948</v>
      </c>
      <c r="AO4068">
        <v>-44.891523817588819</v>
      </c>
      <c r="AP4068">
        <v>-20.142457</v>
      </c>
      <c r="AQ4068">
        <v>-44.891688000000002</v>
      </c>
      <c r="AR4068">
        <v>18.670129248632971</v>
      </c>
      <c r="AS4068" t="s">
        <v>65</v>
      </c>
      <c r="AT4068">
        <v>1</v>
      </c>
      <c r="AU4068" t="s">
        <v>533</v>
      </c>
      <c r="AV4068" t="s">
        <v>534</v>
      </c>
      <c r="AW4068" t="s">
        <v>60</v>
      </c>
      <c r="AX4068" t="s">
        <v>68</v>
      </c>
      <c r="AY4068" t="s">
        <v>69</v>
      </c>
      <c r="AZ4068" t="b">
        <v>1</v>
      </c>
    </row>
    <row r="4069" spans="1:52" x14ac:dyDescent="0.3">
      <c r="A4069" t="s">
        <v>52</v>
      </c>
      <c r="B4069" t="s">
        <v>53</v>
      </c>
      <c r="C4069" t="s">
        <v>54</v>
      </c>
      <c r="D4069" t="s">
        <v>55</v>
      </c>
      <c r="E4069" t="s">
        <v>2206</v>
      </c>
      <c r="F4069" t="s">
        <v>1247</v>
      </c>
      <c r="G4069" t="s">
        <v>535</v>
      </c>
      <c r="H4069" t="s">
        <v>536</v>
      </c>
      <c r="I4069" t="s">
        <v>536</v>
      </c>
      <c r="J4069" t="s">
        <v>60</v>
      </c>
      <c r="K4069" t="s">
        <v>388</v>
      </c>
      <c r="L4069" t="s">
        <v>62</v>
      </c>
      <c r="M4069" t="s">
        <v>388</v>
      </c>
      <c r="N4069" t="s">
        <v>537</v>
      </c>
      <c r="O4069" t="s">
        <v>538</v>
      </c>
      <c r="P4069">
        <v>-20.150061999999998</v>
      </c>
      <c r="Q4069">
        <v>-44.903379000000001</v>
      </c>
      <c r="R4069" s="2" t="str">
        <f>HYPERLINK("https://www.google.com/maps?q=-20.1500620,-44.9033790","Abrir no Google Maps")</f>
        <v>Abrir no Google Maps</v>
      </c>
      <c r="S4069">
        <v>3</v>
      </c>
      <c r="T4069">
        <v>286.20313674219977</v>
      </c>
      <c r="U4069">
        <v>1</v>
      </c>
      <c r="V4069">
        <v>0.28453106909758641</v>
      </c>
      <c r="W4069">
        <v>1</v>
      </c>
      <c r="X4069">
        <v>0.28453106909758641</v>
      </c>
      <c r="Y4069">
        <v>556</v>
      </c>
      <c r="Z4069">
        <v>315.81851898667401</v>
      </c>
      <c r="AA4069">
        <v>198</v>
      </c>
      <c r="AB4069">
        <v>332</v>
      </c>
      <c r="AC4069">
        <v>536</v>
      </c>
      <c r="AD4069">
        <v>33.19</v>
      </c>
      <c r="AE4069">
        <v>542</v>
      </c>
      <c r="AF4069">
        <v>41</v>
      </c>
      <c r="AG4069">
        <v>175</v>
      </c>
      <c r="AH4069">
        <v>129</v>
      </c>
      <c r="AI4069">
        <v>7.56</v>
      </c>
      <c r="AJ4069">
        <v>32.29</v>
      </c>
      <c r="AK4069">
        <v>23.8</v>
      </c>
      <c r="AL4069">
        <v>-20.150084299999971</v>
      </c>
      <c r="AM4069">
        <v>-44.903278407568479</v>
      </c>
      <c r="AN4069">
        <v>-20.150084299999971</v>
      </c>
      <c r="AO4069">
        <v>-44.903278407568479</v>
      </c>
      <c r="AP4069">
        <v>-20.150061999999998</v>
      </c>
      <c r="AQ4069">
        <v>-44.903379000000001</v>
      </c>
      <c r="AR4069">
        <v>10.801687336134639</v>
      </c>
      <c r="AS4069" t="s">
        <v>65</v>
      </c>
      <c r="AT4069">
        <v>1</v>
      </c>
      <c r="AU4069" t="s">
        <v>539</v>
      </c>
      <c r="AV4069" t="s">
        <v>540</v>
      </c>
      <c r="AW4069" t="s">
        <v>60</v>
      </c>
      <c r="AX4069" t="s">
        <v>68</v>
      </c>
      <c r="AY4069" t="s">
        <v>69</v>
      </c>
      <c r="AZ4069" t="b">
        <v>1</v>
      </c>
    </row>
    <row r="4070" spans="1:52" x14ac:dyDescent="0.3">
      <c r="A4070" t="s">
        <v>52</v>
      </c>
      <c r="B4070" t="s">
        <v>53</v>
      </c>
      <c r="C4070" t="s">
        <v>54</v>
      </c>
      <c r="D4070" t="s">
        <v>55</v>
      </c>
      <c r="E4070" t="s">
        <v>2206</v>
      </c>
      <c r="F4070" t="s">
        <v>1247</v>
      </c>
      <c r="G4070" t="s">
        <v>568</v>
      </c>
      <c r="H4070" t="s">
        <v>569</v>
      </c>
      <c r="I4070" t="s">
        <v>569</v>
      </c>
      <c r="J4070" t="s">
        <v>60</v>
      </c>
      <c r="K4070" t="s">
        <v>61</v>
      </c>
      <c r="L4070" t="s">
        <v>62</v>
      </c>
      <c r="M4070" t="s">
        <v>61</v>
      </c>
      <c r="N4070" t="s">
        <v>570</v>
      </c>
      <c r="O4070" t="s">
        <v>548</v>
      </c>
      <c r="P4070">
        <v>-20.151508</v>
      </c>
      <c r="Q4070">
        <v>-44.907826</v>
      </c>
      <c r="R4070" s="2" t="str">
        <f>HYPERLINK("https://www.google.com/maps?q=-20.1515080,-44.9078260","Abrir no Google Maps")</f>
        <v>Abrir no Google Maps</v>
      </c>
      <c r="S4070">
        <v>3</v>
      </c>
      <c r="T4070">
        <v>567.15905416240514</v>
      </c>
      <c r="U4070">
        <v>1</v>
      </c>
      <c r="V4070">
        <v>0.2631132877597524</v>
      </c>
      <c r="W4070">
        <v>0.85</v>
      </c>
      <c r="X4070">
        <v>0.2236462945957895</v>
      </c>
      <c r="Y4070">
        <v>548</v>
      </c>
      <c r="Z4070">
        <v>560.49158010771464</v>
      </c>
      <c r="AA4070">
        <v>198</v>
      </c>
      <c r="AB4070">
        <v>332</v>
      </c>
      <c r="AC4070">
        <v>536</v>
      </c>
      <c r="AD4070">
        <v>33.19</v>
      </c>
      <c r="AE4070">
        <v>542</v>
      </c>
      <c r="AF4070">
        <v>41</v>
      </c>
      <c r="AG4070">
        <v>175</v>
      </c>
      <c r="AH4070">
        <v>129</v>
      </c>
      <c r="AI4070">
        <v>7.56</v>
      </c>
      <c r="AJ4070">
        <v>32.29</v>
      </c>
      <c r="AK4070">
        <v>23.8</v>
      </c>
      <c r="AL4070">
        <v>-20.15211779999996</v>
      </c>
      <c r="AM4070">
        <v>-44.907597469593128</v>
      </c>
      <c r="AN4070">
        <v>-20.15211779999996</v>
      </c>
      <c r="AO4070">
        <v>-44.907597469593128</v>
      </c>
      <c r="AP4070">
        <v>-20.151508</v>
      </c>
      <c r="AQ4070">
        <v>-44.907826</v>
      </c>
      <c r="AR4070">
        <v>71.961597929314735</v>
      </c>
      <c r="AS4070" t="s">
        <v>65</v>
      </c>
      <c r="AT4070">
        <v>1</v>
      </c>
      <c r="AU4070" t="s">
        <v>571</v>
      </c>
      <c r="AV4070" t="s">
        <v>572</v>
      </c>
      <c r="AW4070" t="s">
        <v>60</v>
      </c>
      <c r="AX4070" t="s">
        <v>68</v>
      </c>
      <c r="AY4070" t="s">
        <v>69</v>
      </c>
      <c r="AZ4070" t="b">
        <v>1</v>
      </c>
    </row>
    <row r="4071" spans="1:52" x14ac:dyDescent="0.3">
      <c r="A4071" t="s">
        <v>52</v>
      </c>
      <c r="B4071" t="s">
        <v>53</v>
      </c>
      <c r="C4071" t="s">
        <v>54</v>
      </c>
      <c r="D4071" t="s">
        <v>55</v>
      </c>
      <c r="E4071" t="s">
        <v>2206</v>
      </c>
      <c r="F4071" t="s">
        <v>1247</v>
      </c>
      <c r="G4071" t="s">
        <v>1547</v>
      </c>
      <c r="H4071" t="s">
        <v>1548</v>
      </c>
      <c r="I4071" t="s">
        <v>1548</v>
      </c>
      <c r="J4071" t="s">
        <v>60</v>
      </c>
      <c r="K4071" t="s">
        <v>1549</v>
      </c>
      <c r="L4071" t="s">
        <v>62</v>
      </c>
      <c r="M4071" t="s">
        <v>1549</v>
      </c>
      <c r="N4071" t="s">
        <v>1550</v>
      </c>
      <c r="O4071" t="s">
        <v>1551</v>
      </c>
      <c r="P4071">
        <v>-20.173258000000001</v>
      </c>
      <c r="Q4071">
        <v>-44.930354000000001</v>
      </c>
      <c r="R4071" s="2" t="str">
        <f>HYPERLINK("https://www.google.com/maps?q=-20.1732580,-44.9303540","Abrir no Google Maps")</f>
        <v>Abrir no Google Maps</v>
      </c>
      <c r="S4071">
        <v>2</v>
      </c>
      <c r="T4071">
        <v>2023.802197028052</v>
      </c>
      <c r="U4071">
        <v>4</v>
      </c>
      <c r="V4071">
        <v>0.4951418647757031</v>
      </c>
      <c r="W4071">
        <v>0.85</v>
      </c>
      <c r="X4071">
        <v>0.4208705850593476</v>
      </c>
      <c r="Y4071">
        <v>723</v>
      </c>
      <c r="Z4071">
        <v>1727.7445576555911</v>
      </c>
      <c r="AA4071">
        <v>198</v>
      </c>
      <c r="AB4071">
        <v>332</v>
      </c>
      <c r="AC4071">
        <v>536</v>
      </c>
      <c r="AD4071">
        <v>33.19</v>
      </c>
      <c r="AE4071">
        <v>542</v>
      </c>
      <c r="AF4071">
        <v>41</v>
      </c>
      <c r="AG4071">
        <v>175</v>
      </c>
      <c r="AH4071">
        <v>129</v>
      </c>
      <c r="AI4071">
        <v>7.56</v>
      </c>
      <c r="AJ4071">
        <v>32.29</v>
      </c>
      <c r="AK4071">
        <v>23.8</v>
      </c>
      <c r="AL4071">
        <v>-20.172996449999939</v>
      </c>
      <c r="AM4071">
        <v>-44.930058436825973</v>
      </c>
      <c r="AN4071">
        <v>-20.172996449999939</v>
      </c>
      <c r="AO4071">
        <v>-44.930058436825973</v>
      </c>
      <c r="AP4071">
        <v>-20.173258000000001</v>
      </c>
      <c r="AQ4071">
        <v>-44.930354000000001</v>
      </c>
      <c r="AR4071">
        <v>42.444455141884362</v>
      </c>
      <c r="AS4071" t="s">
        <v>65</v>
      </c>
      <c r="AT4071">
        <v>1</v>
      </c>
      <c r="AU4071" t="s">
        <v>1552</v>
      </c>
      <c r="AV4071" t="s">
        <v>1553</v>
      </c>
      <c r="AW4071" t="s">
        <v>60</v>
      </c>
      <c r="AX4071" t="s">
        <v>68</v>
      </c>
      <c r="AY4071" t="s">
        <v>69</v>
      </c>
      <c r="AZ4071" t="b">
        <v>1</v>
      </c>
    </row>
    <row r="4072" spans="1:52" x14ac:dyDescent="0.3">
      <c r="A4072" t="s">
        <v>52</v>
      </c>
      <c r="B4072" t="s">
        <v>53</v>
      </c>
      <c r="C4072" t="s">
        <v>54</v>
      </c>
      <c r="D4072" t="s">
        <v>55</v>
      </c>
      <c r="E4072" t="s">
        <v>2206</v>
      </c>
      <c r="F4072" t="s">
        <v>1247</v>
      </c>
      <c r="G4072" t="s">
        <v>1490</v>
      </c>
      <c r="H4072" t="s">
        <v>1491</v>
      </c>
      <c r="I4072" t="s">
        <v>1491</v>
      </c>
      <c r="J4072" t="s">
        <v>60</v>
      </c>
      <c r="K4072" t="s">
        <v>336</v>
      </c>
      <c r="L4072" t="s">
        <v>62</v>
      </c>
      <c r="M4072" t="s">
        <v>336</v>
      </c>
      <c r="N4072" t="s">
        <v>1492</v>
      </c>
      <c r="O4072" t="s">
        <v>842</v>
      </c>
      <c r="P4072">
        <v>-20.164228999999999</v>
      </c>
      <c r="Q4072">
        <v>-44.876455999999997</v>
      </c>
      <c r="R4072" s="2" t="str">
        <f>HYPERLINK("https://www.google.com/maps?q=-20.1642290,-44.8764560","Abrir no Google Maps")</f>
        <v>Abrir no Google Maps</v>
      </c>
      <c r="S4072">
        <v>2</v>
      </c>
      <c r="T4072">
        <v>420.00990411628987</v>
      </c>
      <c r="U4072">
        <v>4</v>
      </c>
      <c r="V4072">
        <v>0.43680398866128439</v>
      </c>
      <c r="W4072">
        <v>1</v>
      </c>
      <c r="X4072">
        <v>0.43680398866128439</v>
      </c>
      <c r="Y4072">
        <v>671</v>
      </c>
      <c r="Z4072">
        <v>375.90194920648611</v>
      </c>
      <c r="AA4072">
        <v>198</v>
      </c>
      <c r="AB4072">
        <v>332</v>
      </c>
      <c r="AC4072">
        <v>536</v>
      </c>
      <c r="AD4072">
        <v>33.19</v>
      </c>
      <c r="AE4072">
        <v>542</v>
      </c>
      <c r="AF4072">
        <v>41</v>
      </c>
      <c r="AG4072">
        <v>175</v>
      </c>
      <c r="AH4072">
        <v>129</v>
      </c>
      <c r="AI4072">
        <v>7.56</v>
      </c>
      <c r="AJ4072">
        <v>32.29</v>
      </c>
      <c r="AK4072">
        <v>23.8</v>
      </c>
      <c r="AL4072">
        <v>-20.164255749999938</v>
      </c>
      <c r="AM4072">
        <v>-44.876471676086922</v>
      </c>
      <c r="AN4072">
        <v>-20.164255749999938</v>
      </c>
      <c r="AO4072">
        <v>-44.876471676086922</v>
      </c>
      <c r="AP4072">
        <v>-20.164228999999999</v>
      </c>
      <c r="AQ4072">
        <v>-44.876455999999997</v>
      </c>
      <c r="AR4072">
        <v>3.3986375813953771</v>
      </c>
      <c r="AS4072" t="s">
        <v>65</v>
      </c>
      <c r="AT4072">
        <v>1</v>
      </c>
      <c r="AU4072" t="s">
        <v>1493</v>
      </c>
      <c r="AV4072" t="s">
        <v>1494</v>
      </c>
      <c r="AW4072" t="s">
        <v>60</v>
      </c>
      <c r="AX4072" t="s">
        <v>68</v>
      </c>
      <c r="AY4072" t="s">
        <v>69</v>
      </c>
      <c r="AZ4072" t="b">
        <v>1</v>
      </c>
    </row>
    <row r="4073" spans="1:52" x14ac:dyDescent="0.3">
      <c r="A4073" t="s">
        <v>52</v>
      </c>
      <c r="B4073" t="s">
        <v>53</v>
      </c>
      <c r="C4073" t="s">
        <v>54</v>
      </c>
      <c r="D4073" t="s">
        <v>55</v>
      </c>
      <c r="E4073" t="s">
        <v>2206</v>
      </c>
      <c r="F4073" t="s">
        <v>1247</v>
      </c>
      <c r="G4073" t="s">
        <v>1495</v>
      </c>
      <c r="H4073" t="s">
        <v>1496</v>
      </c>
      <c r="I4073" t="s">
        <v>1496</v>
      </c>
      <c r="J4073" t="s">
        <v>60</v>
      </c>
      <c r="K4073" t="s">
        <v>1466</v>
      </c>
      <c r="L4073" t="s">
        <v>62</v>
      </c>
      <c r="M4073" t="s">
        <v>1466</v>
      </c>
      <c r="N4073" t="s">
        <v>1497</v>
      </c>
      <c r="O4073" t="s">
        <v>1498</v>
      </c>
      <c r="P4073">
        <v>-20.163160999999999</v>
      </c>
      <c r="Q4073">
        <v>-44.880460999999997</v>
      </c>
      <c r="R4073" s="2" t="str">
        <f>HYPERLINK("https://www.google.com/maps?q=-20.1631610,-44.8804610","Abrir no Google Maps")</f>
        <v>Abrir no Google Maps</v>
      </c>
      <c r="S4073">
        <v>2</v>
      </c>
      <c r="T4073">
        <v>372.63783804650222</v>
      </c>
      <c r="U4073">
        <v>4</v>
      </c>
      <c r="V4073">
        <v>0.42017080853744387</v>
      </c>
      <c r="W4073">
        <v>1</v>
      </c>
      <c r="X4073">
        <v>0.42017080853744387</v>
      </c>
      <c r="Y4073">
        <v>671</v>
      </c>
      <c r="Z4073">
        <v>250.43144487082299</v>
      </c>
      <c r="AA4073">
        <v>198</v>
      </c>
      <c r="AB4073">
        <v>332</v>
      </c>
      <c r="AC4073">
        <v>536</v>
      </c>
      <c r="AD4073">
        <v>33.19</v>
      </c>
      <c r="AE4073">
        <v>542</v>
      </c>
      <c r="AF4073">
        <v>41</v>
      </c>
      <c r="AG4073">
        <v>175</v>
      </c>
      <c r="AH4073">
        <v>129</v>
      </c>
      <c r="AI4073">
        <v>7.56</v>
      </c>
      <c r="AJ4073">
        <v>32.29</v>
      </c>
      <c r="AK4073">
        <v>23.8</v>
      </c>
      <c r="AL4073">
        <v>-20.163296749999969</v>
      </c>
      <c r="AM4073">
        <v>-44.88037544059182</v>
      </c>
      <c r="AN4073">
        <v>-20.163296749999969</v>
      </c>
      <c r="AO4073">
        <v>-44.88037544059182</v>
      </c>
      <c r="AP4073">
        <v>-20.163160999999999</v>
      </c>
      <c r="AQ4073">
        <v>-44.880460999999997</v>
      </c>
      <c r="AR4073">
        <v>17.558482416121191</v>
      </c>
      <c r="AS4073" t="s">
        <v>65</v>
      </c>
      <c r="AT4073">
        <v>1</v>
      </c>
      <c r="AU4073" t="s">
        <v>1499</v>
      </c>
      <c r="AV4073" t="s">
        <v>1500</v>
      </c>
      <c r="AW4073" t="s">
        <v>60</v>
      </c>
      <c r="AX4073" t="s">
        <v>68</v>
      </c>
      <c r="AY4073" t="s">
        <v>69</v>
      </c>
      <c r="AZ4073" t="b">
        <v>1</v>
      </c>
    </row>
    <row r="4074" spans="1:52" x14ac:dyDescent="0.3">
      <c r="A4074" t="s">
        <v>52</v>
      </c>
      <c r="B4074" t="s">
        <v>53</v>
      </c>
      <c r="C4074" t="s">
        <v>54</v>
      </c>
      <c r="D4074" t="s">
        <v>55</v>
      </c>
      <c r="E4074" t="s">
        <v>2206</v>
      </c>
      <c r="F4074" t="s">
        <v>1247</v>
      </c>
      <c r="G4074" t="s">
        <v>1512</v>
      </c>
      <c r="H4074" t="s">
        <v>1513</v>
      </c>
      <c r="I4074" t="s">
        <v>1513</v>
      </c>
      <c r="J4074" t="s">
        <v>60</v>
      </c>
      <c r="K4074" t="s">
        <v>1302</v>
      </c>
      <c r="L4074" t="s">
        <v>62</v>
      </c>
      <c r="M4074" t="s">
        <v>1302</v>
      </c>
      <c r="N4074" t="s">
        <v>1514</v>
      </c>
      <c r="O4074" t="s">
        <v>1515</v>
      </c>
      <c r="P4074">
        <v>-20.163709000000001</v>
      </c>
      <c r="Q4074">
        <v>-44.916074999999999</v>
      </c>
      <c r="R4074" s="2" t="str">
        <f>HYPERLINK("https://www.google.com/maps?q=-20.1637090,-44.9160750","Abrir no Google Maps")</f>
        <v>Abrir no Google Maps</v>
      </c>
      <c r="S4074">
        <v>2</v>
      </c>
      <c r="T4074">
        <v>305.09593452131332</v>
      </c>
      <c r="U4074">
        <v>4</v>
      </c>
      <c r="V4074">
        <v>0.4165470340290679</v>
      </c>
      <c r="W4074">
        <v>1</v>
      </c>
      <c r="X4074">
        <v>0.4165470340290679</v>
      </c>
      <c r="Y4074">
        <v>639</v>
      </c>
      <c r="Z4074">
        <v>289.37841230131949</v>
      </c>
      <c r="AA4074">
        <v>198</v>
      </c>
      <c r="AB4074">
        <v>332</v>
      </c>
      <c r="AC4074">
        <v>536</v>
      </c>
      <c r="AD4074">
        <v>33.19</v>
      </c>
      <c r="AE4074">
        <v>542</v>
      </c>
      <c r="AF4074">
        <v>41</v>
      </c>
      <c r="AG4074">
        <v>175</v>
      </c>
      <c r="AH4074">
        <v>129</v>
      </c>
      <c r="AI4074">
        <v>7.56</v>
      </c>
      <c r="AJ4074">
        <v>32.29</v>
      </c>
      <c r="AK4074">
        <v>23.8</v>
      </c>
      <c r="AL4074">
        <v>-20.163666449999969</v>
      </c>
      <c r="AM4074">
        <v>-44.916102906827042</v>
      </c>
      <c r="AN4074">
        <v>-20.163666449999969</v>
      </c>
      <c r="AO4074">
        <v>-44.916102906827042</v>
      </c>
      <c r="AP4074">
        <v>-20.163709000000001</v>
      </c>
      <c r="AQ4074">
        <v>-44.916074999999999</v>
      </c>
      <c r="AR4074">
        <v>5.5623892025550603</v>
      </c>
      <c r="AS4074" t="s">
        <v>65</v>
      </c>
      <c r="AT4074">
        <v>1</v>
      </c>
      <c r="AU4074" t="s">
        <v>1516</v>
      </c>
      <c r="AV4074" t="s">
        <v>1517</v>
      </c>
      <c r="AW4074" t="s">
        <v>60</v>
      </c>
      <c r="AX4074" t="s">
        <v>68</v>
      </c>
      <c r="AY4074" t="s">
        <v>69</v>
      </c>
      <c r="AZ4074" t="b">
        <v>1</v>
      </c>
    </row>
    <row r="4075" spans="1:52" x14ac:dyDescent="0.3">
      <c r="A4075" t="s">
        <v>52</v>
      </c>
      <c r="B4075" t="s">
        <v>53</v>
      </c>
      <c r="C4075" t="s">
        <v>54</v>
      </c>
      <c r="D4075" t="s">
        <v>55</v>
      </c>
      <c r="E4075" t="s">
        <v>2206</v>
      </c>
      <c r="F4075" t="s">
        <v>1247</v>
      </c>
      <c r="G4075" t="s">
        <v>1464</v>
      </c>
      <c r="H4075" t="s">
        <v>1485</v>
      </c>
      <c r="I4075" t="s">
        <v>1485</v>
      </c>
      <c r="J4075" t="s">
        <v>60</v>
      </c>
      <c r="K4075" t="s">
        <v>1486</v>
      </c>
      <c r="L4075" t="s">
        <v>62</v>
      </c>
      <c r="M4075" t="s">
        <v>1486</v>
      </c>
      <c r="N4075" t="s">
        <v>1467</v>
      </c>
      <c r="O4075" t="s">
        <v>1487</v>
      </c>
      <c r="P4075">
        <v>-20.162842000000001</v>
      </c>
      <c r="Q4075">
        <v>-44.883769999999998</v>
      </c>
      <c r="R4075" s="2" t="str">
        <f>HYPERLINK("https://www.google.com/maps?q=-20.1628420,-44.8837700","Abrir no Google Maps")</f>
        <v>Abrir no Google Maps</v>
      </c>
      <c r="S4075">
        <v>2</v>
      </c>
      <c r="T4075">
        <v>659.67909450906006</v>
      </c>
      <c r="U4075">
        <v>3</v>
      </c>
      <c r="V4075">
        <v>0.40682697884458552</v>
      </c>
      <c r="W4075">
        <v>1</v>
      </c>
      <c r="X4075">
        <v>0.40682697884458552</v>
      </c>
      <c r="Y4075">
        <v>671</v>
      </c>
      <c r="Z4075">
        <v>566.23107864368092</v>
      </c>
      <c r="AA4075">
        <v>198</v>
      </c>
      <c r="AB4075">
        <v>332</v>
      </c>
      <c r="AC4075">
        <v>536</v>
      </c>
      <c r="AD4075">
        <v>33.19</v>
      </c>
      <c r="AE4075">
        <v>542</v>
      </c>
      <c r="AF4075">
        <v>41</v>
      </c>
      <c r="AG4075">
        <v>175</v>
      </c>
      <c r="AH4075">
        <v>129</v>
      </c>
      <c r="AI4075">
        <v>7.56</v>
      </c>
      <c r="AJ4075">
        <v>32.29</v>
      </c>
      <c r="AK4075">
        <v>23.8</v>
      </c>
      <c r="AL4075">
        <v>-20.162791299999949</v>
      </c>
      <c r="AM4075">
        <v>-44.883966852092939</v>
      </c>
      <c r="AN4075">
        <v>-20.162791299999949</v>
      </c>
      <c r="AO4075">
        <v>-44.883966852092939</v>
      </c>
      <c r="AP4075">
        <v>-20.162842000000001</v>
      </c>
      <c r="AQ4075">
        <v>-44.883769999999998</v>
      </c>
      <c r="AR4075">
        <v>21.33085532825611</v>
      </c>
      <c r="AS4075" t="s">
        <v>65</v>
      </c>
      <c r="AT4075">
        <v>1</v>
      </c>
      <c r="AU4075" t="s">
        <v>1488</v>
      </c>
      <c r="AV4075" t="s">
        <v>1489</v>
      </c>
      <c r="AW4075" t="s">
        <v>60</v>
      </c>
      <c r="AX4075" t="s">
        <v>68</v>
      </c>
      <c r="AY4075" t="s">
        <v>69</v>
      </c>
      <c r="AZ4075" t="b">
        <v>1</v>
      </c>
    </row>
    <row r="4076" spans="1:52" x14ac:dyDescent="0.3">
      <c r="A4076" t="s">
        <v>52</v>
      </c>
      <c r="B4076" t="s">
        <v>53</v>
      </c>
      <c r="C4076" t="s">
        <v>54</v>
      </c>
      <c r="D4076" t="s">
        <v>55</v>
      </c>
      <c r="E4076" t="s">
        <v>2206</v>
      </c>
      <c r="F4076" t="s">
        <v>1247</v>
      </c>
      <c r="G4076" t="s">
        <v>1501</v>
      </c>
      <c r="H4076" t="s">
        <v>1502</v>
      </c>
      <c r="I4076" t="s">
        <v>1502</v>
      </c>
      <c r="J4076" t="s">
        <v>60</v>
      </c>
      <c r="K4076" t="s">
        <v>1466</v>
      </c>
      <c r="L4076" t="s">
        <v>62</v>
      </c>
      <c r="M4076" t="s">
        <v>1466</v>
      </c>
      <c r="N4076" t="s">
        <v>1503</v>
      </c>
      <c r="O4076" t="s">
        <v>1504</v>
      </c>
      <c r="P4076">
        <v>-20.159618999999999</v>
      </c>
      <c r="Q4076">
        <v>-44.880065000000002</v>
      </c>
      <c r="R4076" s="2" t="str">
        <f>HYPERLINK("https://www.google.com/maps?q=-20.1596190,-44.8800650","Abrir no Google Maps")</f>
        <v>Abrir no Google Maps</v>
      </c>
      <c r="S4076">
        <v>2</v>
      </c>
      <c r="T4076">
        <v>243.9950282285559</v>
      </c>
      <c r="U4076">
        <v>3</v>
      </c>
      <c r="V4076">
        <v>0.39899108270923089</v>
      </c>
      <c r="W4076">
        <v>1</v>
      </c>
      <c r="X4076">
        <v>0.39899108270923089</v>
      </c>
      <c r="Y4076">
        <v>671</v>
      </c>
      <c r="Z4076">
        <v>265.31354384517681</v>
      </c>
      <c r="AA4076">
        <v>198</v>
      </c>
      <c r="AB4076">
        <v>332</v>
      </c>
      <c r="AC4076">
        <v>536</v>
      </c>
      <c r="AD4076">
        <v>33.19</v>
      </c>
      <c r="AE4076">
        <v>542</v>
      </c>
      <c r="AF4076">
        <v>41</v>
      </c>
      <c r="AG4076">
        <v>175</v>
      </c>
      <c r="AH4076">
        <v>129</v>
      </c>
      <c r="AI4076">
        <v>7.56</v>
      </c>
      <c r="AJ4076">
        <v>32.29</v>
      </c>
      <c r="AK4076">
        <v>23.8</v>
      </c>
      <c r="AL4076">
        <v>-20.159689949999969</v>
      </c>
      <c r="AM4076">
        <v>-44.880075072344489</v>
      </c>
      <c r="AN4076">
        <v>-20.159689949999969</v>
      </c>
      <c r="AO4076">
        <v>-44.880075072344489</v>
      </c>
      <c r="AP4076">
        <v>-20.159618999999999</v>
      </c>
      <c r="AQ4076">
        <v>-44.880065000000002</v>
      </c>
      <c r="AR4076">
        <v>7.9679809486040876</v>
      </c>
      <c r="AS4076" t="s">
        <v>65</v>
      </c>
      <c r="AT4076">
        <v>1</v>
      </c>
      <c r="AU4076" t="s">
        <v>1505</v>
      </c>
      <c r="AV4076" t="s">
        <v>1506</v>
      </c>
      <c r="AW4076" t="s">
        <v>60</v>
      </c>
      <c r="AX4076" t="s">
        <v>68</v>
      </c>
      <c r="AY4076" t="s">
        <v>69</v>
      </c>
      <c r="AZ4076" t="b">
        <v>1</v>
      </c>
    </row>
    <row r="4077" spans="1:52" x14ac:dyDescent="0.3">
      <c r="A4077" t="s">
        <v>52</v>
      </c>
      <c r="B4077" t="s">
        <v>53</v>
      </c>
      <c r="C4077" t="s">
        <v>54</v>
      </c>
      <c r="D4077" t="s">
        <v>55</v>
      </c>
      <c r="E4077" t="s">
        <v>2206</v>
      </c>
      <c r="F4077" t="s">
        <v>1247</v>
      </c>
      <c r="G4077" t="s">
        <v>1507</v>
      </c>
      <c r="H4077" t="s">
        <v>1508</v>
      </c>
      <c r="I4077" t="s">
        <v>1508</v>
      </c>
      <c r="J4077" t="s">
        <v>60</v>
      </c>
      <c r="K4077" t="s">
        <v>1466</v>
      </c>
      <c r="L4077" t="s">
        <v>62</v>
      </c>
      <c r="M4077" t="s">
        <v>1466</v>
      </c>
      <c r="N4077" t="s">
        <v>1509</v>
      </c>
      <c r="O4077" t="s">
        <v>270</v>
      </c>
      <c r="P4077">
        <v>-20.164501999999999</v>
      </c>
      <c r="Q4077">
        <v>-44.883226999999998</v>
      </c>
      <c r="R4077" s="2" t="str">
        <f>HYPERLINK("https://www.google.com/maps?q=-20.1645020,-44.8832270","Abrir no Google Maps")</f>
        <v>Abrir no Google Maps</v>
      </c>
      <c r="S4077">
        <v>2</v>
      </c>
      <c r="T4077">
        <v>691.62667420887726</v>
      </c>
      <c r="U4077">
        <v>3</v>
      </c>
      <c r="V4077">
        <v>0.41188983383697658</v>
      </c>
      <c r="W4077">
        <v>1</v>
      </c>
      <c r="X4077">
        <v>0.41188983383697658</v>
      </c>
      <c r="Y4077">
        <v>671</v>
      </c>
      <c r="Z4077">
        <v>591.13935302436732</v>
      </c>
      <c r="AA4077">
        <v>198</v>
      </c>
      <c r="AB4077">
        <v>332</v>
      </c>
      <c r="AC4077">
        <v>536</v>
      </c>
      <c r="AD4077">
        <v>33.19</v>
      </c>
      <c r="AE4077">
        <v>542</v>
      </c>
      <c r="AF4077">
        <v>41</v>
      </c>
      <c r="AG4077">
        <v>175</v>
      </c>
      <c r="AH4077">
        <v>129</v>
      </c>
      <c r="AI4077">
        <v>7.56</v>
      </c>
      <c r="AJ4077">
        <v>32.29</v>
      </c>
      <c r="AK4077">
        <v>23.8</v>
      </c>
      <c r="AL4077">
        <v>-20.164470149999939</v>
      </c>
      <c r="AM4077">
        <v>-44.883357321672527</v>
      </c>
      <c r="AN4077">
        <v>-20.164470149999939</v>
      </c>
      <c r="AO4077">
        <v>-44.883357321672527</v>
      </c>
      <c r="AP4077">
        <v>-20.164501999999999</v>
      </c>
      <c r="AQ4077">
        <v>-44.883226999999998</v>
      </c>
      <c r="AR4077">
        <v>14.072184947340521</v>
      </c>
      <c r="AS4077" t="s">
        <v>65</v>
      </c>
      <c r="AT4077">
        <v>1</v>
      </c>
      <c r="AU4077" t="s">
        <v>1510</v>
      </c>
      <c r="AV4077" t="s">
        <v>1511</v>
      </c>
      <c r="AW4077" t="s">
        <v>60</v>
      </c>
      <c r="AX4077" t="s">
        <v>68</v>
      </c>
      <c r="AY4077" t="s">
        <v>69</v>
      </c>
      <c r="AZ4077" t="b">
        <v>1</v>
      </c>
    </row>
    <row r="4078" spans="1:52" x14ac:dyDescent="0.3">
      <c r="A4078" t="s">
        <v>52</v>
      </c>
      <c r="B4078" t="s">
        <v>53</v>
      </c>
      <c r="C4078" t="s">
        <v>54</v>
      </c>
      <c r="D4078" t="s">
        <v>55</v>
      </c>
      <c r="E4078" t="s">
        <v>2206</v>
      </c>
      <c r="F4078" t="s">
        <v>1247</v>
      </c>
      <c r="G4078" t="s">
        <v>1554</v>
      </c>
      <c r="H4078" t="s">
        <v>1555</v>
      </c>
      <c r="I4078" t="s">
        <v>1555</v>
      </c>
      <c r="J4078" t="s">
        <v>60</v>
      </c>
      <c r="K4078" t="s">
        <v>1466</v>
      </c>
      <c r="L4078" t="s">
        <v>62</v>
      </c>
      <c r="M4078" t="s">
        <v>1466</v>
      </c>
      <c r="N4078" t="s">
        <v>1556</v>
      </c>
      <c r="O4078" t="s">
        <v>989</v>
      </c>
      <c r="P4078">
        <v>-20.160997999999999</v>
      </c>
      <c r="Q4078">
        <v>-44.878385999999999</v>
      </c>
      <c r="R4078" s="2" t="str">
        <f>HYPERLINK("https://www.google.com/maps?q=-20.1609980,-44.8783860","Abrir no Google Maps")</f>
        <v>Abrir no Google Maps</v>
      </c>
      <c r="S4078">
        <v>2</v>
      </c>
      <c r="T4078">
        <v>0</v>
      </c>
      <c r="U4078">
        <v>3</v>
      </c>
      <c r="V4078">
        <v>0.42157687946590328</v>
      </c>
      <c r="W4078">
        <v>0.85</v>
      </c>
      <c r="X4078">
        <v>0.35834034754601779</v>
      </c>
      <c r="Y4078">
        <v>671</v>
      </c>
      <c r="Z4078">
        <v>74.014802531188664</v>
      </c>
      <c r="AA4078">
        <v>198</v>
      </c>
      <c r="AB4078">
        <v>332</v>
      </c>
      <c r="AC4078">
        <v>536</v>
      </c>
      <c r="AD4078">
        <v>33.19</v>
      </c>
      <c r="AE4078">
        <v>542</v>
      </c>
      <c r="AF4078">
        <v>41</v>
      </c>
      <c r="AG4078">
        <v>175</v>
      </c>
      <c r="AH4078">
        <v>129</v>
      </c>
      <c r="AI4078">
        <v>7.56</v>
      </c>
      <c r="AJ4078">
        <v>32.29</v>
      </c>
      <c r="AK4078">
        <v>23.8</v>
      </c>
      <c r="AL4078">
        <v>-20.160758199999979</v>
      </c>
      <c r="AM4078">
        <v>-44.878032519747983</v>
      </c>
      <c r="AN4078">
        <v>-20.160758199999979</v>
      </c>
      <c r="AO4078">
        <v>-44.878032519747983</v>
      </c>
      <c r="AP4078">
        <v>-20.160997999999999</v>
      </c>
      <c r="AQ4078">
        <v>-44.878385999999999</v>
      </c>
      <c r="AR4078">
        <v>45.574638830261883</v>
      </c>
      <c r="AS4078" t="s">
        <v>65</v>
      </c>
      <c r="AT4078">
        <v>1</v>
      </c>
      <c r="AU4078" t="s">
        <v>1557</v>
      </c>
      <c r="AV4078" t="s">
        <v>1558</v>
      </c>
      <c r="AW4078" t="s">
        <v>60</v>
      </c>
      <c r="AX4078" t="s">
        <v>68</v>
      </c>
      <c r="AY4078" t="s">
        <v>69</v>
      </c>
      <c r="AZ4078" t="b">
        <v>1</v>
      </c>
    </row>
    <row r="4079" spans="1:52" x14ac:dyDescent="0.3">
      <c r="A4079" t="s">
        <v>52</v>
      </c>
      <c r="B4079" t="s">
        <v>53</v>
      </c>
      <c r="C4079" t="s">
        <v>54</v>
      </c>
      <c r="D4079" t="s">
        <v>55</v>
      </c>
      <c r="E4079" t="s">
        <v>2206</v>
      </c>
      <c r="F4079" t="s">
        <v>1247</v>
      </c>
      <c r="G4079" t="s">
        <v>1524</v>
      </c>
      <c r="H4079" t="s">
        <v>1525</v>
      </c>
      <c r="I4079" t="s">
        <v>1525</v>
      </c>
      <c r="J4079" t="s">
        <v>60</v>
      </c>
      <c r="K4079" t="s">
        <v>1302</v>
      </c>
      <c r="L4079" t="s">
        <v>62</v>
      </c>
      <c r="M4079" t="s">
        <v>1302</v>
      </c>
      <c r="N4079" t="s">
        <v>1526</v>
      </c>
      <c r="O4079" t="s">
        <v>303</v>
      </c>
      <c r="P4079">
        <v>-20.159873000000001</v>
      </c>
      <c r="Q4079">
        <v>-44.911431999999998</v>
      </c>
      <c r="R4079" s="2" t="str">
        <f>HYPERLINK("https://www.google.com/maps?q=-20.1598730,-44.9114320","Abrir no Google Maps")</f>
        <v>Abrir no Google Maps</v>
      </c>
      <c r="S4079">
        <v>2</v>
      </c>
      <c r="T4079">
        <v>359.34785817593553</v>
      </c>
      <c r="U4079">
        <v>3</v>
      </c>
      <c r="V4079">
        <v>0.37019550974922388</v>
      </c>
      <c r="W4079">
        <v>1</v>
      </c>
      <c r="X4079">
        <v>0.37019550974922388</v>
      </c>
      <c r="Y4079">
        <v>639</v>
      </c>
      <c r="Z4079">
        <v>388.13505700247691</v>
      </c>
      <c r="AA4079">
        <v>198</v>
      </c>
      <c r="AB4079">
        <v>332</v>
      </c>
      <c r="AC4079">
        <v>536</v>
      </c>
      <c r="AD4079">
        <v>33.19</v>
      </c>
      <c r="AE4079">
        <v>542</v>
      </c>
      <c r="AF4079">
        <v>41</v>
      </c>
      <c r="AG4079">
        <v>175</v>
      </c>
      <c r="AH4079">
        <v>129</v>
      </c>
      <c r="AI4079">
        <v>7.56</v>
      </c>
      <c r="AJ4079">
        <v>32.29</v>
      </c>
      <c r="AK4079">
        <v>23.8</v>
      </c>
      <c r="AL4079">
        <v>-20.159583599999969</v>
      </c>
      <c r="AM4079">
        <v>-44.911691929105316</v>
      </c>
      <c r="AN4079">
        <v>-20.159583599999969</v>
      </c>
      <c r="AO4079">
        <v>-44.911691929105316</v>
      </c>
      <c r="AP4079">
        <v>-20.159873000000001</v>
      </c>
      <c r="AQ4079">
        <v>-44.911431999999998</v>
      </c>
      <c r="AR4079">
        <v>42.138811218570019</v>
      </c>
      <c r="AS4079" t="s">
        <v>65</v>
      </c>
      <c r="AT4079">
        <v>1</v>
      </c>
      <c r="AU4079" t="s">
        <v>1527</v>
      </c>
      <c r="AV4079" t="s">
        <v>1528</v>
      </c>
      <c r="AW4079" t="s">
        <v>60</v>
      </c>
      <c r="AX4079" t="s">
        <v>68</v>
      </c>
      <c r="AY4079" t="s">
        <v>69</v>
      </c>
      <c r="AZ4079" t="b">
        <v>1</v>
      </c>
    </row>
    <row r="4080" spans="1:52" x14ac:dyDescent="0.3">
      <c r="A4080" t="s">
        <v>52</v>
      </c>
      <c r="B4080" t="s">
        <v>53</v>
      </c>
      <c r="C4080" t="s">
        <v>54</v>
      </c>
      <c r="D4080" t="s">
        <v>55</v>
      </c>
      <c r="E4080" t="s">
        <v>2206</v>
      </c>
      <c r="F4080" t="s">
        <v>1247</v>
      </c>
      <c r="G4080" t="s">
        <v>1464</v>
      </c>
      <c r="H4080" t="s">
        <v>1465</v>
      </c>
      <c r="I4080" t="s">
        <v>1465</v>
      </c>
      <c r="J4080" t="s">
        <v>60</v>
      </c>
      <c r="K4080" t="s">
        <v>1466</v>
      </c>
      <c r="L4080" t="s">
        <v>62</v>
      </c>
      <c r="M4080" t="s">
        <v>1466</v>
      </c>
      <c r="N4080" t="s">
        <v>1467</v>
      </c>
      <c r="O4080" t="s">
        <v>145</v>
      </c>
      <c r="P4080">
        <v>-20.160509999999999</v>
      </c>
      <c r="Q4080">
        <v>-44.884123000000002</v>
      </c>
      <c r="R4080" s="2" t="str">
        <f>HYPERLINK("https://www.google.com/maps?q=-20.1605100,-44.8841230","Abrir no Google Maps")</f>
        <v>Abrir no Google Maps</v>
      </c>
      <c r="S4080">
        <v>2</v>
      </c>
      <c r="T4080">
        <v>650.04961276595373</v>
      </c>
      <c r="U4080">
        <v>2</v>
      </c>
      <c r="V4080">
        <v>0.35587083678928549</v>
      </c>
      <c r="W4080">
        <v>1</v>
      </c>
      <c r="X4080">
        <v>0.35587083678928549</v>
      </c>
      <c r="Y4080">
        <v>671</v>
      </c>
      <c r="Z4080">
        <v>591.49066685698506</v>
      </c>
      <c r="AA4080">
        <v>198</v>
      </c>
      <c r="AB4080">
        <v>332</v>
      </c>
      <c r="AC4080">
        <v>536</v>
      </c>
      <c r="AD4080">
        <v>33.19</v>
      </c>
      <c r="AE4080">
        <v>542</v>
      </c>
      <c r="AF4080">
        <v>41</v>
      </c>
      <c r="AG4080">
        <v>175</v>
      </c>
      <c r="AH4080">
        <v>129</v>
      </c>
      <c r="AI4080">
        <v>7.56</v>
      </c>
      <c r="AJ4080">
        <v>32.29</v>
      </c>
      <c r="AK4080">
        <v>23.8</v>
      </c>
      <c r="AL4080">
        <v>-20.16056479999995</v>
      </c>
      <c r="AM4080">
        <v>-44.88424978393428</v>
      </c>
      <c r="AN4080">
        <v>-20.160564799999939</v>
      </c>
      <c r="AO4080">
        <v>-44.88424978393428</v>
      </c>
      <c r="AP4080">
        <v>-20.160509999999999</v>
      </c>
      <c r="AQ4080">
        <v>-44.884123000000002</v>
      </c>
      <c r="AR4080">
        <v>14.585823463739541</v>
      </c>
      <c r="AS4080" t="s">
        <v>65</v>
      </c>
      <c r="AT4080">
        <v>1</v>
      </c>
      <c r="AU4080" t="s">
        <v>1468</v>
      </c>
      <c r="AV4080" t="s">
        <v>1469</v>
      </c>
      <c r="AW4080" t="s">
        <v>60</v>
      </c>
      <c r="AX4080" t="s">
        <v>68</v>
      </c>
      <c r="AY4080" t="s">
        <v>69</v>
      </c>
      <c r="AZ4080" t="b">
        <v>1</v>
      </c>
    </row>
    <row r="4081" spans="1:52" x14ac:dyDescent="0.3">
      <c r="A4081" t="s">
        <v>52</v>
      </c>
      <c r="B4081" t="s">
        <v>53</v>
      </c>
      <c r="C4081" t="s">
        <v>54</v>
      </c>
      <c r="D4081" t="s">
        <v>55</v>
      </c>
      <c r="E4081" t="s">
        <v>2206</v>
      </c>
      <c r="F4081" t="s">
        <v>1247</v>
      </c>
      <c r="G4081" t="s">
        <v>1529</v>
      </c>
      <c r="H4081" t="s">
        <v>1530</v>
      </c>
      <c r="I4081" t="s">
        <v>1530</v>
      </c>
      <c r="J4081" t="s">
        <v>60</v>
      </c>
      <c r="K4081" t="s">
        <v>1466</v>
      </c>
      <c r="L4081" t="s">
        <v>62</v>
      </c>
      <c r="M4081" t="s">
        <v>1466</v>
      </c>
      <c r="N4081" t="s">
        <v>1531</v>
      </c>
      <c r="O4081" t="s">
        <v>145</v>
      </c>
      <c r="P4081">
        <v>-20.162952000000001</v>
      </c>
      <c r="Q4081">
        <v>-44.877612999999997</v>
      </c>
      <c r="R4081" s="2" t="str">
        <f>HYPERLINK("https://www.google.com/maps?q=-20.1629520,-44.8776130","Abrir no Google Maps")</f>
        <v>Abrir no Google Maps</v>
      </c>
      <c r="S4081">
        <v>2</v>
      </c>
      <c r="T4081">
        <v>229.91388913695721</v>
      </c>
      <c r="U4081">
        <v>2</v>
      </c>
      <c r="V4081">
        <v>0.37068651551291532</v>
      </c>
      <c r="W4081">
        <v>0.85</v>
      </c>
      <c r="X4081">
        <v>0.31508353818597801</v>
      </c>
      <c r="Y4081">
        <v>671</v>
      </c>
      <c r="Z4081">
        <v>157.6775523644973</v>
      </c>
      <c r="AA4081">
        <v>198</v>
      </c>
      <c r="AB4081">
        <v>332</v>
      </c>
      <c r="AC4081">
        <v>536</v>
      </c>
      <c r="AD4081">
        <v>33.19</v>
      </c>
      <c r="AE4081">
        <v>542</v>
      </c>
      <c r="AF4081">
        <v>41</v>
      </c>
      <c r="AG4081">
        <v>175</v>
      </c>
      <c r="AH4081">
        <v>129</v>
      </c>
      <c r="AI4081">
        <v>7.56</v>
      </c>
      <c r="AJ4081">
        <v>32.29</v>
      </c>
      <c r="AK4081">
        <v>23.8</v>
      </c>
      <c r="AL4081">
        <v>-20.16278829999996</v>
      </c>
      <c r="AM4081">
        <v>-44.877564655204168</v>
      </c>
      <c r="AN4081">
        <v>-20.16278829999996</v>
      </c>
      <c r="AO4081">
        <v>-44.877564655204168</v>
      </c>
      <c r="AP4081">
        <v>-20.162952000000001</v>
      </c>
      <c r="AQ4081">
        <v>-44.877612999999997</v>
      </c>
      <c r="AR4081">
        <v>18.91038935762678</v>
      </c>
      <c r="AS4081" t="s">
        <v>65</v>
      </c>
      <c r="AT4081">
        <v>1</v>
      </c>
      <c r="AU4081" t="s">
        <v>1532</v>
      </c>
      <c r="AV4081" t="s">
        <v>1533</v>
      </c>
      <c r="AW4081" t="s">
        <v>60</v>
      </c>
      <c r="AX4081" t="s">
        <v>68</v>
      </c>
      <c r="AY4081" t="s">
        <v>69</v>
      </c>
      <c r="AZ4081" t="b">
        <v>1</v>
      </c>
    </row>
    <row r="4082" spans="1:52" x14ac:dyDescent="0.3">
      <c r="A4082" t="s">
        <v>52</v>
      </c>
      <c r="B4082" t="s">
        <v>53</v>
      </c>
      <c r="C4082" t="s">
        <v>54</v>
      </c>
      <c r="D4082" t="s">
        <v>55</v>
      </c>
      <c r="E4082" t="s">
        <v>2206</v>
      </c>
      <c r="F4082" t="s">
        <v>1247</v>
      </c>
      <c r="G4082" t="s">
        <v>1333</v>
      </c>
      <c r="H4082" t="s">
        <v>1470</v>
      </c>
      <c r="I4082" t="s">
        <v>1470</v>
      </c>
      <c r="J4082" t="s">
        <v>60</v>
      </c>
      <c r="K4082" t="s">
        <v>437</v>
      </c>
      <c r="L4082" t="s">
        <v>62</v>
      </c>
      <c r="M4082" t="s">
        <v>437</v>
      </c>
      <c r="N4082" t="s">
        <v>1335</v>
      </c>
      <c r="O4082" t="s">
        <v>900</v>
      </c>
      <c r="P4082">
        <v>-20.147047000000001</v>
      </c>
      <c r="Q4082">
        <v>-44.883921999999998</v>
      </c>
      <c r="R4082" s="2" t="str">
        <f>HYPERLINK("https://www.google.com/maps?q=-20.1470470,-44.8839220","Abrir no Google Maps")</f>
        <v>Abrir no Google Maps</v>
      </c>
      <c r="S4082">
        <v>2</v>
      </c>
      <c r="T4082">
        <v>296.4098018832658</v>
      </c>
      <c r="U4082">
        <v>2</v>
      </c>
      <c r="V4082">
        <v>0.29961317253594899</v>
      </c>
      <c r="W4082">
        <v>1</v>
      </c>
      <c r="X4082">
        <v>0.29961317253594899</v>
      </c>
      <c r="Y4082">
        <v>653</v>
      </c>
      <c r="Z4082">
        <v>299.72271006042178</v>
      </c>
      <c r="AA4082">
        <v>198</v>
      </c>
      <c r="AB4082">
        <v>332</v>
      </c>
      <c r="AC4082">
        <v>536</v>
      </c>
      <c r="AD4082">
        <v>33.19</v>
      </c>
      <c r="AE4082">
        <v>542</v>
      </c>
      <c r="AF4082">
        <v>41</v>
      </c>
      <c r="AG4082">
        <v>175</v>
      </c>
      <c r="AH4082">
        <v>129</v>
      </c>
      <c r="AI4082">
        <v>7.56</v>
      </c>
      <c r="AJ4082">
        <v>32.29</v>
      </c>
      <c r="AK4082">
        <v>23.8</v>
      </c>
      <c r="AL4082">
        <v>-20.147074949999929</v>
      </c>
      <c r="AM4082">
        <v>-44.883796511502347</v>
      </c>
      <c r="AN4082">
        <v>-20.147074949999929</v>
      </c>
      <c r="AO4082">
        <v>-44.883796511502347</v>
      </c>
      <c r="AP4082">
        <v>-20.147047000000001</v>
      </c>
      <c r="AQ4082">
        <v>-44.883921999999998</v>
      </c>
      <c r="AR4082">
        <v>13.47864632994</v>
      </c>
      <c r="AS4082" t="s">
        <v>65</v>
      </c>
      <c r="AT4082">
        <v>1</v>
      </c>
      <c r="AU4082" t="s">
        <v>1471</v>
      </c>
      <c r="AV4082" t="s">
        <v>1472</v>
      </c>
      <c r="AW4082" t="s">
        <v>60</v>
      </c>
      <c r="AX4082" t="s">
        <v>68</v>
      </c>
      <c r="AY4082" t="s">
        <v>69</v>
      </c>
      <c r="AZ4082" t="b">
        <v>1</v>
      </c>
    </row>
    <row r="4083" spans="1:52" x14ac:dyDescent="0.3">
      <c r="A4083" t="s">
        <v>52</v>
      </c>
      <c r="B4083" t="s">
        <v>53</v>
      </c>
      <c r="C4083" t="s">
        <v>54</v>
      </c>
      <c r="D4083" t="s">
        <v>55</v>
      </c>
      <c r="E4083" t="s">
        <v>2206</v>
      </c>
      <c r="F4083" t="s">
        <v>1247</v>
      </c>
      <c r="G4083" t="s">
        <v>1473</v>
      </c>
      <c r="H4083" t="s">
        <v>1474</v>
      </c>
      <c r="I4083" t="s">
        <v>1474</v>
      </c>
      <c r="J4083" t="s">
        <v>60</v>
      </c>
      <c r="K4083" t="s">
        <v>1302</v>
      </c>
      <c r="L4083" t="s">
        <v>62</v>
      </c>
      <c r="M4083" t="s">
        <v>1302</v>
      </c>
      <c r="N4083" t="s">
        <v>1475</v>
      </c>
      <c r="O4083" t="s">
        <v>1476</v>
      </c>
      <c r="P4083">
        <v>-20.161372</v>
      </c>
      <c r="Q4083">
        <v>-44.914636999999999</v>
      </c>
      <c r="R4083" s="2" t="str">
        <f>HYPERLINK("https://www.google.com/maps?q=-20.1613720,-44.9146370","Abrir no Google Maps")</f>
        <v>Abrir no Google Maps</v>
      </c>
      <c r="S4083">
        <v>2</v>
      </c>
      <c r="T4083">
        <v>0</v>
      </c>
      <c r="U4083">
        <v>2</v>
      </c>
      <c r="V4083">
        <v>0.3196080600675511</v>
      </c>
      <c r="W4083">
        <v>1</v>
      </c>
      <c r="X4083">
        <v>0.3196080600675511</v>
      </c>
      <c r="Y4083">
        <v>639</v>
      </c>
      <c r="Z4083">
        <v>81.742669907651447</v>
      </c>
      <c r="AA4083">
        <v>198</v>
      </c>
      <c r="AB4083">
        <v>332</v>
      </c>
      <c r="AC4083">
        <v>536</v>
      </c>
      <c r="AD4083">
        <v>33.19</v>
      </c>
      <c r="AE4083">
        <v>542</v>
      </c>
      <c r="AF4083">
        <v>41</v>
      </c>
      <c r="AG4083">
        <v>175</v>
      </c>
      <c r="AH4083">
        <v>129</v>
      </c>
      <c r="AI4083">
        <v>7.56</v>
      </c>
      <c r="AJ4083">
        <v>32.29</v>
      </c>
      <c r="AK4083">
        <v>23.8</v>
      </c>
      <c r="AL4083">
        <v>-20.161294499999961</v>
      </c>
      <c r="AM4083">
        <v>-44.914614684493202</v>
      </c>
      <c r="AN4083">
        <v>-20.161294499999961</v>
      </c>
      <c r="AO4083">
        <v>-44.914614684493202</v>
      </c>
      <c r="AP4083">
        <v>-20.161372</v>
      </c>
      <c r="AQ4083">
        <v>-44.914636999999999</v>
      </c>
      <c r="AR4083">
        <v>8.9369058443944862</v>
      </c>
      <c r="AS4083" t="s">
        <v>65</v>
      </c>
      <c r="AT4083">
        <v>1</v>
      </c>
      <c r="AU4083" t="s">
        <v>1477</v>
      </c>
      <c r="AV4083" t="s">
        <v>1478</v>
      </c>
      <c r="AW4083" t="s">
        <v>60</v>
      </c>
      <c r="AX4083" t="s">
        <v>68</v>
      </c>
      <c r="AY4083" t="s">
        <v>69</v>
      </c>
      <c r="AZ4083" t="b">
        <v>1</v>
      </c>
    </row>
    <row r="4084" spans="1:52" x14ac:dyDescent="0.3">
      <c r="A4084" t="s">
        <v>52</v>
      </c>
      <c r="B4084" t="s">
        <v>53</v>
      </c>
      <c r="C4084" t="s">
        <v>54</v>
      </c>
      <c r="D4084" t="s">
        <v>55</v>
      </c>
      <c r="E4084" t="s">
        <v>2206</v>
      </c>
      <c r="F4084" t="s">
        <v>1247</v>
      </c>
      <c r="G4084" t="s">
        <v>1479</v>
      </c>
      <c r="H4084" t="s">
        <v>1480</v>
      </c>
      <c r="I4084" t="s">
        <v>1480</v>
      </c>
      <c r="J4084" t="s">
        <v>60</v>
      </c>
      <c r="K4084" t="s">
        <v>1302</v>
      </c>
      <c r="L4084" t="s">
        <v>62</v>
      </c>
      <c r="M4084" t="s">
        <v>1302</v>
      </c>
      <c r="N4084" t="s">
        <v>1481</v>
      </c>
      <c r="O4084" t="s">
        <v>1482</v>
      </c>
      <c r="P4084">
        <v>-20.164655</v>
      </c>
      <c r="Q4084">
        <v>-44.912697000000001</v>
      </c>
      <c r="R4084" s="2" t="str">
        <f>HYPERLINK("https://www.google.com/maps?q=-20.1646550,-44.9126970","Abrir no Google Maps")</f>
        <v>Abrir no Google Maps</v>
      </c>
      <c r="S4084">
        <v>2</v>
      </c>
      <c r="T4084">
        <v>441.50274004930441</v>
      </c>
      <c r="U4084">
        <v>2</v>
      </c>
      <c r="V4084">
        <v>0.34862056899410709</v>
      </c>
      <c r="W4084">
        <v>1</v>
      </c>
      <c r="X4084">
        <v>0.34862056899410709</v>
      </c>
      <c r="Y4084">
        <v>639</v>
      </c>
      <c r="Z4084">
        <v>311.03317029936522</v>
      </c>
      <c r="AA4084">
        <v>198</v>
      </c>
      <c r="AB4084">
        <v>332</v>
      </c>
      <c r="AC4084">
        <v>536</v>
      </c>
      <c r="AD4084">
        <v>33.19</v>
      </c>
      <c r="AE4084">
        <v>542</v>
      </c>
      <c r="AF4084">
        <v>41</v>
      </c>
      <c r="AG4084">
        <v>175</v>
      </c>
      <c r="AH4084">
        <v>129</v>
      </c>
      <c r="AI4084">
        <v>7.56</v>
      </c>
      <c r="AJ4084">
        <v>32.29</v>
      </c>
      <c r="AK4084">
        <v>23.8</v>
      </c>
      <c r="AL4084">
        <v>-20.164702999999971</v>
      </c>
      <c r="AM4084">
        <v>-44.912418857911163</v>
      </c>
      <c r="AN4084">
        <v>-20.164702999999971</v>
      </c>
      <c r="AO4084">
        <v>-44.912418857911163</v>
      </c>
      <c r="AP4084">
        <v>-20.164655</v>
      </c>
      <c r="AQ4084">
        <v>-44.912697000000001</v>
      </c>
      <c r="AR4084">
        <v>29.552017409892429</v>
      </c>
      <c r="AS4084" t="s">
        <v>65</v>
      </c>
      <c r="AT4084">
        <v>1</v>
      </c>
      <c r="AU4084" t="s">
        <v>1483</v>
      </c>
      <c r="AV4084" t="s">
        <v>1484</v>
      </c>
      <c r="AW4084" t="s">
        <v>60</v>
      </c>
      <c r="AX4084" t="s">
        <v>68</v>
      </c>
      <c r="AY4084" t="s">
        <v>69</v>
      </c>
      <c r="AZ4084" t="b">
        <v>1</v>
      </c>
    </row>
    <row r="4085" spans="1:52" x14ac:dyDescent="0.3">
      <c r="A4085" t="s">
        <v>52</v>
      </c>
      <c r="B4085" t="s">
        <v>53</v>
      </c>
      <c r="C4085" t="s">
        <v>54</v>
      </c>
      <c r="D4085" t="s">
        <v>55</v>
      </c>
      <c r="E4085" t="s">
        <v>2206</v>
      </c>
      <c r="F4085" t="s">
        <v>1247</v>
      </c>
      <c r="G4085" t="s">
        <v>1518</v>
      </c>
      <c r="H4085" t="s">
        <v>1519</v>
      </c>
      <c r="I4085" t="s">
        <v>1519</v>
      </c>
      <c r="J4085" t="s">
        <v>60</v>
      </c>
      <c r="K4085" t="s">
        <v>1302</v>
      </c>
      <c r="L4085" t="s">
        <v>62</v>
      </c>
      <c r="M4085" t="s">
        <v>1302</v>
      </c>
      <c r="N4085" t="s">
        <v>1520</v>
      </c>
      <c r="O4085" t="s">
        <v>1521</v>
      </c>
      <c r="P4085">
        <v>-20.16263</v>
      </c>
      <c r="Q4085">
        <v>-44.910342999999997</v>
      </c>
      <c r="R4085" s="2" t="str">
        <f>HYPERLINK("https://www.google.com/maps?q=-20.1626300,-44.9103430","Abrir no Google Maps")</f>
        <v>Abrir no Google Maps</v>
      </c>
      <c r="S4085">
        <v>2</v>
      </c>
      <c r="T4085">
        <v>492.63980270666781</v>
      </c>
      <c r="U4085">
        <v>2</v>
      </c>
      <c r="V4085">
        <v>0.33769274917924119</v>
      </c>
      <c r="W4085">
        <v>1</v>
      </c>
      <c r="X4085">
        <v>0.33769274917924119</v>
      </c>
      <c r="Y4085">
        <v>639</v>
      </c>
      <c r="Z4085">
        <v>412.49960371731271</v>
      </c>
      <c r="AA4085">
        <v>198</v>
      </c>
      <c r="AB4085">
        <v>332</v>
      </c>
      <c r="AC4085">
        <v>536</v>
      </c>
      <c r="AD4085">
        <v>33.19</v>
      </c>
      <c r="AE4085">
        <v>542</v>
      </c>
      <c r="AF4085">
        <v>41</v>
      </c>
      <c r="AG4085">
        <v>175</v>
      </c>
      <c r="AH4085">
        <v>129</v>
      </c>
      <c r="AI4085">
        <v>7.56</v>
      </c>
      <c r="AJ4085">
        <v>32.29</v>
      </c>
      <c r="AK4085">
        <v>23.8</v>
      </c>
      <c r="AL4085">
        <v>-20.162579949999952</v>
      </c>
      <c r="AM4085">
        <v>-44.910101148008863</v>
      </c>
      <c r="AN4085">
        <v>-20.162579949999952</v>
      </c>
      <c r="AO4085">
        <v>-44.910101148008863</v>
      </c>
      <c r="AP4085">
        <v>-20.16263</v>
      </c>
      <c r="AQ4085">
        <v>-44.910342999999997</v>
      </c>
      <c r="AR4085">
        <v>25.879932474893501</v>
      </c>
      <c r="AS4085" t="s">
        <v>65</v>
      </c>
      <c r="AT4085">
        <v>1</v>
      </c>
      <c r="AU4085" t="s">
        <v>1522</v>
      </c>
      <c r="AV4085" t="s">
        <v>1523</v>
      </c>
      <c r="AW4085" t="s">
        <v>60</v>
      </c>
      <c r="AX4085" t="s">
        <v>68</v>
      </c>
      <c r="AY4085" t="s">
        <v>69</v>
      </c>
      <c r="AZ4085" t="b">
        <v>1</v>
      </c>
    </row>
    <row r="4086" spans="1:52" x14ac:dyDescent="0.3">
      <c r="A4086" t="s">
        <v>52</v>
      </c>
      <c r="B4086" t="s">
        <v>53</v>
      </c>
      <c r="C4086" t="s">
        <v>54</v>
      </c>
      <c r="D4086" t="s">
        <v>55</v>
      </c>
      <c r="E4086" t="s">
        <v>2206</v>
      </c>
      <c r="F4086" t="s">
        <v>1247</v>
      </c>
      <c r="G4086" t="s">
        <v>1534</v>
      </c>
      <c r="H4086" t="s">
        <v>1535</v>
      </c>
      <c r="I4086" t="s">
        <v>1535</v>
      </c>
      <c r="J4086" t="s">
        <v>60</v>
      </c>
      <c r="K4086" t="s">
        <v>1536</v>
      </c>
      <c r="L4086" t="s">
        <v>62</v>
      </c>
      <c r="M4086" t="s">
        <v>1536</v>
      </c>
      <c r="N4086" t="s">
        <v>1537</v>
      </c>
      <c r="O4086" t="s">
        <v>1538</v>
      </c>
      <c r="P4086">
        <v>-20.164618999999998</v>
      </c>
      <c r="Q4086">
        <v>-44.921776999999999</v>
      </c>
      <c r="R4086" s="2" t="str">
        <f>HYPERLINK("https://www.google.com/maps?q=-20.1646190,-44.9217770","Abrir no Google Maps")</f>
        <v>Abrir no Google Maps</v>
      </c>
      <c r="S4086">
        <v>2</v>
      </c>
      <c r="T4086">
        <v>835.70698013544222</v>
      </c>
      <c r="U4086">
        <v>2</v>
      </c>
      <c r="V4086">
        <v>0.40207460693255631</v>
      </c>
      <c r="W4086">
        <v>0.85</v>
      </c>
      <c r="X4086">
        <v>0.34176341589267278</v>
      </c>
      <c r="Y4086">
        <v>639</v>
      </c>
      <c r="Z4086">
        <v>821.59880323911125</v>
      </c>
      <c r="AA4086">
        <v>198</v>
      </c>
      <c r="AB4086">
        <v>332</v>
      </c>
      <c r="AC4086">
        <v>536</v>
      </c>
      <c r="AD4086">
        <v>33.19</v>
      </c>
      <c r="AE4086">
        <v>542</v>
      </c>
      <c r="AF4086">
        <v>41</v>
      </c>
      <c r="AG4086">
        <v>175</v>
      </c>
      <c r="AH4086">
        <v>129</v>
      </c>
      <c r="AI4086">
        <v>7.56</v>
      </c>
      <c r="AJ4086">
        <v>32.29</v>
      </c>
      <c r="AK4086">
        <v>23.8</v>
      </c>
      <c r="AL4086">
        <v>-20.164312499999969</v>
      </c>
      <c r="AM4086">
        <v>-44.921945691824099</v>
      </c>
      <c r="AN4086">
        <v>-20.164312499999969</v>
      </c>
      <c r="AO4086">
        <v>-44.921945691824099</v>
      </c>
      <c r="AP4086">
        <v>-20.164618999999998</v>
      </c>
      <c r="AQ4086">
        <v>-44.921776999999999</v>
      </c>
      <c r="AR4086">
        <v>38.404224975746608</v>
      </c>
      <c r="AS4086" t="s">
        <v>65</v>
      </c>
      <c r="AT4086">
        <v>1</v>
      </c>
      <c r="AU4086" t="s">
        <v>1539</v>
      </c>
      <c r="AV4086" t="s">
        <v>1540</v>
      </c>
      <c r="AW4086" t="s">
        <v>60</v>
      </c>
      <c r="AX4086" t="s">
        <v>68</v>
      </c>
      <c r="AY4086" t="s">
        <v>69</v>
      </c>
      <c r="AZ4086" t="b">
        <v>1</v>
      </c>
    </row>
    <row r="4087" spans="1:52" x14ac:dyDescent="0.3">
      <c r="A4087" t="s">
        <v>52</v>
      </c>
      <c r="B4087" t="s">
        <v>53</v>
      </c>
      <c r="C4087" t="s">
        <v>54</v>
      </c>
      <c r="D4087" t="s">
        <v>55</v>
      </c>
      <c r="E4087" t="s">
        <v>2206</v>
      </c>
      <c r="F4087" t="s">
        <v>1247</v>
      </c>
      <c r="G4087" t="s">
        <v>1541</v>
      </c>
      <c r="H4087" t="s">
        <v>1542</v>
      </c>
      <c r="I4087" t="s">
        <v>1542</v>
      </c>
      <c r="J4087" t="s">
        <v>60</v>
      </c>
      <c r="K4087" t="s">
        <v>1302</v>
      </c>
      <c r="L4087" t="s">
        <v>62</v>
      </c>
      <c r="M4087" t="s">
        <v>1302</v>
      </c>
      <c r="N4087" t="s">
        <v>1543</v>
      </c>
      <c r="O4087" t="s">
        <v>1544</v>
      </c>
      <c r="P4087">
        <v>-20.166267999999999</v>
      </c>
      <c r="Q4087">
        <v>-44.916902</v>
      </c>
      <c r="R4087" s="2" t="str">
        <f>HYPERLINK("https://www.google.com/maps?q=-20.1662680,-44.9169020","Abrir no Google Maps")</f>
        <v>Abrir no Google Maps</v>
      </c>
      <c r="S4087">
        <v>2</v>
      </c>
      <c r="T4087">
        <v>580.14556008922216</v>
      </c>
      <c r="U4087">
        <v>2</v>
      </c>
      <c r="V4087">
        <v>0.40260181056069572</v>
      </c>
      <c r="W4087">
        <v>0.85</v>
      </c>
      <c r="X4087">
        <v>0.34221153897659129</v>
      </c>
      <c r="Y4087">
        <v>639</v>
      </c>
      <c r="Z4087">
        <v>590.87477783185614</v>
      </c>
      <c r="AA4087">
        <v>198</v>
      </c>
      <c r="AB4087">
        <v>332</v>
      </c>
      <c r="AC4087">
        <v>536</v>
      </c>
      <c r="AD4087">
        <v>33.19</v>
      </c>
      <c r="AE4087">
        <v>542</v>
      </c>
      <c r="AF4087">
        <v>41</v>
      </c>
      <c r="AG4087">
        <v>175</v>
      </c>
      <c r="AH4087">
        <v>129</v>
      </c>
      <c r="AI4087">
        <v>7.56</v>
      </c>
      <c r="AJ4087">
        <v>32.29</v>
      </c>
      <c r="AK4087">
        <v>23.8</v>
      </c>
      <c r="AL4087">
        <v>-20.165891749999961</v>
      </c>
      <c r="AM4087">
        <v>-44.917283075074913</v>
      </c>
      <c r="AN4087">
        <v>-20.165891749999961</v>
      </c>
      <c r="AO4087">
        <v>-44.917283075074913</v>
      </c>
      <c r="AP4087">
        <v>-20.166267999999999</v>
      </c>
      <c r="AQ4087">
        <v>-44.916902</v>
      </c>
      <c r="AR4087">
        <v>57.792534087281872</v>
      </c>
      <c r="AS4087" t="s">
        <v>65</v>
      </c>
      <c r="AT4087">
        <v>1</v>
      </c>
      <c r="AU4087" t="s">
        <v>1545</v>
      </c>
      <c r="AV4087" t="s">
        <v>1546</v>
      </c>
      <c r="AW4087" t="s">
        <v>60</v>
      </c>
      <c r="AX4087" t="s">
        <v>68</v>
      </c>
      <c r="AY4087" t="s">
        <v>69</v>
      </c>
      <c r="AZ4087" t="b">
        <v>1</v>
      </c>
    </row>
    <row r="4088" spans="1:52" x14ac:dyDescent="0.3">
      <c r="A4088" t="s">
        <v>52</v>
      </c>
      <c r="B4088" t="s">
        <v>53</v>
      </c>
      <c r="C4088" t="s">
        <v>54</v>
      </c>
      <c r="D4088" t="s">
        <v>55</v>
      </c>
      <c r="E4088" t="s">
        <v>2206</v>
      </c>
      <c r="F4088" t="s">
        <v>1247</v>
      </c>
      <c r="G4088" t="s">
        <v>1127</v>
      </c>
      <c r="H4088" t="s">
        <v>1455</v>
      </c>
      <c r="I4088" t="s">
        <v>1455</v>
      </c>
      <c r="J4088" t="s">
        <v>60</v>
      </c>
      <c r="K4088" t="s">
        <v>431</v>
      </c>
      <c r="L4088" t="s">
        <v>62</v>
      </c>
      <c r="M4088" t="s">
        <v>431</v>
      </c>
      <c r="N4088" t="s">
        <v>1456</v>
      </c>
      <c r="O4088" t="s">
        <v>1001</v>
      </c>
      <c r="P4088">
        <v>-20.168237999999999</v>
      </c>
      <c r="Q4088">
        <v>-44.924250999999998</v>
      </c>
      <c r="R4088" s="2" t="str">
        <f>HYPERLINK("https://www.google.com/maps?q=-20.1682380,-44.9242510","Abrir no Google Maps")</f>
        <v>Abrir no Google Maps</v>
      </c>
      <c r="S4088">
        <v>2</v>
      </c>
      <c r="T4088">
        <v>1220.188820430971</v>
      </c>
      <c r="U4088">
        <v>1</v>
      </c>
      <c r="V4088">
        <v>0.25679830071639231</v>
      </c>
      <c r="W4088">
        <v>0.85</v>
      </c>
      <c r="X4088">
        <v>0.2182785556089335</v>
      </c>
      <c r="Y4088">
        <v>723</v>
      </c>
      <c r="Z4088">
        <v>1092.4377883150901</v>
      </c>
      <c r="AA4088">
        <v>198</v>
      </c>
      <c r="AB4088">
        <v>332</v>
      </c>
      <c r="AC4088">
        <v>536</v>
      </c>
      <c r="AD4088">
        <v>33.19</v>
      </c>
      <c r="AE4088">
        <v>542</v>
      </c>
      <c r="AF4088">
        <v>41</v>
      </c>
      <c r="AG4088">
        <v>175</v>
      </c>
      <c r="AH4088">
        <v>129</v>
      </c>
      <c r="AI4088">
        <v>7.56</v>
      </c>
      <c r="AJ4088">
        <v>32.29</v>
      </c>
      <c r="AK4088">
        <v>23.8</v>
      </c>
      <c r="AL4088">
        <v>-20.168394999999951</v>
      </c>
      <c r="AM4088">
        <v>-44.923548168580673</v>
      </c>
      <c r="AN4088">
        <v>-20.168394999999951</v>
      </c>
      <c r="AO4088">
        <v>-44.923548168580673</v>
      </c>
      <c r="AP4088">
        <v>-20.168237999999999</v>
      </c>
      <c r="AQ4088">
        <v>-44.924250999999998</v>
      </c>
      <c r="AR4088">
        <v>75.492755104934275</v>
      </c>
      <c r="AS4088" t="s">
        <v>65</v>
      </c>
      <c r="AT4088">
        <v>1</v>
      </c>
      <c r="AU4088" t="s">
        <v>1457</v>
      </c>
      <c r="AV4088" t="s">
        <v>1458</v>
      </c>
      <c r="AW4088" t="s">
        <v>60</v>
      </c>
      <c r="AX4088" t="s">
        <v>68</v>
      </c>
      <c r="AY4088" t="s">
        <v>69</v>
      </c>
      <c r="AZ4088" t="b">
        <v>1</v>
      </c>
    </row>
    <row r="4089" spans="1:52" x14ac:dyDescent="0.3">
      <c r="A4089" t="s">
        <v>52</v>
      </c>
      <c r="B4089" t="s">
        <v>53</v>
      </c>
      <c r="C4089" t="s">
        <v>54</v>
      </c>
      <c r="D4089" t="s">
        <v>55</v>
      </c>
      <c r="E4089" t="s">
        <v>2206</v>
      </c>
      <c r="F4089" t="s">
        <v>1247</v>
      </c>
      <c r="G4089" t="s">
        <v>1459</v>
      </c>
      <c r="H4089" t="s">
        <v>1460</v>
      </c>
      <c r="I4089" t="s">
        <v>1460</v>
      </c>
      <c r="J4089" t="s">
        <v>60</v>
      </c>
      <c r="K4089" t="s">
        <v>431</v>
      </c>
      <c r="L4089" t="s">
        <v>62</v>
      </c>
      <c r="M4089" t="s">
        <v>431</v>
      </c>
      <c r="N4089" t="s">
        <v>1461</v>
      </c>
      <c r="O4089" t="s">
        <v>1462</v>
      </c>
      <c r="P4089">
        <v>-20.170182</v>
      </c>
      <c r="Q4089">
        <v>-44.922556999999998</v>
      </c>
      <c r="R4089" s="2" t="str">
        <f>HYPERLINK("https://www.google.com/maps?q=-20.1701820,-44.9225570","Abrir no Google Maps")</f>
        <v>Abrir no Google Maps</v>
      </c>
      <c r="S4089">
        <v>2</v>
      </c>
      <c r="T4089">
        <v>1189.3885679843149</v>
      </c>
      <c r="U4089">
        <v>1</v>
      </c>
      <c r="V4089">
        <v>0.25304286145406168</v>
      </c>
      <c r="W4089">
        <v>0.85</v>
      </c>
      <c r="X4089">
        <v>0.21508643223595239</v>
      </c>
      <c r="Y4089">
        <v>723</v>
      </c>
      <c r="Z4089">
        <v>961.89164604479117</v>
      </c>
      <c r="AA4089">
        <v>198</v>
      </c>
      <c r="AB4089">
        <v>332</v>
      </c>
      <c r="AC4089">
        <v>536</v>
      </c>
      <c r="AD4089">
        <v>33.19</v>
      </c>
      <c r="AE4089">
        <v>542</v>
      </c>
      <c r="AF4089">
        <v>41</v>
      </c>
      <c r="AG4089">
        <v>175</v>
      </c>
      <c r="AH4089">
        <v>129</v>
      </c>
      <c r="AI4089">
        <v>7.56</v>
      </c>
      <c r="AJ4089">
        <v>32.29</v>
      </c>
      <c r="AK4089">
        <v>23.8</v>
      </c>
      <c r="AL4089">
        <v>-20.169385449999961</v>
      </c>
      <c r="AM4089">
        <v>-44.922107101898007</v>
      </c>
      <c r="AN4089">
        <v>-20.169385449999961</v>
      </c>
      <c r="AO4089">
        <v>-44.922107101898007</v>
      </c>
      <c r="AP4089">
        <v>-20.170182</v>
      </c>
      <c r="AQ4089">
        <v>-44.922556999999998</v>
      </c>
      <c r="AR4089">
        <v>100.36329580049031</v>
      </c>
      <c r="AS4089" t="s">
        <v>65</v>
      </c>
      <c r="AT4089">
        <v>1</v>
      </c>
      <c r="AU4089" t="s">
        <v>1463</v>
      </c>
      <c r="AV4089" t="s">
        <v>1458</v>
      </c>
      <c r="AW4089" t="s">
        <v>60</v>
      </c>
      <c r="AX4089" t="s">
        <v>68</v>
      </c>
      <c r="AY4089" t="s">
        <v>69</v>
      </c>
      <c r="AZ4089" t="b">
        <v>1</v>
      </c>
    </row>
    <row r="4090" spans="1:52" x14ac:dyDescent="0.3">
      <c r="A4090" t="s">
        <v>52</v>
      </c>
      <c r="B4090" t="s">
        <v>53</v>
      </c>
      <c r="C4090" t="s">
        <v>54</v>
      </c>
      <c r="D4090" t="s">
        <v>55</v>
      </c>
      <c r="E4090" t="s">
        <v>2206</v>
      </c>
      <c r="F4090" t="s">
        <v>1247</v>
      </c>
      <c r="G4090" t="s">
        <v>1559</v>
      </c>
      <c r="H4090" t="s">
        <v>1560</v>
      </c>
      <c r="I4090" t="s">
        <v>1560</v>
      </c>
      <c r="J4090" t="s">
        <v>60</v>
      </c>
      <c r="K4090" t="s">
        <v>61</v>
      </c>
      <c r="L4090" t="s">
        <v>62</v>
      </c>
      <c r="M4090" t="s">
        <v>61</v>
      </c>
      <c r="N4090" t="s">
        <v>1561</v>
      </c>
      <c r="O4090" t="s">
        <v>1562</v>
      </c>
      <c r="P4090">
        <v>-20.154959000000002</v>
      </c>
      <c r="Q4090">
        <v>-44.91525</v>
      </c>
      <c r="R4090" s="2" t="str">
        <f>HYPERLINK("https://www.google.com/maps?q=-20.1549590,-44.9152500","Abrir no Google Maps")</f>
        <v>Abrir no Google Maps</v>
      </c>
      <c r="S4090">
        <v>2</v>
      </c>
      <c r="T4090">
        <v>738.36411213380245</v>
      </c>
      <c r="U4090">
        <v>1</v>
      </c>
      <c r="V4090">
        <v>0</v>
      </c>
      <c r="W4090">
        <v>0.85</v>
      </c>
      <c r="X4090">
        <v>0</v>
      </c>
      <c r="Y4090">
        <v>639</v>
      </c>
      <c r="Z4090">
        <v>860.82840850294542</v>
      </c>
      <c r="AA4090">
        <v>198</v>
      </c>
      <c r="AB4090">
        <v>332</v>
      </c>
      <c r="AC4090">
        <v>536</v>
      </c>
      <c r="AD4090">
        <v>33.19</v>
      </c>
      <c r="AE4090">
        <v>542</v>
      </c>
      <c r="AF4090">
        <v>41</v>
      </c>
      <c r="AG4090">
        <v>175</v>
      </c>
      <c r="AH4090">
        <v>129</v>
      </c>
      <c r="AI4090">
        <v>7.56</v>
      </c>
      <c r="AJ4090">
        <v>32.29</v>
      </c>
      <c r="AK4090">
        <v>23.8</v>
      </c>
      <c r="AL4090">
        <v>-20.154629849999939</v>
      </c>
      <c r="AM4090">
        <v>-44.914951620624052</v>
      </c>
      <c r="AN4090">
        <v>-20.154629849999939</v>
      </c>
      <c r="AO4090">
        <v>-44.914951620624052</v>
      </c>
      <c r="AP4090">
        <v>-20.154959000000002</v>
      </c>
      <c r="AQ4090">
        <v>-44.91525</v>
      </c>
      <c r="AR4090">
        <v>48.11297170616912</v>
      </c>
      <c r="AS4090" t="s">
        <v>65</v>
      </c>
      <c r="AT4090">
        <v>1</v>
      </c>
      <c r="AU4090" t="s">
        <v>1563</v>
      </c>
      <c r="AV4090" t="s">
        <v>1564</v>
      </c>
      <c r="AW4090" t="s">
        <v>60</v>
      </c>
      <c r="AX4090" t="s">
        <v>68</v>
      </c>
      <c r="AY4090" t="s">
        <v>69</v>
      </c>
      <c r="AZ4090" t="b">
        <v>1</v>
      </c>
    </row>
    <row r="4091" spans="1:52" x14ac:dyDescent="0.3">
      <c r="A4091" t="s">
        <v>52</v>
      </c>
      <c r="B4091" t="s">
        <v>53</v>
      </c>
      <c r="C4091" t="s">
        <v>54</v>
      </c>
      <c r="D4091" t="s">
        <v>55</v>
      </c>
      <c r="E4091" t="s">
        <v>2206</v>
      </c>
      <c r="F4091" t="s">
        <v>1247</v>
      </c>
      <c r="G4091" t="s">
        <v>1607</v>
      </c>
      <c r="H4091" t="s">
        <v>1608</v>
      </c>
      <c r="I4091" t="s">
        <v>1608</v>
      </c>
      <c r="J4091" t="s">
        <v>60</v>
      </c>
      <c r="K4091" t="s">
        <v>1486</v>
      </c>
      <c r="L4091" t="s">
        <v>62</v>
      </c>
      <c r="M4091" t="s">
        <v>1486</v>
      </c>
      <c r="N4091" t="s">
        <v>1609</v>
      </c>
      <c r="O4091" t="s">
        <v>1255</v>
      </c>
      <c r="P4091">
        <v>-20.157689000000001</v>
      </c>
      <c r="Q4091">
        <v>-44.883887000000001</v>
      </c>
      <c r="R4091" s="2" t="str">
        <f>HYPERLINK("https://www.google.com/maps?q=-20.1576890,-44.8838870","Abrir no Google Maps")</f>
        <v>Abrir no Google Maps</v>
      </c>
      <c r="S4091">
        <v>1</v>
      </c>
      <c r="T4091">
        <v>603.38424821205774</v>
      </c>
      <c r="U4091">
        <v>4</v>
      </c>
      <c r="V4091">
        <v>0.4266799776348828</v>
      </c>
      <c r="W4091">
        <v>1</v>
      </c>
      <c r="X4091">
        <v>0.4266799776348828</v>
      </c>
      <c r="Y4091">
        <v>671</v>
      </c>
      <c r="Z4091">
        <v>682.48636898467089</v>
      </c>
      <c r="AA4091">
        <v>198</v>
      </c>
      <c r="AB4091">
        <v>332</v>
      </c>
      <c r="AC4091">
        <v>536</v>
      </c>
      <c r="AD4091">
        <v>33.19</v>
      </c>
      <c r="AE4091">
        <v>542</v>
      </c>
      <c r="AF4091">
        <v>41</v>
      </c>
      <c r="AG4091">
        <v>175</v>
      </c>
      <c r="AH4091">
        <v>129</v>
      </c>
      <c r="AI4091">
        <v>7.56</v>
      </c>
      <c r="AJ4091">
        <v>32.29</v>
      </c>
      <c r="AK4091">
        <v>23.8</v>
      </c>
      <c r="AL4091">
        <v>-20.157732249999949</v>
      </c>
      <c r="AM4091">
        <v>-44.883829923283272</v>
      </c>
      <c r="AN4091">
        <v>-20.157732249999949</v>
      </c>
      <c r="AO4091">
        <v>-44.883829923283272</v>
      </c>
      <c r="AP4091">
        <v>-20.157689000000001</v>
      </c>
      <c r="AQ4091">
        <v>-44.883887000000001</v>
      </c>
      <c r="AR4091">
        <v>7.6652901074925257</v>
      </c>
      <c r="AS4091" t="s">
        <v>65</v>
      </c>
      <c r="AT4091">
        <v>1</v>
      </c>
      <c r="AU4091" t="s">
        <v>1610</v>
      </c>
      <c r="AV4091" t="s">
        <v>1611</v>
      </c>
      <c r="AW4091" t="s">
        <v>60</v>
      </c>
      <c r="AX4091" t="s">
        <v>68</v>
      </c>
      <c r="AY4091" t="s">
        <v>69</v>
      </c>
      <c r="AZ4091" t="b">
        <v>1</v>
      </c>
    </row>
    <row r="4092" spans="1:52" x14ac:dyDescent="0.3">
      <c r="A4092" t="s">
        <v>52</v>
      </c>
      <c r="B4092" t="s">
        <v>53</v>
      </c>
      <c r="C4092" t="s">
        <v>54</v>
      </c>
      <c r="D4092" t="s">
        <v>55</v>
      </c>
      <c r="E4092" t="s">
        <v>2206</v>
      </c>
      <c r="F4092" t="s">
        <v>1247</v>
      </c>
      <c r="G4092" t="s">
        <v>631</v>
      </c>
      <c r="H4092" t="s">
        <v>1565</v>
      </c>
      <c r="I4092" t="s">
        <v>1565</v>
      </c>
      <c r="J4092" t="s">
        <v>60</v>
      </c>
      <c r="K4092" t="s">
        <v>530</v>
      </c>
      <c r="L4092" t="s">
        <v>62</v>
      </c>
      <c r="M4092" t="s">
        <v>530</v>
      </c>
      <c r="N4092" t="s">
        <v>633</v>
      </c>
      <c r="O4092" t="s">
        <v>1566</v>
      </c>
      <c r="P4092">
        <v>-20.143915</v>
      </c>
      <c r="Q4092">
        <v>-44.8947</v>
      </c>
      <c r="R4092" s="2" t="str">
        <f>HYPERLINK("https://www.google.com/maps?q=-20.1439150,-44.8947000","Abrir no Google Maps")</f>
        <v>Abrir no Google Maps</v>
      </c>
      <c r="S4092">
        <v>1</v>
      </c>
      <c r="T4092">
        <v>327.74435325417051</v>
      </c>
      <c r="U4092">
        <v>1</v>
      </c>
      <c r="V4092">
        <v>0.21538397525770439</v>
      </c>
      <c r="W4092">
        <v>1</v>
      </c>
      <c r="X4092">
        <v>0.21538397525770439</v>
      </c>
      <c r="Y4092">
        <v>602</v>
      </c>
      <c r="Z4092">
        <v>236.41345279429891</v>
      </c>
      <c r="AA4092">
        <v>198</v>
      </c>
      <c r="AB4092">
        <v>332</v>
      </c>
      <c r="AC4092">
        <v>536</v>
      </c>
      <c r="AD4092">
        <v>33.19</v>
      </c>
      <c r="AE4092">
        <v>542</v>
      </c>
      <c r="AF4092">
        <v>41</v>
      </c>
      <c r="AG4092">
        <v>175</v>
      </c>
      <c r="AH4092">
        <v>129</v>
      </c>
      <c r="AI4092">
        <v>7.56</v>
      </c>
      <c r="AJ4092">
        <v>32.29</v>
      </c>
      <c r="AK4092">
        <v>23.8</v>
      </c>
      <c r="AL4092">
        <v>-20.143900549999959</v>
      </c>
      <c r="AM4092">
        <v>-44.894835636584318</v>
      </c>
      <c r="AN4092">
        <v>-20.143900549999959</v>
      </c>
      <c r="AO4092">
        <v>-44.894835636584318</v>
      </c>
      <c r="AP4092">
        <v>-20.143915</v>
      </c>
      <c r="AQ4092">
        <v>-44.8947</v>
      </c>
      <c r="AR4092">
        <v>14.266440053785869</v>
      </c>
      <c r="AS4092" t="s">
        <v>65</v>
      </c>
      <c r="AT4092">
        <v>1</v>
      </c>
      <c r="AU4092" t="s">
        <v>1567</v>
      </c>
      <c r="AV4092" t="s">
        <v>1568</v>
      </c>
      <c r="AW4092" t="s">
        <v>60</v>
      </c>
      <c r="AX4092" t="s">
        <v>68</v>
      </c>
      <c r="AY4092" t="s">
        <v>69</v>
      </c>
      <c r="AZ4092" t="b">
        <v>1</v>
      </c>
    </row>
    <row r="4093" spans="1:52" x14ac:dyDescent="0.3">
      <c r="A4093" t="s">
        <v>52</v>
      </c>
      <c r="B4093" t="s">
        <v>53</v>
      </c>
      <c r="C4093" t="s">
        <v>54</v>
      </c>
      <c r="D4093" t="s">
        <v>55</v>
      </c>
      <c r="E4093" t="s">
        <v>2206</v>
      </c>
      <c r="F4093" t="s">
        <v>1247</v>
      </c>
      <c r="G4093" t="s">
        <v>1569</v>
      </c>
      <c r="H4093" t="s">
        <v>1570</v>
      </c>
      <c r="I4093" t="s">
        <v>1570</v>
      </c>
      <c r="J4093" t="s">
        <v>60</v>
      </c>
      <c r="K4093" t="s">
        <v>530</v>
      </c>
      <c r="L4093" t="s">
        <v>62</v>
      </c>
      <c r="M4093" t="s">
        <v>530</v>
      </c>
      <c r="N4093" t="s">
        <v>1571</v>
      </c>
      <c r="O4093" t="s">
        <v>598</v>
      </c>
      <c r="P4093">
        <v>-20.146418000000001</v>
      </c>
      <c r="Q4093">
        <v>-44.893861999999999</v>
      </c>
      <c r="R4093" s="2" t="str">
        <f>HYPERLINK("https://www.google.com/maps?q=-20.1464180,-44.8938620","Abrir no Google Maps")</f>
        <v>Abrir no Google Maps</v>
      </c>
      <c r="S4093">
        <v>1</v>
      </c>
      <c r="T4093">
        <v>0</v>
      </c>
      <c r="U4093">
        <v>1</v>
      </c>
      <c r="V4093">
        <v>0.2165008753419447</v>
      </c>
      <c r="W4093">
        <v>0.85</v>
      </c>
      <c r="X4093">
        <v>0.184025744040653</v>
      </c>
      <c r="Y4093">
        <v>602</v>
      </c>
      <c r="Z4093">
        <v>124.5475134899211</v>
      </c>
      <c r="AA4093">
        <v>198</v>
      </c>
      <c r="AB4093">
        <v>332</v>
      </c>
      <c r="AC4093">
        <v>536</v>
      </c>
      <c r="AD4093">
        <v>33.19</v>
      </c>
      <c r="AE4093">
        <v>542</v>
      </c>
      <c r="AF4093">
        <v>41</v>
      </c>
      <c r="AG4093">
        <v>175</v>
      </c>
      <c r="AH4093">
        <v>129</v>
      </c>
      <c r="AI4093">
        <v>7.56</v>
      </c>
      <c r="AJ4093">
        <v>32.29</v>
      </c>
      <c r="AK4093">
        <v>23.8</v>
      </c>
      <c r="AL4093">
        <v>-20.146753399999941</v>
      </c>
      <c r="AM4093">
        <v>-44.893993355901941</v>
      </c>
      <c r="AN4093">
        <v>-20.146753399999941</v>
      </c>
      <c r="AO4093">
        <v>-44.893993355901941</v>
      </c>
      <c r="AP4093">
        <v>-20.146418000000001</v>
      </c>
      <c r="AQ4093">
        <v>-44.893861999999999</v>
      </c>
      <c r="AR4093">
        <v>39.780457157851913</v>
      </c>
      <c r="AS4093" t="s">
        <v>65</v>
      </c>
      <c r="AT4093">
        <v>1</v>
      </c>
      <c r="AU4093" t="s">
        <v>1572</v>
      </c>
      <c r="AV4093" t="s">
        <v>1573</v>
      </c>
      <c r="AW4093" t="s">
        <v>60</v>
      </c>
      <c r="AX4093" t="s">
        <v>68</v>
      </c>
      <c r="AY4093" t="s">
        <v>69</v>
      </c>
      <c r="AZ4093" t="b">
        <v>1</v>
      </c>
    </row>
    <row r="4094" spans="1:52" x14ac:dyDescent="0.3">
      <c r="A4094" t="s">
        <v>52</v>
      </c>
      <c r="B4094" t="s">
        <v>53</v>
      </c>
      <c r="C4094" t="s">
        <v>54</v>
      </c>
      <c r="D4094" t="s">
        <v>55</v>
      </c>
      <c r="E4094" t="s">
        <v>2206</v>
      </c>
      <c r="F4094" t="s">
        <v>1247</v>
      </c>
      <c r="G4094" t="s">
        <v>1569</v>
      </c>
      <c r="H4094" t="s">
        <v>1574</v>
      </c>
      <c r="I4094" t="s">
        <v>1574</v>
      </c>
      <c r="J4094" t="s">
        <v>60</v>
      </c>
      <c r="K4094" t="s">
        <v>530</v>
      </c>
      <c r="L4094" t="s">
        <v>62</v>
      </c>
      <c r="M4094" t="s">
        <v>530</v>
      </c>
      <c r="N4094" t="s">
        <v>1571</v>
      </c>
      <c r="O4094" t="s">
        <v>1575</v>
      </c>
      <c r="P4094">
        <v>-20.14554</v>
      </c>
      <c r="Q4094">
        <v>-44.895606000000001</v>
      </c>
      <c r="R4094" s="2" t="str">
        <f>HYPERLINK("https://www.google.com/maps?q=-20.1455400,-44.8956060","Abrir no Google Maps")</f>
        <v>Abrir no Google Maps</v>
      </c>
      <c r="S4094">
        <v>1</v>
      </c>
      <c r="T4094">
        <v>218.66647838959381</v>
      </c>
      <c r="U4094">
        <v>1</v>
      </c>
      <c r="V4094">
        <v>0.2317394336620644</v>
      </c>
      <c r="W4094">
        <v>1</v>
      </c>
      <c r="X4094">
        <v>0.2317394336620644</v>
      </c>
      <c r="Y4094">
        <v>602</v>
      </c>
      <c r="Z4094">
        <v>263.6501043391637</v>
      </c>
      <c r="AA4094">
        <v>198</v>
      </c>
      <c r="AB4094">
        <v>332</v>
      </c>
      <c r="AC4094">
        <v>536</v>
      </c>
      <c r="AD4094">
        <v>33.19</v>
      </c>
      <c r="AE4094">
        <v>542</v>
      </c>
      <c r="AF4094">
        <v>41</v>
      </c>
      <c r="AG4094">
        <v>175</v>
      </c>
      <c r="AH4094">
        <v>129</v>
      </c>
      <c r="AI4094">
        <v>7.56</v>
      </c>
      <c r="AJ4094">
        <v>32.29</v>
      </c>
      <c r="AK4094">
        <v>23.8</v>
      </c>
      <c r="AL4094">
        <v>-20.145504749999962</v>
      </c>
      <c r="AM4094">
        <v>-44.89561499588882</v>
      </c>
      <c r="AN4094">
        <v>-20.145504749999962</v>
      </c>
      <c r="AO4094">
        <v>-44.89561499588882</v>
      </c>
      <c r="AP4094">
        <v>-20.14554</v>
      </c>
      <c r="AQ4094">
        <v>-44.895606000000001</v>
      </c>
      <c r="AR4094">
        <v>4.0350843151508604</v>
      </c>
      <c r="AS4094" t="s">
        <v>65</v>
      </c>
      <c r="AT4094">
        <v>1</v>
      </c>
      <c r="AU4094" t="s">
        <v>1576</v>
      </c>
      <c r="AV4094" t="s">
        <v>1577</v>
      </c>
      <c r="AW4094" t="s">
        <v>60</v>
      </c>
      <c r="AX4094" t="s">
        <v>68</v>
      </c>
      <c r="AY4094" t="s">
        <v>69</v>
      </c>
      <c r="AZ4094" t="b">
        <v>1</v>
      </c>
    </row>
    <row r="4095" spans="1:52" x14ac:dyDescent="0.3">
      <c r="A4095" t="s">
        <v>52</v>
      </c>
      <c r="B4095" t="s">
        <v>53</v>
      </c>
      <c r="C4095" t="s">
        <v>54</v>
      </c>
      <c r="D4095" t="s">
        <v>55</v>
      </c>
      <c r="E4095" t="s">
        <v>2206</v>
      </c>
      <c r="F4095" t="s">
        <v>1247</v>
      </c>
      <c r="G4095" t="s">
        <v>1578</v>
      </c>
      <c r="H4095" t="s">
        <v>1579</v>
      </c>
      <c r="I4095" t="s">
        <v>1579</v>
      </c>
      <c r="J4095" t="s">
        <v>60</v>
      </c>
      <c r="K4095" t="s">
        <v>530</v>
      </c>
      <c r="L4095" t="s">
        <v>62</v>
      </c>
      <c r="M4095" t="s">
        <v>530</v>
      </c>
      <c r="N4095" t="s">
        <v>1580</v>
      </c>
      <c r="O4095" t="s">
        <v>1581</v>
      </c>
      <c r="P4095">
        <v>-20.143713999999999</v>
      </c>
      <c r="Q4095">
        <v>-44.897387999999999</v>
      </c>
      <c r="R4095" s="2" t="str">
        <f>HYPERLINK("https://www.google.com/maps?q=-20.1437140,-44.8973880","Abrir no Google Maps")</f>
        <v>Abrir no Google Maps</v>
      </c>
      <c r="S4095">
        <v>1</v>
      </c>
      <c r="T4095">
        <v>354.74438118735611</v>
      </c>
      <c r="U4095">
        <v>1</v>
      </c>
      <c r="V4095">
        <v>0.2016749024136664</v>
      </c>
      <c r="W4095">
        <v>1</v>
      </c>
      <c r="X4095">
        <v>0.2016749024136664</v>
      </c>
      <c r="Y4095">
        <v>588</v>
      </c>
      <c r="Z4095">
        <v>336.29881064197872</v>
      </c>
      <c r="AA4095">
        <v>198</v>
      </c>
      <c r="AB4095">
        <v>332</v>
      </c>
      <c r="AC4095">
        <v>536</v>
      </c>
      <c r="AD4095">
        <v>33.19</v>
      </c>
      <c r="AE4095">
        <v>542</v>
      </c>
      <c r="AF4095">
        <v>41</v>
      </c>
      <c r="AG4095">
        <v>175</v>
      </c>
      <c r="AH4095">
        <v>129</v>
      </c>
      <c r="AI4095">
        <v>7.56</v>
      </c>
      <c r="AJ4095">
        <v>32.29</v>
      </c>
      <c r="AK4095">
        <v>23.8</v>
      </c>
      <c r="AL4095">
        <v>-20.14371329999997</v>
      </c>
      <c r="AM4095">
        <v>-44.897384604125257</v>
      </c>
      <c r="AN4095">
        <v>-20.14371329999997</v>
      </c>
      <c r="AO4095">
        <v>-44.897384604125257</v>
      </c>
      <c r="AP4095">
        <v>-20.143713999999999</v>
      </c>
      <c r="AQ4095">
        <v>-44.897387999999999</v>
      </c>
      <c r="AR4095">
        <v>0.36335934693921551</v>
      </c>
      <c r="AS4095" t="s">
        <v>65</v>
      </c>
      <c r="AT4095">
        <v>1</v>
      </c>
      <c r="AU4095" t="s">
        <v>1582</v>
      </c>
      <c r="AV4095" t="s">
        <v>1583</v>
      </c>
      <c r="AW4095" t="s">
        <v>60</v>
      </c>
      <c r="AX4095" t="s">
        <v>68</v>
      </c>
      <c r="AY4095" t="s">
        <v>69</v>
      </c>
      <c r="AZ4095" t="b">
        <v>1</v>
      </c>
    </row>
    <row r="4096" spans="1:52" x14ac:dyDescent="0.3">
      <c r="A4096" t="s">
        <v>52</v>
      </c>
      <c r="B4096" t="s">
        <v>53</v>
      </c>
      <c r="C4096" t="s">
        <v>54</v>
      </c>
      <c r="D4096" t="s">
        <v>55</v>
      </c>
      <c r="E4096" t="s">
        <v>2206</v>
      </c>
      <c r="F4096" t="s">
        <v>1247</v>
      </c>
      <c r="G4096" t="s">
        <v>1584</v>
      </c>
      <c r="H4096" t="s">
        <v>1585</v>
      </c>
      <c r="I4096" t="s">
        <v>1585</v>
      </c>
      <c r="J4096" t="s">
        <v>60</v>
      </c>
      <c r="K4096" t="s">
        <v>530</v>
      </c>
      <c r="L4096" t="s">
        <v>62</v>
      </c>
      <c r="M4096" t="s">
        <v>530</v>
      </c>
      <c r="N4096" t="s">
        <v>406</v>
      </c>
      <c r="O4096" t="s">
        <v>1586</v>
      </c>
      <c r="P4096">
        <v>-20.141316</v>
      </c>
      <c r="Q4096">
        <v>-44.896424000000003</v>
      </c>
      <c r="R4096" s="2" t="str">
        <f>HYPERLINK("https://www.google.com/maps?q=-20.1413160,-44.8964240","Abrir no Google Maps")</f>
        <v>Abrir no Google Maps</v>
      </c>
      <c r="S4096">
        <v>1</v>
      </c>
      <c r="T4096">
        <v>236.6687095166524</v>
      </c>
      <c r="U4096">
        <v>1</v>
      </c>
      <c r="V4096">
        <v>0.21556802118900961</v>
      </c>
      <c r="W4096">
        <v>1</v>
      </c>
      <c r="X4096">
        <v>0.21556802118900961</v>
      </c>
      <c r="Y4096">
        <v>588</v>
      </c>
      <c r="Z4096">
        <v>255.50729797374251</v>
      </c>
      <c r="AA4096">
        <v>198</v>
      </c>
      <c r="AB4096">
        <v>332</v>
      </c>
      <c r="AC4096">
        <v>536</v>
      </c>
      <c r="AD4096">
        <v>33.19</v>
      </c>
      <c r="AE4096">
        <v>542</v>
      </c>
      <c r="AF4096">
        <v>41</v>
      </c>
      <c r="AG4096">
        <v>175</v>
      </c>
      <c r="AH4096">
        <v>129</v>
      </c>
      <c r="AI4096">
        <v>7.56</v>
      </c>
      <c r="AJ4096">
        <v>32.29</v>
      </c>
      <c r="AK4096">
        <v>23.8</v>
      </c>
      <c r="AL4096">
        <v>-20.141468299999961</v>
      </c>
      <c r="AM4096">
        <v>-44.896566678331098</v>
      </c>
      <c r="AN4096">
        <v>-20.141468299999961</v>
      </c>
      <c r="AO4096">
        <v>-44.896566678331098</v>
      </c>
      <c r="AP4096">
        <v>-20.141316</v>
      </c>
      <c r="AQ4096">
        <v>-44.896424000000003</v>
      </c>
      <c r="AR4096">
        <v>22.578666373759301</v>
      </c>
      <c r="AS4096" t="s">
        <v>65</v>
      </c>
      <c r="AT4096">
        <v>1</v>
      </c>
      <c r="AU4096" t="s">
        <v>1587</v>
      </c>
      <c r="AV4096" t="s">
        <v>1588</v>
      </c>
      <c r="AW4096" t="s">
        <v>60</v>
      </c>
      <c r="AX4096" t="s">
        <v>68</v>
      </c>
      <c r="AY4096" t="s">
        <v>69</v>
      </c>
      <c r="AZ4096" t="b">
        <v>1</v>
      </c>
    </row>
    <row r="4097" spans="1:52" x14ac:dyDescent="0.3">
      <c r="A4097" t="s">
        <v>52</v>
      </c>
      <c r="B4097" t="s">
        <v>53</v>
      </c>
      <c r="C4097" t="s">
        <v>54</v>
      </c>
      <c r="D4097" t="s">
        <v>55</v>
      </c>
      <c r="E4097" t="s">
        <v>2206</v>
      </c>
      <c r="F4097" t="s">
        <v>1247</v>
      </c>
      <c r="G4097" t="s">
        <v>1589</v>
      </c>
      <c r="H4097" t="s">
        <v>1590</v>
      </c>
      <c r="I4097" t="s">
        <v>1590</v>
      </c>
      <c r="J4097" t="s">
        <v>60</v>
      </c>
      <c r="K4097" t="s">
        <v>1591</v>
      </c>
      <c r="L4097" t="s">
        <v>62</v>
      </c>
      <c r="M4097" t="s">
        <v>1591</v>
      </c>
      <c r="N4097" t="s">
        <v>1592</v>
      </c>
      <c r="O4097" t="s">
        <v>659</v>
      </c>
      <c r="P4097">
        <v>-20.140789000000002</v>
      </c>
      <c r="Q4097">
        <v>-44.898631000000002</v>
      </c>
      <c r="R4097" s="2" t="str">
        <f>HYPERLINK("https://www.google.com/maps?q=-20.1407890,-44.8986310","Abrir no Google Maps")</f>
        <v>Abrir no Google Maps</v>
      </c>
      <c r="S4097">
        <v>1</v>
      </c>
      <c r="T4097">
        <v>0</v>
      </c>
      <c r="U4097">
        <v>1</v>
      </c>
      <c r="V4097">
        <v>0.25549867070484461</v>
      </c>
      <c r="W4097">
        <v>1</v>
      </c>
      <c r="X4097">
        <v>0.25549867070484461</v>
      </c>
      <c r="Y4097">
        <v>588</v>
      </c>
      <c r="Z4097">
        <v>51.152636251897107</v>
      </c>
      <c r="AA4097">
        <v>198</v>
      </c>
      <c r="AB4097">
        <v>332</v>
      </c>
      <c r="AC4097">
        <v>536</v>
      </c>
      <c r="AD4097">
        <v>33.19</v>
      </c>
      <c r="AE4097">
        <v>542</v>
      </c>
      <c r="AF4097">
        <v>41</v>
      </c>
      <c r="AG4097">
        <v>175</v>
      </c>
      <c r="AH4097">
        <v>129</v>
      </c>
      <c r="AI4097">
        <v>7.56</v>
      </c>
      <c r="AJ4097">
        <v>32.29</v>
      </c>
      <c r="AK4097">
        <v>23.8</v>
      </c>
      <c r="AL4097">
        <v>-20.140759399999951</v>
      </c>
      <c r="AM4097">
        <v>-44.898703172474903</v>
      </c>
      <c r="AN4097">
        <v>-20.140759399999951</v>
      </c>
      <c r="AO4097">
        <v>-44.898703172474903</v>
      </c>
      <c r="AP4097">
        <v>-20.140789000000002</v>
      </c>
      <c r="AQ4097">
        <v>-44.898631000000002</v>
      </c>
      <c r="AR4097">
        <v>8.2312502179962053</v>
      </c>
      <c r="AS4097" t="s">
        <v>65</v>
      </c>
      <c r="AT4097">
        <v>1</v>
      </c>
      <c r="AU4097" t="s">
        <v>1593</v>
      </c>
      <c r="AV4097" t="s">
        <v>1594</v>
      </c>
      <c r="AW4097" t="s">
        <v>60</v>
      </c>
      <c r="AX4097" t="s">
        <v>68</v>
      </c>
      <c r="AY4097" t="s">
        <v>69</v>
      </c>
      <c r="AZ4097" t="b">
        <v>1</v>
      </c>
    </row>
    <row r="4098" spans="1:52" x14ac:dyDescent="0.3">
      <c r="A4098" t="s">
        <v>52</v>
      </c>
      <c r="B4098" t="s">
        <v>53</v>
      </c>
      <c r="C4098" t="s">
        <v>54</v>
      </c>
      <c r="D4098" t="s">
        <v>55</v>
      </c>
      <c r="E4098" t="s">
        <v>2206</v>
      </c>
      <c r="F4098" t="s">
        <v>1247</v>
      </c>
      <c r="G4098" t="s">
        <v>1595</v>
      </c>
      <c r="H4098" t="s">
        <v>1596</v>
      </c>
      <c r="I4098" t="s">
        <v>1596</v>
      </c>
      <c r="J4098" t="s">
        <v>60</v>
      </c>
      <c r="K4098" t="s">
        <v>530</v>
      </c>
      <c r="L4098" t="s">
        <v>62</v>
      </c>
      <c r="M4098" t="s">
        <v>530</v>
      </c>
      <c r="N4098" t="s">
        <v>1006</v>
      </c>
      <c r="O4098" t="s">
        <v>1597</v>
      </c>
      <c r="P4098">
        <v>-20.139135</v>
      </c>
      <c r="Q4098">
        <v>-44.895907000000001</v>
      </c>
      <c r="R4098" s="2" t="str">
        <f>HYPERLINK("https://www.google.com/maps?q=-20.1391350,-44.8959070","Abrir no Google Maps")</f>
        <v>Abrir no Google Maps</v>
      </c>
      <c r="S4098">
        <v>1</v>
      </c>
      <c r="T4098">
        <v>324.98342996447241</v>
      </c>
      <c r="U4098">
        <v>1</v>
      </c>
      <c r="V4098">
        <v>0.21797371658150991</v>
      </c>
      <c r="W4098">
        <v>1</v>
      </c>
      <c r="X4098">
        <v>0.21797371658150991</v>
      </c>
      <c r="Y4098">
        <v>588</v>
      </c>
      <c r="Z4098">
        <v>411.69998599301618</v>
      </c>
      <c r="AA4098">
        <v>198</v>
      </c>
      <c r="AB4098">
        <v>332</v>
      </c>
      <c r="AC4098">
        <v>536</v>
      </c>
      <c r="AD4098">
        <v>33.19</v>
      </c>
      <c r="AE4098">
        <v>542</v>
      </c>
      <c r="AF4098">
        <v>41</v>
      </c>
      <c r="AG4098">
        <v>175</v>
      </c>
      <c r="AH4098">
        <v>129</v>
      </c>
      <c r="AI4098">
        <v>7.56</v>
      </c>
      <c r="AJ4098">
        <v>32.29</v>
      </c>
      <c r="AK4098">
        <v>23.8</v>
      </c>
      <c r="AL4098">
        <v>-20.139299649999941</v>
      </c>
      <c r="AM4098">
        <v>-44.896005009217312</v>
      </c>
      <c r="AN4098">
        <v>-20.139299649999941</v>
      </c>
      <c r="AO4098">
        <v>-44.896005009217312</v>
      </c>
      <c r="AP4098">
        <v>-20.139135</v>
      </c>
      <c r="AQ4098">
        <v>-44.895907000000001</v>
      </c>
      <c r="AR4098">
        <v>20.996943428875841</v>
      </c>
      <c r="AS4098" t="s">
        <v>65</v>
      </c>
      <c r="AT4098">
        <v>1</v>
      </c>
      <c r="AU4098" t="s">
        <v>1598</v>
      </c>
      <c r="AV4098" t="s">
        <v>1599</v>
      </c>
      <c r="AW4098" t="s">
        <v>60</v>
      </c>
      <c r="AX4098" t="s">
        <v>68</v>
      </c>
      <c r="AY4098" t="s">
        <v>69</v>
      </c>
      <c r="AZ4098" t="b">
        <v>1</v>
      </c>
    </row>
    <row r="4099" spans="1:52" x14ac:dyDescent="0.3">
      <c r="A4099" t="s">
        <v>52</v>
      </c>
      <c r="B4099" t="s">
        <v>53</v>
      </c>
      <c r="C4099" t="s">
        <v>54</v>
      </c>
      <c r="D4099" t="s">
        <v>55</v>
      </c>
      <c r="E4099" t="s">
        <v>2206</v>
      </c>
      <c r="F4099" t="s">
        <v>1247</v>
      </c>
      <c r="G4099" t="s">
        <v>1342</v>
      </c>
      <c r="H4099" t="s">
        <v>1600</v>
      </c>
      <c r="I4099" t="s">
        <v>1600</v>
      </c>
      <c r="J4099" t="s">
        <v>60</v>
      </c>
      <c r="K4099" t="s">
        <v>462</v>
      </c>
      <c r="L4099" t="s">
        <v>62</v>
      </c>
      <c r="M4099" t="s">
        <v>462</v>
      </c>
      <c r="N4099" t="s">
        <v>921</v>
      </c>
      <c r="O4099" t="s">
        <v>1601</v>
      </c>
      <c r="P4099">
        <v>-20.140741999999999</v>
      </c>
      <c r="Q4099">
        <v>-44.902729000000001</v>
      </c>
      <c r="R4099" s="2" t="str">
        <f>HYPERLINK("https://www.google.com/maps?q=-20.1407420,-44.9027290","Abrir no Google Maps")</f>
        <v>Abrir no Google Maps</v>
      </c>
      <c r="S4099">
        <v>1</v>
      </c>
      <c r="T4099">
        <v>373.97936588503438</v>
      </c>
      <c r="U4099">
        <v>1</v>
      </c>
      <c r="V4099">
        <v>0.27690769005438609</v>
      </c>
      <c r="W4099">
        <v>1</v>
      </c>
      <c r="X4099">
        <v>0.27690769005438609</v>
      </c>
      <c r="Y4099">
        <v>588</v>
      </c>
      <c r="Z4099">
        <v>427.55758539734131</v>
      </c>
      <c r="AA4099">
        <v>198</v>
      </c>
      <c r="AB4099">
        <v>332</v>
      </c>
      <c r="AC4099">
        <v>536</v>
      </c>
      <c r="AD4099">
        <v>33.19</v>
      </c>
      <c r="AE4099">
        <v>542</v>
      </c>
      <c r="AF4099">
        <v>41</v>
      </c>
      <c r="AG4099">
        <v>175</v>
      </c>
      <c r="AH4099">
        <v>129</v>
      </c>
      <c r="AI4099">
        <v>7.56</v>
      </c>
      <c r="AJ4099">
        <v>32.29</v>
      </c>
      <c r="AK4099">
        <v>23.8</v>
      </c>
      <c r="AL4099">
        <v>-20.140729549999971</v>
      </c>
      <c r="AM4099">
        <v>-44.902779454814521</v>
      </c>
      <c r="AN4099">
        <v>-20.140729549999971</v>
      </c>
      <c r="AO4099">
        <v>-44.902779454814521</v>
      </c>
      <c r="AP4099">
        <v>-20.140741999999999</v>
      </c>
      <c r="AQ4099">
        <v>-44.902729000000001</v>
      </c>
      <c r="AR4099">
        <v>5.4522610212697993</v>
      </c>
      <c r="AS4099" t="s">
        <v>65</v>
      </c>
      <c r="AT4099">
        <v>1</v>
      </c>
      <c r="AU4099" t="s">
        <v>1602</v>
      </c>
      <c r="AV4099" t="s">
        <v>1603</v>
      </c>
      <c r="AW4099" t="s">
        <v>60</v>
      </c>
      <c r="AX4099" t="s">
        <v>68</v>
      </c>
      <c r="AY4099" t="s">
        <v>69</v>
      </c>
      <c r="AZ4099" t="b">
        <v>1</v>
      </c>
    </row>
    <row r="4100" spans="1:52" x14ac:dyDescent="0.3">
      <c r="A4100" t="s">
        <v>52</v>
      </c>
      <c r="B4100" t="s">
        <v>53</v>
      </c>
      <c r="C4100" t="s">
        <v>54</v>
      </c>
      <c r="D4100" t="s">
        <v>55</v>
      </c>
      <c r="E4100" t="s">
        <v>2206</v>
      </c>
      <c r="F4100" t="s">
        <v>1247</v>
      </c>
      <c r="G4100" t="s">
        <v>1612</v>
      </c>
      <c r="H4100" t="s">
        <v>1613</v>
      </c>
      <c r="I4100" t="s">
        <v>1613</v>
      </c>
      <c r="J4100" t="s">
        <v>60</v>
      </c>
      <c r="K4100" t="s">
        <v>1349</v>
      </c>
      <c r="L4100" t="s">
        <v>62</v>
      </c>
      <c r="M4100" t="s">
        <v>1349</v>
      </c>
      <c r="N4100" t="s">
        <v>1614</v>
      </c>
      <c r="O4100" t="s">
        <v>710</v>
      </c>
      <c r="P4100">
        <v>-20.141335999999999</v>
      </c>
      <c r="Q4100">
        <v>-44.901133000000002</v>
      </c>
      <c r="R4100" s="2" t="str">
        <f>HYPERLINK("https://www.google.com/maps?q=-20.1413360,-44.9011330","Abrir no Google Maps")</f>
        <v>Abrir no Google Maps</v>
      </c>
      <c r="S4100">
        <v>1</v>
      </c>
      <c r="T4100">
        <v>257.92927430829218</v>
      </c>
      <c r="U4100">
        <v>1</v>
      </c>
      <c r="V4100">
        <v>0.2546604433107193</v>
      </c>
      <c r="W4100">
        <v>0.85</v>
      </c>
      <c r="X4100">
        <v>0.2164613768141114</v>
      </c>
      <c r="Y4100">
        <v>588</v>
      </c>
      <c r="Z4100">
        <v>252.62617475231269</v>
      </c>
      <c r="AA4100">
        <v>198</v>
      </c>
      <c r="AB4100">
        <v>332</v>
      </c>
      <c r="AC4100">
        <v>536</v>
      </c>
      <c r="AD4100">
        <v>33.19</v>
      </c>
      <c r="AE4100">
        <v>542</v>
      </c>
      <c r="AF4100">
        <v>41</v>
      </c>
      <c r="AG4100">
        <v>175</v>
      </c>
      <c r="AH4100">
        <v>129</v>
      </c>
      <c r="AI4100">
        <v>7.56</v>
      </c>
      <c r="AJ4100">
        <v>32.29</v>
      </c>
      <c r="AK4100">
        <v>23.8</v>
      </c>
      <c r="AL4100">
        <v>-20.141297649999959</v>
      </c>
      <c r="AM4100">
        <v>-44.901104406351408</v>
      </c>
      <c r="AN4100">
        <v>-20.141297649999959</v>
      </c>
      <c r="AO4100">
        <v>-44.901104406351408</v>
      </c>
      <c r="AP4100">
        <v>-20.141335999999999</v>
      </c>
      <c r="AQ4100">
        <v>-44.901133000000002</v>
      </c>
      <c r="AR4100">
        <v>5.211130154459668</v>
      </c>
      <c r="AS4100" t="s">
        <v>65</v>
      </c>
      <c r="AT4100">
        <v>1</v>
      </c>
      <c r="AU4100" t="s">
        <v>1615</v>
      </c>
      <c r="AV4100" t="s">
        <v>1616</v>
      </c>
      <c r="AW4100" t="s">
        <v>60</v>
      </c>
      <c r="AX4100" t="s">
        <v>68</v>
      </c>
      <c r="AY4100" t="s">
        <v>69</v>
      </c>
      <c r="AZ4100" t="b">
        <v>1</v>
      </c>
    </row>
    <row r="4101" spans="1:52" x14ac:dyDescent="0.3">
      <c r="A4101" t="s">
        <v>52</v>
      </c>
      <c r="B4101" t="s">
        <v>53</v>
      </c>
      <c r="C4101" t="s">
        <v>54</v>
      </c>
      <c r="D4101" t="s">
        <v>55</v>
      </c>
      <c r="E4101" t="s">
        <v>2206</v>
      </c>
      <c r="F4101" t="s">
        <v>1247</v>
      </c>
      <c r="G4101" t="s">
        <v>1584</v>
      </c>
      <c r="H4101" t="s">
        <v>1604</v>
      </c>
      <c r="I4101" t="s">
        <v>1604</v>
      </c>
      <c r="J4101" t="s">
        <v>60</v>
      </c>
      <c r="K4101" t="s">
        <v>530</v>
      </c>
      <c r="L4101" t="s">
        <v>62</v>
      </c>
      <c r="M4101" t="s">
        <v>530</v>
      </c>
      <c r="N4101" t="s">
        <v>406</v>
      </c>
      <c r="O4101" t="s">
        <v>1267</v>
      </c>
      <c r="P4101">
        <v>-20.147068000000001</v>
      </c>
      <c r="Q4101">
        <v>-44.898629999999997</v>
      </c>
      <c r="R4101" s="2" t="str">
        <f>HYPERLINK("https://www.google.com/maps?q=-20.1470680,-44.8986300","Abrir no Google Maps")</f>
        <v>Abrir no Google Maps</v>
      </c>
      <c r="S4101">
        <v>1</v>
      </c>
      <c r="T4101">
        <v>468.5580266389448</v>
      </c>
      <c r="U4101">
        <v>1</v>
      </c>
      <c r="V4101">
        <v>0.26615064652698539</v>
      </c>
      <c r="W4101">
        <v>1</v>
      </c>
      <c r="X4101">
        <v>0.26615064652698539</v>
      </c>
      <c r="Y4101">
        <v>556</v>
      </c>
      <c r="Z4101">
        <v>447.77738134922419</v>
      </c>
      <c r="AA4101">
        <v>198</v>
      </c>
      <c r="AB4101">
        <v>332</v>
      </c>
      <c r="AC4101">
        <v>536</v>
      </c>
      <c r="AD4101">
        <v>33.19</v>
      </c>
      <c r="AE4101">
        <v>542</v>
      </c>
      <c r="AF4101">
        <v>41</v>
      </c>
      <c r="AG4101">
        <v>175</v>
      </c>
      <c r="AH4101">
        <v>129</v>
      </c>
      <c r="AI4101">
        <v>7.56</v>
      </c>
      <c r="AJ4101">
        <v>32.29</v>
      </c>
      <c r="AK4101">
        <v>23.8</v>
      </c>
      <c r="AL4101">
        <v>-20.14701759999997</v>
      </c>
      <c r="AM4101">
        <v>-44.898633710342303</v>
      </c>
      <c r="AN4101">
        <v>-20.14701759999997</v>
      </c>
      <c r="AO4101">
        <v>-44.898633710342303</v>
      </c>
      <c r="AP4101">
        <v>-20.147068000000001</v>
      </c>
      <c r="AQ4101">
        <v>-44.898629999999997</v>
      </c>
      <c r="AR4101">
        <v>5.6239118246064832</v>
      </c>
      <c r="AS4101" t="s">
        <v>65</v>
      </c>
      <c r="AT4101">
        <v>1</v>
      </c>
      <c r="AU4101" t="s">
        <v>1605</v>
      </c>
      <c r="AV4101" t="s">
        <v>1606</v>
      </c>
      <c r="AW4101" t="s">
        <v>60</v>
      </c>
      <c r="AX4101" t="s">
        <v>68</v>
      </c>
      <c r="AY4101" t="s">
        <v>69</v>
      </c>
      <c r="AZ4101" t="b">
        <v>1</v>
      </c>
    </row>
    <row r="4102" spans="1:52" x14ac:dyDescent="0.3">
      <c r="A4102" t="s">
        <v>52</v>
      </c>
      <c r="B4102" t="s">
        <v>53</v>
      </c>
      <c r="C4102" t="s">
        <v>54</v>
      </c>
      <c r="D4102" t="s">
        <v>55</v>
      </c>
      <c r="E4102" t="s">
        <v>2222</v>
      </c>
      <c r="F4102" t="s">
        <v>57</v>
      </c>
      <c r="G4102" t="s">
        <v>58</v>
      </c>
      <c r="H4102" t="s">
        <v>59</v>
      </c>
      <c r="I4102" t="s">
        <v>59</v>
      </c>
      <c r="J4102" t="s">
        <v>60</v>
      </c>
      <c r="K4102" t="s">
        <v>61</v>
      </c>
      <c r="L4102" t="s">
        <v>62</v>
      </c>
      <c r="M4102" t="s">
        <v>61</v>
      </c>
      <c r="N4102" t="s">
        <v>63</v>
      </c>
      <c r="O4102" t="s">
        <v>64</v>
      </c>
      <c r="P4102">
        <v>-20.147940999999999</v>
      </c>
      <c r="Q4102">
        <v>-44.906514000000001</v>
      </c>
      <c r="R4102" s="2" t="str">
        <f>HYPERLINK("https://www.google.com/maps?q=-20.1479410,-44.9065140","Abrir no Google Maps")</f>
        <v>Abrir no Google Maps</v>
      </c>
      <c r="S4102">
        <v>4</v>
      </c>
      <c r="T4102">
        <v>308.67004994113421</v>
      </c>
      <c r="U4102">
        <v>4</v>
      </c>
      <c r="V4102">
        <v>0.33664254432188101</v>
      </c>
      <c r="W4102">
        <v>1</v>
      </c>
      <c r="X4102">
        <v>0.33664254432188101</v>
      </c>
      <c r="Y4102">
        <v>747</v>
      </c>
      <c r="Z4102">
        <v>274.71440454502522</v>
      </c>
      <c r="AA4102">
        <v>198</v>
      </c>
      <c r="AB4102">
        <v>332</v>
      </c>
      <c r="AC4102">
        <v>536</v>
      </c>
      <c r="AD4102">
        <v>29.32</v>
      </c>
      <c r="AE4102">
        <v>542</v>
      </c>
      <c r="AF4102">
        <v>27</v>
      </c>
      <c r="AG4102">
        <v>173</v>
      </c>
      <c r="AH4102">
        <v>129</v>
      </c>
      <c r="AI4102">
        <v>4.9800000000000004</v>
      </c>
      <c r="AJ4102">
        <v>31.92</v>
      </c>
      <c r="AK4102">
        <v>23.8</v>
      </c>
      <c r="AL4102">
        <v>-20.147947799999969</v>
      </c>
      <c r="AM4102">
        <v>-44.906591596129203</v>
      </c>
      <c r="AN4102">
        <v>-20.147947799999969</v>
      </c>
      <c r="AO4102">
        <v>-44.906591596129203</v>
      </c>
      <c r="AP4102">
        <v>-20.147940999999999</v>
      </c>
      <c r="AQ4102">
        <v>-44.906514000000001</v>
      </c>
      <c r="AR4102">
        <v>8.1446636170570326</v>
      </c>
      <c r="AS4102" t="s">
        <v>65</v>
      </c>
      <c r="AT4102">
        <v>1</v>
      </c>
      <c r="AU4102" t="s">
        <v>66</v>
      </c>
      <c r="AV4102" t="s">
        <v>67</v>
      </c>
      <c r="AW4102" t="s">
        <v>60</v>
      </c>
      <c r="AX4102" t="s">
        <v>68</v>
      </c>
      <c r="AY4102" t="s">
        <v>69</v>
      </c>
      <c r="AZ4102" t="b">
        <v>1</v>
      </c>
    </row>
    <row r="4103" spans="1:52" x14ac:dyDescent="0.3">
      <c r="A4103" t="s">
        <v>52</v>
      </c>
      <c r="B4103" t="s">
        <v>53</v>
      </c>
      <c r="C4103" t="s">
        <v>54</v>
      </c>
      <c r="D4103" t="s">
        <v>55</v>
      </c>
      <c r="E4103" t="s">
        <v>2222</v>
      </c>
      <c r="F4103" t="s">
        <v>57</v>
      </c>
      <c r="G4103" t="s">
        <v>70</v>
      </c>
      <c r="H4103" t="s">
        <v>71</v>
      </c>
      <c r="I4103" t="s">
        <v>71</v>
      </c>
      <c r="J4103" t="s">
        <v>60</v>
      </c>
      <c r="K4103" t="s">
        <v>72</v>
      </c>
      <c r="L4103" t="s">
        <v>62</v>
      </c>
      <c r="M4103" t="s">
        <v>72</v>
      </c>
      <c r="N4103" t="s">
        <v>73</v>
      </c>
      <c r="O4103" t="s">
        <v>74</v>
      </c>
      <c r="P4103">
        <v>-20.149349000000001</v>
      </c>
      <c r="Q4103">
        <v>-44.910784</v>
      </c>
      <c r="R4103" s="2" t="str">
        <f>HYPERLINK("https://www.google.com/maps?q=-20.1493490,-44.9107840","Abrir no Google Maps")</f>
        <v>Abrir no Google Maps</v>
      </c>
      <c r="S4103">
        <v>4</v>
      </c>
      <c r="T4103">
        <v>472.43876549769578</v>
      </c>
      <c r="U4103">
        <v>4</v>
      </c>
      <c r="V4103">
        <v>0.33968023255813951</v>
      </c>
      <c r="W4103">
        <v>1</v>
      </c>
      <c r="X4103">
        <v>0.33968023255813951</v>
      </c>
      <c r="Y4103">
        <v>747</v>
      </c>
      <c r="Z4103">
        <v>441.03921887407779</v>
      </c>
      <c r="AA4103">
        <v>198</v>
      </c>
      <c r="AB4103">
        <v>332</v>
      </c>
      <c r="AC4103">
        <v>536</v>
      </c>
      <c r="AD4103">
        <v>29.32</v>
      </c>
      <c r="AE4103">
        <v>542</v>
      </c>
      <c r="AF4103">
        <v>27</v>
      </c>
      <c r="AG4103">
        <v>173</v>
      </c>
      <c r="AH4103">
        <v>129</v>
      </c>
      <c r="AI4103">
        <v>4.9800000000000004</v>
      </c>
      <c r="AJ4103">
        <v>31.92</v>
      </c>
      <c r="AK4103">
        <v>23.8</v>
      </c>
      <c r="AL4103">
        <v>-20.149403999999951</v>
      </c>
      <c r="AM4103">
        <v>-44.91080895147438</v>
      </c>
      <c r="AN4103">
        <v>-20.149403999999951</v>
      </c>
      <c r="AO4103">
        <v>-44.91080895147438</v>
      </c>
      <c r="AP4103">
        <v>-20.149349000000001</v>
      </c>
      <c r="AQ4103">
        <v>-44.910784</v>
      </c>
      <c r="AR4103">
        <v>6.6547592699416382</v>
      </c>
      <c r="AS4103" t="s">
        <v>65</v>
      </c>
      <c r="AT4103">
        <v>1</v>
      </c>
      <c r="AU4103" t="s">
        <v>75</v>
      </c>
      <c r="AV4103" t="s">
        <v>76</v>
      </c>
      <c r="AW4103" t="s">
        <v>60</v>
      </c>
      <c r="AX4103" t="s">
        <v>68</v>
      </c>
      <c r="AY4103" t="s">
        <v>69</v>
      </c>
      <c r="AZ4103" t="b">
        <v>1</v>
      </c>
    </row>
    <row r="4104" spans="1:52" x14ac:dyDescent="0.3">
      <c r="A4104" t="s">
        <v>52</v>
      </c>
      <c r="B4104" t="s">
        <v>53</v>
      </c>
      <c r="C4104" t="s">
        <v>54</v>
      </c>
      <c r="D4104" t="s">
        <v>55</v>
      </c>
      <c r="E4104" t="s">
        <v>2222</v>
      </c>
      <c r="F4104" t="s">
        <v>57</v>
      </c>
      <c r="G4104" t="s">
        <v>77</v>
      </c>
      <c r="H4104" t="s">
        <v>78</v>
      </c>
      <c r="I4104" t="s">
        <v>78</v>
      </c>
      <c r="J4104" t="s">
        <v>60</v>
      </c>
      <c r="K4104" t="s">
        <v>72</v>
      </c>
      <c r="L4104" t="s">
        <v>62</v>
      </c>
      <c r="M4104" t="s">
        <v>72</v>
      </c>
      <c r="N4104" t="s">
        <v>79</v>
      </c>
      <c r="O4104" t="s">
        <v>80</v>
      </c>
      <c r="P4104">
        <v>-20.147821</v>
      </c>
      <c r="Q4104">
        <v>-44.908887</v>
      </c>
      <c r="R4104" s="2" t="str">
        <f>HYPERLINK("https://www.google.com/maps?q=-20.1478210,-44.9088870","Abrir no Google Maps")</f>
        <v>Abrir no Google Maps</v>
      </c>
      <c r="S4104">
        <v>4</v>
      </c>
      <c r="T4104">
        <v>232.2893841532152</v>
      </c>
      <c r="U4104">
        <v>4</v>
      </c>
      <c r="V4104">
        <v>0.35199952813495339</v>
      </c>
      <c r="W4104">
        <v>1</v>
      </c>
      <c r="X4104">
        <v>0.35199952813495339</v>
      </c>
      <c r="Y4104">
        <v>747</v>
      </c>
      <c r="Z4104">
        <v>195.3668648953757</v>
      </c>
      <c r="AA4104">
        <v>198</v>
      </c>
      <c r="AB4104">
        <v>332</v>
      </c>
      <c r="AC4104">
        <v>536</v>
      </c>
      <c r="AD4104">
        <v>29.32</v>
      </c>
      <c r="AE4104">
        <v>542</v>
      </c>
      <c r="AF4104">
        <v>27</v>
      </c>
      <c r="AG4104">
        <v>173</v>
      </c>
      <c r="AH4104">
        <v>129</v>
      </c>
      <c r="AI4104">
        <v>4.9800000000000004</v>
      </c>
      <c r="AJ4104">
        <v>31.92</v>
      </c>
      <c r="AK4104">
        <v>23.8</v>
      </c>
      <c r="AL4104">
        <v>-20.147802849999952</v>
      </c>
      <c r="AM4104">
        <v>-44.908989919229477</v>
      </c>
      <c r="AN4104">
        <v>-20.147802849999952</v>
      </c>
      <c r="AO4104">
        <v>-44.908989919229491</v>
      </c>
      <c r="AP4104">
        <v>-20.147821</v>
      </c>
      <c r="AQ4104">
        <v>-44.908887</v>
      </c>
      <c r="AR4104">
        <v>10.944007761262529</v>
      </c>
      <c r="AS4104" t="s">
        <v>65</v>
      </c>
      <c r="AT4104">
        <v>1</v>
      </c>
      <c r="AU4104" t="s">
        <v>81</v>
      </c>
      <c r="AV4104" t="s">
        <v>82</v>
      </c>
      <c r="AW4104" t="s">
        <v>60</v>
      </c>
      <c r="AX4104" t="s">
        <v>68</v>
      </c>
      <c r="AY4104" t="s">
        <v>69</v>
      </c>
      <c r="AZ4104" t="b">
        <v>1</v>
      </c>
    </row>
    <row r="4105" spans="1:52" x14ac:dyDescent="0.3">
      <c r="A4105" t="s">
        <v>52</v>
      </c>
      <c r="B4105" t="s">
        <v>53</v>
      </c>
      <c r="C4105" t="s">
        <v>54</v>
      </c>
      <c r="D4105" t="s">
        <v>55</v>
      </c>
      <c r="E4105" t="s">
        <v>2222</v>
      </c>
      <c r="F4105" t="s">
        <v>57</v>
      </c>
      <c r="G4105" t="s">
        <v>89</v>
      </c>
      <c r="H4105" t="s">
        <v>90</v>
      </c>
      <c r="I4105" t="s">
        <v>90</v>
      </c>
      <c r="J4105" t="s">
        <v>60</v>
      </c>
      <c r="K4105" t="s">
        <v>72</v>
      </c>
      <c r="L4105" t="s">
        <v>62</v>
      </c>
      <c r="M4105" t="s">
        <v>72</v>
      </c>
      <c r="N4105" t="s">
        <v>91</v>
      </c>
      <c r="O4105" t="s">
        <v>92</v>
      </c>
      <c r="P4105">
        <v>-20.145848999999998</v>
      </c>
      <c r="Q4105">
        <v>-44.908419000000002</v>
      </c>
      <c r="R4105" s="2" t="str">
        <f>HYPERLINK("https://www.google.com/maps?q=-20.1458490,-44.9084190","Abrir no Google Maps")</f>
        <v>Abrir no Google Maps</v>
      </c>
      <c r="S4105">
        <v>4</v>
      </c>
      <c r="T4105">
        <v>0</v>
      </c>
      <c r="U4105">
        <v>4</v>
      </c>
      <c r="V4105">
        <v>0.33622205077002199</v>
      </c>
      <c r="W4105">
        <v>1</v>
      </c>
      <c r="X4105">
        <v>0.33622205077002199</v>
      </c>
      <c r="Y4105">
        <v>747</v>
      </c>
      <c r="Z4105">
        <v>136.08168502765241</v>
      </c>
      <c r="AA4105">
        <v>198</v>
      </c>
      <c r="AB4105">
        <v>332</v>
      </c>
      <c r="AC4105">
        <v>536</v>
      </c>
      <c r="AD4105">
        <v>29.32</v>
      </c>
      <c r="AE4105">
        <v>542</v>
      </c>
      <c r="AF4105">
        <v>27</v>
      </c>
      <c r="AG4105">
        <v>173</v>
      </c>
      <c r="AH4105">
        <v>129</v>
      </c>
      <c r="AI4105">
        <v>4.9800000000000004</v>
      </c>
      <c r="AJ4105">
        <v>31.92</v>
      </c>
      <c r="AK4105">
        <v>23.8</v>
      </c>
      <c r="AL4105">
        <v>-20.14576979999995</v>
      </c>
      <c r="AM4105">
        <v>-44.908436775053183</v>
      </c>
      <c r="AN4105">
        <v>-20.14576979999995</v>
      </c>
      <c r="AO4105">
        <v>-44.908436775053183</v>
      </c>
      <c r="AP4105">
        <v>-20.145848999999998</v>
      </c>
      <c r="AQ4105">
        <v>-44.908419000000002</v>
      </c>
      <c r="AR4105">
        <v>9.0101247482327356</v>
      </c>
      <c r="AS4105" t="s">
        <v>65</v>
      </c>
      <c r="AT4105">
        <v>1</v>
      </c>
      <c r="AU4105" t="s">
        <v>93</v>
      </c>
      <c r="AV4105" t="s">
        <v>94</v>
      </c>
      <c r="AW4105" t="s">
        <v>60</v>
      </c>
      <c r="AX4105" t="s">
        <v>68</v>
      </c>
      <c r="AY4105" t="s">
        <v>69</v>
      </c>
      <c r="AZ4105" t="b">
        <v>1</v>
      </c>
    </row>
    <row r="4106" spans="1:52" x14ac:dyDescent="0.3">
      <c r="A4106" t="s">
        <v>52</v>
      </c>
      <c r="B4106" t="s">
        <v>53</v>
      </c>
      <c r="C4106" t="s">
        <v>54</v>
      </c>
      <c r="D4106" t="s">
        <v>55</v>
      </c>
      <c r="E4106" t="s">
        <v>2222</v>
      </c>
      <c r="F4106" t="s">
        <v>57</v>
      </c>
      <c r="G4106" t="s">
        <v>95</v>
      </c>
      <c r="H4106" t="s">
        <v>96</v>
      </c>
      <c r="I4106" t="s">
        <v>96</v>
      </c>
      <c r="J4106" t="s">
        <v>60</v>
      </c>
      <c r="K4106" t="s">
        <v>72</v>
      </c>
      <c r="L4106" t="s">
        <v>62</v>
      </c>
      <c r="M4106" t="s">
        <v>72</v>
      </c>
      <c r="N4106" t="s">
        <v>97</v>
      </c>
      <c r="O4106" t="s">
        <v>98</v>
      </c>
      <c r="P4106">
        <v>-20.144062999999999</v>
      </c>
      <c r="Q4106">
        <v>-44.909627999999998</v>
      </c>
      <c r="R4106" s="2" t="str">
        <f>HYPERLINK("https://www.google.com/maps?q=-20.1440630,-44.9096280","Abrir no Google Maps")</f>
        <v>Abrir no Google Maps</v>
      </c>
      <c r="S4106">
        <v>4</v>
      </c>
      <c r="T4106">
        <v>205.27083326529291</v>
      </c>
      <c r="U4106">
        <v>4</v>
      </c>
      <c r="V4106">
        <v>0.33255071358997162</v>
      </c>
      <c r="W4106">
        <v>1</v>
      </c>
      <c r="X4106">
        <v>0.33255071358997162</v>
      </c>
      <c r="Y4106">
        <v>747</v>
      </c>
      <c r="Z4106">
        <v>336.75785483480968</v>
      </c>
      <c r="AA4106">
        <v>198</v>
      </c>
      <c r="AB4106">
        <v>332</v>
      </c>
      <c r="AC4106">
        <v>536</v>
      </c>
      <c r="AD4106">
        <v>29.32</v>
      </c>
      <c r="AE4106">
        <v>542</v>
      </c>
      <c r="AF4106">
        <v>27</v>
      </c>
      <c r="AG4106">
        <v>173</v>
      </c>
      <c r="AH4106">
        <v>129</v>
      </c>
      <c r="AI4106">
        <v>4.9800000000000004</v>
      </c>
      <c r="AJ4106">
        <v>31.92</v>
      </c>
      <c r="AK4106">
        <v>23.8</v>
      </c>
      <c r="AL4106">
        <v>-20.144164099999951</v>
      </c>
      <c r="AM4106">
        <v>-44.909420167767642</v>
      </c>
      <c r="AN4106">
        <v>-20.144164099999951</v>
      </c>
      <c r="AO4106">
        <v>-44.909420167767642</v>
      </c>
      <c r="AP4106">
        <v>-20.144062999999999</v>
      </c>
      <c r="AQ4106">
        <v>-44.909627999999998</v>
      </c>
      <c r="AR4106">
        <v>24.46321571724976</v>
      </c>
      <c r="AS4106" t="s">
        <v>65</v>
      </c>
      <c r="AT4106">
        <v>1</v>
      </c>
      <c r="AU4106" t="s">
        <v>99</v>
      </c>
      <c r="AV4106" t="s">
        <v>94</v>
      </c>
      <c r="AW4106" t="s">
        <v>60</v>
      </c>
      <c r="AX4106" t="s">
        <v>68</v>
      </c>
      <c r="AY4106" t="s">
        <v>69</v>
      </c>
      <c r="AZ4106" t="b">
        <v>1</v>
      </c>
    </row>
    <row r="4107" spans="1:52" x14ac:dyDescent="0.3">
      <c r="A4107" t="s">
        <v>52</v>
      </c>
      <c r="B4107" t="s">
        <v>53</v>
      </c>
      <c r="C4107" t="s">
        <v>54</v>
      </c>
      <c r="D4107" t="s">
        <v>55</v>
      </c>
      <c r="E4107" t="s">
        <v>2222</v>
      </c>
      <c r="F4107" t="s">
        <v>57</v>
      </c>
      <c r="G4107" t="s">
        <v>100</v>
      </c>
      <c r="H4107" t="s">
        <v>101</v>
      </c>
      <c r="I4107" t="s">
        <v>101</v>
      </c>
      <c r="J4107" t="s">
        <v>60</v>
      </c>
      <c r="K4107" t="s">
        <v>61</v>
      </c>
      <c r="L4107" t="s">
        <v>62</v>
      </c>
      <c r="M4107" t="s">
        <v>61</v>
      </c>
      <c r="N4107" t="s">
        <v>102</v>
      </c>
      <c r="O4107" t="s">
        <v>103</v>
      </c>
      <c r="P4107">
        <v>-20.151098999999999</v>
      </c>
      <c r="Q4107">
        <v>-44.909699000000003</v>
      </c>
      <c r="R4107" s="2" t="str">
        <f>HYPERLINK("https://www.google.com/maps?q=-20.1510990,-44.9096990","Abrir no Google Maps")</f>
        <v>Abrir no Google Maps</v>
      </c>
      <c r="S4107">
        <v>4</v>
      </c>
      <c r="T4107">
        <v>628.5023128813533</v>
      </c>
      <c r="U4107">
        <v>4</v>
      </c>
      <c r="V4107">
        <v>0.4189856150793651</v>
      </c>
      <c r="W4107">
        <v>1</v>
      </c>
      <c r="X4107">
        <v>0.4189856150793651</v>
      </c>
      <c r="Y4107">
        <v>747</v>
      </c>
      <c r="Z4107">
        <v>563.16456625265948</v>
      </c>
      <c r="AA4107">
        <v>198</v>
      </c>
      <c r="AB4107">
        <v>332</v>
      </c>
      <c r="AC4107">
        <v>536</v>
      </c>
      <c r="AD4107">
        <v>29.32</v>
      </c>
      <c r="AE4107">
        <v>542</v>
      </c>
      <c r="AF4107">
        <v>27</v>
      </c>
      <c r="AG4107">
        <v>173</v>
      </c>
      <c r="AH4107">
        <v>129</v>
      </c>
      <c r="AI4107">
        <v>4.9800000000000004</v>
      </c>
      <c r="AJ4107">
        <v>31.92</v>
      </c>
      <c r="AK4107">
        <v>23.8</v>
      </c>
      <c r="AL4107">
        <v>-20.151307349999971</v>
      </c>
      <c r="AM4107">
        <v>-44.909772836123523</v>
      </c>
      <c r="AN4107">
        <v>-20.151307349999971</v>
      </c>
      <c r="AO4107">
        <v>-44.909772836123523</v>
      </c>
      <c r="AP4107">
        <v>-20.151098999999999</v>
      </c>
      <c r="AQ4107">
        <v>-44.909699000000003</v>
      </c>
      <c r="AR4107">
        <v>24.443417349564811</v>
      </c>
      <c r="AS4107" t="s">
        <v>65</v>
      </c>
      <c r="AT4107">
        <v>1</v>
      </c>
      <c r="AU4107" t="s">
        <v>104</v>
      </c>
      <c r="AV4107" t="s">
        <v>105</v>
      </c>
      <c r="AW4107" t="s">
        <v>60</v>
      </c>
      <c r="AX4107" t="s">
        <v>68</v>
      </c>
      <c r="AY4107" t="s">
        <v>69</v>
      </c>
      <c r="AZ4107" t="b">
        <v>1</v>
      </c>
    </row>
    <row r="4108" spans="1:52" x14ac:dyDescent="0.3">
      <c r="A4108" t="s">
        <v>52</v>
      </c>
      <c r="B4108" t="s">
        <v>53</v>
      </c>
      <c r="C4108" t="s">
        <v>54</v>
      </c>
      <c r="D4108" t="s">
        <v>55</v>
      </c>
      <c r="E4108" t="s">
        <v>2222</v>
      </c>
      <c r="F4108" t="s">
        <v>57</v>
      </c>
      <c r="G4108" t="s">
        <v>100</v>
      </c>
      <c r="H4108" t="s">
        <v>106</v>
      </c>
      <c r="I4108" t="s">
        <v>106</v>
      </c>
      <c r="J4108" t="s">
        <v>60</v>
      </c>
      <c r="K4108" t="s">
        <v>61</v>
      </c>
      <c r="L4108" t="s">
        <v>62</v>
      </c>
      <c r="M4108" t="s">
        <v>61</v>
      </c>
      <c r="N4108" t="s">
        <v>102</v>
      </c>
      <c r="O4108" t="s">
        <v>103</v>
      </c>
      <c r="P4108">
        <v>-20.151107</v>
      </c>
      <c r="Q4108">
        <v>-44.908918</v>
      </c>
      <c r="R4108" s="2" t="str">
        <f>HYPERLINK("https://www.google.com/maps?q=-20.1511070,-44.9089180","Abrir no Google Maps")</f>
        <v>Abrir no Google Maps</v>
      </c>
      <c r="S4108">
        <v>4</v>
      </c>
      <c r="T4108">
        <v>615.86400245321579</v>
      </c>
      <c r="U4108">
        <v>4</v>
      </c>
      <c r="V4108">
        <v>0.39437044278789363</v>
      </c>
      <c r="W4108">
        <v>0.85</v>
      </c>
      <c r="X4108">
        <v>0.33521487636970959</v>
      </c>
      <c r="Y4108">
        <v>747</v>
      </c>
      <c r="Z4108">
        <v>535.34543763764702</v>
      </c>
      <c r="AA4108">
        <v>198</v>
      </c>
      <c r="AB4108">
        <v>332</v>
      </c>
      <c r="AC4108">
        <v>536</v>
      </c>
      <c r="AD4108">
        <v>29.32</v>
      </c>
      <c r="AE4108">
        <v>542</v>
      </c>
      <c r="AF4108">
        <v>27</v>
      </c>
      <c r="AG4108">
        <v>173</v>
      </c>
      <c r="AH4108">
        <v>129</v>
      </c>
      <c r="AI4108">
        <v>4.9800000000000004</v>
      </c>
      <c r="AJ4108">
        <v>31.92</v>
      </c>
      <c r="AK4108">
        <v>23.8</v>
      </c>
      <c r="AL4108">
        <v>-20.151307349999971</v>
      </c>
      <c r="AM4108">
        <v>-44.909024234051429</v>
      </c>
      <c r="AN4108">
        <v>-20.151307349999971</v>
      </c>
      <c r="AO4108">
        <v>-44.909024234051429</v>
      </c>
      <c r="AP4108">
        <v>-20.151107</v>
      </c>
      <c r="AQ4108">
        <v>-44.908918</v>
      </c>
      <c r="AR4108">
        <v>24.91340747371116</v>
      </c>
      <c r="AS4108" t="s">
        <v>65</v>
      </c>
      <c r="AT4108">
        <v>1</v>
      </c>
      <c r="AU4108" t="s">
        <v>107</v>
      </c>
      <c r="AV4108" t="s">
        <v>105</v>
      </c>
      <c r="AW4108" t="s">
        <v>60</v>
      </c>
      <c r="AX4108" t="s">
        <v>68</v>
      </c>
      <c r="AY4108" t="s">
        <v>69</v>
      </c>
      <c r="AZ4108" t="b">
        <v>1</v>
      </c>
    </row>
    <row r="4109" spans="1:52" x14ac:dyDescent="0.3">
      <c r="A4109" t="s">
        <v>52</v>
      </c>
      <c r="B4109" t="s">
        <v>53</v>
      </c>
      <c r="C4109" t="s">
        <v>54</v>
      </c>
      <c r="D4109" t="s">
        <v>55</v>
      </c>
      <c r="E4109" t="s">
        <v>2222</v>
      </c>
      <c r="F4109" t="s">
        <v>57</v>
      </c>
      <c r="G4109" t="s">
        <v>225</v>
      </c>
      <c r="H4109" t="s">
        <v>226</v>
      </c>
      <c r="I4109" t="s">
        <v>226</v>
      </c>
      <c r="J4109" t="s">
        <v>60</v>
      </c>
      <c r="K4109" t="s">
        <v>227</v>
      </c>
      <c r="L4109" t="s">
        <v>62</v>
      </c>
      <c r="M4109" t="s">
        <v>227</v>
      </c>
      <c r="N4109" t="s">
        <v>228</v>
      </c>
      <c r="O4109" t="s">
        <v>229</v>
      </c>
      <c r="P4109">
        <v>-20.156986</v>
      </c>
      <c r="Q4109">
        <v>-44.857474000000003</v>
      </c>
      <c r="R4109" s="2" t="str">
        <f>HYPERLINK("https://www.google.com/maps?q=-20.1569860,-44.8574740","Abrir no Google Maps")</f>
        <v>Abrir no Google Maps</v>
      </c>
      <c r="S4109">
        <v>4</v>
      </c>
      <c r="T4109">
        <v>270.52797591847911</v>
      </c>
      <c r="U4109">
        <v>4</v>
      </c>
      <c r="V4109">
        <v>0.31975954232591403</v>
      </c>
      <c r="W4109">
        <v>1</v>
      </c>
      <c r="X4109">
        <v>0.31975954232591403</v>
      </c>
      <c r="Y4109">
        <v>518</v>
      </c>
      <c r="Z4109">
        <v>441.86584449256071</v>
      </c>
      <c r="AA4109">
        <v>198</v>
      </c>
      <c r="AB4109">
        <v>332</v>
      </c>
      <c r="AC4109">
        <v>536</v>
      </c>
      <c r="AD4109">
        <v>29.32</v>
      </c>
      <c r="AE4109">
        <v>542</v>
      </c>
      <c r="AF4109">
        <v>27</v>
      </c>
      <c r="AG4109">
        <v>173</v>
      </c>
      <c r="AH4109">
        <v>129</v>
      </c>
      <c r="AI4109">
        <v>4.9800000000000004</v>
      </c>
      <c r="AJ4109">
        <v>31.92</v>
      </c>
      <c r="AK4109">
        <v>23.8</v>
      </c>
      <c r="AL4109">
        <v>-20.156957249999952</v>
      </c>
      <c r="AM4109">
        <v>-44.857396682659299</v>
      </c>
      <c r="AN4109">
        <v>-20.156957249999952</v>
      </c>
      <c r="AO4109">
        <v>-44.857396682659299</v>
      </c>
      <c r="AP4109">
        <v>-20.156986</v>
      </c>
      <c r="AQ4109">
        <v>-44.857474000000003</v>
      </c>
      <c r="AR4109">
        <v>8.6905800579264607</v>
      </c>
      <c r="AS4109" t="s">
        <v>65</v>
      </c>
      <c r="AT4109">
        <v>1</v>
      </c>
      <c r="AU4109" t="s">
        <v>230</v>
      </c>
      <c r="AV4109" t="s">
        <v>231</v>
      </c>
      <c r="AW4109" t="s">
        <v>60</v>
      </c>
      <c r="AX4109" t="s">
        <v>68</v>
      </c>
      <c r="AY4109" t="s">
        <v>69</v>
      </c>
      <c r="AZ4109" t="b">
        <v>1</v>
      </c>
    </row>
    <row r="4110" spans="1:52" x14ac:dyDescent="0.3">
      <c r="A4110" t="s">
        <v>52</v>
      </c>
      <c r="B4110" t="s">
        <v>53</v>
      </c>
      <c r="C4110" t="s">
        <v>54</v>
      </c>
      <c r="D4110" t="s">
        <v>55</v>
      </c>
      <c r="E4110" t="s">
        <v>2222</v>
      </c>
      <c r="F4110" t="s">
        <v>57</v>
      </c>
      <c r="G4110" t="s">
        <v>238</v>
      </c>
      <c r="H4110" t="s">
        <v>239</v>
      </c>
      <c r="I4110" t="s">
        <v>239</v>
      </c>
      <c r="J4110" t="s">
        <v>60</v>
      </c>
      <c r="K4110" t="s">
        <v>227</v>
      </c>
      <c r="L4110" t="s">
        <v>62</v>
      </c>
      <c r="M4110" t="s">
        <v>227</v>
      </c>
      <c r="N4110" t="s">
        <v>240</v>
      </c>
      <c r="O4110" t="s">
        <v>202</v>
      </c>
      <c r="P4110">
        <v>-20.155833999999999</v>
      </c>
      <c r="Q4110">
        <v>-44.859437999999997</v>
      </c>
      <c r="R4110" s="2" t="str">
        <f>HYPERLINK("https://www.google.com/maps?q=-20.1558340,-44.8594380","Abrir no Google Maps")</f>
        <v>Abrir no Google Maps</v>
      </c>
      <c r="S4110">
        <v>4</v>
      </c>
      <c r="T4110">
        <v>381.00646482339403</v>
      </c>
      <c r="U4110">
        <v>4</v>
      </c>
      <c r="V4110">
        <v>0.32</v>
      </c>
      <c r="W4110">
        <v>1</v>
      </c>
      <c r="X4110">
        <v>0.32</v>
      </c>
      <c r="Y4110">
        <v>518</v>
      </c>
      <c r="Z4110">
        <v>484.9275363207239</v>
      </c>
      <c r="AA4110">
        <v>198</v>
      </c>
      <c r="AB4110">
        <v>332</v>
      </c>
      <c r="AC4110">
        <v>536</v>
      </c>
      <c r="AD4110">
        <v>29.32</v>
      </c>
      <c r="AE4110">
        <v>542</v>
      </c>
      <c r="AF4110">
        <v>27</v>
      </c>
      <c r="AG4110">
        <v>173</v>
      </c>
      <c r="AH4110">
        <v>129</v>
      </c>
      <c r="AI4110">
        <v>4.9800000000000004</v>
      </c>
      <c r="AJ4110">
        <v>31.92</v>
      </c>
      <c r="AK4110">
        <v>23.8</v>
      </c>
      <c r="AL4110">
        <v>-20.155935399999979</v>
      </c>
      <c r="AM4110">
        <v>-44.859367525422847</v>
      </c>
      <c r="AN4110">
        <v>-20.155935399999979</v>
      </c>
      <c r="AO4110">
        <v>-44.859367525422847</v>
      </c>
      <c r="AP4110">
        <v>-20.155833999999999</v>
      </c>
      <c r="AQ4110">
        <v>-44.859437999999997</v>
      </c>
      <c r="AR4110">
        <v>13.477960508152201</v>
      </c>
      <c r="AS4110" t="s">
        <v>65</v>
      </c>
      <c r="AT4110">
        <v>1</v>
      </c>
      <c r="AU4110" t="s">
        <v>241</v>
      </c>
      <c r="AV4110" t="s">
        <v>242</v>
      </c>
      <c r="AW4110" t="s">
        <v>60</v>
      </c>
      <c r="AX4110" t="s">
        <v>68</v>
      </c>
      <c r="AY4110" t="s">
        <v>69</v>
      </c>
      <c r="AZ4110" t="b">
        <v>1</v>
      </c>
    </row>
    <row r="4111" spans="1:52" x14ac:dyDescent="0.3">
      <c r="A4111" t="s">
        <v>52</v>
      </c>
      <c r="B4111" t="s">
        <v>53</v>
      </c>
      <c r="C4111" t="s">
        <v>54</v>
      </c>
      <c r="D4111" t="s">
        <v>55</v>
      </c>
      <c r="E4111" t="s">
        <v>2222</v>
      </c>
      <c r="F4111" t="s">
        <v>57</v>
      </c>
      <c r="G4111" t="s">
        <v>127</v>
      </c>
      <c r="H4111" t="s">
        <v>128</v>
      </c>
      <c r="I4111" t="s">
        <v>128</v>
      </c>
      <c r="J4111" t="s">
        <v>60</v>
      </c>
      <c r="K4111" t="s">
        <v>129</v>
      </c>
      <c r="L4111" t="s">
        <v>62</v>
      </c>
      <c r="M4111" t="s">
        <v>129</v>
      </c>
      <c r="N4111" t="s">
        <v>130</v>
      </c>
      <c r="O4111" t="s">
        <v>131</v>
      </c>
      <c r="P4111">
        <v>-20.130752000000001</v>
      </c>
      <c r="Q4111">
        <v>-44.865676999999998</v>
      </c>
      <c r="R4111" s="2" t="str">
        <f>HYPERLINK("https://www.google.com/maps?q=-20.1307520,-44.8656770","Abrir no Google Maps")</f>
        <v>Abrir no Google Maps</v>
      </c>
      <c r="S4111">
        <v>4</v>
      </c>
      <c r="T4111">
        <v>666.25741128624747</v>
      </c>
      <c r="U4111">
        <v>4</v>
      </c>
      <c r="V4111">
        <v>0.31776857659980662</v>
      </c>
      <c r="W4111">
        <v>1</v>
      </c>
      <c r="X4111">
        <v>0.31776857659980662</v>
      </c>
      <c r="Y4111">
        <v>387</v>
      </c>
      <c r="Z4111">
        <v>838.7193965949632</v>
      </c>
      <c r="AA4111">
        <v>198</v>
      </c>
      <c r="AB4111">
        <v>332</v>
      </c>
      <c r="AC4111">
        <v>536</v>
      </c>
      <c r="AD4111">
        <v>29.32</v>
      </c>
      <c r="AE4111">
        <v>542</v>
      </c>
      <c r="AF4111">
        <v>27</v>
      </c>
      <c r="AG4111">
        <v>173</v>
      </c>
      <c r="AH4111">
        <v>129</v>
      </c>
      <c r="AI4111">
        <v>4.9800000000000004</v>
      </c>
      <c r="AJ4111">
        <v>31.92</v>
      </c>
      <c r="AK4111">
        <v>23.8</v>
      </c>
      <c r="AL4111">
        <v>-20.130734049999969</v>
      </c>
      <c r="AM4111">
        <v>-44.86564904282416</v>
      </c>
      <c r="AN4111">
        <v>-20.130734049999969</v>
      </c>
      <c r="AO4111">
        <v>-44.86564904282416</v>
      </c>
      <c r="AP4111">
        <v>-20.130752000000001</v>
      </c>
      <c r="AQ4111">
        <v>-44.865676999999998</v>
      </c>
      <c r="AR4111">
        <v>3.539952280780454</v>
      </c>
      <c r="AS4111" t="s">
        <v>65</v>
      </c>
      <c r="AT4111">
        <v>1</v>
      </c>
      <c r="AU4111" t="s">
        <v>132</v>
      </c>
      <c r="AV4111" t="s">
        <v>133</v>
      </c>
      <c r="AW4111" t="s">
        <v>60</v>
      </c>
      <c r="AX4111" t="s">
        <v>68</v>
      </c>
      <c r="AY4111" t="s">
        <v>69</v>
      </c>
      <c r="AZ4111" t="b">
        <v>1</v>
      </c>
    </row>
    <row r="4112" spans="1:52" x14ac:dyDescent="0.3">
      <c r="A4112" t="s">
        <v>52</v>
      </c>
      <c r="B4112" t="s">
        <v>53</v>
      </c>
      <c r="C4112" t="s">
        <v>54</v>
      </c>
      <c r="D4112" t="s">
        <v>55</v>
      </c>
      <c r="E4112" t="s">
        <v>2222</v>
      </c>
      <c r="F4112" t="s">
        <v>57</v>
      </c>
      <c r="G4112" t="s">
        <v>212</v>
      </c>
      <c r="H4112" t="s">
        <v>249</v>
      </c>
      <c r="I4112" t="s">
        <v>249</v>
      </c>
      <c r="J4112" t="s">
        <v>60</v>
      </c>
      <c r="K4112" t="s">
        <v>214</v>
      </c>
      <c r="L4112" t="s">
        <v>62</v>
      </c>
      <c r="M4112" t="s">
        <v>214</v>
      </c>
      <c r="N4112" t="s">
        <v>215</v>
      </c>
      <c r="O4112" t="s">
        <v>250</v>
      </c>
      <c r="P4112">
        <v>-20.153901000000001</v>
      </c>
      <c r="Q4112">
        <v>-44.873201000000002</v>
      </c>
      <c r="R4112" s="2" t="str">
        <f>HYPERLINK("https://www.google.com/maps?q=-20.1539010,-44.8732010","Abrir no Google Maps")</f>
        <v>Abrir no Google Maps</v>
      </c>
      <c r="S4112">
        <v>4</v>
      </c>
      <c r="T4112">
        <v>478.23282142593177</v>
      </c>
      <c r="U4112">
        <v>4</v>
      </c>
      <c r="V4112">
        <v>0.31558131558131558</v>
      </c>
      <c r="W4112">
        <v>1</v>
      </c>
      <c r="X4112">
        <v>0.31558131558131558</v>
      </c>
      <c r="Y4112">
        <v>305</v>
      </c>
      <c r="Z4112">
        <v>392.82025973713081</v>
      </c>
      <c r="AA4112">
        <v>198</v>
      </c>
      <c r="AB4112">
        <v>332</v>
      </c>
      <c r="AC4112">
        <v>536</v>
      </c>
      <c r="AD4112">
        <v>29.32</v>
      </c>
      <c r="AE4112">
        <v>542</v>
      </c>
      <c r="AF4112">
        <v>27</v>
      </c>
      <c r="AG4112">
        <v>173</v>
      </c>
      <c r="AH4112">
        <v>129</v>
      </c>
      <c r="AI4112">
        <v>4.9800000000000004</v>
      </c>
      <c r="AJ4112">
        <v>31.92</v>
      </c>
      <c r="AK4112">
        <v>23.8</v>
      </c>
      <c r="AL4112">
        <v>-20.153814849999971</v>
      </c>
      <c r="AM4112">
        <v>-44.87304592111829</v>
      </c>
      <c r="AN4112">
        <v>-20.153814849999971</v>
      </c>
      <c r="AO4112">
        <v>-44.87304592111829</v>
      </c>
      <c r="AP4112">
        <v>-20.153901000000001</v>
      </c>
      <c r="AQ4112">
        <v>-44.873201000000002</v>
      </c>
      <c r="AR4112">
        <v>18.831316146831309</v>
      </c>
      <c r="AS4112" t="s">
        <v>65</v>
      </c>
      <c r="AT4112">
        <v>1</v>
      </c>
      <c r="AU4112" t="s">
        <v>251</v>
      </c>
      <c r="AV4112" t="s">
        <v>252</v>
      </c>
      <c r="AW4112" t="s">
        <v>60</v>
      </c>
      <c r="AX4112" t="s">
        <v>68</v>
      </c>
      <c r="AY4112" t="s">
        <v>69</v>
      </c>
      <c r="AZ4112" t="b">
        <v>1</v>
      </c>
    </row>
    <row r="4113" spans="1:52" x14ac:dyDescent="0.3">
      <c r="A4113" t="s">
        <v>52</v>
      </c>
      <c r="B4113" t="s">
        <v>53</v>
      </c>
      <c r="C4113" t="s">
        <v>54</v>
      </c>
      <c r="D4113" t="s">
        <v>55</v>
      </c>
      <c r="E4113" t="s">
        <v>2222</v>
      </c>
      <c r="F4113" t="s">
        <v>57</v>
      </c>
      <c r="G4113" t="s">
        <v>267</v>
      </c>
      <c r="H4113" t="s">
        <v>268</v>
      </c>
      <c r="I4113" t="s">
        <v>268</v>
      </c>
      <c r="J4113" t="s">
        <v>60</v>
      </c>
      <c r="K4113" t="s">
        <v>150</v>
      </c>
      <c r="L4113" t="s">
        <v>62</v>
      </c>
      <c r="M4113" t="s">
        <v>150</v>
      </c>
      <c r="N4113" t="s">
        <v>269</v>
      </c>
      <c r="O4113" t="s">
        <v>270</v>
      </c>
      <c r="P4113">
        <v>-20.172367999999999</v>
      </c>
      <c r="Q4113">
        <v>-44.848661</v>
      </c>
      <c r="R4113" s="2" t="str">
        <f>HYPERLINK("https://www.google.com/maps?q=-20.1723680,-44.8486610","Abrir no Google Maps")</f>
        <v>Abrir no Google Maps</v>
      </c>
      <c r="S4113">
        <v>4</v>
      </c>
      <c r="T4113">
        <v>759.75892180950234</v>
      </c>
      <c r="U4113">
        <v>4</v>
      </c>
      <c r="V4113">
        <v>0.32011324056191087</v>
      </c>
      <c r="W4113">
        <v>1</v>
      </c>
      <c r="X4113">
        <v>0.32011324056191087</v>
      </c>
      <c r="Y4113">
        <v>292</v>
      </c>
      <c r="Z4113">
        <v>735.80511761487242</v>
      </c>
      <c r="AA4113">
        <v>198</v>
      </c>
      <c r="AB4113">
        <v>332</v>
      </c>
      <c r="AC4113">
        <v>536</v>
      </c>
      <c r="AD4113">
        <v>29.32</v>
      </c>
      <c r="AE4113">
        <v>542</v>
      </c>
      <c r="AF4113">
        <v>27</v>
      </c>
      <c r="AG4113">
        <v>173</v>
      </c>
      <c r="AH4113">
        <v>129</v>
      </c>
      <c r="AI4113">
        <v>4.9800000000000004</v>
      </c>
      <c r="AJ4113">
        <v>31.92</v>
      </c>
      <c r="AK4113">
        <v>23.8</v>
      </c>
      <c r="AL4113">
        <v>-20.172435999999951</v>
      </c>
      <c r="AM4113">
        <v>-44.84866233556005</v>
      </c>
      <c r="AN4113">
        <v>-20.172435999999951</v>
      </c>
      <c r="AO4113">
        <v>-44.84866233556005</v>
      </c>
      <c r="AP4113">
        <v>-20.172367999999999</v>
      </c>
      <c r="AQ4113">
        <v>-44.848661</v>
      </c>
      <c r="AR4113">
        <v>7.5710462874877198</v>
      </c>
      <c r="AS4113" t="s">
        <v>65</v>
      </c>
      <c r="AT4113">
        <v>1</v>
      </c>
      <c r="AU4113" t="s">
        <v>271</v>
      </c>
      <c r="AV4113" t="s">
        <v>272</v>
      </c>
      <c r="AW4113" t="s">
        <v>60</v>
      </c>
      <c r="AX4113" t="s">
        <v>68</v>
      </c>
      <c r="AY4113" t="s">
        <v>69</v>
      </c>
      <c r="AZ4113" t="b">
        <v>1</v>
      </c>
    </row>
    <row r="4114" spans="1:52" x14ac:dyDescent="0.3">
      <c r="A4114" t="s">
        <v>52</v>
      </c>
      <c r="B4114" t="s">
        <v>53</v>
      </c>
      <c r="C4114" t="s">
        <v>54</v>
      </c>
      <c r="D4114" t="s">
        <v>55</v>
      </c>
      <c r="E4114" t="s">
        <v>2222</v>
      </c>
      <c r="F4114" t="s">
        <v>57</v>
      </c>
      <c r="G4114" t="s">
        <v>279</v>
      </c>
      <c r="H4114" t="s">
        <v>280</v>
      </c>
      <c r="I4114" t="s">
        <v>280</v>
      </c>
      <c r="J4114" t="s">
        <v>60</v>
      </c>
      <c r="K4114" t="s">
        <v>281</v>
      </c>
      <c r="L4114" t="s">
        <v>62</v>
      </c>
      <c r="M4114" t="s">
        <v>281</v>
      </c>
      <c r="N4114" t="s">
        <v>282</v>
      </c>
      <c r="O4114" t="s">
        <v>283</v>
      </c>
      <c r="P4114">
        <v>-20.175312999999999</v>
      </c>
      <c r="Q4114">
        <v>-44.848562999999999</v>
      </c>
      <c r="R4114" s="2" t="str">
        <f>HYPERLINK("https://www.google.com/maps?q=-20.1753130,-44.8485630","Abrir no Google Maps")</f>
        <v>Abrir no Google Maps</v>
      </c>
      <c r="S4114">
        <v>4</v>
      </c>
      <c r="T4114">
        <v>1076.9164078034139</v>
      </c>
      <c r="U4114">
        <v>4</v>
      </c>
      <c r="V4114">
        <v>0.33108497253234093</v>
      </c>
      <c r="W4114">
        <v>1</v>
      </c>
      <c r="X4114">
        <v>0.33108497253234093</v>
      </c>
      <c r="Y4114">
        <v>292</v>
      </c>
      <c r="Z4114">
        <v>1035.650579259463</v>
      </c>
      <c r="AA4114">
        <v>198</v>
      </c>
      <c r="AB4114">
        <v>332</v>
      </c>
      <c r="AC4114">
        <v>536</v>
      </c>
      <c r="AD4114">
        <v>29.32</v>
      </c>
      <c r="AE4114">
        <v>542</v>
      </c>
      <c r="AF4114">
        <v>27</v>
      </c>
      <c r="AG4114">
        <v>173</v>
      </c>
      <c r="AH4114">
        <v>129</v>
      </c>
      <c r="AI4114">
        <v>4.9800000000000004</v>
      </c>
      <c r="AJ4114">
        <v>31.92</v>
      </c>
      <c r="AK4114">
        <v>23.8</v>
      </c>
      <c r="AL4114">
        <v>-20.175338949999961</v>
      </c>
      <c r="AM4114">
        <v>-44.848523168324952</v>
      </c>
      <c r="AN4114">
        <v>-20.175338949999961</v>
      </c>
      <c r="AO4114">
        <v>-44.848523168324952</v>
      </c>
      <c r="AP4114">
        <v>-20.175312999999999</v>
      </c>
      <c r="AQ4114">
        <v>-44.848562999999999</v>
      </c>
      <c r="AR4114">
        <v>5.0662709576519056</v>
      </c>
      <c r="AS4114" t="s">
        <v>65</v>
      </c>
      <c r="AT4114">
        <v>1</v>
      </c>
      <c r="AU4114" t="s">
        <v>284</v>
      </c>
      <c r="AV4114" t="s">
        <v>285</v>
      </c>
      <c r="AW4114" t="s">
        <v>60</v>
      </c>
      <c r="AX4114" t="s">
        <v>68</v>
      </c>
      <c r="AY4114" t="s">
        <v>69</v>
      </c>
      <c r="AZ4114" t="b">
        <v>1</v>
      </c>
    </row>
    <row r="4115" spans="1:52" x14ac:dyDescent="0.3">
      <c r="A4115" t="s">
        <v>52</v>
      </c>
      <c r="B4115" t="s">
        <v>53</v>
      </c>
      <c r="C4115" t="s">
        <v>54</v>
      </c>
      <c r="D4115" t="s">
        <v>55</v>
      </c>
      <c r="E4115" t="s">
        <v>2222</v>
      </c>
      <c r="F4115" t="s">
        <v>57</v>
      </c>
      <c r="G4115" t="s">
        <v>134</v>
      </c>
      <c r="H4115" t="s">
        <v>135</v>
      </c>
      <c r="I4115" t="s">
        <v>135</v>
      </c>
      <c r="J4115" t="s">
        <v>60</v>
      </c>
      <c r="K4115" t="s">
        <v>136</v>
      </c>
      <c r="L4115" t="s">
        <v>62</v>
      </c>
      <c r="M4115" t="s">
        <v>136</v>
      </c>
      <c r="N4115" t="s">
        <v>137</v>
      </c>
      <c r="O4115" t="s">
        <v>138</v>
      </c>
      <c r="P4115">
        <v>-20.165773000000002</v>
      </c>
      <c r="Q4115">
        <v>-44.847566999999998</v>
      </c>
      <c r="R4115" s="2" t="str">
        <f>HYPERLINK("https://www.google.com/maps?q=-20.1657730,-44.8475670","Abrir no Google Maps")</f>
        <v>Abrir no Google Maps</v>
      </c>
      <c r="S4115">
        <v>4</v>
      </c>
      <c r="T4115">
        <v>0</v>
      </c>
      <c r="U4115">
        <v>4</v>
      </c>
      <c r="V4115">
        <v>0.34538423038777682</v>
      </c>
      <c r="W4115">
        <v>1</v>
      </c>
      <c r="X4115">
        <v>0.34538423038777682</v>
      </c>
      <c r="Y4115">
        <v>292</v>
      </c>
      <c r="Z4115">
        <v>98.987346341524855</v>
      </c>
      <c r="AA4115">
        <v>198</v>
      </c>
      <c r="AB4115">
        <v>332</v>
      </c>
      <c r="AC4115">
        <v>536</v>
      </c>
      <c r="AD4115">
        <v>29.32</v>
      </c>
      <c r="AE4115">
        <v>542</v>
      </c>
      <c r="AF4115">
        <v>27</v>
      </c>
      <c r="AG4115">
        <v>173</v>
      </c>
      <c r="AH4115">
        <v>129</v>
      </c>
      <c r="AI4115">
        <v>4.9800000000000004</v>
      </c>
      <c r="AJ4115">
        <v>31.92</v>
      </c>
      <c r="AK4115">
        <v>23.8</v>
      </c>
      <c r="AL4115">
        <v>-20.16565029999995</v>
      </c>
      <c r="AM4115">
        <v>-44.847556627666897</v>
      </c>
      <c r="AN4115">
        <v>-20.16565029999995</v>
      </c>
      <c r="AO4115">
        <v>-44.847556627666897</v>
      </c>
      <c r="AP4115">
        <v>-20.165773000000002</v>
      </c>
      <c r="AQ4115">
        <v>-44.847566999999998</v>
      </c>
      <c r="AR4115">
        <v>13.701900146251189</v>
      </c>
      <c r="AS4115" t="s">
        <v>65</v>
      </c>
      <c r="AT4115">
        <v>1</v>
      </c>
      <c r="AU4115" t="s">
        <v>139</v>
      </c>
      <c r="AV4115" t="s">
        <v>140</v>
      </c>
      <c r="AW4115" t="s">
        <v>60</v>
      </c>
      <c r="AX4115" t="s">
        <v>68</v>
      </c>
      <c r="AY4115" t="s">
        <v>69</v>
      </c>
      <c r="AZ4115" t="b">
        <v>1</v>
      </c>
    </row>
    <row r="4116" spans="1:52" x14ac:dyDescent="0.3">
      <c r="A4116" t="s">
        <v>52</v>
      </c>
      <c r="B4116" t="s">
        <v>53</v>
      </c>
      <c r="C4116" t="s">
        <v>54</v>
      </c>
      <c r="D4116" t="s">
        <v>55</v>
      </c>
      <c r="E4116" t="s">
        <v>2222</v>
      </c>
      <c r="F4116" t="s">
        <v>57</v>
      </c>
      <c r="G4116" t="s">
        <v>253</v>
      </c>
      <c r="H4116" t="s">
        <v>286</v>
      </c>
      <c r="I4116" t="s">
        <v>286</v>
      </c>
      <c r="J4116" t="s">
        <v>60</v>
      </c>
      <c r="K4116" t="s">
        <v>136</v>
      </c>
      <c r="L4116" t="s">
        <v>62</v>
      </c>
      <c r="M4116" t="s">
        <v>136</v>
      </c>
      <c r="N4116" t="s">
        <v>256</v>
      </c>
      <c r="O4116" t="s">
        <v>287</v>
      </c>
      <c r="P4116">
        <v>-20.165067000000001</v>
      </c>
      <c r="Q4116">
        <v>-44.851146999999997</v>
      </c>
      <c r="R4116" s="2" t="str">
        <f>HYPERLINK("https://www.google.com/maps?q=-20.1650670,-44.8511470","Abrir no Google Maps")</f>
        <v>Abrir no Google Maps</v>
      </c>
      <c r="S4116">
        <v>4</v>
      </c>
      <c r="T4116">
        <v>374.14945573570043</v>
      </c>
      <c r="U4116">
        <v>4</v>
      </c>
      <c r="V4116">
        <v>0.31539145092434823</v>
      </c>
      <c r="W4116">
        <v>1</v>
      </c>
      <c r="X4116">
        <v>0.31539145092434823</v>
      </c>
      <c r="Y4116">
        <v>292</v>
      </c>
      <c r="Z4116">
        <v>295.9878686859272</v>
      </c>
      <c r="AA4116">
        <v>198</v>
      </c>
      <c r="AB4116">
        <v>332</v>
      </c>
      <c r="AC4116">
        <v>536</v>
      </c>
      <c r="AD4116">
        <v>29.32</v>
      </c>
      <c r="AE4116">
        <v>542</v>
      </c>
      <c r="AF4116">
        <v>27</v>
      </c>
      <c r="AG4116">
        <v>173</v>
      </c>
      <c r="AH4116">
        <v>129</v>
      </c>
      <c r="AI4116">
        <v>4.9800000000000004</v>
      </c>
      <c r="AJ4116">
        <v>31.92</v>
      </c>
      <c r="AK4116">
        <v>23.8</v>
      </c>
      <c r="AL4116">
        <v>-20.164961799999961</v>
      </c>
      <c r="AM4116">
        <v>-44.851062119796737</v>
      </c>
      <c r="AN4116">
        <v>-20.164961799999961</v>
      </c>
      <c r="AO4116">
        <v>-44.851062119796737</v>
      </c>
      <c r="AP4116">
        <v>-20.165067000000001</v>
      </c>
      <c r="AQ4116">
        <v>-44.851146999999997</v>
      </c>
      <c r="AR4116">
        <v>14.690666366415</v>
      </c>
      <c r="AS4116" t="s">
        <v>65</v>
      </c>
      <c r="AT4116">
        <v>1</v>
      </c>
      <c r="AU4116" t="s">
        <v>288</v>
      </c>
      <c r="AV4116" t="s">
        <v>289</v>
      </c>
      <c r="AW4116" t="s">
        <v>60</v>
      </c>
      <c r="AX4116" t="s">
        <v>68</v>
      </c>
      <c r="AY4116" t="s">
        <v>69</v>
      </c>
      <c r="AZ4116" t="b">
        <v>1</v>
      </c>
    </row>
    <row r="4117" spans="1:52" x14ac:dyDescent="0.3">
      <c r="A4117" t="s">
        <v>52</v>
      </c>
      <c r="B4117" t="s">
        <v>53</v>
      </c>
      <c r="C4117" t="s">
        <v>54</v>
      </c>
      <c r="D4117" t="s">
        <v>55</v>
      </c>
      <c r="E4117" t="s">
        <v>2222</v>
      </c>
      <c r="F4117" t="s">
        <v>57</v>
      </c>
      <c r="G4117" t="s">
        <v>141</v>
      </c>
      <c r="H4117" t="s">
        <v>142</v>
      </c>
      <c r="I4117" t="s">
        <v>142</v>
      </c>
      <c r="J4117" t="s">
        <v>60</v>
      </c>
      <c r="K4117" t="s">
        <v>143</v>
      </c>
      <c r="L4117" t="s">
        <v>62</v>
      </c>
      <c r="M4117" t="s">
        <v>143</v>
      </c>
      <c r="N4117" t="s">
        <v>144</v>
      </c>
      <c r="O4117" t="s">
        <v>145</v>
      </c>
      <c r="P4117">
        <v>-20.163377000000001</v>
      </c>
      <c r="Q4117">
        <v>-44.843598</v>
      </c>
      <c r="R4117" s="2" t="str">
        <f>HYPERLINK("https://www.google.com/maps?q=-20.1633770,-44.8435980","Abrir no Google Maps")</f>
        <v>Abrir no Google Maps</v>
      </c>
      <c r="S4117">
        <v>4</v>
      </c>
      <c r="T4117">
        <v>481.58374128635978</v>
      </c>
      <c r="U4117">
        <v>4</v>
      </c>
      <c r="V4117">
        <v>0.3320551481372836</v>
      </c>
      <c r="W4117">
        <v>1</v>
      </c>
      <c r="X4117">
        <v>0.3320551481372836</v>
      </c>
      <c r="Y4117">
        <v>292</v>
      </c>
      <c r="Z4117">
        <v>575.44522663909652</v>
      </c>
      <c r="AA4117">
        <v>198</v>
      </c>
      <c r="AB4117">
        <v>332</v>
      </c>
      <c r="AC4117">
        <v>536</v>
      </c>
      <c r="AD4117">
        <v>29.32</v>
      </c>
      <c r="AE4117">
        <v>542</v>
      </c>
      <c r="AF4117">
        <v>27</v>
      </c>
      <c r="AG4117">
        <v>173</v>
      </c>
      <c r="AH4117">
        <v>129</v>
      </c>
      <c r="AI4117">
        <v>4.9800000000000004</v>
      </c>
      <c r="AJ4117">
        <v>31.92</v>
      </c>
      <c r="AK4117">
        <v>23.8</v>
      </c>
      <c r="AL4117">
        <v>-20.16343344999996</v>
      </c>
      <c r="AM4117">
        <v>-44.843590796247732</v>
      </c>
      <c r="AN4117">
        <v>-20.16343344999996</v>
      </c>
      <c r="AO4117">
        <v>-44.843590796247732</v>
      </c>
      <c r="AP4117">
        <v>-20.163377000000001</v>
      </c>
      <c r="AQ4117">
        <v>-44.843598</v>
      </c>
      <c r="AR4117">
        <v>6.3289415646640057</v>
      </c>
      <c r="AS4117" t="s">
        <v>65</v>
      </c>
      <c r="AT4117">
        <v>1</v>
      </c>
      <c r="AU4117" t="s">
        <v>146</v>
      </c>
      <c r="AV4117" t="s">
        <v>147</v>
      </c>
      <c r="AW4117" t="s">
        <v>60</v>
      </c>
      <c r="AX4117" t="s">
        <v>68</v>
      </c>
      <c r="AY4117" t="s">
        <v>69</v>
      </c>
      <c r="AZ4117" t="b">
        <v>1</v>
      </c>
    </row>
    <row r="4118" spans="1:52" x14ac:dyDescent="0.3">
      <c r="A4118" t="s">
        <v>52</v>
      </c>
      <c r="B4118" t="s">
        <v>53</v>
      </c>
      <c r="C4118" t="s">
        <v>54</v>
      </c>
      <c r="D4118" t="s">
        <v>55</v>
      </c>
      <c r="E4118" t="s">
        <v>2222</v>
      </c>
      <c r="F4118" t="s">
        <v>57</v>
      </c>
      <c r="G4118" t="s">
        <v>290</v>
      </c>
      <c r="H4118" t="s">
        <v>291</v>
      </c>
      <c r="I4118" t="s">
        <v>291</v>
      </c>
      <c r="J4118" t="s">
        <v>60</v>
      </c>
      <c r="K4118" t="s">
        <v>143</v>
      </c>
      <c r="L4118" t="s">
        <v>62</v>
      </c>
      <c r="M4118" t="s">
        <v>143</v>
      </c>
      <c r="N4118" t="s">
        <v>292</v>
      </c>
      <c r="O4118" t="s">
        <v>293</v>
      </c>
      <c r="P4118">
        <v>-20.164380999999999</v>
      </c>
      <c r="Q4118">
        <v>-44.841638000000003</v>
      </c>
      <c r="R4118" s="2" t="str">
        <f>HYPERLINK("https://www.google.com/maps?q=-20.1643810,-44.8416380","Abrir no Google Maps")</f>
        <v>Abrir no Google Maps</v>
      </c>
      <c r="S4118">
        <v>4</v>
      </c>
      <c r="T4118">
        <v>653.87342410001406</v>
      </c>
      <c r="U4118">
        <v>4</v>
      </c>
      <c r="V4118">
        <v>0.31929046563192898</v>
      </c>
      <c r="W4118">
        <v>1</v>
      </c>
      <c r="X4118">
        <v>0.31929046563192898</v>
      </c>
      <c r="Y4118">
        <v>292</v>
      </c>
      <c r="Z4118">
        <v>761.66023684754805</v>
      </c>
      <c r="AA4118">
        <v>198</v>
      </c>
      <c r="AB4118">
        <v>332</v>
      </c>
      <c r="AC4118">
        <v>536</v>
      </c>
      <c r="AD4118">
        <v>29.32</v>
      </c>
      <c r="AE4118">
        <v>542</v>
      </c>
      <c r="AF4118">
        <v>27</v>
      </c>
      <c r="AG4118">
        <v>173</v>
      </c>
      <c r="AH4118">
        <v>129</v>
      </c>
      <c r="AI4118">
        <v>4.9800000000000004</v>
      </c>
      <c r="AJ4118">
        <v>31.92</v>
      </c>
      <c r="AK4118">
        <v>23.8</v>
      </c>
      <c r="AL4118">
        <v>-20.16420624999995</v>
      </c>
      <c r="AM4118">
        <v>-44.841488984995642</v>
      </c>
      <c r="AN4118">
        <v>-20.16420624999995</v>
      </c>
      <c r="AO4118">
        <v>-44.841488984995642</v>
      </c>
      <c r="AP4118">
        <v>-20.164380999999999</v>
      </c>
      <c r="AQ4118">
        <v>-44.841638000000003</v>
      </c>
      <c r="AR4118">
        <v>24.91789254993785</v>
      </c>
      <c r="AS4118" t="s">
        <v>65</v>
      </c>
      <c r="AT4118">
        <v>1</v>
      </c>
      <c r="AU4118" t="s">
        <v>294</v>
      </c>
      <c r="AV4118" t="s">
        <v>295</v>
      </c>
      <c r="AW4118" t="s">
        <v>60</v>
      </c>
      <c r="AX4118" t="s">
        <v>68</v>
      </c>
      <c r="AY4118" t="s">
        <v>69</v>
      </c>
      <c r="AZ4118" t="b">
        <v>1</v>
      </c>
    </row>
    <row r="4119" spans="1:52" x14ac:dyDescent="0.3">
      <c r="A4119" t="s">
        <v>52</v>
      </c>
      <c r="B4119" t="s">
        <v>53</v>
      </c>
      <c r="C4119" t="s">
        <v>54</v>
      </c>
      <c r="D4119" t="s">
        <v>55</v>
      </c>
      <c r="E4119" t="s">
        <v>2222</v>
      </c>
      <c r="F4119" t="s">
        <v>57</v>
      </c>
      <c r="G4119" t="s">
        <v>253</v>
      </c>
      <c r="H4119" t="s">
        <v>1633</v>
      </c>
      <c r="I4119" t="s">
        <v>1633</v>
      </c>
      <c r="J4119" t="s">
        <v>60</v>
      </c>
      <c r="K4119" t="s">
        <v>982</v>
      </c>
      <c r="L4119" t="s">
        <v>62</v>
      </c>
      <c r="M4119" t="s">
        <v>982</v>
      </c>
      <c r="N4119" t="s">
        <v>256</v>
      </c>
      <c r="O4119" t="s">
        <v>1634</v>
      </c>
      <c r="P4119">
        <v>-20.170407000000001</v>
      </c>
      <c r="Q4119">
        <v>-44.853330999999997</v>
      </c>
      <c r="R4119" s="2" t="str">
        <f>HYPERLINK("https://www.google.com/maps?q=-20.1704070,-44.8533310","Abrir no Google Maps")</f>
        <v>Abrir no Google Maps</v>
      </c>
      <c r="S4119">
        <v>4</v>
      </c>
      <c r="T4119">
        <v>801.41180076523165</v>
      </c>
      <c r="U4119">
        <v>4</v>
      </c>
      <c r="V4119">
        <v>0.31906982670744138</v>
      </c>
      <c r="W4119">
        <v>1</v>
      </c>
      <c r="X4119">
        <v>0.31906982670744138</v>
      </c>
      <c r="Y4119">
        <v>292</v>
      </c>
      <c r="Z4119">
        <v>726.46828777213966</v>
      </c>
      <c r="AA4119">
        <v>198</v>
      </c>
      <c r="AB4119">
        <v>332</v>
      </c>
      <c r="AC4119">
        <v>536</v>
      </c>
      <c r="AD4119">
        <v>29.32</v>
      </c>
      <c r="AE4119">
        <v>542</v>
      </c>
      <c r="AF4119">
        <v>27</v>
      </c>
      <c r="AG4119">
        <v>173</v>
      </c>
      <c r="AH4119">
        <v>129</v>
      </c>
      <c r="AI4119">
        <v>4.9800000000000004</v>
      </c>
      <c r="AJ4119">
        <v>31.92</v>
      </c>
      <c r="AK4119">
        <v>23.8</v>
      </c>
      <c r="AL4119">
        <v>-20.170412849999959</v>
      </c>
      <c r="AM4119">
        <v>-44.853334311192633</v>
      </c>
      <c r="AN4119">
        <v>-20.170412849999959</v>
      </c>
      <c r="AO4119">
        <v>-44.853334311192633</v>
      </c>
      <c r="AP4119">
        <v>-20.170407000000001</v>
      </c>
      <c r="AQ4119">
        <v>-44.853330999999997</v>
      </c>
      <c r="AR4119">
        <v>0.73743023728700929</v>
      </c>
      <c r="AS4119" t="s">
        <v>65</v>
      </c>
      <c r="AT4119">
        <v>1</v>
      </c>
      <c r="AU4119" t="s">
        <v>1635</v>
      </c>
      <c r="AV4119" t="s">
        <v>1636</v>
      </c>
      <c r="AW4119" t="s">
        <v>60</v>
      </c>
      <c r="AX4119" t="s">
        <v>68</v>
      </c>
      <c r="AY4119" t="s">
        <v>69</v>
      </c>
      <c r="AZ4119" t="b">
        <v>1</v>
      </c>
    </row>
    <row r="4120" spans="1:52" x14ac:dyDescent="0.3">
      <c r="A4120" t="s">
        <v>52</v>
      </c>
      <c r="B4120" t="s">
        <v>53</v>
      </c>
      <c r="C4120" t="s">
        <v>54</v>
      </c>
      <c r="D4120" t="s">
        <v>55</v>
      </c>
      <c r="E4120" t="s">
        <v>2222</v>
      </c>
      <c r="F4120" t="s">
        <v>57</v>
      </c>
      <c r="G4120" t="s">
        <v>148</v>
      </c>
      <c r="H4120" t="s">
        <v>149</v>
      </c>
      <c r="I4120" t="s">
        <v>149</v>
      </c>
      <c r="J4120" t="s">
        <v>60</v>
      </c>
      <c r="K4120" t="s">
        <v>150</v>
      </c>
      <c r="L4120" t="s">
        <v>62</v>
      </c>
      <c r="M4120" t="s">
        <v>150</v>
      </c>
      <c r="N4120" t="s">
        <v>151</v>
      </c>
      <c r="O4120" t="s">
        <v>152</v>
      </c>
      <c r="P4120">
        <v>-20.174192999999999</v>
      </c>
      <c r="Q4120">
        <v>-44.850782000000002</v>
      </c>
      <c r="R4120" s="2" t="str">
        <f>HYPERLINK("https://www.google.com/maps?q=-20.1741930,-44.8507820","Abrir no Google Maps")</f>
        <v>Abrir no Google Maps</v>
      </c>
      <c r="S4120">
        <v>4</v>
      </c>
      <c r="T4120">
        <v>994.93657848632188</v>
      </c>
      <c r="U4120">
        <v>4</v>
      </c>
      <c r="V4120">
        <v>0.32917652189958568</v>
      </c>
      <c r="W4120">
        <v>1</v>
      </c>
      <c r="X4120">
        <v>0.32917652189958568</v>
      </c>
      <c r="Y4120">
        <v>292</v>
      </c>
      <c r="Z4120">
        <v>948.95851793804729</v>
      </c>
      <c r="AA4120">
        <v>198</v>
      </c>
      <c r="AB4120">
        <v>332</v>
      </c>
      <c r="AC4120">
        <v>536</v>
      </c>
      <c r="AD4120">
        <v>29.32</v>
      </c>
      <c r="AE4120">
        <v>542</v>
      </c>
      <c r="AF4120">
        <v>27</v>
      </c>
      <c r="AG4120">
        <v>173</v>
      </c>
      <c r="AH4120">
        <v>129</v>
      </c>
      <c r="AI4120">
        <v>4.9800000000000004</v>
      </c>
      <c r="AJ4120">
        <v>31.92</v>
      </c>
      <c r="AK4120">
        <v>23.8</v>
      </c>
      <c r="AL4120">
        <v>-20.174122099999941</v>
      </c>
      <c r="AM4120">
        <v>-44.850744657037339</v>
      </c>
      <c r="AN4120">
        <v>-20.174122099999941</v>
      </c>
      <c r="AO4120">
        <v>-44.850744657037339</v>
      </c>
      <c r="AP4120">
        <v>-20.174192999999999</v>
      </c>
      <c r="AQ4120">
        <v>-44.850782000000002</v>
      </c>
      <c r="AR4120">
        <v>8.8044534253701947</v>
      </c>
      <c r="AS4120" t="s">
        <v>65</v>
      </c>
      <c r="AT4120">
        <v>1</v>
      </c>
      <c r="AU4120" t="s">
        <v>153</v>
      </c>
      <c r="AV4120" t="s">
        <v>154</v>
      </c>
      <c r="AW4120" t="s">
        <v>60</v>
      </c>
      <c r="AX4120" t="s">
        <v>68</v>
      </c>
      <c r="AY4120" t="s">
        <v>69</v>
      </c>
      <c r="AZ4120" t="b">
        <v>1</v>
      </c>
    </row>
    <row r="4121" spans="1:52" x14ac:dyDescent="0.3">
      <c r="A4121" t="s">
        <v>52</v>
      </c>
      <c r="B4121" t="s">
        <v>53</v>
      </c>
      <c r="C4121" t="s">
        <v>54</v>
      </c>
      <c r="D4121" t="s">
        <v>55</v>
      </c>
      <c r="E4121" t="s">
        <v>2222</v>
      </c>
      <c r="F4121" t="s">
        <v>57</v>
      </c>
      <c r="G4121" t="s">
        <v>300</v>
      </c>
      <c r="H4121" t="s">
        <v>301</v>
      </c>
      <c r="I4121" t="s">
        <v>301</v>
      </c>
      <c r="J4121" t="s">
        <v>60</v>
      </c>
      <c r="K4121" t="s">
        <v>150</v>
      </c>
      <c r="L4121" t="s">
        <v>62</v>
      </c>
      <c r="M4121" t="s">
        <v>150</v>
      </c>
      <c r="N4121" t="s">
        <v>302</v>
      </c>
      <c r="O4121" t="s">
        <v>303</v>
      </c>
      <c r="P4121">
        <v>-20.172993000000002</v>
      </c>
      <c r="Q4121">
        <v>-44.853588999999999</v>
      </c>
      <c r="R4121" s="2" t="str">
        <f>HYPERLINK("https://www.google.com/maps?q=-20.1729930,-44.8535890","Abrir no Google Maps")</f>
        <v>Abrir no Google Maps</v>
      </c>
      <c r="S4121">
        <v>4</v>
      </c>
      <c r="T4121">
        <v>1041.446216907221</v>
      </c>
      <c r="U4121">
        <v>4</v>
      </c>
      <c r="V4121">
        <v>0.32920112383375738</v>
      </c>
      <c r="W4121">
        <v>1</v>
      </c>
      <c r="X4121">
        <v>0.32920112383375738</v>
      </c>
      <c r="Y4121">
        <v>292</v>
      </c>
      <c r="Z4121">
        <v>978.86270909763937</v>
      </c>
      <c r="AA4121">
        <v>198</v>
      </c>
      <c r="AB4121">
        <v>332</v>
      </c>
      <c r="AC4121">
        <v>536</v>
      </c>
      <c r="AD4121">
        <v>29.32</v>
      </c>
      <c r="AE4121">
        <v>542</v>
      </c>
      <c r="AF4121">
        <v>27</v>
      </c>
      <c r="AG4121">
        <v>173</v>
      </c>
      <c r="AH4121">
        <v>129</v>
      </c>
      <c r="AI4121">
        <v>4.9800000000000004</v>
      </c>
      <c r="AJ4121">
        <v>31.92</v>
      </c>
      <c r="AK4121">
        <v>23.8</v>
      </c>
      <c r="AL4121">
        <v>-20.173142449999968</v>
      </c>
      <c r="AM4121">
        <v>-44.853588035903172</v>
      </c>
      <c r="AN4121">
        <v>-20.173142449999968</v>
      </c>
      <c r="AO4121">
        <v>-44.853588035903172</v>
      </c>
      <c r="AP4121">
        <v>-20.172993000000002</v>
      </c>
      <c r="AQ4121">
        <v>-44.853588999999999</v>
      </c>
      <c r="AR4121">
        <v>16.637078994259841</v>
      </c>
      <c r="AS4121" t="s">
        <v>65</v>
      </c>
      <c r="AT4121">
        <v>1</v>
      </c>
      <c r="AU4121" t="s">
        <v>304</v>
      </c>
      <c r="AV4121" t="s">
        <v>305</v>
      </c>
      <c r="AW4121" t="s">
        <v>60</v>
      </c>
      <c r="AX4121" t="s">
        <v>68</v>
      </c>
      <c r="AY4121" t="s">
        <v>69</v>
      </c>
      <c r="AZ4121" t="b">
        <v>1</v>
      </c>
    </row>
    <row r="4122" spans="1:52" x14ac:dyDescent="0.3">
      <c r="A4122" t="s">
        <v>52</v>
      </c>
      <c r="B4122" t="s">
        <v>53</v>
      </c>
      <c r="C4122" t="s">
        <v>54</v>
      </c>
      <c r="D4122" t="s">
        <v>55</v>
      </c>
      <c r="E4122" t="s">
        <v>2222</v>
      </c>
      <c r="F4122" t="s">
        <v>57</v>
      </c>
      <c r="G4122" t="s">
        <v>260</v>
      </c>
      <c r="H4122" t="s">
        <v>317</v>
      </c>
      <c r="I4122" t="s">
        <v>317</v>
      </c>
      <c r="J4122" t="s">
        <v>60</v>
      </c>
      <c r="K4122" t="s">
        <v>255</v>
      </c>
      <c r="L4122" t="s">
        <v>62</v>
      </c>
      <c r="M4122" t="s">
        <v>255</v>
      </c>
      <c r="N4122" t="s">
        <v>263</v>
      </c>
      <c r="O4122" t="s">
        <v>318</v>
      </c>
      <c r="P4122">
        <v>-20.163532</v>
      </c>
      <c r="Q4122">
        <v>-44.846910999999999</v>
      </c>
      <c r="R4122" s="2" t="str">
        <f>HYPERLINK("https://www.google.com/maps?q=-20.1635320,-44.8469110","Abrir no Google Maps")</f>
        <v>Abrir no Google Maps</v>
      </c>
      <c r="S4122">
        <v>4</v>
      </c>
      <c r="T4122">
        <v>259.92389401636012</v>
      </c>
      <c r="U4122">
        <v>4</v>
      </c>
      <c r="V4122">
        <v>0.32803405340534048</v>
      </c>
      <c r="W4122">
        <v>1</v>
      </c>
      <c r="X4122">
        <v>0.32803405340534048</v>
      </c>
      <c r="Y4122">
        <v>292</v>
      </c>
      <c r="Z4122">
        <v>316.26738966059708</v>
      </c>
      <c r="AA4122">
        <v>198</v>
      </c>
      <c r="AB4122">
        <v>332</v>
      </c>
      <c r="AC4122">
        <v>536</v>
      </c>
      <c r="AD4122">
        <v>29.32</v>
      </c>
      <c r="AE4122">
        <v>542</v>
      </c>
      <c r="AF4122">
        <v>27</v>
      </c>
      <c r="AG4122">
        <v>173</v>
      </c>
      <c r="AH4122">
        <v>129</v>
      </c>
      <c r="AI4122">
        <v>4.9800000000000004</v>
      </c>
      <c r="AJ4122">
        <v>31.92</v>
      </c>
      <c r="AK4122">
        <v>23.8</v>
      </c>
      <c r="AL4122">
        <v>-20.16343344999996</v>
      </c>
      <c r="AM4122">
        <v>-44.846734659744428</v>
      </c>
      <c r="AN4122">
        <v>-20.16343344999996</v>
      </c>
      <c r="AO4122">
        <v>-44.846734659744428</v>
      </c>
      <c r="AP4122">
        <v>-20.163532</v>
      </c>
      <c r="AQ4122">
        <v>-44.846910999999999</v>
      </c>
      <c r="AR4122">
        <v>21.445575432006599</v>
      </c>
      <c r="AS4122" t="s">
        <v>65</v>
      </c>
      <c r="AT4122">
        <v>1</v>
      </c>
      <c r="AU4122" t="s">
        <v>319</v>
      </c>
      <c r="AV4122" t="s">
        <v>320</v>
      </c>
      <c r="AW4122" t="s">
        <v>60</v>
      </c>
      <c r="AX4122" t="s">
        <v>68</v>
      </c>
      <c r="AY4122" t="s">
        <v>69</v>
      </c>
      <c r="AZ4122" t="b">
        <v>1</v>
      </c>
    </row>
    <row r="4123" spans="1:52" x14ac:dyDescent="0.3">
      <c r="A4123" t="s">
        <v>52</v>
      </c>
      <c r="B4123" t="s">
        <v>53</v>
      </c>
      <c r="C4123" t="s">
        <v>54</v>
      </c>
      <c r="D4123" t="s">
        <v>55</v>
      </c>
      <c r="E4123" t="s">
        <v>2222</v>
      </c>
      <c r="F4123" t="s">
        <v>57</v>
      </c>
      <c r="G4123" t="s">
        <v>321</v>
      </c>
      <c r="H4123" t="s">
        <v>322</v>
      </c>
      <c r="I4123" t="s">
        <v>322</v>
      </c>
      <c r="J4123" t="s">
        <v>60</v>
      </c>
      <c r="K4123" t="s">
        <v>323</v>
      </c>
      <c r="L4123" t="s">
        <v>62</v>
      </c>
      <c r="M4123" t="s">
        <v>323</v>
      </c>
      <c r="N4123" t="s">
        <v>324</v>
      </c>
      <c r="O4123" t="s">
        <v>325</v>
      </c>
      <c r="P4123">
        <v>-20.151437999999999</v>
      </c>
      <c r="Q4123">
        <v>-44.855761000000001</v>
      </c>
      <c r="R4123" s="2" t="str">
        <f>HYPERLINK("https://www.google.com/maps?q=-20.1514380,-44.8557610","Abrir no Google Maps")</f>
        <v>Abrir no Google Maps</v>
      </c>
      <c r="S4123">
        <v>4</v>
      </c>
      <c r="T4123">
        <v>970.69989262042009</v>
      </c>
      <c r="U4123">
        <v>4</v>
      </c>
      <c r="V4123">
        <v>0.3175906540026896</v>
      </c>
      <c r="W4123">
        <v>1</v>
      </c>
      <c r="X4123">
        <v>0.3175906540026896</v>
      </c>
      <c r="Y4123">
        <v>264</v>
      </c>
      <c r="Z4123">
        <v>1041.0105988261671</v>
      </c>
      <c r="AA4123">
        <v>198</v>
      </c>
      <c r="AB4123">
        <v>332</v>
      </c>
      <c r="AC4123">
        <v>536</v>
      </c>
      <c r="AD4123">
        <v>29.32</v>
      </c>
      <c r="AE4123">
        <v>542</v>
      </c>
      <c r="AF4123">
        <v>27</v>
      </c>
      <c r="AG4123">
        <v>173</v>
      </c>
      <c r="AH4123">
        <v>129</v>
      </c>
      <c r="AI4123">
        <v>4.9800000000000004</v>
      </c>
      <c r="AJ4123">
        <v>31.92</v>
      </c>
      <c r="AK4123">
        <v>23.8</v>
      </c>
      <c r="AL4123">
        <v>-20.15142824999996</v>
      </c>
      <c r="AM4123">
        <v>-44.854100160898767</v>
      </c>
      <c r="AN4123">
        <v>-20.15142824999996</v>
      </c>
      <c r="AO4123">
        <v>-44.854100160898767</v>
      </c>
      <c r="AP4123">
        <v>-20.151437999999999</v>
      </c>
      <c r="AQ4123">
        <v>-44.855761000000001</v>
      </c>
      <c r="AR4123">
        <v>173.57036632351381</v>
      </c>
      <c r="AS4123" t="s">
        <v>65</v>
      </c>
      <c r="AT4123">
        <v>1</v>
      </c>
      <c r="AU4123" t="s">
        <v>326</v>
      </c>
      <c r="AV4123" t="s">
        <v>327</v>
      </c>
      <c r="AW4123" t="s">
        <v>60</v>
      </c>
      <c r="AX4123" t="s">
        <v>68</v>
      </c>
      <c r="AY4123" t="s">
        <v>69</v>
      </c>
      <c r="AZ4123" t="b">
        <v>1</v>
      </c>
    </row>
    <row r="4124" spans="1:52" x14ac:dyDescent="0.3">
      <c r="A4124" t="s">
        <v>52</v>
      </c>
      <c r="B4124" t="s">
        <v>53</v>
      </c>
      <c r="C4124" t="s">
        <v>54</v>
      </c>
      <c r="D4124" t="s">
        <v>55</v>
      </c>
      <c r="E4124" t="s">
        <v>2222</v>
      </c>
      <c r="F4124" t="s">
        <v>57</v>
      </c>
      <c r="G4124" t="s">
        <v>328</v>
      </c>
      <c r="H4124" t="s">
        <v>329</v>
      </c>
      <c r="I4124" t="s">
        <v>329</v>
      </c>
      <c r="J4124" t="s">
        <v>60</v>
      </c>
      <c r="K4124" t="s">
        <v>157</v>
      </c>
      <c r="L4124" t="s">
        <v>62</v>
      </c>
      <c r="M4124" t="s">
        <v>157</v>
      </c>
      <c r="N4124" t="s">
        <v>330</v>
      </c>
      <c r="O4124" t="s">
        <v>331</v>
      </c>
      <c r="P4124">
        <v>-20.167981999999999</v>
      </c>
      <c r="Q4124">
        <v>-44.885706999999996</v>
      </c>
      <c r="R4124" s="2" t="str">
        <f>HYPERLINK("https://www.google.com/maps?q=-20.1679820,-44.8857070","Abrir no Google Maps")</f>
        <v>Abrir no Google Maps</v>
      </c>
      <c r="S4124">
        <v>4</v>
      </c>
      <c r="T4124">
        <v>594.70112534633722</v>
      </c>
      <c r="U4124">
        <v>4</v>
      </c>
      <c r="V4124">
        <v>0.31645817469813992</v>
      </c>
      <c r="W4124">
        <v>1</v>
      </c>
      <c r="X4124">
        <v>0.31645817469813992</v>
      </c>
      <c r="Y4124">
        <v>232</v>
      </c>
      <c r="Z4124">
        <v>560.38516624860983</v>
      </c>
      <c r="AA4124">
        <v>198</v>
      </c>
      <c r="AB4124">
        <v>332</v>
      </c>
      <c r="AC4124">
        <v>536</v>
      </c>
      <c r="AD4124">
        <v>29.32</v>
      </c>
      <c r="AE4124">
        <v>542</v>
      </c>
      <c r="AF4124">
        <v>27</v>
      </c>
      <c r="AG4124">
        <v>173</v>
      </c>
      <c r="AH4124">
        <v>129</v>
      </c>
      <c r="AI4124">
        <v>4.9800000000000004</v>
      </c>
      <c r="AJ4124">
        <v>31.92</v>
      </c>
      <c r="AK4124">
        <v>23.8</v>
      </c>
      <c r="AL4124">
        <v>-20.167931149999959</v>
      </c>
      <c r="AM4124">
        <v>-44.885606821741909</v>
      </c>
      <c r="AN4124">
        <v>-20.167931149999959</v>
      </c>
      <c r="AO4124">
        <v>-44.885606821741909</v>
      </c>
      <c r="AP4124">
        <v>-20.167981999999999</v>
      </c>
      <c r="AQ4124">
        <v>-44.885706999999996</v>
      </c>
      <c r="AR4124">
        <v>11.90056149590643</v>
      </c>
      <c r="AS4124" t="s">
        <v>65</v>
      </c>
      <c r="AT4124">
        <v>1</v>
      </c>
      <c r="AU4124" t="s">
        <v>332</v>
      </c>
      <c r="AV4124" t="s">
        <v>333</v>
      </c>
      <c r="AW4124" t="s">
        <v>60</v>
      </c>
      <c r="AX4124" t="s">
        <v>68</v>
      </c>
      <c r="AY4124" t="s">
        <v>69</v>
      </c>
      <c r="AZ4124" t="b">
        <v>1</v>
      </c>
    </row>
    <row r="4125" spans="1:52" x14ac:dyDescent="0.3">
      <c r="A4125" t="s">
        <v>52</v>
      </c>
      <c r="B4125" t="s">
        <v>53</v>
      </c>
      <c r="C4125" t="s">
        <v>54</v>
      </c>
      <c r="D4125" t="s">
        <v>55</v>
      </c>
      <c r="E4125" t="s">
        <v>2222</v>
      </c>
      <c r="F4125" t="s">
        <v>57</v>
      </c>
      <c r="G4125" t="s">
        <v>162</v>
      </c>
      <c r="H4125" t="s">
        <v>163</v>
      </c>
      <c r="I4125" t="s">
        <v>163</v>
      </c>
      <c r="J4125" t="s">
        <v>60</v>
      </c>
      <c r="K4125" t="s">
        <v>164</v>
      </c>
      <c r="L4125" t="s">
        <v>62</v>
      </c>
      <c r="M4125" t="s">
        <v>164</v>
      </c>
      <c r="N4125" t="s">
        <v>165</v>
      </c>
      <c r="O4125" t="s">
        <v>166</v>
      </c>
      <c r="P4125">
        <v>-20.175967</v>
      </c>
      <c r="Q4125">
        <v>-44.876730000000002</v>
      </c>
      <c r="R4125" s="2" t="str">
        <f>HYPERLINK("https://www.google.com/maps?q=-20.1759670,-44.8767300","Abrir no Google Maps")</f>
        <v>Abrir no Google Maps</v>
      </c>
      <c r="S4125">
        <v>4</v>
      </c>
      <c r="T4125">
        <v>692.5753730151132</v>
      </c>
      <c r="U4125">
        <v>4</v>
      </c>
      <c r="V4125">
        <v>0.32136047102423859</v>
      </c>
      <c r="W4125">
        <v>1</v>
      </c>
      <c r="X4125">
        <v>0.32136047102423859</v>
      </c>
      <c r="Y4125">
        <v>232</v>
      </c>
      <c r="Z4125">
        <v>686.15054949166824</v>
      </c>
      <c r="AA4125">
        <v>198</v>
      </c>
      <c r="AB4125">
        <v>332</v>
      </c>
      <c r="AC4125">
        <v>536</v>
      </c>
      <c r="AD4125">
        <v>29.32</v>
      </c>
      <c r="AE4125">
        <v>542</v>
      </c>
      <c r="AF4125">
        <v>27</v>
      </c>
      <c r="AG4125">
        <v>173</v>
      </c>
      <c r="AH4125">
        <v>129</v>
      </c>
      <c r="AI4125">
        <v>4.9800000000000004</v>
      </c>
      <c r="AJ4125">
        <v>31.92</v>
      </c>
      <c r="AK4125">
        <v>23.8</v>
      </c>
      <c r="AL4125">
        <v>-20.17598664999997</v>
      </c>
      <c r="AM4125">
        <v>-44.876806510253203</v>
      </c>
      <c r="AN4125">
        <v>-20.17598664999997</v>
      </c>
      <c r="AO4125">
        <v>-44.876806510253203</v>
      </c>
      <c r="AP4125">
        <v>-20.175967</v>
      </c>
      <c r="AQ4125">
        <v>-44.876730000000002</v>
      </c>
      <c r="AR4125">
        <v>8.2883514287440097</v>
      </c>
      <c r="AS4125" t="s">
        <v>65</v>
      </c>
      <c r="AT4125">
        <v>1</v>
      </c>
      <c r="AU4125" t="s">
        <v>167</v>
      </c>
      <c r="AV4125" t="s">
        <v>168</v>
      </c>
      <c r="AW4125" t="s">
        <v>60</v>
      </c>
      <c r="AX4125" t="s">
        <v>68</v>
      </c>
      <c r="AY4125" t="s">
        <v>69</v>
      </c>
      <c r="AZ4125" t="b">
        <v>1</v>
      </c>
    </row>
    <row r="4126" spans="1:52" x14ac:dyDescent="0.3">
      <c r="A4126" t="s">
        <v>52</v>
      </c>
      <c r="B4126" t="s">
        <v>53</v>
      </c>
      <c r="C4126" t="s">
        <v>54</v>
      </c>
      <c r="D4126" t="s">
        <v>55</v>
      </c>
      <c r="E4126" t="s">
        <v>2222</v>
      </c>
      <c r="F4126" t="s">
        <v>57</v>
      </c>
      <c r="G4126" t="s">
        <v>353</v>
      </c>
      <c r="H4126" t="s">
        <v>354</v>
      </c>
      <c r="I4126" t="s">
        <v>354</v>
      </c>
      <c r="J4126" t="s">
        <v>60</v>
      </c>
      <c r="K4126" t="s">
        <v>355</v>
      </c>
      <c r="L4126" t="s">
        <v>62</v>
      </c>
      <c r="M4126" t="s">
        <v>355</v>
      </c>
      <c r="N4126" t="s">
        <v>356</v>
      </c>
      <c r="O4126" t="s">
        <v>357</v>
      </c>
      <c r="P4126">
        <v>-20.147373999999999</v>
      </c>
      <c r="Q4126">
        <v>-44.875141999999997</v>
      </c>
      <c r="R4126" s="2" t="str">
        <f>HYPERLINK("https://www.google.com/maps?q=-20.1473740,-44.8751420","Abrir no Google Maps")</f>
        <v>Abrir no Google Maps</v>
      </c>
      <c r="S4126">
        <v>4</v>
      </c>
      <c r="T4126">
        <v>394.29708169591709</v>
      </c>
      <c r="U4126">
        <v>4</v>
      </c>
      <c r="V4126">
        <v>0.3248433847592333</v>
      </c>
      <c r="W4126">
        <v>1</v>
      </c>
      <c r="X4126">
        <v>0.3248433847592333</v>
      </c>
      <c r="Y4126">
        <v>209</v>
      </c>
      <c r="Z4126">
        <v>326.95034461828868</v>
      </c>
      <c r="AA4126">
        <v>198</v>
      </c>
      <c r="AB4126">
        <v>332</v>
      </c>
      <c r="AC4126">
        <v>536</v>
      </c>
      <c r="AD4126">
        <v>29.32</v>
      </c>
      <c r="AE4126">
        <v>542</v>
      </c>
      <c r="AF4126">
        <v>27</v>
      </c>
      <c r="AG4126">
        <v>173</v>
      </c>
      <c r="AH4126">
        <v>129</v>
      </c>
      <c r="AI4126">
        <v>4.9800000000000004</v>
      </c>
      <c r="AJ4126">
        <v>31.92</v>
      </c>
      <c r="AK4126">
        <v>23.8</v>
      </c>
      <c r="AL4126">
        <v>-20.147207999999949</v>
      </c>
      <c r="AM4126">
        <v>-44.875152120336942</v>
      </c>
      <c r="AN4126">
        <v>-20.147207999999949</v>
      </c>
      <c r="AO4126">
        <v>-44.875152120336942</v>
      </c>
      <c r="AP4126">
        <v>-20.147373999999999</v>
      </c>
      <c r="AQ4126">
        <v>-44.875141999999997</v>
      </c>
      <c r="AR4126">
        <v>18.509363081081169</v>
      </c>
      <c r="AS4126" t="s">
        <v>65</v>
      </c>
      <c r="AT4126">
        <v>1</v>
      </c>
      <c r="AU4126" t="s">
        <v>358</v>
      </c>
      <c r="AV4126" t="s">
        <v>359</v>
      </c>
      <c r="AW4126" t="s">
        <v>60</v>
      </c>
      <c r="AX4126" t="s">
        <v>68</v>
      </c>
      <c r="AY4126" t="s">
        <v>69</v>
      </c>
      <c r="AZ4126" t="b">
        <v>1</v>
      </c>
    </row>
    <row r="4127" spans="1:52" x14ac:dyDescent="0.3">
      <c r="A4127" t="s">
        <v>52</v>
      </c>
      <c r="B4127" t="s">
        <v>53</v>
      </c>
      <c r="C4127" t="s">
        <v>54</v>
      </c>
      <c r="D4127" t="s">
        <v>55</v>
      </c>
      <c r="E4127" t="s">
        <v>2222</v>
      </c>
      <c r="F4127" t="s">
        <v>57</v>
      </c>
      <c r="G4127" t="s">
        <v>366</v>
      </c>
      <c r="H4127" t="s">
        <v>367</v>
      </c>
      <c r="I4127" t="s">
        <v>367</v>
      </c>
      <c r="J4127" t="s">
        <v>60</v>
      </c>
      <c r="K4127" t="s">
        <v>368</v>
      </c>
      <c r="L4127" t="s">
        <v>62</v>
      </c>
      <c r="M4127" t="s">
        <v>368</v>
      </c>
      <c r="N4127" t="s">
        <v>369</v>
      </c>
      <c r="O4127" t="s">
        <v>370</v>
      </c>
      <c r="P4127">
        <v>-20.144553999999999</v>
      </c>
      <c r="Q4127">
        <v>-44.868183000000002</v>
      </c>
      <c r="R4127" s="2" t="str">
        <f>HYPERLINK("https://www.google.com/maps?q=-20.1445540,-44.8681830","Abrir no Google Maps")</f>
        <v>Abrir no Google Maps</v>
      </c>
      <c r="S4127">
        <v>4</v>
      </c>
      <c r="T4127">
        <v>783.87848835431373</v>
      </c>
      <c r="U4127">
        <v>4</v>
      </c>
      <c r="V4127">
        <v>0.31539458726391573</v>
      </c>
      <c r="W4127">
        <v>1</v>
      </c>
      <c r="X4127">
        <v>0.31539458726391573</v>
      </c>
      <c r="Y4127">
        <v>198</v>
      </c>
      <c r="Z4127">
        <v>360.68413994394842</v>
      </c>
      <c r="AA4127">
        <v>198</v>
      </c>
      <c r="AB4127">
        <v>332</v>
      </c>
      <c r="AC4127">
        <v>536</v>
      </c>
      <c r="AD4127">
        <v>29.32</v>
      </c>
      <c r="AE4127">
        <v>542</v>
      </c>
      <c r="AF4127">
        <v>27</v>
      </c>
      <c r="AG4127">
        <v>173</v>
      </c>
      <c r="AH4127">
        <v>129</v>
      </c>
      <c r="AI4127">
        <v>4.9800000000000004</v>
      </c>
      <c r="AJ4127">
        <v>31.92</v>
      </c>
      <c r="AK4127">
        <v>23.8</v>
      </c>
      <c r="AL4127">
        <v>-20.144487399999949</v>
      </c>
      <c r="AM4127">
        <v>-44.868111936674481</v>
      </c>
      <c r="AN4127">
        <v>-20.144487399999939</v>
      </c>
      <c r="AO4127">
        <v>-44.868111936674481</v>
      </c>
      <c r="AP4127">
        <v>-20.144553999999999</v>
      </c>
      <c r="AQ4127">
        <v>-44.868183000000002</v>
      </c>
      <c r="AR4127">
        <v>10.49400387332288</v>
      </c>
      <c r="AS4127" t="s">
        <v>65</v>
      </c>
      <c r="AT4127">
        <v>1</v>
      </c>
      <c r="AU4127" t="s">
        <v>371</v>
      </c>
      <c r="AV4127" t="s">
        <v>372</v>
      </c>
      <c r="AW4127" t="s">
        <v>60</v>
      </c>
      <c r="AX4127" t="s">
        <v>68</v>
      </c>
      <c r="AY4127" t="s">
        <v>69</v>
      </c>
      <c r="AZ4127" t="b">
        <v>1</v>
      </c>
    </row>
    <row r="4128" spans="1:52" x14ac:dyDescent="0.3">
      <c r="A4128" t="s">
        <v>52</v>
      </c>
      <c r="B4128" t="s">
        <v>53</v>
      </c>
      <c r="C4128" t="s">
        <v>54</v>
      </c>
      <c r="D4128" t="s">
        <v>55</v>
      </c>
      <c r="E4128" t="s">
        <v>2222</v>
      </c>
      <c r="F4128" t="s">
        <v>57</v>
      </c>
      <c r="G4128" t="s">
        <v>373</v>
      </c>
      <c r="H4128" t="s">
        <v>374</v>
      </c>
      <c r="I4128" t="s">
        <v>374</v>
      </c>
      <c r="J4128" t="s">
        <v>60</v>
      </c>
      <c r="K4128" t="s">
        <v>375</v>
      </c>
      <c r="L4128" t="s">
        <v>62</v>
      </c>
      <c r="M4128" t="s">
        <v>375</v>
      </c>
      <c r="N4128" t="s">
        <v>376</v>
      </c>
      <c r="O4128" t="s">
        <v>377</v>
      </c>
      <c r="P4128">
        <v>-20.178172</v>
      </c>
      <c r="Q4128">
        <v>-44.882871999999999</v>
      </c>
      <c r="R4128" s="2" t="str">
        <f>HYPERLINK("https://www.google.com/maps?q=-20.1781720,-44.8828720","Abrir no Google Maps")</f>
        <v>Abrir no Google Maps</v>
      </c>
      <c r="S4128">
        <v>4</v>
      </c>
      <c r="T4128">
        <v>817.23317190190858</v>
      </c>
      <c r="U4128">
        <v>4</v>
      </c>
      <c r="V4128">
        <v>0.32063596491228069</v>
      </c>
      <c r="W4128">
        <v>1</v>
      </c>
      <c r="X4128">
        <v>0.32063596491228069</v>
      </c>
      <c r="Y4128">
        <v>101</v>
      </c>
      <c r="Z4128">
        <v>845.03006728789421</v>
      </c>
      <c r="AA4128">
        <v>198</v>
      </c>
      <c r="AB4128">
        <v>332</v>
      </c>
      <c r="AC4128">
        <v>536</v>
      </c>
      <c r="AD4128">
        <v>29.32</v>
      </c>
      <c r="AE4128">
        <v>542</v>
      </c>
      <c r="AF4128">
        <v>27</v>
      </c>
      <c r="AG4128">
        <v>173</v>
      </c>
      <c r="AH4128">
        <v>129</v>
      </c>
      <c r="AI4128">
        <v>4.9800000000000004</v>
      </c>
      <c r="AJ4128">
        <v>31.92</v>
      </c>
      <c r="AK4128">
        <v>23.8</v>
      </c>
      <c r="AL4128">
        <v>-20.178380049999959</v>
      </c>
      <c r="AM4128">
        <v>-44.883070555357122</v>
      </c>
      <c r="AN4128">
        <v>-20.178380049999959</v>
      </c>
      <c r="AO4128">
        <v>-44.883070555357122</v>
      </c>
      <c r="AP4128">
        <v>-20.178172</v>
      </c>
      <c r="AQ4128">
        <v>-44.882871999999999</v>
      </c>
      <c r="AR4128">
        <v>31.093588149250511</v>
      </c>
      <c r="AS4128" t="s">
        <v>65</v>
      </c>
      <c r="AT4128">
        <v>1</v>
      </c>
      <c r="AU4128" t="s">
        <v>378</v>
      </c>
      <c r="AV4128" t="s">
        <v>379</v>
      </c>
      <c r="AW4128" t="s">
        <v>60</v>
      </c>
      <c r="AX4128" t="s">
        <v>68</v>
      </c>
      <c r="AY4128" t="s">
        <v>69</v>
      </c>
      <c r="AZ4128" t="b">
        <v>1</v>
      </c>
    </row>
    <row r="4129" spans="1:52" x14ac:dyDescent="0.3">
      <c r="A4129" t="s">
        <v>52</v>
      </c>
      <c r="B4129" t="s">
        <v>53</v>
      </c>
      <c r="C4129" t="s">
        <v>54</v>
      </c>
      <c r="D4129" t="s">
        <v>55</v>
      </c>
      <c r="E4129" t="s">
        <v>2222</v>
      </c>
      <c r="F4129" t="s">
        <v>190</v>
      </c>
      <c r="G4129" t="s">
        <v>191</v>
      </c>
      <c r="H4129" t="s">
        <v>192</v>
      </c>
      <c r="I4129" t="s">
        <v>192</v>
      </c>
      <c r="J4129" t="s">
        <v>60</v>
      </c>
      <c r="K4129" t="s">
        <v>193</v>
      </c>
      <c r="L4129" t="s">
        <v>62</v>
      </c>
      <c r="M4129" t="s">
        <v>193</v>
      </c>
      <c r="N4129" t="s">
        <v>194</v>
      </c>
      <c r="O4129" t="s">
        <v>195</v>
      </c>
      <c r="P4129">
        <v>-20.143266000000001</v>
      </c>
      <c r="Q4129">
        <v>-44.912075000000002</v>
      </c>
      <c r="R4129" s="2" t="str">
        <f>HYPERLINK("https://www.google.com/maps?q=-20.1432660,-44.9120750","Abrir no Google Maps")</f>
        <v>Abrir no Google Maps</v>
      </c>
      <c r="S4129">
        <v>4</v>
      </c>
      <c r="T4129">
        <v>467.04339396175408</v>
      </c>
      <c r="U4129">
        <v>3</v>
      </c>
      <c r="V4129">
        <v>0.2999402054370342</v>
      </c>
      <c r="W4129">
        <v>1</v>
      </c>
      <c r="X4129">
        <v>0.2999402054370342</v>
      </c>
      <c r="Y4129">
        <v>747</v>
      </c>
      <c r="Z4129">
        <v>585.1742452866996</v>
      </c>
      <c r="AA4129">
        <v>198</v>
      </c>
      <c r="AB4129">
        <v>332</v>
      </c>
      <c r="AC4129">
        <v>536</v>
      </c>
      <c r="AD4129">
        <v>29.32</v>
      </c>
      <c r="AE4129">
        <v>542</v>
      </c>
      <c r="AF4129">
        <v>27</v>
      </c>
      <c r="AG4129">
        <v>173</v>
      </c>
      <c r="AH4129">
        <v>129</v>
      </c>
      <c r="AI4129">
        <v>4.9800000000000004</v>
      </c>
      <c r="AJ4129">
        <v>31.92</v>
      </c>
      <c r="AK4129">
        <v>23.8</v>
      </c>
      <c r="AL4129">
        <v>-20.143307949999951</v>
      </c>
      <c r="AM4129">
        <v>-44.912066629431067</v>
      </c>
      <c r="AN4129">
        <v>-20.143307949999951</v>
      </c>
      <c r="AO4129">
        <v>-44.912066629431067</v>
      </c>
      <c r="AP4129">
        <v>-20.143266000000001</v>
      </c>
      <c r="AQ4129">
        <v>-44.912075000000002</v>
      </c>
      <c r="AR4129">
        <v>4.751108024498329</v>
      </c>
      <c r="AS4129" t="s">
        <v>65</v>
      </c>
      <c r="AT4129">
        <v>1</v>
      </c>
      <c r="AU4129" t="s">
        <v>196</v>
      </c>
      <c r="AV4129" t="s">
        <v>197</v>
      </c>
      <c r="AW4129" t="s">
        <v>60</v>
      </c>
      <c r="AX4129" t="s">
        <v>68</v>
      </c>
      <c r="AY4129" t="s">
        <v>69</v>
      </c>
      <c r="AZ4129" t="b">
        <v>1</v>
      </c>
    </row>
    <row r="4130" spans="1:52" x14ac:dyDescent="0.3">
      <c r="A4130" t="s">
        <v>52</v>
      </c>
      <c r="B4130" t="s">
        <v>53</v>
      </c>
      <c r="C4130" t="s">
        <v>54</v>
      </c>
      <c r="D4130" t="s">
        <v>55</v>
      </c>
      <c r="E4130" t="s">
        <v>2222</v>
      </c>
      <c r="F4130" t="s">
        <v>190</v>
      </c>
      <c r="G4130" t="s">
        <v>83</v>
      </c>
      <c r="H4130" t="s">
        <v>84</v>
      </c>
      <c r="I4130" t="s">
        <v>84</v>
      </c>
      <c r="J4130" t="s">
        <v>60</v>
      </c>
      <c r="K4130" t="s">
        <v>61</v>
      </c>
      <c r="L4130" t="s">
        <v>62</v>
      </c>
      <c r="M4130" t="s">
        <v>61</v>
      </c>
      <c r="N4130" t="s">
        <v>85</v>
      </c>
      <c r="O4130" t="s">
        <v>86</v>
      </c>
      <c r="P4130">
        <v>-20.149799000000002</v>
      </c>
      <c r="Q4130">
        <v>-44.906517000000001</v>
      </c>
      <c r="R4130" s="2" t="str">
        <f>HYPERLINK("https://www.google.com/maps?q=-20.1497990,-44.9065170","Abrir no Google Maps")</f>
        <v>Abrir no Google Maps</v>
      </c>
      <c r="S4130">
        <v>4</v>
      </c>
      <c r="T4130">
        <v>487.90051105537998</v>
      </c>
      <c r="U4130">
        <v>3</v>
      </c>
      <c r="V4130">
        <v>0.31035739301199328</v>
      </c>
      <c r="W4130">
        <v>1</v>
      </c>
      <c r="X4130">
        <v>0.31035739301199328</v>
      </c>
      <c r="Y4130">
        <v>747</v>
      </c>
      <c r="Z4130">
        <v>365.93785960107078</v>
      </c>
      <c r="AA4130">
        <v>198</v>
      </c>
      <c r="AB4130">
        <v>332</v>
      </c>
      <c r="AC4130">
        <v>536</v>
      </c>
      <c r="AD4130">
        <v>29.32</v>
      </c>
      <c r="AE4130">
        <v>542</v>
      </c>
      <c r="AF4130">
        <v>27</v>
      </c>
      <c r="AG4130">
        <v>173</v>
      </c>
      <c r="AH4130">
        <v>129</v>
      </c>
      <c r="AI4130">
        <v>4.9800000000000004</v>
      </c>
      <c r="AJ4130">
        <v>31.92</v>
      </c>
      <c r="AK4130">
        <v>23.8</v>
      </c>
      <c r="AL4130">
        <v>-20.149879599999959</v>
      </c>
      <c r="AM4130">
        <v>-44.906746466068469</v>
      </c>
      <c r="AN4130">
        <v>-20.149879599999959</v>
      </c>
      <c r="AO4130">
        <v>-44.906746466068469</v>
      </c>
      <c r="AP4130">
        <v>-20.149799000000002</v>
      </c>
      <c r="AQ4130">
        <v>-44.906517000000001</v>
      </c>
      <c r="AR4130">
        <v>25.604276856970429</v>
      </c>
      <c r="AS4130" t="s">
        <v>65</v>
      </c>
      <c r="AT4130">
        <v>1</v>
      </c>
      <c r="AU4130" t="s">
        <v>87</v>
      </c>
      <c r="AV4130" t="s">
        <v>88</v>
      </c>
      <c r="AW4130" t="s">
        <v>60</v>
      </c>
      <c r="AX4130" t="s">
        <v>68</v>
      </c>
      <c r="AY4130" t="s">
        <v>69</v>
      </c>
      <c r="AZ4130" t="b">
        <v>1</v>
      </c>
    </row>
    <row r="4131" spans="1:52" x14ac:dyDescent="0.3">
      <c r="A4131" t="s">
        <v>52</v>
      </c>
      <c r="B4131" t="s">
        <v>53</v>
      </c>
      <c r="C4131" t="s">
        <v>54</v>
      </c>
      <c r="D4131" t="s">
        <v>55</v>
      </c>
      <c r="E4131" t="s">
        <v>2222</v>
      </c>
      <c r="F4131" t="s">
        <v>190</v>
      </c>
      <c r="G4131" t="s">
        <v>108</v>
      </c>
      <c r="H4131" t="s">
        <v>109</v>
      </c>
      <c r="I4131" t="s">
        <v>109</v>
      </c>
      <c r="J4131" t="s">
        <v>60</v>
      </c>
      <c r="K4131" t="s">
        <v>110</v>
      </c>
      <c r="L4131" t="s">
        <v>62</v>
      </c>
      <c r="M4131" t="s">
        <v>110</v>
      </c>
      <c r="N4131" t="s">
        <v>111</v>
      </c>
      <c r="O4131" t="s">
        <v>112</v>
      </c>
      <c r="P4131">
        <v>-20.122233999999999</v>
      </c>
      <c r="Q4131">
        <v>-44.909194999999997</v>
      </c>
      <c r="R4131" s="2" t="str">
        <f>HYPERLINK("https://www.google.com/maps?q=-20.1222340,-44.9091950","Abrir no Google Maps")</f>
        <v>Abrir no Google Maps</v>
      </c>
      <c r="S4131">
        <v>4</v>
      </c>
      <c r="T4131">
        <v>1171.396020763932</v>
      </c>
      <c r="U4131">
        <v>3</v>
      </c>
      <c r="V4131">
        <v>0.35911633109619689</v>
      </c>
      <c r="W4131">
        <v>0.85</v>
      </c>
      <c r="X4131">
        <v>0.30524888143176743</v>
      </c>
      <c r="Y4131">
        <v>567</v>
      </c>
      <c r="Z4131">
        <v>1238.711234283244</v>
      </c>
      <c r="AA4131">
        <v>198</v>
      </c>
      <c r="AB4131">
        <v>332</v>
      </c>
      <c r="AC4131">
        <v>536</v>
      </c>
      <c r="AD4131">
        <v>29.32</v>
      </c>
      <c r="AE4131">
        <v>542</v>
      </c>
      <c r="AF4131">
        <v>27</v>
      </c>
      <c r="AG4131">
        <v>173</v>
      </c>
      <c r="AH4131">
        <v>129</v>
      </c>
      <c r="AI4131">
        <v>4.9800000000000004</v>
      </c>
      <c r="AJ4131">
        <v>31.92</v>
      </c>
      <c r="AK4131">
        <v>23.8</v>
      </c>
      <c r="AL4131">
        <v>-20.121881249999941</v>
      </c>
      <c r="AM4131">
        <v>-44.909273766094323</v>
      </c>
      <c r="AN4131">
        <v>-20.121881249999941</v>
      </c>
      <c r="AO4131">
        <v>-44.909273766094323</v>
      </c>
      <c r="AP4131">
        <v>-20.122233999999999</v>
      </c>
      <c r="AQ4131">
        <v>-44.909194999999997</v>
      </c>
      <c r="AR4131">
        <v>40.12192930593006</v>
      </c>
      <c r="AS4131" t="s">
        <v>65</v>
      </c>
      <c r="AT4131">
        <v>1</v>
      </c>
      <c r="AU4131" t="s">
        <v>113</v>
      </c>
      <c r="AV4131" t="s">
        <v>114</v>
      </c>
      <c r="AW4131" t="s">
        <v>60</v>
      </c>
      <c r="AX4131" t="s">
        <v>68</v>
      </c>
      <c r="AY4131" t="s">
        <v>69</v>
      </c>
      <c r="AZ4131" t="b">
        <v>1</v>
      </c>
    </row>
    <row r="4132" spans="1:52" x14ac:dyDescent="0.3">
      <c r="A4132" t="s">
        <v>52</v>
      </c>
      <c r="B4132" t="s">
        <v>53</v>
      </c>
      <c r="C4132" t="s">
        <v>54</v>
      </c>
      <c r="D4132" t="s">
        <v>55</v>
      </c>
      <c r="E4132" t="s">
        <v>2222</v>
      </c>
      <c r="F4132" t="s">
        <v>190</v>
      </c>
      <c r="G4132" t="s">
        <v>115</v>
      </c>
      <c r="H4132" t="s">
        <v>116</v>
      </c>
      <c r="I4132" t="s">
        <v>116</v>
      </c>
      <c r="J4132" t="s">
        <v>60</v>
      </c>
      <c r="K4132" t="s">
        <v>117</v>
      </c>
      <c r="L4132" t="s">
        <v>62</v>
      </c>
      <c r="M4132" t="s">
        <v>117</v>
      </c>
      <c r="N4132" t="s">
        <v>118</v>
      </c>
      <c r="O4132" t="s">
        <v>119</v>
      </c>
      <c r="P4132">
        <v>-20.116992</v>
      </c>
      <c r="Q4132">
        <v>-44.899355</v>
      </c>
      <c r="R4132" s="2" t="str">
        <f>HYPERLINK("https://www.google.com/maps?q=-20.1169920,-44.8993550","Abrir no Google Maps")</f>
        <v>Abrir no Google Maps</v>
      </c>
      <c r="S4132">
        <v>4</v>
      </c>
      <c r="T4132">
        <v>0</v>
      </c>
      <c r="U4132">
        <v>3</v>
      </c>
      <c r="V4132">
        <v>0.30702605792711191</v>
      </c>
      <c r="W4132">
        <v>1</v>
      </c>
      <c r="X4132">
        <v>0.30702605792711191</v>
      </c>
      <c r="Y4132">
        <v>567</v>
      </c>
      <c r="Z4132">
        <v>54.913678078353321</v>
      </c>
      <c r="AA4132">
        <v>198</v>
      </c>
      <c r="AB4132">
        <v>332</v>
      </c>
      <c r="AC4132">
        <v>536</v>
      </c>
      <c r="AD4132">
        <v>29.32</v>
      </c>
      <c r="AE4132">
        <v>542</v>
      </c>
      <c r="AF4132">
        <v>27</v>
      </c>
      <c r="AG4132">
        <v>173</v>
      </c>
      <c r="AH4132">
        <v>129</v>
      </c>
      <c r="AI4132">
        <v>4.9800000000000004</v>
      </c>
      <c r="AJ4132">
        <v>31.92</v>
      </c>
      <c r="AK4132">
        <v>23.8</v>
      </c>
      <c r="AL4132">
        <v>-20.117107749999949</v>
      </c>
      <c r="AM4132">
        <v>-44.899271226243108</v>
      </c>
      <c r="AN4132">
        <v>-20.117107749999949</v>
      </c>
      <c r="AO4132">
        <v>-44.899271226243108</v>
      </c>
      <c r="AP4132">
        <v>-20.116992</v>
      </c>
      <c r="AQ4132">
        <v>-44.899355</v>
      </c>
      <c r="AR4132">
        <v>15.579196044083419</v>
      </c>
      <c r="AS4132" t="s">
        <v>65</v>
      </c>
      <c r="AT4132">
        <v>1</v>
      </c>
      <c r="AU4132" t="s">
        <v>120</v>
      </c>
      <c r="AV4132" t="s">
        <v>121</v>
      </c>
      <c r="AW4132" t="s">
        <v>60</v>
      </c>
      <c r="AX4132" t="s">
        <v>68</v>
      </c>
      <c r="AY4132" t="s">
        <v>69</v>
      </c>
      <c r="AZ4132" t="b">
        <v>1</v>
      </c>
    </row>
    <row r="4133" spans="1:52" x14ac:dyDescent="0.3">
      <c r="A4133" t="s">
        <v>52</v>
      </c>
      <c r="B4133" t="s">
        <v>53</v>
      </c>
      <c r="C4133" t="s">
        <v>54</v>
      </c>
      <c r="D4133" t="s">
        <v>55</v>
      </c>
      <c r="E4133" t="s">
        <v>2222</v>
      </c>
      <c r="F4133" t="s">
        <v>190</v>
      </c>
      <c r="G4133" t="s">
        <v>122</v>
      </c>
      <c r="H4133" t="s">
        <v>123</v>
      </c>
      <c r="I4133" t="s">
        <v>123</v>
      </c>
      <c r="J4133" t="s">
        <v>60</v>
      </c>
      <c r="K4133" t="s">
        <v>117</v>
      </c>
      <c r="L4133" t="s">
        <v>62</v>
      </c>
      <c r="M4133" t="s">
        <v>117</v>
      </c>
      <c r="N4133" t="s">
        <v>124</v>
      </c>
      <c r="O4133" t="s">
        <v>125</v>
      </c>
      <c r="P4133">
        <v>-20.11853</v>
      </c>
      <c r="Q4133">
        <v>-44.896925000000003</v>
      </c>
      <c r="R4133" s="2" t="str">
        <f>HYPERLINK("https://www.google.com/maps?q=-20.1185300,-44.8969250","Abrir no Google Maps")</f>
        <v>Abrir no Google Maps</v>
      </c>
      <c r="S4133">
        <v>4</v>
      </c>
      <c r="T4133">
        <v>325.32255721093247</v>
      </c>
      <c r="U4133">
        <v>3</v>
      </c>
      <c r="V4133">
        <v>0.30816686977869617</v>
      </c>
      <c r="W4133">
        <v>1</v>
      </c>
      <c r="X4133">
        <v>0.30816686977869617</v>
      </c>
      <c r="Y4133">
        <v>567</v>
      </c>
      <c r="Z4133">
        <v>306.04423478678871</v>
      </c>
      <c r="AA4133">
        <v>198</v>
      </c>
      <c r="AB4133">
        <v>332</v>
      </c>
      <c r="AC4133">
        <v>536</v>
      </c>
      <c r="AD4133">
        <v>29.32</v>
      </c>
      <c r="AE4133">
        <v>542</v>
      </c>
      <c r="AF4133">
        <v>27</v>
      </c>
      <c r="AG4133">
        <v>173</v>
      </c>
      <c r="AH4133">
        <v>129</v>
      </c>
      <c r="AI4133">
        <v>4.9800000000000004</v>
      </c>
      <c r="AJ4133">
        <v>31.92</v>
      </c>
      <c r="AK4133">
        <v>23.8</v>
      </c>
      <c r="AL4133">
        <v>-20.118682499999949</v>
      </c>
      <c r="AM4133">
        <v>-44.896643089287927</v>
      </c>
      <c r="AN4133">
        <v>-20.118682499999949</v>
      </c>
      <c r="AO4133">
        <v>-44.896643089287927</v>
      </c>
      <c r="AP4133">
        <v>-20.11853</v>
      </c>
      <c r="AQ4133">
        <v>-44.896925000000003</v>
      </c>
      <c r="AR4133">
        <v>34.007698996886518</v>
      </c>
      <c r="AS4133" t="s">
        <v>65</v>
      </c>
      <c r="AT4133">
        <v>1</v>
      </c>
      <c r="AU4133" t="s">
        <v>126</v>
      </c>
      <c r="AV4133" t="s">
        <v>121</v>
      </c>
      <c r="AW4133" t="s">
        <v>60</v>
      </c>
      <c r="AX4133" t="s">
        <v>68</v>
      </c>
      <c r="AY4133" t="s">
        <v>69</v>
      </c>
      <c r="AZ4133" t="b">
        <v>1</v>
      </c>
    </row>
    <row r="4134" spans="1:52" x14ac:dyDescent="0.3">
      <c r="A4134" t="s">
        <v>52</v>
      </c>
      <c r="B4134" t="s">
        <v>53</v>
      </c>
      <c r="C4134" t="s">
        <v>54</v>
      </c>
      <c r="D4134" t="s">
        <v>55</v>
      </c>
      <c r="E4134" t="s">
        <v>2222</v>
      </c>
      <c r="F4134" t="s">
        <v>190</v>
      </c>
      <c r="G4134" t="s">
        <v>212</v>
      </c>
      <c r="H4134" t="s">
        <v>213</v>
      </c>
      <c r="I4134" t="s">
        <v>213</v>
      </c>
      <c r="J4134" t="s">
        <v>60</v>
      </c>
      <c r="K4134" t="s">
        <v>214</v>
      </c>
      <c r="L4134" t="s">
        <v>62</v>
      </c>
      <c r="M4134" t="s">
        <v>214</v>
      </c>
      <c r="N4134" t="s">
        <v>215</v>
      </c>
      <c r="O4134" t="s">
        <v>216</v>
      </c>
      <c r="P4134">
        <v>-20.158149000000002</v>
      </c>
      <c r="Q4134">
        <v>-44.872593000000002</v>
      </c>
      <c r="R4134" s="2" t="str">
        <f>HYPERLINK("https://www.google.com/maps?q=-20.1581490,-44.8725930","Abrir no Google Maps")</f>
        <v>Abrir no Google Maps</v>
      </c>
      <c r="S4134">
        <v>4</v>
      </c>
      <c r="T4134">
        <v>0</v>
      </c>
      <c r="U4134">
        <v>3</v>
      </c>
      <c r="V4134">
        <v>0.31018094460420581</v>
      </c>
      <c r="W4134">
        <v>1</v>
      </c>
      <c r="X4134">
        <v>0.31018094460420581</v>
      </c>
      <c r="Y4134">
        <v>531</v>
      </c>
      <c r="Z4134">
        <v>127.8805352974544</v>
      </c>
      <c r="AA4134">
        <v>198</v>
      </c>
      <c r="AB4134">
        <v>332</v>
      </c>
      <c r="AC4134">
        <v>536</v>
      </c>
      <c r="AD4134">
        <v>29.32</v>
      </c>
      <c r="AE4134">
        <v>542</v>
      </c>
      <c r="AF4134">
        <v>27</v>
      </c>
      <c r="AG4134">
        <v>173</v>
      </c>
      <c r="AH4134">
        <v>129</v>
      </c>
      <c r="AI4134">
        <v>4.9800000000000004</v>
      </c>
      <c r="AJ4134">
        <v>31.92</v>
      </c>
      <c r="AK4134">
        <v>23.8</v>
      </c>
      <c r="AL4134">
        <v>-20.158114249999951</v>
      </c>
      <c r="AM4134">
        <v>-44.872583123264782</v>
      </c>
      <c r="AN4134">
        <v>-20.158114249999951</v>
      </c>
      <c r="AO4134">
        <v>-44.872583123264782</v>
      </c>
      <c r="AP4134">
        <v>-20.158149000000002</v>
      </c>
      <c r="AQ4134">
        <v>-44.872593000000002</v>
      </c>
      <c r="AR4134">
        <v>4.0036956087599238</v>
      </c>
      <c r="AS4134" t="s">
        <v>65</v>
      </c>
      <c r="AT4134">
        <v>1</v>
      </c>
      <c r="AU4134" t="s">
        <v>217</v>
      </c>
      <c r="AV4134" t="s">
        <v>218</v>
      </c>
      <c r="AW4134" t="s">
        <v>60</v>
      </c>
      <c r="AX4134" t="s">
        <v>68</v>
      </c>
      <c r="AY4134" t="s">
        <v>69</v>
      </c>
      <c r="AZ4134" t="b">
        <v>1</v>
      </c>
    </row>
    <row r="4135" spans="1:52" x14ac:dyDescent="0.3">
      <c r="A4135" t="s">
        <v>52</v>
      </c>
      <c r="B4135" t="s">
        <v>53</v>
      </c>
      <c r="C4135" t="s">
        <v>54</v>
      </c>
      <c r="D4135" t="s">
        <v>55</v>
      </c>
      <c r="E4135" t="s">
        <v>2222</v>
      </c>
      <c r="F4135" t="s">
        <v>190</v>
      </c>
      <c r="G4135" t="s">
        <v>219</v>
      </c>
      <c r="H4135" t="s">
        <v>220</v>
      </c>
      <c r="I4135" t="s">
        <v>220</v>
      </c>
      <c r="J4135" t="s">
        <v>60</v>
      </c>
      <c r="K4135" t="s">
        <v>214</v>
      </c>
      <c r="L4135" t="s">
        <v>62</v>
      </c>
      <c r="M4135" t="s">
        <v>214</v>
      </c>
      <c r="N4135" t="s">
        <v>221</v>
      </c>
      <c r="O4135" t="s">
        <v>222</v>
      </c>
      <c r="P4135">
        <v>-20.158049999999999</v>
      </c>
      <c r="Q4135">
        <v>-44.868823999999996</v>
      </c>
      <c r="R4135" s="2" t="str">
        <f>HYPERLINK("https://www.google.com/maps?q=-20.1580500,-44.8688240","Abrir no Google Maps")</f>
        <v>Abrir no Google Maps</v>
      </c>
      <c r="S4135">
        <v>4</v>
      </c>
      <c r="T4135">
        <v>400.85705002223079</v>
      </c>
      <c r="U4135">
        <v>3</v>
      </c>
      <c r="V4135">
        <v>0.30505348375323871</v>
      </c>
      <c r="W4135">
        <v>1</v>
      </c>
      <c r="X4135">
        <v>0.30505348375323871</v>
      </c>
      <c r="Y4135">
        <v>531</v>
      </c>
      <c r="Z4135">
        <v>493.98501624607121</v>
      </c>
      <c r="AA4135">
        <v>198</v>
      </c>
      <c r="AB4135">
        <v>332</v>
      </c>
      <c r="AC4135">
        <v>536</v>
      </c>
      <c r="AD4135">
        <v>29.32</v>
      </c>
      <c r="AE4135">
        <v>542</v>
      </c>
      <c r="AF4135">
        <v>27</v>
      </c>
      <c r="AG4135">
        <v>173</v>
      </c>
      <c r="AH4135">
        <v>129</v>
      </c>
      <c r="AI4135">
        <v>4.9800000000000004</v>
      </c>
      <c r="AJ4135">
        <v>31.92</v>
      </c>
      <c r="AK4135">
        <v>23.8</v>
      </c>
      <c r="AL4135">
        <v>-20.158020649999969</v>
      </c>
      <c r="AM4135">
        <v>-44.868748475381317</v>
      </c>
      <c r="AN4135">
        <v>-20.158020649999969</v>
      </c>
      <c r="AO4135">
        <v>-44.868748475381331</v>
      </c>
      <c r="AP4135">
        <v>-20.158049999999999</v>
      </c>
      <c r="AQ4135">
        <v>-44.868823999999996</v>
      </c>
      <c r="AR4135">
        <v>8.5419571471718818</v>
      </c>
      <c r="AS4135" t="s">
        <v>65</v>
      </c>
      <c r="AT4135">
        <v>1</v>
      </c>
      <c r="AU4135" t="s">
        <v>223</v>
      </c>
      <c r="AV4135" t="s">
        <v>224</v>
      </c>
      <c r="AW4135" t="s">
        <v>60</v>
      </c>
      <c r="AX4135" t="s">
        <v>68</v>
      </c>
      <c r="AY4135" t="s">
        <v>69</v>
      </c>
      <c r="AZ4135" t="b">
        <v>1</v>
      </c>
    </row>
    <row r="4136" spans="1:52" x14ac:dyDescent="0.3">
      <c r="A4136" t="s">
        <v>52</v>
      </c>
      <c r="B4136" t="s">
        <v>53</v>
      </c>
      <c r="C4136" t="s">
        <v>54</v>
      </c>
      <c r="D4136" t="s">
        <v>55</v>
      </c>
      <c r="E4136" t="s">
        <v>2222</v>
      </c>
      <c r="F4136" t="s">
        <v>190</v>
      </c>
      <c r="G4136" t="s">
        <v>232</v>
      </c>
      <c r="H4136" t="s">
        <v>233</v>
      </c>
      <c r="I4136" t="s">
        <v>233</v>
      </c>
      <c r="J4136" t="s">
        <v>60</v>
      </c>
      <c r="K4136" t="s">
        <v>227</v>
      </c>
      <c r="L4136" t="s">
        <v>62</v>
      </c>
      <c r="M4136" t="s">
        <v>227</v>
      </c>
      <c r="N4136" t="s">
        <v>234</v>
      </c>
      <c r="O4136" t="s">
        <v>235</v>
      </c>
      <c r="P4136">
        <v>-20.158666</v>
      </c>
      <c r="Q4136">
        <v>-44.861398999999999</v>
      </c>
      <c r="R4136" s="2" t="str">
        <f>HYPERLINK("https://www.google.com/maps?q=-20.1586660,-44.8613990","Abrir no Google Maps")</f>
        <v>Abrir no Google Maps</v>
      </c>
      <c r="S4136">
        <v>4</v>
      </c>
      <c r="T4136">
        <v>330.01505397941582</v>
      </c>
      <c r="U4136">
        <v>3</v>
      </c>
      <c r="V4136">
        <v>0.30921194132576241</v>
      </c>
      <c r="W4136">
        <v>1</v>
      </c>
      <c r="X4136">
        <v>0.30921194132576241</v>
      </c>
      <c r="Y4136">
        <v>518</v>
      </c>
      <c r="Z4136">
        <v>251.8092920281106</v>
      </c>
      <c r="AA4136">
        <v>198</v>
      </c>
      <c r="AB4136">
        <v>332</v>
      </c>
      <c r="AC4136">
        <v>536</v>
      </c>
      <c r="AD4136">
        <v>29.32</v>
      </c>
      <c r="AE4136">
        <v>542</v>
      </c>
      <c r="AF4136">
        <v>27</v>
      </c>
      <c r="AG4136">
        <v>173</v>
      </c>
      <c r="AH4136">
        <v>129</v>
      </c>
      <c r="AI4136">
        <v>4.9800000000000004</v>
      </c>
      <c r="AJ4136">
        <v>31.92</v>
      </c>
      <c r="AK4136">
        <v>23.8</v>
      </c>
      <c r="AL4136">
        <v>-20.158631449999969</v>
      </c>
      <c r="AM4136">
        <v>-44.861424574758061</v>
      </c>
      <c r="AN4136">
        <v>-20.158631449999969</v>
      </c>
      <c r="AO4136">
        <v>-44.861424574758061</v>
      </c>
      <c r="AP4136">
        <v>-20.158666</v>
      </c>
      <c r="AQ4136">
        <v>-44.861398999999999</v>
      </c>
      <c r="AR4136">
        <v>4.6835056709567411</v>
      </c>
      <c r="AS4136" t="s">
        <v>65</v>
      </c>
      <c r="AT4136">
        <v>1</v>
      </c>
      <c r="AU4136" t="s">
        <v>236</v>
      </c>
      <c r="AV4136" t="s">
        <v>237</v>
      </c>
      <c r="AW4136" t="s">
        <v>60</v>
      </c>
      <c r="AX4136" t="s">
        <v>68</v>
      </c>
      <c r="AY4136" t="s">
        <v>69</v>
      </c>
      <c r="AZ4136" t="b">
        <v>1</v>
      </c>
    </row>
    <row r="4137" spans="1:52" x14ac:dyDescent="0.3">
      <c r="A4137" t="s">
        <v>52</v>
      </c>
      <c r="B4137" t="s">
        <v>53</v>
      </c>
      <c r="C4137" t="s">
        <v>54</v>
      </c>
      <c r="D4137" t="s">
        <v>55</v>
      </c>
      <c r="E4137" t="s">
        <v>2222</v>
      </c>
      <c r="F4137" t="s">
        <v>190</v>
      </c>
      <c r="G4137" t="s">
        <v>243</v>
      </c>
      <c r="H4137" t="s">
        <v>244</v>
      </c>
      <c r="I4137" t="s">
        <v>244</v>
      </c>
      <c r="J4137" t="s">
        <v>60</v>
      </c>
      <c r="K4137" t="s">
        <v>214</v>
      </c>
      <c r="L4137" t="s">
        <v>62</v>
      </c>
      <c r="M4137" t="s">
        <v>214</v>
      </c>
      <c r="N4137" t="s">
        <v>245</v>
      </c>
      <c r="O4137" t="s">
        <v>246</v>
      </c>
      <c r="P4137">
        <v>-20.156296999999999</v>
      </c>
      <c r="Q4137">
        <v>-44.873035999999999</v>
      </c>
      <c r="R4137" s="2" t="str">
        <f>HYPERLINK("https://www.google.com/maps?q=-20.1562970,-44.8730360","Abrir no Google Maps")</f>
        <v>Abrir no Google Maps</v>
      </c>
      <c r="S4137">
        <v>4</v>
      </c>
      <c r="T4137">
        <v>198.04479306725889</v>
      </c>
      <c r="U4137">
        <v>3</v>
      </c>
      <c r="V4137">
        <v>0.30082785987958399</v>
      </c>
      <c r="W4137">
        <v>1</v>
      </c>
      <c r="X4137">
        <v>0.30082785987958399</v>
      </c>
      <c r="Y4137">
        <v>305</v>
      </c>
      <c r="Z4137">
        <v>267.7765515134916</v>
      </c>
      <c r="AA4137">
        <v>198</v>
      </c>
      <c r="AB4137">
        <v>332</v>
      </c>
      <c r="AC4137">
        <v>536</v>
      </c>
      <c r="AD4137">
        <v>29.32</v>
      </c>
      <c r="AE4137">
        <v>542</v>
      </c>
      <c r="AF4137">
        <v>27</v>
      </c>
      <c r="AG4137">
        <v>173</v>
      </c>
      <c r="AH4137">
        <v>129</v>
      </c>
      <c r="AI4137">
        <v>4.9800000000000004</v>
      </c>
      <c r="AJ4137">
        <v>31.92</v>
      </c>
      <c r="AK4137">
        <v>23.8</v>
      </c>
      <c r="AL4137">
        <v>-20.156361349999941</v>
      </c>
      <c r="AM4137">
        <v>-44.87296512500793</v>
      </c>
      <c r="AN4137">
        <v>-20.156361349999941</v>
      </c>
      <c r="AO4137">
        <v>-44.87296512500793</v>
      </c>
      <c r="AP4137">
        <v>-20.156296999999999</v>
      </c>
      <c r="AQ4137">
        <v>-44.873035999999999</v>
      </c>
      <c r="AR4137">
        <v>10.304009356726979</v>
      </c>
      <c r="AS4137" t="s">
        <v>65</v>
      </c>
      <c r="AT4137">
        <v>1</v>
      </c>
      <c r="AU4137" t="s">
        <v>247</v>
      </c>
      <c r="AV4137" t="s">
        <v>248</v>
      </c>
      <c r="AW4137" t="s">
        <v>60</v>
      </c>
      <c r="AX4137" t="s">
        <v>68</v>
      </c>
      <c r="AY4137" t="s">
        <v>69</v>
      </c>
      <c r="AZ4137" t="b">
        <v>1</v>
      </c>
    </row>
    <row r="4138" spans="1:52" x14ac:dyDescent="0.3">
      <c r="A4138" t="s">
        <v>52</v>
      </c>
      <c r="B4138" t="s">
        <v>53</v>
      </c>
      <c r="C4138" t="s">
        <v>54</v>
      </c>
      <c r="D4138" t="s">
        <v>55</v>
      </c>
      <c r="E4138" t="s">
        <v>2222</v>
      </c>
      <c r="F4138" t="s">
        <v>190</v>
      </c>
      <c r="G4138" t="s">
        <v>253</v>
      </c>
      <c r="H4138" t="s">
        <v>254</v>
      </c>
      <c r="I4138" t="s">
        <v>254</v>
      </c>
      <c r="J4138" t="s">
        <v>60</v>
      </c>
      <c r="K4138" t="s">
        <v>255</v>
      </c>
      <c r="L4138" t="s">
        <v>62</v>
      </c>
      <c r="M4138" t="s">
        <v>255</v>
      </c>
      <c r="N4138" t="s">
        <v>256</v>
      </c>
      <c r="O4138" t="s">
        <v>257</v>
      </c>
      <c r="P4138">
        <v>-20.159638000000001</v>
      </c>
      <c r="Q4138">
        <v>-44.849030999999997</v>
      </c>
      <c r="R4138" s="2" t="str">
        <f>HYPERLINK("https://www.google.com/maps?q=-20.1596380,-44.8490310","Abrir no Google Maps")</f>
        <v>Abrir no Google Maps</v>
      </c>
      <c r="S4138">
        <v>4</v>
      </c>
      <c r="T4138">
        <v>691.81173220845892</v>
      </c>
      <c r="U4138">
        <v>3</v>
      </c>
      <c r="V4138">
        <v>0.314104192018059</v>
      </c>
      <c r="W4138">
        <v>1</v>
      </c>
      <c r="X4138">
        <v>0.314104192018059</v>
      </c>
      <c r="Y4138">
        <v>292</v>
      </c>
      <c r="Z4138">
        <v>678.56824923431736</v>
      </c>
      <c r="AA4138">
        <v>198</v>
      </c>
      <c r="AB4138">
        <v>332</v>
      </c>
      <c r="AC4138">
        <v>536</v>
      </c>
      <c r="AD4138">
        <v>29.32</v>
      </c>
      <c r="AE4138">
        <v>542</v>
      </c>
      <c r="AF4138">
        <v>27</v>
      </c>
      <c r="AG4138">
        <v>173</v>
      </c>
      <c r="AH4138">
        <v>129</v>
      </c>
      <c r="AI4138">
        <v>4.9800000000000004</v>
      </c>
      <c r="AJ4138">
        <v>31.92</v>
      </c>
      <c r="AK4138">
        <v>23.8</v>
      </c>
      <c r="AL4138">
        <v>-20.159590049999959</v>
      </c>
      <c r="AM4138">
        <v>-44.849181856774607</v>
      </c>
      <c r="AN4138">
        <v>-20.159590049999959</v>
      </c>
      <c r="AO4138">
        <v>-44.849181856774607</v>
      </c>
      <c r="AP4138">
        <v>-20.159638000000001</v>
      </c>
      <c r="AQ4138">
        <v>-44.849030999999997</v>
      </c>
      <c r="AR4138">
        <v>16.643712040087191</v>
      </c>
      <c r="AS4138" t="s">
        <v>65</v>
      </c>
      <c r="AT4138">
        <v>1</v>
      </c>
      <c r="AU4138" t="s">
        <v>258</v>
      </c>
      <c r="AV4138" t="s">
        <v>259</v>
      </c>
      <c r="AW4138" t="s">
        <v>60</v>
      </c>
      <c r="AX4138" t="s">
        <v>68</v>
      </c>
      <c r="AY4138" t="s">
        <v>69</v>
      </c>
      <c r="AZ4138" t="b">
        <v>1</v>
      </c>
    </row>
    <row r="4139" spans="1:52" x14ac:dyDescent="0.3">
      <c r="A4139" t="s">
        <v>52</v>
      </c>
      <c r="B4139" t="s">
        <v>53</v>
      </c>
      <c r="C4139" t="s">
        <v>54</v>
      </c>
      <c r="D4139" t="s">
        <v>55</v>
      </c>
      <c r="E4139" t="s">
        <v>2222</v>
      </c>
      <c r="F4139" t="s">
        <v>190</v>
      </c>
      <c r="G4139" t="s">
        <v>1623</v>
      </c>
      <c r="H4139" t="s">
        <v>1624</v>
      </c>
      <c r="I4139" t="s">
        <v>1624</v>
      </c>
      <c r="J4139" t="s">
        <v>60</v>
      </c>
      <c r="K4139" t="s">
        <v>281</v>
      </c>
      <c r="L4139" t="s">
        <v>62</v>
      </c>
      <c r="M4139" t="s">
        <v>281</v>
      </c>
      <c r="N4139" t="s">
        <v>1625</v>
      </c>
      <c r="O4139" t="s">
        <v>1538</v>
      </c>
      <c r="P4139">
        <v>-20.177247000000001</v>
      </c>
      <c r="Q4139">
        <v>-44.848650999999997</v>
      </c>
      <c r="R4139" s="2" t="str">
        <f>HYPERLINK("https://www.google.com/maps?q=-20.1772470,-44.8486510","Abrir no Google Maps")</f>
        <v>Abrir no Google Maps</v>
      </c>
      <c r="S4139">
        <v>4</v>
      </c>
      <c r="T4139">
        <v>1293.074917502197</v>
      </c>
      <c r="U4139">
        <v>3</v>
      </c>
      <c r="V4139">
        <v>0.30605035204131081</v>
      </c>
      <c r="W4139">
        <v>1</v>
      </c>
      <c r="X4139">
        <v>0.30605035204131081</v>
      </c>
      <c r="Y4139">
        <v>292</v>
      </c>
      <c r="Z4139">
        <v>1225.3954943545491</v>
      </c>
      <c r="AA4139">
        <v>198</v>
      </c>
      <c r="AB4139">
        <v>332</v>
      </c>
      <c r="AC4139">
        <v>536</v>
      </c>
      <c r="AD4139">
        <v>29.32</v>
      </c>
      <c r="AE4139">
        <v>542</v>
      </c>
      <c r="AF4139">
        <v>27</v>
      </c>
      <c r="AG4139">
        <v>173</v>
      </c>
      <c r="AH4139">
        <v>129</v>
      </c>
      <c r="AI4139">
        <v>4.9800000000000004</v>
      </c>
      <c r="AJ4139">
        <v>31.92</v>
      </c>
      <c r="AK4139">
        <v>23.8</v>
      </c>
      <c r="AL4139">
        <v>-20.17729789999996</v>
      </c>
      <c r="AM4139">
        <v>-44.848543982702637</v>
      </c>
      <c r="AN4139">
        <v>-20.17729789999996</v>
      </c>
      <c r="AO4139">
        <v>-44.848543982702637</v>
      </c>
      <c r="AP4139">
        <v>-20.177247000000001</v>
      </c>
      <c r="AQ4139">
        <v>-44.848650999999997</v>
      </c>
      <c r="AR4139">
        <v>12.53570773213052</v>
      </c>
      <c r="AS4139" t="s">
        <v>65</v>
      </c>
      <c r="AT4139">
        <v>1</v>
      </c>
      <c r="AU4139" t="s">
        <v>1626</v>
      </c>
      <c r="AV4139" t="s">
        <v>1627</v>
      </c>
      <c r="AW4139" t="s">
        <v>60</v>
      </c>
      <c r="AX4139" t="s">
        <v>68</v>
      </c>
      <c r="AY4139" t="s">
        <v>69</v>
      </c>
      <c r="AZ4139" t="b">
        <v>1</v>
      </c>
    </row>
    <row r="4140" spans="1:52" x14ac:dyDescent="0.3">
      <c r="A4140" t="s">
        <v>52</v>
      </c>
      <c r="B4140" t="s">
        <v>53</v>
      </c>
      <c r="C4140" t="s">
        <v>54</v>
      </c>
      <c r="D4140" t="s">
        <v>55</v>
      </c>
      <c r="E4140" t="s">
        <v>2222</v>
      </c>
      <c r="F4140" t="s">
        <v>190</v>
      </c>
      <c r="G4140" t="s">
        <v>260</v>
      </c>
      <c r="H4140" t="s">
        <v>261</v>
      </c>
      <c r="I4140" t="s">
        <v>261</v>
      </c>
      <c r="J4140" t="s">
        <v>60</v>
      </c>
      <c r="K4140" t="s">
        <v>262</v>
      </c>
      <c r="L4140" t="s">
        <v>62</v>
      </c>
      <c r="M4140" t="s">
        <v>262</v>
      </c>
      <c r="N4140" t="s">
        <v>263</v>
      </c>
      <c r="O4140" t="s">
        <v>264</v>
      </c>
      <c r="P4140">
        <v>-20.162230000000001</v>
      </c>
      <c r="Q4140">
        <v>-44.850189</v>
      </c>
      <c r="R4140" s="2" t="str">
        <f>HYPERLINK("https://www.google.com/maps?q=-20.1622300,-44.8501890","Abrir no Google Maps")</f>
        <v>Abrir no Google Maps</v>
      </c>
      <c r="S4140">
        <v>4</v>
      </c>
      <c r="T4140">
        <v>485.03737650296068</v>
      </c>
      <c r="U4140">
        <v>3</v>
      </c>
      <c r="V4140">
        <v>0.30741340045547161</v>
      </c>
      <c r="W4140">
        <v>1</v>
      </c>
      <c r="X4140">
        <v>0.30741340045547161</v>
      </c>
      <c r="Y4140">
        <v>292</v>
      </c>
      <c r="Z4140">
        <v>461.03925198673232</v>
      </c>
      <c r="AA4140">
        <v>198</v>
      </c>
      <c r="AB4140">
        <v>332</v>
      </c>
      <c r="AC4140">
        <v>536</v>
      </c>
      <c r="AD4140">
        <v>29.32</v>
      </c>
      <c r="AE4140">
        <v>542</v>
      </c>
      <c r="AF4140">
        <v>27</v>
      </c>
      <c r="AG4140">
        <v>173</v>
      </c>
      <c r="AH4140">
        <v>129</v>
      </c>
      <c r="AI4140">
        <v>4.9800000000000004</v>
      </c>
      <c r="AJ4140">
        <v>31.92</v>
      </c>
      <c r="AK4140">
        <v>23.8</v>
      </c>
      <c r="AL4140">
        <v>-20.162067849999971</v>
      </c>
      <c r="AM4140">
        <v>-44.850230909322903</v>
      </c>
      <c r="AN4140">
        <v>-20.162067849999971</v>
      </c>
      <c r="AO4140">
        <v>-44.850230909322903</v>
      </c>
      <c r="AP4140">
        <v>-20.162230000000001</v>
      </c>
      <c r="AQ4140">
        <v>-44.850189</v>
      </c>
      <c r="AR4140">
        <v>18.574218491036259</v>
      </c>
      <c r="AS4140" t="s">
        <v>65</v>
      </c>
      <c r="AT4140">
        <v>1</v>
      </c>
      <c r="AU4140" t="s">
        <v>265</v>
      </c>
      <c r="AV4140" t="s">
        <v>266</v>
      </c>
      <c r="AW4140" t="s">
        <v>60</v>
      </c>
      <c r="AX4140" t="s">
        <v>68</v>
      </c>
      <c r="AY4140" t="s">
        <v>69</v>
      </c>
      <c r="AZ4140" t="b">
        <v>1</v>
      </c>
    </row>
    <row r="4141" spans="1:52" x14ac:dyDescent="0.3">
      <c r="A4141" t="s">
        <v>52</v>
      </c>
      <c r="B4141" t="s">
        <v>53</v>
      </c>
      <c r="C4141" t="s">
        <v>54</v>
      </c>
      <c r="D4141" t="s">
        <v>55</v>
      </c>
      <c r="E4141" t="s">
        <v>2222</v>
      </c>
      <c r="F4141" t="s">
        <v>190</v>
      </c>
      <c r="G4141" t="s">
        <v>1628</v>
      </c>
      <c r="H4141" t="s">
        <v>1629</v>
      </c>
      <c r="I4141" t="s">
        <v>1629</v>
      </c>
      <c r="J4141" t="s">
        <v>60</v>
      </c>
      <c r="K4141" t="s">
        <v>136</v>
      </c>
      <c r="L4141" t="s">
        <v>62</v>
      </c>
      <c r="M4141" t="s">
        <v>136</v>
      </c>
      <c r="N4141" t="s">
        <v>1630</v>
      </c>
      <c r="O4141" t="s">
        <v>103</v>
      </c>
      <c r="P4141">
        <v>-20.169488999999999</v>
      </c>
      <c r="Q4141">
        <v>-44.848812000000002</v>
      </c>
      <c r="R4141" s="2" t="str">
        <f>HYPERLINK("https://www.google.com/maps?q=-20.1694890,-44.8488120","Abrir no Google Maps")</f>
        <v>Abrir no Google Maps</v>
      </c>
      <c r="S4141">
        <v>4</v>
      </c>
      <c r="T4141">
        <v>426.92881761579793</v>
      </c>
      <c r="U4141">
        <v>3</v>
      </c>
      <c r="V4141">
        <v>0.30231454671125141</v>
      </c>
      <c r="W4141">
        <v>1</v>
      </c>
      <c r="X4141">
        <v>0.30231454671125141</v>
      </c>
      <c r="Y4141">
        <v>292</v>
      </c>
      <c r="Z4141">
        <v>345.01829288722871</v>
      </c>
      <c r="AA4141">
        <v>198</v>
      </c>
      <c r="AB4141">
        <v>332</v>
      </c>
      <c r="AC4141">
        <v>536</v>
      </c>
      <c r="AD4141">
        <v>29.32</v>
      </c>
      <c r="AE4141">
        <v>542</v>
      </c>
      <c r="AF4141">
        <v>27</v>
      </c>
      <c r="AG4141">
        <v>173</v>
      </c>
      <c r="AH4141">
        <v>129</v>
      </c>
      <c r="AI4141">
        <v>4.9800000000000004</v>
      </c>
      <c r="AJ4141">
        <v>31.92</v>
      </c>
      <c r="AK4141">
        <v>23.8</v>
      </c>
      <c r="AL4141">
        <v>-20.169293749999959</v>
      </c>
      <c r="AM4141">
        <v>-44.848899945665508</v>
      </c>
      <c r="AN4141">
        <v>-20.169293749999959</v>
      </c>
      <c r="AO4141">
        <v>-44.848899945665508</v>
      </c>
      <c r="AP4141">
        <v>-20.169488999999999</v>
      </c>
      <c r="AQ4141">
        <v>-44.848812000000002</v>
      </c>
      <c r="AR4141">
        <v>23.598134321543789</v>
      </c>
      <c r="AS4141" t="s">
        <v>65</v>
      </c>
      <c r="AT4141">
        <v>1</v>
      </c>
      <c r="AU4141" t="s">
        <v>1631</v>
      </c>
      <c r="AV4141" t="s">
        <v>1632</v>
      </c>
      <c r="AW4141" t="s">
        <v>60</v>
      </c>
      <c r="AX4141" t="s">
        <v>68</v>
      </c>
      <c r="AY4141" t="s">
        <v>69</v>
      </c>
      <c r="AZ4141" t="b">
        <v>1</v>
      </c>
    </row>
    <row r="4142" spans="1:52" x14ac:dyDescent="0.3">
      <c r="A4142" t="s">
        <v>52</v>
      </c>
      <c r="B4142" t="s">
        <v>53</v>
      </c>
      <c r="C4142" t="s">
        <v>54</v>
      </c>
      <c r="D4142" t="s">
        <v>55</v>
      </c>
      <c r="E4142" t="s">
        <v>2222</v>
      </c>
      <c r="F4142" t="s">
        <v>190</v>
      </c>
      <c r="G4142" t="s">
        <v>273</v>
      </c>
      <c r="H4142" t="s">
        <v>274</v>
      </c>
      <c r="I4142" t="s">
        <v>274</v>
      </c>
      <c r="J4142" t="s">
        <v>60</v>
      </c>
      <c r="K4142" t="s">
        <v>143</v>
      </c>
      <c r="L4142" t="s">
        <v>62</v>
      </c>
      <c r="M4142" t="s">
        <v>143</v>
      </c>
      <c r="N4142" t="s">
        <v>275</v>
      </c>
      <c r="O4142" t="s">
        <v>276</v>
      </c>
      <c r="P4142">
        <v>-20.171367</v>
      </c>
      <c r="Q4142">
        <v>-44.844709999999999</v>
      </c>
      <c r="R4142" s="2" t="str">
        <f>HYPERLINK("https://www.google.com/maps?q=-20.1713670,-44.8447100","Abrir no Google Maps")</f>
        <v>Abrir no Google Maps</v>
      </c>
      <c r="S4142">
        <v>4</v>
      </c>
      <c r="T4142">
        <v>700.36715126879801</v>
      </c>
      <c r="U4142">
        <v>3</v>
      </c>
      <c r="V4142">
        <v>0.31312897628687097</v>
      </c>
      <c r="W4142">
        <v>1</v>
      </c>
      <c r="X4142">
        <v>0.31312897628687097</v>
      </c>
      <c r="Y4142">
        <v>292</v>
      </c>
      <c r="Z4142">
        <v>767.70201658334747</v>
      </c>
      <c r="AA4142">
        <v>198</v>
      </c>
      <c r="AB4142">
        <v>332</v>
      </c>
      <c r="AC4142">
        <v>536</v>
      </c>
      <c r="AD4142">
        <v>29.32</v>
      </c>
      <c r="AE4142">
        <v>542</v>
      </c>
      <c r="AF4142">
        <v>27</v>
      </c>
      <c r="AG4142">
        <v>173</v>
      </c>
      <c r="AH4142">
        <v>129</v>
      </c>
      <c r="AI4142">
        <v>4.9800000000000004</v>
      </c>
      <c r="AJ4142">
        <v>31.92</v>
      </c>
      <c r="AK4142">
        <v>23.8</v>
      </c>
      <c r="AL4142">
        <v>-20.17140124999997</v>
      </c>
      <c r="AM4142">
        <v>-44.844758486699448</v>
      </c>
      <c r="AN4142">
        <v>-20.171401249999981</v>
      </c>
      <c r="AO4142">
        <v>-44.844758486699448</v>
      </c>
      <c r="AP4142">
        <v>-20.171367</v>
      </c>
      <c r="AQ4142">
        <v>-44.844709999999999</v>
      </c>
      <c r="AR4142">
        <v>6.3408204899540994</v>
      </c>
      <c r="AS4142" t="s">
        <v>65</v>
      </c>
      <c r="AT4142">
        <v>1</v>
      </c>
      <c r="AU4142" t="s">
        <v>277</v>
      </c>
      <c r="AV4142" t="s">
        <v>278</v>
      </c>
      <c r="AW4142" t="s">
        <v>60</v>
      </c>
      <c r="AX4142" t="s">
        <v>68</v>
      </c>
      <c r="AY4142" t="s">
        <v>69</v>
      </c>
      <c r="AZ4142" t="b">
        <v>1</v>
      </c>
    </row>
    <row r="4143" spans="1:52" x14ac:dyDescent="0.3">
      <c r="A4143" t="s">
        <v>52</v>
      </c>
      <c r="B4143" t="s">
        <v>53</v>
      </c>
      <c r="C4143" t="s">
        <v>54</v>
      </c>
      <c r="D4143" t="s">
        <v>55</v>
      </c>
      <c r="E4143" t="s">
        <v>2222</v>
      </c>
      <c r="F4143" t="s">
        <v>190</v>
      </c>
      <c r="G4143" t="s">
        <v>253</v>
      </c>
      <c r="H4143" t="s">
        <v>296</v>
      </c>
      <c r="I4143" t="s">
        <v>296</v>
      </c>
      <c r="J4143" t="s">
        <v>60</v>
      </c>
      <c r="K4143" t="s">
        <v>136</v>
      </c>
      <c r="L4143" t="s">
        <v>62</v>
      </c>
      <c r="M4143" t="s">
        <v>136</v>
      </c>
      <c r="N4143" t="s">
        <v>256</v>
      </c>
      <c r="O4143" t="s">
        <v>297</v>
      </c>
      <c r="P4143">
        <v>-20.168476999999999</v>
      </c>
      <c r="Q4143">
        <v>-44.852528</v>
      </c>
      <c r="R4143" s="2" t="str">
        <f>HYPERLINK("https://www.google.com/maps?q=-20.1684770,-44.8525280","Abrir no Google Maps")</f>
        <v>Abrir no Google Maps</v>
      </c>
      <c r="S4143">
        <v>4</v>
      </c>
      <c r="T4143">
        <v>587.16898087421623</v>
      </c>
      <c r="U4143">
        <v>3</v>
      </c>
      <c r="V4143">
        <v>0.31269501827219631</v>
      </c>
      <c r="W4143">
        <v>1</v>
      </c>
      <c r="X4143">
        <v>0.31269501827219631</v>
      </c>
      <c r="Y4143">
        <v>292</v>
      </c>
      <c r="Z4143">
        <v>471.75619463337938</v>
      </c>
      <c r="AA4143">
        <v>198</v>
      </c>
      <c r="AB4143">
        <v>332</v>
      </c>
      <c r="AC4143">
        <v>536</v>
      </c>
      <c r="AD4143">
        <v>29.32</v>
      </c>
      <c r="AE4143">
        <v>542</v>
      </c>
      <c r="AF4143">
        <v>27</v>
      </c>
      <c r="AG4143">
        <v>173</v>
      </c>
      <c r="AH4143">
        <v>129</v>
      </c>
      <c r="AI4143">
        <v>4.9800000000000004</v>
      </c>
      <c r="AJ4143">
        <v>31.92</v>
      </c>
      <c r="AK4143">
        <v>23.8</v>
      </c>
      <c r="AL4143">
        <v>-20.16846514999995</v>
      </c>
      <c r="AM4143">
        <v>-44.852319844682007</v>
      </c>
      <c r="AN4143">
        <v>-20.168465149999939</v>
      </c>
      <c r="AO4143">
        <v>-44.852319844682007</v>
      </c>
      <c r="AP4143">
        <v>-20.168476999999999</v>
      </c>
      <c r="AQ4143">
        <v>-44.852528</v>
      </c>
      <c r="AR4143">
        <v>21.790984536052999</v>
      </c>
      <c r="AS4143" t="s">
        <v>65</v>
      </c>
      <c r="AT4143">
        <v>1</v>
      </c>
      <c r="AU4143" t="s">
        <v>298</v>
      </c>
      <c r="AV4143" t="s">
        <v>299</v>
      </c>
      <c r="AW4143" t="s">
        <v>60</v>
      </c>
      <c r="AX4143" t="s">
        <v>68</v>
      </c>
      <c r="AY4143" t="s">
        <v>69</v>
      </c>
      <c r="AZ4143" t="b">
        <v>1</v>
      </c>
    </row>
    <row r="4144" spans="1:52" x14ac:dyDescent="0.3">
      <c r="A4144" t="s">
        <v>52</v>
      </c>
      <c r="B4144" t="s">
        <v>53</v>
      </c>
      <c r="C4144" t="s">
        <v>54</v>
      </c>
      <c r="D4144" t="s">
        <v>55</v>
      </c>
      <c r="E4144" t="s">
        <v>2222</v>
      </c>
      <c r="F4144" t="s">
        <v>190</v>
      </c>
      <c r="G4144" t="s">
        <v>1696</v>
      </c>
      <c r="H4144" t="s">
        <v>1697</v>
      </c>
      <c r="I4144" t="s">
        <v>1697</v>
      </c>
      <c r="J4144" t="s">
        <v>60</v>
      </c>
      <c r="K4144" t="s">
        <v>143</v>
      </c>
      <c r="L4144" t="s">
        <v>62</v>
      </c>
      <c r="M4144" t="s">
        <v>143</v>
      </c>
      <c r="N4144" t="s">
        <v>1698</v>
      </c>
      <c r="O4144" t="s">
        <v>1699</v>
      </c>
      <c r="P4144">
        <v>-20.164061</v>
      </c>
      <c r="Q4144">
        <v>-44.839478</v>
      </c>
      <c r="R4144" s="2" t="str">
        <f>HYPERLINK("https://www.google.com/maps?q=-20.1640610,-44.8394780","Abrir no Google Maps")</f>
        <v>Abrir no Google Maps</v>
      </c>
      <c r="S4144">
        <v>4</v>
      </c>
      <c r="T4144">
        <v>877.73340935244505</v>
      </c>
      <c r="U4144">
        <v>3</v>
      </c>
      <c r="V4144">
        <v>0.34675113710201427</v>
      </c>
      <c r="W4144">
        <v>0.85</v>
      </c>
      <c r="X4144">
        <v>0.29473846653671221</v>
      </c>
      <c r="Y4144">
        <v>292</v>
      </c>
      <c r="Z4144">
        <v>961.72330387274496</v>
      </c>
      <c r="AA4144">
        <v>198</v>
      </c>
      <c r="AB4144">
        <v>332</v>
      </c>
      <c r="AC4144">
        <v>536</v>
      </c>
      <c r="AD4144">
        <v>29.32</v>
      </c>
      <c r="AE4144">
        <v>542</v>
      </c>
      <c r="AF4144">
        <v>27</v>
      </c>
      <c r="AG4144">
        <v>173</v>
      </c>
      <c r="AH4144">
        <v>129</v>
      </c>
      <c r="AI4144">
        <v>4.9800000000000004</v>
      </c>
      <c r="AJ4144">
        <v>31.92</v>
      </c>
      <c r="AK4144">
        <v>23.8</v>
      </c>
      <c r="AL4144">
        <v>-20.164152949999931</v>
      </c>
      <c r="AM4144">
        <v>-44.839307994949444</v>
      </c>
      <c r="AN4144">
        <v>-20.164152949999931</v>
      </c>
      <c r="AO4144">
        <v>-44.839307994949444</v>
      </c>
      <c r="AP4144">
        <v>-20.164061</v>
      </c>
      <c r="AQ4144">
        <v>-44.839478</v>
      </c>
      <c r="AR4144">
        <v>20.50291216141127</v>
      </c>
      <c r="AS4144" t="s">
        <v>65</v>
      </c>
      <c r="AT4144">
        <v>1</v>
      </c>
      <c r="AU4144" t="s">
        <v>1700</v>
      </c>
      <c r="AV4144" t="s">
        <v>1701</v>
      </c>
      <c r="AW4144" t="s">
        <v>60</v>
      </c>
      <c r="AX4144" t="s">
        <v>68</v>
      </c>
      <c r="AY4144" t="s">
        <v>69</v>
      </c>
      <c r="AZ4144" t="b">
        <v>1</v>
      </c>
    </row>
    <row r="4145" spans="1:52" x14ac:dyDescent="0.3">
      <c r="A4145" t="s">
        <v>52</v>
      </c>
      <c r="B4145" t="s">
        <v>53</v>
      </c>
      <c r="C4145" t="s">
        <v>54</v>
      </c>
      <c r="D4145" t="s">
        <v>55</v>
      </c>
      <c r="E4145" t="s">
        <v>2222</v>
      </c>
      <c r="F4145" t="s">
        <v>190</v>
      </c>
      <c r="G4145" t="s">
        <v>1702</v>
      </c>
      <c r="H4145" t="s">
        <v>1703</v>
      </c>
      <c r="I4145" t="s">
        <v>1703</v>
      </c>
      <c r="J4145" t="s">
        <v>60</v>
      </c>
      <c r="K4145" t="s">
        <v>143</v>
      </c>
      <c r="L4145" t="s">
        <v>62</v>
      </c>
      <c r="M4145" t="s">
        <v>143</v>
      </c>
      <c r="N4145" t="s">
        <v>1704</v>
      </c>
      <c r="O4145" t="s">
        <v>1705</v>
      </c>
      <c r="P4145">
        <v>-20.166733000000001</v>
      </c>
      <c r="Q4145">
        <v>-44.837273000000003</v>
      </c>
      <c r="R4145" s="2" t="str">
        <f>HYPERLINK("https://www.google.com/maps?q=-20.1667330,-44.8372730","Abrir no Google Maps")</f>
        <v>Abrir no Google Maps</v>
      </c>
      <c r="S4145">
        <v>4</v>
      </c>
      <c r="T4145">
        <v>1092.9004991941661</v>
      </c>
      <c r="U4145">
        <v>3</v>
      </c>
      <c r="V4145">
        <v>0.34699602780536237</v>
      </c>
      <c r="W4145">
        <v>0.85</v>
      </c>
      <c r="X4145">
        <v>0.29494662363455798</v>
      </c>
      <c r="Y4145">
        <v>292</v>
      </c>
      <c r="Z4145">
        <v>1132.696229139676</v>
      </c>
      <c r="AA4145">
        <v>198</v>
      </c>
      <c r="AB4145">
        <v>332</v>
      </c>
      <c r="AC4145">
        <v>536</v>
      </c>
      <c r="AD4145">
        <v>29.32</v>
      </c>
      <c r="AE4145">
        <v>542</v>
      </c>
      <c r="AF4145">
        <v>27</v>
      </c>
      <c r="AG4145">
        <v>173</v>
      </c>
      <c r="AH4145">
        <v>129</v>
      </c>
      <c r="AI4145">
        <v>4.9800000000000004</v>
      </c>
      <c r="AJ4145">
        <v>31.92</v>
      </c>
      <c r="AK4145">
        <v>23.8</v>
      </c>
      <c r="AL4145">
        <v>-20.166934899999941</v>
      </c>
      <c r="AM4145">
        <v>-44.837186632575722</v>
      </c>
      <c r="AN4145">
        <v>-20.166934899999941</v>
      </c>
      <c r="AO4145">
        <v>-44.837186632575722</v>
      </c>
      <c r="AP4145">
        <v>-20.166733000000001</v>
      </c>
      <c r="AQ4145">
        <v>-44.837273000000003</v>
      </c>
      <c r="AR4145">
        <v>24.219800989920522</v>
      </c>
      <c r="AS4145" t="s">
        <v>65</v>
      </c>
      <c r="AT4145">
        <v>1</v>
      </c>
      <c r="AU4145" t="s">
        <v>1706</v>
      </c>
      <c r="AV4145" t="s">
        <v>1707</v>
      </c>
      <c r="AW4145" t="s">
        <v>60</v>
      </c>
      <c r="AX4145" t="s">
        <v>68</v>
      </c>
      <c r="AY4145" t="s">
        <v>69</v>
      </c>
      <c r="AZ4145" t="b">
        <v>1</v>
      </c>
    </row>
    <row r="4146" spans="1:52" x14ac:dyDescent="0.3">
      <c r="A4146" t="s">
        <v>52</v>
      </c>
      <c r="B4146" t="s">
        <v>53</v>
      </c>
      <c r="C4146" t="s">
        <v>54</v>
      </c>
      <c r="D4146" t="s">
        <v>55</v>
      </c>
      <c r="E4146" t="s">
        <v>2222</v>
      </c>
      <c r="F4146" t="s">
        <v>190</v>
      </c>
      <c r="G4146" t="s">
        <v>306</v>
      </c>
      <c r="H4146" t="s">
        <v>307</v>
      </c>
      <c r="I4146" t="s">
        <v>307</v>
      </c>
      <c r="J4146" t="s">
        <v>60</v>
      </c>
      <c r="K4146" t="s">
        <v>143</v>
      </c>
      <c r="L4146" t="s">
        <v>62</v>
      </c>
      <c r="M4146" t="s">
        <v>143</v>
      </c>
      <c r="N4146" t="s">
        <v>308</v>
      </c>
      <c r="O4146" t="s">
        <v>309</v>
      </c>
      <c r="P4146">
        <v>-20.167071</v>
      </c>
      <c r="Q4146">
        <v>-44.842730000000003</v>
      </c>
      <c r="R4146" s="2" t="str">
        <f>HYPERLINK("https://www.google.com/maps?q=-20.1670710,-44.8427300","Abrir no Google Maps")</f>
        <v>Abrir no Google Maps</v>
      </c>
      <c r="S4146">
        <v>4</v>
      </c>
      <c r="T4146">
        <v>535.14780070571521</v>
      </c>
      <c r="U4146">
        <v>3</v>
      </c>
      <c r="V4146">
        <v>0.30525555829026169</v>
      </c>
      <c r="W4146">
        <v>1</v>
      </c>
      <c r="X4146">
        <v>0.30525555829026169</v>
      </c>
      <c r="Y4146">
        <v>292</v>
      </c>
      <c r="Z4146">
        <v>582.78942050501109</v>
      </c>
      <c r="AA4146">
        <v>198</v>
      </c>
      <c r="AB4146">
        <v>332</v>
      </c>
      <c r="AC4146">
        <v>536</v>
      </c>
      <c r="AD4146">
        <v>29.32</v>
      </c>
      <c r="AE4146">
        <v>542</v>
      </c>
      <c r="AF4146">
        <v>27</v>
      </c>
      <c r="AG4146">
        <v>173</v>
      </c>
      <c r="AH4146">
        <v>129</v>
      </c>
      <c r="AI4146">
        <v>4.9800000000000004</v>
      </c>
      <c r="AJ4146">
        <v>31.92</v>
      </c>
      <c r="AK4146">
        <v>23.8</v>
      </c>
      <c r="AL4146">
        <v>-20.167006799999971</v>
      </c>
      <c r="AM4146">
        <v>-44.842640974693197</v>
      </c>
      <c r="AN4146">
        <v>-20.167006799999971</v>
      </c>
      <c r="AO4146">
        <v>-44.842640974693197</v>
      </c>
      <c r="AP4146">
        <v>-20.167071</v>
      </c>
      <c r="AQ4146">
        <v>-44.842730000000003</v>
      </c>
      <c r="AR4146">
        <v>11.73100304278117</v>
      </c>
      <c r="AS4146" t="s">
        <v>65</v>
      </c>
      <c r="AT4146">
        <v>1</v>
      </c>
      <c r="AU4146" t="s">
        <v>310</v>
      </c>
      <c r="AV4146" t="s">
        <v>311</v>
      </c>
      <c r="AW4146" t="s">
        <v>60</v>
      </c>
      <c r="AX4146" t="s">
        <v>68</v>
      </c>
      <c r="AY4146" t="s">
        <v>69</v>
      </c>
      <c r="AZ4146" t="b">
        <v>1</v>
      </c>
    </row>
    <row r="4147" spans="1:52" x14ac:dyDescent="0.3">
      <c r="A4147" t="s">
        <v>52</v>
      </c>
      <c r="B4147" t="s">
        <v>53</v>
      </c>
      <c r="C4147" t="s">
        <v>54</v>
      </c>
      <c r="D4147" t="s">
        <v>55</v>
      </c>
      <c r="E4147" t="s">
        <v>2222</v>
      </c>
      <c r="F4147" t="s">
        <v>190</v>
      </c>
      <c r="G4147" t="s">
        <v>312</v>
      </c>
      <c r="H4147" t="s">
        <v>313</v>
      </c>
      <c r="I4147" t="s">
        <v>313</v>
      </c>
      <c r="J4147" t="s">
        <v>60</v>
      </c>
      <c r="K4147" t="s">
        <v>143</v>
      </c>
      <c r="L4147" t="s">
        <v>62</v>
      </c>
      <c r="M4147" t="s">
        <v>143</v>
      </c>
      <c r="N4147" t="s">
        <v>314</v>
      </c>
      <c r="O4147" t="s">
        <v>315</v>
      </c>
      <c r="P4147">
        <v>-20.168939000000002</v>
      </c>
      <c r="Q4147">
        <v>-44.843286999999997</v>
      </c>
      <c r="R4147" s="2" t="str">
        <f>HYPERLINK("https://www.google.com/maps?q=-20.1689390,-44.8432870","Abrir no Google Maps")</f>
        <v>Abrir no Google Maps</v>
      </c>
      <c r="S4147">
        <v>4</v>
      </c>
      <c r="T4147">
        <v>582.22902758915586</v>
      </c>
      <c r="U4147">
        <v>3</v>
      </c>
      <c r="V4147">
        <v>0.30617028297056509</v>
      </c>
      <c r="W4147">
        <v>1</v>
      </c>
      <c r="X4147">
        <v>0.30617028297056509</v>
      </c>
      <c r="Y4147">
        <v>292</v>
      </c>
      <c r="Z4147">
        <v>628.29035609472794</v>
      </c>
      <c r="AA4147">
        <v>198</v>
      </c>
      <c r="AB4147">
        <v>332</v>
      </c>
      <c r="AC4147">
        <v>536</v>
      </c>
      <c r="AD4147">
        <v>29.32</v>
      </c>
      <c r="AE4147">
        <v>542</v>
      </c>
      <c r="AF4147">
        <v>27</v>
      </c>
      <c r="AG4147">
        <v>173</v>
      </c>
      <c r="AH4147">
        <v>129</v>
      </c>
      <c r="AI4147">
        <v>4.9800000000000004</v>
      </c>
      <c r="AJ4147">
        <v>31.92</v>
      </c>
      <c r="AK4147">
        <v>23.8</v>
      </c>
      <c r="AL4147">
        <v>-20.16917709999996</v>
      </c>
      <c r="AM4147">
        <v>-44.84342194427667</v>
      </c>
      <c r="AN4147">
        <v>-20.16917709999996</v>
      </c>
      <c r="AO4147">
        <v>-44.84342194427667</v>
      </c>
      <c r="AP4147">
        <v>-20.168939000000002</v>
      </c>
      <c r="AQ4147">
        <v>-44.843286999999997</v>
      </c>
      <c r="AR4147">
        <v>30.02272213565665</v>
      </c>
      <c r="AS4147" t="s">
        <v>65</v>
      </c>
      <c r="AT4147">
        <v>1</v>
      </c>
      <c r="AU4147" t="s">
        <v>316</v>
      </c>
      <c r="AV4147" t="s">
        <v>311</v>
      </c>
      <c r="AW4147" t="s">
        <v>60</v>
      </c>
      <c r="AX4147" t="s">
        <v>68</v>
      </c>
      <c r="AY4147" t="s">
        <v>69</v>
      </c>
      <c r="AZ4147" t="b">
        <v>1</v>
      </c>
    </row>
    <row r="4148" spans="1:52" x14ac:dyDescent="0.3">
      <c r="A4148" t="s">
        <v>52</v>
      </c>
      <c r="B4148" t="s">
        <v>53</v>
      </c>
      <c r="C4148" t="s">
        <v>54</v>
      </c>
      <c r="D4148" t="s">
        <v>55</v>
      </c>
      <c r="E4148" t="s">
        <v>2222</v>
      </c>
      <c r="F4148" t="s">
        <v>190</v>
      </c>
      <c r="G4148" t="s">
        <v>334</v>
      </c>
      <c r="H4148" t="s">
        <v>335</v>
      </c>
      <c r="I4148" t="s">
        <v>335</v>
      </c>
      <c r="J4148" t="s">
        <v>60</v>
      </c>
      <c r="K4148" t="s">
        <v>336</v>
      </c>
      <c r="L4148" t="s">
        <v>62</v>
      </c>
      <c r="M4148" t="s">
        <v>336</v>
      </c>
      <c r="N4148" t="s">
        <v>337</v>
      </c>
      <c r="O4148" t="s">
        <v>338</v>
      </c>
      <c r="P4148">
        <v>-20.168142</v>
      </c>
      <c r="Q4148">
        <v>-44.875697000000002</v>
      </c>
      <c r="R4148" s="2" t="str">
        <f>HYPERLINK("https://www.google.com/maps?q=-20.1681420,-44.8756970","Abrir no Google Maps")</f>
        <v>Abrir no Google Maps</v>
      </c>
      <c r="S4148">
        <v>4</v>
      </c>
      <c r="T4148">
        <v>678.04878367834192</v>
      </c>
      <c r="U4148">
        <v>3</v>
      </c>
      <c r="V4148">
        <v>0.29827308567938249</v>
      </c>
      <c r="W4148">
        <v>1</v>
      </c>
      <c r="X4148">
        <v>0.29827308567938249</v>
      </c>
      <c r="Y4148">
        <v>232</v>
      </c>
      <c r="Z4148">
        <v>595.98467532792097</v>
      </c>
      <c r="AA4148">
        <v>198</v>
      </c>
      <c r="AB4148">
        <v>332</v>
      </c>
      <c r="AC4148">
        <v>536</v>
      </c>
      <c r="AD4148">
        <v>29.32</v>
      </c>
      <c r="AE4148">
        <v>542</v>
      </c>
      <c r="AF4148">
        <v>27</v>
      </c>
      <c r="AG4148">
        <v>173</v>
      </c>
      <c r="AH4148">
        <v>129</v>
      </c>
      <c r="AI4148">
        <v>4.9800000000000004</v>
      </c>
      <c r="AJ4148">
        <v>31.92</v>
      </c>
      <c r="AK4148">
        <v>23.8</v>
      </c>
      <c r="AL4148">
        <v>-20.16787839999995</v>
      </c>
      <c r="AM4148">
        <v>-44.875681825945229</v>
      </c>
      <c r="AN4148">
        <v>-20.16787839999995</v>
      </c>
      <c r="AO4148">
        <v>-44.875681825945229</v>
      </c>
      <c r="AP4148">
        <v>-20.168142</v>
      </c>
      <c r="AQ4148">
        <v>-44.875697000000002</v>
      </c>
      <c r="AR4148">
        <v>29.386760063894371</v>
      </c>
      <c r="AS4148" t="s">
        <v>65</v>
      </c>
      <c r="AT4148">
        <v>1</v>
      </c>
      <c r="AU4148" t="s">
        <v>339</v>
      </c>
      <c r="AV4148" t="s">
        <v>340</v>
      </c>
      <c r="AW4148" t="s">
        <v>60</v>
      </c>
      <c r="AX4148" t="s">
        <v>68</v>
      </c>
      <c r="AY4148" t="s">
        <v>69</v>
      </c>
      <c r="AZ4148" t="b">
        <v>1</v>
      </c>
    </row>
    <row r="4149" spans="1:52" x14ac:dyDescent="0.3">
      <c r="A4149" t="s">
        <v>52</v>
      </c>
      <c r="B4149" t="s">
        <v>53</v>
      </c>
      <c r="C4149" t="s">
        <v>54</v>
      </c>
      <c r="D4149" t="s">
        <v>55</v>
      </c>
      <c r="E4149" t="s">
        <v>2222</v>
      </c>
      <c r="F4149" t="s">
        <v>190</v>
      </c>
      <c r="G4149" t="s">
        <v>155</v>
      </c>
      <c r="H4149" t="s">
        <v>156</v>
      </c>
      <c r="I4149" t="s">
        <v>156</v>
      </c>
      <c r="J4149" t="s">
        <v>60</v>
      </c>
      <c r="K4149" t="s">
        <v>157</v>
      </c>
      <c r="L4149" t="s">
        <v>62</v>
      </c>
      <c r="M4149" t="s">
        <v>157</v>
      </c>
      <c r="N4149" t="s">
        <v>158</v>
      </c>
      <c r="O4149" t="s">
        <v>159</v>
      </c>
      <c r="P4149">
        <v>-20.166302999999999</v>
      </c>
      <c r="Q4149">
        <v>-44.880659999999999</v>
      </c>
      <c r="R4149" s="2" t="str">
        <f>HYPERLINK("https://www.google.com/maps?q=-20.1663030,-44.8806600","Abrir no Google Maps")</f>
        <v>Abrir no Google Maps</v>
      </c>
      <c r="S4149">
        <v>4</v>
      </c>
      <c r="T4149">
        <v>504.41812426451338</v>
      </c>
      <c r="U4149">
        <v>3</v>
      </c>
      <c r="V4149">
        <v>0.3081252401075682</v>
      </c>
      <c r="W4149">
        <v>1</v>
      </c>
      <c r="X4149">
        <v>0.3081252401075682</v>
      </c>
      <c r="Y4149">
        <v>232</v>
      </c>
      <c r="Z4149">
        <v>279.57571553948952</v>
      </c>
      <c r="AA4149">
        <v>198</v>
      </c>
      <c r="AB4149">
        <v>332</v>
      </c>
      <c r="AC4149">
        <v>536</v>
      </c>
      <c r="AD4149">
        <v>29.32</v>
      </c>
      <c r="AE4149">
        <v>542</v>
      </c>
      <c r="AF4149">
        <v>27</v>
      </c>
      <c r="AG4149">
        <v>173</v>
      </c>
      <c r="AH4149">
        <v>129</v>
      </c>
      <c r="AI4149">
        <v>4.9800000000000004</v>
      </c>
      <c r="AJ4149">
        <v>31.92</v>
      </c>
      <c r="AK4149">
        <v>23.8</v>
      </c>
      <c r="AL4149">
        <v>-20.166700449999951</v>
      </c>
      <c r="AM4149">
        <v>-44.880573341714289</v>
      </c>
      <c r="AN4149">
        <v>-20.166700449999951</v>
      </c>
      <c r="AO4149">
        <v>-44.880573341714289</v>
      </c>
      <c r="AP4149">
        <v>-20.166302999999999</v>
      </c>
      <c r="AQ4149">
        <v>-44.880659999999999</v>
      </c>
      <c r="AR4149">
        <v>45.161304979350312</v>
      </c>
      <c r="AS4149" t="s">
        <v>65</v>
      </c>
      <c r="AT4149">
        <v>1</v>
      </c>
      <c r="AU4149" t="s">
        <v>160</v>
      </c>
      <c r="AV4149" t="s">
        <v>161</v>
      </c>
      <c r="AW4149" t="s">
        <v>60</v>
      </c>
      <c r="AX4149" t="s">
        <v>68</v>
      </c>
      <c r="AY4149" t="s">
        <v>69</v>
      </c>
      <c r="AZ4149" t="b">
        <v>1</v>
      </c>
    </row>
    <row r="4150" spans="1:52" x14ac:dyDescent="0.3">
      <c r="A4150" t="s">
        <v>52</v>
      </c>
      <c r="B4150" t="s">
        <v>53</v>
      </c>
      <c r="C4150" t="s">
        <v>54</v>
      </c>
      <c r="D4150" t="s">
        <v>55</v>
      </c>
      <c r="E4150" t="s">
        <v>2222</v>
      </c>
      <c r="F4150" t="s">
        <v>190</v>
      </c>
      <c r="G4150" t="s">
        <v>347</v>
      </c>
      <c r="H4150" t="s">
        <v>348</v>
      </c>
      <c r="I4150" t="s">
        <v>348</v>
      </c>
      <c r="J4150" t="s">
        <v>60</v>
      </c>
      <c r="K4150" t="s">
        <v>157</v>
      </c>
      <c r="L4150" t="s">
        <v>62</v>
      </c>
      <c r="M4150" t="s">
        <v>157</v>
      </c>
      <c r="N4150" t="s">
        <v>349</v>
      </c>
      <c r="O4150" t="s">
        <v>350</v>
      </c>
      <c r="P4150">
        <v>-20.171206999999999</v>
      </c>
      <c r="Q4150">
        <v>-44.881143999999999</v>
      </c>
      <c r="R4150" s="2" t="str">
        <f>HYPERLINK("https://www.google.com/maps?q=-20.1712070,-44.8811440","Abrir no Google Maps")</f>
        <v>Abrir no Google Maps</v>
      </c>
      <c r="S4150">
        <v>4</v>
      </c>
      <c r="T4150">
        <v>0</v>
      </c>
      <c r="U4150">
        <v>3</v>
      </c>
      <c r="V4150">
        <v>0.30895757913301769</v>
      </c>
      <c r="W4150">
        <v>1</v>
      </c>
      <c r="X4150">
        <v>0.30895757913301769</v>
      </c>
      <c r="Y4150">
        <v>232</v>
      </c>
      <c r="Z4150">
        <v>184.81719774496389</v>
      </c>
      <c r="AA4150">
        <v>198</v>
      </c>
      <c r="AB4150">
        <v>332</v>
      </c>
      <c r="AC4150">
        <v>536</v>
      </c>
      <c r="AD4150">
        <v>29.32</v>
      </c>
      <c r="AE4150">
        <v>542</v>
      </c>
      <c r="AF4150">
        <v>27</v>
      </c>
      <c r="AG4150">
        <v>173</v>
      </c>
      <c r="AH4150">
        <v>129</v>
      </c>
      <c r="AI4150">
        <v>4.9800000000000004</v>
      </c>
      <c r="AJ4150">
        <v>31.92</v>
      </c>
      <c r="AK4150">
        <v>23.8</v>
      </c>
      <c r="AL4150">
        <v>-20.171229949999969</v>
      </c>
      <c r="AM4150">
        <v>-44.881113944480241</v>
      </c>
      <c r="AN4150">
        <v>-20.171229949999969</v>
      </c>
      <c r="AO4150">
        <v>-44.881113944480241</v>
      </c>
      <c r="AP4150">
        <v>-20.171206999999999</v>
      </c>
      <c r="AQ4150">
        <v>-44.881143999999999</v>
      </c>
      <c r="AR4150">
        <v>4.0484763362859333</v>
      </c>
      <c r="AS4150" t="s">
        <v>65</v>
      </c>
      <c r="AT4150">
        <v>1</v>
      </c>
      <c r="AU4150" t="s">
        <v>351</v>
      </c>
      <c r="AV4150" t="s">
        <v>352</v>
      </c>
      <c r="AW4150" t="s">
        <v>60</v>
      </c>
      <c r="AX4150" t="s">
        <v>68</v>
      </c>
      <c r="AY4150" t="s">
        <v>69</v>
      </c>
      <c r="AZ4150" t="b">
        <v>1</v>
      </c>
    </row>
    <row r="4151" spans="1:52" x14ac:dyDescent="0.3">
      <c r="A4151" t="s">
        <v>52</v>
      </c>
      <c r="B4151" t="s">
        <v>53</v>
      </c>
      <c r="C4151" t="s">
        <v>54</v>
      </c>
      <c r="D4151" t="s">
        <v>55</v>
      </c>
      <c r="E4151" t="s">
        <v>2222</v>
      </c>
      <c r="F4151" t="s">
        <v>190</v>
      </c>
      <c r="G4151" t="s">
        <v>360</v>
      </c>
      <c r="H4151" t="s">
        <v>361</v>
      </c>
      <c r="I4151" t="s">
        <v>361</v>
      </c>
      <c r="J4151" t="s">
        <v>60</v>
      </c>
      <c r="K4151" t="s">
        <v>362</v>
      </c>
      <c r="L4151" t="s">
        <v>62</v>
      </c>
      <c r="M4151" t="s">
        <v>362</v>
      </c>
      <c r="N4151" t="s">
        <v>363</v>
      </c>
      <c r="O4151" t="s">
        <v>235</v>
      </c>
      <c r="P4151">
        <v>-20.143716999999999</v>
      </c>
      <c r="Q4151">
        <v>-44.875278000000002</v>
      </c>
      <c r="R4151" s="2" t="str">
        <f>HYPERLINK("https://www.google.com/maps?q=-20.1437170,-44.8752780","Abrir no Google Maps")</f>
        <v>Abrir no Google Maps</v>
      </c>
      <c r="S4151">
        <v>4</v>
      </c>
      <c r="T4151">
        <v>0</v>
      </c>
      <c r="U4151">
        <v>3</v>
      </c>
      <c r="V4151">
        <v>0.2993258859784283</v>
      </c>
      <c r="W4151">
        <v>1</v>
      </c>
      <c r="X4151">
        <v>0.2993258859784283</v>
      </c>
      <c r="Y4151">
        <v>209</v>
      </c>
      <c r="Z4151">
        <v>121.8438559354383</v>
      </c>
      <c r="AA4151">
        <v>198</v>
      </c>
      <c r="AB4151">
        <v>332</v>
      </c>
      <c r="AC4151">
        <v>536</v>
      </c>
      <c r="AD4151">
        <v>29.32</v>
      </c>
      <c r="AE4151">
        <v>542</v>
      </c>
      <c r="AF4151">
        <v>27</v>
      </c>
      <c r="AG4151">
        <v>173</v>
      </c>
      <c r="AH4151">
        <v>129</v>
      </c>
      <c r="AI4151">
        <v>4.9800000000000004</v>
      </c>
      <c r="AJ4151">
        <v>31.92</v>
      </c>
      <c r="AK4151">
        <v>23.8</v>
      </c>
      <c r="AL4151">
        <v>-20.143665999999961</v>
      </c>
      <c r="AM4151">
        <v>-44.875561853046079</v>
      </c>
      <c r="AN4151">
        <v>-20.143665999999961</v>
      </c>
      <c r="AO4151">
        <v>-44.875561853046079</v>
      </c>
      <c r="AP4151">
        <v>-20.143716999999999</v>
      </c>
      <c r="AQ4151">
        <v>-44.875278000000002</v>
      </c>
      <c r="AR4151">
        <v>30.20407282671313</v>
      </c>
      <c r="AS4151" t="s">
        <v>65</v>
      </c>
      <c r="AT4151">
        <v>1</v>
      </c>
      <c r="AU4151" t="s">
        <v>364</v>
      </c>
      <c r="AV4151" t="s">
        <v>365</v>
      </c>
      <c r="AW4151" t="s">
        <v>60</v>
      </c>
      <c r="AX4151" t="s">
        <v>68</v>
      </c>
      <c r="AY4151" t="s">
        <v>69</v>
      </c>
      <c r="AZ4151" t="b">
        <v>1</v>
      </c>
    </row>
    <row r="4152" spans="1:52" x14ac:dyDescent="0.3">
      <c r="A4152" t="s">
        <v>52</v>
      </c>
      <c r="B4152" t="s">
        <v>53</v>
      </c>
      <c r="C4152" t="s">
        <v>54</v>
      </c>
      <c r="D4152" t="s">
        <v>55</v>
      </c>
      <c r="E4152" t="s">
        <v>2222</v>
      </c>
      <c r="F4152" t="s">
        <v>190</v>
      </c>
      <c r="G4152" t="s">
        <v>1649</v>
      </c>
      <c r="H4152" t="s">
        <v>1650</v>
      </c>
      <c r="I4152" t="s">
        <v>1650</v>
      </c>
      <c r="J4152" t="s">
        <v>60</v>
      </c>
      <c r="K4152" t="s">
        <v>355</v>
      </c>
      <c r="L4152" t="s">
        <v>62</v>
      </c>
      <c r="M4152" t="s">
        <v>355</v>
      </c>
      <c r="N4152" t="s">
        <v>1651</v>
      </c>
      <c r="O4152" t="s">
        <v>293</v>
      </c>
      <c r="P4152">
        <v>-20.141983</v>
      </c>
      <c r="Q4152">
        <v>-44.871161000000001</v>
      </c>
      <c r="R4152" s="2" t="str">
        <f>HYPERLINK("https://www.google.com/maps?q=-20.1419830,-44.8711610","Abrir no Google Maps")</f>
        <v>Abrir no Google Maps</v>
      </c>
      <c r="S4152">
        <v>4</v>
      </c>
      <c r="T4152">
        <v>492.40092389187612</v>
      </c>
      <c r="U4152">
        <v>3</v>
      </c>
      <c r="V4152">
        <v>0.31404188181296611</v>
      </c>
      <c r="W4152">
        <v>1</v>
      </c>
      <c r="X4152">
        <v>0.31404188181296611</v>
      </c>
      <c r="Y4152">
        <v>209</v>
      </c>
      <c r="Z4152">
        <v>425.51195583014947</v>
      </c>
      <c r="AA4152">
        <v>198</v>
      </c>
      <c r="AB4152">
        <v>332</v>
      </c>
      <c r="AC4152">
        <v>536</v>
      </c>
      <c r="AD4152">
        <v>29.32</v>
      </c>
      <c r="AE4152">
        <v>542</v>
      </c>
      <c r="AF4152">
        <v>27</v>
      </c>
      <c r="AG4152">
        <v>173</v>
      </c>
      <c r="AH4152">
        <v>129</v>
      </c>
      <c r="AI4152">
        <v>4.9800000000000004</v>
      </c>
      <c r="AJ4152">
        <v>31.92</v>
      </c>
      <c r="AK4152">
        <v>23.8</v>
      </c>
      <c r="AL4152">
        <v>-20.142006349999971</v>
      </c>
      <c r="AM4152">
        <v>-44.871190369486733</v>
      </c>
      <c r="AN4152">
        <v>-20.142006349999981</v>
      </c>
      <c r="AO4152">
        <v>-44.871190369486733</v>
      </c>
      <c r="AP4152">
        <v>-20.141983</v>
      </c>
      <c r="AQ4152">
        <v>-44.871161000000001</v>
      </c>
      <c r="AR4152">
        <v>4.0221964388318616</v>
      </c>
      <c r="AS4152" t="s">
        <v>65</v>
      </c>
      <c r="AT4152">
        <v>1</v>
      </c>
      <c r="AU4152" t="s">
        <v>1652</v>
      </c>
      <c r="AV4152" t="s">
        <v>1653</v>
      </c>
      <c r="AW4152" t="s">
        <v>60</v>
      </c>
      <c r="AX4152" t="s">
        <v>68</v>
      </c>
      <c r="AY4152" t="s">
        <v>69</v>
      </c>
      <c r="AZ4152" t="b">
        <v>1</v>
      </c>
    </row>
    <row r="4153" spans="1:52" x14ac:dyDescent="0.3">
      <c r="A4153" t="s">
        <v>52</v>
      </c>
      <c r="B4153" t="s">
        <v>53</v>
      </c>
      <c r="C4153" t="s">
        <v>54</v>
      </c>
      <c r="D4153" t="s">
        <v>55</v>
      </c>
      <c r="E4153" t="s">
        <v>2222</v>
      </c>
      <c r="F4153" t="s">
        <v>190</v>
      </c>
      <c r="G4153" t="s">
        <v>1654</v>
      </c>
      <c r="H4153" t="s">
        <v>1655</v>
      </c>
      <c r="I4153" t="s">
        <v>1655</v>
      </c>
      <c r="J4153" t="s">
        <v>60</v>
      </c>
      <c r="K4153" t="s">
        <v>368</v>
      </c>
      <c r="L4153" t="s">
        <v>62</v>
      </c>
      <c r="M4153" t="s">
        <v>368</v>
      </c>
      <c r="N4153" t="s">
        <v>1656</v>
      </c>
      <c r="O4153" t="s">
        <v>1657</v>
      </c>
      <c r="P4153">
        <v>-20.143647999999999</v>
      </c>
      <c r="Q4153">
        <v>-44.870466</v>
      </c>
      <c r="R4153" s="2" t="str">
        <f>HYPERLINK("https://www.google.com/maps?q=-20.1436480,-44.8704660","Abrir no Google Maps")</f>
        <v>Abrir no Google Maps</v>
      </c>
      <c r="S4153">
        <v>4</v>
      </c>
      <c r="T4153">
        <v>545.81556277505979</v>
      </c>
      <c r="U4153">
        <v>3</v>
      </c>
      <c r="V4153">
        <v>0.3005358887040997</v>
      </c>
      <c r="W4153">
        <v>1</v>
      </c>
      <c r="X4153">
        <v>0.3005358887040997</v>
      </c>
      <c r="Y4153">
        <v>198</v>
      </c>
      <c r="Z4153">
        <v>258.83396188518708</v>
      </c>
      <c r="AA4153">
        <v>198</v>
      </c>
      <c r="AB4153">
        <v>332</v>
      </c>
      <c r="AC4153">
        <v>536</v>
      </c>
      <c r="AD4153">
        <v>29.32</v>
      </c>
      <c r="AE4153">
        <v>542</v>
      </c>
      <c r="AF4153">
        <v>27</v>
      </c>
      <c r="AG4153">
        <v>173</v>
      </c>
      <c r="AH4153">
        <v>129</v>
      </c>
      <c r="AI4153">
        <v>4.9800000000000004</v>
      </c>
      <c r="AJ4153">
        <v>31.92</v>
      </c>
      <c r="AK4153">
        <v>23.8</v>
      </c>
      <c r="AL4153">
        <v>-20.143704099999951</v>
      </c>
      <c r="AM4153">
        <v>-44.870339403868741</v>
      </c>
      <c r="AN4153">
        <v>-20.143704099999951</v>
      </c>
      <c r="AO4153">
        <v>-44.870339403868741</v>
      </c>
      <c r="AP4153">
        <v>-20.143647999999999</v>
      </c>
      <c r="AQ4153">
        <v>-44.870466</v>
      </c>
      <c r="AR4153">
        <v>14.63048136060379</v>
      </c>
      <c r="AS4153" t="s">
        <v>65</v>
      </c>
      <c r="AT4153">
        <v>1</v>
      </c>
      <c r="AU4153" t="s">
        <v>1658</v>
      </c>
      <c r="AV4153" t="s">
        <v>1659</v>
      </c>
      <c r="AW4153" t="s">
        <v>60</v>
      </c>
      <c r="AX4153" t="s">
        <v>68</v>
      </c>
      <c r="AY4153" t="s">
        <v>69</v>
      </c>
      <c r="AZ4153" t="b">
        <v>1</v>
      </c>
    </row>
    <row r="4154" spans="1:52" x14ac:dyDescent="0.3">
      <c r="A4154" t="s">
        <v>52</v>
      </c>
      <c r="B4154" t="s">
        <v>53</v>
      </c>
      <c r="C4154" t="s">
        <v>54</v>
      </c>
      <c r="D4154" t="s">
        <v>55</v>
      </c>
      <c r="E4154" t="s">
        <v>2222</v>
      </c>
      <c r="F4154" t="s">
        <v>190</v>
      </c>
      <c r="G4154" t="s">
        <v>1728</v>
      </c>
      <c r="H4154" t="s">
        <v>1729</v>
      </c>
      <c r="I4154" t="s">
        <v>1729</v>
      </c>
      <c r="J4154" t="s">
        <v>60</v>
      </c>
      <c r="K4154" t="s">
        <v>171</v>
      </c>
      <c r="L4154" t="s">
        <v>62</v>
      </c>
      <c r="M4154" t="s">
        <v>171</v>
      </c>
      <c r="N4154" t="s">
        <v>1730</v>
      </c>
      <c r="O4154" t="s">
        <v>1731</v>
      </c>
      <c r="P4154">
        <v>-20.153237000000001</v>
      </c>
      <c r="Q4154">
        <v>-44.893830999999999</v>
      </c>
      <c r="R4154" s="2" t="str">
        <f>HYPERLINK("https://www.google.com/maps?q=-20.1532370,-44.8938310","Abrir no Google Maps")</f>
        <v>Abrir no Google Maps</v>
      </c>
      <c r="S4154">
        <v>4</v>
      </c>
      <c r="T4154">
        <v>413.69072684661631</v>
      </c>
      <c r="U4154">
        <v>3</v>
      </c>
      <c r="V4154">
        <v>0.30208873476795428</v>
      </c>
      <c r="W4154">
        <v>1</v>
      </c>
      <c r="X4154">
        <v>0.30208873476795428</v>
      </c>
      <c r="Y4154">
        <v>129</v>
      </c>
      <c r="Z4154">
        <v>276.95856023076033</v>
      </c>
      <c r="AA4154">
        <v>198</v>
      </c>
      <c r="AB4154">
        <v>332</v>
      </c>
      <c r="AC4154">
        <v>536</v>
      </c>
      <c r="AD4154">
        <v>29.32</v>
      </c>
      <c r="AE4154">
        <v>542</v>
      </c>
      <c r="AF4154">
        <v>27</v>
      </c>
      <c r="AG4154">
        <v>173</v>
      </c>
      <c r="AH4154">
        <v>129</v>
      </c>
      <c r="AI4154">
        <v>4.9800000000000004</v>
      </c>
      <c r="AJ4154">
        <v>31.92</v>
      </c>
      <c r="AK4154">
        <v>23.8</v>
      </c>
      <c r="AL4154">
        <v>-20.15278304999995</v>
      </c>
      <c r="AM4154">
        <v>-44.894325691070982</v>
      </c>
      <c r="AN4154">
        <v>-20.15278304999995</v>
      </c>
      <c r="AO4154">
        <v>-44.894325691070982</v>
      </c>
      <c r="AP4154">
        <v>-20.153237000000001</v>
      </c>
      <c r="AQ4154">
        <v>-44.893830999999999</v>
      </c>
      <c r="AR4154">
        <v>72.293093135883012</v>
      </c>
      <c r="AS4154" t="s">
        <v>65</v>
      </c>
      <c r="AT4154">
        <v>1</v>
      </c>
      <c r="AU4154" t="s">
        <v>1732</v>
      </c>
      <c r="AV4154" t="s">
        <v>1733</v>
      </c>
      <c r="AW4154" t="s">
        <v>60</v>
      </c>
      <c r="AX4154" t="s">
        <v>68</v>
      </c>
      <c r="AY4154" t="s">
        <v>69</v>
      </c>
      <c r="AZ4154" t="b">
        <v>1</v>
      </c>
    </row>
    <row r="4155" spans="1:52" x14ac:dyDescent="0.3">
      <c r="A4155" t="s">
        <v>52</v>
      </c>
      <c r="B4155" t="s">
        <v>53</v>
      </c>
      <c r="C4155" t="s">
        <v>54</v>
      </c>
      <c r="D4155" t="s">
        <v>55</v>
      </c>
      <c r="E4155" t="s">
        <v>2222</v>
      </c>
      <c r="F4155" t="s">
        <v>190</v>
      </c>
      <c r="G4155" t="s">
        <v>169</v>
      </c>
      <c r="H4155" t="s">
        <v>170</v>
      </c>
      <c r="I4155" t="s">
        <v>170</v>
      </c>
      <c r="J4155" t="s">
        <v>60</v>
      </c>
      <c r="K4155" t="s">
        <v>171</v>
      </c>
      <c r="L4155" t="s">
        <v>62</v>
      </c>
      <c r="M4155" t="s">
        <v>171</v>
      </c>
      <c r="N4155" t="s">
        <v>172</v>
      </c>
      <c r="O4155" t="s">
        <v>173</v>
      </c>
      <c r="P4155">
        <v>-20.15334</v>
      </c>
      <c r="Q4155">
        <v>-44.891691000000002</v>
      </c>
      <c r="R4155" s="2" t="str">
        <f>HYPERLINK("https://www.google.com/maps?q=-20.1533400,-44.8916910","Abrir no Google Maps")</f>
        <v>Abrir no Google Maps</v>
      </c>
      <c r="S4155">
        <v>4</v>
      </c>
      <c r="T4155">
        <v>263.82013116084107</v>
      </c>
      <c r="U4155">
        <v>3</v>
      </c>
      <c r="V4155">
        <v>0.3095212285456187</v>
      </c>
      <c r="W4155">
        <v>1</v>
      </c>
      <c r="X4155">
        <v>0.3095212285456187</v>
      </c>
      <c r="Y4155">
        <v>129</v>
      </c>
      <c r="Z4155">
        <v>72.771047355993247</v>
      </c>
      <c r="AA4155">
        <v>198</v>
      </c>
      <c r="AB4155">
        <v>332</v>
      </c>
      <c r="AC4155">
        <v>536</v>
      </c>
      <c r="AD4155">
        <v>29.32</v>
      </c>
      <c r="AE4155">
        <v>542</v>
      </c>
      <c r="AF4155">
        <v>27</v>
      </c>
      <c r="AG4155">
        <v>173</v>
      </c>
      <c r="AH4155">
        <v>129</v>
      </c>
      <c r="AI4155">
        <v>4.9800000000000004</v>
      </c>
      <c r="AJ4155">
        <v>31.92</v>
      </c>
      <c r="AK4155">
        <v>23.8</v>
      </c>
      <c r="AL4155">
        <v>-20.153531799999971</v>
      </c>
      <c r="AM4155">
        <v>-44.89196779651779</v>
      </c>
      <c r="AN4155">
        <v>-20.153531799999971</v>
      </c>
      <c r="AO4155">
        <v>-44.89196779651779</v>
      </c>
      <c r="AP4155">
        <v>-20.15334</v>
      </c>
      <c r="AQ4155">
        <v>-44.891691000000002</v>
      </c>
      <c r="AR4155">
        <v>35.952871813310509</v>
      </c>
      <c r="AS4155" t="s">
        <v>65</v>
      </c>
      <c r="AT4155">
        <v>1</v>
      </c>
      <c r="AU4155" t="s">
        <v>174</v>
      </c>
      <c r="AV4155" t="s">
        <v>175</v>
      </c>
      <c r="AW4155" t="s">
        <v>60</v>
      </c>
      <c r="AX4155" t="s">
        <v>68</v>
      </c>
      <c r="AY4155" t="s">
        <v>69</v>
      </c>
      <c r="AZ4155" t="b">
        <v>1</v>
      </c>
    </row>
    <row r="4156" spans="1:52" x14ac:dyDescent="0.3">
      <c r="A4156" t="s">
        <v>52</v>
      </c>
      <c r="B4156" t="s">
        <v>53</v>
      </c>
      <c r="C4156" t="s">
        <v>54</v>
      </c>
      <c r="D4156" t="s">
        <v>55</v>
      </c>
      <c r="E4156" t="s">
        <v>2222</v>
      </c>
      <c r="F4156" t="s">
        <v>190</v>
      </c>
      <c r="G4156" t="s">
        <v>1671</v>
      </c>
      <c r="H4156" t="s">
        <v>1672</v>
      </c>
      <c r="I4156" t="s">
        <v>1672</v>
      </c>
      <c r="J4156" t="s">
        <v>60</v>
      </c>
      <c r="K4156" t="s">
        <v>375</v>
      </c>
      <c r="L4156" t="s">
        <v>62</v>
      </c>
      <c r="M4156" t="s">
        <v>375</v>
      </c>
      <c r="N4156" t="s">
        <v>1673</v>
      </c>
      <c r="O4156" t="s">
        <v>370</v>
      </c>
      <c r="P4156">
        <v>-20.180724000000001</v>
      </c>
      <c r="Q4156">
        <v>-44.886913999999997</v>
      </c>
      <c r="R4156" s="2" t="str">
        <f>HYPERLINK("https://www.google.com/maps?q=-20.1807240,-44.8869140","Abrir no Google Maps")</f>
        <v>Abrir no Google Maps</v>
      </c>
      <c r="S4156">
        <v>4</v>
      </c>
      <c r="T4156">
        <v>814.7424073839951</v>
      </c>
      <c r="U4156">
        <v>3</v>
      </c>
      <c r="V4156">
        <v>0.31364679634307402</v>
      </c>
      <c r="W4156">
        <v>1</v>
      </c>
      <c r="X4156">
        <v>0.31364679634307402</v>
      </c>
      <c r="Y4156">
        <v>101</v>
      </c>
      <c r="Z4156">
        <v>808.23656795472721</v>
      </c>
      <c r="AA4156">
        <v>198</v>
      </c>
      <c r="AB4156">
        <v>332</v>
      </c>
      <c r="AC4156">
        <v>536</v>
      </c>
      <c r="AD4156">
        <v>29.32</v>
      </c>
      <c r="AE4156">
        <v>542</v>
      </c>
      <c r="AF4156">
        <v>27</v>
      </c>
      <c r="AG4156">
        <v>173</v>
      </c>
      <c r="AH4156">
        <v>129</v>
      </c>
      <c r="AI4156">
        <v>4.9800000000000004</v>
      </c>
      <c r="AJ4156">
        <v>31.92</v>
      </c>
      <c r="AK4156">
        <v>23.8</v>
      </c>
      <c r="AL4156">
        <v>-20.18071869999994</v>
      </c>
      <c r="AM4156">
        <v>-44.886927989725393</v>
      </c>
      <c r="AN4156">
        <v>-20.18071869999994</v>
      </c>
      <c r="AO4156">
        <v>-44.886927989725393</v>
      </c>
      <c r="AP4156">
        <v>-20.180724000000001</v>
      </c>
      <c r="AQ4156">
        <v>-44.886913999999997</v>
      </c>
      <c r="AR4156">
        <v>1.5763090046691759</v>
      </c>
      <c r="AS4156" t="s">
        <v>65</v>
      </c>
      <c r="AT4156">
        <v>1</v>
      </c>
      <c r="AU4156" t="s">
        <v>1674</v>
      </c>
      <c r="AV4156" t="s">
        <v>1642</v>
      </c>
      <c r="AW4156" t="s">
        <v>60</v>
      </c>
      <c r="AX4156" t="s">
        <v>68</v>
      </c>
      <c r="AY4156" t="s">
        <v>69</v>
      </c>
      <c r="AZ4156" t="b">
        <v>1</v>
      </c>
    </row>
    <row r="4157" spans="1:52" x14ac:dyDescent="0.3">
      <c r="A4157" t="s">
        <v>52</v>
      </c>
      <c r="B4157" t="s">
        <v>53</v>
      </c>
      <c r="C4157" t="s">
        <v>54</v>
      </c>
      <c r="D4157" t="s">
        <v>55</v>
      </c>
      <c r="E4157" t="s">
        <v>2222</v>
      </c>
      <c r="F4157" t="s">
        <v>190</v>
      </c>
      <c r="G4157" t="s">
        <v>176</v>
      </c>
      <c r="H4157" t="s">
        <v>177</v>
      </c>
      <c r="I4157" t="s">
        <v>177</v>
      </c>
      <c r="J4157" t="s">
        <v>60</v>
      </c>
      <c r="K4157" t="s">
        <v>178</v>
      </c>
      <c r="L4157" t="s">
        <v>62</v>
      </c>
      <c r="M4157" t="s">
        <v>178</v>
      </c>
      <c r="N4157" t="s">
        <v>179</v>
      </c>
      <c r="O4157" t="s">
        <v>180</v>
      </c>
      <c r="P4157">
        <v>-20.129152999999999</v>
      </c>
      <c r="Q4157">
        <v>-44.859299</v>
      </c>
      <c r="R4157" s="2" t="str">
        <f>HYPERLINK("https://www.google.com/maps?q=-20.1291530,-44.8592990","Abrir no Google Maps")</f>
        <v>Abrir no Google Maps</v>
      </c>
      <c r="S4157">
        <v>4</v>
      </c>
      <c r="T4157">
        <v>0</v>
      </c>
      <c r="U4157">
        <v>3</v>
      </c>
      <c r="V4157">
        <v>0.31351726451927769</v>
      </c>
      <c r="W4157">
        <v>1</v>
      </c>
      <c r="X4157">
        <v>0.31351726451927769</v>
      </c>
      <c r="Y4157">
        <v>95</v>
      </c>
      <c r="Z4157">
        <v>323.58963420291411</v>
      </c>
      <c r="AA4157">
        <v>198</v>
      </c>
      <c r="AB4157">
        <v>332</v>
      </c>
      <c r="AC4157">
        <v>536</v>
      </c>
      <c r="AD4157">
        <v>29.32</v>
      </c>
      <c r="AE4157">
        <v>542</v>
      </c>
      <c r="AF4157">
        <v>27</v>
      </c>
      <c r="AG4157">
        <v>173</v>
      </c>
      <c r="AH4157">
        <v>129</v>
      </c>
      <c r="AI4157">
        <v>4.9800000000000004</v>
      </c>
      <c r="AJ4157">
        <v>31.92</v>
      </c>
      <c r="AK4157">
        <v>23.8</v>
      </c>
      <c r="AL4157">
        <v>-20.129260799999969</v>
      </c>
      <c r="AM4157">
        <v>-44.859468344955843</v>
      </c>
      <c r="AN4157">
        <v>-20.129260799999969</v>
      </c>
      <c r="AO4157">
        <v>-44.859468344955843</v>
      </c>
      <c r="AP4157">
        <v>-20.129152999999999</v>
      </c>
      <c r="AQ4157">
        <v>-44.859299</v>
      </c>
      <c r="AR4157">
        <v>21.38451122307773</v>
      </c>
      <c r="AS4157" t="s">
        <v>65</v>
      </c>
      <c r="AT4157">
        <v>1</v>
      </c>
      <c r="AU4157" t="s">
        <v>181</v>
      </c>
      <c r="AV4157" t="s">
        <v>182</v>
      </c>
      <c r="AW4157" t="s">
        <v>60</v>
      </c>
      <c r="AX4157" t="s">
        <v>68</v>
      </c>
      <c r="AY4157" t="s">
        <v>69</v>
      </c>
      <c r="AZ4157" t="b">
        <v>1</v>
      </c>
    </row>
    <row r="4158" spans="1:52" x14ac:dyDescent="0.3">
      <c r="A4158" t="s">
        <v>52</v>
      </c>
      <c r="B4158" t="s">
        <v>53</v>
      </c>
      <c r="C4158" t="s">
        <v>54</v>
      </c>
      <c r="D4158" t="s">
        <v>55</v>
      </c>
      <c r="E4158" t="s">
        <v>2222</v>
      </c>
      <c r="F4158" t="s">
        <v>190</v>
      </c>
      <c r="G4158" t="s">
        <v>183</v>
      </c>
      <c r="H4158" t="s">
        <v>184</v>
      </c>
      <c r="I4158" t="s">
        <v>184</v>
      </c>
      <c r="J4158" t="s">
        <v>60</v>
      </c>
      <c r="K4158" t="s">
        <v>185</v>
      </c>
      <c r="L4158" t="s">
        <v>62</v>
      </c>
      <c r="M4158" t="s">
        <v>185</v>
      </c>
      <c r="N4158" t="s">
        <v>186</v>
      </c>
      <c r="O4158" t="s">
        <v>187</v>
      </c>
      <c r="P4158">
        <v>-20.134855000000002</v>
      </c>
      <c r="Q4158">
        <v>-44.860174000000001</v>
      </c>
      <c r="R4158" s="2" t="str">
        <f>HYPERLINK("https://www.google.com/maps?q=-20.1348550,-44.8601740","Abrir no Google Maps")</f>
        <v>Abrir no Google Maps</v>
      </c>
      <c r="S4158">
        <v>4</v>
      </c>
      <c r="T4158">
        <v>625.96998974571841</v>
      </c>
      <c r="U4158">
        <v>3</v>
      </c>
      <c r="V4158">
        <v>0.31379913953758781</v>
      </c>
      <c r="W4158">
        <v>1</v>
      </c>
      <c r="X4158">
        <v>0.31379913953758781</v>
      </c>
      <c r="Y4158">
        <v>95</v>
      </c>
      <c r="Z4158">
        <v>257.67818504656498</v>
      </c>
      <c r="AA4158">
        <v>198</v>
      </c>
      <c r="AB4158">
        <v>332</v>
      </c>
      <c r="AC4158">
        <v>536</v>
      </c>
      <c r="AD4158">
        <v>29.32</v>
      </c>
      <c r="AE4158">
        <v>542</v>
      </c>
      <c r="AF4158">
        <v>27</v>
      </c>
      <c r="AG4158">
        <v>173</v>
      </c>
      <c r="AH4158">
        <v>129</v>
      </c>
      <c r="AI4158">
        <v>4.9800000000000004</v>
      </c>
      <c r="AJ4158">
        <v>31.92</v>
      </c>
      <c r="AK4158">
        <v>23.8</v>
      </c>
      <c r="AL4158">
        <v>-20.134903999999981</v>
      </c>
      <c r="AM4158">
        <v>-44.859880285335962</v>
      </c>
      <c r="AN4158">
        <v>-20.134903999999981</v>
      </c>
      <c r="AO4158">
        <v>-44.859880285335962</v>
      </c>
      <c r="AP4158">
        <v>-20.134855000000002</v>
      </c>
      <c r="AQ4158">
        <v>-44.860174000000001</v>
      </c>
      <c r="AR4158">
        <v>31.178921696823132</v>
      </c>
      <c r="AS4158" t="s">
        <v>65</v>
      </c>
      <c r="AT4158">
        <v>1</v>
      </c>
      <c r="AU4158" t="s">
        <v>188</v>
      </c>
      <c r="AV4158" t="s">
        <v>189</v>
      </c>
      <c r="AW4158" t="s">
        <v>60</v>
      </c>
      <c r="AX4158" t="s">
        <v>68</v>
      </c>
      <c r="AY4158" t="s">
        <v>69</v>
      </c>
      <c r="AZ4158" t="b">
        <v>1</v>
      </c>
    </row>
    <row r="4159" spans="1:52" x14ac:dyDescent="0.3">
      <c r="A4159" t="s">
        <v>52</v>
      </c>
      <c r="B4159" t="s">
        <v>53</v>
      </c>
      <c r="C4159" t="s">
        <v>54</v>
      </c>
      <c r="D4159" t="s">
        <v>55</v>
      </c>
      <c r="E4159" t="s">
        <v>2222</v>
      </c>
      <c r="F4159" t="s">
        <v>190</v>
      </c>
      <c r="G4159" t="s">
        <v>839</v>
      </c>
      <c r="H4159" t="s">
        <v>840</v>
      </c>
      <c r="I4159" t="s">
        <v>840</v>
      </c>
      <c r="J4159" t="s">
        <v>60</v>
      </c>
      <c r="K4159" t="s">
        <v>388</v>
      </c>
      <c r="L4159" t="s">
        <v>62</v>
      </c>
      <c r="M4159" t="s">
        <v>388</v>
      </c>
      <c r="N4159" t="s">
        <v>841</v>
      </c>
      <c r="O4159" t="s">
        <v>842</v>
      </c>
      <c r="P4159">
        <v>-20.159977999999999</v>
      </c>
      <c r="Q4159">
        <v>-44.900207000000002</v>
      </c>
      <c r="R4159" s="2" t="str">
        <f>HYPERLINK("https://www.google.com/maps?q=-20.1599780,-44.9002070","Abrir no Google Maps")</f>
        <v>Abrir no Google Maps</v>
      </c>
      <c r="S4159">
        <v>3</v>
      </c>
      <c r="T4159">
        <v>213.24333517300789</v>
      </c>
      <c r="U4159">
        <v>4</v>
      </c>
      <c r="V4159">
        <v>0.31441312310877528</v>
      </c>
      <c r="W4159">
        <v>1</v>
      </c>
      <c r="X4159">
        <v>0.31441312310877528</v>
      </c>
      <c r="Y4159">
        <v>729</v>
      </c>
      <c r="Z4159">
        <v>315.47173727880028</v>
      </c>
      <c r="AA4159">
        <v>198</v>
      </c>
      <c r="AB4159">
        <v>332</v>
      </c>
      <c r="AC4159">
        <v>536</v>
      </c>
      <c r="AD4159">
        <v>29.32</v>
      </c>
      <c r="AE4159">
        <v>542</v>
      </c>
      <c r="AF4159">
        <v>27</v>
      </c>
      <c r="AG4159">
        <v>173</v>
      </c>
      <c r="AH4159">
        <v>129</v>
      </c>
      <c r="AI4159">
        <v>4.9800000000000004</v>
      </c>
      <c r="AJ4159">
        <v>31.92</v>
      </c>
      <c r="AK4159">
        <v>23.8</v>
      </c>
      <c r="AL4159">
        <v>-20.159825649999959</v>
      </c>
      <c r="AM4159">
        <v>-44.900143828909613</v>
      </c>
      <c r="AN4159">
        <v>-20.159825649999959</v>
      </c>
      <c r="AO4159">
        <v>-44.900143828909613</v>
      </c>
      <c r="AP4159">
        <v>-20.159977999999999</v>
      </c>
      <c r="AQ4159">
        <v>-44.900207000000002</v>
      </c>
      <c r="AR4159">
        <v>18.199073573580371</v>
      </c>
      <c r="AS4159" t="s">
        <v>65</v>
      </c>
      <c r="AT4159">
        <v>1</v>
      </c>
      <c r="AU4159" t="s">
        <v>843</v>
      </c>
      <c r="AV4159" t="s">
        <v>844</v>
      </c>
      <c r="AW4159" t="s">
        <v>60</v>
      </c>
      <c r="AX4159" t="s">
        <v>68</v>
      </c>
      <c r="AY4159" t="s">
        <v>69</v>
      </c>
      <c r="AZ4159" t="b">
        <v>1</v>
      </c>
    </row>
    <row r="4160" spans="1:52" x14ac:dyDescent="0.3">
      <c r="A4160" t="s">
        <v>52</v>
      </c>
      <c r="B4160" t="s">
        <v>53</v>
      </c>
      <c r="C4160" t="s">
        <v>54</v>
      </c>
      <c r="D4160" t="s">
        <v>55</v>
      </c>
      <c r="E4160" t="s">
        <v>2222</v>
      </c>
      <c r="F4160" t="s">
        <v>190</v>
      </c>
      <c r="G4160" t="s">
        <v>392</v>
      </c>
      <c r="H4160" t="s">
        <v>393</v>
      </c>
      <c r="I4160" t="s">
        <v>393</v>
      </c>
      <c r="J4160" t="s">
        <v>60</v>
      </c>
      <c r="K4160" t="s">
        <v>388</v>
      </c>
      <c r="L4160" t="s">
        <v>62</v>
      </c>
      <c r="M4160" t="s">
        <v>388</v>
      </c>
      <c r="N4160" t="s">
        <v>394</v>
      </c>
      <c r="O4160" t="s">
        <v>395</v>
      </c>
      <c r="P4160">
        <v>-20.158066999999999</v>
      </c>
      <c r="Q4160">
        <v>-44.908164999999997</v>
      </c>
      <c r="R4160" s="2" t="str">
        <f>HYPERLINK("https://www.google.com/maps?q=-20.1580670,-44.9081650","Abrir no Google Maps")</f>
        <v>Abrir no Google Maps</v>
      </c>
      <c r="S4160">
        <v>3</v>
      </c>
      <c r="T4160">
        <v>666.74434317993041</v>
      </c>
      <c r="U4160">
        <v>4</v>
      </c>
      <c r="V4160">
        <v>0.31451332325350762</v>
      </c>
      <c r="W4160">
        <v>1</v>
      </c>
      <c r="X4160">
        <v>0.31451332325350762</v>
      </c>
      <c r="Y4160">
        <v>729</v>
      </c>
      <c r="Z4160">
        <v>612.4323328215396</v>
      </c>
      <c r="AA4160">
        <v>198</v>
      </c>
      <c r="AB4160">
        <v>332</v>
      </c>
      <c r="AC4160">
        <v>536</v>
      </c>
      <c r="AD4160">
        <v>29.32</v>
      </c>
      <c r="AE4160">
        <v>542</v>
      </c>
      <c r="AF4160">
        <v>27</v>
      </c>
      <c r="AG4160">
        <v>173</v>
      </c>
      <c r="AH4160">
        <v>129</v>
      </c>
      <c r="AI4160">
        <v>4.9800000000000004</v>
      </c>
      <c r="AJ4160">
        <v>31.92</v>
      </c>
      <c r="AK4160">
        <v>23.8</v>
      </c>
      <c r="AL4160">
        <v>-20.158151449999959</v>
      </c>
      <c r="AM4160">
        <v>-44.908107718360938</v>
      </c>
      <c r="AN4160">
        <v>-20.158151449999959</v>
      </c>
      <c r="AO4160">
        <v>-44.908107718360938</v>
      </c>
      <c r="AP4160">
        <v>-20.158066999999999</v>
      </c>
      <c r="AQ4160">
        <v>-44.908164999999997</v>
      </c>
      <c r="AR4160">
        <v>11.14497345894574</v>
      </c>
      <c r="AS4160" t="s">
        <v>65</v>
      </c>
      <c r="AT4160">
        <v>1</v>
      </c>
      <c r="AU4160" t="s">
        <v>396</v>
      </c>
      <c r="AV4160" t="s">
        <v>397</v>
      </c>
      <c r="AW4160" t="s">
        <v>60</v>
      </c>
      <c r="AX4160" t="s">
        <v>68</v>
      </c>
      <c r="AY4160" t="s">
        <v>69</v>
      </c>
      <c r="AZ4160" t="b">
        <v>1</v>
      </c>
    </row>
    <row r="4161" spans="1:52" x14ac:dyDescent="0.3">
      <c r="A4161" t="s">
        <v>52</v>
      </c>
      <c r="B4161" t="s">
        <v>53</v>
      </c>
      <c r="C4161" t="s">
        <v>54</v>
      </c>
      <c r="D4161" t="s">
        <v>55</v>
      </c>
      <c r="E4161" t="s">
        <v>2222</v>
      </c>
      <c r="F4161" t="s">
        <v>190</v>
      </c>
      <c r="G4161" t="s">
        <v>398</v>
      </c>
      <c r="H4161" t="s">
        <v>399</v>
      </c>
      <c r="I4161" t="s">
        <v>399</v>
      </c>
      <c r="J4161" t="s">
        <v>60</v>
      </c>
      <c r="K4161" t="s">
        <v>388</v>
      </c>
      <c r="L4161" t="s">
        <v>62</v>
      </c>
      <c r="M4161" t="s">
        <v>388</v>
      </c>
      <c r="N4161" t="s">
        <v>400</v>
      </c>
      <c r="O4161" t="s">
        <v>401</v>
      </c>
      <c r="P4161">
        <v>-20.160157000000002</v>
      </c>
      <c r="Q4161">
        <v>-44.904347999999999</v>
      </c>
      <c r="R4161" s="2" t="str">
        <f>HYPERLINK("https://www.google.com/maps?q=-20.1601570,-44.9043480","Abrir no Google Maps")</f>
        <v>Abrir no Google Maps</v>
      </c>
      <c r="S4161">
        <v>3</v>
      </c>
      <c r="T4161">
        <v>469.26088527154809</v>
      </c>
      <c r="U4161">
        <v>4</v>
      </c>
      <c r="V4161">
        <v>0.33401779986671898</v>
      </c>
      <c r="W4161">
        <v>1</v>
      </c>
      <c r="X4161">
        <v>0.33401779986671898</v>
      </c>
      <c r="Y4161">
        <v>729</v>
      </c>
      <c r="Z4161">
        <v>253.57832452309071</v>
      </c>
      <c r="AA4161">
        <v>198</v>
      </c>
      <c r="AB4161">
        <v>332</v>
      </c>
      <c r="AC4161">
        <v>536</v>
      </c>
      <c r="AD4161">
        <v>29.32</v>
      </c>
      <c r="AE4161">
        <v>542</v>
      </c>
      <c r="AF4161">
        <v>27</v>
      </c>
      <c r="AG4161">
        <v>173</v>
      </c>
      <c r="AH4161">
        <v>129</v>
      </c>
      <c r="AI4161">
        <v>4.9800000000000004</v>
      </c>
      <c r="AJ4161">
        <v>31.92</v>
      </c>
      <c r="AK4161">
        <v>23.8</v>
      </c>
      <c r="AL4161">
        <v>-20.160007949999969</v>
      </c>
      <c r="AM4161">
        <v>-44.904396608560482</v>
      </c>
      <c r="AN4161">
        <v>-20.160007949999969</v>
      </c>
      <c r="AO4161">
        <v>-44.904396608560482</v>
      </c>
      <c r="AP4161">
        <v>-20.160157000000002</v>
      </c>
      <c r="AQ4161">
        <v>-44.904347999999999</v>
      </c>
      <c r="AR4161">
        <v>17.35237255387942</v>
      </c>
      <c r="AS4161" t="s">
        <v>65</v>
      </c>
      <c r="AT4161">
        <v>1</v>
      </c>
      <c r="AU4161" t="s">
        <v>402</v>
      </c>
      <c r="AV4161" t="s">
        <v>403</v>
      </c>
      <c r="AW4161" t="s">
        <v>60</v>
      </c>
      <c r="AX4161" t="s">
        <v>68</v>
      </c>
      <c r="AY4161" t="s">
        <v>69</v>
      </c>
      <c r="AZ4161" t="b">
        <v>1</v>
      </c>
    </row>
    <row r="4162" spans="1:52" x14ac:dyDescent="0.3">
      <c r="A4162" t="s">
        <v>52</v>
      </c>
      <c r="B4162" t="s">
        <v>53</v>
      </c>
      <c r="C4162" t="s">
        <v>54</v>
      </c>
      <c r="D4162" t="s">
        <v>55</v>
      </c>
      <c r="E4162" t="s">
        <v>2222</v>
      </c>
      <c r="F4162" t="s">
        <v>190</v>
      </c>
      <c r="G4162" t="s">
        <v>404</v>
      </c>
      <c r="H4162" t="s">
        <v>405</v>
      </c>
      <c r="I4162" t="s">
        <v>405</v>
      </c>
      <c r="J4162" t="s">
        <v>60</v>
      </c>
      <c r="K4162" t="s">
        <v>388</v>
      </c>
      <c r="L4162" t="s">
        <v>62</v>
      </c>
      <c r="M4162" t="s">
        <v>388</v>
      </c>
      <c r="N4162" t="s">
        <v>406</v>
      </c>
      <c r="O4162" t="s">
        <v>407</v>
      </c>
      <c r="P4162">
        <v>-20.162780999999999</v>
      </c>
      <c r="Q4162">
        <v>-44.904437999999999</v>
      </c>
      <c r="R4162" s="2" t="str">
        <f>HYPERLINK("https://www.google.com/maps?q=-20.1627810,-44.9044380","Abrir no Google Maps")</f>
        <v>Abrir no Google Maps</v>
      </c>
      <c r="S4162">
        <v>3</v>
      </c>
      <c r="T4162">
        <v>681.0891377731482</v>
      </c>
      <c r="U4162">
        <v>4</v>
      </c>
      <c r="V4162">
        <v>0.34674498669341008</v>
      </c>
      <c r="W4162">
        <v>1</v>
      </c>
      <c r="X4162">
        <v>0.34674498669341008</v>
      </c>
      <c r="Y4162">
        <v>729</v>
      </c>
      <c r="Z4162">
        <v>564.17713687218622</v>
      </c>
      <c r="AA4162">
        <v>198</v>
      </c>
      <c r="AB4162">
        <v>332</v>
      </c>
      <c r="AC4162">
        <v>536</v>
      </c>
      <c r="AD4162">
        <v>29.32</v>
      </c>
      <c r="AE4162">
        <v>542</v>
      </c>
      <c r="AF4162">
        <v>27</v>
      </c>
      <c r="AG4162">
        <v>173</v>
      </c>
      <c r="AH4162">
        <v>129</v>
      </c>
      <c r="AI4162">
        <v>4.9800000000000004</v>
      </c>
      <c r="AJ4162">
        <v>31.92</v>
      </c>
      <c r="AK4162">
        <v>23.8</v>
      </c>
      <c r="AL4162">
        <v>-20.16295434999995</v>
      </c>
      <c r="AM4162">
        <v>-44.904242686956152</v>
      </c>
      <c r="AN4162">
        <v>-20.16295434999995</v>
      </c>
      <c r="AO4162">
        <v>-44.904242686956152</v>
      </c>
      <c r="AP4162">
        <v>-20.162780999999999</v>
      </c>
      <c r="AQ4162">
        <v>-44.904437999999999</v>
      </c>
      <c r="AR4162">
        <v>28.088191280523411</v>
      </c>
      <c r="AS4162" t="s">
        <v>65</v>
      </c>
      <c r="AT4162">
        <v>1</v>
      </c>
      <c r="AU4162" t="s">
        <v>408</v>
      </c>
      <c r="AV4162" t="s">
        <v>409</v>
      </c>
      <c r="AW4162" t="s">
        <v>60</v>
      </c>
      <c r="AX4162" t="s">
        <v>68</v>
      </c>
      <c r="AY4162" t="s">
        <v>69</v>
      </c>
      <c r="AZ4162" t="b">
        <v>1</v>
      </c>
    </row>
    <row r="4163" spans="1:52" x14ac:dyDescent="0.3">
      <c r="A4163" t="s">
        <v>52</v>
      </c>
      <c r="B4163" t="s">
        <v>53</v>
      </c>
      <c r="C4163" t="s">
        <v>54</v>
      </c>
      <c r="D4163" t="s">
        <v>55</v>
      </c>
      <c r="E4163" t="s">
        <v>2222</v>
      </c>
      <c r="F4163" t="s">
        <v>190</v>
      </c>
      <c r="G4163" t="s">
        <v>410</v>
      </c>
      <c r="H4163" t="s">
        <v>411</v>
      </c>
      <c r="I4163" t="s">
        <v>411</v>
      </c>
      <c r="J4163" t="s">
        <v>60</v>
      </c>
      <c r="K4163" t="s">
        <v>388</v>
      </c>
      <c r="L4163" t="s">
        <v>62</v>
      </c>
      <c r="M4163" t="s">
        <v>388</v>
      </c>
      <c r="N4163" t="s">
        <v>412</v>
      </c>
      <c r="O4163" t="s">
        <v>413</v>
      </c>
      <c r="P4163">
        <v>-20.161394000000001</v>
      </c>
      <c r="Q4163">
        <v>-44.906725999999999</v>
      </c>
      <c r="R4163" s="2" t="str">
        <f>HYPERLINK("https://www.google.com/maps?q=-20.1613940,-44.9067260","Abrir no Google Maps")</f>
        <v>Abrir no Google Maps</v>
      </c>
      <c r="S4163">
        <v>3</v>
      </c>
      <c r="T4163">
        <v>763.68157548493457</v>
      </c>
      <c r="U4163">
        <v>4</v>
      </c>
      <c r="V4163">
        <v>0.33398417801311142</v>
      </c>
      <c r="W4163">
        <v>1</v>
      </c>
      <c r="X4163">
        <v>0.33398417801311142</v>
      </c>
      <c r="Y4163">
        <v>729</v>
      </c>
      <c r="Z4163">
        <v>551.70379325948545</v>
      </c>
      <c r="AA4163">
        <v>198</v>
      </c>
      <c r="AB4163">
        <v>332</v>
      </c>
      <c r="AC4163">
        <v>536</v>
      </c>
      <c r="AD4163">
        <v>29.32</v>
      </c>
      <c r="AE4163">
        <v>542</v>
      </c>
      <c r="AF4163">
        <v>27</v>
      </c>
      <c r="AG4163">
        <v>173</v>
      </c>
      <c r="AH4163">
        <v>129</v>
      </c>
      <c r="AI4163">
        <v>4.9800000000000004</v>
      </c>
      <c r="AJ4163">
        <v>31.92</v>
      </c>
      <c r="AK4163">
        <v>23.8</v>
      </c>
      <c r="AL4163">
        <v>-20.161371049999929</v>
      </c>
      <c r="AM4163">
        <v>-44.906816797310228</v>
      </c>
      <c r="AN4163">
        <v>-20.161371049999929</v>
      </c>
      <c r="AO4163">
        <v>-44.906816797310228</v>
      </c>
      <c r="AP4163">
        <v>-20.161394000000001</v>
      </c>
      <c r="AQ4163">
        <v>-44.906725999999999</v>
      </c>
      <c r="AR4163">
        <v>9.8261555662022495</v>
      </c>
      <c r="AS4163" t="s">
        <v>65</v>
      </c>
      <c r="AT4163">
        <v>1</v>
      </c>
      <c r="AU4163" t="s">
        <v>414</v>
      </c>
      <c r="AV4163" t="s">
        <v>415</v>
      </c>
      <c r="AW4163" t="s">
        <v>60</v>
      </c>
      <c r="AX4163" t="s">
        <v>68</v>
      </c>
      <c r="AY4163" t="s">
        <v>69</v>
      </c>
      <c r="AZ4163" t="b">
        <v>1</v>
      </c>
    </row>
    <row r="4164" spans="1:52" x14ac:dyDescent="0.3">
      <c r="A4164" t="s">
        <v>52</v>
      </c>
      <c r="B4164" t="s">
        <v>53</v>
      </c>
      <c r="C4164" t="s">
        <v>54</v>
      </c>
      <c r="D4164" t="s">
        <v>55</v>
      </c>
      <c r="E4164" t="s">
        <v>2222</v>
      </c>
      <c r="F4164" t="s">
        <v>190</v>
      </c>
      <c r="G4164" t="s">
        <v>416</v>
      </c>
      <c r="H4164" t="s">
        <v>417</v>
      </c>
      <c r="I4164" t="s">
        <v>417</v>
      </c>
      <c r="J4164" t="s">
        <v>60</v>
      </c>
      <c r="K4164" t="s">
        <v>418</v>
      </c>
      <c r="L4164" t="s">
        <v>62</v>
      </c>
      <c r="M4164" t="s">
        <v>418</v>
      </c>
      <c r="N4164" t="s">
        <v>419</v>
      </c>
      <c r="O4164" t="s">
        <v>202</v>
      </c>
      <c r="P4164">
        <v>-20.169886000000002</v>
      </c>
      <c r="Q4164">
        <v>-44.913288000000001</v>
      </c>
      <c r="R4164" s="2" t="str">
        <f>HYPERLINK("https://www.google.com/maps?q=-20.1698860,-44.9132880","Abrir no Google Maps")</f>
        <v>Abrir no Google Maps</v>
      </c>
      <c r="S4164">
        <v>3</v>
      </c>
      <c r="T4164">
        <v>422.88733632898152</v>
      </c>
      <c r="U4164">
        <v>4</v>
      </c>
      <c r="V4164">
        <v>0.35912389427406111</v>
      </c>
      <c r="W4164">
        <v>1</v>
      </c>
      <c r="X4164">
        <v>0.35912389427406111</v>
      </c>
      <c r="Y4164">
        <v>723</v>
      </c>
      <c r="Z4164">
        <v>128.65003864232261</v>
      </c>
      <c r="AA4164">
        <v>198</v>
      </c>
      <c r="AB4164">
        <v>332</v>
      </c>
      <c r="AC4164">
        <v>536</v>
      </c>
      <c r="AD4164">
        <v>29.32</v>
      </c>
      <c r="AE4164">
        <v>542</v>
      </c>
      <c r="AF4164">
        <v>27</v>
      </c>
      <c r="AG4164">
        <v>173</v>
      </c>
      <c r="AH4164">
        <v>129</v>
      </c>
      <c r="AI4164">
        <v>4.9800000000000004</v>
      </c>
      <c r="AJ4164">
        <v>31.92</v>
      </c>
      <c r="AK4164">
        <v>23.8</v>
      </c>
      <c r="AL4164">
        <v>-20.16970024999998</v>
      </c>
      <c r="AM4164">
        <v>-44.913502201257437</v>
      </c>
      <c r="AN4164">
        <v>-20.16970024999998</v>
      </c>
      <c r="AO4164">
        <v>-44.913502201257437</v>
      </c>
      <c r="AP4164">
        <v>-20.169886000000002</v>
      </c>
      <c r="AQ4164">
        <v>-44.913288000000001</v>
      </c>
      <c r="AR4164">
        <v>30.47208587597606</v>
      </c>
      <c r="AS4164" t="s">
        <v>65</v>
      </c>
      <c r="AT4164">
        <v>1</v>
      </c>
      <c r="AU4164" t="s">
        <v>420</v>
      </c>
      <c r="AV4164" t="s">
        <v>421</v>
      </c>
      <c r="AW4164" t="s">
        <v>60</v>
      </c>
      <c r="AX4164" t="s">
        <v>68</v>
      </c>
      <c r="AY4164" t="s">
        <v>69</v>
      </c>
      <c r="AZ4164" t="b">
        <v>1</v>
      </c>
    </row>
    <row r="4165" spans="1:52" x14ac:dyDescent="0.3">
      <c r="A4165" t="s">
        <v>52</v>
      </c>
      <c r="B4165" t="s">
        <v>53</v>
      </c>
      <c r="C4165" t="s">
        <v>54</v>
      </c>
      <c r="D4165" t="s">
        <v>55</v>
      </c>
      <c r="E4165" t="s">
        <v>2222</v>
      </c>
      <c r="F4165" t="s">
        <v>190</v>
      </c>
      <c r="G4165" t="s">
        <v>422</v>
      </c>
      <c r="H4165" t="s">
        <v>423</v>
      </c>
      <c r="I4165" t="s">
        <v>423</v>
      </c>
      <c r="J4165" t="s">
        <v>60</v>
      </c>
      <c r="K4165" t="s">
        <v>424</v>
      </c>
      <c r="L4165" t="s">
        <v>62</v>
      </c>
      <c r="M4165" t="s">
        <v>424</v>
      </c>
      <c r="N4165" t="s">
        <v>425</v>
      </c>
      <c r="O4165" t="s">
        <v>426</v>
      </c>
      <c r="P4165">
        <v>-20.177748000000001</v>
      </c>
      <c r="Q4165">
        <v>-44.912475000000001</v>
      </c>
      <c r="R4165" s="2" t="str">
        <f>HYPERLINK("https://www.google.com/maps?q=-20.1777480,-44.9124750","Abrir no Google Maps")</f>
        <v>Abrir no Google Maps</v>
      </c>
      <c r="S4165">
        <v>3</v>
      </c>
      <c r="T4165">
        <v>657.07560140436533</v>
      </c>
      <c r="U4165">
        <v>4</v>
      </c>
      <c r="V4165">
        <v>0.31784310589649267</v>
      </c>
      <c r="W4165">
        <v>1</v>
      </c>
      <c r="X4165">
        <v>0.31784310589649267</v>
      </c>
      <c r="Y4165">
        <v>723</v>
      </c>
      <c r="Z4165">
        <v>796.94198000561175</v>
      </c>
      <c r="AA4165">
        <v>198</v>
      </c>
      <c r="AB4165">
        <v>332</v>
      </c>
      <c r="AC4165">
        <v>536</v>
      </c>
      <c r="AD4165">
        <v>29.32</v>
      </c>
      <c r="AE4165">
        <v>542</v>
      </c>
      <c r="AF4165">
        <v>27</v>
      </c>
      <c r="AG4165">
        <v>173</v>
      </c>
      <c r="AH4165">
        <v>129</v>
      </c>
      <c r="AI4165">
        <v>4.9800000000000004</v>
      </c>
      <c r="AJ4165">
        <v>31.92</v>
      </c>
      <c r="AK4165">
        <v>23.8</v>
      </c>
      <c r="AL4165">
        <v>-20.177761749999949</v>
      </c>
      <c r="AM4165">
        <v>-44.91263311624418</v>
      </c>
      <c r="AN4165">
        <v>-20.177761749999949</v>
      </c>
      <c r="AO4165">
        <v>-44.91263311624418</v>
      </c>
      <c r="AP4165">
        <v>-20.177748000000001</v>
      </c>
      <c r="AQ4165">
        <v>-44.912475000000001</v>
      </c>
      <c r="AR4165">
        <v>16.591996803075372</v>
      </c>
      <c r="AS4165" t="s">
        <v>65</v>
      </c>
      <c r="AT4165">
        <v>1</v>
      </c>
      <c r="AU4165" t="s">
        <v>427</v>
      </c>
      <c r="AV4165" t="s">
        <v>428</v>
      </c>
      <c r="AW4165" t="s">
        <v>60</v>
      </c>
      <c r="AX4165" t="s">
        <v>68</v>
      </c>
      <c r="AY4165" t="s">
        <v>69</v>
      </c>
      <c r="AZ4165" t="b">
        <v>1</v>
      </c>
    </row>
    <row r="4166" spans="1:52" x14ac:dyDescent="0.3">
      <c r="A4166" t="s">
        <v>52</v>
      </c>
      <c r="B4166" t="s">
        <v>53</v>
      </c>
      <c r="C4166" t="s">
        <v>54</v>
      </c>
      <c r="D4166" t="s">
        <v>55</v>
      </c>
      <c r="E4166" t="s">
        <v>2222</v>
      </c>
      <c r="F4166" t="s">
        <v>190</v>
      </c>
      <c r="G4166" t="s">
        <v>429</v>
      </c>
      <c r="H4166" t="s">
        <v>430</v>
      </c>
      <c r="I4166" t="s">
        <v>430</v>
      </c>
      <c r="J4166" t="s">
        <v>60</v>
      </c>
      <c r="K4166" t="s">
        <v>431</v>
      </c>
      <c r="L4166" t="s">
        <v>62</v>
      </c>
      <c r="M4166" t="s">
        <v>431</v>
      </c>
      <c r="N4166" t="s">
        <v>432</v>
      </c>
      <c r="O4166" t="s">
        <v>315</v>
      </c>
      <c r="P4166">
        <v>-20.172698</v>
      </c>
      <c r="Q4166">
        <v>-44.923842</v>
      </c>
      <c r="R4166" s="2" t="str">
        <f>HYPERLINK("https://www.google.com/maps?q=-20.1726980,-44.9238420","Abrir no Google Maps")</f>
        <v>Abrir no Google Maps</v>
      </c>
      <c r="S4166">
        <v>3</v>
      </c>
      <c r="T4166">
        <v>1376.1843173402931</v>
      </c>
      <c r="U4166">
        <v>4</v>
      </c>
      <c r="V4166">
        <v>0.39866234130321598</v>
      </c>
      <c r="W4166">
        <v>0.85</v>
      </c>
      <c r="X4166">
        <v>0.33886299010773357</v>
      </c>
      <c r="Y4166">
        <v>723</v>
      </c>
      <c r="Z4166">
        <v>1101.340635002096</v>
      </c>
      <c r="AA4166">
        <v>198</v>
      </c>
      <c r="AB4166">
        <v>332</v>
      </c>
      <c r="AC4166">
        <v>536</v>
      </c>
      <c r="AD4166">
        <v>29.32</v>
      </c>
      <c r="AE4166">
        <v>542</v>
      </c>
      <c r="AF4166">
        <v>27</v>
      </c>
      <c r="AG4166">
        <v>173</v>
      </c>
      <c r="AH4166">
        <v>129</v>
      </c>
      <c r="AI4166">
        <v>4.9800000000000004</v>
      </c>
      <c r="AJ4166">
        <v>31.92</v>
      </c>
      <c r="AK4166">
        <v>23.8</v>
      </c>
      <c r="AL4166">
        <v>-20.172942799999959</v>
      </c>
      <c r="AM4166">
        <v>-44.923585372665762</v>
      </c>
      <c r="AN4166">
        <v>-20.172942799999959</v>
      </c>
      <c r="AO4166">
        <v>-44.923585372665762</v>
      </c>
      <c r="AP4166">
        <v>-20.172698</v>
      </c>
      <c r="AQ4166">
        <v>-44.923842</v>
      </c>
      <c r="AR4166">
        <v>38.231981408478958</v>
      </c>
      <c r="AS4166" t="s">
        <v>65</v>
      </c>
      <c r="AT4166">
        <v>1</v>
      </c>
      <c r="AU4166" t="s">
        <v>433</v>
      </c>
      <c r="AV4166" t="s">
        <v>434</v>
      </c>
      <c r="AW4166" t="s">
        <v>60</v>
      </c>
      <c r="AX4166" t="s">
        <v>68</v>
      </c>
      <c r="AY4166" t="s">
        <v>69</v>
      </c>
      <c r="AZ4166" t="b">
        <v>1</v>
      </c>
    </row>
    <row r="4167" spans="1:52" x14ac:dyDescent="0.3">
      <c r="A4167" t="s">
        <v>52</v>
      </c>
      <c r="B4167" t="s">
        <v>53</v>
      </c>
      <c r="C4167" t="s">
        <v>54</v>
      </c>
      <c r="D4167" t="s">
        <v>55</v>
      </c>
      <c r="E4167" t="s">
        <v>2222</v>
      </c>
      <c r="F4167" t="s">
        <v>190</v>
      </c>
      <c r="G4167" t="s">
        <v>435</v>
      </c>
      <c r="H4167" t="s">
        <v>436</v>
      </c>
      <c r="I4167" t="s">
        <v>436</v>
      </c>
      <c r="J4167" t="s">
        <v>60</v>
      </c>
      <c r="K4167" t="s">
        <v>437</v>
      </c>
      <c r="L4167" t="s">
        <v>62</v>
      </c>
      <c r="M4167" t="s">
        <v>437</v>
      </c>
      <c r="N4167" t="s">
        <v>438</v>
      </c>
      <c r="O4167" t="s">
        <v>439</v>
      </c>
      <c r="P4167">
        <v>-20.145613000000001</v>
      </c>
      <c r="Q4167">
        <v>-44.882375000000003</v>
      </c>
      <c r="R4167" s="2" t="str">
        <f>HYPERLINK("https://www.google.com/maps?q=-20.1456130,-44.8823750","Abrir no Google Maps")</f>
        <v>Abrir no Google Maps</v>
      </c>
      <c r="S4167">
        <v>3</v>
      </c>
      <c r="T4167">
        <v>305.65092112314198</v>
      </c>
      <c r="U4167">
        <v>4</v>
      </c>
      <c r="V4167">
        <v>0.32851010956737831</v>
      </c>
      <c r="W4167">
        <v>1</v>
      </c>
      <c r="X4167">
        <v>0.32851010956737831</v>
      </c>
      <c r="Y4167">
        <v>653</v>
      </c>
      <c r="Z4167">
        <v>349.55297035282501</v>
      </c>
      <c r="AA4167">
        <v>198</v>
      </c>
      <c r="AB4167">
        <v>332</v>
      </c>
      <c r="AC4167">
        <v>536</v>
      </c>
      <c r="AD4167">
        <v>29.32</v>
      </c>
      <c r="AE4167">
        <v>542</v>
      </c>
      <c r="AF4167">
        <v>27</v>
      </c>
      <c r="AG4167">
        <v>173</v>
      </c>
      <c r="AH4167">
        <v>129</v>
      </c>
      <c r="AI4167">
        <v>4.9800000000000004</v>
      </c>
      <c r="AJ4167">
        <v>31.92</v>
      </c>
      <c r="AK4167">
        <v>23.8</v>
      </c>
      <c r="AL4167">
        <v>-20.14550464999996</v>
      </c>
      <c r="AM4167">
        <v>-44.882157007077737</v>
      </c>
      <c r="AN4167">
        <v>-20.14550464999996</v>
      </c>
      <c r="AO4167">
        <v>-44.882157007077737</v>
      </c>
      <c r="AP4167">
        <v>-20.145613000000001</v>
      </c>
      <c r="AQ4167">
        <v>-44.882375000000003</v>
      </c>
      <c r="AR4167">
        <v>25.77819791856259</v>
      </c>
      <c r="AS4167" t="s">
        <v>65</v>
      </c>
      <c r="AT4167">
        <v>1</v>
      </c>
      <c r="AU4167" t="s">
        <v>440</v>
      </c>
      <c r="AV4167" t="s">
        <v>441</v>
      </c>
      <c r="AW4167" t="s">
        <v>60</v>
      </c>
      <c r="AX4167" t="s">
        <v>68</v>
      </c>
      <c r="AY4167" t="s">
        <v>69</v>
      </c>
      <c r="AZ4167" t="b">
        <v>1</v>
      </c>
    </row>
    <row r="4168" spans="1:52" x14ac:dyDescent="0.3">
      <c r="A4168" t="s">
        <v>52</v>
      </c>
      <c r="B4168" t="s">
        <v>53</v>
      </c>
      <c r="C4168" t="s">
        <v>54</v>
      </c>
      <c r="D4168" t="s">
        <v>55</v>
      </c>
      <c r="E4168" t="s">
        <v>2222</v>
      </c>
      <c r="F4168" t="s">
        <v>190</v>
      </c>
      <c r="G4168" t="s">
        <v>442</v>
      </c>
      <c r="H4168" t="s">
        <v>443</v>
      </c>
      <c r="I4168" t="s">
        <v>443</v>
      </c>
      <c r="J4168" t="s">
        <v>60</v>
      </c>
      <c r="K4168" t="s">
        <v>437</v>
      </c>
      <c r="L4168" t="s">
        <v>62</v>
      </c>
      <c r="M4168" t="s">
        <v>437</v>
      </c>
      <c r="N4168" t="s">
        <v>444</v>
      </c>
      <c r="O4168" t="s">
        <v>445</v>
      </c>
      <c r="P4168">
        <v>-20.149744999999999</v>
      </c>
      <c r="Q4168">
        <v>-44.881385000000002</v>
      </c>
      <c r="R4168" s="2" t="str">
        <f>HYPERLINK("https://www.google.com/maps?q=-20.1497450,-44.8813850","Abrir no Google Maps")</f>
        <v>Abrir no Google Maps</v>
      </c>
      <c r="S4168">
        <v>3</v>
      </c>
      <c r="T4168">
        <v>188.80690546111239</v>
      </c>
      <c r="U4168">
        <v>4</v>
      </c>
      <c r="V4168">
        <v>0.34581785440072199</v>
      </c>
      <c r="W4168">
        <v>1</v>
      </c>
      <c r="X4168">
        <v>0.34581785440072199</v>
      </c>
      <c r="Y4168">
        <v>653</v>
      </c>
      <c r="Z4168">
        <v>86.575080390731017</v>
      </c>
      <c r="AA4168">
        <v>198</v>
      </c>
      <c r="AB4168">
        <v>332</v>
      </c>
      <c r="AC4168">
        <v>536</v>
      </c>
      <c r="AD4168">
        <v>29.32</v>
      </c>
      <c r="AE4168">
        <v>542</v>
      </c>
      <c r="AF4168">
        <v>27</v>
      </c>
      <c r="AG4168">
        <v>173</v>
      </c>
      <c r="AH4168">
        <v>129</v>
      </c>
      <c r="AI4168">
        <v>4.9800000000000004</v>
      </c>
      <c r="AJ4168">
        <v>31.92</v>
      </c>
      <c r="AK4168">
        <v>23.8</v>
      </c>
      <c r="AL4168">
        <v>-20.149645149999941</v>
      </c>
      <c r="AM4168">
        <v>-44.881504585149607</v>
      </c>
      <c r="AN4168">
        <v>-20.149645149999941</v>
      </c>
      <c r="AO4168">
        <v>-44.881504585149607</v>
      </c>
      <c r="AP4168">
        <v>-20.149744999999999</v>
      </c>
      <c r="AQ4168">
        <v>-44.881385000000002</v>
      </c>
      <c r="AR4168">
        <v>16.725323110840389</v>
      </c>
      <c r="AS4168" t="s">
        <v>65</v>
      </c>
      <c r="AT4168">
        <v>1</v>
      </c>
      <c r="AU4168" t="s">
        <v>446</v>
      </c>
      <c r="AV4168" t="s">
        <v>447</v>
      </c>
      <c r="AW4168" t="s">
        <v>60</v>
      </c>
      <c r="AX4168" t="s">
        <v>68</v>
      </c>
      <c r="AY4168" t="s">
        <v>69</v>
      </c>
      <c r="AZ4168" t="b">
        <v>1</v>
      </c>
    </row>
    <row r="4169" spans="1:52" x14ac:dyDescent="0.3">
      <c r="A4169" t="s">
        <v>52</v>
      </c>
      <c r="B4169" t="s">
        <v>53</v>
      </c>
      <c r="C4169" t="s">
        <v>54</v>
      </c>
      <c r="D4169" t="s">
        <v>55</v>
      </c>
      <c r="E4169" t="s">
        <v>2222</v>
      </c>
      <c r="F4169" t="s">
        <v>190</v>
      </c>
      <c r="G4169" t="s">
        <v>448</v>
      </c>
      <c r="H4169" t="s">
        <v>449</v>
      </c>
      <c r="I4169" t="s">
        <v>449</v>
      </c>
      <c r="J4169" t="s">
        <v>60</v>
      </c>
      <c r="K4169" t="s">
        <v>388</v>
      </c>
      <c r="L4169" t="s">
        <v>62</v>
      </c>
      <c r="M4169" t="s">
        <v>388</v>
      </c>
      <c r="N4169" t="s">
        <v>450</v>
      </c>
      <c r="O4169" t="s">
        <v>451</v>
      </c>
      <c r="P4169">
        <v>-20.163981</v>
      </c>
      <c r="Q4169">
        <v>-44.907128999999998</v>
      </c>
      <c r="R4169" s="2" t="str">
        <f>HYPERLINK("https://www.google.com/maps?q=-20.1639810,-44.9071290","Abrir no Google Maps")</f>
        <v>Abrir no Google Maps</v>
      </c>
      <c r="S4169">
        <v>3</v>
      </c>
      <c r="T4169">
        <v>782.50730806588319</v>
      </c>
      <c r="U4169">
        <v>4</v>
      </c>
      <c r="V4169">
        <v>0.3459574351379518</v>
      </c>
      <c r="W4169">
        <v>1</v>
      </c>
      <c r="X4169">
        <v>0.3459574351379518</v>
      </c>
      <c r="Y4169">
        <v>639</v>
      </c>
      <c r="Z4169">
        <v>710.90621453796166</v>
      </c>
      <c r="AA4169">
        <v>198</v>
      </c>
      <c r="AB4169">
        <v>332</v>
      </c>
      <c r="AC4169">
        <v>536</v>
      </c>
      <c r="AD4169">
        <v>29.32</v>
      </c>
      <c r="AE4169">
        <v>542</v>
      </c>
      <c r="AF4169">
        <v>27</v>
      </c>
      <c r="AG4169">
        <v>173</v>
      </c>
      <c r="AH4169">
        <v>129</v>
      </c>
      <c r="AI4169">
        <v>4.9800000000000004</v>
      </c>
      <c r="AJ4169">
        <v>31.92</v>
      </c>
      <c r="AK4169">
        <v>23.8</v>
      </c>
      <c r="AL4169">
        <v>-20.163958349999969</v>
      </c>
      <c r="AM4169">
        <v>-44.907180923930973</v>
      </c>
      <c r="AN4169">
        <v>-20.163958349999969</v>
      </c>
      <c r="AO4169">
        <v>-44.907180923930973</v>
      </c>
      <c r="AP4169">
        <v>-20.163981</v>
      </c>
      <c r="AQ4169">
        <v>-44.907128999999998</v>
      </c>
      <c r="AR4169">
        <v>5.9831345092457884</v>
      </c>
      <c r="AS4169" t="s">
        <v>65</v>
      </c>
      <c r="AT4169">
        <v>1</v>
      </c>
      <c r="AU4169" t="s">
        <v>452</v>
      </c>
      <c r="AV4169" t="s">
        <v>453</v>
      </c>
      <c r="AW4169" t="s">
        <v>60</v>
      </c>
      <c r="AX4169" t="s">
        <v>68</v>
      </c>
      <c r="AY4169" t="s">
        <v>69</v>
      </c>
      <c r="AZ4169" t="b">
        <v>1</v>
      </c>
    </row>
    <row r="4170" spans="1:52" x14ac:dyDescent="0.3">
      <c r="A4170" t="s">
        <v>52</v>
      </c>
      <c r="B4170" t="s">
        <v>53</v>
      </c>
      <c r="C4170" t="s">
        <v>54</v>
      </c>
      <c r="D4170" t="s">
        <v>55</v>
      </c>
      <c r="E4170" t="s">
        <v>2222</v>
      </c>
      <c r="F4170" t="s">
        <v>190</v>
      </c>
      <c r="G4170" t="s">
        <v>454</v>
      </c>
      <c r="H4170" t="s">
        <v>455</v>
      </c>
      <c r="I4170" t="s">
        <v>455</v>
      </c>
      <c r="J4170" t="s">
        <v>60</v>
      </c>
      <c r="K4170" t="s">
        <v>456</v>
      </c>
      <c r="L4170" t="s">
        <v>62</v>
      </c>
      <c r="M4170" t="s">
        <v>456</v>
      </c>
      <c r="N4170" t="s">
        <v>102</v>
      </c>
      <c r="O4170" t="s">
        <v>457</v>
      </c>
      <c r="P4170">
        <v>-20.138373999999999</v>
      </c>
      <c r="Q4170">
        <v>-44.903756999999999</v>
      </c>
      <c r="R4170" s="2" t="str">
        <f>HYPERLINK("https://www.google.com/maps?q=-20.1383740,-44.9037570","Abrir no Google Maps")</f>
        <v>Abrir no Google Maps</v>
      </c>
      <c r="S4170">
        <v>3</v>
      </c>
      <c r="T4170">
        <v>357.59466273594461</v>
      </c>
      <c r="U4170">
        <v>4</v>
      </c>
      <c r="V4170">
        <v>0.3302910052910053</v>
      </c>
      <c r="W4170">
        <v>1</v>
      </c>
      <c r="X4170">
        <v>0.3302910052910053</v>
      </c>
      <c r="Y4170">
        <v>581</v>
      </c>
      <c r="Z4170">
        <v>406.92482694505992</v>
      </c>
      <c r="AA4170">
        <v>198</v>
      </c>
      <c r="AB4170">
        <v>332</v>
      </c>
      <c r="AC4170">
        <v>536</v>
      </c>
      <c r="AD4170">
        <v>29.32</v>
      </c>
      <c r="AE4170">
        <v>542</v>
      </c>
      <c r="AF4170">
        <v>27</v>
      </c>
      <c r="AG4170">
        <v>173</v>
      </c>
      <c r="AH4170">
        <v>129</v>
      </c>
      <c r="AI4170">
        <v>4.9800000000000004</v>
      </c>
      <c r="AJ4170">
        <v>31.92</v>
      </c>
      <c r="AK4170">
        <v>23.8</v>
      </c>
      <c r="AL4170">
        <v>-20.138338199999961</v>
      </c>
      <c r="AM4170">
        <v>-44.903768618976301</v>
      </c>
      <c r="AN4170">
        <v>-20.138338199999961</v>
      </c>
      <c r="AO4170">
        <v>-44.903768618976301</v>
      </c>
      <c r="AP4170">
        <v>-20.138373999999999</v>
      </c>
      <c r="AQ4170">
        <v>-44.903756999999999</v>
      </c>
      <c r="AR4170">
        <v>4.1661625938922704</v>
      </c>
      <c r="AS4170" t="s">
        <v>65</v>
      </c>
      <c r="AT4170">
        <v>1</v>
      </c>
      <c r="AU4170" t="s">
        <v>458</v>
      </c>
      <c r="AV4170" t="s">
        <v>459</v>
      </c>
      <c r="AW4170" t="s">
        <v>60</v>
      </c>
      <c r="AX4170" t="s">
        <v>68</v>
      </c>
      <c r="AY4170" t="s">
        <v>69</v>
      </c>
      <c r="AZ4170" t="b">
        <v>1</v>
      </c>
    </row>
    <row r="4171" spans="1:52" x14ac:dyDescent="0.3">
      <c r="A4171" t="s">
        <v>52</v>
      </c>
      <c r="B4171" t="s">
        <v>53</v>
      </c>
      <c r="C4171" t="s">
        <v>54</v>
      </c>
      <c r="D4171" t="s">
        <v>55</v>
      </c>
      <c r="E4171" t="s">
        <v>2222</v>
      </c>
      <c r="F4171" t="s">
        <v>190</v>
      </c>
      <c r="G4171" t="s">
        <v>460</v>
      </c>
      <c r="H4171" t="s">
        <v>461</v>
      </c>
      <c r="I4171" t="s">
        <v>461</v>
      </c>
      <c r="J4171" t="s">
        <v>60</v>
      </c>
      <c r="K4171" t="s">
        <v>462</v>
      </c>
      <c r="L4171" t="s">
        <v>62</v>
      </c>
      <c r="M4171" t="s">
        <v>462</v>
      </c>
      <c r="N4171" t="s">
        <v>463</v>
      </c>
      <c r="O4171" t="s">
        <v>464</v>
      </c>
      <c r="P4171">
        <v>-20.137919</v>
      </c>
      <c r="Q4171">
        <v>-44.905591000000001</v>
      </c>
      <c r="R4171" s="2" t="str">
        <f>HYPERLINK("https://www.google.com/maps?q=-20.1379190,-44.9055910","Abrir no Google Maps")</f>
        <v>Abrir no Google Maps</v>
      </c>
      <c r="S4171">
        <v>3</v>
      </c>
      <c r="T4171">
        <v>262.01115919461103</v>
      </c>
      <c r="U4171">
        <v>4</v>
      </c>
      <c r="V4171">
        <v>0.35349361088273112</v>
      </c>
      <c r="W4171">
        <v>1</v>
      </c>
      <c r="X4171">
        <v>0.35349361088273112</v>
      </c>
      <c r="Y4171">
        <v>581</v>
      </c>
      <c r="Z4171">
        <v>318.63337303219271</v>
      </c>
      <c r="AA4171">
        <v>198</v>
      </c>
      <c r="AB4171">
        <v>332</v>
      </c>
      <c r="AC4171">
        <v>536</v>
      </c>
      <c r="AD4171">
        <v>29.32</v>
      </c>
      <c r="AE4171">
        <v>542</v>
      </c>
      <c r="AF4171">
        <v>27</v>
      </c>
      <c r="AG4171">
        <v>173</v>
      </c>
      <c r="AH4171">
        <v>129</v>
      </c>
      <c r="AI4171">
        <v>4.9800000000000004</v>
      </c>
      <c r="AJ4171">
        <v>31.92</v>
      </c>
      <c r="AK4171">
        <v>23.8</v>
      </c>
      <c r="AL4171">
        <v>-20.13789079999998</v>
      </c>
      <c r="AM4171">
        <v>-44.90548593520333</v>
      </c>
      <c r="AN4171">
        <v>-20.13789079999998</v>
      </c>
      <c r="AO4171">
        <v>-44.90548593520333</v>
      </c>
      <c r="AP4171">
        <v>-20.137919</v>
      </c>
      <c r="AQ4171">
        <v>-44.905591000000001</v>
      </c>
      <c r="AR4171">
        <v>11.42072348298178</v>
      </c>
      <c r="AS4171" t="s">
        <v>65</v>
      </c>
      <c r="AT4171">
        <v>1</v>
      </c>
      <c r="AU4171" t="s">
        <v>465</v>
      </c>
      <c r="AV4171" t="s">
        <v>466</v>
      </c>
      <c r="AW4171" t="s">
        <v>60</v>
      </c>
      <c r="AX4171" t="s">
        <v>68</v>
      </c>
      <c r="AY4171" t="s">
        <v>69</v>
      </c>
      <c r="AZ4171" t="b">
        <v>1</v>
      </c>
    </row>
    <row r="4172" spans="1:52" x14ac:dyDescent="0.3">
      <c r="A4172" t="s">
        <v>52</v>
      </c>
      <c r="B4172" t="s">
        <v>53</v>
      </c>
      <c r="C4172" t="s">
        <v>54</v>
      </c>
      <c r="D4172" t="s">
        <v>55</v>
      </c>
      <c r="E4172" t="s">
        <v>2222</v>
      </c>
      <c r="F4172" t="s">
        <v>190</v>
      </c>
      <c r="G4172" t="s">
        <v>467</v>
      </c>
      <c r="H4172" t="s">
        <v>468</v>
      </c>
      <c r="I4172" t="s">
        <v>468</v>
      </c>
      <c r="J4172" t="s">
        <v>60</v>
      </c>
      <c r="K4172" t="s">
        <v>462</v>
      </c>
      <c r="L4172" t="s">
        <v>62</v>
      </c>
      <c r="M4172" t="s">
        <v>462</v>
      </c>
      <c r="N4172" t="s">
        <v>469</v>
      </c>
      <c r="O4172" t="s">
        <v>470</v>
      </c>
      <c r="P4172">
        <v>-20.138233</v>
      </c>
      <c r="Q4172">
        <v>-44.908200000000001</v>
      </c>
      <c r="R4172" s="2" t="str">
        <f>HYPERLINK("https://www.google.com/maps?q=-20.1382330,-44.9082000","Abrir no Google Maps")</f>
        <v>Abrir no Google Maps</v>
      </c>
      <c r="S4172">
        <v>3</v>
      </c>
      <c r="T4172">
        <v>0</v>
      </c>
      <c r="U4172">
        <v>4</v>
      </c>
      <c r="V4172">
        <v>0.36138772835258459</v>
      </c>
      <c r="W4172">
        <v>1</v>
      </c>
      <c r="X4172">
        <v>0.36138772835258459</v>
      </c>
      <c r="Y4172">
        <v>581</v>
      </c>
      <c r="Z4172">
        <v>153.18688302958171</v>
      </c>
      <c r="AA4172">
        <v>198</v>
      </c>
      <c r="AB4172">
        <v>332</v>
      </c>
      <c r="AC4172">
        <v>536</v>
      </c>
      <c r="AD4172">
        <v>29.32</v>
      </c>
      <c r="AE4172">
        <v>542</v>
      </c>
      <c r="AF4172">
        <v>27</v>
      </c>
      <c r="AG4172">
        <v>173</v>
      </c>
      <c r="AH4172">
        <v>129</v>
      </c>
      <c r="AI4172">
        <v>4.9800000000000004</v>
      </c>
      <c r="AJ4172">
        <v>31.92</v>
      </c>
      <c r="AK4172">
        <v>23.8</v>
      </c>
      <c r="AL4172">
        <v>-20.138364899999971</v>
      </c>
      <c r="AM4172">
        <v>-44.907942114873997</v>
      </c>
      <c r="AN4172">
        <v>-20.138364899999971</v>
      </c>
      <c r="AO4172">
        <v>-44.907942114873997</v>
      </c>
      <c r="AP4172">
        <v>-20.138233</v>
      </c>
      <c r="AQ4172">
        <v>-44.908200000000001</v>
      </c>
      <c r="AR4172">
        <v>30.692690617986941</v>
      </c>
      <c r="AS4172" t="s">
        <v>65</v>
      </c>
      <c r="AT4172">
        <v>1</v>
      </c>
      <c r="AU4172" t="s">
        <v>471</v>
      </c>
      <c r="AV4172" t="s">
        <v>472</v>
      </c>
      <c r="AW4172" t="s">
        <v>60</v>
      </c>
      <c r="AX4172" t="s">
        <v>68</v>
      </c>
      <c r="AY4172" t="s">
        <v>69</v>
      </c>
      <c r="AZ4172" t="b">
        <v>1</v>
      </c>
    </row>
    <row r="4173" spans="1:52" x14ac:dyDescent="0.3">
      <c r="A4173" t="s">
        <v>52</v>
      </c>
      <c r="B4173" t="s">
        <v>53</v>
      </c>
      <c r="C4173" t="s">
        <v>54</v>
      </c>
      <c r="D4173" t="s">
        <v>55</v>
      </c>
      <c r="E4173" t="s">
        <v>2222</v>
      </c>
      <c r="F4173" t="s">
        <v>190</v>
      </c>
      <c r="G4173" t="s">
        <v>479</v>
      </c>
      <c r="H4173" t="s">
        <v>480</v>
      </c>
      <c r="I4173" t="s">
        <v>480</v>
      </c>
      <c r="J4173" t="s">
        <v>60</v>
      </c>
      <c r="K4173" t="s">
        <v>388</v>
      </c>
      <c r="L4173" t="s">
        <v>62</v>
      </c>
      <c r="M4173" t="s">
        <v>388</v>
      </c>
      <c r="N4173" t="s">
        <v>481</v>
      </c>
      <c r="O4173" t="s">
        <v>315</v>
      </c>
      <c r="P4173">
        <v>-20.166903999999999</v>
      </c>
      <c r="Q4173">
        <v>-44.903492</v>
      </c>
      <c r="R4173" s="2" t="str">
        <f>HYPERLINK("https://www.google.com/maps?q=-20.1669040,-44.9034920","Abrir no Google Maps")</f>
        <v>Abrir no Google Maps</v>
      </c>
      <c r="S4173">
        <v>3</v>
      </c>
      <c r="T4173">
        <v>517.12253532511602</v>
      </c>
      <c r="U4173">
        <v>4</v>
      </c>
      <c r="V4173">
        <v>0.321281665743403</v>
      </c>
      <c r="W4173">
        <v>1</v>
      </c>
      <c r="X4173">
        <v>0.321281665743403</v>
      </c>
      <c r="Y4173">
        <v>578</v>
      </c>
      <c r="Z4173">
        <v>721.79551240050432</v>
      </c>
      <c r="AA4173">
        <v>198</v>
      </c>
      <c r="AB4173">
        <v>332</v>
      </c>
      <c r="AC4173">
        <v>536</v>
      </c>
      <c r="AD4173">
        <v>29.32</v>
      </c>
      <c r="AE4173">
        <v>542</v>
      </c>
      <c r="AF4173">
        <v>27</v>
      </c>
      <c r="AG4173">
        <v>173</v>
      </c>
      <c r="AH4173">
        <v>129</v>
      </c>
      <c r="AI4173">
        <v>4.9800000000000004</v>
      </c>
      <c r="AJ4173">
        <v>31.92</v>
      </c>
      <c r="AK4173">
        <v>23.8</v>
      </c>
      <c r="AL4173">
        <v>-20.166610649999971</v>
      </c>
      <c r="AM4173">
        <v>-44.903452988928308</v>
      </c>
      <c r="AN4173">
        <v>-20.166610649999971</v>
      </c>
      <c r="AO4173">
        <v>-44.903452988928308</v>
      </c>
      <c r="AP4173">
        <v>-20.166903999999999</v>
      </c>
      <c r="AQ4173">
        <v>-44.903492</v>
      </c>
      <c r="AR4173">
        <v>32.909175876856217</v>
      </c>
      <c r="AS4173" t="s">
        <v>65</v>
      </c>
      <c r="AT4173">
        <v>1</v>
      </c>
      <c r="AU4173" t="s">
        <v>482</v>
      </c>
      <c r="AV4173" t="s">
        <v>483</v>
      </c>
      <c r="AW4173" t="s">
        <v>60</v>
      </c>
      <c r="AX4173" t="s">
        <v>68</v>
      </c>
      <c r="AY4173" t="s">
        <v>69</v>
      </c>
      <c r="AZ4173" t="b">
        <v>1</v>
      </c>
    </row>
    <row r="4174" spans="1:52" x14ac:dyDescent="0.3">
      <c r="A4174" t="s">
        <v>52</v>
      </c>
      <c r="B4174" t="s">
        <v>53</v>
      </c>
      <c r="C4174" t="s">
        <v>54</v>
      </c>
      <c r="D4174" t="s">
        <v>55</v>
      </c>
      <c r="E4174" t="s">
        <v>2222</v>
      </c>
      <c r="F4174" t="s">
        <v>190</v>
      </c>
      <c r="G4174" t="s">
        <v>484</v>
      </c>
      <c r="H4174" t="s">
        <v>485</v>
      </c>
      <c r="I4174" t="s">
        <v>485</v>
      </c>
      <c r="J4174" t="s">
        <v>60</v>
      </c>
      <c r="K4174" t="s">
        <v>486</v>
      </c>
      <c r="L4174" t="s">
        <v>62</v>
      </c>
      <c r="M4174" t="s">
        <v>486</v>
      </c>
      <c r="N4174" t="s">
        <v>487</v>
      </c>
      <c r="O4174" t="s">
        <v>488</v>
      </c>
      <c r="P4174">
        <v>-20.173000999999999</v>
      </c>
      <c r="Q4174">
        <v>-44.901876999999999</v>
      </c>
      <c r="R4174" s="2" t="str">
        <f>HYPERLINK("https://www.google.com/maps?q=-20.1730010,-44.9018770","Abrir no Google Maps")</f>
        <v>Abrir no Google Maps</v>
      </c>
      <c r="S4174">
        <v>3</v>
      </c>
      <c r="T4174">
        <v>437.59695450783011</v>
      </c>
      <c r="U4174">
        <v>4</v>
      </c>
      <c r="V4174">
        <v>0.31723049580192431</v>
      </c>
      <c r="W4174">
        <v>1</v>
      </c>
      <c r="X4174">
        <v>0.31723049580192431</v>
      </c>
      <c r="Y4174">
        <v>578</v>
      </c>
      <c r="Z4174">
        <v>440.53629183653243</v>
      </c>
      <c r="AA4174">
        <v>198</v>
      </c>
      <c r="AB4174">
        <v>332</v>
      </c>
      <c r="AC4174">
        <v>536</v>
      </c>
      <c r="AD4174">
        <v>29.32</v>
      </c>
      <c r="AE4174">
        <v>542</v>
      </c>
      <c r="AF4174">
        <v>27</v>
      </c>
      <c r="AG4174">
        <v>173</v>
      </c>
      <c r="AH4174">
        <v>129</v>
      </c>
      <c r="AI4174">
        <v>4.9800000000000004</v>
      </c>
      <c r="AJ4174">
        <v>31.92</v>
      </c>
      <c r="AK4174">
        <v>23.8</v>
      </c>
      <c r="AL4174">
        <v>-20.173065299999969</v>
      </c>
      <c r="AM4174">
        <v>-44.902052686008687</v>
      </c>
      <c r="AN4174">
        <v>-20.173065299999969</v>
      </c>
      <c r="AO4174">
        <v>-44.902052686008687</v>
      </c>
      <c r="AP4174">
        <v>-20.173000999999999</v>
      </c>
      <c r="AQ4174">
        <v>-44.901876999999999</v>
      </c>
      <c r="AR4174">
        <v>19.703745070768829</v>
      </c>
      <c r="AS4174" t="s">
        <v>65</v>
      </c>
      <c r="AT4174">
        <v>1</v>
      </c>
      <c r="AU4174" t="s">
        <v>489</v>
      </c>
      <c r="AV4174" t="s">
        <v>490</v>
      </c>
      <c r="AW4174" t="s">
        <v>60</v>
      </c>
      <c r="AX4174" t="s">
        <v>68</v>
      </c>
      <c r="AY4174" t="s">
        <v>69</v>
      </c>
      <c r="AZ4174" t="b">
        <v>1</v>
      </c>
    </row>
    <row r="4175" spans="1:52" x14ac:dyDescent="0.3">
      <c r="A4175" t="s">
        <v>52</v>
      </c>
      <c r="B4175" t="s">
        <v>53</v>
      </c>
      <c r="C4175" t="s">
        <v>54</v>
      </c>
      <c r="D4175" t="s">
        <v>55</v>
      </c>
      <c r="E4175" t="s">
        <v>2222</v>
      </c>
      <c r="F4175" t="s">
        <v>190</v>
      </c>
      <c r="G4175" t="s">
        <v>503</v>
      </c>
      <c r="H4175" t="s">
        <v>504</v>
      </c>
      <c r="I4175" t="s">
        <v>504</v>
      </c>
      <c r="J4175" t="s">
        <v>60</v>
      </c>
      <c r="K4175" t="s">
        <v>505</v>
      </c>
      <c r="L4175" t="s">
        <v>62</v>
      </c>
      <c r="M4175" t="s">
        <v>505</v>
      </c>
      <c r="N4175" t="s">
        <v>506</v>
      </c>
      <c r="O4175" t="s">
        <v>507</v>
      </c>
      <c r="P4175">
        <v>-20.131428</v>
      </c>
      <c r="Q4175">
        <v>-44.888921000000003</v>
      </c>
      <c r="R4175" s="2" t="str">
        <f>HYPERLINK("https://www.google.com/maps?q=-20.1314280,-44.8889210","Abrir no Google Maps")</f>
        <v>Abrir no Google Maps</v>
      </c>
      <c r="S4175">
        <v>3</v>
      </c>
      <c r="T4175">
        <v>250.64150698244501</v>
      </c>
      <c r="U4175">
        <v>4</v>
      </c>
      <c r="V4175">
        <v>0.32870900143627418</v>
      </c>
      <c r="W4175">
        <v>1</v>
      </c>
      <c r="X4175">
        <v>0.32870900143627418</v>
      </c>
      <c r="Y4175">
        <v>564</v>
      </c>
      <c r="Z4175">
        <v>189.93933888952441</v>
      </c>
      <c r="AA4175">
        <v>198</v>
      </c>
      <c r="AB4175">
        <v>332</v>
      </c>
      <c r="AC4175">
        <v>536</v>
      </c>
      <c r="AD4175">
        <v>29.32</v>
      </c>
      <c r="AE4175">
        <v>542</v>
      </c>
      <c r="AF4175">
        <v>27</v>
      </c>
      <c r="AG4175">
        <v>173</v>
      </c>
      <c r="AH4175">
        <v>129</v>
      </c>
      <c r="AI4175">
        <v>4.9800000000000004</v>
      </c>
      <c r="AJ4175">
        <v>31.92</v>
      </c>
      <c r="AK4175">
        <v>23.8</v>
      </c>
      <c r="AL4175">
        <v>-20.13123589999995</v>
      </c>
      <c r="AM4175">
        <v>-44.888742396501762</v>
      </c>
      <c r="AN4175">
        <v>-20.13123589999995</v>
      </c>
      <c r="AO4175">
        <v>-44.888742396501762</v>
      </c>
      <c r="AP4175">
        <v>-20.131428</v>
      </c>
      <c r="AQ4175">
        <v>-44.888921000000003</v>
      </c>
      <c r="AR4175">
        <v>28.386169462917032</v>
      </c>
      <c r="AS4175" t="s">
        <v>65</v>
      </c>
      <c r="AT4175">
        <v>1</v>
      </c>
      <c r="AU4175" t="s">
        <v>508</v>
      </c>
      <c r="AV4175" t="s">
        <v>509</v>
      </c>
      <c r="AW4175" t="s">
        <v>60</v>
      </c>
      <c r="AX4175" t="s">
        <v>68</v>
      </c>
      <c r="AY4175" t="s">
        <v>69</v>
      </c>
      <c r="AZ4175" t="b">
        <v>1</v>
      </c>
    </row>
    <row r="4176" spans="1:52" x14ac:dyDescent="0.3">
      <c r="A4176" t="s">
        <v>52</v>
      </c>
      <c r="B4176" t="s">
        <v>53</v>
      </c>
      <c r="C4176" t="s">
        <v>54</v>
      </c>
      <c r="D4176" t="s">
        <v>55</v>
      </c>
      <c r="E4176" t="s">
        <v>2222</v>
      </c>
      <c r="F4176" t="s">
        <v>190</v>
      </c>
      <c r="G4176" t="s">
        <v>516</v>
      </c>
      <c r="H4176" t="s">
        <v>517</v>
      </c>
      <c r="I4176" t="s">
        <v>517</v>
      </c>
      <c r="J4176" t="s">
        <v>60</v>
      </c>
      <c r="K4176" t="s">
        <v>518</v>
      </c>
      <c r="L4176" t="s">
        <v>62</v>
      </c>
      <c r="M4176" t="s">
        <v>518</v>
      </c>
      <c r="N4176" t="s">
        <v>519</v>
      </c>
      <c r="O4176" t="s">
        <v>520</v>
      </c>
      <c r="P4176">
        <v>-20.124502</v>
      </c>
      <c r="Q4176">
        <v>-44.888424000000001</v>
      </c>
      <c r="R4176" s="2" t="str">
        <f>HYPERLINK("https://www.google.com/maps?q=-20.1245020,-44.8884240","Abrir no Google Maps")</f>
        <v>Abrir no Google Maps</v>
      </c>
      <c r="S4176">
        <v>3</v>
      </c>
      <c r="T4176">
        <v>483.42298121929559</v>
      </c>
      <c r="U4176">
        <v>4</v>
      </c>
      <c r="V4176">
        <v>0.34325813083126883</v>
      </c>
      <c r="W4176">
        <v>1</v>
      </c>
      <c r="X4176">
        <v>0.34325813083126883</v>
      </c>
      <c r="Y4176">
        <v>564</v>
      </c>
      <c r="Z4176">
        <v>565.43074237076587</v>
      </c>
      <c r="AA4176">
        <v>198</v>
      </c>
      <c r="AB4176">
        <v>332</v>
      </c>
      <c r="AC4176">
        <v>536</v>
      </c>
      <c r="AD4176">
        <v>29.32</v>
      </c>
      <c r="AE4176">
        <v>542</v>
      </c>
      <c r="AF4176">
        <v>27</v>
      </c>
      <c r="AG4176">
        <v>173</v>
      </c>
      <c r="AH4176">
        <v>129</v>
      </c>
      <c r="AI4176">
        <v>4.9800000000000004</v>
      </c>
      <c r="AJ4176">
        <v>31.92</v>
      </c>
      <c r="AK4176">
        <v>23.8</v>
      </c>
      <c r="AL4176">
        <v>-20.124624949999941</v>
      </c>
      <c r="AM4176">
        <v>-44.888432821777258</v>
      </c>
      <c r="AN4176">
        <v>-20.124624949999941</v>
      </c>
      <c r="AO4176">
        <v>-44.888432821777258</v>
      </c>
      <c r="AP4176">
        <v>-20.124502</v>
      </c>
      <c r="AQ4176">
        <v>-44.888424000000001</v>
      </c>
      <c r="AR4176">
        <v>13.717819333897451</v>
      </c>
      <c r="AS4176" t="s">
        <v>65</v>
      </c>
      <c r="AT4176">
        <v>1</v>
      </c>
      <c r="AU4176" t="s">
        <v>521</v>
      </c>
      <c r="AV4176" t="s">
        <v>522</v>
      </c>
      <c r="AW4176" t="s">
        <v>60</v>
      </c>
      <c r="AX4176" t="s">
        <v>68</v>
      </c>
      <c r="AY4176" t="s">
        <v>69</v>
      </c>
      <c r="AZ4176" t="b">
        <v>1</v>
      </c>
    </row>
    <row r="4177" spans="1:52" x14ac:dyDescent="0.3">
      <c r="A4177" t="s">
        <v>52</v>
      </c>
      <c r="B4177" t="s">
        <v>53</v>
      </c>
      <c r="C4177" t="s">
        <v>54</v>
      </c>
      <c r="D4177" t="s">
        <v>55</v>
      </c>
      <c r="E4177" t="s">
        <v>2222</v>
      </c>
      <c r="F4177" t="s">
        <v>190</v>
      </c>
      <c r="G4177" t="s">
        <v>523</v>
      </c>
      <c r="H4177" t="s">
        <v>524</v>
      </c>
      <c r="I4177" t="s">
        <v>524</v>
      </c>
      <c r="J4177" t="s">
        <v>60</v>
      </c>
      <c r="K4177" t="s">
        <v>518</v>
      </c>
      <c r="L4177" t="s">
        <v>62</v>
      </c>
      <c r="M4177" t="s">
        <v>518</v>
      </c>
      <c r="N4177" t="s">
        <v>525</v>
      </c>
      <c r="O4177" t="s">
        <v>331</v>
      </c>
      <c r="P4177">
        <v>-20.126553000000001</v>
      </c>
      <c r="Q4177">
        <v>-44.888599999999997</v>
      </c>
      <c r="R4177" s="2" t="str">
        <f>HYPERLINK("https://www.google.com/maps?q=-20.1265530,-44.8886000","Abrir no Google Maps")</f>
        <v>Abrir no Google Maps</v>
      </c>
      <c r="S4177">
        <v>3</v>
      </c>
      <c r="T4177">
        <v>256.34043440603853</v>
      </c>
      <c r="U4177">
        <v>4</v>
      </c>
      <c r="V4177">
        <v>0.319228064841033</v>
      </c>
      <c r="W4177">
        <v>1</v>
      </c>
      <c r="X4177">
        <v>0.319228064841033</v>
      </c>
      <c r="Y4177">
        <v>564</v>
      </c>
      <c r="Z4177">
        <v>325.4404273055876</v>
      </c>
      <c r="AA4177">
        <v>198</v>
      </c>
      <c r="AB4177">
        <v>332</v>
      </c>
      <c r="AC4177">
        <v>536</v>
      </c>
      <c r="AD4177">
        <v>29.32</v>
      </c>
      <c r="AE4177">
        <v>542</v>
      </c>
      <c r="AF4177">
        <v>27</v>
      </c>
      <c r="AG4177">
        <v>173</v>
      </c>
      <c r="AH4177">
        <v>129</v>
      </c>
      <c r="AI4177">
        <v>4.9800000000000004</v>
      </c>
      <c r="AJ4177">
        <v>31.92</v>
      </c>
      <c r="AK4177">
        <v>23.8</v>
      </c>
      <c r="AL4177">
        <v>-20.12669049999997</v>
      </c>
      <c r="AM4177">
        <v>-44.888671289876577</v>
      </c>
      <c r="AN4177">
        <v>-20.12669049999997</v>
      </c>
      <c r="AO4177">
        <v>-44.888671289876577</v>
      </c>
      <c r="AP4177">
        <v>-20.126553000000001</v>
      </c>
      <c r="AQ4177">
        <v>-44.888599999999997</v>
      </c>
      <c r="AR4177">
        <v>17.023861591720589</v>
      </c>
      <c r="AS4177" t="s">
        <v>65</v>
      </c>
      <c r="AT4177">
        <v>1</v>
      </c>
      <c r="AU4177" t="s">
        <v>526</v>
      </c>
      <c r="AV4177" t="s">
        <v>527</v>
      </c>
      <c r="AW4177" t="s">
        <v>60</v>
      </c>
      <c r="AX4177" t="s">
        <v>68</v>
      </c>
      <c r="AY4177" t="s">
        <v>69</v>
      </c>
      <c r="AZ4177" t="b">
        <v>1</v>
      </c>
    </row>
    <row r="4178" spans="1:52" x14ac:dyDescent="0.3">
      <c r="A4178" t="s">
        <v>52</v>
      </c>
      <c r="B4178" t="s">
        <v>53</v>
      </c>
      <c r="C4178" t="s">
        <v>54</v>
      </c>
      <c r="D4178" t="s">
        <v>55</v>
      </c>
      <c r="E4178" t="s">
        <v>2222</v>
      </c>
      <c r="F4178" t="s">
        <v>190</v>
      </c>
      <c r="G4178" t="s">
        <v>528</v>
      </c>
      <c r="H4178" t="s">
        <v>529</v>
      </c>
      <c r="I4178" t="s">
        <v>529</v>
      </c>
      <c r="J4178" t="s">
        <v>60</v>
      </c>
      <c r="K4178" t="s">
        <v>530</v>
      </c>
      <c r="L4178" t="s">
        <v>62</v>
      </c>
      <c r="M4178" t="s">
        <v>530</v>
      </c>
      <c r="N4178" t="s">
        <v>531</v>
      </c>
      <c r="O4178" t="s">
        <v>532</v>
      </c>
      <c r="P4178">
        <v>-20.142457</v>
      </c>
      <c r="Q4178">
        <v>-44.891688000000002</v>
      </c>
      <c r="R4178" s="2" t="str">
        <f>HYPERLINK("https://www.google.com/maps?q=-20.1424570,-44.8916880","Abrir no Google Maps")</f>
        <v>Abrir no Google Maps</v>
      </c>
      <c r="S4178">
        <v>3</v>
      </c>
      <c r="T4178">
        <v>0</v>
      </c>
      <c r="U4178">
        <v>4</v>
      </c>
      <c r="V4178">
        <v>0.34533441513516228</v>
      </c>
      <c r="W4178">
        <v>1</v>
      </c>
      <c r="X4178">
        <v>0.34533441513516228</v>
      </c>
      <c r="Y4178">
        <v>557</v>
      </c>
      <c r="Z4178">
        <v>42.611952255679803</v>
      </c>
      <c r="AA4178">
        <v>198</v>
      </c>
      <c r="AB4178">
        <v>332</v>
      </c>
      <c r="AC4178">
        <v>536</v>
      </c>
      <c r="AD4178">
        <v>29.32</v>
      </c>
      <c r="AE4178">
        <v>542</v>
      </c>
      <c r="AF4178">
        <v>27</v>
      </c>
      <c r="AG4178">
        <v>173</v>
      </c>
      <c r="AH4178">
        <v>129</v>
      </c>
      <c r="AI4178">
        <v>4.9800000000000004</v>
      </c>
      <c r="AJ4178">
        <v>31.92</v>
      </c>
      <c r="AK4178">
        <v>23.8</v>
      </c>
      <c r="AL4178">
        <v>-20.142523099999948</v>
      </c>
      <c r="AM4178">
        <v>-44.891523817588819</v>
      </c>
      <c r="AN4178">
        <v>-20.142523099999948</v>
      </c>
      <c r="AO4178">
        <v>-44.891523817588819</v>
      </c>
      <c r="AP4178">
        <v>-20.142457</v>
      </c>
      <c r="AQ4178">
        <v>-44.891688000000002</v>
      </c>
      <c r="AR4178">
        <v>18.670129248632971</v>
      </c>
      <c r="AS4178" t="s">
        <v>65</v>
      </c>
      <c r="AT4178">
        <v>1</v>
      </c>
      <c r="AU4178" t="s">
        <v>533</v>
      </c>
      <c r="AV4178" t="s">
        <v>534</v>
      </c>
      <c r="AW4178" t="s">
        <v>60</v>
      </c>
      <c r="AX4178" t="s">
        <v>68</v>
      </c>
      <c r="AY4178" t="s">
        <v>69</v>
      </c>
      <c r="AZ4178" t="b">
        <v>1</v>
      </c>
    </row>
    <row r="4179" spans="1:52" x14ac:dyDescent="0.3">
      <c r="A4179" t="s">
        <v>52</v>
      </c>
      <c r="B4179" t="s">
        <v>53</v>
      </c>
      <c r="C4179" t="s">
        <v>54</v>
      </c>
      <c r="D4179" t="s">
        <v>55</v>
      </c>
      <c r="E4179" t="s">
        <v>2222</v>
      </c>
      <c r="F4179" t="s">
        <v>190</v>
      </c>
      <c r="G4179" t="s">
        <v>535</v>
      </c>
      <c r="H4179" t="s">
        <v>536</v>
      </c>
      <c r="I4179" t="s">
        <v>536</v>
      </c>
      <c r="J4179" t="s">
        <v>60</v>
      </c>
      <c r="K4179" t="s">
        <v>388</v>
      </c>
      <c r="L4179" t="s">
        <v>62</v>
      </c>
      <c r="M4179" t="s">
        <v>388</v>
      </c>
      <c r="N4179" t="s">
        <v>537</v>
      </c>
      <c r="O4179" t="s">
        <v>538</v>
      </c>
      <c r="P4179">
        <v>-20.150061999999998</v>
      </c>
      <c r="Q4179">
        <v>-44.903379000000001</v>
      </c>
      <c r="R4179" s="2" t="str">
        <f>HYPERLINK("https://www.google.com/maps?q=-20.1500620,-44.9033790","Abrir no Google Maps")</f>
        <v>Abrir no Google Maps</v>
      </c>
      <c r="S4179">
        <v>3</v>
      </c>
      <c r="T4179">
        <v>286.20313674219977</v>
      </c>
      <c r="U4179">
        <v>4</v>
      </c>
      <c r="V4179">
        <v>0.3326874189047927</v>
      </c>
      <c r="W4179">
        <v>1</v>
      </c>
      <c r="X4179">
        <v>0.3326874189047927</v>
      </c>
      <c r="Y4179">
        <v>556</v>
      </c>
      <c r="Z4179">
        <v>315.81851898667401</v>
      </c>
      <c r="AA4179">
        <v>198</v>
      </c>
      <c r="AB4179">
        <v>332</v>
      </c>
      <c r="AC4179">
        <v>536</v>
      </c>
      <c r="AD4179">
        <v>29.32</v>
      </c>
      <c r="AE4179">
        <v>542</v>
      </c>
      <c r="AF4179">
        <v>27</v>
      </c>
      <c r="AG4179">
        <v>173</v>
      </c>
      <c r="AH4179">
        <v>129</v>
      </c>
      <c r="AI4179">
        <v>4.9800000000000004</v>
      </c>
      <c r="AJ4179">
        <v>31.92</v>
      </c>
      <c r="AK4179">
        <v>23.8</v>
      </c>
      <c r="AL4179">
        <v>-20.150084299999971</v>
      </c>
      <c r="AM4179">
        <v>-44.903278407568479</v>
      </c>
      <c r="AN4179">
        <v>-20.150084299999971</v>
      </c>
      <c r="AO4179">
        <v>-44.903278407568479</v>
      </c>
      <c r="AP4179">
        <v>-20.150061999999998</v>
      </c>
      <c r="AQ4179">
        <v>-44.903379000000001</v>
      </c>
      <c r="AR4179">
        <v>10.801687336134639</v>
      </c>
      <c r="AS4179" t="s">
        <v>65</v>
      </c>
      <c r="AT4179">
        <v>1</v>
      </c>
      <c r="AU4179" t="s">
        <v>539</v>
      </c>
      <c r="AV4179" t="s">
        <v>540</v>
      </c>
      <c r="AW4179" t="s">
        <v>60</v>
      </c>
      <c r="AX4179" t="s">
        <v>68</v>
      </c>
      <c r="AY4179" t="s">
        <v>69</v>
      </c>
      <c r="AZ4179" t="b">
        <v>1</v>
      </c>
    </row>
    <row r="4180" spans="1:52" x14ac:dyDescent="0.3">
      <c r="A4180" t="s">
        <v>52</v>
      </c>
      <c r="B4180" t="s">
        <v>53</v>
      </c>
      <c r="C4180" t="s">
        <v>54</v>
      </c>
      <c r="D4180" t="s">
        <v>55</v>
      </c>
      <c r="E4180" t="s">
        <v>2222</v>
      </c>
      <c r="F4180" t="s">
        <v>190</v>
      </c>
      <c r="G4180" t="s">
        <v>398</v>
      </c>
      <c r="H4180" t="s">
        <v>541</v>
      </c>
      <c r="I4180" t="s">
        <v>541</v>
      </c>
      <c r="J4180" t="s">
        <v>60</v>
      </c>
      <c r="K4180" t="s">
        <v>388</v>
      </c>
      <c r="L4180" t="s">
        <v>62</v>
      </c>
      <c r="M4180" t="s">
        <v>388</v>
      </c>
      <c r="N4180" t="s">
        <v>400</v>
      </c>
      <c r="O4180" t="s">
        <v>542</v>
      </c>
      <c r="P4180">
        <v>-20.151335</v>
      </c>
      <c r="Q4180">
        <v>-44.901041999999997</v>
      </c>
      <c r="R4180" s="2" t="str">
        <f>HYPERLINK("https://www.google.com/maps?q=-20.1513350,-44.9010420","Abrir no Google Maps")</f>
        <v>Abrir no Google Maps</v>
      </c>
      <c r="S4180">
        <v>3</v>
      </c>
      <c r="T4180">
        <v>0</v>
      </c>
      <c r="U4180">
        <v>4</v>
      </c>
      <c r="V4180">
        <v>0.31559700940113999</v>
      </c>
      <c r="W4180">
        <v>1</v>
      </c>
      <c r="X4180">
        <v>0.31559700940113999</v>
      </c>
      <c r="Y4180">
        <v>556</v>
      </c>
      <c r="Z4180">
        <v>137.71609036908939</v>
      </c>
      <c r="AA4180">
        <v>198</v>
      </c>
      <c r="AB4180">
        <v>332</v>
      </c>
      <c r="AC4180">
        <v>536</v>
      </c>
      <c r="AD4180">
        <v>29.32</v>
      </c>
      <c r="AE4180">
        <v>542</v>
      </c>
      <c r="AF4180">
        <v>27</v>
      </c>
      <c r="AG4180">
        <v>173</v>
      </c>
      <c r="AH4180">
        <v>129</v>
      </c>
      <c r="AI4180">
        <v>4.9800000000000004</v>
      </c>
      <c r="AJ4180">
        <v>31.92</v>
      </c>
      <c r="AK4180">
        <v>23.8</v>
      </c>
      <c r="AL4180">
        <v>-20.15125899999995</v>
      </c>
      <c r="AM4180">
        <v>-44.900838557594433</v>
      </c>
      <c r="AN4180">
        <v>-20.15125899999995</v>
      </c>
      <c r="AO4180">
        <v>-44.900838557594433</v>
      </c>
      <c r="AP4180">
        <v>-20.151335</v>
      </c>
      <c r="AQ4180">
        <v>-44.901041999999997</v>
      </c>
      <c r="AR4180">
        <v>22.882363139483491</v>
      </c>
      <c r="AS4180" t="s">
        <v>65</v>
      </c>
      <c r="AT4180">
        <v>1</v>
      </c>
      <c r="AU4180" t="s">
        <v>543</v>
      </c>
      <c r="AV4180" t="s">
        <v>544</v>
      </c>
      <c r="AW4180" t="s">
        <v>60</v>
      </c>
      <c r="AX4180" t="s">
        <v>68</v>
      </c>
      <c r="AY4180" t="s">
        <v>69</v>
      </c>
      <c r="AZ4180" t="b">
        <v>1</v>
      </c>
    </row>
    <row r="4181" spans="1:52" x14ac:dyDescent="0.3">
      <c r="A4181" t="s">
        <v>52</v>
      </c>
      <c r="B4181" t="s">
        <v>53</v>
      </c>
      <c r="C4181" t="s">
        <v>54</v>
      </c>
      <c r="D4181" t="s">
        <v>55</v>
      </c>
      <c r="E4181" t="s">
        <v>2222</v>
      </c>
      <c r="F4181" t="s">
        <v>190</v>
      </c>
      <c r="G4181" t="s">
        <v>551</v>
      </c>
      <c r="H4181" t="s">
        <v>552</v>
      </c>
      <c r="I4181" t="s">
        <v>552</v>
      </c>
      <c r="J4181" t="s">
        <v>60</v>
      </c>
      <c r="K4181" t="s">
        <v>388</v>
      </c>
      <c r="L4181" t="s">
        <v>62</v>
      </c>
      <c r="M4181" t="s">
        <v>388</v>
      </c>
      <c r="N4181" t="s">
        <v>553</v>
      </c>
      <c r="O4181" t="s">
        <v>315</v>
      </c>
      <c r="P4181">
        <v>-20.153086999999999</v>
      </c>
      <c r="Q4181">
        <v>-44.905451999999997</v>
      </c>
      <c r="R4181" s="2" t="str">
        <f>HYPERLINK("https://www.google.com/maps?q=-20.1530870,-44.9054520","Abrir no Google Maps")</f>
        <v>Abrir no Google Maps</v>
      </c>
      <c r="S4181">
        <v>3</v>
      </c>
      <c r="T4181">
        <v>313.69387682409018</v>
      </c>
      <c r="U4181">
        <v>4</v>
      </c>
      <c r="V4181">
        <v>0.32629164139542188</v>
      </c>
      <c r="W4181">
        <v>1</v>
      </c>
      <c r="X4181">
        <v>0.32629164139542188</v>
      </c>
      <c r="Y4181">
        <v>548</v>
      </c>
      <c r="Z4181">
        <v>319.51605309906859</v>
      </c>
      <c r="AA4181">
        <v>198</v>
      </c>
      <c r="AB4181">
        <v>332</v>
      </c>
      <c r="AC4181">
        <v>536</v>
      </c>
      <c r="AD4181">
        <v>29.32</v>
      </c>
      <c r="AE4181">
        <v>542</v>
      </c>
      <c r="AF4181">
        <v>27</v>
      </c>
      <c r="AG4181">
        <v>173</v>
      </c>
      <c r="AH4181">
        <v>129</v>
      </c>
      <c r="AI4181">
        <v>4.9800000000000004</v>
      </c>
      <c r="AJ4181">
        <v>31.92</v>
      </c>
      <c r="AK4181">
        <v>23.8</v>
      </c>
      <c r="AL4181">
        <v>-20.153043049999951</v>
      </c>
      <c r="AM4181">
        <v>-44.905348275899513</v>
      </c>
      <c r="AN4181">
        <v>-20.153043049999951</v>
      </c>
      <c r="AO4181">
        <v>-44.905348275899513</v>
      </c>
      <c r="AP4181">
        <v>-20.153086999999999</v>
      </c>
      <c r="AQ4181">
        <v>-44.905451999999997</v>
      </c>
      <c r="AR4181">
        <v>11.892619975648341</v>
      </c>
      <c r="AS4181" t="s">
        <v>65</v>
      </c>
      <c r="AT4181">
        <v>1</v>
      </c>
      <c r="AU4181" t="s">
        <v>554</v>
      </c>
      <c r="AV4181" t="s">
        <v>555</v>
      </c>
      <c r="AW4181" t="s">
        <v>60</v>
      </c>
      <c r="AX4181" t="s">
        <v>68</v>
      </c>
      <c r="AY4181" t="s">
        <v>69</v>
      </c>
      <c r="AZ4181" t="b">
        <v>1</v>
      </c>
    </row>
    <row r="4182" spans="1:52" x14ac:dyDescent="0.3">
      <c r="A4182" t="s">
        <v>52</v>
      </c>
      <c r="B4182" t="s">
        <v>53</v>
      </c>
      <c r="C4182" t="s">
        <v>54</v>
      </c>
      <c r="D4182" t="s">
        <v>55</v>
      </c>
      <c r="E4182" t="s">
        <v>2222</v>
      </c>
      <c r="F4182" t="s">
        <v>190</v>
      </c>
      <c r="G4182" t="s">
        <v>556</v>
      </c>
      <c r="H4182" t="s">
        <v>557</v>
      </c>
      <c r="I4182" t="s">
        <v>557</v>
      </c>
      <c r="J4182" t="s">
        <v>60</v>
      </c>
      <c r="K4182" t="s">
        <v>388</v>
      </c>
      <c r="L4182" t="s">
        <v>62</v>
      </c>
      <c r="M4182" t="s">
        <v>388</v>
      </c>
      <c r="N4182" t="s">
        <v>558</v>
      </c>
      <c r="O4182" t="s">
        <v>559</v>
      </c>
      <c r="P4182">
        <v>-20.152670000000001</v>
      </c>
      <c r="Q4182">
        <v>-44.902557999999999</v>
      </c>
      <c r="R4182" s="2" t="str">
        <f>HYPERLINK("https://www.google.com/maps?q=-20.1526700,-44.9025580","Abrir no Google Maps")</f>
        <v>Abrir no Google Maps</v>
      </c>
      <c r="S4182">
        <v>3</v>
      </c>
      <c r="T4182">
        <v>228.56195217678911</v>
      </c>
      <c r="U4182">
        <v>4</v>
      </c>
      <c r="V4182">
        <v>0.32726902726902729</v>
      </c>
      <c r="W4182">
        <v>1</v>
      </c>
      <c r="X4182">
        <v>0.32726902726902729</v>
      </c>
      <c r="Y4182">
        <v>548</v>
      </c>
      <c r="Z4182">
        <v>250.63133895224919</v>
      </c>
      <c r="AA4182">
        <v>198</v>
      </c>
      <c r="AB4182">
        <v>332</v>
      </c>
      <c r="AC4182">
        <v>536</v>
      </c>
      <c r="AD4182">
        <v>29.32</v>
      </c>
      <c r="AE4182">
        <v>542</v>
      </c>
      <c r="AF4182">
        <v>27</v>
      </c>
      <c r="AG4182">
        <v>173</v>
      </c>
      <c r="AH4182">
        <v>129</v>
      </c>
      <c r="AI4182">
        <v>4.9800000000000004</v>
      </c>
      <c r="AJ4182">
        <v>31.92</v>
      </c>
      <c r="AK4182">
        <v>23.8</v>
      </c>
      <c r="AL4182">
        <v>-20.152629799999939</v>
      </c>
      <c r="AM4182">
        <v>-44.902604744705201</v>
      </c>
      <c r="AN4182">
        <v>-20.152629799999939</v>
      </c>
      <c r="AO4182">
        <v>-44.902604744705201</v>
      </c>
      <c r="AP4182">
        <v>-20.152670000000001</v>
      </c>
      <c r="AQ4182">
        <v>-44.902557999999999</v>
      </c>
      <c r="AR4182">
        <v>6.6249428037111509</v>
      </c>
      <c r="AS4182" t="s">
        <v>65</v>
      </c>
      <c r="AT4182">
        <v>1</v>
      </c>
      <c r="AU4182" t="s">
        <v>560</v>
      </c>
      <c r="AV4182" t="s">
        <v>561</v>
      </c>
      <c r="AW4182" t="s">
        <v>60</v>
      </c>
      <c r="AX4182" t="s">
        <v>68</v>
      </c>
      <c r="AY4182" t="s">
        <v>69</v>
      </c>
      <c r="AZ4182" t="b">
        <v>1</v>
      </c>
    </row>
    <row r="4183" spans="1:52" x14ac:dyDescent="0.3">
      <c r="A4183" t="s">
        <v>52</v>
      </c>
      <c r="B4183" t="s">
        <v>53</v>
      </c>
      <c r="C4183" t="s">
        <v>54</v>
      </c>
      <c r="D4183" t="s">
        <v>55</v>
      </c>
      <c r="E4183" t="s">
        <v>2222</v>
      </c>
      <c r="F4183" t="s">
        <v>190</v>
      </c>
      <c r="G4183" t="s">
        <v>562</v>
      </c>
      <c r="H4183" t="s">
        <v>563</v>
      </c>
      <c r="I4183" t="s">
        <v>563</v>
      </c>
      <c r="J4183" t="s">
        <v>60</v>
      </c>
      <c r="K4183" t="s">
        <v>388</v>
      </c>
      <c r="L4183" t="s">
        <v>62</v>
      </c>
      <c r="M4183" t="s">
        <v>388</v>
      </c>
      <c r="N4183" t="s">
        <v>564</v>
      </c>
      <c r="O4183" t="s">
        <v>565</v>
      </c>
      <c r="P4183">
        <v>-20.154432</v>
      </c>
      <c r="Q4183">
        <v>-44.902977999999997</v>
      </c>
      <c r="R4183" s="2" t="str">
        <f>HYPERLINK("https://www.google.com/maps?q=-20.1544320,-44.9029780","Abrir no Google Maps")</f>
        <v>Abrir no Google Maps</v>
      </c>
      <c r="S4183">
        <v>3</v>
      </c>
      <c r="T4183">
        <v>0</v>
      </c>
      <c r="U4183">
        <v>4</v>
      </c>
      <c r="V4183">
        <v>0.34080257762155819</v>
      </c>
      <c r="W4183">
        <v>1</v>
      </c>
      <c r="X4183">
        <v>0.34080257762155819</v>
      </c>
      <c r="Y4183">
        <v>548</v>
      </c>
      <c r="Z4183">
        <v>29.424211042533759</v>
      </c>
      <c r="AA4183">
        <v>198</v>
      </c>
      <c r="AB4183">
        <v>332</v>
      </c>
      <c r="AC4183">
        <v>536</v>
      </c>
      <c r="AD4183">
        <v>29.32</v>
      </c>
      <c r="AE4183">
        <v>542</v>
      </c>
      <c r="AF4183">
        <v>27</v>
      </c>
      <c r="AG4183">
        <v>173</v>
      </c>
      <c r="AH4183">
        <v>129</v>
      </c>
      <c r="AI4183">
        <v>4.9800000000000004</v>
      </c>
      <c r="AJ4183">
        <v>31.92</v>
      </c>
      <c r="AK4183">
        <v>23.8</v>
      </c>
      <c r="AL4183">
        <v>-20.15467689999997</v>
      </c>
      <c r="AM4183">
        <v>-44.902895281771222</v>
      </c>
      <c r="AN4183">
        <v>-20.15467689999997</v>
      </c>
      <c r="AO4183">
        <v>-44.902895281771222</v>
      </c>
      <c r="AP4183">
        <v>-20.154432</v>
      </c>
      <c r="AQ4183">
        <v>-44.902977999999997</v>
      </c>
      <c r="AR4183">
        <v>28.5999270636025</v>
      </c>
      <c r="AS4183" t="s">
        <v>65</v>
      </c>
      <c r="AT4183">
        <v>1</v>
      </c>
      <c r="AU4183" t="s">
        <v>566</v>
      </c>
      <c r="AV4183" t="s">
        <v>567</v>
      </c>
      <c r="AW4183" t="s">
        <v>60</v>
      </c>
      <c r="AX4183" t="s">
        <v>68</v>
      </c>
      <c r="AY4183" t="s">
        <v>69</v>
      </c>
      <c r="AZ4183" t="b">
        <v>1</v>
      </c>
    </row>
    <row r="4184" spans="1:52" x14ac:dyDescent="0.3">
      <c r="A4184" t="s">
        <v>52</v>
      </c>
      <c r="B4184" t="s">
        <v>53</v>
      </c>
      <c r="C4184" t="s">
        <v>54</v>
      </c>
      <c r="D4184" t="s">
        <v>55</v>
      </c>
      <c r="E4184" t="s">
        <v>2222</v>
      </c>
      <c r="F4184" t="s">
        <v>190</v>
      </c>
      <c r="G4184" t="s">
        <v>568</v>
      </c>
      <c r="H4184" t="s">
        <v>569</v>
      </c>
      <c r="I4184" t="s">
        <v>569</v>
      </c>
      <c r="J4184" t="s">
        <v>60</v>
      </c>
      <c r="K4184" t="s">
        <v>61</v>
      </c>
      <c r="L4184" t="s">
        <v>62</v>
      </c>
      <c r="M4184" t="s">
        <v>61</v>
      </c>
      <c r="N4184" t="s">
        <v>570</v>
      </c>
      <c r="O4184" t="s">
        <v>548</v>
      </c>
      <c r="P4184">
        <v>-20.151508</v>
      </c>
      <c r="Q4184">
        <v>-44.907826</v>
      </c>
      <c r="R4184" s="2" t="str">
        <f>HYPERLINK("https://www.google.com/maps?q=-20.1515080,-44.9078260","Abrir no Google Maps")</f>
        <v>Abrir no Google Maps</v>
      </c>
      <c r="S4184">
        <v>3</v>
      </c>
      <c r="T4184">
        <v>567.15905416240514</v>
      </c>
      <c r="U4184">
        <v>4</v>
      </c>
      <c r="V4184">
        <v>0.44081556303778519</v>
      </c>
      <c r="W4184">
        <v>0.85</v>
      </c>
      <c r="X4184">
        <v>0.3746932285821174</v>
      </c>
      <c r="Y4184">
        <v>548</v>
      </c>
      <c r="Z4184">
        <v>560.49158010771464</v>
      </c>
      <c r="AA4184">
        <v>198</v>
      </c>
      <c r="AB4184">
        <v>332</v>
      </c>
      <c r="AC4184">
        <v>536</v>
      </c>
      <c r="AD4184">
        <v>29.32</v>
      </c>
      <c r="AE4184">
        <v>542</v>
      </c>
      <c r="AF4184">
        <v>27</v>
      </c>
      <c r="AG4184">
        <v>173</v>
      </c>
      <c r="AH4184">
        <v>129</v>
      </c>
      <c r="AI4184">
        <v>4.9800000000000004</v>
      </c>
      <c r="AJ4184">
        <v>31.92</v>
      </c>
      <c r="AK4184">
        <v>23.8</v>
      </c>
      <c r="AL4184">
        <v>-20.15211779999996</v>
      </c>
      <c r="AM4184">
        <v>-44.907597469593128</v>
      </c>
      <c r="AN4184">
        <v>-20.15211779999996</v>
      </c>
      <c r="AO4184">
        <v>-44.907597469593128</v>
      </c>
      <c r="AP4184">
        <v>-20.151508</v>
      </c>
      <c r="AQ4184">
        <v>-44.907826</v>
      </c>
      <c r="AR4184">
        <v>71.961597929314735</v>
      </c>
      <c r="AS4184" t="s">
        <v>65</v>
      </c>
      <c r="AT4184">
        <v>1</v>
      </c>
      <c r="AU4184" t="s">
        <v>571</v>
      </c>
      <c r="AV4184" t="s">
        <v>572</v>
      </c>
      <c r="AW4184" t="s">
        <v>60</v>
      </c>
      <c r="AX4184" t="s">
        <v>68</v>
      </c>
      <c r="AY4184" t="s">
        <v>69</v>
      </c>
      <c r="AZ4184" t="b">
        <v>1</v>
      </c>
    </row>
    <row r="4185" spans="1:52" x14ac:dyDescent="0.3">
      <c r="A4185" t="s">
        <v>52</v>
      </c>
      <c r="B4185" t="s">
        <v>53</v>
      </c>
      <c r="C4185" t="s">
        <v>54</v>
      </c>
      <c r="D4185" t="s">
        <v>55</v>
      </c>
      <c r="E4185" t="s">
        <v>2222</v>
      </c>
      <c r="F4185" t="s">
        <v>190</v>
      </c>
      <c r="G4185" t="s">
        <v>573</v>
      </c>
      <c r="H4185" t="s">
        <v>574</v>
      </c>
      <c r="I4185" t="s">
        <v>574</v>
      </c>
      <c r="J4185" t="s">
        <v>60</v>
      </c>
      <c r="K4185" t="s">
        <v>207</v>
      </c>
      <c r="L4185" t="s">
        <v>62</v>
      </c>
      <c r="M4185" t="s">
        <v>207</v>
      </c>
      <c r="N4185" t="s">
        <v>575</v>
      </c>
      <c r="O4185" t="s">
        <v>576</v>
      </c>
      <c r="P4185">
        <v>-20.121252999999999</v>
      </c>
      <c r="Q4185">
        <v>-44.887988999999997</v>
      </c>
      <c r="R4185" s="2" t="str">
        <f>HYPERLINK("https://www.google.com/maps?q=-20.1212530,-44.8879890","Abrir no Google Maps")</f>
        <v>Abrir no Google Maps</v>
      </c>
      <c r="S4185">
        <v>3</v>
      </c>
      <c r="T4185">
        <v>310.5511884274041</v>
      </c>
      <c r="U4185">
        <v>4</v>
      </c>
      <c r="V4185">
        <v>0.34448743386243391</v>
      </c>
      <c r="W4185">
        <v>1</v>
      </c>
      <c r="X4185">
        <v>0.34448743386243391</v>
      </c>
      <c r="Y4185">
        <v>536</v>
      </c>
      <c r="Z4185">
        <v>292.13362593122162</v>
      </c>
      <c r="AA4185">
        <v>198</v>
      </c>
      <c r="AB4185">
        <v>332</v>
      </c>
      <c r="AC4185">
        <v>536</v>
      </c>
      <c r="AD4185">
        <v>29.32</v>
      </c>
      <c r="AE4185">
        <v>542</v>
      </c>
      <c r="AF4185">
        <v>27</v>
      </c>
      <c r="AG4185">
        <v>173</v>
      </c>
      <c r="AH4185">
        <v>129</v>
      </c>
      <c r="AI4185">
        <v>4.9800000000000004</v>
      </c>
      <c r="AJ4185">
        <v>31.92</v>
      </c>
      <c r="AK4185">
        <v>23.8</v>
      </c>
      <c r="AL4185">
        <v>-20.121103699999939</v>
      </c>
      <c r="AM4185">
        <v>-44.888116617806723</v>
      </c>
      <c r="AN4185">
        <v>-20.121103699999939</v>
      </c>
      <c r="AO4185">
        <v>-44.888116617806723</v>
      </c>
      <c r="AP4185">
        <v>-20.121252999999999</v>
      </c>
      <c r="AQ4185">
        <v>-44.887988999999997</v>
      </c>
      <c r="AR4185">
        <v>21.311159673382519</v>
      </c>
      <c r="AS4185" t="s">
        <v>65</v>
      </c>
      <c r="AT4185">
        <v>1</v>
      </c>
      <c r="AU4185" t="s">
        <v>577</v>
      </c>
      <c r="AV4185" t="s">
        <v>578</v>
      </c>
      <c r="AW4185" t="s">
        <v>60</v>
      </c>
      <c r="AX4185" t="s">
        <v>68</v>
      </c>
      <c r="AY4185" t="s">
        <v>69</v>
      </c>
      <c r="AZ4185" t="b">
        <v>1</v>
      </c>
    </row>
    <row r="4186" spans="1:52" x14ac:dyDescent="0.3">
      <c r="A4186" t="s">
        <v>52</v>
      </c>
      <c r="B4186" t="s">
        <v>53</v>
      </c>
      <c r="C4186" t="s">
        <v>54</v>
      </c>
      <c r="D4186" t="s">
        <v>55</v>
      </c>
      <c r="E4186" t="s">
        <v>2222</v>
      </c>
      <c r="F4186" t="s">
        <v>190</v>
      </c>
      <c r="G4186" t="s">
        <v>584</v>
      </c>
      <c r="H4186" t="s">
        <v>585</v>
      </c>
      <c r="I4186" t="s">
        <v>585</v>
      </c>
      <c r="J4186" t="s">
        <v>60</v>
      </c>
      <c r="K4186" t="s">
        <v>207</v>
      </c>
      <c r="L4186" t="s">
        <v>62</v>
      </c>
      <c r="M4186" t="s">
        <v>207</v>
      </c>
      <c r="N4186" t="s">
        <v>586</v>
      </c>
      <c r="O4186" t="s">
        <v>587</v>
      </c>
      <c r="P4186">
        <v>-20.122596999999999</v>
      </c>
      <c r="Q4186">
        <v>-44.889994999999999</v>
      </c>
      <c r="R4186" s="2" t="str">
        <f>HYPERLINK("https://www.google.com/maps?q=-20.1225970,-44.8899950","Abrir no Google Maps")</f>
        <v>Abrir no Google Maps</v>
      </c>
      <c r="S4186">
        <v>3</v>
      </c>
      <c r="T4186">
        <v>548.23336486960989</v>
      </c>
      <c r="U4186">
        <v>4</v>
      </c>
      <c r="V4186">
        <v>0.31861937833352127</v>
      </c>
      <c r="W4186">
        <v>1</v>
      </c>
      <c r="X4186">
        <v>0.31861937833352127</v>
      </c>
      <c r="Y4186">
        <v>536</v>
      </c>
      <c r="Z4186">
        <v>547.28307523929982</v>
      </c>
      <c r="AA4186">
        <v>198</v>
      </c>
      <c r="AB4186">
        <v>332</v>
      </c>
      <c r="AC4186">
        <v>536</v>
      </c>
      <c r="AD4186">
        <v>29.32</v>
      </c>
      <c r="AE4186">
        <v>542</v>
      </c>
      <c r="AF4186">
        <v>27</v>
      </c>
      <c r="AG4186">
        <v>173</v>
      </c>
      <c r="AH4186">
        <v>129</v>
      </c>
      <c r="AI4186">
        <v>4.9800000000000004</v>
      </c>
      <c r="AJ4186">
        <v>31.92</v>
      </c>
      <c r="AK4186">
        <v>23.8</v>
      </c>
      <c r="AL4186">
        <v>-20.122693899999941</v>
      </c>
      <c r="AM4186">
        <v>-44.890039706276887</v>
      </c>
      <c r="AN4186">
        <v>-20.122693899999941</v>
      </c>
      <c r="AO4186">
        <v>-44.890039706276887</v>
      </c>
      <c r="AP4186">
        <v>-20.122596999999999</v>
      </c>
      <c r="AQ4186">
        <v>-44.889994999999999</v>
      </c>
      <c r="AR4186">
        <v>11.75557400261394</v>
      </c>
      <c r="AS4186" t="s">
        <v>65</v>
      </c>
      <c r="AT4186">
        <v>1</v>
      </c>
      <c r="AU4186" t="s">
        <v>588</v>
      </c>
      <c r="AV4186" t="s">
        <v>589</v>
      </c>
      <c r="AW4186" t="s">
        <v>60</v>
      </c>
      <c r="AX4186" t="s">
        <v>68</v>
      </c>
      <c r="AY4186" t="s">
        <v>69</v>
      </c>
      <c r="AZ4186" t="b">
        <v>1</v>
      </c>
    </row>
    <row r="4187" spans="1:52" x14ac:dyDescent="0.3">
      <c r="A4187" t="s">
        <v>52</v>
      </c>
      <c r="B4187" t="s">
        <v>53</v>
      </c>
      <c r="C4187" t="s">
        <v>54</v>
      </c>
      <c r="D4187" t="s">
        <v>55</v>
      </c>
      <c r="E4187" t="s">
        <v>2222</v>
      </c>
      <c r="F4187" t="s">
        <v>190</v>
      </c>
      <c r="G4187" t="s">
        <v>595</v>
      </c>
      <c r="H4187" t="s">
        <v>596</v>
      </c>
      <c r="I4187" t="s">
        <v>596</v>
      </c>
      <c r="J4187" t="s">
        <v>60</v>
      </c>
      <c r="K4187" t="s">
        <v>207</v>
      </c>
      <c r="L4187" t="s">
        <v>62</v>
      </c>
      <c r="M4187" t="s">
        <v>207</v>
      </c>
      <c r="N4187" t="s">
        <v>597</v>
      </c>
      <c r="O4187" t="s">
        <v>598</v>
      </c>
      <c r="P4187">
        <v>-20.118335999999999</v>
      </c>
      <c r="Q4187">
        <v>-44.887441000000003</v>
      </c>
      <c r="R4187" s="2" t="str">
        <f>HYPERLINK("https://www.google.com/maps?q=-20.1183360,-44.8874410","Abrir no Google Maps")</f>
        <v>Abrir no Google Maps</v>
      </c>
      <c r="S4187">
        <v>3</v>
      </c>
      <c r="T4187">
        <v>0</v>
      </c>
      <c r="U4187">
        <v>4</v>
      </c>
      <c r="V4187">
        <v>0.31855115797204081</v>
      </c>
      <c r="W4187">
        <v>1</v>
      </c>
      <c r="X4187">
        <v>0.31855115797204081</v>
      </c>
      <c r="Y4187">
        <v>536</v>
      </c>
      <c r="Z4187">
        <v>70.729031566967279</v>
      </c>
      <c r="AA4187">
        <v>198</v>
      </c>
      <c r="AB4187">
        <v>332</v>
      </c>
      <c r="AC4187">
        <v>536</v>
      </c>
      <c r="AD4187">
        <v>29.32</v>
      </c>
      <c r="AE4187">
        <v>542</v>
      </c>
      <c r="AF4187">
        <v>27</v>
      </c>
      <c r="AG4187">
        <v>173</v>
      </c>
      <c r="AH4187">
        <v>129</v>
      </c>
      <c r="AI4187">
        <v>4.9800000000000004</v>
      </c>
      <c r="AJ4187">
        <v>31.92</v>
      </c>
      <c r="AK4187">
        <v>23.8</v>
      </c>
      <c r="AL4187">
        <v>-20.118357999999969</v>
      </c>
      <c r="AM4187">
        <v>-44.88750246616479</v>
      </c>
      <c r="AN4187">
        <v>-20.118357999999969</v>
      </c>
      <c r="AO4187">
        <v>-44.88750246616479</v>
      </c>
      <c r="AP4187">
        <v>-20.118335999999999</v>
      </c>
      <c r="AQ4187">
        <v>-44.887441000000003</v>
      </c>
      <c r="AR4187">
        <v>6.875853437004074</v>
      </c>
      <c r="AS4187" t="s">
        <v>65</v>
      </c>
      <c r="AT4187">
        <v>1</v>
      </c>
      <c r="AU4187" t="s">
        <v>599</v>
      </c>
      <c r="AV4187" t="s">
        <v>600</v>
      </c>
      <c r="AW4187" t="s">
        <v>60</v>
      </c>
      <c r="AX4187" t="s">
        <v>68</v>
      </c>
      <c r="AY4187" t="s">
        <v>69</v>
      </c>
      <c r="AZ4187" t="b">
        <v>1</v>
      </c>
    </row>
    <row r="4188" spans="1:52" x14ac:dyDescent="0.3">
      <c r="A4188" t="s">
        <v>52</v>
      </c>
      <c r="B4188" t="s">
        <v>53</v>
      </c>
      <c r="C4188" t="s">
        <v>54</v>
      </c>
      <c r="D4188" t="s">
        <v>55</v>
      </c>
      <c r="E4188" t="s">
        <v>2222</v>
      </c>
      <c r="F4188" t="s">
        <v>190</v>
      </c>
      <c r="G4188" t="s">
        <v>614</v>
      </c>
      <c r="H4188" t="s">
        <v>615</v>
      </c>
      <c r="I4188" t="s">
        <v>615</v>
      </c>
      <c r="J4188" t="s">
        <v>60</v>
      </c>
      <c r="K4188" t="s">
        <v>207</v>
      </c>
      <c r="L4188" t="s">
        <v>62</v>
      </c>
      <c r="M4188" t="s">
        <v>207</v>
      </c>
      <c r="N4188" t="s">
        <v>616</v>
      </c>
      <c r="O4188" t="s">
        <v>617</v>
      </c>
      <c r="P4188">
        <v>-20.123118999999999</v>
      </c>
      <c r="Q4188">
        <v>-44.886259000000003</v>
      </c>
      <c r="R4188" s="2" t="str">
        <f>HYPERLINK("https://www.google.com/maps?q=-20.1231190,-44.8862590","Abrir no Google Maps")</f>
        <v>Abrir no Google Maps</v>
      </c>
      <c r="S4188">
        <v>3</v>
      </c>
      <c r="T4188">
        <v>534.91642326845545</v>
      </c>
      <c r="U4188">
        <v>4</v>
      </c>
      <c r="V4188">
        <v>0.33848182140865068</v>
      </c>
      <c r="W4188">
        <v>1</v>
      </c>
      <c r="X4188">
        <v>0.33848182140865068</v>
      </c>
      <c r="Y4188">
        <v>536</v>
      </c>
      <c r="Z4188">
        <v>478.9192959851456</v>
      </c>
      <c r="AA4188">
        <v>198</v>
      </c>
      <c r="AB4188">
        <v>332</v>
      </c>
      <c r="AC4188">
        <v>536</v>
      </c>
      <c r="AD4188">
        <v>29.32</v>
      </c>
      <c r="AE4188">
        <v>542</v>
      </c>
      <c r="AF4188">
        <v>27</v>
      </c>
      <c r="AG4188">
        <v>173</v>
      </c>
      <c r="AH4188">
        <v>129</v>
      </c>
      <c r="AI4188">
        <v>4.9800000000000004</v>
      </c>
      <c r="AJ4188">
        <v>31.92</v>
      </c>
      <c r="AK4188">
        <v>23.8</v>
      </c>
      <c r="AL4188">
        <v>-20.12305974999995</v>
      </c>
      <c r="AM4188">
        <v>-44.886314469108633</v>
      </c>
      <c r="AN4188">
        <v>-20.12305974999995</v>
      </c>
      <c r="AO4188">
        <v>-44.886314469108633</v>
      </c>
      <c r="AP4188">
        <v>-20.123118999999999</v>
      </c>
      <c r="AQ4188">
        <v>-44.886259000000003</v>
      </c>
      <c r="AR4188">
        <v>8.7817342078334093</v>
      </c>
      <c r="AS4188" t="s">
        <v>65</v>
      </c>
      <c r="AT4188">
        <v>1</v>
      </c>
      <c r="AU4188" t="s">
        <v>618</v>
      </c>
      <c r="AV4188" t="s">
        <v>619</v>
      </c>
      <c r="AW4188" t="s">
        <v>60</v>
      </c>
      <c r="AX4188" t="s">
        <v>68</v>
      </c>
      <c r="AY4188" t="s">
        <v>69</v>
      </c>
      <c r="AZ4188" t="b">
        <v>1</v>
      </c>
    </row>
    <row r="4189" spans="1:52" x14ac:dyDescent="0.3">
      <c r="A4189" t="s">
        <v>52</v>
      </c>
      <c r="B4189" t="s">
        <v>53</v>
      </c>
      <c r="C4189" t="s">
        <v>54</v>
      </c>
      <c r="D4189" t="s">
        <v>55</v>
      </c>
      <c r="E4189" t="s">
        <v>2222</v>
      </c>
      <c r="F4189" t="s">
        <v>190</v>
      </c>
      <c r="G4189" t="s">
        <v>620</v>
      </c>
      <c r="H4189" t="s">
        <v>621</v>
      </c>
      <c r="I4189" t="s">
        <v>621</v>
      </c>
      <c r="J4189" t="s">
        <v>60</v>
      </c>
      <c r="K4189" t="s">
        <v>207</v>
      </c>
      <c r="L4189" t="s">
        <v>62</v>
      </c>
      <c r="M4189" t="s">
        <v>207</v>
      </c>
      <c r="N4189" t="s">
        <v>622</v>
      </c>
      <c r="O4189" t="s">
        <v>623</v>
      </c>
      <c r="P4189">
        <v>-20.120775999999999</v>
      </c>
      <c r="Q4189">
        <v>-44.885562999999998</v>
      </c>
      <c r="R4189" s="2" t="str">
        <f>HYPERLINK("https://www.google.com/maps?q=-20.1207760,-44.8855630","Abrir no Google Maps")</f>
        <v>Abrir no Google Maps</v>
      </c>
      <c r="S4189">
        <v>3</v>
      </c>
      <c r="T4189">
        <v>332.24231777761912</v>
      </c>
      <c r="U4189">
        <v>4</v>
      </c>
      <c r="V4189">
        <v>0.33710033629473468</v>
      </c>
      <c r="W4189">
        <v>1</v>
      </c>
      <c r="X4189">
        <v>0.33710033629473468</v>
      </c>
      <c r="Y4189">
        <v>536</v>
      </c>
      <c r="Z4189">
        <v>255.48165096313261</v>
      </c>
      <c r="AA4189">
        <v>198</v>
      </c>
      <c r="AB4189">
        <v>332</v>
      </c>
      <c r="AC4189">
        <v>536</v>
      </c>
      <c r="AD4189">
        <v>29.32</v>
      </c>
      <c r="AE4189">
        <v>542</v>
      </c>
      <c r="AF4189">
        <v>27</v>
      </c>
      <c r="AG4189">
        <v>173</v>
      </c>
      <c r="AH4189">
        <v>129</v>
      </c>
      <c r="AI4189">
        <v>4.9800000000000004</v>
      </c>
      <c r="AJ4189">
        <v>31.92</v>
      </c>
      <c r="AK4189">
        <v>23.8</v>
      </c>
      <c r="AL4189">
        <v>-20.120783799999941</v>
      </c>
      <c r="AM4189">
        <v>-44.885629603396453</v>
      </c>
      <c r="AN4189">
        <v>-20.120783799999941</v>
      </c>
      <c r="AO4189">
        <v>-44.885629603396453</v>
      </c>
      <c r="AP4189">
        <v>-20.120775999999999</v>
      </c>
      <c r="AQ4189">
        <v>-44.885562999999998</v>
      </c>
      <c r="AR4189">
        <v>7.0157317818911196</v>
      </c>
      <c r="AS4189" t="s">
        <v>65</v>
      </c>
      <c r="AT4189">
        <v>1</v>
      </c>
      <c r="AU4189" t="s">
        <v>624</v>
      </c>
      <c r="AV4189" t="s">
        <v>619</v>
      </c>
      <c r="AW4189" t="s">
        <v>60</v>
      </c>
      <c r="AX4189" t="s">
        <v>68</v>
      </c>
      <c r="AY4189" t="s">
        <v>69</v>
      </c>
      <c r="AZ4189" t="b">
        <v>1</v>
      </c>
    </row>
    <row r="4190" spans="1:52" x14ac:dyDescent="0.3">
      <c r="A4190" t="s">
        <v>52</v>
      </c>
      <c r="B4190" t="s">
        <v>53</v>
      </c>
      <c r="C4190" t="s">
        <v>54</v>
      </c>
      <c r="D4190" t="s">
        <v>55</v>
      </c>
      <c r="E4190" t="s">
        <v>2222</v>
      </c>
      <c r="F4190" t="s">
        <v>190</v>
      </c>
      <c r="G4190" t="s">
        <v>929</v>
      </c>
      <c r="H4190" t="s">
        <v>930</v>
      </c>
      <c r="I4190" t="s">
        <v>930</v>
      </c>
      <c r="J4190" t="s">
        <v>60</v>
      </c>
      <c r="K4190" t="s">
        <v>72</v>
      </c>
      <c r="L4190" t="s">
        <v>62</v>
      </c>
      <c r="M4190" t="s">
        <v>72</v>
      </c>
      <c r="N4190" t="s">
        <v>931</v>
      </c>
      <c r="O4190" t="s">
        <v>932</v>
      </c>
      <c r="P4190">
        <v>-20.144780999999998</v>
      </c>
      <c r="Q4190">
        <v>-44.914259000000001</v>
      </c>
      <c r="R4190" s="2" t="str">
        <f>HYPERLINK("https://www.google.com/maps?q=-20.1447810,-44.9142590","Abrir no Google Maps")</f>
        <v>Abrir no Google Maps</v>
      </c>
      <c r="S4190">
        <v>3</v>
      </c>
      <c r="T4190">
        <v>256.09363485874093</v>
      </c>
      <c r="U4190">
        <v>4</v>
      </c>
      <c r="V4190">
        <v>0.31685372618894542</v>
      </c>
      <c r="W4190">
        <v>1</v>
      </c>
      <c r="X4190">
        <v>0.31685372618894542</v>
      </c>
      <c r="Y4190">
        <v>508</v>
      </c>
      <c r="Z4190">
        <v>318.29766547935321</v>
      </c>
      <c r="AA4190">
        <v>198</v>
      </c>
      <c r="AB4190">
        <v>332</v>
      </c>
      <c r="AC4190">
        <v>536</v>
      </c>
      <c r="AD4190">
        <v>29.32</v>
      </c>
      <c r="AE4190">
        <v>542</v>
      </c>
      <c r="AF4190">
        <v>27</v>
      </c>
      <c r="AG4190">
        <v>173</v>
      </c>
      <c r="AH4190">
        <v>129</v>
      </c>
      <c r="AI4190">
        <v>4.9800000000000004</v>
      </c>
      <c r="AJ4190">
        <v>31.92</v>
      </c>
      <c r="AK4190">
        <v>23.8</v>
      </c>
      <c r="AL4190">
        <v>-20.144721899999951</v>
      </c>
      <c r="AM4190">
        <v>-44.914368749511411</v>
      </c>
      <c r="AN4190">
        <v>-20.144721899999951</v>
      </c>
      <c r="AO4190">
        <v>-44.914368749511411</v>
      </c>
      <c r="AP4190">
        <v>-20.144780999999998</v>
      </c>
      <c r="AQ4190">
        <v>-44.914259000000001</v>
      </c>
      <c r="AR4190">
        <v>13.22280973360979</v>
      </c>
      <c r="AS4190" t="s">
        <v>65</v>
      </c>
      <c r="AT4190">
        <v>1</v>
      </c>
      <c r="AU4190" t="s">
        <v>933</v>
      </c>
      <c r="AV4190" t="s">
        <v>934</v>
      </c>
      <c r="AW4190" t="s">
        <v>60</v>
      </c>
      <c r="AX4190" t="s">
        <v>68</v>
      </c>
      <c r="AY4190" t="s">
        <v>69</v>
      </c>
      <c r="AZ4190" t="b">
        <v>1</v>
      </c>
    </row>
    <row r="4191" spans="1:52" x14ac:dyDescent="0.3">
      <c r="A4191" t="s">
        <v>52</v>
      </c>
      <c r="B4191" t="s">
        <v>53</v>
      </c>
      <c r="C4191" t="s">
        <v>54</v>
      </c>
      <c r="D4191" t="s">
        <v>55</v>
      </c>
      <c r="E4191" t="s">
        <v>2222</v>
      </c>
      <c r="F4191" t="s">
        <v>190</v>
      </c>
      <c r="G4191" t="s">
        <v>625</v>
      </c>
      <c r="H4191" t="s">
        <v>626</v>
      </c>
      <c r="I4191" t="s">
        <v>626</v>
      </c>
      <c r="J4191" t="s">
        <v>60</v>
      </c>
      <c r="K4191" t="s">
        <v>193</v>
      </c>
      <c r="L4191" t="s">
        <v>62</v>
      </c>
      <c r="M4191" t="s">
        <v>193</v>
      </c>
      <c r="N4191" t="s">
        <v>627</v>
      </c>
      <c r="O4191" t="s">
        <v>628</v>
      </c>
      <c r="P4191">
        <v>-20.145171999999999</v>
      </c>
      <c r="Q4191">
        <v>-44.916764000000001</v>
      </c>
      <c r="R4191" s="2" t="str">
        <f>HYPERLINK("https://www.google.com/maps?q=-20.1451720,-44.9167640","Abrir no Google Maps")</f>
        <v>Abrir no Google Maps</v>
      </c>
      <c r="S4191">
        <v>3</v>
      </c>
      <c r="T4191">
        <v>0</v>
      </c>
      <c r="U4191">
        <v>4</v>
      </c>
      <c r="V4191">
        <v>0.31700180161718622</v>
      </c>
      <c r="W4191">
        <v>1</v>
      </c>
      <c r="X4191">
        <v>0.31700180161718622</v>
      </c>
      <c r="Y4191">
        <v>508</v>
      </c>
      <c r="Z4191">
        <v>79.403393114466795</v>
      </c>
      <c r="AA4191">
        <v>198</v>
      </c>
      <c r="AB4191">
        <v>332</v>
      </c>
      <c r="AC4191">
        <v>536</v>
      </c>
      <c r="AD4191">
        <v>29.32</v>
      </c>
      <c r="AE4191">
        <v>542</v>
      </c>
      <c r="AF4191">
        <v>27</v>
      </c>
      <c r="AG4191">
        <v>173</v>
      </c>
      <c r="AH4191">
        <v>129</v>
      </c>
      <c r="AI4191">
        <v>4.9800000000000004</v>
      </c>
      <c r="AJ4191">
        <v>31.92</v>
      </c>
      <c r="AK4191">
        <v>23.8</v>
      </c>
      <c r="AL4191">
        <v>-20.145089199999969</v>
      </c>
      <c r="AM4191">
        <v>-44.916788127791321</v>
      </c>
      <c r="AN4191">
        <v>-20.145089199999969</v>
      </c>
      <c r="AO4191">
        <v>-44.916788127791321</v>
      </c>
      <c r="AP4191">
        <v>-20.145171999999999</v>
      </c>
      <c r="AQ4191">
        <v>-44.916764000000001</v>
      </c>
      <c r="AR4191">
        <v>9.555991267747272</v>
      </c>
      <c r="AS4191" t="s">
        <v>65</v>
      </c>
      <c r="AT4191">
        <v>1</v>
      </c>
      <c r="AU4191" t="s">
        <v>629</v>
      </c>
      <c r="AV4191" t="s">
        <v>630</v>
      </c>
      <c r="AW4191" t="s">
        <v>60</v>
      </c>
      <c r="AX4191" t="s">
        <v>68</v>
      </c>
      <c r="AY4191" t="s">
        <v>69</v>
      </c>
      <c r="AZ4191" t="b">
        <v>1</v>
      </c>
    </row>
    <row r="4192" spans="1:52" x14ac:dyDescent="0.3">
      <c r="A4192" t="s">
        <v>52</v>
      </c>
      <c r="B4192" t="s">
        <v>53</v>
      </c>
      <c r="C4192" t="s">
        <v>54</v>
      </c>
      <c r="D4192" t="s">
        <v>55</v>
      </c>
      <c r="E4192" t="s">
        <v>2222</v>
      </c>
      <c r="F4192" t="s">
        <v>190</v>
      </c>
      <c r="G4192" t="s">
        <v>631</v>
      </c>
      <c r="H4192" t="s">
        <v>632</v>
      </c>
      <c r="I4192" t="s">
        <v>632</v>
      </c>
      <c r="J4192" t="s">
        <v>60</v>
      </c>
      <c r="K4192" t="s">
        <v>530</v>
      </c>
      <c r="L4192" t="s">
        <v>62</v>
      </c>
      <c r="M4192" t="s">
        <v>530</v>
      </c>
      <c r="N4192" t="s">
        <v>633</v>
      </c>
      <c r="O4192" t="s">
        <v>634</v>
      </c>
      <c r="P4192">
        <v>-20.142136000000001</v>
      </c>
      <c r="Q4192">
        <v>-44.893895999999998</v>
      </c>
      <c r="R4192" s="2" t="str">
        <f>HYPERLINK("https://www.google.com/maps?q=-20.1421360,-44.8938960","Abrir no Google Maps")</f>
        <v>Abrir no Google Maps</v>
      </c>
      <c r="S4192">
        <v>3</v>
      </c>
      <c r="T4192">
        <v>252.77776243958951</v>
      </c>
      <c r="U4192">
        <v>4</v>
      </c>
      <c r="V4192">
        <v>0.3638496109648155</v>
      </c>
      <c r="W4192">
        <v>1</v>
      </c>
      <c r="X4192">
        <v>0.3638496109648155</v>
      </c>
      <c r="Y4192">
        <v>505</v>
      </c>
      <c r="Z4192">
        <v>331.79497003706751</v>
      </c>
      <c r="AA4192">
        <v>198</v>
      </c>
      <c r="AB4192">
        <v>332</v>
      </c>
      <c r="AC4192">
        <v>536</v>
      </c>
      <c r="AD4192">
        <v>29.32</v>
      </c>
      <c r="AE4192">
        <v>542</v>
      </c>
      <c r="AF4192">
        <v>27</v>
      </c>
      <c r="AG4192">
        <v>173</v>
      </c>
      <c r="AH4192">
        <v>129</v>
      </c>
      <c r="AI4192">
        <v>4.9800000000000004</v>
      </c>
      <c r="AJ4192">
        <v>31.92</v>
      </c>
      <c r="AK4192">
        <v>23.8</v>
      </c>
      <c r="AL4192">
        <v>-20.142209999999949</v>
      </c>
      <c r="AM4192">
        <v>-44.893919659400702</v>
      </c>
      <c r="AN4192">
        <v>-20.142209999999949</v>
      </c>
      <c r="AO4192">
        <v>-44.893919659400702</v>
      </c>
      <c r="AP4192">
        <v>-20.142136000000001</v>
      </c>
      <c r="AQ4192">
        <v>-44.893895999999998</v>
      </c>
      <c r="AR4192">
        <v>8.6007875127343159</v>
      </c>
      <c r="AS4192" t="s">
        <v>65</v>
      </c>
      <c r="AT4192">
        <v>1</v>
      </c>
      <c r="AU4192" t="s">
        <v>635</v>
      </c>
      <c r="AV4192" t="s">
        <v>636</v>
      </c>
      <c r="AW4192" t="s">
        <v>60</v>
      </c>
      <c r="AX4192" t="s">
        <v>68</v>
      </c>
      <c r="AY4192" t="s">
        <v>69</v>
      </c>
      <c r="AZ4192" t="b">
        <v>1</v>
      </c>
    </row>
    <row r="4193" spans="1:52" x14ac:dyDescent="0.3">
      <c r="A4193" t="s">
        <v>52</v>
      </c>
      <c r="B4193" t="s">
        <v>53</v>
      </c>
      <c r="C4193" t="s">
        <v>54</v>
      </c>
      <c r="D4193" t="s">
        <v>55</v>
      </c>
      <c r="E4193" t="s">
        <v>2222</v>
      </c>
      <c r="F4193" t="s">
        <v>190</v>
      </c>
      <c r="G4193" t="s">
        <v>963</v>
      </c>
      <c r="H4193" t="s">
        <v>964</v>
      </c>
      <c r="I4193" t="s">
        <v>964</v>
      </c>
      <c r="J4193" t="s">
        <v>60</v>
      </c>
      <c r="K4193" t="s">
        <v>702</v>
      </c>
      <c r="L4193" t="s">
        <v>62</v>
      </c>
      <c r="M4193" t="s">
        <v>702</v>
      </c>
      <c r="N4193" t="s">
        <v>965</v>
      </c>
      <c r="O4193" t="s">
        <v>960</v>
      </c>
      <c r="P4193">
        <v>-20.164622000000001</v>
      </c>
      <c r="Q4193">
        <v>-44.860289999999999</v>
      </c>
      <c r="R4193" s="2" t="str">
        <f>HYPERLINK("https://www.google.com/maps?q=-20.1646220,-44.8602900","Abrir no Google Maps")</f>
        <v>Abrir no Google Maps</v>
      </c>
      <c r="S4193">
        <v>3</v>
      </c>
      <c r="T4193">
        <v>393.43725605569188</v>
      </c>
      <c r="U4193">
        <v>4</v>
      </c>
      <c r="V4193">
        <v>0.32558208955223877</v>
      </c>
      <c r="W4193">
        <v>1</v>
      </c>
      <c r="X4193">
        <v>0.32558208955223877</v>
      </c>
      <c r="Y4193">
        <v>491</v>
      </c>
      <c r="Z4193">
        <v>358.96336458076678</v>
      </c>
      <c r="AA4193">
        <v>198</v>
      </c>
      <c r="AB4193">
        <v>332</v>
      </c>
      <c r="AC4193">
        <v>536</v>
      </c>
      <c r="AD4193">
        <v>29.32</v>
      </c>
      <c r="AE4193">
        <v>542</v>
      </c>
      <c r="AF4193">
        <v>27</v>
      </c>
      <c r="AG4193">
        <v>173</v>
      </c>
      <c r="AH4193">
        <v>129</v>
      </c>
      <c r="AI4193">
        <v>4.9800000000000004</v>
      </c>
      <c r="AJ4193">
        <v>31.92</v>
      </c>
      <c r="AK4193">
        <v>23.8</v>
      </c>
      <c r="AL4193">
        <v>-20.164560849999951</v>
      </c>
      <c r="AM4193">
        <v>-44.860330680844072</v>
      </c>
      <c r="AN4193">
        <v>-20.164560849999951</v>
      </c>
      <c r="AO4193">
        <v>-44.860330680844072</v>
      </c>
      <c r="AP4193">
        <v>-20.164622000000001</v>
      </c>
      <c r="AQ4193">
        <v>-44.860289999999999</v>
      </c>
      <c r="AR4193">
        <v>8.0255448908437454</v>
      </c>
      <c r="AS4193" t="s">
        <v>65</v>
      </c>
      <c r="AT4193">
        <v>1</v>
      </c>
      <c r="AU4193" t="s">
        <v>966</v>
      </c>
      <c r="AV4193" t="s">
        <v>967</v>
      </c>
      <c r="AW4193" t="s">
        <v>60</v>
      </c>
      <c r="AX4193" t="s">
        <v>68</v>
      </c>
      <c r="AY4193" t="s">
        <v>69</v>
      </c>
      <c r="AZ4193" t="b">
        <v>1</v>
      </c>
    </row>
    <row r="4194" spans="1:52" x14ac:dyDescent="0.3">
      <c r="A4194" t="s">
        <v>52</v>
      </c>
      <c r="B4194" t="s">
        <v>53</v>
      </c>
      <c r="C4194" t="s">
        <v>54</v>
      </c>
      <c r="D4194" t="s">
        <v>55</v>
      </c>
      <c r="E4194" t="s">
        <v>2222</v>
      </c>
      <c r="F4194" t="s">
        <v>190</v>
      </c>
      <c r="G4194" t="s">
        <v>637</v>
      </c>
      <c r="H4194" t="s">
        <v>638</v>
      </c>
      <c r="I4194" t="s">
        <v>638</v>
      </c>
      <c r="J4194" t="s">
        <v>60</v>
      </c>
      <c r="K4194" t="s">
        <v>530</v>
      </c>
      <c r="L4194" t="s">
        <v>62</v>
      </c>
      <c r="M4194" t="s">
        <v>530</v>
      </c>
      <c r="N4194" t="s">
        <v>639</v>
      </c>
      <c r="O4194" t="s">
        <v>640</v>
      </c>
      <c r="P4194">
        <v>-20.143090000000001</v>
      </c>
      <c r="Q4194">
        <v>-44.888948999999997</v>
      </c>
      <c r="R4194" s="2" t="str">
        <f>HYPERLINK("https://www.google.com/maps?q=-20.1430900,-44.8889490","Abrir no Google Maps")</f>
        <v>Abrir no Google Maps</v>
      </c>
      <c r="S4194">
        <v>3</v>
      </c>
      <c r="T4194">
        <v>264.88903234377068</v>
      </c>
      <c r="U4194">
        <v>4</v>
      </c>
      <c r="V4194">
        <v>0.3643920595533498</v>
      </c>
      <c r="W4194">
        <v>1</v>
      </c>
      <c r="X4194">
        <v>0.3643920595533498</v>
      </c>
      <c r="Y4194">
        <v>478</v>
      </c>
      <c r="Z4194">
        <v>216.60886577490871</v>
      </c>
      <c r="AA4194">
        <v>198</v>
      </c>
      <c r="AB4194">
        <v>332</v>
      </c>
      <c r="AC4194">
        <v>536</v>
      </c>
      <c r="AD4194">
        <v>29.32</v>
      </c>
      <c r="AE4194">
        <v>542</v>
      </c>
      <c r="AF4194">
        <v>27</v>
      </c>
      <c r="AG4194">
        <v>173</v>
      </c>
      <c r="AH4194">
        <v>129</v>
      </c>
      <c r="AI4194">
        <v>4.9800000000000004</v>
      </c>
      <c r="AJ4194">
        <v>31.92</v>
      </c>
      <c r="AK4194">
        <v>23.8</v>
      </c>
      <c r="AL4194">
        <v>-20.14306029999997</v>
      </c>
      <c r="AM4194">
        <v>-44.889053908028878</v>
      </c>
      <c r="AN4194">
        <v>-20.14306029999997</v>
      </c>
      <c r="AO4194">
        <v>-44.889053908028878</v>
      </c>
      <c r="AP4194">
        <v>-20.143090000000001</v>
      </c>
      <c r="AQ4194">
        <v>-44.888948999999997</v>
      </c>
      <c r="AR4194">
        <v>11.451710102611671</v>
      </c>
      <c r="AS4194" t="s">
        <v>65</v>
      </c>
      <c r="AT4194">
        <v>1</v>
      </c>
      <c r="AU4194" t="s">
        <v>641</v>
      </c>
      <c r="AV4194" t="s">
        <v>642</v>
      </c>
      <c r="AW4194" t="s">
        <v>60</v>
      </c>
      <c r="AX4194" t="s">
        <v>68</v>
      </c>
      <c r="AY4194" t="s">
        <v>69</v>
      </c>
      <c r="AZ4194" t="b">
        <v>1</v>
      </c>
    </row>
    <row r="4195" spans="1:52" x14ac:dyDescent="0.3">
      <c r="A4195" t="s">
        <v>52</v>
      </c>
      <c r="B4195" t="s">
        <v>53</v>
      </c>
      <c r="C4195" t="s">
        <v>54</v>
      </c>
      <c r="D4195" t="s">
        <v>55</v>
      </c>
      <c r="E4195" t="s">
        <v>2222</v>
      </c>
      <c r="F4195" t="s">
        <v>190</v>
      </c>
      <c r="G4195" t="s">
        <v>643</v>
      </c>
      <c r="H4195" t="s">
        <v>644</v>
      </c>
      <c r="I4195" t="s">
        <v>644</v>
      </c>
      <c r="J4195" t="s">
        <v>60</v>
      </c>
      <c r="K4195" t="s">
        <v>462</v>
      </c>
      <c r="L4195" t="s">
        <v>62</v>
      </c>
      <c r="M4195" t="s">
        <v>462</v>
      </c>
      <c r="N4195" t="s">
        <v>645</v>
      </c>
      <c r="O4195" t="s">
        <v>646</v>
      </c>
      <c r="P4195">
        <v>-20.138680000000001</v>
      </c>
      <c r="Q4195">
        <v>-44.901313000000002</v>
      </c>
      <c r="R4195" s="2" t="str">
        <f>HYPERLINK("https://www.google.com/maps?q=-20.1386800,-44.9013130","Abrir no Google Maps")</f>
        <v>Abrir no Google Maps</v>
      </c>
      <c r="S4195">
        <v>3</v>
      </c>
      <c r="T4195">
        <v>322.91859681380862</v>
      </c>
      <c r="U4195">
        <v>4</v>
      </c>
      <c r="V4195">
        <v>0.34535636682520549</v>
      </c>
      <c r="W4195">
        <v>1</v>
      </c>
      <c r="X4195">
        <v>0.34535636682520549</v>
      </c>
      <c r="Y4195">
        <v>435</v>
      </c>
      <c r="Z4195">
        <v>299.891766434874</v>
      </c>
      <c r="AA4195">
        <v>198</v>
      </c>
      <c r="AB4195">
        <v>332</v>
      </c>
      <c r="AC4195">
        <v>536</v>
      </c>
      <c r="AD4195">
        <v>29.32</v>
      </c>
      <c r="AE4195">
        <v>542</v>
      </c>
      <c r="AF4195">
        <v>27</v>
      </c>
      <c r="AG4195">
        <v>173</v>
      </c>
      <c r="AH4195">
        <v>129</v>
      </c>
      <c r="AI4195">
        <v>4.9800000000000004</v>
      </c>
      <c r="AJ4195">
        <v>31.92</v>
      </c>
      <c r="AK4195">
        <v>23.8</v>
      </c>
      <c r="AL4195">
        <v>-20.13865734999996</v>
      </c>
      <c r="AM4195">
        <v>-44.901255803238627</v>
      </c>
      <c r="AN4195">
        <v>-20.13865734999996</v>
      </c>
      <c r="AO4195">
        <v>-44.901255803238627</v>
      </c>
      <c r="AP4195">
        <v>-20.138680000000001</v>
      </c>
      <c r="AQ4195">
        <v>-44.901313000000002</v>
      </c>
      <c r="AR4195">
        <v>6.4878640135702481</v>
      </c>
      <c r="AS4195" t="s">
        <v>65</v>
      </c>
      <c r="AT4195">
        <v>1</v>
      </c>
      <c r="AU4195" t="s">
        <v>647</v>
      </c>
      <c r="AV4195" t="s">
        <v>648</v>
      </c>
      <c r="AW4195" t="s">
        <v>60</v>
      </c>
      <c r="AX4195" t="s">
        <v>68</v>
      </c>
      <c r="AY4195" t="s">
        <v>69</v>
      </c>
      <c r="AZ4195" t="b">
        <v>1</v>
      </c>
    </row>
    <row r="4196" spans="1:52" x14ac:dyDescent="0.3">
      <c r="A4196" t="s">
        <v>52</v>
      </c>
      <c r="B4196" t="s">
        <v>53</v>
      </c>
      <c r="C4196" t="s">
        <v>54</v>
      </c>
      <c r="D4196" t="s">
        <v>55</v>
      </c>
      <c r="E4196" t="s">
        <v>2222</v>
      </c>
      <c r="F4196" t="s">
        <v>190</v>
      </c>
      <c r="G4196" t="s">
        <v>649</v>
      </c>
      <c r="H4196" t="s">
        <v>650</v>
      </c>
      <c r="I4196" t="s">
        <v>650</v>
      </c>
      <c r="J4196" t="s">
        <v>60</v>
      </c>
      <c r="K4196" t="s">
        <v>651</v>
      </c>
      <c r="L4196" t="s">
        <v>62</v>
      </c>
      <c r="M4196" t="s">
        <v>651</v>
      </c>
      <c r="N4196" t="s">
        <v>652</v>
      </c>
      <c r="O4196" t="s">
        <v>653</v>
      </c>
      <c r="P4196">
        <v>-20.134566</v>
      </c>
      <c r="Q4196">
        <v>-44.894970999999998</v>
      </c>
      <c r="R4196" s="2" t="str">
        <f>HYPERLINK("https://www.google.com/maps?q=-20.1345660,-44.8949710","Abrir no Google Maps")</f>
        <v>Abrir no Google Maps</v>
      </c>
      <c r="S4196">
        <v>3</v>
      </c>
      <c r="T4196">
        <v>722.088947634291</v>
      </c>
      <c r="U4196">
        <v>4</v>
      </c>
      <c r="V4196">
        <v>0.33625287356321842</v>
      </c>
      <c r="W4196">
        <v>1</v>
      </c>
      <c r="X4196">
        <v>0.33625287356321842</v>
      </c>
      <c r="Y4196">
        <v>435</v>
      </c>
      <c r="Z4196">
        <v>510.93480096112631</v>
      </c>
      <c r="AA4196">
        <v>198</v>
      </c>
      <c r="AB4196">
        <v>332</v>
      </c>
      <c r="AC4196">
        <v>536</v>
      </c>
      <c r="AD4196">
        <v>29.32</v>
      </c>
      <c r="AE4196">
        <v>542</v>
      </c>
      <c r="AF4196">
        <v>27</v>
      </c>
      <c r="AG4196">
        <v>173</v>
      </c>
      <c r="AH4196">
        <v>129</v>
      </c>
      <c r="AI4196">
        <v>4.9800000000000004</v>
      </c>
      <c r="AJ4196">
        <v>31.92</v>
      </c>
      <c r="AK4196">
        <v>23.8</v>
      </c>
      <c r="AL4196">
        <v>-20.134477649999951</v>
      </c>
      <c r="AM4196">
        <v>-44.894921468906077</v>
      </c>
      <c r="AN4196">
        <v>-20.134477649999951</v>
      </c>
      <c r="AO4196">
        <v>-44.894921468906077</v>
      </c>
      <c r="AP4196">
        <v>-20.134566</v>
      </c>
      <c r="AQ4196">
        <v>-44.894970999999998</v>
      </c>
      <c r="AR4196">
        <v>11.114372522967921</v>
      </c>
      <c r="AS4196" t="s">
        <v>65</v>
      </c>
      <c r="AT4196">
        <v>1</v>
      </c>
      <c r="AU4196" t="s">
        <v>654</v>
      </c>
      <c r="AV4196" t="s">
        <v>655</v>
      </c>
      <c r="AW4196" t="s">
        <v>60</v>
      </c>
      <c r="AX4196" t="s">
        <v>68</v>
      </c>
      <c r="AY4196" t="s">
        <v>69</v>
      </c>
      <c r="AZ4196" t="b">
        <v>1</v>
      </c>
    </row>
    <row r="4197" spans="1:52" x14ac:dyDescent="0.3">
      <c r="A4197" t="s">
        <v>52</v>
      </c>
      <c r="B4197" t="s">
        <v>53</v>
      </c>
      <c r="C4197" t="s">
        <v>54</v>
      </c>
      <c r="D4197" t="s">
        <v>55</v>
      </c>
      <c r="E4197" t="s">
        <v>2222</v>
      </c>
      <c r="F4197" t="s">
        <v>190</v>
      </c>
      <c r="G4197" t="s">
        <v>656</v>
      </c>
      <c r="H4197" t="s">
        <v>657</v>
      </c>
      <c r="I4197" t="s">
        <v>657</v>
      </c>
      <c r="J4197" t="s">
        <v>60</v>
      </c>
      <c r="K4197" t="s">
        <v>651</v>
      </c>
      <c r="L4197" t="s">
        <v>62</v>
      </c>
      <c r="M4197" t="s">
        <v>651</v>
      </c>
      <c r="N4197" t="s">
        <v>658</v>
      </c>
      <c r="O4197" t="s">
        <v>659</v>
      </c>
      <c r="P4197">
        <v>-20.134922</v>
      </c>
      <c r="Q4197">
        <v>-44.893098000000002</v>
      </c>
      <c r="R4197" s="2" t="str">
        <f>HYPERLINK("https://www.google.com/maps?q=-20.1349220,-44.8930980","Abrir no Google Maps")</f>
        <v>Abrir no Google Maps</v>
      </c>
      <c r="S4197">
        <v>3</v>
      </c>
      <c r="T4197">
        <v>589.83980259734562</v>
      </c>
      <c r="U4197">
        <v>4</v>
      </c>
      <c r="V4197">
        <v>0.36107259164083833</v>
      </c>
      <c r="W4197">
        <v>1</v>
      </c>
      <c r="X4197">
        <v>0.36107259164083833</v>
      </c>
      <c r="Y4197">
        <v>435</v>
      </c>
      <c r="Z4197">
        <v>663.80986080131709</v>
      </c>
      <c r="AA4197">
        <v>198</v>
      </c>
      <c r="AB4197">
        <v>332</v>
      </c>
      <c r="AC4197">
        <v>536</v>
      </c>
      <c r="AD4197">
        <v>29.32</v>
      </c>
      <c r="AE4197">
        <v>542</v>
      </c>
      <c r="AF4197">
        <v>27</v>
      </c>
      <c r="AG4197">
        <v>173</v>
      </c>
      <c r="AH4197">
        <v>129</v>
      </c>
      <c r="AI4197">
        <v>4.9800000000000004</v>
      </c>
      <c r="AJ4197">
        <v>31.92</v>
      </c>
      <c r="AK4197">
        <v>23.8</v>
      </c>
      <c r="AL4197">
        <v>-20.135021049999949</v>
      </c>
      <c r="AM4197">
        <v>-44.893227478208203</v>
      </c>
      <c r="AN4197">
        <v>-20.135021049999949</v>
      </c>
      <c r="AO4197">
        <v>-44.893227478208203</v>
      </c>
      <c r="AP4197">
        <v>-20.134922</v>
      </c>
      <c r="AQ4197">
        <v>-44.893098000000002</v>
      </c>
      <c r="AR4197">
        <v>17.455940349902249</v>
      </c>
      <c r="AS4197" t="s">
        <v>65</v>
      </c>
      <c r="AT4197">
        <v>1</v>
      </c>
      <c r="AU4197" t="s">
        <v>660</v>
      </c>
      <c r="AV4197" t="s">
        <v>661</v>
      </c>
      <c r="AW4197" t="s">
        <v>60</v>
      </c>
      <c r="AX4197" t="s">
        <v>68</v>
      </c>
      <c r="AY4197" t="s">
        <v>69</v>
      </c>
      <c r="AZ4197" t="b">
        <v>1</v>
      </c>
    </row>
    <row r="4198" spans="1:52" x14ac:dyDescent="0.3">
      <c r="A4198" t="s">
        <v>52</v>
      </c>
      <c r="B4198" t="s">
        <v>53</v>
      </c>
      <c r="C4198" t="s">
        <v>54</v>
      </c>
      <c r="D4198" t="s">
        <v>55</v>
      </c>
      <c r="E4198" t="s">
        <v>2222</v>
      </c>
      <c r="F4198" t="s">
        <v>190</v>
      </c>
      <c r="G4198" t="s">
        <v>669</v>
      </c>
      <c r="H4198" t="s">
        <v>670</v>
      </c>
      <c r="I4198" t="s">
        <v>670</v>
      </c>
      <c r="J4198" t="s">
        <v>60</v>
      </c>
      <c r="K4198" t="s">
        <v>530</v>
      </c>
      <c r="L4198" t="s">
        <v>62</v>
      </c>
      <c r="M4198" t="s">
        <v>530</v>
      </c>
      <c r="N4198" t="s">
        <v>671</v>
      </c>
      <c r="O4198" t="s">
        <v>672</v>
      </c>
      <c r="P4198">
        <v>-20.139036999999998</v>
      </c>
      <c r="Q4198">
        <v>-44.889187</v>
      </c>
      <c r="R4198" s="2" t="str">
        <f>HYPERLINK("https://www.google.com/maps?q=-20.1390370,-44.8891870","Abrir no Google Maps")</f>
        <v>Abrir no Google Maps</v>
      </c>
      <c r="S4198">
        <v>3</v>
      </c>
      <c r="T4198">
        <v>162.03713995333371</v>
      </c>
      <c r="U4198">
        <v>4</v>
      </c>
      <c r="V4198">
        <v>0.3692513727065756</v>
      </c>
      <c r="W4198">
        <v>1</v>
      </c>
      <c r="X4198">
        <v>0.3692513727065756</v>
      </c>
      <c r="Y4198">
        <v>428</v>
      </c>
      <c r="Z4198">
        <v>126.21352118044651</v>
      </c>
      <c r="AA4198">
        <v>198</v>
      </c>
      <c r="AB4198">
        <v>332</v>
      </c>
      <c r="AC4198">
        <v>536</v>
      </c>
      <c r="AD4198">
        <v>29.32</v>
      </c>
      <c r="AE4198">
        <v>542</v>
      </c>
      <c r="AF4198">
        <v>27</v>
      </c>
      <c r="AG4198">
        <v>173</v>
      </c>
      <c r="AH4198">
        <v>129</v>
      </c>
      <c r="AI4198">
        <v>4.9800000000000004</v>
      </c>
      <c r="AJ4198">
        <v>31.92</v>
      </c>
      <c r="AK4198">
        <v>23.8</v>
      </c>
      <c r="AL4198">
        <v>-20.13900394999996</v>
      </c>
      <c r="AM4198">
        <v>-44.889298503583859</v>
      </c>
      <c r="AN4198">
        <v>-20.13900394999996</v>
      </c>
      <c r="AO4198">
        <v>-44.889298503583859</v>
      </c>
      <c r="AP4198">
        <v>-20.139036999999998</v>
      </c>
      <c r="AQ4198">
        <v>-44.889187</v>
      </c>
      <c r="AR4198">
        <v>12.220642731957311</v>
      </c>
      <c r="AS4198" t="s">
        <v>65</v>
      </c>
      <c r="AT4198">
        <v>1</v>
      </c>
      <c r="AU4198" t="s">
        <v>673</v>
      </c>
      <c r="AV4198" t="s">
        <v>674</v>
      </c>
      <c r="AW4198" t="s">
        <v>60</v>
      </c>
      <c r="AX4198" t="s">
        <v>68</v>
      </c>
      <c r="AY4198" t="s">
        <v>69</v>
      </c>
      <c r="AZ4198" t="b">
        <v>1</v>
      </c>
    </row>
    <row r="4199" spans="1:52" x14ac:dyDescent="0.3">
      <c r="A4199" t="s">
        <v>52</v>
      </c>
      <c r="B4199" t="s">
        <v>53</v>
      </c>
      <c r="C4199" t="s">
        <v>54</v>
      </c>
      <c r="D4199" t="s">
        <v>55</v>
      </c>
      <c r="E4199" t="s">
        <v>2222</v>
      </c>
      <c r="F4199" t="s">
        <v>190</v>
      </c>
      <c r="G4199" t="s">
        <v>675</v>
      </c>
      <c r="H4199" t="s">
        <v>676</v>
      </c>
      <c r="I4199" t="s">
        <v>676</v>
      </c>
      <c r="J4199" t="s">
        <v>60</v>
      </c>
      <c r="K4199" t="s">
        <v>530</v>
      </c>
      <c r="L4199" t="s">
        <v>62</v>
      </c>
      <c r="M4199" t="s">
        <v>530</v>
      </c>
      <c r="N4199" t="s">
        <v>677</v>
      </c>
      <c r="O4199" t="s">
        <v>678</v>
      </c>
      <c r="P4199">
        <v>-20.140103</v>
      </c>
      <c r="Q4199">
        <v>-44.887059999999998</v>
      </c>
      <c r="R4199" s="2" t="str">
        <f>HYPERLINK("https://www.google.com/maps?q=-20.1401030,-44.8870600","Abrir no Google Maps")</f>
        <v>Abrir no Google Maps</v>
      </c>
      <c r="S4199">
        <v>3</v>
      </c>
      <c r="T4199">
        <v>202.19329492684349</v>
      </c>
      <c r="U4199">
        <v>4</v>
      </c>
      <c r="V4199">
        <v>0.37406626581173119</v>
      </c>
      <c r="W4199">
        <v>1</v>
      </c>
      <c r="X4199">
        <v>0.37406626581173119</v>
      </c>
      <c r="Y4199">
        <v>428</v>
      </c>
      <c r="Z4199">
        <v>144.95603883960419</v>
      </c>
      <c r="AA4199">
        <v>198</v>
      </c>
      <c r="AB4199">
        <v>332</v>
      </c>
      <c r="AC4199">
        <v>536</v>
      </c>
      <c r="AD4199">
        <v>29.32</v>
      </c>
      <c r="AE4199">
        <v>542</v>
      </c>
      <c r="AF4199">
        <v>27</v>
      </c>
      <c r="AG4199">
        <v>173</v>
      </c>
      <c r="AH4199">
        <v>129</v>
      </c>
      <c r="AI4199">
        <v>4.9800000000000004</v>
      </c>
      <c r="AJ4199">
        <v>31.92</v>
      </c>
      <c r="AK4199">
        <v>23.8</v>
      </c>
      <c r="AL4199">
        <v>-20.13997164999995</v>
      </c>
      <c r="AM4199">
        <v>-44.887075246455773</v>
      </c>
      <c r="AN4199">
        <v>-20.13997164999995</v>
      </c>
      <c r="AO4199">
        <v>-44.887075246455773</v>
      </c>
      <c r="AP4199">
        <v>-20.140103</v>
      </c>
      <c r="AQ4199">
        <v>-44.887059999999998</v>
      </c>
      <c r="AR4199">
        <v>14.7084512385181</v>
      </c>
      <c r="AS4199" t="s">
        <v>65</v>
      </c>
      <c r="AT4199">
        <v>1</v>
      </c>
      <c r="AU4199" t="s">
        <v>679</v>
      </c>
      <c r="AV4199" t="s">
        <v>680</v>
      </c>
      <c r="AW4199" t="s">
        <v>60</v>
      </c>
      <c r="AX4199" t="s">
        <v>68</v>
      </c>
      <c r="AY4199" t="s">
        <v>69</v>
      </c>
      <c r="AZ4199" t="b">
        <v>1</v>
      </c>
    </row>
    <row r="4200" spans="1:52" x14ac:dyDescent="0.3">
      <c r="A4200" t="s">
        <v>52</v>
      </c>
      <c r="B4200" t="s">
        <v>53</v>
      </c>
      <c r="C4200" t="s">
        <v>54</v>
      </c>
      <c r="D4200" t="s">
        <v>55</v>
      </c>
      <c r="E4200" t="s">
        <v>2222</v>
      </c>
      <c r="F4200" t="s">
        <v>190</v>
      </c>
      <c r="G4200" t="s">
        <v>681</v>
      </c>
      <c r="H4200" t="s">
        <v>682</v>
      </c>
      <c r="I4200" t="s">
        <v>682</v>
      </c>
      <c r="J4200" t="s">
        <v>60</v>
      </c>
      <c r="K4200" t="s">
        <v>530</v>
      </c>
      <c r="L4200" t="s">
        <v>62</v>
      </c>
      <c r="M4200" t="s">
        <v>530</v>
      </c>
      <c r="N4200" t="s">
        <v>683</v>
      </c>
      <c r="O4200" t="s">
        <v>173</v>
      </c>
      <c r="P4200">
        <v>-20.138342999999999</v>
      </c>
      <c r="Q4200">
        <v>-44.887732</v>
      </c>
      <c r="R4200" s="2" t="str">
        <f>HYPERLINK("https://www.google.com/maps?q=-20.1383430,-44.8877320","Abrir no Google Maps")</f>
        <v>Abrir no Google Maps</v>
      </c>
      <c r="S4200">
        <v>3</v>
      </c>
      <c r="T4200">
        <v>0</v>
      </c>
      <c r="U4200">
        <v>4</v>
      </c>
      <c r="V4200">
        <v>0.37739449390042862</v>
      </c>
      <c r="W4200">
        <v>1</v>
      </c>
      <c r="X4200">
        <v>0.37739449390042862</v>
      </c>
      <c r="Y4200">
        <v>428</v>
      </c>
      <c r="Z4200">
        <v>82.685534812530861</v>
      </c>
      <c r="AA4200">
        <v>198</v>
      </c>
      <c r="AB4200">
        <v>332</v>
      </c>
      <c r="AC4200">
        <v>536</v>
      </c>
      <c r="AD4200">
        <v>29.32</v>
      </c>
      <c r="AE4200">
        <v>542</v>
      </c>
      <c r="AF4200">
        <v>27</v>
      </c>
      <c r="AG4200">
        <v>173</v>
      </c>
      <c r="AH4200">
        <v>129</v>
      </c>
      <c r="AI4200">
        <v>4.9800000000000004</v>
      </c>
      <c r="AJ4200">
        <v>31.92</v>
      </c>
      <c r="AK4200">
        <v>23.8</v>
      </c>
      <c r="AL4200">
        <v>-20.138329099999961</v>
      </c>
      <c r="AM4200">
        <v>-44.887922589375549</v>
      </c>
      <c r="AN4200">
        <v>-20.138329099999961</v>
      </c>
      <c r="AO4200">
        <v>-44.887922589375549</v>
      </c>
      <c r="AP4200">
        <v>-20.138342999999999</v>
      </c>
      <c r="AQ4200">
        <v>-44.887732</v>
      </c>
      <c r="AR4200">
        <v>19.979335127307191</v>
      </c>
      <c r="AS4200" t="s">
        <v>65</v>
      </c>
      <c r="AT4200">
        <v>1</v>
      </c>
      <c r="AU4200" t="s">
        <v>684</v>
      </c>
      <c r="AV4200" t="s">
        <v>685</v>
      </c>
      <c r="AW4200" t="s">
        <v>60</v>
      </c>
      <c r="AX4200" t="s">
        <v>68</v>
      </c>
      <c r="AY4200" t="s">
        <v>69</v>
      </c>
      <c r="AZ4200" t="b">
        <v>1</v>
      </c>
    </row>
    <row r="4201" spans="1:52" x14ac:dyDescent="0.3">
      <c r="A4201" t="s">
        <v>52</v>
      </c>
      <c r="B4201" t="s">
        <v>53</v>
      </c>
      <c r="C4201" t="s">
        <v>54</v>
      </c>
      <c r="D4201" t="s">
        <v>55</v>
      </c>
      <c r="E4201" t="s">
        <v>2222</v>
      </c>
      <c r="F4201" t="s">
        <v>190</v>
      </c>
      <c r="G4201" t="s">
        <v>686</v>
      </c>
      <c r="H4201" t="s">
        <v>687</v>
      </c>
      <c r="I4201" t="s">
        <v>687</v>
      </c>
      <c r="J4201" t="s">
        <v>60</v>
      </c>
      <c r="K4201" t="s">
        <v>688</v>
      </c>
      <c r="L4201" t="s">
        <v>62</v>
      </c>
      <c r="M4201" t="s">
        <v>688</v>
      </c>
      <c r="N4201" t="s">
        <v>689</v>
      </c>
      <c r="O4201" t="s">
        <v>690</v>
      </c>
      <c r="P4201">
        <v>-20.136451999999998</v>
      </c>
      <c r="Q4201">
        <v>-44.891254000000004</v>
      </c>
      <c r="R4201" s="2" t="str">
        <f>HYPERLINK("https://www.google.com/maps?q=-20.1364520,-44.8912540","Abrir no Google Maps")</f>
        <v>Abrir no Google Maps</v>
      </c>
      <c r="S4201">
        <v>3</v>
      </c>
      <c r="T4201">
        <v>397.58661308638909</v>
      </c>
      <c r="U4201">
        <v>4</v>
      </c>
      <c r="V4201">
        <v>0.36094485000774079</v>
      </c>
      <c r="W4201">
        <v>1</v>
      </c>
      <c r="X4201">
        <v>0.36094485000774079</v>
      </c>
      <c r="Y4201">
        <v>428</v>
      </c>
      <c r="Z4201">
        <v>449.62002896840892</v>
      </c>
      <c r="AA4201">
        <v>198</v>
      </c>
      <c r="AB4201">
        <v>332</v>
      </c>
      <c r="AC4201">
        <v>536</v>
      </c>
      <c r="AD4201">
        <v>29.32</v>
      </c>
      <c r="AE4201">
        <v>542</v>
      </c>
      <c r="AF4201">
        <v>27</v>
      </c>
      <c r="AG4201">
        <v>173</v>
      </c>
      <c r="AH4201">
        <v>129</v>
      </c>
      <c r="AI4201">
        <v>4.9800000000000004</v>
      </c>
      <c r="AJ4201">
        <v>31.92</v>
      </c>
      <c r="AK4201">
        <v>23.8</v>
      </c>
      <c r="AL4201">
        <v>-20.136400499999951</v>
      </c>
      <c r="AM4201">
        <v>-44.891173264034883</v>
      </c>
      <c r="AN4201">
        <v>-20.136400499999951</v>
      </c>
      <c r="AO4201">
        <v>-44.891173264034883</v>
      </c>
      <c r="AP4201">
        <v>-20.136451999999998</v>
      </c>
      <c r="AQ4201">
        <v>-44.891254000000004</v>
      </c>
      <c r="AR4201">
        <v>10.20146066113916</v>
      </c>
      <c r="AS4201" t="s">
        <v>65</v>
      </c>
      <c r="AT4201">
        <v>1</v>
      </c>
      <c r="AU4201" t="s">
        <v>691</v>
      </c>
      <c r="AV4201" t="s">
        <v>692</v>
      </c>
      <c r="AW4201" t="s">
        <v>60</v>
      </c>
      <c r="AX4201" t="s">
        <v>68</v>
      </c>
      <c r="AY4201" t="s">
        <v>69</v>
      </c>
      <c r="AZ4201" t="b">
        <v>1</v>
      </c>
    </row>
    <row r="4202" spans="1:52" x14ac:dyDescent="0.3">
      <c r="A4202" t="s">
        <v>52</v>
      </c>
      <c r="B4202" t="s">
        <v>53</v>
      </c>
      <c r="C4202" t="s">
        <v>54</v>
      </c>
      <c r="D4202" t="s">
        <v>55</v>
      </c>
      <c r="E4202" t="s">
        <v>2222</v>
      </c>
      <c r="F4202" t="s">
        <v>190</v>
      </c>
      <c r="G4202" t="s">
        <v>1014</v>
      </c>
      <c r="H4202" t="s">
        <v>1015</v>
      </c>
      <c r="I4202" t="s">
        <v>1015</v>
      </c>
      <c r="J4202" t="s">
        <v>60</v>
      </c>
      <c r="K4202" t="s">
        <v>1016</v>
      </c>
      <c r="L4202" t="s">
        <v>62</v>
      </c>
      <c r="M4202" t="s">
        <v>1016</v>
      </c>
      <c r="N4202" t="s">
        <v>1017</v>
      </c>
      <c r="O4202" t="s">
        <v>1018</v>
      </c>
      <c r="P4202">
        <v>-20.174461000000001</v>
      </c>
      <c r="Q4202">
        <v>-44.868710999999998</v>
      </c>
      <c r="R4202" s="2" t="str">
        <f>HYPERLINK("https://www.google.com/maps?q=-20.1744610,-44.8687110","Abrir no Google Maps")</f>
        <v>Abrir no Google Maps</v>
      </c>
      <c r="S4202">
        <v>3</v>
      </c>
      <c r="T4202">
        <v>435.39504742850158</v>
      </c>
      <c r="U4202">
        <v>4</v>
      </c>
      <c r="V4202">
        <v>0.31812917816049108</v>
      </c>
      <c r="W4202">
        <v>1</v>
      </c>
      <c r="X4202">
        <v>0.31812917816049108</v>
      </c>
      <c r="Y4202">
        <v>422</v>
      </c>
      <c r="Z4202">
        <v>264.99958639233438</v>
      </c>
      <c r="AA4202">
        <v>198</v>
      </c>
      <c r="AB4202">
        <v>332</v>
      </c>
      <c r="AC4202">
        <v>536</v>
      </c>
      <c r="AD4202">
        <v>29.32</v>
      </c>
      <c r="AE4202">
        <v>542</v>
      </c>
      <c r="AF4202">
        <v>27</v>
      </c>
      <c r="AG4202">
        <v>173</v>
      </c>
      <c r="AH4202">
        <v>129</v>
      </c>
      <c r="AI4202">
        <v>4.9800000000000004</v>
      </c>
      <c r="AJ4202">
        <v>31.92</v>
      </c>
      <c r="AK4202">
        <v>23.8</v>
      </c>
      <c r="AL4202">
        <v>-20.174459749999951</v>
      </c>
      <c r="AM4202">
        <v>-44.868877789186897</v>
      </c>
      <c r="AN4202">
        <v>-20.174459749999951</v>
      </c>
      <c r="AO4202">
        <v>-44.868877789186897</v>
      </c>
      <c r="AP4202">
        <v>-20.174461000000001</v>
      </c>
      <c r="AQ4202">
        <v>-44.868710999999998</v>
      </c>
      <c r="AR4202">
        <v>17.42838555603738</v>
      </c>
      <c r="AS4202" t="s">
        <v>65</v>
      </c>
      <c r="AT4202">
        <v>1</v>
      </c>
      <c r="AU4202" t="s">
        <v>1019</v>
      </c>
      <c r="AV4202" t="s">
        <v>1020</v>
      </c>
      <c r="AW4202" t="s">
        <v>60</v>
      </c>
      <c r="AX4202" t="s">
        <v>68</v>
      </c>
      <c r="AY4202" t="s">
        <v>69</v>
      </c>
      <c r="AZ4202" t="b">
        <v>1</v>
      </c>
    </row>
    <row r="4203" spans="1:52" x14ac:dyDescent="0.3">
      <c r="A4203" t="s">
        <v>52</v>
      </c>
      <c r="B4203" t="s">
        <v>53</v>
      </c>
      <c r="C4203" t="s">
        <v>54</v>
      </c>
      <c r="D4203" t="s">
        <v>55</v>
      </c>
      <c r="E4203" t="s">
        <v>2222</v>
      </c>
      <c r="F4203" t="s">
        <v>190</v>
      </c>
      <c r="G4203" t="s">
        <v>1028</v>
      </c>
      <c r="H4203" t="s">
        <v>1029</v>
      </c>
      <c r="I4203" t="s">
        <v>1029</v>
      </c>
      <c r="J4203" t="s">
        <v>60</v>
      </c>
      <c r="K4203" t="s">
        <v>1016</v>
      </c>
      <c r="L4203" t="s">
        <v>62</v>
      </c>
      <c r="M4203" t="s">
        <v>1016</v>
      </c>
      <c r="N4203" t="s">
        <v>1030</v>
      </c>
      <c r="O4203" t="s">
        <v>855</v>
      </c>
      <c r="P4203">
        <v>-20.169778000000001</v>
      </c>
      <c r="Q4203">
        <v>-44.871940000000002</v>
      </c>
      <c r="R4203" s="2" t="str">
        <f>HYPERLINK("https://www.google.com/maps?q=-20.1697780,-44.8719400","Abrir no Google Maps")</f>
        <v>Abrir no Google Maps</v>
      </c>
      <c r="S4203">
        <v>3</v>
      </c>
      <c r="T4203">
        <v>730.45462447863167</v>
      </c>
      <c r="U4203">
        <v>4</v>
      </c>
      <c r="V4203">
        <v>0.31958141260001061</v>
      </c>
      <c r="W4203">
        <v>1</v>
      </c>
      <c r="X4203">
        <v>0.31958141260001061</v>
      </c>
      <c r="Y4203">
        <v>422</v>
      </c>
      <c r="Z4203">
        <v>600.74952959765801</v>
      </c>
      <c r="AA4203">
        <v>198</v>
      </c>
      <c r="AB4203">
        <v>332</v>
      </c>
      <c r="AC4203">
        <v>536</v>
      </c>
      <c r="AD4203">
        <v>29.32</v>
      </c>
      <c r="AE4203">
        <v>542</v>
      </c>
      <c r="AF4203">
        <v>27</v>
      </c>
      <c r="AG4203">
        <v>173</v>
      </c>
      <c r="AH4203">
        <v>129</v>
      </c>
      <c r="AI4203">
        <v>4.9800000000000004</v>
      </c>
      <c r="AJ4203">
        <v>31.92</v>
      </c>
      <c r="AK4203">
        <v>23.8</v>
      </c>
      <c r="AL4203">
        <v>-20.169770599999961</v>
      </c>
      <c r="AM4203">
        <v>-44.871857291666629</v>
      </c>
      <c r="AN4203">
        <v>-20.169770599999961</v>
      </c>
      <c r="AO4203">
        <v>-44.871857291666629</v>
      </c>
      <c r="AP4203">
        <v>-20.169778000000001</v>
      </c>
      <c r="AQ4203">
        <v>-44.871940000000002</v>
      </c>
      <c r="AR4203">
        <v>8.6816379320830315</v>
      </c>
      <c r="AS4203" t="s">
        <v>65</v>
      </c>
      <c r="AT4203">
        <v>1</v>
      </c>
      <c r="AU4203" t="s">
        <v>1031</v>
      </c>
      <c r="AV4203" t="s">
        <v>1032</v>
      </c>
      <c r="AW4203" t="s">
        <v>60</v>
      </c>
      <c r="AX4203" t="s">
        <v>68</v>
      </c>
      <c r="AY4203" t="s">
        <v>69</v>
      </c>
      <c r="AZ4203" t="b">
        <v>1</v>
      </c>
    </row>
    <row r="4204" spans="1:52" x14ac:dyDescent="0.3">
      <c r="A4204" t="s">
        <v>52</v>
      </c>
      <c r="B4204" t="s">
        <v>53</v>
      </c>
      <c r="C4204" t="s">
        <v>54</v>
      </c>
      <c r="D4204" t="s">
        <v>55</v>
      </c>
      <c r="E4204" t="s">
        <v>2222</v>
      </c>
      <c r="F4204" t="s">
        <v>190</v>
      </c>
      <c r="G4204" t="s">
        <v>693</v>
      </c>
      <c r="H4204" t="s">
        <v>694</v>
      </c>
      <c r="I4204" t="s">
        <v>694</v>
      </c>
      <c r="J4204" t="s">
        <v>60</v>
      </c>
      <c r="K4204" t="s">
        <v>695</v>
      </c>
      <c r="L4204" t="s">
        <v>62</v>
      </c>
      <c r="M4204" t="s">
        <v>695</v>
      </c>
      <c r="N4204" t="s">
        <v>696</v>
      </c>
      <c r="O4204" t="s">
        <v>697</v>
      </c>
      <c r="P4204">
        <v>-20.174917000000001</v>
      </c>
      <c r="Q4204">
        <v>-44.857677000000002</v>
      </c>
      <c r="R4204" s="2" t="str">
        <f>HYPERLINK("https://www.google.com/maps?q=-20.1749170,-44.8576770","Abrir no Google Maps")</f>
        <v>Abrir no Google Maps</v>
      </c>
      <c r="S4204">
        <v>3</v>
      </c>
      <c r="T4204">
        <v>850.52349144267646</v>
      </c>
      <c r="U4204">
        <v>4</v>
      </c>
      <c r="V4204">
        <v>0.3613287941674827</v>
      </c>
      <c r="W4204">
        <v>1</v>
      </c>
      <c r="X4204">
        <v>0.3613287941674827</v>
      </c>
      <c r="Y4204">
        <v>422</v>
      </c>
      <c r="Z4204">
        <v>1042.4685698911451</v>
      </c>
      <c r="AA4204">
        <v>198</v>
      </c>
      <c r="AB4204">
        <v>332</v>
      </c>
      <c r="AC4204">
        <v>536</v>
      </c>
      <c r="AD4204">
        <v>29.32</v>
      </c>
      <c r="AE4204">
        <v>542</v>
      </c>
      <c r="AF4204">
        <v>27</v>
      </c>
      <c r="AG4204">
        <v>173</v>
      </c>
      <c r="AH4204">
        <v>129</v>
      </c>
      <c r="AI4204">
        <v>4.9800000000000004</v>
      </c>
      <c r="AJ4204">
        <v>31.92</v>
      </c>
      <c r="AK4204">
        <v>23.8</v>
      </c>
      <c r="AL4204">
        <v>-20.17483459999994</v>
      </c>
      <c r="AM4204">
        <v>-44.857715667542379</v>
      </c>
      <c r="AN4204">
        <v>-20.17483459999994</v>
      </c>
      <c r="AO4204">
        <v>-44.857715667542379</v>
      </c>
      <c r="AP4204">
        <v>-20.174917000000001</v>
      </c>
      <c r="AQ4204">
        <v>-44.857677000000002</v>
      </c>
      <c r="AR4204">
        <v>10.02318555136439</v>
      </c>
      <c r="AS4204" t="s">
        <v>65</v>
      </c>
      <c r="AT4204">
        <v>1</v>
      </c>
      <c r="AU4204" t="s">
        <v>698</v>
      </c>
      <c r="AV4204" t="s">
        <v>699</v>
      </c>
      <c r="AW4204" t="s">
        <v>60</v>
      </c>
      <c r="AX4204" t="s">
        <v>68</v>
      </c>
      <c r="AY4204" t="s">
        <v>69</v>
      </c>
      <c r="AZ4204" t="b">
        <v>1</v>
      </c>
    </row>
    <row r="4205" spans="1:52" x14ac:dyDescent="0.3">
      <c r="A4205" t="s">
        <v>52</v>
      </c>
      <c r="B4205" t="s">
        <v>53</v>
      </c>
      <c r="C4205" t="s">
        <v>54</v>
      </c>
      <c r="D4205" t="s">
        <v>55</v>
      </c>
      <c r="E4205" t="s">
        <v>2222</v>
      </c>
      <c r="F4205" t="s">
        <v>190</v>
      </c>
      <c r="G4205" t="s">
        <v>1039</v>
      </c>
      <c r="H4205" t="s">
        <v>1040</v>
      </c>
      <c r="I4205" t="s">
        <v>1040</v>
      </c>
      <c r="J4205" t="s">
        <v>60</v>
      </c>
      <c r="K4205" t="s">
        <v>1023</v>
      </c>
      <c r="L4205" t="s">
        <v>62</v>
      </c>
      <c r="M4205" t="s">
        <v>1023</v>
      </c>
      <c r="N4205" t="s">
        <v>1041</v>
      </c>
      <c r="O4205" t="s">
        <v>738</v>
      </c>
      <c r="P4205">
        <v>-20.172284000000001</v>
      </c>
      <c r="Q4205">
        <v>-44.865392999999997</v>
      </c>
      <c r="R4205" s="2" t="str">
        <f>HYPERLINK("https://www.google.com/maps?q=-20.1722840,-44.8653930","Abrir no Google Maps")</f>
        <v>Abrir no Google Maps</v>
      </c>
      <c r="S4205">
        <v>3</v>
      </c>
      <c r="T4205">
        <v>0</v>
      </c>
      <c r="U4205">
        <v>4</v>
      </c>
      <c r="V4205">
        <v>0.31962667024776731</v>
      </c>
      <c r="W4205">
        <v>1</v>
      </c>
      <c r="X4205">
        <v>0.31962667024776731</v>
      </c>
      <c r="Y4205">
        <v>422</v>
      </c>
      <c r="Z4205">
        <v>202.96804500763591</v>
      </c>
      <c r="AA4205">
        <v>198</v>
      </c>
      <c r="AB4205">
        <v>332</v>
      </c>
      <c r="AC4205">
        <v>536</v>
      </c>
      <c r="AD4205">
        <v>29.32</v>
      </c>
      <c r="AE4205">
        <v>542</v>
      </c>
      <c r="AF4205">
        <v>27</v>
      </c>
      <c r="AG4205">
        <v>173</v>
      </c>
      <c r="AH4205">
        <v>129</v>
      </c>
      <c r="AI4205">
        <v>4.9800000000000004</v>
      </c>
      <c r="AJ4205">
        <v>31.92</v>
      </c>
      <c r="AK4205">
        <v>23.8</v>
      </c>
      <c r="AL4205">
        <v>-20.17229514999994</v>
      </c>
      <c r="AM4205">
        <v>-44.865398249858011</v>
      </c>
      <c r="AN4205">
        <v>-20.17229514999994</v>
      </c>
      <c r="AO4205">
        <v>-44.865398249858011</v>
      </c>
      <c r="AP4205">
        <v>-20.172284000000001</v>
      </c>
      <c r="AQ4205">
        <v>-44.865392999999997</v>
      </c>
      <c r="AR4205">
        <v>1.357036084497409</v>
      </c>
      <c r="AS4205" t="s">
        <v>65</v>
      </c>
      <c r="AT4205">
        <v>1</v>
      </c>
      <c r="AU4205" t="s">
        <v>1042</v>
      </c>
      <c r="AV4205" t="s">
        <v>1043</v>
      </c>
      <c r="AW4205" t="s">
        <v>60</v>
      </c>
      <c r="AX4205" t="s">
        <v>68</v>
      </c>
      <c r="AY4205" t="s">
        <v>69</v>
      </c>
      <c r="AZ4205" t="b">
        <v>1</v>
      </c>
    </row>
    <row r="4206" spans="1:52" x14ac:dyDescent="0.3">
      <c r="A4206" t="s">
        <v>52</v>
      </c>
      <c r="B4206" t="s">
        <v>53</v>
      </c>
      <c r="C4206" t="s">
        <v>54</v>
      </c>
      <c r="D4206" t="s">
        <v>55</v>
      </c>
      <c r="E4206" t="s">
        <v>2222</v>
      </c>
      <c r="F4206" t="s">
        <v>190</v>
      </c>
      <c r="G4206" t="s">
        <v>700</v>
      </c>
      <c r="H4206" t="s">
        <v>701</v>
      </c>
      <c r="I4206" t="s">
        <v>701</v>
      </c>
      <c r="J4206" t="s">
        <v>60</v>
      </c>
      <c r="K4206" t="s">
        <v>702</v>
      </c>
      <c r="L4206" t="s">
        <v>62</v>
      </c>
      <c r="M4206" t="s">
        <v>702</v>
      </c>
      <c r="N4206" t="s">
        <v>703</v>
      </c>
      <c r="O4206" t="s">
        <v>315</v>
      </c>
      <c r="P4206">
        <v>-20.172599000000002</v>
      </c>
      <c r="Q4206">
        <v>-44.85915</v>
      </c>
      <c r="R4206" s="2" t="str">
        <f>HYPERLINK("https://www.google.com/maps?q=-20.1725990,-44.8591500","Abrir no Google Maps")</f>
        <v>Abrir no Google Maps</v>
      </c>
      <c r="S4206">
        <v>3</v>
      </c>
      <c r="T4206">
        <v>665.1003223445598</v>
      </c>
      <c r="U4206">
        <v>4</v>
      </c>
      <c r="V4206">
        <v>0.32432716680840218</v>
      </c>
      <c r="W4206">
        <v>1</v>
      </c>
      <c r="X4206">
        <v>0.32432716680840218</v>
      </c>
      <c r="Y4206">
        <v>422</v>
      </c>
      <c r="Z4206">
        <v>843.09189615634341</v>
      </c>
      <c r="AA4206">
        <v>198</v>
      </c>
      <c r="AB4206">
        <v>332</v>
      </c>
      <c r="AC4206">
        <v>536</v>
      </c>
      <c r="AD4206">
        <v>29.32</v>
      </c>
      <c r="AE4206">
        <v>542</v>
      </c>
      <c r="AF4206">
        <v>27</v>
      </c>
      <c r="AG4206">
        <v>173</v>
      </c>
      <c r="AH4206">
        <v>129</v>
      </c>
      <c r="AI4206">
        <v>4.9800000000000004</v>
      </c>
      <c r="AJ4206">
        <v>31.92</v>
      </c>
      <c r="AK4206">
        <v>23.8</v>
      </c>
      <c r="AL4206">
        <v>-20.172576899999971</v>
      </c>
      <c r="AM4206">
        <v>-44.859040110359317</v>
      </c>
      <c r="AN4206">
        <v>-20.172576899999971</v>
      </c>
      <c r="AO4206">
        <v>-44.859040110359317</v>
      </c>
      <c r="AP4206">
        <v>-20.172599000000002</v>
      </c>
      <c r="AQ4206">
        <v>-44.85915</v>
      </c>
      <c r="AR4206">
        <v>11.743118835828479</v>
      </c>
      <c r="AS4206" t="s">
        <v>65</v>
      </c>
      <c r="AT4206">
        <v>1</v>
      </c>
      <c r="AU4206" t="s">
        <v>704</v>
      </c>
      <c r="AV4206" t="s">
        <v>705</v>
      </c>
      <c r="AW4206" t="s">
        <v>60</v>
      </c>
      <c r="AX4206" t="s">
        <v>68</v>
      </c>
      <c r="AY4206" t="s">
        <v>69</v>
      </c>
      <c r="AZ4206" t="b">
        <v>1</v>
      </c>
    </row>
    <row r="4207" spans="1:52" x14ac:dyDescent="0.3">
      <c r="A4207" t="s">
        <v>52</v>
      </c>
      <c r="B4207" t="s">
        <v>53</v>
      </c>
      <c r="C4207" t="s">
        <v>54</v>
      </c>
      <c r="D4207" t="s">
        <v>55</v>
      </c>
      <c r="E4207" t="s">
        <v>2222</v>
      </c>
      <c r="F4207" t="s">
        <v>190</v>
      </c>
      <c r="G4207" t="s">
        <v>1044</v>
      </c>
      <c r="H4207" t="s">
        <v>1045</v>
      </c>
      <c r="I4207" t="s">
        <v>1045</v>
      </c>
      <c r="J4207" t="s">
        <v>60</v>
      </c>
      <c r="K4207" t="s">
        <v>702</v>
      </c>
      <c r="L4207" t="s">
        <v>62</v>
      </c>
      <c r="M4207" t="s">
        <v>702</v>
      </c>
      <c r="N4207" t="s">
        <v>983</v>
      </c>
      <c r="O4207" t="s">
        <v>1046</v>
      </c>
      <c r="P4207">
        <v>-20.172056000000001</v>
      </c>
      <c r="Q4207">
        <v>-44.861556999999998</v>
      </c>
      <c r="R4207" s="2" t="str">
        <f>HYPERLINK("https://www.google.com/maps?q=-20.1720560,-44.8615570","Abrir no Google Maps")</f>
        <v>Abrir no Google Maps</v>
      </c>
      <c r="S4207">
        <v>3</v>
      </c>
      <c r="T4207">
        <v>387.50881633442719</v>
      </c>
      <c r="U4207">
        <v>4</v>
      </c>
      <c r="V4207">
        <v>0.3162697274031564</v>
      </c>
      <c r="W4207">
        <v>1</v>
      </c>
      <c r="X4207">
        <v>0.3162697274031564</v>
      </c>
      <c r="Y4207">
        <v>422</v>
      </c>
      <c r="Z4207">
        <v>592.01060063884404</v>
      </c>
      <c r="AA4207">
        <v>198</v>
      </c>
      <c r="AB4207">
        <v>332</v>
      </c>
      <c r="AC4207">
        <v>536</v>
      </c>
      <c r="AD4207">
        <v>29.32</v>
      </c>
      <c r="AE4207">
        <v>542</v>
      </c>
      <c r="AF4207">
        <v>27</v>
      </c>
      <c r="AG4207">
        <v>173</v>
      </c>
      <c r="AH4207">
        <v>129</v>
      </c>
      <c r="AI4207">
        <v>4.9800000000000004</v>
      </c>
      <c r="AJ4207">
        <v>31.92</v>
      </c>
      <c r="AK4207">
        <v>23.8</v>
      </c>
      <c r="AL4207">
        <v>-20.171880149999961</v>
      </c>
      <c r="AM4207">
        <v>-44.861715860253369</v>
      </c>
      <c r="AN4207">
        <v>-20.171880149999961</v>
      </c>
      <c r="AO4207">
        <v>-44.861715860253369</v>
      </c>
      <c r="AP4207">
        <v>-20.172056000000001</v>
      </c>
      <c r="AQ4207">
        <v>-44.861556999999998</v>
      </c>
      <c r="AR4207">
        <v>25.66616443825145</v>
      </c>
      <c r="AS4207" t="s">
        <v>65</v>
      </c>
      <c r="AT4207">
        <v>1</v>
      </c>
      <c r="AU4207" t="s">
        <v>1047</v>
      </c>
      <c r="AV4207" t="s">
        <v>705</v>
      </c>
      <c r="AW4207" t="s">
        <v>60</v>
      </c>
      <c r="AX4207" t="s">
        <v>68</v>
      </c>
      <c r="AY4207" t="s">
        <v>69</v>
      </c>
      <c r="AZ4207" t="b">
        <v>1</v>
      </c>
    </row>
    <row r="4208" spans="1:52" x14ac:dyDescent="0.3">
      <c r="A4208" t="s">
        <v>52</v>
      </c>
      <c r="B4208" t="s">
        <v>53</v>
      </c>
      <c r="C4208" t="s">
        <v>54</v>
      </c>
      <c r="D4208" t="s">
        <v>55</v>
      </c>
      <c r="E4208" t="s">
        <v>2222</v>
      </c>
      <c r="F4208" t="s">
        <v>190</v>
      </c>
      <c r="G4208" t="s">
        <v>706</v>
      </c>
      <c r="H4208" t="s">
        <v>707</v>
      </c>
      <c r="I4208" t="s">
        <v>707</v>
      </c>
      <c r="J4208" t="s">
        <v>60</v>
      </c>
      <c r="K4208" t="s">
        <v>708</v>
      </c>
      <c r="L4208" t="s">
        <v>62</v>
      </c>
      <c r="M4208" t="s">
        <v>708</v>
      </c>
      <c r="N4208" t="s">
        <v>709</v>
      </c>
      <c r="O4208" t="s">
        <v>710</v>
      </c>
      <c r="P4208">
        <v>-20.127054999999999</v>
      </c>
      <c r="Q4208">
        <v>-44.872073</v>
      </c>
      <c r="R4208" s="2" t="str">
        <f>HYPERLINK("https://www.google.com/maps?q=-20.1270550,-44.8720730","Abrir no Google Maps")</f>
        <v>Abrir no Google Maps</v>
      </c>
      <c r="S4208">
        <v>3</v>
      </c>
      <c r="T4208">
        <v>395.91108553086929</v>
      </c>
      <c r="U4208">
        <v>4</v>
      </c>
      <c r="V4208">
        <v>0.33304199970545312</v>
      </c>
      <c r="W4208">
        <v>1</v>
      </c>
      <c r="X4208">
        <v>0.33304199970545312</v>
      </c>
      <c r="Y4208">
        <v>387</v>
      </c>
      <c r="Z4208">
        <v>518.31496622382247</v>
      </c>
      <c r="AA4208">
        <v>198</v>
      </c>
      <c r="AB4208">
        <v>332</v>
      </c>
      <c r="AC4208">
        <v>536</v>
      </c>
      <c r="AD4208">
        <v>29.32</v>
      </c>
      <c r="AE4208">
        <v>542</v>
      </c>
      <c r="AF4208">
        <v>27</v>
      </c>
      <c r="AG4208">
        <v>173</v>
      </c>
      <c r="AH4208">
        <v>129</v>
      </c>
      <c r="AI4208">
        <v>4.9800000000000004</v>
      </c>
      <c r="AJ4208">
        <v>31.92</v>
      </c>
      <c r="AK4208">
        <v>23.8</v>
      </c>
      <c r="AL4208">
        <v>-20.126854749999978</v>
      </c>
      <c r="AM4208">
        <v>-44.871712455027861</v>
      </c>
      <c r="AN4208">
        <v>-20.126854749999978</v>
      </c>
      <c r="AO4208">
        <v>-44.871712455027861</v>
      </c>
      <c r="AP4208">
        <v>-20.127054999999999</v>
      </c>
      <c r="AQ4208">
        <v>-44.872073</v>
      </c>
      <c r="AR4208">
        <v>43.784435535392717</v>
      </c>
      <c r="AS4208" t="s">
        <v>65</v>
      </c>
      <c r="AT4208">
        <v>1</v>
      </c>
      <c r="AU4208" t="s">
        <v>711</v>
      </c>
      <c r="AV4208" t="s">
        <v>712</v>
      </c>
      <c r="AW4208" t="s">
        <v>60</v>
      </c>
      <c r="AX4208" t="s">
        <v>68</v>
      </c>
      <c r="AY4208" t="s">
        <v>69</v>
      </c>
      <c r="AZ4208" t="b">
        <v>1</v>
      </c>
    </row>
    <row r="4209" spans="1:52" x14ac:dyDescent="0.3">
      <c r="A4209" t="s">
        <v>52</v>
      </c>
      <c r="B4209" t="s">
        <v>53</v>
      </c>
      <c r="C4209" t="s">
        <v>54</v>
      </c>
      <c r="D4209" t="s">
        <v>55</v>
      </c>
      <c r="E4209" t="s">
        <v>2222</v>
      </c>
      <c r="F4209" t="s">
        <v>190</v>
      </c>
      <c r="G4209" t="s">
        <v>713</v>
      </c>
      <c r="H4209" t="s">
        <v>714</v>
      </c>
      <c r="I4209" t="s">
        <v>714</v>
      </c>
      <c r="J4209" t="s">
        <v>60</v>
      </c>
      <c r="K4209" t="s">
        <v>708</v>
      </c>
      <c r="L4209" t="s">
        <v>62</v>
      </c>
      <c r="M4209" t="s">
        <v>708</v>
      </c>
      <c r="N4209" t="s">
        <v>715</v>
      </c>
      <c r="O4209" t="s">
        <v>604</v>
      </c>
      <c r="P4209">
        <v>-20.133372000000001</v>
      </c>
      <c r="Q4209">
        <v>-44.878864</v>
      </c>
      <c r="R4209" s="2" t="str">
        <f>HYPERLINK("https://www.google.com/maps?q=-20.1333720,-44.8788640","Abrir no Google Maps")</f>
        <v>Abrir no Google Maps</v>
      </c>
      <c r="S4209">
        <v>3</v>
      </c>
      <c r="T4209">
        <v>719.22842848296966</v>
      </c>
      <c r="U4209">
        <v>4</v>
      </c>
      <c r="V4209">
        <v>0.3473930519470132</v>
      </c>
      <c r="W4209">
        <v>1</v>
      </c>
      <c r="X4209">
        <v>0.3473930519470132</v>
      </c>
      <c r="Y4209">
        <v>387</v>
      </c>
      <c r="Z4209">
        <v>630.8628365125652</v>
      </c>
      <c r="AA4209">
        <v>198</v>
      </c>
      <c r="AB4209">
        <v>332</v>
      </c>
      <c r="AC4209">
        <v>536</v>
      </c>
      <c r="AD4209">
        <v>29.32</v>
      </c>
      <c r="AE4209">
        <v>542</v>
      </c>
      <c r="AF4209">
        <v>27</v>
      </c>
      <c r="AG4209">
        <v>173</v>
      </c>
      <c r="AH4209">
        <v>129</v>
      </c>
      <c r="AI4209">
        <v>4.9800000000000004</v>
      </c>
      <c r="AJ4209">
        <v>31.92</v>
      </c>
      <c r="AK4209">
        <v>23.8</v>
      </c>
      <c r="AL4209">
        <v>-20.133312349999951</v>
      </c>
      <c r="AM4209">
        <v>-44.879452111094892</v>
      </c>
      <c r="AN4209">
        <v>-20.133312349999951</v>
      </c>
      <c r="AO4209">
        <v>-44.879452111094892</v>
      </c>
      <c r="AP4209">
        <v>-20.133372000000001</v>
      </c>
      <c r="AQ4209">
        <v>-44.878864</v>
      </c>
      <c r="AR4209">
        <v>61.825649864116713</v>
      </c>
      <c r="AS4209" t="s">
        <v>65</v>
      </c>
      <c r="AT4209">
        <v>1</v>
      </c>
      <c r="AU4209" t="s">
        <v>716</v>
      </c>
      <c r="AV4209" t="s">
        <v>717</v>
      </c>
      <c r="AW4209" t="s">
        <v>60</v>
      </c>
      <c r="AX4209" t="s">
        <v>68</v>
      </c>
      <c r="AY4209" t="s">
        <v>69</v>
      </c>
      <c r="AZ4209" t="b">
        <v>1</v>
      </c>
    </row>
    <row r="4210" spans="1:52" x14ac:dyDescent="0.3">
      <c r="A4210" t="s">
        <v>52</v>
      </c>
      <c r="B4210" t="s">
        <v>53</v>
      </c>
      <c r="C4210" t="s">
        <v>54</v>
      </c>
      <c r="D4210" t="s">
        <v>55</v>
      </c>
      <c r="E4210" t="s">
        <v>2222</v>
      </c>
      <c r="F4210" t="s">
        <v>190</v>
      </c>
      <c r="G4210" t="s">
        <v>718</v>
      </c>
      <c r="H4210" t="s">
        <v>719</v>
      </c>
      <c r="I4210" t="s">
        <v>719</v>
      </c>
      <c r="J4210" t="s">
        <v>60</v>
      </c>
      <c r="K4210" t="s">
        <v>708</v>
      </c>
      <c r="L4210" t="s">
        <v>62</v>
      </c>
      <c r="M4210" t="s">
        <v>708</v>
      </c>
      <c r="N4210" t="s">
        <v>720</v>
      </c>
      <c r="O4210" t="s">
        <v>721</v>
      </c>
      <c r="P4210">
        <v>-20.130344000000001</v>
      </c>
      <c r="Q4210">
        <v>-44.878869000000002</v>
      </c>
      <c r="R4210" s="2" t="str">
        <f>HYPERLINK("https://www.google.com/maps?q=-20.1303440,-44.8788690","Abrir no Google Maps")</f>
        <v>Abrir no Google Maps</v>
      </c>
      <c r="S4210">
        <v>3</v>
      </c>
      <c r="T4210">
        <v>556.14753541089829</v>
      </c>
      <c r="U4210">
        <v>4</v>
      </c>
      <c r="V4210">
        <v>0.33770034843205571</v>
      </c>
      <c r="W4210">
        <v>1</v>
      </c>
      <c r="X4210">
        <v>0.33770034843205571</v>
      </c>
      <c r="Y4210">
        <v>387</v>
      </c>
      <c r="Z4210">
        <v>521.53850378132177</v>
      </c>
      <c r="AA4210">
        <v>198</v>
      </c>
      <c r="AB4210">
        <v>332</v>
      </c>
      <c r="AC4210">
        <v>536</v>
      </c>
      <c r="AD4210">
        <v>29.32</v>
      </c>
      <c r="AE4210">
        <v>542</v>
      </c>
      <c r="AF4210">
        <v>27</v>
      </c>
      <c r="AG4210">
        <v>173</v>
      </c>
      <c r="AH4210">
        <v>129</v>
      </c>
      <c r="AI4210">
        <v>4.9800000000000004</v>
      </c>
      <c r="AJ4210">
        <v>31.92</v>
      </c>
      <c r="AK4210">
        <v>23.8</v>
      </c>
      <c r="AL4210">
        <v>-20.13050289999995</v>
      </c>
      <c r="AM4210">
        <v>-44.878831282856943</v>
      </c>
      <c r="AN4210">
        <v>-20.13050289999995</v>
      </c>
      <c r="AO4210">
        <v>-44.878831282856943</v>
      </c>
      <c r="AP4210">
        <v>-20.130344000000001</v>
      </c>
      <c r="AQ4210">
        <v>-44.878869000000002</v>
      </c>
      <c r="AR4210">
        <v>18.122709277240279</v>
      </c>
      <c r="AS4210" t="s">
        <v>65</v>
      </c>
      <c r="AT4210">
        <v>1</v>
      </c>
      <c r="AU4210" t="s">
        <v>722</v>
      </c>
      <c r="AV4210" t="s">
        <v>723</v>
      </c>
      <c r="AW4210" t="s">
        <v>60</v>
      </c>
      <c r="AX4210" t="s">
        <v>68</v>
      </c>
      <c r="AY4210" t="s">
        <v>69</v>
      </c>
      <c r="AZ4210" t="b">
        <v>1</v>
      </c>
    </row>
    <row r="4211" spans="1:52" x14ac:dyDescent="0.3">
      <c r="A4211" t="s">
        <v>52</v>
      </c>
      <c r="B4211" t="s">
        <v>53</v>
      </c>
      <c r="C4211" t="s">
        <v>54</v>
      </c>
      <c r="D4211" t="s">
        <v>55</v>
      </c>
      <c r="E4211" t="s">
        <v>2222</v>
      </c>
      <c r="F4211" t="s">
        <v>190</v>
      </c>
      <c r="G4211" t="s">
        <v>724</v>
      </c>
      <c r="H4211" t="s">
        <v>725</v>
      </c>
      <c r="I4211" t="s">
        <v>725</v>
      </c>
      <c r="J4211" t="s">
        <v>60</v>
      </c>
      <c r="K4211" t="s">
        <v>708</v>
      </c>
      <c r="L4211" t="s">
        <v>62</v>
      </c>
      <c r="M4211" t="s">
        <v>708</v>
      </c>
      <c r="N4211" t="s">
        <v>726</v>
      </c>
      <c r="O4211" t="s">
        <v>727</v>
      </c>
      <c r="P4211">
        <v>-20.131702000000001</v>
      </c>
      <c r="Q4211">
        <v>-44.873930999999999</v>
      </c>
      <c r="R4211" s="2" t="str">
        <f>HYPERLINK("https://www.google.com/maps?q=-20.1317020,-44.8739310","Abrir no Google Maps")</f>
        <v>Abrir no Google Maps</v>
      </c>
      <c r="S4211">
        <v>3</v>
      </c>
      <c r="T4211">
        <v>207.9085436463628</v>
      </c>
      <c r="U4211">
        <v>4</v>
      </c>
      <c r="V4211">
        <v>0.321740150238567</v>
      </c>
      <c r="W4211">
        <v>1</v>
      </c>
      <c r="X4211">
        <v>0.321740150238567</v>
      </c>
      <c r="Y4211">
        <v>387</v>
      </c>
      <c r="Z4211">
        <v>213.98086855276571</v>
      </c>
      <c r="AA4211">
        <v>198</v>
      </c>
      <c r="AB4211">
        <v>332</v>
      </c>
      <c r="AC4211">
        <v>536</v>
      </c>
      <c r="AD4211">
        <v>29.32</v>
      </c>
      <c r="AE4211">
        <v>542</v>
      </c>
      <c r="AF4211">
        <v>27</v>
      </c>
      <c r="AG4211">
        <v>173</v>
      </c>
      <c r="AH4211">
        <v>129</v>
      </c>
      <c r="AI4211">
        <v>4.9800000000000004</v>
      </c>
      <c r="AJ4211">
        <v>31.92</v>
      </c>
      <c r="AK4211">
        <v>23.8</v>
      </c>
      <c r="AL4211">
        <v>-20.131807549999959</v>
      </c>
      <c r="AM4211">
        <v>-44.874039553784442</v>
      </c>
      <c r="AN4211">
        <v>-20.131807549999959</v>
      </c>
      <c r="AO4211">
        <v>-44.874039553784442</v>
      </c>
      <c r="AP4211">
        <v>-20.131702000000001</v>
      </c>
      <c r="AQ4211">
        <v>-44.873930999999999</v>
      </c>
      <c r="AR4211">
        <v>16.333643574998401</v>
      </c>
      <c r="AS4211" t="s">
        <v>65</v>
      </c>
      <c r="AT4211">
        <v>1</v>
      </c>
      <c r="AU4211" t="s">
        <v>728</v>
      </c>
      <c r="AV4211" t="s">
        <v>729</v>
      </c>
      <c r="AW4211" t="s">
        <v>60</v>
      </c>
      <c r="AX4211" t="s">
        <v>68</v>
      </c>
      <c r="AY4211" t="s">
        <v>69</v>
      </c>
      <c r="AZ4211" t="b">
        <v>1</v>
      </c>
    </row>
    <row r="4212" spans="1:52" x14ac:dyDescent="0.3">
      <c r="A4212" t="s">
        <v>52</v>
      </c>
      <c r="B4212" t="s">
        <v>53</v>
      </c>
      <c r="C4212" t="s">
        <v>54</v>
      </c>
      <c r="D4212" t="s">
        <v>55</v>
      </c>
      <c r="E4212" t="s">
        <v>2222</v>
      </c>
      <c r="F4212" t="s">
        <v>190</v>
      </c>
      <c r="G4212" t="s">
        <v>706</v>
      </c>
      <c r="H4212" t="s">
        <v>730</v>
      </c>
      <c r="I4212" t="s">
        <v>730</v>
      </c>
      <c r="J4212" t="s">
        <v>60</v>
      </c>
      <c r="K4212" t="s">
        <v>708</v>
      </c>
      <c r="L4212" t="s">
        <v>62</v>
      </c>
      <c r="M4212" t="s">
        <v>708</v>
      </c>
      <c r="N4212" t="s">
        <v>709</v>
      </c>
      <c r="O4212" t="s">
        <v>731</v>
      </c>
      <c r="P4212">
        <v>-20.130037999999999</v>
      </c>
      <c r="Q4212">
        <v>-44.873514</v>
      </c>
      <c r="R4212" s="2" t="str">
        <f>HYPERLINK("https://www.google.com/maps?q=-20.1300380,-44.8735140","Abrir no Google Maps")</f>
        <v>Abrir no Google Maps</v>
      </c>
      <c r="S4212">
        <v>3</v>
      </c>
      <c r="T4212">
        <v>0</v>
      </c>
      <c r="U4212">
        <v>4</v>
      </c>
      <c r="V4212">
        <v>0.33483032606096041</v>
      </c>
      <c r="W4212">
        <v>1</v>
      </c>
      <c r="X4212">
        <v>0.33483032606096041</v>
      </c>
      <c r="Y4212">
        <v>387</v>
      </c>
      <c r="Z4212">
        <v>108.0014931591698</v>
      </c>
      <c r="AA4212">
        <v>198</v>
      </c>
      <c r="AB4212">
        <v>332</v>
      </c>
      <c r="AC4212">
        <v>536</v>
      </c>
      <c r="AD4212">
        <v>29.32</v>
      </c>
      <c r="AE4212">
        <v>542</v>
      </c>
      <c r="AF4212">
        <v>27</v>
      </c>
      <c r="AG4212">
        <v>173</v>
      </c>
      <c r="AH4212">
        <v>129</v>
      </c>
      <c r="AI4212">
        <v>4.9800000000000004</v>
      </c>
      <c r="AJ4212">
        <v>31.92</v>
      </c>
      <c r="AK4212">
        <v>23.8</v>
      </c>
      <c r="AL4212">
        <v>-20.12998944999995</v>
      </c>
      <c r="AM4212">
        <v>-44.873538114227337</v>
      </c>
      <c r="AN4212">
        <v>-20.12998944999995</v>
      </c>
      <c r="AO4212">
        <v>-44.873538114227337</v>
      </c>
      <c r="AP4212">
        <v>-20.130037999999999</v>
      </c>
      <c r="AQ4212">
        <v>-44.873514</v>
      </c>
      <c r="AR4212">
        <v>5.9633928268280867</v>
      </c>
      <c r="AS4212" t="s">
        <v>65</v>
      </c>
      <c r="AT4212">
        <v>1</v>
      </c>
      <c r="AU4212" t="s">
        <v>732</v>
      </c>
      <c r="AV4212" t="s">
        <v>733</v>
      </c>
      <c r="AW4212" t="s">
        <v>60</v>
      </c>
      <c r="AX4212" t="s">
        <v>68</v>
      </c>
      <c r="AY4212" t="s">
        <v>69</v>
      </c>
      <c r="AZ4212" t="b">
        <v>1</v>
      </c>
    </row>
    <row r="4213" spans="1:52" x14ac:dyDescent="0.3">
      <c r="A4213" t="s">
        <v>52</v>
      </c>
      <c r="B4213" t="s">
        <v>53</v>
      </c>
      <c r="C4213" t="s">
        <v>54</v>
      </c>
      <c r="D4213" t="s">
        <v>55</v>
      </c>
      <c r="E4213" t="s">
        <v>2222</v>
      </c>
      <c r="F4213" t="s">
        <v>190</v>
      </c>
      <c r="G4213" t="s">
        <v>741</v>
      </c>
      <c r="H4213" t="s">
        <v>742</v>
      </c>
      <c r="I4213" t="s">
        <v>742</v>
      </c>
      <c r="J4213" t="s">
        <v>60</v>
      </c>
      <c r="K4213" t="s">
        <v>688</v>
      </c>
      <c r="L4213" t="s">
        <v>62</v>
      </c>
      <c r="M4213" t="s">
        <v>688</v>
      </c>
      <c r="N4213" t="s">
        <v>743</v>
      </c>
      <c r="O4213" t="s">
        <v>744</v>
      </c>
      <c r="P4213">
        <v>-20.136733</v>
      </c>
      <c r="Q4213">
        <v>-44.888140999999997</v>
      </c>
      <c r="R4213" s="2" t="str">
        <f>HYPERLINK("https://www.google.com/maps?q=-20.1367330,-44.8881410","Abrir no Google Maps")</f>
        <v>Abrir no Google Maps</v>
      </c>
      <c r="S4213">
        <v>3</v>
      </c>
      <c r="T4213">
        <v>175.84339996559589</v>
      </c>
      <c r="U4213">
        <v>4</v>
      </c>
      <c r="V4213">
        <v>0.3442384018259505</v>
      </c>
      <c r="W4213">
        <v>1</v>
      </c>
      <c r="X4213">
        <v>0.3442384018259505</v>
      </c>
      <c r="Y4213">
        <v>350</v>
      </c>
      <c r="Z4213">
        <v>171.90575296051961</v>
      </c>
      <c r="AA4213">
        <v>198</v>
      </c>
      <c r="AB4213">
        <v>332</v>
      </c>
      <c r="AC4213">
        <v>536</v>
      </c>
      <c r="AD4213">
        <v>29.32</v>
      </c>
      <c r="AE4213">
        <v>542</v>
      </c>
      <c r="AF4213">
        <v>27</v>
      </c>
      <c r="AG4213">
        <v>173</v>
      </c>
      <c r="AH4213">
        <v>129</v>
      </c>
      <c r="AI4213">
        <v>4.9800000000000004</v>
      </c>
      <c r="AJ4213">
        <v>31.92</v>
      </c>
      <c r="AK4213">
        <v>23.8</v>
      </c>
      <c r="AL4213">
        <v>-20.136726099999979</v>
      </c>
      <c r="AM4213">
        <v>-44.888062077766982</v>
      </c>
      <c r="AN4213">
        <v>-20.136726099999979</v>
      </c>
      <c r="AO4213">
        <v>-44.888062077766982</v>
      </c>
      <c r="AP4213">
        <v>-20.136733</v>
      </c>
      <c r="AQ4213">
        <v>-44.888140999999997</v>
      </c>
      <c r="AR4213">
        <v>8.2842769013797852</v>
      </c>
      <c r="AS4213" t="s">
        <v>65</v>
      </c>
      <c r="AT4213">
        <v>1</v>
      </c>
      <c r="AU4213" t="s">
        <v>745</v>
      </c>
      <c r="AV4213" t="s">
        <v>746</v>
      </c>
      <c r="AW4213" t="s">
        <v>60</v>
      </c>
      <c r="AX4213" t="s">
        <v>68</v>
      </c>
      <c r="AY4213" t="s">
        <v>69</v>
      </c>
      <c r="AZ4213" t="b">
        <v>1</v>
      </c>
    </row>
    <row r="4214" spans="1:52" x14ac:dyDescent="0.3">
      <c r="A4214" t="s">
        <v>52</v>
      </c>
      <c r="B4214" t="s">
        <v>53</v>
      </c>
      <c r="C4214" t="s">
        <v>54</v>
      </c>
      <c r="D4214" t="s">
        <v>55</v>
      </c>
      <c r="E4214" t="s">
        <v>2222</v>
      </c>
      <c r="F4214" t="s">
        <v>190</v>
      </c>
      <c r="G4214" t="s">
        <v>747</v>
      </c>
      <c r="H4214" t="s">
        <v>748</v>
      </c>
      <c r="I4214" t="s">
        <v>748</v>
      </c>
      <c r="J4214" t="s">
        <v>60</v>
      </c>
      <c r="K4214" t="s">
        <v>505</v>
      </c>
      <c r="L4214" t="s">
        <v>62</v>
      </c>
      <c r="M4214" t="s">
        <v>505</v>
      </c>
      <c r="N4214" t="s">
        <v>749</v>
      </c>
      <c r="O4214" t="s">
        <v>750</v>
      </c>
      <c r="P4214">
        <v>-20.135107000000001</v>
      </c>
      <c r="Q4214">
        <v>-44.887521</v>
      </c>
      <c r="R4214" s="2" t="str">
        <f>HYPERLINK("https://www.google.com/maps?q=-20.1351070,-44.8875210","Abrir no Google Maps")</f>
        <v>Abrir no Google Maps</v>
      </c>
      <c r="S4214">
        <v>3</v>
      </c>
      <c r="T4214">
        <v>0</v>
      </c>
      <c r="U4214">
        <v>4</v>
      </c>
      <c r="V4214">
        <v>0.33982140626951418</v>
      </c>
      <c r="W4214">
        <v>1</v>
      </c>
      <c r="X4214">
        <v>0.33982140626951418</v>
      </c>
      <c r="Y4214">
        <v>350</v>
      </c>
      <c r="Z4214">
        <v>162.3716242776689</v>
      </c>
      <c r="AA4214">
        <v>198</v>
      </c>
      <c r="AB4214">
        <v>332</v>
      </c>
      <c r="AC4214">
        <v>536</v>
      </c>
      <c r="AD4214">
        <v>29.32</v>
      </c>
      <c r="AE4214">
        <v>542</v>
      </c>
      <c r="AF4214">
        <v>27</v>
      </c>
      <c r="AG4214">
        <v>173</v>
      </c>
      <c r="AH4214">
        <v>129</v>
      </c>
      <c r="AI4214">
        <v>4.9800000000000004</v>
      </c>
      <c r="AJ4214">
        <v>31.92</v>
      </c>
      <c r="AK4214">
        <v>23.8</v>
      </c>
      <c r="AL4214">
        <v>-20.13520169999995</v>
      </c>
      <c r="AM4214">
        <v>-44.887587176802917</v>
      </c>
      <c r="AN4214">
        <v>-20.13520169999995</v>
      </c>
      <c r="AO4214">
        <v>-44.887587176802931</v>
      </c>
      <c r="AP4214">
        <v>-20.135107000000001</v>
      </c>
      <c r="AQ4214">
        <v>-44.887521</v>
      </c>
      <c r="AR4214">
        <v>12.608438103029821</v>
      </c>
      <c r="AS4214" t="s">
        <v>65</v>
      </c>
      <c r="AT4214">
        <v>1</v>
      </c>
      <c r="AU4214" t="s">
        <v>751</v>
      </c>
      <c r="AV4214" t="s">
        <v>752</v>
      </c>
      <c r="AW4214" t="s">
        <v>60</v>
      </c>
      <c r="AX4214" t="s">
        <v>68</v>
      </c>
      <c r="AY4214" t="s">
        <v>69</v>
      </c>
      <c r="AZ4214" t="b">
        <v>1</v>
      </c>
    </row>
    <row r="4215" spans="1:52" x14ac:dyDescent="0.3">
      <c r="A4215" t="s">
        <v>52</v>
      </c>
      <c r="B4215" t="s">
        <v>53</v>
      </c>
      <c r="C4215" t="s">
        <v>54</v>
      </c>
      <c r="D4215" t="s">
        <v>55</v>
      </c>
      <c r="E4215" t="s">
        <v>2222</v>
      </c>
      <c r="F4215" t="s">
        <v>190</v>
      </c>
      <c r="G4215" t="s">
        <v>1083</v>
      </c>
      <c r="H4215" t="s">
        <v>1084</v>
      </c>
      <c r="I4215" t="s">
        <v>1084</v>
      </c>
      <c r="J4215" t="s">
        <v>60</v>
      </c>
      <c r="K4215" t="s">
        <v>761</v>
      </c>
      <c r="L4215" t="s">
        <v>62</v>
      </c>
      <c r="M4215" t="s">
        <v>761</v>
      </c>
      <c r="N4215" t="s">
        <v>1085</v>
      </c>
      <c r="O4215" t="s">
        <v>1086</v>
      </c>
      <c r="P4215">
        <v>-20.124312</v>
      </c>
      <c r="Q4215">
        <v>-44.850425000000001</v>
      </c>
      <c r="R4215" s="2" t="str">
        <f>HYPERLINK("https://www.google.com/maps?q=-20.1243120,-44.8504250","Abrir no Google Maps")</f>
        <v>Abrir no Google Maps</v>
      </c>
      <c r="S4215">
        <v>3</v>
      </c>
      <c r="T4215">
        <v>0</v>
      </c>
      <c r="U4215">
        <v>4</v>
      </c>
      <c r="V4215">
        <v>0.31783272950000291</v>
      </c>
      <c r="W4215">
        <v>1</v>
      </c>
      <c r="X4215">
        <v>0.31783272950000291</v>
      </c>
      <c r="Y4215">
        <v>350</v>
      </c>
      <c r="Z4215">
        <v>380.24040721202471</v>
      </c>
      <c r="AA4215">
        <v>198</v>
      </c>
      <c r="AB4215">
        <v>332</v>
      </c>
      <c r="AC4215">
        <v>536</v>
      </c>
      <c r="AD4215">
        <v>29.32</v>
      </c>
      <c r="AE4215">
        <v>542</v>
      </c>
      <c r="AF4215">
        <v>27</v>
      </c>
      <c r="AG4215">
        <v>173</v>
      </c>
      <c r="AH4215">
        <v>129</v>
      </c>
      <c r="AI4215">
        <v>4.9800000000000004</v>
      </c>
      <c r="AJ4215">
        <v>31.92</v>
      </c>
      <c r="AK4215">
        <v>23.8</v>
      </c>
      <c r="AL4215">
        <v>-20.126267499999951</v>
      </c>
      <c r="AM4215">
        <v>-44.852460192840908</v>
      </c>
      <c r="AN4215">
        <v>-20.126267499999951</v>
      </c>
      <c r="AO4215">
        <v>-44.852460192840908</v>
      </c>
      <c r="AP4215">
        <v>-20.124312</v>
      </c>
      <c r="AQ4215">
        <v>-44.850425000000001</v>
      </c>
      <c r="AR4215">
        <v>304.36574074135672</v>
      </c>
      <c r="AS4215" t="s">
        <v>65</v>
      </c>
      <c r="AT4215">
        <v>1</v>
      </c>
      <c r="AU4215" t="s">
        <v>1087</v>
      </c>
      <c r="AV4215" t="s">
        <v>1088</v>
      </c>
      <c r="AW4215" t="s">
        <v>60</v>
      </c>
      <c r="AX4215" t="s">
        <v>68</v>
      </c>
      <c r="AY4215" t="s">
        <v>69</v>
      </c>
      <c r="AZ4215" t="b">
        <v>1</v>
      </c>
    </row>
    <row r="4216" spans="1:52" x14ac:dyDescent="0.3">
      <c r="A4216" t="s">
        <v>52</v>
      </c>
      <c r="B4216" t="s">
        <v>53</v>
      </c>
      <c r="C4216" t="s">
        <v>54</v>
      </c>
      <c r="D4216" t="s">
        <v>55</v>
      </c>
      <c r="E4216" t="s">
        <v>2222</v>
      </c>
      <c r="F4216" t="s">
        <v>190</v>
      </c>
      <c r="G4216" t="s">
        <v>753</v>
      </c>
      <c r="H4216" t="s">
        <v>754</v>
      </c>
      <c r="I4216" t="s">
        <v>754</v>
      </c>
      <c r="J4216" t="s">
        <v>60</v>
      </c>
      <c r="K4216" t="s">
        <v>688</v>
      </c>
      <c r="L4216" t="s">
        <v>62</v>
      </c>
      <c r="M4216" t="s">
        <v>688</v>
      </c>
      <c r="N4216" t="s">
        <v>755</v>
      </c>
      <c r="O4216" t="s">
        <v>756</v>
      </c>
      <c r="P4216">
        <v>-20.135238000000001</v>
      </c>
      <c r="Q4216">
        <v>-44.890405999999999</v>
      </c>
      <c r="R4216" s="2" t="str">
        <f>HYPERLINK("https://www.google.com/maps?q=-20.1352380,-44.8904060","Abrir no Google Maps")</f>
        <v>Abrir no Google Maps</v>
      </c>
      <c r="S4216">
        <v>3</v>
      </c>
      <c r="T4216">
        <v>314.49904475975598</v>
      </c>
      <c r="U4216">
        <v>4</v>
      </c>
      <c r="V4216">
        <v>0.34368116998597159</v>
      </c>
      <c r="W4216">
        <v>1</v>
      </c>
      <c r="X4216">
        <v>0.34368116998597159</v>
      </c>
      <c r="Y4216">
        <v>350</v>
      </c>
      <c r="Z4216">
        <v>443.96798796176353</v>
      </c>
      <c r="AA4216">
        <v>198</v>
      </c>
      <c r="AB4216">
        <v>332</v>
      </c>
      <c r="AC4216">
        <v>536</v>
      </c>
      <c r="AD4216">
        <v>29.32</v>
      </c>
      <c r="AE4216">
        <v>542</v>
      </c>
      <c r="AF4216">
        <v>27</v>
      </c>
      <c r="AG4216">
        <v>173</v>
      </c>
      <c r="AH4216">
        <v>129</v>
      </c>
      <c r="AI4216">
        <v>4.9800000000000004</v>
      </c>
      <c r="AJ4216">
        <v>31.92</v>
      </c>
      <c r="AK4216">
        <v>23.8</v>
      </c>
      <c r="AL4216">
        <v>-20.134851099999931</v>
      </c>
      <c r="AM4216">
        <v>-44.890573293408117</v>
      </c>
      <c r="AN4216">
        <v>-20.134851099999931</v>
      </c>
      <c r="AO4216">
        <v>-44.890573293408131</v>
      </c>
      <c r="AP4216">
        <v>-20.135238000000001</v>
      </c>
      <c r="AQ4216">
        <v>-44.890405999999999</v>
      </c>
      <c r="AR4216">
        <v>46.483580940434933</v>
      </c>
      <c r="AS4216" t="s">
        <v>65</v>
      </c>
      <c r="AT4216">
        <v>1</v>
      </c>
      <c r="AU4216" t="s">
        <v>757</v>
      </c>
      <c r="AV4216" t="s">
        <v>758</v>
      </c>
      <c r="AW4216" t="s">
        <v>60</v>
      </c>
      <c r="AX4216" t="s">
        <v>68</v>
      </c>
      <c r="AY4216" t="s">
        <v>69</v>
      </c>
      <c r="AZ4216" t="b">
        <v>1</v>
      </c>
    </row>
    <row r="4217" spans="1:52" x14ac:dyDescent="0.3">
      <c r="A4217" t="s">
        <v>52</v>
      </c>
      <c r="B4217" t="s">
        <v>53</v>
      </c>
      <c r="C4217" t="s">
        <v>54</v>
      </c>
      <c r="D4217" t="s">
        <v>55</v>
      </c>
      <c r="E4217" t="s">
        <v>2222</v>
      </c>
      <c r="F4217" t="s">
        <v>190</v>
      </c>
      <c r="G4217" t="s">
        <v>1089</v>
      </c>
      <c r="H4217" t="s">
        <v>1090</v>
      </c>
      <c r="I4217" t="s">
        <v>1090</v>
      </c>
      <c r="J4217" t="s">
        <v>60</v>
      </c>
      <c r="K4217" t="s">
        <v>761</v>
      </c>
      <c r="L4217" t="s">
        <v>62</v>
      </c>
      <c r="M4217" t="s">
        <v>761</v>
      </c>
      <c r="N4217" t="s">
        <v>1091</v>
      </c>
      <c r="O4217" t="s">
        <v>86</v>
      </c>
      <c r="P4217">
        <v>-20.116182999999999</v>
      </c>
      <c r="Q4217">
        <v>-44.850524</v>
      </c>
      <c r="R4217" s="2" t="str">
        <f>HYPERLINK("https://www.google.com/maps?q=-20.1161830,-44.8505240","Abrir no Google Maps")</f>
        <v>Abrir no Google Maps</v>
      </c>
      <c r="S4217">
        <v>3</v>
      </c>
      <c r="T4217">
        <v>1142.6607426309961</v>
      </c>
      <c r="U4217">
        <v>4</v>
      </c>
      <c r="V4217">
        <v>0.3194809395187021</v>
      </c>
      <c r="W4217">
        <v>1</v>
      </c>
      <c r="X4217">
        <v>0.3194809395187021</v>
      </c>
      <c r="Y4217">
        <v>350</v>
      </c>
      <c r="Z4217">
        <v>723.44841640590141</v>
      </c>
      <c r="AA4217">
        <v>198</v>
      </c>
      <c r="AB4217">
        <v>332</v>
      </c>
      <c r="AC4217">
        <v>536</v>
      </c>
      <c r="AD4217">
        <v>29.32</v>
      </c>
      <c r="AE4217">
        <v>542</v>
      </c>
      <c r="AF4217">
        <v>27</v>
      </c>
      <c r="AG4217">
        <v>173</v>
      </c>
      <c r="AH4217">
        <v>129</v>
      </c>
      <c r="AI4217">
        <v>4.9800000000000004</v>
      </c>
      <c r="AJ4217">
        <v>31.92</v>
      </c>
      <c r="AK4217">
        <v>23.8</v>
      </c>
      <c r="AL4217">
        <v>-20.11605684999995</v>
      </c>
      <c r="AM4217">
        <v>-44.850832861808193</v>
      </c>
      <c r="AN4217">
        <v>-20.11605684999995</v>
      </c>
      <c r="AO4217">
        <v>-44.850832861808193</v>
      </c>
      <c r="AP4217">
        <v>-20.116182999999999</v>
      </c>
      <c r="AQ4217">
        <v>-44.850524</v>
      </c>
      <c r="AR4217">
        <v>35.207009729928053</v>
      </c>
      <c r="AS4217" t="s">
        <v>65</v>
      </c>
      <c r="AT4217">
        <v>1</v>
      </c>
      <c r="AU4217" t="s">
        <v>1092</v>
      </c>
      <c r="AV4217" t="s">
        <v>1093</v>
      </c>
      <c r="AW4217" t="s">
        <v>60</v>
      </c>
      <c r="AX4217" t="s">
        <v>68</v>
      </c>
      <c r="AY4217" t="s">
        <v>69</v>
      </c>
      <c r="AZ4217" t="b">
        <v>1</v>
      </c>
    </row>
    <row r="4218" spans="1:52" x14ac:dyDescent="0.3">
      <c r="A4218" t="s">
        <v>52</v>
      </c>
      <c r="B4218" t="s">
        <v>53</v>
      </c>
      <c r="C4218" t="s">
        <v>54</v>
      </c>
      <c r="D4218" t="s">
        <v>55</v>
      </c>
      <c r="E4218" t="s">
        <v>2222</v>
      </c>
      <c r="F4218" t="s">
        <v>190</v>
      </c>
      <c r="G4218" t="s">
        <v>1094</v>
      </c>
      <c r="H4218" t="s">
        <v>1095</v>
      </c>
      <c r="I4218" t="s">
        <v>1095</v>
      </c>
      <c r="J4218" t="s">
        <v>60</v>
      </c>
      <c r="K4218" t="s">
        <v>761</v>
      </c>
      <c r="L4218" t="s">
        <v>62</v>
      </c>
      <c r="M4218" t="s">
        <v>761</v>
      </c>
      <c r="N4218" t="s">
        <v>1096</v>
      </c>
      <c r="O4218" t="s">
        <v>1070</v>
      </c>
      <c r="P4218">
        <v>-20.122955999999999</v>
      </c>
      <c r="Q4218">
        <v>-44.847842</v>
      </c>
      <c r="R4218" s="2" t="str">
        <f>HYPERLINK("https://www.google.com/maps?q=-20.1229560,-44.8478420","Abrir no Google Maps")</f>
        <v>Abrir no Google Maps</v>
      </c>
      <c r="S4218">
        <v>3</v>
      </c>
      <c r="T4218">
        <v>611.23533866709147</v>
      </c>
      <c r="U4218">
        <v>4</v>
      </c>
      <c r="V4218">
        <v>0.32180053938332359</v>
      </c>
      <c r="W4218">
        <v>1</v>
      </c>
      <c r="X4218">
        <v>0.32180053938332359</v>
      </c>
      <c r="Y4218">
        <v>350</v>
      </c>
      <c r="Z4218">
        <v>567.3129443637539</v>
      </c>
      <c r="AA4218">
        <v>198</v>
      </c>
      <c r="AB4218">
        <v>332</v>
      </c>
      <c r="AC4218">
        <v>536</v>
      </c>
      <c r="AD4218">
        <v>29.32</v>
      </c>
      <c r="AE4218">
        <v>542</v>
      </c>
      <c r="AF4218">
        <v>27</v>
      </c>
      <c r="AG4218">
        <v>173</v>
      </c>
      <c r="AH4218">
        <v>129</v>
      </c>
      <c r="AI4218">
        <v>4.9800000000000004</v>
      </c>
      <c r="AJ4218">
        <v>31.92</v>
      </c>
      <c r="AK4218">
        <v>23.8</v>
      </c>
      <c r="AL4218">
        <v>-20.122854299999972</v>
      </c>
      <c r="AM4218">
        <v>-44.847862495675152</v>
      </c>
      <c r="AN4218">
        <v>-20.122854299999972</v>
      </c>
      <c r="AO4218">
        <v>-44.847862495675152</v>
      </c>
      <c r="AP4218">
        <v>-20.122955999999999</v>
      </c>
      <c r="AQ4218">
        <v>-44.847842</v>
      </c>
      <c r="AR4218">
        <v>11.522154044835331</v>
      </c>
      <c r="AS4218" t="s">
        <v>65</v>
      </c>
      <c r="AT4218">
        <v>1</v>
      </c>
      <c r="AU4218" t="s">
        <v>1097</v>
      </c>
      <c r="AV4218" t="s">
        <v>1098</v>
      </c>
      <c r="AW4218" t="s">
        <v>60</v>
      </c>
      <c r="AX4218" t="s">
        <v>68</v>
      </c>
      <c r="AY4218" t="s">
        <v>69</v>
      </c>
      <c r="AZ4218" t="b">
        <v>1</v>
      </c>
    </row>
    <row r="4219" spans="1:52" x14ac:dyDescent="0.3">
      <c r="A4219" t="s">
        <v>52</v>
      </c>
      <c r="B4219" t="s">
        <v>53</v>
      </c>
      <c r="C4219" t="s">
        <v>54</v>
      </c>
      <c r="D4219" t="s">
        <v>55</v>
      </c>
      <c r="E4219" t="s">
        <v>2222</v>
      </c>
      <c r="F4219" t="s">
        <v>190</v>
      </c>
      <c r="G4219" t="s">
        <v>766</v>
      </c>
      <c r="H4219" t="s">
        <v>767</v>
      </c>
      <c r="I4219" t="s">
        <v>767</v>
      </c>
      <c r="J4219" t="s">
        <v>60</v>
      </c>
      <c r="K4219" t="s">
        <v>768</v>
      </c>
      <c r="L4219" t="s">
        <v>62</v>
      </c>
      <c r="M4219" t="s">
        <v>768</v>
      </c>
      <c r="N4219" t="s">
        <v>769</v>
      </c>
      <c r="O4219" t="s">
        <v>770</v>
      </c>
      <c r="P4219">
        <v>-20.135211000000002</v>
      </c>
      <c r="Q4219">
        <v>-44.875359000000003</v>
      </c>
      <c r="R4219" s="2" t="str">
        <f>HYPERLINK("https://www.google.com/maps?q=-20.1352110,-44.8753590","Abrir no Google Maps")</f>
        <v>Abrir no Google Maps</v>
      </c>
      <c r="S4219">
        <v>3</v>
      </c>
      <c r="T4219">
        <v>383.44405482521267</v>
      </c>
      <c r="U4219">
        <v>4</v>
      </c>
      <c r="V4219">
        <v>0.3319054354415033</v>
      </c>
      <c r="W4219">
        <v>1</v>
      </c>
      <c r="X4219">
        <v>0.3319054354415033</v>
      </c>
      <c r="Y4219">
        <v>332</v>
      </c>
      <c r="Z4219">
        <v>219.0766044611764</v>
      </c>
      <c r="AA4219">
        <v>198</v>
      </c>
      <c r="AB4219">
        <v>332</v>
      </c>
      <c r="AC4219">
        <v>536</v>
      </c>
      <c r="AD4219">
        <v>29.32</v>
      </c>
      <c r="AE4219">
        <v>542</v>
      </c>
      <c r="AF4219">
        <v>27</v>
      </c>
      <c r="AG4219">
        <v>173</v>
      </c>
      <c r="AH4219">
        <v>129</v>
      </c>
      <c r="AI4219">
        <v>4.9800000000000004</v>
      </c>
      <c r="AJ4219">
        <v>31.92</v>
      </c>
      <c r="AK4219">
        <v>23.8</v>
      </c>
      <c r="AL4219">
        <v>-20.135125549999941</v>
      </c>
      <c r="AM4219">
        <v>-44.875534947489427</v>
      </c>
      <c r="AN4219">
        <v>-20.135125549999941</v>
      </c>
      <c r="AO4219">
        <v>-44.875534947489427</v>
      </c>
      <c r="AP4219">
        <v>-20.135211000000002</v>
      </c>
      <c r="AQ4219">
        <v>-44.875359000000003</v>
      </c>
      <c r="AR4219">
        <v>20.703969313709418</v>
      </c>
      <c r="AS4219" t="s">
        <v>65</v>
      </c>
      <c r="AT4219">
        <v>1</v>
      </c>
      <c r="AU4219" t="s">
        <v>771</v>
      </c>
      <c r="AV4219" t="s">
        <v>772</v>
      </c>
      <c r="AW4219" t="s">
        <v>60</v>
      </c>
      <c r="AX4219" t="s">
        <v>68</v>
      </c>
      <c r="AY4219" t="s">
        <v>69</v>
      </c>
      <c r="AZ4219" t="b">
        <v>1</v>
      </c>
    </row>
    <row r="4220" spans="1:52" x14ac:dyDescent="0.3">
      <c r="A4220" t="s">
        <v>52</v>
      </c>
      <c r="B4220" t="s">
        <v>53</v>
      </c>
      <c r="C4220" t="s">
        <v>54</v>
      </c>
      <c r="D4220" t="s">
        <v>55</v>
      </c>
      <c r="E4220" t="s">
        <v>2222</v>
      </c>
      <c r="F4220" t="s">
        <v>190</v>
      </c>
      <c r="G4220" t="s">
        <v>773</v>
      </c>
      <c r="H4220" t="s">
        <v>774</v>
      </c>
      <c r="I4220" t="s">
        <v>774</v>
      </c>
      <c r="J4220" t="s">
        <v>60</v>
      </c>
      <c r="K4220" t="s">
        <v>775</v>
      </c>
      <c r="L4220" t="s">
        <v>62</v>
      </c>
      <c r="M4220" t="s">
        <v>775</v>
      </c>
      <c r="N4220" t="s">
        <v>776</v>
      </c>
      <c r="O4220" t="s">
        <v>250</v>
      </c>
      <c r="P4220">
        <v>-20.135413</v>
      </c>
      <c r="Q4220">
        <v>-44.868969999999997</v>
      </c>
      <c r="R4220" s="2" t="str">
        <f>HYPERLINK("https://www.google.com/maps?q=-20.1354130,-44.8689700","Abrir no Google Maps")</f>
        <v>Abrir no Google Maps</v>
      </c>
      <c r="S4220">
        <v>3</v>
      </c>
      <c r="T4220">
        <v>403.5118397372845</v>
      </c>
      <c r="U4220">
        <v>4</v>
      </c>
      <c r="V4220">
        <v>0.31650537634408599</v>
      </c>
      <c r="W4220">
        <v>1</v>
      </c>
      <c r="X4220">
        <v>0.31650537634408599</v>
      </c>
      <c r="Y4220">
        <v>332</v>
      </c>
      <c r="Z4220">
        <v>455.74614750795899</v>
      </c>
      <c r="AA4220">
        <v>198</v>
      </c>
      <c r="AB4220">
        <v>332</v>
      </c>
      <c r="AC4220">
        <v>536</v>
      </c>
      <c r="AD4220">
        <v>29.32</v>
      </c>
      <c r="AE4220">
        <v>542</v>
      </c>
      <c r="AF4220">
        <v>27</v>
      </c>
      <c r="AG4220">
        <v>173</v>
      </c>
      <c r="AH4220">
        <v>129</v>
      </c>
      <c r="AI4220">
        <v>4.9800000000000004</v>
      </c>
      <c r="AJ4220">
        <v>31.92</v>
      </c>
      <c r="AK4220">
        <v>23.8</v>
      </c>
      <c r="AL4220">
        <v>-20.13561149999995</v>
      </c>
      <c r="AM4220">
        <v>-44.868817260088647</v>
      </c>
      <c r="AN4220">
        <v>-20.13561149999995</v>
      </c>
      <c r="AO4220">
        <v>-44.868817260088647</v>
      </c>
      <c r="AP4220">
        <v>-20.135413</v>
      </c>
      <c r="AQ4220">
        <v>-44.868969999999997</v>
      </c>
      <c r="AR4220">
        <v>27.26024434808955</v>
      </c>
      <c r="AS4220" t="s">
        <v>65</v>
      </c>
      <c r="AT4220">
        <v>1</v>
      </c>
      <c r="AU4220" t="s">
        <v>777</v>
      </c>
      <c r="AV4220" t="s">
        <v>778</v>
      </c>
      <c r="AW4220" t="s">
        <v>60</v>
      </c>
      <c r="AX4220" t="s">
        <v>68</v>
      </c>
      <c r="AY4220" t="s">
        <v>69</v>
      </c>
      <c r="AZ4220" t="b">
        <v>1</v>
      </c>
    </row>
    <row r="4221" spans="1:52" x14ac:dyDescent="0.3">
      <c r="A4221" t="s">
        <v>52</v>
      </c>
      <c r="B4221" t="s">
        <v>53</v>
      </c>
      <c r="C4221" t="s">
        <v>54</v>
      </c>
      <c r="D4221" t="s">
        <v>55</v>
      </c>
      <c r="E4221" t="s">
        <v>2222</v>
      </c>
      <c r="F4221" t="s">
        <v>190</v>
      </c>
      <c r="G4221" t="s">
        <v>1104</v>
      </c>
      <c r="H4221" t="s">
        <v>1105</v>
      </c>
      <c r="I4221" t="s">
        <v>1105</v>
      </c>
      <c r="J4221" t="s">
        <v>60</v>
      </c>
      <c r="K4221" t="s">
        <v>781</v>
      </c>
      <c r="L4221" t="s">
        <v>62</v>
      </c>
      <c r="M4221" t="s">
        <v>781</v>
      </c>
      <c r="N4221" t="s">
        <v>1106</v>
      </c>
      <c r="O4221" t="s">
        <v>1080</v>
      </c>
      <c r="P4221">
        <v>-20.138683</v>
      </c>
      <c r="Q4221">
        <v>-44.868507999999999</v>
      </c>
      <c r="R4221" s="2" t="str">
        <f>HYPERLINK("https://www.google.com/maps?q=-20.1386830,-44.8685080","Abrir no Google Maps")</f>
        <v>Abrir no Google Maps</v>
      </c>
      <c r="S4221">
        <v>3</v>
      </c>
      <c r="T4221">
        <v>450.88210098833099</v>
      </c>
      <c r="U4221">
        <v>4</v>
      </c>
      <c r="V4221">
        <v>0.3173017879718259</v>
      </c>
      <c r="W4221">
        <v>1</v>
      </c>
      <c r="X4221">
        <v>0.3173017879718259</v>
      </c>
      <c r="Y4221">
        <v>332</v>
      </c>
      <c r="Z4221">
        <v>601.27669048153166</v>
      </c>
      <c r="AA4221">
        <v>198</v>
      </c>
      <c r="AB4221">
        <v>332</v>
      </c>
      <c r="AC4221">
        <v>536</v>
      </c>
      <c r="AD4221">
        <v>29.32</v>
      </c>
      <c r="AE4221">
        <v>542</v>
      </c>
      <c r="AF4221">
        <v>27</v>
      </c>
      <c r="AG4221">
        <v>173</v>
      </c>
      <c r="AH4221">
        <v>129</v>
      </c>
      <c r="AI4221">
        <v>4.9800000000000004</v>
      </c>
      <c r="AJ4221">
        <v>31.92</v>
      </c>
      <c r="AK4221">
        <v>23.8</v>
      </c>
      <c r="AL4221">
        <v>-20.13870544999995</v>
      </c>
      <c r="AM4221">
        <v>-44.868521774012208</v>
      </c>
      <c r="AN4221">
        <v>-20.138705449999939</v>
      </c>
      <c r="AO4221">
        <v>-44.868521774012208</v>
      </c>
      <c r="AP4221">
        <v>-20.138683</v>
      </c>
      <c r="AQ4221">
        <v>-44.868507999999999</v>
      </c>
      <c r="AR4221">
        <v>2.8841042175322271</v>
      </c>
      <c r="AS4221" t="s">
        <v>65</v>
      </c>
      <c r="AT4221">
        <v>1</v>
      </c>
      <c r="AU4221" t="s">
        <v>1107</v>
      </c>
      <c r="AV4221" t="s">
        <v>1108</v>
      </c>
      <c r="AW4221" t="s">
        <v>60</v>
      </c>
      <c r="AX4221" t="s">
        <v>68</v>
      </c>
      <c r="AY4221" t="s">
        <v>69</v>
      </c>
      <c r="AZ4221" t="b">
        <v>1</v>
      </c>
    </row>
    <row r="4222" spans="1:52" x14ac:dyDescent="0.3">
      <c r="A4222" t="s">
        <v>52</v>
      </c>
      <c r="B4222" t="s">
        <v>53</v>
      </c>
      <c r="C4222" t="s">
        <v>54</v>
      </c>
      <c r="D4222" t="s">
        <v>55</v>
      </c>
      <c r="E4222" t="s">
        <v>2222</v>
      </c>
      <c r="F4222" t="s">
        <v>190</v>
      </c>
      <c r="G4222" t="s">
        <v>796</v>
      </c>
      <c r="H4222" t="s">
        <v>797</v>
      </c>
      <c r="I4222" t="s">
        <v>797</v>
      </c>
      <c r="J4222" t="s">
        <v>60</v>
      </c>
      <c r="K4222" t="s">
        <v>798</v>
      </c>
      <c r="L4222" t="s">
        <v>62</v>
      </c>
      <c r="M4222" t="s">
        <v>798</v>
      </c>
      <c r="N4222" t="s">
        <v>799</v>
      </c>
      <c r="O4222" t="s">
        <v>800</v>
      </c>
      <c r="P4222">
        <v>-20.105681000000001</v>
      </c>
      <c r="Q4222">
        <v>-44.902771999999999</v>
      </c>
      <c r="R4222" s="2" t="str">
        <f>HYPERLINK("https://www.google.com/maps?q=-20.1056810,-44.9027720","Abrir no Google Maps")</f>
        <v>Abrir no Google Maps</v>
      </c>
      <c r="S4222">
        <v>3</v>
      </c>
      <c r="T4222">
        <v>654.76334876090721</v>
      </c>
      <c r="U4222">
        <v>4</v>
      </c>
      <c r="V4222">
        <v>0.34036208225097903</v>
      </c>
      <c r="W4222">
        <v>1</v>
      </c>
      <c r="X4222">
        <v>0.34036208225097903</v>
      </c>
      <c r="Y4222">
        <v>300</v>
      </c>
      <c r="Z4222">
        <v>473.90209409135377</v>
      </c>
      <c r="AA4222">
        <v>198</v>
      </c>
      <c r="AB4222">
        <v>332</v>
      </c>
      <c r="AC4222">
        <v>536</v>
      </c>
      <c r="AD4222">
        <v>29.32</v>
      </c>
      <c r="AE4222">
        <v>542</v>
      </c>
      <c r="AF4222">
        <v>27</v>
      </c>
      <c r="AG4222">
        <v>173</v>
      </c>
      <c r="AH4222">
        <v>129</v>
      </c>
      <c r="AI4222">
        <v>4.9800000000000004</v>
      </c>
      <c r="AJ4222">
        <v>31.92</v>
      </c>
      <c r="AK4222">
        <v>23.8</v>
      </c>
      <c r="AL4222">
        <v>-20.105710249999959</v>
      </c>
      <c r="AM4222">
        <v>-44.902887601574513</v>
      </c>
      <c r="AN4222">
        <v>-20.105710249999959</v>
      </c>
      <c r="AO4222">
        <v>-44.902887601574513</v>
      </c>
      <c r="AP4222">
        <v>-20.105681000000001</v>
      </c>
      <c r="AQ4222">
        <v>-44.902771999999999</v>
      </c>
      <c r="AR4222">
        <v>12.5155291382583</v>
      </c>
      <c r="AS4222" t="s">
        <v>65</v>
      </c>
      <c r="AT4222">
        <v>1</v>
      </c>
      <c r="AU4222" t="s">
        <v>801</v>
      </c>
      <c r="AV4222" t="s">
        <v>802</v>
      </c>
      <c r="AW4222" t="s">
        <v>60</v>
      </c>
      <c r="AX4222" t="s">
        <v>68</v>
      </c>
      <c r="AY4222" t="s">
        <v>69</v>
      </c>
      <c r="AZ4222" t="b">
        <v>1</v>
      </c>
    </row>
    <row r="4223" spans="1:52" x14ac:dyDescent="0.3">
      <c r="A4223" t="s">
        <v>52</v>
      </c>
      <c r="B4223" t="s">
        <v>53</v>
      </c>
      <c r="C4223" t="s">
        <v>54</v>
      </c>
      <c r="D4223" t="s">
        <v>55</v>
      </c>
      <c r="E4223" t="s">
        <v>2222</v>
      </c>
      <c r="F4223" t="s">
        <v>190</v>
      </c>
      <c r="G4223" t="s">
        <v>1157</v>
      </c>
      <c r="H4223" t="s">
        <v>1158</v>
      </c>
      <c r="I4223" t="s">
        <v>1158</v>
      </c>
      <c r="J4223" t="s">
        <v>60</v>
      </c>
      <c r="K4223" t="s">
        <v>791</v>
      </c>
      <c r="L4223" t="s">
        <v>62</v>
      </c>
      <c r="M4223" t="s">
        <v>791</v>
      </c>
      <c r="N4223" t="s">
        <v>1159</v>
      </c>
      <c r="O4223" t="s">
        <v>1160</v>
      </c>
      <c r="P4223">
        <v>-20.108114</v>
      </c>
      <c r="Q4223">
        <v>-44.905804000000003</v>
      </c>
      <c r="R4223" s="2" t="str">
        <f>HYPERLINK("https://www.google.com/maps?q=-20.1081140,-44.9058040","Abrir no Google Maps")</f>
        <v>Abrir no Google Maps</v>
      </c>
      <c r="S4223">
        <v>3</v>
      </c>
      <c r="T4223">
        <v>603.1428230097074</v>
      </c>
      <c r="U4223">
        <v>4</v>
      </c>
      <c r="V4223">
        <v>0.3210489993098688</v>
      </c>
      <c r="W4223">
        <v>1</v>
      </c>
      <c r="X4223">
        <v>0.3210489993098688</v>
      </c>
      <c r="Y4223">
        <v>300</v>
      </c>
      <c r="Z4223">
        <v>444.71482981499793</v>
      </c>
      <c r="AA4223">
        <v>198</v>
      </c>
      <c r="AB4223">
        <v>332</v>
      </c>
      <c r="AC4223">
        <v>536</v>
      </c>
      <c r="AD4223">
        <v>29.32</v>
      </c>
      <c r="AE4223">
        <v>542</v>
      </c>
      <c r="AF4223">
        <v>27</v>
      </c>
      <c r="AG4223">
        <v>173</v>
      </c>
      <c r="AH4223">
        <v>129</v>
      </c>
      <c r="AI4223">
        <v>4.9800000000000004</v>
      </c>
      <c r="AJ4223">
        <v>31.92</v>
      </c>
      <c r="AK4223">
        <v>23.8</v>
      </c>
      <c r="AL4223">
        <v>-20.108146549999962</v>
      </c>
      <c r="AM4223">
        <v>-44.905744943453513</v>
      </c>
      <c r="AN4223">
        <v>-20.108146549999962</v>
      </c>
      <c r="AO4223">
        <v>-44.905744943453513</v>
      </c>
      <c r="AP4223">
        <v>-20.108114</v>
      </c>
      <c r="AQ4223">
        <v>-44.905804000000003</v>
      </c>
      <c r="AR4223">
        <v>7.1582799138071884</v>
      </c>
      <c r="AS4223" t="s">
        <v>65</v>
      </c>
      <c r="AT4223">
        <v>1</v>
      </c>
      <c r="AU4223" t="s">
        <v>1161</v>
      </c>
      <c r="AV4223" t="s">
        <v>1162</v>
      </c>
      <c r="AW4223" t="s">
        <v>60</v>
      </c>
      <c r="AX4223" t="s">
        <v>68</v>
      </c>
      <c r="AY4223" t="s">
        <v>69</v>
      </c>
      <c r="AZ4223" t="b">
        <v>1</v>
      </c>
    </row>
    <row r="4224" spans="1:52" x14ac:dyDescent="0.3">
      <c r="A4224" t="s">
        <v>52</v>
      </c>
      <c r="B4224" t="s">
        <v>53</v>
      </c>
      <c r="C4224" t="s">
        <v>54</v>
      </c>
      <c r="D4224" t="s">
        <v>55</v>
      </c>
      <c r="E4224" t="s">
        <v>2222</v>
      </c>
      <c r="F4224" t="s">
        <v>190</v>
      </c>
      <c r="G4224" t="s">
        <v>803</v>
      </c>
      <c r="H4224" t="s">
        <v>804</v>
      </c>
      <c r="I4224" t="s">
        <v>804</v>
      </c>
      <c r="J4224" t="s">
        <v>60</v>
      </c>
      <c r="K4224" t="s">
        <v>805</v>
      </c>
      <c r="L4224" t="s">
        <v>62</v>
      </c>
      <c r="M4224" t="s">
        <v>805</v>
      </c>
      <c r="N4224" t="s">
        <v>806</v>
      </c>
      <c r="O4224" t="s">
        <v>807</v>
      </c>
      <c r="P4224">
        <v>-20.133293999999999</v>
      </c>
      <c r="Q4224">
        <v>-44.886302000000001</v>
      </c>
      <c r="R4224" s="2" t="str">
        <f>HYPERLINK("https://www.google.com/maps?q=-20.1332940,-44.8863020","Abrir no Google Maps")</f>
        <v>Abrir no Google Maps</v>
      </c>
      <c r="S4224">
        <v>3</v>
      </c>
      <c r="T4224">
        <v>0</v>
      </c>
      <c r="U4224">
        <v>4</v>
      </c>
      <c r="V4224">
        <v>0.3260781655935841</v>
      </c>
      <c r="W4224">
        <v>1</v>
      </c>
      <c r="X4224">
        <v>0.3260781655935841</v>
      </c>
      <c r="Y4224">
        <v>259</v>
      </c>
      <c r="Z4224">
        <v>76.358812960729097</v>
      </c>
      <c r="AA4224">
        <v>198</v>
      </c>
      <c r="AB4224">
        <v>332</v>
      </c>
      <c r="AC4224">
        <v>536</v>
      </c>
      <c r="AD4224">
        <v>29.32</v>
      </c>
      <c r="AE4224">
        <v>542</v>
      </c>
      <c r="AF4224">
        <v>27</v>
      </c>
      <c r="AG4224">
        <v>173</v>
      </c>
      <c r="AH4224">
        <v>129</v>
      </c>
      <c r="AI4224">
        <v>4.9800000000000004</v>
      </c>
      <c r="AJ4224">
        <v>31.92</v>
      </c>
      <c r="AK4224">
        <v>23.8</v>
      </c>
      <c r="AL4224">
        <v>-20.133281749999949</v>
      </c>
      <c r="AM4224">
        <v>-44.886395047959027</v>
      </c>
      <c r="AN4224">
        <v>-20.133281749999949</v>
      </c>
      <c r="AO4224">
        <v>-44.886395047959027</v>
      </c>
      <c r="AP4224">
        <v>-20.133293999999999</v>
      </c>
      <c r="AQ4224">
        <v>-44.886302000000001</v>
      </c>
      <c r="AR4224">
        <v>9.8203037443031231</v>
      </c>
      <c r="AS4224" t="s">
        <v>65</v>
      </c>
      <c r="AT4224">
        <v>1</v>
      </c>
      <c r="AU4224" t="s">
        <v>808</v>
      </c>
      <c r="AV4224" t="s">
        <v>809</v>
      </c>
      <c r="AW4224" t="s">
        <v>60</v>
      </c>
      <c r="AX4224" t="s">
        <v>68</v>
      </c>
      <c r="AY4224" t="s">
        <v>69</v>
      </c>
      <c r="AZ4224" t="b">
        <v>1</v>
      </c>
    </row>
    <row r="4225" spans="1:52" x14ac:dyDescent="0.3">
      <c r="A4225" t="s">
        <v>52</v>
      </c>
      <c r="B4225" t="s">
        <v>53</v>
      </c>
      <c r="C4225" t="s">
        <v>54</v>
      </c>
      <c r="D4225" t="s">
        <v>55</v>
      </c>
      <c r="E4225" t="s">
        <v>2222</v>
      </c>
      <c r="F4225" t="s">
        <v>190</v>
      </c>
      <c r="G4225" t="s">
        <v>810</v>
      </c>
      <c r="H4225" t="s">
        <v>811</v>
      </c>
      <c r="I4225" t="s">
        <v>811</v>
      </c>
      <c r="J4225" t="s">
        <v>60</v>
      </c>
      <c r="K4225" t="s">
        <v>805</v>
      </c>
      <c r="L4225" t="s">
        <v>62</v>
      </c>
      <c r="M4225" t="s">
        <v>805</v>
      </c>
      <c r="N4225" t="s">
        <v>812</v>
      </c>
      <c r="O4225" t="s">
        <v>309</v>
      </c>
      <c r="P4225">
        <v>-20.129868999999999</v>
      </c>
      <c r="Q4225">
        <v>-44.884247999999999</v>
      </c>
      <c r="R4225" s="2" t="str">
        <f>HYPERLINK("https://www.google.com/maps?q=-20.1298690,-44.8842480","Abrir no Google Maps")</f>
        <v>Abrir no Google Maps</v>
      </c>
      <c r="S4225">
        <v>3</v>
      </c>
      <c r="T4225">
        <v>434.82198084080329</v>
      </c>
      <c r="U4225">
        <v>4</v>
      </c>
      <c r="V4225">
        <v>0.3523986731829869</v>
      </c>
      <c r="W4225">
        <v>1</v>
      </c>
      <c r="X4225">
        <v>0.3523986731829869</v>
      </c>
      <c r="Y4225">
        <v>259</v>
      </c>
      <c r="Z4225">
        <v>281.76247768049842</v>
      </c>
      <c r="AA4225">
        <v>198</v>
      </c>
      <c r="AB4225">
        <v>332</v>
      </c>
      <c r="AC4225">
        <v>536</v>
      </c>
      <c r="AD4225">
        <v>29.32</v>
      </c>
      <c r="AE4225">
        <v>542</v>
      </c>
      <c r="AF4225">
        <v>27</v>
      </c>
      <c r="AG4225">
        <v>173</v>
      </c>
      <c r="AH4225">
        <v>129</v>
      </c>
      <c r="AI4225">
        <v>4.9800000000000004</v>
      </c>
      <c r="AJ4225">
        <v>31.92</v>
      </c>
      <c r="AK4225">
        <v>23.8</v>
      </c>
      <c r="AL4225">
        <v>-20.129927549999959</v>
      </c>
      <c r="AM4225">
        <v>-44.884228133573217</v>
      </c>
      <c r="AN4225">
        <v>-20.129927549999959</v>
      </c>
      <c r="AO4225">
        <v>-44.884228133573217</v>
      </c>
      <c r="AP4225">
        <v>-20.129868999999999</v>
      </c>
      <c r="AQ4225">
        <v>-44.884247999999999</v>
      </c>
      <c r="AR4225">
        <v>6.8405504803478081</v>
      </c>
      <c r="AS4225" t="s">
        <v>65</v>
      </c>
      <c r="AT4225">
        <v>1</v>
      </c>
      <c r="AU4225" t="s">
        <v>813</v>
      </c>
      <c r="AV4225" t="s">
        <v>814</v>
      </c>
      <c r="AW4225" t="s">
        <v>60</v>
      </c>
      <c r="AX4225" t="s">
        <v>68</v>
      </c>
      <c r="AY4225" t="s">
        <v>69</v>
      </c>
      <c r="AZ4225" t="b">
        <v>1</v>
      </c>
    </row>
    <row r="4226" spans="1:52" x14ac:dyDescent="0.3">
      <c r="A4226" t="s">
        <v>52</v>
      </c>
      <c r="B4226" t="s">
        <v>53</v>
      </c>
      <c r="C4226" t="s">
        <v>54</v>
      </c>
      <c r="D4226" t="s">
        <v>55</v>
      </c>
      <c r="E4226" t="s">
        <v>2222</v>
      </c>
      <c r="F4226" t="s">
        <v>190</v>
      </c>
      <c r="G4226" t="s">
        <v>815</v>
      </c>
      <c r="H4226" t="s">
        <v>816</v>
      </c>
      <c r="I4226" t="s">
        <v>816</v>
      </c>
      <c r="J4226" t="s">
        <v>60</v>
      </c>
      <c r="K4226" t="s">
        <v>805</v>
      </c>
      <c r="L4226" t="s">
        <v>62</v>
      </c>
      <c r="M4226" t="s">
        <v>805</v>
      </c>
      <c r="N4226" t="s">
        <v>817</v>
      </c>
      <c r="O4226" t="s">
        <v>818</v>
      </c>
      <c r="P4226">
        <v>-20.129894</v>
      </c>
      <c r="Q4226">
        <v>-44.886285000000001</v>
      </c>
      <c r="R4226" s="2" t="str">
        <f>HYPERLINK("https://www.google.com/maps?q=-20.1298940,-44.8862850","Abrir no Google Maps")</f>
        <v>Abrir no Google Maps</v>
      </c>
      <c r="S4226">
        <v>3</v>
      </c>
      <c r="T4226">
        <v>245.88570896460399</v>
      </c>
      <c r="U4226">
        <v>4</v>
      </c>
      <c r="V4226">
        <v>0.34982522371364649</v>
      </c>
      <c r="W4226">
        <v>1</v>
      </c>
      <c r="X4226">
        <v>0.34982522371364649</v>
      </c>
      <c r="Y4226">
        <v>259</v>
      </c>
      <c r="Z4226">
        <v>274.53833463725539</v>
      </c>
      <c r="AA4226">
        <v>198</v>
      </c>
      <c r="AB4226">
        <v>332</v>
      </c>
      <c r="AC4226">
        <v>536</v>
      </c>
      <c r="AD4226">
        <v>29.32</v>
      </c>
      <c r="AE4226">
        <v>542</v>
      </c>
      <c r="AF4226">
        <v>27</v>
      </c>
      <c r="AG4226">
        <v>173</v>
      </c>
      <c r="AH4226">
        <v>129</v>
      </c>
      <c r="AI4226">
        <v>4.9800000000000004</v>
      </c>
      <c r="AJ4226">
        <v>31.92</v>
      </c>
      <c r="AK4226">
        <v>23.8</v>
      </c>
      <c r="AL4226">
        <v>-20.129900749999969</v>
      </c>
      <c r="AM4226">
        <v>-44.886258682425179</v>
      </c>
      <c r="AN4226">
        <v>-20.129900749999969</v>
      </c>
      <c r="AO4226">
        <v>-44.886258682425179</v>
      </c>
      <c r="AP4226">
        <v>-20.129894</v>
      </c>
      <c r="AQ4226">
        <v>-44.886285000000001</v>
      </c>
      <c r="AR4226">
        <v>2.851497427576585</v>
      </c>
      <c r="AS4226" t="s">
        <v>65</v>
      </c>
      <c r="AT4226">
        <v>1</v>
      </c>
      <c r="AU4226" t="s">
        <v>819</v>
      </c>
      <c r="AV4226" t="s">
        <v>814</v>
      </c>
      <c r="AW4226" t="s">
        <v>60</v>
      </c>
      <c r="AX4226" t="s">
        <v>68</v>
      </c>
      <c r="AY4226" t="s">
        <v>69</v>
      </c>
      <c r="AZ4226" t="b">
        <v>1</v>
      </c>
    </row>
    <row r="4227" spans="1:52" x14ac:dyDescent="0.3">
      <c r="A4227" t="s">
        <v>52</v>
      </c>
      <c r="B4227" t="s">
        <v>53</v>
      </c>
      <c r="C4227" t="s">
        <v>54</v>
      </c>
      <c r="D4227" t="s">
        <v>55</v>
      </c>
      <c r="E4227" t="s">
        <v>2222</v>
      </c>
      <c r="F4227" t="s">
        <v>190</v>
      </c>
      <c r="G4227" t="s">
        <v>820</v>
      </c>
      <c r="H4227" t="s">
        <v>821</v>
      </c>
      <c r="I4227" t="s">
        <v>821</v>
      </c>
      <c r="J4227" t="s">
        <v>60</v>
      </c>
      <c r="K4227" t="s">
        <v>822</v>
      </c>
      <c r="L4227" t="s">
        <v>62</v>
      </c>
      <c r="M4227" t="s">
        <v>822</v>
      </c>
      <c r="N4227" t="s">
        <v>823</v>
      </c>
      <c r="O4227" t="s">
        <v>187</v>
      </c>
      <c r="P4227">
        <v>-20.182960999999999</v>
      </c>
      <c r="Q4227">
        <v>-44.902512999999999</v>
      </c>
      <c r="R4227" s="2" t="str">
        <f>HYPERLINK("https://www.google.com/maps?q=-20.1829610,-44.9025130","Abrir no Google Maps")</f>
        <v>Abrir no Google Maps</v>
      </c>
      <c r="S4227">
        <v>3</v>
      </c>
      <c r="T4227">
        <v>908.09917748271926</v>
      </c>
      <c r="U4227">
        <v>4</v>
      </c>
      <c r="V4227">
        <v>0.38053269489750108</v>
      </c>
      <c r="W4227">
        <v>1</v>
      </c>
      <c r="X4227">
        <v>0.38053269489750108</v>
      </c>
      <c r="Y4227">
        <v>135</v>
      </c>
      <c r="Z4227">
        <v>562.42494356837676</v>
      </c>
      <c r="AA4227">
        <v>198</v>
      </c>
      <c r="AB4227">
        <v>332</v>
      </c>
      <c r="AC4227">
        <v>536</v>
      </c>
      <c r="AD4227">
        <v>29.32</v>
      </c>
      <c r="AE4227">
        <v>542</v>
      </c>
      <c r="AF4227">
        <v>27</v>
      </c>
      <c r="AG4227">
        <v>173</v>
      </c>
      <c r="AH4227">
        <v>129</v>
      </c>
      <c r="AI4227">
        <v>4.9800000000000004</v>
      </c>
      <c r="AJ4227">
        <v>31.92</v>
      </c>
      <c r="AK4227">
        <v>23.8</v>
      </c>
      <c r="AL4227">
        <v>-20.18277184999997</v>
      </c>
      <c r="AM4227">
        <v>-44.902421436048833</v>
      </c>
      <c r="AN4227">
        <v>-20.18277184999997</v>
      </c>
      <c r="AO4227">
        <v>-44.902421436048833</v>
      </c>
      <c r="AP4227">
        <v>-20.182960999999999</v>
      </c>
      <c r="AQ4227">
        <v>-44.902512999999999</v>
      </c>
      <c r="AR4227">
        <v>23.127700959037089</v>
      </c>
      <c r="AS4227" t="s">
        <v>65</v>
      </c>
      <c r="AT4227">
        <v>1</v>
      </c>
      <c r="AU4227" t="s">
        <v>824</v>
      </c>
      <c r="AV4227" t="s">
        <v>825</v>
      </c>
      <c r="AW4227" t="s">
        <v>60</v>
      </c>
      <c r="AX4227" t="s">
        <v>68</v>
      </c>
      <c r="AY4227" t="s">
        <v>69</v>
      </c>
      <c r="AZ4227" t="b">
        <v>1</v>
      </c>
    </row>
    <row r="4228" spans="1:52" x14ac:dyDescent="0.3">
      <c r="A4228" t="s">
        <v>52</v>
      </c>
      <c r="B4228" t="s">
        <v>53</v>
      </c>
      <c r="C4228" t="s">
        <v>54</v>
      </c>
      <c r="D4228" t="s">
        <v>55</v>
      </c>
      <c r="E4228" t="s">
        <v>2222</v>
      </c>
      <c r="F4228" t="s">
        <v>190</v>
      </c>
      <c r="G4228" t="s">
        <v>1224</v>
      </c>
      <c r="H4228" t="s">
        <v>1225</v>
      </c>
      <c r="I4228" t="s">
        <v>1225</v>
      </c>
      <c r="J4228" t="s">
        <v>60</v>
      </c>
      <c r="K4228" t="s">
        <v>828</v>
      </c>
      <c r="L4228" t="s">
        <v>62</v>
      </c>
      <c r="M4228" t="s">
        <v>828</v>
      </c>
      <c r="N4228" t="s">
        <v>1226</v>
      </c>
      <c r="O4228" t="s">
        <v>1227</v>
      </c>
      <c r="P4228">
        <v>-20.135355000000001</v>
      </c>
      <c r="Q4228">
        <v>-44.835469000000003</v>
      </c>
      <c r="R4228" s="2" t="str">
        <f>HYPERLINK("https://www.google.com/maps?q=-20.1353550,-44.8354690","Abrir no Google Maps")</f>
        <v>Abrir no Google Maps</v>
      </c>
      <c r="S4228">
        <v>3</v>
      </c>
      <c r="T4228">
        <v>751.16107206095137</v>
      </c>
      <c r="U4228">
        <v>4</v>
      </c>
      <c r="V4228">
        <v>0.39035087719298239</v>
      </c>
      <c r="W4228">
        <v>0.85</v>
      </c>
      <c r="X4228">
        <v>0.33179824561403498</v>
      </c>
      <c r="Y4228">
        <v>118</v>
      </c>
      <c r="Z4228">
        <v>677.63401865784431</v>
      </c>
      <c r="AA4228">
        <v>198</v>
      </c>
      <c r="AB4228">
        <v>332</v>
      </c>
      <c r="AC4228">
        <v>536</v>
      </c>
      <c r="AD4228">
        <v>29.32</v>
      </c>
      <c r="AE4228">
        <v>542</v>
      </c>
      <c r="AF4228">
        <v>27</v>
      </c>
      <c r="AG4228">
        <v>173</v>
      </c>
      <c r="AH4228">
        <v>129</v>
      </c>
      <c r="AI4228">
        <v>4.9800000000000004</v>
      </c>
      <c r="AJ4228">
        <v>31.92</v>
      </c>
      <c r="AK4228">
        <v>23.8</v>
      </c>
      <c r="AL4228">
        <v>-20.134961199999939</v>
      </c>
      <c r="AM4228">
        <v>-44.835020399356488</v>
      </c>
      <c r="AN4228">
        <v>-20.134961199999939</v>
      </c>
      <c r="AO4228">
        <v>-44.835020399356488</v>
      </c>
      <c r="AP4228">
        <v>-20.135355000000001</v>
      </c>
      <c r="AQ4228">
        <v>-44.835469000000003</v>
      </c>
      <c r="AR4228">
        <v>64.187783608237439</v>
      </c>
      <c r="AS4228" t="s">
        <v>65</v>
      </c>
      <c r="AT4228">
        <v>1</v>
      </c>
      <c r="AU4228" t="s">
        <v>1228</v>
      </c>
      <c r="AV4228" t="s">
        <v>1229</v>
      </c>
      <c r="AW4228" t="s">
        <v>60</v>
      </c>
      <c r="AX4228" t="s">
        <v>68</v>
      </c>
      <c r="AY4228" t="s">
        <v>69</v>
      </c>
      <c r="AZ4228" t="b">
        <v>1</v>
      </c>
    </row>
    <row r="4229" spans="1:52" x14ac:dyDescent="0.3">
      <c r="A4229" t="s">
        <v>52</v>
      </c>
      <c r="B4229" t="s">
        <v>53</v>
      </c>
      <c r="C4229" t="s">
        <v>54</v>
      </c>
      <c r="D4229" t="s">
        <v>55</v>
      </c>
      <c r="E4229" t="s">
        <v>2222</v>
      </c>
      <c r="F4229" t="s">
        <v>190</v>
      </c>
      <c r="G4229" t="s">
        <v>1224</v>
      </c>
      <c r="H4229" t="s">
        <v>1230</v>
      </c>
      <c r="I4229" t="s">
        <v>1230</v>
      </c>
      <c r="J4229" t="s">
        <v>60</v>
      </c>
      <c r="K4229" t="s">
        <v>828</v>
      </c>
      <c r="L4229" t="s">
        <v>62</v>
      </c>
      <c r="M4229" t="s">
        <v>828</v>
      </c>
      <c r="N4229" t="s">
        <v>1231</v>
      </c>
      <c r="O4229" t="s">
        <v>1232</v>
      </c>
      <c r="P4229">
        <v>-20.136106000000002</v>
      </c>
      <c r="Q4229">
        <v>-44.838470999999998</v>
      </c>
      <c r="R4229" s="2" t="str">
        <f>HYPERLINK("https://www.google.com/maps?q=-20.1361060,-44.8384710","Abrir no Google Maps")</f>
        <v>Abrir no Google Maps</v>
      </c>
      <c r="S4229">
        <v>3</v>
      </c>
      <c r="T4229">
        <v>910.01690137237858</v>
      </c>
      <c r="U4229">
        <v>4</v>
      </c>
      <c r="V4229">
        <v>0.3206325272961183</v>
      </c>
      <c r="W4229">
        <v>1</v>
      </c>
      <c r="X4229">
        <v>0.3206325272961183</v>
      </c>
      <c r="Y4229">
        <v>118</v>
      </c>
      <c r="Z4229">
        <v>892.76979321439796</v>
      </c>
      <c r="AA4229">
        <v>198</v>
      </c>
      <c r="AB4229">
        <v>332</v>
      </c>
      <c r="AC4229">
        <v>536</v>
      </c>
      <c r="AD4229">
        <v>29.32</v>
      </c>
      <c r="AE4229">
        <v>542</v>
      </c>
      <c r="AF4229">
        <v>27</v>
      </c>
      <c r="AG4229">
        <v>173</v>
      </c>
      <c r="AH4229">
        <v>129</v>
      </c>
      <c r="AI4229">
        <v>4.9800000000000004</v>
      </c>
      <c r="AJ4229">
        <v>31.92</v>
      </c>
      <c r="AK4229">
        <v>23.8</v>
      </c>
      <c r="AL4229">
        <v>-20.136356149999951</v>
      </c>
      <c r="AM4229">
        <v>-44.838929886373997</v>
      </c>
      <c r="AN4229">
        <v>-20.136356149999951</v>
      </c>
      <c r="AO4229">
        <v>-44.838929886373997</v>
      </c>
      <c r="AP4229">
        <v>-20.136106000000002</v>
      </c>
      <c r="AQ4229">
        <v>-44.838470999999998</v>
      </c>
      <c r="AR4229">
        <v>55.458802856549369</v>
      </c>
      <c r="AS4229" t="s">
        <v>65</v>
      </c>
      <c r="AT4229">
        <v>1</v>
      </c>
      <c r="AU4229" t="s">
        <v>1233</v>
      </c>
      <c r="AV4229" t="s">
        <v>1234</v>
      </c>
      <c r="AW4229" t="s">
        <v>60</v>
      </c>
      <c r="AX4229" t="s">
        <v>68</v>
      </c>
      <c r="AY4229" t="s">
        <v>69</v>
      </c>
      <c r="AZ4229" t="b">
        <v>1</v>
      </c>
    </row>
    <row r="4230" spans="1:52" x14ac:dyDescent="0.3">
      <c r="A4230" t="s">
        <v>52</v>
      </c>
      <c r="B4230" t="s">
        <v>53</v>
      </c>
      <c r="C4230" t="s">
        <v>54</v>
      </c>
      <c r="D4230" t="s">
        <v>55</v>
      </c>
      <c r="E4230" t="s">
        <v>2222</v>
      </c>
      <c r="F4230" t="s">
        <v>190</v>
      </c>
      <c r="G4230" t="s">
        <v>826</v>
      </c>
      <c r="H4230" t="s">
        <v>827</v>
      </c>
      <c r="I4230" t="s">
        <v>827</v>
      </c>
      <c r="J4230" t="s">
        <v>60</v>
      </c>
      <c r="K4230" t="s">
        <v>828</v>
      </c>
      <c r="L4230" t="s">
        <v>62</v>
      </c>
      <c r="M4230" t="s">
        <v>828</v>
      </c>
      <c r="N4230" t="s">
        <v>829</v>
      </c>
      <c r="O4230" t="s">
        <v>830</v>
      </c>
      <c r="P4230">
        <v>-20.128309999999999</v>
      </c>
      <c r="Q4230">
        <v>-44.8367</v>
      </c>
      <c r="R4230" s="2" t="str">
        <f>HYPERLINK("https://www.google.com/maps?q=-20.1283100,-44.8367000","Abrir no Google Maps")</f>
        <v>Abrir no Google Maps</v>
      </c>
      <c r="S4230">
        <v>3</v>
      </c>
      <c r="T4230">
        <v>0</v>
      </c>
      <c r="U4230">
        <v>4</v>
      </c>
      <c r="V4230">
        <v>0.32392890772128058</v>
      </c>
      <c r="W4230">
        <v>1</v>
      </c>
      <c r="X4230">
        <v>0.32392890772128058</v>
      </c>
      <c r="Y4230">
        <v>118</v>
      </c>
      <c r="Z4230">
        <v>65.93296364139367</v>
      </c>
      <c r="AA4230">
        <v>198</v>
      </c>
      <c r="AB4230">
        <v>332</v>
      </c>
      <c r="AC4230">
        <v>536</v>
      </c>
      <c r="AD4230">
        <v>29.32</v>
      </c>
      <c r="AE4230">
        <v>542</v>
      </c>
      <c r="AF4230">
        <v>27</v>
      </c>
      <c r="AG4230">
        <v>173</v>
      </c>
      <c r="AH4230">
        <v>129</v>
      </c>
      <c r="AI4230">
        <v>4.9800000000000004</v>
      </c>
      <c r="AJ4230">
        <v>31.92</v>
      </c>
      <c r="AK4230">
        <v>23.8</v>
      </c>
      <c r="AL4230">
        <v>-20.128383649999961</v>
      </c>
      <c r="AM4230">
        <v>-44.836795615491283</v>
      </c>
      <c r="AN4230">
        <v>-20.128383649999961</v>
      </c>
      <c r="AO4230">
        <v>-44.836795615491283</v>
      </c>
      <c r="AP4230">
        <v>-20.128309999999999</v>
      </c>
      <c r="AQ4230">
        <v>-44.8367</v>
      </c>
      <c r="AR4230">
        <v>12.92654496723039</v>
      </c>
      <c r="AS4230" t="s">
        <v>65</v>
      </c>
      <c r="AT4230">
        <v>1</v>
      </c>
      <c r="AU4230" t="s">
        <v>831</v>
      </c>
      <c r="AV4230" t="s">
        <v>832</v>
      </c>
      <c r="AW4230" t="s">
        <v>60</v>
      </c>
      <c r="AX4230" t="s">
        <v>68</v>
      </c>
      <c r="AY4230" t="s">
        <v>69</v>
      </c>
      <c r="AZ4230" t="b">
        <v>1</v>
      </c>
    </row>
    <row r="4231" spans="1:52" x14ac:dyDescent="0.3">
      <c r="A4231" t="s">
        <v>52</v>
      </c>
      <c r="B4231" t="s">
        <v>53</v>
      </c>
      <c r="C4231" t="s">
        <v>54</v>
      </c>
      <c r="D4231" t="s">
        <v>55</v>
      </c>
      <c r="E4231" t="s">
        <v>2222</v>
      </c>
      <c r="F4231" t="s">
        <v>190</v>
      </c>
      <c r="G4231" t="s">
        <v>380</v>
      </c>
      <c r="H4231" t="s">
        <v>381</v>
      </c>
      <c r="I4231" t="s">
        <v>381</v>
      </c>
      <c r="J4231" t="s">
        <v>60</v>
      </c>
      <c r="K4231" t="s">
        <v>72</v>
      </c>
      <c r="L4231" t="s">
        <v>62</v>
      </c>
      <c r="M4231" t="s">
        <v>72</v>
      </c>
      <c r="N4231" t="s">
        <v>382</v>
      </c>
      <c r="O4231" t="s">
        <v>383</v>
      </c>
      <c r="P4231">
        <v>-20.147182000000001</v>
      </c>
      <c r="Q4231">
        <v>-44.912728999999999</v>
      </c>
      <c r="R4231" s="2" t="str">
        <f>HYPERLINK("https://www.google.com/maps?q=-20.1471820,-44.9127290","Abrir no Google Maps")</f>
        <v>Abrir no Google Maps</v>
      </c>
      <c r="S4231">
        <v>3</v>
      </c>
      <c r="T4231">
        <v>478.0141981540923</v>
      </c>
      <c r="U4231">
        <v>3</v>
      </c>
      <c r="V4231">
        <v>0.30863180731604428</v>
      </c>
      <c r="W4231">
        <v>1</v>
      </c>
      <c r="X4231">
        <v>0.30863180731604428</v>
      </c>
      <c r="Y4231">
        <v>747</v>
      </c>
      <c r="Z4231">
        <v>494.0254290673729</v>
      </c>
      <c r="AA4231">
        <v>198</v>
      </c>
      <c r="AB4231">
        <v>332</v>
      </c>
      <c r="AC4231">
        <v>536</v>
      </c>
      <c r="AD4231">
        <v>29.32</v>
      </c>
      <c r="AE4231">
        <v>542</v>
      </c>
      <c r="AF4231">
        <v>27</v>
      </c>
      <c r="AG4231">
        <v>173</v>
      </c>
      <c r="AH4231">
        <v>129</v>
      </c>
      <c r="AI4231">
        <v>4.9800000000000004</v>
      </c>
      <c r="AJ4231">
        <v>31.92</v>
      </c>
      <c r="AK4231">
        <v>23.8</v>
      </c>
      <c r="AL4231">
        <v>-20.147375599999979</v>
      </c>
      <c r="AM4231">
        <v>-44.912907472879468</v>
      </c>
      <c r="AN4231">
        <v>-20.147375599999979</v>
      </c>
      <c r="AO4231">
        <v>-44.912907472879468</v>
      </c>
      <c r="AP4231">
        <v>-20.147182000000001</v>
      </c>
      <c r="AQ4231">
        <v>-44.912728999999999</v>
      </c>
      <c r="AR4231">
        <v>28.50197694184326</v>
      </c>
      <c r="AS4231" t="s">
        <v>65</v>
      </c>
      <c r="AT4231">
        <v>1</v>
      </c>
      <c r="AU4231" t="s">
        <v>384</v>
      </c>
      <c r="AV4231" t="s">
        <v>385</v>
      </c>
      <c r="AW4231" t="s">
        <v>60</v>
      </c>
      <c r="AX4231" t="s">
        <v>68</v>
      </c>
      <c r="AY4231" t="s">
        <v>69</v>
      </c>
      <c r="AZ4231" t="b">
        <v>1</v>
      </c>
    </row>
    <row r="4232" spans="1:52" x14ac:dyDescent="0.3">
      <c r="A4232" t="s">
        <v>52</v>
      </c>
      <c r="B4232" t="s">
        <v>53</v>
      </c>
      <c r="C4232" t="s">
        <v>54</v>
      </c>
      <c r="D4232" t="s">
        <v>55</v>
      </c>
      <c r="E4232" t="s">
        <v>2222</v>
      </c>
      <c r="F4232" t="s">
        <v>190</v>
      </c>
      <c r="G4232" t="s">
        <v>833</v>
      </c>
      <c r="H4232" t="s">
        <v>834</v>
      </c>
      <c r="I4232" t="s">
        <v>834</v>
      </c>
      <c r="J4232" t="s">
        <v>60</v>
      </c>
      <c r="K4232" t="s">
        <v>388</v>
      </c>
      <c r="L4232" t="s">
        <v>62</v>
      </c>
      <c r="M4232" t="s">
        <v>388</v>
      </c>
      <c r="N4232" t="s">
        <v>835</v>
      </c>
      <c r="O4232" t="s">
        <v>836</v>
      </c>
      <c r="P4232">
        <v>-20.157906000000001</v>
      </c>
      <c r="Q4232">
        <v>-44.900458999999998</v>
      </c>
      <c r="R4232" s="2" t="str">
        <f>HYPERLINK("https://www.google.com/maps?q=-20.1579060,-44.9004590","Abrir no Google Maps")</f>
        <v>Abrir no Google Maps</v>
      </c>
      <c r="S4232">
        <v>3</v>
      </c>
      <c r="T4232">
        <v>0</v>
      </c>
      <c r="U4232">
        <v>3</v>
      </c>
      <c r="V4232">
        <v>0.30474731642443248</v>
      </c>
      <c r="W4232">
        <v>1</v>
      </c>
      <c r="X4232">
        <v>0.30474731642443248</v>
      </c>
      <c r="Y4232">
        <v>729</v>
      </c>
      <c r="Z4232">
        <v>203.63168486652771</v>
      </c>
      <c r="AA4232">
        <v>198</v>
      </c>
      <c r="AB4232">
        <v>332</v>
      </c>
      <c r="AC4232">
        <v>536</v>
      </c>
      <c r="AD4232">
        <v>29.32</v>
      </c>
      <c r="AE4232">
        <v>542</v>
      </c>
      <c r="AF4232">
        <v>27</v>
      </c>
      <c r="AG4232">
        <v>173</v>
      </c>
      <c r="AH4232">
        <v>129</v>
      </c>
      <c r="AI4232">
        <v>4.9800000000000004</v>
      </c>
      <c r="AJ4232">
        <v>31.92</v>
      </c>
      <c r="AK4232">
        <v>23.8</v>
      </c>
      <c r="AL4232">
        <v>-20.157925749999951</v>
      </c>
      <c r="AM4232">
        <v>-44.900484707799812</v>
      </c>
      <c r="AN4232">
        <v>-20.157925749999951</v>
      </c>
      <c r="AO4232">
        <v>-44.900484707799812</v>
      </c>
      <c r="AP4232">
        <v>-20.157906000000001</v>
      </c>
      <c r="AQ4232">
        <v>-44.900458999999998</v>
      </c>
      <c r="AR4232">
        <v>3.4714515960382508</v>
      </c>
      <c r="AS4232" t="s">
        <v>65</v>
      </c>
      <c r="AT4232">
        <v>1</v>
      </c>
      <c r="AU4232" t="s">
        <v>837</v>
      </c>
      <c r="AV4232" t="s">
        <v>838</v>
      </c>
      <c r="AW4232" t="s">
        <v>60</v>
      </c>
      <c r="AX4232" t="s">
        <v>68</v>
      </c>
      <c r="AY4232" t="s">
        <v>69</v>
      </c>
      <c r="AZ4232" t="b">
        <v>1</v>
      </c>
    </row>
    <row r="4233" spans="1:52" x14ac:dyDescent="0.3">
      <c r="A4233" t="s">
        <v>52</v>
      </c>
      <c r="B4233" t="s">
        <v>53</v>
      </c>
      <c r="C4233" t="s">
        <v>54</v>
      </c>
      <c r="D4233" t="s">
        <v>55</v>
      </c>
      <c r="E4233" t="s">
        <v>2222</v>
      </c>
      <c r="F4233" t="s">
        <v>190</v>
      </c>
      <c r="G4233" t="s">
        <v>386</v>
      </c>
      <c r="H4233" t="s">
        <v>387</v>
      </c>
      <c r="I4233" t="s">
        <v>387</v>
      </c>
      <c r="J4233" t="s">
        <v>60</v>
      </c>
      <c r="K4233" t="s">
        <v>388</v>
      </c>
      <c r="L4233" t="s">
        <v>62</v>
      </c>
      <c r="M4233" t="s">
        <v>388</v>
      </c>
      <c r="N4233" t="s">
        <v>389</v>
      </c>
      <c r="O4233" t="s">
        <v>357</v>
      </c>
      <c r="P4233">
        <v>-20.161041999999998</v>
      </c>
      <c r="Q4233">
        <v>-44.901242000000003</v>
      </c>
      <c r="R4233" s="2" t="str">
        <f>HYPERLINK("https://www.google.com/maps?q=-20.1610420,-44.9012420","Abrir no Google Maps")</f>
        <v>Abrir no Google Maps</v>
      </c>
      <c r="S4233">
        <v>3</v>
      </c>
      <c r="T4233">
        <v>440.22183232279212</v>
      </c>
      <c r="U4233">
        <v>3</v>
      </c>
      <c r="V4233">
        <v>0.30387114387114389</v>
      </c>
      <c r="W4233">
        <v>1</v>
      </c>
      <c r="X4233">
        <v>0.30387114387114389</v>
      </c>
      <c r="Y4233">
        <v>729</v>
      </c>
      <c r="Z4233">
        <v>398.48306829302379</v>
      </c>
      <c r="AA4233">
        <v>198</v>
      </c>
      <c r="AB4233">
        <v>332</v>
      </c>
      <c r="AC4233">
        <v>536</v>
      </c>
      <c r="AD4233">
        <v>29.32</v>
      </c>
      <c r="AE4233">
        <v>542</v>
      </c>
      <c r="AF4233">
        <v>27</v>
      </c>
      <c r="AG4233">
        <v>173</v>
      </c>
      <c r="AH4233">
        <v>129</v>
      </c>
      <c r="AI4233">
        <v>4.9800000000000004</v>
      </c>
      <c r="AJ4233">
        <v>31.92</v>
      </c>
      <c r="AK4233">
        <v>23.8</v>
      </c>
      <c r="AL4233">
        <v>-20.16176629999995</v>
      </c>
      <c r="AM4233">
        <v>-44.901582787827898</v>
      </c>
      <c r="AN4233">
        <v>-20.16176629999995</v>
      </c>
      <c r="AO4233">
        <v>-44.901582787827898</v>
      </c>
      <c r="AP4233">
        <v>-20.161041999999998</v>
      </c>
      <c r="AQ4233">
        <v>-44.901242000000003</v>
      </c>
      <c r="AR4233">
        <v>88.143369157892835</v>
      </c>
      <c r="AS4233" t="s">
        <v>65</v>
      </c>
      <c r="AT4233">
        <v>1</v>
      </c>
      <c r="AU4233" t="s">
        <v>390</v>
      </c>
      <c r="AV4233" t="s">
        <v>391</v>
      </c>
      <c r="AW4233" t="s">
        <v>60</v>
      </c>
      <c r="AX4233" t="s">
        <v>68</v>
      </c>
      <c r="AY4233" t="s">
        <v>69</v>
      </c>
      <c r="AZ4233" t="b">
        <v>1</v>
      </c>
    </row>
    <row r="4234" spans="1:52" x14ac:dyDescent="0.3">
      <c r="A4234" t="s">
        <v>52</v>
      </c>
      <c r="B4234" t="s">
        <v>53</v>
      </c>
      <c r="C4234" t="s">
        <v>54</v>
      </c>
      <c r="D4234" t="s">
        <v>55</v>
      </c>
      <c r="E4234" t="s">
        <v>2222</v>
      </c>
      <c r="F4234" t="s">
        <v>190</v>
      </c>
      <c r="G4234" t="s">
        <v>845</v>
      </c>
      <c r="H4234" t="s">
        <v>846</v>
      </c>
      <c r="I4234" t="s">
        <v>846</v>
      </c>
      <c r="J4234" t="s">
        <v>60</v>
      </c>
      <c r="K4234" t="s">
        <v>424</v>
      </c>
      <c r="L4234" t="s">
        <v>62</v>
      </c>
      <c r="M4234" t="s">
        <v>424</v>
      </c>
      <c r="N4234" t="s">
        <v>847</v>
      </c>
      <c r="O4234" t="s">
        <v>848</v>
      </c>
      <c r="P4234">
        <v>-20.175523999999999</v>
      </c>
      <c r="Q4234">
        <v>-44.918016999999999</v>
      </c>
      <c r="R4234" s="2" t="str">
        <f>HYPERLINK("https://www.google.com/maps?q=-20.1755240,-44.9180170","Abrir no Google Maps")</f>
        <v>Abrir no Google Maps</v>
      </c>
      <c r="S4234">
        <v>3</v>
      </c>
      <c r="T4234">
        <v>833.59191671824021</v>
      </c>
      <c r="U4234">
        <v>3</v>
      </c>
      <c r="V4234">
        <v>0.35263767571459881</v>
      </c>
      <c r="W4234">
        <v>0.85</v>
      </c>
      <c r="X4234">
        <v>0.29974202435740899</v>
      </c>
      <c r="Y4234">
        <v>723</v>
      </c>
      <c r="Z4234">
        <v>701.05790658871581</v>
      </c>
      <c r="AA4234">
        <v>198</v>
      </c>
      <c r="AB4234">
        <v>332</v>
      </c>
      <c r="AC4234">
        <v>536</v>
      </c>
      <c r="AD4234">
        <v>29.32</v>
      </c>
      <c r="AE4234">
        <v>542</v>
      </c>
      <c r="AF4234">
        <v>27</v>
      </c>
      <c r="AG4234">
        <v>173</v>
      </c>
      <c r="AH4234">
        <v>129</v>
      </c>
      <c r="AI4234">
        <v>4.9800000000000004</v>
      </c>
      <c r="AJ4234">
        <v>31.92</v>
      </c>
      <c r="AK4234">
        <v>23.8</v>
      </c>
      <c r="AL4234">
        <v>-20.17533859999995</v>
      </c>
      <c r="AM4234">
        <v>-44.917689627873088</v>
      </c>
      <c r="AN4234">
        <v>-20.17533859999995</v>
      </c>
      <c r="AO4234">
        <v>-44.917689627873088</v>
      </c>
      <c r="AP4234">
        <v>-20.175523999999999</v>
      </c>
      <c r="AQ4234">
        <v>-44.918016999999999</v>
      </c>
      <c r="AR4234">
        <v>39.950898228213873</v>
      </c>
      <c r="AS4234" t="s">
        <v>65</v>
      </c>
      <c r="AT4234">
        <v>1</v>
      </c>
      <c r="AU4234" t="s">
        <v>849</v>
      </c>
      <c r="AV4234" t="s">
        <v>850</v>
      </c>
      <c r="AW4234" t="s">
        <v>60</v>
      </c>
      <c r="AX4234" t="s">
        <v>68</v>
      </c>
      <c r="AY4234" t="s">
        <v>69</v>
      </c>
      <c r="AZ4234" t="b">
        <v>1</v>
      </c>
    </row>
    <row r="4235" spans="1:52" x14ac:dyDescent="0.3">
      <c r="A4235" t="s">
        <v>52</v>
      </c>
      <c r="B4235" t="s">
        <v>53</v>
      </c>
      <c r="C4235" t="s">
        <v>54</v>
      </c>
      <c r="D4235" t="s">
        <v>55</v>
      </c>
      <c r="E4235" t="s">
        <v>2222</v>
      </c>
      <c r="F4235" t="s">
        <v>190</v>
      </c>
      <c r="G4235" t="s">
        <v>1347</v>
      </c>
      <c r="H4235" t="s">
        <v>1348</v>
      </c>
      <c r="I4235" t="s">
        <v>1348</v>
      </c>
      <c r="J4235" t="s">
        <v>60</v>
      </c>
      <c r="K4235" t="s">
        <v>1349</v>
      </c>
      <c r="L4235" t="s">
        <v>62</v>
      </c>
      <c r="M4235" t="s">
        <v>1349</v>
      </c>
      <c r="N4235" t="s">
        <v>1350</v>
      </c>
      <c r="O4235" t="s">
        <v>1351</v>
      </c>
      <c r="P4235">
        <v>-20.140426999999999</v>
      </c>
      <c r="Q4235">
        <v>-44.905327999999997</v>
      </c>
      <c r="R4235" s="2" t="str">
        <f>HYPERLINK("https://www.google.com/maps?q=-20.1404270,-44.9053280","Abrir no Google Maps")</f>
        <v>Abrir no Google Maps</v>
      </c>
      <c r="S4235">
        <v>3</v>
      </c>
      <c r="T4235">
        <v>359.5810968231857</v>
      </c>
      <c r="U4235">
        <v>3</v>
      </c>
      <c r="V4235">
        <v>0.3478956568508807</v>
      </c>
      <c r="W4235">
        <v>0.85</v>
      </c>
      <c r="X4235">
        <v>0.2957113083232486</v>
      </c>
      <c r="Y4235">
        <v>581</v>
      </c>
      <c r="Z4235">
        <v>292.370097058873</v>
      </c>
      <c r="AA4235">
        <v>198</v>
      </c>
      <c r="AB4235">
        <v>332</v>
      </c>
      <c r="AC4235">
        <v>536</v>
      </c>
      <c r="AD4235">
        <v>29.32</v>
      </c>
      <c r="AE4235">
        <v>542</v>
      </c>
      <c r="AF4235">
        <v>27</v>
      </c>
      <c r="AG4235">
        <v>173</v>
      </c>
      <c r="AH4235">
        <v>129</v>
      </c>
      <c r="AI4235">
        <v>4.9800000000000004</v>
      </c>
      <c r="AJ4235">
        <v>31.92</v>
      </c>
      <c r="AK4235">
        <v>23.8</v>
      </c>
      <c r="AL4235">
        <v>-20.140465449999969</v>
      </c>
      <c r="AM4235">
        <v>-44.905317129037229</v>
      </c>
      <c r="AN4235">
        <v>-20.140465449999969</v>
      </c>
      <c r="AO4235">
        <v>-44.905317129037229</v>
      </c>
      <c r="AP4235">
        <v>-20.140426999999999</v>
      </c>
      <c r="AQ4235">
        <v>-44.905327999999997</v>
      </c>
      <c r="AR4235">
        <v>4.4284788644958706</v>
      </c>
      <c r="AS4235" t="s">
        <v>65</v>
      </c>
      <c r="AT4235">
        <v>1</v>
      </c>
      <c r="AU4235" t="s">
        <v>1352</v>
      </c>
      <c r="AV4235" t="s">
        <v>1353</v>
      </c>
      <c r="AW4235" t="s">
        <v>60</v>
      </c>
      <c r="AX4235" t="s">
        <v>68</v>
      </c>
      <c r="AY4235" t="s">
        <v>69</v>
      </c>
      <c r="AZ4235" t="b">
        <v>1</v>
      </c>
    </row>
    <row r="4236" spans="1:52" x14ac:dyDescent="0.3">
      <c r="A4236" t="s">
        <v>52</v>
      </c>
      <c r="B4236" t="s">
        <v>53</v>
      </c>
      <c r="C4236" t="s">
        <v>54</v>
      </c>
      <c r="D4236" t="s">
        <v>55</v>
      </c>
      <c r="E4236" t="s">
        <v>2222</v>
      </c>
      <c r="F4236" t="s">
        <v>190</v>
      </c>
      <c r="G4236" t="s">
        <v>864</v>
      </c>
      <c r="H4236" t="s">
        <v>865</v>
      </c>
      <c r="I4236" t="s">
        <v>865</v>
      </c>
      <c r="J4236" t="s">
        <v>60</v>
      </c>
      <c r="K4236" t="s">
        <v>486</v>
      </c>
      <c r="L4236" t="s">
        <v>62</v>
      </c>
      <c r="M4236" t="s">
        <v>486</v>
      </c>
      <c r="N4236" t="s">
        <v>866</v>
      </c>
      <c r="O4236" t="s">
        <v>867</v>
      </c>
      <c r="P4236">
        <v>-20.170919000000001</v>
      </c>
      <c r="Q4236">
        <v>-44.905451999999997</v>
      </c>
      <c r="R4236" s="2" t="str">
        <f>HYPERLINK("https://www.google.com/maps?q=-20.1709190,-44.9054520","Abrir no Google Maps")</f>
        <v>Abrir no Google Maps</v>
      </c>
      <c r="S4236">
        <v>3</v>
      </c>
      <c r="T4236">
        <v>0</v>
      </c>
      <c r="U4236">
        <v>3</v>
      </c>
      <c r="V4236">
        <v>0.30746104807240182</v>
      </c>
      <c r="W4236">
        <v>1</v>
      </c>
      <c r="X4236">
        <v>0.30746104807240182</v>
      </c>
      <c r="Y4236">
        <v>578</v>
      </c>
      <c r="Z4236">
        <v>205.34598855748419</v>
      </c>
      <c r="AA4236">
        <v>198</v>
      </c>
      <c r="AB4236">
        <v>332</v>
      </c>
      <c r="AC4236">
        <v>536</v>
      </c>
      <c r="AD4236">
        <v>29.32</v>
      </c>
      <c r="AE4236">
        <v>542</v>
      </c>
      <c r="AF4236">
        <v>27</v>
      </c>
      <c r="AG4236">
        <v>173</v>
      </c>
      <c r="AH4236">
        <v>129</v>
      </c>
      <c r="AI4236">
        <v>4.9800000000000004</v>
      </c>
      <c r="AJ4236">
        <v>31.92</v>
      </c>
      <c r="AK4236">
        <v>23.8</v>
      </c>
      <c r="AL4236">
        <v>-20.170854399999939</v>
      </c>
      <c r="AM4236">
        <v>-44.905524839633358</v>
      </c>
      <c r="AN4236">
        <v>-20.170854399999939</v>
      </c>
      <c r="AO4236">
        <v>-44.905524839633358</v>
      </c>
      <c r="AP4236">
        <v>-20.170919000000001</v>
      </c>
      <c r="AQ4236">
        <v>-44.905451999999997</v>
      </c>
      <c r="AR4236">
        <v>10.471140355179269</v>
      </c>
      <c r="AS4236" t="s">
        <v>65</v>
      </c>
      <c r="AT4236">
        <v>1</v>
      </c>
      <c r="AU4236" t="s">
        <v>868</v>
      </c>
      <c r="AV4236" t="s">
        <v>869</v>
      </c>
      <c r="AW4236" t="s">
        <v>60</v>
      </c>
      <c r="AX4236" t="s">
        <v>68</v>
      </c>
      <c r="AY4236" t="s">
        <v>69</v>
      </c>
      <c r="AZ4236" t="b">
        <v>1</v>
      </c>
    </row>
    <row r="4237" spans="1:52" x14ac:dyDescent="0.3">
      <c r="A4237" t="s">
        <v>52</v>
      </c>
      <c r="B4237" t="s">
        <v>53</v>
      </c>
      <c r="C4237" t="s">
        <v>54</v>
      </c>
      <c r="D4237" t="s">
        <v>55</v>
      </c>
      <c r="E4237" t="s">
        <v>2222</v>
      </c>
      <c r="F4237" t="s">
        <v>190</v>
      </c>
      <c r="G4237" t="s">
        <v>870</v>
      </c>
      <c r="H4237" t="s">
        <v>871</v>
      </c>
      <c r="I4237" t="s">
        <v>871</v>
      </c>
      <c r="J4237" t="s">
        <v>60</v>
      </c>
      <c r="K4237" t="s">
        <v>475</v>
      </c>
      <c r="L4237" t="s">
        <v>62</v>
      </c>
      <c r="M4237" t="s">
        <v>475</v>
      </c>
      <c r="N4237" t="s">
        <v>872</v>
      </c>
      <c r="O4237" t="s">
        <v>507</v>
      </c>
      <c r="P4237">
        <v>-20.176269999999999</v>
      </c>
      <c r="Q4237">
        <v>-44.909323999999998</v>
      </c>
      <c r="R4237" s="2" t="str">
        <f>HYPERLINK("https://www.google.com/maps?q=-20.1762700,-44.9093240","Abrir no Google Maps")</f>
        <v>Abrir no Google Maps</v>
      </c>
      <c r="S4237">
        <v>3</v>
      </c>
      <c r="T4237">
        <v>472.42731136821368</v>
      </c>
      <c r="U4237">
        <v>3</v>
      </c>
      <c r="V4237">
        <v>0.31102434214580638</v>
      </c>
      <c r="W4237">
        <v>1</v>
      </c>
      <c r="X4237">
        <v>0.31102434214580638</v>
      </c>
      <c r="Y4237">
        <v>578</v>
      </c>
      <c r="Z4237">
        <v>495.19726726344601</v>
      </c>
      <c r="AA4237">
        <v>198</v>
      </c>
      <c r="AB4237">
        <v>332</v>
      </c>
      <c r="AC4237">
        <v>536</v>
      </c>
      <c r="AD4237">
        <v>29.32</v>
      </c>
      <c r="AE4237">
        <v>542</v>
      </c>
      <c r="AF4237">
        <v>27</v>
      </c>
      <c r="AG4237">
        <v>173</v>
      </c>
      <c r="AH4237">
        <v>129</v>
      </c>
      <c r="AI4237">
        <v>4.9800000000000004</v>
      </c>
      <c r="AJ4237">
        <v>31.92</v>
      </c>
      <c r="AK4237">
        <v>23.8</v>
      </c>
      <c r="AL4237">
        <v>-20.17630284999996</v>
      </c>
      <c r="AM4237">
        <v>-44.909199064318948</v>
      </c>
      <c r="AN4237">
        <v>-20.17630284999996</v>
      </c>
      <c r="AO4237">
        <v>-44.909199064318948</v>
      </c>
      <c r="AP4237">
        <v>-20.176269999999999</v>
      </c>
      <c r="AQ4237">
        <v>-44.909323999999998</v>
      </c>
      <c r="AR4237">
        <v>13.55691308737447</v>
      </c>
      <c r="AS4237" t="s">
        <v>65</v>
      </c>
      <c r="AT4237">
        <v>1</v>
      </c>
      <c r="AU4237" t="s">
        <v>873</v>
      </c>
      <c r="AV4237" t="s">
        <v>874</v>
      </c>
      <c r="AW4237" t="s">
        <v>60</v>
      </c>
      <c r="AX4237" t="s">
        <v>68</v>
      </c>
      <c r="AY4237" t="s">
        <v>69</v>
      </c>
      <c r="AZ4237" t="b">
        <v>1</v>
      </c>
    </row>
    <row r="4238" spans="1:52" x14ac:dyDescent="0.3">
      <c r="A4238" t="s">
        <v>52</v>
      </c>
      <c r="B4238" t="s">
        <v>53</v>
      </c>
      <c r="C4238" t="s">
        <v>54</v>
      </c>
      <c r="D4238" t="s">
        <v>55</v>
      </c>
      <c r="E4238" t="s">
        <v>2222</v>
      </c>
      <c r="F4238" t="s">
        <v>190</v>
      </c>
      <c r="G4238" t="s">
        <v>473</v>
      </c>
      <c r="H4238" t="s">
        <v>474</v>
      </c>
      <c r="I4238" t="s">
        <v>474</v>
      </c>
      <c r="J4238" t="s">
        <v>60</v>
      </c>
      <c r="K4238" t="s">
        <v>475</v>
      </c>
      <c r="L4238" t="s">
        <v>62</v>
      </c>
      <c r="M4238" t="s">
        <v>475</v>
      </c>
      <c r="N4238" t="s">
        <v>406</v>
      </c>
      <c r="O4238" t="s">
        <v>476</v>
      </c>
      <c r="P4238">
        <v>-20.177902</v>
      </c>
      <c r="Q4238">
        <v>-44.908504000000001</v>
      </c>
      <c r="R4238" s="2" t="str">
        <f>HYPERLINK("https://www.google.com/maps?q=-20.1779020,-44.9085040","Abrir no Google Maps")</f>
        <v>Abrir no Google Maps</v>
      </c>
      <c r="S4238">
        <v>3</v>
      </c>
      <c r="T4238">
        <v>656.92307673247149</v>
      </c>
      <c r="U4238">
        <v>3</v>
      </c>
      <c r="V4238">
        <v>0.30949599826952201</v>
      </c>
      <c r="W4238">
        <v>1</v>
      </c>
      <c r="X4238">
        <v>0.30949599826952201</v>
      </c>
      <c r="Y4238">
        <v>578</v>
      </c>
      <c r="Z4238">
        <v>635.01982153722327</v>
      </c>
      <c r="AA4238">
        <v>198</v>
      </c>
      <c r="AB4238">
        <v>332</v>
      </c>
      <c r="AC4238">
        <v>536</v>
      </c>
      <c r="AD4238">
        <v>29.32</v>
      </c>
      <c r="AE4238">
        <v>542</v>
      </c>
      <c r="AF4238">
        <v>27</v>
      </c>
      <c r="AG4238">
        <v>173</v>
      </c>
      <c r="AH4238">
        <v>129</v>
      </c>
      <c r="AI4238">
        <v>4.9800000000000004</v>
      </c>
      <c r="AJ4238">
        <v>31.92</v>
      </c>
      <c r="AK4238">
        <v>23.8</v>
      </c>
      <c r="AL4238">
        <v>-20.177800399999938</v>
      </c>
      <c r="AM4238">
        <v>-44.908361879701268</v>
      </c>
      <c r="AN4238">
        <v>-20.177800399999938</v>
      </c>
      <c r="AO4238">
        <v>-44.908361879701268</v>
      </c>
      <c r="AP4238">
        <v>-20.177902</v>
      </c>
      <c r="AQ4238">
        <v>-44.908504000000001</v>
      </c>
      <c r="AR4238">
        <v>18.666463141775541</v>
      </c>
      <c r="AS4238" t="s">
        <v>65</v>
      </c>
      <c r="AT4238">
        <v>1</v>
      </c>
      <c r="AU4238" t="s">
        <v>477</v>
      </c>
      <c r="AV4238" t="s">
        <v>478</v>
      </c>
      <c r="AW4238" t="s">
        <v>60</v>
      </c>
      <c r="AX4238" t="s">
        <v>68</v>
      </c>
      <c r="AY4238" t="s">
        <v>69</v>
      </c>
      <c r="AZ4238" t="b">
        <v>1</v>
      </c>
    </row>
    <row r="4239" spans="1:52" x14ac:dyDescent="0.3">
      <c r="A4239" t="s">
        <v>52</v>
      </c>
      <c r="B4239" t="s">
        <v>53</v>
      </c>
      <c r="C4239" t="s">
        <v>54</v>
      </c>
      <c r="D4239" t="s">
        <v>55</v>
      </c>
      <c r="E4239" t="s">
        <v>2222</v>
      </c>
      <c r="F4239" t="s">
        <v>190</v>
      </c>
      <c r="G4239" t="s">
        <v>491</v>
      </c>
      <c r="H4239" t="s">
        <v>492</v>
      </c>
      <c r="I4239" t="s">
        <v>492</v>
      </c>
      <c r="J4239" t="s">
        <v>60</v>
      </c>
      <c r="K4239" t="s">
        <v>475</v>
      </c>
      <c r="L4239" t="s">
        <v>62</v>
      </c>
      <c r="M4239" t="s">
        <v>475</v>
      </c>
      <c r="N4239" t="s">
        <v>493</v>
      </c>
      <c r="O4239" t="s">
        <v>494</v>
      </c>
      <c r="P4239">
        <v>-20.175250999999999</v>
      </c>
      <c r="Q4239">
        <v>-44.897357</v>
      </c>
      <c r="R4239" s="2" t="str">
        <f>HYPERLINK("https://www.google.com/maps?q=-20.1752510,-44.8973570","Abrir no Google Maps")</f>
        <v>Abrir no Google Maps</v>
      </c>
      <c r="S4239">
        <v>3</v>
      </c>
      <c r="T4239">
        <v>992.29631678149951</v>
      </c>
      <c r="U4239">
        <v>3</v>
      </c>
      <c r="V4239">
        <v>0.31206168356913311</v>
      </c>
      <c r="W4239">
        <v>1</v>
      </c>
      <c r="X4239">
        <v>0.31206168356913311</v>
      </c>
      <c r="Y4239">
        <v>578</v>
      </c>
      <c r="Z4239">
        <v>1008.5871064168319</v>
      </c>
      <c r="AA4239">
        <v>198</v>
      </c>
      <c r="AB4239">
        <v>332</v>
      </c>
      <c r="AC4239">
        <v>536</v>
      </c>
      <c r="AD4239">
        <v>29.32</v>
      </c>
      <c r="AE4239">
        <v>542</v>
      </c>
      <c r="AF4239">
        <v>27</v>
      </c>
      <c r="AG4239">
        <v>173</v>
      </c>
      <c r="AH4239">
        <v>129</v>
      </c>
      <c r="AI4239">
        <v>4.9800000000000004</v>
      </c>
      <c r="AJ4239">
        <v>31.92</v>
      </c>
      <c r="AK4239">
        <v>23.8</v>
      </c>
      <c r="AL4239">
        <v>-20.175290599999951</v>
      </c>
      <c r="AM4239">
        <v>-44.897271931010721</v>
      </c>
      <c r="AN4239">
        <v>-20.175290599999951</v>
      </c>
      <c r="AO4239">
        <v>-44.897271931010721</v>
      </c>
      <c r="AP4239">
        <v>-20.175250999999999</v>
      </c>
      <c r="AQ4239">
        <v>-44.897357</v>
      </c>
      <c r="AR4239">
        <v>9.921899108467926</v>
      </c>
      <c r="AS4239" t="s">
        <v>65</v>
      </c>
      <c r="AT4239">
        <v>1</v>
      </c>
      <c r="AU4239" t="s">
        <v>495</v>
      </c>
      <c r="AV4239" t="s">
        <v>496</v>
      </c>
      <c r="AW4239" t="s">
        <v>60</v>
      </c>
      <c r="AX4239" t="s">
        <v>68</v>
      </c>
      <c r="AY4239" t="s">
        <v>69</v>
      </c>
      <c r="AZ4239" t="b">
        <v>1</v>
      </c>
    </row>
    <row r="4240" spans="1:52" x14ac:dyDescent="0.3">
      <c r="A4240" t="s">
        <v>52</v>
      </c>
      <c r="B4240" t="s">
        <v>53</v>
      </c>
      <c r="C4240" t="s">
        <v>54</v>
      </c>
      <c r="D4240" t="s">
        <v>55</v>
      </c>
      <c r="E4240" t="s">
        <v>2222</v>
      </c>
      <c r="F4240" t="s">
        <v>190</v>
      </c>
      <c r="G4240" t="s">
        <v>497</v>
      </c>
      <c r="H4240" t="s">
        <v>875</v>
      </c>
      <c r="I4240" t="s">
        <v>875</v>
      </c>
      <c r="J4240" t="s">
        <v>60</v>
      </c>
      <c r="K4240" t="s">
        <v>475</v>
      </c>
      <c r="L4240" t="s">
        <v>62</v>
      </c>
      <c r="M4240" t="s">
        <v>475</v>
      </c>
      <c r="N4240" t="s">
        <v>499</v>
      </c>
      <c r="O4240" t="s">
        <v>876</v>
      </c>
      <c r="P4240">
        <v>-20.177212999999998</v>
      </c>
      <c r="Q4240">
        <v>-44.904026999999999</v>
      </c>
      <c r="R4240" s="2" t="str">
        <f>HYPERLINK("https://www.google.com/maps?q=-20.1772130,-44.9040270","Abrir no Google Maps")</f>
        <v>Abrir no Google Maps</v>
      </c>
      <c r="S4240">
        <v>3</v>
      </c>
      <c r="T4240">
        <v>706.4159561113795</v>
      </c>
      <c r="U4240">
        <v>3</v>
      </c>
      <c r="V4240">
        <v>0.31260860941963847</v>
      </c>
      <c r="W4240">
        <v>1</v>
      </c>
      <c r="X4240">
        <v>0.31260860941963847</v>
      </c>
      <c r="Y4240">
        <v>578</v>
      </c>
      <c r="Z4240">
        <v>588.7160518608398</v>
      </c>
      <c r="AA4240">
        <v>198</v>
      </c>
      <c r="AB4240">
        <v>332</v>
      </c>
      <c r="AC4240">
        <v>536</v>
      </c>
      <c r="AD4240">
        <v>29.32</v>
      </c>
      <c r="AE4240">
        <v>542</v>
      </c>
      <c r="AF4240">
        <v>27</v>
      </c>
      <c r="AG4240">
        <v>173</v>
      </c>
      <c r="AH4240">
        <v>129</v>
      </c>
      <c r="AI4240">
        <v>4.9800000000000004</v>
      </c>
      <c r="AJ4240">
        <v>31.92</v>
      </c>
      <c r="AK4240">
        <v>23.8</v>
      </c>
      <c r="AL4240">
        <v>-20.177090199999949</v>
      </c>
      <c r="AM4240">
        <v>-44.904078820930181</v>
      </c>
      <c r="AN4240">
        <v>-20.177090199999949</v>
      </c>
      <c r="AO4240">
        <v>-44.904078820930181</v>
      </c>
      <c r="AP4240">
        <v>-20.177212999999998</v>
      </c>
      <c r="AQ4240">
        <v>-44.904026999999999</v>
      </c>
      <c r="AR4240">
        <v>14.7034129632295</v>
      </c>
      <c r="AS4240" t="s">
        <v>65</v>
      </c>
      <c r="AT4240">
        <v>1</v>
      </c>
      <c r="AU4240" t="s">
        <v>877</v>
      </c>
      <c r="AV4240" t="s">
        <v>878</v>
      </c>
      <c r="AW4240" t="s">
        <v>60</v>
      </c>
      <c r="AX4240" t="s">
        <v>68</v>
      </c>
      <c r="AY4240" t="s">
        <v>69</v>
      </c>
      <c r="AZ4240" t="b">
        <v>1</v>
      </c>
    </row>
    <row r="4241" spans="1:52" x14ac:dyDescent="0.3">
      <c r="A4241" t="s">
        <v>52</v>
      </c>
      <c r="B4241" t="s">
        <v>53</v>
      </c>
      <c r="C4241" t="s">
        <v>54</v>
      </c>
      <c r="D4241" t="s">
        <v>55</v>
      </c>
      <c r="E4241" t="s">
        <v>2222</v>
      </c>
      <c r="F4241" t="s">
        <v>190</v>
      </c>
      <c r="G4241" t="s">
        <v>497</v>
      </c>
      <c r="H4241" t="s">
        <v>498</v>
      </c>
      <c r="I4241" t="s">
        <v>498</v>
      </c>
      <c r="J4241" t="s">
        <v>60</v>
      </c>
      <c r="K4241" t="s">
        <v>475</v>
      </c>
      <c r="L4241" t="s">
        <v>62</v>
      </c>
      <c r="M4241" t="s">
        <v>475</v>
      </c>
      <c r="N4241" t="s">
        <v>499</v>
      </c>
      <c r="O4241" t="s">
        <v>500</v>
      </c>
      <c r="P4241">
        <v>-20.175492999999999</v>
      </c>
      <c r="Q4241">
        <v>-44.900759000000001</v>
      </c>
      <c r="R4241" s="2" t="str">
        <f>HYPERLINK("https://www.google.com/maps?q=-20.1754930,-44.9007590","Abrir no Google Maps")</f>
        <v>Abrir no Google Maps</v>
      </c>
      <c r="S4241">
        <v>3</v>
      </c>
      <c r="T4241">
        <v>753.30732354720431</v>
      </c>
      <c r="U4241">
        <v>3</v>
      </c>
      <c r="V4241">
        <v>0.3063055945692883</v>
      </c>
      <c r="W4241">
        <v>1</v>
      </c>
      <c r="X4241">
        <v>0.3063055945692883</v>
      </c>
      <c r="Y4241">
        <v>578</v>
      </c>
      <c r="Z4241">
        <v>695.28903655431702</v>
      </c>
      <c r="AA4241">
        <v>198</v>
      </c>
      <c r="AB4241">
        <v>332</v>
      </c>
      <c r="AC4241">
        <v>536</v>
      </c>
      <c r="AD4241">
        <v>29.32</v>
      </c>
      <c r="AE4241">
        <v>542</v>
      </c>
      <c r="AF4241">
        <v>27</v>
      </c>
      <c r="AG4241">
        <v>173</v>
      </c>
      <c r="AH4241">
        <v>129</v>
      </c>
      <c r="AI4241">
        <v>4.9800000000000004</v>
      </c>
      <c r="AJ4241">
        <v>31.92</v>
      </c>
      <c r="AK4241">
        <v>23.8</v>
      </c>
      <c r="AL4241">
        <v>-20.175825999999969</v>
      </c>
      <c r="AM4241">
        <v>-44.900600234646973</v>
      </c>
      <c r="AN4241">
        <v>-20.175825999999969</v>
      </c>
      <c r="AO4241">
        <v>-44.900600234646973</v>
      </c>
      <c r="AP4241">
        <v>-20.175492999999999</v>
      </c>
      <c r="AQ4241">
        <v>-44.900759000000001</v>
      </c>
      <c r="AR4241">
        <v>40.612267304645073</v>
      </c>
      <c r="AS4241" t="s">
        <v>65</v>
      </c>
      <c r="AT4241">
        <v>1</v>
      </c>
      <c r="AU4241" t="s">
        <v>501</v>
      </c>
      <c r="AV4241" t="s">
        <v>502</v>
      </c>
      <c r="AW4241" t="s">
        <v>60</v>
      </c>
      <c r="AX4241" t="s">
        <v>68</v>
      </c>
      <c r="AY4241" t="s">
        <v>69</v>
      </c>
      <c r="AZ4241" t="b">
        <v>1</v>
      </c>
    </row>
    <row r="4242" spans="1:52" x14ac:dyDescent="0.3">
      <c r="A4242" t="s">
        <v>52</v>
      </c>
      <c r="B4242" t="s">
        <v>53</v>
      </c>
      <c r="C4242" t="s">
        <v>54</v>
      </c>
      <c r="D4242" t="s">
        <v>55</v>
      </c>
      <c r="E4242" t="s">
        <v>2222</v>
      </c>
      <c r="F4242" t="s">
        <v>190</v>
      </c>
      <c r="G4242" t="s">
        <v>510</v>
      </c>
      <c r="H4242" t="s">
        <v>511</v>
      </c>
      <c r="I4242" t="s">
        <v>511</v>
      </c>
      <c r="J4242" t="s">
        <v>60</v>
      </c>
      <c r="K4242" t="s">
        <v>512</v>
      </c>
      <c r="L4242" t="s">
        <v>62</v>
      </c>
      <c r="M4242" t="s">
        <v>512</v>
      </c>
      <c r="N4242" t="s">
        <v>406</v>
      </c>
      <c r="O4242" t="s">
        <v>513</v>
      </c>
      <c r="P4242">
        <v>-20.127853000000002</v>
      </c>
      <c r="Q4242">
        <v>-44.891415000000002</v>
      </c>
      <c r="R4242" s="2" t="str">
        <f>HYPERLINK("https://www.google.com/maps?q=-20.1278530,-44.8914150","Abrir no Google Maps")</f>
        <v>Abrir no Google Maps</v>
      </c>
      <c r="S4242">
        <v>3</v>
      </c>
      <c r="T4242">
        <v>340.86994528233612</v>
      </c>
      <c r="U4242">
        <v>3</v>
      </c>
      <c r="V4242">
        <v>0.31357576115640629</v>
      </c>
      <c r="W4242">
        <v>1</v>
      </c>
      <c r="X4242">
        <v>0.31357576115640629</v>
      </c>
      <c r="Y4242">
        <v>564</v>
      </c>
      <c r="Z4242">
        <v>294.18108015916812</v>
      </c>
      <c r="AA4242">
        <v>198</v>
      </c>
      <c r="AB4242">
        <v>332</v>
      </c>
      <c r="AC4242">
        <v>536</v>
      </c>
      <c r="AD4242">
        <v>29.32</v>
      </c>
      <c r="AE4242">
        <v>542</v>
      </c>
      <c r="AF4242">
        <v>27</v>
      </c>
      <c r="AG4242">
        <v>173</v>
      </c>
      <c r="AH4242">
        <v>129</v>
      </c>
      <c r="AI4242">
        <v>4.9800000000000004</v>
      </c>
      <c r="AJ4242">
        <v>31.92</v>
      </c>
      <c r="AK4242">
        <v>23.8</v>
      </c>
      <c r="AL4242">
        <v>-20.12777399999996</v>
      </c>
      <c r="AM4242">
        <v>-44.891400975758501</v>
      </c>
      <c r="AN4242">
        <v>-20.12777399999996</v>
      </c>
      <c r="AO4242">
        <v>-44.891400975758501</v>
      </c>
      <c r="AP4242">
        <v>-20.127853000000002</v>
      </c>
      <c r="AQ4242">
        <v>-44.891415000000002</v>
      </c>
      <c r="AR4242">
        <v>8.9156059162975616</v>
      </c>
      <c r="AS4242" t="s">
        <v>65</v>
      </c>
      <c r="AT4242">
        <v>1</v>
      </c>
      <c r="AU4242" t="s">
        <v>514</v>
      </c>
      <c r="AV4242" t="s">
        <v>515</v>
      </c>
      <c r="AW4242" t="s">
        <v>60</v>
      </c>
      <c r="AX4242" t="s">
        <v>68</v>
      </c>
      <c r="AY4242" t="s">
        <v>69</v>
      </c>
      <c r="AZ4242" t="b">
        <v>1</v>
      </c>
    </row>
    <row r="4243" spans="1:52" x14ac:dyDescent="0.3">
      <c r="A4243" t="s">
        <v>52</v>
      </c>
      <c r="B4243" t="s">
        <v>53</v>
      </c>
      <c r="C4243" t="s">
        <v>54</v>
      </c>
      <c r="D4243" t="s">
        <v>55</v>
      </c>
      <c r="E4243" t="s">
        <v>2222</v>
      </c>
      <c r="F4243" t="s">
        <v>190</v>
      </c>
      <c r="G4243" t="s">
        <v>879</v>
      </c>
      <c r="H4243" t="s">
        <v>880</v>
      </c>
      <c r="I4243" t="s">
        <v>880</v>
      </c>
      <c r="J4243" t="s">
        <v>60</v>
      </c>
      <c r="K4243" t="s">
        <v>505</v>
      </c>
      <c r="L4243" t="s">
        <v>62</v>
      </c>
      <c r="M4243" t="s">
        <v>505</v>
      </c>
      <c r="N4243" t="s">
        <v>881</v>
      </c>
      <c r="O4243" t="s">
        <v>882</v>
      </c>
      <c r="P4243">
        <v>-20.133452999999999</v>
      </c>
      <c r="Q4243">
        <v>-44.890571999999999</v>
      </c>
      <c r="R4243" s="2" t="str">
        <f>HYPERLINK("https://www.google.com/maps?q=-20.1334530,-44.8905720","Abrir no Google Maps")</f>
        <v>Abrir no Google Maps</v>
      </c>
      <c r="S4243">
        <v>3</v>
      </c>
      <c r="T4243">
        <v>373.51332104809921</v>
      </c>
      <c r="U4243">
        <v>3</v>
      </c>
      <c r="V4243">
        <v>0.3120596889449348</v>
      </c>
      <c r="W4243">
        <v>1</v>
      </c>
      <c r="X4243">
        <v>0.3120596889449348</v>
      </c>
      <c r="Y4243">
        <v>564</v>
      </c>
      <c r="Z4243">
        <v>422.34693311930448</v>
      </c>
      <c r="AA4243">
        <v>198</v>
      </c>
      <c r="AB4243">
        <v>332</v>
      </c>
      <c r="AC4243">
        <v>536</v>
      </c>
      <c r="AD4243">
        <v>29.32</v>
      </c>
      <c r="AE4243">
        <v>542</v>
      </c>
      <c r="AF4243">
        <v>27</v>
      </c>
      <c r="AG4243">
        <v>173</v>
      </c>
      <c r="AH4243">
        <v>129</v>
      </c>
      <c r="AI4243">
        <v>4.9800000000000004</v>
      </c>
      <c r="AJ4243">
        <v>31.92</v>
      </c>
      <c r="AK4243">
        <v>23.8</v>
      </c>
      <c r="AL4243">
        <v>-20.133421549999952</v>
      </c>
      <c r="AM4243">
        <v>-44.890623456009052</v>
      </c>
      <c r="AN4243">
        <v>-20.133421549999952</v>
      </c>
      <c r="AO4243">
        <v>-44.890623456009052</v>
      </c>
      <c r="AP4243">
        <v>-20.133452999999999</v>
      </c>
      <c r="AQ4243">
        <v>-44.890571999999999</v>
      </c>
      <c r="AR4243">
        <v>6.4172139275452773</v>
      </c>
      <c r="AS4243" t="s">
        <v>65</v>
      </c>
      <c r="AT4243">
        <v>1</v>
      </c>
      <c r="AU4243" t="s">
        <v>883</v>
      </c>
      <c r="AV4243" t="s">
        <v>884</v>
      </c>
      <c r="AW4243" t="s">
        <v>60</v>
      </c>
      <c r="AX4243" t="s">
        <v>68</v>
      </c>
      <c r="AY4243" t="s">
        <v>69</v>
      </c>
      <c r="AZ4243" t="b">
        <v>1</v>
      </c>
    </row>
    <row r="4244" spans="1:52" x14ac:dyDescent="0.3">
      <c r="A4244" t="s">
        <v>52</v>
      </c>
      <c r="B4244" t="s">
        <v>53</v>
      </c>
      <c r="C4244" t="s">
        <v>54</v>
      </c>
      <c r="D4244" t="s">
        <v>55</v>
      </c>
      <c r="E4244" t="s">
        <v>2222</v>
      </c>
      <c r="F4244" t="s">
        <v>190</v>
      </c>
      <c r="G4244" t="s">
        <v>890</v>
      </c>
      <c r="H4244" t="s">
        <v>891</v>
      </c>
      <c r="I4244" t="s">
        <v>891</v>
      </c>
      <c r="J4244" t="s">
        <v>60</v>
      </c>
      <c r="K4244" t="s">
        <v>892</v>
      </c>
      <c r="L4244" t="s">
        <v>62</v>
      </c>
      <c r="M4244" t="s">
        <v>892</v>
      </c>
      <c r="N4244" t="s">
        <v>893</v>
      </c>
      <c r="O4244" t="s">
        <v>894</v>
      </c>
      <c r="P4244">
        <v>-20.152519000000002</v>
      </c>
      <c r="Q4244">
        <v>-44.899177000000002</v>
      </c>
      <c r="R4244" s="2" t="str">
        <f>HYPERLINK("https://www.google.com/maps?q=-20.1525190,-44.8991770","Abrir no Google Maps")</f>
        <v>Abrir no Google Maps</v>
      </c>
      <c r="S4244">
        <v>3</v>
      </c>
      <c r="T4244">
        <v>211.80188552994721</v>
      </c>
      <c r="U4244">
        <v>3</v>
      </c>
      <c r="V4244">
        <v>0.30545436658515329</v>
      </c>
      <c r="W4244">
        <v>1</v>
      </c>
      <c r="X4244">
        <v>0.30545436658515329</v>
      </c>
      <c r="Y4244">
        <v>556</v>
      </c>
      <c r="Z4244">
        <v>290.34804137107091</v>
      </c>
      <c r="AA4244">
        <v>198</v>
      </c>
      <c r="AB4244">
        <v>332</v>
      </c>
      <c r="AC4244">
        <v>536</v>
      </c>
      <c r="AD4244">
        <v>29.32</v>
      </c>
      <c r="AE4244">
        <v>542</v>
      </c>
      <c r="AF4244">
        <v>27</v>
      </c>
      <c r="AG4244">
        <v>173</v>
      </c>
      <c r="AH4244">
        <v>129</v>
      </c>
      <c r="AI4244">
        <v>4.9800000000000004</v>
      </c>
      <c r="AJ4244">
        <v>31.92</v>
      </c>
      <c r="AK4244">
        <v>23.8</v>
      </c>
      <c r="AL4244">
        <v>-20.152516249999959</v>
      </c>
      <c r="AM4244">
        <v>-44.899310431333959</v>
      </c>
      <c r="AN4244">
        <v>-20.152516249999959</v>
      </c>
      <c r="AO4244">
        <v>-44.899310431333959</v>
      </c>
      <c r="AP4244">
        <v>-20.152519000000002</v>
      </c>
      <c r="AQ4244">
        <v>-44.899177000000002</v>
      </c>
      <c r="AR4244">
        <v>13.947583284957719</v>
      </c>
      <c r="AS4244" t="s">
        <v>65</v>
      </c>
      <c r="AT4244">
        <v>1</v>
      </c>
      <c r="AU4244" t="s">
        <v>895</v>
      </c>
      <c r="AV4244" t="s">
        <v>896</v>
      </c>
      <c r="AW4244" t="s">
        <v>60</v>
      </c>
      <c r="AX4244" t="s">
        <v>68</v>
      </c>
      <c r="AY4244" t="s">
        <v>69</v>
      </c>
      <c r="AZ4244" t="b">
        <v>1</v>
      </c>
    </row>
    <row r="4245" spans="1:52" x14ac:dyDescent="0.3">
      <c r="A4245" t="s">
        <v>52</v>
      </c>
      <c r="B4245" t="s">
        <v>53</v>
      </c>
      <c r="C4245" t="s">
        <v>54</v>
      </c>
      <c r="D4245" t="s">
        <v>55</v>
      </c>
      <c r="E4245" t="s">
        <v>2222</v>
      </c>
      <c r="F4245" t="s">
        <v>190</v>
      </c>
      <c r="G4245" t="s">
        <v>897</v>
      </c>
      <c r="H4245" t="s">
        <v>898</v>
      </c>
      <c r="I4245" t="s">
        <v>898</v>
      </c>
      <c r="J4245" t="s">
        <v>60</v>
      </c>
      <c r="K4245" t="s">
        <v>892</v>
      </c>
      <c r="L4245" t="s">
        <v>62</v>
      </c>
      <c r="M4245" t="s">
        <v>892</v>
      </c>
      <c r="N4245" t="s">
        <v>899</v>
      </c>
      <c r="O4245" t="s">
        <v>900</v>
      </c>
      <c r="P4245">
        <v>-20.154885</v>
      </c>
      <c r="Q4245">
        <v>-44.899890999999997</v>
      </c>
      <c r="R4245" s="2" t="str">
        <f>HYPERLINK("https://www.google.com/maps?q=-20.1548850,-44.8998910","Abrir no Google Maps")</f>
        <v>Abrir no Google Maps</v>
      </c>
      <c r="S4245">
        <v>3</v>
      </c>
      <c r="T4245">
        <v>314.66339661014308</v>
      </c>
      <c r="U4245">
        <v>3</v>
      </c>
      <c r="V4245">
        <v>0.30784543325526931</v>
      </c>
      <c r="W4245">
        <v>1</v>
      </c>
      <c r="X4245">
        <v>0.30784543325526931</v>
      </c>
      <c r="Y4245">
        <v>548</v>
      </c>
      <c r="Z4245">
        <v>319.02252584834253</v>
      </c>
      <c r="AA4245">
        <v>198</v>
      </c>
      <c r="AB4245">
        <v>332</v>
      </c>
      <c r="AC4245">
        <v>536</v>
      </c>
      <c r="AD4245">
        <v>29.32</v>
      </c>
      <c r="AE4245">
        <v>542</v>
      </c>
      <c r="AF4245">
        <v>27</v>
      </c>
      <c r="AG4245">
        <v>173</v>
      </c>
      <c r="AH4245">
        <v>129</v>
      </c>
      <c r="AI4245">
        <v>4.9800000000000004</v>
      </c>
      <c r="AJ4245">
        <v>31.92</v>
      </c>
      <c r="AK4245">
        <v>23.8</v>
      </c>
      <c r="AL4245">
        <v>-20.154906649999951</v>
      </c>
      <c r="AM4245">
        <v>-44.899894072543653</v>
      </c>
      <c r="AN4245">
        <v>-20.154906649999951</v>
      </c>
      <c r="AO4245">
        <v>-44.899894072543653</v>
      </c>
      <c r="AP4245">
        <v>-20.154885</v>
      </c>
      <c r="AQ4245">
        <v>-44.899890999999997</v>
      </c>
      <c r="AR4245">
        <v>2.431373123904943</v>
      </c>
      <c r="AS4245" t="s">
        <v>65</v>
      </c>
      <c r="AT4245">
        <v>1</v>
      </c>
      <c r="AU4245" t="s">
        <v>901</v>
      </c>
      <c r="AV4245" t="s">
        <v>902</v>
      </c>
      <c r="AW4245" t="s">
        <v>60</v>
      </c>
      <c r="AX4245" t="s">
        <v>68</v>
      </c>
      <c r="AY4245" t="s">
        <v>69</v>
      </c>
      <c r="AZ4245" t="b">
        <v>1</v>
      </c>
    </row>
    <row r="4246" spans="1:52" x14ac:dyDescent="0.3">
      <c r="A4246" t="s">
        <v>52</v>
      </c>
      <c r="B4246" t="s">
        <v>53</v>
      </c>
      <c r="C4246" t="s">
        <v>54</v>
      </c>
      <c r="D4246" t="s">
        <v>55</v>
      </c>
      <c r="E4246" t="s">
        <v>2222</v>
      </c>
      <c r="F4246" t="s">
        <v>190</v>
      </c>
      <c r="G4246" t="s">
        <v>545</v>
      </c>
      <c r="H4246" t="s">
        <v>546</v>
      </c>
      <c r="I4246" t="s">
        <v>546</v>
      </c>
      <c r="J4246" t="s">
        <v>60</v>
      </c>
      <c r="K4246" t="s">
        <v>388</v>
      </c>
      <c r="L4246" t="s">
        <v>62</v>
      </c>
      <c r="M4246" t="s">
        <v>388</v>
      </c>
      <c r="N4246" t="s">
        <v>547</v>
      </c>
      <c r="O4246" t="s">
        <v>548</v>
      </c>
      <c r="P4246">
        <v>-20.155839</v>
      </c>
      <c r="Q4246">
        <v>-44.905655000000003</v>
      </c>
      <c r="R4246" s="2" t="str">
        <f>HYPERLINK("https://www.google.com/maps?q=-20.1558390,-44.9056550","Abrir no Google Maps")</f>
        <v>Abrir no Google Maps</v>
      </c>
      <c r="S4246">
        <v>3</v>
      </c>
      <c r="T4246">
        <v>309.7643089121122</v>
      </c>
      <c r="U4246">
        <v>3</v>
      </c>
      <c r="V4246">
        <v>0.3128526645768025</v>
      </c>
      <c r="W4246">
        <v>1</v>
      </c>
      <c r="X4246">
        <v>0.3128526645768025</v>
      </c>
      <c r="Y4246">
        <v>548</v>
      </c>
      <c r="Z4246">
        <v>284.24281731793161</v>
      </c>
      <c r="AA4246">
        <v>198</v>
      </c>
      <c r="AB4246">
        <v>332</v>
      </c>
      <c r="AC4246">
        <v>536</v>
      </c>
      <c r="AD4246">
        <v>29.32</v>
      </c>
      <c r="AE4246">
        <v>542</v>
      </c>
      <c r="AF4246">
        <v>27</v>
      </c>
      <c r="AG4246">
        <v>173</v>
      </c>
      <c r="AH4246">
        <v>129</v>
      </c>
      <c r="AI4246">
        <v>4.9800000000000004</v>
      </c>
      <c r="AJ4246">
        <v>31.92</v>
      </c>
      <c r="AK4246">
        <v>23.8</v>
      </c>
      <c r="AL4246">
        <v>-20.155913549999951</v>
      </c>
      <c r="AM4246">
        <v>-44.905554508392683</v>
      </c>
      <c r="AN4246">
        <v>-20.155913549999951</v>
      </c>
      <c r="AO4246">
        <v>-44.905554508392669</v>
      </c>
      <c r="AP4246">
        <v>-20.155839</v>
      </c>
      <c r="AQ4246">
        <v>-44.905655000000003</v>
      </c>
      <c r="AR4246">
        <v>13.384922093797449</v>
      </c>
      <c r="AS4246" t="s">
        <v>65</v>
      </c>
      <c r="AT4246">
        <v>1</v>
      </c>
      <c r="AU4246" t="s">
        <v>549</v>
      </c>
      <c r="AV4246" t="s">
        <v>550</v>
      </c>
      <c r="AW4246" t="s">
        <v>60</v>
      </c>
      <c r="AX4246" t="s">
        <v>68</v>
      </c>
      <c r="AY4246" t="s">
        <v>69</v>
      </c>
      <c r="AZ4246" t="b">
        <v>1</v>
      </c>
    </row>
    <row r="4247" spans="1:52" x14ac:dyDescent="0.3">
      <c r="A4247" t="s">
        <v>52</v>
      </c>
      <c r="B4247" t="s">
        <v>53</v>
      </c>
      <c r="C4247" t="s">
        <v>54</v>
      </c>
      <c r="D4247" t="s">
        <v>55</v>
      </c>
      <c r="E4247" t="s">
        <v>2222</v>
      </c>
      <c r="F4247" t="s">
        <v>190</v>
      </c>
      <c r="G4247" t="s">
        <v>903</v>
      </c>
      <c r="H4247" t="s">
        <v>904</v>
      </c>
      <c r="I4247" t="s">
        <v>904</v>
      </c>
      <c r="J4247" t="s">
        <v>60</v>
      </c>
      <c r="K4247" t="s">
        <v>905</v>
      </c>
      <c r="L4247" t="s">
        <v>62</v>
      </c>
      <c r="M4247" t="s">
        <v>905</v>
      </c>
      <c r="N4247" t="s">
        <v>906</v>
      </c>
      <c r="O4247" t="s">
        <v>907</v>
      </c>
      <c r="P4247">
        <v>-20.112969</v>
      </c>
      <c r="Q4247">
        <v>-44.891264</v>
      </c>
      <c r="R4247" s="2" t="str">
        <f>HYPERLINK("https://www.google.com/maps?q=-20.1129690,-44.8912640","Abrir no Google Maps")</f>
        <v>Abrir no Google Maps</v>
      </c>
      <c r="S4247">
        <v>3</v>
      </c>
      <c r="T4247">
        <v>760.33197426397032</v>
      </c>
      <c r="U4247">
        <v>3</v>
      </c>
      <c r="V4247">
        <v>0.29594123048668503</v>
      </c>
      <c r="W4247">
        <v>1</v>
      </c>
      <c r="X4247">
        <v>0.29594123048668503</v>
      </c>
      <c r="Y4247">
        <v>536</v>
      </c>
      <c r="Z4247">
        <v>755.3791742519096</v>
      </c>
      <c r="AA4247">
        <v>198</v>
      </c>
      <c r="AB4247">
        <v>332</v>
      </c>
      <c r="AC4247">
        <v>536</v>
      </c>
      <c r="AD4247">
        <v>29.32</v>
      </c>
      <c r="AE4247">
        <v>542</v>
      </c>
      <c r="AF4247">
        <v>27</v>
      </c>
      <c r="AG4247">
        <v>173</v>
      </c>
      <c r="AH4247">
        <v>129</v>
      </c>
      <c r="AI4247">
        <v>4.9800000000000004</v>
      </c>
      <c r="AJ4247">
        <v>31.92</v>
      </c>
      <c r="AK4247">
        <v>23.8</v>
      </c>
      <c r="AL4247">
        <v>-20.11260604999995</v>
      </c>
      <c r="AM4247">
        <v>-44.891480970454502</v>
      </c>
      <c r="AN4247">
        <v>-20.11260604999995</v>
      </c>
      <c r="AO4247">
        <v>-44.891480970454502</v>
      </c>
      <c r="AP4247">
        <v>-20.112969</v>
      </c>
      <c r="AQ4247">
        <v>-44.891264</v>
      </c>
      <c r="AR4247">
        <v>46.334053708506183</v>
      </c>
      <c r="AS4247" t="s">
        <v>65</v>
      </c>
      <c r="AT4247">
        <v>1</v>
      </c>
      <c r="AU4247" t="s">
        <v>908</v>
      </c>
      <c r="AV4247" t="s">
        <v>909</v>
      </c>
      <c r="AW4247" t="s">
        <v>60</v>
      </c>
      <c r="AX4247" t="s">
        <v>68</v>
      </c>
      <c r="AY4247" t="s">
        <v>69</v>
      </c>
      <c r="AZ4247" t="b">
        <v>1</v>
      </c>
    </row>
    <row r="4248" spans="1:52" x14ac:dyDescent="0.3">
      <c r="A4248" t="s">
        <v>52</v>
      </c>
      <c r="B4248" t="s">
        <v>53</v>
      </c>
      <c r="C4248" t="s">
        <v>54</v>
      </c>
      <c r="D4248" t="s">
        <v>55</v>
      </c>
      <c r="E4248" t="s">
        <v>2222</v>
      </c>
      <c r="F4248" t="s">
        <v>190</v>
      </c>
      <c r="G4248" t="s">
        <v>579</v>
      </c>
      <c r="H4248" t="s">
        <v>580</v>
      </c>
      <c r="I4248" t="s">
        <v>580</v>
      </c>
      <c r="J4248" t="s">
        <v>60</v>
      </c>
      <c r="K4248" t="s">
        <v>117</v>
      </c>
      <c r="L4248" t="s">
        <v>62</v>
      </c>
      <c r="M4248" t="s">
        <v>117</v>
      </c>
      <c r="N4248" t="s">
        <v>581</v>
      </c>
      <c r="O4248" t="s">
        <v>338</v>
      </c>
      <c r="P4248">
        <v>-20.119333000000001</v>
      </c>
      <c r="Q4248">
        <v>-44.892454999999998</v>
      </c>
      <c r="R4248" s="2" t="str">
        <f>HYPERLINK("https://www.google.com/maps?q=-20.1193330,-44.8924550","Abrir no Google Maps")</f>
        <v>Abrir no Google Maps</v>
      </c>
      <c r="S4248">
        <v>3</v>
      </c>
      <c r="T4248">
        <v>545.06582215852734</v>
      </c>
      <c r="U4248">
        <v>3</v>
      </c>
      <c r="V4248">
        <v>0.30634438679959508</v>
      </c>
      <c r="W4248">
        <v>1</v>
      </c>
      <c r="X4248">
        <v>0.30634438679959508</v>
      </c>
      <c r="Y4248">
        <v>536</v>
      </c>
      <c r="Z4248">
        <v>583.72689769042404</v>
      </c>
      <c r="AA4248">
        <v>198</v>
      </c>
      <c r="AB4248">
        <v>332</v>
      </c>
      <c r="AC4248">
        <v>536</v>
      </c>
      <c r="AD4248">
        <v>29.32</v>
      </c>
      <c r="AE4248">
        <v>542</v>
      </c>
      <c r="AF4248">
        <v>27</v>
      </c>
      <c r="AG4248">
        <v>173</v>
      </c>
      <c r="AH4248">
        <v>129</v>
      </c>
      <c r="AI4248">
        <v>4.9800000000000004</v>
      </c>
      <c r="AJ4248">
        <v>31.92</v>
      </c>
      <c r="AK4248">
        <v>23.8</v>
      </c>
      <c r="AL4248">
        <v>-20.11966729999995</v>
      </c>
      <c r="AM4248">
        <v>-44.892529474102908</v>
      </c>
      <c r="AN4248">
        <v>-20.119667299999939</v>
      </c>
      <c r="AO4248">
        <v>-44.892529474102908</v>
      </c>
      <c r="AP4248">
        <v>-20.119333000000001</v>
      </c>
      <c r="AQ4248">
        <v>-44.892454999999998</v>
      </c>
      <c r="AR4248">
        <v>38.019750592693072</v>
      </c>
      <c r="AS4248" t="s">
        <v>65</v>
      </c>
      <c r="AT4248">
        <v>1</v>
      </c>
      <c r="AU4248" t="s">
        <v>582</v>
      </c>
      <c r="AV4248" t="s">
        <v>583</v>
      </c>
      <c r="AW4248" t="s">
        <v>60</v>
      </c>
      <c r="AX4248" t="s">
        <v>68</v>
      </c>
      <c r="AY4248" t="s">
        <v>69</v>
      </c>
      <c r="AZ4248" t="b">
        <v>1</v>
      </c>
    </row>
    <row r="4249" spans="1:52" x14ac:dyDescent="0.3">
      <c r="A4249" t="s">
        <v>52</v>
      </c>
      <c r="B4249" t="s">
        <v>53</v>
      </c>
      <c r="C4249" t="s">
        <v>54</v>
      </c>
      <c r="D4249" t="s">
        <v>55</v>
      </c>
      <c r="E4249" t="s">
        <v>2222</v>
      </c>
      <c r="F4249" t="s">
        <v>190</v>
      </c>
      <c r="G4249" t="s">
        <v>910</v>
      </c>
      <c r="H4249" t="s">
        <v>911</v>
      </c>
      <c r="I4249" t="s">
        <v>911</v>
      </c>
      <c r="J4249" t="s">
        <v>60</v>
      </c>
      <c r="K4249" t="s">
        <v>207</v>
      </c>
      <c r="L4249" t="s">
        <v>62</v>
      </c>
      <c r="M4249" t="s">
        <v>207</v>
      </c>
      <c r="N4249" t="s">
        <v>912</v>
      </c>
      <c r="O4249" t="s">
        <v>548</v>
      </c>
      <c r="P4249">
        <v>-20.116987000000002</v>
      </c>
      <c r="Q4249">
        <v>-44.885240000000003</v>
      </c>
      <c r="R4249" s="2" t="str">
        <f>HYPERLINK("https://www.google.com/maps?q=-20.1169870,-44.8852400","Abrir no Google Maps")</f>
        <v>Abrir no Google Maps</v>
      </c>
      <c r="S4249">
        <v>3</v>
      </c>
      <c r="T4249">
        <v>283.94804862214067</v>
      </c>
      <c r="U4249">
        <v>3</v>
      </c>
      <c r="V4249">
        <v>0.3046840958605665</v>
      </c>
      <c r="W4249">
        <v>1</v>
      </c>
      <c r="X4249">
        <v>0.3046840958605665</v>
      </c>
      <c r="Y4249">
        <v>536</v>
      </c>
      <c r="Z4249">
        <v>297.39410031170689</v>
      </c>
      <c r="AA4249">
        <v>198</v>
      </c>
      <c r="AB4249">
        <v>332</v>
      </c>
      <c r="AC4249">
        <v>536</v>
      </c>
      <c r="AD4249">
        <v>29.32</v>
      </c>
      <c r="AE4249">
        <v>542</v>
      </c>
      <c r="AF4249">
        <v>27</v>
      </c>
      <c r="AG4249">
        <v>173</v>
      </c>
      <c r="AH4249">
        <v>129</v>
      </c>
      <c r="AI4249">
        <v>4.9800000000000004</v>
      </c>
      <c r="AJ4249">
        <v>31.92</v>
      </c>
      <c r="AK4249">
        <v>23.8</v>
      </c>
      <c r="AL4249">
        <v>-20.116999599999961</v>
      </c>
      <c r="AM4249">
        <v>-44.885197873315192</v>
      </c>
      <c r="AN4249">
        <v>-20.116999599999961</v>
      </c>
      <c r="AO4249">
        <v>-44.885197873315192</v>
      </c>
      <c r="AP4249">
        <v>-20.116987000000002</v>
      </c>
      <c r="AQ4249">
        <v>-44.885240000000003</v>
      </c>
      <c r="AR4249">
        <v>4.6214387870334246</v>
      </c>
      <c r="AS4249" t="s">
        <v>65</v>
      </c>
      <c r="AT4249">
        <v>1</v>
      </c>
      <c r="AU4249" t="s">
        <v>913</v>
      </c>
      <c r="AV4249" t="s">
        <v>914</v>
      </c>
      <c r="AW4249" t="s">
        <v>60</v>
      </c>
      <c r="AX4249" t="s">
        <v>68</v>
      </c>
      <c r="AY4249" t="s">
        <v>69</v>
      </c>
      <c r="AZ4249" t="b">
        <v>1</v>
      </c>
    </row>
    <row r="4250" spans="1:52" x14ac:dyDescent="0.3">
      <c r="A4250" t="s">
        <v>52</v>
      </c>
      <c r="B4250" t="s">
        <v>53</v>
      </c>
      <c r="C4250" t="s">
        <v>54</v>
      </c>
      <c r="D4250" t="s">
        <v>55</v>
      </c>
      <c r="E4250" t="s">
        <v>2222</v>
      </c>
      <c r="F4250" t="s">
        <v>190</v>
      </c>
      <c r="G4250" t="s">
        <v>590</v>
      </c>
      <c r="H4250" t="s">
        <v>591</v>
      </c>
      <c r="I4250" t="s">
        <v>591</v>
      </c>
      <c r="J4250" t="s">
        <v>60</v>
      </c>
      <c r="K4250" t="s">
        <v>207</v>
      </c>
      <c r="L4250" t="s">
        <v>62</v>
      </c>
      <c r="M4250" t="s">
        <v>207</v>
      </c>
      <c r="N4250" t="s">
        <v>592</v>
      </c>
      <c r="O4250" t="s">
        <v>565</v>
      </c>
      <c r="P4250">
        <v>-20.118652000000001</v>
      </c>
      <c r="Q4250">
        <v>-44.890574999999998</v>
      </c>
      <c r="R4250" s="2" t="str">
        <f>HYPERLINK("https://www.google.com/maps?q=-20.1186520,-44.8905750","Abrir no Google Maps")</f>
        <v>Abrir no Google Maps</v>
      </c>
      <c r="S4250">
        <v>3</v>
      </c>
      <c r="T4250">
        <v>305.97870753615422</v>
      </c>
      <c r="U4250">
        <v>3</v>
      </c>
      <c r="V4250">
        <v>0.30556595272752468</v>
      </c>
      <c r="W4250">
        <v>1</v>
      </c>
      <c r="X4250">
        <v>0.30556595272752468</v>
      </c>
      <c r="Y4250">
        <v>536</v>
      </c>
      <c r="Z4250">
        <v>368.07356795447242</v>
      </c>
      <c r="AA4250">
        <v>198</v>
      </c>
      <c r="AB4250">
        <v>332</v>
      </c>
      <c r="AC4250">
        <v>536</v>
      </c>
      <c r="AD4250">
        <v>29.32</v>
      </c>
      <c r="AE4250">
        <v>542</v>
      </c>
      <c r="AF4250">
        <v>27</v>
      </c>
      <c r="AG4250">
        <v>173</v>
      </c>
      <c r="AH4250">
        <v>129</v>
      </c>
      <c r="AI4250">
        <v>4.9800000000000004</v>
      </c>
      <c r="AJ4250">
        <v>31.92</v>
      </c>
      <c r="AK4250">
        <v>23.8</v>
      </c>
      <c r="AL4250">
        <v>-20.118589699999941</v>
      </c>
      <c r="AM4250">
        <v>-44.890419442196389</v>
      </c>
      <c r="AN4250">
        <v>-20.118589699999941</v>
      </c>
      <c r="AO4250">
        <v>-44.890419442196389</v>
      </c>
      <c r="AP4250">
        <v>-20.118652000000001</v>
      </c>
      <c r="AQ4250">
        <v>-44.890574999999998</v>
      </c>
      <c r="AR4250">
        <v>17.67731866347437</v>
      </c>
      <c r="AS4250" t="s">
        <v>65</v>
      </c>
      <c r="AT4250">
        <v>1</v>
      </c>
      <c r="AU4250" t="s">
        <v>593</v>
      </c>
      <c r="AV4250" t="s">
        <v>594</v>
      </c>
      <c r="AW4250" t="s">
        <v>60</v>
      </c>
      <c r="AX4250" t="s">
        <v>68</v>
      </c>
      <c r="AY4250" t="s">
        <v>69</v>
      </c>
      <c r="AZ4250" t="b">
        <v>1</v>
      </c>
    </row>
    <row r="4251" spans="1:52" x14ac:dyDescent="0.3">
      <c r="A4251" t="s">
        <v>52</v>
      </c>
      <c r="B4251" t="s">
        <v>53</v>
      </c>
      <c r="C4251" t="s">
        <v>54</v>
      </c>
      <c r="D4251" t="s">
        <v>55</v>
      </c>
      <c r="E4251" t="s">
        <v>2222</v>
      </c>
      <c r="F4251" t="s">
        <v>190</v>
      </c>
      <c r="G4251" t="s">
        <v>601</v>
      </c>
      <c r="H4251" t="s">
        <v>602</v>
      </c>
      <c r="I4251" t="s">
        <v>602</v>
      </c>
      <c r="J4251" t="s">
        <v>60</v>
      </c>
      <c r="K4251" t="s">
        <v>117</v>
      </c>
      <c r="L4251" t="s">
        <v>62</v>
      </c>
      <c r="M4251" t="s">
        <v>117</v>
      </c>
      <c r="N4251" t="s">
        <v>603</v>
      </c>
      <c r="O4251" t="s">
        <v>604</v>
      </c>
      <c r="P4251">
        <v>-20.122198999999998</v>
      </c>
      <c r="Q4251">
        <v>-44.893118999999999</v>
      </c>
      <c r="R4251" s="2" t="str">
        <f>HYPERLINK("https://www.google.com/maps?q=-20.1221990,-44.8931190","Abrir no Google Maps")</f>
        <v>Abrir no Google Maps</v>
      </c>
      <c r="S4251">
        <v>3</v>
      </c>
      <c r="T4251">
        <v>737.41475740297403</v>
      </c>
      <c r="U4251">
        <v>3</v>
      </c>
      <c r="V4251">
        <v>0.3055976668724793</v>
      </c>
      <c r="W4251">
        <v>1</v>
      </c>
      <c r="X4251">
        <v>0.3055976668724793</v>
      </c>
      <c r="Y4251">
        <v>536</v>
      </c>
      <c r="Z4251">
        <v>753.81321098979549</v>
      </c>
      <c r="AA4251">
        <v>198</v>
      </c>
      <c r="AB4251">
        <v>332</v>
      </c>
      <c r="AC4251">
        <v>536</v>
      </c>
      <c r="AD4251">
        <v>29.32</v>
      </c>
      <c r="AE4251">
        <v>542</v>
      </c>
      <c r="AF4251">
        <v>27</v>
      </c>
      <c r="AG4251">
        <v>173</v>
      </c>
      <c r="AH4251">
        <v>129</v>
      </c>
      <c r="AI4251">
        <v>4.9800000000000004</v>
      </c>
      <c r="AJ4251">
        <v>31.92</v>
      </c>
      <c r="AK4251">
        <v>23.8</v>
      </c>
      <c r="AL4251">
        <v>-20.122192249999959</v>
      </c>
      <c r="AM4251">
        <v>-44.893272469204263</v>
      </c>
      <c r="AN4251">
        <v>-20.122192249999959</v>
      </c>
      <c r="AO4251">
        <v>-44.893272469204263</v>
      </c>
      <c r="AP4251">
        <v>-20.122198999999998</v>
      </c>
      <c r="AQ4251">
        <v>-44.893118999999999</v>
      </c>
      <c r="AR4251">
        <v>16.058980187178161</v>
      </c>
      <c r="AS4251" t="s">
        <v>65</v>
      </c>
      <c r="AT4251">
        <v>1</v>
      </c>
      <c r="AU4251" t="s">
        <v>605</v>
      </c>
      <c r="AV4251" t="s">
        <v>606</v>
      </c>
      <c r="AW4251" t="s">
        <v>60</v>
      </c>
      <c r="AX4251" t="s">
        <v>68</v>
      </c>
      <c r="AY4251" t="s">
        <v>69</v>
      </c>
      <c r="AZ4251" t="b">
        <v>1</v>
      </c>
    </row>
    <row r="4252" spans="1:52" x14ac:dyDescent="0.3">
      <c r="A4252" t="s">
        <v>52</v>
      </c>
      <c r="B4252" t="s">
        <v>53</v>
      </c>
      <c r="C4252" t="s">
        <v>54</v>
      </c>
      <c r="D4252" t="s">
        <v>55</v>
      </c>
      <c r="E4252" t="s">
        <v>2222</v>
      </c>
      <c r="F4252" t="s">
        <v>190</v>
      </c>
      <c r="G4252" t="s">
        <v>637</v>
      </c>
      <c r="H4252" t="s">
        <v>915</v>
      </c>
      <c r="I4252" t="s">
        <v>915</v>
      </c>
      <c r="J4252" t="s">
        <v>60</v>
      </c>
      <c r="K4252" t="s">
        <v>530</v>
      </c>
      <c r="L4252" t="s">
        <v>62</v>
      </c>
      <c r="M4252" t="s">
        <v>530</v>
      </c>
      <c r="N4252" t="s">
        <v>639</v>
      </c>
      <c r="O4252" t="s">
        <v>916</v>
      </c>
      <c r="P4252">
        <v>-20.144821</v>
      </c>
      <c r="Q4252">
        <v>-44.88937</v>
      </c>
      <c r="R4252" s="2" t="str">
        <f>HYPERLINK("https://www.google.com/maps?q=-20.1448210,-44.8893700","Abrir no Google Maps")</f>
        <v>Abrir no Google Maps</v>
      </c>
      <c r="S4252">
        <v>3</v>
      </c>
      <c r="T4252">
        <v>256.58219197259177</v>
      </c>
      <c r="U4252">
        <v>3</v>
      </c>
      <c r="V4252">
        <v>0.36747655583972721</v>
      </c>
      <c r="W4252">
        <v>0.85</v>
      </c>
      <c r="X4252">
        <v>0.31235507246376809</v>
      </c>
      <c r="Y4252">
        <v>527</v>
      </c>
      <c r="Z4252">
        <v>177.1895281295705</v>
      </c>
      <c r="AA4252">
        <v>198</v>
      </c>
      <c r="AB4252">
        <v>332</v>
      </c>
      <c r="AC4252">
        <v>536</v>
      </c>
      <c r="AD4252">
        <v>29.32</v>
      </c>
      <c r="AE4252">
        <v>542</v>
      </c>
      <c r="AF4252">
        <v>27</v>
      </c>
      <c r="AG4252">
        <v>173</v>
      </c>
      <c r="AH4252">
        <v>129</v>
      </c>
      <c r="AI4252">
        <v>4.9800000000000004</v>
      </c>
      <c r="AJ4252">
        <v>31.92</v>
      </c>
      <c r="AK4252">
        <v>23.8</v>
      </c>
      <c r="AL4252">
        <v>-20.144812799999951</v>
      </c>
      <c r="AM4252">
        <v>-44.8892780390361</v>
      </c>
      <c r="AN4252">
        <v>-20.144812799999951</v>
      </c>
      <c r="AO4252">
        <v>-44.8892780390361</v>
      </c>
      <c r="AP4252">
        <v>-20.144821</v>
      </c>
      <c r="AQ4252">
        <v>-44.88937</v>
      </c>
      <c r="AR4252">
        <v>9.6540941010892158</v>
      </c>
      <c r="AS4252" t="s">
        <v>65</v>
      </c>
      <c r="AT4252">
        <v>1</v>
      </c>
      <c r="AU4252" t="s">
        <v>917</v>
      </c>
      <c r="AV4252" t="s">
        <v>918</v>
      </c>
      <c r="AW4252" t="s">
        <v>60</v>
      </c>
      <c r="AX4252" t="s">
        <v>68</v>
      </c>
      <c r="AY4252" t="s">
        <v>69</v>
      </c>
      <c r="AZ4252" t="b">
        <v>1</v>
      </c>
    </row>
    <row r="4253" spans="1:52" x14ac:dyDescent="0.3">
      <c r="A4253" t="s">
        <v>52</v>
      </c>
      <c r="B4253" t="s">
        <v>53</v>
      </c>
      <c r="C4253" t="s">
        <v>54</v>
      </c>
      <c r="D4253" t="s">
        <v>55</v>
      </c>
      <c r="E4253" t="s">
        <v>2222</v>
      </c>
      <c r="F4253" t="s">
        <v>190</v>
      </c>
      <c r="G4253" t="s">
        <v>919</v>
      </c>
      <c r="H4253" t="s">
        <v>920</v>
      </c>
      <c r="I4253" t="s">
        <v>920</v>
      </c>
      <c r="J4253" t="s">
        <v>60</v>
      </c>
      <c r="K4253" t="s">
        <v>530</v>
      </c>
      <c r="L4253" t="s">
        <v>62</v>
      </c>
      <c r="M4253" t="s">
        <v>530</v>
      </c>
      <c r="N4253" t="s">
        <v>921</v>
      </c>
      <c r="O4253" t="s">
        <v>922</v>
      </c>
      <c r="P4253">
        <v>-20.144537</v>
      </c>
      <c r="Q4253">
        <v>-44.891530000000003</v>
      </c>
      <c r="R4253" s="2" t="str">
        <f>HYPERLINK("https://www.google.com/maps?q=-20.1445370,-44.8915300","Abrir no Google Maps")</f>
        <v>Abrir no Google Maps</v>
      </c>
      <c r="S4253">
        <v>3</v>
      </c>
      <c r="T4253">
        <v>0</v>
      </c>
      <c r="U4253">
        <v>3</v>
      </c>
      <c r="V4253">
        <v>0.36360379662266451</v>
      </c>
      <c r="W4253">
        <v>0.85</v>
      </c>
      <c r="X4253">
        <v>0.30906322712926482</v>
      </c>
      <c r="Y4253">
        <v>527</v>
      </c>
      <c r="Z4253">
        <v>80.350679251421383</v>
      </c>
      <c r="AA4253">
        <v>198</v>
      </c>
      <c r="AB4253">
        <v>332</v>
      </c>
      <c r="AC4253">
        <v>536</v>
      </c>
      <c r="AD4253">
        <v>29.32</v>
      </c>
      <c r="AE4253">
        <v>542</v>
      </c>
      <c r="AF4253">
        <v>27</v>
      </c>
      <c r="AG4253">
        <v>173</v>
      </c>
      <c r="AH4253">
        <v>129</v>
      </c>
      <c r="AI4253">
        <v>4.9800000000000004</v>
      </c>
      <c r="AJ4253">
        <v>31.92</v>
      </c>
      <c r="AK4253">
        <v>23.8</v>
      </c>
      <c r="AL4253">
        <v>-20.144700699999959</v>
      </c>
      <c r="AM4253">
        <v>-44.891730278075883</v>
      </c>
      <c r="AN4253">
        <v>-20.144700699999959</v>
      </c>
      <c r="AO4253">
        <v>-44.891730278075883</v>
      </c>
      <c r="AP4253">
        <v>-20.144537</v>
      </c>
      <c r="AQ4253">
        <v>-44.891530000000003</v>
      </c>
      <c r="AR4253">
        <v>27.752313800143739</v>
      </c>
      <c r="AS4253" t="s">
        <v>65</v>
      </c>
      <c r="AT4253">
        <v>1</v>
      </c>
      <c r="AU4253" t="s">
        <v>923</v>
      </c>
      <c r="AV4253" t="s">
        <v>924</v>
      </c>
      <c r="AW4253" t="s">
        <v>60</v>
      </c>
      <c r="AX4253" t="s">
        <v>68</v>
      </c>
      <c r="AY4253" t="s">
        <v>69</v>
      </c>
      <c r="AZ4253" t="b">
        <v>1</v>
      </c>
    </row>
    <row r="4254" spans="1:52" x14ac:dyDescent="0.3">
      <c r="A4254" t="s">
        <v>52</v>
      </c>
      <c r="B4254" t="s">
        <v>53</v>
      </c>
      <c r="C4254" t="s">
        <v>54</v>
      </c>
      <c r="D4254" t="s">
        <v>55</v>
      </c>
      <c r="E4254" t="s">
        <v>2222</v>
      </c>
      <c r="F4254" t="s">
        <v>190</v>
      </c>
      <c r="G4254" t="s">
        <v>232</v>
      </c>
      <c r="H4254" t="s">
        <v>925</v>
      </c>
      <c r="I4254" t="s">
        <v>925</v>
      </c>
      <c r="J4254" t="s">
        <v>60</v>
      </c>
      <c r="K4254" t="s">
        <v>702</v>
      </c>
      <c r="L4254" t="s">
        <v>62</v>
      </c>
      <c r="M4254" t="s">
        <v>702</v>
      </c>
      <c r="N4254" t="s">
        <v>234</v>
      </c>
      <c r="O4254" t="s">
        <v>926</v>
      </c>
      <c r="P4254">
        <v>-20.165887999999999</v>
      </c>
      <c r="Q4254">
        <v>-44.865220000000001</v>
      </c>
      <c r="R4254" s="2" t="str">
        <f>HYPERLINK("https://www.google.com/maps?q=-20.1658880,-44.8652200","Abrir no Google Maps")</f>
        <v>Abrir no Google Maps</v>
      </c>
      <c r="S4254">
        <v>3</v>
      </c>
      <c r="T4254">
        <v>711.71706763776342</v>
      </c>
      <c r="U4254">
        <v>3</v>
      </c>
      <c r="V4254">
        <v>0.2949573194037457</v>
      </c>
      <c r="W4254">
        <v>1</v>
      </c>
      <c r="X4254">
        <v>0.2949573194037457</v>
      </c>
      <c r="Y4254">
        <v>518</v>
      </c>
      <c r="Z4254">
        <v>801.45781285603209</v>
      </c>
      <c r="AA4254">
        <v>198</v>
      </c>
      <c r="AB4254">
        <v>332</v>
      </c>
      <c r="AC4254">
        <v>536</v>
      </c>
      <c r="AD4254">
        <v>29.32</v>
      </c>
      <c r="AE4254">
        <v>542</v>
      </c>
      <c r="AF4254">
        <v>27</v>
      </c>
      <c r="AG4254">
        <v>173</v>
      </c>
      <c r="AH4254">
        <v>129</v>
      </c>
      <c r="AI4254">
        <v>4.9800000000000004</v>
      </c>
      <c r="AJ4254">
        <v>31.92</v>
      </c>
      <c r="AK4254">
        <v>23.8</v>
      </c>
      <c r="AL4254">
        <v>-20.165865449999959</v>
      </c>
      <c r="AM4254">
        <v>-44.865240434761468</v>
      </c>
      <c r="AN4254">
        <v>-20.165865449999959</v>
      </c>
      <c r="AO4254">
        <v>-44.865240434761468</v>
      </c>
      <c r="AP4254">
        <v>-20.165887999999999</v>
      </c>
      <c r="AQ4254">
        <v>-44.865220000000001</v>
      </c>
      <c r="AR4254">
        <v>3.2956262004279409</v>
      </c>
      <c r="AS4254" t="s">
        <v>65</v>
      </c>
      <c r="AT4254">
        <v>1</v>
      </c>
      <c r="AU4254" t="s">
        <v>927</v>
      </c>
      <c r="AV4254" t="s">
        <v>928</v>
      </c>
      <c r="AW4254" t="s">
        <v>60</v>
      </c>
      <c r="AX4254" t="s">
        <v>68</v>
      </c>
      <c r="AY4254" t="s">
        <v>69</v>
      </c>
      <c r="AZ4254" t="b">
        <v>1</v>
      </c>
    </row>
    <row r="4255" spans="1:52" x14ac:dyDescent="0.3">
      <c r="A4255" t="s">
        <v>52</v>
      </c>
      <c r="B4255" t="s">
        <v>53</v>
      </c>
      <c r="C4255" t="s">
        <v>54</v>
      </c>
      <c r="D4255" t="s">
        <v>55</v>
      </c>
      <c r="E4255" t="s">
        <v>2222</v>
      </c>
      <c r="F4255" t="s">
        <v>190</v>
      </c>
      <c r="G4255" t="s">
        <v>935</v>
      </c>
      <c r="H4255" t="s">
        <v>936</v>
      </c>
      <c r="I4255" t="s">
        <v>936</v>
      </c>
      <c r="J4255" t="s">
        <v>60</v>
      </c>
      <c r="K4255" t="s">
        <v>193</v>
      </c>
      <c r="L4255" t="s">
        <v>62</v>
      </c>
      <c r="M4255" t="s">
        <v>193</v>
      </c>
      <c r="N4255" t="s">
        <v>937</v>
      </c>
      <c r="O4255" t="s">
        <v>938</v>
      </c>
      <c r="P4255">
        <v>-20.144727</v>
      </c>
      <c r="Q4255">
        <v>-44.919978999999998</v>
      </c>
      <c r="R4255" s="2" t="str">
        <f>HYPERLINK("https://www.google.com/maps?q=-20.1447270,-44.9199790","Abrir no Google Maps")</f>
        <v>Abrir no Google Maps</v>
      </c>
      <c r="S4255">
        <v>3</v>
      </c>
      <c r="T4255">
        <v>341.13992759662477</v>
      </c>
      <c r="U4255">
        <v>3</v>
      </c>
      <c r="V4255">
        <v>0.31261597791438978</v>
      </c>
      <c r="W4255">
        <v>1</v>
      </c>
      <c r="X4255">
        <v>0.31261597791438978</v>
      </c>
      <c r="Y4255">
        <v>508</v>
      </c>
      <c r="Z4255">
        <v>274.58151985101409</v>
      </c>
      <c r="AA4255">
        <v>198</v>
      </c>
      <c r="AB4255">
        <v>332</v>
      </c>
      <c r="AC4255">
        <v>536</v>
      </c>
      <c r="AD4255">
        <v>29.32</v>
      </c>
      <c r="AE4255">
        <v>542</v>
      </c>
      <c r="AF4255">
        <v>27</v>
      </c>
      <c r="AG4255">
        <v>173</v>
      </c>
      <c r="AH4255">
        <v>129</v>
      </c>
      <c r="AI4255">
        <v>4.9800000000000004</v>
      </c>
      <c r="AJ4255">
        <v>31.92</v>
      </c>
      <c r="AK4255">
        <v>23.8</v>
      </c>
      <c r="AL4255">
        <v>-20.144771099999961</v>
      </c>
      <c r="AM4255">
        <v>-44.92003491095209</v>
      </c>
      <c r="AN4255">
        <v>-20.144771099999961</v>
      </c>
      <c r="AO4255">
        <v>-44.92003491095209</v>
      </c>
      <c r="AP4255">
        <v>-20.144727</v>
      </c>
      <c r="AQ4255">
        <v>-44.919978999999998</v>
      </c>
      <c r="AR4255">
        <v>7.6317760459664177</v>
      </c>
      <c r="AS4255" t="s">
        <v>65</v>
      </c>
      <c r="AT4255">
        <v>1</v>
      </c>
      <c r="AU4255" t="s">
        <v>939</v>
      </c>
      <c r="AV4255" t="s">
        <v>940</v>
      </c>
      <c r="AW4255" t="s">
        <v>60</v>
      </c>
      <c r="AX4255" t="s">
        <v>68</v>
      </c>
      <c r="AY4255" t="s">
        <v>69</v>
      </c>
      <c r="AZ4255" t="b">
        <v>1</v>
      </c>
    </row>
    <row r="4256" spans="1:52" x14ac:dyDescent="0.3">
      <c r="A4256" t="s">
        <v>52</v>
      </c>
      <c r="B4256" t="s">
        <v>53</v>
      </c>
      <c r="C4256" t="s">
        <v>54</v>
      </c>
      <c r="D4256" t="s">
        <v>55</v>
      </c>
      <c r="E4256" t="s">
        <v>2222</v>
      </c>
      <c r="F4256" t="s">
        <v>190</v>
      </c>
      <c r="G4256" t="s">
        <v>941</v>
      </c>
      <c r="H4256" t="s">
        <v>942</v>
      </c>
      <c r="I4256" t="s">
        <v>942</v>
      </c>
      <c r="J4256" t="s">
        <v>60</v>
      </c>
      <c r="K4256" t="s">
        <v>193</v>
      </c>
      <c r="L4256" t="s">
        <v>62</v>
      </c>
      <c r="M4256" t="s">
        <v>193</v>
      </c>
      <c r="N4256" t="s">
        <v>943</v>
      </c>
      <c r="O4256" t="s">
        <v>257</v>
      </c>
      <c r="P4256">
        <v>-20.142042</v>
      </c>
      <c r="Q4256">
        <v>-44.917906000000002</v>
      </c>
      <c r="R4256" s="2" t="str">
        <f>HYPERLINK("https://www.google.com/maps?q=-20.1420420,-44.9179060","Abrir no Google Maps")</f>
        <v>Abrir no Google Maps</v>
      </c>
      <c r="S4256">
        <v>3</v>
      </c>
      <c r="T4256">
        <v>373.14048213045743</v>
      </c>
      <c r="U4256">
        <v>3</v>
      </c>
      <c r="V4256">
        <v>0.30083665780141838</v>
      </c>
      <c r="W4256">
        <v>1</v>
      </c>
      <c r="X4256">
        <v>0.30083665780141838</v>
      </c>
      <c r="Y4256">
        <v>508</v>
      </c>
      <c r="Z4256">
        <v>271.52693841106122</v>
      </c>
      <c r="AA4256">
        <v>198</v>
      </c>
      <c r="AB4256">
        <v>332</v>
      </c>
      <c r="AC4256">
        <v>536</v>
      </c>
      <c r="AD4256">
        <v>29.32</v>
      </c>
      <c r="AE4256">
        <v>542</v>
      </c>
      <c r="AF4256">
        <v>27</v>
      </c>
      <c r="AG4256">
        <v>173</v>
      </c>
      <c r="AH4256">
        <v>129</v>
      </c>
      <c r="AI4256">
        <v>4.9800000000000004</v>
      </c>
      <c r="AJ4256">
        <v>31.92</v>
      </c>
      <c r="AK4256">
        <v>23.8</v>
      </c>
      <c r="AL4256">
        <v>-20.14198914999994</v>
      </c>
      <c r="AM4256">
        <v>-44.918192618397512</v>
      </c>
      <c r="AN4256">
        <v>-20.14198914999994</v>
      </c>
      <c r="AO4256">
        <v>-44.918192618397512</v>
      </c>
      <c r="AP4256">
        <v>-20.142042</v>
      </c>
      <c r="AQ4256">
        <v>-44.917906000000002</v>
      </c>
      <c r="AR4256">
        <v>30.527314493281139</v>
      </c>
      <c r="AS4256" t="s">
        <v>65</v>
      </c>
      <c r="AT4256">
        <v>1</v>
      </c>
      <c r="AU4256" t="s">
        <v>944</v>
      </c>
      <c r="AV4256" t="s">
        <v>945</v>
      </c>
      <c r="AW4256" t="s">
        <v>60</v>
      </c>
      <c r="AX4256" t="s">
        <v>68</v>
      </c>
      <c r="AY4256" t="s">
        <v>69</v>
      </c>
      <c r="AZ4256" t="b">
        <v>1</v>
      </c>
    </row>
    <row r="4257" spans="1:52" x14ac:dyDescent="0.3">
      <c r="A4257" t="s">
        <v>52</v>
      </c>
      <c r="B4257" t="s">
        <v>53</v>
      </c>
      <c r="C4257" t="s">
        <v>54</v>
      </c>
      <c r="D4257" t="s">
        <v>55</v>
      </c>
      <c r="E4257" t="s">
        <v>2222</v>
      </c>
      <c r="F4257" t="s">
        <v>190</v>
      </c>
      <c r="G4257" t="s">
        <v>946</v>
      </c>
      <c r="H4257" t="s">
        <v>947</v>
      </c>
      <c r="I4257" t="s">
        <v>947</v>
      </c>
      <c r="J4257" t="s">
        <v>60</v>
      </c>
      <c r="K4257" t="s">
        <v>193</v>
      </c>
      <c r="L4257" t="s">
        <v>62</v>
      </c>
      <c r="M4257" t="s">
        <v>193</v>
      </c>
      <c r="N4257" t="s">
        <v>948</v>
      </c>
      <c r="O4257" t="s">
        <v>949</v>
      </c>
      <c r="P4257">
        <v>-20.141646000000001</v>
      </c>
      <c r="Q4257">
        <v>-44.920682999999997</v>
      </c>
      <c r="R4257" s="2" t="str">
        <f>HYPERLINK("https://www.google.com/maps?q=-20.1416460,-44.9206830","Abrir no Google Maps")</f>
        <v>Abrir no Google Maps</v>
      </c>
      <c r="S4257">
        <v>3</v>
      </c>
      <c r="T4257">
        <v>538.41742581974165</v>
      </c>
      <c r="U4257">
        <v>3</v>
      </c>
      <c r="V4257">
        <v>0.30921048819353908</v>
      </c>
      <c r="W4257">
        <v>1</v>
      </c>
      <c r="X4257">
        <v>0.30921048819353908</v>
      </c>
      <c r="Y4257">
        <v>508</v>
      </c>
      <c r="Z4257">
        <v>459.99626097363068</v>
      </c>
      <c r="AA4257">
        <v>198</v>
      </c>
      <c r="AB4257">
        <v>332</v>
      </c>
      <c r="AC4257">
        <v>536</v>
      </c>
      <c r="AD4257">
        <v>29.32</v>
      </c>
      <c r="AE4257">
        <v>542</v>
      </c>
      <c r="AF4257">
        <v>27</v>
      </c>
      <c r="AG4257">
        <v>173</v>
      </c>
      <c r="AH4257">
        <v>129</v>
      </c>
      <c r="AI4257">
        <v>4.9800000000000004</v>
      </c>
      <c r="AJ4257">
        <v>31.92</v>
      </c>
      <c r="AK4257">
        <v>23.8</v>
      </c>
      <c r="AL4257">
        <v>-20.141877549999979</v>
      </c>
      <c r="AM4257">
        <v>-44.920658074778594</v>
      </c>
      <c r="AN4257">
        <v>-20.141877549999979</v>
      </c>
      <c r="AO4257">
        <v>-44.920658074778594</v>
      </c>
      <c r="AP4257">
        <v>-20.141646000000001</v>
      </c>
      <c r="AQ4257">
        <v>-44.920682999999997</v>
      </c>
      <c r="AR4257">
        <v>25.907443828287509</v>
      </c>
      <c r="AS4257" t="s">
        <v>65</v>
      </c>
      <c r="AT4257">
        <v>1</v>
      </c>
      <c r="AU4257" t="s">
        <v>950</v>
      </c>
      <c r="AV4257" t="s">
        <v>951</v>
      </c>
      <c r="AW4257" t="s">
        <v>60</v>
      </c>
      <c r="AX4257" t="s">
        <v>68</v>
      </c>
      <c r="AY4257" t="s">
        <v>69</v>
      </c>
      <c r="AZ4257" t="b">
        <v>1</v>
      </c>
    </row>
    <row r="4258" spans="1:52" x14ac:dyDescent="0.3">
      <c r="A4258" t="s">
        <v>52</v>
      </c>
      <c r="B4258" t="s">
        <v>53</v>
      </c>
      <c r="C4258" t="s">
        <v>54</v>
      </c>
      <c r="D4258" t="s">
        <v>55</v>
      </c>
      <c r="E4258" t="s">
        <v>2222</v>
      </c>
      <c r="F4258" t="s">
        <v>190</v>
      </c>
      <c r="G4258" t="s">
        <v>935</v>
      </c>
      <c r="H4258" t="s">
        <v>952</v>
      </c>
      <c r="I4258" t="s">
        <v>952</v>
      </c>
      <c r="J4258" t="s">
        <v>60</v>
      </c>
      <c r="K4258" t="s">
        <v>953</v>
      </c>
      <c r="L4258" t="s">
        <v>62</v>
      </c>
      <c r="M4258" t="s">
        <v>953</v>
      </c>
      <c r="N4258" t="s">
        <v>937</v>
      </c>
      <c r="O4258" t="s">
        <v>954</v>
      </c>
      <c r="P4258">
        <v>-20.147273999999999</v>
      </c>
      <c r="Q4258">
        <v>-44.920006000000001</v>
      </c>
      <c r="R4258" s="2" t="str">
        <f>HYPERLINK("https://www.google.com/maps?q=-20.1472740,-44.9200060","Abrir no Google Maps")</f>
        <v>Abrir no Google Maps</v>
      </c>
      <c r="S4258">
        <v>3</v>
      </c>
      <c r="T4258">
        <v>459.0606352701667</v>
      </c>
      <c r="U4258">
        <v>3</v>
      </c>
      <c r="V4258">
        <v>0.34692445399212318</v>
      </c>
      <c r="W4258">
        <v>0.85</v>
      </c>
      <c r="X4258">
        <v>0.29488578589330472</v>
      </c>
      <c r="Y4258">
        <v>508</v>
      </c>
      <c r="Z4258">
        <v>450.79650119449559</v>
      </c>
      <c r="AA4258">
        <v>198</v>
      </c>
      <c r="AB4258">
        <v>332</v>
      </c>
      <c r="AC4258">
        <v>536</v>
      </c>
      <c r="AD4258">
        <v>29.32</v>
      </c>
      <c r="AE4258">
        <v>542</v>
      </c>
      <c r="AF4258">
        <v>27</v>
      </c>
      <c r="AG4258">
        <v>173</v>
      </c>
      <c r="AH4258">
        <v>129</v>
      </c>
      <c r="AI4258">
        <v>4.9800000000000004</v>
      </c>
      <c r="AJ4258">
        <v>31.92</v>
      </c>
      <c r="AK4258">
        <v>23.8</v>
      </c>
      <c r="AL4258">
        <v>-20.14804539999994</v>
      </c>
      <c r="AM4258">
        <v>-44.919869714952483</v>
      </c>
      <c r="AN4258">
        <v>-20.14804539999994</v>
      </c>
      <c r="AO4258">
        <v>-44.919869714952483</v>
      </c>
      <c r="AP4258">
        <v>-20.147273999999999</v>
      </c>
      <c r="AQ4258">
        <v>-44.920006000000001</v>
      </c>
      <c r="AR4258">
        <v>87.045401840517783</v>
      </c>
      <c r="AS4258" t="s">
        <v>65</v>
      </c>
      <c r="AT4258">
        <v>1</v>
      </c>
      <c r="AU4258" t="s">
        <v>955</v>
      </c>
      <c r="AV4258" t="s">
        <v>956</v>
      </c>
      <c r="AW4258" t="s">
        <v>60</v>
      </c>
      <c r="AX4258" t="s">
        <v>68</v>
      </c>
      <c r="AY4258" t="s">
        <v>69</v>
      </c>
      <c r="AZ4258" t="b">
        <v>1</v>
      </c>
    </row>
    <row r="4259" spans="1:52" x14ac:dyDescent="0.3">
      <c r="A4259" t="s">
        <v>52</v>
      </c>
      <c r="B4259" t="s">
        <v>53</v>
      </c>
      <c r="C4259" t="s">
        <v>54</v>
      </c>
      <c r="D4259" t="s">
        <v>55</v>
      </c>
      <c r="E4259" t="s">
        <v>2222</v>
      </c>
      <c r="F4259" t="s">
        <v>190</v>
      </c>
      <c r="G4259" t="s">
        <v>957</v>
      </c>
      <c r="H4259" t="s">
        <v>958</v>
      </c>
      <c r="I4259" t="s">
        <v>958</v>
      </c>
      <c r="J4259" t="s">
        <v>60</v>
      </c>
      <c r="K4259" t="s">
        <v>262</v>
      </c>
      <c r="L4259" t="s">
        <v>62</v>
      </c>
      <c r="M4259" t="s">
        <v>262</v>
      </c>
      <c r="N4259" t="s">
        <v>959</v>
      </c>
      <c r="O4259" t="s">
        <v>960</v>
      </c>
      <c r="P4259">
        <v>-20.165469999999999</v>
      </c>
      <c r="Q4259">
        <v>-44.854308000000003</v>
      </c>
      <c r="R4259" s="2" t="str">
        <f>HYPERLINK("https://www.google.com/maps?q=-20.1654700,-44.8543080","Abrir no Google Maps")</f>
        <v>Abrir no Google Maps</v>
      </c>
      <c r="S4259">
        <v>3</v>
      </c>
      <c r="T4259">
        <v>555.06043712641599</v>
      </c>
      <c r="U4259">
        <v>3</v>
      </c>
      <c r="V4259">
        <v>0.3070095787101248</v>
      </c>
      <c r="W4259">
        <v>1</v>
      </c>
      <c r="X4259">
        <v>0.3070095787101248</v>
      </c>
      <c r="Y4259">
        <v>491</v>
      </c>
      <c r="Z4259">
        <v>423.16855805320131</v>
      </c>
      <c r="AA4259">
        <v>198</v>
      </c>
      <c r="AB4259">
        <v>332</v>
      </c>
      <c r="AC4259">
        <v>536</v>
      </c>
      <c r="AD4259">
        <v>29.32</v>
      </c>
      <c r="AE4259">
        <v>542</v>
      </c>
      <c r="AF4259">
        <v>27</v>
      </c>
      <c r="AG4259">
        <v>173</v>
      </c>
      <c r="AH4259">
        <v>129</v>
      </c>
      <c r="AI4259">
        <v>4.9800000000000004</v>
      </c>
      <c r="AJ4259">
        <v>31.92</v>
      </c>
      <c r="AK4259">
        <v>23.8</v>
      </c>
      <c r="AL4259">
        <v>-20.165538449999961</v>
      </c>
      <c r="AM4259">
        <v>-44.854274624633042</v>
      </c>
      <c r="AN4259">
        <v>-20.165538449999961</v>
      </c>
      <c r="AO4259">
        <v>-44.854274624633042</v>
      </c>
      <c r="AP4259">
        <v>-20.165469999999999</v>
      </c>
      <c r="AQ4259">
        <v>-44.854308000000003</v>
      </c>
      <c r="AR4259">
        <v>8.3800661572970956</v>
      </c>
      <c r="AS4259" t="s">
        <v>65</v>
      </c>
      <c r="AT4259">
        <v>1</v>
      </c>
      <c r="AU4259" t="s">
        <v>961</v>
      </c>
      <c r="AV4259" t="s">
        <v>962</v>
      </c>
      <c r="AW4259" t="s">
        <v>60</v>
      </c>
      <c r="AX4259" t="s">
        <v>68</v>
      </c>
      <c r="AY4259" t="s">
        <v>69</v>
      </c>
      <c r="AZ4259" t="b">
        <v>1</v>
      </c>
    </row>
    <row r="4260" spans="1:52" x14ac:dyDescent="0.3">
      <c r="A4260" t="s">
        <v>52</v>
      </c>
      <c r="B4260" t="s">
        <v>53</v>
      </c>
      <c r="C4260" t="s">
        <v>54</v>
      </c>
      <c r="D4260" t="s">
        <v>55</v>
      </c>
      <c r="E4260" t="s">
        <v>2222</v>
      </c>
      <c r="F4260" t="s">
        <v>190</v>
      </c>
      <c r="G4260" t="s">
        <v>968</v>
      </c>
      <c r="H4260" t="s">
        <v>969</v>
      </c>
      <c r="I4260" t="s">
        <v>969</v>
      </c>
      <c r="J4260" t="s">
        <v>60</v>
      </c>
      <c r="K4260" t="s">
        <v>262</v>
      </c>
      <c r="L4260" t="s">
        <v>62</v>
      </c>
      <c r="M4260" t="s">
        <v>262</v>
      </c>
      <c r="N4260" t="s">
        <v>970</v>
      </c>
      <c r="O4260" t="s">
        <v>971</v>
      </c>
      <c r="P4260">
        <v>-20.163060999999999</v>
      </c>
      <c r="Q4260">
        <v>-44.854047000000001</v>
      </c>
      <c r="R4260" s="2" t="str">
        <f>HYPERLINK("https://www.google.com/maps?q=-20.1630610,-44.8540470","Abrir no Google Maps")</f>
        <v>Abrir no Google Maps</v>
      </c>
      <c r="S4260">
        <v>3</v>
      </c>
      <c r="T4260">
        <v>418.63868463200271</v>
      </c>
      <c r="U4260">
        <v>3</v>
      </c>
      <c r="V4260">
        <v>0.3137654320987654</v>
      </c>
      <c r="W4260">
        <v>1</v>
      </c>
      <c r="X4260">
        <v>0.3137654320987654</v>
      </c>
      <c r="Y4260">
        <v>491</v>
      </c>
      <c r="Z4260">
        <v>339.19068595447408</v>
      </c>
      <c r="AA4260">
        <v>198</v>
      </c>
      <c r="AB4260">
        <v>332</v>
      </c>
      <c r="AC4260">
        <v>536</v>
      </c>
      <c r="AD4260">
        <v>29.32</v>
      </c>
      <c r="AE4260">
        <v>542</v>
      </c>
      <c r="AF4260">
        <v>27</v>
      </c>
      <c r="AG4260">
        <v>173</v>
      </c>
      <c r="AH4260">
        <v>129</v>
      </c>
      <c r="AI4260">
        <v>4.9800000000000004</v>
      </c>
      <c r="AJ4260">
        <v>31.92</v>
      </c>
      <c r="AK4260">
        <v>23.8</v>
      </c>
      <c r="AL4260">
        <v>-20.163118949999959</v>
      </c>
      <c r="AM4260">
        <v>-44.854106723889032</v>
      </c>
      <c r="AN4260">
        <v>-20.163118949999959</v>
      </c>
      <c r="AO4260">
        <v>-44.854106723889032</v>
      </c>
      <c r="AP4260">
        <v>-20.163060999999999</v>
      </c>
      <c r="AQ4260">
        <v>-44.854047000000001</v>
      </c>
      <c r="AR4260">
        <v>8.9758322935491428</v>
      </c>
      <c r="AS4260" t="s">
        <v>65</v>
      </c>
      <c r="AT4260">
        <v>1</v>
      </c>
      <c r="AU4260" t="s">
        <v>972</v>
      </c>
      <c r="AV4260" t="s">
        <v>973</v>
      </c>
      <c r="AW4260" t="s">
        <v>60</v>
      </c>
      <c r="AX4260" t="s">
        <v>68</v>
      </c>
      <c r="AY4260" t="s">
        <v>69</v>
      </c>
      <c r="AZ4260" t="b">
        <v>1</v>
      </c>
    </row>
    <row r="4261" spans="1:52" x14ac:dyDescent="0.3">
      <c r="A4261" t="s">
        <v>52</v>
      </c>
      <c r="B4261" t="s">
        <v>53</v>
      </c>
      <c r="C4261" t="s">
        <v>54</v>
      </c>
      <c r="D4261" t="s">
        <v>55</v>
      </c>
      <c r="E4261" t="s">
        <v>2222</v>
      </c>
      <c r="F4261" t="s">
        <v>190</v>
      </c>
      <c r="G4261" t="s">
        <v>974</v>
      </c>
      <c r="H4261" t="s">
        <v>975</v>
      </c>
      <c r="I4261" t="s">
        <v>975</v>
      </c>
      <c r="J4261" t="s">
        <v>60</v>
      </c>
      <c r="K4261" t="s">
        <v>702</v>
      </c>
      <c r="L4261" t="s">
        <v>62</v>
      </c>
      <c r="M4261" t="s">
        <v>702</v>
      </c>
      <c r="N4261" t="s">
        <v>976</v>
      </c>
      <c r="O4261" t="s">
        <v>977</v>
      </c>
      <c r="P4261">
        <v>-20.167021999999999</v>
      </c>
      <c r="Q4261">
        <v>-44.863095000000001</v>
      </c>
      <c r="R4261" s="2" t="str">
        <f>HYPERLINK("https://www.google.com/maps?q=-20.1670220,-44.8630950","Abrir no Google Maps")</f>
        <v>Abrir no Google Maps</v>
      </c>
      <c r="S4261">
        <v>3</v>
      </c>
      <c r="T4261">
        <v>629.02897442495839</v>
      </c>
      <c r="U4261">
        <v>3</v>
      </c>
      <c r="V4261">
        <v>0.3039445916570141</v>
      </c>
      <c r="W4261">
        <v>1</v>
      </c>
      <c r="X4261">
        <v>0.3039445916570141</v>
      </c>
      <c r="Y4261">
        <v>491</v>
      </c>
      <c r="Z4261">
        <v>693.48000708961661</v>
      </c>
      <c r="AA4261">
        <v>198</v>
      </c>
      <c r="AB4261">
        <v>332</v>
      </c>
      <c r="AC4261">
        <v>536</v>
      </c>
      <c r="AD4261">
        <v>29.32</v>
      </c>
      <c r="AE4261">
        <v>542</v>
      </c>
      <c r="AF4261">
        <v>27</v>
      </c>
      <c r="AG4261">
        <v>173</v>
      </c>
      <c r="AH4261">
        <v>129</v>
      </c>
      <c r="AI4261">
        <v>4.9800000000000004</v>
      </c>
      <c r="AJ4261">
        <v>31.92</v>
      </c>
      <c r="AK4261">
        <v>23.8</v>
      </c>
      <c r="AL4261">
        <v>-20.167032199999941</v>
      </c>
      <c r="AM4261">
        <v>-44.863123980291967</v>
      </c>
      <c r="AN4261">
        <v>-20.167032199999941</v>
      </c>
      <c r="AO4261">
        <v>-44.863123980291967</v>
      </c>
      <c r="AP4261">
        <v>-20.167021999999999</v>
      </c>
      <c r="AQ4261">
        <v>-44.863095000000001</v>
      </c>
      <c r="AR4261">
        <v>3.2341734571542871</v>
      </c>
      <c r="AS4261" t="s">
        <v>65</v>
      </c>
      <c r="AT4261">
        <v>1</v>
      </c>
      <c r="AU4261" t="s">
        <v>978</v>
      </c>
      <c r="AV4261" t="s">
        <v>979</v>
      </c>
      <c r="AW4261" t="s">
        <v>60</v>
      </c>
      <c r="AX4261" t="s">
        <v>68</v>
      </c>
      <c r="AY4261" t="s">
        <v>69</v>
      </c>
      <c r="AZ4261" t="b">
        <v>1</v>
      </c>
    </row>
    <row r="4262" spans="1:52" x14ac:dyDescent="0.3">
      <c r="A4262" t="s">
        <v>52</v>
      </c>
      <c r="B4262" t="s">
        <v>53</v>
      </c>
      <c r="C4262" t="s">
        <v>54</v>
      </c>
      <c r="D4262" t="s">
        <v>55</v>
      </c>
      <c r="E4262" t="s">
        <v>2222</v>
      </c>
      <c r="F4262" t="s">
        <v>190</v>
      </c>
      <c r="G4262" t="s">
        <v>968</v>
      </c>
      <c r="H4262" t="s">
        <v>1754</v>
      </c>
      <c r="I4262" t="s">
        <v>1754</v>
      </c>
      <c r="J4262" t="s">
        <v>60</v>
      </c>
      <c r="K4262" t="s">
        <v>262</v>
      </c>
      <c r="L4262" t="s">
        <v>62</v>
      </c>
      <c r="M4262" t="s">
        <v>262</v>
      </c>
      <c r="N4262" t="s">
        <v>970</v>
      </c>
      <c r="O4262" t="s">
        <v>1331</v>
      </c>
      <c r="P4262">
        <v>-20.161989999999999</v>
      </c>
      <c r="Q4262">
        <v>-44.857933000000003</v>
      </c>
      <c r="R4262" s="2" t="str">
        <f>HYPERLINK("https://www.google.com/maps?q=-20.1619900,-44.8579330","Abrir no Google Maps")</f>
        <v>Abrir no Google Maps</v>
      </c>
      <c r="S4262">
        <v>3</v>
      </c>
      <c r="T4262">
        <v>0</v>
      </c>
      <c r="U4262">
        <v>3</v>
      </c>
      <c r="V4262">
        <v>0.29872507532081999</v>
      </c>
      <c r="W4262">
        <v>1</v>
      </c>
      <c r="X4262">
        <v>0.29872507532081999</v>
      </c>
      <c r="Y4262">
        <v>491</v>
      </c>
      <c r="Z4262">
        <v>131.1697533741382</v>
      </c>
      <c r="AA4262">
        <v>198</v>
      </c>
      <c r="AB4262">
        <v>332</v>
      </c>
      <c r="AC4262">
        <v>536</v>
      </c>
      <c r="AD4262">
        <v>29.32</v>
      </c>
      <c r="AE4262">
        <v>542</v>
      </c>
      <c r="AF4262">
        <v>27</v>
      </c>
      <c r="AG4262">
        <v>173</v>
      </c>
      <c r="AH4262">
        <v>129</v>
      </c>
      <c r="AI4262">
        <v>4.9800000000000004</v>
      </c>
      <c r="AJ4262">
        <v>31.92</v>
      </c>
      <c r="AK4262">
        <v>23.8</v>
      </c>
      <c r="AL4262">
        <v>-20.161858549999948</v>
      </c>
      <c r="AM4262">
        <v>-44.857884031071968</v>
      </c>
      <c r="AN4262">
        <v>-20.161858549999948</v>
      </c>
      <c r="AO4262">
        <v>-44.857884031071968</v>
      </c>
      <c r="AP4262">
        <v>-20.161989999999999</v>
      </c>
      <c r="AQ4262">
        <v>-44.857933000000003</v>
      </c>
      <c r="AR4262">
        <v>15.501957281614381</v>
      </c>
      <c r="AS4262" t="s">
        <v>65</v>
      </c>
      <c r="AT4262">
        <v>1</v>
      </c>
      <c r="AU4262" t="s">
        <v>1755</v>
      </c>
      <c r="AV4262" t="s">
        <v>1756</v>
      </c>
      <c r="AW4262" t="s">
        <v>60</v>
      </c>
      <c r="AX4262" t="s">
        <v>68</v>
      </c>
      <c r="AY4262" t="s">
        <v>69</v>
      </c>
      <c r="AZ4262" t="b">
        <v>1</v>
      </c>
    </row>
    <row r="4263" spans="1:52" x14ac:dyDescent="0.3">
      <c r="A4263" t="s">
        <v>52</v>
      </c>
      <c r="B4263" t="s">
        <v>53</v>
      </c>
      <c r="C4263" t="s">
        <v>54</v>
      </c>
      <c r="D4263" t="s">
        <v>55</v>
      </c>
      <c r="E4263" t="s">
        <v>2222</v>
      </c>
      <c r="F4263" t="s">
        <v>190</v>
      </c>
      <c r="G4263" t="s">
        <v>980</v>
      </c>
      <c r="H4263" t="s">
        <v>981</v>
      </c>
      <c r="I4263" t="s">
        <v>981</v>
      </c>
      <c r="J4263" t="s">
        <v>60</v>
      </c>
      <c r="K4263" t="s">
        <v>982</v>
      </c>
      <c r="L4263" t="s">
        <v>62</v>
      </c>
      <c r="M4263" t="s">
        <v>982</v>
      </c>
      <c r="N4263" t="s">
        <v>983</v>
      </c>
      <c r="O4263" t="s">
        <v>264</v>
      </c>
      <c r="P4263">
        <v>-20.166967</v>
      </c>
      <c r="Q4263">
        <v>-44.859355000000001</v>
      </c>
      <c r="R4263" s="2" t="str">
        <f>HYPERLINK("https://www.google.com/maps?q=-20.1669670,-44.8593550","Abrir no Google Maps")</f>
        <v>Abrir no Google Maps</v>
      </c>
      <c r="S4263">
        <v>3</v>
      </c>
      <c r="T4263">
        <v>577.54934865824521</v>
      </c>
      <c r="U4263">
        <v>3</v>
      </c>
      <c r="V4263">
        <v>0.30187462083467148</v>
      </c>
      <c r="W4263">
        <v>1</v>
      </c>
      <c r="X4263">
        <v>0.30187462083467148</v>
      </c>
      <c r="Y4263">
        <v>491</v>
      </c>
      <c r="Z4263">
        <v>433.59782149216659</v>
      </c>
      <c r="AA4263">
        <v>198</v>
      </c>
      <c r="AB4263">
        <v>332</v>
      </c>
      <c r="AC4263">
        <v>536</v>
      </c>
      <c r="AD4263">
        <v>29.32</v>
      </c>
      <c r="AE4263">
        <v>542</v>
      </c>
      <c r="AF4263">
        <v>27</v>
      </c>
      <c r="AG4263">
        <v>173</v>
      </c>
      <c r="AH4263">
        <v>129</v>
      </c>
      <c r="AI4263">
        <v>4.9800000000000004</v>
      </c>
      <c r="AJ4263">
        <v>31.92</v>
      </c>
      <c r="AK4263">
        <v>23.8</v>
      </c>
      <c r="AL4263">
        <v>-20.16694954999997</v>
      </c>
      <c r="AM4263">
        <v>-44.859100695938046</v>
      </c>
      <c r="AN4263">
        <v>-20.16694954999997</v>
      </c>
      <c r="AO4263">
        <v>-44.859100695938046</v>
      </c>
      <c r="AP4263">
        <v>-20.166967</v>
      </c>
      <c r="AQ4263">
        <v>-44.859355000000001</v>
      </c>
      <c r="AR4263">
        <v>26.644458793923111</v>
      </c>
      <c r="AS4263" t="s">
        <v>65</v>
      </c>
      <c r="AT4263">
        <v>1</v>
      </c>
      <c r="AU4263" t="s">
        <v>984</v>
      </c>
      <c r="AV4263" t="s">
        <v>985</v>
      </c>
      <c r="AW4263" t="s">
        <v>60</v>
      </c>
      <c r="AX4263" t="s">
        <v>68</v>
      </c>
      <c r="AY4263" t="s">
        <v>69</v>
      </c>
      <c r="AZ4263" t="b">
        <v>1</v>
      </c>
    </row>
    <row r="4264" spans="1:52" x14ac:dyDescent="0.3">
      <c r="A4264" t="s">
        <v>52</v>
      </c>
      <c r="B4264" t="s">
        <v>53</v>
      </c>
      <c r="C4264" t="s">
        <v>54</v>
      </c>
      <c r="D4264" t="s">
        <v>55</v>
      </c>
      <c r="E4264" t="s">
        <v>2222</v>
      </c>
      <c r="F4264" t="s">
        <v>190</v>
      </c>
      <c r="G4264" t="s">
        <v>986</v>
      </c>
      <c r="H4264" t="s">
        <v>987</v>
      </c>
      <c r="I4264" t="s">
        <v>987</v>
      </c>
      <c r="J4264" t="s">
        <v>60</v>
      </c>
      <c r="K4264" t="s">
        <v>702</v>
      </c>
      <c r="L4264" t="s">
        <v>62</v>
      </c>
      <c r="M4264" t="s">
        <v>702</v>
      </c>
      <c r="N4264" t="s">
        <v>988</v>
      </c>
      <c r="O4264" t="s">
        <v>989</v>
      </c>
      <c r="P4264">
        <v>-20.1691</v>
      </c>
      <c r="Q4264">
        <v>-44.860813999999998</v>
      </c>
      <c r="R4264" s="2" t="str">
        <f>HYPERLINK("https://www.google.com/maps?q=-20.1691000,-44.8608140","Abrir no Google Maps")</f>
        <v>Abrir no Google Maps</v>
      </c>
      <c r="S4264">
        <v>3</v>
      </c>
      <c r="T4264">
        <v>596.11124105675003</v>
      </c>
      <c r="U4264">
        <v>3</v>
      </c>
      <c r="V4264">
        <v>0.30241299890832601</v>
      </c>
      <c r="W4264">
        <v>1</v>
      </c>
      <c r="X4264">
        <v>0.30241299890832601</v>
      </c>
      <c r="Y4264">
        <v>491</v>
      </c>
      <c r="Z4264">
        <v>741.65354053819078</v>
      </c>
      <c r="AA4264">
        <v>198</v>
      </c>
      <c r="AB4264">
        <v>332</v>
      </c>
      <c r="AC4264">
        <v>536</v>
      </c>
      <c r="AD4264">
        <v>29.32</v>
      </c>
      <c r="AE4264">
        <v>542</v>
      </c>
      <c r="AF4264">
        <v>27</v>
      </c>
      <c r="AG4264">
        <v>173</v>
      </c>
      <c r="AH4264">
        <v>129</v>
      </c>
      <c r="AI4264">
        <v>4.9800000000000004</v>
      </c>
      <c r="AJ4264">
        <v>31.92</v>
      </c>
      <c r="AK4264">
        <v>23.8</v>
      </c>
      <c r="AL4264">
        <v>-20.168995449999951</v>
      </c>
      <c r="AM4264">
        <v>-44.86088900357106</v>
      </c>
      <c r="AN4264">
        <v>-20.168995449999951</v>
      </c>
      <c r="AO4264">
        <v>-44.86088900357106</v>
      </c>
      <c r="AP4264">
        <v>-20.1691</v>
      </c>
      <c r="AQ4264">
        <v>-44.860813999999998</v>
      </c>
      <c r="AR4264">
        <v>14.03138702725616</v>
      </c>
      <c r="AS4264" t="s">
        <v>65</v>
      </c>
      <c r="AT4264">
        <v>1</v>
      </c>
      <c r="AU4264" t="s">
        <v>990</v>
      </c>
      <c r="AV4264" t="s">
        <v>991</v>
      </c>
      <c r="AW4264" t="s">
        <v>60</v>
      </c>
      <c r="AX4264" t="s">
        <v>68</v>
      </c>
      <c r="AY4264" t="s">
        <v>69</v>
      </c>
      <c r="AZ4264" t="b">
        <v>1</v>
      </c>
    </row>
    <row r="4265" spans="1:52" x14ac:dyDescent="0.3">
      <c r="A4265" t="s">
        <v>52</v>
      </c>
      <c r="B4265" t="s">
        <v>53</v>
      </c>
      <c r="C4265" t="s">
        <v>54</v>
      </c>
      <c r="D4265" t="s">
        <v>55</v>
      </c>
      <c r="E4265" t="s">
        <v>2222</v>
      </c>
      <c r="F4265" t="s">
        <v>190</v>
      </c>
      <c r="G4265" t="s">
        <v>992</v>
      </c>
      <c r="H4265" t="s">
        <v>993</v>
      </c>
      <c r="I4265" t="s">
        <v>993</v>
      </c>
      <c r="J4265" t="s">
        <v>60</v>
      </c>
      <c r="K4265" t="s">
        <v>530</v>
      </c>
      <c r="L4265" t="s">
        <v>62</v>
      </c>
      <c r="M4265" t="s">
        <v>530</v>
      </c>
      <c r="N4265" t="s">
        <v>994</v>
      </c>
      <c r="O4265" t="s">
        <v>995</v>
      </c>
      <c r="P4265">
        <v>-20.144141000000001</v>
      </c>
      <c r="Q4265">
        <v>-44.884635000000003</v>
      </c>
      <c r="R4265" s="2" t="str">
        <f>HYPERLINK("https://www.google.com/maps?q=-20.1441410,-44.8846350","Abrir no Google Maps")</f>
        <v>Abrir no Google Maps</v>
      </c>
      <c r="S4265">
        <v>3</v>
      </c>
      <c r="T4265">
        <v>0</v>
      </c>
      <c r="U4265">
        <v>3</v>
      </c>
      <c r="V4265">
        <v>0.36598237403708528</v>
      </c>
      <c r="W4265">
        <v>0.85</v>
      </c>
      <c r="X4265">
        <v>0.31108501793152249</v>
      </c>
      <c r="Y4265">
        <v>478</v>
      </c>
      <c r="Z4265">
        <v>252.29400768218821</v>
      </c>
      <c r="AA4265">
        <v>198</v>
      </c>
      <c r="AB4265">
        <v>332</v>
      </c>
      <c r="AC4265">
        <v>536</v>
      </c>
      <c r="AD4265">
        <v>29.32</v>
      </c>
      <c r="AE4265">
        <v>542</v>
      </c>
      <c r="AF4265">
        <v>27</v>
      </c>
      <c r="AG4265">
        <v>173</v>
      </c>
      <c r="AH4265">
        <v>129</v>
      </c>
      <c r="AI4265">
        <v>4.9800000000000004</v>
      </c>
      <c r="AJ4265">
        <v>31.92</v>
      </c>
      <c r="AK4265">
        <v>23.8</v>
      </c>
      <c r="AL4265">
        <v>-20.144119999999951</v>
      </c>
      <c r="AM4265">
        <v>-44.884814928637752</v>
      </c>
      <c r="AN4265">
        <v>-20.144119999999951</v>
      </c>
      <c r="AO4265">
        <v>-44.884814928637752</v>
      </c>
      <c r="AP4265">
        <v>-20.144141000000001</v>
      </c>
      <c r="AQ4265">
        <v>-44.884635000000003</v>
      </c>
      <c r="AR4265">
        <v>18.949181367223549</v>
      </c>
      <c r="AS4265" t="s">
        <v>65</v>
      </c>
      <c r="AT4265">
        <v>1</v>
      </c>
      <c r="AU4265" t="s">
        <v>996</v>
      </c>
      <c r="AV4265" t="s">
        <v>997</v>
      </c>
      <c r="AW4265" t="s">
        <v>60</v>
      </c>
      <c r="AX4265" t="s">
        <v>68</v>
      </c>
      <c r="AY4265" t="s">
        <v>69</v>
      </c>
      <c r="AZ4265" t="b">
        <v>1</v>
      </c>
    </row>
    <row r="4266" spans="1:52" x14ac:dyDescent="0.3">
      <c r="A4266" t="s">
        <v>52</v>
      </c>
      <c r="B4266" t="s">
        <v>53</v>
      </c>
      <c r="C4266" t="s">
        <v>54</v>
      </c>
      <c r="D4266" t="s">
        <v>55</v>
      </c>
      <c r="E4266" t="s">
        <v>2222</v>
      </c>
      <c r="F4266" t="s">
        <v>190</v>
      </c>
      <c r="G4266" t="s">
        <v>1004</v>
      </c>
      <c r="H4266" t="s">
        <v>1005</v>
      </c>
      <c r="I4266" t="s">
        <v>1005</v>
      </c>
      <c r="J4266" t="s">
        <v>60</v>
      </c>
      <c r="K4266" t="s">
        <v>664</v>
      </c>
      <c r="L4266" t="s">
        <v>62</v>
      </c>
      <c r="M4266" t="s">
        <v>664</v>
      </c>
      <c r="N4266" t="s">
        <v>1006</v>
      </c>
      <c r="O4266" t="s">
        <v>1007</v>
      </c>
      <c r="P4266">
        <v>-20.136424000000002</v>
      </c>
      <c r="Q4266">
        <v>-44.902287999999999</v>
      </c>
      <c r="R4266" s="2" t="str">
        <f>HYPERLINK("https://www.google.com/maps?q=-20.1364240,-44.9022880","Abrir no Google Maps")</f>
        <v>Abrir no Google Maps</v>
      </c>
      <c r="S4266">
        <v>3</v>
      </c>
      <c r="T4266">
        <v>0</v>
      </c>
      <c r="U4266">
        <v>3</v>
      </c>
      <c r="V4266">
        <v>0.3652866282545375</v>
      </c>
      <c r="W4266">
        <v>0.85</v>
      </c>
      <c r="X4266">
        <v>0.31049363401635688</v>
      </c>
      <c r="Y4266">
        <v>435</v>
      </c>
      <c r="Z4266">
        <v>273.7310860392941</v>
      </c>
      <c r="AA4266">
        <v>198</v>
      </c>
      <c r="AB4266">
        <v>332</v>
      </c>
      <c r="AC4266">
        <v>536</v>
      </c>
      <c r="AD4266">
        <v>29.32</v>
      </c>
      <c r="AE4266">
        <v>542</v>
      </c>
      <c r="AF4266">
        <v>27</v>
      </c>
      <c r="AG4266">
        <v>173</v>
      </c>
      <c r="AH4266">
        <v>129</v>
      </c>
      <c r="AI4266">
        <v>4.9800000000000004</v>
      </c>
      <c r="AJ4266">
        <v>31.92</v>
      </c>
      <c r="AK4266">
        <v>23.8</v>
      </c>
      <c r="AL4266">
        <v>-20.135768749999951</v>
      </c>
      <c r="AM4266">
        <v>-44.901693772064696</v>
      </c>
      <c r="AN4266">
        <v>-20.135768749999951</v>
      </c>
      <c r="AO4266">
        <v>-44.901693772064696</v>
      </c>
      <c r="AP4266">
        <v>-20.136424000000002</v>
      </c>
      <c r="AQ4266">
        <v>-44.902287999999999</v>
      </c>
      <c r="AR4266">
        <v>95.800830031045166</v>
      </c>
      <c r="AS4266" t="s">
        <v>65</v>
      </c>
      <c r="AT4266">
        <v>1</v>
      </c>
      <c r="AU4266" t="s">
        <v>1008</v>
      </c>
      <c r="AV4266" t="s">
        <v>668</v>
      </c>
      <c r="AW4266" t="s">
        <v>60</v>
      </c>
      <c r="AX4266" t="s">
        <v>68</v>
      </c>
      <c r="AY4266" t="s">
        <v>69</v>
      </c>
      <c r="AZ4266" t="b">
        <v>1</v>
      </c>
    </row>
    <row r="4267" spans="1:52" x14ac:dyDescent="0.3">
      <c r="A4267" t="s">
        <v>52</v>
      </c>
      <c r="B4267" t="s">
        <v>53</v>
      </c>
      <c r="C4267" t="s">
        <v>54</v>
      </c>
      <c r="D4267" t="s">
        <v>55</v>
      </c>
      <c r="E4267" t="s">
        <v>2222</v>
      </c>
      <c r="F4267" t="s">
        <v>190</v>
      </c>
      <c r="G4267" t="s">
        <v>662</v>
      </c>
      <c r="H4267" t="s">
        <v>663</v>
      </c>
      <c r="I4267" t="s">
        <v>663</v>
      </c>
      <c r="J4267" t="s">
        <v>60</v>
      </c>
      <c r="K4267" t="s">
        <v>664</v>
      </c>
      <c r="L4267" t="s">
        <v>62</v>
      </c>
      <c r="M4267" t="s">
        <v>664</v>
      </c>
      <c r="N4267" t="s">
        <v>665</v>
      </c>
      <c r="O4267" t="s">
        <v>666</v>
      </c>
      <c r="P4267">
        <v>-20.13401</v>
      </c>
      <c r="Q4267">
        <v>-44.896515999999998</v>
      </c>
      <c r="R4267" s="2" t="str">
        <f>HYPERLINK("https://www.google.com/maps?q=-20.1340100,-44.8965160","Abrir no Google Maps")</f>
        <v>Abrir no Google Maps</v>
      </c>
      <c r="S4267">
        <v>3</v>
      </c>
      <c r="T4267">
        <v>577.93085469739992</v>
      </c>
      <c r="U4267">
        <v>3</v>
      </c>
      <c r="V4267">
        <v>0.36449103229845692</v>
      </c>
      <c r="W4267">
        <v>0.85</v>
      </c>
      <c r="X4267">
        <v>0.30981737745368843</v>
      </c>
      <c r="Y4267">
        <v>435</v>
      </c>
      <c r="Z4267">
        <v>334.84976208093428</v>
      </c>
      <c r="AA4267">
        <v>198</v>
      </c>
      <c r="AB4267">
        <v>332</v>
      </c>
      <c r="AC4267">
        <v>536</v>
      </c>
      <c r="AD4267">
        <v>29.32</v>
      </c>
      <c r="AE4267">
        <v>542</v>
      </c>
      <c r="AF4267">
        <v>27</v>
      </c>
      <c r="AG4267">
        <v>173</v>
      </c>
      <c r="AH4267">
        <v>129</v>
      </c>
      <c r="AI4267">
        <v>4.9800000000000004</v>
      </c>
      <c r="AJ4267">
        <v>31.92</v>
      </c>
      <c r="AK4267">
        <v>23.8</v>
      </c>
      <c r="AL4267">
        <v>-20.134194999999949</v>
      </c>
      <c r="AM4267">
        <v>-44.896421210298939</v>
      </c>
      <c r="AN4267">
        <v>-20.134194999999949</v>
      </c>
      <c r="AO4267">
        <v>-44.896421210298939</v>
      </c>
      <c r="AP4267">
        <v>-20.13401</v>
      </c>
      <c r="AQ4267">
        <v>-44.896515999999998</v>
      </c>
      <c r="AR4267">
        <v>22.853284872316269</v>
      </c>
      <c r="AS4267" t="s">
        <v>65</v>
      </c>
      <c r="AT4267">
        <v>1</v>
      </c>
      <c r="AU4267" t="s">
        <v>667</v>
      </c>
      <c r="AV4267" t="s">
        <v>668</v>
      </c>
      <c r="AW4267" t="s">
        <v>60</v>
      </c>
      <c r="AX4267" t="s">
        <v>68</v>
      </c>
      <c r="AY4267" t="s">
        <v>69</v>
      </c>
      <c r="AZ4267" t="b">
        <v>1</v>
      </c>
    </row>
    <row r="4268" spans="1:52" x14ac:dyDescent="0.3">
      <c r="A4268" t="s">
        <v>52</v>
      </c>
      <c r="B4268" t="s">
        <v>53</v>
      </c>
      <c r="C4268" t="s">
        <v>54</v>
      </c>
      <c r="D4268" t="s">
        <v>55</v>
      </c>
      <c r="E4268" t="s">
        <v>2222</v>
      </c>
      <c r="F4268" t="s">
        <v>190</v>
      </c>
      <c r="G4268" t="s">
        <v>1009</v>
      </c>
      <c r="H4268" t="s">
        <v>1010</v>
      </c>
      <c r="I4268" t="s">
        <v>1010</v>
      </c>
      <c r="J4268" t="s">
        <v>60</v>
      </c>
      <c r="K4268" t="s">
        <v>530</v>
      </c>
      <c r="L4268" t="s">
        <v>62</v>
      </c>
      <c r="M4268" t="s">
        <v>530</v>
      </c>
      <c r="N4268" t="s">
        <v>1011</v>
      </c>
      <c r="O4268" t="s">
        <v>315</v>
      </c>
      <c r="P4268">
        <v>-20.141300999999999</v>
      </c>
      <c r="Q4268">
        <v>-44.887509999999999</v>
      </c>
      <c r="R4268" s="2" t="str">
        <f>HYPERLINK("https://www.google.com/maps?q=-20.1413010,-44.8875100","Abrir no Google Maps")</f>
        <v>Abrir no Google Maps</v>
      </c>
      <c r="S4268">
        <v>3</v>
      </c>
      <c r="T4268">
        <v>351.30731383872319</v>
      </c>
      <c r="U4268">
        <v>3</v>
      </c>
      <c r="V4268">
        <v>0.3559138053643548</v>
      </c>
      <c r="W4268">
        <v>0.85</v>
      </c>
      <c r="X4268">
        <v>0.30252673455970158</v>
      </c>
      <c r="Y4268">
        <v>428</v>
      </c>
      <c r="Z4268">
        <v>285.79917278216982</v>
      </c>
      <c r="AA4268">
        <v>198</v>
      </c>
      <c r="AB4268">
        <v>332</v>
      </c>
      <c r="AC4268">
        <v>536</v>
      </c>
      <c r="AD4268">
        <v>29.32</v>
      </c>
      <c r="AE4268">
        <v>542</v>
      </c>
      <c r="AF4268">
        <v>27</v>
      </c>
      <c r="AG4268">
        <v>173</v>
      </c>
      <c r="AH4268">
        <v>129</v>
      </c>
      <c r="AI4268">
        <v>4.9800000000000004</v>
      </c>
      <c r="AJ4268">
        <v>31.92</v>
      </c>
      <c r="AK4268">
        <v>23.8</v>
      </c>
      <c r="AL4268">
        <v>-20.141454249999949</v>
      </c>
      <c r="AM4268">
        <v>-44.887331612944081</v>
      </c>
      <c r="AN4268">
        <v>-20.141454249999949</v>
      </c>
      <c r="AO4268">
        <v>-44.887331612944081</v>
      </c>
      <c r="AP4268">
        <v>-20.141300999999999</v>
      </c>
      <c r="AQ4268">
        <v>-44.887509999999999</v>
      </c>
      <c r="AR4268">
        <v>25.270963110561588</v>
      </c>
      <c r="AS4268" t="s">
        <v>65</v>
      </c>
      <c r="AT4268">
        <v>1</v>
      </c>
      <c r="AU4268" t="s">
        <v>1012</v>
      </c>
      <c r="AV4268" t="s">
        <v>1013</v>
      </c>
      <c r="AW4268" t="s">
        <v>60</v>
      </c>
      <c r="AX4268" t="s">
        <v>68</v>
      </c>
      <c r="AY4268" t="s">
        <v>69</v>
      </c>
      <c r="AZ4268" t="b">
        <v>1</v>
      </c>
    </row>
    <row r="4269" spans="1:52" x14ac:dyDescent="0.3">
      <c r="A4269" t="s">
        <v>52</v>
      </c>
      <c r="B4269" t="s">
        <v>53</v>
      </c>
      <c r="C4269" t="s">
        <v>54</v>
      </c>
      <c r="D4269" t="s">
        <v>55</v>
      </c>
      <c r="E4269" t="s">
        <v>2222</v>
      </c>
      <c r="F4269" t="s">
        <v>190</v>
      </c>
      <c r="G4269" t="s">
        <v>1021</v>
      </c>
      <c r="H4269" t="s">
        <v>1022</v>
      </c>
      <c r="I4269" t="s">
        <v>1022</v>
      </c>
      <c r="J4269" t="s">
        <v>60</v>
      </c>
      <c r="K4269" t="s">
        <v>1023</v>
      </c>
      <c r="L4269" t="s">
        <v>62</v>
      </c>
      <c r="M4269" t="s">
        <v>1023</v>
      </c>
      <c r="N4269" t="s">
        <v>1024</v>
      </c>
      <c r="O4269" t="s">
        <v>1025</v>
      </c>
      <c r="P4269">
        <v>-20.169588999999998</v>
      </c>
      <c r="Q4269">
        <v>-44.866636</v>
      </c>
      <c r="R4269" s="2" t="str">
        <f>HYPERLINK("https://www.google.com/maps?q=-20.1695890,-44.8666360","Abrir no Google Maps")</f>
        <v>Abrir no Google Maps</v>
      </c>
      <c r="S4269">
        <v>3</v>
      </c>
      <c r="T4269">
        <v>326.02709617860302</v>
      </c>
      <c r="U4269">
        <v>3</v>
      </c>
      <c r="V4269">
        <v>0.30594843069804251</v>
      </c>
      <c r="W4269">
        <v>1</v>
      </c>
      <c r="X4269">
        <v>0.30594843069804251</v>
      </c>
      <c r="Y4269">
        <v>422</v>
      </c>
      <c r="Z4269">
        <v>333.05362278862168</v>
      </c>
      <c r="AA4269">
        <v>198</v>
      </c>
      <c r="AB4269">
        <v>332</v>
      </c>
      <c r="AC4269">
        <v>536</v>
      </c>
      <c r="AD4269">
        <v>29.32</v>
      </c>
      <c r="AE4269">
        <v>542</v>
      </c>
      <c r="AF4269">
        <v>27</v>
      </c>
      <c r="AG4269">
        <v>173</v>
      </c>
      <c r="AH4269">
        <v>129</v>
      </c>
      <c r="AI4269">
        <v>4.9800000000000004</v>
      </c>
      <c r="AJ4269">
        <v>31.92</v>
      </c>
      <c r="AK4269">
        <v>23.8</v>
      </c>
      <c r="AL4269">
        <v>-20.16956104999997</v>
      </c>
      <c r="AM4269">
        <v>-44.866560528183591</v>
      </c>
      <c r="AN4269">
        <v>-20.16956104999997</v>
      </c>
      <c r="AO4269">
        <v>-44.866560528183591</v>
      </c>
      <c r="AP4269">
        <v>-20.169588999999998</v>
      </c>
      <c r="AQ4269">
        <v>-44.866636</v>
      </c>
      <c r="AR4269">
        <v>8.4778927137831293</v>
      </c>
      <c r="AS4269" t="s">
        <v>65</v>
      </c>
      <c r="AT4269">
        <v>1</v>
      </c>
      <c r="AU4269" t="s">
        <v>1026</v>
      </c>
      <c r="AV4269" t="s">
        <v>1027</v>
      </c>
      <c r="AW4269" t="s">
        <v>60</v>
      </c>
      <c r="AX4269" t="s">
        <v>68</v>
      </c>
      <c r="AY4269" t="s">
        <v>69</v>
      </c>
      <c r="AZ4269" t="b">
        <v>1</v>
      </c>
    </row>
    <row r="4270" spans="1:52" x14ac:dyDescent="0.3">
      <c r="A4270" t="s">
        <v>52</v>
      </c>
      <c r="B4270" t="s">
        <v>53</v>
      </c>
      <c r="C4270" t="s">
        <v>54</v>
      </c>
      <c r="D4270" t="s">
        <v>55</v>
      </c>
      <c r="E4270" t="s">
        <v>2222</v>
      </c>
      <c r="F4270" t="s">
        <v>190</v>
      </c>
      <c r="G4270" t="s">
        <v>1033</v>
      </c>
      <c r="H4270" t="s">
        <v>1034</v>
      </c>
      <c r="I4270" t="s">
        <v>1034</v>
      </c>
      <c r="J4270" t="s">
        <v>60</v>
      </c>
      <c r="K4270" t="s">
        <v>1016</v>
      </c>
      <c r="L4270" t="s">
        <v>62</v>
      </c>
      <c r="M4270" t="s">
        <v>1016</v>
      </c>
      <c r="N4270" t="s">
        <v>1035</v>
      </c>
      <c r="O4270" t="s">
        <v>1036</v>
      </c>
      <c r="P4270">
        <v>-20.176404999999999</v>
      </c>
      <c r="Q4270">
        <v>-44.871102</v>
      </c>
      <c r="R4270" s="2" t="str">
        <f>HYPERLINK("https://www.google.com/maps?q=-20.1764050,-44.8711020","Abrir no Google Maps")</f>
        <v>Abrir no Google Maps</v>
      </c>
      <c r="S4270">
        <v>3</v>
      </c>
      <c r="T4270">
        <v>746.17794449655105</v>
      </c>
      <c r="U4270">
        <v>3</v>
      </c>
      <c r="V4270">
        <v>0.30279968213215958</v>
      </c>
      <c r="W4270">
        <v>1</v>
      </c>
      <c r="X4270">
        <v>0.30279968213215958</v>
      </c>
      <c r="Y4270">
        <v>422</v>
      </c>
      <c r="Z4270">
        <v>532.61564453099913</v>
      </c>
      <c r="AA4270">
        <v>198</v>
      </c>
      <c r="AB4270">
        <v>332</v>
      </c>
      <c r="AC4270">
        <v>536</v>
      </c>
      <c r="AD4270">
        <v>29.32</v>
      </c>
      <c r="AE4270">
        <v>542</v>
      </c>
      <c r="AF4270">
        <v>27</v>
      </c>
      <c r="AG4270">
        <v>173</v>
      </c>
      <c r="AH4270">
        <v>129</v>
      </c>
      <c r="AI4270">
        <v>4.9800000000000004</v>
      </c>
      <c r="AJ4270">
        <v>31.92</v>
      </c>
      <c r="AK4270">
        <v>23.8</v>
      </c>
      <c r="AL4270">
        <v>-20.176464949999971</v>
      </c>
      <c r="AM4270">
        <v>-44.871010194676387</v>
      </c>
      <c r="AN4270">
        <v>-20.176464949999971</v>
      </c>
      <c r="AO4270">
        <v>-44.871010194676387</v>
      </c>
      <c r="AP4270">
        <v>-20.176404999999999</v>
      </c>
      <c r="AQ4270">
        <v>-44.871102</v>
      </c>
      <c r="AR4270">
        <v>11.68571547850415</v>
      </c>
      <c r="AS4270" t="s">
        <v>65</v>
      </c>
      <c r="AT4270">
        <v>1</v>
      </c>
      <c r="AU4270" t="s">
        <v>1037</v>
      </c>
      <c r="AV4270" t="s">
        <v>1038</v>
      </c>
      <c r="AW4270" t="s">
        <v>60</v>
      </c>
      <c r="AX4270" t="s">
        <v>68</v>
      </c>
      <c r="AY4270" t="s">
        <v>69</v>
      </c>
      <c r="AZ4270" t="b">
        <v>1</v>
      </c>
    </row>
    <row r="4271" spans="1:52" x14ac:dyDescent="0.3">
      <c r="A4271" t="s">
        <v>52</v>
      </c>
      <c r="B4271" t="s">
        <v>53</v>
      </c>
      <c r="C4271" t="s">
        <v>54</v>
      </c>
      <c r="D4271" t="s">
        <v>55</v>
      </c>
      <c r="E4271" t="s">
        <v>2222</v>
      </c>
      <c r="F4271" t="s">
        <v>190</v>
      </c>
      <c r="G4271" t="s">
        <v>1048</v>
      </c>
      <c r="H4271" t="s">
        <v>1049</v>
      </c>
      <c r="I4271" t="s">
        <v>1049</v>
      </c>
      <c r="J4271" t="s">
        <v>60</v>
      </c>
      <c r="K4271" t="s">
        <v>708</v>
      </c>
      <c r="L4271" t="s">
        <v>62</v>
      </c>
      <c r="M4271" t="s">
        <v>708</v>
      </c>
      <c r="N4271" t="s">
        <v>1050</v>
      </c>
      <c r="O4271" t="s">
        <v>1051</v>
      </c>
      <c r="P4271">
        <v>-20.128316000000002</v>
      </c>
      <c r="Q4271">
        <v>-44.878137000000002</v>
      </c>
      <c r="R4271" s="2" t="str">
        <f>HYPERLINK("https://www.google.com/maps?q=-20.1283160,-44.8781370","Abrir no Google Maps")</f>
        <v>Abrir no Google Maps</v>
      </c>
      <c r="S4271">
        <v>3</v>
      </c>
      <c r="T4271">
        <v>513.28053815499243</v>
      </c>
      <c r="U4271">
        <v>3</v>
      </c>
      <c r="V4271">
        <v>0.30036955592205727</v>
      </c>
      <c r="W4271">
        <v>1</v>
      </c>
      <c r="X4271">
        <v>0.30036955592205727</v>
      </c>
      <c r="Y4271">
        <v>387</v>
      </c>
      <c r="Z4271">
        <v>385.74604528561741</v>
      </c>
      <c r="AA4271">
        <v>198</v>
      </c>
      <c r="AB4271">
        <v>332</v>
      </c>
      <c r="AC4271">
        <v>536</v>
      </c>
      <c r="AD4271">
        <v>29.32</v>
      </c>
      <c r="AE4271">
        <v>542</v>
      </c>
      <c r="AF4271">
        <v>27</v>
      </c>
      <c r="AG4271">
        <v>173</v>
      </c>
      <c r="AH4271">
        <v>129</v>
      </c>
      <c r="AI4271">
        <v>4.9800000000000004</v>
      </c>
      <c r="AJ4271">
        <v>31.92</v>
      </c>
      <c r="AK4271">
        <v>23.8</v>
      </c>
      <c r="AL4271">
        <v>-20.128308349999969</v>
      </c>
      <c r="AM4271">
        <v>-44.878115052779357</v>
      </c>
      <c r="AN4271">
        <v>-20.128308349999969</v>
      </c>
      <c r="AO4271">
        <v>-44.878115052779357</v>
      </c>
      <c r="AP4271">
        <v>-20.128316000000002</v>
      </c>
      <c r="AQ4271">
        <v>-44.878137000000002</v>
      </c>
      <c r="AR4271">
        <v>2.4469186172207671</v>
      </c>
      <c r="AS4271" t="s">
        <v>65</v>
      </c>
      <c r="AT4271">
        <v>1</v>
      </c>
      <c r="AU4271" t="s">
        <v>1052</v>
      </c>
      <c r="AV4271" t="s">
        <v>1053</v>
      </c>
      <c r="AW4271" t="s">
        <v>60</v>
      </c>
      <c r="AX4271" t="s">
        <v>68</v>
      </c>
      <c r="AY4271" t="s">
        <v>69</v>
      </c>
      <c r="AZ4271" t="b">
        <v>1</v>
      </c>
    </row>
    <row r="4272" spans="1:52" x14ac:dyDescent="0.3">
      <c r="A4272" t="s">
        <v>52</v>
      </c>
      <c r="B4272" t="s">
        <v>53</v>
      </c>
      <c r="C4272" t="s">
        <v>54</v>
      </c>
      <c r="D4272" t="s">
        <v>55</v>
      </c>
      <c r="E4272" t="s">
        <v>2222</v>
      </c>
      <c r="F4272" t="s">
        <v>190</v>
      </c>
      <c r="G4272" t="s">
        <v>1054</v>
      </c>
      <c r="H4272" t="s">
        <v>1055</v>
      </c>
      <c r="I4272" t="s">
        <v>1055</v>
      </c>
      <c r="J4272" t="s">
        <v>60</v>
      </c>
      <c r="K4272" t="s">
        <v>708</v>
      </c>
      <c r="L4272" t="s">
        <v>62</v>
      </c>
      <c r="M4272" t="s">
        <v>708</v>
      </c>
      <c r="N4272" t="s">
        <v>1056</v>
      </c>
      <c r="O4272" t="s">
        <v>315</v>
      </c>
      <c r="P4272">
        <v>-20.130849000000001</v>
      </c>
      <c r="Q4272">
        <v>-44.870922999999998</v>
      </c>
      <c r="R4272" s="2" t="str">
        <f>HYPERLINK("https://www.google.com/maps?q=-20.1308490,-44.8709230","Abrir no Google Maps")</f>
        <v>Abrir no Google Maps</v>
      </c>
      <c r="S4272">
        <v>3</v>
      </c>
      <c r="T4272">
        <v>288.83865075380498</v>
      </c>
      <c r="U4272">
        <v>3</v>
      </c>
      <c r="V4272">
        <v>0.34898133881184729</v>
      </c>
      <c r="W4272">
        <v>0.85</v>
      </c>
      <c r="X4272">
        <v>0.29663413799007021</v>
      </c>
      <c r="Y4272">
        <v>387</v>
      </c>
      <c r="Z4272">
        <v>347.59283577270531</v>
      </c>
      <c r="AA4272">
        <v>198</v>
      </c>
      <c r="AB4272">
        <v>332</v>
      </c>
      <c r="AC4272">
        <v>536</v>
      </c>
      <c r="AD4272">
        <v>29.32</v>
      </c>
      <c r="AE4272">
        <v>542</v>
      </c>
      <c r="AF4272">
        <v>27</v>
      </c>
      <c r="AG4272">
        <v>173</v>
      </c>
      <c r="AH4272">
        <v>129</v>
      </c>
      <c r="AI4272">
        <v>4.9800000000000004</v>
      </c>
      <c r="AJ4272">
        <v>31.92</v>
      </c>
      <c r="AK4272">
        <v>23.8</v>
      </c>
      <c r="AL4272">
        <v>-20.130950899999959</v>
      </c>
      <c r="AM4272">
        <v>-44.87096892838121</v>
      </c>
      <c r="AN4272">
        <v>-20.130950899999959</v>
      </c>
      <c r="AO4272">
        <v>-44.87096892838121</v>
      </c>
      <c r="AP4272">
        <v>-20.130849000000001</v>
      </c>
      <c r="AQ4272">
        <v>-44.870922999999998</v>
      </c>
      <c r="AR4272">
        <v>12.31742795843153</v>
      </c>
      <c r="AS4272" t="s">
        <v>65</v>
      </c>
      <c r="AT4272">
        <v>1</v>
      </c>
      <c r="AU4272" t="s">
        <v>1057</v>
      </c>
      <c r="AV4272" t="s">
        <v>1058</v>
      </c>
      <c r="AW4272" t="s">
        <v>60</v>
      </c>
      <c r="AX4272" t="s">
        <v>68</v>
      </c>
      <c r="AY4272" t="s">
        <v>69</v>
      </c>
      <c r="AZ4272" t="b">
        <v>1</v>
      </c>
    </row>
    <row r="4273" spans="1:52" x14ac:dyDescent="0.3">
      <c r="A4273" t="s">
        <v>52</v>
      </c>
      <c r="B4273" t="s">
        <v>53</v>
      </c>
      <c r="C4273" t="s">
        <v>54</v>
      </c>
      <c r="D4273" t="s">
        <v>55</v>
      </c>
      <c r="E4273" t="s">
        <v>2222</v>
      </c>
      <c r="F4273" t="s">
        <v>190</v>
      </c>
      <c r="G4273" t="s">
        <v>734</v>
      </c>
      <c r="H4273" t="s">
        <v>1059</v>
      </c>
      <c r="I4273" t="s">
        <v>1059</v>
      </c>
      <c r="J4273" t="s">
        <v>60</v>
      </c>
      <c r="K4273" t="s">
        <v>736</v>
      </c>
      <c r="L4273" t="s">
        <v>62</v>
      </c>
      <c r="M4273" t="s">
        <v>736</v>
      </c>
      <c r="N4273" t="s">
        <v>1060</v>
      </c>
      <c r="O4273" t="s">
        <v>1061</v>
      </c>
      <c r="P4273">
        <v>-20.104700000000001</v>
      </c>
      <c r="Q4273">
        <v>-44.972988000000001</v>
      </c>
      <c r="R4273" s="2" t="str">
        <f>HYPERLINK("https://www.google.com/maps?q=-20.1047000,-44.9729880","Abrir no Google Maps")</f>
        <v>Abrir no Google Maps</v>
      </c>
      <c r="S4273">
        <v>3</v>
      </c>
      <c r="T4273">
        <v>0</v>
      </c>
      <c r="U4273">
        <v>3</v>
      </c>
      <c r="V4273">
        <v>0.30032825085202203</v>
      </c>
      <c r="W4273">
        <v>1</v>
      </c>
      <c r="X4273">
        <v>0.30032825085202203</v>
      </c>
      <c r="Y4273">
        <v>385</v>
      </c>
      <c r="Z4273">
        <v>130.87424695814411</v>
      </c>
      <c r="AA4273">
        <v>198</v>
      </c>
      <c r="AB4273">
        <v>332</v>
      </c>
      <c r="AC4273">
        <v>536</v>
      </c>
      <c r="AD4273">
        <v>29.32</v>
      </c>
      <c r="AE4273">
        <v>542</v>
      </c>
      <c r="AF4273">
        <v>27</v>
      </c>
      <c r="AG4273">
        <v>173</v>
      </c>
      <c r="AH4273">
        <v>129</v>
      </c>
      <c r="AI4273">
        <v>4.9800000000000004</v>
      </c>
      <c r="AJ4273">
        <v>31.92</v>
      </c>
      <c r="AK4273">
        <v>23.8</v>
      </c>
      <c r="AL4273">
        <v>-20.104640449999948</v>
      </c>
      <c r="AM4273">
        <v>-44.972990283032523</v>
      </c>
      <c r="AN4273">
        <v>-20.104640449999948</v>
      </c>
      <c r="AO4273">
        <v>-44.972990283032509</v>
      </c>
      <c r="AP4273">
        <v>-20.104700000000001</v>
      </c>
      <c r="AQ4273">
        <v>-44.972988000000001</v>
      </c>
      <c r="AR4273">
        <v>6.6334007529191332</v>
      </c>
      <c r="AS4273" t="s">
        <v>65</v>
      </c>
      <c r="AT4273">
        <v>1</v>
      </c>
      <c r="AU4273" t="s">
        <v>1062</v>
      </c>
      <c r="AV4273" t="s">
        <v>1063</v>
      </c>
      <c r="AW4273" t="s">
        <v>60</v>
      </c>
      <c r="AX4273" t="s">
        <v>68</v>
      </c>
      <c r="AY4273" t="s">
        <v>69</v>
      </c>
      <c r="AZ4273" t="b">
        <v>1</v>
      </c>
    </row>
    <row r="4274" spans="1:52" x14ac:dyDescent="0.3">
      <c r="A4274" t="s">
        <v>52</v>
      </c>
      <c r="B4274" t="s">
        <v>53</v>
      </c>
      <c r="C4274" t="s">
        <v>54</v>
      </c>
      <c r="D4274" t="s">
        <v>55</v>
      </c>
      <c r="E4274" t="s">
        <v>2222</v>
      </c>
      <c r="F4274" t="s">
        <v>190</v>
      </c>
      <c r="G4274" t="s">
        <v>734</v>
      </c>
      <c r="H4274" t="s">
        <v>735</v>
      </c>
      <c r="I4274" t="s">
        <v>735</v>
      </c>
      <c r="J4274" t="s">
        <v>60</v>
      </c>
      <c r="K4274" t="s">
        <v>736</v>
      </c>
      <c r="L4274" t="s">
        <v>62</v>
      </c>
      <c r="M4274" t="s">
        <v>736</v>
      </c>
      <c r="N4274" t="s">
        <v>737</v>
      </c>
      <c r="O4274" t="s">
        <v>738</v>
      </c>
      <c r="P4274">
        <v>-20.113050000000001</v>
      </c>
      <c r="Q4274">
        <v>-44.977640999999998</v>
      </c>
      <c r="R4274" s="2" t="str">
        <f>HYPERLINK("https://www.google.com/maps?q=-20.1130500,-44.9776410","Abrir no Google Maps")</f>
        <v>Abrir no Google Maps</v>
      </c>
      <c r="S4274">
        <v>3</v>
      </c>
      <c r="T4274">
        <v>1057.751631532733</v>
      </c>
      <c r="U4274">
        <v>3</v>
      </c>
      <c r="V4274">
        <v>0.30885424867474931</v>
      </c>
      <c r="W4274">
        <v>1</v>
      </c>
      <c r="X4274">
        <v>0.30885424867474931</v>
      </c>
      <c r="Y4274">
        <v>385</v>
      </c>
      <c r="Z4274">
        <v>1001.029655866156</v>
      </c>
      <c r="AA4274">
        <v>198</v>
      </c>
      <c r="AB4274">
        <v>332</v>
      </c>
      <c r="AC4274">
        <v>536</v>
      </c>
      <c r="AD4274">
        <v>29.32</v>
      </c>
      <c r="AE4274">
        <v>542</v>
      </c>
      <c r="AF4274">
        <v>27</v>
      </c>
      <c r="AG4274">
        <v>173</v>
      </c>
      <c r="AH4274">
        <v>129</v>
      </c>
      <c r="AI4274">
        <v>4.9800000000000004</v>
      </c>
      <c r="AJ4274">
        <v>31.92</v>
      </c>
      <c r="AK4274">
        <v>23.8</v>
      </c>
      <c r="AL4274">
        <v>-20.112977499999939</v>
      </c>
      <c r="AM4274">
        <v>-44.977939579895221</v>
      </c>
      <c r="AN4274">
        <v>-20.112977499999939</v>
      </c>
      <c r="AO4274">
        <v>-44.977939579895221</v>
      </c>
      <c r="AP4274">
        <v>-20.113050000000001</v>
      </c>
      <c r="AQ4274">
        <v>-44.977640999999998</v>
      </c>
      <c r="AR4274">
        <v>32.23754556505741</v>
      </c>
      <c r="AS4274" t="s">
        <v>65</v>
      </c>
      <c r="AT4274">
        <v>1</v>
      </c>
      <c r="AU4274" t="s">
        <v>739</v>
      </c>
      <c r="AV4274" t="s">
        <v>740</v>
      </c>
      <c r="AW4274" t="s">
        <v>60</v>
      </c>
      <c r="AX4274" t="s">
        <v>68</v>
      </c>
      <c r="AY4274" t="s">
        <v>69</v>
      </c>
      <c r="AZ4274" t="b">
        <v>1</v>
      </c>
    </row>
    <row r="4275" spans="1:52" x14ac:dyDescent="0.3">
      <c r="A4275" t="s">
        <v>52</v>
      </c>
      <c r="B4275" t="s">
        <v>53</v>
      </c>
      <c r="C4275" t="s">
        <v>54</v>
      </c>
      <c r="D4275" t="s">
        <v>55</v>
      </c>
      <c r="E4275" t="s">
        <v>2222</v>
      </c>
      <c r="F4275" t="s">
        <v>190</v>
      </c>
      <c r="G4275" t="s">
        <v>734</v>
      </c>
      <c r="H4275" t="s">
        <v>1068</v>
      </c>
      <c r="I4275" t="s">
        <v>1068</v>
      </c>
      <c r="J4275" t="s">
        <v>60</v>
      </c>
      <c r="K4275" t="s">
        <v>736</v>
      </c>
      <c r="L4275" t="s">
        <v>62</v>
      </c>
      <c r="M4275" t="s">
        <v>736</v>
      </c>
      <c r="N4275" t="s">
        <v>1069</v>
      </c>
      <c r="O4275" t="s">
        <v>1070</v>
      </c>
      <c r="P4275">
        <v>-20.110289999999999</v>
      </c>
      <c r="Q4275">
        <v>-44.981574000000002</v>
      </c>
      <c r="R4275" s="2" t="str">
        <f>HYPERLINK("https://www.google.com/maps?q=-20.1102900,-44.9815740","Abrir no Google Maps")</f>
        <v>Abrir no Google Maps</v>
      </c>
      <c r="S4275">
        <v>3</v>
      </c>
      <c r="T4275">
        <v>1081.8012210194311</v>
      </c>
      <c r="U4275">
        <v>3</v>
      </c>
      <c r="V4275">
        <v>0.2981535426396017</v>
      </c>
      <c r="W4275">
        <v>1</v>
      </c>
      <c r="X4275">
        <v>0.2981535426396017</v>
      </c>
      <c r="Y4275">
        <v>385</v>
      </c>
      <c r="Z4275">
        <v>1009.915869278438</v>
      </c>
      <c r="AA4275">
        <v>198</v>
      </c>
      <c r="AB4275">
        <v>332</v>
      </c>
      <c r="AC4275">
        <v>536</v>
      </c>
      <c r="AD4275">
        <v>29.32</v>
      </c>
      <c r="AE4275">
        <v>542</v>
      </c>
      <c r="AF4275">
        <v>27</v>
      </c>
      <c r="AG4275">
        <v>173</v>
      </c>
      <c r="AH4275">
        <v>129</v>
      </c>
      <c r="AI4275">
        <v>4.9800000000000004</v>
      </c>
      <c r="AJ4275">
        <v>31.92</v>
      </c>
      <c r="AK4275">
        <v>23.8</v>
      </c>
      <c r="AL4275">
        <v>-20.110281699999941</v>
      </c>
      <c r="AM4275">
        <v>-44.98144213076452</v>
      </c>
      <c r="AN4275">
        <v>-20.110281699999941</v>
      </c>
      <c r="AO4275">
        <v>-44.98144213076452</v>
      </c>
      <c r="AP4275">
        <v>-20.110289999999999</v>
      </c>
      <c r="AQ4275">
        <v>-44.981574000000002</v>
      </c>
      <c r="AR4275">
        <v>13.815631287504781</v>
      </c>
      <c r="AS4275" t="s">
        <v>65</v>
      </c>
      <c r="AT4275">
        <v>1</v>
      </c>
      <c r="AU4275" t="s">
        <v>1071</v>
      </c>
      <c r="AV4275" t="s">
        <v>1072</v>
      </c>
      <c r="AW4275" t="s">
        <v>60</v>
      </c>
      <c r="AX4275" t="s">
        <v>68</v>
      </c>
      <c r="AY4275" t="s">
        <v>69</v>
      </c>
      <c r="AZ4275" t="b">
        <v>1</v>
      </c>
    </row>
    <row r="4276" spans="1:52" x14ac:dyDescent="0.3">
      <c r="A4276" t="s">
        <v>52</v>
      </c>
      <c r="B4276" t="s">
        <v>53</v>
      </c>
      <c r="C4276" t="s">
        <v>54</v>
      </c>
      <c r="D4276" t="s">
        <v>55</v>
      </c>
      <c r="E4276" t="s">
        <v>2222</v>
      </c>
      <c r="F4276" t="s">
        <v>190</v>
      </c>
      <c r="G4276" t="s">
        <v>1009</v>
      </c>
      <c r="H4276" t="s">
        <v>1073</v>
      </c>
      <c r="I4276" t="s">
        <v>1073</v>
      </c>
      <c r="J4276" t="s">
        <v>60</v>
      </c>
      <c r="K4276" t="s">
        <v>805</v>
      </c>
      <c r="L4276" t="s">
        <v>62</v>
      </c>
      <c r="M4276" t="s">
        <v>805</v>
      </c>
      <c r="N4276" t="s">
        <v>1011</v>
      </c>
      <c r="O4276" t="s">
        <v>1074</v>
      </c>
      <c r="P4276">
        <v>-20.137049000000001</v>
      </c>
      <c r="Q4276">
        <v>-44.885832000000001</v>
      </c>
      <c r="R4276" s="2" t="str">
        <f>HYPERLINK("https://www.google.com/maps?q=-20.1370490,-44.8858320","Abrir no Google Maps")</f>
        <v>Abrir no Google Maps</v>
      </c>
      <c r="S4276">
        <v>3</v>
      </c>
      <c r="T4276">
        <v>255.2207994789398</v>
      </c>
      <c r="U4276">
        <v>3</v>
      </c>
      <c r="V4276">
        <v>0.35953264842153732</v>
      </c>
      <c r="W4276">
        <v>0.85</v>
      </c>
      <c r="X4276">
        <v>0.30560275115830671</v>
      </c>
      <c r="Y4276">
        <v>350</v>
      </c>
      <c r="Z4276">
        <v>122.85075315998721</v>
      </c>
      <c r="AA4276">
        <v>198</v>
      </c>
      <c r="AB4276">
        <v>332</v>
      </c>
      <c r="AC4276">
        <v>536</v>
      </c>
      <c r="AD4276">
        <v>29.32</v>
      </c>
      <c r="AE4276">
        <v>542</v>
      </c>
      <c r="AF4276">
        <v>27</v>
      </c>
      <c r="AG4276">
        <v>173</v>
      </c>
      <c r="AH4276">
        <v>129</v>
      </c>
      <c r="AI4276">
        <v>4.9800000000000004</v>
      </c>
      <c r="AJ4276">
        <v>31.92</v>
      </c>
      <c r="AK4276">
        <v>23.8</v>
      </c>
      <c r="AL4276">
        <v>-20.136876799999978</v>
      </c>
      <c r="AM4276">
        <v>-44.885908665033703</v>
      </c>
      <c r="AN4276">
        <v>-20.136876799999989</v>
      </c>
      <c r="AO4276">
        <v>-44.885908665033703</v>
      </c>
      <c r="AP4276">
        <v>-20.137049000000001</v>
      </c>
      <c r="AQ4276">
        <v>-44.885832000000001</v>
      </c>
      <c r="AR4276">
        <v>20.776552041735069</v>
      </c>
      <c r="AS4276" t="s">
        <v>65</v>
      </c>
      <c r="AT4276">
        <v>1</v>
      </c>
      <c r="AU4276" t="s">
        <v>1075</v>
      </c>
      <c r="AV4276" t="s">
        <v>1076</v>
      </c>
      <c r="AW4276" t="s">
        <v>60</v>
      </c>
      <c r="AX4276" t="s">
        <v>68</v>
      </c>
      <c r="AY4276" t="s">
        <v>69</v>
      </c>
      <c r="AZ4276" t="b">
        <v>1</v>
      </c>
    </row>
    <row r="4277" spans="1:52" x14ac:dyDescent="0.3">
      <c r="A4277" t="s">
        <v>52</v>
      </c>
      <c r="B4277" t="s">
        <v>53</v>
      </c>
      <c r="C4277" t="s">
        <v>54</v>
      </c>
      <c r="D4277" t="s">
        <v>55</v>
      </c>
      <c r="E4277" t="s">
        <v>2222</v>
      </c>
      <c r="F4277" t="s">
        <v>190</v>
      </c>
      <c r="G4277" t="s">
        <v>759</v>
      </c>
      <c r="H4277" t="s">
        <v>760</v>
      </c>
      <c r="I4277" t="s">
        <v>760</v>
      </c>
      <c r="J4277" t="s">
        <v>60</v>
      </c>
      <c r="K4277" t="s">
        <v>761</v>
      </c>
      <c r="L4277" t="s">
        <v>62</v>
      </c>
      <c r="M4277" t="s">
        <v>761</v>
      </c>
      <c r="N4277" t="s">
        <v>762</v>
      </c>
      <c r="O4277" t="s">
        <v>763</v>
      </c>
      <c r="P4277">
        <v>-20.118755</v>
      </c>
      <c r="Q4277">
        <v>-44.850627000000003</v>
      </c>
      <c r="R4277" s="2" t="str">
        <f>HYPERLINK("https://www.google.com/maps?q=-20.1187550,-44.8506270","Abrir no Google Maps")</f>
        <v>Abrir no Google Maps</v>
      </c>
      <c r="S4277">
        <v>3</v>
      </c>
      <c r="T4277">
        <v>848.81670834514034</v>
      </c>
      <c r="U4277">
        <v>3</v>
      </c>
      <c r="V4277">
        <v>0.31104494382022468</v>
      </c>
      <c r="W4277">
        <v>1</v>
      </c>
      <c r="X4277">
        <v>0.31104494382022468</v>
      </c>
      <c r="Y4277">
        <v>350</v>
      </c>
      <c r="Z4277">
        <v>443.51354125420028</v>
      </c>
      <c r="AA4277">
        <v>198</v>
      </c>
      <c r="AB4277">
        <v>332</v>
      </c>
      <c r="AC4277">
        <v>536</v>
      </c>
      <c r="AD4277">
        <v>29.32</v>
      </c>
      <c r="AE4277">
        <v>542</v>
      </c>
      <c r="AF4277">
        <v>27</v>
      </c>
      <c r="AG4277">
        <v>173</v>
      </c>
      <c r="AH4277">
        <v>129</v>
      </c>
      <c r="AI4277">
        <v>4.9800000000000004</v>
      </c>
      <c r="AJ4277">
        <v>31.92</v>
      </c>
      <c r="AK4277">
        <v>23.8</v>
      </c>
      <c r="AL4277">
        <v>-20.11882464999994</v>
      </c>
      <c r="AM4277">
        <v>-44.850497004056017</v>
      </c>
      <c r="AN4277">
        <v>-20.11882464999994</v>
      </c>
      <c r="AO4277">
        <v>-44.850497004056017</v>
      </c>
      <c r="AP4277">
        <v>-20.118755</v>
      </c>
      <c r="AQ4277">
        <v>-44.850627000000003</v>
      </c>
      <c r="AR4277">
        <v>15.6445928866994</v>
      </c>
      <c r="AS4277" t="s">
        <v>65</v>
      </c>
      <c r="AT4277">
        <v>1</v>
      </c>
      <c r="AU4277" t="s">
        <v>764</v>
      </c>
      <c r="AV4277" t="s">
        <v>765</v>
      </c>
      <c r="AW4277" t="s">
        <v>60</v>
      </c>
      <c r="AX4277" t="s">
        <v>68</v>
      </c>
      <c r="AY4277" t="s">
        <v>69</v>
      </c>
      <c r="AZ4277" t="b">
        <v>1</v>
      </c>
    </row>
    <row r="4278" spans="1:52" x14ac:dyDescent="0.3">
      <c r="A4278" t="s">
        <v>52</v>
      </c>
      <c r="B4278" t="s">
        <v>53</v>
      </c>
      <c r="C4278" t="s">
        <v>54</v>
      </c>
      <c r="D4278" t="s">
        <v>55</v>
      </c>
      <c r="E4278" t="s">
        <v>2222</v>
      </c>
      <c r="F4278" t="s">
        <v>190</v>
      </c>
      <c r="G4278" t="s">
        <v>1099</v>
      </c>
      <c r="H4278" t="s">
        <v>1100</v>
      </c>
      <c r="I4278" t="s">
        <v>1100</v>
      </c>
      <c r="J4278" t="s">
        <v>60</v>
      </c>
      <c r="K4278" t="s">
        <v>781</v>
      </c>
      <c r="L4278" t="s">
        <v>62</v>
      </c>
      <c r="M4278" t="s">
        <v>781</v>
      </c>
      <c r="N4278" t="s">
        <v>1101</v>
      </c>
      <c r="O4278" t="s">
        <v>235</v>
      </c>
      <c r="P4278">
        <v>-20.136811999999999</v>
      </c>
      <c r="Q4278">
        <v>-44.872388000000001</v>
      </c>
      <c r="R4278" s="2" t="str">
        <f>HYPERLINK("https://www.google.com/maps?q=-20.1368120,-44.8723880","Abrir no Google Maps")</f>
        <v>Abrir no Google Maps</v>
      </c>
      <c r="S4278">
        <v>3</v>
      </c>
      <c r="T4278">
        <v>0</v>
      </c>
      <c r="U4278">
        <v>3</v>
      </c>
      <c r="V4278">
        <v>0.31385658669233951</v>
      </c>
      <c r="W4278">
        <v>1</v>
      </c>
      <c r="X4278">
        <v>0.31385658669233951</v>
      </c>
      <c r="Y4278">
        <v>332</v>
      </c>
      <c r="Z4278">
        <v>121.0319884418894</v>
      </c>
      <c r="AA4278">
        <v>198</v>
      </c>
      <c r="AB4278">
        <v>332</v>
      </c>
      <c r="AC4278">
        <v>536</v>
      </c>
      <c r="AD4278">
        <v>29.32</v>
      </c>
      <c r="AE4278">
        <v>542</v>
      </c>
      <c r="AF4278">
        <v>27</v>
      </c>
      <c r="AG4278">
        <v>173</v>
      </c>
      <c r="AH4278">
        <v>129</v>
      </c>
      <c r="AI4278">
        <v>4.9800000000000004</v>
      </c>
      <c r="AJ4278">
        <v>31.92</v>
      </c>
      <c r="AK4278">
        <v>23.8</v>
      </c>
      <c r="AL4278">
        <v>-20.136943099999939</v>
      </c>
      <c r="AM4278">
        <v>-44.872411407897907</v>
      </c>
      <c r="AN4278">
        <v>-20.136943099999939</v>
      </c>
      <c r="AO4278">
        <v>-44.872411407897907</v>
      </c>
      <c r="AP4278">
        <v>-20.136811999999999</v>
      </c>
      <c r="AQ4278">
        <v>-44.872388000000001</v>
      </c>
      <c r="AR4278">
        <v>14.79769012694347</v>
      </c>
      <c r="AS4278" t="s">
        <v>65</v>
      </c>
      <c r="AT4278">
        <v>1</v>
      </c>
      <c r="AU4278" t="s">
        <v>1102</v>
      </c>
      <c r="AV4278" t="s">
        <v>1103</v>
      </c>
      <c r="AW4278" t="s">
        <v>60</v>
      </c>
      <c r="AX4278" t="s">
        <v>68</v>
      </c>
      <c r="AY4278" t="s">
        <v>69</v>
      </c>
      <c r="AZ4278" t="b">
        <v>1</v>
      </c>
    </row>
    <row r="4279" spans="1:52" x14ac:dyDescent="0.3">
      <c r="A4279" t="s">
        <v>52</v>
      </c>
      <c r="B4279" t="s">
        <v>53</v>
      </c>
      <c r="C4279" t="s">
        <v>54</v>
      </c>
      <c r="D4279" t="s">
        <v>55</v>
      </c>
      <c r="E4279" t="s">
        <v>2222</v>
      </c>
      <c r="F4279" t="s">
        <v>190</v>
      </c>
      <c r="G4279" t="s">
        <v>779</v>
      </c>
      <c r="H4279" t="s">
        <v>780</v>
      </c>
      <c r="I4279" t="s">
        <v>780</v>
      </c>
      <c r="J4279" t="s">
        <v>60</v>
      </c>
      <c r="K4279" t="s">
        <v>781</v>
      </c>
      <c r="L4279" t="s">
        <v>62</v>
      </c>
      <c r="M4279" t="s">
        <v>781</v>
      </c>
      <c r="N4279" t="s">
        <v>782</v>
      </c>
      <c r="O4279" t="s">
        <v>783</v>
      </c>
      <c r="P4279">
        <v>-20.137938999999999</v>
      </c>
      <c r="Q4279">
        <v>-44.865873000000001</v>
      </c>
      <c r="R4279" s="2" t="str">
        <f>HYPERLINK("https://www.google.com/maps?q=-20.1379390,-44.8658730","Abrir no Google Maps")</f>
        <v>Abrir no Google Maps</v>
      </c>
      <c r="S4279">
        <v>3</v>
      </c>
      <c r="T4279">
        <v>663.24596349877265</v>
      </c>
      <c r="U4279">
        <v>3</v>
      </c>
      <c r="V4279">
        <v>0.29840493298680121</v>
      </c>
      <c r="W4279">
        <v>1</v>
      </c>
      <c r="X4279">
        <v>0.29840493298680121</v>
      </c>
      <c r="Y4279">
        <v>332</v>
      </c>
      <c r="Z4279">
        <v>724.72470227972997</v>
      </c>
      <c r="AA4279">
        <v>198</v>
      </c>
      <c r="AB4279">
        <v>332</v>
      </c>
      <c r="AC4279">
        <v>536</v>
      </c>
      <c r="AD4279">
        <v>29.32</v>
      </c>
      <c r="AE4279">
        <v>542</v>
      </c>
      <c r="AF4279">
        <v>27</v>
      </c>
      <c r="AG4279">
        <v>173</v>
      </c>
      <c r="AH4279">
        <v>129</v>
      </c>
      <c r="AI4279">
        <v>4.9800000000000004</v>
      </c>
      <c r="AJ4279">
        <v>31.92</v>
      </c>
      <c r="AK4279">
        <v>23.8</v>
      </c>
      <c r="AL4279">
        <v>-20.137865449999961</v>
      </c>
      <c r="AM4279">
        <v>-44.866141027847057</v>
      </c>
      <c r="AN4279">
        <v>-20.137865449999961</v>
      </c>
      <c r="AO4279">
        <v>-44.866141027847057</v>
      </c>
      <c r="AP4279">
        <v>-20.137938999999999</v>
      </c>
      <c r="AQ4279">
        <v>-44.865873000000001</v>
      </c>
      <c r="AR4279">
        <v>29.184856191831059</v>
      </c>
      <c r="AS4279" t="s">
        <v>65</v>
      </c>
      <c r="AT4279">
        <v>1</v>
      </c>
      <c r="AU4279" t="s">
        <v>784</v>
      </c>
      <c r="AV4279" t="s">
        <v>785</v>
      </c>
      <c r="AW4279" t="s">
        <v>60</v>
      </c>
      <c r="AX4279" t="s">
        <v>68</v>
      </c>
      <c r="AY4279" t="s">
        <v>69</v>
      </c>
      <c r="AZ4279" t="b">
        <v>1</v>
      </c>
    </row>
    <row r="4280" spans="1:52" x14ac:dyDescent="0.3">
      <c r="A4280" t="s">
        <v>52</v>
      </c>
      <c r="B4280" t="s">
        <v>53</v>
      </c>
      <c r="C4280" t="s">
        <v>54</v>
      </c>
      <c r="D4280" t="s">
        <v>55</v>
      </c>
      <c r="E4280" t="s">
        <v>2222</v>
      </c>
      <c r="F4280" t="s">
        <v>190</v>
      </c>
      <c r="G4280" t="s">
        <v>1109</v>
      </c>
      <c r="H4280" t="s">
        <v>1110</v>
      </c>
      <c r="I4280" t="s">
        <v>1110</v>
      </c>
      <c r="J4280" t="s">
        <v>60</v>
      </c>
      <c r="K4280" t="s">
        <v>768</v>
      </c>
      <c r="L4280" t="s">
        <v>62</v>
      </c>
      <c r="M4280" t="s">
        <v>768</v>
      </c>
      <c r="N4280" t="s">
        <v>1111</v>
      </c>
      <c r="O4280" t="s">
        <v>1112</v>
      </c>
      <c r="P4280">
        <v>-20.135508000000002</v>
      </c>
      <c r="Q4280">
        <v>-44.871786999999998</v>
      </c>
      <c r="R4280" s="2" t="str">
        <f>HYPERLINK("https://www.google.com/maps?q=-20.1355080,-44.8717870","Abrir no Google Maps")</f>
        <v>Abrir no Google Maps</v>
      </c>
      <c r="S4280">
        <v>3</v>
      </c>
      <c r="T4280">
        <v>167.5382405548801</v>
      </c>
      <c r="U4280">
        <v>3</v>
      </c>
      <c r="V4280">
        <v>0.30280759702725019</v>
      </c>
      <c r="W4280">
        <v>1</v>
      </c>
      <c r="X4280">
        <v>0.30280759702725019</v>
      </c>
      <c r="Y4280">
        <v>332</v>
      </c>
      <c r="Z4280">
        <v>179.76671916562941</v>
      </c>
      <c r="AA4280">
        <v>198</v>
      </c>
      <c r="AB4280">
        <v>332</v>
      </c>
      <c r="AC4280">
        <v>536</v>
      </c>
      <c r="AD4280">
        <v>29.32</v>
      </c>
      <c r="AE4280">
        <v>542</v>
      </c>
      <c r="AF4280">
        <v>27</v>
      </c>
      <c r="AG4280">
        <v>173</v>
      </c>
      <c r="AH4280">
        <v>129</v>
      </c>
      <c r="AI4280">
        <v>4.9800000000000004</v>
      </c>
      <c r="AJ4280">
        <v>31.92</v>
      </c>
      <c r="AK4280">
        <v>23.8</v>
      </c>
      <c r="AL4280">
        <v>-20.135532899999959</v>
      </c>
      <c r="AM4280">
        <v>-44.871828172735903</v>
      </c>
      <c r="AN4280">
        <v>-20.135532899999959</v>
      </c>
      <c r="AO4280">
        <v>-44.871828172735903</v>
      </c>
      <c r="AP4280">
        <v>-20.135508000000002</v>
      </c>
      <c r="AQ4280">
        <v>-44.871786999999998</v>
      </c>
      <c r="AR4280">
        <v>5.1186859635787858</v>
      </c>
      <c r="AS4280" t="s">
        <v>65</v>
      </c>
      <c r="AT4280">
        <v>1</v>
      </c>
      <c r="AU4280" t="s">
        <v>1113</v>
      </c>
      <c r="AV4280" t="s">
        <v>1114</v>
      </c>
      <c r="AW4280" t="s">
        <v>60</v>
      </c>
      <c r="AX4280" t="s">
        <v>68</v>
      </c>
      <c r="AY4280" t="s">
        <v>69</v>
      </c>
      <c r="AZ4280" t="b">
        <v>1</v>
      </c>
    </row>
    <row r="4281" spans="1:52" x14ac:dyDescent="0.3">
      <c r="A4281" t="s">
        <v>52</v>
      </c>
      <c r="B4281" t="s">
        <v>53</v>
      </c>
      <c r="C4281" t="s">
        <v>54</v>
      </c>
      <c r="D4281" t="s">
        <v>55</v>
      </c>
      <c r="E4281" t="s">
        <v>2222</v>
      </c>
      <c r="F4281" t="s">
        <v>190</v>
      </c>
      <c r="G4281" t="s">
        <v>1115</v>
      </c>
      <c r="H4281" t="s">
        <v>1116</v>
      </c>
      <c r="I4281" t="s">
        <v>1116</v>
      </c>
      <c r="J4281" t="s">
        <v>60</v>
      </c>
      <c r="K4281" t="s">
        <v>1117</v>
      </c>
      <c r="L4281" t="s">
        <v>62</v>
      </c>
      <c r="M4281" t="s">
        <v>1117</v>
      </c>
      <c r="N4281" t="s">
        <v>1118</v>
      </c>
      <c r="O4281" t="s">
        <v>74</v>
      </c>
      <c r="P4281">
        <v>-20.171123000000001</v>
      </c>
      <c r="Q4281">
        <v>-44.944929999999999</v>
      </c>
      <c r="R4281" s="2" t="str">
        <f>HYPERLINK("https://www.google.com/maps?q=-20.1711230,-44.9449300","Abrir no Google Maps")</f>
        <v>Abrir no Google Maps</v>
      </c>
      <c r="S4281">
        <v>3</v>
      </c>
      <c r="T4281">
        <v>2450.5355520785151</v>
      </c>
      <c r="U4281">
        <v>3</v>
      </c>
      <c r="V4281">
        <v>0.3562637362637362</v>
      </c>
      <c r="W4281">
        <v>0.85</v>
      </c>
      <c r="X4281">
        <v>0.30282417582417581</v>
      </c>
      <c r="Y4281">
        <v>331</v>
      </c>
      <c r="Z4281">
        <v>2306.317072968428</v>
      </c>
      <c r="AA4281">
        <v>198</v>
      </c>
      <c r="AB4281">
        <v>332</v>
      </c>
      <c r="AC4281">
        <v>536</v>
      </c>
      <c r="AD4281">
        <v>29.32</v>
      </c>
      <c r="AE4281">
        <v>542</v>
      </c>
      <c r="AF4281">
        <v>27</v>
      </c>
      <c r="AG4281">
        <v>173</v>
      </c>
      <c r="AH4281">
        <v>129</v>
      </c>
      <c r="AI4281">
        <v>4.9800000000000004</v>
      </c>
      <c r="AJ4281">
        <v>31.92</v>
      </c>
      <c r="AK4281">
        <v>23.8</v>
      </c>
      <c r="AL4281">
        <v>-20.170858699999972</v>
      </c>
      <c r="AM4281">
        <v>-44.945018498005382</v>
      </c>
      <c r="AN4281">
        <v>-20.170858699999972</v>
      </c>
      <c r="AO4281">
        <v>-44.945018498005382</v>
      </c>
      <c r="AP4281">
        <v>-20.171123000000001</v>
      </c>
      <c r="AQ4281">
        <v>-44.944929999999999</v>
      </c>
      <c r="AR4281">
        <v>30.840896798881371</v>
      </c>
      <c r="AS4281" t="s">
        <v>65</v>
      </c>
      <c r="AT4281">
        <v>1</v>
      </c>
      <c r="AU4281" t="s">
        <v>1119</v>
      </c>
      <c r="AV4281" t="s">
        <v>1120</v>
      </c>
      <c r="AW4281" t="s">
        <v>60</v>
      </c>
      <c r="AX4281" t="s">
        <v>68</v>
      </c>
      <c r="AY4281" t="s">
        <v>69</v>
      </c>
      <c r="AZ4281" t="b">
        <v>1</v>
      </c>
    </row>
    <row r="4282" spans="1:52" x14ac:dyDescent="0.3">
      <c r="A4282" t="s">
        <v>52</v>
      </c>
      <c r="B4282" t="s">
        <v>53</v>
      </c>
      <c r="C4282" t="s">
        <v>54</v>
      </c>
      <c r="D4282" t="s">
        <v>55</v>
      </c>
      <c r="E4282" t="s">
        <v>2222</v>
      </c>
      <c r="F4282" t="s">
        <v>190</v>
      </c>
      <c r="G4282" t="s">
        <v>1121</v>
      </c>
      <c r="H4282" t="s">
        <v>1122</v>
      </c>
      <c r="I4282" t="s">
        <v>1122</v>
      </c>
      <c r="J4282" t="s">
        <v>60</v>
      </c>
      <c r="K4282" t="s">
        <v>1123</v>
      </c>
      <c r="L4282" t="s">
        <v>62</v>
      </c>
      <c r="M4282" t="s">
        <v>1123</v>
      </c>
      <c r="N4282" t="s">
        <v>1124</v>
      </c>
      <c r="O4282" t="s">
        <v>74</v>
      </c>
      <c r="P4282">
        <v>-20.105318</v>
      </c>
      <c r="Q4282">
        <v>-44.879216</v>
      </c>
      <c r="R4282" s="2" t="str">
        <f>HYPERLINK("https://www.google.com/maps?q=-20.1053180,-44.8792160","Abrir no Google Maps")</f>
        <v>Abrir no Google Maps</v>
      </c>
      <c r="S4282">
        <v>3</v>
      </c>
      <c r="T4282">
        <v>318.57668516180911</v>
      </c>
      <c r="U4282">
        <v>3</v>
      </c>
      <c r="V4282">
        <v>0.30140731431054019</v>
      </c>
      <c r="W4282">
        <v>1</v>
      </c>
      <c r="X4282">
        <v>0.30140731431054019</v>
      </c>
      <c r="Y4282">
        <v>314</v>
      </c>
      <c r="Z4282">
        <v>207.50829098881519</v>
      </c>
      <c r="AA4282">
        <v>198</v>
      </c>
      <c r="AB4282">
        <v>332</v>
      </c>
      <c r="AC4282">
        <v>536</v>
      </c>
      <c r="AD4282">
        <v>29.32</v>
      </c>
      <c r="AE4282">
        <v>542</v>
      </c>
      <c r="AF4282">
        <v>27</v>
      </c>
      <c r="AG4282">
        <v>173</v>
      </c>
      <c r="AH4282">
        <v>129</v>
      </c>
      <c r="AI4282">
        <v>4.9800000000000004</v>
      </c>
      <c r="AJ4282">
        <v>31.92</v>
      </c>
      <c r="AK4282">
        <v>23.8</v>
      </c>
      <c r="AL4282">
        <v>-20.105361049999939</v>
      </c>
      <c r="AM4282">
        <v>-44.87924613740698</v>
      </c>
      <c r="AN4282">
        <v>-20.105361049999939</v>
      </c>
      <c r="AO4282">
        <v>-44.87924613740698</v>
      </c>
      <c r="AP4282">
        <v>-20.105318</v>
      </c>
      <c r="AQ4282">
        <v>-44.879216</v>
      </c>
      <c r="AR4282">
        <v>5.7351338374851242</v>
      </c>
      <c r="AS4282" t="s">
        <v>65</v>
      </c>
      <c r="AT4282">
        <v>1</v>
      </c>
      <c r="AU4282" t="s">
        <v>1125</v>
      </c>
      <c r="AV4282" t="s">
        <v>1126</v>
      </c>
      <c r="AW4282" t="s">
        <v>60</v>
      </c>
      <c r="AX4282" t="s">
        <v>68</v>
      </c>
      <c r="AY4282" t="s">
        <v>69</v>
      </c>
      <c r="AZ4282" t="b">
        <v>1</v>
      </c>
    </row>
    <row r="4283" spans="1:52" x14ac:dyDescent="0.3">
      <c r="A4283" t="s">
        <v>52</v>
      </c>
      <c r="B4283" t="s">
        <v>53</v>
      </c>
      <c r="C4283" t="s">
        <v>54</v>
      </c>
      <c r="D4283" t="s">
        <v>55</v>
      </c>
      <c r="E4283" t="s">
        <v>2222</v>
      </c>
      <c r="F4283" t="s">
        <v>190</v>
      </c>
      <c r="G4283" t="s">
        <v>1127</v>
      </c>
      <c r="H4283" t="s">
        <v>1128</v>
      </c>
      <c r="I4283" t="s">
        <v>1128</v>
      </c>
      <c r="J4283" t="s">
        <v>60</v>
      </c>
      <c r="K4283" t="s">
        <v>1129</v>
      </c>
      <c r="L4283" t="s">
        <v>62</v>
      </c>
      <c r="M4283" t="s">
        <v>1129</v>
      </c>
      <c r="N4283" t="s">
        <v>1130</v>
      </c>
      <c r="O4283" t="s">
        <v>357</v>
      </c>
      <c r="P4283">
        <v>-20.106638</v>
      </c>
      <c r="Q4283">
        <v>-44.883538000000001</v>
      </c>
      <c r="R4283" s="2" t="str">
        <f>HYPERLINK("https://www.google.com/maps?q=-20.1066380,-44.8835380","Abrir no Google Maps")</f>
        <v>Abrir no Google Maps</v>
      </c>
      <c r="S4283">
        <v>3</v>
      </c>
      <c r="T4283">
        <v>754.03514396665969</v>
      </c>
      <c r="U4283">
        <v>3</v>
      </c>
      <c r="V4283">
        <v>0.2979613185626549</v>
      </c>
      <c r="W4283">
        <v>1</v>
      </c>
      <c r="X4283">
        <v>0.2979613185626549</v>
      </c>
      <c r="Y4283">
        <v>314</v>
      </c>
      <c r="Z4283">
        <v>584.1161650721092</v>
      </c>
      <c r="AA4283">
        <v>198</v>
      </c>
      <c r="AB4283">
        <v>332</v>
      </c>
      <c r="AC4283">
        <v>536</v>
      </c>
      <c r="AD4283">
        <v>29.32</v>
      </c>
      <c r="AE4283">
        <v>542</v>
      </c>
      <c r="AF4283">
        <v>27</v>
      </c>
      <c r="AG4283">
        <v>173</v>
      </c>
      <c r="AH4283">
        <v>129</v>
      </c>
      <c r="AI4283">
        <v>4.9800000000000004</v>
      </c>
      <c r="AJ4283">
        <v>31.92</v>
      </c>
      <c r="AK4283">
        <v>23.8</v>
      </c>
      <c r="AL4283">
        <v>-20.106599599999949</v>
      </c>
      <c r="AM4283">
        <v>-44.883527947279568</v>
      </c>
      <c r="AN4283">
        <v>-20.106599599999949</v>
      </c>
      <c r="AO4283">
        <v>-44.883527947279568</v>
      </c>
      <c r="AP4283">
        <v>-20.106638</v>
      </c>
      <c r="AQ4283">
        <v>-44.883538000000001</v>
      </c>
      <c r="AR4283">
        <v>4.4019630384815924</v>
      </c>
      <c r="AS4283" t="s">
        <v>65</v>
      </c>
      <c r="AT4283">
        <v>1</v>
      </c>
      <c r="AU4283" t="s">
        <v>1131</v>
      </c>
      <c r="AV4283" t="s">
        <v>1132</v>
      </c>
      <c r="AW4283" t="s">
        <v>60</v>
      </c>
      <c r="AX4283" t="s">
        <v>68</v>
      </c>
      <c r="AY4283" t="s">
        <v>69</v>
      </c>
      <c r="AZ4283" t="b">
        <v>1</v>
      </c>
    </row>
    <row r="4284" spans="1:52" x14ac:dyDescent="0.3">
      <c r="A4284" t="s">
        <v>52</v>
      </c>
      <c r="B4284" t="s">
        <v>53</v>
      </c>
      <c r="C4284" t="s">
        <v>54</v>
      </c>
      <c r="D4284" t="s">
        <v>55</v>
      </c>
      <c r="E4284" t="s">
        <v>2222</v>
      </c>
      <c r="F4284" t="s">
        <v>190</v>
      </c>
      <c r="G4284" t="s">
        <v>1133</v>
      </c>
      <c r="H4284" t="s">
        <v>1134</v>
      </c>
      <c r="I4284" t="s">
        <v>1134</v>
      </c>
      <c r="J4284" t="s">
        <v>60</v>
      </c>
      <c r="K4284" t="s">
        <v>1123</v>
      </c>
      <c r="L4284" t="s">
        <v>62</v>
      </c>
      <c r="M4284" t="s">
        <v>1123</v>
      </c>
      <c r="N4284" t="s">
        <v>1135</v>
      </c>
      <c r="O4284" t="s">
        <v>138</v>
      </c>
      <c r="P4284">
        <v>-20.106113000000001</v>
      </c>
      <c r="Q4284">
        <v>-44.876035999999999</v>
      </c>
      <c r="R4284" s="2" t="str">
        <f>HYPERLINK("https://www.google.com/maps?q=-20.1061130,-44.8760360","Abrir no Google Maps")</f>
        <v>Abrir no Google Maps</v>
      </c>
      <c r="S4284">
        <v>3</v>
      </c>
      <c r="T4284">
        <v>0</v>
      </c>
      <c r="U4284">
        <v>3</v>
      </c>
      <c r="V4284">
        <v>0.31180536545305221</v>
      </c>
      <c r="W4284">
        <v>1</v>
      </c>
      <c r="X4284">
        <v>0.31180536545305221</v>
      </c>
      <c r="Y4284">
        <v>314</v>
      </c>
      <c r="Z4284">
        <v>98.504848991092999</v>
      </c>
      <c r="AA4284">
        <v>198</v>
      </c>
      <c r="AB4284">
        <v>332</v>
      </c>
      <c r="AC4284">
        <v>536</v>
      </c>
      <c r="AD4284">
        <v>29.32</v>
      </c>
      <c r="AE4284">
        <v>542</v>
      </c>
      <c r="AF4284">
        <v>27</v>
      </c>
      <c r="AG4284">
        <v>173</v>
      </c>
      <c r="AH4284">
        <v>129</v>
      </c>
      <c r="AI4284">
        <v>4.9800000000000004</v>
      </c>
      <c r="AJ4284">
        <v>31.92</v>
      </c>
      <c r="AK4284">
        <v>23.8</v>
      </c>
      <c r="AL4284">
        <v>-20.106190249999941</v>
      </c>
      <c r="AM4284">
        <v>-44.876327742253288</v>
      </c>
      <c r="AN4284">
        <v>-20.106190249999941</v>
      </c>
      <c r="AO4284">
        <v>-44.876327742253288</v>
      </c>
      <c r="AP4284">
        <v>-20.106113000000001</v>
      </c>
      <c r="AQ4284">
        <v>-44.876035999999999</v>
      </c>
      <c r="AR4284">
        <v>31.686742853465731</v>
      </c>
      <c r="AS4284" t="s">
        <v>65</v>
      </c>
      <c r="AT4284">
        <v>1</v>
      </c>
      <c r="AU4284" t="s">
        <v>1136</v>
      </c>
      <c r="AV4284" t="s">
        <v>1137</v>
      </c>
      <c r="AW4284" t="s">
        <v>60</v>
      </c>
      <c r="AX4284" t="s">
        <v>68</v>
      </c>
      <c r="AY4284" t="s">
        <v>69</v>
      </c>
      <c r="AZ4284" t="b">
        <v>1</v>
      </c>
    </row>
    <row r="4285" spans="1:52" x14ac:dyDescent="0.3">
      <c r="A4285" t="s">
        <v>52</v>
      </c>
      <c r="B4285" t="s">
        <v>53</v>
      </c>
      <c r="C4285" t="s">
        <v>54</v>
      </c>
      <c r="D4285" t="s">
        <v>55</v>
      </c>
      <c r="E4285" t="s">
        <v>2222</v>
      </c>
      <c r="F4285" t="s">
        <v>190</v>
      </c>
      <c r="G4285" t="s">
        <v>1138</v>
      </c>
      <c r="H4285" t="s">
        <v>1139</v>
      </c>
      <c r="I4285" t="s">
        <v>1139</v>
      </c>
      <c r="J4285" t="s">
        <v>60</v>
      </c>
      <c r="K4285" t="s">
        <v>1140</v>
      </c>
      <c r="L4285" t="s">
        <v>62</v>
      </c>
      <c r="M4285" t="s">
        <v>1140</v>
      </c>
      <c r="N4285" t="s">
        <v>1141</v>
      </c>
      <c r="O4285" t="s">
        <v>293</v>
      </c>
      <c r="P4285">
        <v>-20.103041999999999</v>
      </c>
      <c r="Q4285">
        <v>-44.882694999999998</v>
      </c>
      <c r="R4285" s="2" t="str">
        <f>HYPERLINK("https://www.google.com/maps?q=-20.1030420,-44.8826950","Abrir no Google Maps")</f>
        <v>Abrir no Google Maps</v>
      </c>
      <c r="S4285">
        <v>3</v>
      </c>
      <c r="T4285">
        <v>764.07293048598467</v>
      </c>
      <c r="U4285">
        <v>3</v>
      </c>
      <c r="V4285">
        <v>0.29563702226196209</v>
      </c>
      <c r="W4285">
        <v>1</v>
      </c>
      <c r="X4285">
        <v>0.29563702226196209</v>
      </c>
      <c r="Y4285">
        <v>314</v>
      </c>
      <c r="Z4285">
        <v>696.03268335706969</v>
      </c>
      <c r="AA4285">
        <v>198</v>
      </c>
      <c r="AB4285">
        <v>332</v>
      </c>
      <c r="AC4285">
        <v>536</v>
      </c>
      <c r="AD4285">
        <v>29.32</v>
      </c>
      <c r="AE4285">
        <v>542</v>
      </c>
      <c r="AF4285">
        <v>27</v>
      </c>
      <c r="AG4285">
        <v>173</v>
      </c>
      <c r="AH4285">
        <v>129</v>
      </c>
      <c r="AI4285">
        <v>4.9800000000000004</v>
      </c>
      <c r="AJ4285">
        <v>31.92</v>
      </c>
      <c r="AK4285">
        <v>23.8</v>
      </c>
      <c r="AL4285">
        <v>-20.10298734999995</v>
      </c>
      <c r="AM4285">
        <v>-44.882802925792483</v>
      </c>
      <c r="AN4285">
        <v>-20.10298734999995</v>
      </c>
      <c r="AO4285">
        <v>-44.882802925792483</v>
      </c>
      <c r="AP4285">
        <v>-20.103041999999999</v>
      </c>
      <c r="AQ4285">
        <v>-44.882694999999998</v>
      </c>
      <c r="AR4285">
        <v>12.8180317775525</v>
      </c>
      <c r="AS4285" t="s">
        <v>65</v>
      </c>
      <c r="AT4285">
        <v>1</v>
      </c>
      <c r="AU4285" t="s">
        <v>1142</v>
      </c>
      <c r="AV4285" t="s">
        <v>1143</v>
      </c>
      <c r="AW4285" t="s">
        <v>60</v>
      </c>
      <c r="AX4285" t="s">
        <v>68</v>
      </c>
      <c r="AY4285" t="s">
        <v>69</v>
      </c>
      <c r="AZ4285" t="b">
        <v>1</v>
      </c>
    </row>
    <row r="4286" spans="1:52" x14ac:dyDescent="0.3">
      <c r="A4286" t="s">
        <v>52</v>
      </c>
      <c r="B4286" t="s">
        <v>53</v>
      </c>
      <c r="C4286" t="s">
        <v>54</v>
      </c>
      <c r="D4286" t="s">
        <v>55</v>
      </c>
      <c r="E4286" t="s">
        <v>2222</v>
      </c>
      <c r="F4286" t="s">
        <v>190</v>
      </c>
      <c r="G4286" t="s">
        <v>1133</v>
      </c>
      <c r="H4286" t="s">
        <v>1144</v>
      </c>
      <c r="I4286" t="s">
        <v>1144</v>
      </c>
      <c r="J4286" t="s">
        <v>60</v>
      </c>
      <c r="K4286" t="s">
        <v>1123</v>
      </c>
      <c r="L4286" t="s">
        <v>62</v>
      </c>
      <c r="M4286" t="s">
        <v>1123</v>
      </c>
      <c r="N4286" t="s">
        <v>1135</v>
      </c>
      <c r="O4286" t="s">
        <v>907</v>
      </c>
      <c r="P4286">
        <v>-20.100351</v>
      </c>
      <c r="Q4286">
        <v>-44.878037999999997</v>
      </c>
      <c r="R4286" s="2" t="str">
        <f>HYPERLINK("https://www.google.com/maps?q=-20.1003510,-44.8780380","Abrir no Google Maps")</f>
        <v>Abrir no Google Maps</v>
      </c>
      <c r="S4286">
        <v>3</v>
      </c>
      <c r="T4286">
        <v>665.56785712469116</v>
      </c>
      <c r="U4286">
        <v>3</v>
      </c>
      <c r="V4286">
        <v>0.30817968857654682</v>
      </c>
      <c r="W4286">
        <v>1</v>
      </c>
      <c r="X4286">
        <v>0.30817968857654682</v>
      </c>
      <c r="Y4286">
        <v>314</v>
      </c>
      <c r="Z4286">
        <v>584.8532299266725</v>
      </c>
      <c r="AA4286">
        <v>198</v>
      </c>
      <c r="AB4286">
        <v>332</v>
      </c>
      <c r="AC4286">
        <v>536</v>
      </c>
      <c r="AD4286">
        <v>29.32</v>
      </c>
      <c r="AE4286">
        <v>542</v>
      </c>
      <c r="AF4286">
        <v>27</v>
      </c>
      <c r="AG4286">
        <v>173</v>
      </c>
      <c r="AH4286">
        <v>129</v>
      </c>
      <c r="AI4286">
        <v>4.9800000000000004</v>
      </c>
      <c r="AJ4286">
        <v>31.92</v>
      </c>
      <c r="AK4286">
        <v>23.8</v>
      </c>
      <c r="AL4286">
        <v>-20.100420499999959</v>
      </c>
      <c r="AM4286">
        <v>-44.878125332575927</v>
      </c>
      <c r="AN4286">
        <v>-20.100420499999959</v>
      </c>
      <c r="AO4286">
        <v>-44.878125332575927</v>
      </c>
      <c r="AP4286">
        <v>-20.100351</v>
      </c>
      <c r="AQ4286">
        <v>-44.878037999999997</v>
      </c>
      <c r="AR4286">
        <v>11.966993892024719</v>
      </c>
      <c r="AS4286" t="s">
        <v>65</v>
      </c>
      <c r="AT4286">
        <v>1</v>
      </c>
      <c r="AU4286" t="s">
        <v>1145</v>
      </c>
      <c r="AV4286" t="s">
        <v>1146</v>
      </c>
      <c r="AW4286" t="s">
        <v>60</v>
      </c>
      <c r="AX4286" t="s">
        <v>68</v>
      </c>
      <c r="AY4286" t="s">
        <v>69</v>
      </c>
      <c r="AZ4286" t="b">
        <v>1</v>
      </c>
    </row>
    <row r="4287" spans="1:52" x14ac:dyDescent="0.3">
      <c r="A4287" t="s">
        <v>52</v>
      </c>
      <c r="B4287" t="s">
        <v>53</v>
      </c>
      <c r="C4287" t="s">
        <v>54</v>
      </c>
      <c r="D4287" t="s">
        <v>55</v>
      </c>
      <c r="E4287" t="s">
        <v>2222</v>
      </c>
      <c r="F4287" t="s">
        <v>190</v>
      </c>
      <c r="G4287" t="s">
        <v>2201</v>
      </c>
      <c r="H4287" t="s">
        <v>2202</v>
      </c>
      <c r="I4287" t="s">
        <v>2202</v>
      </c>
      <c r="J4287" t="s">
        <v>60</v>
      </c>
      <c r="K4287" t="s">
        <v>1123</v>
      </c>
      <c r="L4287" t="s">
        <v>62</v>
      </c>
      <c r="M4287" t="s">
        <v>1123</v>
      </c>
      <c r="N4287" t="s">
        <v>2203</v>
      </c>
      <c r="O4287" t="s">
        <v>125</v>
      </c>
      <c r="P4287">
        <v>-20.098407000000002</v>
      </c>
      <c r="Q4287">
        <v>-44.878131000000003</v>
      </c>
      <c r="R4287" s="2" t="str">
        <f>HYPERLINK("https://www.google.com/maps?q=-20.0984070,-44.8781310","Abrir no Google Maps")</f>
        <v>Abrir no Google Maps</v>
      </c>
      <c r="S4287">
        <v>3</v>
      </c>
      <c r="T4287">
        <v>859.51107665183554</v>
      </c>
      <c r="U4287">
        <v>3</v>
      </c>
      <c r="V4287">
        <v>0.36647081864473169</v>
      </c>
      <c r="W4287">
        <v>0.85</v>
      </c>
      <c r="X4287">
        <v>0.31150019584802191</v>
      </c>
      <c r="Y4287">
        <v>314</v>
      </c>
      <c r="Z4287">
        <v>773.95456912091106</v>
      </c>
      <c r="AA4287">
        <v>198</v>
      </c>
      <c r="AB4287">
        <v>332</v>
      </c>
      <c r="AC4287">
        <v>536</v>
      </c>
      <c r="AD4287">
        <v>29.32</v>
      </c>
      <c r="AE4287">
        <v>542</v>
      </c>
      <c r="AF4287">
        <v>27</v>
      </c>
      <c r="AG4287">
        <v>173</v>
      </c>
      <c r="AH4287">
        <v>129</v>
      </c>
      <c r="AI4287">
        <v>4.9800000000000004</v>
      </c>
      <c r="AJ4287">
        <v>31.92</v>
      </c>
      <c r="AK4287">
        <v>23.8</v>
      </c>
      <c r="AL4287">
        <v>-20.098590499999979</v>
      </c>
      <c r="AM4287">
        <v>-44.878024949589523</v>
      </c>
      <c r="AN4287">
        <v>-20.098590499999979</v>
      </c>
      <c r="AO4287">
        <v>-44.878024949589523</v>
      </c>
      <c r="AP4287">
        <v>-20.098407000000002</v>
      </c>
      <c r="AQ4287">
        <v>-44.878131000000003</v>
      </c>
      <c r="AR4287">
        <v>23.24186236676552</v>
      </c>
      <c r="AS4287" t="s">
        <v>65</v>
      </c>
      <c r="AT4287">
        <v>1</v>
      </c>
      <c r="AU4287" t="s">
        <v>2204</v>
      </c>
      <c r="AV4287" t="s">
        <v>1922</v>
      </c>
      <c r="AW4287" t="s">
        <v>60</v>
      </c>
      <c r="AX4287" t="s">
        <v>68</v>
      </c>
      <c r="AY4287" t="s">
        <v>69</v>
      </c>
      <c r="AZ4287" t="b">
        <v>1</v>
      </c>
    </row>
    <row r="4288" spans="1:52" x14ac:dyDescent="0.3">
      <c r="A4288" t="s">
        <v>52</v>
      </c>
      <c r="B4288" t="s">
        <v>53</v>
      </c>
      <c r="C4288" t="s">
        <v>54</v>
      </c>
      <c r="D4288" t="s">
        <v>55</v>
      </c>
      <c r="E4288" t="s">
        <v>2222</v>
      </c>
      <c r="F4288" t="s">
        <v>190</v>
      </c>
      <c r="G4288" t="s">
        <v>789</v>
      </c>
      <c r="H4288" t="s">
        <v>790</v>
      </c>
      <c r="I4288" t="s">
        <v>790</v>
      </c>
      <c r="J4288" t="s">
        <v>60</v>
      </c>
      <c r="K4288" t="s">
        <v>791</v>
      </c>
      <c r="L4288" t="s">
        <v>62</v>
      </c>
      <c r="M4288" t="s">
        <v>791</v>
      </c>
      <c r="N4288" t="s">
        <v>792</v>
      </c>
      <c r="O4288" t="s">
        <v>793</v>
      </c>
      <c r="P4288">
        <v>-20.114263000000001</v>
      </c>
      <c r="Q4288">
        <v>-44.910150000000002</v>
      </c>
      <c r="R4288" s="2" t="str">
        <f>HYPERLINK("https://www.google.com/maps?q=-20.1142630,-44.9101500","Abrir no Google Maps")</f>
        <v>Abrir no Google Maps</v>
      </c>
      <c r="S4288">
        <v>3</v>
      </c>
      <c r="T4288">
        <v>1039.6249825628629</v>
      </c>
      <c r="U4288">
        <v>3</v>
      </c>
      <c r="V4288">
        <v>0.30965945785550958</v>
      </c>
      <c r="W4288">
        <v>1</v>
      </c>
      <c r="X4288">
        <v>0.30965945785550958</v>
      </c>
      <c r="Y4288">
        <v>300</v>
      </c>
      <c r="Z4288">
        <v>1156.8405524690361</v>
      </c>
      <c r="AA4288">
        <v>198</v>
      </c>
      <c r="AB4288">
        <v>332</v>
      </c>
      <c r="AC4288">
        <v>536</v>
      </c>
      <c r="AD4288">
        <v>29.32</v>
      </c>
      <c r="AE4288">
        <v>542</v>
      </c>
      <c r="AF4288">
        <v>27</v>
      </c>
      <c r="AG4288">
        <v>173</v>
      </c>
      <c r="AH4288">
        <v>129</v>
      </c>
      <c r="AI4288">
        <v>4.9800000000000004</v>
      </c>
      <c r="AJ4288">
        <v>31.92</v>
      </c>
      <c r="AK4288">
        <v>23.8</v>
      </c>
      <c r="AL4288">
        <v>-20.113823899999939</v>
      </c>
      <c r="AM4288">
        <v>-44.910704705968108</v>
      </c>
      <c r="AN4288">
        <v>-20.113823899999939</v>
      </c>
      <c r="AO4288">
        <v>-44.910704705968108</v>
      </c>
      <c r="AP4288">
        <v>-20.114263000000001</v>
      </c>
      <c r="AQ4288">
        <v>-44.910150000000002</v>
      </c>
      <c r="AR4288">
        <v>75.838236800419978</v>
      </c>
      <c r="AS4288" t="s">
        <v>65</v>
      </c>
      <c r="AT4288">
        <v>1</v>
      </c>
      <c r="AU4288" t="s">
        <v>794</v>
      </c>
      <c r="AV4288" t="s">
        <v>795</v>
      </c>
      <c r="AW4288" t="s">
        <v>60</v>
      </c>
      <c r="AX4288" t="s">
        <v>68</v>
      </c>
      <c r="AY4288" t="s">
        <v>69</v>
      </c>
      <c r="AZ4288" t="b">
        <v>1</v>
      </c>
    </row>
    <row r="4289" spans="1:52" x14ac:dyDescent="0.3">
      <c r="A4289" t="s">
        <v>52</v>
      </c>
      <c r="B4289" t="s">
        <v>53</v>
      </c>
      <c r="C4289" t="s">
        <v>54</v>
      </c>
      <c r="D4289" t="s">
        <v>55</v>
      </c>
      <c r="E4289" t="s">
        <v>2222</v>
      </c>
      <c r="F4289" t="s">
        <v>190</v>
      </c>
      <c r="G4289" t="s">
        <v>1147</v>
      </c>
      <c r="H4289" t="s">
        <v>1148</v>
      </c>
      <c r="I4289" t="s">
        <v>1148</v>
      </c>
      <c r="J4289" t="s">
        <v>60</v>
      </c>
      <c r="K4289" t="s">
        <v>798</v>
      </c>
      <c r="L4289" t="s">
        <v>62</v>
      </c>
      <c r="M4289" t="s">
        <v>798</v>
      </c>
      <c r="N4289" t="s">
        <v>1149</v>
      </c>
      <c r="O4289" t="s">
        <v>836</v>
      </c>
      <c r="P4289">
        <v>-20.112448000000001</v>
      </c>
      <c r="Q4289">
        <v>-44.904887000000002</v>
      </c>
      <c r="R4289" s="2" t="str">
        <f>HYPERLINK("https://www.google.com/maps?q=-20.1124480,-44.9048870","Abrir no Google Maps")</f>
        <v>Abrir no Google Maps</v>
      </c>
      <c r="S4289">
        <v>3</v>
      </c>
      <c r="T4289">
        <v>404.16588765758058</v>
      </c>
      <c r="U4289">
        <v>3</v>
      </c>
      <c r="V4289">
        <v>0.30769401025309712</v>
      </c>
      <c r="W4289">
        <v>1</v>
      </c>
      <c r="X4289">
        <v>0.30769401025309712</v>
      </c>
      <c r="Y4289">
        <v>300</v>
      </c>
      <c r="Z4289">
        <v>435.21165957304731</v>
      </c>
      <c r="AA4289">
        <v>198</v>
      </c>
      <c r="AB4289">
        <v>332</v>
      </c>
      <c r="AC4289">
        <v>536</v>
      </c>
      <c r="AD4289">
        <v>29.32</v>
      </c>
      <c r="AE4289">
        <v>542</v>
      </c>
      <c r="AF4289">
        <v>27</v>
      </c>
      <c r="AG4289">
        <v>173</v>
      </c>
      <c r="AH4289">
        <v>129</v>
      </c>
      <c r="AI4289">
        <v>4.9800000000000004</v>
      </c>
      <c r="AJ4289">
        <v>31.92</v>
      </c>
      <c r="AK4289">
        <v>23.8</v>
      </c>
      <c r="AL4289">
        <v>-20.11243479999996</v>
      </c>
      <c r="AM4289">
        <v>-44.904803228053026</v>
      </c>
      <c r="AN4289">
        <v>-20.11243479999996</v>
      </c>
      <c r="AO4289">
        <v>-44.904803228053026</v>
      </c>
      <c r="AP4289">
        <v>-20.112448000000001</v>
      </c>
      <c r="AQ4289">
        <v>-44.904887000000002</v>
      </c>
      <c r="AR4289">
        <v>8.8792525353759544</v>
      </c>
      <c r="AS4289" t="s">
        <v>65</v>
      </c>
      <c r="AT4289">
        <v>1</v>
      </c>
      <c r="AU4289" t="s">
        <v>1150</v>
      </c>
      <c r="AV4289" t="s">
        <v>1151</v>
      </c>
      <c r="AW4289" t="s">
        <v>60</v>
      </c>
      <c r="AX4289" t="s">
        <v>68</v>
      </c>
      <c r="AY4289" t="s">
        <v>69</v>
      </c>
      <c r="AZ4289" t="b">
        <v>1</v>
      </c>
    </row>
    <row r="4290" spans="1:52" x14ac:dyDescent="0.3">
      <c r="A4290" t="s">
        <v>52</v>
      </c>
      <c r="B4290" t="s">
        <v>53</v>
      </c>
      <c r="C4290" t="s">
        <v>54</v>
      </c>
      <c r="D4290" t="s">
        <v>55</v>
      </c>
      <c r="E4290" t="s">
        <v>2222</v>
      </c>
      <c r="F4290" t="s">
        <v>190</v>
      </c>
      <c r="G4290" t="s">
        <v>1763</v>
      </c>
      <c r="H4290" t="s">
        <v>1764</v>
      </c>
      <c r="I4290" t="s">
        <v>1764</v>
      </c>
      <c r="J4290" t="s">
        <v>60</v>
      </c>
      <c r="K4290" t="s">
        <v>798</v>
      </c>
      <c r="L4290" t="s">
        <v>62</v>
      </c>
      <c r="M4290" t="s">
        <v>798</v>
      </c>
      <c r="N4290" t="s">
        <v>1765</v>
      </c>
      <c r="O4290" t="s">
        <v>1766</v>
      </c>
      <c r="P4290">
        <v>-20.111158</v>
      </c>
      <c r="Q4290">
        <v>-44.901231000000003</v>
      </c>
      <c r="R4290" s="2" t="str">
        <f>HYPERLINK("https://www.google.com/maps?q=-20.1111580,-44.9012310","Abrir no Google Maps")</f>
        <v>Abrir no Google Maps</v>
      </c>
      <c r="S4290">
        <v>3</v>
      </c>
      <c r="T4290">
        <v>0</v>
      </c>
      <c r="U4290">
        <v>3</v>
      </c>
      <c r="V4290">
        <v>0.29819314641744549</v>
      </c>
      <c r="W4290">
        <v>1</v>
      </c>
      <c r="X4290">
        <v>0.29819314641744549</v>
      </c>
      <c r="Y4290">
        <v>300</v>
      </c>
      <c r="Z4290">
        <v>159.5707781627477</v>
      </c>
      <c r="AA4290">
        <v>198</v>
      </c>
      <c r="AB4290">
        <v>332</v>
      </c>
      <c r="AC4290">
        <v>536</v>
      </c>
      <c r="AD4290">
        <v>29.32</v>
      </c>
      <c r="AE4290">
        <v>542</v>
      </c>
      <c r="AF4290">
        <v>27</v>
      </c>
      <c r="AG4290">
        <v>173</v>
      </c>
      <c r="AH4290">
        <v>129</v>
      </c>
      <c r="AI4290">
        <v>4.9800000000000004</v>
      </c>
      <c r="AJ4290">
        <v>31.92</v>
      </c>
      <c r="AK4290">
        <v>23.8</v>
      </c>
      <c r="AL4290">
        <v>-20.111381299999941</v>
      </c>
      <c r="AM4290">
        <v>-44.90110111260114</v>
      </c>
      <c r="AN4290">
        <v>-20.111381299999941</v>
      </c>
      <c r="AO4290">
        <v>-44.90110111260114</v>
      </c>
      <c r="AP4290">
        <v>-20.111158</v>
      </c>
      <c r="AQ4290">
        <v>-44.901231000000003</v>
      </c>
      <c r="AR4290">
        <v>28.32410367036935</v>
      </c>
      <c r="AS4290" t="s">
        <v>65</v>
      </c>
      <c r="AT4290">
        <v>1</v>
      </c>
      <c r="AU4290" t="s">
        <v>1767</v>
      </c>
      <c r="AV4290" t="s">
        <v>1768</v>
      </c>
      <c r="AW4290" t="s">
        <v>60</v>
      </c>
      <c r="AX4290" t="s">
        <v>68</v>
      </c>
      <c r="AY4290" t="s">
        <v>69</v>
      </c>
      <c r="AZ4290" t="b">
        <v>1</v>
      </c>
    </row>
    <row r="4291" spans="1:52" x14ac:dyDescent="0.3">
      <c r="A4291" t="s">
        <v>52</v>
      </c>
      <c r="B4291" t="s">
        <v>53</v>
      </c>
      <c r="C4291" t="s">
        <v>54</v>
      </c>
      <c r="D4291" t="s">
        <v>55</v>
      </c>
      <c r="E4291" t="s">
        <v>2222</v>
      </c>
      <c r="F4291" t="s">
        <v>190</v>
      </c>
      <c r="G4291" t="s">
        <v>1152</v>
      </c>
      <c r="H4291" t="s">
        <v>1153</v>
      </c>
      <c r="I4291" t="s">
        <v>1153</v>
      </c>
      <c r="J4291" t="s">
        <v>60</v>
      </c>
      <c r="K4291" t="s">
        <v>798</v>
      </c>
      <c r="L4291" t="s">
        <v>62</v>
      </c>
      <c r="M4291" t="s">
        <v>798</v>
      </c>
      <c r="N4291" t="s">
        <v>1154</v>
      </c>
      <c r="O4291" t="s">
        <v>293</v>
      </c>
      <c r="P4291">
        <v>-20.112477999999999</v>
      </c>
      <c r="Q4291">
        <v>-44.903066000000003</v>
      </c>
      <c r="R4291" s="2" t="str">
        <f>HYPERLINK("https://www.google.com/maps?q=-20.1124780,-44.9030660","Abrir no Google Maps")</f>
        <v>Abrir no Google Maps</v>
      </c>
      <c r="S4291">
        <v>3</v>
      </c>
      <c r="T4291">
        <v>246.8131690803576</v>
      </c>
      <c r="U4291">
        <v>3</v>
      </c>
      <c r="V4291">
        <v>0.31344302949396768</v>
      </c>
      <c r="W4291">
        <v>1</v>
      </c>
      <c r="X4291">
        <v>0.31344302949396768</v>
      </c>
      <c r="Y4291">
        <v>300</v>
      </c>
      <c r="Z4291">
        <v>335.63974056009812</v>
      </c>
      <c r="AA4291">
        <v>198</v>
      </c>
      <c r="AB4291">
        <v>332</v>
      </c>
      <c r="AC4291">
        <v>536</v>
      </c>
      <c r="AD4291">
        <v>29.32</v>
      </c>
      <c r="AE4291">
        <v>542</v>
      </c>
      <c r="AF4291">
        <v>27</v>
      </c>
      <c r="AG4291">
        <v>173</v>
      </c>
      <c r="AH4291">
        <v>129</v>
      </c>
      <c r="AI4291">
        <v>4.9800000000000004</v>
      </c>
      <c r="AJ4291">
        <v>31.92</v>
      </c>
      <c r="AK4291">
        <v>23.8</v>
      </c>
      <c r="AL4291">
        <v>-20.112499949999972</v>
      </c>
      <c r="AM4291">
        <v>-44.903143791889391</v>
      </c>
      <c r="AN4291">
        <v>-20.112499949999972</v>
      </c>
      <c r="AO4291">
        <v>-44.903143791889391</v>
      </c>
      <c r="AP4291">
        <v>-20.112477999999999</v>
      </c>
      <c r="AQ4291">
        <v>-44.903066000000003</v>
      </c>
      <c r="AR4291">
        <v>8.4908959019572912</v>
      </c>
      <c r="AS4291" t="s">
        <v>65</v>
      </c>
      <c r="AT4291">
        <v>1</v>
      </c>
      <c r="AU4291" t="s">
        <v>1155</v>
      </c>
      <c r="AV4291" t="s">
        <v>1156</v>
      </c>
      <c r="AW4291" t="s">
        <v>60</v>
      </c>
      <c r="AX4291" t="s">
        <v>68</v>
      </c>
      <c r="AY4291" t="s">
        <v>69</v>
      </c>
      <c r="AZ4291" t="b">
        <v>1</v>
      </c>
    </row>
    <row r="4292" spans="1:52" x14ac:dyDescent="0.3">
      <c r="A4292" t="s">
        <v>52</v>
      </c>
      <c r="B4292" t="s">
        <v>53</v>
      </c>
      <c r="C4292" t="s">
        <v>54</v>
      </c>
      <c r="D4292" t="s">
        <v>55</v>
      </c>
      <c r="E4292" t="s">
        <v>2222</v>
      </c>
      <c r="F4292" t="s">
        <v>190</v>
      </c>
      <c r="G4292" t="s">
        <v>1769</v>
      </c>
      <c r="H4292" t="s">
        <v>1770</v>
      </c>
      <c r="I4292" t="s">
        <v>1770</v>
      </c>
      <c r="J4292" t="s">
        <v>60</v>
      </c>
      <c r="K4292" t="s">
        <v>791</v>
      </c>
      <c r="L4292" t="s">
        <v>62</v>
      </c>
      <c r="M4292" t="s">
        <v>791</v>
      </c>
      <c r="N4292" t="s">
        <v>1771</v>
      </c>
      <c r="O4292" t="s">
        <v>494</v>
      </c>
      <c r="P4292">
        <v>-20.108464999999999</v>
      </c>
      <c r="Q4292">
        <v>-44.902169000000001</v>
      </c>
      <c r="R4292" s="2" t="str">
        <f>HYPERLINK("https://www.google.com/maps?q=-20.1084650,-44.9021690","Abrir no Google Maps")</f>
        <v>Abrir no Google Maps</v>
      </c>
      <c r="S4292">
        <v>3</v>
      </c>
      <c r="T4292">
        <v>332.55452480320798</v>
      </c>
      <c r="U4292">
        <v>3</v>
      </c>
      <c r="V4292">
        <v>0.2996391387482118</v>
      </c>
      <c r="W4292">
        <v>1</v>
      </c>
      <c r="X4292">
        <v>0.2996391387482118</v>
      </c>
      <c r="Y4292">
        <v>300</v>
      </c>
      <c r="Z4292">
        <v>139.01495543278119</v>
      </c>
      <c r="AA4292">
        <v>198</v>
      </c>
      <c r="AB4292">
        <v>332</v>
      </c>
      <c r="AC4292">
        <v>536</v>
      </c>
      <c r="AD4292">
        <v>29.32</v>
      </c>
      <c r="AE4292">
        <v>542</v>
      </c>
      <c r="AF4292">
        <v>27</v>
      </c>
      <c r="AG4292">
        <v>173</v>
      </c>
      <c r="AH4292">
        <v>129</v>
      </c>
      <c r="AI4292">
        <v>4.9800000000000004</v>
      </c>
      <c r="AJ4292">
        <v>31.92</v>
      </c>
      <c r="AK4292">
        <v>23.8</v>
      </c>
      <c r="AL4292">
        <v>-20.108420149999969</v>
      </c>
      <c r="AM4292">
        <v>-44.90164352007664</v>
      </c>
      <c r="AN4292">
        <v>-20.108420149999969</v>
      </c>
      <c r="AO4292">
        <v>-44.90164352007664</v>
      </c>
      <c r="AP4292">
        <v>-20.108464999999999</v>
      </c>
      <c r="AQ4292">
        <v>-44.902169000000001</v>
      </c>
      <c r="AR4292">
        <v>55.157130612493773</v>
      </c>
      <c r="AS4292" t="s">
        <v>65</v>
      </c>
      <c r="AT4292">
        <v>1</v>
      </c>
      <c r="AU4292" t="s">
        <v>1772</v>
      </c>
      <c r="AV4292" t="s">
        <v>1773</v>
      </c>
      <c r="AW4292" t="s">
        <v>60</v>
      </c>
      <c r="AX4292" t="s">
        <v>68</v>
      </c>
      <c r="AY4292" t="s">
        <v>69</v>
      </c>
      <c r="AZ4292" t="b">
        <v>1</v>
      </c>
    </row>
    <row r="4293" spans="1:52" x14ac:dyDescent="0.3">
      <c r="A4293" t="s">
        <v>52</v>
      </c>
      <c r="B4293" t="s">
        <v>53</v>
      </c>
      <c r="C4293" t="s">
        <v>54</v>
      </c>
      <c r="D4293" t="s">
        <v>55</v>
      </c>
      <c r="E4293" t="s">
        <v>2222</v>
      </c>
      <c r="F4293" t="s">
        <v>190</v>
      </c>
      <c r="G4293" t="s">
        <v>1163</v>
      </c>
      <c r="H4293" t="s">
        <v>1164</v>
      </c>
      <c r="I4293" t="s">
        <v>1164</v>
      </c>
      <c r="J4293" t="s">
        <v>60</v>
      </c>
      <c r="K4293" t="s">
        <v>1165</v>
      </c>
      <c r="L4293" t="s">
        <v>62</v>
      </c>
      <c r="M4293" t="s">
        <v>1165</v>
      </c>
      <c r="N4293" t="s">
        <v>1166</v>
      </c>
      <c r="O4293" t="s">
        <v>1167</v>
      </c>
      <c r="P4293">
        <v>-20.155543000000002</v>
      </c>
      <c r="Q4293">
        <v>-44.863444000000001</v>
      </c>
      <c r="R4293" s="2" t="str">
        <f>HYPERLINK("https://www.google.com/maps?q=-20.1555430,-44.8634440","Abrir no Google Maps")</f>
        <v>Abrir no Google Maps</v>
      </c>
      <c r="S4293">
        <v>3</v>
      </c>
      <c r="T4293">
        <v>314.02353400254742</v>
      </c>
      <c r="U4293">
        <v>3</v>
      </c>
      <c r="V4293">
        <v>0.31367521367521362</v>
      </c>
      <c r="W4293">
        <v>1</v>
      </c>
      <c r="X4293">
        <v>0.31367521367521362</v>
      </c>
      <c r="Y4293">
        <v>264</v>
      </c>
      <c r="Z4293">
        <v>282.65065866463459</v>
      </c>
      <c r="AA4293">
        <v>198</v>
      </c>
      <c r="AB4293">
        <v>332</v>
      </c>
      <c r="AC4293">
        <v>536</v>
      </c>
      <c r="AD4293">
        <v>29.32</v>
      </c>
      <c r="AE4293">
        <v>542</v>
      </c>
      <c r="AF4293">
        <v>27</v>
      </c>
      <c r="AG4293">
        <v>173</v>
      </c>
      <c r="AH4293">
        <v>129</v>
      </c>
      <c r="AI4293">
        <v>4.9800000000000004</v>
      </c>
      <c r="AJ4293">
        <v>31.92</v>
      </c>
      <c r="AK4293">
        <v>23.8</v>
      </c>
      <c r="AL4293">
        <v>-20.155436449999939</v>
      </c>
      <c r="AM4293">
        <v>-44.863557722691183</v>
      </c>
      <c r="AN4293">
        <v>-20.155436449999939</v>
      </c>
      <c r="AO4293">
        <v>-44.863557722691183</v>
      </c>
      <c r="AP4293">
        <v>-20.155543000000002</v>
      </c>
      <c r="AQ4293">
        <v>-44.863444000000001</v>
      </c>
      <c r="AR4293">
        <v>16.790610674079979</v>
      </c>
      <c r="AS4293" t="s">
        <v>65</v>
      </c>
      <c r="AT4293">
        <v>1</v>
      </c>
      <c r="AU4293" t="s">
        <v>1168</v>
      </c>
      <c r="AV4293" t="s">
        <v>1169</v>
      </c>
      <c r="AW4293" t="s">
        <v>60</v>
      </c>
      <c r="AX4293" t="s">
        <v>68</v>
      </c>
      <c r="AY4293" t="s">
        <v>69</v>
      </c>
      <c r="AZ4293" t="b">
        <v>1</v>
      </c>
    </row>
    <row r="4294" spans="1:52" x14ac:dyDescent="0.3">
      <c r="A4294" t="s">
        <v>52</v>
      </c>
      <c r="B4294" t="s">
        <v>53</v>
      </c>
      <c r="C4294" t="s">
        <v>54</v>
      </c>
      <c r="D4294" t="s">
        <v>55</v>
      </c>
      <c r="E4294" t="s">
        <v>2222</v>
      </c>
      <c r="F4294" t="s">
        <v>190</v>
      </c>
      <c r="G4294" t="s">
        <v>1785</v>
      </c>
      <c r="H4294" t="s">
        <v>1786</v>
      </c>
      <c r="I4294" t="s">
        <v>1786</v>
      </c>
      <c r="J4294" t="s">
        <v>60</v>
      </c>
      <c r="K4294" t="s">
        <v>323</v>
      </c>
      <c r="L4294" t="s">
        <v>62</v>
      </c>
      <c r="M4294" t="s">
        <v>323</v>
      </c>
      <c r="N4294" t="s">
        <v>1787</v>
      </c>
      <c r="O4294" t="s">
        <v>166</v>
      </c>
      <c r="P4294">
        <v>-20.150456999999999</v>
      </c>
      <c r="Q4294">
        <v>-44.859959000000003</v>
      </c>
      <c r="R4294" s="2" t="str">
        <f>HYPERLINK("https://www.google.com/maps?q=-20.1504570,-44.8599590","Abrir no Google Maps")</f>
        <v>Abrir no Google Maps</v>
      </c>
      <c r="S4294">
        <v>3</v>
      </c>
      <c r="T4294">
        <v>658.64381182775185</v>
      </c>
      <c r="U4294">
        <v>3</v>
      </c>
      <c r="V4294">
        <v>0.30212465153325369</v>
      </c>
      <c r="W4294">
        <v>1</v>
      </c>
      <c r="X4294">
        <v>0.30212465153325369</v>
      </c>
      <c r="Y4294">
        <v>264</v>
      </c>
      <c r="Z4294">
        <v>516.83560872131818</v>
      </c>
      <c r="AA4294">
        <v>198</v>
      </c>
      <c r="AB4294">
        <v>332</v>
      </c>
      <c r="AC4294">
        <v>536</v>
      </c>
      <c r="AD4294">
        <v>29.32</v>
      </c>
      <c r="AE4294">
        <v>542</v>
      </c>
      <c r="AF4294">
        <v>27</v>
      </c>
      <c r="AG4294">
        <v>173</v>
      </c>
      <c r="AH4294">
        <v>129</v>
      </c>
      <c r="AI4294">
        <v>4.9800000000000004</v>
      </c>
      <c r="AJ4294">
        <v>31.92</v>
      </c>
      <c r="AK4294">
        <v>23.8</v>
      </c>
      <c r="AL4294">
        <v>-20.150445899999969</v>
      </c>
      <c r="AM4294">
        <v>-44.860119388819953</v>
      </c>
      <c r="AN4294">
        <v>-20.150445899999969</v>
      </c>
      <c r="AO4294">
        <v>-44.860119388819953</v>
      </c>
      <c r="AP4294">
        <v>-20.150456999999999</v>
      </c>
      <c r="AQ4294">
        <v>-44.859959000000003</v>
      </c>
      <c r="AR4294">
        <v>16.807117810283469</v>
      </c>
      <c r="AS4294" t="s">
        <v>65</v>
      </c>
      <c r="AT4294">
        <v>1</v>
      </c>
      <c r="AU4294" t="s">
        <v>1788</v>
      </c>
      <c r="AV4294" t="s">
        <v>1789</v>
      </c>
      <c r="AW4294" t="s">
        <v>60</v>
      </c>
      <c r="AX4294" t="s">
        <v>68</v>
      </c>
      <c r="AY4294" t="s">
        <v>69</v>
      </c>
      <c r="AZ4294" t="b">
        <v>1</v>
      </c>
    </row>
    <row r="4295" spans="1:52" x14ac:dyDescent="0.3">
      <c r="A4295" t="s">
        <v>52</v>
      </c>
      <c r="B4295" t="s">
        <v>53</v>
      </c>
      <c r="C4295" t="s">
        <v>54</v>
      </c>
      <c r="D4295" t="s">
        <v>55</v>
      </c>
      <c r="E4295" t="s">
        <v>2222</v>
      </c>
      <c r="F4295" t="s">
        <v>190</v>
      </c>
      <c r="G4295" t="s">
        <v>1170</v>
      </c>
      <c r="H4295" t="s">
        <v>1171</v>
      </c>
      <c r="I4295" t="s">
        <v>1171</v>
      </c>
      <c r="J4295" t="s">
        <v>60</v>
      </c>
      <c r="K4295" t="s">
        <v>1165</v>
      </c>
      <c r="L4295" t="s">
        <v>62</v>
      </c>
      <c r="M4295" t="s">
        <v>1165</v>
      </c>
      <c r="N4295" t="s">
        <v>1172</v>
      </c>
      <c r="O4295" t="s">
        <v>1160</v>
      </c>
      <c r="P4295">
        <v>-20.158208999999999</v>
      </c>
      <c r="Q4295">
        <v>-44.865242000000002</v>
      </c>
      <c r="R4295" s="2" t="str">
        <f>HYPERLINK("https://www.google.com/maps?q=-20.1582090,-44.8652420","Abrir no Google Maps")</f>
        <v>Abrir no Google Maps</v>
      </c>
      <c r="S4295">
        <v>3</v>
      </c>
      <c r="T4295">
        <v>529.55269054560301</v>
      </c>
      <c r="U4295">
        <v>3</v>
      </c>
      <c r="V4295">
        <v>0.29929680403196429</v>
      </c>
      <c r="W4295">
        <v>1</v>
      </c>
      <c r="X4295">
        <v>0.29929680403196429</v>
      </c>
      <c r="Y4295">
        <v>264</v>
      </c>
      <c r="Z4295">
        <v>576.82525833351326</v>
      </c>
      <c r="AA4295">
        <v>198</v>
      </c>
      <c r="AB4295">
        <v>332</v>
      </c>
      <c r="AC4295">
        <v>536</v>
      </c>
      <c r="AD4295">
        <v>29.32</v>
      </c>
      <c r="AE4295">
        <v>542</v>
      </c>
      <c r="AF4295">
        <v>27</v>
      </c>
      <c r="AG4295">
        <v>173</v>
      </c>
      <c r="AH4295">
        <v>129</v>
      </c>
      <c r="AI4295">
        <v>4.9800000000000004</v>
      </c>
      <c r="AJ4295">
        <v>31.92</v>
      </c>
      <c r="AK4295">
        <v>23.8</v>
      </c>
      <c r="AL4295">
        <v>-20.15813384999996</v>
      </c>
      <c r="AM4295">
        <v>-44.865189279062598</v>
      </c>
      <c r="AN4295">
        <v>-20.15813384999996</v>
      </c>
      <c r="AO4295">
        <v>-44.865189279062598</v>
      </c>
      <c r="AP4295">
        <v>-20.158208999999999</v>
      </c>
      <c r="AQ4295">
        <v>-44.865242000000002</v>
      </c>
      <c r="AR4295">
        <v>10.01690313145691</v>
      </c>
      <c r="AS4295" t="s">
        <v>65</v>
      </c>
      <c r="AT4295">
        <v>1</v>
      </c>
      <c r="AU4295" t="s">
        <v>1173</v>
      </c>
      <c r="AV4295" t="s">
        <v>1174</v>
      </c>
      <c r="AW4295" t="s">
        <v>60</v>
      </c>
      <c r="AX4295" t="s">
        <v>68</v>
      </c>
      <c r="AY4295" t="s">
        <v>69</v>
      </c>
      <c r="AZ4295" t="b">
        <v>1</v>
      </c>
    </row>
    <row r="4296" spans="1:52" x14ac:dyDescent="0.3">
      <c r="A4296" t="s">
        <v>52</v>
      </c>
      <c r="B4296" t="s">
        <v>53</v>
      </c>
      <c r="C4296" t="s">
        <v>54</v>
      </c>
      <c r="D4296" t="s">
        <v>55</v>
      </c>
      <c r="E4296" t="s">
        <v>2222</v>
      </c>
      <c r="F4296" t="s">
        <v>190</v>
      </c>
      <c r="G4296" t="s">
        <v>1175</v>
      </c>
      <c r="H4296" t="s">
        <v>1176</v>
      </c>
      <c r="I4296" t="s">
        <v>1176</v>
      </c>
      <c r="J4296" t="s">
        <v>60</v>
      </c>
      <c r="K4296" t="s">
        <v>1177</v>
      </c>
      <c r="L4296" t="s">
        <v>62</v>
      </c>
      <c r="M4296" t="s">
        <v>1177</v>
      </c>
      <c r="N4296" t="s">
        <v>1178</v>
      </c>
      <c r="O4296" t="s">
        <v>1179</v>
      </c>
      <c r="P4296">
        <v>-20.153393000000001</v>
      </c>
      <c r="Q4296">
        <v>-44.865701999999999</v>
      </c>
      <c r="R4296" s="2" t="str">
        <f>HYPERLINK("https://www.google.com/maps?q=-20.1533930,-44.8657020","Abrir no Google Maps")</f>
        <v>Abrir no Google Maps</v>
      </c>
      <c r="S4296">
        <v>3</v>
      </c>
      <c r="T4296">
        <v>0</v>
      </c>
      <c r="U4296">
        <v>3</v>
      </c>
      <c r="V4296">
        <v>0.31205717694566809</v>
      </c>
      <c r="W4296">
        <v>1</v>
      </c>
      <c r="X4296">
        <v>0.31205717694566809</v>
      </c>
      <c r="Y4296">
        <v>264</v>
      </c>
      <c r="Z4296">
        <v>187.61117597536</v>
      </c>
      <c r="AA4296">
        <v>198</v>
      </c>
      <c r="AB4296">
        <v>332</v>
      </c>
      <c r="AC4296">
        <v>536</v>
      </c>
      <c r="AD4296">
        <v>29.32</v>
      </c>
      <c r="AE4296">
        <v>542</v>
      </c>
      <c r="AF4296">
        <v>27</v>
      </c>
      <c r="AG4296">
        <v>173</v>
      </c>
      <c r="AH4296">
        <v>129</v>
      </c>
      <c r="AI4296">
        <v>4.9800000000000004</v>
      </c>
      <c r="AJ4296">
        <v>31.92</v>
      </c>
      <c r="AK4296">
        <v>23.8</v>
      </c>
      <c r="AL4296">
        <v>-20.153365199999971</v>
      </c>
      <c r="AM4296">
        <v>-44.865611713780503</v>
      </c>
      <c r="AN4296">
        <v>-20.153365199999971</v>
      </c>
      <c r="AO4296">
        <v>-44.865611713780503</v>
      </c>
      <c r="AP4296">
        <v>-20.153393000000001</v>
      </c>
      <c r="AQ4296">
        <v>-44.865701999999999</v>
      </c>
      <c r="AR4296">
        <v>9.9298532940923003</v>
      </c>
      <c r="AS4296" t="s">
        <v>65</v>
      </c>
      <c r="AT4296">
        <v>1</v>
      </c>
      <c r="AU4296" t="s">
        <v>1180</v>
      </c>
      <c r="AV4296" t="s">
        <v>1181</v>
      </c>
      <c r="AW4296" t="s">
        <v>60</v>
      </c>
      <c r="AX4296" t="s">
        <v>68</v>
      </c>
      <c r="AY4296" t="s">
        <v>69</v>
      </c>
      <c r="AZ4296" t="b">
        <v>1</v>
      </c>
    </row>
    <row r="4297" spans="1:52" x14ac:dyDescent="0.3">
      <c r="A4297" t="s">
        <v>52</v>
      </c>
      <c r="B4297" t="s">
        <v>53</v>
      </c>
      <c r="C4297" t="s">
        <v>54</v>
      </c>
      <c r="D4297" t="s">
        <v>55</v>
      </c>
      <c r="E4297" t="s">
        <v>2222</v>
      </c>
      <c r="F4297" t="s">
        <v>190</v>
      </c>
      <c r="G4297" t="s">
        <v>1187</v>
      </c>
      <c r="H4297" t="s">
        <v>1188</v>
      </c>
      <c r="I4297" t="s">
        <v>1188</v>
      </c>
      <c r="J4297" t="s">
        <v>60</v>
      </c>
      <c r="K4297" t="s">
        <v>1177</v>
      </c>
      <c r="L4297" t="s">
        <v>62</v>
      </c>
      <c r="M4297" t="s">
        <v>1177</v>
      </c>
      <c r="N4297" t="s">
        <v>1189</v>
      </c>
      <c r="O4297" t="s">
        <v>1190</v>
      </c>
      <c r="P4297">
        <v>-20.151606999999998</v>
      </c>
      <c r="Q4297">
        <v>-44.870784999999998</v>
      </c>
      <c r="R4297" s="2" t="str">
        <f>HYPERLINK("https://www.google.com/maps?q=-20.1516070,-44.8707850","Abrir no Google Maps")</f>
        <v>Abrir no Google Maps</v>
      </c>
      <c r="S4297">
        <v>3</v>
      </c>
      <c r="T4297">
        <v>592.7601508996878</v>
      </c>
      <c r="U4297">
        <v>3</v>
      </c>
      <c r="V4297">
        <v>0.30525641302547929</v>
      </c>
      <c r="W4297">
        <v>1</v>
      </c>
      <c r="X4297">
        <v>0.30525641302547929</v>
      </c>
      <c r="Y4297">
        <v>198</v>
      </c>
      <c r="Z4297">
        <v>605.75141653963317</v>
      </c>
      <c r="AA4297">
        <v>198</v>
      </c>
      <c r="AB4297">
        <v>332</v>
      </c>
      <c r="AC4297">
        <v>536</v>
      </c>
      <c r="AD4297">
        <v>29.32</v>
      </c>
      <c r="AE4297">
        <v>542</v>
      </c>
      <c r="AF4297">
        <v>27</v>
      </c>
      <c r="AG4297">
        <v>173</v>
      </c>
      <c r="AH4297">
        <v>129</v>
      </c>
      <c r="AI4297">
        <v>4.9800000000000004</v>
      </c>
      <c r="AJ4297">
        <v>31.92</v>
      </c>
      <c r="AK4297">
        <v>23.8</v>
      </c>
      <c r="AL4297">
        <v>-20.151457849999961</v>
      </c>
      <c r="AM4297">
        <v>-44.870912038726253</v>
      </c>
      <c r="AN4297">
        <v>-20.151457849999961</v>
      </c>
      <c r="AO4297">
        <v>-44.870912038726253</v>
      </c>
      <c r="AP4297">
        <v>-20.151606999999998</v>
      </c>
      <c r="AQ4297">
        <v>-44.870784999999998</v>
      </c>
      <c r="AR4297">
        <v>21.258671186047941</v>
      </c>
      <c r="AS4297" t="s">
        <v>65</v>
      </c>
      <c r="AT4297">
        <v>1</v>
      </c>
      <c r="AU4297" t="s">
        <v>1191</v>
      </c>
      <c r="AV4297" t="s">
        <v>1192</v>
      </c>
      <c r="AW4297" t="s">
        <v>60</v>
      </c>
      <c r="AX4297" t="s">
        <v>68</v>
      </c>
      <c r="AY4297" t="s">
        <v>69</v>
      </c>
      <c r="AZ4297" t="b">
        <v>1</v>
      </c>
    </row>
    <row r="4298" spans="1:52" x14ac:dyDescent="0.3">
      <c r="A4298" t="s">
        <v>52</v>
      </c>
      <c r="B4298" t="s">
        <v>53</v>
      </c>
      <c r="C4298" t="s">
        <v>54</v>
      </c>
      <c r="D4298" t="s">
        <v>55</v>
      </c>
      <c r="E4298" t="s">
        <v>2222</v>
      </c>
      <c r="F4298" t="s">
        <v>190</v>
      </c>
      <c r="G4298" t="s">
        <v>1212</v>
      </c>
      <c r="H4298" t="s">
        <v>1213</v>
      </c>
      <c r="I4298" t="s">
        <v>1213</v>
      </c>
      <c r="J4298" t="s">
        <v>60</v>
      </c>
      <c r="K4298" t="s">
        <v>171</v>
      </c>
      <c r="L4298" t="s">
        <v>62</v>
      </c>
      <c r="M4298" t="s">
        <v>171</v>
      </c>
      <c r="N4298" t="s">
        <v>1214</v>
      </c>
      <c r="O4298" t="s">
        <v>1215</v>
      </c>
      <c r="P4298">
        <v>-20.152812999999998</v>
      </c>
      <c r="Q4298">
        <v>-44.889853000000002</v>
      </c>
      <c r="R4298" s="2" t="str">
        <f>HYPERLINK("https://www.google.com/maps?q=-20.1528130,-44.8898530","Abrir no Google Maps")</f>
        <v>Abrir no Google Maps</v>
      </c>
      <c r="S4298">
        <v>3</v>
      </c>
      <c r="T4298">
        <v>404.11054739579231</v>
      </c>
      <c r="U4298">
        <v>3</v>
      </c>
      <c r="V4298">
        <v>0.3070259238524059</v>
      </c>
      <c r="W4298">
        <v>1</v>
      </c>
      <c r="X4298">
        <v>0.3070259238524059</v>
      </c>
      <c r="Y4298">
        <v>129</v>
      </c>
      <c r="Z4298">
        <v>222.94297160630171</v>
      </c>
      <c r="AA4298">
        <v>198</v>
      </c>
      <c r="AB4298">
        <v>332</v>
      </c>
      <c r="AC4298">
        <v>536</v>
      </c>
      <c r="AD4298">
        <v>29.32</v>
      </c>
      <c r="AE4298">
        <v>542</v>
      </c>
      <c r="AF4298">
        <v>27</v>
      </c>
      <c r="AG4298">
        <v>173</v>
      </c>
      <c r="AH4298">
        <v>129</v>
      </c>
      <c r="AI4298">
        <v>4.9800000000000004</v>
      </c>
      <c r="AJ4298">
        <v>31.92</v>
      </c>
      <c r="AK4298">
        <v>23.8</v>
      </c>
      <c r="AL4298">
        <v>-20.152851999999971</v>
      </c>
      <c r="AM4298">
        <v>-44.889864659228088</v>
      </c>
      <c r="AN4298">
        <v>-20.152851999999971</v>
      </c>
      <c r="AO4298">
        <v>-44.889864659228088</v>
      </c>
      <c r="AP4298">
        <v>-20.152812999999998</v>
      </c>
      <c r="AQ4298">
        <v>-44.889853000000002</v>
      </c>
      <c r="AR4298">
        <v>4.5092186597325066</v>
      </c>
      <c r="AS4298" t="s">
        <v>65</v>
      </c>
      <c r="AT4298">
        <v>1</v>
      </c>
      <c r="AU4298" t="s">
        <v>1216</v>
      </c>
      <c r="AV4298" t="s">
        <v>1217</v>
      </c>
      <c r="AW4298" t="s">
        <v>60</v>
      </c>
      <c r="AX4298" t="s">
        <v>68</v>
      </c>
      <c r="AY4298" t="s">
        <v>69</v>
      </c>
      <c r="AZ4298" t="b">
        <v>1</v>
      </c>
    </row>
    <row r="4299" spans="1:52" x14ac:dyDescent="0.3">
      <c r="A4299" t="s">
        <v>52</v>
      </c>
      <c r="B4299" t="s">
        <v>53</v>
      </c>
      <c r="C4299" t="s">
        <v>54</v>
      </c>
      <c r="D4299" t="s">
        <v>55</v>
      </c>
      <c r="E4299" t="s">
        <v>2222</v>
      </c>
      <c r="F4299" t="s">
        <v>190</v>
      </c>
      <c r="G4299" t="s">
        <v>1218</v>
      </c>
      <c r="H4299" t="s">
        <v>1219</v>
      </c>
      <c r="I4299" t="s">
        <v>1219</v>
      </c>
      <c r="J4299" t="s">
        <v>60</v>
      </c>
      <c r="K4299" t="s">
        <v>828</v>
      </c>
      <c r="L4299" t="s">
        <v>62</v>
      </c>
      <c r="M4299" t="s">
        <v>828</v>
      </c>
      <c r="N4299" t="s">
        <v>1220</v>
      </c>
      <c r="O4299" t="s">
        <v>1221</v>
      </c>
      <c r="P4299">
        <v>-20.132722000000001</v>
      </c>
      <c r="Q4299">
        <v>-44.843550999999998</v>
      </c>
      <c r="R4299" s="2" t="str">
        <f>HYPERLINK("https://www.google.com/maps?q=-20.1327220,-44.8435510","Abrir no Google Maps")</f>
        <v>Abrir no Google Maps</v>
      </c>
      <c r="S4299">
        <v>3</v>
      </c>
      <c r="T4299">
        <v>846.88659580558431</v>
      </c>
      <c r="U4299">
        <v>3</v>
      </c>
      <c r="V4299">
        <v>0.30338624338624332</v>
      </c>
      <c r="W4299">
        <v>1</v>
      </c>
      <c r="X4299">
        <v>0.30338624338624332</v>
      </c>
      <c r="Y4299">
        <v>118</v>
      </c>
      <c r="Z4299">
        <v>797.91643890712305</v>
      </c>
      <c r="AA4299">
        <v>198</v>
      </c>
      <c r="AB4299">
        <v>332</v>
      </c>
      <c r="AC4299">
        <v>536</v>
      </c>
      <c r="AD4299">
        <v>29.32</v>
      </c>
      <c r="AE4299">
        <v>542</v>
      </c>
      <c r="AF4299">
        <v>27</v>
      </c>
      <c r="AG4299">
        <v>173</v>
      </c>
      <c r="AH4299">
        <v>129</v>
      </c>
      <c r="AI4299">
        <v>4.9800000000000004</v>
      </c>
      <c r="AJ4299">
        <v>31.92</v>
      </c>
      <c r="AK4299">
        <v>23.8</v>
      </c>
      <c r="AL4299">
        <v>-20.132714949999979</v>
      </c>
      <c r="AM4299">
        <v>-44.843475702545703</v>
      </c>
      <c r="AN4299">
        <v>-20.132714949999979</v>
      </c>
      <c r="AO4299">
        <v>-44.843475702545703</v>
      </c>
      <c r="AP4299">
        <v>-20.132722000000001</v>
      </c>
      <c r="AQ4299">
        <v>-44.843550999999998</v>
      </c>
      <c r="AR4299">
        <v>7.9089820822755481</v>
      </c>
      <c r="AS4299" t="s">
        <v>65</v>
      </c>
      <c r="AT4299">
        <v>1</v>
      </c>
      <c r="AU4299" t="s">
        <v>1222</v>
      </c>
      <c r="AV4299" t="s">
        <v>1223</v>
      </c>
      <c r="AW4299" t="s">
        <v>60</v>
      </c>
      <c r="AX4299" t="s">
        <v>68</v>
      </c>
      <c r="AY4299" t="s">
        <v>69</v>
      </c>
      <c r="AZ4299" t="b">
        <v>1</v>
      </c>
    </row>
    <row r="4300" spans="1:52" x14ac:dyDescent="0.3">
      <c r="A4300" t="s">
        <v>52</v>
      </c>
      <c r="B4300" t="s">
        <v>53</v>
      </c>
      <c r="C4300" t="s">
        <v>54</v>
      </c>
      <c r="D4300" t="s">
        <v>55</v>
      </c>
      <c r="E4300" t="s">
        <v>2222</v>
      </c>
      <c r="F4300" t="s">
        <v>190</v>
      </c>
      <c r="G4300" t="s">
        <v>1801</v>
      </c>
      <c r="H4300" t="s">
        <v>1802</v>
      </c>
      <c r="I4300" t="s">
        <v>1802</v>
      </c>
      <c r="J4300" t="s">
        <v>60</v>
      </c>
      <c r="K4300" t="s">
        <v>1803</v>
      </c>
      <c r="L4300" t="s">
        <v>62</v>
      </c>
      <c r="M4300" t="s">
        <v>1803</v>
      </c>
      <c r="N4300" t="s">
        <v>1804</v>
      </c>
      <c r="O4300" t="s">
        <v>1805</v>
      </c>
      <c r="P4300">
        <v>-20.131599000000001</v>
      </c>
      <c r="Q4300">
        <v>-44.839945</v>
      </c>
      <c r="R4300" s="2" t="str">
        <f>HYPERLINK("https://www.google.com/maps?q=-20.1315990,-44.8399450","Abrir no Google Maps")</f>
        <v>Abrir no Google Maps</v>
      </c>
      <c r="S4300">
        <v>3</v>
      </c>
      <c r="T4300">
        <v>480.67866935083049</v>
      </c>
      <c r="U4300">
        <v>3</v>
      </c>
      <c r="V4300">
        <v>0.30458276065187512</v>
      </c>
      <c r="W4300">
        <v>1</v>
      </c>
      <c r="X4300">
        <v>0.30458276065187512</v>
      </c>
      <c r="Y4300">
        <v>118</v>
      </c>
      <c r="Z4300">
        <v>505.26312452494989</v>
      </c>
      <c r="AA4300">
        <v>198</v>
      </c>
      <c r="AB4300">
        <v>332</v>
      </c>
      <c r="AC4300">
        <v>536</v>
      </c>
      <c r="AD4300">
        <v>29.32</v>
      </c>
      <c r="AE4300">
        <v>542</v>
      </c>
      <c r="AF4300">
        <v>27</v>
      </c>
      <c r="AG4300">
        <v>173</v>
      </c>
      <c r="AH4300">
        <v>129</v>
      </c>
      <c r="AI4300">
        <v>4.9800000000000004</v>
      </c>
      <c r="AJ4300">
        <v>31.92</v>
      </c>
      <c r="AK4300">
        <v>23.8</v>
      </c>
      <c r="AL4300">
        <v>-20.131561999999949</v>
      </c>
      <c r="AM4300">
        <v>-44.839930272274998</v>
      </c>
      <c r="AN4300">
        <v>-20.131561999999949</v>
      </c>
      <c r="AO4300">
        <v>-44.839930272274998</v>
      </c>
      <c r="AP4300">
        <v>-20.131599000000001</v>
      </c>
      <c r="AQ4300">
        <v>-44.839945</v>
      </c>
      <c r="AR4300">
        <v>4.3970860299791923</v>
      </c>
      <c r="AS4300" t="s">
        <v>65</v>
      </c>
      <c r="AT4300">
        <v>1</v>
      </c>
      <c r="AU4300" t="s">
        <v>1806</v>
      </c>
      <c r="AV4300" t="s">
        <v>1807</v>
      </c>
      <c r="AW4300" t="s">
        <v>60</v>
      </c>
      <c r="AX4300" t="s">
        <v>68</v>
      </c>
      <c r="AY4300" t="s">
        <v>69</v>
      </c>
      <c r="AZ4300" t="b">
        <v>1</v>
      </c>
    </row>
    <row r="4301" spans="1:52" x14ac:dyDescent="0.3">
      <c r="A4301" t="s">
        <v>52</v>
      </c>
      <c r="B4301" t="s">
        <v>53</v>
      </c>
      <c r="C4301" t="s">
        <v>54</v>
      </c>
      <c r="D4301" t="s">
        <v>55</v>
      </c>
      <c r="E4301" t="s">
        <v>2222</v>
      </c>
      <c r="F4301" t="s">
        <v>190</v>
      </c>
      <c r="G4301" t="s">
        <v>1813</v>
      </c>
      <c r="H4301" t="s">
        <v>1814</v>
      </c>
      <c r="I4301" t="s">
        <v>1814</v>
      </c>
      <c r="J4301" t="s">
        <v>60</v>
      </c>
      <c r="K4301" t="s">
        <v>1815</v>
      </c>
      <c r="L4301" t="s">
        <v>62</v>
      </c>
      <c r="M4301" t="s">
        <v>1815</v>
      </c>
      <c r="N4301" t="s">
        <v>1816</v>
      </c>
      <c r="O4301" t="s">
        <v>793</v>
      </c>
      <c r="P4301">
        <v>-20.144487999999999</v>
      </c>
      <c r="Q4301">
        <v>-44.836683000000001</v>
      </c>
      <c r="R4301" s="2" t="str">
        <f>HYPERLINK("https://www.google.com/maps?q=-20.1444880,-44.8366830","Abrir no Google Maps")</f>
        <v>Abrir no Google Maps</v>
      </c>
      <c r="S4301">
        <v>3</v>
      </c>
      <c r="T4301">
        <v>1786.4671732320769</v>
      </c>
      <c r="U4301">
        <v>3</v>
      </c>
      <c r="V4301">
        <v>0.36385828989250052</v>
      </c>
      <c r="W4301">
        <v>0.85</v>
      </c>
      <c r="X4301">
        <v>0.30927954640862543</v>
      </c>
      <c r="Y4301">
        <v>118</v>
      </c>
      <c r="Z4301">
        <v>1788.4311204774231</v>
      </c>
      <c r="AA4301">
        <v>198</v>
      </c>
      <c r="AB4301">
        <v>332</v>
      </c>
      <c r="AC4301">
        <v>536</v>
      </c>
      <c r="AD4301">
        <v>29.32</v>
      </c>
      <c r="AE4301">
        <v>542</v>
      </c>
      <c r="AF4301">
        <v>27</v>
      </c>
      <c r="AG4301">
        <v>173</v>
      </c>
      <c r="AH4301">
        <v>129</v>
      </c>
      <c r="AI4301">
        <v>4.9800000000000004</v>
      </c>
      <c r="AJ4301">
        <v>31.92</v>
      </c>
      <c r="AK4301">
        <v>23.8</v>
      </c>
      <c r="AL4301">
        <v>-20.14452704999994</v>
      </c>
      <c r="AM4301">
        <v>-44.836757520268662</v>
      </c>
      <c r="AN4301">
        <v>-20.14452704999994</v>
      </c>
      <c r="AO4301">
        <v>-44.836757520268662</v>
      </c>
      <c r="AP4301">
        <v>-20.144487999999999</v>
      </c>
      <c r="AQ4301">
        <v>-44.836683000000001</v>
      </c>
      <c r="AR4301">
        <v>8.9191793946858624</v>
      </c>
      <c r="AS4301" t="s">
        <v>65</v>
      </c>
      <c r="AT4301">
        <v>1</v>
      </c>
      <c r="AU4301" t="s">
        <v>1817</v>
      </c>
      <c r="AV4301" t="s">
        <v>1818</v>
      </c>
      <c r="AW4301" t="s">
        <v>60</v>
      </c>
      <c r="AX4301" t="s">
        <v>68</v>
      </c>
      <c r="AY4301" t="s">
        <v>69</v>
      </c>
      <c r="AZ4301" t="b">
        <v>1</v>
      </c>
    </row>
    <row r="4302" spans="1:52" x14ac:dyDescent="0.3">
      <c r="A4302" t="s">
        <v>52</v>
      </c>
      <c r="B4302" t="s">
        <v>53</v>
      </c>
      <c r="C4302" t="s">
        <v>54</v>
      </c>
      <c r="D4302" t="s">
        <v>55</v>
      </c>
      <c r="E4302" t="s">
        <v>2222</v>
      </c>
      <c r="F4302" t="s">
        <v>1247</v>
      </c>
      <c r="G4302" t="s">
        <v>58</v>
      </c>
      <c r="H4302" t="s">
        <v>59</v>
      </c>
      <c r="I4302" t="s">
        <v>59</v>
      </c>
      <c r="J4302" t="s">
        <v>60</v>
      </c>
      <c r="K4302" t="s">
        <v>61</v>
      </c>
      <c r="L4302" t="s">
        <v>62</v>
      </c>
      <c r="M4302" t="s">
        <v>61</v>
      </c>
      <c r="N4302" t="s">
        <v>63</v>
      </c>
      <c r="O4302" t="s">
        <v>64</v>
      </c>
      <c r="P4302">
        <v>-20.147940999999999</v>
      </c>
      <c r="Q4302">
        <v>-44.906514000000001</v>
      </c>
      <c r="R4302" s="2" t="str">
        <f>HYPERLINK("https://www.google.com/maps?q=-20.1479410,-44.9065140","Abrir no Google Maps")</f>
        <v>Abrir no Google Maps</v>
      </c>
      <c r="S4302">
        <v>4</v>
      </c>
      <c r="T4302">
        <v>308.67004994113421</v>
      </c>
      <c r="U4302">
        <v>4</v>
      </c>
      <c r="V4302">
        <v>0.33664254432188101</v>
      </c>
      <c r="W4302">
        <v>1</v>
      </c>
      <c r="X4302">
        <v>0.33664254432188101</v>
      </c>
      <c r="Y4302">
        <v>747</v>
      </c>
      <c r="Z4302">
        <v>274.71440454502522</v>
      </c>
      <c r="AA4302">
        <v>198</v>
      </c>
      <c r="AB4302">
        <v>332</v>
      </c>
      <c r="AC4302">
        <v>536</v>
      </c>
      <c r="AD4302">
        <v>29.32</v>
      </c>
      <c r="AE4302">
        <v>542</v>
      </c>
      <c r="AF4302">
        <v>27</v>
      </c>
      <c r="AG4302">
        <v>173</v>
      </c>
      <c r="AH4302">
        <v>129</v>
      </c>
      <c r="AI4302">
        <v>4.9800000000000004</v>
      </c>
      <c r="AJ4302">
        <v>31.92</v>
      </c>
      <c r="AK4302">
        <v>23.8</v>
      </c>
      <c r="AL4302">
        <v>-20.147947799999969</v>
      </c>
      <c r="AM4302">
        <v>-44.906591596129203</v>
      </c>
      <c r="AN4302">
        <v>-20.147947799999969</v>
      </c>
      <c r="AO4302">
        <v>-44.906591596129203</v>
      </c>
      <c r="AP4302">
        <v>-20.147940999999999</v>
      </c>
      <c r="AQ4302">
        <v>-44.906514000000001</v>
      </c>
      <c r="AR4302">
        <v>8.1446636170570326</v>
      </c>
      <c r="AS4302" t="s">
        <v>65</v>
      </c>
      <c r="AT4302">
        <v>1</v>
      </c>
      <c r="AU4302" t="s">
        <v>66</v>
      </c>
      <c r="AV4302" t="s">
        <v>67</v>
      </c>
      <c r="AW4302" t="s">
        <v>60</v>
      </c>
      <c r="AX4302" t="s">
        <v>68</v>
      </c>
      <c r="AY4302" t="s">
        <v>69</v>
      </c>
      <c r="AZ4302" t="b">
        <v>1</v>
      </c>
    </row>
    <row r="4303" spans="1:52" x14ac:dyDescent="0.3">
      <c r="A4303" t="s">
        <v>52</v>
      </c>
      <c r="B4303" t="s">
        <v>53</v>
      </c>
      <c r="C4303" t="s">
        <v>54</v>
      </c>
      <c r="D4303" t="s">
        <v>55</v>
      </c>
      <c r="E4303" t="s">
        <v>2222</v>
      </c>
      <c r="F4303" t="s">
        <v>1247</v>
      </c>
      <c r="G4303" t="s">
        <v>70</v>
      </c>
      <c r="H4303" t="s">
        <v>71</v>
      </c>
      <c r="I4303" t="s">
        <v>71</v>
      </c>
      <c r="J4303" t="s">
        <v>60</v>
      </c>
      <c r="K4303" t="s">
        <v>72</v>
      </c>
      <c r="L4303" t="s">
        <v>62</v>
      </c>
      <c r="M4303" t="s">
        <v>72</v>
      </c>
      <c r="N4303" t="s">
        <v>73</v>
      </c>
      <c r="O4303" t="s">
        <v>74</v>
      </c>
      <c r="P4303">
        <v>-20.149349000000001</v>
      </c>
      <c r="Q4303">
        <v>-44.910784</v>
      </c>
      <c r="R4303" s="2" t="str">
        <f>HYPERLINK("https://www.google.com/maps?q=-20.1493490,-44.9107840","Abrir no Google Maps")</f>
        <v>Abrir no Google Maps</v>
      </c>
      <c r="S4303">
        <v>4</v>
      </c>
      <c r="T4303">
        <v>472.43876549769578</v>
      </c>
      <c r="U4303">
        <v>4</v>
      </c>
      <c r="V4303">
        <v>0.33968023255813951</v>
      </c>
      <c r="W4303">
        <v>1</v>
      </c>
      <c r="X4303">
        <v>0.33968023255813951</v>
      </c>
      <c r="Y4303">
        <v>747</v>
      </c>
      <c r="Z4303">
        <v>441.03921887407779</v>
      </c>
      <c r="AA4303">
        <v>198</v>
      </c>
      <c r="AB4303">
        <v>332</v>
      </c>
      <c r="AC4303">
        <v>536</v>
      </c>
      <c r="AD4303">
        <v>29.32</v>
      </c>
      <c r="AE4303">
        <v>542</v>
      </c>
      <c r="AF4303">
        <v>27</v>
      </c>
      <c r="AG4303">
        <v>173</v>
      </c>
      <c r="AH4303">
        <v>129</v>
      </c>
      <c r="AI4303">
        <v>4.9800000000000004</v>
      </c>
      <c r="AJ4303">
        <v>31.92</v>
      </c>
      <c r="AK4303">
        <v>23.8</v>
      </c>
      <c r="AL4303">
        <v>-20.149403999999951</v>
      </c>
      <c r="AM4303">
        <v>-44.91080895147438</v>
      </c>
      <c r="AN4303">
        <v>-20.149403999999951</v>
      </c>
      <c r="AO4303">
        <v>-44.91080895147438</v>
      </c>
      <c r="AP4303">
        <v>-20.149349000000001</v>
      </c>
      <c r="AQ4303">
        <v>-44.910784</v>
      </c>
      <c r="AR4303">
        <v>6.6547592699416382</v>
      </c>
      <c r="AS4303" t="s">
        <v>65</v>
      </c>
      <c r="AT4303">
        <v>1</v>
      </c>
      <c r="AU4303" t="s">
        <v>75</v>
      </c>
      <c r="AV4303" t="s">
        <v>76</v>
      </c>
      <c r="AW4303" t="s">
        <v>60</v>
      </c>
      <c r="AX4303" t="s">
        <v>68</v>
      </c>
      <c r="AY4303" t="s">
        <v>69</v>
      </c>
      <c r="AZ4303" t="b">
        <v>1</v>
      </c>
    </row>
    <row r="4304" spans="1:52" x14ac:dyDescent="0.3">
      <c r="A4304" t="s">
        <v>52</v>
      </c>
      <c r="B4304" t="s">
        <v>53</v>
      </c>
      <c r="C4304" t="s">
        <v>54</v>
      </c>
      <c r="D4304" t="s">
        <v>55</v>
      </c>
      <c r="E4304" t="s">
        <v>2222</v>
      </c>
      <c r="F4304" t="s">
        <v>1247</v>
      </c>
      <c r="G4304" t="s">
        <v>77</v>
      </c>
      <c r="H4304" t="s">
        <v>78</v>
      </c>
      <c r="I4304" t="s">
        <v>78</v>
      </c>
      <c r="J4304" t="s">
        <v>60</v>
      </c>
      <c r="K4304" t="s">
        <v>72</v>
      </c>
      <c r="L4304" t="s">
        <v>62</v>
      </c>
      <c r="M4304" t="s">
        <v>72</v>
      </c>
      <c r="N4304" t="s">
        <v>79</v>
      </c>
      <c r="O4304" t="s">
        <v>80</v>
      </c>
      <c r="P4304">
        <v>-20.147821</v>
      </c>
      <c r="Q4304">
        <v>-44.908887</v>
      </c>
      <c r="R4304" s="2" t="str">
        <f>HYPERLINK("https://www.google.com/maps?q=-20.1478210,-44.9088870","Abrir no Google Maps")</f>
        <v>Abrir no Google Maps</v>
      </c>
      <c r="S4304">
        <v>4</v>
      </c>
      <c r="T4304">
        <v>232.2893841532152</v>
      </c>
      <c r="U4304">
        <v>4</v>
      </c>
      <c r="V4304">
        <v>0.35199952813495339</v>
      </c>
      <c r="W4304">
        <v>1</v>
      </c>
      <c r="X4304">
        <v>0.35199952813495339</v>
      </c>
      <c r="Y4304">
        <v>747</v>
      </c>
      <c r="Z4304">
        <v>195.3668648953757</v>
      </c>
      <c r="AA4304">
        <v>198</v>
      </c>
      <c r="AB4304">
        <v>332</v>
      </c>
      <c r="AC4304">
        <v>536</v>
      </c>
      <c r="AD4304">
        <v>29.32</v>
      </c>
      <c r="AE4304">
        <v>542</v>
      </c>
      <c r="AF4304">
        <v>27</v>
      </c>
      <c r="AG4304">
        <v>173</v>
      </c>
      <c r="AH4304">
        <v>129</v>
      </c>
      <c r="AI4304">
        <v>4.9800000000000004</v>
      </c>
      <c r="AJ4304">
        <v>31.92</v>
      </c>
      <c r="AK4304">
        <v>23.8</v>
      </c>
      <c r="AL4304">
        <v>-20.147802849999952</v>
      </c>
      <c r="AM4304">
        <v>-44.908989919229477</v>
      </c>
      <c r="AN4304">
        <v>-20.147802849999952</v>
      </c>
      <c r="AO4304">
        <v>-44.908989919229491</v>
      </c>
      <c r="AP4304">
        <v>-20.147821</v>
      </c>
      <c r="AQ4304">
        <v>-44.908887</v>
      </c>
      <c r="AR4304">
        <v>10.944007761262529</v>
      </c>
      <c r="AS4304" t="s">
        <v>65</v>
      </c>
      <c r="AT4304">
        <v>1</v>
      </c>
      <c r="AU4304" t="s">
        <v>81</v>
      </c>
      <c r="AV4304" t="s">
        <v>82</v>
      </c>
      <c r="AW4304" t="s">
        <v>60</v>
      </c>
      <c r="AX4304" t="s">
        <v>68</v>
      </c>
      <c r="AY4304" t="s">
        <v>69</v>
      </c>
      <c r="AZ4304" t="b">
        <v>1</v>
      </c>
    </row>
    <row r="4305" spans="1:52" x14ac:dyDescent="0.3">
      <c r="A4305" t="s">
        <v>52</v>
      </c>
      <c r="B4305" t="s">
        <v>53</v>
      </c>
      <c r="C4305" t="s">
        <v>54</v>
      </c>
      <c r="D4305" t="s">
        <v>55</v>
      </c>
      <c r="E4305" t="s">
        <v>2222</v>
      </c>
      <c r="F4305" t="s">
        <v>1247</v>
      </c>
      <c r="G4305" t="s">
        <v>89</v>
      </c>
      <c r="H4305" t="s">
        <v>90</v>
      </c>
      <c r="I4305" t="s">
        <v>90</v>
      </c>
      <c r="J4305" t="s">
        <v>60</v>
      </c>
      <c r="K4305" t="s">
        <v>72</v>
      </c>
      <c r="L4305" t="s">
        <v>62</v>
      </c>
      <c r="M4305" t="s">
        <v>72</v>
      </c>
      <c r="N4305" t="s">
        <v>91</v>
      </c>
      <c r="O4305" t="s">
        <v>92</v>
      </c>
      <c r="P4305">
        <v>-20.145848999999998</v>
      </c>
      <c r="Q4305">
        <v>-44.908419000000002</v>
      </c>
      <c r="R4305" s="2" t="str">
        <f>HYPERLINK("https://www.google.com/maps?q=-20.1458490,-44.9084190","Abrir no Google Maps")</f>
        <v>Abrir no Google Maps</v>
      </c>
      <c r="S4305">
        <v>4</v>
      </c>
      <c r="T4305">
        <v>0</v>
      </c>
      <c r="U4305">
        <v>4</v>
      </c>
      <c r="V4305">
        <v>0.33622205077002199</v>
      </c>
      <c r="W4305">
        <v>1</v>
      </c>
      <c r="X4305">
        <v>0.33622205077002199</v>
      </c>
      <c r="Y4305">
        <v>747</v>
      </c>
      <c r="Z4305">
        <v>136.08168502765241</v>
      </c>
      <c r="AA4305">
        <v>198</v>
      </c>
      <c r="AB4305">
        <v>332</v>
      </c>
      <c r="AC4305">
        <v>536</v>
      </c>
      <c r="AD4305">
        <v>29.32</v>
      </c>
      <c r="AE4305">
        <v>542</v>
      </c>
      <c r="AF4305">
        <v>27</v>
      </c>
      <c r="AG4305">
        <v>173</v>
      </c>
      <c r="AH4305">
        <v>129</v>
      </c>
      <c r="AI4305">
        <v>4.9800000000000004</v>
      </c>
      <c r="AJ4305">
        <v>31.92</v>
      </c>
      <c r="AK4305">
        <v>23.8</v>
      </c>
      <c r="AL4305">
        <v>-20.14576979999995</v>
      </c>
      <c r="AM4305">
        <v>-44.908436775053183</v>
      </c>
      <c r="AN4305">
        <v>-20.14576979999995</v>
      </c>
      <c r="AO4305">
        <v>-44.908436775053183</v>
      </c>
      <c r="AP4305">
        <v>-20.145848999999998</v>
      </c>
      <c r="AQ4305">
        <v>-44.908419000000002</v>
      </c>
      <c r="AR4305">
        <v>9.0101247482327356</v>
      </c>
      <c r="AS4305" t="s">
        <v>65</v>
      </c>
      <c r="AT4305">
        <v>1</v>
      </c>
      <c r="AU4305" t="s">
        <v>93</v>
      </c>
      <c r="AV4305" t="s">
        <v>94</v>
      </c>
      <c r="AW4305" t="s">
        <v>60</v>
      </c>
      <c r="AX4305" t="s">
        <v>68</v>
      </c>
      <c r="AY4305" t="s">
        <v>69</v>
      </c>
      <c r="AZ4305" t="b">
        <v>1</v>
      </c>
    </row>
    <row r="4306" spans="1:52" x14ac:dyDescent="0.3">
      <c r="A4306" t="s">
        <v>52</v>
      </c>
      <c r="B4306" t="s">
        <v>53</v>
      </c>
      <c r="C4306" t="s">
        <v>54</v>
      </c>
      <c r="D4306" t="s">
        <v>55</v>
      </c>
      <c r="E4306" t="s">
        <v>2222</v>
      </c>
      <c r="F4306" t="s">
        <v>1247</v>
      </c>
      <c r="G4306" t="s">
        <v>95</v>
      </c>
      <c r="H4306" t="s">
        <v>96</v>
      </c>
      <c r="I4306" t="s">
        <v>96</v>
      </c>
      <c r="J4306" t="s">
        <v>60</v>
      </c>
      <c r="K4306" t="s">
        <v>72</v>
      </c>
      <c r="L4306" t="s">
        <v>62</v>
      </c>
      <c r="M4306" t="s">
        <v>72</v>
      </c>
      <c r="N4306" t="s">
        <v>97</v>
      </c>
      <c r="O4306" t="s">
        <v>98</v>
      </c>
      <c r="P4306">
        <v>-20.144062999999999</v>
      </c>
      <c r="Q4306">
        <v>-44.909627999999998</v>
      </c>
      <c r="R4306" s="2" t="str">
        <f>HYPERLINK("https://www.google.com/maps?q=-20.1440630,-44.9096280","Abrir no Google Maps")</f>
        <v>Abrir no Google Maps</v>
      </c>
      <c r="S4306">
        <v>4</v>
      </c>
      <c r="T4306">
        <v>205.27083326529291</v>
      </c>
      <c r="U4306">
        <v>4</v>
      </c>
      <c r="V4306">
        <v>0.33255071358997162</v>
      </c>
      <c r="W4306">
        <v>1</v>
      </c>
      <c r="X4306">
        <v>0.33255071358997162</v>
      </c>
      <c r="Y4306">
        <v>747</v>
      </c>
      <c r="Z4306">
        <v>336.75785483480968</v>
      </c>
      <c r="AA4306">
        <v>198</v>
      </c>
      <c r="AB4306">
        <v>332</v>
      </c>
      <c r="AC4306">
        <v>536</v>
      </c>
      <c r="AD4306">
        <v>29.32</v>
      </c>
      <c r="AE4306">
        <v>542</v>
      </c>
      <c r="AF4306">
        <v>27</v>
      </c>
      <c r="AG4306">
        <v>173</v>
      </c>
      <c r="AH4306">
        <v>129</v>
      </c>
      <c r="AI4306">
        <v>4.9800000000000004</v>
      </c>
      <c r="AJ4306">
        <v>31.92</v>
      </c>
      <c r="AK4306">
        <v>23.8</v>
      </c>
      <c r="AL4306">
        <v>-20.144164099999951</v>
      </c>
      <c r="AM4306">
        <v>-44.909420167767642</v>
      </c>
      <c r="AN4306">
        <v>-20.144164099999951</v>
      </c>
      <c r="AO4306">
        <v>-44.909420167767642</v>
      </c>
      <c r="AP4306">
        <v>-20.144062999999999</v>
      </c>
      <c r="AQ4306">
        <v>-44.909627999999998</v>
      </c>
      <c r="AR4306">
        <v>24.46321571724976</v>
      </c>
      <c r="AS4306" t="s">
        <v>65</v>
      </c>
      <c r="AT4306">
        <v>1</v>
      </c>
      <c r="AU4306" t="s">
        <v>99</v>
      </c>
      <c r="AV4306" t="s">
        <v>94</v>
      </c>
      <c r="AW4306" t="s">
        <v>60</v>
      </c>
      <c r="AX4306" t="s">
        <v>68</v>
      </c>
      <c r="AY4306" t="s">
        <v>69</v>
      </c>
      <c r="AZ4306" t="b">
        <v>1</v>
      </c>
    </row>
    <row r="4307" spans="1:52" x14ac:dyDescent="0.3">
      <c r="A4307" t="s">
        <v>52</v>
      </c>
      <c r="B4307" t="s">
        <v>53</v>
      </c>
      <c r="C4307" t="s">
        <v>54</v>
      </c>
      <c r="D4307" t="s">
        <v>55</v>
      </c>
      <c r="E4307" t="s">
        <v>2222</v>
      </c>
      <c r="F4307" t="s">
        <v>1247</v>
      </c>
      <c r="G4307" t="s">
        <v>100</v>
      </c>
      <c r="H4307" t="s">
        <v>101</v>
      </c>
      <c r="I4307" t="s">
        <v>101</v>
      </c>
      <c r="J4307" t="s">
        <v>60</v>
      </c>
      <c r="K4307" t="s">
        <v>61</v>
      </c>
      <c r="L4307" t="s">
        <v>62</v>
      </c>
      <c r="M4307" t="s">
        <v>61</v>
      </c>
      <c r="N4307" t="s">
        <v>102</v>
      </c>
      <c r="O4307" t="s">
        <v>103</v>
      </c>
      <c r="P4307">
        <v>-20.151098999999999</v>
      </c>
      <c r="Q4307">
        <v>-44.909699000000003</v>
      </c>
      <c r="R4307" s="2" t="str">
        <f>HYPERLINK("https://www.google.com/maps?q=-20.1510990,-44.9096990","Abrir no Google Maps")</f>
        <v>Abrir no Google Maps</v>
      </c>
      <c r="S4307">
        <v>4</v>
      </c>
      <c r="T4307">
        <v>628.5023128813533</v>
      </c>
      <c r="U4307">
        <v>4</v>
      </c>
      <c r="V4307">
        <v>0.4189856150793651</v>
      </c>
      <c r="W4307">
        <v>1</v>
      </c>
      <c r="X4307">
        <v>0.4189856150793651</v>
      </c>
      <c r="Y4307">
        <v>747</v>
      </c>
      <c r="Z4307">
        <v>563.16456625265948</v>
      </c>
      <c r="AA4307">
        <v>198</v>
      </c>
      <c r="AB4307">
        <v>332</v>
      </c>
      <c r="AC4307">
        <v>536</v>
      </c>
      <c r="AD4307">
        <v>29.32</v>
      </c>
      <c r="AE4307">
        <v>542</v>
      </c>
      <c r="AF4307">
        <v>27</v>
      </c>
      <c r="AG4307">
        <v>173</v>
      </c>
      <c r="AH4307">
        <v>129</v>
      </c>
      <c r="AI4307">
        <v>4.9800000000000004</v>
      </c>
      <c r="AJ4307">
        <v>31.92</v>
      </c>
      <c r="AK4307">
        <v>23.8</v>
      </c>
      <c r="AL4307">
        <v>-20.151307349999971</v>
      </c>
      <c r="AM4307">
        <v>-44.909772836123523</v>
      </c>
      <c r="AN4307">
        <v>-20.151307349999971</v>
      </c>
      <c r="AO4307">
        <v>-44.909772836123523</v>
      </c>
      <c r="AP4307">
        <v>-20.151098999999999</v>
      </c>
      <c r="AQ4307">
        <v>-44.909699000000003</v>
      </c>
      <c r="AR4307">
        <v>24.443417349564811</v>
      </c>
      <c r="AS4307" t="s">
        <v>65</v>
      </c>
      <c r="AT4307">
        <v>1</v>
      </c>
      <c r="AU4307" t="s">
        <v>104</v>
      </c>
      <c r="AV4307" t="s">
        <v>105</v>
      </c>
      <c r="AW4307" t="s">
        <v>60</v>
      </c>
      <c r="AX4307" t="s">
        <v>68</v>
      </c>
      <c r="AY4307" t="s">
        <v>69</v>
      </c>
      <c r="AZ4307" t="b">
        <v>1</v>
      </c>
    </row>
    <row r="4308" spans="1:52" x14ac:dyDescent="0.3">
      <c r="A4308" t="s">
        <v>52</v>
      </c>
      <c r="B4308" t="s">
        <v>53</v>
      </c>
      <c r="C4308" t="s">
        <v>54</v>
      </c>
      <c r="D4308" t="s">
        <v>55</v>
      </c>
      <c r="E4308" t="s">
        <v>2222</v>
      </c>
      <c r="F4308" t="s">
        <v>1247</v>
      </c>
      <c r="G4308" t="s">
        <v>100</v>
      </c>
      <c r="H4308" t="s">
        <v>106</v>
      </c>
      <c r="I4308" t="s">
        <v>106</v>
      </c>
      <c r="J4308" t="s">
        <v>60</v>
      </c>
      <c r="K4308" t="s">
        <v>61</v>
      </c>
      <c r="L4308" t="s">
        <v>62</v>
      </c>
      <c r="M4308" t="s">
        <v>61</v>
      </c>
      <c r="N4308" t="s">
        <v>102</v>
      </c>
      <c r="O4308" t="s">
        <v>103</v>
      </c>
      <c r="P4308">
        <v>-20.151107</v>
      </c>
      <c r="Q4308">
        <v>-44.908918</v>
      </c>
      <c r="R4308" s="2" t="str">
        <f>HYPERLINK("https://www.google.com/maps?q=-20.1511070,-44.9089180","Abrir no Google Maps")</f>
        <v>Abrir no Google Maps</v>
      </c>
      <c r="S4308">
        <v>4</v>
      </c>
      <c r="T4308">
        <v>615.86400245321579</v>
      </c>
      <c r="U4308">
        <v>4</v>
      </c>
      <c r="V4308">
        <v>0.39437044278789363</v>
      </c>
      <c r="W4308">
        <v>0.85</v>
      </c>
      <c r="X4308">
        <v>0.33521487636970959</v>
      </c>
      <c r="Y4308">
        <v>747</v>
      </c>
      <c r="Z4308">
        <v>535.34543763764702</v>
      </c>
      <c r="AA4308">
        <v>198</v>
      </c>
      <c r="AB4308">
        <v>332</v>
      </c>
      <c r="AC4308">
        <v>536</v>
      </c>
      <c r="AD4308">
        <v>29.32</v>
      </c>
      <c r="AE4308">
        <v>542</v>
      </c>
      <c r="AF4308">
        <v>27</v>
      </c>
      <c r="AG4308">
        <v>173</v>
      </c>
      <c r="AH4308">
        <v>129</v>
      </c>
      <c r="AI4308">
        <v>4.9800000000000004</v>
      </c>
      <c r="AJ4308">
        <v>31.92</v>
      </c>
      <c r="AK4308">
        <v>23.8</v>
      </c>
      <c r="AL4308">
        <v>-20.151307349999971</v>
      </c>
      <c r="AM4308">
        <v>-44.909024234051429</v>
      </c>
      <c r="AN4308">
        <v>-20.151307349999971</v>
      </c>
      <c r="AO4308">
        <v>-44.909024234051429</v>
      </c>
      <c r="AP4308">
        <v>-20.151107</v>
      </c>
      <c r="AQ4308">
        <v>-44.908918</v>
      </c>
      <c r="AR4308">
        <v>24.91340747371116</v>
      </c>
      <c r="AS4308" t="s">
        <v>65</v>
      </c>
      <c r="AT4308">
        <v>1</v>
      </c>
      <c r="AU4308" t="s">
        <v>107</v>
      </c>
      <c r="AV4308" t="s">
        <v>105</v>
      </c>
      <c r="AW4308" t="s">
        <v>60</v>
      </c>
      <c r="AX4308" t="s">
        <v>68</v>
      </c>
      <c r="AY4308" t="s">
        <v>69</v>
      </c>
      <c r="AZ4308" t="b">
        <v>1</v>
      </c>
    </row>
    <row r="4309" spans="1:52" x14ac:dyDescent="0.3">
      <c r="A4309" t="s">
        <v>52</v>
      </c>
      <c r="B4309" t="s">
        <v>53</v>
      </c>
      <c r="C4309" t="s">
        <v>54</v>
      </c>
      <c r="D4309" t="s">
        <v>55</v>
      </c>
      <c r="E4309" t="s">
        <v>2222</v>
      </c>
      <c r="F4309" t="s">
        <v>1247</v>
      </c>
      <c r="G4309" t="s">
        <v>191</v>
      </c>
      <c r="H4309" t="s">
        <v>192</v>
      </c>
      <c r="I4309" t="s">
        <v>192</v>
      </c>
      <c r="J4309" t="s">
        <v>60</v>
      </c>
      <c r="K4309" t="s">
        <v>193</v>
      </c>
      <c r="L4309" t="s">
        <v>62</v>
      </c>
      <c r="M4309" t="s">
        <v>193</v>
      </c>
      <c r="N4309" t="s">
        <v>194</v>
      </c>
      <c r="O4309" t="s">
        <v>195</v>
      </c>
      <c r="P4309">
        <v>-20.143266000000001</v>
      </c>
      <c r="Q4309">
        <v>-44.912075000000002</v>
      </c>
      <c r="R4309" s="2" t="str">
        <f>HYPERLINK("https://www.google.com/maps?q=-20.1432660,-44.9120750","Abrir no Google Maps")</f>
        <v>Abrir no Google Maps</v>
      </c>
      <c r="S4309">
        <v>4</v>
      </c>
      <c r="T4309">
        <v>467.04339396175408</v>
      </c>
      <c r="U4309">
        <v>3</v>
      </c>
      <c r="V4309">
        <v>0.2999402054370342</v>
      </c>
      <c r="W4309">
        <v>1</v>
      </c>
      <c r="X4309">
        <v>0.2999402054370342</v>
      </c>
      <c r="Y4309">
        <v>747</v>
      </c>
      <c r="Z4309">
        <v>585.1742452866996</v>
      </c>
      <c r="AA4309">
        <v>198</v>
      </c>
      <c r="AB4309">
        <v>332</v>
      </c>
      <c r="AC4309">
        <v>536</v>
      </c>
      <c r="AD4309">
        <v>29.32</v>
      </c>
      <c r="AE4309">
        <v>542</v>
      </c>
      <c r="AF4309">
        <v>27</v>
      </c>
      <c r="AG4309">
        <v>173</v>
      </c>
      <c r="AH4309">
        <v>129</v>
      </c>
      <c r="AI4309">
        <v>4.9800000000000004</v>
      </c>
      <c r="AJ4309">
        <v>31.92</v>
      </c>
      <c r="AK4309">
        <v>23.8</v>
      </c>
      <c r="AL4309">
        <v>-20.143307949999951</v>
      </c>
      <c r="AM4309">
        <v>-44.912066629431067</v>
      </c>
      <c r="AN4309">
        <v>-20.143307949999951</v>
      </c>
      <c r="AO4309">
        <v>-44.912066629431067</v>
      </c>
      <c r="AP4309">
        <v>-20.143266000000001</v>
      </c>
      <c r="AQ4309">
        <v>-44.912075000000002</v>
      </c>
      <c r="AR4309">
        <v>4.751108024498329</v>
      </c>
      <c r="AS4309" t="s">
        <v>65</v>
      </c>
      <c r="AT4309">
        <v>1</v>
      </c>
      <c r="AU4309" t="s">
        <v>196</v>
      </c>
      <c r="AV4309" t="s">
        <v>197</v>
      </c>
      <c r="AW4309" t="s">
        <v>60</v>
      </c>
      <c r="AX4309" t="s">
        <v>68</v>
      </c>
      <c r="AY4309" t="s">
        <v>69</v>
      </c>
      <c r="AZ4309" t="b">
        <v>1</v>
      </c>
    </row>
    <row r="4310" spans="1:52" x14ac:dyDescent="0.3">
      <c r="A4310" t="s">
        <v>52</v>
      </c>
      <c r="B4310" t="s">
        <v>53</v>
      </c>
      <c r="C4310" t="s">
        <v>54</v>
      </c>
      <c r="D4310" t="s">
        <v>55</v>
      </c>
      <c r="E4310" t="s">
        <v>2222</v>
      </c>
      <c r="F4310" t="s">
        <v>1247</v>
      </c>
      <c r="G4310" t="s">
        <v>83</v>
      </c>
      <c r="H4310" t="s">
        <v>84</v>
      </c>
      <c r="I4310" t="s">
        <v>84</v>
      </c>
      <c r="J4310" t="s">
        <v>60</v>
      </c>
      <c r="K4310" t="s">
        <v>61</v>
      </c>
      <c r="L4310" t="s">
        <v>62</v>
      </c>
      <c r="M4310" t="s">
        <v>61</v>
      </c>
      <c r="N4310" t="s">
        <v>85</v>
      </c>
      <c r="O4310" t="s">
        <v>86</v>
      </c>
      <c r="P4310">
        <v>-20.149799000000002</v>
      </c>
      <c r="Q4310">
        <v>-44.906517000000001</v>
      </c>
      <c r="R4310" s="2" t="str">
        <f>HYPERLINK("https://www.google.com/maps?q=-20.1497990,-44.9065170","Abrir no Google Maps")</f>
        <v>Abrir no Google Maps</v>
      </c>
      <c r="S4310">
        <v>4</v>
      </c>
      <c r="T4310">
        <v>487.90051105537998</v>
      </c>
      <c r="U4310">
        <v>3</v>
      </c>
      <c r="V4310">
        <v>0.31035739301199328</v>
      </c>
      <c r="W4310">
        <v>1</v>
      </c>
      <c r="X4310">
        <v>0.31035739301199328</v>
      </c>
      <c r="Y4310">
        <v>747</v>
      </c>
      <c r="Z4310">
        <v>365.93785960107078</v>
      </c>
      <c r="AA4310">
        <v>198</v>
      </c>
      <c r="AB4310">
        <v>332</v>
      </c>
      <c r="AC4310">
        <v>536</v>
      </c>
      <c r="AD4310">
        <v>29.32</v>
      </c>
      <c r="AE4310">
        <v>542</v>
      </c>
      <c r="AF4310">
        <v>27</v>
      </c>
      <c r="AG4310">
        <v>173</v>
      </c>
      <c r="AH4310">
        <v>129</v>
      </c>
      <c r="AI4310">
        <v>4.9800000000000004</v>
      </c>
      <c r="AJ4310">
        <v>31.92</v>
      </c>
      <c r="AK4310">
        <v>23.8</v>
      </c>
      <c r="AL4310">
        <v>-20.149879599999959</v>
      </c>
      <c r="AM4310">
        <v>-44.906746466068469</v>
      </c>
      <c r="AN4310">
        <v>-20.149879599999959</v>
      </c>
      <c r="AO4310">
        <v>-44.906746466068469</v>
      </c>
      <c r="AP4310">
        <v>-20.149799000000002</v>
      </c>
      <c r="AQ4310">
        <v>-44.906517000000001</v>
      </c>
      <c r="AR4310">
        <v>25.604276856970429</v>
      </c>
      <c r="AS4310" t="s">
        <v>65</v>
      </c>
      <c r="AT4310">
        <v>1</v>
      </c>
      <c r="AU4310" t="s">
        <v>87</v>
      </c>
      <c r="AV4310" t="s">
        <v>88</v>
      </c>
      <c r="AW4310" t="s">
        <v>60</v>
      </c>
      <c r="AX4310" t="s">
        <v>68</v>
      </c>
      <c r="AY4310" t="s">
        <v>69</v>
      </c>
      <c r="AZ4310" t="b">
        <v>1</v>
      </c>
    </row>
    <row r="4311" spans="1:52" x14ac:dyDescent="0.3">
      <c r="A4311" t="s">
        <v>52</v>
      </c>
      <c r="B4311" t="s">
        <v>53</v>
      </c>
      <c r="C4311" t="s">
        <v>54</v>
      </c>
      <c r="D4311" t="s">
        <v>55</v>
      </c>
      <c r="E4311" t="s">
        <v>2222</v>
      </c>
      <c r="F4311" t="s">
        <v>1247</v>
      </c>
      <c r="G4311" t="s">
        <v>108</v>
      </c>
      <c r="H4311" t="s">
        <v>109</v>
      </c>
      <c r="I4311" t="s">
        <v>109</v>
      </c>
      <c r="J4311" t="s">
        <v>60</v>
      </c>
      <c r="K4311" t="s">
        <v>110</v>
      </c>
      <c r="L4311" t="s">
        <v>62</v>
      </c>
      <c r="M4311" t="s">
        <v>110</v>
      </c>
      <c r="N4311" t="s">
        <v>111</v>
      </c>
      <c r="O4311" t="s">
        <v>112</v>
      </c>
      <c r="P4311">
        <v>-20.122233999999999</v>
      </c>
      <c r="Q4311">
        <v>-44.909194999999997</v>
      </c>
      <c r="R4311" s="2" t="str">
        <f>HYPERLINK("https://www.google.com/maps?q=-20.1222340,-44.9091950","Abrir no Google Maps")</f>
        <v>Abrir no Google Maps</v>
      </c>
      <c r="S4311">
        <v>4</v>
      </c>
      <c r="T4311">
        <v>1171.396020763932</v>
      </c>
      <c r="U4311">
        <v>3</v>
      </c>
      <c r="V4311">
        <v>0.35911633109619689</v>
      </c>
      <c r="W4311">
        <v>0.85</v>
      </c>
      <c r="X4311">
        <v>0.30524888143176743</v>
      </c>
      <c r="Y4311">
        <v>567</v>
      </c>
      <c r="Z4311">
        <v>1238.711234283244</v>
      </c>
      <c r="AA4311">
        <v>198</v>
      </c>
      <c r="AB4311">
        <v>332</v>
      </c>
      <c r="AC4311">
        <v>536</v>
      </c>
      <c r="AD4311">
        <v>29.32</v>
      </c>
      <c r="AE4311">
        <v>542</v>
      </c>
      <c r="AF4311">
        <v>27</v>
      </c>
      <c r="AG4311">
        <v>173</v>
      </c>
      <c r="AH4311">
        <v>129</v>
      </c>
      <c r="AI4311">
        <v>4.9800000000000004</v>
      </c>
      <c r="AJ4311">
        <v>31.92</v>
      </c>
      <c r="AK4311">
        <v>23.8</v>
      </c>
      <c r="AL4311">
        <v>-20.121881249999941</v>
      </c>
      <c r="AM4311">
        <v>-44.909273766094323</v>
      </c>
      <c r="AN4311">
        <v>-20.121881249999941</v>
      </c>
      <c r="AO4311">
        <v>-44.909273766094323</v>
      </c>
      <c r="AP4311">
        <v>-20.122233999999999</v>
      </c>
      <c r="AQ4311">
        <v>-44.909194999999997</v>
      </c>
      <c r="AR4311">
        <v>40.12192930593006</v>
      </c>
      <c r="AS4311" t="s">
        <v>65</v>
      </c>
      <c r="AT4311">
        <v>1</v>
      </c>
      <c r="AU4311" t="s">
        <v>113</v>
      </c>
      <c r="AV4311" t="s">
        <v>114</v>
      </c>
      <c r="AW4311" t="s">
        <v>60</v>
      </c>
      <c r="AX4311" t="s">
        <v>68</v>
      </c>
      <c r="AY4311" t="s">
        <v>69</v>
      </c>
      <c r="AZ4311" t="b">
        <v>1</v>
      </c>
    </row>
    <row r="4312" spans="1:52" x14ac:dyDescent="0.3">
      <c r="A4312" t="s">
        <v>52</v>
      </c>
      <c r="B4312" t="s">
        <v>53</v>
      </c>
      <c r="C4312" t="s">
        <v>54</v>
      </c>
      <c r="D4312" t="s">
        <v>55</v>
      </c>
      <c r="E4312" t="s">
        <v>2222</v>
      </c>
      <c r="F4312" t="s">
        <v>1247</v>
      </c>
      <c r="G4312" t="s">
        <v>115</v>
      </c>
      <c r="H4312" t="s">
        <v>116</v>
      </c>
      <c r="I4312" t="s">
        <v>116</v>
      </c>
      <c r="J4312" t="s">
        <v>60</v>
      </c>
      <c r="K4312" t="s">
        <v>117</v>
      </c>
      <c r="L4312" t="s">
        <v>62</v>
      </c>
      <c r="M4312" t="s">
        <v>117</v>
      </c>
      <c r="N4312" t="s">
        <v>118</v>
      </c>
      <c r="O4312" t="s">
        <v>119</v>
      </c>
      <c r="P4312">
        <v>-20.116992</v>
      </c>
      <c r="Q4312">
        <v>-44.899355</v>
      </c>
      <c r="R4312" s="2" t="str">
        <f>HYPERLINK("https://www.google.com/maps?q=-20.1169920,-44.8993550","Abrir no Google Maps")</f>
        <v>Abrir no Google Maps</v>
      </c>
      <c r="S4312">
        <v>4</v>
      </c>
      <c r="T4312">
        <v>0</v>
      </c>
      <c r="U4312">
        <v>3</v>
      </c>
      <c r="V4312">
        <v>0.30702605792711191</v>
      </c>
      <c r="W4312">
        <v>1</v>
      </c>
      <c r="X4312">
        <v>0.30702605792711191</v>
      </c>
      <c r="Y4312">
        <v>567</v>
      </c>
      <c r="Z4312">
        <v>54.913678078353321</v>
      </c>
      <c r="AA4312">
        <v>198</v>
      </c>
      <c r="AB4312">
        <v>332</v>
      </c>
      <c r="AC4312">
        <v>536</v>
      </c>
      <c r="AD4312">
        <v>29.32</v>
      </c>
      <c r="AE4312">
        <v>542</v>
      </c>
      <c r="AF4312">
        <v>27</v>
      </c>
      <c r="AG4312">
        <v>173</v>
      </c>
      <c r="AH4312">
        <v>129</v>
      </c>
      <c r="AI4312">
        <v>4.9800000000000004</v>
      </c>
      <c r="AJ4312">
        <v>31.92</v>
      </c>
      <c r="AK4312">
        <v>23.8</v>
      </c>
      <c r="AL4312">
        <v>-20.117107749999949</v>
      </c>
      <c r="AM4312">
        <v>-44.899271226243108</v>
      </c>
      <c r="AN4312">
        <v>-20.117107749999949</v>
      </c>
      <c r="AO4312">
        <v>-44.899271226243108</v>
      </c>
      <c r="AP4312">
        <v>-20.116992</v>
      </c>
      <c r="AQ4312">
        <v>-44.899355</v>
      </c>
      <c r="AR4312">
        <v>15.579196044083419</v>
      </c>
      <c r="AS4312" t="s">
        <v>65</v>
      </c>
      <c r="AT4312">
        <v>1</v>
      </c>
      <c r="AU4312" t="s">
        <v>120</v>
      </c>
      <c r="AV4312" t="s">
        <v>121</v>
      </c>
      <c r="AW4312" t="s">
        <v>60</v>
      </c>
      <c r="AX4312" t="s">
        <v>68</v>
      </c>
      <c r="AY4312" t="s">
        <v>69</v>
      </c>
      <c r="AZ4312" t="b">
        <v>1</v>
      </c>
    </row>
    <row r="4313" spans="1:52" x14ac:dyDescent="0.3">
      <c r="A4313" t="s">
        <v>52</v>
      </c>
      <c r="B4313" t="s">
        <v>53</v>
      </c>
      <c r="C4313" t="s">
        <v>54</v>
      </c>
      <c r="D4313" t="s">
        <v>55</v>
      </c>
      <c r="E4313" t="s">
        <v>2222</v>
      </c>
      <c r="F4313" t="s">
        <v>1247</v>
      </c>
      <c r="G4313" t="s">
        <v>122</v>
      </c>
      <c r="H4313" t="s">
        <v>123</v>
      </c>
      <c r="I4313" t="s">
        <v>123</v>
      </c>
      <c r="J4313" t="s">
        <v>60</v>
      </c>
      <c r="K4313" t="s">
        <v>117</v>
      </c>
      <c r="L4313" t="s">
        <v>62</v>
      </c>
      <c r="M4313" t="s">
        <v>117</v>
      </c>
      <c r="N4313" t="s">
        <v>124</v>
      </c>
      <c r="O4313" t="s">
        <v>125</v>
      </c>
      <c r="P4313">
        <v>-20.11853</v>
      </c>
      <c r="Q4313">
        <v>-44.896925000000003</v>
      </c>
      <c r="R4313" s="2" t="str">
        <f>HYPERLINK("https://www.google.com/maps?q=-20.1185300,-44.8969250","Abrir no Google Maps")</f>
        <v>Abrir no Google Maps</v>
      </c>
      <c r="S4313">
        <v>4</v>
      </c>
      <c r="T4313">
        <v>325.32255721093247</v>
      </c>
      <c r="U4313">
        <v>3</v>
      </c>
      <c r="V4313">
        <v>0.30816686977869617</v>
      </c>
      <c r="W4313">
        <v>1</v>
      </c>
      <c r="X4313">
        <v>0.30816686977869617</v>
      </c>
      <c r="Y4313">
        <v>567</v>
      </c>
      <c r="Z4313">
        <v>306.04423478678871</v>
      </c>
      <c r="AA4313">
        <v>198</v>
      </c>
      <c r="AB4313">
        <v>332</v>
      </c>
      <c r="AC4313">
        <v>536</v>
      </c>
      <c r="AD4313">
        <v>29.32</v>
      </c>
      <c r="AE4313">
        <v>542</v>
      </c>
      <c r="AF4313">
        <v>27</v>
      </c>
      <c r="AG4313">
        <v>173</v>
      </c>
      <c r="AH4313">
        <v>129</v>
      </c>
      <c r="AI4313">
        <v>4.9800000000000004</v>
      </c>
      <c r="AJ4313">
        <v>31.92</v>
      </c>
      <c r="AK4313">
        <v>23.8</v>
      </c>
      <c r="AL4313">
        <v>-20.118682499999949</v>
      </c>
      <c r="AM4313">
        <v>-44.896643089287927</v>
      </c>
      <c r="AN4313">
        <v>-20.118682499999949</v>
      </c>
      <c r="AO4313">
        <v>-44.896643089287927</v>
      </c>
      <c r="AP4313">
        <v>-20.11853</v>
      </c>
      <c r="AQ4313">
        <v>-44.896925000000003</v>
      </c>
      <c r="AR4313">
        <v>34.007698996886518</v>
      </c>
      <c r="AS4313" t="s">
        <v>65</v>
      </c>
      <c r="AT4313">
        <v>1</v>
      </c>
      <c r="AU4313" t="s">
        <v>126</v>
      </c>
      <c r="AV4313" t="s">
        <v>121</v>
      </c>
      <c r="AW4313" t="s">
        <v>60</v>
      </c>
      <c r="AX4313" t="s">
        <v>68</v>
      </c>
      <c r="AY4313" t="s">
        <v>69</v>
      </c>
      <c r="AZ4313" t="b">
        <v>1</v>
      </c>
    </row>
    <row r="4314" spans="1:52" x14ac:dyDescent="0.3">
      <c r="A4314" t="s">
        <v>52</v>
      </c>
      <c r="B4314" t="s">
        <v>53</v>
      </c>
      <c r="C4314" t="s">
        <v>54</v>
      </c>
      <c r="D4314" t="s">
        <v>55</v>
      </c>
      <c r="E4314" t="s">
        <v>2222</v>
      </c>
      <c r="F4314" t="s">
        <v>1247</v>
      </c>
      <c r="G4314" t="s">
        <v>1248</v>
      </c>
      <c r="H4314" t="s">
        <v>1249</v>
      </c>
      <c r="I4314" t="s">
        <v>1249</v>
      </c>
      <c r="J4314" t="s">
        <v>60</v>
      </c>
      <c r="K4314" t="s">
        <v>61</v>
      </c>
      <c r="L4314" t="s">
        <v>62</v>
      </c>
      <c r="M4314" t="s">
        <v>61</v>
      </c>
      <c r="N4314" t="s">
        <v>1250</v>
      </c>
      <c r="O4314" t="s">
        <v>202</v>
      </c>
      <c r="P4314">
        <v>-20.145337999999999</v>
      </c>
      <c r="Q4314">
        <v>-44.906260000000003</v>
      </c>
      <c r="R4314" s="2" t="str">
        <f>HYPERLINK("https://www.google.com/maps?q=-20.1453380,-44.9062600","Abrir no Google Maps")</f>
        <v>Abrir no Google Maps</v>
      </c>
      <c r="S4314">
        <v>4</v>
      </c>
      <c r="T4314">
        <v>231.8105263092443</v>
      </c>
      <c r="U4314">
        <v>2</v>
      </c>
      <c r="V4314">
        <v>0.31020897567660161</v>
      </c>
      <c r="W4314">
        <v>0.85</v>
      </c>
      <c r="X4314">
        <v>0.26367762932511141</v>
      </c>
      <c r="Y4314">
        <v>747</v>
      </c>
      <c r="Z4314">
        <v>210.09098260239841</v>
      </c>
      <c r="AA4314">
        <v>198</v>
      </c>
      <c r="AB4314">
        <v>332</v>
      </c>
      <c r="AC4314">
        <v>536</v>
      </c>
      <c r="AD4314">
        <v>29.32</v>
      </c>
      <c r="AE4314">
        <v>542</v>
      </c>
      <c r="AF4314">
        <v>27</v>
      </c>
      <c r="AG4314">
        <v>173</v>
      </c>
      <c r="AH4314">
        <v>129</v>
      </c>
      <c r="AI4314">
        <v>4.9800000000000004</v>
      </c>
      <c r="AJ4314">
        <v>31.92</v>
      </c>
      <c r="AK4314">
        <v>23.8</v>
      </c>
      <c r="AL4314">
        <v>-20.14545934999995</v>
      </c>
      <c r="AM4314">
        <v>-44.906243174283489</v>
      </c>
      <c r="AN4314">
        <v>-20.14545934999995</v>
      </c>
      <c r="AO4314">
        <v>-44.906243174283489</v>
      </c>
      <c r="AP4314">
        <v>-20.145337999999999</v>
      </c>
      <c r="AQ4314">
        <v>-44.906260000000003</v>
      </c>
      <c r="AR4314">
        <v>13.622651392262521</v>
      </c>
      <c r="AS4314" t="s">
        <v>65</v>
      </c>
      <c r="AT4314">
        <v>1</v>
      </c>
      <c r="AU4314" t="s">
        <v>1251</v>
      </c>
      <c r="AV4314" t="s">
        <v>1252</v>
      </c>
      <c r="AW4314" t="s">
        <v>60</v>
      </c>
      <c r="AX4314" t="s">
        <v>68</v>
      </c>
      <c r="AY4314" t="s">
        <v>69</v>
      </c>
      <c r="AZ4314" t="b">
        <v>1</v>
      </c>
    </row>
    <row r="4315" spans="1:52" x14ac:dyDescent="0.3">
      <c r="A4315" t="s">
        <v>52</v>
      </c>
      <c r="B4315" t="s">
        <v>53</v>
      </c>
      <c r="C4315" t="s">
        <v>54</v>
      </c>
      <c r="D4315" t="s">
        <v>55</v>
      </c>
      <c r="E4315" t="s">
        <v>2222</v>
      </c>
      <c r="F4315" t="s">
        <v>1247</v>
      </c>
      <c r="G4315" t="s">
        <v>83</v>
      </c>
      <c r="H4315" t="s">
        <v>1253</v>
      </c>
      <c r="I4315" t="s">
        <v>1253</v>
      </c>
      <c r="J4315" t="s">
        <v>60</v>
      </c>
      <c r="K4315" t="s">
        <v>72</v>
      </c>
      <c r="L4315" t="s">
        <v>62</v>
      </c>
      <c r="M4315" t="s">
        <v>72</v>
      </c>
      <c r="N4315" t="s">
        <v>1254</v>
      </c>
      <c r="O4315" t="s">
        <v>1255</v>
      </c>
      <c r="P4315">
        <v>-20.147164</v>
      </c>
      <c r="Q4315">
        <v>-44.905259000000001</v>
      </c>
      <c r="R4315" s="2" t="str">
        <f>HYPERLINK("https://www.google.com/maps?q=-20.1471640,-44.9052590","Abrir no Google Maps")</f>
        <v>Abrir no Google Maps</v>
      </c>
      <c r="S4315">
        <v>4</v>
      </c>
      <c r="T4315">
        <v>364.08569180502712</v>
      </c>
      <c r="U4315">
        <v>2</v>
      </c>
      <c r="V4315">
        <v>0.30991916582962648</v>
      </c>
      <c r="W4315">
        <v>0.85</v>
      </c>
      <c r="X4315">
        <v>0.26343129095518247</v>
      </c>
      <c r="Y4315">
        <v>747</v>
      </c>
      <c r="Z4315">
        <v>309.89238988435022</v>
      </c>
      <c r="AA4315">
        <v>198</v>
      </c>
      <c r="AB4315">
        <v>332</v>
      </c>
      <c r="AC4315">
        <v>536</v>
      </c>
      <c r="AD4315">
        <v>29.32</v>
      </c>
      <c r="AE4315">
        <v>542</v>
      </c>
      <c r="AF4315">
        <v>27</v>
      </c>
      <c r="AG4315">
        <v>173</v>
      </c>
      <c r="AH4315">
        <v>129</v>
      </c>
      <c r="AI4315">
        <v>4.9800000000000004</v>
      </c>
      <c r="AJ4315">
        <v>31.92</v>
      </c>
      <c r="AK4315">
        <v>23.8</v>
      </c>
      <c r="AL4315">
        <v>-20.14718674999995</v>
      </c>
      <c r="AM4315">
        <v>-44.905292621565764</v>
      </c>
      <c r="AN4315">
        <v>-20.147186749999939</v>
      </c>
      <c r="AO4315">
        <v>-44.905292621565764</v>
      </c>
      <c r="AP4315">
        <v>-20.147164</v>
      </c>
      <c r="AQ4315">
        <v>-44.905259000000001</v>
      </c>
      <c r="AR4315">
        <v>4.3312880650984971</v>
      </c>
      <c r="AS4315" t="s">
        <v>65</v>
      </c>
      <c r="AT4315">
        <v>1</v>
      </c>
      <c r="AU4315" t="s">
        <v>1256</v>
      </c>
      <c r="AV4315" t="s">
        <v>1257</v>
      </c>
      <c r="AW4315" t="s">
        <v>60</v>
      </c>
      <c r="AX4315" t="s">
        <v>68</v>
      </c>
      <c r="AY4315" t="s">
        <v>69</v>
      </c>
      <c r="AZ4315" t="b">
        <v>1</v>
      </c>
    </row>
    <row r="4316" spans="1:52" x14ac:dyDescent="0.3">
      <c r="A4316" t="s">
        <v>52</v>
      </c>
      <c r="B4316" t="s">
        <v>53</v>
      </c>
      <c r="C4316" t="s">
        <v>54</v>
      </c>
      <c r="D4316" t="s">
        <v>55</v>
      </c>
      <c r="E4316" t="s">
        <v>2222</v>
      </c>
      <c r="F4316" t="s">
        <v>1247</v>
      </c>
      <c r="G4316" t="s">
        <v>198</v>
      </c>
      <c r="H4316" t="s">
        <v>199</v>
      </c>
      <c r="I4316" t="s">
        <v>199</v>
      </c>
      <c r="J4316" t="s">
        <v>60</v>
      </c>
      <c r="K4316" t="s">
        <v>200</v>
      </c>
      <c r="L4316" t="s">
        <v>62</v>
      </c>
      <c r="M4316" t="s">
        <v>200</v>
      </c>
      <c r="N4316" t="s">
        <v>201</v>
      </c>
      <c r="O4316" t="s">
        <v>202</v>
      </c>
      <c r="P4316">
        <v>-20.122433000000001</v>
      </c>
      <c r="Q4316">
        <v>-44.897013999999999</v>
      </c>
      <c r="R4316" s="2" t="str">
        <f>HYPERLINK("https://www.google.com/maps?q=-20.1224330,-44.8970140","Abrir no Google Maps")</f>
        <v>Abrir no Google Maps</v>
      </c>
      <c r="S4316">
        <v>4</v>
      </c>
      <c r="T4316">
        <v>616.04759279207849</v>
      </c>
      <c r="U4316">
        <v>2</v>
      </c>
      <c r="V4316">
        <v>0.31503239548135997</v>
      </c>
      <c r="W4316">
        <v>0.85</v>
      </c>
      <c r="X4316">
        <v>0.26777753615915589</v>
      </c>
      <c r="Y4316">
        <v>567</v>
      </c>
      <c r="Z4316">
        <v>655.51024138861465</v>
      </c>
      <c r="AA4316">
        <v>198</v>
      </c>
      <c r="AB4316">
        <v>332</v>
      </c>
      <c r="AC4316">
        <v>536</v>
      </c>
      <c r="AD4316">
        <v>29.32</v>
      </c>
      <c r="AE4316">
        <v>542</v>
      </c>
      <c r="AF4316">
        <v>27</v>
      </c>
      <c r="AG4316">
        <v>173</v>
      </c>
      <c r="AH4316">
        <v>129</v>
      </c>
      <c r="AI4316">
        <v>4.9800000000000004</v>
      </c>
      <c r="AJ4316">
        <v>31.92</v>
      </c>
      <c r="AK4316">
        <v>23.8</v>
      </c>
      <c r="AL4316">
        <v>-20.122144949999949</v>
      </c>
      <c r="AM4316">
        <v>-44.896761973125983</v>
      </c>
      <c r="AN4316">
        <v>-20.122144949999949</v>
      </c>
      <c r="AO4316">
        <v>-44.896761973125983</v>
      </c>
      <c r="AP4316">
        <v>-20.122433000000001</v>
      </c>
      <c r="AQ4316">
        <v>-44.897013999999999</v>
      </c>
      <c r="AR4316">
        <v>41.499066772735389</v>
      </c>
      <c r="AS4316" t="s">
        <v>65</v>
      </c>
      <c r="AT4316">
        <v>1</v>
      </c>
      <c r="AU4316" t="s">
        <v>203</v>
      </c>
      <c r="AV4316" t="s">
        <v>204</v>
      </c>
      <c r="AW4316" t="s">
        <v>60</v>
      </c>
      <c r="AX4316" t="s">
        <v>68</v>
      </c>
      <c r="AY4316" t="s">
        <v>69</v>
      </c>
      <c r="AZ4316" t="b">
        <v>1</v>
      </c>
    </row>
    <row r="4317" spans="1:52" x14ac:dyDescent="0.3">
      <c r="A4317" t="s">
        <v>52</v>
      </c>
      <c r="B4317" t="s">
        <v>53</v>
      </c>
      <c r="C4317" t="s">
        <v>54</v>
      </c>
      <c r="D4317" t="s">
        <v>55</v>
      </c>
      <c r="E4317" t="s">
        <v>2222</v>
      </c>
      <c r="F4317" t="s">
        <v>1247</v>
      </c>
      <c r="G4317" t="s">
        <v>205</v>
      </c>
      <c r="H4317" t="s">
        <v>206</v>
      </c>
      <c r="I4317" t="s">
        <v>206</v>
      </c>
      <c r="J4317" t="s">
        <v>60</v>
      </c>
      <c r="K4317" t="s">
        <v>207</v>
      </c>
      <c r="L4317" t="s">
        <v>62</v>
      </c>
      <c r="M4317" t="s">
        <v>207</v>
      </c>
      <c r="N4317" t="s">
        <v>208</v>
      </c>
      <c r="O4317" t="s">
        <v>209</v>
      </c>
      <c r="P4317">
        <v>-20.117533999999999</v>
      </c>
      <c r="Q4317">
        <v>-44.892943000000002</v>
      </c>
      <c r="R4317" s="2" t="str">
        <f>HYPERLINK("https://www.google.com/maps?q=-20.1175340,-44.8929430","Abrir no Google Maps")</f>
        <v>Abrir no Google Maps</v>
      </c>
      <c r="S4317">
        <v>4</v>
      </c>
      <c r="T4317">
        <v>601.98486688021592</v>
      </c>
      <c r="U4317">
        <v>2</v>
      </c>
      <c r="V4317">
        <v>0.33540543777697929</v>
      </c>
      <c r="W4317">
        <v>0.85</v>
      </c>
      <c r="X4317">
        <v>0.28509462211043241</v>
      </c>
      <c r="Y4317">
        <v>567</v>
      </c>
      <c r="Z4317">
        <v>574.59225706016446</v>
      </c>
      <c r="AA4317">
        <v>198</v>
      </c>
      <c r="AB4317">
        <v>332</v>
      </c>
      <c r="AC4317">
        <v>536</v>
      </c>
      <c r="AD4317">
        <v>29.32</v>
      </c>
      <c r="AE4317">
        <v>542</v>
      </c>
      <c r="AF4317">
        <v>27</v>
      </c>
      <c r="AG4317">
        <v>173</v>
      </c>
      <c r="AH4317">
        <v>129</v>
      </c>
      <c r="AI4317">
        <v>4.9800000000000004</v>
      </c>
      <c r="AJ4317">
        <v>31.92</v>
      </c>
      <c r="AK4317">
        <v>23.8</v>
      </c>
      <c r="AL4317">
        <v>-20.11671494999996</v>
      </c>
      <c r="AM4317">
        <v>-44.89352717833448</v>
      </c>
      <c r="AN4317">
        <v>-20.11671494999996</v>
      </c>
      <c r="AO4317">
        <v>-44.89352717833448</v>
      </c>
      <c r="AP4317">
        <v>-20.117533999999999</v>
      </c>
      <c r="AQ4317">
        <v>-44.892943000000002</v>
      </c>
      <c r="AR4317">
        <v>109.7357164799156</v>
      </c>
      <c r="AS4317" t="s">
        <v>65</v>
      </c>
      <c r="AT4317">
        <v>1</v>
      </c>
      <c r="AU4317" t="s">
        <v>210</v>
      </c>
      <c r="AV4317" t="s">
        <v>211</v>
      </c>
      <c r="AW4317" t="s">
        <v>60</v>
      </c>
      <c r="AX4317" t="s">
        <v>68</v>
      </c>
      <c r="AY4317" t="s">
        <v>69</v>
      </c>
      <c r="AZ4317" t="b">
        <v>1</v>
      </c>
    </row>
    <row r="4318" spans="1:52" x14ac:dyDescent="0.3">
      <c r="A4318" t="s">
        <v>52</v>
      </c>
      <c r="B4318" t="s">
        <v>53</v>
      </c>
      <c r="C4318" t="s">
        <v>54</v>
      </c>
      <c r="D4318" t="s">
        <v>55</v>
      </c>
      <c r="E4318" t="s">
        <v>2222</v>
      </c>
      <c r="F4318" t="s">
        <v>1247</v>
      </c>
      <c r="G4318" t="s">
        <v>1258</v>
      </c>
      <c r="H4318" t="s">
        <v>1259</v>
      </c>
      <c r="I4318" t="s">
        <v>1259</v>
      </c>
      <c r="J4318" t="s">
        <v>60</v>
      </c>
      <c r="K4318" t="s">
        <v>905</v>
      </c>
      <c r="L4318" t="s">
        <v>62</v>
      </c>
      <c r="M4318" t="s">
        <v>905</v>
      </c>
      <c r="N4318" t="s">
        <v>1260</v>
      </c>
      <c r="O4318" t="s">
        <v>628</v>
      </c>
      <c r="P4318">
        <v>-20.113569999999999</v>
      </c>
      <c r="Q4318">
        <v>-44.897216</v>
      </c>
      <c r="R4318" s="2" t="str">
        <f>HYPERLINK("https://www.google.com/maps?q=-20.1135700,-44.8972160","Abrir no Google Maps")</f>
        <v>Abrir no Google Maps</v>
      </c>
      <c r="S4318">
        <v>4</v>
      </c>
      <c r="T4318">
        <v>418.54368277643368</v>
      </c>
      <c r="U4318">
        <v>1</v>
      </c>
      <c r="V4318">
        <v>0.2955824410142307</v>
      </c>
      <c r="W4318">
        <v>0.85</v>
      </c>
      <c r="X4318">
        <v>0.25124507486209607</v>
      </c>
      <c r="Y4318">
        <v>567</v>
      </c>
      <c r="Z4318">
        <v>315.02989622191018</v>
      </c>
      <c r="AA4318">
        <v>198</v>
      </c>
      <c r="AB4318">
        <v>332</v>
      </c>
      <c r="AC4318">
        <v>536</v>
      </c>
      <c r="AD4318">
        <v>29.32</v>
      </c>
      <c r="AE4318">
        <v>542</v>
      </c>
      <c r="AF4318">
        <v>27</v>
      </c>
      <c r="AG4318">
        <v>173</v>
      </c>
      <c r="AH4318">
        <v>129</v>
      </c>
      <c r="AI4318">
        <v>4.9800000000000004</v>
      </c>
      <c r="AJ4318">
        <v>31.92</v>
      </c>
      <c r="AK4318">
        <v>23.8</v>
      </c>
      <c r="AL4318">
        <v>-20.113750149999959</v>
      </c>
      <c r="AM4318">
        <v>-44.897427949999937</v>
      </c>
      <c r="AN4318">
        <v>-20.113750149999959</v>
      </c>
      <c r="AO4318">
        <v>-44.897427949999937</v>
      </c>
      <c r="AP4318">
        <v>-20.113569999999999</v>
      </c>
      <c r="AQ4318">
        <v>-44.897216</v>
      </c>
      <c r="AR4318">
        <v>29.883644534822711</v>
      </c>
      <c r="AS4318" t="s">
        <v>65</v>
      </c>
      <c r="AT4318">
        <v>1</v>
      </c>
      <c r="AU4318" t="s">
        <v>1261</v>
      </c>
      <c r="AV4318" t="s">
        <v>1262</v>
      </c>
      <c r="AW4318" t="s">
        <v>60</v>
      </c>
      <c r="AX4318" t="s">
        <v>68</v>
      </c>
      <c r="AY4318" t="s">
        <v>69</v>
      </c>
      <c r="AZ4318" t="b">
        <v>1</v>
      </c>
    </row>
    <row r="4319" spans="1:52" x14ac:dyDescent="0.3">
      <c r="A4319" t="s">
        <v>52</v>
      </c>
      <c r="B4319" t="s">
        <v>53</v>
      </c>
      <c r="C4319" t="s">
        <v>54</v>
      </c>
      <c r="D4319" t="s">
        <v>55</v>
      </c>
      <c r="E4319" t="s">
        <v>2222</v>
      </c>
      <c r="F4319" t="s">
        <v>1247</v>
      </c>
      <c r="G4319" t="s">
        <v>1263</v>
      </c>
      <c r="H4319" t="s">
        <v>1264</v>
      </c>
      <c r="I4319" t="s">
        <v>1264</v>
      </c>
      <c r="J4319" t="s">
        <v>60</v>
      </c>
      <c r="K4319" t="s">
        <v>1265</v>
      </c>
      <c r="L4319" t="s">
        <v>62</v>
      </c>
      <c r="M4319" t="s">
        <v>1265</v>
      </c>
      <c r="N4319" t="s">
        <v>1266</v>
      </c>
      <c r="O4319" t="s">
        <v>1267</v>
      </c>
      <c r="P4319">
        <v>-20.116924000000001</v>
      </c>
      <c r="Q4319">
        <v>-44.906587000000002</v>
      </c>
      <c r="R4319" s="2" t="str">
        <f>HYPERLINK("https://www.google.com/maps?q=-20.1169240,-44.9065870","Abrir no Google Maps")</f>
        <v>Abrir no Google Maps</v>
      </c>
      <c r="S4319">
        <v>4</v>
      </c>
      <c r="T4319">
        <v>745.10453961787857</v>
      </c>
      <c r="U4319">
        <v>1</v>
      </c>
      <c r="V4319">
        <v>0.23613369467028</v>
      </c>
      <c r="W4319">
        <v>0.85</v>
      </c>
      <c r="X4319">
        <v>0.200713640469738</v>
      </c>
      <c r="Y4319">
        <v>567</v>
      </c>
      <c r="Z4319">
        <v>816.44456345071217</v>
      </c>
      <c r="AA4319">
        <v>198</v>
      </c>
      <c r="AB4319">
        <v>332</v>
      </c>
      <c r="AC4319">
        <v>536</v>
      </c>
      <c r="AD4319">
        <v>29.32</v>
      </c>
      <c r="AE4319">
        <v>542</v>
      </c>
      <c r="AF4319">
        <v>27</v>
      </c>
      <c r="AG4319">
        <v>173</v>
      </c>
      <c r="AH4319">
        <v>129</v>
      </c>
      <c r="AI4319">
        <v>4.9800000000000004</v>
      </c>
      <c r="AJ4319">
        <v>31.92</v>
      </c>
      <c r="AK4319">
        <v>23.8</v>
      </c>
      <c r="AL4319">
        <v>-20.117279149999941</v>
      </c>
      <c r="AM4319">
        <v>-44.906397211815133</v>
      </c>
      <c r="AN4319">
        <v>-20.117279149999941</v>
      </c>
      <c r="AO4319">
        <v>-44.906397211815133</v>
      </c>
      <c r="AP4319">
        <v>-20.116924000000001</v>
      </c>
      <c r="AQ4319">
        <v>-44.906587000000002</v>
      </c>
      <c r="AR4319">
        <v>44.233430660980403</v>
      </c>
      <c r="AS4319" t="s">
        <v>65</v>
      </c>
      <c r="AT4319">
        <v>1</v>
      </c>
      <c r="AU4319" t="s">
        <v>1268</v>
      </c>
      <c r="AV4319" t="s">
        <v>1269</v>
      </c>
      <c r="AW4319" t="s">
        <v>60</v>
      </c>
      <c r="AX4319" t="s">
        <v>68</v>
      </c>
      <c r="AY4319" t="s">
        <v>69</v>
      </c>
      <c r="AZ4319" t="b">
        <v>1</v>
      </c>
    </row>
    <row r="4320" spans="1:52" x14ac:dyDescent="0.3">
      <c r="A4320" t="s">
        <v>52</v>
      </c>
      <c r="B4320" t="s">
        <v>53</v>
      </c>
      <c r="C4320" t="s">
        <v>54</v>
      </c>
      <c r="D4320" t="s">
        <v>55</v>
      </c>
      <c r="E4320" t="s">
        <v>2222</v>
      </c>
      <c r="F4320" t="s">
        <v>1247</v>
      </c>
      <c r="G4320" t="s">
        <v>1127</v>
      </c>
      <c r="H4320" t="s">
        <v>1270</v>
      </c>
      <c r="I4320" t="s">
        <v>1270</v>
      </c>
      <c r="J4320" t="s">
        <v>60</v>
      </c>
      <c r="K4320" t="s">
        <v>200</v>
      </c>
      <c r="L4320" t="s">
        <v>62</v>
      </c>
      <c r="M4320" t="s">
        <v>200</v>
      </c>
      <c r="N4320" t="s">
        <v>1271</v>
      </c>
      <c r="O4320" t="s">
        <v>315</v>
      </c>
      <c r="P4320">
        <v>-20.123483</v>
      </c>
      <c r="Q4320">
        <v>-44.904159</v>
      </c>
      <c r="R4320" s="2" t="str">
        <f>HYPERLINK("https://www.google.com/maps?q=-20.1234830,-44.9041590","Abrir no Google Maps")</f>
        <v>Abrir no Google Maps</v>
      </c>
      <c r="S4320">
        <v>4</v>
      </c>
      <c r="T4320">
        <v>1046.2792913459141</v>
      </c>
      <c r="U4320">
        <v>1</v>
      </c>
      <c r="V4320">
        <v>0.1812865497076023</v>
      </c>
      <c r="W4320">
        <v>0.85</v>
      </c>
      <c r="X4320">
        <v>0.15409356725146189</v>
      </c>
      <c r="Y4320">
        <v>567</v>
      </c>
      <c r="Z4320">
        <v>1072.1273144328541</v>
      </c>
      <c r="AA4320">
        <v>198</v>
      </c>
      <c r="AB4320">
        <v>332</v>
      </c>
      <c r="AC4320">
        <v>536</v>
      </c>
      <c r="AD4320">
        <v>29.32</v>
      </c>
      <c r="AE4320">
        <v>542</v>
      </c>
      <c r="AF4320">
        <v>27</v>
      </c>
      <c r="AG4320">
        <v>173</v>
      </c>
      <c r="AH4320">
        <v>129</v>
      </c>
      <c r="AI4320">
        <v>4.9800000000000004</v>
      </c>
      <c r="AJ4320">
        <v>31.92</v>
      </c>
      <c r="AK4320">
        <v>23.8</v>
      </c>
      <c r="AL4320">
        <v>-20.12548399999994</v>
      </c>
      <c r="AM4320">
        <v>-44.903913990586467</v>
      </c>
      <c r="AN4320">
        <v>-20.12548399999994</v>
      </c>
      <c r="AO4320">
        <v>-44.903913990586467</v>
      </c>
      <c r="AP4320">
        <v>-20.123483</v>
      </c>
      <c r="AQ4320">
        <v>-44.904159</v>
      </c>
      <c r="AR4320">
        <v>224.218591682908</v>
      </c>
      <c r="AS4320" t="s">
        <v>65</v>
      </c>
      <c r="AT4320">
        <v>1</v>
      </c>
      <c r="AU4320" t="s">
        <v>1272</v>
      </c>
      <c r="AV4320" t="s">
        <v>1273</v>
      </c>
      <c r="AW4320" t="s">
        <v>60</v>
      </c>
      <c r="AX4320" t="s">
        <v>68</v>
      </c>
      <c r="AY4320" t="s">
        <v>69</v>
      </c>
      <c r="AZ4320" t="b">
        <v>1</v>
      </c>
    </row>
    <row r="4321" spans="1:52" x14ac:dyDescent="0.3">
      <c r="A4321" t="s">
        <v>52</v>
      </c>
      <c r="B4321" t="s">
        <v>53</v>
      </c>
      <c r="C4321" t="s">
        <v>54</v>
      </c>
      <c r="D4321" t="s">
        <v>55</v>
      </c>
      <c r="E4321" t="s">
        <v>2222</v>
      </c>
      <c r="F4321" t="s">
        <v>1247</v>
      </c>
      <c r="G4321" t="s">
        <v>839</v>
      </c>
      <c r="H4321" t="s">
        <v>840</v>
      </c>
      <c r="I4321" t="s">
        <v>840</v>
      </c>
      <c r="J4321" t="s">
        <v>60</v>
      </c>
      <c r="K4321" t="s">
        <v>388</v>
      </c>
      <c r="L4321" t="s">
        <v>62</v>
      </c>
      <c r="M4321" t="s">
        <v>388</v>
      </c>
      <c r="N4321" t="s">
        <v>841</v>
      </c>
      <c r="O4321" t="s">
        <v>842</v>
      </c>
      <c r="P4321">
        <v>-20.159977999999999</v>
      </c>
      <c r="Q4321">
        <v>-44.900207000000002</v>
      </c>
      <c r="R4321" s="2" t="str">
        <f>HYPERLINK("https://www.google.com/maps?q=-20.1599780,-44.9002070","Abrir no Google Maps")</f>
        <v>Abrir no Google Maps</v>
      </c>
      <c r="S4321">
        <v>3</v>
      </c>
      <c r="T4321">
        <v>213.24333517300789</v>
      </c>
      <c r="U4321">
        <v>4</v>
      </c>
      <c r="V4321">
        <v>0.31441312310877528</v>
      </c>
      <c r="W4321">
        <v>1</v>
      </c>
      <c r="X4321">
        <v>0.31441312310877528</v>
      </c>
      <c r="Y4321">
        <v>729</v>
      </c>
      <c r="Z4321">
        <v>315.47173727880028</v>
      </c>
      <c r="AA4321">
        <v>198</v>
      </c>
      <c r="AB4321">
        <v>332</v>
      </c>
      <c r="AC4321">
        <v>536</v>
      </c>
      <c r="AD4321">
        <v>29.32</v>
      </c>
      <c r="AE4321">
        <v>542</v>
      </c>
      <c r="AF4321">
        <v>27</v>
      </c>
      <c r="AG4321">
        <v>173</v>
      </c>
      <c r="AH4321">
        <v>129</v>
      </c>
      <c r="AI4321">
        <v>4.9800000000000004</v>
      </c>
      <c r="AJ4321">
        <v>31.92</v>
      </c>
      <c r="AK4321">
        <v>23.8</v>
      </c>
      <c r="AL4321">
        <v>-20.159825649999959</v>
      </c>
      <c r="AM4321">
        <v>-44.900143828909613</v>
      </c>
      <c r="AN4321">
        <v>-20.159825649999959</v>
      </c>
      <c r="AO4321">
        <v>-44.900143828909613</v>
      </c>
      <c r="AP4321">
        <v>-20.159977999999999</v>
      </c>
      <c r="AQ4321">
        <v>-44.900207000000002</v>
      </c>
      <c r="AR4321">
        <v>18.199073573580371</v>
      </c>
      <c r="AS4321" t="s">
        <v>65</v>
      </c>
      <c r="AT4321">
        <v>1</v>
      </c>
      <c r="AU4321" t="s">
        <v>843</v>
      </c>
      <c r="AV4321" t="s">
        <v>844</v>
      </c>
      <c r="AW4321" t="s">
        <v>60</v>
      </c>
      <c r="AX4321" t="s">
        <v>68</v>
      </c>
      <c r="AY4321" t="s">
        <v>69</v>
      </c>
      <c r="AZ4321" t="b">
        <v>1</v>
      </c>
    </row>
    <row r="4322" spans="1:52" x14ac:dyDescent="0.3">
      <c r="A4322" t="s">
        <v>52</v>
      </c>
      <c r="B4322" t="s">
        <v>53</v>
      </c>
      <c r="C4322" t="s">
        <v>54</v>
      </c>
      <c r="D4322" t="s">
        <v>55</v>
      </c>
      <c r="E4322" t="s">
        <v>2222</v>
      </c>
      <c r="F4322" t="s">
        <v>1247</v>
      </c>
      <c r="G4322" t="s">
        <v>392</v>
      </c>
      <c r="H4322" t="s">
        <v>393</v>
      </c>
      <c r="I4322" t="s">
        <v>393</v>
      </c>
      <c r="J4322" t="s">
        <v>60</v>
      </c>
      <c r="K4322" t="s">
        <v>388</v>
      </c>
      <c r="L4322" t="s">
        <v>62</v>
      </c>
      <c r="M4322" t="s">
        <v>388</v>
      </c>
      <c r="N4322" t="s">
        <v>394</v>
      </c>
      <c r="O4322" t="s">
        <v>395</v>
      </c>
      <c r="P4322">
        <v>-20.158066999999999</v>
      </c>
      <c r="Q4322">
        <v>-44.908164999999997</v>
      </c>
      <c r="R4322" s="2" t="str">
        <f>HYPERLINK("https://www.google.com/maps?q=-20.1580670,-44.9081650","Abrir no Google Maps")</f>
        <v>Abrir no Google Maps</v>
      </c>
      <c r="S4322">
        <v>3</v>
      </c>
      <c r="T4322">
        <v>666.74434317993041</v>
      </c>
      <c r="U4322">
        <v>4</v>
      </c>
      <c r="V4322">
        <v>0.31451332325350762</v>
      </c>
      <c r="W4322">
        <v>1</v>
      </c>
      <c r="X4322">
        <v>0.31451332325350762</v>
      </c>
      <c r="Y4322">
        <v>729</v>
      </c>
      <c r="Z4322">
        <v>612.4323328215396</v>
      </c>
      <c r="AA4322">
        <v>198</v>
      </c>
      <c r="AB4322">
        <v>332</v>
      </c>
      <c r="AC4322">
        <v>536</v>
      </c>
      <c r="AD4322">
        <v>29.32</v>
      </c>
      <c r="AE4322">
        <v>542</v>
      </c>
      <c r="AF4322">
        <v>27</v>
      </c>
      <c r="AG4322">
        <v>173</v>
      </c>
      <c r="AH4322">
        <v>129</v>
      </c>
      <c r="AI4322">
        <v>4.9800000000000004</v>
      </c>
      <c r="AJ4322">
        <v>31.92</v>
      </c>
      <c r="AK4322">
        <v>23.8</v>
      </c>
      <c r="AL4322">
        <v>-20.158151449999959</v>
      </c>
      <c r="AM4322">
        <v>-44.908107718360938</v>
      </c>
      <c r="AN4322">
        <v>-20.158151449999959</v>
      </c>
      <c r="AO4322">
        <v>-44.908107718360938</v>
      </c>
      <c r="AP4322">
        <v>-20.158066999999999</v>
      </c>
      <c r="AQ4322">
        <v>-44.908164999999997</v>
      </c>
      <c r="AR4322">
        <v>11.14497345894574</v>
      </c>
      <c r="AS4322" t="s">
        <v>65</v>
      </c>
      <c r="AT4322">
        <v>1</v>
      </c>
      <c r="AU4322" t="s">
        <v>396</v>
      </c>
      <c r="AV4322" t="s">
        <v>397</v>
      </c>
      <c r="AW4322" t="s">
        <v>60</v>
      </c>
      <c r="AX4322" t="s">
        <v>68</v>
      </c>
      <c r="AY4322" t="s">
        <v>69</v>
      </c>
      <c r="AZ4322" t="b">
        <v>1</v>
      </c>
    </row>
    <row r="4323" spans="1:52" x14ac:dyDescent="0.3">
      <c r="A4323" t="s">
        <v>52</v>
      </c>
      <c r="B4323" t="s">
        <v>53</v>
      </c>
      <c r="C4323" t="s">
        <v>54</v>
      </c>
      <c r="D4323" t="s">
        <v>55</v>
      </c>
      <c r="E4323" t="s">
        <v>2222</v>
      </c>
      <c r="F4323" t="s">
        <v>1247</v>
      </c>
      <c r="G4323" t="s">
        <v>398</v>
      </c>
      <c r="H4323" t="s">
        <v>399</v>
      </c>
      <c r="I4323" t="s">
        <v>399</v>
      </c>
      <c r="J4323" t="s">
        <v>60</v>
      </c>
      <c r="K4323" t="s">
        <v>388</v>
      </c>
      <c r="L4323" t="s">
        <v>62</v>
      </c>
      <c r="M4323" t="s">
        <v>388</v>
      </c>
      <c r="N4323" t="s">
        <v>400</v>
      </c>
      <c r="O4323" t="s">
        <v>401</v>
      </c>
      <c r="P4323">
        <v>-20.160157000000002</v>
      </c>
      <c r="Q4323">
        <v>-44.904347999999999</v>
      </c>
      <c r="R4323" s="2" t="str">
        <f>HYPERLINK("https://www.google.com/maps?q=-20.1601570,-44.9043480","Abrir no Google Maps")</f>
        <v>Abrir no Google Maps</v>
      </c>
      <c r="S4323">
        <v>3</v>
      </c>
      <c r="T4323">
        <v>469.26088527154809</v>
      </c>
      <c r="U4323">
        <v>4</v>
      </c>
      <c r="V4323">
        <v>0.33401779986671898</v>
      </c>
      <c r="W4323">
        <v>1</v>
      </c>
      <c r="X4323">
        <v>0.33401779986671898</v>
      </c>
      <c r="Y4323">
        <v>729</v>
      </c>
      <c r="Z4323">
        <v>253.57832452309071</v>
      </c>
      <c r="AA4323">
        <v>198</v>
      </c>
      <c r="AB4323">
        <v>332</v>
      </c>
      <c r="AC4323">
        <v>536</v>
      </c>
      <c r="AD4323">
        <v>29.32</v>
      </c>
      <c r="AE4323">
        <v>542</v>
      </c>
      <c r="AF4323">
        <v>27</v>
      </c>
      <c r="AG4323">
        <v>173</v>
      </c>
      <c r="AH4323">
        <v>129</v>
      </c>
      <c r="AI4323">
        <v>4.9800000000000004</v>
      </c>
      <c r="AJ4323">
        <v>31.92</v>
      </c>
      <c r="AK4323">
        <v>23.8</v>
      </c>
      <c r="AL4323">
        <v>-20.160007949999969</v>
      </c>
      <c r="AM4323">
        <v>-44.904396608560482</v>
      </c>
      <c r="AN4323">
        <v>-20.160007949999969</v>
      </c>
      <c r="AO4323">
        <v>-44.904396608560482</v>
      </c>
      <c r="AP4323">
        <v>-20.160157000000002</v>
      </c>
      <c r="AQ4323">
        <v>-44.904347999999999</v>
      </c>
      <c r="AR4323">
        <v>17.35237255387942</v>
      </c>
      <c r="AS4323" t="s">
        <v>65</v>
      </c>
      <c r="AT4323">
        <v>1</v>
      </c>
      <c r="AU4323" t="s">
        <v>402</v>
      </c>
      <c r="AV4323" t="s">
        <v>403</v>
      </c>
      <c r="AW4323" t="s">
        <v>60</v>
      </c>
      <c r="AX4323" t="s">
        <v>68</v>
      </c>
      <c r="AY4323" t="s">
        <v>69</v>
      </c>
      <c r="AZ4323" t="b">
        <v>1</v>
      </c>
    </row>
    <row r="4324" spans="1:52" x14ac:dyDescent="0.3">
      <c r="A4324" t="s">
        <v>52</v>
      </c>
      <c r="B4324" t="s">
        <v>53</v>
      </c>
      <c r="C4324" t="s">
        <v>54</v>
      </c>
      <c r="D4324" t="s">
        <v>55</v>
      </c>
      <c r="E4324" t="s">
        <v>2222</v>
      </c>
      <c r="F4324" t="s">
        <v>1247</v>
      </c>
      <c r="G4324" t="s">
        <v>404</v>
      </c>
      <c r="H4324" t="s">
        <v>405</v>
      </c>
      <c r="I4324" t="s">
        <v>405</v>
      </c>
      <c r="J4324" t="s">
        <v>60</v>
      </c>
      <c r="K4324" t="s">
        <v>388</v>
      </c>
      <c r="L4324" t="s">
        <v>62</v>
      </c>
      <c r="M4324" t="s">
        <v>388</v>
      </c>
      <c r="N4324" t="s">
        <v>406</v>
      </c>
      <c r="O4324" t="s">
        <v>407</v>
      </c>
      <c r="P4324">
        <v>-20.162780999999999</v>
      </c>
      <c r="Q4324">
        <v>-44.904437999999999</v>
      </c>
      <c r="R4324" s="2" t="str">
        <f>HYPERLINK("https://www.google.com/maps?q=-20.1627810,-44.9044380","Abrir no Google Maps")</f>
        <v>Abrir no Google Maps</v>
      </c>
      <c r="S4324">
        <v>3</v>
      </c>
      <c r="T4324">
        <v>681.0891377731482</v>
      </c>
      <c r="U4324">
        <v>4</v>
      </c>
      <c r="V4324">
        <v>0.34674498669341008</v>
      </c>
      <c r="W4324">
        <v>1</v>
      </c>
      <c r="X4324">
        <v>0.34674498669341008</v>
      </c>
      <c r="Y4324">
        <v>729</v>
      </c>
      <c r="Z4324">
        <v>564.17713687218622</v>
      </c>
      <c r="AA4324">
        <v>198</v>
      </c>
      <c r="AB4324">
        <v>332</v>
      </c>
      <c r="AC4324">
        <v>536</v>
      </c>
      <c r="AD4324">
        <v>29.32</v>
      </c>
      <c r="AE4324">
        <v>542</v>
      </c>
      <c r="AF4324">
        <v>27</v>
      </c>
      <c r="AG4324">
        <v>173</v>
      </c>
      <c r="AH4324">
        <v>129</v>
      </c>
      <c r="AI4324">
        <v>4.9800000000000004</v>
      </c>
      <c r="AJ4324">
        <v>31.92</v>
      </c>
      <c r="AK4324">
        <v>23.8</v>
      </c>
      <c r="AL4324">
        <v>-20.16295434999995</v>
      </c>
      <c r="AM4324">
        <v>-44.904242686956152</v>
      </c>
      <c r="AN4324">
        <v>-20.16295434999995</v>
      </c>
      <c r="AO4324">
        <v>-44.904242686956152</v>
      </c>
      <c r="AP4324">
        <v>-20.162780999999999</v>
      </c>
      <c r="AQ4324">
        <v>-44.904437999999999</v>
      </c>
      <c r="AR4324">
        <v>28.088191280523411</v>
      </c>
      <c r="AS4324" t="s">
        <v>65</v>
      </c>
      <c r="AT4324">
        <v>1</v>
      </c>
      <c r="AU4324" t="s">
        <v>408</v>
      </c>
      <c r="AV4324" t="s">
        <v>409</v>
      </c>
      <c r="AW4324" t="s">
        <v>60</v>
      </c>
      <c r="AX4324" t="s">
        <v>68</v>
      </c>
      <c r="AY4324" t="s">
        <v>69</v>
      </c>
      <c r="AZ4324" t="b">
        <v>1</v>
      </c>
    </row>
    <row r="4325" spans="1:52" x14ac:dyDescent="0.3">
      <c r="A4325" t="s">
        <v>52</v>
      </c>
      <c r="B4325" t="s">
        <v>53</v>
      </c>
      <c r="C4325" t="s">
        <v>54</v>
      </c>
      <c r="D4325" t="s">
        <v>55</v>
      </c>
      <c r="E4325" t="s">
        <v>2222</v>
      </c>
      <c r="F4325" t="s">
        <v>1247</v>
      </c>
      <c r="G4325" t="s">
        <v>410</v>
      </c>
      <c r="H4325" t="s">
        <v>411</v>
      </c>
      <c r="I4325" t="s">
        <v>411</v>
      </c>
      <c r="J4325" t="s">
        <v>60</v>
      </c>
      <c r="K4325" t="s">
        <v>388</v>
      </c>
      <c r="L4325" t="s">
        <v>62</v>
      </c>
      <c r="M4325" t="s">
        <v>388</v>
      </c>
      <c r="N4325" t="s">
        <v>412</v>
      </c>
      <c r="O4325" t="s">
        <v>413</v>
      </c>
      <c r="P4325">
        <v>-20.161394000000001</v>
      </c>
      <c r="Q4325">
        <v>-44.906725999999999</v>
      </c>
      <c r="R4325" s="2" t="str">
        <f>HYPERLINK("https://www.google.com/maps?q=-20.1613940,-44.9067260","Abrir no Google Maps")</f>
        <v>Abrir no Google Maps</v>
      </c>
      <c r="S4325">
        <v>3</v>
      </c>
      <c r="T4325">
        <v>763.68157548493457</v>
      </c>
      <c r="U4325">
        <v>4</v>
      </c>
      <c r="V4325">
        <v>0.33398417801311142</v>
      </c>
      <c r="W4325">
        <v>1</v>
      </c>
      <c r="X4325">
        <v>0.33398417801311142</v>
      </c>
      <c r="Y4325">
        <v>729</v>
      </c>
      <c r="Z4325">
        <v>551.70379325948545</v>
      </c>
      <c r="AA4325">
        <v>198</v>
      </c>
      <c r="AB4325">
        <v>332</v>
      </c>
      <c r="AC4325">
        <v>536</v>
      </c>
      <c r="AD4325">
        <v>29.32</v>
      </c>
      <c r="AE4325">
        <v>542</v>
      </c>
      <c r="AF4325">
        <v>27</v>
      </c>
      <c r="AG4325">
        <v>173</v>
      </c>
      <c r="AH4325">
        <v>129</v>
      </c>
      <c r="AI4325">
        <v>4.9800000000000004</v>
      </c>
      <c r="AJ4325">
        <v>31.92</v>
      </c>
      <c r="AK4325">
        <v>23.8</v>
      </c>
      <c r="AL4325">
        <v>-20.161371049999929</v>
      </c>
      <c r="AM4325">
        <v>-44.906816797310228</v>
      </c>
      <c r="AN4325">
        <v>-20.161371049999929</v>
      </c>
      <c r="AO4325">
        <v>-44.906816797310228</v>
      </c>
      <c r="AP4325">
        <v>-20.161394000000001</v>
      </c>
      <c r="AQ4325">
        <v>-44.906725999999999</v>
      </c>
      <c r="AR4325">
        <v>9.8261555662022495</v>
      </c>
      <c r="AS4325" t="s">
        <v>65</v>
      </c>
      <c r="AT4325">
        <v>1</v>
      </c>
      <c r="AU4325" t="s">
        <v>414</v>
      </c>
      <c r="AV4325" t="s">
        <v>415</v>
      </c>
      <c r="AW4325" t="s">
        <v>60</v>
      </c>
      <c r="AX4325" t="s">
        <v>68</v>
      </c>
      <c r="AY4325" t="s">
        <v>69</v>
      </c>
      <c r="AZ4325" t="b">
        <v>1</v>
      </c>
    </row>
    <row r="4326" spans="1:52" x14ac:dyDescent="0.3">
      <c r="A4326" t="s">
        <v>52</v>
      </c>
      <c r="B4326" t="s">
        <v>53</v>
      </c>
      <c r="C4326" t="s">
        <v>54</v>
      </c>
      <c r="D4326" t="s">
        <v>55</v>
      </c>
      <c r="E4326" t="s">
        <v>2222</v>
      </c>
      <c r="F4326" t="s">
        <v>1247</v>
      </c>
      <c r="G4326" t="s">
        <v>416</v>
      </c>
      <c r="H4326" t="s">
        <v>417</v>
      </c>
      <c r="I4326" t="s">
        <v>417</v>
      </c>
      <c r="J4326" t="s">
        <v>60</v>
      </c>
      <c r="K4326" t="s">
        <v>418</v>
      </c>
      <c r="L4326" t="s">
        <v>62</v>
      </c>
      <c r="M4326" t="s">
        <v>418</v>
      </c>
      <c r="N4326" t="s">
        <v>419</v>
      </c>
      <c r="O4326" t="s">
        <v>202</v>
      </c>
      <c r="P4326">
        <v>-20.169886000000002</v>
      </c>
      <c r="Q4326">
        <v>-44.913288000000001</v>
      </c>
      <c r="R4326" s="2" t="str">
        <f>HYPERLINK("https://www.google.com/maps?q=-20.1698860,-44.9132880","Abrir no Google Maps")</f>
        <v>Abrir no Google Maps</v>
      </c>
      <c r="S4326">
        <v>3</v>
      </c>
      <c r="T4326">
        <v>422.88733632898152</v>
      </c>
      <c r="U4326">
        <v>4</v>
      </c>
      <c r="V4326">
        <v>0.35912389427406111</v>
      </c>
      <c r="W4326">
        <v>1</v>
      </c>
      <c r="X4326">
        <v>0.35912389427406111</v>
      </c>
      <c r="Y4326">
        <v>723</v>
      </c>
      <c r="Z4326">
        <v>128.65003864232261</v>
      </c>
      <c r="AA4326">
        <v>198</v>
      </c>
      <c r="AB4326">
        <v>332</v>
      </c>
      <c r="AC4326">
        <v>536</v>
      </c>
      <c r="AD4326">
        <v>29.32</v>
      </c>
      <c r="AE4326">
        <v>542</v>
      </c>
      <c r="AF4326">
        <v>27</v>
      </c>
      <c r="AG4326">
        <v>173</v>
      </c>
      <c r="AH4326">
        <v>129</v>
      </c>
      <c r="AI4326">
        <v>4.9800000000000004</v>
      </c>
      <c r="AJ4326">
        <v>31.92</v>
      </c>
      <c r="AK4326">
        <v>23.8</v>
      </c>
      <c r="AL4326">
        <v>-20.16970024999998</v>
      </c>
      <c r="AM4326">
        <v>-44.913502201257437</v>
      </c>
      <c r="AN4326">
        <v>-20.16970024999998</v>
      </c>
      <c r="AO4326">
        <v>-44.913502201257437</v>
      </c>
      <c r="AP4326">
        <v>-20.169886000000002</v>
      </c>
      <c r="AQ4326">
        <v>-44.913288000000001</v>
      </c>
      <c r="AR4326">
        <v>30.47208587597606</v>
      </c>
      <c r="AS4326" t="s">
        <v>65</v>
      </c>
      <c r="AT4326">
        <v>1</v>
      </c>
      <c r="AU4326" t="s">
        <v>420</v>
      </c>
      <c r="AV4326" t="s">
        <v>421</v>
      </c>
      <c r="AW4326" t="s">
        <v>60</v>
      </c>
      <c r="AX4326" t="s">
        <v>68</v>
      </c>
      <c r="AY4326" t="s">
        <v>69</v>
      </c>
      <c r="AZ4326" t="b">
        <v>1</v>
      </c>
    </row>
    <row r="4327" spans="1:52" x14ac:dyDescent="0.3">
      <c r="A4327" t="s">
        <v>52</v>
      </c>
      <c r="B4327" t="s">
        <v>53</v>
      </c>
      <c r="C4327" t="s">
        <v>54</v>
      </c>
      <c r="D4327" t="s">
        <v>55</v>
      </c>
      <c r="E4327" t="s">
        <v>2222</v>
      </c>
      <c r="F4327" t="s">
        <v>1247</v>
      </c>
      <c r="G4327" t="s">
        <v>422</v>
      </c>
      <c r="H4327" t="s">
        <v>423</v>
      </c>
      <c r="I4327" t="s">
        <v>423</v>
      </c>
      <c r="J4327" t="s">
        <v>60</v>
      </c>
      <c r="K4327" t="s">
        <v>424</v>
      </c>
      <c r="L4327" t="s">
        <v>62</v>
      </c>
      <c r="M4327" t="s">
        <v>424</v>
      </c>
      <c r="N4327" t="s">
        <v>425</v>
      </c>
      <c r="O4327" t="s">
        <v>426</v>
      </c>
      <c r="P4327">
        <v>-20.177748000000001</v>
      </c>
      <c r="Q4327">
        <v>-44.912475000000001</v>
      </c>
      <c r="R4327" s="2" t="str">
        <f>HYPERLINK("https://www.google.com/maps?q=-20.1777480,-44.9124750","Abrir no Google Maps")</f>
        <v>Abrir no Google Maps</v>
      </c>
      <c r="S4327">
        <v>3</v>
      </c>
      <c r="T4327">
        <v>657.07560140436533</v>
      </c>
      <c r="U4327">
        <v>4</v>
      </c>
      <c r="V4327">
        <v>0.31784310589649267</v>
      </c>
      <c r="W4327">
        <v>1</v>
      </c>
      <c r="X4327">
        <v>0.31784310589649267</v>
      </c>
      <c r="Y4327">
        <v>723</v>
      </c>
      <c r="Z4327">
        <v>796.94198000561175</v>
      </c>
      <c r="AA4327">
        <v>198</v>
      </c>
      <c r="AB4327">
        <v>332</v>
      </c>
      <c r="AC4327">
        <v>536</v>
      </c>
      <c r="AD4327">
        <v>29.32</v>
      </c>
      <c r="AE4327">
        <v>542</v>
      </c>
      <c r="AF4327">
        <v>27</v>
      </c>
      <c r="AG4327">
        <v>173</v>
      </c>
      <c r="AH4327">
        <v>129</v>
      </c>
      <c r="AI4327">
        <v>4.9800000000000004</v>
      </c>
      <c r="AJ4327">
        <v>31.92</v>
      </c>
      <c r="AK4327">
        <v>23.8</v>
      </c>
      <c r="AL4327">
        <v>-20.177761749999949</v>
      </c>
      <c r="AM4327">
        <v>-44.91263311624418</v>
      </c>
      <c r="AN4327">
        <v>-20.177761749999949</v>
      </c>
      <c r="AO4327">
        <v>-44.91263311624418</v>
      </c>
      <c r="AP4327">
        <v>-20.177748000000001</v>
      </c>
      <c r="AQ4327">
        <v>-44.912475000000001</v>
      </c>
      <c r="AR4327">
        <v>16.591996803075372</v>
      </c>
      <c r="AS4327" t="s">
        <v>65</v>
      </c>
      <c r="AT4327">
        <v>1</v>
      </c>
      <c r="AU4327" t="s">
        <v>427</v>
      </c>
      <c r="AV4327" t="s">
        <v>428</v>
      </c>
      <c r="AW4327" t="s">
        <v>60</v>
      </c>
      <c r="AX4327" t="s">
        <v>68</v>
      </c>
      <c r="AY4327" t="s">
        <v>69</v>
      </c>
      <c r="AZ4327" t="b">
        <v>1</v>
      </c>
    </row>
    <row r="4328" spans="1:52" x14ac:dyDescent="0.3">
      <c r="A4328" t="s">
        <v>52</v>
      </c>
      <c r="B4328" t="s">
        <v>53</v>
      </c>
      <c r="C4328" t="s">
        <v>54</v>
      </c>
      <c r="D4328" t="s">
        <v>55</v>
      </c>
      <c r="E4328" t="s">
        <v>2222</v>
      </c>
      <c r="F4328" t="s">
        <v>1247</v>
      </c>
      <c r="G4328" t="s">
        <v>429</v>
      </c>
      <c r="H4328" t="s">
        <v>430</v>
      </c>
      <c r="I4328" t="s">
        <v>430</v>
      </c>
      <c r="J4328" t="s">
        <v>60</v>
      </c>
      <c r="K4328" t="s">
        <v>431</v>
      </c>
      <c r="L4328" t="s">
        <v>62</v>
      </c>
      <c r="M4328" t="s">
        <v>431</v>
      </c>
      <c r="N4328" t="s">
        <v>432</v>
      </c>
      <c r="O4328" t="s">
        <v>315</v>
      </c>
      <c r="P4328">
        <v>-20.172698</v>
      </c>
      <c r="Q4328">
        <v>-44.923842</v>
      </c>
      <c r="R4328" s="2" t="str">
        <f>HYPERLINK("https://www.google.com/maps?q=-20.1726980,-44.9238420","Abrir no Google Maps")</f>
        <v>Abrir no Google Maps</v>
      </c>
      <c r="S4328">
        <v>3</v>
      </c>
      <c r="T4328">
        <v>1376.1843173402931</v>
      </c>
      <c r="U4328">
        <v>4</v>
      </c>
      <c r="V4328">
        <v>0.39866234130321598</v>
      </c>
      <c r="W4328">
        <v>0.85</v>
      </c>
      <c r="X4328">
        <v>0.33886299010773357</v>
      </c>
      <c r="Y4328">
        <v>723</v>
      </c>
      <c r="Z4328">
        <v>1101.340635002096</v>
      </c>
      <c r="AA4328">
        <v>198</v>
      </c>
      <c r="AB4328">
        <v>332</v>
      </c>
      <c r="AC4328">
        <v>536</v>
      </c>
      <c r="AD4328">
        <v>29.32</v>
      </c>
      <c r="AE4328">
        <v>542</v>
      </c>
      <c r="AF4328">
        <v>27</v>
      </c>
      <c r="AG4328">
        <v>173</v>
      </c>
      <c r="AH4328">
        <v>129</v>
      </c>
      <c r="AI4328">
        <v>4.9800000000000004</v>
      </c>
      <c r="AJ4328">
        <v>31.92</v>
      </c>
      <c r="AK4328">
        <v>23.8</v>
      </c>
      <c r="AL4328">
        <v>-20.172942799999959</v>
      </c>
      <c r="AM4328">
        <v>-44.923585372665762</v>
      </c>
      <c r="AN4328">
        <v>-20.172942799999959</v>
      </c>
      <c r="AO4328">
        <v>-44.923585372665762</v>
      </c>
      <c r="AP4328">
        <v>-20.172698</v>
      </c>
      <c r="AQ4328">
        <v>-44.923842</v>
      </c>
      <c r="AR4328">
        <v>38.231981408478958</v>
      </c>
      <c r="AS4328" t="s">
        <v>65</v>
      </c>
      <c r="AT4328">
        <v>1</v>
      </c>
      <c r="AU4328" t="s">
        <v>433</v>
      </c>
      <c r="AV4328" t="s">
        <v>434</v>
      </c>
      <c r="AW4328" t="s">
        <v>60</v>
      </c>
      <c r="AX4328" t="s">
        <v>68</v>
      </c>
      <c r="AY4328" t="s">
        <v>69</v>
      </c>
      <c r="AZ4328" t="b">
        <v>1</v>
      </c>
    </row>
    <row r="4329" spans="1:52" x14ac:dyDescent="0.3">
      <c r="A4329" t="s">
        <v>52</v>
      </c>
      <c r="B4329" t="s">
        <v>53</v>
      </c>
      <c r="C4329" t="s">
        <v>54</v>
      </c>
      <c r="D4329" t="s">
        <v>55</v>
      </c>
      <c r="E4329" t="s">
        <v>2222</v>
      </c>
      <c r="F4329" t="s">
        <v>1247</v>
      </c>
      <c r="G4329" t="s">
        <v>435</v>
      </c>
      <c r="H4329" t="s">
        <v>436</v>
      </c>
      <c r="I4329" t="s">
        <v>436</v>
      </c>
      <c r="J4329" t="s">
        <v>60</v>
      </c>
      <c r="K4329" t="s">
        <v>437</v>
      </c>
      <c r="L4329" t="s">
        <v>62</v>
      </c>
      <c r="M4329" t="s">
        <v>437</v>
      </c>
      <c r="N4329" t="s">
        <v>438</v>
      </c>
      <c r="O4329" t="s">
        <v>439</v>
      </c>
      <c r="P4329">
        <v>-20.145613000000001</v>
      </c>
      <c r="Q4329">
        <v>-44.882375000000003</v>
      </c>
      <c r="R4329" s="2" t="str">
        <f>HYPERLINK("https://www.google.com/maps?q=-20.1456130,-44.8823750","Abrir no Google Maps")</f>
        <v>Abrir no Google Maps</v>
      </c>
      <c r="S4329">
        <v>3</v>
      </c>
      <c r="T4329">
        <v>305.65092112314198</v>
      </c>
      <c r="U4329">
        <v>4</v>
      </c>
      <c r="V4329">
        <v>0.32851010956737831</v>
      </c>
      <c r="W4329">
        <v>1</v>
      </c>
      <c r="X4329">
        <v>0.32851010956737831</v>
      </c>
      <c r="Y4329">
        <v>653</v>
      </c>
      <c r="Z4329">
        <v>349.55297035282501</v>
      </c>
      <c r="AA4329">
        <v>198</v>
      </c>
      <c r="AB4329">
        <v>332</v>
      </c>
      <c r="AC4329">
        <v>536</v>
      </c>
      <c r="AD4329">
        <v>29.32</v>
      </c>
      <c r="AE4329">
        <v>542</v>
      </c>
      <c r="AF4329">
        <v>27</v>
      </c>
      <c r="AG4329">
        <v>173</v>
      </c>
      <c r="AH4329">
        <v>129</v>
      </c>
      <c r="AI4329">
        <v>4.9800000000000004</v>
      </c>
      <c r="AJ4329">
        <v>31.92</v>
      </c>
      <c r="AK4329">
        <v>23.8</v>
      </c>
      <c r="AL4329">
        <v>-20.14550464999996</v>
      </c>
      <c r="AM4329">
        <v>-44.882157007077737</v>
      </c>
      <c r="AN4329">
        <v>-20.14550464999996</v>
      </c>
      <c r="AO4329">
        <v>-44.882157007077737</v>
      </c>
      <c r="AP4329">
        <v>-20.145613000000001</v>
      </c>
      <c r="AQ4329">
        <v>-44.882375000000003</v>
      </c>
      <c r="AR4329">
        <v>25.77819791856259</v>
      </c>
      <c r="AS4329" t="s">
        <v>65</v>
      </c>
      <c r="AT4329">
        <v>1</v>
      </c>
      <c r="AU4329" t="s">
        <v>440</v>
      </c>
      <c r="AV4329" t="s">
        <v>441</v>
      </c>
      <c r="AW4329" t="s">
        <v>60</v>
      </c>
      <c r="AX4329" t="s">
        <v>68</v>
      </c>
      <c r="AY4329" t="s">
        <v>69</v>
      </c>
      <c r="AZ4329" t="b">
        <v>1</v>
      </c>
    </row>
    <row r="4330" spans="1:52" x14ac:dyDescent="0.3">
      <c r="A4330" t="s">
        <v>52</v>
      </c>
      <c r="B4330" t="s">
        <v>53</v>
      </c>
      <c r="C4330" t="s">
        <v>54</v>
      </c>
      <c r="D4330" t="s">
        <v>55</v>
      </c>
      <c r="E4330" t="s">
        <v>2222</v>
      </c>
      <c r="F4330" t="s">
        <v>1247</v>
      </c>
      <c r="G4330" t="s">
        <v>442</v>
      </c>
      <c r="H4330" t="s">
        <v>443</v>
      </c>
      <c r="I4330" t="s">
        <v>443</v>
      </c>
      <c r="J4330" t="s">
        <v>60</v>
      </c>
      <c r="K4330" t="s">
        <v>437</v>
      </c>
      <c r="L4330" t="s">
        <v>62</v>
      </c>
      <c r="M4330" t="s">
        <v>437</v>
      </c>
      <c r="N4330" t="s">
        <v>444</v>
      </c>
      <c r="O4330" t="s">
        <v>445</v>
      </c>
      <c r="P4330">
        <v>-20.149744999999999</v>
      </c>
      <c r="Q4330">
        <v>-44.881385000000002</v>
      </c>
      <c r="R4330" s="2" t="str">
        <f>HYPERLINK("https://www.google.com/maps?q=-20.1497450,-44.8813850","Abrir no Google Maps")</f>
        <v>Abrir no Google Maps</v>
      </c>
      <c r="S4330">
        <v>3</v>
      </c>
      <c r="T4330">
        <v>188.80690546111239</v>
      </c>
      <c r="U4330">
        <v>4</v>
      </c>
      <c r="V4330">
        <v>0.34581785440072199</v>
      </c>
      <c r="W4330">
        <v>1</v>
      </c>
      <c r="X4330">
        <v>0.34581785440072199</v>
      </c>
      <c r="Y4330">
        <v>653</v>
      </c>
      <c r="Z4330">
        <v>86.575080390731017</v>
      </c>
      <c r="AA4330">
        <v>198</v>
      </c>
      <c r="AB4330">
        <v>332</v>
      </c>
      <c r="AC4330">
        <v>536</v>
      </c>
      <c r="AD4330">
        <v>29.32</v>
      </c>
      <c r="AE4330">
        <v>542</v>
      </c>
      <c r="AF4330">
        <v>27</v>
      </c>
      <c r="AG4330">
        <v>173</v>
      </c>
      <c r="AH4330">
        <v>129</v>
      </c>
      <c r="AI4330">
        <v>4.9800000000000004</v>
      </c>
      <c r="AJ4330">
        <v>31.92</v>
      </c>
      <c r="AK4330">
        <v>23.8</v>
      </c>
      <c r="AL4330">
        <v>-20.149645149999941</v>
      </c>
      <c r="AM4330">
        <v>-44.881504585149607</v>
      </c>
      <c r="AN4330">
        <v>-20.149645149999941</v>
      </c>
      <c r="AO4330">
        <v>-44.881504585149607</v>
      </c>
      <c r="AP4330">
        <v>-20.149744999999999</v>
      </c>
      <c r="AQ4330">
        <v>-44.881385000000002</v>
      </c>
      <c r="AR4330">
        <v>16.725323110840389</v>
      </c>
      <c r="AS4330" t="s">
        <v>65</v>
      </c>
      <c r="AT4330">
        <v>1</v>
      </c>
      <c r="AU4330" t="s">
        <v>446</v>
      </c>
      <c r="AV4330" t="s">
        <v>447</v>
      </c>
      <c r="AW4330" t="s">
        <v>60</v>
      </c>
      <c r="AX4330" t="s">
        <v>68</v>
      </c>
      <c r="AY4330" t="s">
        <v>69</v>
      </c>
      <c r="AZ4330" t="b">
        <v>1</v>
      </c>
    </row>
    <row r="4331" spans="1:52" x14ac:dyDescent="0.3">
      <c r="A4331" t="s">
        <v>52</v>
      </c>
      <c r="B4331" t="s">
        <v>53</v>
      </c>
      <c r="C4331" t="s">
        <v>54</v>
      </c>
      <c r="D4331" t="s">
        <v>55</v>
      </c>
      <c r="E4331" t="s">
        <v>2222</v>
      </c>
      <c r="F4331" t="s">
        <v>1247</v>
      </c>
      <c r="G4331" t="s">
        <v>448</v>
      </c>
      <c r="H4331" t="s">
        <v>449</v>
      </c>
      <c r="I4331" t="s">
        <v>449</v>
      </c>
      <c r="J4331" t="s">
        <v>60</v>
      </c>
      <c r="K4331" t="s">
        <v>388</v>
      </c>
      <c r="L4331" t="s">
        <v>62</v>
      </c>
      <c r="M4331" t="s">
        <v>388</v>
      </c>
      <c r="N4331" t="s">
        <v>450</v>
      </c>
      <c r="O4331" t="s">
        <v>451</v>
      </c>
      <c r="P4331">
        <v>-20.163981</v>
      </c>
      <c r="Q4331">
        <v>-44.907128999999998</v>
      </c>
      <c r="R4331" s="2" t="str">
        <f>HYPERLINK("https://www.google.com/maps?q=-20.1639810,-44.9071290","Abrir no Google Maps")</f>
        <v>Abrir no Google Maps</v>
      </c>
      <c r="S4331">
        <v>3</v>
      </c>
      <c r="T4331">
        <v>782.50730806588319</v>
      </c>
      <c r="U4331">
        <v>4</v>
      </c>
      <c r="V4331">
        <v>0.3459574351379518</v>
      </c>
      <c r="W4331">
        <v>1</v>
      </c>
      <c r="X4331">
        <v>0.3459574351379518</v>
      </c>
      <c r="Y4331">
        <v>639</v>
      </c>
      <c r="Z4331">
        <v>710.90621453796166</v>
      </c>
      <c r="AA4331">
        <v>198</v>
      </c>
      <c r="AB4331">
        <v>332</v>
      </c>
      <c r="AC4331">
        <v>536</v>
      </c>
      <c r="AD4331">
        <v>29.32</v>
      </c>
      <c r="AE4331">
        <v>542</v>
      </c>
      <c r="AF4331">
        <v>27</v>
      </c>
      <c r="AG4331">
        <v>173</v>
      </c>
      <c r="AH4331">
        <v>129</v>
      </c>
      <c r="AI4331">
        <v>4.9800000000000004</v>
      </c>
      <c r="AJ4331">
        <v>31.92</v>
      </c>
      <c r="AK4331">
        <v>23.8</v>
      </c>
      <c r="AL4331">
        <v>-20.163958349999969</v>
      </c>
      <c r="AM4331">
        <v>-44.907180923930973</v>
      </c>
      <c r="AN4331">
        <v>-20.163958349999969</v>
      </c>
      <c r="AO4331">
        <v>-44.907180923930973</v>
      </c>
      <c r="AP4331">
        <v>-20.163981</v>
      </c>
      <c r="AQ4331">
        <v>-44.907128999999998</v>
      </c>
      <c r="AR4331">
        <v>5.9831345092457884</v>
      </c>
      <c r="AS4331" t="s">
        <v>65</v>
      </c>
      <c r="AT4331">
        <v>1</v>
      </c>
      <c r="AU4331" t="s">
        <v>452</v>
      </c>
      <c r="AV4331" t="s">
        <v>453</v>
      </c>
      <c r="AW4331" t="s">
        <v>60</v>
      </c>
      <c r="AX4331" t="s">
        <v>68</v>
      </c>
      <c r="AY4331" t="s">
        <v>69</v>
      </c>
      <c r="AZ4331" t="b">
        <v>1</v>
      </c>
    </row>
    <row r="4332" spans="1:52" x14ac:dyDescent="0.3">
      <c r="A4332" t="s">
        <v>52</v>
      </c>
      <c r="B4332" t="s">
        <v>53</v>
      </c>
      <c r="C4332" t="s">
        <v>54</v>
      </c>
      <c r="D4332" t="s">
        <v>55</v>
      </c>
      <c r="E4332" t="s">
        <v>2222</v>
      </c>
      <c r="F4332" t="s">
        <v>1247</v>
      </c>
      <c r="G4332" t="s">
        <v>454</v>
      </c>
      <c r="H4332" t="s">
        <v>455</v>
      </c>
      <c r="I4332" t="s">
        <v>455</v>
      </c>
      <c r="J4332" t="s">
        <v>60</v>
      </c>
      <c r="K4332" t="s">
        <v>456</v>
      </c>
      <c r="L4332" t="s">
        <v>62</v>
      </c>
      <c r="M4332" t="s">
        <v>456</v>
      </c>
      <c r="N4332" t="s">
        <v>102</v>
      </c>
      <c r="O4332" t="s">
        <v>457</v>
      </c>
      <c r="P4332">
        <v>-20.138373999999999</v>
      </c>
      <c r="Q4332">
        <v>-44.903756999999999</v>
      </c>
      <c r="R4332" s="2" t="str">
        <f>HYPERLINK("https://www.google.com/maps?q=-20.1383740,-44.9037570","Abrir no Google Maps")</f>
        <v>Abrir no Google Maps</v>
      </c>
      <c r="S4332">
        <v>3</v>
      </c>
      <c r="T4332">
        <v>357.59466273594461</v>
      </c>
      <c r="U4332">
        <v>4</v>
      </c>
      <c r="V4332">
        <v>0.3302910052910053</v>
      </c>
      <c r="W4332">
        <v>1</v>
      </c>
      <c r="X4332">
        <v>0.3302910052910053</v>
      </c>
      <c r="Y4332">
        <v>581</v>
      </c>
      <c r="Z4332">
        <v>406.92482694505992</v>
      </c>
      <c r="AA4332">
        <v>198</v>
      </c>
      <c r="AB4332">
        <v>332</v>
      </c>
      <c r="AC4332">
        <v>536</v>
      </c>
      <c r="AD4332">
        <v>29.32</v>
      </c>
      <c r="AE4332">
        <v>542</v>
      </c>
      <c r="AF4332">
        <v>27</v>
      </c>
      <c r="AG4332">
        <v>173</v>
      </c>
      <c r="AH4332">
        <v>129</v>
      </c>
      <c r="AI4332">
        <v>4.9800000000000004</v>
      </c>
      <c r="AJ4332">
        <v>31.92</v>
      </c>
      <c r="AK4332">
        <v>23.8</v>
      </c>
      <c r="AL4332">
        <v>-20.138338199999961</v>
      </c>
      <c r="AM4332">
        <v>-44.903768618976301</v>
      </c>
      <c r="AN4332">
        <v>-20.138338199999961</v>
      </c>
      <c r="AO4332">
        <v>-44.903768618976301</v>
      </c>
      <c r="AP4332">
        <v>-20.138373999999999</v>
      </c>
      <c r="AQ4332">
        <v>-44.903756999999999</v>
      </c>
      <c r="AR4332">
        <v>4.1661625938922704</v>
      </c>
      <c r="AS4332" t="s">
        <v>65</v>
      </c>
      <c r="AT4332">
        <v>1</v>
      </c>
      <c r="AU4332" t="s">
        <v>458</v>
      </c>
      <c r="AV4332" t="s">
        <v>459</v>
      </c>
      <c r="AW4332" t="s">
        <v>60</v>
      </c>
      <c r="AX4332" t="s">
        <v>68</v>
      </c>
      <c r="AY4332" t="s">
        <v>69</v>
      </c>
      <c r="AZ4332" t="b">
        <v>1</v>
      </c>
    </row>
    <row r="4333" spans="1:52" x14ac:dyDescent="0.3">
      <c r="A4333" t="s">
        <v>52</v>
      </c>
      <c r="B4333" t="s">
        <v>53</v>
      </c>
      <c r="C4333" t="s">
        <v>54</v>
      </c>
      <c r="D4333" t="s">
        <v>55</v>
      </c>
      <c r="E4333" t="s">
        <v>2222</v>
      </c>
      <c r="F4333" t="s">
        <v>1247</v>
      </c>
      <c r="G4333" t="s">
        <v>460</v>
      </c>
      <c r="H4333" t="s">
        <v>461</v>
      </c>
      <c r="I4333" t="s">
        <v>461</v>
      </c>
      <c r="J4333" t="s">
        <v>60</v>
      </c>
      <c r="K4333" t="s">
        <v>462</v>
      </c>
      <c r="L4333" t="s">
        <v>62</v>
      </c>
      <c r="M4333" t="s">
        <v>462</v>
      </c>
      <c r="N4333" t="s">
        <v>463</v>
      </c>
      <c r="O4333" t="s">
        <v>464</v>
      </c>
      <c r="P4333">
        <v>-20.137919</v>
      </c>
      <c r="Q4333">
        <v>-44.905591000000001</v>
      </c>
      <c r="R4333" s="2" t="str">
        <f>HYPERLINK("https://www.google.com/maps?q=-20.1379190,-44.9055910","Abrir no Google Maps")</f>
        <v>Abrir no Google Maps</v>
      </c>
      <c r="S4333">
        <v>3</v>
      </c>
      <c r="T4333">
        <v>262.01115919461103</v>
      </c>
      <c r="U4333">
        <v>4</v>
      </c>
      <c r="V4333">
        <v>0.35349361088273112</v>
      </c>
      <c r="W4333">
        <v>1</v>
      </c>
      <c r="X4333">
        <v>0.35349361088273112</v>
      </c>
      <c r="Y4333">
        <v>581</v>
      </c>
      <c r="Z4333">
        <v>318.63337303219271</v>
      </c>
      <c r="AA4333">
        <v>198</v>
      </c>
      <c r="AB4333">
        <v>332</v>
      </c>
      <c r="AC4333">
        <v>536</v>
      </c>
      <c r="AD4333">
        <v>29.32</v>
      </c>
      <c r="AE4333">
        <v>542</v>
      </c>
      <c r="AF4333">
        <v>27</v>
      </c>
      <c r="AG4333">
        <v>173</v>
      </c>
      <c r="AH4333">
        <v>129</v>
      </c>
      <c r="AI4333">
        <v>4.9800000000000004</v>
      </c>
      <c r="AJ4333">
        <v>31.92</v>
      </c>
      <c r="AK4333">
        <v>23.8</v>
      </c>
      <c r="AL4333">
        <v>-20.13789079999998</v>
      </c>
      <c r="AM4333">
        <v>-44.90548593520333</v>
      </c>
      <c r="AN4333">
        <v>-20.13789079999998</v>
      </c>
      <c r="AO4333">
        <v>-44.90548593520333</v>
      </c>
      <c r="AP4333">
        <v>-20.137919</v>
      </c>
      <c r="AQ4333">
        <v>-44.905591000000001</v>
      </c>
      <c r="AR4333">
        <v>11.42072348298178</v>
      </c>
      <c r="AS4333" t="s">
        <v>65</v>
      </c>
      <c r="AT4333">
        <v>1</v>
      </c>
      <c r="AU4333" t="s">
        <v>465</v>
      </c>
      <c r="AV4333" t="s">
        <v>466</v>
      </c>
      <c r="AW4333" t="s">
        <v>60</v>
      </c>
      <c r="AX4333" t="s">
        <v>68</v>
      </c>
      <c r="AY4333" t="s">
        <v>69</v>
      </c>
      <c r="AZ4333" t="b">
        <v>1</v>
      </c>
    </row>
    <row r="4334" spans="1:52" x14ac:dyDescent="0.3">
      <c r="A4334" t="s">
        <v>52</v>
      </c>
      <c r="B4334" t="s">
        <v>53</v>
      </c>
      <c r="C4334" t="s">
        <v>54</v>
      </c>
      <c r="D4334" t="s">
        <v>55</v>
      </c>
      <c r="E4334" t="s">
        <v>2222</v>
      </c>
      <c r="F4334" t="s">
        <v>1247</v>
      </c>
      <c r="G4334" t="s">
        <v>467</v>
      </c>
      <c r="H4334" t="s">
        <v>468</v>
      </c>
      <c r="I4334" t="s">
        <v>468</v>
      </c>
      <c r="J4334" t="s">
        <v>60</v>
      </c>
      <c r="K4334" t="s">
        <v>462</v>
      </c>
      <c r="L4334" t="s">
        <v>62</v>
      </c>
      <c r="M4334" t="s">
        <v>462</v>
      </c>
      <c r="N4334" t="s">
        <v>469</v>
      </c>
      <c r="O4334" t="s">
        <v>470</v>
      </c>
      <c r="P4334">
        <v>-20.138233</v>
      </c>
      <c r="Q4334">
        <v>-44.908200000000001</v>
      </c>
      <c r="R4334" s="2" t="str">
        <f>HYPERLINK("https://www.google.com/maps?q=-20.1382330,-44.9082000","Abrir no Google Maps")</f>
        <v>Abrir no Google Maps</v>
      </c>
      <c r="S4334">
        <v>3</v>
      </c>
      <c r="T4334">
        <v>0</v>
      </c>
      <c r="U4334">
        <v>4</v>
      </c>
      <c r="V4334">
        <v>0.36138772835258459</v>
      </c>
      <c r="W4334">
        <v>1</v>
      </c>
      <c r="X4334">
        <v>0.36138772835258459</v>
      </c>
      <c r="Y4334">
        <v>581</v>
      </c>
      <c r="Z4334">
        <v>153.18688302958171</v>
      </c>
      <c r="AA4334">
        <v>198</v>
      </c>
      <c r="AB4334">
        <v>332</v>
      </c>
      <c r="AC4334">
        <v>536</v>
      </c>
      <c r="AD4334">
        <v>29.32</v>
      </c>
      <c r="AE4334">
        <v>542</v>
      </c>
      <c r="AF4334">
        <v>27</v>
      </c>
      <c r="AG4334">
        <v>173</v>
      </c>
      <c r="AH4334">
        <v>129</v>
      </c>
      <c r="AI4334">
        <v>4.9800000000000004</v>
      </c>
      <c r="AJ4334">
        <v>31.92</v>
      </c>
      <c r="AK4334">
        <v>23.8</v>
      </c>
      <c r="AL4334">
        <v>-20.138364899999971</v>
      </c>
      <c r="AM4334">
        <v>-44.907942114873997</v>
      </c>
      <c r="AN4334">
        <v>-20.138364899999971</v>
      </c>
      <c r="AO4334">
        <v>-44.907942114873997</v>
      </c>
      <c r="AP4334">
        <v>-20.138233</v>
      </c>
      <c r="AQ4334">
        <v>-44.908200000000001</v>
      </c>
      <c r="AR4334">
        <v>30.692690617986941</v>
      </c>
      <c r="AS4334" t="s">
        <v>65</v>
      </c>
      <c r="AT4334">
        <v>1</v>
      </c>
      <c r="AU4334" t="s">
        <v>471</v>
      </c>
      <c r="AV4334" t="s">
        <v>472</v>
      </c>
      <c r="AW4334" t="s">
        <v>60</v>
      </c>
      <c r="AX4334" t="s">
        <v>68</v>
      </c>
      <c r="AY4334" t="s">
        <v>69</v>
      </c>
      <c r="AZ4334" t="b">
        <v>1</v>
      </c>
    </row>
    <row r="4335" spans="1:52" x14ac:dyDescent="0.3">
      <c r="A4335" t="s">
        <v>52</v>
      </c>
      <c r="B4335" t="s">
        <v>53</v>
      </c>
      <c r="C4335" t="s">
        <v>54</v>
      </c>
      <c r="D4335" t="s">
        <v>55</v>
      </c>
      <c r="E4335" t="s">
        <v>2222</v>
      </c>
      <c r="F4335" t="s">
        <v>1247</v>
      </c>
      <c r="G4335" t="s">
        <v>479</v>
      </c>
      <c r="H4335" t="s">
        <v>480</v>
      </c>
      <c r="I4335" t="s">
        <v>480</v>
      </c>
      <c r="J4335" t="s">
        <v>60</v>
      </c>
      <c r="K4335" t="s">
        <v>388</v>
      </c>
      <c r="L4335" t="s">
        <v>62</v>
      </c>
      <c r="M4335" t="s">
        <v>388</v>
      </c>
      <c r="N4335" t="s">
        <v>481</v>
      </c>
      <c r="O4335" t="s">
        <v>315</v>
      </c>
      <c r="P4335">
        <v>-20.166903999999999</v>
      </c>
      <c r="Q4335">
        <v>-44.903492</v>
      </c>
      <c r="R4335" s="2" t="str">
        <f>HYPERLINK("https://www.google.com/maps?q=-20.1669040,-44.9034920","Abrir no Google Maps")</f>
        <v>Abrir no Google Maps</v>
      </c>
      <c r="S4335">
        <v>3</v>
      </c>
      <c r="T4335">
        <v>517.12253532511602</v>
      </c>
      <c r="U4335">
        <v>4</v>
      </c>
      <c r="V4335">
        <v>0.321281665743403</v>
      </c>
      <c r="W4335">
        <v>1</v>
      </c>
      <c r="X4335">
        <v>0.321281665743403</v>
      </c>
      <c r="Y4335">
        <v>578</v>
      </c>
      <c r="Z4335">
        <v>721.79551240050432</v>
      </c>
      <c r="AA4335">
        <v>198</v>
      </c>
      <c r="AB4335">
        <v>332</v>
      </c>
      <c r="AC4335">
        <v>536</v>
      </c>
      <c r="AD4335">
        <v>29.32</v>
      </c>
      <c r="AE4335">
        <v>542</v>
      </c>
      <c r="AF4335">
        <v>27</v>
      </c>
      <c r="AG4335">
        <v>173</v>
      </c>
      <c r="AH4335">
        <v>129</v>
      </c>
      <c r="AI4335">
        <v>4.9800000000000004</v>
      </c>
      <c r="AJ4335">
        <v>31.92</v>
      </c>
      <c r="AK4335">
        <v>23.8</v>
      </c>
      <c r="AL4335">
        <v>-20.166610649999971</v>
      </c>
      <c r="AM4335">
        <v>-44.903452988928308</v>
      </c>
      <c r="AN4335">
        <v>-20.166610649999971</v>
      </c>
      <c r="AO4335">
        <v>-44.903452988928308</v>
      </c>
      <c r="AP4335">
        <v>-20.166903999999999</v>
      </c>
      <c r="AQ4335">
        <v>-44.903492</v>
      </c>
      <c r="AR4335">
        <v>32.909175876856217</v>
      </c>
      <c r="AS4335" t="s">
        <v>65</v>
      </c>
      <c r="AT4335">
        <v>1</v>
      </c>
      <c r="AU4335" t="s">
        <v>482</v>
      </c>
      <c r="AV4335" t="s">
        <v>483</v>
      </c>
      <c r="AW4335" t="s">
        <v>60</v>
      </c>
      <c r="AX4335" t="s">
        <v>68</v>
      </c>
      <c r="AY4335" t="s">
        <v>69</v>
      </c>
      <c r="AZ4335" t="b">
        <v>1</v>
      </c>
    </row>
    <row r="4336" spans="1:52" x14ac:dyDescent="0.3">
      <c r="A4336" t="s">
        <v>52</v>
      </c>
      <c r="B4336" t="s">
        <v>53</v>
      </c>
      <c r="C4336" t="s">
        <v>54</v>
      </c>
      <c r="D4336" t="s">
        <v>55</v>
      </c>
      <c r="E4336" t="s">
        <v>2222</v>
      </c>
      <c r="F4336" t="s">
        <v>1247</v>
      </c>
      <c r="G4336" t="s">
        <v>484</v>
      </c>
      <c r="H4336" t="s">
        <v>485</v>
      </c>
      <c r="I4336" t="s">
        <v>485</v>
      </c>
      <c r="J4336" t="s">
        <v>60</v>
      </c>
      <c r="K4336" t="s">
        <v>486</v>
      </c>
      <c r="L4336" t="s">
        <v>62</v>
      </c>
      <c r="M4336" t="s">
        <v>486</v>
      </c>
      <c r="N4336" t="s">
        <v>487</v>
      </c>
      <c r="O4336" t="s">
        <v>488</v>
      </c>
      <c r="P4336">
        <v>-20.173000999999999</v>
      </c>
      <c r="Q4336">
        <v>-44.901876999999999</v>
      </c>
      <c r="R4336" s="2" t="str">
        <f>HYPERLINK("https://www.google.com/maps?q=-20.1730010,-44.9018770","Abrir no Google Maps")</f>
        <v>Abrir no Google Maps</v>
      </c>
      <c r="S4336">
        <v>3</v>
      </c>
      <c r="T4336">
        <v>437.59695450783011</v>
      </c>
      <c r="U4336">
        <v>4</v>
      </c>
      <c r="V4336">
        <v>0.31723049580192431</v>
      </c>
      <c r="W4336">
        <v>1</v>
      </c>
      <c r="X4336">
        <v>0.31723049580192431</v>
      </c>
      <c r="Y4336">
        <v>578</v>
      </c>
      <c r="Z4336">
        <v>440.53629183653243</v>
      </c>
      <c r="AA4336">
        <v>198</v>
      </c>
      <c r="AB4336">
        <v>332</v>
      </c>
      <c r="AC4336">
        <v>536</v>
      </c>
      <c r="AD4336">
        <v>29.32</v>
      </c>
      <c r="AE4336">
        <v>542</v>
      </c>
      <c r="AF4336">
        <v>27</v>
      </c>
      <c r="AG4336">
        <v>173</v>
      </c>
      <c r="AH4336">
        <v>129</v>
      </c>
      <c r="AI4336">
        <v>4.9800000000000004</v>
      </c>
      <c r="AJ4336">
        <v>31.92</v>
      </c>
      <c r="AK4336">
        <v>23.8</v>
      </c>
      <c r="AL4336">
        <v>-20.173065299999969</v>
      </c>
      <c r="AM4336">
        <v>-44.902052686008687</v>
      </c>
      <c r="AN4336">
        <v>-20.173065299999969</v>
      </c>
      <c r="AO4336">
        <v>-44.902052686008687</v>
      </c>
      <c r="AP4336">
        <v>-20.173000999999999</v>
      </c>
      <c r="AQ4336">
        <v>-44.901876999999999</v>
      </c>
      <c r="AR4336">
        <v>19.703745070768829</v>
      </c>
      <c r="AS4336" t="s">
        <v>65</v>
      </c>
      <c r="AT4336">
        <v>1</v>
      </c>
      <c r="AU4336" t="s">
        <v>489</v>
      </c>
      <c r="AV4336" t="s">
        <v>490</v>
      </c>
      <c r="AW4336" t="s">
        <v>60</v>
      </c>
      <c r="AX4336" t="s">
        <v>68</v>
      </c>
      <c r="AY4336" t="s">
        <v>69</v>
      </c>
      <c r="AZ4336" t="b">
        <v>1</v>
      </c>
    </row>
    <row r="4337" spans="1:52" x14ac:dyDescent="0.3">
      <c r="A4337" t="s">
        <v>52</v>
      </c>
      <c r="B4337" t="s">
        <v>53</v>
      </c>
      <c r="C4337" t="s">
        <v>54</v>
      </c>
      <c r="D4337" t="s">
        <v>55</v>
      </c>
      <c r="E4337" t="s">
        <v>2222</v>
      </c>
      <c r="F4337" t="s">
        <v>1247</v>
      </c>
      <c r="G4337" t="s">
        <v>503</v>
      </c>
      <c r="H4337" t="s">
        <v>504</v>
      </c>
      <c r="I4337" t="s">
        <v>504</v>
      </c>
      <c r="J4337" t="s">
        <v>60</v>
      </c>
      <c r="K4337" t="s">
        <v>505</v>
      </c>
      <c r="L4337" t="s">
        <v>62</v>
      </c>
      <c r="M4337" t="s">
        <v>505</v>
      </c>
      <c r="N4337" t="s">
        <v>506</v>
      </c>
      <c r="O4337" t="s">
        <v>507</v>
      </c>
      <c r="P4337">
        <v>-20.131428</v>
      </c>
      <c r="Q4337">
        <v>-44.888921000000003</v>
      </c>
      <c r="R4337" s="2" t="str">
        <f>HYPERLINK("https://www.google.com/maps?q=-20.1314280,-44.8889210","Abrir no Google Maps")</f>
        <v>Abrir no Google Maps</v>
      </c>
      <c r="S4337">
        <v>3</v>
      </c>
      <c r="T4337">
        <v>250.64150698244501</v>
      </c>
      <c r="U4337">
        <v>4</v>
      </c>
      <c r="V4337">
        <v>0.32870900143627418</v>
      </c>
      <c r="W4337">
        <v>1</v>
      </c>
      <c r="X4337">
        <v>0.32870900143627418</v>
      </c>
      <c r="Y4337">
        <v>564</v>
      </c>
      <c r="Z4337">
        <v>189.93933888952441</v>
      </c>
      <c r="AA4337">
        <v>198</v>
      </c>
      <c r="AB4337">
        <v>332</v>
      </c>
      <c r="AC4337">
        <v>536</v>
      </c>
      <c r="AD4337">
        <v>29.32</v>
      </c>
      <c r="AE4337">
        <v>542</v>
      </c>
      <c r="AF4337">
        <v>27</v>
      </c>
      <c r="AG4337">
        <v>173</v>
      </c>
      <c r="AH4337">
        <v>129</v>
      </c>
      <c r="AI4337">
        <v>4.9800000000000004</v>
      </c>
      <c r="AJ4337">
        <v>31.92</v>
      </c>
      <c r="AK4337">
        <v>23.8</v>
      </c>
      <c r="AL4337">
        <v>-20.13123589999995</v>
      </c>
      <c r="AM4337">
        <v>-44.888742396501762</v>
      </c>
      <c r="AN4337">
        <v>-20.13123589999995</v>
      </c>
      <c r="AO4337">
        <v>-44.888742396501762</v>
      </c>
      <c r="AP4337">
        <v>-20.131428</v>
      </c>
      <c r="AQ4337">
        <v>-44.888921000000003</v>
      </c>
      <c r="AR4337">
        <v>28.386169462917032</v>
      </c>
      <c r="AS4337" t="s">
        <v>65</v>
      </c>
      <c r="AT4337">
        <v>1</v>
      </c>
      <c r="AU4337" t="s">
        <v>508</v>
      </c>
      <c r="AV4337" t="s">
        <v>509</v>
      </c>
      <c r="AW4337" t="s">
        <v>60</v>
      </c>
      <c r="AX4337" t="s">
        <v>68</v>
      </c>
      <c r="AY4337" t="s">
        <v>69</v>
      </c>
      <c r="AZ4337" t="b">
        <v>1</v>
      </c>
    </row>
    <row r="4338" spans="1:52" x14ac:dyDescent="0.3">
      <c r="A4338" t="s">
        <v>52</v>
      </c>
      <c r="B4338" t="s">
        <v>53</v>
      </c>
      <c r="C4338" t="s">
        <v>54</v>
      </c>
      <c r="D4338" t="s">
        <v>55</v>
      </c>
      <c r="E4338" t="s">
        <v>2222</v>
      </c>
      <c r="F4338" t="s">
        <v>1247</v>
      </c>
      <c r="G4338" t="s">
        <v>516</v>
      </c>
      <c r="H4338" t="s">
        <v>517</v>
      </c>
      <c r="I4338" t="s">
        <v>517</v>
      </c>
      <c r="J4338" t="s">
        <v>60</v>
      </c>
      <c r="K4338" t="s">
        <v>518</v>
      </c>
      <c r="L4338" t="s">
        <v>62</v>
      </c>
      <c r="M4338" t="s">
        <v>518</v>
      </c>
      <c r="N4338" t="s">
        <v>519</v>
      </c>
      <c r="O4338" t="s">
        <v>520</v>
      </c>
      <c r="P4338">
        <v>-20.124502</v>
      </c>
      <c r="Q4338">
        <v>-44.888424000000001</v>
      </c>
      <c r="R4338" s="2" t="str">
        <f>HYPERLINK("https://www.google.com/maps?q=-20.1245020,-44.8884240","Abrir no Google Maps")</f>
        <v>Abrir no Google Maps</v>
      </c>
      <c r="S4338">
        <v>3</v>
      </c>
      <c r="T4338">
        <v>483.42298121929559</v>
      </c>
      <c r="U4338">
        <v>4</v>
      </c>
      <c r="V4338">
        <v>0.34325813083126883</v>
      </c>
      <c r="W4338">
        <v>1</v>
      </c>
      <c r="X4338">
        <v>0.34325813083126883</v>
      </c>
      <c r="Y4338">
        <v>564</v>
      </c>
      <c r="Z4338">
        <v>565.43074237076587</v>
      </c>
      <c r="AA4338">
        <v>198</v>
      </c>
      <c r="AB4338">
        <v>332</v>
      </c>
      <c r="AC4338">
        <v>536</v>
      </c>
      <c r="AD4338">
        <v>29.32</v>
      </c>
      <c r="AE4338">
        <v>542</v>
      </c>
      <c r="AF4338">
        <v>27</v>
      </c>
      <c r="AG4338">
        <v>173</v>
      </c>
      <c r="AH4338">
        <v>129</v>
      </c>
      <c r="AI4338">
        <v>4.9800000000000004</v>
      </c>
      <c r="AJ4338">
        <v>31.92</v>
      </c>
      <c r="AK4338">
        <v>23.8</v>
      </c>
      <c r="AL4338">
        <v>-20.124624949999941</v>
      </c>
      <c r="AM4338">
        <v>-44.888432821777258</v>
      </c>
      <c r="AN4338">
        <v>-20.124624949999941</v>
      </c>
      <c r="AO4338">
        <v>-44.888432821777258</v>
      </c>
      <c r="AP4338">
        <v>-20.124502</v>
      </c>
      <c r="AQ4338">
        <v>-44.888424000000001</v>
      </c>
      <c r="AR4338">
        <v>13.717819333897451</v>
      </c>
      <c r="AS4338" t="s">
        <v>65</v>
      </c>
      <c r="AT4338">
        <v>1</v>
      </c>
      <c r="AU4338" t="s">
        <v>521</v>
      </c>
      <c r="AV4338" t="s">
        <v>522</v>
      </c>
      <c r="AW4338" t="s">
        <v>60</v>
      </c>
      <c r="AX4338" t="s">
        <v>68</v>
      </c>
      <c r="AY4338" t="s">
        <v>69</v>
      </c>
      <c r="AZ4338" t="b">
        <v>1</v>
      </c>
    </row>
    <row r="4339" spans="1:52" x14ac:dyDescent="0.3">
      <c r="A4339" t="s">
        <v>52</v>
      </c>
      <c r="B4339" t="s">
        <v>53</v>
      </c>
      <c r="C4339" t="s">
        <v>54</v>
      </c>
      <c r="D4339" t="s">
        <v>55</v>
      </c>
      <c r="E4339" t="s">
        <v>2222</v>
      </c>
      <c r="F4339" t="s">
        <v>1247</v>
      </c>
      <c r="G4339" t="s">
        <v>523</v>
      </c>
      <c r="H4339" t="s">
        <v>524</v>
      </c>
      <c r="I4339" t="s">
        <v>524</v>
      </c>
      <c r="J4339" t="s">
        <v>60</v>
      </c>
      <c r="K4339" t="s">
        <v>518</v>
      </c>
      <c r="L4339" t="s">
        <v>62</v>
      </c>
      <c r="M4339" t="s">
        <v>518</v>
      </c>
      <c r="N4339" t="s">
        <v>525</v>
      </c>
      <c r="O4339" t="s">
        <v>331</v>
      </c>
      <c r="P4339">
        <v>-20.126553000000001</v>
      </c>
      <c r="Q4339">
        <v>-44.888599999999997</v>
      </c>
      <c r="R4339" s="2" t="str">
        <f>HYPERLINK("https://www.google.com/maps?q=-20.1265530,-44.8886000","Abrir no Google Maps")</f>
        <v>Abrir no Google Maps</v>
      </c>
      <c r="S4339">
        <v>3</v>
      </c>
      <c r="T4339">
        <v>256.34043440603853</v>
      </c>
      <c r="U4339">
        <v>4</v>
      </c>
      <c r="V4339">
        <v>0.319228064841033</v>
      </c>
      <c r="W4339">
        <v>1</v>
      </c>
      <c r="X4339">
        <v>0.319228064841033</v>
      </c>
      <c r="Y4339">
        <v>564</v>
      </c>
      <c r="Z4339">
        <v>325.4404273055876</v>
      </c>
      <c r="AA4339">
        <v>198</v>
      </c>
      <c r="AB4339">
        <v>332</v>
      </c>
      <c r="AC4339">
        <v>536</v>
      </c>
      <c r="AD4339">
        <v>29.32</v>
      </c>
      <c r="AE4339">
        <v>542</v>
      </c>
      <c r="AF4339">
        <v>27</v>
      </c>
      <c r="AG4339">
        <v>173</v>
      </c>
      <c r="AH4339">
        <v>129</v>
      </c>
      <c r="AI4339">
        <v>4.9800000000000004</v>
      </c>
      <c r="AJ4339">
        <v>31.92</v>
      </c>
      <c r="AK4339">
        <v>23.8</v>
      </c>
      <c r="AL4339">
        <v>-20.12669049999997</v>
      </c>
      <c r="AM4339">
        <v>-44.888671289876577</v>
      </c>
      <c r="AN4339">
        <v>-20.12669049999997</v>
      </c>
      <c r="AO4339">
        <v>-44.888671289876577</v>
      </c>
      <c r="AP4339">
        <v>-20.126553000000001</v>
      </c>
      <c r="AQ4339">
        <v>-44.888599999999997</v>
      </c>
      <c r="AR4339">
        <v>17.023861591720589</v>
      </c>
      <c r="AS4339" t="s">
        <v>65</v>
      </c>
      <c r="AT4339">
        <v>1</v>
      </c>
      <c r="AU4339" t="s">
        <v>526</v>
      </c>
      <c r="AV4339" t="s">
        <v>527</v>
      </c>
      <c r="AW4339" t="s">
        <v>60</v>
      </c>
      <c r="AX4339" t="s">
        <v>68</v>
      </c>
      <c r="AY4339" t="s">
        <v>69</v>
      </c>
      <c r="AZ4339" t="b">
        <v>1</v>
      </c>
    </row>
    <row r="4340" spans="1:52" x14ac:dyDescent="0.3">
      <c r="A4340" t="s">
        <v>52</v>
      </c>
      <c r="B4340" t="s">
        <v>53</v>
      </c>
      <c r="C4340" t="s">
        <v>54</v>
      </c>
      <c r="D4340" t="s">
        <v>55</v>
      </c>
      <c r="E4340" t="s">
        <v>2222</v>
      </c>
      <c r="F4340" t="s">
        <v>1247</v>
      </c>
      <c r="G4340" t="s">
        <v>528</v>
      </c>
      <c r="H4340" t="s">
        <v>529</v>
      </c>
      <c r="I4340" t="s">
        <v>529</v>
      </c>
      <c r="J4340" t="s">
        <v>60</v>
      </c>
      <c r="K4340" t="s">
        <v>530</v>
      </c>
      <c r="L4340" t="s">
        <v>62</v>
      </c>
      <c r="M4340" t="s">
        <v>530</v>
      </c>
      <c r="N4340" t="s">
        <v>531</v>
      </c>
      <c r="O4340" t="s">
        <v>532</v>
      </c>
      <c r="P4340">
        <v>-20.142457</v>
      </c>
      <c r="Q4340">
        <v>-44.891688000000002</v>
      </c>
      <c r="R4340" s="2" t="str">
        <f>HYPERLINK("https://www.google.com/maps?q=-20.1424570,-44.8916880","Abrir no Google Maps")</f>
        <v>Abrir no Google Maps</v>
      </c>
      <c r="S4340">
        <v>3</v>
      </c>
      <c r="T4340">
        <v>0</v>
      </c>
      <c r="U4340">
        <v>4</v>
      </c>
      <c r="V4340">
        <v>0.34533441513516228</v>
      </c>
      <c r="W4340">
        <v>1</v>
      </c>
      <c r="X4340">
        <v>0.34533441513516228</v>
      </c>
      <c r="Y4340">
        <v>557</v>
      </c>
      <c r="Z4340">
        <v>42.611952255679803</v>
      </c>
      <c r="AA4340">
        <v>198</v>
      </c>
      <c r="AB4340">
        <v>332</v>
      </c>
      <c r="AC4340">
        <v>536</v>
      </c>
      <c r="AD4340">
        <v>29.32</v>
      </c>
      <c r="AE4340">
        <v>542</v>
      </c>
      <c r="AF4340">
        <v>27</v>
      </c>
      <c r="AG4340">
        <v>173</v>
      </c>
      <c r="AH4340">
        <v>129</v>
      </c>
      <c r="AI4340">
        <v>4.9800000000000004</v>
      </c>
      <c r="AJ4340">
        <v>31.92</v>
      </c>
      <c r="AK4340">
        <v>23.8</v>
      </c>
      <c r="AL4340">
        <v>-20.142523099999948</v>
      </c>
      <c r="AM4340">
        <v>-44.891523817588819</v>
      </c>
      <c r="AN4340">
        <v>-20.142523099999948</v>
      </c>
      <c r="AO4340">
        <v>-44.891523817588819</v>
      </c>
      <c r="AP4340">
        <v>-20.142457</v>
      </c>
      <c r="AQ4340">
        <v>-44.891688000000002</v>
      </c>
      <c r="AR4340">
        <v>18.670129248632971</v>
      </c>
      <c r="AS4340" t="s">
        <v>65</v>
      </c>
      <c r="AT4340">
        <v>1</v>
      </c>
      <c r="AU4340" t="s">
        <v>533</v>
      </c>
      <c r="AV4340" t="s">
        <v>534</v>
      </c>
      <c r="AW4340" t="s">
        <v>60</v>
      </c>
      <c r="AX4340" t="s">
        <v>68</v>
      </c>
      <c r="AY4340" t="s">
        <v>69</v>
      </c>
      <c r="AZ4340" t="b">
        <v>1</v>
      </c>
    </row>
    <row r="4341" spans="1:52" x14ac:dyDescent="0.3">
      <c r="A4341" t="s">
        <v>52</v>
      </c>
      <c r="B4341" t="s">
        <v>53</v>
      </c>
      <c r="C4341" t="s">
        <v>54</v>
      </c>
      <c r="D4341" t="s">
        <v>55</v>
      </c>
      <c r="E4341" t="s">
        <v>2222</v>
      </c>
      <c r="F4341" t="s">
        <v>1247</v>
      </c>
      <c r="G4341" t="s">
        <v>535</v>
      </c>
      <c r="H4341" t="s">
        <v>536</v>
      </c>
      <c r="I4341" t="s">
        <v>536</v>
      </c>
      <c r="J4341" t="s">
        <v>60</v>
      </c>
      <c r="K4341" t="s">
        <v>388</v>
      </c>
      <c r="L4341" t="s">
        <v>62</v>
      </c>
      <c r="M4341" t="s">
        <v>388</v>
      </c>
      <c r="N4341" t="s">
        <v>537</v>
      </c>
      <c r="O4341" t="s">
        <v>538</v>
      </c>
      <c r="P4341">
        <v>-20.150061999999998</v>
      </c>
      <c r="Q4341">
        <v>-44.903379000000001</v>
      </c>
      <c r="R4341" s="2" t="str">
        <f>HYPERLINK("https://www.google.com/maps?q=-20.1500620,-44.9033790","Abrir no Google Maps")</f>
        <v>Abrir no Google Maps</v>
      </c>
      <c r="S4341">
        <v>3</v>
      </c>
      <c r="T4341">
        <v>286.20313674219977</v>
      </c>
      <c r="U4341">
        <v>4</v>
      </c>
      <c r="V4341">
        <v>0.3326874189047927</v>
      </c>
      <c r="W4341">
        <v>1</v>
      </c>
      <c r="X4341">
        <v>0.3326874189047927</v>
      </c>
      <c r="Y4341">
        <v>556</v>
      </c>
      <c r="Z4341">
        <v>315.81851898667401</v>
      </c>
      <c r="AA4341">
        <v>198</v>
      </c>
      <c r="AB4341">
        <v>332</v>
      </c>
      <c r="AC4341">
        <v>536</v>
      </c>
      <c r="AD4341">
        <v>29.32</v>
      </c>
      <c r="AE4341">
        <v>542</v>
      </c>
      <c r="AF4341">
        <v>27</v>
      </c>
      <c r="AG4341">
        <v>173</v>
      </c>
      <c r="AH4341">
        <v>129</v>
      </c>
      <c r="AI4341">
        <v>4.9800000000000004</v>
      </c>
      <c r="AJ4341">
        <v>31.92</v>
      </c>
      <c r="AK4341">
        <v>23.8</v>
      </c>
      <c r="AL4341">
        <v>-20.150084299999971</v>
      </c>
      <c r="AM4341">
        <v>-44.903278407568479</v>
      </c>
      <c r="AN4341">
        <v>-20.150084299999971</v>
      </c>
      <c r="AO4341">
        <v>-44.903278407568479</v>
      </c>
      <c r="AP4341">
        <v>-20.150061999999998</v>
      </c>
      <c r="AQ4341">
        <v>-44.903379000000001</v>
      </c>
      <c r="AR4341">
        <v>10.801687336134639</v>
      </c>
      <c r="AS4341" t="s">
        <v>65</v>
      </c>
      <c r="AT4341">
        <v>1</v>
      </c>
      <c r="AU4341" t="s">
        <v>539</v>
      </c>
      <c r="AV4341" t="s">
        <v>540</v>
      </c>
      <c r="AW4341" t="s">
        <v>60</v>
      </c>
      <c r="AX4341" t="s">
        <v>68</v>
      </c>
      <c r="AY4341" t="s">
        <v>69</v>
      </c>
      <c r="AZ4341" t="b">
        <v>1</v>
      </c>
    </row>
    <row r="4342" spans="1:52" x14ac:dyDescent="0.3">
      <c r="A4342" t="s">
        <v>52</v>
      </c>
      <c r="B4342" t="s">
        <v>53</v>
      </c>
      <c r="C4342" t="s">
        <v>54</v>
      </c>
      <c r="D4342" t="s">
        <v>55</v>
      </c>
      <c r="E4342" t="s">
        <v>2222</v>
      </c>
      <c r="F4342" t="s">
        <v>1247</v>
      </c>
      <c r="G4342" t="s">
        <v>398</v>
      </c>
      <c r="H4342" t="s">
        <v>541</v>
      </c>
      <c r="I4342" t="s">
        <v>541</v>
      </c>
      <c r="J4342" t="s">
        <v>60</v>
      </c>
      <c r="K4342" t="s">
        <v>388</v>
      </c>
      <c r="L4342" t="s">
        <v>62</v>
      </c>
      <c r="M4342" t="s">
        <v>388</v>
      </c>
      <c r="N4342" t="s">
        <v>400</v>
      </c>
      <c r="O4342" t="s">
        <v>542</v>
      </c>
      <c r="P4342">
        <v>-20.151335</v>
      </c>
      <c r="Q4342">
        <v>-44.901041999999997</v>
      </c>
      <c r="R4342" s="2" t="str">
        <f>HYPERLINK("https://www.google.com/maps?q=-20.1513350,-44.9010420","Abrir no Google Maps")</f>
        <v>Abrir no Google Maps</v>
      </c>
      <c r="S4342">
        <v>3</v>
      </c>
      <c r="T4342">
        <v>0</v>
      </c>
      <c r="U4342">
        <v>4</v>
      </c>
      <c r="V4342">
        <v>0.31559700940113999</v>
      </c>
      <c r="W4342">
        <v>1</v>
      </c>
      <c r="X4342">
        <v>0.31559700940113999</v>
      </c>
      <c r="Y4342">
        <v>556</v>
      </c>
      <c r="Z4342">
        <v>137.71609036908939</v>
      </c>
      <c r="AA4342">
        <v>198</v>
      </c>
      <c r="AB4342">
        <v>332</v>
      </c>
      <c r="AC4342">
        <v>536</v>
      </c>
      <c r="AD4342">
        <v>29.32</v>
      </c>
      <c r="AE4342">
        <v>542</v>
      </c>
      <c r="AF4342">
        <v>27</v>
      </c>
      <c r="AG4342">
        <v>173</v>
      </c>
      <c r="AH4342">
        <v>129</v>
      </c>
      <c r="AI4342">
        <v>4.9800000000000004</v>
      </c>
      <c r="AJ4342">
        <v>31.92</v>
      </c>
      <c r="AK4342">
        <v>23.8</v>
      </c>
      <c r="AL4342">
        <v>-20.15125899999995</v>
      </c>
      <c r="AM4342">
        <v>-44.900838557594433</v>
      </c>
      <c r="AN4342">
        <v>-20.15125899999995</v>
      </c>
      <c r="AO4342">
        <v>-44.900838557594433</v>
      </c>
      <c r="AP4342">
        <v>-20.151335</v>
      </c>
      <c r="AQ4342">
        <v>-44.901041999999997</v>
      </c>
      <c r="AR4342">
        <v>22.882363139483491</v>
      </c>
      <c r="AS4342" t="s">
        <v>65</v>
      </c>
      <c r="AT4342">
        <v>1</v>
      </c>
      <c r="AU4342" t="s">
        <v>543</v>
      </c>
      <c r="AV4342" t="s">
        <v>544</v>
      </c>
      <c r="AW4342" t="s">
        <v>60</v>
      </c>
      <c r="AX4342" t="s">
        <v>68</v>
      </c>
      <c r="AY4342" t="s">
        <v>69</v>
      </c>
      <c r="AZ4342" t="b">
        <v>1</v>
      </c>
    </row>
    <row r="4343" spans="1:52" x14ac:dyDescent="0.3">
      <c r="A4343" t="s">
        <v>52</v>
      </c>
      <c r="B4343" t="s">
        <v>53</v>
      </c>
      <c r="C4343" t="s">
        <v>54</v>
      </c>
      <c r="D4343" t="s">
        <v>55</v>
      </c>
      <c r="E4343" t="s">
        <v>2222</v>
      </c>
      <c r="F4343" t="s">
        <v>1247</v>
      </c>
      <c r="G4343" t="s">
        <v>551</v>
      </c>
      <c r="H4343" t="s">
        <v>552</v>
      </c>
      <c r="I4343" t="s">
        <v>552</v>
      </c>
      <c r="J4343" t="s">
        <v>60</v>
      </c>
      <c r="K4343" t="s">
        <v>388</v>
      </c>
      <c r="L4343" t="s">
        <v>62</v>
      </c>
      <c r="M4343" t="s">
        <v>388</v>
      </c>
      <c r="N4343" t="s">
        <v>553</v>
      </c>
      <c r="O4343" t="s">
        <v>315</v>
      </c>
      <c r="P4343">
        <v>-20.153086999999999</v>
      </c>
      <c r="Q4343">
        <v>-44.905451999999997</v>
      </c>
      <c r="R4343" s="2" t="str">
        <f>HYPERLINK("https://www.google.com/maps?q=-20.1530870,-44.9054520","Abrir no Google Maps")</f>
        <v>Abrir no Google Maps</v>
      </c>
      <c r="S4343">
        <v>3</v>
      </c>
      <c r="T4343">
        <v>313.69387682409018</v>
      </c>
      <c r="U4343">
        <v>4</v>
      </c>
      <c r="V4343">
        <v>0.32629164139542188</v>
      </c>
      <c r="W4343">
        <v>1</v>
      </c>
      <c r="X4343">
        <v>0.32629164139542188</v>
      </c>
      <c r="Y4343">
        <v>548</v>
      </c>
      <c r="Z4343">
        <v>319.51605309906859</v>
      </c>
      <c r="AA4343">
        <v>198</v>
      </c>
      <c r="AB4343">
        <v>332</v>
      </c>
      <c r="AC4343">
        <v>536</v>
      </c>
      <c r="AD4343">
        <v>29.32</v>
      </c>
      <c r="AE4343">
        <v>542</v>
      </c>
      <c r="AF4343">
        <v>27</v>
      </c>
      <c r="AG4343">
        <v>173</v>
      </c>
      <c r="AH4343">
        <v>129</v>
      </c>
      <c r="AI4343">
        <v>4.9800000000000004</v>
      </c>
      <c r="AJ4343">
        <v>31.92</v>
      </c>
      <c r="AK4343">
        <v>23.8</v>
      </c>
      <c r="AL4343">
        <v>-20.153043049999951</v>
      </c>
      <c r="AM4343">
        <v>-44.905348275899513</v>
      </c>
      <c r="AN4343">
        <v>-20.153043049999951</v>
      </c>
      <c r="AO4343">
        <v>-44.905348275899513</v>
      </c>
      <c r="AP4343">
        <v>-20.153086999999999</v>
      </c>
      <c r="AQ4343">
        <v>-44.905451999999997</v>
      </c>
      <c r="AR4343">
        <v>11.892619975648341</v>
      </c>
      <c r="AS4343" t="s">
        <v>65</v>
      </c>
      <c r="AT4343">
        <v>1</v>
      </c>
      <c r="AU4343" t="s">
        <v>554</v>
      </c>
      <c r="AV4343" t="s">
        <v>555</v>
      </c>
      <c r="AW4343" t="s">
        <v>60</v>
      </c>
      <c r="AX4343" t="s">
        <v>68</v>
      </c>
      <c r="AY4343" t="s">
        <v>69</v>
      </c>
      <c r="AZ4343" t="b">
        <v>1</v>
      </c>
    </row>
    <row r="4344" spans="1:52" x14ac:dyDescent="0.3">
      <c r="A4344" t="s">
        <v>52</v>
      </c>
      <c r="B4344" t="s">
        <v>53</v>
      </c>
      <c r="C4344" t="s">
        <v>54</v>
      </c>
      <c r="D4344" t="s">
        <v>55</v>
      </c>
      <c r="E4344" t="s">
        <v>2222</v>
      </c>
      <c r="F4344" t="s">
        <v>1247</v>
      </c>
      <c r="G4344" t="s">
        <v>556</v>
      </c>
      <c r="H4344" t="s">
        <v>557</v>
      </c>
      <c r="I4344" t="s">
        <v>557</v>
      </c>
      <c r="J4344" t="s">
        <v>60</v>
      </c>
      <c r="K4344" t="s">
        <v>388</v>
      </c>
      <c r="L4344" t="s">
        <v>62</v>
      </c>
      <c r="M4344" t="s">
        <v>388</v>
      </c>
      <c r="N4344" t="s">
        <v>558</v>
      </c>
      <c r="O4344" t="s">
        <v>559</v>
      </c>
      <c r="P4344">
        <v>-20.152670000000001</v>
      </c>
      <c r="Q4344">
        <v>-44.902557999999999</v>
      </c>
      <c r="R4344" s="2" t="str">
        <f>HYPERLINK("https://www.google.com/maps?q=-20.1526700,-44.9025580","Abrir no Google Maps")</f>
        <v>Abrir no Google Maps</v>
      </c>
      <c r="S4344">
        <v>3</v>
      </c>
      <c r="T4344">
        <v>228.56195217678911</v>
      </c>
      <c r="U4344">
        <v>4</v>
      </c>
      <c r="V4344">
        <v>0.32726902726902729</v>
      </c>
      <c r="W4344">
        <v>1</v>
      </c>
      <c r="X4344">
        <v>0.32726902726902729</v>
      </c>
      <c r="Y4344">
        <v>548</v>
      </c>
      <c r="Z4344">
        <v>250.63133895224919</v>
      </c>
      <c r="AA4344">
        <v>198</v>
      </c>
      <c r="AB4344">
        <v>332</v>
      </c>
      <c r="AC4344">
        <v>536</v>
      </c>
      <c r="AD4344">
        <v>29.32</v>
      </c>
      <c r="AE4344">
        <v>542</v>
      </c>
      <c r="AF4344">
        <v>27</v>
      </c>
      <c r="AG4344">
        <v>173</v>
      </c>
      <c r="AH4344">
        <v>129</v>
      </c>
      <c r="AI4344">
        <v>4.9800000000000004</v>
      </c>
      <c r="AJ4344">
        <v>31.92</v>
      </c>
      <c r="AK4344">
        <v>23.8</v>
      </c>
      <c r="AL4344">
        <v>-20.152629799999939</v>
      </c>
      <c r="AM4344">
        <v>-44.902604744705201</v>
      </c>
      <c r="AN4344">
        <v>-20.152629799999939</v>
      </c>
      <c r="AO4344">
        <v>-44.902604744705201</v>
      </c>
      <c r="AP4344">
        <v>-20.152670000000001</v>
      </c>
      <c r="AQ4344">
        <v>-44.902557999999999</v>
      </c>
      <c r="AR4344">
        <v>6.6249428037111509</v>
      </c>
      <c r="AS4344" t="s">
        <v>65</v>
      </c>
      <c r="AT4344">
        <v>1</v>
      </c>
      <c r="AU4344" t="s">
        <v>560</v>
      </c>
      <c r="AV4344" t="s">
        <v>561</v>
      </c>
      <c r="AW4344" t="s">
        <v>60</v>
      </c>
      <c r="AX4344" t="s">
        <v>68</v>
      </c>
      <c r="AY4344" t="s">
        <v>69</v>
      </c>
      <c r="AZ4344" t="b">
        <v>1</v>
      </c>
    </row>
    <row r="4345" spans="1:52" x14ac:dyDescent="0.3">
      <c r="A4345" t="s">
        <v>52</v>
      </c>
      <c r="B4345" t="s">
        <v>53</v>
      </c>
      <c r="C4345" t="s">
        <v>54</v>
      </c>
      <c r="D4345" t="s">
        <v>55</v>
      </c>
      <c r="E4345" t="s">
        <v>2222</v>
      </c>
      <c r="F4345" t="s">
        <v>1247</v>
      </c>
      <c r="G4345" t="s">
        <v>562</v>
      </c>
      <c r="H4345" t="s">
        <v>563</v>
      </c>
      <c r="I4345" t="s">
        <v>563</v>
      </c>
      <c r="J4345" t="s">
        <v>60</v>
      </c>
      <c r="K4345" t="s">
        <v>388</v>
      </c>
      <c r="L4345" t="s">
        <v>62</v>
      </c>
      <c r="M4345" t="s">
        <v>388</v>
      </c>
      <c r="N4345" t="s">
        <v>564</v>
      </c>
      <c r="O4345" t="s">
        <v>565</v>
      </c>
      <c r="P4345">
        <v>-20.154432</v>
      </c>
      <c r="Q4345">
        <v>-44.902977999999997</v>
      </c>
      <c r="R4345" s="2" t="str">
        <f>HYPERLINK("https://www.google.com/maps?q=-20.1544320,-44.9029780","Abrir no Google Maps")</f>
        <v>Abrir no Google Maps</v>
      </c>
      <c r="S4345">
        <v>3</v>
      </c>
      <c r="T4345">
        <v>0</v>
      </c>
      <c r="U4345">
        <v>4</v>
      </c>
      <c r="V4345">
        <v>0.34080257762155819</v>
      </c>
      <c r="W4345">
        <v>1</v>
      </c>
      <c r="X4345">
        <v>0.34080257762155819</v>
      </c>
      <c r="Y4345">
        <v>548</v>
      </c>
      <c r="Z4345">
        <v>29.424211042533759</v>
      </c>
      <c r="AA4345">
        <v>198</v>
      </c>
      <c r="AB4345">
        <v>332</v>
      </c>
      <c r="AC4345">
        <v>536</v>
      </c>
      <c r="AD4345">
        <v>29.32</v>
      </c>
      <c r="AE4345">
        <v>542</v>
      </c>
      <c r="AF4345">
        <v>27</v>
      </c>
      <c r="AG4345">
        <v>173</v>
      </c>
      <c r="AH4345">
        <v>129</v>
      </c>
      <c r="AI4345">
        <v>4.9800000000000004</v>
      </c>
      <c r="AJ4345">
        <v>31.92</v>
      </c>
      <c r="AK4345">
        <v>23.8</v>
      </c>
      <c r="AL4345">
        <v>-20.15467689999997</v>
      </c>
      <c r="AM4345">
        <v>-44.902895281771222</v>
      </c>
      <c r="AN4345">
        <v>-20.15467689999997</v>
      </c>
      <c r="AO4345">
        <v>-44.902895281771222</v>
      </c>
      <c r="AP4345">
        <v>-20.154432</v>
      </c>
      <c r="AQ4345">
        <v>-44.902977999999997</v>
      </c>
      <c r="AR4345">
        <v>28.5999270636025</v>
      </c>
      <c r="AS4345" t="s">
        <v>65</v>
      </c>
      <c r="AT4345">
        <v>1</v>
      </c>
      <c r="AU4345" t="s">
        <v>566</v>
      </c>
      <c r="AV4345" t="s">
        <v>567</v>
      </c>
      <c r="AW4345" t="s">
        <v>60</v>
      </c>
      <c r="AX4345" t="s">
        <v>68</v>
      </c>
      <c r="AY4345" t="s">
        <v>69</v>
      </c>
      <c r="AZ4345" t="b">
        <v>1</v>
      </c>
    </row>
    <row r="4346" spans="1:52" x14ac:dyDescent="0.3">
      <c r="A4346" t="s">
        <v>52</v>
      </c>
      <c r="B4346" t="s">
        <v>53</v>
      </c>
      <c r="C4346" t="s">
        <v>54</v>
      </c>
      <c r="D4346" t="s">
        <v>55</v>
      </c>
      <c r="E4346" t="s">
        <v>2222</v>
      </c>
      <c r="F4346" t="s">
        <v>1247</v>
      </c>
      <c r="G4346" t="s">
        <v>568</v>
      </c>
      <c r="H4346" t="s">
        <v>569</v>
      </c>
      <c r="I4346" t="s">
        <v>569</v>
      </c>
      <c r="J4346" t="s">
        <v>60</v>
      </c>
      <c r="K4346" t="s">
        <v>61</v>
      </c>
      <c r="L4346" t="s">
        <v>62</v>
      </c>
      <c r="M4346" t="s">
        <v>61</v>
      </c>
      <c r="N4346" t="s">
        <v>570</v>
      </c>
      <c r="O4346" t="s">
        <v>548</v>
      </c>
      <c r="P4346">
        <v>-20.151508</v>
      </c>
      <c r="Q4346">
        <v>-44.907826</v>
      </c>
      <c r="R4346" s="2" t="str">
        <f>HYPERLINK("https://www.google.com/maps?q=-20.1515080,-44.9078260","Abrir no Google Maps")</f>
        <v>Abrir no Google Maps</v>
      </c>
      <c r="S4346">
        <v>3</v>
      </c>
      <c r="T4346">
        <v>567.15905416240514</v>
      </c>
      <c r="U4346">
        <v>4</v>
      </c>
      <c r="V4346">
        <v>0.44081556303778519</v>
      </c>
      <c r="W4346">
        <v>0.85</v>
      </c>
      <c r="X4346">
        <v>0.3746932285821174</v>
      </c>
      <c r="Y4346">
        <v>548</v>
      </c>
      <c r="Z4346">
        <v>560.49158010771464</v>
      </c>
      <c r="AA4346">
        <v>198</v>
      </c>
      <c r="AB4346">
        <v>332</v>
      </c>
      <c r="AC4346">
        <v>536</v>
      </c>
      <c r="AD4346">
        <v>29.32</v>
      </c>
      <c r="AE4346">
        <v>542</v>
      </c>
      <c r="AF4346">
        <v>27</v>
      </c>
      <c r="AG4346">
        <v>173</v>
      </c>
      <c r="AH4346">
        <v>129</v>
      </c>
      <c r="AI4346">
        <v>4.9800000000000004</v>
      </c>
      <c r="AJ4346">
        <v>31.92</v>
      </c>
      <c r="AK4346">
        <v>23.8</v>
      </c>
      <c r="AL4346">
        <v>-20.15211779999996</v>
      </c>
      <c r="AM4346">
        <v>-44.907597469593128</v>
      </c>
      <c r="AN4346">
        <v>-20.15211779999996</v>
      </c>
      <c r="AO4346">
        <v>-44.907597469593128</v>
      </c>
      <c r="AP4346">
        <v>-20.151508</v>
      </c>
      <c r="AQ4346">
        <v>-44.907826</v>
      </c>
      <c r="AR4346">
        <v>71.961597929314735</v>
      </c>
      <c r="AS4346" t="s">
        <v>65</v>
      </c>
      <c r="AT4346">
        <v>1</v>
      </c>
      <c r="AU4346" t="s">
        <v>571</v>
      </c>
      <c r="AV4346" t="s">
        <v>572</v>
      </c>
      <c r="AW4346" t="s">
        <v>60</v>
      </c>
      <c r="AX4346" t="s">
        <v>68</v>
      </c>
      <c r="AY4346" t="s">
        <v>69</v>
      </c>
      <c r="AZ4346" t="b">
        <v>1</v>
      </c>
    </row>
    <row r="4347" spans="1:52" x14ac:dyDescent="0.3">
      <c r="A4347" t="s">
        <v>52</v>
      </c>
      <c r="B4347" t="s">
        <v>53</v>
      </c>
      <c r="C4347" t="s">
        <v>54</v>
      </c>
      <c r="D4347" t="s">
        <v>55</v>
      </c>
      <c r="E4347" t="s">
        <v>2222</v>
      </c>
      <c r="F4347" t="s">
        <v>1247</v>
      </c>
      <c r="G4347" t="s">
        <v>380</v>
      </c>
      <c r="H4347" t="s">
        <v>381</v>
      </c>
      <c r="I4347" t="s">
        <v>381</v>
      </c>
      <c r="J4347" t="s">
        <v>60</v>
      </c>
      <c r="K4347" t="s">
        <v>72</v>
      </c>
      <c r="L4347" t="s">
        <v>62</v>
      </c>
      <c r="M4347" t="s">
        <v>72</v>
      </c>
      <c r="N4347" t="s">
        <v>382</v>
      </c>
      <c r="O4347" t="s">
        <v>383</v>
      </c>
      <c r="P4347">
        <v>-20.147182000000001</v>
      </c>
      <c r="Q4347">
        <v>-44.912728999999999</v>
      </c>
      <c r="R4347" s="2" t="str">
        <f>HYPERLINK("https://www.google.com/maps?q=-20.1471820,-44.9127290","Abrir no Google Maps")</f>
        <v>Abrir no Google Maps</v>
      </c>
      <c r="S4347">
        <v>3</v>
      </c>
      <c r="T4347">
        <v>478.0141981540923</v>
      </c>
      <c r="U4347">
        <v>3</v>
      </c>
      <c r="V4347">
        <v>0.30863180731604428</v>
      </c>
      <c r="W4347">
        <v>1</v>
      </c>
      <c r="X4347">
        <v>0.30863180731604428</v>
      </c>
      <c r="Y4347">
        <v>747</v>
      </c>
      <c r="Z4347">
        <v>494.0254290673729</v>
      </c>
      <c r="AA4347">
        <v>198</v>
      </c>
      <c r="AB4347">
        <v>332</v>
      </c>
      <c r="AC4347">
        <v>536</v>
      </c>
      <c r="AD4347">
        <v>29.32</v>
      </c>
      <c r="AE4347">
        <v>542</v>
      </c>
      <c r="AF4347">
        <v>27</v>
      </c>
      <c r="AG4347">
        <v>173</v>
      </c>
      <c r="AH4347">
        <v>129</v>
      </c>
      <c r="AI4347">
        <v>4.9800000000000004</v>
      </c>
      <c r="AJ4347">
        <v>31.92</v>
      </c>
      <c r="AK4347">
        <v>23.8</v>
      </c>
      <c r="AL4347">
        <v>-20.147375599999979</v>
      </c>
      <c r="AM4347">
        <v>-44.912907472879468</v>
      </c>
      <c r="AN4347">
        <v>-20.147375599999979</v>
      </c>
      <c r="AO4347">
        <v>-44.912907472879468</v>
      </c>
      <c r="AP4347">
        <v>-20.147182000000001</v>
      </c>
      <c r="AQ4347">
        <v>-44.912728999999999</v>
      </c>
      <c r="AR4347">
        <v>28.50197694184326</v>
      </c>
      <c r="AS4347" t="s">
        <v>65</v>
      </c>
      <c r="AT4347">
        <v>1</v>
      </c>
      <c r="AU4347" t="s">
        <v>384</v>
      </c>
      <c r="AV4347" t="s">
        <v>385</v>
      </c>
      <c r="AW4347" t="s">
        <v>60</v>
      </c>
      <c r="AX4347" t="s">
        <v>68</v>
      </c>
      <c r="AY4347" t="s">
        <v>69</v>
      </c>
      <c r="AZ4347" t="b">
        <v>1</v>
      </c>
    </row>
    <row r="4348" spans="1:52" x14ac:dyDescent="0.3">
      <c r="A4348" t="s">
        <v>52</v>
      </c>
      <c r="B4348" t="s">
        <v>53</v>
      </c>
      <c r="C4348" t="s">
        <v>54</v>
      </c>
      <c r="D4348" t="s">
        <v>55</v>
      </c>
      <c r="E4348" t="s">
        <v>2222</v>
      </c>
      <c r="F4348" t="s">
        <v>1247</v>
      </c>
      <c r="G4348" t="s">
        <v>833</v>
      </c>
      <c r="H4348" t="s">
        <v>834</v>
      </c>
      <c r="I4348" t="s">
        <v>834</v>
      </c>
      <c r="J4348" t="s">
        <v>60</v>
      </c>
      <c r="K4348" t="s">
        <v>388</v>
      </c>
      <c r="L4348" t="s">
        <v>62</v>
      </c>
      <c r="M4348" t="s">
        <v>388</v>
      </c>
      <c r="N4348" t="s">
        <v>835</v>
      </c>
      <c r="O4348" t="s">
        <v>836</v>
      </c>
      <c r="P4348">
        <v>-20.157906000000001</v>
      </c>
      <c r="Q4348">
        <v>-44.900458999999998</v>
      </c>
      <c r="R4348" s="2" t="str">
        <f>HYPERLINK("https://www.google.com/maps?q=-20.1579060,-44.9004590","Abrir no Google Maps")</f>
        <v>Abrir no Google Maps</v>
      </c>
      <c r="S4348">
        <v>3</v>
      </c>
      <c r="T4348">
        <v>0</v>
      </c>
      <c r="U4348">
        <v>3</v>
      </c>
      <c r="V4348">
        <v>0.30474731642443248</v>
      </c>
      <c r="W4348">
        <v>1</v>
      </c>
      <c r="X4348">
        <v>0.30474731642443248</v>
      </c>
      <c r="Y4348">
        <v>729</v>
      </c>
      <c r="Z4348">
        <v>203.63168486652771</v>
      </c>
      <c r="AA4348">
        <v>198</v>
      </c>
      <c r="AB4348">
        <v>332</v>
      </c>
      <c r="AC4348">
        <v>536</v>
      </c>
      <c r="AD4348">
        <v>29.32</v>
      </c>
      <c r="AE4348">
        <v>542</v>
      </c>
      <c r="AF4348">
        <v>27</v>
      </c>
      <c r="AG4348">
        <v>173</v>
      </c>
      <c r="AH4348">
        <v>129</v>
      </c>
      <c r="AI4348">
        <v>4.9800000000000004</v>
      </c>
      <c r="AJ4348">
        <v>31.92</v>
      </c>
      <c r="AK4348">
        <v>23.8</v>
      </c>
      <c r="AL4348">
        <v>-20.157925749999951</v>
      </c>
      <c r="AM4348">
        <v>-44.900484707799812</v>
      </c>
      <c r="AN4348">
        <v>-20.157925749999951</v>
      </c>
      <c r="AO4348">
        <v>-44.900484707799812</v>
      </c>
      <c r="AP4348">
        <v>-20.157906000000001</v>
      </c>
      <c r="AQ4348">
        <v>-44.900458999999998</v>
      </c>
      <c r="AR4348">
        <v>3.4714515960382508</v>
      </c>
      <c r="AS4348" t="s">
        <v>65</v>
      </c>
      <c r="AT4348">
        <v>1</v>
      </c>
      <c r="AU4348" t="s">
        <v>837</v>
      </c>
      <c r="AV4348" t="s">
        <v>838</v>
      </c>
      <c r="AW4348" t="s">
        <v>60</v>
      </c>
      <c r="AX4348" t="s">
        <v>68</v>
      </c>
      <c r="AY4348" t="s">
        <v>69</v>
      </c>
      <c r="AZ4348" t="b">
        <v>1</v>
      </c>
    </row>
    <row r="4349" spans="1:52" x14ac:dyDescent="0.3">
      <c r="A4349" t="s">
        <v>52</v>
      </c>
      <c r="B4349" t="s">
        <v>53</v>
      </c>
      <c r="C4349" t="s">
        <v>54</v>
      </c>
      <c r="D4349" t="s">
        <v>55</v>
      </c>
      <c r="E4349" t="s">
        <v>2222</v>
      </c>
      <c r="F4349" t="s">
        <v>1247</v>
      </c>
      <c r="G4349" t="s">
        <v>386</v>
      </c>
      <c r="H4349" t="s">
        <v>387</v>
      </c>
      <c r="I4349" t="s">
        <v>387</v>
      </c>
      <c r="J4349" t="s">
        <v>60</v>
      </c>
      <c r="K4349" t="s">
        <v>388</v>
      </c>
      <c r="L4349" t="s">
        <v>62</v>
      </c>
      <c r="M4349" t="s">
        <v>388</v>
      </c>
      <c r="N4349" t="s">
        <v>389</v>
      </c>
      <c r="O4349" t="s">
        <v>357</v>
      </c>
      <c r="P4349">
        <v>-20.161041999999998</v>
      </c>
      <c r="Q4349">
        <v>-44.901242000000003</v>
      </c>
      <c r="R4349" s="2" t="str">
        <f>HYPERLINK("https://www.google.com/maps?q=-20.1610420,-44.9012420","Abrir no Google Maps")</f>
        <v>Abrir no Google Maps</v>
      </c>
      <c r="S4349">
        <v>3</v>
      </c>
      <c r="T4349">
        <v>440.22183232279212</v>
      </c>
      <c r="U4349">
        <v>3</v>
      </c>
      <c r="V4349">
        <v>0.30387114387114389</v>
      </c>
      <c r="W4349">
        <v>1</v>
      </c>
      <c r="X4349">
        <v>0.30387114387114389</v>
      </c>
      <c r="Y4349">
        <v>729</v>
      </c>
      <c r="Z4349">
        <v>398.48306829302379</v>
      </c>
      <c r="AA4349">
        <v>198</v>
      </c>
      <c r="AB4349">
        <v>332</v>
      </c>
      <c r="AC4349">
        <v>536</v>
      </c>
      <c r="AD4349">
        <v>29.32</v>
      </c>
      <c r="AE4349">
        <v>542</v>
      </c>
      <c r="AF4349">
        <v>27</v>
      </c>
      <c r="AG4349">
        <v>173</v>
      </c>
      <c r="AH4349">
        <v>129</v>
      </c>
      <c r="AI4349">
        <v>4.9800000000000004</v>
      </c>
      <c r="AJ4349">
        <v>31.92</v>
      </c>
      <c r="AK4349">
        <v>23.8</v>
      </c>
      <c r="AL4349">
        <v>-20.16176629999995</v>
      </c>
      <c r="AM4349">
        <v>-44.901582787827898</v>
      </c>
      <c r="AN4349">
        <v>-20.16176629999995</v>
      </c>
      <c r="AO4349">
        <v>-44.901582787827898</v>
      </c>
      <c r="AP4349">
        <v>-20.161041999999998</v>
      </c>
      <c r="AQ4349">
        <v>-44.901242000000003</v>
      </c>
      <c r="AR4349">
        <v>88.143369157892835</v>
      </c>
      <c r="AS4349" t="s">
        <v>65</v>
      </c>
      <c r="AT4349">
        <v>1</v>
      </c>
      <c r="AU4349" t="s">
        <v>390</v>
      </c>
      <c r="AV4349" t="s">
        <v>391</v>
      </c>
      <c r="AW4349" t="s">
        <v>60</v>
      </c>
      <c r="AX4349" t="s">
        <v>68</v>
      </c>
      <c r="AY4349" t="s">
        <v>69</v>
      </c>
      <c r="AZ4349" t="b">
        <v>1</v>
      </c>
    </row>
    <row r="4350" spans="1:52" x14ac:dyDescent="0.3">
      <c r="A4350" t="s">
        <v>52</v>
      </c>
      <c r="B4350" t="s">
        <v>53</v>
      </c>
      <c r="C4350" t="s">
        <v>54</v>
      </c>
      <c r="D4350" t="s">
        <v>55</v>
      </c>
      <c r="E4350" t="s">
        <v>2222</v>
      </c>
      <c r="F4350" t="s">
        <v>1247</v>
      </c>
      <c r="G4350" t="s">
        <v>845</v>
      </c>
      <c r="H4350" t="s">
        <v>846</v>
      </c>
      <c r="I4350" t="s">
        <v>846</v>
      </c>
      <c r="J4350" t="s">
        <v>60</v>
      </c>
      <c r="K4350" t="s">
        <v>424</v>
      </c>
      <c r="L4350" t="s">
        <v>62</v>
      </c>
      <c r="M4350" t="s">
        <v>424</v>
      </c>
      <c r="N4350" t="s">
        <v>847</v>
      </c>
      <c r="O4350" t="s">
        <v>848</v>
      </c>
      <c r="P4350">
        <v>-20.175523999999999</v>
      </c>
      <c r="Q4350">
        <v>-44.918016999999999</v>
      </c>
      <c r="R4350" s="2" t="str">
        <f>HYPERLINK("https://www.google.com/maps?q=-20.1755240,-44.9180170","Abrir no Google Maps")</f>
        <v>Abrir no Google Maps</v>
      </c>
      <c r="S4350">
        <v>3</v>
      </c>
      <c r="T4350">
        <v>833.59191671824021</v>
      </c>
      <c r="U4350">
        <v>3</v>
      </c>
      <c r="V4350">
        <v>0.35263767571459881</v>
      </c>
      <c r="W4350">
        <v>0.85</v>
      </c>
      <c r="X4350">
        <v>0.29974202435740899</v>
      </c>
      <c r="Y4350">
        <v>723</v>
      </c>
      <c r="Z4350">
        <v>701.05790658871581</v>
      </c>
      <c r="AA4350">
        <v>198</v>
      </c>
      <c r="AB4350">
        <v>332</v>
      </c>
      <c r="AC4350">
        <v>536</v>
      </c>
      <c r="AD4350">
        <v>29.32</v>
      </c>
      <c r="AE4350">
        <v>542</v>
      </c>
      <c r="AF4350">
        <v>27</v>
      </c>
      <c r="AG4350">
        <v>173</v>
      </c>
      <c r="AH4350">
        <v>129</v>
      </c>
      <c r="AI4350">
        <v>4.9800000000000004</v>
      </c>
      <c r="AJ4350">
        <v>31.92</v>
      </c>
      <c r="AK4350">
        <v>23.8</v>
      </c>
      <c r="AL4350">
        <v>-20.17533859999995</v>
      </c>
      <c r="AM4350">
        <v>-44.917689627873088</v>
      </c>
      <c r="AN4350">
        <v>-20.17533859999995</v>
      </c>
      <c r="AO4350">
        <v>-44.917689627873088</v>
      </c>
      <c r="AP4350">
        <v>-20.175523999999999</v>
      </c>
      <c r="AQ4350">
        <v>-44.918016999999999</v>
      </c>
      <c r="AR4350">
        <v>39.950898228213873</v>
      </c>
      <c r="AS4350" t="s">
        <v>65</v>
      </c>
      <c r="AT4350">
        <v>1</v>
      </c>
      <c r="AU4350" t="s">
        <v>849</v>
      </c>
      <c r="AV4350" t="s">
        <v>850</v>
      </c>
      <c r="AW4350" t="s">
        <v>60</v>
      </c>
      <c r="AX4350" t="s">
        <v>68</v>
      </c>
      <c r="AY4350" t="s">
        <v>69</v>
      </c>
      <c r="AZ4350" t="b">
        <v>1</v>
      </c>
    </row>
    <row r="4351" spans="1:52" x14ac:dyDescent="0.3">
      <c r="A4351" t="s">
        <v>52</v>
      </c>
      <c r="B4351" t="s">
        <v>53</v>
      </c>
      <c r="C4351" t="s">
        <v>54</v>
      </c>
      <c r="D4351" t="s">
        <v>55</v>
      </c>
      <c r="E4351" t="s">
        <v>2222</v>
      </c>
      <c r="F4351" t="s">
        <v>1247</v>
      </c>
      <c r="G4351" t="s">
        <v>1347</v>
      </c>
      <c r="H4351" t="s">
        <v>1348</v>
      </c>
      <c r="I4351" t="s">
        <v>1348</v>
      </c>
      <c r="J4351" t="s">
        <v>60</v>
      </c>
      <c r="K4351" t="s">
        <v>1349</v>
      </c>
      <c r="L4351" t="s">
        <v>62</v>
      </c>
      <c r="M4351" t="s">
        <v>1349</v>
      </c>
      <c r="N4351" t="s">
        <v>1350</v>
      </c>
      <c r="O4351" t="s">
        <v>1351</v>
      </c>
      <c r="P4351">
        <v>-20.140426999999999</v>
      </c>
      <c r="Q4351">
        <v>-44.905327999999997</v>
      </c>
      <c r="R4351" s="2" t="str">
        <f>HYPERLINK("https://www.google.com/maps?q=-20.1404270,-44.9053280","Abrir no Google Maps")</f>
        <v>Abrir no Google Maps</v>
      </c>
      <c r="S4351">
        <v>3</v>
      </c>
      <c r="T4351">
        <v>359.5810968231857</v>
      </c>
      <c r="U4351">
        <v>3</v>
      </c>
      <c r="V4351">
        <v>0.3478956568508807</v>
      </c>
      <c r="W4351">
        <v>0.85</v>
      </c>
      <c r="X4351">
        <v>0.2957113083232486</v>
      </c>
      <c r="Y4351">
        <v>581</v>
      </c>
      <c r="Z4351">
        <v>292.370097058873</v>
      </c>
      <c r="AA4351">
        <v>198</v>
      </c>
      <c r="AB4351">
        <v>332</v>
      </c>
      <c r="AC4351">
        <v>536</v>
      </c>
      <c r="AD4351">
        <v>29.32</v>
      </c>
      <c r="AE4351">
        <v>542</v>
      </c>
      <c r="AF4351">
        <v>27</v>
      </c>
      <c r="AG4351">
        <v>173</v>
      </c>
      <c r="AH4351">
        <v>129</v>
      </c>
      <c r="AI4351">
        <v>4.9800000000000004</v>
      </c>
      <c r="AJ4351">
        <v>31.92</v>
      </c>
      <c r="AK4351">
        <v>23.8</v>
      </c>
      <c r="AL4351">
        <v>-20.140465449999969</v>
      </c>
      <c r="AM4351">
        <v>-44.905317129037229</v>
      </c>
      <c r="AN4351">
        <v>-20.140465449999969</v>
      </c>
      <c r="AO4351">
        <v>-44.905317129037229</v>
      </c>
      <c r="AP4351">
        <v>-20.140426999999999</v>
      </c>
      <c r="AQ4351">
        <v>-44.905327999999997</v>
      </c>
      <c r="AR4351">
        <v>4.4284788644958706</v>
      </c>
      <c r="AS4351" t="s">
        <v>65</v>
      </c>
      <c r="AT4351">
        <v>1</v>
      </c>
      <c r="AU4351" t="s">
        <v>1352</v>
      </c>
      <c r="AV4351" t="s">
        <v>1353</v>
      </c>
      <c r="AW4351" t="s">
        <v>60</v>
      </c>
      <c r="AX4351" t="s">
        <v>68</v>
      </c>
      <c r="AY4351" t="s">
        <v>69</v>
      </c>
      <c r="AZ4351" t="b">
        <v>1</v>
      </c>
    </row>
    <row r="4352" spans="1:52" x14ac:dyDescent="0.3">
      <c r="A4352" t="s">
        <v>52</v>
      </c>
      <c r="B4352" t="s">
        <v>53</v>
      </c>
      <c r="C4352" t="s">
        <v>54</v>
      </c>
      <c r="D4352" t="s">
        <v>55</v>
      </c>
      <c r="E4352" t="s">
        <v>2222</v>
      </c>
      <c r="F4352" t="s">
        <v>1247</v>
      </c>
      <c r="G4352" t="s">
        <v>864</v>
      </c>
      <c r="H4352" t="s">
        <v>865</v>
      </c>
      <c r="I4352" t="s">
        <v>865</v>
      </c>
      <c r="J4352" t="s">
        <v>60</v>
      </c>
      <c r="K4352" t="s">
        <v>486</v>
      </c>
      <c r="L4352" t="s">
        <v>62</v>
      </c>
      <c r="M4352" t="s">
        <v>486</v>
      </c>
      <c r="N4352" t="s">
        <v>866</v>
      </c>
      <c r="O4352" t="s">
        <v>867</v>
      </c>
      <c r="P4352">
        <v>-20.170919000000001</v>
      </c>
      <c r="Q4352">
        <v>-44.905451999999997</v>
      </c>
      <c r="R4352" s="2" t="str">
        <f>HYPERLINK("https://www.google.com/maps?q=-20.1709190,-44.9054520","Abrir no Google Maps")</f>
        <v>Abrir no Google Maps</v>
      </c>
      <c r="S4352">
        <v>3</v>
      </c>
      <c r="T4352">
        <v>0</v>
      </c>
      <c r="U4352">
        <v>3</v>
      </c>
      <c r="V4352">
        <v>0.30746104807240182</v>
      </c>
      <c r="W4352">
        <v>1</v>
      </c>
      <c r="X4352">
        <v>0.30746104807240182</v>
      </c>
      <c r="Y4352">
        <v>578</v>
      </c>
      <c r="Z4352">
        <v>205.34598855748419</v>
      </c>
      <c r="AA4352">
        <v>198</v>
      </c>
      <c r="AB4352">
        <v>332</v>
      </c>
      <c r="AC4352">
        <v>536</v>
      </c>
      <c r="AD4352">
        <v>29.32</v>
      </c>
      <c r="AE4352">
        <v>542</v>
      </c>
      <c r="AF4352">
        <v>27</v>
      </c>
      <c r="AG4352">
        <v>173</v>
      </c>
      <c r="AH4352">
        <v>129</v>
      </c>
      <c r="AI4352">
        <v>4.9800000000000004</v>
      </c>
      <c r="AJ4352">
        <v>31.92</v>
      </c>
      <c r="AK4352">
        <v>23.8</v>
      </c>
      <c r="AL4352">
        <v>-20.170854399999939</v>
      </c>
      <c r="AM4352">
        <v>-44.905524839633358</v>
      </c>
      <c r="AN4352">
        <v>-20.170854399999939</v>
      </c>
      <c r="AO4352">
        <v>-44.905524839633358</v>
      </c>
      <c r="AP4352">
        <v>-20.170919000000001</v>
      </c>
      <c r="AQ4352">
        <v>-44.905451999999997</v>
      </c>
      <c r="AR4352">
        <v>10.471140355179269</v>
      </c>
      <c r="AS4352" t="s">
        <v>65</v>
      </c>
      <c r="AT4352">
        <v>1</v>
      </c>
      <c r="AU4352" t="s">
        <v>868</v>
      </c>
      <c r="AV4352" t="s">
        <v>869</v>
      </c>
      <c r="AW4352" t="s">
        <v>60</v>
      </c>
      <c r="AX4352" t="s">
        <v>68</v>
      </c>
      <c r="AY4352" t="s">
        <v>69</v>
      </c>
      <c r="AZ4352" t="b">
        <v>1</v>
      </c>
    </row>
    <row r="4353" spans="1:52" x14ac:dyDescent="0.3">
      <c r="A4353" t="s">
        <v>52</v>
      </c>
      <c r="B4353" t="s">
        <v>53</v>
      </c>
      <c r="C4353" t="s">
        <v>54</v>
      </c>
      <c r="D4353" t="s">
        <v>55</v>
      </c>
      <c r="E4353" t="s">
        <v>2222</v>
      </c>
      <c r="F4353" t="s">
        <v>1247</v>
      </c>
      <c r="G4353" t="s">
        <v>870</v>
      </c>
      <c r="H4353" t="s">
        <v>871</v>
      </c>
      <c r="I4353" t="s">
        <v>871</v>
      </c>
      <c r="J4353" t="s">
        <v>60</v>
      </c>
      <c r="K4353" t="s">
        <v>475</v>
      </c>
      <c r="L4353" t="s">
        <v>62</v>
      </c>
      <c r="M4353" t="s">
        <v>475</v>
      </c>
      <c r="N4353" t="s">
        <v>872</v>
      </c>
      <c r="O4353" t="s">
        <v>507</v>
      </c>
      <c r="P4353">
        <v>-20.176269999999999</v>
      </c>
      <c r="Q4353">
        <v>-44.909323999999998</v>
      </c>
      <c r="R4353" s="2" t="str">
        <f>HYPERLINK("https://www.google.com/maps?q=-20.1762700,-44.9093240","Abrir no Google Maps")</f>
        <v>Abrir no Google Maps</v>
      </c>
      <c r="S4353">
        <v>3</v>
      </c>
      <c r="T4353">
        <v>472.42731136821368</v>
      </c>
      <c r="U4353">
        <v>3</v>
      </c>
      <c r="V4353">
        <v>0.31102434214580638</v>
      </c>
      <c r="W4353">
        <v>1</v>
      </c>
      <c r="X4353">
        <v>0.31102434214580638</v>
      </c>
      <c r="Y4353">
        <v>578</v>
      </c>
      <c r="Z4353">
        <v>495.19726726344601</v>
      </c>
      <c r="AA4353">
        <v>198</v>
      </c>
      <c r="AB4353">
        <v>332</v>
      </c>
      <c r="AC4353">
        <v>536</v>
      </c>
      <c r="AD4353">
        <v>29.32</v>
      </c>
      <c r="AE4353">
        <v>542</v>
      </c>
      <c r="AF4353">
        <v>27</v>
      </c>
      <c r="AG4353">
        <v>173</v>
      </c>
      <c r="AH4353">
        <v>129</v>
      </c>
      <c r="AI4353">
        <v>4.9800000000000004</v>
      </c>
      <c r="AJ4353">
        <v>31.92</v>
      </c>
      <c r="AK4353">
        <v>23.8</v>
      </c>
      <c r="AL4353">
        <v>-20.17630284999996</v>
      </c>
      <c r="AM4353">
        <v>-44.909199064318948</v>
      </c>
      <c r="AN4353">
        <v>-20.17630284999996</v>
      </c>
      <c r="AO4353">
        <v>-44.909199064318948</v>
      </c>
      <c r="AP4353">
        <v>-20.176269999999999</v>
      </c>
      <c r="AQ4353">
        <v>-44.909323999999998</v>
      </c>
      <c r="AR4353">
        <v>13.55691308737447</v>
      </c>
      <c r="AS4353" t="s">
        <v>65</v>
      </c>
      <c r="AT4353">
        <v>1</v>
      </c>
      <c r="AU4353" t="s">
        <v>873</v>
      </c>
      <c r="AV4353" t="s">
        <v>874</v>
      </c>
      <c r="AW4353" t="s">
        <v>60</v>
      </c>
      <c r="AX4353" t="s">
        <v>68</v>
      </c>
      <c r="AY4353" t="s">
        <v>69</v>
      </c>
      <c r="AZ4353" t="b">
        <v>1</v>
      </c>
    </row>
    <row r="4354" spans="1:52" x14ac:dyDescent="0.3">
      <c r="A4354" t="s">
        <v>52</v>
      </c>
      <c r="B4354" t="s">
        <v>53</v>
      </c>
      <c r="C4354" t="s">
        <v>54</v>
      </c>
      <c r="D4354" t="s">
        <v>55</v>
      </c>
      <c r="E4354" t="s">
        <v>2222</v>
      </c>
      <c r="F4354" t="s">
        <v>1247</v>
      </c>
      <c r="G4354" t="s">
        <v>473</v>
      </c>
      <c r="H4354" t="s">
        <v>474</v>
      </c>
      <c r="I4354" t="s">
        <v>474</v>
      </c>
      <c r="J4354" t="s">
        <v>60</v>
      </c>
      <c r="K4354" t="s">
        <v>475</v>
      </c>
      <c r="L4354" t="s">
        <v>62</v>
      </c>
      <c r="M4354" t="s">
        <v>475</v>
      </c>
      <c r="N4354" t="s">
        <v>406</v>
      </c>
      <c r="O4354" t="s">
        <v>476</v>
      </c>
      <c r="P4354">
        <v>-20.177902</v>
      </c>
      <c r="Q4354">
        <v>-44.908504000000001</v>
      </c>
      <c r="R4354" s="2" t="str">
        <f>HYPERLINK("https://www.google.com/maps?q=-20.1779020,-44.9085040","Abrir no Google Maps")</f>
        <v>Abrir no Google Maps</v>
      </c>
      <c r="S4354">
        <v>3</v>
      </c>
      <c r="T4354">
        <v>656.92307673247149</v>
      </c>
      <c r="U4354">
        <v>3</v>
      </c>
      <c r="V4354">
        <v>0.30949599826952201</v>
      </c>
      <c r="W4354">
        <v>1</v>
      </c>
      <c r="X4354">
        <v>0.30949599826952201</v>
      </c>
      <c r="Y4354">
        <v>578</v>
      </c>
      <c r="Z4354">
        <v>635.01982153722327</v>
      </c>
      <c r="AA4354">
        <v>198</v>
      </c>
      <c r="AB4354">
        <v>332</v>
      </c>
      <c r="AC4354">
        <v>536</v>
      </c>
      <c r="AD4354">
        <v>29.32</v>
      </c>
      <c r="AE4354">
        <v>542</v>
      </c>
      <c r="AF4354">
        <v>27</v>
      </c>
      <c r="AG4354">
        <v>173</v>
      </c>
      <c r="AH4354">
        <v>129</v>
      </c>
      <c r="AI4354">
        <v>4.9800000000000004</v>
      </c>
      <c r="AJ4354">
        <v>31.92</v>
      </c>
      <c r="AK4354">
        <v>23.8</v>
      </c>
      <c r="AL4354">
        <v>-20.177800399999938</v>
      </c>
      <c r="AM4354">
        <v>-44.908361879701268</v>
      </c>
      <c r="AN4354">
        <v>-20.177800399999938</v>
      </c>
      <c r="AO4354">
        <v>-44.908361879701268</v>
      </c>
      <c r="AP4354">
        <v>-20.177902</v>
      </c>
      <c r="AQ4354">
        <v>-44.908504000000001</v>
      </c>
      <c r="AR4354">
        <v>18.666463141775541</v>
      </c>
      <c r="AS4354" t="s">
        <v>65</v>
      </c>
      <c r="AT4354">
        <v>1</v>
      </c>
      <c r="AU4354" t="s">
        <v>477</v>
      </c>
      <c r="AV4354" t="s">
        <v>478</v>
      </c>
      <c r="AW4354" t="s">
        <v>60</v>
      </c>
      <c r="AX4354" t="s">
        <v>68</v>
      </c>
      <c r="AY4354" t="s">
        <v>69</v>
      </c>
      <c r="AZ4354" t="b">
        <v>1</v>
      </c>
    </row>
    <row r="4355" spans="1:52" x14ac:dyDescent="0.3">
      <c r="A4355" t="s">
        <v>52</v>
      </c>
      <c r="B4355" t="s">
        <v>53</v>
      </c>
      <c r="C4355" t="s">
        <v>54</v>
      </c>
      <c r="D4355" t="s">
        <v>55</v>
      </c>
      <c r="E4355" t="s">
        <v>2222</v>
      </c>
      <c r="F4355" t="s">
        <v>1247</v>
      </c>
      <c r="G4355" t="s">
        <v>491</v>
      </c>
      <c r="H4355" t="s">
        <v>492</v>
      </c>
      <c r="I4355" t="s">
        <v>492</v>
      </c>
      <c r="J4355" t="s">
        <v>60</v>
      </c>
      <c r="K4355" t="s">
        <v>475</v>
      </c>
      <c r="L4355" t="s">
        <v>62</v>
      </c>
      <c r="M4355" t="s">
        <v>475</v>
      </c>
      <c r="N4355" t="s">
        <v>493</v>
      </c>
      <c r="O4355" t="s">
        <v>494</v>
      </c>
      <c r="P4355">
        <v>-20.175250999999999</v>
      </c>
      <c r="Q4355">
        <v>-44.897357</v>
      </c>
      <c r="R4355" s="2" t="str">
        <f>HYPERLINK("https://www.google.com/maps?q=-20.1752510,-44.8973570","Abrir no Google Maps")</f>
        <v>Abrir no Google Maps</v>
      </c>
      <c r="S4355">
        <v>3</v>
      </c>
      <c r="T4355">
        <v>992.29631678149951</v>
      </c>
      <c r="U4355">
        <v>3</v>
      </c>
      <c r="V4355">
        <v>0.31206168356913311</v>
      </c>
      <c r="W4355">
        <v>1</v>
      </c>
      <c r="X4355">
        <v>0.31206168356913311</v>
      </c>
      <c r="Y4355">
        <v>578</v>
      </c>
      <c r="Z4355">
        <v>1008.5871064168319</v>
      </c>
      <c r="AA4355">
        <v>198</v>
      </c>
      <c r="AB4355">
        <v>332</v>
      </c>
      <c r="AC4355">
        <v>536</v>
      </c>
      <c r="AD4355">
        <v>29.32</v>
      </c>
      <c r="AE4355">
        <v>542</v>
      </c>
      <c r="AF4355">
        <v>27</v>
      </c>
      <c r="AG4355">
        <v>173</v>
      </c>
      <c r="AH4355">
        <v>129</v>
      </c>
      <c r="AI4355">
        <v>4.9800000000000004</v>
      </c>
      <c r="AJ4355">
        <v>31.92</v>
      </c>
      <c r="AK4355">
        <v>23.8</v>
      </c>
      <c r="AL4355">
        <v>-20.175290599999951</v>
      </c>
      <c r="AM4355">
        <v>-44.897271931010721</v>
      </c>
      <c r="AN4355">
        <v>-20.175290599999951</v>
      </c>
      <c r="AO4355">
        <v>-44.897271931010721</v>
      </c>
      <c r="AP4355">
        <v>-20.175250999999999</v>
      </c>
      <c r="AQ4355">
        <v>-44.897357</v>
      </c>
      <c r="AR4355">
        <v>9.921899108467926</v>
      </c>
      <c r="AS4355" t="s">
        <v>65</v>
      </c>
      <c r="AT4355">
        <v>1</v>
      </c>
      <c r="AU4355" t="s">
        <v>495</v>
      </c>
      <c r="AV4355" t="s">
        <v>496</v>
      </c>
      <c r="AW4355" t="s">
        <v>60</v>
      </c>
      <c r="AX4355" t="s">
        <v>68</v>
      </c>
      <c r="AY4355" t="s">
        <v>69</v>
      </c>
      <c r="AZ4355" t="b">
        <v>1</v>
      </c>
    </row>
    <row r="4356" spans="1:52" x14ac:dyDescent="0.3">
      <c r="A4356" t="s">
        <v>52</v>
      </c>
      <c r="B4356" t="s">
        <v>53</v>
      </c>
      <c r="C4356" t="s">
        <v>54</v>
      </c>
      <c r="D4356" t="s">
        <v>55</v>
      </c>
      <c r="E4356" t="s">
        <v>2222</v>
      </c>
      <c r="F4356" t="s">
        <v>1247</v>
      </c>
      <c r="G4356" t="s">
        <v>497</v>
      </c>
      <c r="H4356" t="s">
        <v>875</v>
      </c>
      <c r="I4356" t="s">
        <v>875</v>
      </c>
      <c r="J4356" t="s">
        <v>60</v>
      </c>
      <c r="K4356" t="s">
        <v>475</v>
      </c>
      <c r="L4356" t="s">
        <v>62</v>
      </c>
      <c r="M4356" t="s">
        <v>475</v>
      </c>
      <c r="N4356" t="s">
        <v>499</v>
      </c>
      <c r="O4356" t="s">
        <v>876</v>
      </c>
      <c r="P4356">
        <v>-20.177212999999998</v>
      </c>
      <c r="Q4356">
        <v>-44.904026999999999</v>
      </c>
      <c r="R4356" s="2" t="str">
        <f>HYPERLINK("https://www.google.com/maps?q=-20.1772130,-44.9040270","Abrir no Google Maps")</f>
        <v>Abrir no Google Maps</v>
      </c>
      <c r="S4356">
        <v>3</v>
      </c>
      <c r="T4356">
        <v>706.4159561113795</v>
      </c>
      <c r="U4356">
        <v>3</v>
      </c>
      <c r="V4356">
        <v>0.31260860941963847</v>
      </c>
      <c r="W4356">
        <v>1</v>
      </c>
      <c r="X4356">
        <v>0.31260860941963847</v>
      </c>
      <c r="Y4356">
        <v>578</v>
      </c>
      <c r="Z4356">
        <v>588.7160518608398</v>
      </c>
      <c r="AA4356">
        <v>198</v>
      </c>
      <c r="AB4356">
        <v>332</v>
      </c>
      <c r="AC4356">
        <v>536</v>
      </c>
      <c r="AD4356">
        <v>29.32</v>
      </c>
      <c r="AE4356">
        <v>542</v>
      </c>
      <c r="AF4356">
        <v>27</v>
      </c>
      <c r="AG4356">
        <v>173</v>
      </c>
      <c r="AH4356">
        <v>129</v>
      </c>
      <c r="AI4356">
        <v>4.9800000000000004</v>
      </c>
      <c r="AJ4356">
        <v>31.92</v>
      </c>
      <c r="AK4356">
        <v>23.8</v>
      </c>
      <c r="AL4356">
        <v>-20.177090199999949</v>
      </c>
      <c r="AM4356">
        <v>-44.904078820930181</v>
      </c>
      <c r="AN4356">
        <v>-20.177090199999949</v>
      </c>
      <c r="AO4356">
        <v>-44.904078820930181</v>
      </c>
      <c r="AP4356">
        <v>-20.177212999999998</v>
      </c>
      <c r="AQ4356">
        <v>-44.904026999999999</v>
      </c>
      <c r="AR4356">
        <v>14.7034129632295</v>
      </c>
      <c r="AS4356" t="s">
        <v>65</v>
      </c>
      <c r="AT4356">
        <v>1</v>
      </c>
      <c r="AU4356" t="s">
        <v>877</v>
      </c>
      <c r="AV4356" t="s">
        <v>878</v>
      </c>
      <c r="AW4356" t="s">
        <v>60</v>
      </c>
      <c r="AX4356" t="s">
        <v>68</v>
      </c>
      <c r="AY4356" t="s">
        <v>69</v>
      </c>
      <c r="AZ4356" t="b">
        <v>1</v>
      </c>
    </row>
    <row r="4357" spans="1:52" x14ac:dyDescent="0.3">
      <c r="A4357" t="s">
        <v>52</v>
      </c>
      <c r="B4357" t="s">
        <v>53</v>
      </c>
      <c r="C4357" t="s">
        <v>54</v>
      </c>
      <c r="D4357" t="s">
        <v>55</v>
      </c>
      <c r="E4357" t="s">
        <v>2222</v>
      </c>
      <c r="F4357" t="s">
        <v>1247</v>
      </c>
      <c r="G4357" t="s">
        <v>497</v>
      </c>
      <c r="H4357" t="s">
        <v>498</v>
      </c>
      <c r="I4357" t="s">
        <v>498</v>
      </c>
      <c r="J4357" t="s">
        <v>60</v>
      </c>
      <c r="K4357" t="s">
        <v>475</v>
      </c>
      <c r="L4357" t="s">
        <v>62</v>
      </c>
      <c r="M4357" t="s">
        <v>475</v>
      </c>
      <c r="N4357" t="s">
        <v>499</v>
      </c>
      <c r="O4357" t="s">
        <v>500</v>
      </c>
      <c r="P4357">
        <v>-20.175492999999999</v>
      </c>
      <c r="Q4357">
        <v>-44.900759000000001</v>
      </c>
      <c r="R4357" s="2" t="str">
        <f>HYPERLINK("https://www.google.com/maps?q=-20.1754930,-44.9007590","Abrir no Google Maps")</f>
        <v>Abrir no Google Maps</v>
      </c>
      <c r="S4357">
        <v>3</v>
      </c>
      <c r="T4357">
        <v>753.30732354720431</v>
      </c>
      <c r="U4357">
        <v>3</v>
      </c>
      <c r="V4357">
        <v>0.3063055945692883</v>
      </c>
      <c r="W4357">
        <v>1</v>
      </c>
      <c r="X4357">
        <v>0.3063055945692883</v>
      </c>
      <c r="Y4357">
        <v>578</v>
      </c>
      <c r="Z4357">
        <v>695.28903655431702</v>
      </c>
      <c r="AA4357">
        <v>198</v>
      </c>
      <c r="AB4357">
        <v>332</v>
      </c>
      <c r="AC4357">
        <v>536</v>
      </c>
      <c r="AD4357">
        <v>29.32</v>
      </c>
      <c r="AE4357">
        <v>542</v>
      </c>
      <c r="AF4357">
        <v>27</v>
      </c>
      <c r="AG4357">
        <v>173</v>
      </c>
      <c r="AH4357">
        <v>129</v>
      </c>
      <c r="AI4357">
        <v>4.9800000000000004</v>
      </c>
      <c r="AJ4357">
        <v>31.92</v>
      </c>
      <c r="AK4357">
        <v>23.8</v>
      </c>
      <c r="AL4357">
        <v>-20.175825999999969</v>
      </c>
      <c r="AM4357">
        <v>-44.900600234646973</v>
      </c>
      <c r="AN4357">
        <v>-20.175825999999969</v>
      </c>
      <c r="AO4357">
        <v>-44.900600234646973</v>
      </c>
      <c r="AP4357">
        <v>-20.175492999999999</v>
      </c>
      <c r="AQ4357">
        <v>-44.900759000000001</v>
      </c>
      <c r="AR4357">
        <v>40.612267304645073</v>
      </c>
      <c r="AS4357" t="s">
        <v>65</v>
      </c>
      <c r="AT4357">
        <v>1</v>
      </c>
      <c r="AU4357" t="s">
        <v>501</v>
      </c>
      <c r="AV4357" t="s">
        <v>502</v>
      </c>
      <c r="AW4357" t="s">
        <v>60</v>
      </c>
      <c r="AX4357" t="s">
        <v>68</v>
      </c>
      <c r="AY4357" t="s">
        <v>69</v>
      </c>
      <c r="AZ4357" t="b">
        <v>1</v>
      </c>
    </row>
    <row r="4358" spans="1:52" x14ac:dyDescent="0.3">
      <c r="A4358" t="s">
        <v>52</v>
      </c>
      <c r="B4358" t="s">
        <v>53</v>
      </c>
      <c r="C4358" t="s">
        <v>54</v>
      </c>
      <c r="D4358" t="s">
        <v>55</v>
      </c>
      <c r="E4358" t="s">
        <v>2222</v>
      </c>
      <c r="F4358" t="s">
        <v>1247</v>
      </c>
      <c r="G4358" t="s">
        <v>510</v>
      </c>
      <c r="H4358" t="s">
        <v>511</v>
      </c>
      <c r="I4358" t="s">
        <v>511</v>
      </c>
      <c r="J4358" t="s">
        <v>60</v>
      </c>
      <c r="K4358" t="s">
        <v>512</v>
      </c>
      <c r="L4358" t="s">
        <v>62</v>
      </c>
      <c r="M4358" t="s">
        <v>512</v>
      </c>
      <c r="N4358" t="s">
        <v>406</v>
      </c>
      <c r="O4358" t="s">
        <v>513</v>
      </c>
      <c r="P4358">
        <v>-20.127853000000002</v>
      </c>
      <c r="Q4358">
        <v>-44.891415000000002</v>
      </c>
      <c r="R4358" s="2" t="str">
        <f>HYPERLINK("https://www.google.com/maps?q=-20.1278530,-44.8914150","Abrir no Google Maps")</f>
        <v>Abrir no Google Maps</v>
      </c>
      <c r="S4358">
        <v>3</v>
      </c>
      <c r="T4358">
        <v>340.86994528233612</v>
      </c>
      <c r="U4358">
        <v>3</v>
      </c>
      <c r="V4358">
        <v>0.31357576115640629</v>
      </c>
      <c r="W4358">
        <v>1</v>
      </c>
      <c r="X4358">
        <v>0.31357576115640629</v>
      </c>
      <c r="Y4358">
        <v>564</v>
      </c>
      <c r="Z4358">
        <v>294.18108015916812</v>
      </c>
      <c r="AA4358">
        <v>198</v>
      </c>
      <c r="AB4358">
        <v>332</v>
      </c>
      <c r="AC4358">
        <v>536</v>
      </c>
      <c r="AD4358">
        <v>29.32</v>
      </c>
      <c r="AE4358">
        <v>542</v>
      </c>
      <c r="AF4358">
        <v>27</v>
      </c>
      <c r="AG4358">
        <v>173</v>
      </c>
      <c r="AH4358">
        <v>129</v>
      </c>
      <c r="AI4358">
        <v>4.9800000000000004</v>
      </c>
      <c r="AJ4358">
        <v>31.92</v>
      </c>
      <c r="AK4358">
        <v>23.8</v>
      </c>
      <c r="AL4358">
        <v>-20.12777399999996</v>
      </c>
      <c r="AM4358">
        <v>-44.891400975758501</v>
      </c>
      <c r="AN4358">
        <v>-20.12777399999996</v>
      </c>
      <c r="AO4358">
        <v>-44.891400975758501</v>
      </c>
      <c r="AP4358">
        <v>-20.127853000000002</v>
      </c>
      <c r="AQ4358">
        <v>-44.891415000000002</v>
      </c>
      <c r="AR4358">
        <v>8.9156059162975616</v>
      </c>
      <c r="AS4358" t="s">
        <v>65</v>
      </c>
      <c r="AT4358">
        <v>1</v>
      </c>
      <c r="AU4358" t="s">
        <v>514</v>
      </c>
      <c r="AV4358" t="s">
        <v>515</v>
      </c>
      <c r="AW4358" t="s">
        <v>60</v>
      </c>
      <c r="AX4358" t="s">
        <v>68</v>
      </c>
      <c r="AY4358" t="s">
        <v>69</v>
      </c>
      <c r="AZ4358" t="b">
        <v>1</v>
      </c>
    </row>
    <row r="4359" spans="1:52" x14ac:dyDescent="0.3">
      <c r="A4359" t="s">
        <v>52</v>
      </c>
      <c r="B4359" t="s">
        <v>53</v>
      </c>
      <c r="C4359" t="s">
        <v>54</v>
      </c>
      <c r="D4359" t="s">
        <v>55</v>
      </c>
      <c r="E4359" t="s">
        <v>2222</v>
      </c>
      <c r="F4359" t="s">
        <v>1247</v>
      </c>
      <c r="G4359" t="s">
        <v>879</v>
      </c>
      <c r="H4359" t="s">
        <v>880</v>
      </c>
      <c r="I4359" t="s">
        <v>880</v>
      </c>
      <c r="J4359" t="s">
        <v>60</v>
      </c>
      <c r="K4359" t="s">
        <v>505</v>
      </c>
      <c r="L4359" t="s">
        <v>62</v>
      </c>
      <c r="M4359" t="s">
        <v>505</v>
      </c>
      <c r="N4359" t="s">
        <v>881</v>
      </c>
      <c r="O4359" t="s">
        <v>882</v>
      </c>
      <c r="P4359">
        <v>-20.133452999999999</v>
      </c>
      <c r="Q4359">
        <v>-44.890571999999999</v>
      </c>
      <c r="R4359" s="2" t="str">
        <f>HYPERLINK("https://www.google.com/maps?q=-20.1334530,-44.8905720","Abrir no Google Maps")</f>
        <v>Abrir no Google Maps</v>
      </c>
      <c r="S4359">
        <v>3</v>
      </c>
      <c r="T4359">
        <v>373.51332104809921</v>
      </c>
      <c r="U4359">
        <v>3</v>
      </c>
      <c r="V4359">
        <v>0.3120596889449348</v>
      </c>
      <c r="W4359">
        <v>1</v>
      </c>
      <c r="X4359">
        <v>0.3120596889449348</v>
      </c>
      <c r="Y4359">
        <v>564</v>
      </c>
      <c r="Z4359">
        <v>422.34693311930448</v>
      </c>
      <c r="AA4359">
        <v>198</v>
      </c>
      <c r="AB4359">
        <v>332</v>
      </c>
      <c r="AC4359">
        <v>536</v>
      </c>
      <c r="AD4359">
        <v>29.32</v>
      </c>
      <c r="AE4359">
        <v>542</v>
      </c>
      <c r="AF4359">
        <v>27</v>
      </c>
      <c r="AG4359">
        <v>173</v>
      </c>
      <c r="AH4359">
        <v>129</v>
      </c>
      <c r="AI4359">
        <v>4.9800000000000004</v>
      </c>
      <c r="AJ4359">
        <v>31.92</v>
      </c>
      <c r="AK4359">
        <v>23.8</v>
      </c>
      <c r="AL4359">
        <v>-20.133421549999952</v>
      </c>
      <c r="AM4359">
        <v>-44.890623456009052</v>
      </c>
      <c r="AN4359">
        <v>-20.133421549999952</v>
      </c>
      <c r="AO4359">
        <v>-44.890623456009052</v>
      </c>
      <c r="AP4359">
        <v>-20.133452999999999</v>
      </c>
      <c r="AQ4359">
        <v>-44.890571999999999</v>
      </c>
      <c r="AR4359">
        <v>6.4172139275452773</v>
      </c>
      <c r="AS4359" t="s">
        <v>65</v>
      </c>
      <c r="AT4359">
        <v>1</v>
      </c>
      <c r="AU4359" t="s">
        <v>883</v>
      </c>
      <c r="AV4359" t="s">
        <v>884</v>
      </c>
      <c r="AW4359" t="s">
        <v>60</v>
      </c>
      <c r="AX4359" t="s">
        <v>68</v>
      </c>
      <c r="AY4359" t="s">
        <v>69</v>
      </c>
      <c r="AZ4359" t="b">
        <v>1</v>
      </c>
    </row>
    <row r="4360" spans="1:52" x14ac:dyDescent="0.3">
      <c r="A4360" t="s">
        <v>52</v>
      </c>
      <c r="B4360" t="s">
        <v>53</v>
      </c>
      <c r="C4360" t="s">
        <v>54</v>
      </c>
      <c r="D4360" t="s">
        <v>55</v>
      </c>
      <c r="E4360" t="s">
        <v>2222</v>
      </c>
      <c r="F4360" t="s">
        <v>1247</v>
      </c>
      <c r="G4360" t="s">
        <v>890</v>
      </c>
      <c r="H4360" t="s">
        <v>891</v>
      </c>
      <c r="I4360" t="s">
        <v>891</v>
      </c>
      <c r="J4360" t="s">
        <v>60</v>
      </c>
      <c r="K4360" t="s">
        <v>892</v>
      </c>
      <c r="L4360" t="s">
        <v>62</v>
      </c>
      <c r="M4360" t="s">
        <v>892</v>
      </c>
      <c r="N4360" t="s">
        <v>893</v>
      </c>
      <c r="O4360" t="s">
        <v>894</v>
      </c>
      <c r="P4360">
        <v>-20.152519000000002</v>
      </c>
      <c r="Q4360">
        <v>-44.899177000000002</v>
      </c>
      <c r="R4360" s="2" t="str">
        <f>HYPERLINK("https://www.google.com/maps?q=-20.1525190,-44.8991770","Abrir no Google Maps")</f>
        <v>Abrir no Google Maps</v>
      </c>
      <c r="S4360">
        <v>3</v>
      </c>
      <c r="T4360">
        <v>211.80188552994721</v>
      </c>
      <c r="U4360">
        <v>3</v>
      </c>
      <c r="V4360">
        <v>0.30545436658515329</v>
      </c>
      <c r="W4360">
        <v>1</v>
      </c>
      <c r="X4360">
        <v>0.30545436658515329</v>
      </c>
      <c r="Y4360">
        <v>556</v>
      </c>
      <c r="Z4360">
        <v>290.34804137107091</v>
      </c>
      <c r="AA4360">
        <v>198</v>
      </c>
      <c r="AB4360">
        <v>332</v>
      </c>
      <c r="AC4360">
        <v>536</v>
      </c>
      <c r="AD4360">
        <v>29.32</v>
      </c>
      <c r="AE4360">
        <v>542</v>
      </c>
      <c r="AF4360">
        <v>27</v>
      </c>
      <c r="AG4360">
        <v>173</v>
      </c>
      <c r="AH4360">
        <v>129</v>
      </c>
      <c r="AI4360">
        <v>4.9800000000000004</v>
      </c>
      <c r="AJ4360">
        <v>31.92</v>
      </c>
      <c r="AK4360">
        <v>23.8</v>
      </c>
      <c r="AL4360">
        <v>-20.152516249999959</v>
      </c>
      <c r="AM4360">
        <v>-44.899310431333959</v>
      </c>
      <c r="AN4360">
        <v>-20.152516249999959</v>
      </c>
      <c r="AO4360">
        <v>-44.899310431333959</v>
      </c>
      <c r="AP4360">
        <v>-20.152519000000002</v>
      </c>
      <c r="AQ4360">
        <v>-44.899177000000002</v>
      </c>
      <c r="AR4360">
        <v>13.947583284957719</v>
      </c>
      <c r="AS4360" t="s">
        <v>65</v>
      </c>
      <c r="AT4360">
        <v>1</v>
      </c>
      <c r="AU4360" t="s">
        <v>895</v>
      </c>
      <c r="AV4360" t="s">
        <v>896</v>
      </c>
      <c r="AW4360" t="s">
        <v>60</v>
      </c>
      <c r="AX4360" t="s">
        <v>68</v>
      </c>
      <c r="AY4360" t="s">
        <v>69</v>
      </c>
      <c r="AZ4360" t="b">
        <v>1</v>
      </c>
    </row>
    <row r="4361" spans="1:52" x14ac:dyDescent="0.3">
      <c r="A4361" t="s">
        <v>52</v>
      </c>
      <c r="B4361" t="s">
        <v>53</v>
      </c>
      <c r="C4361" t="s">
        <v>54</v>
      </c>
      <c r="D4361" t="s">
        <v>55</v>
      </c>
      <c r="E4361" t="s">
        <v>2222</v>
      </c>
      <c r="F4361" t="s">
        <v>1247</v>
      </c>
      <c r="G4361" t="s">
        <v>897</v>
      </c>
      <c r="H4361" t="s">
        <v>898</v>
      </c>
      <c r="I4361" t="s">
        <v>898</v>
      </c>
      <c r="J4361" t="s">
        <v>60</v>
      </c>
      <c r="K4361" t="s">
        <v>892</v>
      </c>
      <c r="L4361" t="s">
        <v>62</v>
      </c>
      <c r="M4361" t="s">
        <v>892</v>
      </c>
      <c r="N4361" t="s">
        <v>899</v>
      </c>
      <c r="O4361" t="s">
        <v>900</v>
      </c>
      <c r="P4361">
        <v>-20.154885</v>
      </c>
      <c r="Q4361">
        <v>-44.899890999999997</v>
      </c>
      <c r="R4361" s="2" t="str">
        <f>HYPERLINK("https://www.google.com/maps?q=-20.1548850,-44.8998910","Abrir no Google Maps")</f>
        <v>Abrir no Google Maps</v>
      </c>
      <c r="S4361">
        <v>3</v>
      </c>
      <c r="T4361">
        <v>314.66339661014308</v>
      </c>
      <c r="U4361">
        <v>3</v>
      </c>
      <c r="V4361">
        <v>0.30784543325526931</v>
      </c>
      <c r="W4361">
        <v>1</v>
      </c>
      <c r="X4361">
        <v>0.30784543325526931</v>
      </c>
      <c r="Y4361">
        <v>548</v>
      </c>
      <c r="Z4361">
        <v>319.02252584834253</v>
      </c>
      <c r="AA4361">
        <v>198</v>
      </c>
      <c r="AB4361">
        <v>332</v>
      </c>
      <c r="AC4361">
        <v>536</v>
      </c>
      <c r="AD4361">
        <v>29.32</v>
      </c>
      <c r="AE4361">
        <v>542</v>
      </c>
      <c r="AF4361">
        <v>27</v>
      </c>
      <c r="AG4361">
        <v>173</v>
      </c>
      <c r="AH4361">
        <v>129</v>
      </c>
      <c r="AI4361">
        <v>4.9800000000000004</v>
      </c>
      <c r="AJ4361">
        <v>31.92</v>
      </c>
      <c r="AK4361">
        <v>23.8</v>
      </c>
      <c r="AL4361">
        <v>-20.154906649999951</v>
      </c>
      <c r="AM4361">
        <v>-44.899894072543653</v>
      </c>
      <c r="AN4361">
        <v>-20.154906649999951</v>
      </c>
      <c r="AO4361">
        <v>-44.899894072543653</v>
      </c>
      <c r="AP4361">
        <v>-20.154885</v>
      </c>
      <c r="AQ4361">
        <v>-44.899890999999997</v>
      </c>
      <c r="AR4361">
        <v>2.431373123904943</v>
      </c>
      <c r="AS4361" t="s">
        <v>65</v>
      </c>
      <c r="AT4361">
        <v>1</v>
      </c>
      <c r="AU4361" t="s">
        <v>901</v>
      </c>
      <c r="AV4361" t="s">
        <v>902</v>
      </c>
      <c r="AW4361" t="s">
        <v>60</v>
      </c>
      <c r="AX4361" t="s">
        <v>68</v>
      </c>
      <c r="AY4361" t="s">
        <v>69</v>
      </c>
      <c r="AZ4361" t="b">
        <v>1</v>
      </c>
    </row>
    <row r="4362" spans="1:52" x14ac:dyDescent="0.3">
      <c r="A4362" t="s">
        <v>52</v>
      </c>
      <c r="B4362" t="s">
        <v>53</v>
      </c>
      <c r="C4362" t="s">
        <v>54</v>
      </c>
      <c r="D4362" t="s">
        <v>55</v>
      </c>
      <c r="E4362" t="s">
        <v>2222</v>
      </c>
      <c r="F4362" t="s">
        <v>1247</v>
      </c>
      <c r="G4362" t="s">
        <v>545</v>
      </c>
      <c r="H4362" t="s">
        <v>546</v>
      </c>
      <c r="I4362" t="s">
        <v>546</v>
      </c>
      <c r="J4362" t="s">
        <v>60</v>
      </c>
      <c r="K4362" t="s">
        <v>388</v>
      </c>
      <c r="L4362" t="s">
        <v>62</v>
      </c>
      <c r="M4362" t="s">
        <v>388</v>
      </c>
      <c r="N4362" t="s">
        <v>547</v>
      </c>
      <c r="O4362" t="s">
        <v>548</v>
      </c>
      <c r="P4362">
        <v>-20.155839</v>
      </c>
      <c r="Q4362">
        <v>-44.905655000000003</v>
      </c>
      <c r="R4362" s="2" t="str">
        <f>HYPERLINK("https://www.google.com/maps?q=-20.1558390,-44.9056550","Abrir no Google Maps")</f>
        <v>Abrir no Google Maps</v>
      </c>
      <c r="S4362">
        <v>3</v>
      </c>
      <c r="T4362">
        <v>309.7643089121122</v>
      </c>
      <c r="U4362">
        <v>3</v>
      </c>
      <c r="V4362">
        <v>0.3128526645768025</v>
      </c>
      <c r="W4362">
        <v>1</v>
      </c>
      <c r="X4362">
        <v>0.3128526645768025</v>
      </c>
      <c r="Y4362">
        <v>548</v>
      </c>
      <c r="Z4362">
        <v>284.24281731793161</v>
      </c>
      <c r="AA4362">
        <v>198</v>
      </c>
      <c r="AB4362">
        <v>332</v>
      </c>
      <c r="AC4362">
        <v>536</v>
      </c>
      <c r="AD4362">
        <v>29.32</v>
      </c>
      <c r="AE4362">
        <v>542</v>
      </c>
      <c r="AF4362">
        <v>27</v>
      </c>
      <c r="AG4362">
        <v>173</v>
      </c>
      <c r="AH4362">
        <v>129</v>
      </c>
      <c r="AI4362">
        <v>4.9800000000000004</v>
      </c>
      <c r="AJ4362">
        <v>31.92</v>
      </c>
      <c r="AK4362">
        <v>23.8</v>
      </c>
      <c r="AL4362">
        <v>-20.155913549999951</v>
      </c>
      <c r="AM4362">
        <v>-44.905554508392683</v>
      </c>
      <c r="AN4362">
        <v>-20.155913549999951</v>
      </c>
      <c r="AO4362">
        <v>-44.905554508392669</v>
      </c>
      <c r="AP4362">
        <v>-20.155839</v>
      </c>
      <c r="AQ4362">
        <v>-44.905655000000003</v>
      </c>
      <c r="AR4362">
        <v>13.384922093797449</v>
      </c>
      <c r="AS4362" t="s">
        <v>65</v>
      </c>
      <c r="AT4362">
        <v>1</v>
      </c>
      <c r="AU4362" t="s">
        <v>549</v>
      </c>
      <c r="AV4362" t="s">
        <v>550</v>
      </c>
      <c r="AW4362" t="s">
        <v>60</v>
      </c>
      <c r="AX4362" t="s">
        <v>68</v>
      </c>
      <c r="AY4362" t="s">
        <v>69</v>
      </c>
      <c r="AZ4362" t="b">
        <v>1</v>
      </c>
    </row>
    <row r="4363" spans="1:52" x14ac:dyDescent="0.3">
      <c r="A4363" t="s">
        <v>52</v>
      </c>
      <c r="B4363" t="s">
        <v>53</v>
      </c>
      <c r="C4363" t="s">
        <v>54</v>
      </c>
      <c r="D4363" t="s">
        <v>55</v>
      </c>
      <c r="E4363" t="s">
        <v>2222</v>
      </c>
      <c r="F4363" t="s">
        <v>1247</v>
      </c>
      <c r="G4363" t="s">
        <v>839</v>
      </c>
      <c r="H4363" t="s">
        <v>1274</v>
      </c>
      <c r="I4363" t="s">
        <v>1274</v>
      </c>
      <c r="J4363" t="s">
        <v>60</v>
      </c>
      <c r="K4363" t="s">
        <v>388</v>
      </c>
      <c r="L4363" t="s">
        <v>62</v>
      </c>
      <c r="M4363" t="s">
        <v>388</v>
      </c>
      <c r="N4363" t="s">
        <v>841</v>
      </c>
      <c r="O4363" t="s">
        <v>1275</v>
      </c>
      <c r="P4363">
        <v>-20.157979999999998</v>
      </c>
      <c r="Q4363">
        <v>-44.906365999999998</v>
      </c>
      <c r="R4363" s="2" t="str">
        <f>HYPERLINK("https://www.google.com/maps?q=-20.1579800,-44.9063660","Abrir no Google Maps")</f>
        <v>Abrir no Google Maps</v>
      </c>
      <c r="S4363">
        <v>3</v>
      </c>
      <c r="T4363">
        <v>519.48953004348823</v>
      </c>
      <c r="U4363">
        <v>2</v>
      </c>
      <c r="V4363">
        <v>0.31863815197148532</v>
      </c>
      <c r="W4363">
        <v>0.85</v>
      </c>
      <c r="X4363">
        <v>0.27084242917576251</v>
      </c>
      <c r="Y4363">
        <v>729</v>
      </c>
      <c r="Z4363">
        <v>393.22938248316768</v>
      </c>
      <c r="AA4363">
        <v>198</v>
      </c>
      <c r="AB4363">
        <v>332</v>
      </c>
      <c r="AC4363">
        <v>536</v>
      </c>
      <c r="AD4363">
        <v>29.32</v>
      </c>
      <c r="AE4363">
        <v>542</v>
      </c>
      <c r="AF4363">
        <v>27</v>
      </c>
      <c r="AG4363">
        <v>173</v>
      </c>
      <c r="AH4363">
        <v>129</v>
      </c>
      <c r="AI4363">
        <v>4.9800000000000004</v>
      </c>
      <c r="AJ4363">
        <v>31.92</v>
      </c>
      <c r="AK4363">
        <v>23.8</v>
      </c>
      <c r="AL4363">
        <v>-20.157977799999941</v>
      </c>
      <c r="AM4363">
        <v>-44.906429896327573</v>
      </c>
      <c r="AN4363">
        <v>-20.157977799999941</v>
      </c>
      <c r="AO4363">
        <v>-44.906429896327573</v>
      </c>
      <c r="AP4363">
        <v>-20.157979999999998</v>
      </c>
      <c r="AQ4363">
        <v>-44.906365999999998</v>
      </c>
      <c r="AR4363">
        <v>6.6817330699236734</v>
      </c>
      <c r="AS4363" t="s">
        <v>65</v>
      </c>
      <c r="AT4363">
        <v>1</v>
      </c>
      <c r="AU4363" t="s">
        <v>1276</v>
      </c>
      <c r="AV4363" t="s">
        <v>1277</v>
      </c>
      <c r="AW4363" t="s">
        <v>60</v>
      </c>
      <c r="AX4363" t="s">
        <v>68</v>
      </c>
      <c r="AY4363" t="s">
        <v>69</v>
      </c>
      <c r="AZ4363" t="b">
        <v>1</v>
      </c>
    </row>
    <row r="4364" spans="1:52" x14ac:dyDescent="0.3">
      <c r="A4364" t="s">
        <v>52</v>
      </c>
      <c r="B4364" t="s">
        <v>53</v>
      </c>
      <c r="C4364" t="s">
        <v>54</v>
      </c>
      <c r="D4364" t="s">
        <v>55</v>
      </c>
      <c r="E4364" t="s">
        <v>2222</v>
      </c>
      <c r="F4364" t="s">
        <v>1247</v>
      </c>
      <c r="G4364" t="s">
        <v>1278</v>
      </c>
      <c r="H4364" t="s">
        <v>1279</v>
      </c>
      <c r="I4364" t="s">
        <v>1279</v>
      </c>
      <c r="J4364" t="s">
        <v>60</v>
      </c>
      <c r="K4364" t="s">
        <v>388</v>
      </c>
      <c r="L4364" t="s">
        <v>62</v>
      </c>
      <c r="M4364" t="s">
        <v>388</v>
      </c>
      <c r="N4364" t="s">
        <v>1280</v>
      </c>
      <c r="O4364" t="s">
        <v>216</v>
      </c>
      <c r="P4364">
        <v>-20.15681</v>
      </c>
      <c r="Q4364">
        <v>-44.899290999999998</v>
      </c>
      <c r="R4364" s="2" t="str">
        <f>HYPERLINK("https://www.google.com/maps?q=-20.1568100,-44.8992910","Abrir no Google Maps")</f>
        <v>Abrir no Google Maps</v>
      </c>
      <c r="S4364">
        <v>3</v>
      </c>
      <c r="T4364">
        <v>180.10162979749811</v>
      </c>
      <c r="U4364">
        <v>2</v>
      </c>
      <c r="V4364">
        <v>0.33598177723177719</v>
      </c>
      <c r="W4364">
        <v>0.85</v>
      </c>
      <c r="X4364">
        <v>0.28558451064701063</v>
      </c>
      <c r="Y4364">
        <v>729</v>
      </c>
      <c r="Z4364">
        <v>368.06065118133841</v>
      </c>
      <c r="AA4364">
        <v>198</v>
      </c>
      <c r="AB4364">
        <v>332</v>
      </c>
      <c r="AC4364">
        <v>536</v>
      </c>
      <c r="AD4364">
        <v>29.32</v>
      </c>
      <c r="AE4364">
        <v>542</v>
      </c>
      <c r="AF4364">
        <v>27</v>
      </c>
      <c r="AG4364">
        <v>173</v>
      </c>
      <c r="AH4364">
        <v>129</v>
      </c>
      <c r="AI4364">
        <v>4.9800000000000004</v>
      </c>
      <c r="AJ4364">
        <v>31.92</v>
      </c>
      <c r="AK4364">
        <v>23.8</v>
      </c>
      <c r="AL4364">
        <v>-20.156785649999961</v>
      </c>
      <c r="AM4364">
        <v>-44.899254812291332</v>
      </c>
      <c r="AN4364">
        <v>-20.156785649999961</v>
      </c>
      <c r="AO4364">
        <v>-44.899254812291332</v>
      </c>
      <c r="AP4364">
        <v>-20.15681</v>
      </c>
      <c r="AQ4364">
        <v>-44.899290999999998</v>
      </c>
      <c r="AR4364">
        <v>4.6528211992813118</v>
      </c>
      <c r="AS4364" t="s">
        <v>65</v>
      </c>
      <c r="AT4364">
        <v>1</v>
      </c>
      <c r="AU4364" t="s">
        <v>1281</v>
      </c>
      <c r="AV4364" t="s">
        <v>1282</v>
      </c>
      <c r="AW4364" t="s">
        <v>60</v>
      </c>
      <c r="AX4364" t="s">
        <v>68</v>
      </c>
      <c r="AY4364" t="s">
        <v>69</v>
      </c>
      <c r="AZ4364" t="b">
        <v>1</v>
      </c>
    </row>
    <row r="4365" spans="1:52" x14ac:dyDescent="0.3">
      <c r="A4365" t="s">
        <v>52</v>
      </c>
      <c r="B4365" t="s">
        <v>53</v>
      </c>
      <c r="C4365" t="s">
        <v>54</v>
      </c>
      <c r="D4365" t="s">
        <v>55</v>
      </c>
      <c r="E4365" t="s">
        <v>2222</v>
      </c>
      <c r="F4365" t="s">
        <v>1247</v>
      </c>
      <c r="G4365" t="s">
        <v>1283</v>
      </c>
      <c r="H4365" t="s">
        <v>1284</v>
      </c>
      <c r="I4365" t="s">
        <v>1284</v>
      </c>
      <c r="J4365" t="s">
        <v>60</v>
      </c>
      <c r="K4365" t="s">
        <v>388</v>
      </c>
      <c r="L4365" t="s">
        <v>62</v>
      </c>
      <c r="M4365" t="s">
        <v>388</v>
      </c>
      <c r="N4365" t="s">
        <v>400</v>
      </c>
      <c r="O4365" t="s">
        <v>1285</v>
      </c>
      <c r="P4365">
        <v>-20.156977999999999</v>
      </c>
      <c r="Q4365">
        <v>-44.90325</v>
      </c>
      <c r="R4365" s="2" t="str">
        <f>HYPERLINK("https://www.google.com/maps?q=-20.1569780,-44.9032500","Abrir no Google Maps")</f>
        <v>Abrir no Google Maps</v>
      </c>
      <c r="S4365">
        <v>3</v>
      </c>
      <c r="T4365">
        <v>256.05633739092571</v>
      </c>
      <c r="U4365">
        <v>2</v>
      </c>
      <c r="V4365">
        <v>0.31343515931044158</v>
      </c>
      <c r="W4365">
        <v>0.85</v>
      </c>
      <c r="X4365">
        <v>0.26641988541387529</v>
      </c>
      <c r="Y4365">
        <v>729</v>
      </c>
      <c r="Z4365">
        <v>162.99447055889971</v>
      </c>
      <c r="AA4365">
        <v>198</v>
      </c>
      <c r="AB4365">
        <v>332</v>
      </c>
      <c r="AC4365">
        <v>536</v>
      </c>
      <c r="AD4365">
        <v>29.32</v>
      </c>
      <c r="AE4365">
        <v>542</v>
      </c>
      <c r="AF4365">
        <v>27</v>
      </c>
      <c r="AG4365">
        <v>173</v>
      </c>
      <c r="AH4365">
        <v>129</v>
      </c>
      <c r="AI4365">
        <v>4.9800000000000004</v>
      </c>
      <c r="AJ4365">
        <v>31.92</v>
      </c>
      <c r="AK4365">
        <v>23.8</v>
      </c>
      <c r="AL4365">
        <v>-20.15696524999996</v>
      </c>
      <c r="AM4365">
        <v>-44.903258102626708</v>
      </c>
      <c r="AN4365">
        <v>-20.15696524999996</v>
      </c>
      <c r="AO4365">
        <v>-44.903258102626708</v>
      </c>
      <c r="AP4365">
        <v>-20.156977999999999</v>
      </c>
      <c r="AQ4365">
        <v>-44.90325</v>
      </c>
      <c r="AR4365">
        <v>1.6527147033629741</v>
      </c>
      <c r="AS4365" t="s">
        <v>65</v>
      </c>
      <c r="AT4365">
        <v>1</v>
      </c>
      <c r="AU4365" t="s">
        <v>1286</v>
      </c>
      <c r="AV4365" t="s">
        <v>1287</v>
      </c>
      <c r="AW4365" t="s">
        <v>60</v>
      </c>
      <c r="AX4365" t="s">
        <v>68</v>
      </c>
      <c r="AY4365" t="s">
        <v>69</v>
      </c>
      <c r="AZ4365" t="b">
        <v>1</v>
      </c>
    </row>
    <row r="4366" spans="1:52" x14ac:dyDescent="0.3">
      <c r="A4366" t="s">
        <v>52</v>
      </c>
      <c r="B4366" t="s">
        <v>53</v>
      </c>
      <c r="C4366" t="s">
        <v>54</v>
      </c>
      <c r="D4366" t="s">
        <v>55</v>
      </c>
      <c r="E4366" t="s">
        <v>2222</v>
      </c>
      <c r="F4366" t="s">
        <v>1247</v>
      </c>
      <c r="G4366" t="s">
        <v>1288</v>
      </c>
      <c r="H4366" t="s">
        <v>1289</v>
      </c>
      <c r="I4366" t="s">
        <v>1289</v>
      </c>
      <c r="J4366" t="s">
        <v>60</v>
      </c>
      <c r="K4366" t="s">
        <v>1290</v>
      </c>
      <c r="L4366" t="s">
        <v>62</v>
      </c>
      <c r="M4366" t="s">
        <v>1290</v>
      </c>
      <c r="N4366" t="s">
        <v>1291</v>
      </c>
      <c r="O4366" t="s">
        <v>315</v>
      </c>
      <c r="P4366">
        <v>-20.171008</v>
      </c>
      <c r="Q4366">
        <v>-44.918908999999999</v>
      </c>
      <c r="R4366" s="2" t="str">
        <f>HYPERLINK("https://www.google.com/maps?q=-20.1710080,-44.9189090","Abrir no Google Maps")</f>
        <v>Abrir no Google Maps</v>
      </c>
      <c r="S4366">
        <v>3</v>
      </c>
      <c r="T4366">
        <v>972.86786700299888</v>
      </c>
      <c r="U4366">
        <v>2</v>
      </c>
      <c r="V4366">
        <v>0.31894690460453839</v>
      </c>
      <c r="W4366">
        <v>0.85</v>
      </c>
      <c r="X4366">
        <v>0.27110486891385771</v>
      </c>
      <c r="Y4366">
        <v>723</v>
      </c>
      <c r="Z4366">
        <v>690.55600110253613</v>
      </c>
      <c r="AA4366">
        <v>198</v>
      </c>
      <c r="AB4366">
        <v>332</v>
      </c>
      <c r="AC4366">
        <v>536</v>
      </c>
      <c r="AD4366">
        <v>29.32</v>
      </c>
      <c r="AE4366">
        <v>542</v>
      </c>
      <c r="AF4366">
        <v>27</v>
      </c>
      <c r="AG4366">
        <v>173</v>
      </c>
      <c r="AH4366">
        <v>129</v>
      </c>
      <c r="AI4366">
        <v>4.9800000000000004</v>
      </c>
      <c r="AJ4366">
        <v>31.92</v>
      </c>
      <c r="AK4366">
        <v>23.8</v>
      </c>
      <c r="AL4366">
        <v>-20.171738249999979</v>
      </c>
      <c r="AM4366">
        <v>-44.919736490382917</v>
      </c>
      <c r="AN4366">
        <v>-20.171738249999979</v>
      </c>
      <c r="AO4366">
        <v>-44.919736490382931</v>
      </c>
      <c r="AP4366">
        <v>-20.171008</v>
      </c>
      <c r="AQ4366">
        <v>-44.918908999999999</v>
      </c>
      <c r="AR4366">
        <v>118.678920061485</v>
      </c>
      <c r="AS4366" t="s">
        <v>65</v>
      </c>
      <c r="AT4366">
        <v>1</v>
      </c>
      <c r="AU4366" t="s">
        <v>1292</v>
      </c>
      <c r="AV4366" t="s">
        <v>1293</v>
      </c>
      <c r="AW4366" t="s">
        <v>60</v>
      </c>
      <c r="AX4366" t="s">
        <v>68</v>
      </c>
      <c r="AY4366" t="s">
        <v>69</v>
      </c>
      <c r="AZ4366" t="b">
        <v>1</v>
      </c>
    </row>
    <row r="4367" spans="1:52" x14ac:dyDescent="0.3">
      <c r="A4367" t="s">
        <v>52</v>
      </c>
      <c r="B4367" t="s">
        <v>53</v>
      </c>
      <c r="C4367" t="s">
        <v>54</v>
      </c>
      <c r="D4367" t="s">
        <v>55</v>
      </c>
      <c r="E4367" t="s">
        <v>2222</v>
      </c>
      <c r="F4367" t="s">
        <v>1247</v>
      </c>
      <c r="G4367" t="s">
        <v>1294</v>
      </c>
      <c r="H4367" t="s">
        <v>1295</v>
      </c>
      <c r="I4367" t="s">
        <v>1295</v>
      </c>
      <c r="J4367" t="s">
        <v>60</v>
      </c>
      <c r="K4367" t="s">
        <v>418</v>
      </c>
      <c r="L4367" t="s">
        <v>62</v>
      </c>
      <c r="M4367" t="s">
        <v>418</v>
      </c>
      <c r="N4367" t="s">
        <v>1296</v>
      </c>
      <c r="O4367" t="s">
        <v>1297</v>
      </c>
      <c r="P4367">
        <v>-20.169899999999998</v>
      </c>
      <c r="Q4367">
        <v>-44.916176999999998</v>
      </c>
      <c r="R4367" s="2" t="str">
        <f>HYPERLINK("https://www.google.com/maps?q=-20.1699000,-44.9161770","Abrir no Google Maps")</f>
        <v>Abrir no Google Maps</v>
      </c>
      <c r="S4367">
        <v>3</v>
      </c>
      <c r="T4367">
        <v>658.15251036568407</v>
      </c>
      <c r="U4367">
        <v>2</v>
      </c>
      <c r="V4367">
        <v>0.31538109113566798</v>
      </c>
      <c r="W4367">
        <v>0.85</v>
      </c>
      <c r="X4367">
        <v>0.26807392746531777</v>
      </c>
      <c r="Y4367">
        <v>723</v>
      </c>
      <c r="Z4367">
        <v>400.39092274559039</v>
      </c>
      <c r="AA4367">
        <v>198</v>
      </c>
      <c r="AB4367">
        <v>332</v>
      </c>
      <c r="AC4367">
        <v>536</v>
      </c>
      <c r="AD4367">
        <v>29.32</v>
      </c>
      <c r="AE4367">
        <v>542</v>
      </c>
      <c r="AF4367">
        <v>27</v>
      </c>
      <c r="AG4367">
        <v>173</v>
      </c>
      <c r="AH4367">
        <v>129</v>
      </c>
      <c r="AI4367">
        <v>4.9800000000000004</v>
      </c>
      <c r="AJ4367">
        <v>31.92</v>
      </c>
      <c r="AK4367">
        <v>23.8</v>
      </c>
      <c r="AL4367">
        <v>-20.169898399999941</v>
      </c>
      <c r="AM4367">
        <v>-44.916247682868359</v>
      </c>
      <c r="AN4367">
        <v>-20.169898399999941</v>
      </c>
      <c r="AO4367">
        <v>-44.916247682868359</v>
      </c>
      <c r="AP4367">
        <v>-20.169899999999998</v>
      </c>
      <c r="AQ4367">
        <v>-44.916176999999998</v>
      </c>
      <c r="AR4367">
        <v>7.388028048308902</v>
      </c>
      <c r="AS4367" t="s">
        <v>65</v>
      </c>
      <c r="AT4367">
        <v>1</v>
      </c>
      <c r="AU4367" t="s">
        <v>1298</v>
      </c>
      <c r="AV4367" t="s">
        <v>1299</v>
      </c>
      <c r="AW4367" t="s">
        <v>60</v>
      </c>
      <c r="AX4367" t="s">
        <v>68</v>
      </c>
      <c r="AY4367" t="s">
        <v>69</v>
      </c>
      <c r="AZ4367" t="b">
        <v>1</v>
      </c>
    </row>
    <row r="4368" spans="1:52" x14ac:dyDescent="0.3">
      <c r="A4368" t="s">
        <v>52</v>
      </c>
      <c r="B4368" t="s">
        <v>53</v>
      </c>
      <c r="C4368" t="s">
        <v>54</v>
      </c>
      <c r="D4368" t="s">
        <v>55</v>
      </c>
      <c r="E4368" t="s">
        <v>2222</v>
      </c>
      <c r="F4368" t="s">
        <v>1247</v>
      </c>
      <c r="G4368" t="s">
        <v>1300</v>
      </c>
      <c r="H4368" t="s">
        <v>1301</v>
      </c>
      <c r="I4368" t="s">
        <v>1301</v>
      </c>
      <c r="J4368" t="s">
        <v>60</v>
      </c>
      <c r="K4368" t="s">
        <v>1302</v>
      </c>
      <c r="L4368" t="s">
        <v>62</v>
      </c>
      <c r="M4368" t="s">
        <v>1302</v>
      </c>
      <c r="N4368" t="s">
        <v>1303</v>
      </c>
      <c r="O4368" t="s">
        <v>1304</v>
      </c>
      <c r="P4368">
        <v>-20.166618</v>
      </c>
      <c r="Q4368">
        <v>-44.912920999999997</v>
      </c>
      <c r="R4368" s="2" t="str">
        <f>HYPERLINK("https://www.google.com/maps?q=-20.1666180,-44.9129210","Abrir no Google Maps")</f>
        <v>Abrir no Google Maps</v>
      </c>
      <c r="S4368">
        <v>3</v>
      </c>
      <c r="T4368">
        <v>636.32880156364706</v>
      </c>
      <c r="U4368">
        <v>2</v>
      </c>
      <c r="V4368">
        <v>0.31202473821069648</v>
      </c>
      <c r="W4368">
        <v>0.85</v>
      </c>
      <c r="X4368">
        <v>0.26522102747909199</v>
      </c>
      <c r="Y4368">
        <v>723</v>
      </c>
      <c r="Z4368">
        <v>407.62145176971592</v>
      </c>
      <c r="AA4368">
        <v>198</v>
      </c>
      <c r="AB4368">
        <v>332</v>
      </c>
      <c r="AC4368">
        <v>536</v>
      </c>
      <c r="AD4368">
        <v>29.32</v>
      </c>
      <c r="AE4368">
        <v>542</v>
      </c>
      <c r="AF4368">
        <v>27</v>
      </c>
      <c r="AG4368">
        <v>173</v>
      </c>
      <c r="AH4368">
        <v>129</v>
      </c>
      <c r="AI4368">
        <v>4.9800000000000004</v>
      </c>
      <c r="AJ4368">
        <v>31.92</v>
      </c>
      <c r="AK4368">
        <v>23.8</v>
      </c>
      <c r="AL4368">
        <v>-20.166924799999951</v>
      </c>
      <c r="AM4368">
        <v>-44.912868681724092</v>
      </c>
      <c r="AN4368">
        <v>-20.166924799999951</v>
      </c>
      <c r="AO4368">
        <v>-44.912868681724092</v>
      </c>
      <c r="AP4368">
        <v>-20.166618</v>
      </c>
      <c r="AQ4368">
        <v>-44.912920999999997</v>
      </c>
      <c r="AR4368">
        <v>34.587771860198139</v>
      </c>
      <c r="AS4368" t="s">
        <v>65</v>
      </c>
      <c r="AT4368">
        <v>1</v>
      </c>
      <c r="AU4368" t="s">
        <v>1305</v>
      </c>
      <c r="AV4368" t="s">
        <v>1306</v>
      </c>
      <c r="AW4368" t="s">
        <v>60</v>
      </c>
      <c r="AX4368" t="s">
        <v>68</v>
      </c>
      <c r="AY4368" t="s">
        <v>69</v>
      </c>
      <c r="AZ4368" t="b">
        <v>1</v>
      </c>
    </row>
    <row r="4369" spans="1:52" x14ac:dyDescent="0.3">
      <c r="A4369" t="s">
        <v>52</v>
      </c>
      <c r="B4369" t="s">
        <v>53</v>
      </c>
      <c r="C4369" t="s">
        <v>54</v>
      </c>
      <c r="D4369" t="s">
        <v>55</v>
      </c>
      <c r="E4369" t="s">
        <v>2222</v>
      </c>
      <c r="F4369" t="s">
        <v>1247</v>
      </c>
      <c r="G4369" t="s">
        <v>1307</v>
      </c>
      <c r="H4369" t="s">
        <v>1308</v>
      </c>
      <c r="I4369" t="s">
        <v>1308</v>
      </c>
      <c r="J4369" t="s">
        <v>60</v>
      </c>
      <c r="K4369" t="s">
        <v>1302</v>
      </c>
      <c r="L4369" t="s">
        <v>62</v>
      </c>
      <c r="M4369" t="s">
        <v>1302</v>
      </c>
      <c r="N4369" t="s">
        <v>558</v>
      </c>
      <c r="O4369" t="s">
        <v>1309</v>
      </c>
      <c r="P4369">
        <v>-20.169051</v>
      </c>
      <c r="Q4369">
        <v>-44.910093000000003</v>
      </c>
      <c r="R4369" s="2" t="str">
        <f>HYPERLINK("https://www.google.com/maps?q=-20.1690510,-44.9100930","Abrir no Google Maps")</f>
        <v>Abrir no Google Maps</v>
      </c>
      <c r="S4369">
        <v>3</v>
      </c>
      <c r="T4369">
        <v>375.90504489887479</v>
      </c>
      <c r="U4369">
        <v>2</v>
      </c>
      <c r="V4369">
        <v>0.32858704820218049</v>
      </c>
      <c r="W4369">
        <v>0.85</v>
      </c>
      <c r="X4369">
        <v>0.2792989909718534</v>
      </c>
      <c r="Y4369">
        <v>723</v>
      </c>
      <c r="Z4369">
        <v>456.19893675176831</v>
      </c>
      <c r="AA4369">
        <v>198</v>
      </c>
      <c r="AB4369">
        <v>332</v>
      </c>
      <c r="AC4369">
        <v>536</v>
      </c>
      <c r="AD4369">
        <v>29.32</v>
      </c>
      <c r="AE4369">
        <v>542</v>
      </c>
      <c r="AF4369">
        <v>27</v>
      </c>
      <c r="AG4369">
        <v>173</v>
      </c>
      <c r="AH4369">
        <v>129</v>
      </c>
      <c r="AI4369">
        <v>4.9800000000000004</v>
      </c>
      <c r="AJ4369">
        <v>31.92</v>
      </c>
      <c r="AK4369">
        <v>23.8</v>
      </c>
      <c r="AL4369">
        <v>-20.168810949999941</v>
      </c>
      <c r="AM4369">
        <v>-44.910156475447927</v>
      </c>
      <c r="AN4369">
        <v>-20.168810949999941</v>
      </c>
      <c r="AO4369">
        <v>-44.910156475447927</v>
      </c>
      <c r="AP4369">
        <v>-20.169051</v>
      </c>
      <c r="AQ4369">
        <v>-44.910093000000003</v>
      </c>
      <c r="AR4369">
        <v>27.533232396417059</v>
      </c>
      <c r="AS4369" t="s">
        <v>65</v>
      </c>
      <c r="AT4369">
        <v>1</v>
      </c>
      <c r="AU4369" t="s">
        <v>1310</v>
      </c>
      <c r="AV4369" t="s">
        <v>1311</v>
      </c>
      <c r="AW4369" t="s">
        <v>60</v>
      </c>
      <c r="AX4369" t="s">
        <v>68</v>
      </c>
      <c r="AY4369" t="s">
        <v>69</v>
      </c>
      <c r="AZ4369" t="b">
        <v>1</v>
      </c>
    </row>
    <row r="4370" spans="1:52" x14ac:dyDescent="0.3">
      <c r="A4370" t="s">
        <v>52</v>
      </c>
      <c r="B4370" t="s">
        <v>53</v>
      </c>
      <c r="C4370" t="s">
        <v>54</v>
      </c>
      <c r="D4370" t="s">
        <v>55</v>
      </c>
      <c r="E4370" t="s">
        <v>2222</v>
      </c>
      <c r="F4370" t="s">
        <v>1247</v>
      </c>
      <c r="G4370" t="s">
        <v>1312</v>
      </c>
      <c r="H4370" t="s">
        <v>1313</v>
      </c>
      <c r="I4370" t="s">
        <v>1313</v>
      </c>
      <c r="J4370" t="s">
        <v>60</v>
      </c>
      <c r="K4370" t="s">
        <v>1314</v>
      </c>
      <c r="L4370" t="s">
        <v>62</v>
      </c>
      <c r="M4370" t="s">
        <v>1314</v>
      </c>
      <c r="N4370" t="s">
        <v>1315</v>
      </c>
      <c r="O4370" t="s">
        <v>315</v>
      </c>
      <c r="P4370">
        <v>-20.179649999999999</v>
      </c>
      <c r="Q4370">
        <v>-44.927177</v>
      </c>
      <c r="R4370" s="2" t="str">
        <f>HYPERLINK("https://www.google.com/maps?q=-20.1796500,-44.9271770","Abrir no Google Maps")</f>
        <v>Abrir no Google Maps</v>
      </c>
      <c r="S4370">
        <v>3</v>
      </c>
      <c r="T4370">
        <v>1742.181438658615</v>
      </c>
      <c r="U4370">
        <v>2</v>
      </c>
      <c r="V4370">
        <v>0.32651263159149702</v>
      </c>
      <c r="W4370">
        <v>0.85</v>
      </c>
      <c r="X4370">
        <v>0.27753573685277239</v>
      </c>
      <c r="Y4370">
        <v>723</v>
      </c>
      <c r="Z4370">
        <v>1801.262037027635</v>
      </c>
      <c r="AA4370">
        <v>198</v>
      </c>
      <c r="AB4370">
        <v>332</v>
      </c>
      <c r="AC4370">
        <v>536</v>
      </c>
      <c r="AD4370">
        <v>29.32</v>
      </c>
      <c r="AE4370">
        <v>542</v>
      </c>
      <c r="AF4370">
        <v>27</v>
      </c>
      <c r="AG4370">
        <v>173</v>
      </c>
      <c r="AH4370">
        <v>129</v>
      </c>
      <c r="AI4370">
        <v>4.9800000000000004</v>
      </c>
      <c r="AJ4370">
        <v>31.92</v>
      </c>
      <c r="AK4370">
        <v>23.8</v>
      </c>
      <c r="AL4370">
        <v>-20.18058599999998</v>
      </c>
      <c r="AM4370">
        <v>-44.926708474999977</v>
      </c>
      <c r="AN4370">
        <v>-20.18058599999998</v>
      </c>
      <c r="AO4370">
        <v>-44.926708474999977</v>
      </c>
      <c r="AP4370">
        <v>-20.179649999999999</v>
      </c>
      <c r="AQ4370">
        <v>-44.927177</v>
      </c>
      <c r="AR4370">
        <v>115.1226868075416</v>
      </c>
      <c r="AS4370" t="s">
        <v>65</v>
      </c>
      <c r="AT4370">
        <v>1</v>
      </c>
      <c r="AU4370" t="s">
        <v>1316</v>
      </c>
      <c r="AV4370" t="s">
        <v>1317</v>
      </c>
      <c r="AW4370" t="s">
        <v>60</v>
      </c>
      <c r="AX4370" t="s">
        <v>68</v>
      </c>
      <c r="AY4370" t="s">
        <v>69</v>
      </c>
      <c r="AZ4370" t="b">
        <v>1</v>
      </c>
    </row>
    <row r="4371" spans="1:52" x14ac:dyDescent="0.3">
      <c r="A4371" t="s">
        <v>52</v>
      </c>
      <c r="B4371" t="s">
        <v>53</v>
      </c>
      <c r="C4371" t="s">
        <v>54</v>
      </c>
      <c r="D4371" t="s">
        <v>55</v>
      </c>
      <c r="E4371" t="s">
        <v>2222</v>
      </c>
      <c r="F4371" t="s">
        <v>1247</v>
      </c>
      <c r="G4371" t="s">
        <v>1318</v>
      </c>
      <c r="H4371" t="s">
        <v>1319</v>
      </c>
      <c r="I4371" t="s">
        <v>1319</v>
      </c>
      <c r="J4371" t="s">
        <v>60</v>
      </c>
      <c r="K4371" t="s">
        <v>1314</v>
      </c>
      <c r="L4371" t="s">
        <v>62</v>
      </c>
      <c r="M4371" t="s">
        <v>1314</v>
      </c>
      <c r="N4371" t="s">
        <v>1320</v>
      </c>
      <c r="O4371" t="s">
        <v>1321</v>
      </c>
      <c r="P4371">
        <v>-20.178615000000001</v>
      </c>
      <c r="Q4371">
        <v>-44.924697999999999</v>
      </c>
      <c r="R4371" s="2" t="str">
        <f>HYPERLINK("https://www.google.com/maps?q=-20.1786150,-44.9246980","Abrir no Google Maps")</f>
        <v>Abrir no Google Maps</v>
      </c>
      <c r="S4371">
        <v>3</v>
      </c>
      <c r="T4371">
        <v>1583.462557226148</v>
      </c>
      <c r="U4371">
        <v>2</v>
      </c>
      <c r="V4371">
        <v>0.30514691907096969</v>
      </c>
      <c r="W4371">
        <v>0.85</v>
      </c>
      <c r="X4371">
        <v>0.2593748812103242</v>
      </c>
      <c r="Y4371">
        <v>723</v>
      </c>
      <c r="Z4371">
        <v>1414.1542726995031</v>
      </c>
      <c r="AA4371">
        <v>198</v>
      </c>
      <c r="AB4371">
        <v>332</v>
      </c>
      <c r="AC4371">
        <v>536</v>
      </c>
      <c r="AD4371">
        <v>29.32</v>
      </c>
      <c r="AE4371">
        <v>542</v>
      </c>
      <c r="AF4371">
        <v>27</v>
      </c>
      <c r="AG4371">
        <v>173</v>
      </c>
      <c r="AH4371">
        <v>129</v>
      </c>
      <c r="AI4371">
        <v>4.9800000000000004</v>
      </c>
      <c r="AJ4371">
        <v>31.92</v>
      </c>
      <c r="AK4371">
        <v>23.8</v>
      </c>
      <c r="AL4371">
        <v>-20.17821329999995</v>
      </c>
      <c r="AM4371">
        <v>-44.924188563452951</v>
      </c>
      <c r="AN4371">
        <v>-20.17821329999995</v>
      </c>
      <c r="AO4371">
        <v>-44.924188563452951</v>
      </c>
      <c r="AP4371">
        <v>-20.178615000000001</v>
      </c>
      <c r="AQ4371">
        <v>-44.924697999999999</v>
      </c>
      <c r="AR4371">
        <v>69.520116290580319</v>
      </c>
      <c r="AS4371" t="s">
        <v>65</v>
      </c>
      <c r="AT4371">
        <v>1</v>
      </c>
      <c r="AU4371" t="s">
        <v>1322</v>
      </c>
      <c r="AV4371" t="s">
        <v>1317</v>
      </c>
      <c r="AW4371" t="s">
        <v>60</v>
      </c>
      <c r="AX4371" t="s">
        <v>68</v>
      </c>
      <c r="AY4371" t="s">
        <v>69</v>
      </c>
      <c r="AZ4371" t="b">
        <v>1</v>
      </c>
    </row>
    <row r="4372" spans="1:52" x14ac:dyDescent="0.3">
      <c r="A4372" t="s">
        <v>52</v>
      </c>
      <c r="B4372" t="s">
        <v>53</v>
      </c>
      <c r="C4372" t="s">
        <v>54</v>
      </c>
      <c r="D4372" t="s">
        <v>55</v>
      </c>
      <c r="E4372" t="s">
        <v>2222</v>
      </c>
      <c r="F4372" t="s">
        <v>1247</v>
      </c>
      <c r="G4372" t="s">
        <v>422</v>
      </c>
      <c r="H4372" t="s">
        <v>1323</v>
      </c>
      <c r="I4372" t="s">
        <v>1323</v>
      </c>
      <c r="J4372" t="s">
        <v>60</v>
      </c>
      <c r="K4372" t="s">
        <v>1324</v>
      </c>
      <c r="L4372" t="s">
        <v>62</v>
      </c>
      <c r="M4372" t="s">
        <v>1324</v>
      </c>
      <c r="N4372" t="s">
        <v>425</v>
      </c>
      <c r="O4372" t="s">
        <v>1325</v>
      </c>
      <c r="P4372">
        <v>-20.175142000000001</v>
      </c>
      <c r="Q4372">
        <v>-44.913783000000002</v>
      </c>
      <c r="R4372" s="2" t="str">
        <f>HYPERLINK("https://www.google.com/maps?q=-20.1751420,-44.9137830","Abrir no Google Maps")</f>
        <v>Abrir no Google Maps</v>
      </c>
      <c r="S4372">
        <v>3</v>
      </c>
      <c r="T4372">
        <v>495.73888273066677</v>
      </c>
      <c r="U4372">
        <v>2</v>
      </c>
      <c r="V4372">
        <v>0.321339598717088</v>
      </c>
      <c r="W4372">
        <v>0.85</v>
      </c>
      <c r="X4372">
        <v>0.27313865890952482</v>
      </c>
      <c r="Y4372">
        <v>723</v>
      </c>
      <c r="Z4372">
        <v>488.51574748236328</v>
      </c>
      <c r="AA4372">
        <v>198</v>
      </c>
      <c r="AB4372">
        <v>332</v>
      </c>
      <c r="AC4372">
        <v>536</v>
      </c>
      <c r="AD4372">
        <v>29.32</v>
      </c>
      <c r="AE4372">
        <v>542</v>
      </c>
      <c r="AF4372">
        <v>27</v>
      </c>
      <c r="AG4372">
        <v>173</v>
      </c>
      <c r="AH4372">
        <v>129</v>
      </c>
      <c r="AI4372">
        <v>4.9800000000000004</v>
      </c>
      <c r="AJ4372">
        <v>31.92</v>
      </c>
      <c r="AK4372">
        <v>23.8</v>
      </c>
      <c r="AL4372">
        <v>-20.175195199999958</v>
      </c>
      <c r="AM4372">
        <v>-44.913964122548052</v>
      </c>
      <c r="AN4372">
        <v>-20.175195199999958</v>
      </c>
      <c r="AO4372">
        <v>-44.913964122548052</v>
      </c>
      <c r="AP4372">
        <v>-20.175142000000001</v>
      </c>
      <c r="AQ4372">
        <v>-44.913783000000002</v>
      </c>
      <c r="AR4372">
        <v>19.830402633152101</v>
      </c>
      <c r="AS4372" t="s">
        <v>65</v>
      </c>
      <c r="AT4372">
        <v>1</v>
      </c>
      <c r="AU4372" t="s">
        <v>1326</v>
      </c>
      <c r="AV4372" t="s">
        <v>1327</v>
      </c>
      <c r="AW4372" t="s">
        <v>60</v>
      </c>
      <c r="AX4372" t="s">
        <v>68</v>
      </c>
      <c r="AY4372" t="s">
        <v>69</v>
      </c>
      <c r="AZ4372" t="b">
        <v>1</v>
      </c>
    </row>
    <row r="4373" spans="1:52" x14ac:dyDescent="0.3">
      <c r="A4373" t="s">
        <v>52</v>
      </c>
      <c r="B4373" t="s">
        <v>53</v>
      </c>
      <c r="C4373" t="s">
        <v>54</v>
      </c>
      <c r="D4373" t="s">
        <v>55</v>
      </c>
      <c r="E4373" t="s">
        <v>2222</v>
      </c>
      <c r="F4373" t="s">
        <v>1247</v>
      </c>
      <c r="G4373" t="s">
        <v>1328</v>
      </c>
      <c r="H4373" t="s">
        <v>1329</v>
      </c>
      <c r="I4373" t="s">
        <v>1329</v>
      </c>
      <c r="J4373" t="s">
        <v>60</v>
      </c>
      <c r="K4373" t="s">
        <v>1324</v>
      </c>
      <c r="L4373" t="s">
        <v>62</v>
      </c>
      <c r="M4373" t="s">
        <v>1324</v>
      </c>
      <c r="N4373" t="s">
        <v>1330</v>
      </c>
      <c r="O4373" t="s">
        <v>1331</v>
      </c>
      <c r="P4373">
        <v>-20.172984</v>
      </c>
      <c r="Q4373">
        <v>-44.915225999999997</v>
      </c>
      <c r="R4373" s="2" t="str">
        <f>HYPERLINK("https://www.google.com/maps?q=-20.1729840,-44.9152260","Abrir no Google Maps")</f>
        <v>Abrir no Google Maps</v>
      </c>
      <c r="S4373">
        <v>3</v>
      </c>
      <c r="T4373">
        <v>498.21203543103741</v>
      </c>
      <c r="U4373">
        <v>2</v>
      </c>
      <c r="V4373">
        <v>0.32609666403992649</v>
      </c>
      <c r="W4373">
        <v>0.85</v>
      </c>
      <c r="X4373">
        <v>0.27718216443393751</v>
      </c>
      <c r="Y4373">
        <v>723</v>
      </c>
      <c r="Z4373">
        <v>297.36167326949931</v>
      </c>
      <c r="AA4373">
        <v>198</v>
      </c>
      <c r="AB4373">
        <v>332</v>
      </c>
      <c r="AC4373">
        <v>536</v>
      </c>
      <c r="AD4373">
        <v>29.32</v>
      </c>
      <c r="AE4373">
        <v>542</v>
      </c>
      <c r="AF4373">
        <v>27</v>
      </c>
      <c r="AG4373">
        <v>173</v>
      </c>
      <c r="AH4373">
        <v>129</v>
      </c>
      <c r="AI4373">
        <v>4.9800000000000004</v>
      </c>
      <c r="AJ4373">
        <v>31.92</v>
      </c>
      <c r="AK4373">
        <v>23.8</v>
      </c>
      <c r="AL4373">
        <v>-20.172838899999959</v>
      </c>
      <c r="AM4373">
        <v>-44.915158011603552</v>
      </c>
      <c r="AN4373">
        <v>-20.172838899999959</v>
      </c>
      <c r="AO4373">
        <v>-44.915158011603552</v>
      </c>
      <c r="AP4373">
        <v>-20.172984</v>
      </c>
      <c r="AQ4373">
        <v>-44.915225999999997</v>
      </c>
      <c r="AR4373">
        <v>17.645788305942119</v>
      </c>
      <c r="AS4373" t="s">
        <v>65</v>
      </c>
      <c r="AT4373">
        <v>1</v>
      </c>
      <c r="AU4373" t="s">
        <v>1332</v>
      </c>
      <c r="AV4373" t="s">
        <v>1327</v>
      </c>
      <c r="AW4373" t="s">
        <v>60</v>
      </c>
      <c r="AX4373" t="s">
        <v>68</v>
      </c>
      <c r="AY4373" t="s">
        <v>69</v>
      </c>
      <c r="AZ4373" t="b">
        <v>1</v>
      </c>
    </row>
    <row r="4374" spans="1:52" x14ac:dyDescent="0.3">
      <c r="A4374" t="s">
        <v>52</v>
      </c>
      <c r="B4374" t="s">
        <v>53</v>
      </c>
      <c r="C4374" t="s">
        <v>54</v>
      </c>
      <c r="D4374" t="s">
        <v>55</v>
      </c>
      <c r="E4374" t="s">
        <v>2222</v>
      </c>
      <c r="F4374" t="s">
        <v>1247</v>
      </c>
      <c r="G4374" t="s">
        <v>1333</v>
      </c>
      <c r="H4374" t="s">
        <v>1334</v>
      </c>
      <c r="I4374" t="s">
        <v>1334</v>
      </c>
      <c r="J4374" t="s">
        <v>60</v>
      </c>
      <c r="K4374" t="s">
        <v>437</v>
      </c>
      <c r="L4374" t="s">
        <v>62</v>
      </c>
      <c r="M4374" t="s">
        <v>437</v>
      </c>
      <c r="N4374" t="s">
        <v>1335</v>
      </c>
      <c r="O4374" t="s">
        <v>807</v>
      </c>
      <c r="P4374">
        <v>-20.148</v>
      </c>
      <c r="Q4374">
        <v>-44.880944999999997</v>
      </c>
      <c r="R4374" s="2" t="str">
        <f>HYPERLINK("https://www.google.com/maps?q=-20.1480000,-44.8809450","Abrir no Google Maps")</f>
        <v>Abrir no Google Maps</v>
      </c>
      <c r="S4374">
        <v>3</v>
      </c>
      <c r="T4374">
        <v>0</v>
      </c>
      <c r="U4374">
        <v>2</v>
      </c>
      <c r="V4374">
        <v>0.3252439396085805</v>
      </c>
      <c r="W4374">
        <v>0.85</v>
      </c>
      <c r="X4374">
        <v>0.27645734866729338</v>
      </c>
      <c r="Y4374">
        <v>653</v>
      </c>
      <c r="Z4374">
        <v>108.2792411420544</v>
      </c>
      <c r="AA4374">
        <v>198</v>
      </c>
      <c r="AB4374">
        <v>332</v>
      </c>
      <c r="AC4374">
        <v>536</v>
      </c>
      <c r="AD4374">
        <v>29.32</v>
      </c>
      <c r="AE4374">
        <v>542</v>
      </c>
      <c r="AF4374">
        <v>27</v>
      </c>
      <c r="AG4374">
        <v>173</v>
      </c>
      <c r="AH4374">
        <v>129</v>
      </c>
      <c r="AI4374">
        <v>4.9800000000000004</v>
      </c>
      <c r="AJ4374">
        <v>31.92</v>
      </c>
      <c r="AK4374">
        <v>23.8</v>
      </c>
      <c r="AL4374">
        <v>-20.14802099999994</v>
      </c>
      <c r="AM4374">
        <v>-44.880951206225959</v>
      </c>
      <c r="AN4374">
        <v>-20.14802099999994</v>
      </c>
      <c r="AO4374">
        <v>-44.880951206225959</v>
      </c>
      <c r="AP4374">
        <v>-20.148</v>
      </c>
      <c r="AQ4374">
        <v>-44.880944999999997</v>
      </c>
      <c r="AR4374">
        <v>2.4260288619737169</v>
      </c>
      <c r="AS4374" t="s">
        <v>65</v>
      </c>
      <c r="AT4374">
        <v>1</v>
      </c>
      <c r="AU4374" t="s">
        <v>1336</v>
      </c>
      <c r="AV4374" t="s">
        <v>1337</v>
      </c>
      <c r="AW4374" t="s">
        <v>60</v>
      </c>
      <c r="AX4374" t="s">
        <v>68</v>
      </c>
      <c r="AY4374" t="s">
        <v>69</v>
      </c>
      <c r="AZ4374" t="b">
        <v>1</v>
      </c>
    </row>
    <row r="4375" spans="1:52" x14ac:dyDescent="0.3">
      <c r="A4375" t="s">
        <v>52</v>
      </c>
      <c r="B4375" t="s">
        <v>53</v>
      </c>
      <c r="C4375" t="s">
        <v>54</v>
      </c>
      <c r="D4375" t="s">
        <v>55</v>
      </c>
      <c r="E4375" t="s">
        <v>2222</v>
      </c>
      <c r="F4375" t="s">
        <v>1247</v>
      </c>
      <c r="G4375" t="s">
        <v>479</v>
      </c>
      <c r="H4375" t="s">
        <v>1338</v>
      </c>
      <c r="I4375" t="s">
        <v>1338</v>
      </c>
      <c r="J4375" t="s">
        <v>60</v>
      </c>
      <c r="K4375" t="s">
        <v>1302</v>
      </c>
      <c r="L4375" t="s">
        <v>62</v>
      </c>
      <c r="M4375" t="s">
        <v>1302</v>
      </c>
      <c r="N4375" t="s">
        <v>481</v>
      </c>
      <c r="O4375" t="s">
        <v>1339</v>
      </c>
      <c r="P4375">
        <v>-20.165590000000002</v>
      </c>
      <c r="Q4375">
        <v>-44.907876000000002</v>
      </c>
      <c r="R4375" s="2" t="str">
        <f>HYPERLINK("https://www.google.com/maps?q=-20.1655900,-44.9078760","Abrir no Google Maps")</f>
        <v>Abrir no Google Maps</v>
      </c>
      <c r="S4375">
        <v>3</v>
      </c>
      <c r="T4375">
        <v>626.07643944893005</v>
      </c>
      <c r="U4375">
        <v>2</v>
      </c>
      <c r="V4375">
        <v>0.30748501347412421</v>
      </c>
      <c r="W4375">
        <v>0.85</v>
      </c>
      <c r="X4375">
        <v>0.26136226145300562</v>
      </c>
      <c r="Y4375">
        <v>639</v>
      </c>
      <c r="Z4375">
        <v>723.2656461789519</v>
      </c>
      <c r="AA4375">
        <v>198</v>
      </c>
      <c r="AB4375">
        <v>332</v>
      </c>
      <c r="AC4375">
        <v>536</v>
      </c>
      <c r="AD4375">
        <v>29.32</v>
      </c>
      <c r="AE4375">
        <v>542</v>
      </c>
      <c r="AF4375">
        <v>27</v>
      </c>
      <c r="AG4375">
        <v>173</v>
      </c>
      <c r="AH4375">
        <v>129</v>
      </c>
      <c r="AI4375">
        <v>4.9800000000000004</v>
      </c>
      <c r="AJ4375">
        <v>31.92</v>
      </c>
      <c r="AK4375">
        <v>23.8</v>
      </c>
      <c r="AL4375">
        <v>-20.16561419999994</v>
      </c>
      <c r="AM4375">
        <v>-44.907783360572083</v>
      </c>
      <c r="AN4375">
        <v>-20.16561419999994</v>
      </c>
      <c r="AO4375">
        <v>-44.907783360572083</v>
      </c>
      <c r="AP4375">
        <v>-20.165590000000002</v>
      </c>
      <c r="AQ4375">
        <v>-44.907876000000002</v>
      </c>
      <c r="AR4375">
        <v>10.04831364257741</v>
      </c>
      <c r="AS4375" t="s">
        <v>65</v>
      </c>
      <c r="AT4375">
        <v>1</v>
      </c>
      <c r="AU4375" t="s">
        <v>1340</v>
      </c>
      <c r="AV4375" t="s">
        <v>1341</v>
      </c>
      <c r="AW4375" t="s">
        <v>60</v>
      </c>
      <c r="AX4375" t="s">
        <v>68</v>
      </c>
      <c r="AY4375" t="s">
        <v>69</v>
      </c>
      <c r="AZ4375" t="b">
        <v>1</v>
      </c>
    </row>
    <row r="4376" spans="1:52" x14ac:dyDescent="0.3">
      <c r="A4376" t="s">
        <v>52</v>
      </c>
      <c r="B4376" t="s">
        <v>53</v>
      </c>
      <c r="C4376" t="s">
        <v>54</v>
      </c>
      <c r="D4376" t="s">
        <v>55</v>
      </c>
      <c r="E4376" t="s">
        <v>2222</v>
      </c>
      <c r="F4376" t="s">
        <v>1247</v>
      </c>
      <c r="G4376" t="s">
        <v>1342</v>
      </c>
      <c r="H4376" t="s">
        <v>1343</v>
      </c>
      <c r="I4376" t="s">
        <v>1343</v>
      </c>
      <c r="J4376" t="s">
        <v>60</v>
      </c>
      <c r="K4376" t="s">
        <v>462</v>
      </c>
      <c r="L4376" t="s">
        <v>62</v>
      </c>
      <c r="M4376" t="s">
        <v>462</v>
      </c>
      <c r="N4376" t="s">
        <v>921</v>
      </c>
      <c r="O4376" t="s">
        <v>1344</v>
      </c>
      <c r="P4376">
        <v>-20.137526000000001</v>
      </c>
      <c r="Q4376">
        <v>-44.912452999999999</v>
      </c>
      <c r="R4376" s="2" t="str">
        <f>HYPERLINK("https://www.google.com/maps?q=-20.1375260,-44.9124530","Abrir no Google Maps")</f>
        <v>Abrir no Google Maps</v>
      </c>
      <c r="S4376">
        <v>3</v>
      </c>
      <c r="T4376">
        <v>446.95091416730708</v>
      </c>
      <c r="U4376">
        <v>2</v>
      </c>
      <c r="V4376">
        <v>0.31874848704914061</v>
      </c>
      <c r="W4376">
        <v>0.85</v>
      </c>
      <c r="X4376">
        <v>0.27093621399176948</v>
      </c>
      <c r="Y4376">
        <v>581</v>
      </c>
      <c r="Z4376">
        <v>507.4747778269288</v>
      </c>
      <c r="AA4376">
        <v>198</v>
      </c>
      <c r="AB4376">
        <v>332</v>
      </c>
      <c r="AC4376">
        <v>536</v>
      </c>
      <c r="AD4376">
        <v>29.32</v>
      </c>
      <c r="AE4376">
        <v>542</v>
      </c>
      <c r="AF4376">
        <v>27</v>
      </c>
      <c r="AG4376">
        <v>173</v>
      </c>
      <c r="AH4376">
        <v>129</v>
      </c>
      <c r="AI4376">
        <v>4.9800000000000004</v>
      </c>
      <c r="AJ4376">
        <v>31.92</v>
      </c>
      <c r="AK4376">
        <v>23.8</v>
      </c>
      <c r="AL4376">
        <v>-20.136672649999959</v>
      </c>
      <c r="AM4376">
        <v>-44.911825104396357</v>
      </c>
      <c r="AN4376">
        <v>-20.136672649999959</v>
      </c>
      <c r="AO4376">
        <v>-44.911825104396357</v>
      </c>
      <c r="AP4376">
        <v>-20.137526000000001</v>
      </c>
      <c r="AQ4376">
        <v>-44.912452999999999</v>
      </c>
      <c r="AR4376">
        <v>115.45843265992529</v>
      </c>
      <c r="AS4376" t="s">
        <v>65</v>
      </c>
      <c r="AT4376">
        <v>1</v>
      </c>
      <c r="AU4376" t="s">
        <v>1345</v>
      </c>
      <c r="AV4376" t="s">
        <v>1346</v>
      </c>
      <c r="AW4376" t="s">
        <v>60</v>
      </c>
      <c r="AX4376" t="s">
        <v>68</v>
      </c>
      <c r="AY4376" t="s">
        <v>69</v>
      </c>
      <c r="AZ4376" t="b">
        <v>1</v>
      </c>
    </row>
    <row r="4377" spans="1:52" x14ac:dyDescent="0.3">
      <c r="A4377" t="s">
        <v>52</v>
      </c>
      <c r="B4377" t="s">
        <v>53</v>
      </c>
      <c r="C4377" t="s">
        <v>54</v>
      </c>
      <c r="D4377" t="s">
        <v>55</v>
      </c>
      <c r="E4377" t="s">
        <v>2222</v>
      </c>
      <c r="F4377" t="s">
        <v>1247</v>
      </c>
      <c r="G4377" t="s">
        <v>851</v>
      </c>
      <c r="H4377" t="s">
        <v>852</v>
      </c>
      <c r="I4377" t="s">
        <v>852</v>
      </c>
      <c r="J4377" t="s">
        <v>60</v>
      </c>
      <c r="K4377" t="s">
        <v>853</v>
      </c>
      <c r="L4377" t="s">
        <v>62</v>
      </c>
      <c r="M4377" t="s">
        <v>853</v>
      </c>
      <c r="N4377" t="s">
        <v>854</v>
      </c>
      <c r="O4377" t="s">
        <v>855</v>
      </c>
      <c r="P4377">
        <v>-20.127835000000001</v>
      </c>
      <c r="Q4377">
        <v>-44.909329</v>
      </c>
      <c r="R4377" s="2" t="str">
        <f>HYPERLINK("https://www.google.com/maps?q=-20.1278350,-44.9093290","Abrir no Google Maps")</f>
        <v>Abrir no Google Maps</v>
      </c>
      <c r="S4377">
        <v>3</v>
      </c>
      <c r="T4377">
        <v>1173.033690896357</v>
      </c>
      <c r="U4377">
        <v>2</v>
      </c>
      <c r="V4377">
        <v>0.28773806813870551</v>
      </c>
      <c r="W4377">
        <v>1</v>
      </c>
      <c r="X4377">
        <v>0.28773806813870551</v>
      </c>
      <c r="Y4377">
        <v>581</v>
      </c>
      <c r="Z4377">
        <v>1296.5011565926129</v>
      </c>
      <c r="AA4377">
        <v>198</v>
      </c>
      <c r="AB4377">
        <v>332</v>
      </c>
      <c r="AC4377">
        <v>536</v>
      </c>
      <c r="AD4377">
        <v>29.32</v>
      </c>
      <c r="AE4377">
        <v>542</v>
      </c>
      <c r="AF4377">
        <v>27</v>
      </c>
      <c r="AG4377">
        <v>173</v>
      </c>
      <c r="AH4377">
        <v>129</v>
      </c>
      <c r="AI4377">
        <v>4.9800000000000004</v>
      </c>
      <c r="AJ4377">
        <v>31.92</v>
      </c>
      <c r="AK4377">
        <v>23.8</v>
      </c>
      <c r="AL4377">
        <v>-20.127852899999969</v>
      </c>
      <c r="AM4377">
        <v>-44.909386667699948</v>
      </c>
      <c r="AN4377">
        <v>-20.127852899999969</v>
      </c>
      <c r="AO4377">
        <v>-44.909386667699948</v>
      </c>
      <c r="AP4377">
        <v>-20.127835000000001</v>
      </c>
      <c r="AQ4377">
        <v>-44.909329</v>
      </c>
      <c r="AR4377">
        <v>6.3483385067119924</v>
      </c>
      <c r="AS4377" t="s">
        <v>65</v>
      </c>
      <c r="AT4377">
        <v>1</v>
      </c>
      <c r="AU4377" t="s">
        <v>856</v>
      </c>
      <c r="AV4377" t="s">
        <v>857</v>
      </c>
      <c r="AW4377" t="s">
        <v>60</v>
      </c>
      <c r="AX4377" t="s">
        <v>68</v>
      </c>
      <c r="AY4377" t="s">
        <v>69</v>
      </c>
      <c r="AZ4377" t="b">
        <v>1</v>
      </c>
    </row>
    <row r="4378" spans="1:52" x14ac:dyDescent="0.3">
      <c r="A4378" t="s">
        <v>52</v>
      </c>
      <c r="B4378" t="s">
        <v>53</v>
      </c>
      <c r="C4378" t="s">
        <v>54</v>
      </c>
      <c r="D4378" t="s">
        <v>55</v>
      </c>
      <c r="E4378" t="s">
        <v>2222</v>
      </c>
      <c r="F4378" t="s">
        <v>1247</v>
      </c>
      <c r="G4378" t="s">
        <v>858</v>
      </c>
      <c r="H4378" t="s">
        <v>1360</v>
      </c>
      <c r="I4378" t="s">
        <v>1360</v>
      </c>
      <c r="J4378" t="s">
        <v>60</v>
      </c>
      <c r="K4378" t="s">
        <v>1356</v>
      </c>
      <c r="L4378" t="s">
        <v>62</v>
      </c>
      <c r="M4378" t="s">
        <v>1356</v>
      </c>
      <c r="N4378" t="s">
        <v>860</v>
      </c>
      <c r="O4378" t="s">
        <v>1361</v>
      </c>
      <c r="P4378">
        <v>-20.134969000000002</v>
      </c>
      <c r="Q4378">
        <v>-44.909384000000003</v>
      </c>
      <c r="R4378" s="2" t="str">
        <f>HYPERLINK("https://www.google.com/maps?q=-20.1349690,-44.9093840","Abrir no Google Maps")</f>
        <v>Abrir no Google Maps</v>
      </c>
      <c r="S4378">
        <v>3</v>
      </c>
      <c r="T4378">
        <v>413.6655911675532</v>
      </c>
      <c r="U4378">
        <v>2</v>
      </c>
      <c r="V4378">
        <v>0.31998894084783652</v>
      </c>
      <c r="W4378">
        <v>0.85</v>
      </c>
      <c r="X4378">
        <v>0.27199059972066097</v>
      </c>
      <c r="Y4378">
        <v>581</v>
      </c>
      <c r="Z4378">
        <v>555.30228470489919</v>
      </c>
      <c r="AA4378">
        <v>198</v>
      </c>
      <c r="AB4378">
        <v>332</v>
      </c>
      <c r="AC4378">
        <v>536</v>
      </c>
      <c r="AD4378">
        <v>29.32</v>
      </c>
      <c r="AE4378">
        <v>542</v>
      </c>
      <c r="AF4378">
        <v>27</v>
      </c>
      <c r="AG4378">
        <v>173</v>
      </c>
      <c r="AH4378">
        <v>129</v>
      </c>
      <c r="AI4378">
        <v>4.9800000000000004</v>
      </c>
      <c r="AJ4378">
        <v>31.92</v>
      </c>
      <c r="AK4378">
        <v>23.8</v>
      </c>
      <c r="AL4378">
        <v>-20.134922099999951</v>
      </c>
      <c r="AM4378">
        <v>-44.909483975879112</v>
      </c>
      <c r="AN4378">
        <v>-20.134922099999951</v>
      </c>
      <c r="AO4378">
        <v>-44.909483975879112</v>
      </c>
      <c r="AP4378">
        <v>-20.134969000000002</v>
      </c>
      <c r="AQ4378">
        <v>-44.909384000000003</v>
      </c>
      <c r="AR4378">
        <v>11.68085867639515</v>
      </c>
      <c r="AS4378" t="s">
        <v>65</v>
      </c>
      <c r="AT4378">
        <v>1</v>
      </c>
      <c r="AU4378" t="s">
        <v>1362</v>
      </c>
      <c r="AV4378" t="s">
        <v>1363</v>
      </c>
      <c r="AW4378" t="s">
        <v>60</v>
      </c>
      <c r="AX4378" t="s">
        <v>68</v>
      </c>
      <c r="AY4378" t="s">
        <v>69</v>
      </c>
      <c r="AZ4378" t="b">
        <v>1</v>
      </c>
    </row>
    <row r="4379" spans="1:52" x14ac:dyDescent="0.3">
      <c r="A4379" t="s">
        <v>52</v>
      </c>
      <c r="B4379" t="s">
        <v>53</v>
      </c>
      <c r="C4379" t="s">
        <v>54</v>
      </c>
      <c r="D4379" t="s">
        <v>55</v>
      </c>
      <c r="E4379" t="s">
        <v>2222</v>
      </c>
      <c r="F4379" t="s">
        <v>1247</v>
      </c>
      <c r="G4379" t="s">
        <v>1364</v>
      </c>
      <c r="H4379" t="s">
        <v>1369</v>
      </c>
      <c r="I4379" t="s">
        <v>1369</v>
      </c>
      <c r="J4379" t="s">
        <v>60</v>
      </c>
      <c r="K4379" t="s">
        <v>1370</v>
      </c>
      <c r="L4379" t="s">
        <v>62</v>
      </c>
      <c r="M4379" t="s">
        <v>1370</v>
      </c>
      <c r="N4379" t="s">
        <v>1366</v>
      </c>
      <c r="O4379" t="s">
        <v>989</v>
      </c>
      <c r="P4379">
        <v>-20.141185</v>
      </c>
      <c r="Q4379">
        <v>-44.914200999999998</v>
      </c>
      <c r="R4379" s="2" t="str">
        <f>HYPERLINK("https://www.google.com/maps?q=-20.1411850,-44.9142010","Abrir no Google Maps")</f>
        <v>Abrir no Google Maps</v>
      </c>
      <c r="S4379">
        <v>3</v>
      </c>
      <c r="T4379">
        <v>512.52588459346453</v>
      </c>
      <c r="U4379">
        <v>2</v>
      </c>
      <c r="V4379">
        <v>0.3029528158295281</v>
      </c>
      <c r="W4379">
        <v>0.85</v>
      </c>
      <c r="X4379">
        <v>0.25750989345509889</v>
      </c>
      <c r="Y4379">
        <v>581</v>
      </c>
      <c r="Z4379">
        <v>473.10673043319349</v>
      </c>
      <c r="AA4379">
        <v>198</v>
      </c>
      <c r="AB4379">
        <v>332</v>
      </c>
      <c r="AC4379">
        <v>536</v>
      </c>
      <c r="AD4379">
        <v>29.32</v>
      </c>
      <c r="AE4379">
        <v>542</v>
      </c>
      <c r="AF4379">
        <v>27</v>
      </c>
      <c r="AG4379">
        <v>173</v>
      </c>
      <c r="AH4379">
        <v>129</v>
      </c>
      <c r="AI4379">
        <v>4.9800000000000004</v>
      </c>
      <c r="AJ4379">
        <v>31.92</v>
      </c>
      <c r="AK4379">
        <v>23.8</v>
      </c>
      <c r="AL4379">
        <v>-20.14133909999995</v>
      </c>
      <c r="AM4379">
        <v>-44.913910219286038</v>
      </c>
      <c r="AN4379">
        <v>-20.14133909999995</v>
      </c>
      <c r="AO4379">
        <v>-44.913910219286038</v>
      </c>
      <c r="AP4379">
        <v>-20.141185</v>
      </c>
      <c r="AQ4379">
        <v>-44.914200999999998</v>
      </c>
      <c r="AR4379">
        <v>34.897514361429593</v>
      </c>
      <c r="AS4379" t="s">
        <v>65</v>
      </c>
      <c r="AT4379">
        <v>1</v>
      </c>
      <c r="AU4379" t="s">
        <v>1371</v>
      </c>
      <c r="AV4379" t="s">
        <v>863</v>
      </c>
      <c r="AW4379" t="s">
        <v>60</v>
      </c>
      <c r="AX4379" t="s">
        <v>68</v>
      </c>
      <c r="AY4379" t="s">
        <v>69</v>
      </c>
      <c r="AZ4379" t="b">
        <v>1</v>
      </c>
    </row>
    <row r="4380" spans="1:52" x14ac:dyDescent="0.3">
      <c r="A4380" t="s">
        <v>52</v>
      </c>
      <c r="B4380" t="s">
        <v>53</v>
      </c>
      <c r="C4380" t="s">
        <v>54</v>
      </c>
      <c r="D4380" t="s">
        <v>55</v>
      </c>
      <c r="E4380" t="s">
        <v>2222</v>
      </c>
      <c r="F4380" t="s">
        <v>1247</v>
      </c>
      <c r="G4380" t="s">
        <v>858</v>
      </c>
      <c r="H4380" t="s">
        <v>859</v>
      </c>
      <c r="I4380" t="s">
        <v>859</v>
      </c>
      <c r="J4380" t="s">
        <v>60</v>
      </c>
      <c r="K4380" t="s">
        <v>462</v>
      </c>
      <c r="L4380" t="s">
        <v>62</v>
      </c>
      <c r="M4380" t="s">
        <v>462</v>
      </c>
      <c r="N4380" t="s">
        <v>860</v>
      </c>
      <c r="O4380" t="s">
        <v>861</v>
      </c>
      <c r="P4380">
        <v>-20.139693999999999</v>
      </c>
      <c r="Q4380">
        <v>-44.911256000000002</v>
      </c>
      <c r="R4380" s="2" t="str">
        <f>HYPERLINK("https://www.google.com/maps?q=-20.1396940,-44.9112560","Abrir no Google Maps")</f>
        <v>Abrir no Google Maps</v>
      </c>
      <c r="S4380">
        <v>3</v>
      </c>
      <c r="T4380">
        <v>380.48036838042862</v>
      </c>
      <c r="U4380">
        <v>2</v>
      </c>
      <c r="V4380">
        <v>0.34406868942267171</v>
      </c>
      <c r="W4380">
        <v>0.85</v>
      </c>
      <c r="X4380">
        <v>0.29245838600927088</v>
      </c>
      <c r="Y4380">
        <v>581</v>
      </c>
      <c r="Z4380">
        <v>374.61146000000178</v>
      </c>
      <c r="AA4380">
        <v>198</v>
      </c>
      <c r="AB4380">
        <v>332</v>
      </c>
      <c r="AC4380">
        <v>536</v>
      </c>
      <c r="AD4380">
        <v>29.32</v>
      </c>
      <c r="AE4380">
        <v>542</v>
      </c>
      <c r="AF4380">
        <v>27</v>
      </c>
      <c r="AG4380">
        <v>173</v>
      </c>
      <c r="AH4380">
        <v>129</v>
      </c>
      <c r="AI4380">
        <v>4.9800000000000004</v>
      </c>
      <c r="AJ4380">
        <v>31.92</v>
      </c>
      <c r="AK4380">
        <v>23.8</v>
      </c>
      <c r="AL4380">
        <v>-20.139768699999959</v>
      </c>
      <c r="AM4380">
        <v>-44.911265351587588</v>
      </c>
      <c r="AN4380">
        <v>-20.139768699999959</v>
      </c>
      <c r="AO4380">
        <v>-44.911265351587588</v>
      </c>
      <c r="AP4380">
        <v>-20.139693999999999</v>
      </c>
      <c r="AQ4380">
        <v>-44.911256000000002</v>
      </c>
      <c r="AR4380">
        <v>8.3728438666521061</v>
      </c>
      <c r="AS4380" t="s">
        <v>65</v>
      </c>
      <c r="AT4380">
        <v>1</v>
      </c>
      <c r="AU4380" t="s">
        <v>862</v>
      </c>
      <c r="AV4380" t="s">
        <v>863</v>
      </c>
      <c r="AW4380" t="s">
        <v>60</v>
      </c>
      <c r="AX4380" t="s">
        <v>68</v>
      </c>
      <c r="AY4380" t="s">
        <v>69</v>
      </c>
      <c r="AZ4380" t="b">
        <v>1</v>
      </c>
    </row>
    <row r="4381" spans="1:52" x14ac:dyDescent="0.3">
      <c r="A4381" t="s">
        <v>52</v>
      </c>
      <c r="B4381" t="s">
        <v>53</v>
      </c>
      <c r="C4381" t="s">
        <v>54</v>
      </c>
      <c r="D4381" t="s">
        <v>55</v>
      </c>
      <c r="E4381" t="s">
        <v>2222</v>
      </c>
      <c r="F4381" t="s">
        <v>1247</v>
      </c>
      <c r="G4381" t="s">
        <v>1300</v>
      </c>
      <c r="H4381" t="s">
        <v>1372</v>
      </c>
      <c r="I4381" t="s">
        <v>1372</v>
      </c>
      <c r="J4381" t="s">
        <v>60</v>
      </c>
      <c r="K4381" t="s">
        <v>486</v>
      </c>
      <c r="L4381" t="s">
        <v>62</v>
      </c>
      <c r="M4381" t="s">
        <v>486</v>
      </c>
      <c r="N4381" t="s">
        <v>1303</v>
      </c>
      <c r="O4381" t="s">
        <v>1373</v>
      </c>
      <c r="P4381">
        <v>-20.170458</v>
      </c>
      <c r="Q4381">
        <v>-44.900936000000002</v>
      </c>
      <c r="R4381" s="2" t="str">
        <f>HYPERLINK("https://www.google.com/maps?q=-20.1704580,-44.9009360","Abrir no Google Maps")</f>
        <v>Abrir no Google Maps</v>
      </c>
      <c r="S4381">
        <v>3</v>
      </c>
      <c r="T4381">
        <v>470.55793133653339</v>
      </c>
      <c r="U4381">
        <v>2</v>
      </c>
      <c r="V4381">
        <v>0.3159762403417225</v>
      </c>
      <c r="W4381">
        <v>0.85</v>
      </c>
      <c r="X4381">
        <v>0.26857980429046407</v>
      </c>
      <c r="Y4381">
        <v>578</v>
      </c>
      <c r="Z4381">
        <v>645.48909402437766</v>
      </c>
      <c r="AA4381">
        <v>198</v>
      </c>
      <c r="AB4381">
        <v>332</v>
      </c>
      <c r="AC4381">
        <v>536</v>
      </c>
      <c r="AD4381">
        <v>29.32</v>
      </c>
      <c r="AE4381">
        <v>542</v>
      </c>
      <c r="AF4381">
        <v>27</v>
      </c>
      <c r="AG4381">
        <v>173</v>
      </c>
      <c r="AH4381">
        <v>129</v>
      </c>
      <c r="AI4381">
        <v>4.9800000000000004</v>
      </c>
      <c r="AJ4381">
        <v>31.92</v>
      </c>
      <c r="AK4381">
        <v>23.8</v>
      </c>
      <c r="AL4381">
        <v>-20.17025029999996</v>
      </c>
      <c r="AM4381">
        <v>-44.901067235372473</v>
      </c>
      <c r="AN4381">
        <v>-20.17025029999996</v>
      </c>
      <c r="AO4381">
        <v>-44.901067235372473</v>
      </c>
      <c r="AP4381">
        <v>-20.170458</v>
      </c>
      <c r="AQ4381">
        <v>-44.900936000000002</v>
      </c>
      <c r="AR4381">
        <v>26.88195352459519</v>
      </c>
      <c r="AS4381" t="s">
        <v>65</v>
      </c>
      <c r="AT4381">
        <v>1</v>
      </c>
      <c r="AU4381" t="s">
        <v>1374</v>
      </c>
      <c r="AV4381" t="s">
        <v>1375</v>
      </c>
      <c r="AW4381" t="s">
        <v>60</v>
      </c>
      <c r="AX4381" t="s">
        <v>68</v>
      </c>
      <c r="AY4381" t="s">
        <v>69</v>
      </c>
      <c r="AZ4381" t="b">
        <v>1</v>
      </c>
    </row>
    <row r="4382" spans="1:52" x14ac:dyDescent="0.3">
      <c r="A4382" t="s">
        <v>52</v>
      </c>
      <c r="B4382" t="s">
        <v>53</v>
      </c>
      <c r="C4382" t="s">
        <v>54</v>
      </c>
      <c r="D4382" t="s">
        <v>55</v>
      </c>
      <c r="E4382" t="s">
        <v>2222</v>
      </c>
      <c r="F4382" t="s">
        <v>1247</v>
      </c>
      <c r="G4382" t="s">
        <v>1376</v>
      </c>
      <c r="H4382" t="s">
        <v>1377</v>
      </c>
      <c r="I4382" t="s">
        <v>1377</v>
      </c>
      <c r="J4382" t="s">
        <v>60</v>
      </c>
      <c r="K4382" t="s">
        <v>475</v>
      </c>
      <c r="L4382" t="s">
        <v>62</v>
      </c>
      <c r="M4382" t="s">
        <v>475</v>
      </c>
      <c r="N4382" t="s">
        <v>1378</v>
      </c>
      <c r="O4382" t="s">
        <v>1379</v>
      </c>
      <c r="P4382">
        <v>-20.175298000000002</v>
      </c>
      <c r="Q4382">
        <v>-44.904794000000003</v>
      </c>
      <c r="R4382" s="2" t="str">
        <f>HYPERLINK("https://www.google.com/maps?q=-20.1752980,-44.9047940","Abrir no Google Maps")</f>
        <v>Abrir no Google Maps</v>
      </c>
      <c r="S4382">
        <v>3</v>
      </c>
      <c r="T4382">
        <v>497.7557906927301</v>
      </c>
      <c r="U4382">
        <v>2</v>
      </c>
      <c r="V4382">
        <v>0.31890679043846648</v>
      </c>
      <c r="W4382">
        <v>0.85</v>
      </c>
      <c r="X4382">
        <v>0.27107077187269651</v>
      </c>
      <c r="Y4382">
        <v>578</v>
      </c>
      <c r="Z4382">
        <v>363.80816567363502</v>
      </c>
      <c r="AA4382">
        <v>198</v>
      </c>
      <c r="AB4382">
        <v>332</v>
      </c>
      <c r="AC4382">
        <v>536</v>
      </c>
      <c r="AD4382">
        <v>29.32</v>
      </c>
      <c r="AE4382">
        <v>542</v>
      </c>
      <c r="AF4382">
        <v>27</v>
      </c>
      <c r="AG4382">
        <v>173</v>
      </c>
      <c r="AH4382">
        <v>129</v>
      </c>
      <c r="AI4382">
        <v>4.9800000000000004</v>
      </c>
      <c r="AJ4382">
        <v>31.92</v>
      </c>
      <c r="AK4382">
        <v>23.8</v>
      </c>
      <c r="AL4382">
        <v>-20.17530484999995</v>
      </c>
      <c r="AM4382">
        <v>-44.904834224351781</v>
      </c>
      <c r="AN4382">
        <v>-20.17530484999995</v>
      </c>
      <c r="AO4382">
        <v>-44.904834224351781</v>
      </c>
      <c r="AP4382">
        <v>-20.175298000000002</v>
      </c>
      <c r="AQ4382">
        <v>-44.904794000000003</v>
      </c>
      <c r="AR4382">
        <v>4.2716392411563806</v>
      </c>
      <c r="AS4382" t="s">
        <v>65</v>
      </c>
      <c r="AT4382">
        <v>1</v>
      </c>
      <c r="AU4382" t="s">
        <v>1380</v>
      </c>
      <c r="AV4382" t="s">
        <v>1381</v>
      </c>
      <c r="AW4382" t="s">
        <v>60</v>
      </c>
      <c r="AX4382" t="s">
        <v>68</v>
      </c>
      <c r="AY4382" t="s">
        <v>69</v>
      </c>
      <c r="AZ4382" t="b">
        <v>1</v>
      </c>
    </row>
    <row r="4383" spans="1:52" x14ac:dyDescent="0.3">
      <c r="A4383" t="s">
        <v>52</v>
      </c>
      <c r="B4383" t="s">
        <v>53</v>
      </c>
      <c r="C4383" t="s">
        <v>54</v>
      </c>
      <c r="D4383" t="s">
        <v>55</v>
      </c>
      <c r="E4383" t="s">
        <v>2222</v>
      </c>
      <c r="F4383" t="s">
        <v>1247</v>
      </c>
      <c r="G4383" t="s">
        <v>1393</v>
      </c>
      <c r="H4383" t="s">
        <v>1394</v>
      </c>
      <c r="I4383" t="s">
        <v>1394</v>
      </c>
      <c r="J4383" t="s">
        <v>60</v>
      </c>
      <c r="K4383" t="s">
        <v>388</v>
      </c>
      <c r="L4383" t="s">
        <v>62</v>
      </c>
      <c r="M4383" t="s">
        <v>388</v>
      </c>
      <c r="N4383" t="s">
        <v>1395</v>
      </c>
      <c r="O4383" t="s">
        <v>1396</v>
      </c>
      <c r="P4383">
        <v>-20.167425000000001</v>
      </c>
      <c r="Q4383">
        <v>-44.907733999999998</v>
      </c>
      <c r="R4383" s="2" t="str">
        <f>HYPERLINK("https://www.google.com/maps?q=-20.1674250,-44.9077340","Abrir no Google Maps")</f>
        <v>Abrir no Google Maps</v>
      </c>
      <c r="S4383">
        <v>3</v>
      </c>
      <c r="T4383">
        <v>424.62372109792739</v>
      </c>
      <c r="U4383">
        <v>2</v>
      </c>
      <c r="V4383">
        <v>0.31359324118601861</v>
      </c>
      <c r="W4383">
        <v>0.85</v>
      </c>
      <c r="X4383">
        <v>0.2665542550081158</v>
      </c>
      <c r="Y4383">
        <v>578</v>
      </c>
      <c r="Z4383">
        <v>559.08337206965382</v>
      </c>
      <c r="AA4383">
        <v>198</v>
      </c>
      <c r="AB4383">
        <v>332</v>
      </c>
      <c r="AC4383">
        <v>536</v>
      </c>
      <c r="AD4383">
        <v>29.32</v>
      </c>
      <c r="AE4383">
        <v>542</v>
      </c>
      <c r="AF4383">
        <v>27</v>
      </c>
      <c r="AG4383">
        <v>173</v>
      </c>
      <c r="AH4383">
        <v>129</v>
      </c>
      <c r="AI4383">
        <v>4.9800000000000004</v>
      </c>
      <c r="AJ4383">
        <v>31.92</v>
      </c>
      <c r="AK4383">
        <v>23.8</v>
      </c>
      <c r="AL4383">
        <v>-20.167592099999951</v>
      </c>
      <c r="AM4383">
        <v>-44.907664214502859</v>
      </c>
      <c r="AN4383">
        <v>-20.167592099999951</v>
      </c>
      <c r="AO4383">
        <v>-44.907664214502859</v>
      </c>
      <c r="AP4383">
        <v>-20.167425000000001</v>
      </c>
      <c r="AQ4383">
        <v>-44.907733999999998</v>
      </c>
      <c r="AR4383">
        <v>19.979863459652229</v>
      </c>
      <c r="AS4383" t="s">
        <v>65</v>
      </c>
      <c r="AT4383">
        <v>1</v>
      </c>
      <c r="AU4383" t="s">
        <v>1397</v>
      </c>
      <c r="AV4383" t="s">
        <v>1398</v>
      </c>
      <c r="AW4383" t="s">
        <v>60</v>
      </c>
      <c r="AX4383" t="s">
        <v>68</v>
      </c>
      <c r="AY4383" t="s">
        <v>69</v>
      </c>
      <c r="AZ4383" t="b">
        <v>1</v>
      </c>
    </row>
    <row r="4384" spans="1:52" x14ac:dyDescent="0.3">
      <c r="A4384" t="s">
        <v>52</v>
      </c>
      <c r="B4384" t="s">
        <v>53</v>
      </c>
      <c r="C4384" t="s">
        <v>54</v>
      </c>
      <c r="D4384" t="s">
        <v>55</v>
      </c>
      <c r="E4384" t="s">
        <v>2222</v>
      </c>
      <c r="F4384" t="s">
        <v>1247</v>
      </c>
      <c r="G4384" t="s">
        <v>815</v>
      </c>
      <c r="H4384" t="s">
        <v>1404</v>
      </c>
      <c r="I4384" t="s">
        <v>1404</v>
      </c>
      <c r="J4384" t="s">
        <v>60</v>
      </c>
      <c r="K4384" t="s">
        <v>512</v>
      </c>
      <c r="L4384" t="s">
        <v>62</v>
      </c>
      <c r="M4384" t="s">
        <v>512</v>
      </c>
      <c r="N4384" t="s">
        <v>817</v>
      </c>
      <c r="O4384" t="s">
        <v>1405</v>
      </c>
      <c r="P4384">
        <v>-20.129069999999999</v>
      </c>
      <c r="Q4384">
        <v>-44.888452000000001</v>
      </c>
      <c r="R4384" s="2" t="str">
        <f>HYPERLINK("https://www.google.com/maps?q=-20.1290700,-44.8884520","Abrir no Google Maps")</f>
        <v>Abrir no Google Maps</v>
      </c>
      <c r="S4384">
        <v>3</v>
      </c>
      <c r="T4384">
        <v>0</v>
      </c>
      <c r="U4384">
        <v>2</v>
      </c>
      <c r="V4384">
        <v>0.31984312120592051</v>
      </c>
      <c r="W4384">
        <v>0.85</v>
      </c>
      <c r="X4384">
        <v>0.27186665302503238</v>
      </c>
      <c r="Y4384">
        <v>564</v>
      </c>
      <c r="Z4384">
        <v>95.870354837220688</v>
      </c>
      <c r="AA4384">
        <v>198</v>
      </c>
      <c r="AB4384">
        <v>332</v>
      </c>
      <c r="AC4384">
        <v>536</v>
      </c>
      <c r="AD4384">
        <v>29.32</v>
      </c>
      <c r="AE4384">
        <v>542</v>
      </c>
      <c r="AF4384">
        <v>27</v>
      </c>
      <c r="AG4384">
        <v>173</v>
      </c>
      <c r="AH4384">
        <v>129</v>
      </c>
      <c r="AI4384">
        <v>4.9800000000000004</v>
      </c>
      <c r="AJ4384">
        <v>31.92</v>
      </c>
      <c r="AK4384">
        <v>23.8</v>
      </c>
      <c r="AL4384">
        <v>-20.12899334999997</v>
      </c>
      <c r="AM4384">
        <v>-44.888406102471222</v>
      </c>
      <c r="AN4384">
        <v>-20.12899334999997</v>
      </c>
      <c r="AO4384">
        <v>-44.888406102471222</v>
      </c>
      <c r="AP4384">
        <v>-20.129069999999999</v>
      </c>
      <c r="AQ4384">
        <v>-44.888452000000001</v>
      </c>
      <c r="AR4384">
        <v>9.7887731150376265</v>
      </c>
      <c r="AS4384" t="s">
        <v>65</v>
      </c>
      <c r="AT4384">
        <v>1</v>
      </c>
      <c r="AU4384" t="s">
        <v>1406</v>
      </c>
      <c r="AV4384" t="s">
        <v>1407</v>
      </c>
      <c r="AW4384" t="s">
        <v>60</v>
      </c>
      <c r="AX4384" t="s">
        <v>68</v>
      </c>
      <c r="AY4384" t="s">
        <v>69</v>
      </c>
      <c r="AZ4384" t="b">
        <v>1</v>
      </c>
    </row>
    <row r="4385" spans="1:52" x14ac:dyDescent="0.3">
      <c r="A4385" t="s">
        <v>52</v>
      </c>
      <c r="B4385" t="s">
        <v>53</v>
      </c>
      <c r="C4385" t="s">
        <v>54</v>
      </c>
      <c r="D4385" t="s">
        <v>55</v>
      </c>
      <c r="E4385" t="s">
        <v>2222</v>
      </c>
      <c r="F4385" t="s">
        <v>1247</v>
      </c>
      <c r="G4385" t="s">
        <v>649</v>
      </c>
      <c r="H4385" t="s">
        <v>885</v>
      </c>
      <c r="I4385" t="s">
        <v>885</v>
      </c>
      <c r="J4385" t="s">
        <v>60</v>
      </c>
      <c r="K4385" t="s">
        <v>886</v>
      </c>
      <c r="L4385" t="s">
        <v>62</v>
      </c>
      <c r="M4385" t="s">
        <v>886</v>
      </c>
      <c r="N4385" t="s">
        <v>652</v>
      </c>
      <c r="O4385" t="s">
        <v>887</v>
      </c>
      <c r="P4385">
        <v>-20.132252000000001</v>
      </c>
      <c r="Q4385">
        <v>-44.894159000000002</v>
      </c>
      <c r="R4385" s="2" t="str">
        <f>HYPERLINK("https://www.google.com/maps?q=-20.1322520,-44.8941590","Abrir no Google Maps")</f>
        <v>Abrir no Google Maps</v>
      </c>
      <c r="S4385">
        <v>3</v>
      </c>
      <c r="T4385">
        <v>699.5004749448899</v>
      </c>
      <c r="U4385">
        <v>2</v>
      </c>
      <c r="V4385">
        <v>0.3398475609756097</v>
      </c>
      <c r="W4385">
        <v>0.85</v>
      </c>
      <c r="X4385">
        <v>0.28887042682926822</v>
      </c>
      <c r="Y4385">
        <v>564</v>
      </c>
      <c r="Z4385">
        <v>522.21103586457991</v>
      </c>
      <c r="AA4385">
        <v>198</v>
      </c>
      <c r="AB4385">
        <v>332</v>
      </c>
      <c r="AC4385">
        <v>536</v>
      </c>
      <c r="AD4385">
        <v>29.32</v>
      </c>
      <c r="AE4385">
        <v>542</v>
      </c>
      <c r="AF4385">
        <v>27</v>
      </c>
      <c r="AG4385">
        <v>173</v>
      </c>
      <c r="AH4385">
        <v>129</v>
      </c>
      <c r="AI4385">
        <v>4.9800000000000004</v>
      </c>
      <c r="AJ4385">
        <v>31.92</v>
      </c>
      <c r="AK4385">
        <v>23.8</v>
      </c>
      <c r="AL4385">
        <v>-20.132285999999969</v>
      </c>
      <c r="AM4385">
        <v>-44.894119001288672</v>
      </c>
      <c r="AN4385">
        <v>-20.132285999999969</v>
      </c>
      <c r="AO4385">
        <v>-44.894119001288672</v>
      </c>
      <c r="AP4385">
        <v>-20.132252000000001</v>
      </c>
      <c r="AQ4385">
        <v>-44.894159000000002</v>
      </c>
      <c r="AR4385">
        <v>5.6393921063261629</v>
      </c>
      <c r="AS4385" t="s">
        <v>65</v>
      </c>
      <c r="AT4385">
        <v>1</v>
      </c>
      <c r="AU4385" t="s">
        <v>888</v>
      </c>
      <c r="AV4385" t="s">
        <v>889</v>
      </c>
      <c r="AW4385" t="s">
        <v>60</v>
      </c>
      <c r="AX4385" t="s">
        <v>68</v>
      </c>
      <c r="AY4385" t="s">
        <v>69</v>
      </c>
      <c r="AZ4385" t="b">
        <v>1</v>
      </c>
    </row>
    <row r="4386" spans="1:52" x14ac:dyDescent="0.3">
      <c r="A4386" t="s">
        <v>52</v>
      </c>
      <c r="B4386" t="s">
        <v>53</v>
      </c>
      <c r="C4386" t="s">
        <v>54</v>
      </c>
      <c r="D4386" t="s">
        <v>55</v>
      </c>
      <c r="E4386" t="s">
        <v>2222</v>
      </c>
      <c r="F4386" t="s">
        <v>1247</v>
      </c>
      <c r="G4386" t="s">
        <v>503</v>
      </c>
      <c r="H4386" t="s">
        <v>1441</v>
      </c>
      <c r="I4386" t="s">
        <v>1441</v>
      </c>
      <c r="J4386" t="s">
        <v>60</v>
      </c>
      <c r="K4386" t="s">
        <v>512</v>
      </c>
      <c r="L4386" t="s">
        <v>62</v>
      </c>
      <c r="M4386" t="s">
        <v>512</v>
      </c>
      <c r="N4386" t="s">
        <v>506</v>
      </c>
      <c r="O4386" t="s">
        <v>1442</v>
      </c>
      <c r="P4386">
        <v>-20.13036</v>
      </c>
      <c r="Q4386">
        <v>-44.891019</v>
      </c>
      <c r="R4386" s="2" t="str">
        <f>HYPERLINK("https://www.google.com/maps?q=-20.1303600,-44.8910190","Abrir no Google Maps")</f>
        <v>Abrir no Google Maps</v>
      </c>
      <c r="S4386">
        <v>3</v>
      </c>
      <c r="T4386">
        <v>313.17410616307359</v>
      </c>
      <c r="U4386">
        <v>2</v>
      </c>
      <c r="V4386">
        <v>0.3002266021095189</v>
      </c>
      <c r="W4386">
        <v>0.85</v>
      </c>
      <c r="X4386">
        <v>0.25519261179309111</v>
      </c>
      <c r="Y4386">
        <v>564</v>
      </c>
      <c r="Z4386">
        <v>208.43159293494489</v>
      </c>
      <c r="AA4386">
        <v>198</v>
      </c>
      <c r="AB4386">
        <v>332</v>
      </c>
      <c r="AC4386">
        <v>536</v>
      </c>
      <c r="AD4386">
        <v>29.32</v>
      </c>
      <c r="AE4386">
        <v>542</v>
      </c>
      <c r="AF4386">
        <v>27</v>
      </c>
      <c r="AG4386">
        <v>173</v>
      </c>
      <c r="AH4386">
        <v>129</v>
      </c>
      <c r="AI4386">
        <v>4.9800000000000004</v>
      </c>
      <c r="AJ4386">
        <v>31.92</v>
      </c>
      <c r="AK4386">
        <v>23.8</v>
      </c>
      <c r="AL4386">
        <v>-20.130100449999961</v>
      </c>
      <c r="AM4386">
        <v>-44.891163633475301</v>
      </c>
      <c r="AN4386">
        <v>-20.130100449999961</v>
      </c>
      <c r="AO4386">
        <v>-44.891163633475301</v>
      </c>
      <c r="AP4386">
        <v>-20.13036</v>
      </c>
      <c r="AQ4386">
        <v>-44.891019</v>
      </c>
      <c r="AR4386">
        <v>32.608854575381159</v>
      </c>
      <c r="AS4386" t="s">
        <v>65</v>
      </c>
      <c r="AT4386">
        <v>1</v>
      </c>
      <c r="AU4386" t="s">
        <v>1443</v>
      </c>
      <c r="AV4386" t="s">
        <v>1444</v>
      </c>
      <c r="AW4386" t="s">
        <v>60</v>
      </c>
      <c r="AX4386" t="s">
        <v>68</v>
      </c>
      <c r="AY4386" t="s">
        <v>69</v>
      </c>
      <c r="AZ4386" t="b">
        <v>1</v>
      </c>
    </row>
    <row r="4387" spans="1:52" x14ac:dyDescent="0.3">
      <c r="A4387" t="s">
        <v>52</v>
      </c>
      <c r="B4387" t="s">
        <v>53</v>
      </c>
      <c r="C4387" t="s">
        <v>54</v>
      </c>
      <c r="D4387" t="s">
        <v>55</v>
      </c>
      <c r="E4387" t="s">
        <v>2222</v>
      </c>
      <c r="F4387" t="s">
        <v>1247</v>
      </c>
      <c r="G4387" t="s">
        <v>1412</v>
      </c>
      <c r="H4387" t="s">
        <v>1413</v>
      </c>
      <c r="I4387" t="s">
        <v>1413</v>
      </c>
      <c r="J4387" t="s">
        <v>60</v>
      </c>
      <c r="K4387" t="s">
        <v>892</v>
      </c>
      <c r="L4387" t="s">
        <v>62</v>
      </c>
      <c r="M4387" t="s">
        <v>892</v>
      </c>
      <c r="N4387" t="s">
        <v>1414</v>
      </c>
      <c r="O4387" t="s">
        <v>293</v>
      </c>
      <c r="P4387">
        <v>-20.150780999999998</v>
      </c>
      <c r="Q4387">
        <v>-44.897972000000003</v>
      </c>
      <c r="R4387" s="2" t="str">
        <f>HYPERLINK("https://www.google.com/maps?q=-20.1507810,-44.8979720","Abrir no Google Maps")</f>
        <v>Abrir no Google Maps</v>
      </c>
      <c r="S4387">
        <v>3</v>
      </c>
      <c r="T4387">
        <v>306.36394634674508</v>
      </c>
      <c r="U4387">
        <v>2</v>
      </c>
      <c r="V4387">
        <v>0.29962694755321478</v>
      </c>
      <c r="W4387">
        <v>0.85</v>
      </c>
      <c r="X4387">
        <v>0.25468290542023259</v>
      </c>
      <c r="Y4387">
        <v>556</v>
      </c>
      <c r="Z4387">
        <v>233.85692443628571</v>
      </c>
      <c r="AA4387">
        <v>198</v>
      </c>
      <c r="AB4387">
        <v>332</v>
      </c>
      <c r="AC4387">
        <v>536</v>
      </c>
      <c r="AD4387">
        <v>29.32</v>
      </c>
      <c r="AE4387">
        <v>542</v>
      </c>
      <c r="AF4387">
        <v>27</v>
      </c>
      <c r="AG4387">
        <v>173</v>
      </c>
      <c r="AH4387">
        <v>129</v>
      </c>
      <c r="AI4387">
        <v>4.9800000000000004</v>
      </c>
      <c r="AJ4387">
        <v>31.92</v>
      </c>
      <c r="AK4387">
        <v>23.8</v>
      </c>
      <c r="AL4387">
        <v>-20.15074609999996</v>
      </c>
      <c r="AM4387">
        <v>-44.89795774234689</v>
      </c>
      <c r="AN4387">
        <v>-20.15074609999996</v>
      </c>
      <c r="AO4387">
        <v>-44.89795774234689</v>
      </c>
      <c r="AP4387">
        <v>-20.150780999999998</v>
      </c>
      <c r="AQ4387">
        <v>-44.897972000000003</v>
      </c>
      <c r="AR4387">
        <v>4.160995809097348</v>
      </c>
      <c r="AS4387" t="s">
        <v>65</v>
      </c>
      <c r="AT4387">
        <v>1</v>
      </c>
      <c r="AU4387" t="s">
        <v>1415</v>
      </c>
      <c r="AV4387" t="s">
        <v>1416</v>
      </c>
      <c r="AW4387" t="s">
        <v>60</v>
      </c>
      <c r="AX4387" t="s">
        <v>68</v>
      </c>
      <c r="AY4387" t="s">
        <v>69</v>
      </c>
      <c r="AZ4387" t="b">
        <v>1</v>
      </c>
    </row>
    <row r="4388" spans="1:52" x14ac:dyDescent="0.3">
      <c r="A4388" t="s">
        <v>52</v>
      </c>
      <c r="B4388" t="s">
        <v>53</v>
      </c>
      <c r="C4388" t="s">
        <v>54</v>
      </c>
      <c r="D4388" t="s">
        <v>55</v>
      </c>
      <c r="E4388" t="s">
        <v>2222</v>
      </c>
      <c r="F4388" t="s">
        <v>1247</v>
      </c>
      <c r="G4388" t="s">
        <v>1127</v>
      </c>
      <c r="H4388" t="s">
        <v>1449</v>
      </c>
      <c r="I4388" t="s">
        <v>1449</v>
      </c>
      <c r="J4388" t="s">
        <v>60</v>
      </c>
      <c r="K4388" t="s">
        <v>1450</v>
      </c>
      <c r="L4388" t="s">
        <v>62</v>
      </c>
      <c r="M4388" t="s">
        <v>1450</v>
      </c>
      <c r="N4388" t="s">
        <v>1451</v>
      </c>
      <c r="O4388" t="s">
        <v>1452</v>
      </c>
      <c r="P4388">
        <v>-20.152612000000001</v>
      </c>
      <c r="Q4388">
        <v>-44.897098</v>
      </c>
      <c r="R4388" s="2" t="str">
        <f>HYPERLINK("https://www.google.com/maps?q=-20.1526120,-44.8970980","Abrir no Google Maps")</f>
        <v>Abrir no Google Maps</v>
      </c>
      <c r="S4388">
        <v>3</v>
      </c>
      <c r="T4388">
        <v>418.6283592063233</v>
      </c>
      <c r="U4388">
        <v>2</v>
      </c>
      <c r="V4388">
        <v>0.30890269151138711</v>
      </c>
      <c r="W4388">
        <v>0.85</v>
      </c>
      <c r="X4388">
        <v>0.26256728778467903</v>
      </c>
      <c r="Y4388">
        <v>556</v>
      </c>
      <c r="Z4388">
        <v>387.16462225830952</v>
      </c>
      <c r="AA4388">
        <v>198</v>
      </c>
      <c r="AB4388">
        <v>332</v>
      </c>
      <c r="AC4388">
        <v>536</v>
      </c>
      <c r="AD4388">
        <v>29.32</v>
      </c>
      <c r="AE4388">
        <v>542</v>
      </c>
      <c r="AF4388">
        <v>27</v>
      </c>
      <c r="AG4388">
        <v>173</v>
      </c>
      <c r="AH4388">
        <v>129</v>
      </c>
      <c r="AI4388">
        <v>4.9800000000000004</v>
      </c>
      <c r="AJ4388">
        <v>31.92</v>
      </c>
      <c r="AK4388">
        <v>23.8</v>
      </c>
      <c r="AL4388">
        <v>-20.15253669999996</v>
      </c>
      <c r="AM4388">
        <v>-44.897068126936119</v>
      </c>
      <c r="AN4388">
        <v>-20.15253669999996</v>
      </c>
      <c r="AO4388">
        <v>-44.897068126936119</v>
      </c>
      <c r="AP4388">
        <v>-20.152612000000001</v>
      </c>
      <c r="AQ4388">
        <v>-44.897098</v>
      </c>
      <c r="AR4388">
        <v>8.9448699164987104</v>
      </c>
      <c r="AS4388" t="s">
        <v>65</v>
      </c>
      <c r="AT4388">
        <v>1</v>
      </c>
      <c r="AU4388" t="s">
        <v>1453</v>
      </c>
      <c r="AV4388" t="s">
        <v>1454</v>
      </c>
      <c r="AW4388" t="s">
        <v>60</v>
      </c>
      <c r="AX4388" t="s">
        <v>68</v>
      </c>
      <c r="AY4388" t="s">
        <v>69</v>
      </c>
      <c r="AZ4388" t="b">
        <v>1</v>
      </c>
    </row>
    <row r="4389" spans="1:52" x14ac:dyDescent="0.3">
      <c r="A4389" t="s">
        <v>52</v>
      </c>
      <c r="B4389" t="s">
        <v>53</v>
      </c>
      <c r="C4389" t="s">
        <v>54</v>
      </c>
      <c r="D4389" t="s">
        <v>55</v>
      </c>
      <c r="E4389" t="s">
        <v>2222</v>
      </c>
      <c r="F4389" t="s">
        <v>1247</v>
      </c>
      <c r="G4389" t="s">
        <v>1417</v>
      </c>
      <c r="H4389" t="s">
        <v>1418</v>
      </c>
      <c r="I4389" t="s">
        <v>1418</v>
      </c>
      <c r="J4389" t="s">
        <v>60</v>
      </c>
      <c r="K4389" t="s">
        <v>1419</v>
      </c>
      <c r="L4389" t="s">
        <v>62</v>
      </c>
      <c r="M4389" t="s">
        <v>1419</v>
      </c>
      <c r="N4389" t="s">
        <v>1420</v>
      </c>
      <c r="O4389" t="s">
        <v>1421</v>
      </c>
      <c r="P4389">
        <v>-20.159427000000001</v>
      </c>
      <c r="Q4389">
        <v>-44.897143</v>
      </c>
      <c r="R4389" s="2" t="str">
        <f>HYPERLINK("https://www.google.com/maps?q=-20.1594270,-44.8971430","Abrir no Google Maps")</f>
        <v>Abrir no Google Maps</v>
      </c>
      <c r="S4389">
        <v>3</v>
      </c>
      <c r="T4389">
        <v>392.64349875646298</v>
      </c>
      <c r="U4389">
        <v>1</v>
      </c>
      <c r="V4389">
        <v>0.28710106382978717</v>
      </c>
      <c r="W4389">
        <v>0.85</v>
      </c>
      <c r="X4389">
        <v>0.2440359042553191</v>
      </c>
      <c r="Y4389">
        <v>729</v>
      </c>
      <c r="Z4389">
        <v>550.20062797366995</v>
      </c>
      <c r="AA4389">
        <v>198</v>
      </c>
      <c r="AB4389">
        <v>332</v>
      </c>
      <c r="AC4389">
        <v>536</v>
      </c>
      <c r="AD4389">
        <v>29.32</v>
      </c>
      <c r="AE4389">
        <v>542</v>
      </c>
      <c r="AF4389">
        <v>27</v>
      </c>
      <c r="AG4389">
        <v>173</v>
      </c>
      <c r="AH4389">
        <v>129</v>
      </c>
      <c r="AI4389">
        <v>4.9800000000000004</v>
      </c>
      <c r="AJ4389">
        <v>31.92</v>
      </c>
      <c r="AK4389">
        <v>23.8</v>
      </c>
      <c r="AL4389">
        <v>-20.15946549999995</v>
      </c>
      <c r="AM4389">
        <v>-44.89709959354267</v>
      </c>
      <c r="AN4389">
        <v>-20.15946549999995</v>
      </c>
      <c r="AO4389">
        <v>-44.89709959354267</v>
      </c>
      <c r="AP4389">
        <v>-20.159427000000001</v>
      </c>
      <c r="AQ4389">
        <v>-44.897143</v>
      </c>
      <c r="AR4389">
        <v>6.2404649979039286</v>
      </c>
      <c r="AS4389" t="s">
        <v>65</v>
      </c>
      <c r="AT4389">
        <v>1</v>
      </c>
      <c r="AU4389" t="s">
        <v>1422</v>
      </c>
      <c r="AV4389" t="s">
        <v>1423</v>
      </c>
      <c r="AW4389" t="s">
        <v>60</v>
      </c>
      <c r="AX4389" t="s">
        <v>68</v>
      </c>
      <c r="AY4389" t="s">
        <v>69</v>
      </c>
      <c r="AZ4389" t="b">
        <v>1</v>
      </c>
    </row>
    <row r="4390" spans="1:52" x14ac:dyDescent="0.3">
      <c r="A4390" t="s">
        <v>52</v>
      </c>
      <c r="B4390" t="s">
        <v>53</v>
      </c>
      <c r="C4390" t="s">
        <v>54</v>
      </c>
      <c r="D4390" t="s">
        <v>55</v>
      </c>
      <c r="E4390" t="s">
        <v>2222</v>
      </c>
      <c r="F4390" t="s">
        <v>1247</v>
      </c>
      <c r="G4390" t="s">
        <v>1354</v>
      </c>
      <c r="H4390" t="s">
        <v>1355</v>
      </c>
      <c r="I4390" t="s">
        <v>1355</v>
      </c>
      <c r="J4390" t="s">
        <v>60</v>
      </c>
      <c r="K4390" t="s">
        <v>1356</v>
      </c>
      <c r="L4390" t="s">
        <v>62</v>
      </c>
      <c r="M4390" t="s">
        <v>1356</v>
      </c>
      <c r="N4390" t="s">
        <v>1357</v>
      </c>
      <c r="O4390" t="s">
        <v>315</v>
      </c>
      <c r="P4390">
        <v>-20.132080999999999</v>
      </c>
      <c r="Q4390">
        <v>-44.908614</v>
      </c>
      <c r="R4390" s="2" t="str">
        <f>HYPERLINK("https://www.google.com/maps?q=-20.1320810,-44.9086140","Abrir no Google Maps")</f>
        <v>Abrir no Google Maps</v>
      </c>
      <c r="S4390">
        <v>3</v>
      </c>
      <c r="T4390">
        <v>701.02570959373259</v>
      </c>
      <c r="U4390">
        <v>1</v>
      </c>
      <c r="V4390">
        <v>0.29664675428116288</v>
      </c>
      <c r="W4390">
        <v>0.85</v>
      </c>
      <c r="X4390">
        <v>0.25214974113898853</v>
      </c>
      <c r="Y4390">
        <v>581</v>
      </c>
      <c r="Z4390">
        <v>811.38061352229215</v>
      </c>
      <c r="AA4390">
        <v>198</v>
      </c>
      <c r="AB4390">
        <v>332</v>
      </c>
      <c r="AC4390">
        <v>536</v>
      </c>
      <c r="AD4390">
        <v>29.32</v>
      </c>
      <c r="AE4390">
        <v>542</v>
      </c>
      <c r="AF4390">
        <v>27</v>
      </c>
      <c r="AG4390">
        <v>173</v>
      </c>
      <c r="AH4390">
        <v>129</v>
      </c>
      <c r="AI4390">
        <v>4.9800000000000004</v>
      </c>
      <c r="AJ4390">
        <v>31.92</v>
      </c>
      <c r="AK4390">
        <v>23.8</v>
      </c>
      <c r="AL4390">
        <v>-20.132063499999951</v>
      </c>
      <c r="AM4390">
        <v>-44.908630454878519</v>
      </c>
      <c r="AN4390">
        <v>-20.132063499999951</v>
      </c>
      <c r="AO4390">
        <v>-44.908630454878519</v>
      </c>
      <c r="AP4390">
        <v>-20.132080999999999</v>
      </c>
      <c r="AQ4390">
        <v>-44.908614</v>
      </c>
      <c r="AR4390">
        <v>2.5986425761911551</v>
      </c>
      <c r="AS4390" t="s">
        <v>65</v>
      </c>
      <c r="AT4390">
        <v>1</v>
      </c>
      <c r="AU4390" t="s">
        <v>1358</v>
      </c>
      <c r="AV4390" t="s">
        <v>1359</v>
      </c>
      <c r="AW4390" t="s">
        <v>60</v>
      </c>
      <c r="AX4390" t="s">
        <v>68</v>
      </c>
      <c r="AY4390" t="s">
        <v>69</v>
      </c>
      <c r="AZ4390" t="b">
        <v>1</v>
      </c>
    </row>
    <row r="4391" spans="1:52" x14ac:dyDescent="0.3">
      <c r="A4391" t="s">
        <v>52</v>
      </c>
      <c r="B4391" t="s">
        <v>53</v>
      </c>
      <c r="C4391" t="s">
        <v>54</v>
      </c>
      <c r="D4391" t="s">
        <v>55</v>
      </c>
      <c r="E4391" t="s">
        <v>2222</v>
      </c>
      <c r="F4391" t="s">
        <v>1247</v>
      </c>
      <c r="G4391" t="s">
        <v>1364</v>
      </c>
      <c r="H4391" t="s">
        <v>1365</v>
      </c>
      <c r="I4391" t="s">
        <v>1365</v>
      </c>
      <c r="J4391" t="s">
        <v>60</v>
      </c>
      <c r="K4391" t="s">
        <v>1356</v>
      </c>
      <c r="L4391" t="s">
        <v>62</v>
      </c>
      <c r="M4391" t="s">
        <v>1356</v>
      </c>
      <c r="N4391" t="s">
        <v>1366</v>
      </c>
      <c r="O4391" t="s">
        <v>548</v>
      </c>
      <c r="P4391">
        <v>-20.131240999999999</v>
      </c>
      <c r="Q4391">
        <v>-44.910567999999998</v>
      </c>
      <c r="R4391" s="2" t="str">
        <f>HYPERLINK("https://www.google.com/maps?q=-20.1312410,-44.9105680","Abrir no Google Maps")</f>
        <v>Abrir no Google Maps</v>
      </c>
      <c r="S4391">
        <v>3</v>
      </c>
      <c r="T4391">
        <v>822.61354861726704</v>
      </c>
      <c r="U4391">
        <v>1</v>
      </c>
      <c r="V4391">
        <v>0.29418558343289519</v>
      </c>
      <c r="W4391">
        <v>0.85</v>
      </c>
      <c r="X4391">
        <v>0.25005774591796093</v>
      </c>
      <c r="Y4391">
        <v>581</v>
      </c>
      <c r="Z4391">
        <v>982.3990834787046</v>
      </c>
      <c r="AA4391">
        <v>198</v>
      </c>
      <c r="AB4391">
        <v>332</v>
      </c>
      <c r="AC4391">
        <v>536</v>
      </c>
      <c r="AD4391">
        <v>29.32</v>
      </c>
      <c r="AE4391">
        <v>542</v>
      </c>
      <c r="AF4391">
        <v>27</v>
      </c>
      <c r="AG4391">
        <v>173</v>
      </c>
      <c r="AH4391">
        <v>129</v>
      </c>
      <c r="AI4391">
        <v>4.9800000000000004</v>
      </c>
      <c r="AJ4391">
        <v>31.92</v>
      </c>
      <c r="AK4391">
        <v>23.8</v>
      </c>
      <c r="AL4391">
        <v>-20.131367099999981</v>
      </c>
      <c r="AM4391">
        <v>-44.910597350758543</v>
      </c>
      <c r="AN4391">
        <v>-20.131367099999981</v>
      </c>
      <c r="AO4391">
        <v>-44.910597350758543</v>
      </c>
      <c r="AP4391">
        <v>-20.131240999999999</v>
      </c>
      <c r="AQ4391">
        <v>-44.910567999999998</v>
      </c>
      <c r="AR4391">
        <v>14.36874794070623</v>
      </c>
      <c r="AS4391" t="s">
        <v>65</v>
      </c>
      <c r="AT4391">
        <v>1</v>
      </c>
      <c r="AU4391" t="s">
        <v>1367</v>
      </c>
      <c r="AV4391" t="s">
        <v>1368</v>
      </c>
      <c r="AW4391" t="s">
        <v>60</v>
      </c>
      <c r="AX4391" t="s">
        <v>68</v>
      </c>
      <c r="AY4391" t="s">
        <v>69</v>
      </c>
      <c r="AZ4391" t="b">
        <v>1</v>
      </c>
    </row>
    <row r="4392" spans="1:52" x14ac:dyDescent="0.3">
      <c r="A4392" t="s">
        <v>52</v>
      </c>
      <c r="B4392" t="s">
        <v>53</v>
      </c>
      <c r="C4392" t="s">
        <v>54</v>
      </c>
      <c r="D4392" t="s">
        <v>55</v>
      </c>
      <c r="E4392" t="s">
        <v>2222</v>
      </c>
      <c r="F4392" t="s">
        <v>1247</v>
      </c>
      <c r="G4392" t="s">
        <v>1382</v>
      </c>
      <c r="H4392" t="s">
        <v>1383</v>
      </c>
      <c r="I4392" t="s">
        <v>1383</v>
      </c>
      <c r="J4392" t="s">
        <v>60</v>
      </c>
      <c r="K4392" t="s">
        <v>1384</v>
      </c>
      <c r="L4392" t="s">
        <v>62</v>
      </c>
      <c r="M4392" t="s">
        <v>1384</v>
      </c>
      <c r="N4392" t="s">
        <v>1385</v>
      </c>
      <c r="O4392" t="s">
        <v>1379</v>
      </c>
      <c r="P4392">
        <v>-20.168914999999998</v>
      </c>
      <c r="Q4392">
        <v>-44.897015000000003</v>
      </c>
      <c r="R4392" s="2" t="str">
        <f>HYPERLINK("https://www.google.com/maps?q=-20.1689150,-44.8970150","Abrir no Google Maps")</f>
        <v>Abrir no Google Maps</v>
      </c>
      <c r="S4392">
        <v>3</v>
      </c>
      <c r="T4392">
        <v>1082.4313448281291</v>
      </c>
      <c r="U4392">
        <v>1</v>
      </c>
      <c r="V4392">
        <v>0.29554308867071838</v>
      </c>
      <c r="W4392">
        <v>0.85</v>
      </c>
      <c r="X4392">
        <v>0.2512116253701106</v>
      </c>
      <c r="Y4392">
        <v>578</v>
      </c>
      <c r="Z4392">
        <v>1085.6751638476369</v>
      </c>
      <c r="AA4392">
        <v>198</v>
      </c>
      <c r="AB4392">
        <v>332</v>
      </c>
      <c r="AC4392">
        <v>536</v>
      </c>
      <c r="AD4392">
        <v>29.32</v>
      </c>
      <c r="AE4392">
        <v>542</v>
      </c>
      <c r="AF4392">
        <v>27</v>
      </c>
      <c r="AG4392">
        <v>173</v>
      </c>
      <c r="AH4392">
        <v>129</v>
      </c>
      <c r="AI4392">
        <v>4.9800000000000004</v>
      </c>
      <c r="AJ4392">
        <v>31.92</v>
      </c>
      <c r="AK4392">
        <v>23.8</v>
      </c>
      <c r="AL4392">
        <v>-20.168195549999979</v>
      </c>
      <c r="AM4392">
        <v>-44.895555997240763</v>
      </c>
      <c r="AN4392">
        <v>-20.168195549999979</v>
      </c>
      <c r="AO4392">
        <v>-44.895555997240763</v>
      </c>
      <c r="AP4392">
        <v>-20.168914999999998</v>
      </c>
      <c r="AQ4392">
        <v>-44.897015000000003</v>
      </c>
      <c r="AR4392">
        <v>172.21377736735809</v>
      </c>
      <c r="AS4392" t="s">
        <v>65</v>
      </c>
      <c r="AT4392">
        <v>1</v>
      </c>
      <c r="AU4392" t="s">
        <v>1386</v>
      </c>
      <c r="AV4392" t="s">
        <v>1387</v>
      </c>
      <c r="AW4392" t="s">
        <v>60</v>
      </c>
      <c r="AX4392" t="s">
        <v>68</v>
      </c>
      <c r="AY4392" t="s">
        <v>69</v>
      </c>
      <c r="AZ4392" t="b">
        <v>1</v>
      </c>
    </row>
    <row r="4393" spans="1:52" x14ac:dyDescent="0.3">
      <c r="A4393" t="s">
        <v>52</v>
      </c>
      <c r="B4393" t="s">
        <v>53</v>
      </c>
      <c r="C4393" t="s">
        <v>54</v>
      </c>
      <c r="D4393" t="s">
        <v>55</v>
      </c>
      <c r="E4393" t="s">
        <v>2222</v>
      </c>
      <c r="F4393" t="s">
        <v>1247</v>
      </c>
      <c r="G4393" t="s">
        <v>1424</v>
      </c>
      <c r="H4393" t="s">
        <v>1425</v>
      </c>
      <c r="I4393" t="s">
        <v>1425</v>
      </c>
      <c r="J4393" t="s">
        <v>60</v>
      </c>
      <c r="K4393" t="s">
        <v>1324</v>
      </c>
      <c r="L4393" t="s">
        <v>62</v>
      </c>
      <c r="M4393" t="s">
        <v>1324</v>
      </c>
      <c r="N4393" t="s">
        <v>1426</v>
      </c>
      <c r="O4393" t="s">
        <v>938</v>
      </c>
      <c r="P4393">
        <v>-20.172844999999999</v>
      </c>
      <c r="Q4393">
        <v>-44.909215000000003</v>
      </c>
      <c r="R4393" s="2" t="str">
        <f>HYPERLINK("https://www.google.com/maps?q=-20.1728450,-44.9092150","Abrir no Google Maps")</f>
        <v>Abrir no Google Maps</v>
      </c>
      <c r="S4393">
        <v>3</v>
      </c>
      <c r="T4393">
        <v>0</v>
      </c>
      <c r="U4393">
        <v>1</v>
      </c>
      <c r="V4393">
        <v>0.2838888888888888</v>
      </c>
      <c r="W4393">
        <v>0.85</v>
      </c>
      <c r="X4393">
        <v>0.2413055555555555</v>
      </c>
      <c r="Y4393">
        <v>578</v>
      </c>
      <c r="Z4393">
        <v>365.56549317689053</v>
      </c>
      <c r="AA4393">
        <v>198</v>
      </c>
      <c r="AB4393">
        <v>332</v>
      </c>
      <c r="AC4393">
        <v>536</v>
      </c>
      <c r="AD4393">
        <v>29.32</v>
      </c>
      <c r="AE4393">
        <v>542</v>
      </c>
      <c r="AF4393">
        <v>27</v>
      </c>
      <c r="AG4393">
        <v>173</v>
      </c>
      <c r="AH4393">
        <v>129</v>
      </c>
      <c r="AI4393">
        <v>4.9800000000000004</v>
      </c>
      <c r="AJ4393">
        <v>31.92</v>
      </c>
      <c r="AK4393">
        <v>23.8</v>
      </c>
      <c r="AL4393">
        <v>-20.172197349999941</v>
      </c>
      <c r="AM4393">
        <v>-44.910438675762883</v>
      </c>
      <c r="AN4393">
        <v>-20.172197349999941</v>
      </c>
      <c r="AO4393">
        <v>-44.910438675762883</v>
      </c>
      <c r="AP4393">
        <v>-20.172844999999999</v>
      </c>
      <c r="AQ4393">
        <v>-44.909215000000003</v>
      </c>
      <c r="AR4393">
        <v>146.78922919749749</v>
      </c>
      <c r="AS4393" t="s">
        <v>65</v>
      </c>
      <c r="AT4393">
        <v>1</v>
      </c>
      <c r="AU4393" t="s">
        <v>1427</v>
      </c>
      <c r="AV4393" t="s">
        <v>1428</v>
      </c>
      <c r="AW4393" t="s">
        <v>60</v>
      </c>
      <c r="AX4393" t="s">
        <v>68</v>
      </c>
      <c r="AY4393" t="s">
        <v>69</v>
      </c>
      <c r="AZ4393" t="b">
        <v>1</v>
      </c>
    </row>
    <row r="4394" spans="1:52" x14ac:dyDescent="0.3">
      <c r="A4394" t="s">
        <v>52</v>
      </c>
      <c r="B4394" t="s">
        <v>53</v>
      </c>
      <c r="C4394" t="s">
        <v>54</v>
      </c>
      <c r="D4394" t="s">
        <v>55</v>
      </c>
      <c r="E4394" t="s">
        <v>2222</v>
      </c>
      <c r="F4394" t="s">
        <v>1247</v>
      </c>
      <c r="G4394" t="s">
        <v>1388</v>
      </c>
      <c r="H4394" t="s">
        <v>1389</v>
      </c>
      <c r="I4394" t="s">
        <v>1389</v>
      </c>
      <c r="J4394" t="s">
        <v>60</v>
      </c>
      <c r="K4394" t="s">
        <v>475</v>
      </c>
      <c r="L4394" t="s">
        <v>62</v>
      </c>
      <c r="M4394" t="s">
        <v>475</v>
      </c>
      <c r="N4394" t="s">
        <v>1390</v>
      </c>
      <c r="O4394" t="s">
        <v>855</v>
      </c>
      <c r="P4394">
        <v>-20.173748</v>
      </c>
      <c r="Q4394">
        <v>-44.894596999999997</v>
      </c>
      <c r="R4394" s="2" t="str">
        <f>HYPERLINK("https://www.google.com/maps?q=-20.1737480,-44.8945970","Abrir no Google Maps")</f>
        <v>Abrir no Google Maps</v>
      </c>
      <c r="S4394">
        <v>3</v>
      </c>
      <c r="T4394">
        <v>1217.388518792701</v>
      </c>
      <c r="U4394">
        <v>1</v>
      </c>
      <c r="V4394">
        <v>0.2962091503267974</v>
      </c>
      <c r="W4394">
        <v>0.85</v>
      </c>
      <c r="X4394">
        <v>0.25177777777777782</v>
      </c>
      <c r="Y4394">
        <v>578</v>
      </c>
      <c r="Z4394">
        <v>1268.0048337091989</v>
      </c>
      <c r="AA4394">
        <v>198</v>
      </c>
      <c r="AB4394">
        <v>332</v>
      </c>
      <c r="AC4394">
        <v>536</v>
      </c>
      <c r="AD4394">
        <v>29.32</v>
      </c>
      <c r="AE4394">
        <v>542</v>
      </c>
      <c r="AF4394">
        <v>27</v>
      </c>
      <c r="AG4394">
        <v>173</v>
      </c>
      <c r="AH4394">
        <v>129</v>
      </c>
      <c r="AI4394">
        <v>4.9800000000000004</v>
      </c>
      <c r="AJ4394">
        <v>31.92</v>
      </c>
      <c r="AK4394">
        <v>23.8</v>
      </c>
      <c r="AL4394">
        <v>-20.173821999999941</v>
      </c>
      <c r="AM4394">
        <v>-44.894306105833543</v>
      </c>
      <c r="AN4394">
        <v>-20.173821999999941</v>
      </c>
      <c r="AO4394">
        <v>-44.894306105833543</v>
      </c>
      <c r="AP4394">
        <v>-20.173748</v>
      </c>
      <c r="AQ4394">
        <v>-44.894596999999997</v>
      </c>
      <c r="AR4394">
        <v>31.492193006406161</v>
      </c>
      <c r="AS4394" t="s">
        <v>65</v>
      </c>
      <c r="AT4394">
        <v>1</v>
      </c>
      <c r="AU4394" t="s">
        <v>1391</v>
      </c>
      <c r="AV4394" t="s">
        <v>1392</v>
      </c>
      <c r="AW4394" t="s">
        <v>60</v>
      </c>
      <c r="AX4394" t="s">
        <v>68</v>
      </c>
      <c r="AY4394" t="s">
        <v>69</v>
      </c>
      <c r="AZ4394" t="b">
        <v>1</v>
      </c>
    </row>
    <row r="4395" spans="1:52" x14ac:dyDescent="0.3">
      <c r="A4395" t="s">
        <v>52</v>
      </c>
      <c r="B4395" t="s">
        <v>53</v>
      </c>
      <c r="C4395" t="s">
        <v>54</v>
      </c>
      <c r="D4395" t="s">
        <v>55</v>
      </c>
      <c r="E4395" t="s">
        <v>2222</v>
      </c>
      <c r="F4395" t="s">
        <v>1247</v>
      </c>
      <c r="G4395" t="s">
        <v>1399</v>
      </c>
      <c r="H4395" t="s">
        <v>1400</v>
      </c>
      <c r="I4395" t="s">
        <v>1400</v>
      </c>
      <c r="J4395" t="s">
        <v>60</v>
      </c>
      <c r="K4395" t="s">
        <v>475</v>
      </c>
      <c r="L4395" t="s">
        <v>62</v>
      </c>
      <c r="M4395" t="s">
        <v>475</v>
      </c>
      <c r="N4395" t="s">
        <v>1401</v>
      </c>
      <c r="O4395" t="s">
        <v>1080</v>
      </c>
      <c r="P4395">
        <v>-20.178809000000001</v>
      </c>
      <c r="Q4395">
        <v>-44.900204000000002</v>
      </c>
      <c r="R4395" s="2" t="str">
        <f>HYPERLINK("https://www.google.com/maps?q=-20.1788090,-44.9002040","Abrir no Google Maps")</f>
        <v>Abrir no Google Maps</v>
      </c>
      <c r="S4395">
        <v>3</v>
      </c>
      <c r="T4395">
        <v>1015.86498565614</v>
      </c>
      <c r="U4395">
        <v>1</v>
      </c>
      <c r="V4395">
        <v>0.28729333361631681</v>
      </c>
      <c r="W4395">
        <v>0.85</v>
      </c>
      <c r="X4395">
        <v>0.2441993335738693</v>
      </c>
      <c r="Y4395">
        <v>578</v>
      </c>
      <c r="Z4395">
        <v>954.77111474428102</v>
      </c>
      <c r="AA4395">
        <v>198</v>
      </c>
      <c r="AB4395">
        <v>332</v>
      </c>
      <c r="AC4395">
        <v>536</v>
      </c>
      <c r="AD4395">
        <v>29.32</v>
      </c>
      <c r="AE4395">
        <v>542</v>
      </c>
      <c r="AF4395">
        <v>27</v>
      </c>
      <c r="AG4395">
        <v>173</v>
      </c>
      <c r="AH4395">
        <v>129</v>
      </c>
      <c r="AI4395">
        <v>4.9800000000000004</v>
      </c>
      <c r="AJ4395">
        <v>31.92</v>
      </c>
      <c r="AK4395">
        <v>23.8</v>
      </c>
      <c r="AL4395">
        <v>-20.178590099999951</v>
      </c>
      <c r="AM4395">
        <v>-44.90029029928732</v>
      </c>
      <c r="AN4395">
        <v>-20.178590099999951</v>
      </c>
      <c r="AO4395">
        <v>-44.90029029928732</v>
      </c>
      <c r="AP4395">
        <v>-20.178809000000001</v>
      </c>
      <c r="AQ4395">
        <v>-44.900204000000002</v>
      </c>
      <c r="AR4395">
        <v>25.982812999798391</v>
      </c>
      <c r="AS4395" t="s">
        <v>65</v>
      </c>
      <c r="AT4395">
        <v>1</v>
      </c>
      <c r="AU4395" t="s">
        <v>1402</v>
      </c>
      <c r="AV4395" t="s">
        <v>1403</v>
      </c>
      <c r="AW4395" t="s">
        <v>60</v>
      </c>
      <c r="AX4395" t="s">
        <v>68</v>
      </c>
      <c r="AY4395" t="s">
        <v>69</v>
      </c>
      <c r="AZ4395" t="b">
        <v>1</v>
      </c>
    </row>
    <row r="4396" spans="1:52" x14ac:dyDescent="0.3">
      <c r="A4396" t="s">
        <v>52</v>
      </c>
      <c r="B4396" t="s">
        <v>53</v>
      </c>
      <c r="C4396" t="s">
        <v>54</v>
      </c>
      <c r="D4396" t="s">
        <v>55</v>
      </c>
      <c r="E4396" t="s">
        <v>2222</v>
      </c>
      <c r="F4396" t="s">
        <v>1247</v>
      </c>
      <c r="G4396" t="s">
        <v>1429</v>
      </c>
      <c r="H4396" t="s">
        <v>1430</v>
      </c>
      <c r="I4396" t="s">
        <v>1430</v>
      </c>
      <c r="J4396" t="s">
        <v>60</v>
      </c>
      <c r="K4396" t="s">
        <v>505</v>
      </c>
      <c r="L4396" t="s">
        <v>62</v>
      </c>
      <c r="M4396" t="s">
        <v>505</v>
      </c>
      <c r="N4396" t="s">
        <v>1431</v>
      </c>
      <c r="O4396" t="s">
        <v>1432</v>
      </c>
      <c r="P4396">
        <v>-20.132069000000001</v>
      </c>
      <c r="Q4396">
        <v>-44.891694000000001</v>
      </c>
      <c r="R4396" s="2" t="str">
        <f>HYPERLINK("https://www.google.com/maps?q=-20.1320690,-44.8916940","Abrir no Google Maps")</f>
        <v>Abrir no Google Maps</v>
      </c>
      <c r="S4396">
        <v>3</v>
      </c>
      <c r="T4396">
        <v>463.84477613866852</v>
      </c>
      <c r="U4396">
        <v>1</v>
      </c>
      <c r="V4396">
        <v>0.29646377368151561</v>
      </c>
      <c r="W4396">
        <v>0.85</v>
      </c>
      <c r="X4396">
        <v>0.25199420762928831</v>
      </c>
      <c r="Y4396">
        <v>564</v>
      </c>
      <c r="Z4396">
        <v>349.6044774510159</v>
      </c>
      <c r="AA4396">
        <v>198</v>
      </c>
      <c r="AB4396">
        <v>332</v>
      </c>
      <c r="AC4396">
        <v>536</v>
      </c>
      <c r="AD4396">
        <v>29.32</v>
      </c>
      <c r="AE4396">
        <v>542</v>
      </c>
      <c r="AF4396">
        <v>27</v>
      </c>
      <c r="AG4396">
        <v>173</v>
      </c>
      <c r="AH4396">
        <v>129</v>
      </c>
      <c r="AI4396">
        <v>4.9800000000000004</v>
      </c>
      <c r="AJ4396">
        <v>31.92</v>
      </c>
      <c r="AK4396">
        <v>23.8</v>
      </c>
      <c r="AL4396">
        <v>-20.131860799999941</v>
      </c>
      <c r="AM4396">
        <v>-44.891643045551348</v>
      </c>
      <c r="AN4396">
        <v>-20.131860799999941</v>
      </c>
      <c r="AO4396">
        <v>-44.891643045551348</v>
      </c>
      <c r="AP4396">
        <v>-20.132069000000001</v>
      </c>
      <c r="AQ4396">
        <v>-44.891694000000001</v>
      </c>
      <c r="AR4396">
        <v>23.780836080569209</v>
      </c>
      <c r="AS4396" t="s">
        <v>65</v>
      </c>
      <c r="AT4396">
        <v>1</v>
      </c>
      <c r="AU4396" t="s">
        <v>1433</v>
      </c>
      <c r="AV4396" t="s">
        <v>1434</v>
      </c>
      <c r="AW4396" t="s">
        <v>60</v>
      </c>
      <c r="AX4396" t="s">
        <v>68</v>
      </c>
      <c r="AY4396" t="s">
        <v>69</v>
      </c>
      <c r="AZ4396" t="b">
        <v>1</v>
      </c>
    </row>
    <row r="4397" spans="1:52" x14ac:dyDescent="0.3">
      <c r="A4397" t="s">
        <v>52</v>
      </c>
      <c r="B4397" t="s">
        <v>53</v>
      </c>
      <c r="C4397" t="s">
        <v>54</v>
      </c>
      <c r="D4397" t="s">
        <v>55</v>
      </c>
      <c r="E4397" t="s">
        <v>2222</v>
      </c>
      <c r="F4397" t="s">
        <v>1247</v>
      </c>
      <c r="G4397" t="s">
        <v>1435</v>
      </c>
      <c r="H4397" t="s">
        <v>1436</v>
      </c>
      <c r="I4397" t="s">
        <v>1436</v>
      </c>
      <c r="J4397" t="s">
        <v>60</v>
      </c>
      <c r="K4397" t="s">
        <v>886</v>
      </c>
      <c r="L4397" t="s">
        <v>62</v>
      </c>
      <c r="M4397" t="s">
        <v>886</v>
      </c>
      <c r="N4397" t="s">
        <v>1437</v>
      </c>
      <c r="O4397" t="s">
        <v>1438</v>
      </c>
      <c r="P4397">
        <v>-20.131108000000001</v>
      </c>
      <c r="Q4397">
        <v>-44.893228000000001</v>
      </c>
      <c r="R4397" s="2" t="str">
        <f>HYPERLINK("https://www.google.com/maps?q=-20.1311080,-44.8932280","Abrir no Google Maps")</f>
        <v>Abrir no Google Maps</v>
      </c>
      <c r="S4397">
        <v>3</v>
      </c>
      <c r="T4397">
        <v>548.07497919430136</v>
      </c>
      <c r="U4397">
        <v>1</v>
      </c>
      <c r="V4397">
        <v>0.28961787688202778</v>
      </c>
      <c r="W4397">
        <v>0.85</v>
      </c>
      <c r="X4397">
        <v>0.2461751953497236</v>
      </c>
      <c r="Y4397">
        <v>564</v>
      </c>
      <c r="Z4397">
        <v>369.17139216388432</v>
      </c>
      <c r="AA4397">
        <v>198</v>
      </c>
      <c r="AB4397">
        <v>332</v>
      </c>
      <c r="AC4397">
        <v>536</v>
      </c>
      <c r="AD4397">
        <v>29.32</v>
      </c>
      <c r="AE4397">
        <v>542</v>
      </c>
      <c r="AF4397">
        <v>27</v>
      </c>
      <c r="AG4397">
        <v>173</v>
      </c>
      <c r="AH4397">
        <v>129</v>
      </c>
      <c r="AI4397">
        <v>4.9800000000000004</v>
      </c>
      <c r="AJ4397">
        <v>31.92</v>
      </c>
      <c r="AK4397">
        <v>23.8</v>
      </c>
      <c r="AL4397">
        <v>-20.13103294999997</v>
      </c>
      <c r="AM4397">
        <v>-44.89318457893738</v>
      </c>
      <c r="AN4397">
        <v>-20.13103294999997</v>
      </c>
      <c r="AO4397">
        <v>-44.89318457893738</v>
      </c>
      <c r="AP4397">
        <v>-20.131108000000001</v>
      </c>
      <c r="AQ4397">
        <v>-44.893228000000001</v>
      </c>
      <c r="AR4397">
        <v>9.5076426885244203</v>
      </c>
      <c r="AS4397" t="s">
        <v>65</v>
      </c>
      <c r="AT4397">
        <v>1</v>
      </c>
      <c r="AU4397" t="s">
        <v>1439</v>
      </c>
      <c r="AV4397" t="s">
        <v>1440</v>
      </c>
      <c r="AW4397" t="s">
        <v>60</v>
      </c>
      <c r="AX4397" t="s">
        <v>68</v>
      </c>
      <c r="AY4397" t="s">
        <v>69</v>
      </c>
      <c r="AZ4397" t="b">
        <v>1</v>
      </c>
    </row>
    <row r="4398" spans="1:52" x14ac:dyDescent="0.3">
      <c r="A4398" t="s">
        <v>52</v>
      </c>
      <c r="B4398" t="s">
        <v>53</v>
      </c>
      <c r="C4398" t="s">
        <v>54</v>
      </c>
      <c r="D4398" t="s">
        <v>55</v>
      </c>
      <c r="E4398" t="s">
        <v>2222</v>
      </c>
      <c r="F4398" t="s">
        <v>1247</v>
      </c>
      <c r="G4398" t="s">
        <v>1408</v>
      </c>
      <c r="H4398" t="s">
        <v>1409</v>
      </c>
      <c r="I4398" t="s">
        <v>1409</v>
      </c>
      <c r="J4398" t="s">
        <v>60</v>
      </c>
      <c r="K4398" t="s">
        <v>200</v>
      </c>
      <c r="L4398" t="s">
        <v>62</v>
      </c>
      <c r="M4398" t="s">
        <v>200</v>
      </c>
      <c r="N4398" t="s">
        <v>1410</v>
      </c>
      <c r="O4398" t="s">
        <v>1001</v>
      </c>
      <c r="P4398">
        <v>-20.126062999999998</v>
      </c>
      <c r="Q4398">
        <v>-44.894936999999999</v>
      </c>
      <c r="R4398" s="2" t="str">
        <f>HYPERLINK("https://www.google.com/maps?q=-20.1260630,-44.8949370","Abrir no Google Maps")</f>
        <v>Abrir no Google Maps</v>
      </c>
      <c r="S4398">
        <v>3</v>
      </c>
      <c r="T4398">
        <v>747.3122077966558</v>
      </c>
      <c r="U4398">
        <v>1</v>
      </c>
      <c r="V4398">
        <v>0.27125054569988488</v>
      </c>
      <c r="W4398">
        <v>0.85</v>
      </c>
      <c r="X4398">
        <v>0.2305629638449021</v>
      </c>
      <c r="Y4398">
        <v>564</v>
      </c>
      <c r="Z4398">
        <v>693.80888866206885</v>
      </c>
      <c r="AA4398">
        <v>198</v>
      </c>
      <c r="AB4398">
        <v>332</v>
      </c>
      <c r="AC4398">
        <v>536</v>
      </c>
      <c r="AD4398">
        <v>29.32</v>
      </c>
      <c r="AE4398">
        <v>542</v>
      </c>
      <c r="AF4398">
        <v>27</v>
      </c>
      <c r="AG4398">
        <v>173</v>
      </c>
      <c r="AH4398">
        <v>129</v>
      </c>
      <c r="AI4398">
        <v>4.9800000000000004</v>
      </c>
      <c r="AJ4398">
        <v>31.92</v>
      </c>
      <c r="AK4398">
        <v>23.8</v>
      </c>
      <c r="AL4398">
        <v>-20.126099149999959</v>
      </c>
      <c r="AM4398">
        <v>-44.894866076436763</v>
      </c>
      <c r="AN4398">
        <v>-20.126099149999959</v>
      </c>
      <c r="AO4398">
        <v>-44.894866076436749</v>
      </c>
      <c r="AP4398">
        <v>-20.126062999999998</v>
      </c>
      <c r="AQ4398">
        <v>-44.894936999999999</v>
      </c>
      <c r="AR4398">
        <v>8.4349593682699737</v>
      </c>
      <c r="AS4398" t="s">
        <v>65</v>
      </c>
      <c r="AT4398">
        <v>1</v>
      </c>
      <c r="AU4398" t="s">
        <v>1411</v>
      </c>
      <c r="AV4398" t="s">
        <v>1003</v>
      </c>
      <c r="AW4398" t="s">
        <v>60</v>
      </c>
      <c r="AX4398" t="s">
        <v>68</v>
      </c>
      <c r="AY4398" t="s">
        <v>69</v>
      </c>
      <c r="AZ4398" t="b">
        <v>1</v>
      </c>
    </row>
    <row r="4399" spans="1:52" x14ac:dyDescent="0.3">
      <c r="A4399" t="s">
        <v>52</v>
      </c>
      <c r="B4399" t="s">
        <v>53</v>
      </c>
      <c r="C4399" t="s">
        <v>54</v>
      </c>
      <c r="D4399" t="s">
        <v>55</v>
      </c>
      <c r="E4399" t="s">
        <v>2222</v>
      </c>
      <c r="F4399" t="s">
        <v>1247</v>
      </c>
      <c r="G4399" t="s">
        <v>473</v>
      </c>
      <c r="H4399" t="s">
        <v>1445</v>
      </c>
      <c r="I4399" t="s">
        <v>1445</v>
      </c>
      <c r="J4399" t="s">
        <v>60</v>
      </c>
      <c r="K4399" t="s">
        <v>892</v>
      </c>
      <c r="L4399" t="s">
        <v>62</v>
      </c>
      <c r="M4399" t="s">
        <v>892</v>
      </c>
      <c r="N4399" t="s">
        <v>406</v>
      </c>
      <c r="O4399" t="s">
        <v>1446</v>
      </c>
      <c r="P4399">
        <v>-20.14941</v>
      </c>
      <c r="Q4399">
        <v>-44.899535</v>
      </c>
      <c r="R4399" s="2" t="str">
        <f>HYPERLINK("https://www.google.com/maps?q=-20.1494100,-44.8995350","Abrir no Google Maps")</f>
        <v>Abrir no Google Maps</v>
      </c>
      <c r="S4399">
        <v>3</v>
      </c>
      <c r="T4399">
        <v>249.83945591849931</v>
      </c>
      <c r="U4399">
        <v>1</v>
      </c>
      <c r="V4399">
        <v>0.28837869129865001</v>
      </c>
      <c r="W4399">
        <v>0.85</v>
      </c>
      <c r="X4399">
        <v>0.24512188760385251</v>
      </c>
      <c r="Y4399">
        <v>556</v>
      </c>
      <c r="Z4399">
        <v>156.62360082488701</v>
      </c>
      <c r="AA4399">
        <v>198</v>
      </c>
      <c r="AB4399">
        <v>332</v>
      </c>
      <c r="AC4399">
        <v>536</v>
      </c>
      <c r="AD4399">
        <v>29.32</v>
      </c>
      <c r="AE4399">
        <v>542</v>
      </c>
      <c r="AF4399">
        <v>27</v>
      </c>
      <c r="AG4399">
        <v>173</v>
      </c>
      <c r="AH4399">
        <v>129</v>
      </c>
      <c r="AI4399">
        <v>4.9800000000000004</v>
      </c>
      <c r="AJ4399">
        <v>31.92</v>
      </c>
      <c r="AK4399">
        <v>23.8</v>
      </c>
      <c r="AL4399">
        <v>-20.149341899999939</v>
      </c>
      <c r="AM4399">
        <v>-44.899575902083967</v>
      </c>
      <c r="AN4399">
        <v>-20.149341899999939</v>
      </c>
      <c r="AO4399">
        <v>-44.899575902083967</v>
      </c>
      <c r="AP4399">
        <v>-20.14941</v>
      </c>
      <c r="AQ4399">
        <v>-44.899535</v>
      </c>
      <c r="AR4399">
        <v>8.7029725999778709</v>
      </c>
      <c r="AS4399" t="s">
        <v>65</v>
      </c>
      <c r="AT4399">
        <v>1</v>
      </c>
      <c r="AU4399" t="s">
        <v>1447</v>
      </c>
      <c r="AV4399" t="s">
        <v>1448</v>
      </c>
      <c r="AW4399" t="s">
        <v>60</v>
      </c>
      <c r="AX4399" t="s">
        <v>68</v>
      </c>
      <c r="AY4399" t="s">
        <v>69</v>
      </c>
      <c r="AZ4399" t="b">
        <v>1</v>
      </c>
    </row>
    <row r="4400" spans="1:52" x14ac:dyDescent="0.3">
      <c r="A4400" t="s">
        <v>52</v>
      </c>
      <c r="B4400" t="s">
        <v>53</v>
      </c>
      <c r="C4400" t="s">
        <v>54</v>
      </c>
      <c r="D4400" t="s">
        <v>55</v>
      </c>
      <c r="E4400" t="s">
        <v>2222</v>
      </c>
      <c r="F4400" t="s">
        <v>1247</v>
      </c>
      <c r="G4400" t="s">
        <v>1127</v>
      </c>
      <c r="H4400" t="s">
        <v>1455</v>
      </c>
      <c r="I4400" t="s">
        <v>1455</v>
      </c>
      <c r="J4400" t="s">
        <v>60</v>
      </c>
      <c r="K4400" t="s">
        <v>431</v>
      </c>
      <c r="L4400" t="s">
        <v>62</v>
      </c>
      <c r="M4400" t="s">
        <v>431</v>
      </c>
      <c r="N4400" t="s">
        <v>1456</v>
      </c>
      <c r="O4400" t="s">
        <v>1001</v>
      </c>
      <c r="P4400">
        <v>-20.168237999999999</v>
      </c>
      <c r="Q4400">
        <v>-44.924250999999998</v>
      </c>
      <c r="R4400" s="2" t="str">
        <f>HYPERLINK("https://www.google.com/maps?q=-20.1682380,-44.9242510","Abrir no Google Maps")</f>
        <v>Abrir no Google Maps</v>
      </c>
      <c r="S4400">
        <v>2</v>
      </c>
      <c r="T4400">
        <v>1220.188820430971</v>
      </c>
      <c r="U4400">
        <v>4</v>
      </c>
      <c r="V4400">
        <v>0.45966183574879221</v>
      </c>
      <c r="W4400">
        <v>0.85</v>
      </c>
      <c r="X4400">
        <v>0.3907125603864734</v>
      </c>
      <c r="Y4400">
        <v>723</v>
      </c>
      <c r="Z4400">
        <v>1092.4377883150901</v>
      </c>
      <c r="AA4400">
        <v>198</v>
      </c>
      <c r="AB4400">
        <v>332</v>
      </c>
      <c r="AC4400">
        <v>536</v>
      </c>
      <c r="AD4400">
        <v>29.32</v>
      </c>
      <c r="AE4400">
        <v>542</v>
      </c>
      <c r="AF4400">
        <v>27</v>
      </c>
      <c r="AG4400">
        <v>173</v>
      </c>
      <c r="AH4400">
        <v>129</v>
      </c>
      <c r="AI4400">
        <v>4.9800000000000004</v>
      </c>
      <c r="AJ4400">
        <v>31.92</v>
      </c>
      <c r="AK4400">
        <v>23.8</v>
      </c>
      <c r="AL4400">
        <v>-20.168394999999951</v>
      </c>
      <c r="AM4400">
        <v>-44.923548168580673</v>
      </c>
      <c r="AN4400">
        <v>-20.168394999999951</v>
      </c>
      <c r="AO4400">
        <v>-44.923548168580673</v>
      </c>
      <c r="AP4400">
        <v>-20.168237999999999</v>
      </c>
      <c r="AQ4400">
        <v>-44.924250999999998</v>
      </c>
      <c r="AR4400">
        <v>75.492755104934275</v>
      </c>
      <c r="AS4400" t="s">
        <v>65</v>
      </c>
      <c r="AT4400">
        <v>1</v>
      </c>
      <c r="AU4400" t="s">
        <v>1457</v>
      </c>
      <c r="AV4400" t="s">
        <v>1458</v>
      </c>
      <c r="AW4400" t="s">
        <v>60</v>
      </c>
      <c r="AX4400" t="s">
        <v>68</v>
      </c>
      <c r="AY4400" t="s">
        <v>69</v>
      </c>
      <c r="AZ4400" t="b">
        <v>1</v>
      </c>
    </row>
    <row r="4401" spans="1:52" x14ac:dyDescent="0.3">
      <c r="A4401" t="s">
        <v>52</v>
      </c>
      <c r="B4401" t="s">
        <v>53</v>
      </c>
      <c r="C4401" t="s">
        <v>54</v>
      </c>
      <c r="D4401" t="s">
        <v>55</v>
      </c>
      <c r="E4401" t="s">
        <v>2222</v>
      </c>
      <c r="F4401" t="s">
        <v>1247</v>
      </c>
      <c r="G4401" t="s">
        <v>1459</v>
      </c>
      <c r="H4401" t="s">
        <v>1460</v>
      </c>
      <c r="I4401" t="s">
        <v>1460</v>
      </c>
      <c r="J4401" t="s">
        <v>60</v>
      </c>
      <c r="K4401" t="s">
        <v>431</v>
      </c>
      <c r="L4401" t="s">
        <v>62</v>
      </c>
      <c r="M4401" t="s">
        <v>431</v>
      </c>
      <c r="N4401" t="s">
        <v>1461</v>
      </c>
      <c r="O4401" t="s">
        <v>1462</v>
      </c>
      <c r="P4401">
        <v>-20.170182</v>
      </c>
      <c r="Q4401">
        <v>-44.922556999999998</v>
      </c>
      <c r="R4401" s="2" t="str">
        <f>HYPERLINK("https://www.google.com/maps?q=-20.1701820,-44.9225570","Abrir no Google Maps")</f>
        <v>Abrir no Google Maps</v>
      </c>
      <c r="S4401">
        <v>2</v>
      </c>
      <c r="T4401">
        <v>1189.3885679843149</v>
      </c>
      <c r="U4401">
        <v>4</v>
      </c>
      <c r="V4401">
        <v>0.4078272902048663</v>
      </c>
      <c r="W4401">
        <v>0.85</v>
      </c>
      <c r="X4401">
        <v>0.34665319667413641</v>
      </c>
      <c r="Y4401">
        <v>723</v>
      </c>
      <c r="Z4401">
        <v>961.89164604479117</v>
      </c>
      <c r="AA4401">
        <v>198</v>
      </c>
      <c r="AB4401">
        <v>332</v>
      </c>
      <c r="AC4401">
        <v>536</v>
      </c>
      <c r="AD4401">
        <v>29.32</v>
      </c>
      <c r="AE4401">
        <v>542</v>
      </c>
      <c r="AF4401">
        <v>27</v>
      </c>
      <c r="AG4401">
        <v>173</v>
      </c>
      <c r="AH4401">
        <v>129</v>
      </c>
      <c r="AI4401">
        <v>4.9800000000000004</v>
      </c>
      <c r="AJ4401">
        <v>31.92</v>
      </c>
      <c r="AK4401">
        <v>23.8</v>
      </c>
      <c r="AL4401">
        <v>-20.169385449999961</v>
      </c>
      <c r="AM4401">
        <v>-44.922107101898007</v>
      </c>
      <c r="AN4401">
        <v>-20.169385449999961</v>
      </c>
      <c r="AO4401">
        <v>-44.922107101898007</v>
      </c>
      <c r="AP4401">
        <v>-20.170182</v>
      </c>
      <c r="AQ4401">
        <v>-44.922556999999998</v>
      </c>
      <c r="AR4401">
        <v>100.36329580049031</v>
      </c>
      <c r="AS4401" t="s">
        <v>65</v>
      </c>
      <c r="AT4401">
        <v>1</v>
      </c>
      <c r="AU4401" t="s">
        <v>1463</v>
      </c>
      <c r="AV4401" t="s">
        <v>1458</v>
      </c>
      <c r="AW4401" t="s">
        <v>60</v>
      </c>
      <c r="AX4401" t="s">
        <v>68</v>
      </c>
      <c r="AY4401" t="s">
        <v>69</v>
      </c>
      <c r="AZ4401" t="b">
        <v>1</v>
      </c>
    </row>
    <row r="4402" spans="1:52" x14ac:dyDescent="0.3">
      <c r="A4402" t="s">
        <v>52</v>
      </c>
      <c r="B4402" t="s">
        <v>53</v>
      </c>
      <c r="C4402" t="s">
        <v>54</v>
      </c>
      <c r="D4402" t="s">
        <v>55</v>
      </c>
      <c r="E4402" t="s">
        <v>2222</v>
      </c>
      <c r="F4402" t="s">
        <v>1247</v>
      </c>
      <c r="G4402" t="s">
        <v>1464</v>
      </c>
      <c r="H4402" t="s">
        <v>1465</v>
      </c>
      <c r="I4402" t="s">
        <v>1465</v>
      </c>
      <c r="J4402" t="s">
        <v>60</v>
      </c>
      <c r="K4402" t="s">
        <v>1466</v>
      </c>
      <c r="L4402" t="s">
        <v>62</v>
      </c>
      <c r="M4402" t="s">
        <v>1466</v>
      </c>
      <c r="N4402" t="s">
        <v>1467</v>
      </c>
      <c r="O4402" t="s">
        <v>145</v>
      </c>
      <c r="P4402">
        <v>-20.160509999999999</v>
      </c>
      <c r="Q4402">
        <v>-44.884123000000002</v>
      </c>
      <c r="R4402" s="2" t="str">
        <f>HYPERLINK("https://www.google.com/maps?q=-20.1605100,-44.8841230","Abrir no Google Maps")</f>
        <v>Abrir no Google Maps</v>
      </c>
      <c r="S4402">
        <v>2</v>
      </c>
      <c r="T4402">
        <v>650.04961276595373</v>
      </c>
      <c r="U4402">
        <v>4</v>
      </c>
      <c r="V4402">
        <v>0.31467505241090138</v>
      </c>
      <c r="W4402">
        <v>1</v>
      </c>
      <c r="X4402">
        <v>0.31467505241090138</v>
      </c>
      <c r="Y4402">
        <v>671</v>
      </c>
      <c r="Z4402">
        <v>591.49066685698506</v>
      </c>
      <c r="AA4402">
        <v>198</v>
      </c>
      <c r="AB4402">
        <v>332</v>
      </c>
      <c r="AC4402">
        <v>536</v>
      </c>
      <c r="AD4402">
        <v>29.32</v>
      </c>
      <c r="AE4402">
        <v>542</v>
      </c>
      <c r="AF4402">
        <v>27</v>
      </c>
      <c r="AG4402">
        <v>173</v>
      </c>
      <c r="AH4402">
        <v>129</v>
      </c>
      <c r="AI4402">
        <v>4.9800000000000004</v>
      </c>
      <c r="AJ4402">
        <v>31.92</v>
      </c>
      <c r="AK4402">
        <v>23.8</v>
      </c>
      <c r="AL4402">
        <v>-20.16056479999995</v>
      </c>
      <c r="AM4402">
        <v>-44.88424978393428</v>
      </c>
      <c r="AN4402">
        <v>-20.160564799999939</v>
      </c>
      <c r="AO4402">
        <v>-44.88424978393428</v>
      </c>
      <c r="AP4402">
        <v>-20.160509999999999</v>
      </c>
      <c r="AQ4402">
        <v>-44.884123000000002</v>
      </c>
      <c r="AR4402">
        <v>14.585823463739541</v>
      </c>
      <c r="AS4402" t="s">
        <v>65</v>
      </c>
      <c r="AT4402">
        <v>1</v>
      </c>
      <c r="AU4402" t="s">
        <v>1468</v>
      </c>
      <c r="AV4402" t="s">
        <v>1469</v>
      </c>
      <c r="AW4402" t="s">
        <v>60</v>
      </c>
      <c r="AX4402" t="s">
        <v>68</v>
      </c>
      <c r="AY4402" t="s">
        <v>69</v>
      </c>
      <c r="AZ4402" t="b">
        <v>1</v>
      </c>
    </row>
    <row r="4403" spans="1:52" x14ac:dyDescent="0.3">
      <c r="A4403" t="s">
        <v>52</v>
      </c>
      <c r="B4403" t="s">
        <v>53</v>
      </c>
      <c r="C4403" t="s">
        <v>54</v>
      </c>
      <c r="D4403" t="s">
        <v>55</v>
      </c>
      <c r="E4403" t="s">
        <v>2222</v>
      </c>
      <c r="F4403" t="s">
        <v>1247</v>
      </c>
      <c r="G4403" t="s">
        <v>1333</v>
      </c>
      <c r="H4403" t="s">
        <v>1470</v>
      </c>
      <c r="I4403" t="s">
        <v>1470</v>
      </c>
      <c r="J4403" t="s">
        <v>60</v>
      </c>
      <c r="K4403" t="s">
        <v>437</v>
      </c>
      <c r="L4403" t="s">
        <v>62</v>
      </c>
      <c r="M4403" t="s">
        <v>437</v>
      </c>
      <c r="N4403" t="s">
        <v>1335</v>
      </c>
      <c r="O4403" t="s">
        <v>900</v>
      </c>
      <c r="P4403">
        <v>-20.147047000000001</v>
      </c>
      <c r="Q4403">
        <v>-44.883921999999998</v>
      </c>
      <c r="R4403" s="2" t="str">
        <f>HYPERLINK("https://www.google.com/maps?q=-20.1470470,-44.8839220","Abrir no Google Maps")</f>
        <v>Abrir no Google Maps</v>
      </c>
      <c r="S4403">
        <v>2</v>
      </c>
      <c r="T4403">
        <v>296.4098018832658</v>
      </c>
      <c r="U4403">
        <v>4</v>
      </c>
      <c r="V4403">
        <v>0.33917362324467731</v>
      </c>
      <c r="W4403">
        <v>1</v>
      </c>
      <c r="X4403">
        <v>0.33917362324467731</v>
      </c>
      <c r="Y4403">
        <v>653</v>
      </c>
      <c r="Z4403">
        <v>299.72271006042178</v>
      </c>
      <c r="AA4403">
        <v>198</v>
      </c>
      <c r="AB4403">
        <v>332</v>
      </c>
      <c r="AC4403">
        <v>536</v>
      </c>
      <c r="AD4403">
        <v>29.32</v>
      </c>
      <c r="AE4403">
        <v>542</v>
      </c>
      <c r="AF4403">
        <v>27</v>
      </c>
      <c r="AG4403">
        <v>173</v>
      </c>
      <c r="AH4403">
        <v>129</v>
      </c>
      <c r="AI4403">
        <v>4.9800000000000004</v>
      </c>
      <c r="AJ4403">
        <v>31.92</v>
      </c>
      <c r="AK4403">
        <v>23.8</v>
      </c>
      <c r="AL4403">
        <v>-20.147074949999929</v>
      </c>
      <c r="AM4403">
        <v>-44.883796511502347</v>
      </c>
      <c r="AN4403">
        <v>-20.147074949999929</v>
      </c>
      <c r="AO4403">
        <v>-44.883796511502347</v>
      </c>
      <c r="AP4403">
        <v>-20.147047000000001</v>
      </c>
      <c r="AQ4403">
        <v>-44.883921999999998</v>
      </c>
      <c r="AR4403">
        <v>13.47864632994</v>
      </c>
      <c r="AS4403" t="s">
        <v>65</v>
      </c>
      <c r="AT4403">
        <v>1</v>
      </c>
      <c r="AU4403" t="s">
        <v>1471</v>
      </c>
      <c r="AV4403" t="s">
        <v>1472</v>
      </c>
      <c r="AW4403" t="s">
        <v>60</v>
      </c>
      <c r="AX4403" t="s">
        <v>68</v>
      </c>
      <c r="AY4403" t="s">
        <v>69</v>
      </c>
      <c r="AZ4403" t="b">
        <v>1</v>
      </c>
    </row>
    <row r="4404" spans="1:52" x14ac:dyDescent="0.3">
      <c r="A4404" t="s">
        <v>52</v>
      </c>
      <c r="B4404" t="s">
        <v>53</v>
      </c>
      <c r="C4404" t="s">
        <v>54</v>
      </c>
      <c r="D4404" t="s">
        <v>55</v>
      </c>
      <c r="E4404" t="s">
        <v>2222</v>
      </c>
      <c r="F4404" t="s">
        <v>1247</v>
      </c>
      <c r="G4404" t="s">
        <v>1473</v>
      </c>
      <c r="H4404" t="s">
        <v>1474</v>
      </c>
      <c r="I4404" t="s">
        <v>1474</v>
      </c>
      <c r="J4404" t="s">
        <v>60</v>
      </c>
      <c r="K4404" t="s">
        <v>1302</v>
      </c>
      <c r="L4404" t="s">
        <v>62</v>
      </c>
      <c r="M4404" t="s">
        <v>1302</v>
      </c>
      <c r="N4404" t="s">
        <v>1475</v>
      </c>
      <c r="O4404" t="s">
        <v>1476</v>
      </c>
      <c r="P4404">
        <v>-20.161372</v>
      </c>
      <c r="Q4404">
        <v>-44.914636999999999</v>
      </c>
      <c r="R4404" s="2" t="str">
        <f>HYPERLINK("https://www.google.com/maps?q=-20.1613720,-44.9146370","Abrir no Google Maps")</f>
        <v>Abrir no Google Maps</v>
      </c>
      <c r="S4404">
        <v>2</v>
      </c>
      <c r="T4404">
        <v>0</v>
      </c>
      <c r="U4404">
        <v>4</v>
      </c>
      <c r="V4404">
        <v>0.32300785634118961</v>
      </c>
      <c r="W4404">
        <v>1</v>
      </c>
      <c r="X4404">
        <v>0.32300785634118961</v>
      </c>
      <c r="Y4404">
        <v>639</v>
      </c>
      <c r="Z4404">
        <v>81.742669907651447</v>
      </c>
      <c r="AA4404">
        <v>198</v>
      </c>
      <c r="AB4404">
        <v>332</v>
      </c>
      <c r="AC4404">
        <v>536</v>
      </c>
      <c r="AD4404">
        <v>29.32</v>
      </c>
      <c r="AE4404">
        <v>542</v>
      </c>
      <c r="AF4404">
        <v>27</v>
      </c>
      <c r="AG4404">
        <v>173</v>
      </c>
      <c r="AH4404">
        <v>129</v>
      </c>
      <c r="AI4404">
        <v>4.9800000000000004</v>
      </c>
      <c r="AJ4404">
        <v>31.92</v>
      </c>
      <c r="AK4404">
        <v>23.8</v>
      </c>
      <c r="AL4404">
        <v>-20.161294499999961</v>
      </c>
      <c r="AM4404">
        <v>-44.914614684493202</v>
      </c>
      <c r="AN4404">
        <v>-20.161294499999961</v>
      </c>
      <c r="AO4404">
        <v>-44.914614684493202</v>
      </c>
      <c r="AP4404">
        <v>-20.161372</v>
      </c>
      <c r="AQ4404">
        <v>-44.914636999999999</v>
      </c>
      <c r="AR4404">
        <v>8.9369058443944862</v>
      </c>
      <c r="AS4404" t="s">
        <v>65</v>
      </c>
      <c r="AT4404">
        <v>1</v>
      </c>
      <c r="AU4404" t="s">
        <v>1477</v>
      </c>
      <c r="AV4404" t="s">
        <v>1478</v>
      </c>
      <c r="AW4404" t="s">
        <v>60</v>
      </c>
      <c r="AX4404" t="s">
        <v>68</v>
      </c>
      <c r="AY4404" t="s">
        <v>69</v>
      </c>
      <c r="AZ4404" t="b">
        <v>1</v>
      </c>
    </row>
    <row r="4405" spans="1:52" x14ac:dyDescent="0.3">
      <c r="A4405" t="s">
        <v>52</v>
      </c>
      <c r="B4405" t="s">
        <v>53</v>
      </c>
      <c r="C4405" t="s">
        <v>54</v>
      </c>
      <c r="D4405" t="s">
        <v>55</v>
      </c>
      <c r="E4405" t="s">
        <v>2222</v>
      </c>
      <c r="F4405" t="s">
        <v>1247</v>
      </c>
      <c r="G4405" t="s">
        <v>1479</v>
      </c>
      <c r="H4405" t="s">
        <v>1480</v>
      </c>
      <c r="I4405" t="s">
        <v>1480</v>
      </c>
      <c r="J4405" t="s">
        <v>60</v>
      </c>
      <c r="K4405" t="s">
        <v>1302</v>
      </c>
      <c r="L4405" t="s">
        <v>62</v>
      </c>
      <c r="M4405" t="s">
        <v>1302</v>
      </c>
      <c r="N4405" t="s">
        <v>1481</v>
      </c>
      <c r="O4405" t="s">
        <v>1482</v>
      </c>
      <c r="P4405">
        <v>-20.164655</v>
      </c>
      <c r="Q4405">
        <v>-44.912697000000001</v>
      </c>
      <c r="R4405" s="2" t="str">
        <f>HYPERLINK("https://www.google.com/maps?q=-20.1646550,-44.9126970","Abrir no Google Maps")</f>
        <v>Abrir no Google Maps</v>
      </c>
      <c r="S4405">
        <v>2</v>
      </c>
      <c r="T4405">
        <v>441.50274004930441</v>
      </c>
      <c r="U4405">
        <v>4</v>
      </c>
      <c r="V4405">
        <v>0.33209335315934302</v>
      </c>
      <c r="W4405">
        <v>1</v>
      </c>
      <c r="X4405">
        <v>0.33209335315934302</v>
      </c>
      <c r="Y4405">
        <v>639</v>
      </c>
      <c r="Z4405">
        <v>311.03317029936522</v>
      </c>
      <c r="AA4405">
        <v>198</v>
      </c>
      <c r="AB4405">
        <v>332</v>
      </c>
      <c r="AC4405">
        <v>536</v>
      </c>
      <c r="AD4405">
        <v>29.32</v>
      </c>
      <c r="AE4405">
        <v>542</v>
      </c>
      <c r="AF4405">
        <v>27</v>
      </c>
      <c r="AG4405">
        <v>173</v>
      </c>
      <c r="AH4405">
        <v>129</v>
      </c>
      <c r="AI4405">
        <v>4.9800000000000004</v>
      </c>
      <c r="AJ4405">
        <v>31.92</v>
      </c>
      <c r="AK4405">
        <v>23.8</v>
      </c>
      <c r="AL4405">
        <v>-20.164702999999971</v>
      </c>
      <c r="AM4405">
        <v>-44.912418857911163</v>
      </c>
      <c r="AN4405">
        <v>-20.164702999999971</v>
      </c>
      <c r="AO4405">
        <v>-44.912418857911163</v>
      </c>
      <c r="AP4405">
        <v>-20.164655</v>
      </c>
      <c r="AQ4405">
        <v>-44.912697000000001</v>
      </c>
      <c r="AR4405">
        <v>29.552017409892429</v>
      </c>
      <c r="AS4405" t="s">
        <v>65</v>
      </c>
      <c r="AT4405">
        <v>1</v>
      </c>
      <c r="AU4405" t="s">
        <v>1483</v>
      </c>
      <c r="AV4405" t="s">
        <v>1484</v>
      </c>
      <c r="AW4405" t="s">
        <v>60</v>
      </c>
      <c r="AX4405" t="s">
        <v>68</v>
      </c>
      <c r="AY4405" t="s">
        <v>69</v>
      </c>
      <c r="AZ4405" t="b">
        <v>1</v>
      </c>
    </row>
    <row r="4406" spans="1:52" x14ac:dyDescent="0.3">
      <c r="A4406" t="s">
        <v>52</v>
      </c>
      <c r="B4406" t="s">
        <v>53</v>
      </c>
      <c r="C4406" t="s">
        <v>54</v>
      </c>
      <c r="D4406" t="s">
        <v>55</v>
      </c>
      <c r="E4406" t="s">
        <v>2222</v>
      </c>
      <c r="F4406" t="s">
        <v>1247</v>
      </c>
      <c r="G4406" t="s">
        <v>1464</v>
      </c>
      <c r="H4406" t="s">
        <v>1485</v>
      </c>
      <c r="I4406" t="s">
        <v>1485</v>
      </c>
      <c r="J4406" t="s">
        <v>60</v>
      </c>
      <c r="K4406" t="s">
        <v>1486</v>
      </c>
      <c r="L4406" t="s">
        <v>62</v>
      </c>
      <c r="M4406" t="s">
        <v>1486</v>
      </c>
      <c r="N4406" t="s">
        <v>1467</v>
      </c>
      <c r="O4406" t="s">
        <v>1487</v>
      </c>
      <c r="P4406">
        <v>-20.162842000000001</v>
      </c>
      <c r="Q4406">
        <v>-44.883769999999998</v>
      </c>
      <c r="R4406" s="2" t="str">
        <f>HYPERLINK("https://www.google.com/maps?q=-20.1628420,-44.8837700","Abrir no Google Maps")</f>
        <v>Abrir no Google Maps</v>
      </c>
      <c r="S4406">
        <v>2</v>
      </c>
      <c r="T4406">
        <v>659.67909450906006</v>
      </c>
      <c r="U4406">
        <v>3</v>
      </c>
      <c r="V4406">
        <v>0.29781894555441868</v>
      </c>
      <c r="W4406">
        <v>1</v>
      </c>
      <c r="X4406">
        <v>0.29781894555441868</v>
      </c>
      <c r="Y4406">
        <v>671</v>
      </c>
      <c r="Z4406">
        <v>566.23107864368092</v>
      </c>
      <c r="AA4406">
        <v>198</v>
      </c>
      <c r="AB4406">
        <v>332</v>
      </c>
      <c r="AC4406">
        <v>536</v>
      </c>
      <c r="AD4406">
        <v>29.32</v>
      </c>
      <c r="AE4406">
        <v>542</v>
      </c>
      <c r="AF4406">
        <v>27</v>
      </c>
      <c r="AG4406">
        <v>173</v>
      </c>
      <c r="AH4406">
        <v>129</v>
      </c>
      <c r="AI4406">
        <v>4.9800000000000004</v>
      </c>
      <c r="AJ4406">
        <v>31.92</v>
      </c>
      <c r="AK4406">
        <v>23.8</v>
      </c>
      <c r="AL4406">
        <v>-20.162791299999949</v>
      </c>
      <c r="AM4406">
        <v>-44.883966852092939</v>
      </c>
      <c r="AN4406">
        <v>-20.162791299999949</v>
      </c>
      <c r="AO4406">
        <v>-44.883966852092939</v>
      </c>
      <c r="AP4406">
        <v>-20.162842000000001</v>
      </c>
      <c r="AQ4406">
        <v>-44.883769999999998</v>
      </c>
      <c r="AR4406">
        <v>21.33085532825611</v>
      </c>
      <c r="AS4406" t="s">
        <v>65</v>
      </c>
      <c r="AT4406">
        <v>1</v>
      </c>
      <c r="AU4406" t="s">
        <v>1488</v>
      </c>
      <c r="AV4406" t="s">
        <v>1489</v>
      </c>
      <c r="AW4406" t="s">
        <v>60</v>
      </c>
      <c r="AX4406" t="s">
        <v>68</v>
      </c>
      <c r="AY4406" t="s">
        <v>69</v>
      </c>
      <c r="AZ4406" t="b">
        <v>1</v>
      </c>
    </row>
    <row r="4407" spans="1:52" x14ac:dyDescent="0.3">
      <c r="A4407" t="s">
        <v>52</v>
      </c>
      <c r="B4407" t="s">
        <v>53</v>
      </c>
      <c r="C4407" t="s">
        <v>54</v>
      </c>
      <c r="D4407" t="s">
        <v>55</v>
      </c>
      <c r="E4407" t="s">
        <v>2222</v>
      </c>
      <c r="F4407" t="s">
        <v>1247</v>
      </c>
      <c r="G4407" t="s">
        <v>1490</v>
      </c>
      <c r="H4407" t="s">
        <v>1491</v>
      </c>
      <c r="I4407" t="s">
        <v>1491</v>
      </c>
      <c r="J4407" t="s">
        <v>60</v>
      </c>
      <c r="K4407" t="s">
        <v>336</v>
      </c>
      <c r="L4407" t="s">
        <v>62</v>
      </c>
      <c r="M4407" t="s">
        <v>336</v>
      </c>
      <c r="N4407" t="s">
        <v>1492</v>
      </c>
      <c r="O4407" t="s">
        <v>842</v>
      </c>
      <c r="P4407">
        <v>-20.164228999999999</v>
      </c>
      <c r="Q4407">
        <v>-44.876455999999997</v>
      </c>
      <c r="R4407" s="2" t="str">
        <f>HYPERLINK("https://www.google.com/maps?q=-20.1642290,-44.8764560","Abrir no Google Maps")</f>
        <v>Abrir no Google Maps</v>
      </c>
      <c r="S4407">
        <v>2</v>
      </c>
      <c r="T4407">
        <v>420.00990411628987</v>
      </c>
      <c r="U4407">
        <v>3</v>
      </c>
      <c r="V4407">
        <v>0.29586036924179959</v>
      </c>
      <c r="W4407">
        <v>1</v>
      </c>
      <c r="X4407">
        <v>0.29586036924179959</v>
      </c>
      <c r="Y4407">
        <v>671</v>
      </c>
      <c r="Z4407">
        <v>375.90194920648611</v>
      </c>
      <c r="AA4407">
        <v>198</v>
      </c>
      <c r="AB4407">
        <v>332</v>
      </c>
      <c r="AC4407">
        <v>536</v>
      </c>
      <c r="AD4407">
        <v>29.32</v>
      </c>
      <c r="AE4407">
        <v>542</v>
      </c>
      <c r="AF4407">
        <v>27</v>
      </c>
      <c r="AG4407">
        <v>173</v>
      </c>
      <c r="AH4407">
        <v>129</v>
      </c>
      <c r="AI4407">
        <v>4.9800000000000004</v>
      </c>
      <c r="AJ4407">
        <v>31.92</v>
      </c>
      <c r="AK4407">
        <v>23.8</v>
      </c>
      <c r="AL4407">
        <v>-20.164255749999938</v>
      </c>
      <c r="AM4407">
        <v>-44.876471676086922</v>
      </c>
      <c r="AN4407">
        <v>-20.164255749999938</v>
      </c>
      <c r="AO4407">
        <v>-44.876471676086922</v>
      </c>
      <c r="AP4407">
        <v>-20.164228999999999</v>
      </c>
      <c r="AQ4407">
        <v>-44.876455999999997</v>
      </c>
      <c r="AR4407">
        <v>3.3986375813953771</v>
      </c>
      <c r="AS4407" t="s">
        <v>65</v>
      </c>
      <c r="AT4407">
        <v>1</v>
      </c>
      <c r="AU4407" t="s">
        <v>1493</v>
      </c>
      <c r="AV4407" t="s">
        <v>1494</v>
      </c>
      <c r="AW4407" t="s">
        <v>60</v>
      </c>
      <c r="AX4407" t="s">
        <v>68</v>
      </c>
      <c r="AY4407" t="s">
        <v>69</v>
      </c>
      <c r="AZ4407" t="b">
        <v>1</v>
      </c>
    </row>
    <row r="4408" spans="1:52" x14ac:dyDescent="0.3">
      <c r="A4408" t="s">
        <v>52</v>
      </c>
      <c r="B4408" t="s">
        <v>53</v>
      </c>
      <c r="C4408" t="s">
        <v>54</v>
      </c>
      <c r="D4408" t="s">
        <v>55</v>
      </c>
      <c r="E4408" t="s">
        <v>2222</v>
      </c>
      <c r="F4408" t="s">
        <v>1247</v>
      </c>
      <c r="G4408" t="s">
        <v>1495</v>
      </c>
      <c r="H4408" t="s">
        <v>1496</v>
      </c>
      <c r="I4408" t="s">
        <v>1496</v>
      </c>
      <c r="J4408" t="s">
        <v>60</v>
      </c>
      <c r="K4408" t="s">
        <v>1466</v>
      </c>
      <c r="L4408" t="s">
        <v>62</v>
      </c>
      <c r="M4408" t="s">
        <v>1466</v>
      </c>
      <c r="N4408" t="s">
        <v>1497</v>
      </c>
      <c r="O4408" t="s">
        <v>1498</v>
      </c>
      <c r="P4408">
        <v>-20.163160999999999</v>
      </c>
      <c r="Q4408">
        <v>-44.880460999999997</v>
      </c>
      <c r="R4408" s="2" t="str">
        <f>HYPERLINK("https://www.google.com/maps?q=-20.1631610,-44.8804610","Abrir no Google Maps")</f>
        <v>Abrir no Google Maps</v>
      </c>
      <c r="S4408">
        <v>2</v>
      </c>
      <c r="T4408">
        <v>372.63783804650222</v>
      </c>
      <c r="U4408">
        <v>3</v>
      </c>
      <c r="V4408">
        <v>0.312486342269089</v>
      </c>
      <c r="W4408">
        <v>1</v>
      </c>
      <c r="X4408">
        <v>0.312486342269089</v>
      </c>
      <c r="Y4408">
        <v>671</v>
      </c>
      <c r="Z4408">
        <v>250.43144487082299</v>
      </c>
      <c r="AA4408">
        <v>198</v>
      </c>
      <c r="AB4408">
        <v>332</v>
      </c>
      <c r="AC4408">
        <v>536</v>
      </c>
      <c r="AD4408">
        <v>29.32</v>
      </c>
      <c r="AE4408">
        <v>542</v>
      </c>
      <c r="AF4408">
        <v>27</v>
      </c>
      <c r="AG4408">
        <v>173</v>
      </c>
      <c r="AH4408">
        <v>129</v>
      </c>
      <c r="AI4408">
        <v>4.9800000000000004</v>
      </c>
      <c r="AJ4408">
        <v>31.92</v>
      </c>
      <c r="AK4408">
        <v>23.8</v>
      </c>
      <c r="AL4408">
        <v>-20.163296749999969</v>
      </c>
      <c r="AM4408">
        <v>-44.88037544059182</v>
      </c>
      <c r="AN4408">
        <v>-20.163296749999969</v>
      </c>
      <c r="AO4408">
        <v>-44.88037544059182</v>
      </c>
      <c r="AP4408">
        <v>-20.163160999999999</v>
      </c>
      <c r="AQ4408">
        <v>-44.880460999999997</v>
      </c>
      <c r="AR4408">
        <v>17.558482416121191</v>
      </c>
      <c r="AS4408" t="s">
        <v>65</v>
      </c>
      <c r="AT4408">
        <v>1</v>
      </c>
      <c r="AU4408" t="s">
        <v>1499</v>
      </c>
      <c r="AV4408" t="s">
        <v>1500</v>
      </c>
      <c r="AW4408" t="s">
        <v>60</v>
      </c>
      <c r="AX4408" t="s">
        <v>68</v>
      </c>
      <c r="AY4408" t="s">
        <v>69</v>
      </c>
      <c r="AZ4408" t="b">
        <v>1</v>
      </c>
    </row>
    <row r="4409" spans="1:52" x14ac:dyDescent="0.3">
      <c r="A4409" t="s">
        <v>52</v>
      </c>
      <c r="B4409" t="s">
        <v>53</v>
      </c>
      <c r="C4409" t="s">
        <v>54</v>
      </c>
      <c r="D4409" t="s">
        <v>55</v>
      </c>
      <c r="E4409" t="s">
        <v>2222</v>
      </c>
      <c r="F4409" t="s">
        <v>1247</v>
      </c>
      <c r="G4409" t="s">
        <v>1501</v>
      </c>
      <c r="H4409" t="s">
        <v>1502</v>
      </c>
      <c r="I4409" t="s">
        <v>1502</v>
      </c>
      <c r="J4409" t="s">
        <v>60</v>
      </c>
      <c r="K4409" t="s">
        <v>1466</v>
      </c>
      <c r="L4409" t="s">
        <v>62</v>
      </c>
      <c r="M4409" t="s">
        <v>1466</v>
      </c>
      <c r="N4409" t="s">
        <v>1503</v>
      </c>
      <c r="O4409" t="s">
        <v>1504</v>
      </c>
      <c r="P4409">
        <v>-20.159618999999999</v>
      </c>
      <c r="Q4409">
        <v>-44.880065000000002</v>
      </c>
      <c r="R4409" s="2" t="str">
        <f>HYPERLINK("https://www.google.com/maps?q=-20.1596190,-44.8800650","Abrir no Google Maps")</f>
        <v>Abrir no Google Maps</v>
      </c>
      <c r="S4409">
        <v>2</v>
      </c>
      <c r="T4409">
        <v>243.9950282285559</v>
      </c>
      <c r="U4409">
        <v>3</v>
      </c>
      <c r="V4409">
        <v>0.30400870704268762</v>
      </c>
      <c r="W4409">
        <v>1</v>
      </c>
      <c r="X4409">
        <v>0.30400870704268762</v>
      </c>
      <c r="Y4409">
        <v>671</v>
      </c>
      <c r="Z4409">
        <v>265.31354384517681</v>
      </c>
      <c r="AA4409">
        <v>198</v>
      </c>
      <c r="AB4409">
        <v>332</v>
      </c>
      <c r="AC4409">
        <v>536</v>
      </c>
      <c r="AD4409">
        <v>29.32</v>
      </c>
      <c r="AE4409">
        <v>542</v>
      </c>
      <c r="AF4409">
        <v>27</v>
      </c>
      <c r="AG4409">
        <v>173</v>
      </c>
      <c r="AH4409">
        <v>129</v>
      </c>
      <c r="AI4409">
        <v>4.9800000000000004</v>
      </c>
      <c r="AJ4409">
        <v>31.92</v>
      </c>
      <c r="AK4409">
        <v>23.8</v>
      </c>
      <c r="AL4409">
        <v>-20.159689949999969</v>
      </c>
      <c r="AM4409">
        <v>-44.880075072344489</v>
      </c>
      <c r="AN4409">
        <v>-20.159689949999969</v>
      </c>
      <c r="AO4409">
        <v>-44.880075072344489</v>
      </c>
      <c r="AP4409">
        <v>-20.159618999999999</v>
      </c>
      <c r="AQ4409">
        <v>-44.880065000000002</v>
      </c>
      <c r="AR4409">
        <v>7.9679809486040876</v>
      </c>
      <c r="AS4409" t="s">
        <v>65</v>
      </c>
      <c r="AT4409">
        <v>1</v>
      </c>
      <c r="AU4409" t="s">
        <v>1505</v>
      </c>
      <c r="AV4409" t="s">
        <v>1506</v>
      </c>
      <c r="AW4409" t="s">
        <v>60</v>
      </c>
      <c r="AX4409" t="s">
        <v>68</v>
      </c>
      <c r="AY4409" t="s">
        <v>69</v>
      </c>
      <c r="AZ4409" t="b">
        <v>1</v>
      </c>
    </row>
    <row r="4410" spans="1:52" x14ac:dyDescent="0.3">
      <c r="A4410" t="s">
        <v>52</v>
      </c>
      <c r="B4410" t="s">
        <v>53</v>
      </c>
      <c r="C4410" t="s">
        <v>54</v>
      </c>
      <c r="D4410" t="s">
        <v>55</v>
      </c>
      <c r="E4410" t="s">
        <v>2222</v>
      </c>
      <c r="F4410" t="s">
        <v>1247</v>
      </c>
      <c r="G4410" t="s">
        <v>1507</v>
      </c>
      <c r="H4410" t="s">
        <v>1508</v>
      </c>
      <c r="I4410" t="s">
        <v>1508</v>
      </c>
      <c r="J4410" t="s">
        <v>60</v>
      </c>
      <c r="K4410" t="s">
        <v>1466</v>
      </c>
      <c r="L4410" t="s">
        <v>62</v>
      </c>
      <c r="M4410" t="s">
        <v>1466</v>
      </c>
      <c r="N4410" t="s">
        <v>1509</v>
      </c>
      <c r="O4410" t="s">
        <v>270</v>
      </c>
      <c r="P4410">
        <v>-20.164501999999999</v>
      </c>
      <c r="Q4410">
        <v>-44.883226999999998</v>
      </c>
      <c r="R4410" s="2" t="str">
        <f>HYPERLINK("https://www.google.com/maps?q=-20.1645020,-44.8832270","Abrir no Google Maps")</f>
        <v>Abrir no Google Maps</v>
      </c>
      <c r="S4410">
        <v>2</v>
      </c>
      <c r="T4410">
        <v>691.62667420887726</v>
      </c>
      <c r="U4410">
        <v>3</v>
      </c>
      <c r="V4410">
        <v>0.3036694729136164</v>
      </c>
      <c r="W4410">
        <v>1</v>
      </c>
      <c r="X4410">
        <v>0.3036694729136164</v>
      </c>
      <c r="Y4410">
        <v>671</v>
      </c>
      <c r="Z4410">
        <v>591.13935302436732</v>
      </c>
      <c r="AA4410">
        <v>198</v>
      </c>
      <c r="AB4410">
        <v>332</v>
      </c>
      <c r="AC4410">
        <v>536</v>
      </c>
      <c r="AD4410">
        <v>29.32</v>
      </c>
      <c r="AE4410">
        <v>542</v>
      </c>
      <c r="AF4410">
        <v>27</v>
      </c>
      <c r="AG4410">
        <v>173</v>
      </c>
      <c r="AH4410">
        <v>129</v>
      </c>
      <c r="AI4410">
        <v>4.9800000000000004</v>
      </c>
      <c r="AJ4410">
        <v>31.92</v>
      </c>
      <c r="AK4410">
        <v>23.8</v>
      </c>
      <c r="AL4410">
        <v>-20.164470149999939</v>
      </c>
      <c r="AM4410">
        <v>-44.883357321672527</v>
      </c>
      <c r="AN4410">
        <v>-20.164470149999939</v>
      </c>
      <c r="AO4410">
        <v>-44.883357321672527</v>
      </c>
      <c r="AP4410">
        <v>-20.164501999999999</v>
      </c>
      <c r="AQ4410">
        <v>-44.883226999999998</v>
      </c>
      <c r="AR4410">
        <v>14.072184947340521</v>
      </c>
      <c r="AS4410" t="s">
        <v>65</v>
      </c>
      <c r="AT4410">
        <v>1</v>
      </c>
      <c r="AU4410" t="s">
        <v>1510</v>
      </c>
      <c r="AV4410" t="s">
        <v>1511</v>
      </c>
      <c r="AW4410" t="s">
        <v>60</v>
      </c>
      <c r="AX4410" t="s">
        <v>68</v>
      </c>
      <c r="AY4410" t="s">
        <v>69</v>
      </c>
      <c r="AZ4410" t="b">
        <v>1</v>
      </c>
    </row>
    <row r="4411" spans="1:52" x14ac:dyDescent="0.3">
      <c r="A4411" t="s">
        <v>52</v>
      </c>
      <c r="B4411" t="s">
        <v>53</v>
      </c>
      <c r="C4411" t="s">
        <v>54</v>
      </c>
      <c r="D4411" t="s">
        <v>55</v>
      </c>
      <c r="E4411" t="s">
        <v>2222</v>
      </c>
      <c r="F4411" t="s">
        <v>1247</v>
      </c>
      <c r="G4411" t="s">
        <v>1518</v>
      </c>
      <c r="H4411" t="s">
        <v>1519</v>
      </c>
      <c r="I4411" t="s">
        <v>1519</v>
      </c>
      <c r="J4411" t="s">
        <v>60</v>
      </c>
      <c r="K4411" t="s">
        <v>1302</v>
      </c>
      <c r="L4411" t="s">
        <v>62</v>
      </c>
      <c r="M4411" t="s">
        <v>1302</v>
      </c>
      <c r="N4411" t="s">
        <v>1520</v>
      </c>
      <c r="O4411" t="s">
        <v>1521</v>
      </c>
      <c r="P4411">
        <v>-20.16263</v>
      </c>
      <c r="Q4411">
        <v>-44.910342999999997</v>
      </c>
      <c r="R4411" s="2" t="str">
        <f>HYPERLINK("https://www.google.com/maps?q=-20.1626300,-44.9103430","Abrir no Google Maps")</f>
        <v>Abrir no Google Maps</v>
      </c>
      <c r="S4411">
        <v>2</v>
      </c>
      <c r="T4411">
        <v>492.63980270666781</v>
      </c>
      <c r="U4411">
        <v>3</v>
      </c>
      <c r="V4411">
        <v>0.30307232877303059</v>
      </c>
      <c r="W4411">
        <v>1</v>
      </c>
      <c r="X4411">
        <v>0.30307232877303059</v>
      </c>
      <c r="Y4411">
        <v>639</v>
      </c>
      <c r="Z4411">
        <v>412.49960371731271</v>
      </c>
      <c r="AA4411">
        <v>198</v>
      </c>
      <c r="AB4411">
        <v>332</v>
      </c>
      <c r="AC4411">
        <v>536</v>
      </c>
      <c r="AD4411">
        <v>29.32</v>
      </c>
      <c r="AE4411">
        <v>542</v>
      </c>
      <c r="AF4411">
        <v>27</v>
      </c>
      <c r="AG4411">
        <v>173</v>
      </c>
      <c r="AH4411">
        <v>129</v>
      </c>
      <c r="AI4411">
        <v>4.9800000000000004</v>
      </c>
      <c r="AJ4411">
        <v>31.92</v>
      </c>
      <c r="AK4411">
        <v>23.8</v>
      </c>
      <c r="AL4411">
        <v>-20.162579949999952</v>
      </c>
      <c r="AM4411">
        <v>-44.910101148008863</v>
      </c>
      <c r="AN4411">
        <v>-20.162579949999952</v>
      </c>
      <c r="AO4411">
        <v>-44.910101148008863</v>
      </c>
      <c r="AP4411">
        <v>-20.16263</v>
      </c>
      <c r="AQ4411">
        <v>-44.910342999999997</v>
      </c>
      <c r="AR4411">
        <v>25.879932474893501</v>
      </c>
      <c r="AS4411" t="s">
        <v>65</v>
      </c>
      <c r="AT4411">
        <v>1</v>
      </c>
      <c r="AU4411" t="s">
        <v>1522</v>
      </c>
      <c r="AV4411" t="s">
        <v>1523</v>
      </c>
      <c r="AW4411" t="s">
        <v>60</v>
      </c>
      <c r="AX4411" t="s">
        <v>68</v>
      </c>
      <c r="AY4411" t="s">
        <v>69</v>
      </c>
      <c r="AZ4411" t="b">
        <v>1</v>
      </c>
    </row>
    <row r="4412" spans="1:52" x14ac:dyDescent="0.3">
      <c r="A4412" t="s">
        <v>52</v>
      </c>
      <c r="B4412" t="s">
        <v>53</v>
      </c>
      <c r="C4412" t="s">
        <v>54</v>
      </c>
      <c r="D4412" t="s">
        <v>55</v>
      </c>
      <c r="E4412" t="s">
        <v>2222</v>
      </c>
      <c r="F4412" t="s">
        <v>1247</v>
      </c>
      <c r="G4412" t="s">
        <v>1554</v>
      </c>
      <c r="H4412" t="s">
        <v>1555</v>
      </c>
      <c r="I4412" t="s">
        <v>1555</v>
      </c>
      <c r="J4412" t="s">
        <v>60</v>
      </c>
      <c r="K4412" t="s">
        <v>1466</v>
      </c>
      <c r="L4412" t="s">
        <v>62</v>
      </c>
      <c r="M4412" t="s">
        <v>1466</v>
      </c>
      <c r="N4412" t="s">
        <v>1556</v>
      </c>
      <c r="O4412" t="s">
        <v>989</v>
      </c>
      <c r="P4412">
        <v>-20.160997999999999</v>
      </c>
      <c r="Q4412">
        <v>-44.878385999999999</v>
      </c>
      <c r="R4412" s="2" t="str">
        <f>HYPERLINK("https://www.google.com/maps?q=-20.1609980,-44.8783860","Abrir no Google Maps")</f>
        <v>Abrir no Google Maps</v>
      </c>
      <c r="S4412">
        <v>2</v>
      </c>
      <c r="T4412">
        <v>0</v>
      </c>
      <c r="U4412">
        <v>2</v>
      </c>
      <c r="V4412">
        <v>0.30101719051978432</v>
      </c>
      <c r="W4412">
        <v>0.85</v>
      </c>
      <c r="X4412">
        <v>0.25586461194181659</v>
      </c>
      <c r="Y4412">
        <v>671</v>
      </c>
      <c r="Z4412">
        <v>74.014802531188664</v>
      </c>
      <c r="AA4412">
        <v>198</v>
      </c>
      <c r="AB4412">
        <v>332</v>
      </c>
      <c r="AC4412">
        <v>536</v>
      </c>
      <c r="AD4412">
        <v>29.32</v>
      </c>
      <c r="AE4412">
        <v>542</v>
      </c>
      <c r="AF4412">
        <v>27</v>
      </c>
      <c r="AG4412">
        <v>173</v>
      </c>
      <c r="AH4412">
        <v>129</v>
      </c>
      <c r="AI4412">
        <v>4.9800000000000004</v>
      </c>
      <c r="AJ4412">
        <v>31.92</v>
      </c>
      <c r="AK4412">
        <v>23.8</v>
      </c>
      <c r="AL4412">
        <v>-20.160758199999979</v>
      </c>
      <c r="AM4412">
        <v>-44.878032519747983</v>
      </c>
      <c r="AN4412">
        <v>-20.160758199999979</v>
      </c>
      <c r="AO4412">
        <v>-44.878032519747983</v>
      </c>
      <c r="AP4412">
        <v>-20.160997999999999</v>
      </c>
      <c r="AQ4412">
        <v>-44.878385999999999</v>
      </c>
      <c r="AR4412">
        <v>45.574638830261883</v>
      </c>
      <c r="AS4412" t="s">
        <v>65</v>
      </c>
      <c r="AT4412">
        <v>1</v>
      </c>
      <c r="AU4412" t="s">
        <v>1557</v>
      </c>
      <c r="AV4412" t="s">
        <v>1558</v>
      </c>
      <c r="AW4412" t="s">
        <v>60</v>
      </c>
      <c r="AX4412" t="s">
        <v>68</v>
      </c>
      <c r="AY4412" t="s">
        <v>69</v>
      </c>
      <c r="AZ4412" t="b">
        <v>1</v>
      </c>
    </row>
    <row r="4413" spans="1:52" x14ac:dyDescent="0.3">
      <c r="A4413" t="s">
        <v>52</v>
      </c>
      <c r="B4413" t="s">
        <v>53</v>
      </c>
      <c r="C4413" t="s">
        <v>54</v>
      </c>
      <c r="D4413" t="s">
        <v>55</v>
      </c>
      <c r="E4413" t="s">
        <v>2222</v>
      </c>
      <c r="F4413" t="s">
        <v>1247</v>
      </c>
      <c r="G4413" t="s">
        <v>1529</v>
      </c>
      <c r="H4413" t="s">
        <v>1530</v>
      </c>
      <c r="I4413" t="s">
        <v>1530</v>
      </c>
      <c r="J4413" t="s">
        <v>60</v>
      </c>
      <c r="K4413" t="s">
        <v>1466</v>
      </c>
      <c r="L4413" t="s">
        <v>62</v>
      </c>
      <c r="M4413" t="s">
        <v>1466</v>
      </c>
      <c r="N4413" t="s">
        <v>1531</v>
      </c>
      <c r="O4413" t="s">
        <v>145</v>
      </c>
      <c r="P4413">
        <v>-20.162952000000001</v>
      </c>
      <c r="Q4413">
        <v>-44.877612999999997</v>
      </c>
      <c r="R4413" s="2" t="str">
        <f>HYPERLINK("https://www.google.com/maps?q=-20.1629520,-44.8776130","Abrir no Google Maps")</f>
        <v>Abrir no Google Maps</v>
      </c>
      <c r="S4413">
        <v>2</v>
      </c>
      <c r="T4413">
        <v>229.91388913695721</v>
      </c>
      <c r="U4413">
        <v>2</v>
      </c>
      <c r="V4413">
        <v>0.3088288129104455</v>
      </c>
      <c r="W4413">
        <v>0.85</v>
      </c>
      <c r="X4413">
        <v>0.26250449097387868</v>
      </c>
      <c r="Y4413">
        <v>671</v>
      </c>
      <c r="Z4413">
        <v>157.6775523644973</v>
      </c>
      <c r="AA4413">
        <v>198</v>
      </c>
      <c r="AB4413">
        <v>332</v>
      </c>
      <c r="AC4413">
        <v>536</v>
      </c>
      <c r="AD4413">
        <v>29.32</v>
      </c>
      <c r="AE4413">
        <v>542</v>
      </c>
      <c r="AF4413">
        <v>27</v>
      </c>
      <c r="AG4413">
        <v>173</v>
      </c>
      <c r="AH4413">
        <v>129</v>
      </c>
      <c r="AI4413">
        <v>4.9800000000000004</v>
      </c>
      <c r="AJ4413">
        <v>31.92</v>
      </c>
      <c r="AK4413">
        <v>23.8</v>
      </c>
      <c r="AL4413">
        <v>-20.16278829999996</v>
      </c>
      <c r="AM4413">
        <v>-44.877564655204168</v>
      </c>
      <c r="AN4413">
        <v>-20.16278829999996</v>
      </c>
      <c r="AO4413">
        <v>-44.877564655204168</v>
      </c>
      <c r="AP4413">
        <v>-20.162952000000001</v>
      </c>
      <c r="AQ4413">
        <v>-44.877612999999997</v>
      </c>
      <c r="AR4413">
        <v>18.91038935762678</v>
      </c>
      <c r="AS4413" t="s">
        <v>65</v>
      </c>
      <c r="AT4413">
        <v>1</v>
      </c>
      <c r="AU4413" t="s">
        <v>1532</v>
      </c>
      <c r="AV4413" t="s">
        <v>1533</v>
      </c>
      <c r="AW4413" t="s">
        <v>60</v>
      </c>
      <c r="AX4413" t="s">
        <v>68</v>
      </c>
      <c r="AY4413" t="s">
        <v>69</v>
      </c>
      <c r="AZ4413" t="b">
        <v>1</v>
      </c>
    </row>
    <row r="4414" spans="1:52" x14ac:dyDescent="0.3">
      <c r="A4414" t="s">
        <v>52</v>
      </c>
      <c r="B4414" t="s">
        <v>53</v>
      </c>
      <c r="C4414" t="s">
        <v>54</v>
      </c>
      <c r="D4414" t="s">
        <v>55</v>
      </c>
      <c r="E4414" t="s">
        <v>2222</v>
      </c>
      <c r="F4414" t="s">
        <v>1247</v>
      </c>
      <c r="G4414" t="s">
        <v>1512</v>
      </c>
      <c r="H4414" t="s">
        <v>1513</v>
      </c>
      <c r="I4414" t="s">
        <v>1513</v>
      </c>
      <c r="J4414" t="s">
        <v>60</v>
      </c>
      <c r="K4414" t="s">
        <v>1302</v>
      </c>
      <c r="L4414" t="s">
        <v>62</v>
      </c>
      <c r="M4414" t="s">
        <v>1302</v>
      </c>
      <c r="N4414" t="s">
        <v>1514</v>
      </c>
      <c r="O4414" t="s">
        <v>1515</v>
      </c>
      <c r="P4414">
        <v>-20.163709000000001</v>
      </c>
      <c r="Q4414">
        <v>-44.916074999999999</v>
      </c>
      <c r="R4414" s="2" t="str">
        <f>HYPERLINK("https://www.google.com/maps?q=-20.1637090,-44.9160750","Abrir no Google Maps")</f>
        <v>Abrir no Google Maps</v>
      </c>
      <c r="S4414">
        <v>2</v>
      </c>
      <c r="T4414">
        <v>305.09593452131332</v>
      </c>
      <c r="U4414">
        <v>2</v>
      </c>
      <c r="V4414">
        <v>0.2878991254830181</v>
      </c>
      <c r="W4414">
        <v>1</v>
      </c>
      <c r="X4414">
        <v>0.2878991254830181</v>
      </c>
      <c r="Y4414">
        <v>639</v>
      </c>
      <c r="Z4414">
        <v>289.37841230131949</v>
      </c>
      <c r="AA4414">
        <v>198</v>
      </c>
      <c r="AB4414">
        <v>332</v>
      </c>
      <c r="AC4414">
        <v>536</v>
      </c>
      <c r="AD4414">
        <v>29.32</v>
      </c>
      <c r="AE4414">
        <v>542</v>
      </c>
      <c r="AF4414">
        <v>27</v>
      </c>
      <c r="AG4414">
        <v>173</v>
      </c>
      <c r="AH4414">
        <v>129</v>
      </c>
      <c r="AI4414">
        <v>4.9800000000000004</v>
      </c>
      <c r="AJ4414">
        <v>31.92</v>
      </c>
      <c r="AK4414">
        <v>23.8</v>
      </c>
      <c r="AL4414">
        <v>-20.163666449999969</v>
      </c>
      <c r="AM4414">
        <v>-44.916102906827042</v>
      </c>
      <c r="AN4414">
        <v>-20.163666449999969</v>
      </c>
      <c r="AO4414">
        <v>-44.916102906827042</v>
      </c>
      <c r="AP4414">
        <v>-20.163709000000001</v>
      </c>
      <c r="AQ4414">
        <v>-44.916074999999999</v>
      </c>
      <c r="AR4414">
        <v>5.5623892025550603</v>
      </c>
      <c r="AS4414" t="s">
        <v>65</v>
      </c>
      <c r="AT4414">
        <v>1</v>
      </c>
      <c r="AU4414" t="s">
        <v>1516</v>
      </c>
      <c r="AV4414" t="s">
        <v>1517</v>
      </c>
      <c r="AW4414" t="s">
        <v>60</v>
      </c>
      <c r="AX4414" t="s">
        <v>68</v>
      </c>
      <c r="AY4414" t="s">
        <v>69</v>
      </c>
      <c r="AZ4414" t="b">
        <v>1</v>
      </c>
    </row>
    <row r="4415" spans="1:52" x14ac:dyDescent="0.3">
      <c r="A4415" t="s">
        <v>52</v>
      </c>
      <c r="B4415" t="s">
        <v>53</v>
      </c>
      <c r="C4415" t="s">
        <v>54</v>
      </c>
      <c r="D4415" t="s">
        <v>55</v>
      </c>
      <c r="E4415" t="s">
        <v>2222</v>
      </c>
      <c r="F4415" t="s">
        <v>1247</v>
      </c>
      <c r="G4415" t="s">
        <v>1524</v>
      </c>
      <c r="H4415" t="s">
        <v>1525</v>
      </c>
      <c r="I4415" t="s">
        <v>1525</v>
      </c>
      <c r="J4415" t="s">
        <v>60</v>
      </c>
      <c r="K4415" t="s">
        <v>1302</v>
      </c>
      <c r="L4415" t="s">
        <v>62</v>
      </c>
      <c r="M4415" t="s">
        <v>1302</v>
      </c>
      <c r="N4415" t="s">
        <v>1526</v>
      </c>
      <c r="O4415" t="s">
        <v>303</v>
      </c>
      <c r="P4415">
        <v>-20.159873000000001</v>
      </c>
      <c r="Q4415">
        <v>-44.911431999999998</v>
      </c>
      <c r="R4415" s="2" t="str">
        <f>HYPERLINK("https://www.google.com/maps?q=-20.1598730,-44.9114320","Abrir no Google Maps")</f>
        <v>Abrir no Google Maps</v>
      </c>
      <c r="S4415">
        <v>2</v>
      </c>
      <c r="T4415">
        <v>359.34785817593553</v>
      </c>
      <c r="U4415">
        <v>2</v>
      </c>
      <c r="V4415">
        <v>0.2797380383777443</v>
      </c>
      <c r="W4415">
        <v>1</v>
      </c>
      <c r="X4415">
        <v>0.2797380383777443</v>
      </c>
      <c r="Y4415">
        <v>639</v>
      </c>
      <c r="Z4415">
        <v>388.13505700247691</v>
      </c>
      <c r="AA4415">
        <v>198</v>
      </c>
      <c r="AB4415">
        <v>332</v>
      </c>
      <c r="AC4415">
        <v>536</v>
      </c>
      <c r="AD4415">
        <v>29.32</v>
      </c>
      <c r="AE4415">
        <v>542</v>
      </c>
      <c r="AF4415">
        <v>27</v>
      </c>
      <c r="AG4415">
        <v>173</v>
      </c>
      <c r="AH4415">
        <v>129</v>
      </c>
      <c r="AI4415">
        <v>4.9800000000000004</v>
      </c>
      <c r="AJ4415">
        <v>31.92</v>
      </c>
      <c r="AK4415">
        <v>23.8</v>
      </c>
      <c r="AL4415">
        <v>-20.159583599999969</v>
      </c>
      <c r="AM4415">
        <v>-44.911691929105316</v>
      </c>
      <c r="AN4415">
        <v>-20.159583599999969</v>
      </c>
      <c r="AO4415">
        <v>-44.911691929105316</v>
      </c>
      <c r="AP4415">
        <v>-20.159873000000001</v>
      </c>
      <c r="AQ4415">
        <v>-44.911431999999998</v>
      </c>
      <c r="AR4415">
        <v>42.138811218570019</v>
      </c>
      <c r="AS4415" t="s">
        <v>65</v>
      </c>
      <c r="AT4415">
        <v>1</v>
      </c>
      <c r="AU4415" t="s">
        <v>1527</v>
      </c>
      <c r="AV4415" t="s">
        <v>1528</v>
      </c>
      <c r="AW4415" t="s">
        <v>60</v>
      </c>
      <c r="AX4415" t="s">
        <v>68</v>
      </c>
      <c r="AY4415" t="s">
        <v>69</v>
      </c>
      <c r="AZ4415" t="b">
        <v>1</v>
      </c>
    </row>
    <row r="4416" spans="1:52" x14ac:dyDescent="0.3">
      <c r="A4416" t="s">
        <v>52</v>
      </c>
      <c r="B4416" t="s">
        <v>53</v>
      </c>
      <c r="C4416" t="s">
        <v>54</v>
      </c>
      <c r="D4416" t="s">
        <v>55</v>
      </c>
      <c r="E4416" t="s">
        <v>2222</v>
      </c>
      <c r="F4416" t="s">
        <v>1247</v>
      </c>
      <c r="G4416" t="s">
        <v>1541</v>
      </c>
      <c r="H4416" t="s">
        <v>1542</v>
      </c>
      <c r="I4416" t="s">
        <v>1542</v>
      </c>
      <c r="J4416" t="s">
        <v>60</v>
      </c>
      <c r="K4416" t="s">
        <v>1302</v>
      </c>
      <c r="L4416" t="s">
        <v>62</v>
      </c>
      <c r="M4416" t="s">
        <v>1302</v>
      </c>
      <c r="N4416" t="s">
        <v>1543</v>
      </c>
      <c r="O4416" t="s">
        <v>1544</v>
      </c>
      <c r="P4416">
        <v>-20.166267999999999</v>
      </c>
      <c r="Q4416">
        <v>-44.916902</v>
      </c>
      <c r="R4416" s="2" t="str">
        <f>HYPERLINK("https://www.google.com/maps?q=-20.1662680,-44.9169020","Abrir no Google Maps")</f>
        <v>Abrir no Google Maps</v>
      </c>
      <c r="S4416">
        <v>2</v>
      </c>
      <c r="T4416">
        <v>580.14556008922216</v>
      </c>
      <c r="U4416">
        <v>2</v>
      </c>
      <c r="V4416">
        <v>0.30314166094266187</v>
      </c>
      <c r="W4416">
        <v>0.85</v>
      </c>
      <c r="X4416">
        <v>0.2576704118012626</v>
      </c>
      <c r="Y4416">
        <v>639</v>
      </c>
      <c r="Z4416">
        <v>590.87477783185614</v>
      </c>
      <c r="AA4416">
        <v>198</v>
      </c>
      <c r="AB4416">
        <v>332</v>
      </c>
      <c r="AC4416">
        <v>536</v>
      </c>
      <c r="AD4416">
        <v>29.32</v>
      </c>
      <c r="AE4416">
        <v>542</v>
      </c>
      <c r="AF4416">
        <v>27</v>
      </c>
      <c r="AG4416">
        <v>173</v>
      </c>
      <c r="AH4416">
        <v>129</v>
      </c>
      <c r="AI4416">
        <v>4.9800000000000004</v>
      </c>
      <c r="AJ4416">
        <v>31.92</v>
      </c>
      <c r="AK4416">
        <v>23.8</v>
      </c>
      <c r="AL4416">
        <v>-20.165891749999961</v>
      </c>
      <c r="AM4416">
        <v>-44.917283075074913</v>
      </c>
      <c r="AN4416">
        <v>-20.165891749999961</v>
      </c>
      <c r="AO4416">
        <v>-44.917283075074913</v>
      </c>
      <c r="AP4416">
        <v>-20.166267999999999</v>
      </c>
      <c r="AQ4416">
        <v>-44.916902</v>
      </c>
      <c r="AR4416">
        <v>57.792534087281872</v>
      </c>
      <c r="AS4416" t="s">
        <v>65</v>
      </c>
      <c r="AT4416">
        <v>1</v>
      </c>
      <c r="AU4416" t="s">
        <v>1545</v>
      </c>
      <c r="AV4416" t="s">
        <v>1546</v>
      </c>
      <c r="AW4416" t="s">
        <v>60</v>
      </c>
      <c r="AX4416" t="s">
        <v>68</v>
      </c>
      <c r="AY4416" t="s">
        <v>69</v>
      </c>
      <c r="AZ4416" t="b">
        <v>1</v>
      </c>
    </row>
    <row r="4417" spans="1:52" x14ac:dyDescent="0.3">
      <c r="A4417" t="s">
        <v>52</v>
      </c>
      <c r="B4417" t="s">
        <v>53</v>
      </c>
      <c r="C4417" t="s">
        <v>54</v>
      </c>
      <c r="D4417" t="s">
        <v>55</v>
      </c>
      <c r="E4417" t="s">
        <v>2222</v>
      </c>
      <c r="F4417" t="s">
        <v>1247</v>
      </c>
      <c r="G4417" t="s">
        <v>1547</v>
      </c>
      <c r="H4417" t="s">
        <v>1548</v>
      </c>
      <c r="I4417" t="s">
        <v>1548</v>
      </c>
      <c r="J4417" t="s">
        <v>60</v>
      </c>
      <c r="K4417" t="s">
        <v>1549</v>
      </c>
      <c r="L4417" t="s">
        <v>62</v>
      </c>
      <c r="M4417" t="s">
        <v>1549</v>
      </c>
      <c r="N4417" t="s">
        <v>1550</v>
      </c>
      <c r="O4417" t="s">
        <v>1551</v>
      </c>
      <c r="P4417">
        <v>-20.173258000000001</v>
      </c>
      <c r="Q4417">
        <v>-44.930354000000001</v>
      </c>
      <c r="R4417" s="2" t="str">
        <f>HYPERLINK("https://www.google.com/maps?q=-20.1732580,-44.9303540","Abrir no Google Maps")</f>
        <v>Abrir no Google Maps</v>
      </c>
      <c r="S4417">
        <v>2</v>
      </c>
      <c r="T4417">
        <v>2023.802197028052</v>
      </c>
      <c r="U4417">
        <v>1</v>
      </c>
      <c r="V4417">
        <v>0.2731537598204265</v>
      </c>
      <c r="W4417">
        <v>0.85</v>
      </c>
      <c r="X4417">
        <v>0.23218069584736251</v>
      </c>
      <c r="Y4417">
        <v>723</v>
      </c>
      <c r="Z4417">
        <v>1727.7445576555911</v>
      </c>
      <c r="AA4417">
        <v>198</v>
      </c>
      <c r="AB4417">
        <v>332</v>
      </c>
      <c r="AC4417">
        <v>536</v>
      </c>
      <c r="AD4417">
        <v>29.32</v>
      </c>
      <c r="AE4417">
        <v>542</v>
      </c>
      <c r="AF4417">
        <v>27</v>
      </c>
      <c r="AG4417">
        <v>173</v>
      </c>
      <c r="AH4417">
        <v>129</v>
      </c>
      <c r="AI4417">
        <v>4.9800000000000004</v>
      </c>
      <c r="AJ4417">
        <v>31.92</v>
      </c>
      <c r="AK4417">
        <v>23.8</v>
      </c>
      <c r="AL4417">
        <v>-20.172996449999939</v>
      </c>
      <c r="AM4417">
        <v>-44.930058436825973</v>
      </c>
      <c r="AN4417">
        <v>-20.172996449999939</v>
      </c>
      <c r="AO4417">
        <v>-44.930058436825973</v>
      </c>
      <c r="AP4417">
        <v>-20.173258000000001</v>
      </c>
      <c r="AQ4417">
        <v>-44.930354000000001</v>
      </c>
      <c r="AR4417">
        <v>42.444455141884362</v>
      </c>
      <c r="AS4417" t="s">
        <v>65</v>
      </c>
      <c r="AT4417">
        <v>1</v>
      </c>
      <c r="AU4417" t="s">
        <v>1552</v>
      </c>
      <c r="AV4417" t="s">
        <v>1553</v>
      </c>
      <c r="AW4417" t="s">
        <v>60</v>
      </c>
      <c r="AX4417" t="s">
        <v>68</v>
      </c>
      <c r="AY4417" t="s">
        <v>69</v>
      </c>
      <c r="AZ4417" t="b">
        <v>1</v>
      </c>
    </row>
    <row r="4418" spans="1:52" x14ac:dyDescent="0.3">
      <c r="A4418" t="s">
        <v>52</v>
      </c>
      <c r="B4418" t="s">
        <v>53</v>
      </c>
      <c r="C4418" t="s">
        <v>54</v>
      </c>
      <c r="D4418" t="s">
        <v>55</v>
      </c>
      <c r="E4418" t="s">
        <v>2222</v>
      </c>
      <c r="F4418" t="s">
        <v>1247</v>
      </c>
      <c r="G4418" t="s">
        <v>1534</v>
      </c>
      <c r="H4418" t="s">
        <v>1535</v>
      </c>
      <c r="I4418" t="s">
        <v>1535</v>
      </c>
      <c r="J4418" t="s">
        <v>60</v>
      </c>
      <c r="K4418" t="s">
        <v>1536</v>
      </c>
      <c r="L4418" t="s">
        <v>62</v>
      </c>
      <c r="M4418" t="s">
        <v>1536</v>
      </c>
      <c r="N4418" t="s">
        <v>1537</v>
      </c>
      <c r="O4418" t="s">
        <v>1538</v>
      </c>
      <c r="P4418">
        <v>-20.164618999999998</v>
      </c>
      <c r="Q4418">
        <v>-44.921776999999999</v>
      </c>
      <c r="R4418" s="2" t="str">
        <f>HYPERLINK("https://www.google.com/maps?q=-20.1646190,-44.9217770","Abrir no Google Maps")</f>
        <v>Abrir no Google Maps</v>
      </c>
      <c r="S4418">
        <v>2</v>
      </c>
      <c r="T4418">
        <v>835.70698013544222</v>
      </c>
      <c r="U4418">
        <v>1</v>
      </c>
      <c r="V4418">
        <v>0.29301685586515308</v>
      </c>
      <c r="W4418">
        <v>0.85</v>
      </c>
      <c r="X4418">
        <v>0.2490643274853801</v>
      </c>
      <c r="Y4418">
        <v>639</v>
      </c>
      <c r="Z4418">
        <v>821.59880323911125</v>
      </c>
      <c r="AA4418">
        <v>198</v>
      </c>
      <c r="AB4418">
        <v>332</v>
      </c>
      <c r="AC4418">
        <v>536</v>
      </c>
      <c r="AD4418">
        <v>29.32</v>
      </c>
      <c r="AE4418">
        <v>542</v>
      </c>
      <c r="AF4418">
        <v>27</v>
      </c>
      <c r="AG4418">
        <v>173</v>
      </c>
      <c r="AH4418">
        <v>129</v>
      </c>
      <c r="AI4418">
        <v>4.9800000000000004</v>
      </c>
      <c r="AJ4418">
        <v>31.92</v>
      </c>
      <c r="AK4418">
        <v>23.8</v>
      </c>
      <c r="AL4418">
        <v>-20.164312499999969</v>
      </c>
      <c r="AM4418">
        <v>-44.921945691824099</v>
      </c>
      <c r="AN4418">
        <v>-20.164312499999969</v>
      </c>
      <c r="AO4418">
        <v>-44.921945691824099</v>
      </c>
      <c r="AP4418">
        <v>-20.164618999999998</v>
      </c>
      <c r="AQ4418">
        <v>-44.921776999999999</v>
      </c>
      <c r="AR4418">
        <v>38.404224975746608</v>
      </c>
      <c r="AS4418" t="s">
        <v>65</v>
      </c>
      <c r="AT4418">
        <v>1</v>
      </c>
      <c r="AU4418" t="s">
        <v>1539</v>
      </c>
      <c r="AV4418" t="s">
        <v>1540</v>
      </c>
      <c r="AW4418" t="s">
        <v>60</v>
      </c>
      <c r="AX4418" t="s">
        <v>68</v>
      </c>
      <c r="AY4418" t="s">
        <v>69</v>
      </c>
      <c r="AZ4418" t="b">
        <v>1</v>
      </c>
    </row>
    <row r="4419" spans="1:52" x14ac:dyDescent="0.3">
      <c r="A4419" t="s">
        <v>52</v>
      </c>
      <c r="B4419" t="s">
        <v>53</v>
      </c>
      <c r="C4419" t="s">
        <v>54</v>
      </c>
      <c r="D4419" t="s">
        <v>55</v>
      </c>
      <c r="E4419" t="s">
        <v>2222</v>
      </c>
      <c r="F4419" t="s">
        <v>1247</v>
      </c>
      <c r="G4419" t="s">
        <v>1559</v>
      </c>
      <c r="H4419" t="s">
        <v>1560</v>
      </c>
      <c r="I4419" t="s">
        <v>1560</v>
      </c>
      <c r="J4419" t="s">
        <v>60</v>
      </c>
      <c r="K4419" t="s">
        <v>61</v>
      </c>
      <c r="L4419" t="s">
        <v>62</v>
      </c>
      <c r="M4419" t="s">
        <v>61</v>
      </c>
      <c r="N4419" t="s">
        <v>1561</v>
      </c>
      <c r="O4419" t="s">
        <v>1562</v>
      </c>
      <c r="P4419">
        <v>-20.154959000000002</v>
      </c>
      <c r="Q4419">
        <v>-44.91525</v>
      </c>
      <c r="R4419" s="2" t="str">
        <f>HYPERLINK("https://www.google.com/maps?q=-20.1549590,-44.9152500","Abrir no Google Maps")</f>
        <v>Abrir no Google Maps</v>
      </c>
      <c r="S4419">
        <v>2</v>
      </c>
      <c r="T4419">
        <v>738.36411213380245</v>
      </c>
      <c r="U4419">
        <v>1</v>
      </c>
      <c r="V4419">
        <v>0</v>
      </c>
      <c r="W4419">
        <v>0.85</v>
      </c>
      <c r="X4419">
        <v>0</v>
      </c>
      <c r="Y4419">
        <v>639</v>
      </c>
      <c r="Z4419">
        <v>860.82840850294542</v>
      </c>
      <c r="AA4419">
        <v>198</v>
      </c>
      <c r="AB4419">
        <v>332</v>
      </c>
      <c r="AC4419">
        <v>536</v>
      </c>
      <c r="AD4419">
        <v>29.32</v>
      </c>
      <c r="AE4419">
        <v>542</v>
      </c>
      <c r="AF4419">
        <v>27</v>
      </c>
      <c r="AG4419">
        <v>173</v>
      </c>
      <c r="AH4419">
        <v>129</v>
      </c>
      <c r="AI4419">
        <v>4.9800000000000004</v>
      </c>
      <c r="AJ4419">
        <v>31.92</v>
      </c>
      <c r="AK4419">
        <v>23.8</v>
      </c>
      <c r="AL4419">
        <v>-20.154629849999939</v>
      </c>
      <c r="AM4419">
        <v>-44.914951620624052</v>
      </c>
      <c r="AN4419">
        <v>-20.154629849999939</v>
      </c>
      <c r="AO4419">
        <v>-44.914951620624052</v>
      </c>
      <c r="AP4419">
        <v>-20.154959000000002</v>
      </c>
      <c r="AQ4419">
        <v>-44.91525</v>
      </c>
      <c r="AR4419">
        <v>48.11297170616912</v>
      </c>
      <c r="AS4419" t="s">
        <v>65</v>
      </c>
      <c r="AT4419">
        <v>1</v>
      </c>
      <c r="AU4419" t="s">
        <v>1563</v>
      </c>
      <c r="AV4419" t="s">
        <v>1564</v>
      </c>
      <c r="AW4419" t="s">
        <v>60</v>
      </c>
      <c r="AX4419" t="s">
        <v>68</v>
      </c>
      <c r="AY4419" t="s">
        <v>69</v>
      </c>
      <c r="AZ4419" t="b">
        <v>1</v>
      </c>
    </row>
    <row r="4420" spans="1:52" x14ac:dyDescent="0.3">
      <c r="A4420" t="s">
        <v>52</v>
      </c>
      <c r="B4420" t="s">
        <v>53</v>
      </c>
      <c r="C4420" t="s">
        <v>54</v>
      </c>
      <c r="D4420" t="s">
        <v>55</v>
      </c>
      <c r="E4420" t="s">
        <v>2222</v>
      </c>
      <c r="F4420" t="s">
        <v>1247</v>
      </c>
      <c r="G4420" t="s">
        <v>631</v>
      </c>
      <c r="H4420" t="s">
        <v>1565</v>
      </c>
      <c r="I4420" t="s">
        <v>1565</v>
      </c>
      <c r="J4420" t="s">
        <v>60</v>
      </c>
      <c r="K4420" t="s">
        <v>530</v>
      </c>
      <c r="L4420" t="s">
        <v>62</v>
      </c>
      <c r="M4420" t="s">
        <v>530</v>
      </c>
      <c r="N4420" t="s">
        <v>633</v>
      </c>
      <c r="O4420" t="s">
        <v>1566</v>
      </c>
      <c r="P4420">
        <v>-20.143915</v>
      </c>
      <c r="Q4420">
        <v>-44.8947</v>
      </c>
      <c r="R4420" s="2" t="str">
        <f>HYPERLINK("https://www.google.com/maps?q=-20.1439150,-44.8947000","Abrir no Google Maps")</f>
        <v>Abrir no Google Maps</v>
      </c>
      <c r="S4420">
        <v>1</v>
      </c>
      <c r="T4420">
        <v>327.74435325417051</v>
      </c>
      <c r="U4420">
        <v>4</v>
      </c>
      <c r="V4420">
        <v>0.37182700421940917</v>
      </c>
      <c r="W4420">
        <v>1</v>
      </c>
      <c r="X4420">
        <v>0.37182700421940917</v>
      </c>
      <c r="Y4420">
        <v>602</v>
      </c>
      <c r="Z4420">
        <v>236.41345279429891</v>
      </c>
      <c r="AA4420">
        <v>198</v>
      </c>
      <c r="AB4420">
        <v>332</v>
      </c>
      <c r="AC4420">
        <v>536</v>
      </c>
      <c r="AD4420">
        <v>29.32</v>
      </c>
      <c r="AE4420">
        <v>542</v>
      </c>
      <c r="AF4420">
        <v>27</v>
      </c>
      <c r="AG4420">
        <v>173</v>
      </c>
      <c r="AH4420">
        <v>129</v>
      </c>
      <c r="AI4420">
        <v>4.9800000000000004</v>
      </c>
      <c r="AJ4420">
        <v>31.92</v>
      </c>
      <c r="AK4420">
        <v>23.8</v>
      </c>
      <c r="AL4420">
        <v>-20.143900549999959</v>
      </c>
      <c r="AM4420">
        <v>-44.894835636584318</v>
      </c>
      <c r="AN4420">
        <v>-20.143900549999959</v>
      </c>
      <c r="AO4420">
        <v>-44.894835636584318</v>
      </c>
      <c r="AP4420">
        <v>-20.143915</v>
      </c>
      <c r="AQ4420">
        <v>-44.8947</v>
      </c>
      <c r="AR4420">
        <v>14.266440053785869</v>
      </c>
      <c r="AS4420" t="s">
        <v>65</v>
      </c>
      <c r="AT4420">
        <v>1</v>
      </c>
      <c r="AU4420" t="s">
        <v>1567</v>
      </c>
      <c r="AV4420" t="s">
        <v>1568</v>
      </c>
      <c r="AW4420" t="s">
        <v>60</v>
      </c>
      <c r="AX4420" t="s">
        <v>68</v>
      </c>
      <c r="AY4420" t="s">
        <v>69</v>
      </c>
      <c r="AZ4420" t="b">
        <v>1</v>
      </c>
    </row>
    <row r="4421" spans="1:52" x14ac:dyDescent="0.3">
      <c r="A4421" t="s">
        <v>52</v>
      </c>
      <c r="B4421" t="s">
        <v>53</v>
      </c>
      <c r="C4421" t="s">
        <v>54</v>
      </c>
      <c r="D4421" t="s">
        <v>55</v>
      </c>
      <c r="E4421" t="s">
        <v>2222</v>
      </c>
      <c r="F4421" t="s">
        <v>1247</v>
      </c>
      <c r="G4421" t="s">
        <v>1569</v>
      </c>
      <c r="H4421" t="s">
        <v>1570</v>
      </c>
      <c r="I4421" t="s">
        <v>1570</v>
      </c>
      <c r="J4421" t="s">
        <v>60</v>
      </c>
      <c r="K4421" t="s">
        <v>530</v>
      </c>
      <c r="L4421" t="s">
        <v>62</v>
      </c>
      <c r="M4421" t="s">
        <v>530</v>
      </c>
      <c r="N4421" t="s">
        <v>1571</v>
      </c>
      <c r="O4421" t="s">
        <v>598</v>
      </c>
      <c r="P4421">
        <v>-20.146418000000001</v>
      </c>
      <c r="Q4421">
        <v>-44.893861999999999</v>
      </c>
      <c r="R4421" s="2" t="str">
        <f>HYPERLINK("https://www.google.com/maps?q=-20.1464180,-44.8938620","Abrir no Google Maps")</f>
        <v>Abrir no Google Maps</v>
      </c>
      <c r="S4421">
        <v>1</v>
      </c>
      <c r="T4421">
        <v>0</v>
      </c>
      <c r="U4421">
        <v>4</v>
      </c>
      <c r="V4421">
        <v>0.38828840366267531</v>
      </c>
      <c r="W4421">
        <v>0.85</v>
      </c>
      <c r="X4421">
        <v>0.33004514311327399</v>
      </c>
      <c r="Y4421">
        <v>602</v>
      </c>
      <c r="Z4421">
        <v>124.5475134899211</v>
      </c>
      <c r="AA4421">
        <v>198</v>
      </c>
      <c r="AB4421">
        <v>332</v>
      </c>
      <c r="AC4421">
        <v>536</v>
      </c>
      <c r="AD4421">
        <v>29.32</v>
      </c>
      <c r="AE4421">
        <v>542</v>
      </c>
      <c r="AF4421">
        <v>27</v>
      </c>
      <c r="AG4421">
        <v>173</v>
      </c>
      <c r="AH4421">
        <v>129</v>
      </c>
      <c r="AI4421">
        <v>4.9800000000000004</v>
      </c>
      <c r="AJ4421">
        <v>31.92</v>
      </c>
      <c r="AK4421">
        <v>23.8</v>
      </c>
      <c r="AL4421">
        <v>-20.146753399999941</v>
      </c>
      <c r="AM4421">
        <v>-44.893993355901941</v>
      </c>
      <c r="AN4421">
        <v>-20.146753399999941</v>
      </c>
      <c r="AO4421">
        <v>-44.893993355901941</v>
      </c>
      <c r="AP4421">
        <v>-20.146418000000001</v>
      </c>
      <c r="AQ4421">
        <v>-44.893861999999999</v>
      </c>
      <c r="AR4421">
        <v>39.780457157851913</v>
      </c>
      <c r="AS4421" t="s">
        <v>65</v>
      </c>
      <c r="AT4421">
        <v>1</v>
      </c>
      <c r="AU4421" t="s">
        <v>1572</v>
      </c>
      <c r="AV4421" t="s">
        <v>1573</v>
      </c>
      <c r="AW4421" t="s">
        <v>60</v>
      </c>
      <c r="AX4421" t="s">
        <v>68</v>
      </c>
      <c r="AY4421" t="s">
        <v>69</v>
      </c>
      <c r="AZ4421" t="b">
        <v>1</v>
      </c>
    </row>
    <row r="4422" spans="1:52" x14ac:dyDescent="0.3">
      <c r="A4422" t="s">
        <v>52</v>
      </c>
      <c r="B4422" t="s">
        <v>53</v>
      </c>
      <c r="C4422" t="s">
        <v>54</v>
      </c>
      <c r="D4422" t="s">
        <v>55</v>
      </c>
      <c r="E4422" t="s">
        <v>2222</v>
      </c>
      <c r="F4422" t="s">
        <v>1247</v>
      </c>
      <c r="G4422" t="s">
        <v>1569</v>
      </c>
      <c r="H4422" t="s">
        <v>1574</v>
      </c>
      <c r="I4422" t="s">
        <v>1574</v>
      </c>
      <c r="J4422" t="s">
        <v>60</v>
      </c>
      <c r="K4422" t="s">
        <v>530</v>
      </c>
      <c r="L4422" t="s">
        <v>62</v>
      </c>
      <c r="M4422" t="s">
        <v>530</v>
      </c>
      <c r="N4422" t="s">
        <v>1571</v>
      </c>
      <c r="O4422" t="s">
        <v>1575</v>
      </c>
      <c r="P4422">
        <v>-20.14554</v>
      </c>
      <c r="Q4422">
        <v>-44.895606000000001</v>
      </c>
      <c r="R4422" s="2" t="str">
        <f>HYPERLINK("https://www.google.com/maps?q=-20.1455400,-44.8956060","Abrir no Google Maps")</f>
        <v>Abrir no Google Maps</v>
      </c>
      <c r="S4422">
        <v>1</v>
      </c>
      <c r="T4422">
        <v>218.66647838959381</v>
      </c>
      <c r="U4422">
        <v>4</v>
      </c>
      <c r="V4422">
        <v>0.36278632478632478</v>
      </c>
      <c r="W4422">
        <v>1</v>
      </c>
      <c r="X4422">
        <v>0.36278632478632478</v>
      </c>
      <c r="Y4422">
        <v>602</v>
      </c>
      <c r="Z4422">
        <v>263.6501043391637</v>
      </c>
      <c r="AA4422">
        <v>198</v>
      </c>
      <c r="AB4422">
        <v>332</v>
      </c>
      <c r="AC4422">
        <v>536</v>
      </c>
      <c r="AD4422">
        <v>29.32</v>
      </c>
      <c r="AE4422">
        <v>542</v>
      </c>
      <c r="AF4422">
        <v>27</v>
      </c>
      <c r="AG4422">
        <v>173</v>
      </c>
      <c r="AH4422">
        <v>129</v>
      </c>
      <c r="AI4422">
        <v>4.9800000000000004</v>
      </c>
      <c r="AJ4422">
        <v>31.92</v>
      </c>
      <c r="AK4422">
        <v>23.8</v>
      </c>
      <c r="AL4422">
        <v>-20.145504749999962</v>
      </c>
      <c r="AM4422">
        <v>-44.89561499588882</v>
      </c>
      <c r="AN4422">
        <v>-20.145504749999962</v>
      </c>
      <c r="AO4422">
        <v>-44.89561499588882</v>
      </c>
      <c r="AP4422">
        <v>-20.14554</v>
      </c>
      <c r="AQ4422">
        <v>-44.895606000000001</v>
      </c>
      <c r="AR4422">
        <v>4.0350843151508604</v>
      </c>
      <c r="AS4422" t="s">
        <v>65</v>
      </c>
      <c r="AT4422">
        <v>1</v>
      </c>
      <c r="AU4422" t="s">
        <v>1576</v>
      </c>
      <c r="AV4422" t="s">
        <v>1577</v>
      </c>
      <c r="AW4422" t="s">
        <v>60</v>
      </c>
      <c r="AX4422" t="s">
        <v>68</v>
      </c>
      <c r="AY4422" t="s">
        <v>69</v>
      </c>
      <c r="AZ4422" t="b">
        <v>1</v>
      </c>
    </row>
    <row r="4423" spans="1:52" x14ac:dyDescent="0.3">
      <c r="A4423" t="s">
        <v>52</v>
      </c>
      <c r="B4423" t="s">
        <v>53</v>
      </c>
      <c r="C4423" t="s">
        <v>54</v>
      </c>
      <c r="D4423" t="s">
        <v>55</v>
      </c>
      <c r="E4423" t="s">
        <v>2222</v>
      </c>
      <c r="F4423" t="s">
        <v>1247</v>
      </c>
      <c r="G4423" t="s">
        <v>1578</v>
      </c>
      <c r="H4423" t="s">
        <v>1579</v>
      </c>
      <c r="I4423" t="s">
        <v>1579</v>
      </c>
      <c r="J4423" t="s">
        <v>60</v>
      </c>
      <c r="K4423" t="s">
        <v>530</v>
      </c>
      <c r="L4423" t="s">
        <v>62</v>
      </c>
      <c r="M4423" t="s">
        <v>530</v>
      </c>
      <c r="N4423" t="s">
        <v>1580</v>
      </c>
      <c r="O4423" t="s">
        <v>1581</v>
      </c>
      <c r="P4423">
        <v>-20.143713999999999</v>
      </c>
      <c r="Q4423">
        <v>-44.897387999999999</v>
      </c>
      <c r="R4423" s="2" t="str">
        <f>HYPERLINK("https://www.google.com/maps?q=-20.1437140,-44.8973880","Abrir no Google Maps")</f>
        <v>Abrir no Google Maps</v>
      </c>
      <c r="S4423">
        <v>1</v>
      </c>
      <c r="T4423">
        <v>354.74438118735611</v>
      </c>
      <c r="U4423">
        <v>4</v>
      </c>
      <c r="V4423">
        <v>0.393938716448684</v>
      </c>
      <c r="W4423">
        <v>1</v>
      </c>
      <c r="X4423">
        <v>0.393938716448684</v>
      </c>
      <c r="Y4423">
        <v>588</v>
      </c>
      <c r="Z4423">
        <v>336.29881064197872</v>
      </c>
      <c r="AA4423">
        <v>198</v>
      </c>
      <c r="AB4423">
        <v>332</v>
      </c>
      <c r="AC4423">
        <v>536</v>
      </c>
      <c r="AD4423">
        <v>29.32</v>
      </c>
      <c r="AE4423">
        <v>542</v>
      </c>
      <c r="AF4423">
        <v>27</v>
      </c>
      <c r="AG4423">
        <v>173</v>
      </c>
      <c r="AH4423">
        <v>129</v>
      </c>
      <c r="AI4423">
        <v>4.9800000000000004</v>
      </c>
      <c r="AJ4423">
        <v>31.92</v>
      </c>
      <c r="AK4423">
        <v>23.8</v>
      </c>
      <c r="AL4423">
        <v>-20.14371329999997</v>
      </c>
      <c r="AM4423">
        <v>-44.897384604125257</v>
      </c>
      <c r="AN4423">
        <v>-20.14371329999997</v>
      </c>
      <c r="AO4423">
        <v>-44.897384604125257</v>
      </c>
      <c r="AP4423">
        <v>-20.143713999999999</v>
      </c>
      <c r="AQ4423">
        <v>-44.897387999999999</v>
      </c>
      <c r="AR4423">
        <v>0.36335934693921551</v>
      </c>
      <c r="AS4423" t="s">
        <v>65</v>
      </c>
      <c r="AT4423">
        <v>1</v>
      </c>
      <c r="AU4423" t="s">
        <v>1582</v>
      </c>
      <c r="AV4423" t="s">
        <v>1583</v>
      </c>
      <c r="AW4423" t="s">
        <v>60</v>
      </c>
      <c r="AX4423" t="s">
        <v>68</v>
      </c>
      <c r="AY4423" t="s">
        <v>69</v>
      </c>
      <c r="AZ4423" t="b">
        <v>1</v>
      </c>
    </row>
    <row r="4424" spans="1:52" x14ac:dyDescent="0.3">
      <c r="A4424" t="s">
        <v>52</v>
      </c>
      <c r="B4424" t="s">
        <v>53</v>
      </c>
      <c r="C4424" t="s">
        <v>54</v>
      </c>
      <c r="D4424" t="s">
        <v>55</v>
      </c>
      <c r="E4424" t="s">
        <v>2222</v>
      </c>
      <c r="F4424" t="s">
        <v>1247</v>
      </c>
      <c r="G4424" t="s">
        <v>1584</v>
      </c>
      <c r="H4424" t="s">
        <v>1585</v>
      </c>
      <c r="I4424" t="s">
        <v>1585</v>
      </c>
      <c r="J4424" t="s">
        <v>60</v>
      </c>
      <c r="K4424" t="s">
        <v>530</v>
      </c>
      <c r="L4424" t="s">
        <v>62</v>
      </c>
      <c r="M4424" t="s">
        <v>530</v>
      </c>
      <c r="N4424" t="s">
        <v>406</v>
      </c>
      <c r="O4424" t="s">
        <v>1586</v>
      </c>
      <c r="P4424">
        <v>-20.141316</v>
      </c>
      <c r="Q4424">
        <v>-44.896424000000003</v>
      </c>
      <c r="R4424" s="2" t="str">
        <f>HYPERLINK("https://www.google.com/maps?q=-20.1413160,-44.8964240","Abrir no Google Maps")</f>
        <v>Abrir no Google Maps</v>
      </c>
      <c r="S4424">
        <v>1</v>
      </c>
      <c r="T4424">
        <v>236.6687095166524</v>
      </c>
      <c r="U4424">
        <v>4</v>
      </c>
      <c r="V4424">
        <v>0.35415733867483601</v>
      </c>
      <c r="W4424">
        <v>1</v>
      </c>
      <c r="X4424">
        <v>0.35415733867483601</v>
      </c>
      <c r="Y4424">
        <v>588</v>
      </c>
      <c r="Z4424">
        <v>255.50729797374251</v>
      </c>
      <c r="AA4424">
        <v>198</v>
      </c>
      <c r="AB4424">
        <v>332</v>
      </c>
      <c r="AC4424">
        <v>536</v>
      </c>
      <c r="AD4424">
        <v>29.32</v>
      </c>
      <c r="AE4424">
        <v>542</v>
      </c>
      <c r="AF4424">
        <v>27</v>
      </c>
      <c r="AG4424">
        <v>173</v>
      </c>
      <c r="AH4424">
        <v>129</v>
      </c>
      <c r="AI4424">
        <v>4.9800000000000004</v>
      </c>
      <c r="AJ4424">
        <v>31.92</v>
      </c>
      <c r="AK4424">
        <v>23.8</v>
      </c>
      <c r="AL4424">
        <v>-20.141468299999961</v>
      </c>
      <c r="AM4424">
        <v>-44.896566678331098</v>
      </c>
      <c r="AN4424">
        <v>-20.141468299999961</v>
      </c>
      <c r="AO4424">
        <v>-44.896566678331098</v>
      </c>
      <c r="AP4424">
        <v>-20.141316</v>
      </c>
      <c r="AQ4424">
        <v>-44.896424000000003</v>
      </c>
      <c r="AR4424">
        <v>22.578666373759301</v>
      </c>
      <c r="AS4424" t="s">
        <v>65</v>
      </c>
      <c r="AT4424">
        <v>1</v>
      </c>
      <c r="AU4424" t="s">
        <v>1587</v>
      </c>
      <c r="AV4424" t="s">
        <v>1588</v>
      </c>
      <c r="AW4424" t="s">
        <v>60</v>
      </c>
      <c r="AX4424" t="s">
        <v>68</v>
      </c>
      <c r="AY4424" t="s">
        <v>69</v>
      </c>
      <c r="AZ4424" t="b">
        <v>1</v>
      </c>
    </row>
    <row r="4425" spans="1:52" x14ac:dyDescent="0.3">
      <c r="A4425" t="s">
        <v>52</v>
      </c>
      <c r="B4425" t="s">
        <v>53</v>
      </c>
      <c r="C4425" t="s">
        <v>54</v>
      </c>
      <c r="D4425" t="s">
        <v>55</v>
      </c>
      <c r="E4425" t="s">
        <v>2222</v>
      </c>
      <c r="F4425" t="s">
        <v>1247</v>
      </c>
      <c r="G4425" t="s">
        <v>1589</v>
      </c>
      <c r="H4425" t="s">
        <v>1590</v>
      </c>
      <c r="I4425" t="s">
        <v>1590</v>
      </c>
      <c r="J4425" t="s">
        <v>60</v>
      </c>
      <c r="K4425" t="s">
        <v>1591</v>
      </c>
      <c r="L4425" t="s">
        <v>62</v>
      </c>
      <c r="M4425" t="s">
        <v>1591</v>
      </c>
      <c r="N4425" t="s">
        <v>1592</v>
      </c>
      <c r="O4425" t="s">
        <v>659</v>
      </c>
      <c r="P4425">
        <v>-20.140789000000002</v>
      </c>
      <c r="Q4425">
        <v>-44.898631000000002</v>
      </c>
      <c r="R4425" s="2" t="str">
        <f>HYPERLINK("https://www.google.com/maps?q=-20.1407890,-44.8986310","Abrir no Google Maps")</f>
        <v>Abrir no Google Maps</v>
      </c>
      <c r="S4425">
        <v>1</v>
      </c>
      <c r="T4425">
        <v>0</v>
      </c>
      <c r="U4425">
        <v>4</v>
      </c>
      <c r="V4425">
        <v>0.33295730247335709</v>
      </c>
      <c r="W4425">
        <v>1</v>
      </c>
      <c r="X4425">
        <v>0.33295730247335709</v>
      </c>
      <c r="Y4425">
        <v>588</v>
      </c>
      <c r="Z4425">
        <v>51.152636251897107</v>
      </c>
      <c r="AA4425">
        <v>198</v>
      </c>
      <c r="AB4425">
        <v>332</v>
      </c>
      <c r="AC4425">
        <v>536</v>
      </c>
      <c r="AD4425">
        <v>29.32</v>
      </c>
      <c r="AE4425">
        <v>542</v>
      </c>
      <c r="AF4425">
        <v>27</v>
      </c>
      <c r="AG4425">
        <v>173</v>
      </c>
      <c r="AH4425">
        <v>129</v>
      </c>
      <c r="AI4425">
        <v>4.9800000000000004</v>
      </c>
      <c r="AJ4425">
        <v>31.92</v>
      </c>
      <c r="AK4425">
        <v>23.8</v>
      </c>
      <c r="AL4425">
        <v>-20.140759399999951</v>
      </c>
      <c r="AM4425">
        <v>-44.898703172474903</v>
      </c>
      <c r="AN4425">
        <v>-20.140759399999951</v>
      </c>
      <c r="AO4425">
        <v>-44.898703172474903</v>
      </c>
      <c r="AP4425">
        <v>-20.140789000000002</v>
      </c>
      <c r="AQ4425">
        <v>-44.898631000000002</v>
      </c>
      <c r="AR4425">
        <v>8.2312502179962053</v>
      </c>
      <c r="AS4425" t="s">
        <v>65</v>
      </c>
      <c r="AT4425">
        <v>1</v>
      </c>
      <c r="AU4425" t="s">
        <v>1593</v>
      </c>
      <c r="AV4425" t="s">
        <v>1594</v>
      </c>
      <c r="AW4425" t="s">
        <v>60</v>
      </c>
      <c r="AX4425" t="s">
        <v>68</v>
      </c>
      <c r="AY4425" t="s">
        <v>69</v>
      </c>
      <c r="AZ4425" t="b">
        <v>1</v>
      </c>
    </row>
    <row r="4426" spans="1:52" x14ac:dyDescent="0.3">
      <c r="A4426" t="s">
        <v>52</v>
      </c>
      <c r="B4426" t="s">
        <v>53</v>
      </c>
      <c r="C4426" t="s">
        <v>54</v>
      </c>
      <c r="D4426" t="s">
        <v>55</v>
      </c>
      <c r="E4426" t="s">
        <v>2222</v>
      </c>
      <c r="F4426" t="s">
        <v>1247</v>
      </c>
      <c r="G4426" t="s">
        <v>1595</v>
      </c>
      <c r="H4426" t="s">
        <v>1596</v>
      </c>
      <c r="I4426" t="s">
        <v>1596</v>
      </c>
      <c r="J4426" t="s">
        <v>60</v>
      </c>
      <c r="K4426" t="s">
        <v>530</v>
      </c>
      <c r="L4426" t="s">
        <v>62</v>
      </c>
      <c r="M4426" t="s">
        <v>530</v>
      </c>
      <c r="N4426" t="s">
        <v>1006</v>
      </c>
      <c r="O4426" t="s">
        <v>1597</v>
      </c>
      <c r="P4426">
        <v>-20.139135</v>
      </c>
      <c r="Q4426">
        <v>-44.895907000000001</v>
      </c>
      <c r="R4426" s="2" t="str">
        <f>HYPERLINK("https://www.google.com/maps?q=-20.1391350,-44.8959070","Abrir no Google Maps")</f>
        <v>Abrir no Google Maps</v>
      </c>
      <c r="S4426">
        <v>1</v>
      </c>
      <c r="T4426">
        <v>324.98342996447241</v>
      </c>
      <c r="U4426">
        <v>4</v>
      </c>
      <c r="V4426">
        <v>0.3407564688879649</v>
      </c>
      <c r="W4426">
        <v>1</v>
      </c>
      <c r="X4426">
        <v>0.3407564688879649</v>
      </c>
      <c r="Y4426">
        <v>588</v>
      </c>
      <c r="Z4426">
        <v>411.69998599301618</v>
      </c>
      <c r="AA4426">
        <v>198</v>
      </c>
      <c r="AB4426">
        <v>332</v>
      </c>
      <c r="AC4426">
        <v>536</v>
      </c>
      <c r="AD4426">
        <v>29.32</v>
      </c>
      <c r="AE4426">
        <v>542</v>
      </c>
      <c r="AF4426">
        <v>27</v>
      </c>
      <c r="AG4426">
        <v>173</v>
      </c>
      <c r="AH4426">
        <v>129</v>
      </c>
      <c r="AI4426">
        <v>4.9800000000000004</v>
      </c>
      <c r="AJ4426">
        <v>31.92</v>
      </c>
      <c r="AK4426">
        <v>23.8</v>
      </c>
      <c r="AL4426">
        <v>-20.139299649999941</v>
      </c>
      <c r="AM4426">
        <v>-44.896005009217312</v>
      </c>
      <c r="AN4426">
        <v>-20.139299649999941</v>
      </c>
      <c r="AO4426">
        <v>-44.896005009217312</v>
      </c>
      <c r="AP4426">
        <v>-20.139135</v>
      </c>
      <c r="AQ4426">
        <v>-44.895907000000001</v>
      </c>
      <c r="AR4426">
        <v>20.996943428875841</v>
      </c>
      <c r="AS4426" t="s">
        <v>65</v>
      </c>
      <c r="AT4426">
        <v>1</v>
      </c>
      <c r="AU4426" t="s">
        <v>1598</v>
      </c>
      <c r="AV4426" t="s">
        <v>1599</v>
      </c>
      <c r="AW4426" t="s">
        <v>60</v>
      </c>
      <c r="AX4426" t="s">
        <v>68</v>
      </c>
      <c r="AY4426" t="s">
        <v>69</v>
      </c>
      <c r="AZ4426" t="b">
        <v>1</v>
      </c>
    </row>
    <row r="4427" spans="1:52" x14ac:dyDescent="0.3">
      <c r="A4427" t="s">
        <v>52</v>
      </c>
      <c r="B4427" t="s">
        <v>53</v>
      </c>
      <c r="C4427" t="s">
        <v>54</v>
      </c>
      <c r="D4427" t="s">
        <v>55</v>
      </c>
      <c r="E4427" t="s">
        <v>2222</v>
      </c>
      <c r="F4427" t="s">
        <v>1247</v>
      </c>
      <c r="G4427" t="s">
        <v>1342</v>
      </c>
      <c r="H4427" t="s">
        <v>1600</v>
      </c>
      <c r="I4427" t="s">
        <v>1600</v>
      </c>
      <c r="J4427" t="s">
        <v>60</v>
      </c>
      <c r="K4427" t="s">
        <v>462</v>
      </c>
      <c r="L4427" t="s">
        <v>62</v>
      </c>
      <c r="M4427" t="s">
        <v>462</v>
      </c>
      <c r="N4427" t="s">
        <v>921</v>
      </c>
      <c r="O4427" t="s">
        <v>1601</v>
      </c>
      <c r="P4427">
        <v>-20.140741999999999</v>
      </c>
      <c r="Q4427">
        <v>-44.902729000000001</v>
      </c>
      <c r="R4427" s="2" t="str">
        <f>HYPERLINK("https://www.google.com/maps?q=-20.1407420,-44.9027290","Abrir no Google Maps")</f>
        <v>Abrir no Google Maps</v>
      </c>
      <c r="S4427">
        <v>1</v>
      </c>
      <c r="T4427">
        <v>373.97936588503438</v>
      </c>
      <c r="U4427">
        <v>4</v>
      </c>
      <c r="V4427">
        <v>0.34337186201914388</v>
      </c>
      <c r="W4427">
        <v>1</v>
      </c>
      <c r="X4427">
        <v>0.34337186201914388</v>
      </c>
      <c r="Y4427">
        <v>588</v>
      </c>
      <c r="Z4427">
        <v>427.55758539734131</v>
      </c>
      <c r="AA4427">
        <v>198</v>
      </c>
      <c r="AB4427">
        <v>332</v>
      </c>
      <c r="AC4427">
        <v>536</v>
      </c>
      <c r="AD4427">
        <v>29.32</v>
      </c>
      <c r="AE4427">
        <v>542</v>
      </c>
      <c r="AF4427">
        <v>27</v>
      </c>
      <c r="AG4427">
        <v>173</v>
      </c>
      <c r="AH4427">
        <v>129</v>
      </c>
      <c r="AI4427">
        <v>4.9800000000000004</v>
      </c>
      <c r="AJ4427">
        <v>31.92</v>
      </c>
      <c r="AK4427">
        <v>23.8</v>
      </c>
      <c r="AL4427">
        <v>-20.140729549999971</v>
      </c>
      <c r="AM4427">
        <v>-44.902779454814521</v>
      </c>
      <c r="AN4427">
        <v>-20.140729549999971</v>
      </c>
      <c r="AO4427">
        <v>-44.902779454814521</v>
      </c>
      <c r="AP4427">
        <v>-20.140741999999999</v>
      </c>
      <c r="AQ4427">
        <v>-44.902729000000001</v>
      </c>
      <c r="AR4427">
        <v>5.4522610212697993</v>
      </c>
      <c r="AS4427" t="s">
        <v>65</v>
      </c>
      <c r="AT4427">
        <v>1</v>
      </c>
      <c r="AU4427" t="s">
        <v>1602</v>
      </c>
      <c r="AV4427" t="s">
        <v>1603</v>
      </c>
      <c r="AW4427" t="s">
        <v>60</v>
      </c>
      <c r="AX4427" t="s">
        <v>68</v>
      </c>
      <c r="AY4427" t="s">
        <v>69</v>
      </c>
      <c r="AZ4427" t="b">
        <v>1</v>
      </c>
    </row>
    <row r="4428" spans="1:52" x14ac:dyDescent="0.3">
      <c r="A4428" t="s">
        <v>52</v>
      </c>
      <c r="B4428" t="s">
        <v>53</v>
      </c>
      <c r="C4428" t="s">
        <v>54</v>
      </c>
      <c r="D4428" t="s">
        <v>55</v>
      </c>
      <c r="E4428" t="s">
        <v>2222</v>
      </c>
      <c r="F4428" t="s">
        <v>1247</v>
      </c>
      <c r="G4428" t="s">
        <v>1584</v>
      </c>
      <c r="H4428" t="s">
        <v>1604</v>
      </c>
      <c r="I4428" t="s">
        <v>1604</v>
      </c>
      <c r="J4428" t="s">
        <v>60</v>
      </c>
      <c r="K4428" t="s">
        <v>530</v>
      </c>
      <c r="L4428" t="s">
        <v>62</v>
      </c>
      <c r="M4428" t="s">
        <v>530</v>
      </c>
      <c r="N4428" t="s">
        <v>406</v>
      </c>
      <c r="O4428" t="s">
        <v>1267</v>
      </c>
      <c r="P4428">
        <v>-20.147068000000001</v>
      </c>
      <c r="Q4428">
        <v>-44.898629999999997</v>
      </c>
      <c r="R4428" s="2" t="str">
        <f>HYPERLINK("https://www.google.com/maps?q=-20.1470680,-44.8986300","Abrir no Google Maps")</f>
        <v>Abrir no Google Maps</v>
      </c>
      <c r="S4428">
        <v>1</v>
      </c>
      <c r="T4428">
        <v>468.5580266389448</v>
      </c>
      <c r="U4428">
        <v>4</v>
      </c>
      <c r="V4428">
        <v>0.35001112927613648</v>
      </c>
      <c r="W4428">
        <v>1</v>
      </c>
      <c r="X4428">
        <v>0.35001112927613648</v>
      </c>
      <c r="Y4428">
        <v>556</v>
      </c>
      <c r="Z4428">
        <v>447.77738134922419</v>
      </c>
      <c r="AA4428">
        <v>198</v>
      </c>
      <c r="AB4428">
        <v>332</v>
      </c>
      <c r="AC4428">
        <v>536</v>
      </c>
      <c r="AD4428">
        <v>29.32</v>
      </c>
      <c r="AE4428">
        <v>542</v>
      </c>
      <c r="AF4428">
        <v>27</v>
      </c>
      <c r="AG4428">
        <v>173</v>
      </c>
      <c r="AH4428">
        <v>129</v>
      </c>
      <c r="AI4428">
        <v>4.9800000000000004</v>
      </c>
      <c r="AJ4428">
        <v>31.92</v>
      </c>
      <c r="AK4428">
        <v>23.8</v>
      </c>
      <c r="AL4428">
        <v>-20.14701759999997</v>
      </c>
      <c r="AM4428">
        <v>-44.898633710342303</v>
      </c>
      <c r="AN4428">
        <v>-20.14701759999997</v>
      </c>
      <c r="AO4428">
        <v>-44.898633710342303</v>
      </c>
      <c r="AP4428">
        <v>-20.147068000000001</v>
      </c>
      <c r="AQ4428">
        <v>-44.898629999999997</v>
      </c>
      <c r="AR4428">
        <v>5.6239118246064832</v>
      </c>
      <c r="AS4428" t="s">
        <v>65</v>
      </c>
      <c r="AT4428">
        <v>1</v>
      </c>
      <c r="AU4428" t="s">
        <v>1605</v>
      </c>
      <c r="AV4428" t="s">
        <v>1606</v>
      </c>
      <c r="AW4428" t="s">
        <v>60</v>
      </c>
      <c r="AX4428" t="s">
        <v>68</v>
      </c>
      <c r="AY4428" t="s">
        <v>69</v>
      </c>
      <c r="AZ4428" t="b">
        <v>1</v>
      </c>
    </row>
    <row r="4429" spans="1:52" x14ac:dyDescent="0.3">
      <c r="A4429" t="s">
        <v>52</v>
      </c>
      <c r="B4429" t="s">
        <v>53</v>
      </c>
      <c r="C4429" t="s">
        <v>54</v>
      </c>
      <c r="D4429" t="s">
        <v>55</v>
      </c>
      <c r="E4429" t="s">
        <v>2222</v>
      </c>
      <c r="F4429" t="s">
        <v>1247</v>
      </c>
      <c r="G4429" t="s">
        <v>1607</v>
      </c>
      <c r="H4429" t="s">
        <v>1608</v>
      </c>
      <c r="I4429" t="s">
        <v>1608</v>
      </c>
      <c r="J4429" t="s">
        <v>60</v>
      </c>
      <c r="K4429" t="s">
        <v>1486</v>
      </c>
      <c r="L4429" t="s">
        <v>62</v>
      </c>
      <c r="M4429" t="s">
        <v>1486</v>
      </c>
      <c r="N4429" t="s">
        <v>1609</v>
      </c>
      <c r="O4429" t="s">
        <v>1255</v>
      </c>
      <c r="P4429">
        <v>-20.157689000000001</v>
      </c>
      <c r="Q4429">
        <v>-44.883887000000001</v>
      </c>
      <c r="R4429" s="2" t="str">
        <f>HYPERLINK("https://www.google.com/maps?q=-20.1576890,-44.8838870","Abrir no Google Maps")</f>
        <v>Abrir no Google Maps</v>
      </c>
      <c r="S4429">
        <v>1</v>
      </c>
      <c r="T4429">
        <v>603.38424821205774</v>
      </c>
      <c r="U4429">
        <v>3</v>
      </c>
      <c r="V4429">
        <v>0.3113465568838471</v>
      </c>
      <c r="W4429">
        <v>1</v>
      </c>
      <c r="X4429">
        <v>0.3113465568838471</v>
      </c>
      <c r="Y4429">
        <v>671</v>
      </c>
      <c r="Z4429">
        <v>682.48636898467089</v>
      </c>
      <c r="AA4429">
        <v>198</v>
      </c>
      <c r="AB4429">
        <v>332</v>
      </c>
      <c r="AC4429">
        <v>536</v>
      </c>
      <c r="AD4429">
        <v>29.32</v>
      </c>
      <c r="AE4429">
        <v>542</v>
      </c>
      <c r="AF4429">
        <v>27</v>
      </c>
      <c r="AG4429">
        <v>173</v>
      </c>
      <c r="AH4429">
        <v>129</v>
      </c>
      <c r="AI4429">
        <v>4.9800000000000004</v>
      </c>
      <c r="AJ4429">
        <v>31.92</v>
      </c>
      <c r="AK4429">
        <v>23.8</v>
      </c>
      <c r="AL4429">
        <v>-20.157732249999949</v>
      </c>
      <c r="AM4429">
        <v>-44.883829923283272</v>
      </c>
      <c r="AN4429">
        <v>-20.157732249999949</v>
      </c>
      <c r="AO4429">
        <v>-44.883829923283272</v>
      </c>
      <c r="AP4429">
        <v>-20.157689000000001</v>
      </c>
      <c r="AQ4429">
        <v>-44.883887000000001</v>
      </c>
      <c r="AR4429">
        <v>7.6652901074925257</v>
      </c>
      <c r="AS4429" t="s">
        <v>65</v>
      </c>
      <c r="AT4429">
        <v>1</v>
      </c>
      <c r="AU4429" t="s">
        <v>1610</v>
      </c>
      <c r="AV4429" t="s">
        <v>1611</v>
      </c>
      <c r="AW4429" t="s">
        <v>60</v>
      </c>
      <c r="AX4429" t="s">
        <v>68</v>
      </c>
      <c r="AY4429" t="s">
        <v>69</v>
      </c>
      <c r="AZ4429" t="b">
        <v>1</v>
      </c>
    </row>
    <row r="4430" spans="1:52" x14ac:dyDescent="0.3">
      <c r="A4430" t="s">
        <v>52</v>
      </c>
      <c r="B4430" t="s">
        <v>53</v>
      </c>
      <c r="C4430" t="s">
        <v>54</v>
      </c>
      <c r="D4430" t="s">
        <v>55</v>
      </c>
      <c r="E4430" t="s">
        <v>2222</v>
      </c>
      <c r="F4430" t="s">
        <v>1247</v>
      </c>
      <c r="G4430" t="s">
        <v>1612</v>
      </c>
      <c r="H4430" t="s">
        <v>1613</v>
      </c>
      <c r="I4430" t="s">
        <v>1613</v>
      </c>
      <c r="J4430" t="s">
        <v>60</v>
      </c>
      <c r="K4430" t="s">
        <v>1349</v>
      </c>
      <c r="L4430" t="s">
        <v>62</v>
      </c>
      <c r="M4430" t="s">
        <v>1349</v>
      </c>
      <c r="N4430" t="s">
        <v>1614</v>
      </c>
      <c r="O4430" t="s">
        <v>710</v>
      </c>
      <c r="P4430">
        <v>-20.141335999999999</v>
      </c>
      <c r="Q4430">
        <v>-44.901133000000002</v>
      </c>
      <c r="R4430" s="2" t="str">
        <f>HYPERLINK("https://www.google.com/maps?q=-20.1413360,-44.9011330","Abrir no Google Maps")</f>
        <v>Abrir no Google Maps</v>
      </c>
      <c r="S4430">
        <v>1</v>
      </c>
      <c r="T4430">
        <v>257.92927430829218</v>
      </c>
      <c r="U4430">
        <v>2</v>
      </c>
      <c r="V4430">
        <v>0.33878865281164128</v>
      </c>
      <c r="W4430">
        <v>0.85</v>
      </c>
      <c r="X4430">
        <v>0.28797035488989509</v>
      </c>
      <c r="Y4430">
        <v>588</v>
      </c>
      <c r="Z4430">
        <v>252.62617475231269</v>
      </c>
      <c r="AA4430">
        <v>198</v>
      </c>
      <c r="AB4430">
        <v>332</v>
      </c>
      <c r="AC4430">
        <v>536</v>
      </c>
      <c r="AD4430">
        <v>29.32</v>
      </c>
      <c r="AE4430">
        <v>542</v>
      </c>
      <c r="AF4430">
        <v>27</v>
      </c>
      <c r="AG4430">
        <v>173</v>
      </c>
      <c r="AH4430">
        <v>129</v>
      </c>
      <c r="AI4430">
        <v>4.9800000000000004</v>
      </c>
      <c r="AJ4430">
        <v>31.92</v>
      </c>
      <c r="AK4430">
        <v>23.8</v>
      </c>
      <c r="AL4430">
        <v>-20.141297649999959</v>
      </c>
      <c r="AM4430">
        <v>-44.901104406351408</v>
      </c>
      <c r="AN4430">
        <v>-20.141297649999959</v>
      </c>
      <c r="AO4430">
        <v>-44.901104406351408</v>
      </c>
      <c r="AP4430">
        <v>-20.141335999999999</v>
      </c>
      <c r="AQ4430">
        <v>-44.901133000000002</v>
      </c>
      <c r="AR4430">
        <v>5.211130154459668</v>
      </c>
      <c r="AS4430" t="s">
        <v>65</v>
      </c>
      <c r="AT4430">
        <v>1</v>
      </c>
      <c r="AU4430" t="s">
        <v>1615</v>
      </c>
      <c r="AV4430" t="s">
        <v>1616</v>
      </c>
      <c r="AW4430" t="s">
        <v>60</v>
      </c>
      <c r="AX4430" t="s">
        <v>68</v>
      </c>
      <c r="AY4430" t="s">
        <v>69</v>
      </c>
      <c r="AZ4430" t="b">
        <v>1</v>
      </c>
    </row>
    <row r="4431" spans="1:52" x14ac:dyDescent="0.3">
      <c r="A4431" t="s">
        <v>52</v>
      </c>
      <c r="B4431" t="s">
        <v>53</v>
      </c>
      <c r="C4431" t="s">
        <v>54</v>
      </c>
      <c r="D4431" t="s">
        <v>55</v>
      </c>
      <c r="E4431" t="s">
        <v>2223</v>
      </c>
      <c r="F4431" t="s">
        <v>57</v>
      </c>
      <c r="G4431" t="s">
        <v>58</v>
      </c>
      <c r="H4431" t="s">
        <v>59</v>
      </c>
      <c r="I4431" t="s">
        <v>59</v>
      </c>
      <c r="J4431" t="s">
        <v>60</v>
      </c>
      <c r="K4431" t="s">
        <v>61</v>
      </c>
      <c r="L4431" t="s">
        <v>62</v>
      </c>
      <c r="M4431" t="s">
        <v>61</v>
      </c>
      <c r="N4431" t="s">
        <v>63</v>
      </c>
      <c r="O4431" t="s">
        <v>64</v>
      </c>
      <c r="P4431">
        <v>-20.147940999999999</v>
      </c>
      <c r="Q4431">
        <v>-44.906514000000001</v>
      </c>
      <c r="R4431" s="2" t="str">
        <f>HYPERLINK("https://www.google.com/maps?q=-20.1479410,-44.9065140","Abrir no Google Maps")</f>
        <v>Abrir no Google Maps</v>
      </c>
      <c r="S4431">
        <v>4</v>
      </c>
      <c r="T4431">
        <v>308.67004994113421</v>
      </c>
      <c r="U4431">
        <v>4</v>
      </c>
      <c r="V4431">
        <v>0.12934533985963759</v>
      </c>
      <c r="W4431">
        <v>1</v>
      </c>
      <c r="X4431">
        <v>0.12934533985963759</v>
      </c>
      <c r="Y4431">
        <v>747</v>
      </c>
      <c r="Z4431">
        <v>274.71440454502522</v>
      </c>
      <c r="AA4431">
        <v>198</v>
      </c>
      <c r="AB4431">
        <v>332</v>
      </c>
      <c r="AC4431">
        <v>536</v>
      </c>
      <c r="AD4431">
        <v>30.35</v>
      </c>
      <c r="AE4431">
        <v>542</v>
      </c>
      <c r="AF4431">
        <v>37</v>
      </c>
      <c r="AG4431">
        <v>161</v>
      </c>
      <c r="AH4431">
        <v>129</v>
      </c>
      <c r="AI4431">
        <v>6.83</v>
      </c>
      <c r="AJ4431">
        <v>29.7</v>
      </c>
      <c r="AK4431">
        <v>23.8</v>
      </c>
      <c r="AL4431">
        <v>-20.147947799999969</v>
      </c>
      <c r="AM4431">
        <v>-44.906591596129203</v>
      </c>
      <c r="AN4431">
        <v>-20.147947799999969</v>
      </c>
      <c r="AO4431">
        <v>-44.906591596129203</v>
      </c>
      <c r="AP4431">
        <v>-20.147940999999999</v>
      </c>
      <c r="AQ4431">
        <v>-44.906514000000001</v>
      </c>
      <c r="AR4431">
        <v>8.1446636170570326</v>
      </c>
      <c r="AS4431" t="s">
        <v>65</v>
      </c>
      <c r="AT4431">
        <v>1</v>
      </c>
      <c r="AU4431" t="s">
        <v>66</v>
      </c>
      <c r="AV4431" t="s">
        <v>67</v>
      </c>
      <c r="AW4431" t="s">
        <v>60</v>
      </c>
      <c r="AX4431" t="s">
        <v>68</v>
      </c>
      <c r="AY4431" t="s">
        <v>69</v>
      </c>
      <c r="AZ4431" t="b">
        <v>1</v>
      </c>
    </row>
    <row r="4432" spans="1:52" x14ac:dyDescent="0.3">
      <c r="A4432" t="s">
        <v>52</v>
      </c>
      <c r="B4432" t="s">
        <v>53</v>
      </c>
      <c r="C4432" t="s">
        <v>54</v>
      </c>
      <c r="D4432" t="s">
        <v>55</v>
      </c>
      <c r="E4432" t="s">
        <v>2223</v>
      </c>
      <c r="F4432" t="s">
        <v>57</v>
      </c>
      <c r="G4432" t="s">
        <v>191</v>
      </c>
      <c r="H4432" t="s">
        <v>192</v>
      </c>
      <c r="I4432" t="s">
        <v>192</v>
      </c>
      <c r="J4432" t="s">
        <v>60</v>
      </c>
      <c r="K4432" t="s">
        <v>193</v>
      </c>
      <c r="L4432" t="s">
        <v>62</v>
      </c>
      <c r="M4432" t="s">
        <v>193</v>
      </c>
      <c r="N4432" t="s">
        <v>194</v>
      </c>
      <c r="O4432" t="s">
        <v>195</v>
      </c>
      <c r="P4432">
        <v>-20.143266000000001</v>
      </c>
      <c r="Q4432">
        <v>-44.912075000000002</v>
      </c>
      <c r="R4432" s="2" t="str">
        <f>HYPERLINK("https://www.google.com/maps?q=-20.1432660,-44.9120750","Abrir no Google Maps")</f>
        <v>Abrir no Google Maps</v>
      </c>
      <c r="S4432">
        <v>4</v>
      </c>
      <c r="T4432">
        <v>467.04339396175408</v>
      </c>
      <c r="U4432">
        <v>4</v>
      </c>
      <c r="V4432">
        <v>0.12684562325154289</v>
      </c>
      <c r="W4432">
        <v>1</v>
      </c>
      <c r="X4432">
        <v>0.12684562325154289</v>
      </c>
      <c r="Y4432">
        <v>747</v>
      </c>
      <c r="Z4432">
        <v>585.1742452866996</v>
      </c>
      <c r="AA4432">
        <v>198</v>
      </c>
      <c r="AB4432">
        <v>332</v>
      </c>
      <c r="AC4432">
        <v>536</v>
      </c>
      <c r="AD4432">
        <v>30.35</v>
      </c>
      <c r="AE4432">
        <v>542</v>
      </c>
      <c r="AF4432">
        <v>37</v>
      </c>
      <c r="AG4432">
        <v>161</v>
      </c>
      <c r="AH4432">
        <v>129</v>
      </c>
      <c r="AI4432">
        <v>6.83</v>
      </c>
      <c r="AJ4432">
        <v>29.7</v>
      </c>
      <c r="AK4432">
        <v>23.8</v>
      </c>
      <c r="AL4432">
        <v>-20.143307949999951</v>
      </c>
      <c r="AM4432">
        <v>-44.912066629431067</v>
      </c>
      <c r="AN4432">
        <v>-20.143307949999951</v>
      </c>
      <c r="AO4432">
        <v>-44.912066629431067</v>
      </c>
      <c r="AP4432">
        <v>-20.143266000000001</v>
      </c>
      <c r="AQ4432">
        <v>-44.912075000000002</v>
      </c>
      <c r="AR4432">
        <v>4.751108024498329</v>
      </c>
      <c r="AS4432" t="s">
        <v>65</v>
      </c>
      <c r="AT4432">
        <v>1</v>
      </c>
      <c r="AU4432" t="s">
        <v>196</v>
      </c>
      <c r="AV4432" t="s">
        <v>197</v>
      </c>
      <c r="AW4432" t="s">
        <v>60</v>
      </c>
      <c r="AX4432" t="s">
        <v>68</v>
      </c>
      <c r="AY4432" t="s">
        <v>69</v>
      </c>
      <c r="AZ4432" t="b">
        <v>1</v>
      </c>
    </row>
    <row r="4433" spans="1:52" x14ac:dyDescent="0.3">
      <c r="A4433" t="s">
        <v>52</v>
      </c>
      <c r="B4433" t="s">
        <v>53</v>
      </c>
      <c r="C4433" t="s">
        <v>54</v>
      </c>
      <c r="D4433" t="s">
        <v>55</v>
      </c>
      <c r="E4433" t="s">
        <v>2223</v>
      </c>
      <c r="F4433" t="s">
        <v>57</v>
      </c>
      <c r="G4433" t="s">
        <v>77</v>
      </c>
      <c r="H4433" t="s">
        <v>78</v>
      </c>
      <c r="I4433" t="s">
        <v>78</v>
      </c>
      <c r="J4433" t="s">
        <v>60</v>
      </c>
      <c r="K4433" t="s">
        <v>72</v>
      </c>
      <c r="L4433" t="s">
        <v>62</v>
      </c>
      <c r="M4433" t="s">
        <v>72</v>
      </c>
      <c r="N4433" t="s">
        <v>79</v>
      </c>
      <c r="O4433" t="s">
        <v>80</v>
      </c>
      <c r="P4433">
        <v>-20.147821</v>
      </c>
      <c r="Q4433">
        <v>-44.908887</v>
      </c>
      <c r="R4433" s="2" t="str">
        <f>HYPERLINK("https://www.google.com/maps?q=-20.1478210,-44.9088870","Abrir no Google Maps")</f>
        <v>Abrir no Google Maps</v>
      </c>
      <c r="S4433">
        <v>4</v>
      </c>
      <c r="T4433">
        <v>232.2893841532152</v>
      </c>
      <c r="U4433">
        <v>4</v>
      </c>
      <c r="V4433">
        <v>0.12419094805552271</v>
      </c>
      <c r="W4433">
        <v>1</v>
      </c>
      <c r="X4433">
        <v>0.12419094805552271</v>
      </c>
      <c r="Y4433">
        <v>747</v>
      </c>
      <c r="Z4433">
        <v>195.3668648953757</v>
      </c>
      <c r="AA4433">
        <v>198</v>
      </c>
      <c r="AB4433">
        <v>332</v>
      </c>
      <c r="AC4433">
        <v>536</v>
      </c>
      <c r="AD4433">
        <v>30.35</v>
      </c>
      <c r="AE4433">
        <v>542</v>
      </c>
      <c r="AF4433">
        <v>37</v>
      </c>
      <c r="AG4433">
        <v>161</v>
      </c>
      <c r="AH4433">
        <v>129</v>
      </c>
      <c r="AI4433">
        <v>6.83</v>
      </c>
      <c r="AJ4433">
        <v>29.7</v>
      </c>
      <c r="AK4433">
        <v>23.8</v>
      </c>
      <c r="AL4433">
        <v>-20.147802849999952</v>
      </c>
      <c r="AM4433">
        <v>-44.908989919229477</v>
      </c>
      <c r="AN4433">
        <v>-20.147802849999952</v>
      </c>
      <c r="AO4433">
        <v>-44.908989919229491</v>
      </c>
      <c r="AP4433">
        <v>-20.147821</v>
      </c>
      <c r="AQ4433">
        <v>-44.908887</v>
      </c>
      <c r="AR4433">
        <v>10.944007761262529</v>
      </c>
      <c r="AS4433" t="s">
        <v>65</v>
      </c>
      <c r="AT4433">
        <v>1</v>
      </c>
      <c r="AU4433" t="s">
        <v>81</v>
      </c>
      <c r="AV4433" t="s">
        <v>82</v>
      </c>
      <c r="AW4433" t="s">
        <v>60</v>
      </c>
      <c r="AX4433" t="s">
        <v>68</v>
      </c>
      <c r="AY4433" t="s">
        <v>69</v>
      </c>
      <c r="AZ4433" t="b">
        <v>1</v>
      </c>
    </row>
    <row r="4434" spans="1:52" x14ac:dyDescent="0.3">
      <c r="A4434" t="s">
        <v>52</v>
      </c>
      <c r="B4434" t="s">
        <v>53</v>
      </c>
      <c r="C4434" t="s">
        <v>54</v>
      </c>
      <c r="D4434" t="s">
        <v>55</v>
      </c>
      <c r="E4434" t="s">
        <v>2223</v>
      </c>
      <c r="F4434" t="s">
        <v>57</v>
      </c>
      <c r="G4434" t="s">
        <v>83</v>
      </c>
      <c r="H4434" t="s">
        <v>84</v>
      </c>
      <c r="I4434" t="s">
        <v>84</v>
      </c>
      <c r="J4434" t="s">
        <v>60</v>
      </c>
      <c r="K4434" t="s">
        <v>61</v>
      </c>
      <c r="L4434" t="s">
        <v>62</v>
      </c>
      <c r="M4434" t="s">
        <v>61</v>
      </c>
      <c r="N4434" t="s">
        <v>85</v>
      </c>
      <c r="O4434" t="s">
        <v>86</v>
      </c>
      <c r="P4434">
        <v>-20.149799000000002</v>
      </c>
      <c r="Q4434">
        <v>-44.906517000000001</v>
      </c>
      <c r="R4434" s="2" t="str">
        <f>HYPERLINK("https://www.google.com/maps?q=-20.1497990,-44.9065170","Abrir no Google Maps")</f>
        <v>Abrir no Google Maps</v>
      </c>
      <c r="S4434">
        <v>4</v>
      </c>
      <c r="T4434">
        <v>487.90051105537998</v>
      </c>
      <c r="U4434">
        <v>4</v>
      </c>
      <c r="V4434">
        <v>0.1219313059433723</v>
      </c>
      <c r="W4434">
        <v>1</v>
      </c>
      <c r="X4434">
        <v>0.1219313059433723</v>
      </c>
      <c r="Y4434">
        <v>747</v>
      </c>
      <c r="Z4434">
        <v>365.93785960107078</v>
      </c>
      <c r="AA4434">
        <v>198</v>
      </c>
      <c r="AB4434">
        <v>332</v>
      </c>
      <c r="AC4434">
        <v>536</v>
      </c>
      <c r="AD4434">
        <v>30.35</v>
      </c>
      <c r="AE4434">
        <v>542</v>
      </c>
      <c r="AF4434">
        <v>37</v>
      </c>
      <c r="AG4434">
        <v>161</v>
      </c>
      <c r="AH4434">
        <v>129</v>
      </c>
      <c r="AI4434">
        <v>6.83</v>
      </c>
      <c r="AJ4434">
        <v>29.7</v>
      </c>
      <c r="AK4434">
        <v>23.8</v>
      </c>
      <c r="AL4434">
        <v>-20.149879599999959</v>
      </c>
      <c r="AM4434">
        <v>-44.906746466068469</v>
      </c>
      <c r="AN4434">
        <v>-20.149879599999959</v>
      </c>
      <c r="AO4434">
        <v>-44.906746466068469</v>
      </c>
      <c r="AP4434">
        <v>-20.149799000000002</v>
      </c>
      <c r="AQ4434">
        <v>-44.906517000000001</v>
      </c>
      <c r="AR4434">
        <v>25.604276856970429</v>
      </c>
      <c r="AS4434" t="s">
        <v>65</v>
      </c>
      <c r="AT4434">
        <v>1</v>
      </c>
      <c r="AU4434" t="s">
        <v>87</v>
      </c>
      <c r="AV4434" t="s">
        <v>88</v>
      </c>
      <c r="AW4434" t="s">
        <v>60</v>
      </c>
      <c r="AX4434" t="s">
        <v>68</v>
      </c>
      <c r="AY4434" t="s">
        <v>69</v>
      </c>
      <c r="AZ4434" t="b">
        <v>1</v>
      </c>
    </row>
    <row r="4435" spans="1:52" x14ac:dyDescent="0.3">
      <c r="A4435" t="s">
        <v>52</v>
      </c>
      <c r="B4435" t="s">
        <v>53</v>
      </c>
      <c r="C4435" t="s">
        <v>54</v>
      </c>
      <c r="D4435" t="s">
        <v>55</v>
      </c>
      <c r="E4435" t="s">
        <v>2223</v>
      </c>
      <c r="F4435" t="s">
        <v>57</v>
      </c>
      <c r="G4435" t="s">
        <v>89</v>
      </c>
      <c r="H4435" t="s">
        <v>90</v>
      </c>
      <c r="I4435" t="s">
        <v>90</v>
      </c>
      <c r="J4435" t="s">
        <v>60</v>
      </c>
      <c r="K4435" t="s">
        <v>72</v>
      </c>
      <c r="L4435" t="s">
        <v>62</v>
      </c>
      <c r="M4435" t="s">
        <v>72</v>
      </c>
      <c r="N4435" t="s">
        <v>91</v>
      </c>
      <c r="O4435" t="s">
        <v>92</v>
      </c>
      <c r="P4435">
        <v>-20.145848999999998</v>
      </c>
      <c r="Q4435">
        <v>-44.908419000000002</v>
      </c>
      <c r="R4435" s="2" t="str">
        <f>HYPERLINK("https://www.google.com/maps?q=-20.1458490,-44.9084190","Abrir no Google Maps")</f>
        <v>Abrir no Google Maps</v>
      </c>
      <c r="S4435">
        <v>4</v>
      </c>
      <c r="T4435">
        <v>0</v>
      </c>
      <c r="U4435">
        <v>4</v>
      </c>
      <c r="V4435">
        <v>0.1269307282684336</v>
      </c>
      <c r="W4435">
        <v>1</v>
      </c>
      <c r="X4435">
        <v>0.1269307282684336</v>
      </c>
      <c r="Y4435">
        <v>747</v>
      </c>
      <c r="Z4435">
        <v>136.08168502765241</v>
      </c>
      <c r="AA4435">
        <v>198</v>
      </c>
      <c r="AB4435">
        <v>332</v>
      </c>
      <c r="AC4435">
        <v>536</v>
      </c>
      <c r="AD4435">
        <v>30.35</v>
      </c>
      <c r="AE4435">
        <v>542</v>
      </c>
      <c r="AF4435">
        <v>37</v>
      </c>
      <c r="AG4435">
        <v>161</v>
      </c>
      <c r="AH4435">
        <v>129</v>
      </c>
      <c r="AI4435">
        <v>6.83</v>
      </c>
      <c r="AJ4435">
        <v>29.7</v>
      </c>
      <c r="AK4435">
        <v>23.8</v>
      </c>
      <c r="AL4435">
        <v>-20.14576979999995</v>
      </c>
      <c r="AM4435">
        <v>-44.908436775053183</v>
      </c>
      <c r="AN4435">
        <v>-20.14576979999995</v>
      </c>
      <c r="AO4435">
        <v>-44.908436775053183</v>
      </c>
      <c r="AP4435">
        <v>-20.145848999999998</v>
      </c>
      <c r="AQ4435">
        <v>-44.908419000000002</v>
      </c>
      <c r="AR4435">
        <v>9.0101247482327356</v>
      </c>
      <c r="AS4435" t="s">
        <v>65</v>
      </c>
      <c r="AT4435">
        <v>1</v>
      </c>
      <c r="AU4435" t="s">
        <v>93</v>
      </c>
      <c r="AV4435" t="s">
        <v>94</v>
      </c>
      <c r="AW4435" t="s">
        <v>60</v>
      </c>
      <c r="AX4435" t="s">
        <v>68</v>
      </c>
      <c r="AY4435" t="s">
        <v>69</v>
      </c>
      <c r="AZ4435" t="b">
        <v>1</v>
      </c>
    </row>
    <row r="4436" spans="1:52" x14ac:dyDescent="0.3">
      <c r="A4436" t="s">
        <v>52</v>
      </c>
      <c r="B4436" t="s">
        <v>53</v>
      </c>
      <c r="C4436" t="s">
        <v>54</v>
      </c>
      <c r="D4436" t="s">
        <v>55</v>
      </c>
      <c r="E4436" t="s">
        <v>2223</v>
      </c>
      <c r="F4436" t="s">
        <v>57</v>
      </c>
      <c r="G4436" t="s">
        <v>100</v>
      </c>
      <c r="H4436" t="s">
        <v>101</v>
      </c>
      <c r="I4436" t="s">
        <v>101</v>
      </c>
      <c r="J4436" t="s">
        <v>60</v>
      </c>
      <c r="K4436" t="s">
        <v>61</v>
      </c>
      <c r="L4436" t="s">
        <v>62</v>
      </c>
      <c r="M4436" t="s">
        <v>61</v>
      </c>
      <c r="N4436" t="s">
        <v>102</v>
      </c>
      <c r="O4436" t="s">
        <v>103</v>
      </c>
      <c r="P4436">
        <v>-20.151098999999999</v>
      </c>
      <c r="Q4436">
        <v>-44.909699000000003</v>
      </c>
      <c r="R4436" s="2" t="str">
        <f>HYPERLINK("https://www.google.com/maps?q=-20.1510990,-44.9096990","Abrir no Google Maps")</f>
        <v>Abrir no Google Maps</v>
      </c>
      <c r="S4436">
        <v>4</v>
      </c>
      <c r="T4436">
        <v>628.5023128813533</v>
      </c>
      <c r="U4436">
        <v>4</v>
      </c>
      <c r="V4436">
        <v>0.13776537698412691</v>
      </c>
      <c r="W4436">
        <v>1</v>
      </c>
      <c r="X4436">
        <v>0.13776537698412691</v>
      </c>
      <c r="Y4436">
        <v>747</v>
      </c>
      <c r="Z4436">
        <v>563.16456625265948</v>
      </c>
      <c r="AA4436">
        <v>198</v>
      </c>
      <c r="AB4436">
        <v>332</v>
      </c>
      <c r="AC4436">
        <v>536</v>
      </c>
      <c r="AD4436">
        <v>30.35</v>
      </c>
      <c r="AE4436">
        <v>542</v>
      </c>
      <c r="AF4436">
        <v>37</v>
      </c>
      <c r="AG4436">
        <v>161</v>
      </c>
      <c r="AH4436">
        <v>129</v>
      </c>
      <c r="AI4436">
        <v>6.83</v>
      </c>
      <c r="AJ4436">
        <v>29.7</v>
      </c>
      <c r="AK4436">
        <v>23.8</v>
      </c>
      <c r="AL4436">
        <v>-20.151307349999971</v>
      </c>
      <c r="AM4436">
        <v>-44.909772836123523</v>
      </c>
      <c r="AN4436">
        <v>-20.151307349999971</v>
      </c>
      <c r="AO4436">
        <v>-44.909772836123523</v>
      </c>
      <c r="AP4436">
        <v>-20.151098999999999</v>
      </c>
      <c r="AQ4436">
        <v>-44.909699000000003</v>
      </c>
      <c r="AR4436">
        <v>24.443417349564811</v>
      </c>
      <c r="AS4436" t="s">
        <v>65</v>
      </c>
      <c r="AT4436">
        <v>1</v>
      </c>
      <c r="AU4436" t="s">
        <v>104</v>
      </c>
      <c r="AV4436" t="s">
        <v>105</v>
      </c>
      <c r="AW4436" t="s">
        <v>60</v>
      </c>
      <c r="AX4436" t="s">
        <v>68</v>
      </c>
      <c r="AY4436" t="s">
        <v>69</v>
      </c>
      <c r="AZ4436" t="b">
        <v>1</v>
      </c>
    </row>
    <row r="4437" spans="1:52" x14ac:dyDescent="0.3">
      <c r="A4437" t="s">
        <v>52</v>
      </c>
      <c r="B4437" t="s">
        <v>53</v>
      </c>
      <c r="C4437" t="s">
        <v>54</v>
      </c>
      <c r="D4437" t="s">
        <v>55</v>
      </c>
      <c r="E4437" t="s">
        <v>2223</v>
      </c>
      <c r="F4437" t="s">
        <v>57</v>
      </c>
      <c r="G4437" t="s">
        <v>100</v>
      </c>
      <c r="H4437" t="s">
        <v>106</v>
      </c>
      <c r="I4437" t="s">
        <v>106</v>
      </c>
      <c r="J4437" t="s">
        <v>60</v>
      </c>
      <c r="K4437" t="s">
        <v>61</v>
      </c>
      <c r="L4437" t="s">
        <v>62</v>
      </c>
      <c r="M4437" t="s">
        <v>61</v>
      </c>
      <c r="N4437" t="s">
        <v>102</v>
      </c>
      <c r="O4437" t="s">
        <v>103</v>
      </c>
      <c r="P4437">
        <v>-20.151107</v>
      </c>
      <c r="Q4437">
        <v>-44.908918</v>
      </c>
      <c r="R4437" s="2" t="str">
        <f>HYPERLINK("https://www.google.com/maps?q=-20.1511070,-44.9089180","Abrir no Google Maps")</f>
        <v>Abrir no Google Maps</v>
      </c>
      <c r="S4437">
        <v>4</v>
      </c>
      <c r="T4437">
        <v>615.86400245321579</v>
      </c>
      <c r="U4437">
        <v>4</v>
      </c>
      <c r="V4437">
        <v>0.14381150235971199</v>
      </c>
      <c r="W4437">
        <v>0.85</v>
      </c>
      <c r="X4437">
        <v>0.1222397770057552</v>
      </c>
      <c r="Y4437">
        <v>747</v>
      </c>
      <c r="Z4437">
        <v>535.34543763764702</v>
      </c>
      <c r="AA4437">
        <v>198</v>
      </c>
      <c r="AB4437">
        <v>332</v>
      </c>
      <c r="AC4437">
        <v>536</v>
      </c>
      <c r="AD4437">
        <v>30.35</v>
      </c>
      <c r="AE4437">
        <v>542</v>
      </c>
      <c r="AF4437">
        <v>37</v>
      </c>
      <c r="AG4437">
        <v>161</v>
      </c>
      <c r="AH4437">
        <v>129</v>
      </c>
      <c r="AI4437">
        <v>6.83</v>
      </c>
      <c r="AJ4437">
        <v>29.7</v>
      </c>
      <c r="AK4437">
        <v>23.8</v>
      </c>
      <c r="AL4437">
        <v>-20.151307349999971</v>
      </c>
      <c r="AM4437">
        <v>-44.909024234051429</v>
      </c>
      <c r="AN4437">
        <v>-20.151307349999971</v>
      </c>
      <c r="AO4437">
        <v>-44.909024234051429</v>
      </c>
      <c r="AP4437">
        <v>-20.151107</v>
      </c>
      <c r="AQ4437">
        <v>-44.908918</v>
      </c>
      <c r="AR4437">
        <v>24.91340747371116</v>
      </c>
      <c r="AS4437" t="s">
        <v>65</v>
      </c>
      <c r="AT4437">
        <v>1</v>
      </c>
      <c r="AU4437" t="s">
        <v>107</v>
      </c>
      <c r="AV4437" t="s">
        <v>105</v>
      </c>
      <c r="AW4437" t="s">
        <v>60</v>
      </c>
      <c r="AX4437" t="s">
        <v>68</v>
      </c>
      <c r="AY4437" t="s">
        <v>69</v>
      </c>
      <c r="AZ4437" t="b">
        <v>1</v>
      </c>
    </row>
    <row r="4438" spans="1:52" x14ac:dyDescent="0.3">
      <c r="A4438" t="s">
        <v>52</v>
      </c>
      <c r="B4438" t="s">
        <v>53</v>
      </c>
      <c r="C4438" t="s">
        <v>54</v>
      </c>
      <c r="D4438" t="s">
        <v>55</v>
      </c>
      <c r="E4438" t="s">
        <v>2223</v>
      </c>
      <c r="F4438" t="s">
        <v>57</v>
      </c>
      <c r="G4438" t="s">
        <v>219</v>
      </c>
      <c r="H4438" t="s">
        <v>220</v>
      </c>
      <c r="I4438" t="s">
        <v>220</v>
      </c>
      <c r="J4438" t="s">
        <v>60</v>
      </c>
      <c r="K4438" t="s">
        <v>214</v>
      </c>
      <c r="L4438" t="s">
        <v>62</v>
      </c>
      <c r="M4438" t="s">
        <v>214</v>
      </c>
      <c r="N4438" t="s">
        <v>221</v>
      </c>
      <c r="O4438" t="s">
        <v>222</v>
      </c>
      <c r="P4438">
        <v>-20.158049999999999</v>
      </c>
      <c r="Q4438">
        <v>-44.868823999999996</v>
      </c>
      <c r="R4438" s="2" t="str">
        <f>HYPERLINK("https://www.google.com/maps?q=-20.1580500,-44.8688240","Abrir no Google Maps")</f>
        <v>Abrir no Google Maps</v>
      </c>
      <c r="S4438">
        <v>4</v>
      </c>
      <c r="T4438">
        <v>400.85705002223079</v>
      </c>
      <c r="U4438">
        <v>4</v>
      </c>
      <c r="V4438">
        <v>0.12955128592888321</v>
      </c>
      <c r="W4438">
        <v>1</v>
      </c>
      <c r="X4438">
        <v>0.12955128592888321</v>
      </c>
      <c r="Y4438">
        <v>531</v>
      </c>
      <c r="Z4438">
        <v>493.98501624607121</v>
      </c>
      <c r="AA4438">
        <v>198</v>
      </c>
      <c r="AB4438">
        <v>332</v>
      </c>
      <c r="AC4438">
        <v>536</v>
      </c>
      <c r="AD4438">
        <v>30.35</v>
      </c>
      <c r="AE4438">
        <v>542</v>
      </c>
      <c r="AF4438">
        <v>37</v>
      </c>
      <c r="AG4438">
        <v>161</v>
      </c>
      <c r="AH4438">
        <v>129</v>
      </c>
      <c r="AI4438">
        <v>6.83</v>
      </c>
      <c r="AJ4438">
        <v>29.7</v>
      </c>
      <c r="AK4438">
        <v>23.8</v>
      </c>
      <c r="AL4438">
        <v>-20.158020649999969</v>
      </c>
      <c r="AM4438">
        <v>-44.868748475381317</v>
      </c>
      <c r="AN4438">
        <v>-20.158020649999969</v>
      </c>
      <c r="AO4438">
        <v>-44.868748475381331</v>
      </c>
      <c r="AP4438">
        <v>-20.158049999999999</v>
      </c>
      <c r="AQ4438">
        <v>-44.868823999999996</v>
      </c>
      <c r="AR4438">
        <v>8.5419571471718818</v>
      </c>
      <c r="AS4438" t="s">
        <v>65</v>
      </c>
      <c r="AT4438">
        <v>1</v>
      </c>
      <c r="AU4438" t="s">
        <v>223</v>
      </c>
      <c r="AV4438" t="s">
        <v>224</v>
      </c>
      <c r="AW4438" t="s">
        <v>60</v>
      </c>
      <c r="AX4438" t="s">
        <v>68</v>
      </c>
      <c r="AY4438" t="s">
        <v>69</v>
      </c>
      <c r="AZ4438" t="b">
        <v>1</v>
      </c>
    </row>
    <row r="4439" spans="1:52" x14ac:dyDescent="0.3">
      <c r="A4439" t="s">
        <v>52</v>
      </c>
      <c r="B4439" t="s">
        <v>53</v>
      </c>
      <c r="C4439" t="s">
        <v>54</v>
      </c>
      <c r="D4439" t="s">
        <v>55</v>
      </c>
      <c r="E4439" t="s">
        <v>2223</v>
      </c>
      <c r="F4439" t="s">
        <v>57</v>
      </c>
      <c r="G4439" t="s">
        <v>232</v>
      </c>
      <c r="H4439" t="s">
        <v>233</v>
      </c>
      <c r="I4439" t="s">
        <v>233</v>
      </c>
      <c r="J4439" t="s">
        <v>60</v>
      </c>
      <c r="K4439" t="s">
        <v>227</v>
      </c>
      <c r="L4439" t="s">
        <v>62</v>
      </c>
      <c r="M4439" t="s">
        <v>227</v>
      </c>
      <c r="N4439" t="s">
        <v>234</v>
      </c>
      <c r="O4439" t="s">
        <v>235</v>
      </c>
      <c r="P4439">
        <v>-20.158666</v>
      </c>
      <c r="Q4439">
        <v>-44.861398999999999</v>
      </c>
      <c r="R4439" s="2" t="str">
        <f>HYPERLINK("https://www.google.com/maps?q=-20.1586660,-44.8613990","Abrir no Google Maps")</f>
        <v>Abrir no Google Maps</v>
      </c>
      <c r="S4439">
        <v>4</v>
      </c>
      <c r="T4439">
        <v>330.01505397941582</v>
      </c>
      <c r="U4439">
        <v>4</v>
      </c>
      <c r="V4439">
        <v>0.1228276766894653</v>
      </c>
      <c r="W4439">
        <v>1</v>
      </c>
      <c r="X4439">
        <v>0.1228276766894653</v>
      </c>
      <c r="Y4439">
        <v>518</v>
      </c>
      <c r="Z4439">
        <v>251.8092920281106</v>
      </c>
      <c r="AA4439">
        <v>198</v>
      </c>
      <c r="AB4439">
        <v>332</v>
      </c>
      <c r="AC4439">
        <v>536</v>
      </c>
      <c r="AD4439">
        <v>30.35</v>
      </c>
      <c r="AE4439">
        <v>542</v>
      </c>
      <c r="AF4439">
        <v>37</v>
      </c>
      <c r="AG4439">
        <v>161</v>
      </c>
      <c r="AH4439">
        <v>129</v>
      </c>
      <c r="AI4439">
        <v>6.83</v>
      </c>
      <c r="AJ4439">
        <v>29.7</v>
      </c>
      <c r="AK4439">
        <v>23.8</v>
      </c>
      <c r="AL4439">
        <v>-20.158631449999969</v>
      </c>
      <c r="AM4439">
        <v>-44.861424574758061</v>
      </c>
      <c r="AN4439">
        <v>-20.158631449999969</v>
      </c>
      <c r="AO4439">
        <v>-44.861424574758061</v>
      </c>
      <c r="AP4439">
        <v>-20.158666</v>
      </c>
      <c r="AQ4439">
        <v>-44.861398999999999</v>
      </c>
      <c r="AR4439">
        <v>4.6835056709567411</v>
      </c>
      <c r="AS4439" t="s">
        <v>65</v>
      </c>
      <c r="AT4439">
        <v>1</v>
      </c>
      <c r="AU4439" t="s">
        <v>236</v>
      </c>
      <c r="AV4439" t="s">
        <v>237</v>
      </c>
      <c r="AW4439" t="s">
        <v>60</v>
      </c>
      <c r="AX4439" t="s">
        <v>68</v>
      </c>
      <c r="AY4439" t="s">
        <v>69</v>
      </c>
      <c r="AZ4439" t="b">
        <v>1</v>
      </c>
    </row>
    <row r="4440" spans="1:52" x14ac:dyDescent="0.3">
      <c r="A4440" t="s">
        <v>52</v>
      </c>
      <c r="B4440" t="s">
        <v>53</v>
      </c>
      <c r="C4440" t="s">
        <v>54</v>
      </c>
      <c r="D4440" t="s">
        <v>55</v>
      </c>
      <c r="E4440" t="s">
        <v>2223</v>
      </c>
      <c r="F4440" t="s">
        <v>57</v>
      </c>
      <c r="G4440" t="s">
        <v>219</v>
      </c>
      <c r="H4440" t="s">
        <v>2129</v>
      </c>
      <c r="I4440" t="s">
        <v>2129</v>
      </c>
      <c r="J4440" t="s">
        <v>60</v>
      </c>
      <c r="K4440" t="s">
        <v>1165</v>
      </c>
      <c r="L4440" t="s">
        <v>62</v>
      </c>
      <c r="M4440" t="s">
        <v>1165</v>
      </c>
      <c r="N4440" t="s">
        <v>221</v>
      </c>
      <c r="O4440" t="s">
        <v>2130</v>
      </c>
      <c r="P4440">
        <v>-20.156721000000001</v>
      </c>
      <c r="Q4440">
        <v>-44.862000000000002</v>
      </c>
      <c r="R4440" s="2" t="str">
        <f>HYPERLINK("https://www.google.com/maps?q=-20.1567210,-44.8620000","Abrir no Google Maps")</f>
        <v>Abrir no Google Maps</v>
      </c>
      <c r="S4440">
        <v>4</v>
      </c>
      <c r="T4440">
        <v>471.61852854830028</v>
      </c>
      <c r="U4440">
        <v>4</v>
      </c>
      <c r="V4440">
        <v>0.1493055555555555</v>
      </c>
      <c r="W4440">
        <v>0.85</v>
      </c>
      <c r="X4440">
        <v>0.12690972222222219</v>
      </c>
      <c r="Y4440">
        <v>518</v>
      </c>
      <c r="Z4440">
        <v>453.51649447198128</v>
      </c>
      <c r="AA4440">
        <v>198</v>
      </c>
      <c r="AB4440">
        <v>332</v>
      </c>
      <c r="AC4440">
        <v>536</v>
      </c>
      <c r="AD4440">
        <v>30.35</v>
      </c>
      <c r="AE4440">
        <v>542</v>
      </c>
      <c r="AF4440">
        <v>37</v>
      </c>
      <c r="AG4440">
        <v>161</v>
      </c>
      <c r="AH4440">
        <v>129</v>
      </c>
      <c r="AI4440">
        <v>6.83</v>
      </c>
      <c r="AJ4440">
        <v>29.7</v>
      </c>
      <c r="AK4440">
        <v>23.8</v>
      </c>
      <c r="AL4440">
        <v>-20.156574899999949</v>
      </c>
      <c r="AM4440">
        <v>-44.861856840496699</v>
      </c>
      <c r="AN4440">
        <v>-20.156574899999949</v>
      </c>
      <c r="AO4440">
        <v>-44.861856840496699</v>
      </c>
      <c r="AP4440">
        <v>-20.156721000000001</v>
      </c>
      <c r="AQ4440">
        <v>-44.862000000000002</v>
      </c>
      <c r="AR4440">
        <v>22.09816067181935</v>
      </c>
      <c r="AS4440" t="s">
        <v>65</v>
      </c>
      <c r="AT4440">
        <v>1</v>
      </c>
      <c r="AU4440" t="s">
        <v>2131</v>
      </c>
      <c r="AV4440" t="s">
        <v>2132</v>
      </c>
      <c r="AW4440" t="s">
        <v>60</v>
      </c>
      <c r="AX4440" t="s">
        <v>68</v>
      </c>
      <c r="AY4440" t="s">
        <v>69</v>
      </c>
      <c r="AZ4440" t="b">
        <v>1</v>
      </c>
    </row>
    <row r="4441" spans="1:52" x14ac:dyDescent="0.3">
      <c r="A4441" t="s">
        <v>52</v>
      </c>
      <c r="B4441" t="s">
        <v>53</v>
      </c>
      <c r="C4441" t="s">
        <v>54</v>
      </c>
      <c r="D4441" t="s">
        <v>55</v>
      </c>
      <c r="E4441" t="s">
        <v>2223</v>
      </c>
      <c r="F4441" t="s">
        <v>57</v>
      </c>
      <c r="G4441" t="s">
        <v>238</v>
      </c>
      <c r="H4441" t="s">
        <v>239</v>
      </c>
      <c r="I4441" t="s">
        <v>239</v>
      </c>
      <c r="J4441" t="s">
        <v>60</v>
      </c>
      <c r="K4441" t="s">
        <v>227</v>
      </c>
      <c r="L4441" t="s">
        <v>62</v>
      </c>
      <c r="M4441" t="s">
        <v>227</v>
      </c>
      <c r="N4441" t="s">
        <v>240</v>
      </c>
      <c r="O4441" t="s">
        <v>202</v>
      </c>
      <c r="P4441">
        <v>-20.155833999999999</v>
      </c>
      <c r="Q4441">
        <v>-44.859437999999997</v>
      </c>
      <c r="R4441" s="2" t="str">
        <f>HYPERLINK("https://www.google.com/maps?q=-20.1558340,-44.8594380","Abrir no Google Maps")</f>
        <v>Abrir no Google Maps</v>
      </c>
      <c r="S4441">
        <v>4</v>
      </c>
      <c r="T4441">
        <v>381.00646482339403</v>
      </c>
      <c r="U4441">
        <v>4</v>
      </c>
      <c r="V4441">
        <v>0.124756335282651</v>
      </c>
      <c r="W4441">
        <v>1</v>
      </c>
      <c r="X4441">
        <v>0.124756335282651</v>
      </c>
      <c r="Y4441">
        <v>518</v>
      </c>
      <c r="Z4441">
        <v>484.9275363207239</v>
      </c>
      <c r="AA4441">
        <v>198</v>
      </c>
      <c r="AB4441">
        <v>332</v>
      </c>
      <c r="AC4441">
        <v>536</v>
      </c>
      <c r="AD4441">
        <v>30.35</v>
      </c>
      <c r="AE4441">
        <v>542</v>
      </c>
      <c r="AF4441">
        <v>37</v>
      </c>
      <c r="AG4441">
        <v>161</v>
      </c>
      <c r="AH4441">
        <v>129</v>
      </c>
      <c r="AI4441">
        <v>6.83</v>
      </c>
      <c r="AJ4441">
        <v>29.7</v>
      </c>
      <c r="AK4441">
        <v>23.8</v>
      </c>
      <c r="AL4441">
        <v>-20.155935399999979</v>
      </c>
      <c r="AM4441">
        <v>-44.859367525422847</v>
      </c>
      <c r="AN4441">
        <v>-20.155935399999979</v>
      </c>
      <c r="AO4441">
        <v>-44.859367525422847</v>
      </c>
      <c r="AP4441">
        <v>-20.155833999999999</v>
      </c>
      <c r="AQ4441">
        <v>-44.859437999999997</v>
      </c>
      <c r="AR4441">
        <v>13.477960508152201</v>
      </c>
      <c r="AS4441" t="s">
        <v>65</v>
      </c>
      <c r="AT4441">
        <v>1</v>
      </c>
      <c r="AU4441" t="s">
        <v>241</v>
      </c>
      <c r="AV4441" t="s">
        <v>242</v>
      </c>
      <c r="AW4441" t="s">
        <v>60</v>
      </c>
      <c r="AX4441" t="s">
        <v>68</v>
      </c>
      <c r="AY4441" t="s">
        <v>69</v>
      </c>
      <c r="AZ4441" t="b">
        <v>1</v>
      </c>
    </row>
    <row r="4442" spans="1:52" x14ac:dyDescent="0.3">
      <c r="A4442" t="s">
        <v>52</v>
      </c>
      <c r="B4442" t="s">
        <v>53</v>
      </c>
      <c r="C4442" t="s">
        <v>54</v>
      </c>
      <c r="D4442" t="s">
        <v>55</v>
      </c>
      <c r="E4442" t="s">
        <v>2223</v>
      </c>
      <c r="F4442" t="s">
        <v>57</v>
      </c>
      <c r="G4442" t="s">
        <v>243</v>
      </c>
      <c r="H4442" t="s">
        <v>244</v>
      </c>
      <c r="I4442" t="s">
        <v>244</v>
      </c>
      <c r="J4442" t="s">
        <v>60</v>
      </c>
      <c r="K4442" t="s">
        <v>214</v>
      </c>
      <c r="L4442" t="s">
        <v>62</v>
      </c>
      <c r="M4442" t="s">
        <v>214</v>
      </c>
      <c r="N4442" t="s">
        <v>245</v>
      </c>
      <c r="O4442" t="s">
        <v>246</v>
      </c>
      <c r="P4442">
        <v>-20.156296999999999</v>
      </c>
      <c r="Q4442">
        <v>-44.873035999999999</v>
      </c>
      <c r="R4442" s="2" t="str">
        <f>HYPERLINK("https://www.google.com/maps?q=-20.1562970,-44.8730360","Abrir no Google Maps")</f>
        <v>Abrir no Google Maps</v>
      </c>
      <c r="S4442">
        <v>4</v>
      </c>
      <c r="T4442">
        <v>198.04479306725889</v>
      </c>
      <c r="U4442">
        <v>4</v>
      </c>
      <c r="V4442">
        <v>0.1228140394088669</v>
      </c>
      <c r="W4442">
        <v>1</v>
      </c>
      <c r="X4442">
        <v>0.1228140394088669</v>
      </c>
      <c r="Y4442">
        <v>305</v>
      </c>
      <c r="Z4442">
        <v>267.7765515134916</v>
      </c>
      <c r="AA4442">
        <v>198</v>
      </c>
      <c r="AB4442">
        <v>332</v>
      </c>
      <c r="AC4442">
        <v>536</v>
      </c>
      <c r="AD4442">
        <v>30.35</v>
      </c>
      <c r="AE4442">
        <v>542</v>
      </c>
      <c r="AF4442">
        <v>37</v>
      </c>
      <c r="AG4442">
        <v>161</v>
      </c>
      <c r="AH4442">
        <v>129</v>
      </c>
      <c r="AI4442">
        <v>6.83</v>
      </c>
      <c r="AJ4442">
        <v>29.7</v>
      </c>
      <c r="AK4442">
        <v>23.8</v>
      </c>
      <c r="AL4442">
        <v>-20.156361349999941</v>
      </c>
      <c r="AM4442">
        <v>-44.87296512500793</v>
      </c>
      <c r="AN4442">
        <v>-20.156361349999941</v>
      </c>
      <c r="AO4442">
        <v>-44.87296512500793</v>
      </c>
      <c r="AP4442">
        <v>-20.156296999999999</v>
      </c>
      <c r="AQ4442">
        <v>-44.873035999999999</v>
      </c>
      <c r="AR4442">
        <v>10.304009356726979</v>
      </c>
      <c r="AS4442" t="s">
        <v>65</v>
      </c>
      <c r="AT4442">
        <v>1</v>
      </c>
      <c r="AU4442" t="s">
        <v>247</v>
      </c>
      <c r="AV4442" t="s">
        <v>248</v>
      </c>
      <c r="AW4442" t="s">
        <v>60</v>
      </c>
      <c r="AX4442" t="s">
        <v>68</v>
      </c>
      <c r="AY4442" t="s">
        <v>69</v>
      </c>
      <c r="AZ4442" t="b">
        <v>1</v>
      </c>
    </row>
    <row r="4443" spans="1:52" x14ac:dyDescent="0.3">
      <c r="A4443" t="s">
        <v>52</v>
      </c>
      <c r="B4443" t="s">
        <v>53</v>
      </c>
      <c r="C4443" t="s">
        <v>54</v>
      </c>
      <c r="D4443" t="s">
        <v>55</v>
      </c>
      <c r="E4443" t="s">
        <v>2223</v>
      </c>
      <c r="F4443" t="s">
        <v>57</v>
      </c>
      <c r="G4443" t="s">
        <v>1623</v>
      </c>
      <c r="H4443" t="s">
        <v>1624</v>
      </c>
      <c r="I4443" t="s">
        <v>1624</v>
      </c>
      <c r="J4443" t="s">
        <v>60</v>
      </c>
      <c r="K4443" t="s">
        <v>281</v>
      </c>
      <c r="L4443" t="s">
        <v>62</v>
      </c>
      <c r="M4443" t="s">
        <v>281</v>
      </c>
      <c r="N4443" t="s">
        <v>1625</v>
      </c>
      <c r="O4443" t="s">
        <v>1538</v>
      </c>
      <c r="P4443">
        <v>-20.177247000000001</v>
      </c>
      <c r="Q4443">
        <v>-44.848650999999997</v>
      </c>
      <c r="R4443" s="2" t="str">
        <f>HYPERLINK("https://www.google.com/maps?q=-20.1772470,-44.8486510","Abrir no Google Maps")</f>
        <v>Abrir no Google Maps</v>
      </c>
      <c r="S4443">
        <v>4</v>
      </c>
      <c r="T4443">
        <v>1293.074917502197</v>
      </c>
      <c r="U4443">
        <v>4</v>
      </c>
      <c r="V4443">
        <v>0.16646619257849329</v>
      </c>
      <c r="W4443">
        <v>1</v>
      </c>
      <c r="X4443">
        <v>0.16646619257849329</v>
      </c>
      <c r="Y4443">
        <v>292</v>
      </c>
      <c r="Z4443">
        <v>1225.3954943545491</v>
      </c>
      <c r="AA4443">
        <v>198</v>
      </c>
      <c r="AB4443">
        <v>332</v>
      </c>
      <c r="AC4443">
        <v>536</v>
      </c>
      <c r="AD4443">
        <v>30.35</v>
      </c>
      <c r="AE4443">
        <v>542</v>
      </c>
      <c r="AF4443">
        <v>37</v>
      </c>
      <c r="AG4443">
        <v>161</v>
      </c>
      <c r="AH4443">
        <v>129</v>
      </c>
      <c r="AI4443">
        <v>6.83</v>
      </c>
      <c r="AJ4443">
        <v>29.7</v>
      </c>
      <c r="AK4443">
        <v>23.8</v>
      </c>
      <c r="AL4443">
        <v>-20.17729789999996</v>
      </c>
      <c r="AM4443">
        <v>-44.848543982702637</v>
      </c>
      <c r="AN4443">
        <v>-20.17729789999996</v>
      </c>
      <c r="AO4443">
        <v>-44.848543982702637</v>
      </c>
      <c r="AP4443">
        <v>-20.177247000000001</v>
      </c>
      <c r="AQ4443">
        <v>-44.848650999999997</v>
      </c>
      <c r="AR4443">
        <v>12.53570773213052</v>
      </c>
      <c r="AS4443" t="s">
        <v>65</v>
      </c>
      <c r="AT4443">
        <v>1</v>
      </c>
      <c r="AU4443" t="s">
        <v>1626</v>
      </c>
      <c r="AV4443" t="s">
        <v>1627</v>
      </c>
      <c r="AW4443" t="s">
        <v>60</v>
      </c>
      <c r="AX4443" t="s">
        <v>68</v>
      </c>
      <c r="AY4443" t="s">
        <v>69</v>
      </c>
      <c r="AZ4443" t="b">
        <v>1</v>
      </c>
    </row>
    <row r="4444" spans="1:52" x14ac:dyDescent="0.3">
      <c r="A4444" t="s">
        <v>52</v>
      </c>
      <c r="B4444" t="s">
        <v>53</v>
      </c>
      <c r="C4444" t="s">
        <v>54</v>
      </c>
      <c r="D4444" t="s">
        <v>55</v>
      </c>
      <c r="E4444" t="s">
        <v>2223</v>
      </c>
      <c r="F4444" t="s">
        <v>57</v>
      </c>
      <c r="G4444" t="s">
        <v>1628</v>
      </c>
      <c r="H4444" t="s">
        <v>1629</v>
      </c>
      <c r="I4444" t="s">
        <v>1629</v>
      </c>
      <c r="J4444" t="s">
        <v>60</v>
      </c>
      <c r="K4444" t="s">
        <v>136</v>
      </c>
      <c r="L4444" t="s">
        <v>62</v>
      </c>
      <c r="M4444" t="s">
        <v>136</v>
      </c>
      <c r="N4444" t="s">
        <v>1630</v>
      </c>
      <c r="O4444" t="s">
        <v>103</v>
      </c>
      <c r="P4444">
        <v>-20.169488999999999</v>
      </c>
      <c r="Q4444">
        <v>-44.848812000000002</v>
      </c>
      <c r="R4444" s="2" t="str">
        <f>HYPERLINK("https://www.google.com/maps?q=-20.1694890,-44.8488120","Abrir no Google Maps")</f>
        <v>Abrir no Google Maps</v>
      </c>
      <c r="S4444">
        <v>4</v>
      </c>
      <c r="T4444">
        <v>426.92881761579793</v>
      </c>
      <c r="U4444">
        <v>4</v>
      </c>
      <c r="V4444">
        <v>0.13299381044005651</v>
      </c>
      <c r="W4444">
        <v>1</v>
      </c>
      <c r="X4444">
        <v>0.13299381044005651</v>
      </c>
      <c r="Y4444">
        <v>292</v>
      </c>
      <c r="Z4444">
        <v>345.01829288722871</v>
      </c>
      <c r="AA4444">
        <v>198</v>
      </c>
      <c r="AB4444">
        <v>332</v>
      </c>
      <c r="AC4444">
        <v>536</v>
      </c>
      <c r="AD4444">
        <v>30.35</v>
      </c>
      <c r="AE4444">
        <v>542</v>
      </c>
      <c r="AF4444">
        <v>37</v>
      </c>
      <c r="AG4444">
        <v>161</v>
      </c>
      <c r="AH4444">
        <v>129</v>
      </c>
      <c r="AI4444">
        <v>6.83</v>
      </c>
      <c r="AJ4444">
        <v>29.7</v>
      </c>
      <c r="AK4444">
        <v>23.8</v>
      </c>
      <c r="AL4444">
        <v>-20.169293749999959</v>
      </c>
      <c r="AM4444">
        <v>-44.848899945665508</v>
      </c>
      <c r="AN4444">
        <v>-20.169293749999959</v>
      </c>
      <c r="AO4444">
        <v>-44.848899945665508</v>
      </c>
      <c r="AP4444">
        <v>-20.169488999999999</v>
      </c>
      <c r="AQ4444">
        <v>-44.848812000000002</v>
      </c>
      <c r="AR4444">
        <v>23.598134321543789</v>
      </c>
      <c r="AS4444" t="s">
        <v>65</v>
      </c>
      <c r="AT4444">
        <v>1</v>
      </c>
      <c r="AU4444" t="s">
        <v>1631</v>
      </c>
      <c r="AV4444" t="s">
        <v>1632</v>
      </c>
      <c r="AW4444" t="s">
        <v>60</v>
      </c>
      <c r="AX4444" t="s">
        <v>68</v>
      </c>
      <c r="AY4444" t="s">
        <v>69</v>
      </c>
      <c r="AZ4444" t="b">
        <v>1</v>
      </c>
    </row>
    <row r="4445" spans="1:52" x14ac:dyDescent="0.3">
      <c r="A4445" t="s">
        <v>52</v>
      </c>
      <c r="B4445" t="s">
        <v>53</v>
      </c>
      <c r="C4445" t="s">
        <v>54</v>
      </c>
      <c r="D4445" t="s">
        <v>55</v>
      </c>
      <c r="E4445" t="s">
        <v>2223</v>
      </c>
      <c r="F4445" t="s">
        <v>57</v>
      </c>
      <c r="G4445" t="s">
        <v>267</v>
      </c>
      <c r="H4445" t="s">
        <v>268</v>
      </c>
      <c r="I4445" t="s">
        <v>268</v>
      </c>
      <c r="J4445" t="s">
        <v>60</v>
      </c>
      <c r="K4445" t="s">
        <v>150</v>
      </c>
      <c r="L4445" t="s">
        <v>62</v>
      </c>
      <c r="M4445" t="s">
        <v>150</v>
      </c>
      <c r="N4445" t="s">
        <v>269</v>
      </c>
      <c r="O4445" t="s">
        <v>270</v>
      </c>
      <c r="P4445">
        <v>-20.172367999999999</v>
      </c>
      <c r="Q4445">
        <v>-44.848661</v>
      </c>
      <c r="R4445" s="2" t="str">
        <f>HYPERLINK("https://www.google.com/maps?q=-20.1723680,-44.8486610","Abrir no Google Maps")</f>
        <v>Abrir no Google Maps</v>
      </c>
      <c r="S4445">
        <v>4</v>
      </c>
      <c r="T4445">
        <v>759.75892180950234</v>
      </c>
      <c r="U4445">
        <v>4</v>
      </c>
      <c r="V4445">
        <v>0.1430801102692352</v>
      </c>
      <c r="W4445">
        <v>1</v>
      </c>
      <c r="X4445">
        <v>0.1430801102692352</v>
      </c>
      <c r="Y4445">
        <v>292</v>
      </c>
      <c r="Z4445">
        <v>735.80511761487242</v>
      </c>
      <c r="AA4445">
        <v>198</v>
      </c>
      <c r="AB4445">
        <v>332</v>
      </c>
      <c r="AC4445">
        <v>536</v>
      </c>
      <c r="AD4445">
        <v>30.35</v>
      </c>
      <c r="AE4445">
        <v>542</v>
      </c>
      <c r="AF4445">
        <v>37</v>
      </c>
      <c r="AG4445">
        <v>161</v>
      </c>
      <c r="AH4445">
        <v>129</v>
      </c>
      <c r="AI4445">
        <v>6.83</v>
      </c>
      <c r="AJ4445">
        <v>29.7</v>
      </c>
      <c r="AK4445">
        <v>23.8</v>
      </c>
      <c r="AL4445">
        <v>-20.172435999999951</v>
      </c>
      <c r="AM4445">
        <v>-44.84866233556005</v>
      </c>
      <c r="AN4445">
        <v>-20.172435999999951</v>
      </c>
      <c r="AO4445">
        <v>-44.84866233556005</v>
      </c>
      <c r="AP4445">
        <v>-20.172367999999999</v>
      </c>
      <c r="AQ4445">
        <v>-44.848661</v>
      </c>
      <c r="AR4445">
        <v>7.5710462874877198</v>
      </c>
      <c r="AS4445" t="s">
        <v>65</v>
      </c>
      <c r="AT4445">
        <v>1</v>
      </c>
      <c r="AU4445" t="s">
        <v>271</v>
      </c>
      <c r="AV4445" t="s">
        <v>272</v>
      </c>
      <c r="AW4445" t="s">
        <v>60</v>
      </c>
      <c r="AX4445" t="s">
        <v>68</v>
      </c>
      <c r="AY4445" t="s">
        <v>69</v>
      </c>
      <c r="AZ4445" t="b">
        <v>1</v>
      </c>
    </row>
    <row r="4446" spans="1:52" x14ac:dyDescent="0.3">
      <c r="A4446" t="s">
        <v>52</v>
      </c>
      <c r="B4446" t="s">
        <v>53</v>
      </c>
      <c r="C4446" t="s">
        <v>54</v>
      </c>
      <c r="D4446" t="s">
        <v>55</v>
      </c>
      <c r="E4446" t="s">
        <v>2223</v>
      </c>
      <c r="F4446" t="s">
        <v>57</v>
      </c>
      <c r="G4446" t="s">
        <v>273</v>
      </c>
      <c r="H4446" t="s">
        <v>274</v>
      </c>
      <c r="I4446" t="s">
        <v>274</v>
      </c>
      <c r="J4446" t="s">
        <v>60</v>
      </c>
      <c r="K4446" t="s">
        <v>143</v>
      </c>
      <c r="L4446" t="s">
        <v>62</v>
      </c>
      <c r="M4446" t="s">
        <v>143</v>
      </c>
      <c r="N4446" t="s">
        <v>275</v>
      </c>
      <c r="O4446" t="s">
        <v>276</v>
      </c>
      <c r="P4446">
        <v>-20.171367</v>
      </c>
      <c r="Q4446">
        <v>-44.844709999999999</v>
      </c>
      <c r="R4446" s="2" t="str">
        <f>HYPERLINK("https://www.google.com/maps?q=-20.1713670,-44.8447100","Abrir no Google Maps")</f>
        <v>Abrir no Google Maps</v>
      </c>
      <c r="S4446">
        <v>4</v>
      </c>
      <c r="T4446">
        <v>700.36715126879801</v>
      </c>
      <c r="U4446">
        <v>4</v>
      </c>
      <c r="V4446">
        <v>0.1487887490609813</v>
      </c>
      <c r="W4446">
        <v>1</v>
      </c>
      <c r="X4446">
        <v>0.1487887490609813</v>
      </c>
      <c r="Y4446">
        <v>292</v>
      </c>
      <c r="Z4446">
        <v>767.70201658334747</v>
      </c>
      <c r="AA4446">
        <v>198</v>
      </c>
      <c r="AB4446">
        <v>332</v>
      </c>
      <c r="AC4446">
        <v>536</v>
      </c>
      <c r="AD4446">
        <v>30.35</v>
      </c>
      <c r="AE4446">
        <v>542</v>
      </c>
      <c r="AF4446">
        <v>37</v>
      </c>
      <c r="AG4446">
        <v>161</v>
      </c>
      <c r="AH4446">
        <v>129</v>
      </c>
      <c r="AI4446">
        <v>6.83</v>
      </c>
      <c r="AJ4446">
        <v>29.7</v>
      </c>
      <c r="AK4446">
        <v>23.8</v>
      </c>
      <c r="AL4446">
        <v>-20.17140124999997</v>
      </c>
      <c r="AM4446">
        <v>-44.844758486699448</v>
      </c>
      <c r="AN4446">
        <v>-20.171401249999981</v>
      </c>
      <c r="AO4446">
        <v>-44.844758486699448</v>
      </c>
      <c r="AP4446">
        <v>-20.171367</v>
      </c>
      <c r="AQ4446">
        <v>-44.844709999999999</v>
      </c>
      <c r="AR4446">
        <v>6.3408204899540994</v>
      </c>
      <c r="AS4446" t="s">
        <v>65</v>
      </c>
      <c r="AT4446">
        <v>1</v>
      </c>
      <c r="AU4446" t="s">
        <v>277</v>
      </c>
      <c r="AV4446" t="s">
        <v>278</v>
      </c>
      <c r="AW4446" t="s">
        <v>60</v>
      </c>
      <c r="AX4446" t="s">
        <v>68</v>
      </c>
      <c r="AY4446" t="s">
        <v>69</v>
      </c>
      <c r="AZ4446" t="b">
        <v>1</v>
      </c>
    </row>
    <row r="4447" spans="1:52" x14ac:dyDescent="0.3">
      <c r="A4447" t="s">
        <v>52</v>
      </c>
      <c r="B4447" t="s">
        <v>53</v>
      </c>
      <c r="C4447" t="s">
        <v>54</v>
      </c>
      <c r="D4447" t="s">
        <v>55</v>
      </c>
      <c r="E4447" t="s">
        <v>2223</v>
      </c>
      <c r="F4447" t="s">
        <v>57</v>
      </c>
      <c r="G4447" t="s">
        <v>279</v>
      </c>
      <c r="H4447" t="s">
        <v>280</v>
      </c>
      <c r="I4447" t="s">
        <v>280</v>
      </c>
      <c r="J4447" t="s">
        <v>60</v>
      </c>
      <c r="K4447" t="s">
        <v>281</v>
      </c>
      <c r="L4447" t="s">
        <v>62</v>
      </c>
      <c r="M4447" t="s">
        <v>281</v>
      </c>
      <c r="N4447" t="s">
        <v>282</v>
      </c>
      <c r="O4447" t="s">
        <v>283</v>
      </c>
      <c r="P4447">
        <v>-20.175312999999999</v>
      </c>
      <c r="Q4447">
        <v>-44.848562999999999</v>
      </c>
      <c r="R4447" s="2" t="str">
        <f>HYPERLINK("https://www.google.com/maps?q=-20.1753130,-44.8485630","Abrir no Google Maps")</f>
        <v>Abrir no Google Maps</v>
      </c>
      <c r="S4447">
        <v>4</v>
      </c>
      <c r="T4447">
        <v>1076.9164078034139</v>
      </c>
      <c r="U4447">
        <v>4</v>
      </c>
      <c r="V4447">
        <v>0.17322346269714689</v>
      </c>
      <c r="W4447">
        <v>1</v>
      </c>
      <c r="X4447">
        <v>0.17322346269714689</v>
      </c>
      <c r="Y4447">
        <v>292</v>
      </c>
      <c r="Z4447">
        <v>1035.650579259463</v>
      </c>
      <c r="AA4447">
        <v>198</v>
      </c>
      <c r="AB4447">
        <v>332</v>
      </c>
      <c r="AC4447">
        <v>536</v>
      </c>
      <c r="AD4447">
        <v>30.35</v>
      </c>
      <c r="AE4447">
        <v>542</v>
      </c>
      <c r="AF4447">
        <v>37</v>
      </c>
      <c r="AG4447">
        <v>161</v>
      </c>
      <c r="AH4447">
        <v>129</v>
      </c>
      <c r="AI4447">
        <v>6.83</v>
      </c>
      <c r="AJ4447">
        <v>29.7</v>
      </c>
      <c r="AK4447">
        <v>23.8</v>
      </c>
      <c r="AL4447">
        <v>-20.175338949999961</v>
      </c>
      <c r="AM4447">
        <v>-44.848523168324952</v>
      </c>
      <c r="AN4447">
        <v>-20.175338949999961</v>
      </c>
      <c r="AO4447">
        <v>-44.848523168324952</v>
      </c>
      <c r="AP4447">
        <v>-20.175312999999999</v>
      </c>
      <c r="AQ4447">
        <v>-44.848562999999999</v>
      </c>
      <c r="AR4447">
        <v>5.0662709576519056</v>
      </c>
      <c r="AS4447" t="s">
        <v>65</v>
      </c>
      <c r="AT4447">
        <v>1</v>
      </c>
      <c r="AU4447" t="s">
        <v>284</v>
      </c>
      <c r="AV4447" t="s">
        <v>285</v>
      </c>
      <c r="AW4447" t="s">
        <v>60</v>
      </c>
      <c r="AX4447" t="s">
        <v>68</v>
      </c>
      <c r="AY4447" t="s">
        <v>69</v>
      </c>
      <c r="AZ4447" t="b">
        <v>1</v>
      </c>
    </row>
    <row r="4448" spans="1:52" x14ac:dyDescent="0.3">
      <c r="A4448" t="s">
        <v>52</v>
      </c>
      <c r="B4448" t="s">
        <v>53</v>
      </c>
      <c r="C4448" t="s">
        <v>54</v>
      </c>
      <c r="D4448" t="s">
        <v>55</v>
      </c>
      <c r="E4448" t="s">
        <v>2223</v>
      </c>
      <c r="F4448" t="s">
        <v>57</v>
      </c>
      <c r="G4448" t="s">
        <v>134</v>
      </c>
      <c r="H4448" t="s">
        <v>135</v>
      </c>
      <c r="I4448" t="s">
        <v>135</v>
      </c>
      <c r="J4448" t="s">
        <v>60</v>
      </c>
      <c r="K4448" t="s">
        <v>136</v>
      </c>
      <c r="L4448" t="s">
        <v>62</v>
      </c>
      <c r="M4448" t="s">
        <v>136</v>
      </c>
      <c r="N4448" t="s">
        <v>137</v>
      </c>
      <c r="O4448" t="s">
        <v>138</v>
      </c>
      <c r="P4448">
        <v>-20.165773000000002</v>
      </c>
      <c r="Q4448">
        <v>-44.847566999999998</v>
      </c>
      <c r="R4448" s="2" t="str">
        <f>HYPERLINK("https://www.google.com/maps?q=-20.1657730,-44.8475670","Abrir no Google Maps")</f>
        <v>Abrir no Google Maps</v>
      </c>
      <c r="S4448">
        <v>4</v>
      </c>
      <c r="T4448">
        <v>0</v>
      </c>
      <c r="U4448">
        <v>4</v>
      </c>
      <c r="V4448">
        <v>0.1303047190928435</v>
      </c>
      <c r="W4448">
        <v>1</v>
      </c>
      <c r="X4448">
        <v>0.1303047190928435</v>
      </c>
      <c r="Y4448">
        <v>292</v>
      </c>
      <c r="Z4448">
        <v>98.987346341524855</v>
      </c>
      <c r="AA4448">
        <v>198</v>
      </c>
      <c r="AB4448">
        <v>332</v>
      </c>
      <c r="AC4448">
        <v>536</v>
      </c>
      <c r="AD4448">
        <v>30.35</v>
      </c>
      <c r="AE4448">
        <v>542</v>
      </c>
      <c r="AF4448">
        <v>37</v>
      </c>
      <c r="AG4448">
        <v>161</v>
      </c>
      <c r="AH4448">
        <v>129</v>
      </c>
      <c r="AI4448">
        <v>6.83</v>
      </c>
      <c r="AJ4448">
        <v>29.7</v>
      </c>
      <c r="AK4448">
        <v>23.8</v>
      </c>
      <c r="AL4448">
        <v>-20.16565029999995</v>
      </c>
      <c r="AM4448">
        <v>-44.847556627666897</v>
      </c>
      <c r="AN4448">
        <v>-20.16565029999995</v>
      </c>
      <c r="AO4448">
        <v>-44.847556627666897</v>
      </c>
      <c r="AP4448">
        <v>-20.165773000000002</v>
      </c>
      <c r="AQ4448">
        <v>-44.847566999999998</v>
      </c>
      <c r="AR4448">
        <v>13.701900146251189</v>
      </c>
      <c r="AS4448" t="s">
        <v>65</v>
      </c>
      <c r="AT4448">
        <v>1</v>
      </c>
      <c r="AU4448" t="s">
        <v>139</v>
      </c>
      <c r="AV4448" t="s">
        <v>140</v>
      </c>
      <c r="AW4448" t="s">
        <v>60</v>
      </c>
      <c r="AX4448" t="s">
        <v>68</v>
      </c>
      <c r="AY4448" t="s">
        <v>69</v>
      </c>
      <c r="AZ4448" t="b">
        <v>1</v>
      </c>
    </row>
    <row r="4449" spans="1:52" x14ac:dyDescent="0.3">
      <c r="A4449" t="s">
        <v>52</v>
      </c>
      <c r="B4449" t="s">
        <v>53</v>
      </c>
      <c r="C4449" t="s">
        <v>54</v>
      </c>
      <c r="D4449" t="s">
        <v>55</v>
      </c>
      <c r="E4449" t="s">
        <v>2223</v>
      </c>
      <c r="F4449" t="s">
        <v>57</v>
      </c>
      <c r="G4449" t="s">
        <v>141</v>
      </c>
      <c r="H4449" t="s">
        <v>142</v>
      </c>
      <c r="I4449" t="s">
        <v>142</v>
      </c>
      <c r="J4449" t="s">
        <v>60</v>
      </c>
      <c r="K4449" t="s">
        <v>143</v>
      </c>
      <c r="L4449" t="s">
        <v>62</v>
      </c>
      <c r="M4449" t="s">
        <v>143</v>
      </c>
      <c r="N4449" t="s">
        <v>144</v>
      </c>
      <c r="O4449" t="s">
        <v>145</v>
      </c>
      <c r="P4449">
        <v>-20.163377000000001</v>
      </c>
      <c r="Q4449">
        <v>-44.843598</v>
      </c>
      <c r="R4449" s="2" t="str">
        <f>HYPERLINK("https://www.google.com/maps?q=-20.1633770,-44.8435980","Abrir no Google Maps")</f>
        <v>Abrir no Google Maps</v>
      </c>
      <c r="S4449">
        <v>4</v>
      </c>
      <c r="T4449">
        <v>481.58374128635978</v>
      </c>
      <c r="U4449">
        <v>4</v>
      </c>
      <c r="V4449">
        <v>0.12590006844626969</v>
      </c>
      <c r="W4449">
        <v>1</v>
      </c>
      <c r="X4449">
        <v>0.12590006844626969</v>
      </c>
      <c r="Y4449">
        <v>292</v>
      </c>
      <c r="Z4449">
        <v>575.44522663909652</v>
      </c>
      <c r="AA4449">
        <v>198</v>
      </c>
      <c r="AB4449">
        <v>332</v>
      </c>
      <c r="AC4449">
        <v>536</v>
      </c>
      <c r="AD4449">
        <v>30.35</v>
      </c>
      <c r="AE4449">
        <v>542</v>
      </c>
      <c r="AF4449">
        <v>37</v>
      </c>
      <c r="AG4449">
        <v>161</v>
      </c>
      <c r="AH4449">
        <v>129</v>
      </c>
      <c r="AI4449">
        <v>6.83</v>
      </c>
      <c r="AJ4449">
        <v>29.7</v>
      </c>
      <c r="AK4449">
        <v>23.8</v>
      </c>
      <c r="AL4449">
        <v>-20.16343344999996</v>
      </c>
      <c r="AM4449">
        <v>-44.843590796247732</v>
      </c>
      <c r="AN4449">
        <v>-20.16343344999996</v>
      </c>
      <c r="AO4449">
        <v>-44.843590796247732</v>
      </c>
      <c r="AP4449">
        <v>-20.163377000000001</v>
      </c>
      <c r="AQ4449">
        <v>-44.843598</v>
      </c>
      <c r="AR4449">
        <v>6.3289415646640057</v>
      </c>
      <c r="AS4449" t="s">
        <v>65</v>
      </c>
      <c r="AT4449">
        <v>1</v>
      </c>
      <c r="AU4449" t="s">
        <v>146</v>
      </c>
      <c r="AV4449" t="s">
        <v>147</v>
      </c>
      <c r="AW4449" t="s">
        <v>60</v>
      </c>
      <c r="AX4449" t="s">
        <v>68</v>
      </c>
      <c r="AY4449" t="s">
        <v>69</v>
      </c>
      <c r="AZ4449" t="b">
        <v>1</v>
      </c>
    </row>
    <row r="4450" spans="1:52" x14ac:dyDescent="0.3">
      <c r="A4450" t="s">
        <v>52</v>
      </c>
      <c r="B4450" t="s">
        <v>53</v>
      </c>
      <c r="C4450" t="s">
        <v>54</v>
      </c>
      <c r="D4450" t="s">
        <v>55</v>
      </c>
      <c r="E4450" t="s">
        <v>2223</v>
      </c>
      <c r="F4450" t="s">
        <v>57</v>
      </c>
      <c r="G4450" t="s">
        <v>253</v>
      </c>
      <c r="H4450" t="s">
        <v>296</v>
      </c>
      <c r="I4450" t="s">
        <v>296</v>
      </c>
      <c r="J4450" t="s">
        <v>60</v>
      </c>
      <c r="K4450" t="s">
        <v>136</v>
      </c>
      <c r="L4450" t="s">
        <v>62</v>
      </c>
      <c r="M4450" t="s">
        <v>136</v>
      </c>
      <c r="N4450" t="s">
        <v>256</v>
      </c>
      <c r="O4450" t="s">
        <v>297</v>
      </c>
      <c r="P4450">
        <v>-20.168476999999999</v>
      </c>
      <c r="Q4450">
        <v>-44.852528</v>
      </c>
      <c r="R4450" s="2" t="str">
        <f>HYPERLINK("https://www.google.com/maps?q=-20.1684770,-44.8525280","Abrir no Google Maps")</f>
        <v>Abrir no Google Maps</v>
      </c>
      <c r="S4450">
        <v>4</v>
      </c>
      <c r="T4450">
        <v>587.16898087421623</v>
      </c>
      <c r="U4450">
        <v>4</v>
      </c>
      <c r="V4450">
        <v>0.12548294198993479</v>
      </c>
      <c r="W4450">
        <v>1</v>
      </c>
      <c r="X4450">
        <v>0.12548294198993479</v>
      </c>
      <c r="Y4450">
        <v>292</v>
      </c>
      <c r="Z4450">
        <v>471.75619463337938</v>
      </c>
      <c r="AA4450">
        <v>198</v>
      </c>
      <c r="AB4450">
        <v>332</v>
      </c>
      <c r="AC4450">
        <v>536</v>
      </c>
      <c r="AD4450">
        <v>30.35</v>
      </c>
      <c r="AE4450">
        <v>542</v>
      </c>
      <c r="AF4450">
        <v>37</v>
      </c>
      <c r="AG4450">
        <v>161</v>
      </c>
      <c r="AH4450">
        <v>129</v>
      </c>
      <c r="AI4450">
        <v>6.83</v>
      </c>
      <c r="AJ4450">
        <v>29.7</v>
      </c>
      <c r="AK4450">
        <v>23.8</v>
      </c>
      <c r="AL4450">
        <v>-20.16846514999995</v>
      </c>
      <c r="AM4450">
        <v>-44.852319844682007</v>
      </c>
      <c r="AN4450">
        <v>-20.168465149999939</v>
      </c>
      <c r="AO4450">
        <v>-44.852319844682007</v>
      </c>
      <c r="AP4450">
        <v>-20.168476999999999</v>
      </c>
      <c r="AQ4450">
        <v>-44.852528</v>
      </c>
      <c r="AR4450">
        <v>21.790984536052999</v>
      </c>
      <c r="AS4450" t="s">
        <v>65</v>
      </c>
      <c r="AT4450">
        <v>1</v>
      </c>
      <c r="AU4450" t="s">
        <v>298</v>
      </c>
      <c r="AV4450" t="s">
        <v>299</v>
      </c>
      <c r="AW4450" t="s">
        <v>60</v>
      </c>
      <c r="AX4450" t="s">
        <v>68</v>
      </c>
      <c r="AY4450" t="s">
        <v>69</v>
      </c>
      <c r="AZ4450" t="b">
        <v>1</v>
      </c>
    </row>
    <row r="4451" spans="1:52" x14ac:dyDescent="0.3">
      <c r="A4451" t="s">
        <v>52</v>
      </c>
      <c r="B4451" t="s">
        <v>53</v>
      </c>
      <c r="C4451" t="s">
        <v>54</v>
      </c>
      <c r="D4451" t="s">
        <v>55</v>
      </c>
      <c r="E4451" t="s">
        <v>2223</v>
      </c>
      <c r="F4451" t="s">
        <v>57</v>
      </c>
      <c r="G4451" t="s">
        <v>253</v>
      </c>
      <c r="H4451" t="s">
        <v>1633</v>
      </c>
      <c r="I4451" t="s">
        <v>1633</v>
      </c>
      <c r="J4451" t="s">
        <v>60</v>
      </c>
      <c r="K4451" t="s">
        <v>982</v>
      </c>
      <c r="L4451" t="s">
        <v>62</v>
      </c>
      <c r="M4451" t="s">
        <v>982</v>
      </c>
      <c r="N4451" t="s">
        <v>256</v>
      </c>
      <c r="O4451" t="s">
        <v>1634</v>
      </c>
      <c r="P4451">
        <v>-20.170407000000001</v>
      </c>
      <c r="Q4451">
        <v>-44.853330999999997</v>
      </c>
      <c r="R4451" s="2" t="str">
        <f>HYPERLINK("https://www.google.com/maps?q=-20.1704070,-44.8533310","Abrir no Google Maps")</f>
        <v>Abrir no Google Maps</v>
      </c>
      <c r="S4451">
        <v>4</v>
      </c>
      <c r="T4451">
        <v>801.41180076523165</v>
      </c>
      <c r="U4451">
        <v>4</v>
      </c>
      <c r="V4451">
        <v>0.12726809378185519</v>
      </c>
      <c r="W4451">
        <v>1</v>
      </c>
      <c r="X4451">
        <v>0.12726809378185519</v>
      </c>
      <c r="Y4451">
        <v>292</v>
      </c>
      <c r="Z4451">
        <v>726.46828777213966</v>
      </c>
      <c r="AA4451">
        <v>198</v>
      </c>
      <c r="AB4451">
        <v>332</v>
      </c>
      <c r="AC4451">
        <v>536</v>
      </c>
      <c r="AD4451">
        <v>30.35</v>
      </c>
      <c r="AE4451">
        <v>542</v>
      </c>
      <c r="AF4451">
        <v>37</v>
      </c>
      <c r="AG4451">
        <v>161</v>
      </c>
      <c r="AH4451">
        <v>129</v>
      </c>
      <c r="AI4451">
        <v>6.83</v>
      </c>
      <c r="AJ4451">
        <v>29.7</v>
      </c>
      <c r="AK4451">
        <v>23.8</v>
      </c>
      <c r="AL4451">
        <v>-20.170412849999959</v>
      </c>
      <c r="AM4451">
        <v>-44.853334311192633</v>
      </c>
      <c r="AN4451">
        <v>-20.170412849999959</v>
      </c>
      <c r="AO4451">
        <v>-44.853334311192633</v>
      </c>
      <c r="AP4451">
        <v>-20.170407000000001</v>
      </c>
      <c r="AQ4451">
        <v>-44.853330999999997</v>
      </c>
      <c r="AR4451">
        <v>0.73743023728700929</v>
      </c>
      <c r="AS4451" t="s">
        <v>65</v>
      </c>
      <c r="AT4451">
        <v>1</v>
      </c>
      <c r="AU4451" t="s">
        <v>1635</v>
      </c>
      <c r="AV4451" t="s">
        <v>1636</v>
      </c>
      <c r="AW4451" t="s">
        <v>60</v>
      </c>
      <c r="AX4451" t="s">
        <v>68</v>
      </c>
      <c r="AY4451" t="s">
        <v>69</v>
      </c>
      <c r="AZ4451" t="b">
        <v>1</v>
      </c>
    </row>
    <row r="4452" spans="1:52" x14ac:dyDescent="0.3">
      <c r="A4452" t="s">
        <v>52</v>
      </c>
      <c r="B4452" t="s">
        <v>53</v>
      </c>
      <c r="C4452" t="s">
        <v>54</v>
      </c>
      <c r="D4452" t="s">
        <v>55</v>
      </c>
      <c r="E4452" t="s">
        <v>2223</v>
      </c>
      <c r="F4452" t="s">
        <v>57</v>
      </c>
      <c r="G4452" t="s">
        <v>148</v>
      </c>
      <c r="H4452" t="s">
        <v>149</v>
      </c>
      <c r="I4452" t="s">
        <v>149</v>
      </c>
      <c r="J4452" t="s">
        <v>60</v>
      </c>
      <c r="K4452" t="s">
        <v>150</v>
      </c>
      <c r="L4452" t="s">
        <v>62</v>
      </c>
      <c r="M4452" t="s">
        <v>150</v>
      </c>
      <c r="N4452" t="s">
        <v>151</v>
      </c>
      <c r="O4452" t="s">
        <v>152</v>
      </c>
      <c r="P4452">
        <v>-20.174192999999999</v>
      </c>
      <c r="Q4452">
        <v>-44.850782000000002</v>
      </c>
      <c r="R4452" s="2" t="str">
        <f>HYPERLINK("https://www.google.com/maps?q=-20.1741930,-44.8507820","Abrir no Google Maps")</f>
        <v>Abrir no Google Maps</v>
      </c>
      <c r="S4452">
        <v>4</v>
      </c>
      <c r="T4452">
        <v>994.93657848632188</v>
      </c>
      <c r="U4452">
        <v>4</v>
      </c>
      <c r="V4452">
        <v>0.12224562715227499</v>
      </c>
      <c r="W4452">
        <v>1</v>
      </c>
      <c r="X4452">
        <v>0.12224562715227499</v>
      </c>
      <c r="Y4452">
        <v>292</v>
      </c>
      <c r="Z4452">
        <v>948.95851793804729</v>
      </c>
      <c r="AA4452">
        <v>198</v>
      </c>
      <c r="AB4452">
        <v>332</v>
      </c>
      <c r="AC4452">
        <v>536</v>
      </c>
      <c r="AD4452">
        <v>30.35</v>
      </c>
      <c r="AE4452">
        <v>542</v>
      </c>
      <c r="AF4452">
        <v>37</v>
      </c>
      <c r="AG4452">
        <v>161</v>
      </c>
      <c r="AH4452">
        <v>129</v>
      </c>
      <c r="AI4452">
        <v>6.83</v>
      </c>
      <c r="AJ4452">
        <v>29.7</v>
      </c>
      <c r="AK4452">
        <v>23.8</v>
      </c>
      <c r="AL4452">
        <v>-20.174122099999941</v>
      </c>
      <c r="AM4452">
        <v>-44.850744657037339</v>
      </c>
      <c r="AN4452">
        <v>-20.174122099999941</v>
      </c>
      <c r="AO4452">
        <v>-44.850744657037339</v>
      </c>
      <c r="AP4452">
        <v>-20.174192999999999</v>
      </c>
      <c r="AQ4452">
        <v>-44.850782000000002</v>
      </c>
      <c r="AR4452">
        <v>8.8044534253701947</v>
      </c>
      <c r="AS4452" t="s">
        <v>65</v>
      </c>
      <c r="AT4452">
        <v>1</v>
      </c>
      <c r="AU4452" t="s">
        <v>153</v>
      </c>
      <c r="AV4452" t="s">
        <v>154</v>
      </c>
      <c r="AW4452" t="s">
        <v>60</v>
      </c>
      <c r="AX4452" t="s">
        <v>68</v>
      </c>
      <c r="AY4452" t="s">
        <v>69</v>
      </c>
      <c r="AZ4452" t="b">
        <v>1</v>
      </c>
    </row>
    <row r="4453" spans="1:52" x14ac:dyDescent="0.3">
      <c r="A4453" t="s">
        <v>52</v>
      </c>
      <c r="B4453" t="s">
        <v>53</v>
      </c>
      <c r="C4453" t="s">
        <v>54</v>
      </c>
      <c r="D4453" t="s">
        <v>55</v>
      </c>
      <c r="E4453" t="s">
        <v>2223</v>
      </c>
      <c r="F4453" t="s">
        <v>57</v>
      </c>
      <c r="G4453" t="s">
        <v>300</v>
      </c>
      <c r="H4453" t="s">
        <v>301</v>
      </c>
      <c r="I4453" t="s">
        <v>301</v>
      </c>
      <c r="J4453" t="s">
        <v>60</v>
      </c>
      <c r="K4453" t="s">
        <v>150</v>
      </c>
      <c r="L4453" t="s">
        <v>62</v>
      </c>
      <c r="M4453" t="s">
        <v>150</v>
      </c>
      <c r="N4453" t="s">
        <v>302</v>
      </c>
      <c r="O4453" t="s">
        <v>303</v>
      </c>
      <c r="P4453">
        <v>-20.172993000000002</v>
      </c>
      <c r="Q4453">
        <v>-44.853588999999999</v>
      </c>
      <c r="R4453" s="2" t="str">
        <f>HYPERLINK("https://www.google.com/maps?q=-20.1729930,-44.8535890","Abrir no Google Maps")</f>
        <v>Abrir no Google Maps</v>
      </c>
      <c r="S4453">
        <v>4</v>
      </c>
      <c r="T4453">
        <v>1041.446216907221</v>
      </c>
      <c r="U4453">
        <v>4</v>
      </c>
      <c r="V4453">
        <v>0.1223361959287531</v>
      </c>
      <c r="W4453">
        <v>1</v>
      </c>
      <c r="X4453">
        <v>0.1223361959287531</v>
      </c>
      <c r="Y4453">
        <v>292</v>
      </c>
      <c r="Z4453">
        <v>978.86270909763937</v>
      </c>
      <c r="AA4453">
        <v>198</v>
      </c>
      <c r="AB4453">
        <v>332</v>
      </c>
      <c r="AC4453">
        <v>536</v>
      </c>
      <c r="AD4453">
        <v>30.35</v>
      </c>
      <c r="AE4453">
        <v>542</v>
      </c>
      <c r="AF4453">
        <v>37</v>
      </c>
      <c r="AG4453">
        <v>161</v>
      </c>
      <c r="AH4453">
        <v>129</v>
      </c>
      <c r="AI4453">
        <v>6.83</v>
      </c>
      <c r="AJ4453">
        <v>29.7</v>
      </c>
      <c r="AK4453">
        <v>23.8</v>
      </c>
      <c r="AL4453">
        <v>-20.173142449999968</v>
      </c>
      <c r="AM4453">
        <v>-44.853588035903172</v>
      </c>
      <c r="AN4453">
        <v>-20.173142449999968</v>
      </c>
      <c r="AO4453">
        <v>-44.853588035903172</v>
      </c>
      <c r="AP4453">
        <v>-20.172993000000002</v>
      </c>
      <c r="AQ4453">
        <v>-44.853588999999999</v>
      </c>
      <c r="AR4453">
        <v>16.637078994259841</v>
      </c>
      <c r="AS4453" t="s">
        <v>65</v>
      </c>
      <c r="AT4453">
        <v>1</v>
      </c>
      <c r="AU4453" t="s">
        <v>304</v>
      </c>
      <c r="AV4453" t="s">
        <v>305</v>
      </c>
      <c r="AW4453" t="s">
        <v>60</v>
      </c>
      <c r="AX4453" t="s">
        <v>68</v>
      </c>
      <c r="AY4453" t="s">
        <v>69</v>
      </c>
      <c r="AZ4453" t="b">
        <v>1</v>
      </c>
    </row>
    <row r="4454" spans="1:52" x14ac:dyDescent="0.3">
      <c r="A4454" t="s">
        <v>52</v>
      </c>
      <c r="B4454" t="s">
        <v>53</v>
      </c>
      <c r="C4454" t="s">
        <v>54</v>
      </c>
      <c r="D4454" t="s">
        <v>55</v>
      </c>
      <c r="E4454" t="s">
        <v>2223</v>
      </c>
      <c r="F4454" t="s">
        <v>57</v>
      </c>
      <c r="G4454" t="s">
        <v>306</v>
      </c>
      <c r="H4454" t="s">
        <v>307</v>
      </c>
      <c r="I4454" t="s">
        <v>307</v>
      </c>
      <c r="J4454" t="s">
        <v>60</v>
      </c>
      <c r="K4454" t="s">
        <v>143</v>
      </c>
      <c r="L4454" t="s">
        <v>62</v>
      </c>
      <c r="M4454" t="s">
        <v>143</v>
      </c>
      <c r="N4454" t="s">
        <v>308</v>
      </c>
      <c r="O4454" t="s">
        <v>309</v>
      </c>
      <c r="P4454">
        <v>-20.167071</v>
      </c>
      <c r="Q4454">
        <v>-44.842730000000003</v>
      </c>
      <c r="R4454" s="2" t="str">
        <f>HYPERLINK("https://www.google.com/maps?q=-20.1670710,-44.8427300","Abrir no Google Maps")</f>
        <v>Abrir no Google Maps</v>
      </c>
      <c r="S4454">
        <v>4</v>
      </c>
      <c r="T4454">
        <v>535.14780070571521</v>
      </c>
      <c r="U4454">
        <v>4</v>
      </c>
      <c r="V4454">
        <v>0.1247067027647879</v>
      </c>
      <c r="W4454">
        <v>1</v>
      </c>
      <c r="X4454">
        <v>0.1247067027647879</v>
      </c>
      <c r="Y4454">
        <v>292</v>
      </c>
      <c r="Z4454">
        <v>582.78942050501109</v>
      </c>
      <c r="AA4454">
        <v>198</v>
      </c>
      <c r="AB4454">
        <v>332</v>
      </c>
      <c r="AC4454">
        <v>536</v>
      </c>
      <c r="AD4454">
        <v>30.35</v>
      </c>
      <c r="AE4454">
        <v>542</v>
      </c>
      <c r="AF4454">
        <v>37</v>
      </c>
      <c r="AG4454">
        <v>161</v>
      </c>
      <c r="AH4454">
        <v>129</v>
      </c>
      <c r="AI4454">
        <v>6.83</v>
      </c>
      <c r="AJ4454">
        <v>29.7</v>
      </c>
      <c r="AK4454">
        <v>23.8</v>
      </c>
      <c r="AL4454">
        <v>-20.167006799999971</v>
      </c>
      <c r="AM4454">
        <v>-44.842640974693197</v>
      </c>
      <c r="AN4454">
        <v>-20.167006799999971</v>
      </c>
      <c r="AO4454">
        <v>-44.842640974693197</v>
      </c>
      <c r="AP4454">
        <v>-20.167071</v>
      </c>
      <c r="AQ4454">
        <v>-44.842730000000003</v>
      </c>
      <c r="AR4454">
        <v>11.73100304278117</v>
      </c>
      <c r="AS4454" t="s">
        <v>65</v>
      </c>
      <c r="AT4454">
        <v>1</v>
      </c>
      <c r="AU4454" t="s">
        <v>310</v>
      </c>
      <c r="AV4454" t="s">
        <v>311</v>
      </c>
      <c r="AW4454" t="s">
        <v>60</v>
      </c>
      <c r="AX4454" t="s">
        <v>68</v>
      </c>
      <c r="AY4454" t="s">
        <v>69</v>
      </c>
      <c r="AZ4454" t="b">
        <v>1</v>
      </c>
    </row>
    <row r="4455" spans="1:52" x14ac:dyDescent="0.3">
      <c r="A4455" t="s">
        <v>52</v>
      </c>
      <c r="B4455" t="s">
        <v>53</v>
      </c>
      <c r="C4455" t="s">
        <v>54</v>
      </c>
      <c r="D4455" t="s">
        <v>55</v>
      </c>
      <c r="E4455" t="s">
        <v>2223</v>
      </c>
      <c r="F4455" t="s">
        <v>57</v>
      </c>
      <c r="G4455" t="s">
        <v>312</v>
      </c>
      <c r="H4455" t="s">
        <v>313</v>
      </c>
      <c r="I4455" t="s">
        <v>313</v>
      </c>
      <c r="J4455" t="s">
        <v>60</v>
      </c>
      <c r="K4455" t="s">
        <v>143</v>
      </c>
      <c r="L4455" t="s">
        <v>62</v>
      </c>
      <c r="M4455" t="s">
        <v>143</v>
      </c>
      <c r="N4455" t="s">
        <v>314</v>
      </c>
      <c r="O4455" t="s">
        <v>315</v>
      </c>
      <c r="P4455">
        <v>-20.168939000000002</v>
      </c>
      <c r="Q4455">
        <v>-44.843286999999997</v>
      </c>
      <c r="R4455" s="2" t="str">
        <f>HYPERLINK("https://www.google.com/maps?q=-20.1689390,-44.8432870","Abrir no Google Maps")</f>
        <v>Abrir no Google Maps</v>
      </c>
      <c r="S4455">
        <v>4</v>
      </c>
      <c r="T4455">
        <v>582.22902758915586</v>
      </c>
      <c r="U4455">
        <v>4</v>
      </c>
      <c r="V4455">
        <v>0.1216875832015383</v>
      </c>
      <c r="W4455">
        <v>1</v>
      </c>
      <c r="X4455">
        <v>0.1216875832015383</v>
      </c>
      <c r="Y4455">
        <v>292</v>
      </c>
      <c r="Z4455">
        <v>628.29035609472794</v>
      </c>
      <c r="AA4455">
        <v>198</v>
      </c>
      <c r="AB4455">
        <v>332</v>
      </c>
      <c r="AC4455">
        <v>536</v>
      </c>
      <c r="AD4455">
        <v>30.35</v>
      </c>
      <c r="AE4455">
        <v>542</v>
      </c>
      <c r="AF4455">
        <v>37</v>
      </c>
      <c r="AG4455">
        <v>161</v>
      </c>
      <c r="AH4455">
        <v>129</v>
      </c>
      <c r="AI4455">
        <v>6.83</v>
      </c>
      <c r="AJ4455">
        <v>29.7</v>
      </c>
      <c r="AK4455">
        <v>23.8</v>
      </c>
      <c r="AL4455">
        <v>-20.16917709999996</v>
      </c>
      <c r="AM4455">
        <v>-44.84342194427667</v>
      </c>
      <c r="AN4455">
        <v>-20.16917709999996</v>
      </c>
      <c r="AO4455">
        <v>-44.84342194427667</v>
      </c>
      <c r="AP4455">
        <v>-20.168939000000002</v>
      </c>
      <c r="AQ4455">
        <v>-44.843286999999997</v>
      </c>
      <c r="AR4455">
        <v>30.02272213565665</v>
      </c>
      <c r="AS4455" t="s">
        <v>65</v>
      </c>
      <c r="AT4455">
        <v>1</v>
      </c>
      <c r="AU4455" t="s">
        <v>316</v>
      </c>
      <c r="AV4455" t="s">
        <v>311</v>
      </c>
      <c r="AW4455" t="s">
        <v>60</v>
      </c>
      <c r="AX4455" t="s">
        <v>68</v>
      </c>
      <c r="AY4455" t="s">
        <v>69</v>
      </c>
      <c r="AZ4455" t="b">
        <v>1</v>
      </c>
    </row>
    <row r="4456" spans="1:52" x14ac:dyDescent="0.3">
      <c r="A4456" t="s">
        <v>52</v>
      </c>
      <c r="B4456" t="s">
        <v>53</v>
      </c>
      <c r="C4456" t="s">
        <v>54</v>
      </c>
      <c r="D4456" t="s">
        <v>55</v>
      </c>
      <c r="E4456" t="s">
        <v>2223</v>
      </c>
      <c r="F4456" t="s">
        <v>57</v>
      </c>
      <c r="G4456" t="s">
        <v>260</v>
      </c>
      <c r="H4456" t="s">
        <v>317</v>
      </c>
      <c r="I4456" t="s">
        <v>317</v>
      </c>
      <c r="J4456" t="s">
        <v>60</v>
      </c>
      <c r="K4456" t="s">
        <v>255</v>
      </c>
      <c r="L4456" t="s">
        <v>62</v>
      </c>
      <c r="M4456" t="s">
        <v>255</v>
      </c>
      <c r="N4456" t="s">
        <v>263</v>
      </c>
      <c r="O4456" t="s">
        <v>318</v>
      </c>
      <c r="P4456">
        <v>-20.163532</v>
      </c>
      <c r="Q4456">
        <v>-44.846910999999999</v>
      </c>
      <c r="R4456" s="2" t="str">
        <f>HYPERLINK("https://www.google.com/maps?q=-20.1635320,-44.8469110","Abrir no Google Maps")</f>
        <v>Abrir no Google Maps</v>
      </c>
      <c r="S4456">
        <v>4</v>
      </c>
      <c r="T4456">
        <v>259.92389401636012</v>
      </c>
      <c r="U4456">
        <v>4</v>
      </c>
      <c r="V4456">
        <v>0.12916854185418539</v>
      </c>
      <c r="W4456">
        <v>1</v>
      </c>
      <c r="X4456">
        <v>0.12916854185418539</v>
      </c>
      <c r="Y4456">
        <v>292</v>
      </c>
      <c r="Z4456">
        <v>316.26738966059708</v>
      </c>
      <c r="AA4456">
        <v>198</v>
      </c>
      <c r="AB4456">
        <v>332</v>
      </c>
      <c r="AC4456">
        <v>536</v>
      </c>
      <c r="AD4456">
        <v>30.35</v>
      </c>
      <c r="AE4456">
        <v>542</v>
      </c>
      <c r="AF4456">
        <v>37</v>
      </c>
      <c r="AG4456">
        <v>161</v>
      </c>
      <c r="AH4456">
        <v>129</v>
      </c>
      <c r="AI4456">
        <v>6.83</v>
      </c>
      <c r="AJ4456">
        <v>29.7</v>
      </c>
      <c r="AK4456">
        <v>23.8</v>
      </c>
      <c r="AL4456">
        <v>-20.16343344999996</v>
      </c>
      <c r="AM4456">
        <v>-44.846734659744428</v>
      </c>
      <c r="AN4456">
        <v>-20.16343344999996</v>
      </c>
      <c r="AO4456">
        <v>-44.846734659744428</v>
      </c>
      <c r="AP4456">
        <v>-20.163532</v>
      </c>
      <c r="AQ4456">
        <v>-44.846910999999999</v>
      </c>
      <c r="AR4456">
        <v>21.445575432006599</v>
      </c>
      <c r="AS4456" t="s">
        <v>65</v>
      </c>
      <c r="AT4456">
        <v>1</v>
      </c>
      <c r="AU4456" t="s">
        <v>319</v>
      </c>
      <c r="AV4456" t="s">
        <v>320</v>
      </c>
      <c r="AW4456" t="s">
        <v>60</v>
      </c>
      <c r="AX4456" t="s">
        <v>68</v>
      </c>
      <c r="AY4456" t="s">
        <v>69</v>
      </c>
      <c r="AZ4456" t="b">
        <v>1</v>
      </c>
    </row>
    <row r="4457" spans="1:52" x14ac:dyDescent="0.3">
      <c r="A4457" t="s">
        <v>52</v>
      </c>
      <c r="B4457" t="s">
        <v>53</v>
      </c>
      <c r="C4457" t="s">
        <v>54</v>
      </c>
      <c r="D4457" t="s">
        <v>55</v>
      </c>
      <c r="E4457" t="s">
        <v>2223</v>
      </c>
      <c r="F4457" t="s">
        <v>57</v>
      </c>
      <c r="G4457" t="s">
        <v>321</v>
      </c>
      <c r="H4457" t="s">
        <v>322</v>
      </c>
      <c r="I4457" t="s">
        <v>322</v>
      </c>
      <c r="J4457" t="s">
        <v>60</v>
      </c>
      <c r="K4457" t="s">
        <v>323</v>
      </c>
      <c r="L4457" t="s">
        <v>62</v>
      </c>
      <c r="M4457" t="s">
        <v>323</v>
      </c>
      <c r="N4457" t="s">
        <v>324</v>
      </c>
      <c r="O4457" t="s">
        <v>325</v>
      </c>
      <c r="P4457">
        <v>-20.151437999999999</v>
      </c>
      <c r="Q4457">
        <v>-44.855761000000001</v>
      </c>
      <c r="R4457" s="2" t="str">
        <f>HYPERLINK("https://www.google.com/maps?q=-20.1514380,-44.8557610","Abrir no Google Maps")</f>
        <v>Abrir no Google Maps</v>
      </c>
      <c r="S4457">
        <v>4</v>
      </c>
      <c r="T4457">
        <v>970.69989262042009</v>
      </c>
      <c r="U4457">
        <v>4</v>
      </c>
      <c r="V4457">
        <v>0.13994182014759871</v>
      </c>
      <c r="W4457">
        <v>1</v>
      </c>
      <c r="X4457">
        <v>0.13994182014759871</v>
      </c>
      <c r="Y4457">
        <v>264</v>
      </c>
      <c r="Z4457">
        <v>1041.0105988261671</v>
      </c>
      <c r="AA4457">
        <v>198</v>
      </c>
      <c r="AB4457">
        <v>332</v>
      </c>
      <c r="AC4457">
        <v>536</v>
      </c>
      <c r="AD4457">
        <v>30.35</v>
      </c>
      <c r="AE4457">
        <v>542</v>
      </c>
      <c r="AF4457">
        <v>37</v>
      </c>
      <c r="AG4457">
        <v>161</v>
      </c>
      <c r="AH4457">
        <v>129</v>
      </c>
      <c r="AI4457">
        <v>6.83</v>
      </c>
      <c r="AJ4457">
        <v>29.7</v>
      </c>
      <c r="AK4457">
        <v>23.8</v>
      </c>
      <c r="AL4457">
        <v>-20.15142824999996</v>
      </c>
      <c r="AM4457">
        <v>-44.854100160898767</v>
      </c>
      <c r="AN4457">
        <v>-20.15142824999996</v>
      </c>
      <c r="AO4457">
        <v>-44.854100160898767</v>
      </c>
      <c r="AP4457">
        <v>-20.151437999999999</v>
      </c>
      <c r="AQ4457">
        <v>-44.855761000000001</v>
      </c>
      <c r="AR4457">
        <v>173.57036632351381</v>
      </c>
      <c r="AS4457" t="s">
        <v>65</v>
      </c>
      <c r="AT4457">
        <v>1</v>
      </c>
      <c r="AU4457" t="s">
        <v>326</v>
      </c>
      <c r="AV4457" t="s">
        <v>327</v>
      </c>
      <c r="AW4457" t="s">
        <v>60</v>
      </c>
      <c r="AX4457" t="s">
        <v>68</v>
      </c>
      <c r="AY4457" t="s">
        <v>69</v>
      </c>
      <c r="AZ4457" t="b">
        <v>1</v>
      </c>
    </row>
    <row r="4458" spans="1:52" x14ac:dyDescent="0.3">
      <c r="A4458" t="s">
        <v>52</v>
      </c>
      <c r="B4458" t="s">
        <v>53</v>
      </c>
      <c r="C4458" t="s">
        <v>54</v>
      </c>
      <c r="D4458" t="s">
        <v>55</v>
      </c>
      <c r="E4458" t="s">
        <v>2223</v>
      </c>
      <c r="F4458" t="s">
        <v>57</v>
      </c>
      <c r="G4458" t="s">
        <v>334</v>
      </c>
      <c r="H4458" t="s">
        <v>335</v>
      </c>
      <c r="I4458" t="s">
        <v>335</v>
      </c>
      <c r="J4458" t="s">
        <v>60</v>
      </c>
      <c r="K4458" t="s">
        <v>336</v>
      </c>
      <c r="L4458" t="s">
        <v>62</v>
      </c>
      <c r="M4458" t="s">
        <v>336</v>
      </c>
      <c r="N4458" t="s">
        <v>337</v>
      </c>
      <c r="O4458" t="s">
        <v>338</v>
      </c>
      <c r="P4458">
        <v>-20.168142</v>
      </c>
      <c r="Q4458">
        <v>-44.875697000000002</v>
      </c>
      <c r="R4458" s="2" t="str">
        <f>HYPERLINK("https://www.google.com/maps?q=-20.1681420,-44.8756970","Abrir no Google Maps")</f>
        <v>Abrir no Google Maps</v>
      </c>
      <c r="S4458">
        <v>4</v>
      </c>
      <c r="T4458">
        <v>678.04878367834192</v>
      </c>
      <c r="U4458">
        <v>4</v>
      </c>
      <c r="V4458">
        <v>0.1226833164614274</v>
      </c>
      <c r="W4458">
        <v>1</v>
      </c>
      <c r="X4458">
        <v>0.1226833164614274</v>
      </c>
      <c r="Y4458">
        <v>232</v>
      </c>
      <c r="Z4458">
        <v>595.98467532792097</v>
      </c>
      <c r="AA4458">
        <v>198</v>
      </c>
      <c r="AB4458">
        <v>332</v>
      </c>
      <c r="AC4458">
        <v>536</v>
      </c>
      <c r="AD4458">
        <v>30.35</v>
      </c>
      <c r="AE4458">
        <v>542</v>
      </c>
      <c r="AF4458">
        <v>37</v>
      </c>
      <c r="AG4458">
        <v>161</v>
      </c>
      <c r="AH4458">
        <v>129</v>
      </c>
      <c r="AI4458">
        <v>6.83</v>
      </c>
      <c r="AJ4458">
        <v>29.7</v>
      </c>
      <c r="AK4458">
        <v>23.8</v>
      </c>
      <c r="AL4458">
        <v>-20.16787839999995</v>
      </c>
      <c r="AM4458">
        <v>-44.875681825945229</v>
      </c>
      <c r="AN4458">
        <v>-20.16787839999995</v>
      </c>
      <c r="AO4458">
        <v>-44.875681825945229</v>
      </c>
      <c r="AP4458">
        <v>-20.168142</v>
      </c>
      <c r="AQ4458">
        <v>-44.875697000000002</v>
      </c>
      <c r="AR4458">
        <v>29.386760063894371</v>
      </c>
      <c r="AS4458" t="s">
        <v>65</v>
      </c>
      <c r="AT4458">
        <v>1</v>
      </c>
      <c r="AU4458" t="s">
        <v>339</v>
      </c>
      <c r="AV4458" t="s">
        <v>340</v>
      </c>
      <c r="AW4458" t="s">
        <v>60</v>
      </c>
      <c r="AX4458" t="s">
        <v>68</v>
      </c>
      <c r="AY4458" t="s">
        <v>69</v>
      </c>
      <c r="AZ4458" t="b">
        <v>1</v>
      </c>
    </row>
    <row r="4459" spans="1:52" x14ac:dyDescent="0.3">
      <c r="A4459" t="s">
        <v>52</v>
      </c>
      <c r="B4459" t="s">
        <v>53</v>
      </c>
      <c r="C4459" t="s">
        <v>54</v>
      </c>
      <c r="D4459" t="s">
        <v>55</v>
      </c>
      <c r="E4459" t="s">
        <v>2223</v>
      </c>
      <c r="F4459" t="s">
        <v>57</v>
      </c>
      <c r="G4459" t="s">
        <v>155</v>
      </c>
      <c r="H4459" t="s">
        <v>156</v>
      </c>
      <c r="I4459" t="s">
        <v>156</v>
      </c>
      <c r="J4459" t="s">
        <v>60</v>
      </c>
      <c r="K4459" t="s">
        <v>157</v>
      </c>
      <c r="L4459" t="s">
        <v>62</v>
      </c>
      <c r="M4459" t="s">
        <v>157</v>
      </c>
      <c r="N4459" t="s">
        <v>158</v>
      </c>
      <c r="O4459" t="s">
        <v>159</v>
      </c>
      <c r="P4459">
        <v>-20.166302999999999</v>
      </c>
      <c r="Q4459">
        <v>-44.880659999999999</v>
      </c>
      <c r="R4459" s="2" t="str">
        <f>HYPERLINK("https://www.google.com/maps?q=-20.1663030,-44.8806600","Abrir no Google Maps")</f>
        <v>Abrir no Google Maps</v>
      </c>
      <c r="S4459">
        <v>4</v>
      </c>
      <c r="T4459">
        <v>504.41812426451338</v>
      </c>
      <c r="U4459">
        <v>4</v>
      </c>
      <c r="V4459">
        <v>0.1248447304392367</v>
      </c>
      <c r="W4459">
        <v>1</v>
      </c>
      <c r="X4459">
        <v>0.1248447304392367</v>
      </c>
      <c r="Y4459">
        <v>232</v>
      </c>
      <c r="Z4459">
        <v>279.57571553948952</v>
      </c>
      <c r="AA4459">
        <v>198</v>
      </c>
      <c r="AB4459">
        <v>332</v>
      </c>
      <c r="AC4459">
        <v>536</v>
      </c>
      <c r="AD4459">
        <v>30.35</v>
      </c>
      <c r="AE4459">
        <v>542</v>
      </c>
      <c r="AF4459">
        <v>37</v>
      </c>
      <c r="AG4459">
        <v>161</v>
      </c>
      <c r="AH4459">
        <v>129</v>
      </c>
      <c r="AI4459">
        <v>6.83</v>
      </c>
      <c r="AJ4459">
        <v>29.7</v>
      </c>
      <c r="AK4459">
        <v>23.8</v>
      </c>
      <c r="AL4459">
        <v>-20.166700449999951</v>
      </c>
      <c r="AM4459">
        <v>-44.880573341714289</v>
      </c>
      <c r="AN4459">
        <v>-20.166700449999951</v>
      </c>
      <c r="AO4459">
        <v>-44.880573341714289</v>
      </c>
      <c r="AP4459">
        <v>-20.166302999999999</v>
      </c>
      <c r="AQ4459">
        <v>-44.880659999999999</v>
      </c>
      <c r="AR4459">
        <v>45.161304979350312</v>
      </c>
      <c r="AS4459" t="s">
        <v>65</v>
      </c>
      <c r="AT4459">
        <v>1</v>
      </c>
      <c r="AU4459" t="s">
        <v>160</v>
      </c>
      <c r="AV4459" t="s">
        <v>161</v>
      </c>
      <c r="AW4459" t="s">
        <v>60</v>
      </c>
      <c r="AX4459" t="s">
        <v>68</v>
      </c>
      <c r="AY4459" t="s">
        <v>69</v>
      </c>
      <c r="AZ4459" t="b">
        <v>1</v>
      </c>
    </row>
    <row r="4460" spans="1:52" x14ac:dyDescent="0.3">
      <c r="A4460" t="s">
        <v>52</v>
      </c>
      <c r="B4460" t="s">
        <v>53</v>
      </c>
      <c r="C4460" t="s">
        <v>54</v>
      </c>
      <c r="D4460" t="s">
        <v>55</v>
      </c>
      <c r="E4460" t="s">
        <v>2223</v>
      </c>
      <c r="F4460" t="s">
        <v>57</v>
      </c>
      <c r="G4460" t="s">
        <v>1127</v>
      </c>
      <c r="H4460" t="s">
        <v>1643</v>
      </c>
      <c r="I4460" t="s">
        <v>1643</v>
      </c>
      <c r="J4460" t="s">
        <v>60</v>
      </c>
      <c r="K4460" t="s">
        <v>1644</v>
      </c>
      <c r="L4460" t="s">
        <v>62</v>
      </c>
      <c r="M4460" t="s">
        <v>1644</v>
      </c>
      <c r="N4460" t="s">
        <v>1645</v>
      </c>
      <c r="O4460" t="s">
        <v>1646</v>
      </c>
      <c r="P4460">
        <v>-20.144261</v>
      </c>
      <c r="Q4460">
        <v>-44.872231999999997</v>
      </c>
      <c r="R4460" s="2" t="str">
        <f>HYPERLINK("https://www.google.com/maps?q=-20.1442610,-44.8722320","Abrir no Google Maps")</f>
        <v>Abrir no Google Maps</v>
      </c>
      <c r="S4460">
        <v>4</v>
      </c>
      <c r="T4460">
        <v>347.76810049345352</v>
      </c>
      <c r="U4460">
        <v>4</v>
      </c>
      <c r="V4460">
        <v>0.1445048762190547</v>
      </c>
      <c r="W4460">
        <v>0.85</v>
      </c>
      <c r="X4460">
        <v>0.1228291447861965</v>
      </c>
      <c r="Y4460">
        <v>209</v>
      </c>
      <c r="Z4460">
        <v>239.9249814054366</v>
      </c>
      <c r="AA4460">
        <v>198</v>
      </c>
      <c r="AB4460">
        <v>332</v>
      </c>
      <c r="AC4460">
        <v>536</v>
      </c>
      <c r="AD4460">
        <v>30.35</v>
      </c>
      <c r="AE4460">
        <v>542</v>
      </c>
      <c r="AF4460">
        <v>37</v>
      </c>
      <c r="AG4460">
        <v>161</v>
      </c>
      <c r="AH4460">
        <v>129</v>
      </c>
      <c r="AI4460">
        <v>6.83</v>
      </c>
      <c r="AJ4460">
        <v>29.7</v>
      </c>
      <c r="AK4460">
        <v>23.8</v>
      </c>
      <c r="AL4460">
        <v>-20.144283649999949</v>
      </c>
      <c r="AM4460">
        <v>-44.872299150008573</v>
      </c>
      <c r="AN4460">
        <v>-20.144283649999949</v>
      </c>
      <c r="AO4460">
        <v>-44.872299150008573</v>
      </c>
      <c r="AP4460">
        <v>-20.144261</v>
      </c>
      <c r="AQ4460">
        <v>-44.872231999999997</v>
      </c>
      <c r="AR4460">
        <v>7.4570759248114484</v>
      </c>
      <c r="AS4460" t="s">
        <v>65</v>
      </c>
      <c r="AT4460">
        <v>1</v>
      </c>
      <c r="AU4460" t="s">
        <v>1647</v>
      </c>
      <c r="AV4460" t="s">
        <v>1648</v>
      </c>
      <c r="AW4460" t="s">
        <v>60</v>
      </c>
      <c r="AX4460" t="s">
        <v>68</v>
      </c>
      <c r="AY4460" t="s">
        <v>69</v>
      </c>
      <c r="AZ4460" t="b">
        <v>1</v>
      </c>
    </row>
    <row r="4461" spans="1:52" x14ac:dyDescent="0.3">
      <c r="A4461" t="s">
        <v>52</v>
      </c>
      <c r="B4461" t="s">
        <v>53</v>
      </c>
      <c r="C4461" t="s">
        <v>54</v>
      </c>
      <c r="D4461" t="s">
        <v>55</v>
      </c>
      <c r="E4461" t="s">
        <v>2223</v>
      </c>
      <c r="F4461" t="s">
        <v>57</v>
      </c>
      <c r="G4461" t="s">
        <v>353</v>
      </c>
      <c r="H4461" t="s">
        <v>354</v>
      </c>
      <c r="I4461" t="s">
        <v>354</v>
      </c>
      <c r="J4461" t="s">
        <v>60</v>
      </c>
      <c r="K4461" t="s">
        <v>355</v>
      </c>
      <c r="L4461" t="s">
        <v>62</v>
      </c>
      <c r="M4461" t="s">
        <v>355</v>
      </c>
      <c r="N4461" t="s">
        <v>356</v>
      </c>
      <c r="O4461" t="s">
        <v>357</v>
      </c>
      <c r="P4461">
        <v>-20.147373999999999</v>
      </c>
      <c r="Q4461">
        <v>-44.875141999999997</v>
      </c>
      <c r="R4461" s="2" t="str">
        <f>HYPERLINK("https://www.google.com/maps?q=-20.1473740,-44.8751420","Abrir no Google Maps")</f>
        <v>Abrir no Google Maps</v>
      </c>
      <c r="S4461">
        <v>4</v>
      </c>
      <c r="T4461">
        <v>394.29708169591709</v>
      </c>
      <c r="U4461">
        <v>4</v>
      </c>
      <c r="V4461">
        <v>0.128214118747078</v>
      </c>
      <c r="W4461">
        <v>1</v>
      </c>
      <c r="X4461">
        <v>0.128214118747078</v>
      </c>
      <c r="Y4461">
        <v>209</v>
      </c>
      <c r="Z4461">
        <v>326.95034461828868</v>
      </c>
      <c r="AA4461">
        <v>198</v>
      </c>
      <c r="AB4461">
        <v>332</v>
      </c>
      <c r="AC4461">
        <v>536</v>
      </c>
      <c r="AD4461">
        <v>30.35</v>
      </c>
      <c r="AE4461">
        <v>542</v>
      </c>
      <c r="AF4461">
        <v>37</v>
      </c>
      <c r="AG4461">
        <v>161</v>
      </c>
      <c r="AH4461">
        <v>129</v>
      </c>
      <c r="AI4461">
        <v>6.83</v>
      </c>
      <c r="AJ4461">
        <v>29.7</v>
      </c>
      <c r="AK4461">
        <v>23.8</v>
      </c>
      <c r="AL4461">
        <v>-20.147207999999949</v>
      </c>
      <c r="AM4461">
        <v>-44.875152120336942</v>
      </c>
      <c r="AN4461">
        <v>-20.147207999999949</v>
      </c>
      <c r="AO4461">
        <v>-44.875152120336942</v>
      </c>
      <c r="AP4461">
        <v>-20.147373999999999</v>
      </c>
      <c r="AQ4461">
        <v>-44.875141999999997</v>
      </c>
      <c r="AR4461">
        <v>18.509363081081169</v>
      </c>
      <c r="AS4461" t="s">
        <v>65</v>
      </c>
      <c r="AT4461">
        <v>1</v>
      </c>
      <c r="AU4461" t="s">
        <v>358</v>
      </c>
      <c r="AV4461" t="s">
        <v>359</v>
      </c>
      <c r="AW4461" t="s">
        <v>60</v>
      </c>
      <c r="AX4461" t="s">
        <v>68</v>
      </c>
      <c r="AY4461" t="s">
        <v>69</v>
      </c>
      <c r="AZ4461" t="b">
        <v>1</v>
      </c>
    </row>
    <row r="4462" spans="1:52" x14ac:dyDescent="0.3">
      <c r="A4462" t="s">
        <v>52</v>
      </c>
      <c r="B4462" t="s">
        <v>53</v>
      </c>
      <c r="C4462" t="s">
        <v>54</v>
      </c>
      <c r="D4462" t="s">
        <v>55</v>
      </c>
      <c r="E4462" t="s">
        <v>2223</v>
      </c>
      <c r="F4462" t="s">
        <v>57</v>
      </c>
      <c r="G4462" t="s">
        <v>1649</v>
      </c>
      <c r="H4462" t="s">
        <v>1650</v>
      </c>
      <c r="I4462" t="s">
        <v>1650</v>
      </c>
      <c r="J4462" t="s">
        <v>60</v>
      </c>
      <c r="K4462" t="s">
        <v>355</v>
      </c>
      <c r="L4462" t="s">
        <v>62</v>
      </c>
      <c r="M4462" t="s">
        <v>355</v>
      </c>
      <c r="N4462" t="s">
        <v>1651</v>
      </c>
      <c r="O4462" t="s">
        <v>293</v>
      </c>
      <c r="P4462">
        <v>-20.141983</v>
      </c>
      <c r="Q4462">
        <v>-44.871161000000001</v>
      </c>
      <c r="R4462" s="2" t="str">
        <f>HYPERLINK("https://www.google.com/maps?q=-20.1419830,-44.8711610","Abrir no Google Maps")</f>
        <v>Abrir no Google Maps</v>
      </c>
      <c r="S4462">
        <v>4</v>
      </c>
      <c r="T4462">
        <v>492.40092389187612</v>
      </c>
      <c r="U4462">
        <v>4</v>
      </c>
      <c r="V4462">
        <v>0.1315978198508318</v>
      </c>
      <c r="W4462">
        <v>1</v>
      </c>
      <c r="X4462">
        <v>0.1315978198508318</v>
      </c>
      <c r="Y4462">
        <v>209</v>
      </c>
      <c r="Z4462">
        <v>425.51195583014947</v>
      </c>
      <c r="AA4462">
        <v>198</v>
      </c>
      <c r="AB4462">
        <v>332</v>
      </c>
      <c r="AC4462">
        <v>536</v>
      </c>
      <c r="AD4462">
        <v>30.35</v>
      </c>
      <c r="AE4462">
        <v>542</v>
      </c>
      <c r="AF4462">
        <v>37</v>
      </c>
      <c r="AG4462">
        <v>161</v>
      </c>
      <c r="AH4462">
        <v>129</v>
      </c>
      <c r="AI4462">
        <v>6.83</v>
      </c>
      <c r="AJ4462">
        <v>29.7</v>
      </c>
      <c r="AK4462">
        <v>23.8</v>
      </c>
      <c r="AL4462">
        <v>-20.142006349999971</v>
      </c>
      <c r="AM4462">
        <v>-44.871190369486733</v>
      </c>
      <c r="AN4462">
        <v>-20.142006349999981</v>
      </c>
      <c r="AO4462">
        <v>-44.871190369486733</v>
      </c>
      <c r="AP4462">
        <v>-20.141983</v>
      </c>
      <c r="AQ4462">
        <v>-44.871161000000001</v>
      </c>
      <c r="AR4462">
        <v>4.0221964388318616</v>
      </c>
      <c r="AS4462" t="s">
        <v>65</v>
      </c>
      <c r="AT4462">
        <v>1</v>
      </c>
      <c r="AU4462" t="s">
        <v>1652</v>
      </c>
      <c r="AV4462" t="s">
        <v>1653</v>
      </c>
      <c r="AW4462" t="s">
        <v>60</v>
      </c>
      <c r="AX4462" t="s">
        <v>68</v>
      </c>
      <c r="AY4462" t="s">
        <v>69</v>
      </c>
      <c r="AZ4462" t="b">
        <v>1</v>
      </c>
    </row>
    <row r="4463" spans="1:52" x14ac:dyDescent="0.3">
      <c r="A4463" t="s">
        <v>52</v>
      </c>
      <c r="B4463" t="s">
        <v>53</v>
      </c>
      <c r="C4463" t="s">
        <v>54</v>
      </c>
      <c r="D4463" t="s">
        <v>55</v>
      </c>
      <c r="E4463" t="s">
        <v>2223</v>
      </c>
      <c r="F4463" t="s">
        <v>57</v>
      </c>
      <c r="G4463" t="s">
        <v>169</v>
      </c>
      <c r="H4463" t="s">
        <v>170</v>
      </c>
      <c r="I4463" t="s">
        <v>170</v>
      </c>
      <c r="J4463" t="s">
        <v>60</v>
      </c>
      <c r="K4463" t="s">
        <v>171</v>
      </c>
      <c r="L4463" t="s">
        <v>62</v>
      </c>
      <c r="M4463" t="s">
        <v>171</v>
      </c>
      <c r="N4463" t="s">
        <v>172</v>
      </c>
      <c r="O4463" t="s">
        <v>173</v>
      </c>
      <c r="P4463">
        <v>-20.15334</v>
      </c>
      <c r="Q4463">
        <v>-44.891691000000002</v>
      </c>
      <c r="R4463" s="2" t="str">
        <f>HYPERLINK("https://www.google.com/maps?q=-20.1533400,-44.8916910","Abrir no Google Maps")</f>
        <v>Abrir no Google Maps</v>
      </c>
      <c r="S4463">
        <v>4</v>
      </c>
      <c r="T4463">
        <v>263.82013116084107</v>
      </c>
      <c r="U4463">
        <v>4</v>
      </c>
      <c r="V4463">
        <v>0.13223289808655661</v>
      </c>
      <c r="W4463">
        <v>1</v>
      </c>
      <c r="X4463">
        <v>0.13223289808655661</v>
      </c>
      <c r="Y4463">
        <v>129</v>
      </c>
      <c r="Z4463">
        <v>72.771047355993247</v>
      </c>
      <c r="AA4463">
        <v>198</v>
      </c>
      <c r="AB4463">
        <v>332</v>
      </c>
      <c r="AC4463">
        <v>536</v>
      </c>
      <c r="AD4463">
        <v>30.35</v>
      </c>
      <c r="AE4463">
        <v>542</v>
      </c>
      <c r="AF4463">
        <v>37</v>
      </c>
      <c r="AG4463">
        <v>161</v>
      </c>
      <c r="AH4463">
        <v>129</v>
      </c>
      <c r="AI4463">
        <v>6.83</v>
      </c>
      <c r="AJ4463">
        <v>29.7</v>
      </c>
      <c r="AK4463">
        <v>23.8</v>
      </c>
      <c r="AL4463">
        <v>-20.153531799999971</v>
      </c>
      <c r="AM4463">
        <v>-44.89196779651779</v>
      </c>
      <c r="AN4463">
        <v>-20.153531799999971</v>
      </c>
      <c r="AO4463">
        <v>-44.89196779651779</v>
      </c>
      <c r="AP4463">
        <v>-20.15334</v>
      </c>
      <c r="AQ4463">
        <v>-44.891691000000002</v>
      </c>
      <c r="AR4463">
        <v>35.952871813310509</v>
      </c>
      <c r="AS4463" t="s">
        <v>65</v>
      </c>
      <c r="AT4463">
        <v>1</v>
      </c>
      <c r="AU4463" t="s">
        <v>174</v>
      </c>
      <c r="AV4463" t="s">
        <v>175</v>
      </c>
      <c r="AW4463" t="s">
        <v>60</v>
      </c>
      <c r="AX4463" t="s">
        <v>68</v>
      </c>
      <c r="AY4463" t="s">
        <v>69</v>
      </c>
      <c r="AZ4463" t="b">
        <v>1</v>
      </c>
    </row>
    <row r="4464" spans="1:52" x14ac:dyDescent="0.3">
      <c r="A4464" t="s">
        <v>52</v>
      </c>
      <c r="B4464" t="s">
        <v>53</v>
      </c>
      <c r="C4464" t="s">
        <v>54</v>
      </c>
      <c r="D4464" t="s">
        <v>55</v>
      </c>
      <c r="E4464" t="s">
        <v>2223</v>
      </c>
      <c r="F4464" t="s">
        <v>57</v>
      </c>
      <c r="G4464" t="s">
        <v>1660</v>
      </c>
      <c r="H4464" t="s">
        <v>1661</v>
      </c>
      <c r="I4464" t="s">
        <v>1661</v>
      </c>
      <c r="J4464" t="s">
        <v>60</v>
      </c>
      <c r="K4464" t="s">
        <v>164</v>
      </c>
      <c r="L4464" t="s">
        <v>62</v>
      </c>
      <c r="M4464" t="s">
        <v>164</v>
      </c>
      <c r="N4464" t="s">
        <v>1662</v>
      </c>
      <c r="O4464" t="s">
        <v>1663</v>
      </c>
      <c r="P4464">
        <v>-20.181692000000002</v>
      </c>
      <c r="Q4464">
        <v>-44.877276000000002</v>
      </c>
      <c r="R4464" s="2" t="str">
        <f>HYPERLINK("https://www.google.com/maps?q=-20.1816920,-44.8772760","Abrir no Google Maps")</f>
        <v>Abrir no Google Maps</v>
      </c>
      <c r="S4464">
        <v>4</v>
      </c>
      <c r="T4464">
        <v>630.49689192580956</v>
      </c>
      <c r="U4464">
        <v>4</v>
      </c>
      <c r="V4464">
        <v>0.12787316343955779</v>
      </c>
      <c r="W4464">
        <v>1</v>
      </c>
      <c r="X4464">
        <v>0.12787316343955779</v>
      </c>
      <c r="Y4464">
        <v>101</v>
      </c>
      <c r="Z4464">
        <v>732.81472992851411</v>
      </c>
      <c r="AA4464">
        <v>198</v>
      </c>
      <c r="AB4464">
        <v>332</v>
      </c>
      <c r="AC4464">
        <v>536</v>
      </c>
      <c r="AD4464">
        <v>30.35</v>
      </c>
      <c r="AE4464">
        <v>542</v>
      </c>
      <c r="AF4464">
        <v>37</v>
      </c>
      <c r="AG4464">
        <v>161</v>
      </c>
      <c r="AH4464">
        <v>129</v>
      </c>
      <c r="AI4464">
        <v>6.83</v>
      </c>
      <c r="AJ4464">
        <v>29.7</v>
      </c>
      <c r="AK4464">
        <v>23.8</v>
      </c>
      <c r="AL4464">
        <v>-20.181644349999971</v>
      </c>
      <c r="AM4464">
        <v>-44.876890970787557</v>
      </c>
      <c r="AN4464">
        <v>-20.181644349999971</v>
      </c>
      <c r="AO4464">
        <v>-44.876890970787557</v>
      </c>
      <c r="AP4464">
        <v>-20.181692000000002</v>
      </c>
      <c r="AQ4464">
        <v>-44.877276000000002</v>
      </c>
      <c r="AR4464">
        <v>40.578104107908509</v>
      </c>
      <c r="AS4464" t="s">
        <v>65</v>
      </c>
      <c r="AT4464">
        <v>1</v>
      </c>
      <c r="AU4464" t="s">
        <v>1664</v>
      </c>
      <c r="AV4464" t="s">
        <v>1665</v>
      </c>
      <c r="AW4464" t="s">
        <v>60</v>
      </c>
      <c r="AX4464" t="s">
        <v>68</v>
      </c>
      <c r="AY4464" t="s">
        <v>69</v>
      </c>
      <c r="AZ4464" t="b">
        <v>1</v>
      </c>
    </row>
    <row r="4465" spans="1:52" x14ac:dyDescent="0.3">
      <c r="A4465" t="s">
        <v>52</v>
      </c>
      <c r="B4465" t="s">
        <v>53</v>
      </c>
      <c r="C4465" t="s">
        <v>54</v>
      </c>
      <c r="D4465" t="s">
        <v>55</v>
      </c>
      <c r="E4465" t="s">
        <v>2223</v>
      </c>
      <c r="F4465" t="s">
        <v>57</v>
      </c>
      <c r="G4465" t="s">
        <v>373</v>
      </c>
      <c r="H4465" t="s">
        <v>374</v>
      </c>
      <c r="I4465" t="s">
        <v>374</v>
      </c>
      <c r="J4465" t="s">
        <v>60</v>
      </c>
      <c r="K4465" t="s">
        <v>375</v>
      </c>
      <c r="L4465" t="s">
        <v>62</v>
      </c>
      <c r="M4465" t="s">
        <v>375</v>
      </c>
      <c r="N4465" t="s">
        <v>376</v>
      </c>
      <c r="O4465" t="s">
        <v>377</v>
      </c>
      <c r="P4465">
        <v>-20.178172</v>
      </c>
      <c r="Q4465">
        <v>-44.882871999999999</v>
      </c>
      <c r="R4465" s="2" t="str">
        <f>HYPERLINK("https://www.google.com/maps?q=-20.1781720,-44.8828720","Abrir no Google Maps")</f>
        <v>Abrir no Google Maps</v>
      </c>
      <c r="S4465">
        <v>4</v>
      </c>
      <c r="T4465">
        <v>817.23317190190858</v>
      </c>
      <c r="U4465">
        <v>4</v>
      </c>
      <c r="V4465">
        <v>0.16212719298245609</v>
      </c>
      <c r="W4465">
        <v>1</v>
      </c>
      <c r="X4465">
        <v>0.16212719298245609</v>
      </c>
      <c r="Y4465">
        <v>101</v>
      </c>
      <c r="Z4465">
        <v>845.03006728789421</v>
      </c>
      <c r="AA4465">
        <v>198</v>
      </c>
      <c r="AB4465">
        <v>332</v>
      </c>
      <c r="AC4465">
        <v>536</v>
      </c>
      <c r="AD4465">
        <v>30.35</v>
      </c>
      <c r="AE4465">
        <v>542</v>
      </c>
      <c r="AF4465">
        <v>37</v>
      </c>
      <c r="AG4465">
        <v>161</v>
      </c>
      <c r="AH4465">
        <v>129</v>
      </c>
      <c r="AI4465">
        <v>6.83</v>
      </c>
      <c r="AJ4465">
        <v>29.7</v>
      </c>
      <c r="AK4465">
        <v>23.8</v>
      </c>
      <c r="AL4465">
        <v>-20.178380049999959</v>
      </c>
      <c r="AM4465">
        <v>-44.883070555357122</v>
      </c>
      <c r="AN4465">
        <v>-20.178380049999959</v>
      </c>
      <c r="AO4465">
        <v>-44.883070555357122</v>
      </c>
      <c r="AP4465">
        <v>-20.178172</v>
      </c>
      <c r="AQ4465">
        <v>-44.882871999999999</v>
      </c>
      <c r="AR4465">
        <v>31.093588149250511</v>
      </c>
      <c r="AS4465" t="s">
        <v>65</v>
      </c>
      <c r="AT4465">
        <v>1</v>
      </c>
      <c r="AU4465" t="s">
        <v>378</v>
      </c>
      <c r="AV4465" t="s">
        <v>379</v>
      </c>
      <c r="AW4465" t="s">
        <v>60</v>
      </c>
      <c r="AX4465" t="s">
        <v>68</v>
      </c>
      <c r="AY4465" t="s">
        <v>69</v>
      </c>
      <c r="AZ4465" t="b">
        <v>1</v>
      </c>
    </row>
    <row r="4466" spans="1:52" x14ac:dyDescent="0.3">
      <c r="A4466" t="s">
        <v>52</v>
      </c>
      <c r="B4466" t="s">
        <v>53</v>
      </c>
      <c r="C4466" t="s">
        <v>54</v>
      </c>
      <c r="D4466" t="s">
        <v>55</v>
      </c>
      <c r="E4466" t="s">
        <v>2223</v>
      </c>
      <c r="F4466" t="s">
        <v>57</v>
      </c>
      <c r="G4466" t="s">
        <v>1671</v>
      </c>
      <c r="H4466" t="s">
        <v>1672</v>
      </c>
      <c r="I4466" t="s">
        <v>1672</v>
      </c>
      <c r="J4466" t="s">
        <v>60</v>
      </c>
      <c r="K4466" t="s">
        <v>375</v>
      </c>
      <c r="L4466" t="s">
        <v>62</v>
      </c>
      <c r="M4466" t="s">
        <v>375</v>
      </c>
      <c r="N4466" t="s">
        <v>1673</v>
      </c>
      <c r="O4466" t="s">
        <v>370</v>
      </c>
      <c r="P4466">
        <v>-20.180724000000001</v>
      </c>
      <c r="Q4466">
        <v>-44.886913999999997</v>
      </c>
      <c r="R4466" s="2" t="str">
        <f>HYPERLINK("https://www.google.com/maps?q=-20.1807240,-44.8869140","Abrir no Google Maps")</f>
        <v>Abrir no Google Maps</v>
      </c>
      <c r="S4466">
        <v>4</v>
      </c>
      <c r="T4466">
        <v>814.7424073839951</v>
      </c>
      <c r="U4466">
        <v>4</v>
      </c>
      <c r="V4466">
        <v>0.15851380750276739</v>
      </c>
      <c r="W4466">
        <v>1</v>
      </c>
      <c r="X4466">
        <v>0.15851380750276739</v>
      </c>
      <c r="Y4466">
        <v>101</v>
      </c>
      <c r="Z4466">
        <v>808.23656795472721</v>
      </c>
      <c r="AA4466">
        <v>198</v>
      </c>
      <c r="AB4466">
        <v>332</v>
      </c>
      <c r="AC4466">
        <v>536</v>
      </c>
      <c r="AD4466">
        <v>30.35</v>
      </c>
      <c r="AE4466">
        <v>542</v>
      </c>
      <c r="AF4466">
        <v>37</v>
      </c>
      <c r="AG4466">
        <v>161</v>
      </c>
      <c r="AH4466">
        <v>129</v>
      </c>
      <c r="AI4466">
        <v>6.83</v>
      </c>
      <c r="AJ4466">
        <v>29.7</v>
      </c>
      <c r="AK4466">
        <v>23.8</v>
      </c>
      <c r="AL4466">
        <v>-20.18071869999994</v>
      </c>
      <c r="AM4466">
        <v>-44.886927989725393</v>
      </c>
      <c r="AN4466">
        <v>-20.18071869999994</v>
      </c>
      <c r="AO4466">
        <v>-44.886927989725393</v>
      </c>
      <c r="AP4466">
        <v>-20.180724000000001</v>
      </c>
      <c r="AQ4466">
        <v>-44.886913999999997</v>
      </c>
      <c r="AR4466">
        <v>1.5763090046691759</v>
      </c>
      <c r="AS4466" t="s">
        <v>65</v>
      </c>
      <c r="AT4466">
        <v>1</v>
      </c>
      <c r="AU4466" t="s">
        <v>1674</v>
      </c>
      <c r="AV4466" t="s">
        <v>1642</v>
      </c>
      <c r="AW4466" t="s">
        <v>60</v>
      </c>
      <c r="AX4466" t="s">
        <v>68</v>
      </c>
      <c r="AY4466" t="s">
        <v>69</v>
      </c>
      <c r="AZ4466" t="b">
        <v>1</v>
      </c>
    </row>
    <row r="4467" spans="1:52" x14ac:dyDescent="0.3">
      <c r="A4467" t="s">
        <v>52</v>
      </c>
      <c r="B4467" t="s">
        <v>53</v>
      </c>
      <c r="C4467" t="s">
        <v>54</v>
      </c>
      <c r="D4467" t="s">
        <v>55</v>
      </c>
      <c r="E4467" t="s">
        <v>2223</v>
      </c>
      <c r="F4467" t="s">
        <v>57</v>
      </c>
      <c r="G4467" t="s">
        <v>176</v>
      </c>
      <c r="H4467" t="s">
        <v>177</v>
      </c>
      <c r="I4467" t="s">
        <v>177</v>
      </c>
      <c r="J4467" t="s">
        <v>60</v>
      </c>
      <c r="K4467" t="s">
        <v>178</v>
      </c>
      <c r="L4467" t="s">
        <v>62</v>
      </c>
      <c r="M4467" t="s">
        <v>178</v>
      </c>
      <c r="N4467" t="s">
        <v>179</v>
      </c>
      <c r="O4467" t="s">
        <v>180</v>
      </c>
      <c r="P4467">
        <v>-20.129152999999999</v>
      </c>
      <c r="Q4467">
        <v>-44.859299</v>
      </c>
      <c r="R4467" s="2" t="str">
        <f>HYPERLINK("https://www.google.com/maps?q=-20.1291530,-44.8592990","Abrir no Google Maps")</f>
        <v>Abrir no Google Maps</v>
      </c>
      <c r="S4467">
        <v>4</v>
      </c>
      <c r="T4467">
        <v>0</v>
      </c>
      <c r="U4467">
        <v>4</v>
      </c>
      <c r="V4467">
        <v>0.1223557985602733</v>
      </c>
      <c r="W4467">
        <v>1</v>
      </c>
      <c r="X4467">
        <v>0.1223557985602733</v>
      </c>
      <c r="Y4467">
        <v>95</v>
      </c>
      <c r="Z4467">
        <v>323.58963420291411</v>
      </c>
      <c r="AA4467">
        <v>198</v>
      </c>
      <c r="AB4467">
        <v>332</v>
      </c>
      <c r="AC4467">
        <v>536</v>
      </c>
      <c r="AD4467">
        <v>30.35</v>
      </c>
      <c r="AE4467">
        <v>542</v>
      </c>
      <c r="AF4467">
        <v>37</v>
      </c>
      <c r="AG4467">
        <v>161</v>
      </c>
      <c r="AH4467">
        <v>129</v>
      </c>
      <c r="AI4467">
        <v>6.83</v>
      </c>
      <c r="AJ4467">
        <v>29.7</v>
      </c>
      <c r="AK4467">
        <v>23.8</v>
      </c>
      <c r="AL4467">
        <v>-20.129260799999969</v>
      </c>
      <c r="AM4467">
        <v>-44.859468344955843</v>
      </c>
      <c r="AN4467">
        <v>-20.129260799999969</v>
      </c>
      <c r="AO4467">
        <v>-44.859468344955843</v>
      </c>
      <c r="AP4467">
        <v>-20.129152999999999</v>
      </c>
      <c r="AQ4467">
        <v>-44.859299</v>
      </c>
      <c r="AR4467">
        <v>21.38451122307773</v>
      </c>
      <c r="AS4467" t="s">
        <v>65</v>
      </c>
      <c r="AT4467">
        <v>1</v>
      </c>
      <c r="AU4467" t="s">
        <v>181</v>
      </c>
      <c r="AV4467" t="s">
        <v>182</v>
      </c>
      <c r="AW4467" t="s">
        <v>60</v>
      </c>
      <c r="AX4467" t="s">
        <v>68</v>
      </c>
      <c r="AY4467" t="s">
        <v>69</v>
      </c>
      <c r="AZ4467" t="b">
        <v>1</v>
      </c>
    </row>
    <row r="4468" spans="1:52" x14ac:dyDescent="0.3">
      <c r="A4468" t="s">
        <v>52</v>
      </c>
      <c r="B4468" t="s">
        <v>53</v>
      </c>
      <c r="C4468" t="s">
        <v>54</v>
      </c>
      <c r="D4468" t="s">
        <v>55</v>
      </c>
      <c r="E4468" t="s">
        <v>2223</v>
      </c>
      <c r="F4468" t="s">
        <v>190</v>
      </c>
      <c r="G4468" t="s">
        <v>70</v>
      </c>
      <c r="H4468" t="s">
        <v>71</v>
      </c>
      <c r="I4468" t="s">
        <v>71</v>
      </c>
      <c r="J4468" t="s">
        <v>60</v>
      </c>
      <c r="K4468" t="s">
        <v>72</v>
      </c>
      <c r="L4468" t="s">
        <v>62</v>
      </c>
      <c r="M4468" t="s">
        <v>72</v>
      </c>
      <c r="N4468" t="s">
        <v>73</v>
      </c>
      <c r="O4468" t="s">
        <v>74</v>
      </c>
      <c r="P4468">
        <v>-20.149349000000001</v>
      </c>
      <c r="Q4468">
        <v>-44.910784</v>
      </c>
      <c r="R4468" s="2" t="str">
        <f>HYPERLINK("https://www.google.com/maps?q=-20.1493490,-44.9107840","Abrir no Google Maps")</f>
        <v>Abrir no Google Maps</v>
      </c>
      <c r="S4468">
        <v>4</v>
      </c>
      <c r="T4468">
        <v>472.43876549769578</v>
      </c>
      <c r="U4468">
        <v>3</v>
      </c>
      <c r="V4468">
        <v>0.116593992248062</v>
      </c>
      <c r="W4468">
        <v>1</v>
      </c>
      <c r="X4468">
        <v>0.116593992248062</v>
      </c>
      <c r="Y4468">
        <v>747</v>
      </c>
      <c r="Z4468">
        <v>441.03921887407779</v>
      </c>
      <c r="AA4468">
        <v>198</v>
      </c>
      <c r="AB4468">
        <v>332</v>
      </c>
      <c r="AC4468">
        <v>536</v>
      </c>
      <c r="AD4468">
        <v>30.35</v>
      </c>
      <c r="AE4468">
        <v>542</v>
      </c>
      <c r="AF4468">
        <v>37</v>
      </c>
      <c r="AG4468">
        <v>161</v>
      </c>
      <c r="AH4468">
        <v>129</v>
      </c>
      <c r="AI4468">
        <v>6.83</v>
      </c>
      <c r="AJ4468">
        <v>29.7</v>
      </c>
      <c r="AK4468">
        <v>23.8</v>
      </c>
      <c r="AL4468">
        <v>-20.149403999999951</v>
      </c>
      <c r="AM4468">
        <v>-44.91080895147438</v>
      </c>
      <c r="AN4468">
        <v>-20.149403999999951</v>
      </c>
      <c r="AO4468">
        <v>-44.91080895147438</v>
      </c>
      <c r="AP4468">
        <v>-20.149349000000001</v>
      </c>
      <c r="AQ4468">
        <v>-44.910784</v>
      </c>
      <c r="AR4468">
        <v>6.6547592699416382</v>
      </c>
      <c r="AS4468" t="s">
        <v>65</v>
      </c>
      <c r="AT4468">
        <v>1</v>
      </c>
      <c r="AU4468" t="s">
        <v>75</v>
      </c>
      <c r="AV4468" t="s">
        <v>76</v>
      </c>
      <c r="AW4468" t="s">
        <v>60</v>
      </c>
      <c r="AX4468" t="s">
        <v>68</v>
      </c>
      <c r="AY4468" t="s">
        <v>69</v>
      </c>
      <c r="AZ4468" t="b">
        <v>1</v>
      </c>
    </row>
    <row r="4469" spans="1:52" x14ac:dyDescent="0.3">
      <c r="A4469" t="s">
        <v>52</v>
      </c>
      <c r="B4469" t="s">
        <v>53</v>
      </c>
      <c r="C4469" t="s">
        <v>54</v>
      </c>
      <c r="D4469" t="s">
        <v>55</v>
      </c>
      <c r="E4469" t="s">
        <v>2223</v>
      </c>
      <c r="F4469" t="s">
        <v>190</v>
      </c>
      <c r="G4469" t="s">
        <v>95</v>
      </c>
      <c r="H4469" t="s">
        <v>96</v>
      </c>
      <c r="I4469" t="s">
        <v>96</v>
      </c>
      <c r="J4469" t="s">
        <v>60</v>
      </c>
      <c r="K4469" t="s">
        <v>72</v>
      </c>
      <c r="L4469" t="s">
        <v>62</v>
      </c>
      <c r="M4469" t="s">
        <v>72</v>
      </c>
      <c r="N4469" t="s">
        <v>97</v>
      </c>
      <c r="O4469" t="s">
        <v>98</v>
      </c>
      <c r="P4469">
        <v>-20.144062999999999</v>
      </c>
      <c r="Q4469">
        <v>-44.909627999999998</v>
      </c>
      <c r="R4469" s="2" t="str">
        <f>HYPERLINK("https://www.google.com/maps?q=-20.1440630,-44.9096280","Abrir no Google Maps")</f>
        <v>Abrir no Google Maps</v>
      </c>
      <c r="S4469">
        <v>4</v>
      </c>
      <c r="T4469">
        <v>205.27083326529291</v>
      </c>
      <c r="U4469">
        <v>3</v>
      </c>
      <c r="V4469">
        <v>0.1180726718333121</v>
      </c>
      <c r="W4469">
        <v>1</v>
      </c>
      <c r="X4469">
        <v>0.1180726718333121</v>
      </c>
      <c r="Y4469">
        <v>747</v>
      </c>
      <c r="Z4469">
        <v>336.75785483480968</v>
      </c>
      <c r="AA4469">
        <v>198</v>
      </c>
      <c r="AB4469">
        <v>332</v>
      </c>
      <c r="AC4469">
        <v>536</v>
      </c>
      <c r="AD4469">
        <v>30.35</v>
      </c>
      <c r="AE4469">
        <v>542</v>
      </c>
      <c r="AF4469">
        <v>37</v>
      </c>
      <c r="AG4469">
        <v>161</v>
      </c>
      <c r="AH4469">
        <v>129</v>
      </c>
      <c r="AI4469">
        <v>6.83</v>
      </c>
      <c r="AJ4469">
        <v>29.7</v>
      </c>
      <c r="AK4469">
        <v>23.8</v>
      </c>
      <c r="AL4469">
        <v>-20.144164099999951</v>
      </c>
      <c r="AM4469">
        <v>-44.909420167767642</v>
      </c>
      <c r="AN4469">
        <v>-20.144164099999951</v>
      </c>
      <c r="AO4469">
        <v>-44.909420167767642</v>
      </c>
      <c r="AP4469">
        <v>-20.144062999999999</v>
      </c>
      <c r="AQ4469">
        <v>-44.909627999999998</v>
      </c>
      <c r="AR4469">
        <v>24.46321571724976</v>
      </c>
      <c r="AS4469" t="s">
        <v>65</v>
      </c>
      <c r="AT4469">
        <v>1</v>
      </c>
      <c r="AU4469" t="s">
        <v>99</v>
      </c>
      <c r="AV4469" t="s">
        <v>94</v>
      </c>
      <c r="AW4469" t="s">
        <v>60</v>
      </c>
      <c r="AX4469" t="s">
        <v>68</v>
      </c>
      <c r="AY4469" t="s">
        <v>69</v>
      </c>
      <c r="AZ4469" t="b">
        <v>1</v>
      </c>
    </row>
    <row r="4470" spans="1:52" x14ac:dyDescent="0.3">
      <c r="A4470" t="s">
        <v>52</v>
      </c>
      <c r="B4470" t="s">
        <v>53</v>
      </c>
      <c r="C4470" t="s">
        <v>54</v>
      </c>
      <c r="D4470" t="s">
        <v>55</v>
      </c>
      <c r="E4470" t="s">
        <v>2223</v>
      </c>
      <c r="F4470" t="s">
        <v>190</v>
      </c>
      <c r="G4470" t="s">
        <v>115</v>
      </c>
      <c r="H4470" t="s">
        <v>116</v>
      </c>
      <c r="I4470" t="s">
        <v>116</v>
      </c>
      <c r="J4470" t="s">
        <v>60</v>
      </c>
      <c r="K4470" t="s">
        <v>117</v>
      </c>
      <c r="L4470" t="s">
        <v>62</v>
      </c>
      <c r="M4470" t="s">
        <v>117</v>
      </c>
      <c r="N4470" t="s">
        <v>118</v>
      </c>
      <c r="O4470" t="s">
        <v>119</v>
      </c>
      <c r="P4470">
        <v>-20.116992</v>
      </c>
      <c r="Q4470">
        <v>-44.899355</v>
      </c>
      <c r="R4470" s="2" t="str">
        <f>HYPERLINK("https://www.google.com/maps?q=-20.1169920,-44.8993550","Abrir no Google Maps")</f>
        <v>Abrir no Google Maps</v>
      </c>
      <c r="S4470">
        <v>4</v>
      </c>
      <c r="T4470">
        <v>0</v>
      </c>
      <c r="U4470">
        <v>3</v>
      </c>
      <c r="V4470">
        <v>0.1192424070696767</v>
      </c>
      <c r="W4470">
        <v>1</v>
      </c>
      <c r="X4470">
        <v>0.1192424070696767</v>
      </c>
      <c r="Y4470">
        <v>567</v>
      </c>
      <c r="Z4470">
        <v>54.913678078353321</v>
      </c>
      <c r="AA4470">
        <v>198</v>
      </c>
      <c r="AB4470">
        <v>332</v>
      </c>
      <c r="AC4470">
        <v>536</v>
      </c>
      <c r="AD4470">
        <v>30.35</v>
      </c>
      <c r="AE4470">
        <v>542</v>
      </c>
      <c r="AF4470">
        <v>37</v>
      </c>
      <c r="AG4470">
        <v>161</v>
      </c>
      <c r="AH4470">
        <v>129</v>
      </c>
      <c r="AI4470">
        <v>6.83</v>
      </c>
      <c r="AJ4470">
        <v>29.7</v>
      </c>
      <c r="AK4470">
        <v>23.8</v>
      </c>
      <c r="AL4470">
        <v>-20.117107749999949</v>
      </c>
      <c r="AM4470">
        <v>-44.899271226243108</v>
      </c>
      <c r="AN4470">
        <v>-20.117107749999949</v>
      </c>
      <c r="AO4470">
        <v>-44.899271226243108</v>
      </c>
      <c r="AP4470">
        <v>-20.116992</v>
      </c>
      <c r="AQ4470">
        <v>-44.899355</v>
      </c>
      <c r="AR4470">
        <v>15.579196044083419</v>
      </c>
      <c r="AS4470" t="s">
        <v>65</v>
      </c>
      <c r="AT4470">
        <v>1</v>
      </c>
      <c r="AU4470" t="s">
        <v>120</v>
      </c>
      <c r="AV4470" t="s">
        <v>121</v>
      </c>
      <c r="AW4470" t="s">
        <v>60</v>
      </c>
      <c r="AX4470" t="s">
        <v>68</v>
      </c>
      <c r="AY4470" t="s">
        <v>69</v>
      </c>
      <c r="AZ4470" t="b">
        <v>1</v>
      </c>
    </row>
    <row r="4471" spans="1:52" x14ac:dyDescent="0.3">
      <c r="A4471" t="s">
        <v>52</v>
      </c>
      <c r="B4471" t="s">
        <v>53</v>
      </c>
      <c r="C4471" t="s">
        <v>54</v>
      </c>
      <c r="D4471" t="s">
        <v>55</v>
      </c>
      <c r="E4471" t="s">
        <v>2223</v>
      </c>
      <c r="F4471" t="s">
        <v>190</v>
      </c>
      <c r="G4471" t="s">
        <v>212</v>
      </c>
      <c r="H4471" t="s">
        <v>213</v>
      </c>
      <c r="I4471" t="s">
        <v>213</v>
      </c>
      <c r="J4471" t="s">
        <v>60</v>
      </c>
      <c r="K4471" t="s">
        <v>214</v>
      </c>
      <c r="L4471" t="s">
        <v>62</v>
      </c>
      <c r="M4471" t="s">
        <v>214</v>
      </c>
      <c r="N4471" t="s">
        <v>215</v>
      </c>
      <c r="O4471" t="s">
        <v>216</v>
      </c>
      <c r="P4471">
        <v>-20.158149000000002</v>
      </c>
      <c r="Q4471">
        <v>-44.872593000000002</v>
      </c>
      <c r="R4471" s="2" t="str">
        <f>HYPERLINK("https://www.google.com/maps?q=-20.1581490,-44.8725930","Abrir no Google Maps")</f>
        <v>Abrir no Google Maps</v>
      </c>
      <c r="S4471">
        <v>4</v>
      </c>
      <c r="T4471">
        <v>0</v>
      </c>
      <c r="U4471">
        <v>3</v>
      </c>
      <c r="V4471">
        <v>0.11617258967349491</v>
      </c>
      <c r="W4471">
        <v>1</v>
      </c>
      <c r="X4471">
        <v>0.11617258967349491</v>
      </c>
      <c r="Y4471">
        <v>531</v>
      </c>
      <c r="Z4471">
        <v>127.8805352974544</v>
      </c>
      <c r="AA4471">
        <v>198</v>
      </c>
      <c r="AB4471">
        <v>332</v>
      </c>
      <c r="AC4471">
        <v>536</v>
      </c>
      <c r="AD4471">
        <v>30.35</v>
      </c>
      <c r="AE4471">
        <v>542</v>
      </c>
      <c r="AF4471">
        <v>37</v>
      </c>
      <c r="AG4471">
        <v>161</v>
      </c>
      <c r="AH4471">
        <v>129</v>
      </c>
      <c r="AI4471">
        <v>6.83</v>
      </c>
      <c r="AJ4471">
        <v>29.7</v>
      </c>
      <c r="AK4471">
        <v>23.8</v>
      </c>
      <c r="AL4471">
        <v>-20.158114249999951</v>
      </c>
      <c r="AM4471">
        <v>-44.872583123264782</v>
      </c>
      <c r="AN4471">
        <v>-20.158114249999951</v>
      </c>
      <c r="AO4471">
        <v>-44.872583123264782</v>
      </c>
      <c r="AP4471">
        <v>-20.158149000000002</v>
      </c>
      <c r="AQ4471">
        <v>-44.872593000000002</v>
      </c>
      <c r="AR4471">
        <v>4.0036956087599238</v>
      </c>
      <c r="AS4471" t="s">
        <v>65</v>
      </c>
      <c r="AT4471">
        <v>1</v>
      </c>
      <c r="AU4471" t="s">
        <v>217</v>
      </c>
      <c r="AV4471" t="s">
        <v>218</v>
      </c>
      <c r="AW4471" t="s">
        <v>60</v>
      </c>
      <c r="AX4471" t="s">
        <v>68</v>
      </c>
      <c r="AY4471" t="s">
        <v>69</v>
      </c>
      <c r="AZ4471" t="b">
        <v>1</v>
      </c>
    </row>
    <row r="4472" spans="1:52" x14ac:dyDescent="0.3">
      <c r="A4472" t="s">
        <v>52</v>
      </c>
      <c r="B4472" t="s">
        <v>53</v>
      </c>
      <c r="C4472" t="s">
        <v>54</v>
      </c>
      <c r="D4472" t="s">
        <v>55</v>
      </c>
      <c r="E4472" t="s">
        <v>2223</v>
      </c>
      <c r="F4472" t="s">
        <v>190</v>
      </c>
      <c r="G4472" t="s">
        <v>1618</v>
      </c>
      <c r="H4472" t="s">
        <v>1619</v>
      </c>
      <c r="I4472" t="s">
        <v>1619</v>
      </c>
      <c r="J4472" t="s">
        <v>60</v>
      </c>
      <c r="K4472" t="s">
        <v>227</v>
      </c>
      <c r="L4472" t="s">
        <v>62</v>
      </c>
      <c r="M4472" t="s">
        <v>227</v>
      </c>
      <c r="N4472" t="s">
        <v>228</v>
      </c>
      <c r="O4472" t="s">
        <v>1620</v>
      </c>
      <c r="P4472">
        <v>-20.159497999999999</v>
      </c>
      <c r="Q4472">
        <v>-44.852925999999997</v>
      </c>
      <c r="R4472" s="2" t="str">
        <f>HYPERLINK("https://www.google.com/maps?q=-20.1594980,-44.8529260","Abrir no Google Maps")</f>
        <v>Abrir no Google Maps</v>
      </c>
      <c r="S4472">
        <v>4</v>
      </c>
      <c r="T4472">
        <v>560.11627509727657</v>
      </c>
      <c r="U4472">
        <v>3</v>
      </c>
      <c r="V4472">
        <v>0.1168779057571189</v>
      </c>
      <c r="W4472">
        <v>1</v>
      </c>
      <c r="X4472">
        <v>0.1168779057571189</v>
      </c>
      <c r="Y4472">
        <v>491</v>
      </c>
      <c r="Z4472">
        <v>609.25494989442086</v>
      </c>
      <c r="AA4472">
        <v>198</v>
      </c>
      <c r="AB4472">
        <v>332</v>
      </c>
      <c r="AC4472">
        <v>536</v>
      </c>
      <c r="AD4472">
        <v>30.35</v>
      </c>
      <c r="AE4472">
        <v>542</v>
      </c>
      <c r="AF4472">
        <v>37</v>
      </c>
      <c r="AG4472">
        <v>161</v>
      </c>
      <c r="AH4472">
        <v>129</v>
      </c>
      <c r="AI4472">
        <v>6.83</v>
      </c>
      <c r="AJ4472">
        <v>29.7</v>
      </c>
      <c r="AK4472">
        <v>23.8</v>
      </c>
      <c r="AL4472">
        <v>-20.159495399999969</v>
      </c>
      <c r="AM4472">
        <v>-44.85297928977559</v>
      </c>
      <c r="AN4472">
        <v>-20.159495399999969</v>
      </c>
      <c r="AO4472">
        <v>-44.85297928977559</v>
      </c>
      <c r="AP4472">
        <v>-20.159497999999999</v>
      </c>
      <c r="AQ4472">
        <v>-44.852925999999997</v>
      </c>
      <c r="AR4472">
        <v>5.5763081103260701</v>
      </c>
      <c r="AS4472" t="s">
        <v>65</v>
      </c>
      <c r="AT4472">
        <v>1</v>
      </c>
      <c r="AU4472" t="s">
        <v>1621</v>
      </c>
      <c r="AV4472" t="s">
        <v>1622</v>
      </c>
      <c r="AW4472" t="s">
        <v>60</v>
      </c>
      <c r="AX4472" t="s">
        <v>68</v>
      </c>
      <c r="AY4472" t="s">
        <v>69</v>
      </c>
      <c r="AZ4472" t="b">
        <v>1</v>
      </c>
    </row>
    <row r="4473" spans="1:52" x14ac:dyDescent="0.3">
      <c r="A4473" t="s">
        <v>52</v>
      </c>
      <c r="B4473" t="s">
        <v>53</v>
      </c>
      <c r="C4473" t="s">
        <v>54</v>
      </c>
      <c r="D4473" t="s">
        <v>55</v>
      </c>
      <c r="E4473" t="s">
        <v>2223</v>
      </c>
      <c r="F4473" t="s">
        <v>190</v>
      </c>
      <c r="G4473" t="s">
        <v>127</v>
      </c>
      <c r="H4473" t="s">
        <v>128</v>
      </c>
      <c r="I4473" t="s">
        <v>128</v>
      </c>
      <c r="J4473" t="s">
        <v>60</v>
      </c>
      <c r="K4473" t="s">
        <v>129</v>
      </c>
      <c r="L4473" t="s">
        <v>62</v>
      </c>
      <c r="M4473" t="s">
        <v>129</v>
      </c>
      <c r="N4473" t="s">
        <v>130</v>
      </c>
      <c r="O4473" t="s">
        <v>131</v>
      </c>
      <c r="P4473">
        <v>-20.130752000000001</v>
      </c>
      <c r="Q4473">
        <v>-44.865676999999998</v>
      </c>
      <c r="R4473" s="2" t="str">
        <f>HYPERLINK("https://www.google.com/maps?q=-20.1307520,-44.8656770","Abrir no Google Maps")</f>
        <v>Abrir no Google Maps</v>
      </c>
      <c r="S4473">
        <v>4</v>
      </c>
      <c r="T4473">
        <v>666.25741128624747</v>
      </c>
      <c r="U4473">
        <v>3</v>
      </c>
      <c r="V4473">
        <v>0.1139290407358738</v>
      </c>
      <c r="W4473">
        <v>1</v>
      </c>
      <c r="X4473">
        <v>0.1139290407358738</v>
      </c>
      <c r="Y4473">
        <v>387</v>
      </c>
      <c r="Z4473">
        <v>838.7193965949632</v>
      </c>
      <c r="AA4473">
        <v>198</v>
      </c>
      <c r="AB4473">
        <v>332</v>
      </c>
      <c r="AC4473">
        <v>536</v>
      </c>
      <c r="AD4473">
        <v>30.35</v>
      </c>
      <c r="AE4473">
        <v>542</v>
      </c>
      <c r="AF4473">
        <v>37</v>
      </c>
      <c r="AG4473">
        <v>161</v>
      </c>
      <c r="AH4473">
        <v>129</v>
      </c>
      <c r="AI4473">
        <v>6.83</v>
      </c>
      <c r="AJ4473">
        <v>29.7</v>
      </c>
      <c r="AK4473">
        <v>23.8</v>
      </c>
      <c r="AL4473">
        <v>-20.130734049999969</v>
      </c>
      <c r="AM4473">
        <v>-44.86564904282416</v>
      </c>
      <c r="AN4473">
        <v>-20.130734049999969</v>
      </c>
      <c r="AO4473">
        <v>-44.86564904282416</v>
      </c>
      <c r="AP4473">
        <v>-20.130752000000001</v>
      </c>
      <c r="AQ4473">
        <v>-44.865676999999998</v>
      </c>
      <c r="AR4473">
        <v>3.539952280780454</v>
      </c>
      <c r="AS4473" t="s">
        <v>65</v>
      </c>
      <c r="AT4473">
        <v>1</v>
      </c>
      <c r="AU4473" t="s">
        <v>132</v>
      </c>
      <c r="AV4473" t="s">
        <v>133</v>
      </c>
      <c r="AW4473" t="s">
        <v>60</v>
      </c>
      <c r="AX4473" t="s">
        <v>68</v>
      </c>
      <c r="AY4473" t="s">
        <v>69</v>
      </c>
      <c r="AZ4473" t="b">
        <v>1</v>
      </c>
    </row>
    <row r="4474" spans="1:52" x14ac:dyDescent="0.3">
      <c r="A4474" t="s">
        <v>52</v>
      </c>
      <c r="B4474" t="s">
        <v>53</v>
      </c>
      <c r="C4474" t="s">
        <v>54</v>
      </c>
      <c r="D4474" t="s">
        <v>55</v>
      </c>
      <c r="E4474" t="s">
        <v>2223</v>
      </c>
      <c r="F4474" t="s">
        <v>190</v>
      </c>
      <c r="G4474" t="s">
        <v>260</v>
      </c>
      <c r="H4474" t="s">
        <v>261</v>
      </c>
      <c r="I4474" t="s">
        <v>261</v>
      </c>
      <c r="J4474" t="s">
        <v>60</v>
      </c>
      <c r="K4474" t="s">
        <v>262</v>
      </c>
      <c r="L4474" t="s">
        <v>62</v>
      </c>
      <c r="M4474" t="s">
        <v>262</v>
      </c>
      <c r="N4474" t="s">
        <v>263</v>
      </c>
      <c r="O4474" t="s">
        <v>264</v>
      </c>
      <c r="P4474">
        <v>-20.162230000000001</v>
      </c>
      <c r="Q4474">
        <v>-44.850189</v>
      </c>
      <c r="R4474" s="2" t="str">
        <f>HYPERLINK("https://www.google.com/maps?q=-20.1622300,-44.8501890","Abrir no Google Maps")</f>
        <v>Abrir no Google Maps</v>
      </c>
      <c r="S4474">
        <v>4</v>
      </c>
      <c r="T4474">
        <v>485.03737650296068</v>
      </c>
      <c r="U4474">
        <v>3</v>
      </c>
      <c r="V4474">
        <v>0.11430240920532179</v>
      </c>
      <c r="W4474">
        <v>1</v>
      </c>
      <c r="X4474">
        <v>0.11430240920532179</v>
      </c>
      <c r="Y4474">
        <v>292</v>
      </c>
      <c r="Z4474">
        <v>461.03925198673232</v>
      </c>
      <c r="AA4474">
        <v>198</v>
      </c>
      <c r="AB4474">
        <v>332</v>
      </c>
      <c r="AC4474">
        <v>536</v>
      </c>
      <c r="AD4474">
        <v>30.35</v>
      </c>
      <c r="AE4474">
        <v>542</v>
      </c>
      <c r="AF4474">
        <v>37</v>
      </c>
      <c r="AG4474">
        <v>161</v>
      </c>
      <c r="AH4474">
        <v>129</v>
      </c>
      <c r="AI4474">
        <v>6.83</v>
      </c>
      <c r="AJ4474">
        <v>29.7</v>
      </c>
      <c r="AK4474">
        <v>23.8</v>
      </c>
      <c r="AL4474">
        <v>-20.162067849999971</v>
      </c>
      <c r="AM4474">
        <v>-44.850230909322903</v>
      </c>
      <c r="AN4474">
        <v>-20.162067849999971</v>
      </c>
      <c r="AO4474">
        <v>-44.850230909322903</v>
      </c>
      <c r="AP4474">
        <v>-20.162230000000001</v>
      </c>
      <c r="AQ4474">
        <v>-44.850189</v>
      </c>
      <c r="AR4474">
        <v>18.574218491036259</v>
      </c>
      <c r="AS4474" t="s">
        <v>65</v>
      </c>
      <c r="AT4474">
        <v>1</v>
      </c>
      <c r="AU4474" t="s">
        <v>265</v>
      </c>
      <c r="AV4474" t="s">
        <v>266</v>
      </c>
      <c r="AW4474" t="s">
        <v>60</v>
      </c>
      <c r="AX4474" t="s">
        <v>68</v>
      </c>
      <c r="AY4474" t="s">
        <v>69</v>
      </c>
      <c r="AZ4474" t="b">
        <v>1</v>
      </c>
    </row>
    <row r="4475" spans="1:52" x14ac:dyDescent="0.3">
      <c r="A4475" t="s">
        <v>52</v>
      </c>
      <c r="B4475" t="s">
        <v>53</v>
      </c>
      <c r="C4475" t="s">
        <v>54</v>
      </c>
      <c r="D4475" t="s">
        <v>55</v>
      </c>
      <c r="E4475" t="s">
        <v>2223</v>
      </c>
      <c r="F4475" t="s">
        <v>190</v>
      </c>
      <c r="G4475" t="s">
        <v>253</v>
      </c>
      <c r="H4475" t="s">
        <v>286</v>
      </c>
      <c r="I4475" t="s">
        <v>286</v>
      </c>
      <c r="J4475" t="s">
        <v>60</v>
      </c>
      <c r="K4475" t="s">
        <v>136</v>
      </c>
      <c r="L4475" t="s">
        <v>62</v>
      </c>
      <c r="M4475" t="s">
        <v>136</v>
      </c>
      <c r="N4475" t="s">
        <v>256</v>
      </c>
      <c r="O4475" t="s">
        <v>287</v>
      </c>
      <c r="P4475">
        <v>-20.165067000000001</v>
      </c>
      <c r="Q4475">
        <v>-44.851146999999997</v>
      </c>
      <c r="R4475" s="2" t="str">
        <f>HYPERLINK("https://www.google.com/maps?q=-20.1650670,-44.8511470","Abrir no Google Maps")</f>
        <v>Abrir no Google Maps</v>
      </c>
      <c r="S4475">
        <v>4</v>
      </c>
      <c r="T4475">
        <v>374.14945573570043</v>
      </c>
      <c r="U4475">
        <v>3</v>
      </c>
      <c r="V4475">
        <v>0.11292117847523769</v>
      </c>
      <c r="W4475">
        <v>1</v>
      </c>
      <c r="X4475">
        <v>0.11292117847523769</v>
      </c>
      <c r="Y4475">
        <v>292</v>
      </c>
      <c r="Z4475">
        <v>295.9878686859272</v>
      </c>
      <c r="AA4475">
        <v>198</v>
      </c>
      <c r="AB4475">
        <v>332</v>
      </c>
      <c r="AC4475">
        <v>536</v>
      </c>
      <c r="AD4475">
        <v>30.35</v>
      </c>
      <c r="AE4475">
        <v>542</v>
      </c>
      <c r="AF4475">
        <v>37</v>
      </c>
      <c r="AG4475">
        <v>161</v>
      </c>
      <c r="AH4475">
        <v>129</v>
      </c>
      <c r="AI4475">
        <v>6.83</v>
      </c>
      <c r="AJ4475">
        <v>29.7</v>
      </c>
      <c r="AK4475">
        <v>23.8</v>
      </c>
      <c r="AL4475">
        <v>-20.164961799999961</v>
      </c>
      <c r="AM4475">
        <v>-44.851062119796737</v>
      </c>
      <c r="AN4475">
        <v>-20.164961799999961</v>
      </c>
      <c r="AO4475">
        <v>-44.851062119796737</v>
      </c>
      <c r="AP4475">
        <v>-20.165067000000001</v>
      </c>
      <c r="AQ4475">
        <v>-44.851146999999997</v>
      </c>
      <c r="AR4475">
        <v>14.690666366415</v>
      </c>
      <c r="AS4475" t="s">
        <v>65</v>
      </c>
      <c r="AT4475">
        <v>1</v>
      </c>
      <c r="AU4475" t="s">
        <v>288</v>
      </c>
      <c r="AV4475" t="s">
        <v>289</v>
      </c>
      <c r="AW4475" t="s">
        <v>60</v>
      </c>
      <c r="AX4475" t="s">
        <v>68</v>
      </c>
      <c r="AY4475" t="s">
        <v>69</v>
      </c>
      <c r="AZ4475" t="b">
        <v>1</v>
      </c>
    </row>
    <row r="4476" spans="1:52" x14ac:dyDescent="0.3">
      <c r="A4476" t="s">
        <v>52</v>
      </c>
      <c r="B4476" t="s">
        <v>53</v>
      </c>
      <c r="C4476" t="s">
        <v>54</v>
      </c>
      <c r="D4476" t="s">
        <v>55</v>
      </c>
      <c r="E4476" t="s">
        <v>2223</v>
      </c>
      <c r="F4476" t="s">
        <v>190</v>
      </c>
      <c r="G4476" t="s">
        <v>328</v>
      </c>
      <c r="H4476" t="s">
        <v>329</v>
      </c>
      <c r="I4476" t="s">
        <v>329</v>
      </c>
      <c r="J4476" t="s">
        <v>60</v>
      </c>
      <c r="K4476" t="s">
        <v>157</v>
      </c>
      <c r="L4476" t="s">
        <v>62</v>
      </c>
      <c r="M4476" t="s">
        <v>157</v>
      </c>
      <c r="N4476" t="s">
        <v>330</v>
      </c>
      <c r="O4476" t="s">
        <v>331</v>
      </c>
      <c r="P4476">
        <v>-20.167981999999999</v>
      </c>
      <c r="Q4476">
        <v>-44.885706999999996</v>
      </c>
      <c r="R4476" s="2" t="str">
        <f>HYPERLINK("https://www.google.com/maps?q=-20.1679820,-44.8857070","Abrir no Google Maps")</f>
        <v>Abrir no Google Maps</v>
      </c>
      <c r="S4476">
        <v>4</v>
      </c>
      <c r="T4476">
        <v>594.70112534633722</v>
      </c>
      <c r="U4476">
        <v>3</v>
      </c>
      <c r="V4476">
        <v>0.11979404619456829</v>
      </c>
      <c r="W4476">
        <v>1</v>
      </c>
      <c r="X4476">
        <v>0.11979404619456829</v>
      </c>
      <c r="Y4476">
        <v>232</v>
      </c>
      <c r="Z4476">
        <v>560.38516624860983</v>
      </c>
      <c r="AA4476">
        <v>198</v>
      </c>
      <c r="AB4476">
        <v>332</v>
      </c>
      <c r="AC4476">
        <v>536</v>
      </c>
      <c r="AD4476">
        <v>30.35</v>
      </c>
      <c r="AE4476">
        <v>542</v>
      </c>
      <c r="AF4476">
        <v>37</v>
      </c>
      <c r="AG4476">
        <v>161</v>
      </c>
      <c r="AH4476">
        <v>129</v>
      </c>
      <c r="AI4476">
        <v>6.83</v>
      </c>
      <c r="AJ4476">
        <v>29.7</v>
      </c>
      <c r="AK4476">
        <v>23.8</v>
      </c>
      <c r="AL4476">
        <v>-20.167931149999959</v>
      </c>
      <c r="AM4476">
        <v>-44.885606821741909</v>
      </c>
      <c r="AN4476">
        <v>-20.167931149999959</v>
      </c>
      <c r="AO4476">
        <v>-44.885606821741909</v>
      </c>
      <c r="AP4476">
        <v>-20.167981999999999</v>
      </c>
      <c r="AQ4476">
        <v>-44.885706999999996</v>
      </c>
      <c r="AR4476">
        <v>11.90056149590643</v>
      </c>
      <c r="AS4476" t="s">
        <v>65</v>
      </c>
      <c r="AT4476">
        <v>1</v>
      </c>
      <c r="AU4476" t="s">
        <v>332</v>
      </c>
      <c r="AV4476" t="s">
        <v>333</v>
      </c>
      <c r="AW4476" t="s">
        <v>60</v>
      </c>
      <c r="AX4476" t="s">
        <v>68</v>
      </c>
      <c r="AY4476" t="s">
        <v>69</v>
      </c>
      <c r="AZ4476" t="b">
        <v>1</v>
      </c>
    </row>
    <row r="4477" spans="1:52" x14ac:dyDescent="0.3">
      <c r="A4477" t="s">
        <v>52</v>
      </c>
      <c r="B4477" t="s">
        <v>53</v>
      </c>
      <c r="C4477" t="s">
        <v>54</v>
      </c>
      <c r="D4477" t="s">
        <v>55</v>
      </c>
      <c r="E4477" t="s">
        <v>2223</v>
      </c>
      <c r="F4477" t="s">
        <v>190</v>
      </c>
      <c r="G4477" t="s">
        <v>341</v>
      </c>
      <c r="H4477" t="s">
        <v>342</v>
      </c>
      <c r="I4477" t="s">
        <v>342</v>
      </c>
      <c r="J4477" t="s">
        <v>60</v>
      </c>
      <c r="K4477" t="s">
        <v>164</v>
      </c>
      <c r="L4477" t="s">
        <v>62</v>
      </c>
      <c r="M4477" t="s">
        <v>164</v>
      </c>
      <c r="N4477" t="s">
        <v>343</v>
      </c>
      <c r="O4477" t="s">
        <v>344</v>
      </c>
      <c r="P4477">
        <v>-20.17606</v>
      </c>
      <c r="Q4477">
        <v>-44.880409999999998</v>
      </c>
      <c r="R4477" s="2" t="str">
        <f>HYPERLINK("https://www.google.com/maps?q=-20.1760600,-44.8804100","Abrir no Google Maps")</f>
        <v>Abrir no Google Maps</v>
      </c>
      <c r="S4477">
        <v>4</v>
      </c>
      <c r="T4477">
        <v>556.35468246023754</v>
      </c>
      <c r="U4477">
        <v>3</v>
      </c>
      <c r="V4477">
        <v>0.1213494579468513</v>
      </c>
      <c r="W4477">
        <v>1</v>
      </c>
      <c r="X4477">
        <v>0.1213494579468513</v>
      </c>
      <c r="Y4477">
        <v>232</v>
      </c>
      <c r="Z4477">
        <v>674.22003156100322</v>
      </c>
      <c r="AA4477">
        <v>198</v>
      </c>
      <c r="AB4477">
        <v>332</v>
      </c>
      <c r="AC4477">
        <v>536</v>
      </c>
      <c r="AD4477">
        <v>30.35</v>
      </c>
      <c r="AE4477">
        <v>542</v>
      </c>
      <c r="AF4477">
        <v>37</v>
      </c>
      <c r="AG4477">
        <v>161</v>
      </c>
      <c r="AH4477">
        <v>129</v>
      </c>
      <c r="AI4477">
        <v>6.83</v>
      </c>
      <c r="AJ4477">
        <v>29.7</v>
      </c>
      <c r="AK4477">
        <v>23.8</v>
      </c>
      <c r="AL4477">
        <v>-20.176226899999961</v>
      </c>
      <c r="AM4477">
        <v>-44.880527903427911</v>
      </c>
      <c r="AN4477">
        <v>-20.176226899999961</v>
      </c>
      <c r="AO4477">
        <v>-44.880527903427911</v>
      </c>
      <c r="AP4477">
        <v>-20.17606</v>
      </c>
      <c r="AQ4477">
        <v>-44.880409999999998</v>
      </c>
      <c r="AR4477">
        <v>22.292677247804349</v>
      </c>
      <c r="AS4477" t="s">
        <v>65</v>
      </c>
      <c r="AT4477">
        <v>1</v>
      </c>
      <c r="AU4477" t="s">
        <v>345</v>
      </c>
      <c r="AV4477" t="s">
        <v>346</v>
      </c>
      <c r="AW4477" t="s">
        <v>60</v>
      </c>
      <c r="AX4477" t="s">
        <v>68</v>
      </c>
      <c r="AY4477" t="s">
        <v>69</v>
      </c>
      <c r="AZ4477" t="b">
        <v>1</v>
      </c>
    </row>
    <row r="4478" spans="1:52" x14ac:dyDescent="0.3">
      <c r="A4478" t="s">
        <v>52</v>
      </c>
      <c r="B4478" t="s">
        <v>53</v>
      </c>
      <c r="C4478" t="s">
        <v>54</v>
      </c>
      <c r="D4478" t="s">
        <v>55</v>
      </c>
      <c r="E4478" t="s">
        <v>2223</v>
      </c>
      <c r="F4478" t="s">
        <v>190</v>
      </c>
      <c r="G4478" t="s">
        <v>360</v>
      </c>
      <c r="H4478" t="s">
        <v>361</v>
      </c>
      <c r="I4478" t="s">
        <v>361</v>
      </c>
      <c r="J4478" t="s">
        <v>60</v>
      </c>
      <c r="K4478" t="s">
        <v>362</v>
      </c>
      <c r="L4478" t="s">
        <v>62</v>
      </c>
      <c r="M4478" t="s">
        <v>362</v>
      </c>
      <c r="N4478" t="s">
        <v>363</v>
      </c>
      <c r="O4478" t="s">
        <v>235</v>
      </c>
      <c r="P4478">
        <v>-20.143716999999999</v>
      </c>
      <c r="Q4478">
        <v>-44.875278000000002</v>
      </c>
      <c r="R4478" s="2" t="str">
        <f>HYPERLINK("https://www.google.com/maps?q=-20.1437170,-44.8752780","Abrir no Google Maps")</f>
        <v>Abrir no Google Maps</v>
      </c>
      <c r="S4478">
        <v>4</v>
      </c>
      <c r="T4478">
        <v>0</v>
      </c>
      <c r="U4478">
        <v>3</v>
      </c>
      <c r="V4478">
        <v>0.1195268361581921</v>
      </c>
      <c r="W4478">
        <v>1</v>
      </c>
      <c r="X4478">
        <v>0.1195268361581921</v>
      </c>
      <c r="Y4478">
        <v>209</v>
      </c>
      <c r="Z4478">
        <v>121.8438559354383</v>
      </c>
      <c r="AA4478">
        <v>198</v>
      </c>
      <c r="AB4478">
        <v>332</v>
      </c>
      <c r="AC4478">
        <v>536</v>
      </c>
      <c r="AD4478">
        <v>30.35</v>
      </c>
      <c r="AE4478">
        <v>542</v>
      </c>
      <c r="AF4478">
        <v>37</v>
      </c>
      <c r="AG4478">
        <v>161</v>
      </c>
      <c r="AH4478">
        <v>129</v>
      </c>
      <c r="AI4478">
        <v>6.83</v>
      </c>
      <c r="AJ4478">
        <v>29.7</v>
      </c>
      <c r="AK4478">
        <v>23.8</v>
      </c>
      <c r="AL4478">
        <v>-20.143665999999961</v>
      </c>
      <c r="AM4478">
        <v>-44.875561853046079</v>
      </c>
      <c r="AN4478">
        <v>-20.143665999999961</v>
      </c>
      <c r="AO4478">
        <v>-44.875561853046079</v>
      </c>
      <c r="AP4478">
        <v>-20.143716999999999</v>
      </c>
      <c r="AQ4478">
        <v>-44.875278000000002</v>
      </c>
      <c r="AR4478">
        <v>30.20407282671313</v>
      </c>
      <c r="AS4478" t="s">
        <v>65</v>
      </c>
      <c r="AT4478">
        <v>1</v>
      </c>
      <c r="AU4478" t="s">
        <v>364</v>
      </c>
      <c r="AV4478" t="s">
        <v>365</v>
      </c>
      <c r="AW4478" t="s">
        <v>60</v>
      </c>
      <c r="AX4478" t="s">
        <v>68</v>
      </c>
      <c r="AY4478" t="s">
        <v>69</v>
      </c>
      <c r="AZ4478" t="b">
        <v>1</v>
      </c>
    </row>
    <row r="4479" spans="1:52" x14ac:dyDescent="0.3">
      <c r="A4479" t="s">
        <v>52</v>
      </c>
      <c r="B4479" t="s">
        <v>53</v>
      </c>
      <c r="C4479" t="s">
        <v>54</v>
      </c>
      <c r="D4479" t="s">
        <v>55</v>
      </c>
      <c r="E4479" t="s">
        <v>2223</v>
      </c>
      <c r="F4479" t="s">
        <v>190</v>
      </c>
      <c r="G4479" t="s">
        <v>366</v>
      </c>
      <c r="H4479" t="s">
        <v>367</v>
      </c>
      <c r="I4479" t="s">
        <v>367</v>
      </c>
      <c r="J4479" t="s">
        <v>60</v>
      </c>
      <c r="K4479" t="s">
        <v>368</v>
      </c>
      <c r="L4479" t="s">
        <v>62</v>
      </c>
      <c r="M4479" t="s">
        <v>368</v>
      </c>
      <c r="N4479" t="s">
        <v>369</v>
      </c>
      <c r="O4479" t="s">
        <v>370</v>
      </c>
      <c r="P4479">
        <v>-20.144553999999999</v>
      </c>
      <c r="Q4479">
        <v>-44.868183000000002</v>
      </c>
      <c r="R4479" s="2" t="str">
        <f>HYPERLINK("https://www.google.com/maps?q=-20.1445540,-44.8681830","Abrir no Google Maps")</f>
        <v>Abrir no Google Maps</v>
      </c>
      <c r="S4479">
        <v>4</v>
      </c>
      <c r="T4479">
        <v>783.87848835431373</v>
      </c>
      <c r="U4479">
        <v>3</v>
      </c>
      <c r="V4479">
        <v>0.1148128943047273</v>
      </c>
      <c r="W4479">
        <v>1</v>
      </c>
      <c r="X4479">
        <v>0.1148128943047273</v>
      </c>
      <c r="Y4479">
        <v>198</v>
      </c>
      <c r="Z4479">
        <v>360.68413994394842</v>
      </c>
      <c r="AA4479">
        <v>198</v>
      </c>
      <c r="AB4479">
        <v>332</v>
      </c>
      <c r="AC4479">
        <v>536</v>
      </c>
      <c r="AD4479">
        <v>30.35</v>
      </c>
      <c r="AE4479">
        <v>542</v>
      </c>
      <c r="AF4479">
        <v>37</v>
      </c>
      <c r="AG4479">
        <v>161</v>
      </c>
      <c r="AH4479">
        <v>129</v>
      </c>
      <c r="AI4479">
        <v>6.83</v>
      </c>
      <c r="AJ4479">
        <v>29.7</v>
      </c>
      <c r="AK4479">
        <v>23.8</v>
      </c>
      <c r="AL4479">
        <v>-20.144487399999949</v>
      </c>
      <c r="AM4479">
        <v>-44.868111936674481</v>
      </c>
      <c r="AN4479">
        <v>-20.144487399999939</v>
      </c>
      <c r="AO4479">
        <v>-44.868111936674481</v>
      </c>
      <c r="AP4479">
        <v>-20.144553999999999</v>
      </c>
      <c r="AQ4479">
        <v>-44.868183000000002</v>
      </c>
      <c r="AR4479">
        <v>10.49400387332288</v>
      </c>
      <c r="AS4479" t="s">
        <v>65</v>
      </c>
      <c r="AT4479">
        <v>1</v>
      </c>
      <c r="AU4479" t="s">
        <v>371</v>
      </c>
      <c r="AV4479" t="s">
        <v>372</v>
      </c>
      <c r="AW4479" t="s">
        <v>60</v>
      </c>
      <c r="AX4479" t="s">
        <v>68</v>
      </c>
      <c r="AY4479" t="s">
        <v>69</v>
      </c>
      <c r="AZ4479" t="b">
        <v>1</v>
      </c>
    </row>
    <row r="4480" spans="1:52" x14ac:dyDescent="0.3">
      <c r="A4480" t="s">
        <v>52</v>
      </c>
      <c r="B4480" t="s">
        <v>53</v>
      </c>
      <c r="C4480" t="s">
        <v>54</v>
      </c>
      <c r="D4480" t="s">
        <v>55</v>
      </c>
      <c r="E4480" t="s">
        <v>2223</v>
      </c>
      <c r="F4480" t="s">
        <v>190</v>
      </c>
      <c r="G4480" t="s">
        <v>1654</v>
      </c>
      <c r="H4480" t="s">
        <v>1655</v>
      </c>
      <c r="I4480" t="s">
        <v>1655</v>
      </c>
      <c r="J4480" t="s">
        <v>60</v>
      </c>
      <c r="K4480" t="s">
        <v>368</v>
      </c>
      <c r="L4480" t="s">
        <v>62</v>
      </c>
      <c r="M4480" t="s">
        <v>368</v>
      </c>
      <c r="N4480" t="s">
        <v>1656</v>
      </c>
      <c r="O4480" t="s">
        <v>1657</v>
      </c>
      <c r="P4480">
        <v>-20.143647999999999</v>
      </c>
      <c r="Q4480">
        <v>-44.870466</v>
      </c>
      <c r="R4480" s="2" t="str">
        <f>HYPERLINK("https://www.google.com/maps?q=-20.1436480,-44.8704660","Abrir no Google Maps")</f>
        <v>Abrir no Google Maps</v>
      </c>
      <c r="S4480">
        <v>4</v>
      </c>
      <c r="T4480">
        <v>545.81556277505979</v>
      </c>
      <c r="U4480">
        <v>3</v>
      </c>
      <c r="V4480">
        <v>0.1207465484015733</v>
      </c>
      <c r="W4480">
        <v>1</v>
      </c>
      <c r="X4480">
        <v>0.1207465484015733</v>
      </c>
      <c r="Y4480">
        <v>198</v>
      </c>
      <c r="Z4480">
        <v>258.83396188518708</v>
      </c>
      <c r="AA4480">
        <v>198</v>
      </c>
      <c r="AB4480">
        <v>332</v>
      </c>
      <c r="AC4480">
        <v>536</v>
      </c>
      <c r="AD4480">
        <v>30.35</v>
      </c>
      <c r="AE4480">
        <v>542</v>
      </c>
      <c r="AF4480">
        <v>37</v>
      </c>
      <c r="AG4480">
        <v>161</v>
      </c>
      <c r="AH4480">
        <v>129</v>
      </c>
      <c r="AI4480">
        <v>6.83</v>
      </c>
      <c r="AJ4480">
        <v>29.7</v>
      </c>
      <c r="AK4480">
        <v>23.8</v>
      </c>
      <c r="AL4480">
        <v>-20.143704099999951</v>
      </c>
      <c r="AM4480">
        <v>-44.870339403868741</v>
      </c>
      <c r="AN4480">
        <v>-20.143704099999951</v>
      </c>
      <c r="AO4480">
        <v>-44.870339403868741</v>
      </c>
      <c r="AP4480">
        <v>-20.143647999999999</v>
      </c>
      <c r="AQ4480">
        <v>-44.870466</v>
      </c>
      <c r="AR4480">
        <v>14.63048136060379</v>
      </c>
      <c r="AS4480" t="s">
        <v>65</v>
      </c>
      <c r="AT4480">
        <v>1</v>
      </c>
      <c r="AU4480" t="s">
        <v>1658</v>
      </c>
      <c r="AV4480" t="s">
        <v>1659</v>
      </c>
      <c r="AW4480" t="s">
        <v>60</v>
      </c>
      <c r="AX4480" t="s">
        <v>68</v>
      </c>
      <c r="AY4480" t="s">
        <v>69</v>
      </c>
      <c r="AZ4480" t="b">
        <v>1</v>
      </c>
    </row>
    <row r="4481" spans="1:52" x14ac:dyDescent="0.3">
      <c r="A4481" t="s">
        <v>52</v>
      </c>
      <c r="B4481" t="s">
        <v>53</v>
      </c>
      <c r="C4481" t="s">
        <v>54</v>
      </c>
      <c r="D4481" t="s">
        <v>55</v>
      </c>
      <c r="E4481" t="s">
        <v>2223</v>
      </c>
      <c r="F4481" t="s">
        <v>190</v>
      </c>
      <c r="G4481" t="s">
        <v>1728</v>
      </c>
      <c r="H4481" t="s">
        <v>1729</v>
      </c>
      <c r="I4481" t="s">
        <v>1729</v>
      </c>
      <c r="J4481" t="s">
        <v>60</v>
      </c>
      <c r="K4481" t="s">
        <v>171</v>
      </c>
      <c r="L4481" t="s">
        <v>62</v>
      </c>
      <c r="M4481" t="s">
        <v>171</v>
      </c>
      <c r="N4481" t="s">
        <v>1730</v>
      </c>
      <c r="O4481" t="s">
        <v>1731</v>
      </c>
      <c r="P4481">
        <v>-20.153237000000001</v>
      </c>
      <c r="Q4481">
        <v>-44.893830999999999</v>
      </c>
      <c r="R4481" s="2" t="str">
        <f>HYPERLINK("https://www.google.com/maps?q=-20.1532370,-44.8938310","Abrir no Google Maps")</f>
        <v>Abrir no Google Maps</v>
      </c>
      <c r="S4481">
        <v>4</v>
      </c>
      <c r="T4481">
        <v>413.69072684661631</v>
      </c>
      <c r="U4481">
        <v>3</v>
      </c>
      <c r="V4481">
        <v>0.11571223316912969</v>
      </c>
      <c r="W4481">
        <v>1</v>
      </c>
      <c r="X4481">
        <v>0.11571223316912969</v>
      </c>
      <c r="Y4481">
        <v>129</v>
      </c>
      <c r="Z4481">
        <v>276.95856023076033</v>
      </c>
      <c r="AA4481">
        <v>198</v>
      </c>
      <c r="AB4481">
        <v>332</v>
      </c>
      <c r="AC4481">
        <v>536</v>
      </c>
      <c r="AD4481">
        <v>30.35</v>
      </c>
      <c r="AE4481">
        <v>542</v>
      </c>
      <c r="AF4481">
        <v>37</v>
      </c>
      <c r="AG4481">
        <v>161</v>
      </c>
      <c r="AH4481">
        <v>129</v>
      </c>
      <c r="AI4481">
        <v>6.83</v>
      </c>
      <c r="AJ4481">
        <v>29.7</v>
      </c>
      <c r="AK4481">
        <v>23.8</v>
      </c>
      <c r="AL4481">
        <v>-20.15278304999995</v>
      </c>
      <c r="AM4481">
        <v>-44.894325691070982</v>
      </c>
      <c r="AN4481">
        <v>-20.15278304999995</v>
      </c>
      <c r="AO4481">
        <v>-44.894325691070982</v>
      </c>
      <c r="AP4481">
        <v>-20.153237000000001</v>
      </c>
      <c r="AQ4481">
        <v>-44.893830999999999</v>
      </c>
      <c r="AR4481">
        <v>72.293093135883012</v>
      </c>
      <c r="AS4481" t="s">
        <v>65</v>
      </c>
      <c r="AT4481">
        <v>1</v>
      </c>
      <c r="AU4481" t="s">
        <v>1732</v>
      </c>
      <c r="AV4481" t="s">
        <v>1733</v>
      </c>
      <c r="AW4481" t="s">
        <v>60</v>
      </c>
      <c r="AX4481" t="s">
        <v>68</v>
      </c>
      <c r="AY4481" t="s">
        <v>69</v>
      </c>
      <c r="AZ4481" t="b">
        <v>1</v>
      </c>
    </row>
    <row r="4482" spans="1:52" x14ac:dyDescent="0.3">
      <c r="A4482" t="s">
        <v>52</v>
      </c>
      <c r="B4482" t="s">
        <v>53</v>
      </c>
      <c r="C4482" t="s">
        <v>54</v>
      </c>
      <c r="D4482" t="s">
        <v>55</v>
      </c>
      <c r="E4482" t="s">
        <v>2223</v>
      </c>
      <c r="F4482" t="s">
        <v>190</v>
      </c>
      <c r="G4482" t="s">
        <v>1666</v>
      </c>
      <c r="H4482" t="s">
        <v>1667</v>
      </c>
      <c r="I4482" t="s">
        <v>1667</v>
      </c>
      <c r="J4482" t="s">
        <v>60</v>
      </c>
      <c r="K4482" t="s">
        <v>164</v>
      </c>
      <c r="L4482" t="s">
        <v>62</v>
      </c>
      <c r="M4482" t="s">
        <v>164</v>
      </c>
      <c r="N4482" t="s">
        <v>1668</v>
      </c>
      <c r="O4482" t="s">
        <v>977</v>
      </c>
      <c r="P4482">
        <v>-20.188607999999999</v>
      </c>
      <c r="Q4482">
        <v>-44.884746999999997</v>
      </c>
      <c r="R4482" s="2" t="str">
        <f>HYPERLINK("https://www.google.com/maps?q=-20.1886080,-44.8847470","Abrir no Google Maps")</f>
        <v>Abrir no Google Maps</v>
      </c>
      <c r="S4482">
        <v>4</v>
      </c>
      <c r="T4482">
        <v>501.52638987448978</v>
      </c>
      <c r="U4482">
        <v>3</v>
      </c>
      <c r="V4482">
        <v>0.1361983366537014</v>
      </c>
      <c r="W4482">
        <v>0.85</v>
      </c>
      <c r="X4482">
        <v>0.1157685861556462</v>
      </c>
      <c r="Y4482">
        <v>101</v>
      </c>
      <c r="Z4482">
        <v>489.47740203600989</v>
      </c>
      <c r="AA4482">
        <v>198</v>
      </c>
      <c r="AB4482">
        <v>332</v>
      </c>
      <c r="AC4482">
        <v>536</v>
      </c>
      <c r="AD4482">
        <v>30.35</v>
      </c>
      <c r="AE4482">
        <v>542</v>
      </c>
      <c r="AF4482">
        <v>37</v>
      </c>
      <c r="AG4482">
        <v>161</v>
      </c>
      <c r="AH4482">
        <v>129</v>
      </c>
      <c r="AI4482">
        <v>6.83</v>
      </c>
      <c r="AJ4482">
        <v>29.7</v>
      </c>
      <c r="AK4482">
        <v>23.8</v>
      </c>
      <c r="AL4482">
        <v>-20.188808899999941</v>
      </c>
      <c r="AM4482">
        <v>-44.884623554762321</v>
      </c>
      <c r="AN4482">
        <v>-20.188808899999941</v>
      </c>
      <c r="AO4482">
        <v>-44.884623554762321</v>
      </c>
      <c r="AP4482">
        <v>-20.188607999999999</v>
      </c>
      <c r="AQ4482">
        <v>-44.884746999999997</v>
      </c>
      <c r="AR4482">
        <v>25.8167710394147</v>
      </c>
      <c r="AS4482" t="s">
        <v>65</v>
      </c>
      <c r="AT4482">
        <v>1</v>
      </c>
      <c r="AU4482" t="s">
        <v>1669</v>
      </c>
      <c r="AV4482" t="s">
        <v>1670</v>
      </c>
      <c r="AW4482" t="s">
        <v>60</v>
      </c>
      <c r="AX4482" t="s">
        <v>68</v>
      </c>
      <c r="AY4482" t="s">
        <v>69</v>
      </c>
      <c r="AZ4482" t="b">
        <v>1</v>
      </c>
    </row>
    <row r="4483" spans="1:52" x14ac:dyDescent="0.3">
      <c r="A4483" t="s">
        <v>52</v>
      </c>
      <c r="B4483" t="s">
        <v>53</v>
      </c>
      <c r="C4483" t="s">
        <v>54</v>
      </c>
      <c r="D4483" t="s">
        <v>55</v>
      </c>
      <c r="E4483" t="s">
        <v>2223</v>
      </c>
      <c r="F4483" t="s">
        <v>190</v>
      </c>
      <c r="G4483" t="s">
        <v>1671</v>
      </c>
      <c r="H4483" t="s">
        <v>1675</v>
      </c>
      <c r="I4483" t="s">
        <v>1675</v>
      </c>
      <c r="J4483" t="s">
        <v>60</v>
      </c>
      <c r="K4483" t="s">
        <v>1676</v>
      </c>
      <c r="L4483" t="s">
        <v>62</v>
      </c>
      <c r="M4483" t="s">
        <v>1676</v>
      </c>
      <c r="N4483" t="s">
        <v>1673</v>
      </c>
      <c r="O4483" t="s">
        <v>283</v>
      </c>
      <c r="P4483">
        <v>-20.183022000000001</v>
      </c>
      <c r="Q4483">
        <v>-44.885517</v>
      </c>
      <c r="R4483" s="2" t="str">
        <f>HYPERLINK("https://www.google.com/maps?q=-20.1830220,-44.8855170","Abrir no Google Maps")</f>
        <v>Abrir no Google Maps</v>
      </c>
      <c r="S4483">
        <v>4</v>
      </c>
      <c r="T4483">
        <v>532.27605375591554</v>
      </c>
      <c r="U4483">
        <v>3</v>
      </c>
      <c r="V4483">
        <v>0.1390448090577624</v>
      </c>
      <c r="W4483">
        <v>0.85</v>
      </c>
      <c r="X4483">
        <v>0.118188087699098</v>
      </c>
      <c r="Y4483">
        <v>101</v>
      </c>
      <c r="Z4483">
        <v>549.01511922042539</v>
      </c>
      <c r="AA4483">
        <v>198</v>
      </c>
      <c r="AB4483">
        <v>332</v>
      </c>
      <c r="AC4483">
        <v>536</v>
      </c>
      <c r="AD4483">
        <v>30.35</v>
      </c>
      <c r="AE4483">
        <v>542</v>
      </c>
      <c r="AF4483">
        <v>37</v>
      </c>
      <c r="AG4483">
        <v>161</v>
      </c>
      <c r="AH4483">
        <v>129</v>
      </c>
      <c r="AI4483">
        <v>6.83</v>
      </c>
      <c r="AJ4483">
        <v>29.7</v>
      </c>
      <c r="AK4483">
        <v>23.8</v>
      </c>
      <c r="AL4483">
        <v>-20.182930199999959</v>
      </c>
      <c r="AM4483">
        <v>-44.885344551029888</v>
      </c>
      <c r="AN4483">
        <v>-20.182930199999959</v>
      </c>
      <c r="AO4483">
        <v>-44.885344551029888</v>
      </c>
      <c r="AP4483">
        <v>-20.183022000000001</v>
      </c>
      <c r="AQ4483">
        <v>-44.885517</v>
      </c>
      <c r="AR4483">
        <v>20.714454632752489</v>
      </c>
      <c r="AS4483" t="s">
        <v>65</v>
      </c>
      <c r="AT4483">
        <v>1</v>
      </c>
      <c r="AU4483" t="s">
        <v>1677</v>
      </c>
      <c r="AV4483" t="s">
        <v>1678</v>
      </c>
      <c r="AW4483" t="s">
        <v>60</v>
      </c>
      <c r="AX4483" t="s">
        <v>68</v>
      </c>
      <c r="AY4483" t="s">
        <v>69</v>
      </c>
      <c r="AZ4483" t="b">
        <v>1</v>
      </c>
    </row>
    <row r="4484" spans="1:52" x14ac:dyDescent="0.3">
      <c r="A4484" t="s">
        <v>52</v>
      </c>
      <c r="B4484" t="s">
        <v>53</v>
      </c>
      <c r="C4484" t="s">
        <v>54</v>
      </c>
      <c r="D4484" t="s">
        <v>55</v>
      </c>
      <c r="E4484" t="s">
        <v>2223</v>
      </c>
      <c r="F4484" t="s">
        <v>190</v>
      </c>
      <c r="G4484" t="s">
        <v>1679</v>
      </c>
      <c r="H4484" t="s">
        <v>1680</v>
      </c>
      <c r="I4484" t="s">
        <v>1680</v>
      </c>
      <c r="J4484" t="s">
        <v>60</v>
      </c>
      <c r="K4484" t="s">
        <v>1681</v>
      </c>
      <c r="L4484" t="s">
        <v>62</v>
      </c>
      <c r="M4484" t="s">
        <v>1681</v>
      </c>
      <c r="N4484" t="s">
        <v>1682</v>
      </c>
      <c r="O4484" t="s">
        <v>315</v>
      </c>
      <c r="P4484">
        <v>-20.136075999999999</v>
      </c>
      <c r="Q4484">
        <v>-44.854410999999999</v>
      </c>
      <c r="R4484" s="2" t="str">
        <f>HYPERLINK("https://www.google.com/maps?q=-20.1360760,-44.8544110","Abrir no Google Maps")</f>
        <v>Abrir no Google Maps</v>
      </c>
      <c r="S4484">
        <v>4</v>
      </c>
      <c r="T4484">
        <v>923.14535705095284</v>
      </c>
      <c r="U4484">
        <v>3</v>
      </c>
      <c r="V4484">
        <v>0.1143248387916244</v>
      </c>
      <c r="W4484">
        <v>1</v>
      </c>
      <c r="X4484">
        <v>0.1143248387916244</v>
      </c>
      <c r="Y4484">
        <v>95</v>
      </c>
      <c r="Z4484">
        <v>512.25410822465881</v>
      </c>
      <c r="AA4484">
        <v>198</v>
      </c>
      <c r="AB4484">
        <v>332</v>
      </c>
      <c r="AC4484">
        <v>536</v>
      </c>
      <c r="AD4484">
        <v>30.35</v>
      </c>
      <c r="AE4484">
        <v>542</v>
      </c>
      <c r="AF4484">
        <v>37</v>
      </c>
      <c r="AG4484">
        <v>161</v>
      </c>
      <c r="AH4484">
        <v>129</v>
      </c>
      <c r="AI4484">
        <v>6.83</v>
      </c>
      <c r="AJ4484">
        <v>29.7</v>
      </c>
      <c r="AK4484">
        <v>23.8</v>
      </c>
      <c r="AL4484">
        <v>-20.13612434999996</v>
      </c>
      <c r="AM4484">
        <v>-44.854448179058288</v>
      </c>
      <c r="AN4484">
        <v>-20.13612434999996</v>
      </c>
      <c r="AO4484">
        <v>-44.854448179058288</v>
      </c>
      <c r="AP4484">
        <v>-20.136075999999999</v>
      </c>
      <c r="AQ4484">
        <v>-44.854410999999999</v>
      </c>
      <c r="AR4484">
        <v>6.6384360450222868</v>
      </c>
      <c r="AS4484" t="s">
        <v>65</v>
      </c>
      <c r="AT4484">
        <v>1</v>
      </c>
      <c r="AU4484" t="s">
        <v>1683</v>
      </c>
      <c r="AV4484" t="s">
        <v>1684</v>
      </c>
      <c r="AW4484" t="s">
        <v>60</v>
      </c>
      <c r="AX4484" t="s">
        <v>68</v>
      </c>
      <c r="AY4484" t="s">
        <v>69</v>
      </c>
      <c r="AZ4484" t="b">
        <v>1</v>
      </c>
    </row>
    <row r="4485" spans="1:52" x14ac:dyDescent="0.3">
      <c r="A4485" t="s">
        <v>52</v>
      </c>
      <c r="B4485" t="s">
        <v>53</v>
      </c>
      <c r="C4485" t="s">
        <v>54</v>
      </c>
      <c r="D4485" t="s">
        <v>55</v>
      </c>
      <c r="E4485" t="s">
        <v>2223</v>
      </c>
      <c r="F4485" t="s">
        <v>190</v>
      </c>
      <c r="G4485" t="s">
        <v>183</v>
      </c>
      <c r="H4485" t="s">
        <v>184</v>
      </c>
      <c r="I4485" t="s">
        <v>184</v>
      </c>
      <c r="J4485" t="s">
        <v>60</v>
      </c>
      <c r="K4485" t="s">
        <v>185</v>
      </c>
      <c r="L4485" t="s">
        <v>62</v>
      </c>
      <c r="M4485" t="s">
        <v>185</v>
      </c>
      <c r="N4485" t="s">
        <v>186</v>
      </c>
      <c r="O4485" t="s">
        <v>187</v>
      </c>
      <c r="P4485">
        <v>-20.134855000000002</v>
      </c>
      <c r="Q4485">
        <v>-44.860174000000001</v>
      </c>
      <c r="R4485" s="2" t="str">
        <f>HYPERLINK("https://www.google.com/maps?q=-20.1348550,-44.8601740","Abrir no Google Maps")</f>
        <v>Abrir no Google Maps</v>
      </c>
      <c r="S4485">
        <v>4</v>
      </c>
      <c r="T4485">
        <v>625.96998974571841</v>
      </c>
      <c r="U4485">
        <v>3</v>
      </c>
      <c r="V4485">
        <v>0.1162645623363848</v>
      </c>
      <c r="W4485">
        <v>1</v>
      </c>
      <c r="X4485">
        <v>0.1162645623363848</v>
      </c>
      <c r="Y4485">
        <v>95</v>
      </c>
      <c r="Z4485">
        <v>257.67818504656498</v>
      </c>
      <c r="AA4485">
        <v>198</v>
      </c>
      <c r="AB4485">
        <v>332</v>
      </c>
      <c r="AC4485">
        <v>536</v>
      </c>
      <c r="AD4485">
        <v>30.35</v>
      </c>
      <c r="AE4485">
        <v>542</v>
      </c>
      <c r="AF4485">
        <v>37</v>
      </c>
      <c r="AG4485">
        <v>161</v>
      </c>
      <c r="AH4485">
        <v>129</v>
      </c>
      <c r="AI4485">
        <v>6.83</v>
      </c>
      <c r="AJ4485">
        <v>29.7</v>
      </c>
      <c r="AK4485">
        <v>23.8</v>
      </c>
      <c r="AL4485">
        <v>-20.134903999999981</v>
      </c>
      <c r="AM4485">
        <v>-44.859880285335962</v>
      </c>
      <c r="AN4485">
        <v>-20.134903999999981</v>
      </c>
      <c r="AO4485">
        <v>-44.859880285335962</v>
      </c>
      <c r="AP4485">
        <v>-20.134855000000002</v>
      </c>
      <c r="AQ4485">
        <v>-44.860174000000001</v>
      </c>
      <c r="AR4485">
        <v>31.178921696823132</v>
      </c>
      <c r="AS4485" t="s">
        <v>65</v>
      </c>
      <c r="AT4485">
        <v>1</v>
      </c>
      <c r="AU4485" t="s">
        <v>188</v>
      </c>
      <c r="AV4485" t="s">
        <v>189</v>
      </c>
      <c r="AW4485" t="s">
        <v>60</v>
      </c>
      <c r="AX4485" t="s">
        <v>68</v>
      </c>
      <c r="AY4485" t="s">
        <v>69</v>
      </c>
      <c r="AZ4485" t="b">
        <v>1</v>
      </c>
    </row>
    <row r="4486" spans="1:52" x14ac:dyDescent="0.3">
      <c r="A4486" t="s">
        <v>52</v>
      </c>
      <c r="B4486" t="s">
        <v>53</v>
      </c>
      <c r="C4486" t="s">
        <v>54</v>
      </c>
      <c r="D4486" t="s">
        <v>55</v>
      </c>
      <c r="E4486" t="s">
        <v>2223</v>
      </c>
      <c r="F4486" t="s">
        <v>190</v>
      </c>
      <c r="G4486" t="s">
        <v>833</v>
      </c>
      <c r="H4486" t="s">
        <v>834</v>
      </c>
      <c r="I4486" t="s">
        <v>834</v>
      </c>
      <c r="J4486" t="s">
        <v>60</v>
      </c>
      <c r="K4486" t="s">
        <v>388</v>
      </c>
      <c r="L4486" t="s">
        <v>62</v>
      </c>
      <c r="M4486" t="s">
        <v>388</v>
      </c>
      <c r="N4486" t="s">
        <v>835</v>
      </c>
      <c r="O4486" t="s">
        <v>836</v>
      </c>
      <c r="P4486">
        <v>-20.157906000000001</v>
      </c>
      <c r="Q4486">
        <v>-44.900458999999998</v>
      </c>
      <c r="R4486" s="2" t="str">
        <f>HYPERLINK("https://www.google.com/maps?q=-20.1579060,-44.9004590","Abrir no Google Maps")</f>
        <v>Abrir no Google Maps</v>
      </c>
      <c r="S4486">
        <v>3</v>
      </c>
      <c r="T4486">
        <v>0</v>
      </c>
      <c r="U4486">
        <v>4</v>
      </c>
      <c r="V4486">
        <v>0.12390044647097941</v>
      </c>
      <c r="W4486">
        <v>1</v>
      </c>
      <c r="X4486">
        <v>0.12390044647097941</v>
      </c>
      <c r="Y4486">
        <v>729</v>
      </c>
      <c r="Z4486">
        <v>203.63168486652771</v>
      </c>
      <c r="AA4486">
        <v>198</v>
      </c>
      <c r="AB4486">
        <v>332</v>
      </c>
      <c r="AC4486">
        <v>536</v>
      </c>
      <c r="AD4486">
        <v>30.35</v>
      </c>
      <c r="AE4486">
        <v>542</v>
      </c>
      <c r="AF4486">
        <v>37</v>
      </c>
      <c r="AG4486">
        <v>161</v>
      </c>
      <c r="AH4486">
        <v>129</v>
      </c>
      <c r="AI4486">
        <v>6.83</v>
      </c>
      <c r="AJ4486">
        <v>29.7</v>
      </c>
      <c r="AK4486">
        <v>23.8</v>
      </c>
      <c r="AL4486">
        <v>-20.157925749999951</v>
      </c>
      <c r="AM4486">
        <v>-44.900484707799812</v>
      </c>
      <c r="AN4486">
        <v>-20.157925749999951</v>
      </c>
      <c r="AO4486">
        <v>-44.900484707799812</v>
      </c>
      <c r="AP4486">
        <v>-20.157906000000001</v>
      </c>
      <c r="AQ4486">
        <v>-44.900458999999998</v>
      </c>
      <c r="AR4486">
        <v>3.4714515960382508</v>
      </c>
      <c r="AS4486" t="s">
        <v>65</v>
      </c>
      <c r="AT4486">
        <v>1</v>
      </c>
      <c r="AU4486" t="s">
        <v>837</v>
      </c>
      <c r="AV4486" t="s">
        <v>838</v>
      </c>
      <c r="AW4486" t="s">
        <v>60</v>
      </c>
      <c r="AX4486" t="s">
        <v>68</v>
      </c>
      <c r="AY4486" t="s">
        <v>69</v>
      </c>
      <c r="AZ4486" t="b">
        <v>1</v>
      </c>
    </row>
    <row r="4487" spans="1:52" x14ac:dyDescent="0.3">
      <c r="A4487" t="s">
        <v>52</v>
      </c>
      <c r="B4487" t="s">
        <v>53</v>
      </c>
      <c r="C4487" t="s">
        <v>54</v>
      </c>
      <c r="D4487" t="s">
        <v>55</v>
      </c>
      <c r="E4487" t="s">
        <v>2223</v>
      </c>
      <c r="F4487" t="s">
        <v>190</v>
      </c>
      <c r="G4487" t="s">
        <v>386</v>
      </c>
      <c r="H4487" t="s">
        <v>387</v>
      </c>
      <c r="I4487" t="s">
        <v>387</v>
      </c>
      <c r="J4487" t="s">
        <v>60</v>
      </c>
      <c r="K4487" t="s">
        <v>388</v>
      </c>
      <c r="L4487" t="s">
        <v>62</v>
      </c>
      <c r="M4487" t="s">
        <v>388</v>
      </c>
      <c r="N4487" t="s">
        <v>389</v>
      </c>
      <c r="O4487" t="s">
        <v>357</v>
      </c>
      <c r="P4487">
        <v>-20.161041999999998</v>
      </c>
      <c r="Q4487">
        <v>-44.901242000000003</v>
      </c>
      <c r="R4487" s="2" t="str">
        <f>HYPERLINK("https://www.google.com/maps?q=-20.1610420,-44.9012420","Abrir no Google Maps")</f>
        <v>Abrir no Google Maps</v>
      </c>
      <c r="S4487">
        <v>3</v>
      </c>
      <c r="T4487">
        <v>440.22183232279212</v>
      </c>
      <c r="U4487">
        <v>4</v>
      </c>
      <c r="V4487">
        <v>0.12699062699062699</v>
      </c>
      <c r="W4487">
        <v>1</v>
      </c>
      <c r="X4487">
        <v>0.12699062699062699</v>
      </c>
      <c r="Y4487">
        <v>729</v>
      </c>
      <c r="Z4487">
        <v>398.48306829302379</v>
      </c>
      <c r="AA4487">
        <v>198</v>
      </c>
      <c r="AB4487">
        <v>332</v>
      </c>
      <c r="AC4487">
        <v>536</v>
      </c>
      <c r="AD4487">
        <v>30.35</v>
      </c>
      <c r="AE4487">
        <v>542</v>
      </c>
      <c r="AF4487">
        <v>37</v>
      </c>
      <c r="AG4487">
        <v>161</v>
      </c>
      <c r="AH4487">
        <v>129</v>
      </c>
      <c r="AI4487">
        <v>6.83</v>
      </c>
      <c r="AJ4487">
        <v>29.7</v>
      </c>
      <c r="AK4487">
        <v>23.8</v>
      </c>
      <c r="AL4487">
        <v>-20.16176629999995</v>
      </c>
      <c r="AM4487">
        <v>-44.901582787827898</v>
      </c>
      <c r="AN4487">
        <v>-20.16176629999995</v>
      </c>
      <c r="AO4487">
        <v>-44.901582787827898</v>
      </c>
      <c r="AP4487">
        <v>-20.161041999999998</v>
      </c>
      <c r="AQ4487">
        <v>-44.901242000000003</v>
      </c>
      <c r="AR4487">
        <v>88.143369157892835</v>
      </c>
      <c r="AS4487" t="s">
        <v>65</v>
      </c>
      <c r="AT4487">
        <v>1</v>
      </c>
      <c r="AU4487" t="s">
        <v>390</v>
      </c>
      <c r="AV4487" t="s">
        <v>391</v>
      </c>
      <c r="AW4487" t="s">
        <v>60</v>
      </c>
      <c r="AX4487" t="s">
        <v>68</v>
      </c>
      <c r="AY4487" t="s">
        <v>69</v>
      </c>
      <c r="AZ4487" t="b">
        <v>1</v>
      </c>
    </row>
    <row r="4488" spans="1:52" x14ac:dyDescent="0.3">
      <c r="A4488" t="s">
        <v>52</v>
      </c>
      <c r="B4488" t="s">
        <v>53</v>
      </c>
      <c r="C4488" t="s">
        <v>54</v>
      </c>
      <c r="D4488" t="s">
        <v>55</v>
      </c>
      <c r="E4488" t="s">
        <v>2223</v>
      </c>
      <c r="F4488" t="s">
        <v>190</v>
      </c>
      <c r="G4488" t="s">
        <v>398</v>
      </c>
      <c r="H4488" t="s">
        <v>399</v>
      </c>
      <c r="I4488" t="s">
        <v>399</v>
      </c>
      <c r="J4488" t="s">
        <v>60</v>
      </c>
      <c r="K4488" t="s">
        <v>388</v>
      </c>
      <c r="L4488" t="s">
        <v>62</v>
      </c>
      <c r="M4488" t="s">
        <v>388</v>
      </c>
      <c r="N4488" t="s">
        <v>400</v>
      </c>
      <c r="O4488" t="s">
        <v>401</v>
      </c>
      <c r="P4488">
        <v>-20.160157000000002</v>
      </c>
      <c r="Q4488">
        <v>-44.904347999999999</v>
      </c>
      <c r="R4488" s="2" t="str">
        <f>HYPERLINK("https://www.google.com/maps?q=-20.1601570,-44.9043480","Abrir no Google Maps")</f>
        <v>Abrir no Google Maps</v>
      </c>
      <c r="S4488">
        <v>3</v>
      </c>
      <c r="T4488">
        <v>469.26088527154809</v>
      </c>
      <c r="U4488">
        <v>4</v>
      </c>
      <c r="V4488">
        <v>0.12594121933446681</v>
      </c>
      <c r="W4488">
        <v>1</v>
      </c>
      <c r="X4488">
        <v>0.12594121933446681</v>
      </c>
      <c r="Y4488">
        <v>729</v>
      </c>
      <c r="Z4488">
        <v>253.57832452309071</v>
      </c>
      <c r="AA4488">
        <v>198</v>
      </c>
      <c r="AB4488">
        <v>332</v>
      </c>
      <c r="AC4488">
        <v>536</v>
      </c>
      <c r="AD4488">
        <v>30.35</v>
      </c>
      <c r="AE4488">
        <v>542</v>
      </c>
      <c r="AF4488">
        <v>37</v>
      </c>
      <c r="AG4488">
        <v>161</v>
      </c>
      <c r="AH4488">
        <v>129</v>
      </c>
      <c r="AI4488">
        <v>6.83</v>
      </c>
      <c r="AJ4488">
        <v>29.7</v>
      </c>
      <c r="AK4488">
        <v>23.8</v>
      </c>
      <c r="AL4488">
        <v>-20.160007949999969</v>
      </c>
      <c r="AM4488">
        <v>-44.904396608560482</v>
      </c>
      <c r="AN4488">
        <v>-20.160007949999969</v>
      </c>
      <c r="AO4488">
        <v>-44.904396608560482</v>
      </c>
      <c r="AP4488">
        <v>-20.160157000000002</v>
      </c>
      <c r="AQ4488">
        <v>-44.904347999999999</v>
      </c>
      <c r="AR4488">
        <v>17.35237255387942</v>
      </c>
      <c r="AS4488" t="s">
        <v>65</v>
      </c>
      <c r="AT4488">
        <v>1</v>
      </c>
      <c r="AU4488" t="s">
        <v>402</v>
      </c>
      <c r="AV4488" t="s">
        <v>403</v>
      </c>
      <c r="AW4488" t="s">
        <v>60</v>
      </c>
      <c r="AX4488" t="s">
        <v>68</v>
      </c>
      <c r="AY4488" t="s">
        <v>69</v>
      </c>
      <c r="AZ4488" t="b">
        <v>1</v>
      </c>
    </row>
    <row r="4489" spans="1:52" x14ac:dyDescent="0.3">
      <c r="A4489" t="s">
        <v>52</v>
      </c>
      <c r="B4489" t="s">
        <v>53</v>
      </c>
      <c r="C4489" t="s">
        <v>54</v>
      </c>
      <c r="D4489" t="s">
        <v>55</v>
      </c>
      <c r="E4489" t="s">
        <v>2223</v>
      </c>
      <c r="F4489" t="s">
        <v>190</v>
      </c>
      <c r="G4489" t="s">
        <v>410</v>
      </c>
      <c r="H4489" t="s">
        <v>411</v>
      </c>
      <c r="I4489" t="s">
        <v>411</v>
      </c>
      <c r="J4489" t="s">
        <v>60</v>
      </c>
      <c r="K4489" t="s">
        <v>388</v>
      </c>
      <c r="L4489" t="s">
        <v>62</v>
      </c>
      <c r="M4489" t="s">
        <v>388</v>
      </c>
      <c r="N4489" t="s">
        <v>412</v>
      </c>
      <c r="O4489" t="s">
        <v>413</v>
      </c>
      <c r="P4489">
        <v>-20.161394000000001</v>
      </c>
      <c r="Q4489">
        <v>-44.906725999999999</v>
      </c>
      <c r="R4489" s="2" t="str">
        <f>HYPERLINK("https://www.google.com/maps?q=-20.1613940,-44.9067260","Abrir no Google Maps")</f>
        <v>Abrir no Google Maps</v>
      </c>
      <c r="S4489">
        <v>3</v>
      </c>
      <c r="T4489">
        <v>763.68157548493457</v>
      </c>
      <c r="U4489">
        <v>4</v>
      </c>
      <c r="V4489">
        <v>0.13539204330559759</v>
      </c>
      <c r="W4489">
        <v>1</v>
      </c>
      <c r="X4489">
        <v>0.13539204330559759</v>
      </c>
      <c r="Y4489">
        <v>729</v>
      </c>
      <c r="Z4489">
        <v>551.70379325948545</v>
      </c>
      <c r="AA4489">
        <v>198</v>
      </c>
      <c r="AB4489">
        <v>332</v>
      </c>
      <c r="AC4489">
        <v>536</v>
      </c>
      <c r="AD4489">
        <v>30.35</v>
      </c>
      <c r="AE4489">
        <v>542</v>
      </c>
      <c r="AF4489">
        <v>37</v>
      </c>
      <c r="AG4489">
        <v>161</v>
      </c>
      <c r="AH4489">
        <v>129</v>
      </c>
      <c r="AI4489">
        <v>6.83</v>
      </c>
      <c r="AJ4489">
        <v>29.7</v>
      </c>
      <c r="AK4489">
        <v>23.8</v>
      </c>
      <c r="AL4489">
        <v>-20.161371049999929</v>
      </c>
      <c r="AM4489">
        <v>-44.906816797310228</v>
      </c>
      <c r="AN4489">
        <v>-20.161371049999929</v>
      </c>
      <c r="AO4489">
        <v>-44.906816797310228</v>
      </c>
      <c r="AP4489">
        <v>-20.161394000000001</v>
      </c>
      <c r="AQ4489">
        <v>-44.906725999999999</v>
      </c>
      <c r="AR4489">
        <v>9.8261555662022495</v>
      </c>
      <c r="AS4489" t="s">
        <v>65</v>
      </c>
      <c r="AT4489">
        <v>1</v>
      </c>
      <c r="AU4489" t="s">
        <v>414</v>
      </c>
      <c r="AV4489" t="s">
        <v>415</v>
      </c>
      <c r="AW4489" t="s">
        <v>60</v>
      </c>
      <c r="AX4489" t="s">
        <v>68</v>
      </c>
      <c r="AY4489" t="s">
        <v>69</v>
      </c>
      <c r="AZ4489" t="b">
        <v>1</v>
      </c>
    </row>
    <row r="4490" spans="1:52" x14ac:dyDescent="0.3">
      <c r="A4490" t="s">
        <v>52</v>
      </c>
      <c r="B4490" t="s">
        <v>53</v>
      </c>
      <c r="C4490" t="s">
        <v>54</v>
      </c>
      <c r="D4490" t="s">
        <v>55</v>
      </c>
      <c r="E4490" t="s">
        <v>2223</v>
      </c>
      <c r="F4490" t="s">
        <v>190</v>
      </c>
      <c r="G4490" t="s">
        <v>416</v>
      </c>
      <c r="H4490" t="s">
        <v>417</v>
      </c>
      <c r="I4490" t="s">
        <v>417</v>
      </c>
      <c r="J4490" t="s">
        <v>60</v>
      </c>
      <c r="K4490" t="s">
        <v>418</v>
      </c>
      <c r="L4490" t="s">
        <v>62</v>
      </c>
      <c r="M4490" t="s">
        <v>418</v>
      </c>
      <c r="N4490" t="s">
        <v>419</v>
      </c>
      <c r="O4490" t="s">
        <v>202</v>
      </c>
      <c r="P4490">
        <v>-20.169886000000002</v>
      </c>
      <c r="Q4490">
        <v>-44.913288000000001</v>
      </c>
      <c r="R4490" s="2" t="str">
        <f>HYPERLINK("https://www.google.com/maps?q=-20.1698860,-44.9132880","Abrir no Google Maps")</f>
        <v>Abrir no Google Maps</v>
      </c>
      <c r="S4490">
        <v>3</v>
      </c>
      <c r="T4490">
        <v>422.88733632898152</v>
      </c>
      <c r="U4490">
        <v>4</v>
      </c>
      <c r="V4490">
        <v>0.1226246755654431</v>
      </c>
      <c r="W4490">
        <v>1</v>
      </c>
      <c r="X4490">
        <v>0.1226246755654431</v>
      </c>
      <c r="Y4490">
        <v>723</v>
      </c>
      <c r="Z4490">
        <v>128.65003864232261</v>
      </c>
      <c r="AA4490">
        <v>198</v>
      </c>
      <c r="AB4490">
        <v>332</v>
      </c>
      <c r="AC4490">
        <v>536</v>
      </c>
      <c r="AD4490">
        <v>30.35</v>
      </c>
      <c r="AE4490">
        <v>542</v>
      </c>
      <c r="AF4490">
        <v>37</v>
      </c>
      <c r="AG4490">
        <v>161</v>
      </c>
      <c r="AH4490">
        <v>129</v>
      </c>
      <c r="AI4490">
        <v>6.83</v>
      </c>
      <c r="AJ4490">
        <v>29.7</v>
      </c>
      <c r="AK4490">
        <v>23.8</v>
      </c>
      <c r="AL4490">
        <v>-20.16970024999998</v>
      </c>
      <c r="AM4490">
        <v>-44.913502201257437</v>
      </c>
      <c r="AN4490">
        <v>-20.16970024999998</v>
      </c>
      <c r="AO4490">
        <v>-44.913502201257437</v>
      </c>
      <c r="AP4490">
        <v>-20.169886000000002</v>
      </c>
      <c r="AQ4490">
        <v>-44.913288000000001</v>
      </c>
      <c r="AR4490">
        <v>30.47208587597606</v>
      </c>
      <c r="AS4490" t="s">
        <v>65</v>
      </c>
      <c r="AT4490">
        <v>1</v>
      </c>
      <c r="AU4490" t="s">
        <v>420</v>
      </c>
      <c r="AV4490" t="s">
        <v>421</v>
      </c>
      <c r="AW4490" t="s">
        <v>60</v>
      </c>
      <c r="AX4490" t="s">
        <v>68</v>
      </c>
      <c r="AY4490" t="s">
        <v>69</v>
      </c>
      <c r="AZ4490" t="b">
        <v>1</v>
      </c>
    </row>
    <row r="4491" spans="1:52" x14ac:dyDescent="0.3">
      <c r="A4491" t="s">
        <v>52</v>
      </c>
      <c r="B4491" t="s">
        <v>53</v>
      </c>
      <c r="C4491" t="s">
        <v>54</v>
      </c>
      <c r="D4491" t="s">
        <v>55</v>
      </c>
      <c r="E4491" t="s">
        <v>2223</v>
      </c>
      <c r="F4491" t="s">
        <v>190</v>
      </c>
      <c r="G4491" t="s">
        <v>442</v>
      </c>
      <c r="H4491" t="s">
        <v>443</v>
      </c>
      <c r="I4491" t="s">
        <v>443</v>
      </c>
      <c r="J4491" t="s">
        <v>60</v>
      </c>
      <c r="K4491" t="s">
        <v>437</v>
      </c>
      <c r="L4491" t="s">
        <v>62</v>
      </c>
      <c r="M4491" t="s">
        <v>437</v>
      </c>
      <c r="N4491" t="s">
        <v>444</v>
      </c>
      <c r="O4491" t="s">
        <v>445</v>
      </c>
      <c r="P4491">
        <v>-20.149744999999999</v>
      </c>
      <c r="Q4491">
        <v>-44.881385000000002</v>
      </c>
      <c r="R4491" s="2" t="str">
        <f>HYPERLINK("https://www.google.com/maps?q=-20.1497450,-44.8813850","Abrir no Google Maps")</f>
        <v>Abrir no Google Maps</v>
      </c>
      <c r="S4491">
        <v>3</v>
      </c>
      <c r="T4491">
        <v>188.80690546111239</v>
      </c>
      <c r="U4491">
        <v>4</v>
      </c>
      <c r="V4491">
        <v>0.13430366725053519</v>
      </c>
      <c r="W4491">
        <v>1</v>
      </c>
      <c r="X4491">
        <v>0.13430366725053519</v>
      </c>
      <c r="Y4491">
        <v>653</v>
      </c>
      <c r="Z4491">
        <v>86.575080390731017</v>
      </c>
      <c r="AA4491">
        <v>198</v>
      </c>
      <c r="AB4491">
        <v>332</v>
      </c>
      <c r="AC4491">
        <v>536</v>
      </c>
      <c r="AD4491">
        <v>30.35</v>
      </c>
      <c r="AE4491">
        <v>542</v>
      </c>
      <c r="AF4491">
        <v>37</v>
      </c>
      <c r="AG4491">
        <v>161</v>
      </c>
      <c r="AH4491">
        <v>129</v>
      </c>
      <c r="AI4491">
        <v>6.83</v>
      </c>
      <c r="AJ4491">
        <v>29.7</v>
      </c>
      <c r="AK4491">
        <v>23.8</v>
      </c>
      <c r="AL4491">
        <v>-20.149645149999941</v>
      </c>
      <c r="AM4491">
        <v>-44.881504585149607</v>
      </c>
      <c r="AN4491">
        <v>-20.149645149999941</v>
      </c>
      <c r="AO4491">
        <v>-44.881504585149607</v>
      </c>
      <c r="AP4491">
        <v>-20.149744999999999</v>
      </c>
      <c r="AQ4491">
        <v>-44.881385000000002</v>
      </c>
      <c r="AR4491">
        <v>16.725323110840389</v>
      </c>
      <c r="AS4491" t="s">
        <v>65</v>
      </c>
      <c r="AT4491">
        <v>1</v>
      </c>
      <c r="AU4491" t="s">
        <v>446</v>
      </c>
      <c r="AV4491" t="s">
        <v>447</v>
      </c>
      <c r="AW4491" t="s">
        <v>60</v>
      </c>
      <c r="AX4491" t="s">
        <v>68</v>
      </c>
      <c r="AY4491" t="s">
        <v>69</v>
      </c>
      <c r="AZ4491" t="b">
        <v>1</v>
      </c>
    </row>
    <row r="4492" spans="1:52" x14ac:dyDescent="0.3">
      <c r="A4492" t="s">
        <v>52</v>
      </c>
      <c r="B4492" t="s">
        <v>53</v>
      </c>
      <c r="C4492" t="s">
        <v>54</v>
      </c>
      <c r="D4492" t="s">
        <v>55</v>
      </c>
      <c r="E4492" t="s">
        <v>2223</v>
      </c>
      <c r="F4492" t="s">
        <v>190</v>
      </c>
      <c r="G4492" t="s">
        <v>460</v>
      </c>
      <c r="H4492" t="s">
        <v>461</v>
      </c>
      <c r="I4492" t="s">
        <v>461</v>
      </c>
      <c r="J4492" t="s">
        <v>60</v>
      </c>
      <c r="K4492" t="s">
        <v>462</v>
      </c>
      <c r="L4492" t="s">
        <v>62</v>
      </c>
      <c r="M4492" t="s">
        <v>462</v>
      </c>
      <c r="N4492" t="s">
        <v>463</v>
      </c>
      <c r="O4492" t="s">
        <v>464</v>
      </c>
      <c r="P4492">
        <v>-20.137919</v>
      </c>
      <c r="Q4492">
        <v>-44.905591000000001</v>
      </c>
      <c r="R4492" s="2" t="str">
        <f>HYPERLINK("https://www.google.com/maps?q=-20.1379190,-44.9055910","Abrir no Google Maps")</f>
        <v>Abrir no Google Maps</v>
      </c>
      <c r="S4492">
        <v>3</v>
      </c>
      <c r="T4492">
        <v>262.01115919461103</v>
      </c>
      <c r="U4492">
        <v>4</v>
      </c>
      <c r="V4492">
        <v>0.12522172932308179</v>
      </c>
      <c r="W4492">
        <v>1</v>
      </c>
      <c r="X4492">
        <v>0.12522172932308179</v>
      </c>
      <c r="Y4492">
        <v>581</v>
      </c>
      <c r="Z4492">
        <v>318.63337303219271</v>
      </c>
      <c r="AA4492">
        <v>198</v>
      </c>
      <c r="AB4492">
        <v>332</v>
      </c>
      <c r="AC4492">
        <v>536</v>
      </c>
      <c r="AD4492">
        <v>30.35</v>
      </c>
      <c r="AE4492">
        <v>542</v>
      </c>
      <c r="AF4492">
        <v>37</v>
      </c>
      <c r="AG4492">
        <v>161</v>
      </c>
      <c r="AH4492">
        <v>129</v>
      </c>
      <c r="AI4492">
        <v>6.83</v>
      </c>
      <c r="AJ4492">
        <v>29.7</v>
      </c>
      <c r="AK4492">
        <v>23.8</v>
      </c>
      <c r="AL4492">
        <v>-20.13789079999998</v>
      </c>
      <c r="AM4492">
        <v>-44.90548593520333</v>
      </c>
      <c r="AN4492">
        <v>-20.13789079999998</v>
      </c>
      <c r="AO4492">
        <v>-44.90548593520333</v>
      </c>
      <c r="AP4492">
        <v>-20.137919</v>
      </c>
      <c r="AQ4492">
        <v>-44.905591000000001</v>
      </c>
      <c r="AR4492">
        <v>11.42072348298178</v>
      </c>
      <c r="AS4492" t="s">
        <v>65</v>
      </c>
      <c r="AT4492">
        <v>1</v>
      </c>
      <c r="AU4492" t="s">
        <v>465</v>
      </c>
      <c r="AV4492" t="s">
        <v>466</v>
      </c>
      <c r="AW4492" t="s">
        <v>60</v>
      </c>
      <c r="AX4492" t="s">
        <v>68</v>
      </c>
      <c r="AY4492" t="s">
        <v>69</v>
      </c>
      <c r="AZ4492" t="b">
        <v>1</v>
      </c>
    </row>
    <row r="4493" spans="1:52" x14ac:dyDescent="0.3">
      <c r="A4493" t="s">
        <v>52</v>
      </c>
      <c r="B4493" t="s">
        <v>53</v>
      </c>
      <c r="C4493" t="s">
        <v>54</v>
      </c>
      <c r="D4493" t="s">
        <v>55</v>
      </c>
      <c r="E4493" t="s">
        <v>2223</v>
      </c>
      <c r="F4493" t="s">
        <v>190</v>
      </c>
      <c r="G4493" t="s">
        <v>467</v>
      </c>
      <c r="H4493" t="s">
        <v>468</v>
      </c>
      <c r="I4493" t="s">
        <v>468</v>
      </c>
      <c r="J4493" t="s">
        <v>60</v>
      </c>
      <c r="K4493" t="s">
        <v>462</v>
      </c>
      <c r="L4493" t="s">
        <v>62</v>
      </c>
      <c r="M4493" t="s">
        <v>462</v>
      </c>
      <c r="N4493" t="s">
        <v>469</v>
      </c>
      <c r="O4493" t="s">
        <v>470</v>
      </c>
      <c r="P4493">
        <v>-20.138233</v>
      </c>
      <c r="Q4493">
        <v>-44.908200000000001</v>
      </c>
      <c r="R4493" s="2" t="str">
        <f>HYPERLINK("https://www.google.com/maps?q=-20.1382330,-44.9082000","Abrir no Google Maps")</f>
        <v>Abrir no Google Maps</v>
      </c>
      <c r="S4493">
        <v>3</v>
      </c>
      <c r="T4493">
        <v>0</v>
      </c>
      <c r="U4493">
        <v>4</v>
      </c>
      <c r="V4493">
        <v>0.13688457442451049</v>
      </c>
      <c r="W4493">
        <v>1</v>
      </c>
      <c r="X4493">
        <v>0.13688457442451049</v>
      </c>
      <c r="Y4493">
        <v>581</v>
      </c>
      <c r="Z4493">
        <v>153.18688302958171</v>
      </c>
      <c r="AA4493">
        <v>198</v>
      </c>
      <c r="AB4493">
        <v>332</v>
      </c>
      <c r="AC4493">
        <v>536</v>
      </c>
      <c r="AD4493">
        <v>30.35</v>
      </c>
      <c r="AE4493">
        <v>542</v>
      </c>
      <c r="AF4493">
        <v>37</v>
      </c>
      <c r="AG4493">
        <v>161</v>
      </c>
      <c r="AH4493">
        <v>129</v>
      </c>
      <c r="AI4493">
        <v>6.83</v>
      </c>
      <c r="AJ4493">
        <v>29.7</v>
      </c>
      <c r="AK4493">
        <v>23.8</v>
      </c>
      <c r="AL4493">
        <v>-20.138364899999971</v>
      </c>
      <c r="AM4493">
        <v>-44.907942114873997</v>
      </c>
      <c r="AN4493">
        <v>-20.138364899999971</v>
      </c>
      <c r="AO4493">
        <v>-44.907942114873997</v>
      </c>
      <c r="AP4493">
        <v>-20.138233</v>
      </c>
      <c r="AQ4493">
        <v>-44.908200000000001</v>
      </c>
      <c r="AR4493">
        <v>30.692690617986941</v>
      </c>
      <c r="AS4493" t="s">
        <v>65</v>
      </c>
      <c r="AT4493">
        <v>1</v>
      </c>
      <c r="AU4493" t="s">
        <v>471</v>
      </c>
      <c r="AV4493" t="s">
        <v>472</v>
      </c>
      <c r="AW4493" t="s">
        <v>60</v>
      </c>
      <c r="AX4493" t="s">
        <v>68</v>
      </c>
      <c r="AY4493" t="s">
        <v>69</v>
      </c>
      <c r="AZ4493" t="b">
        <v>1</v>
      </c>
    </row>
    <row r="4494" spans="1:52" x14ac:dyDescent="0.3">
      <c r="A4494" t="s">
        <v>52</v>
      </c>
      <c r="B4494" t="s">
        <v>53</v>
      </c>
      <c r="C4494" t="s">
        <v>54</v>
      </c>
      <c r="D4494" t="s">
        <v>55</v>
      </c>
      <c r="E4494" t="s">
        <v>2223</v>
      </c>
      <c r="F4494" t="s">
        <v>190</v>
      </c>
      <c r="G4494" t="s">
        <v>870</v>
      </c>
      <c r="H4494" t="s">
        <v>871</v>
      </c>
      <c r="I4494" t="s">
        <v>871</v>
      </c>
      <c r="J4494" t="s">
        <v>60</v>
      </c>
      <c r="K4494" t="s">
        <v>475</v>
      </c>
      <c r="L4494" t="s">
        <v>62</v>
      </c>
      <c r="M4494" t="s">
        <v>475</v>
      </c>
      <c r="N4494" t="s">
        <v>872</v>
      </c>
      <c r="O4494" t="s">
        <v>507</v>
      </c>
      <c r="P4494">
        <v>-20.176269999999999</v>
      </c>
      <c r="Q4494">
        <v>-44.909323999999998</v>
      </c>
      <c r="R4494" s="2" t="str">
        <f>HYPERLINK("https://www.google.com/maps?q=-20.1762700,-44.9093240","Abrir no Google Maps")</f>
        <v>Abrir no Google Maps</v>
      </c>
      <c r="S4494">
        <v>3</v>
      </c>
      <c r="T4494">
        <v>472.42731136821368</v>
      </c>
      <c r="U4494">
        <v>4</v>
      </c>
      <c r="V4494">
        <v>0.12580390706846609</v>
      </c>
      <c r="W4494">
        <v>1</v>
      </c>
      <c r="X4494">
        <v>0.12580390706846609</v>
      </c>
      <c r="Y4494">
        <v>578</v>
      </c>
      <c r="Z4494">
        <v>495.19726726344601</v>
      </c>
      <c r="AA4494">
        <v>198</v>
      </c>
      <c r="AB4494">
        <v>332</v>
      </c>
      <c r="AC4494">
        <v>536</v>
      </c>
      <c r="AD4494">
        <v>30.35</v>
      </c>
      <c r="AE4494">
        <v>542</v>
      </c>
      <c r="AF4494">
        <v>37</v>
      </c>
      <c r="AG4494">
        <v>161</v>
      </c>
      <c r="AH4494">
        <v>129</v>
      </c>
      <c r="AI4494">
        <v>6.83</v>
      </c>
      <c r="AJ4494">
        <v>29.7</v>
      </c>
      <c r="AK4494">
        <v>23.8</v>
      </c>
      <c r="AL4494">
        <v>-20.17630284999996</v>
      </c>
      <c r="AM4494">
        <v>-44.909199064318948</v>
      </c>
      <c r="AN4494">
        <v>-20.17630284999996</v>
      </c>
      <c r="AO4494">
        <v>-44.909199064318948</v>
      </c>
      <c r="AP4494">
        <v>-20.176269999999999</v>
      </c>
      <c r="AQ4494">
        <v>-44.909323999999998</v>
      </c>
      <c r="AR4494">
        <v>13.55691308737447</v>
      </c>
      <c r="AS4494" t="s">
        <v>65</v>
      </c>
      <c r="AT4494">
        <v>1</v>
      </c>
      <c r="AU4494" t="s">
        <v>873</v>
      </c>
      <c r="AV4494" t="s">
        <v>874</v>
      </c>
      <c r="AW4494" t="s">
        <v>60</v>
      </c>
      <c r="AX4494" t="s">
        <v>68</v>
      </c>
      <c r="AY4494" t="s">
        <v>69</v>
      </c>
      <c r="AZ4494" t="b">
        <v>1</v>
      </c>
    </row>
    <row r="4495" spans="1:52" x14ac:dyDescent="0.3">
      <c r="A4495" t="s">
        <v>52</v>
      </c>
      <c r="B4495" t="s">
        <v>53</v>
      </c>
      <c r="C4495" t="s">
        <v>54</v>
      </c>
      <c r="D4495" t="s">
        <v>55</v>
      </c>
      <c r="E4495" t="s">
        <v>2223</v>
      </c>
      <c r="F4495" t="s">
        <v>190</v>
      </c>
      <c r="G4495" t="s">
        <v>479</v>
      </c>
      <c r="H4495" t="s">
        <v>480</v>
      </c>
      <c r="I4495" t="s">
        <v>480</v>
      </c>
      <c r="J4495" t="s">
        <v>60</v>
      </c>
      <c r="K4495" t="s">
        <v>388</v>
      </c>
      <c r="L4495" t="s">
        <v>62</v>
      </c>
      <c r="M4495" t="s">
        <v>388</v>
      </c>
      <c r="N4495" t="s">
        <v>481</v>
      </c>
      <c r="O4495" t="s">
        <v>315</v>
      </c>
      <c r="P4495">
        <v>-20.166903999999999</v>
      </c>
      <c r="Q4495">
        <v>-44.903492</v>
      </c>
      <c r="R4495" s="2" t="str">
        <f>HYPERLINK("https://www.google.com/maps?q=-20.1669040,-44.9034920","Abrir no Google Maps")</f>
        <v>Abrir no Google Maps</v>
      </c>
      <c r="S4495">
        <v>3</v>
      </c>
      <c r="T4495">
        <v>517.12253532511602</v>
      </c>
      <c r="U4495">
        <v>4</v>
      </c>
      <c r="V4495">
        <v>0.1242053338257406</v>
      </c>
      <c r="W4495">
        <v>1</v>
      </c>
      <c r="X4495">
        <v>0.1242053338257406</v>
      </c>
      <c r="Y4495">
        <v>578</v>
      </c>
      <c r="Z4495">
        <v>721.79551240050432</v>
      </c>
      <c r="AA4495">
        <v>198</v>
      </c>
      <c r="AB4495">
        <v>332</v>
      </c>
      <c r="AC4495">
        <v>536</v>
      </c>
      <c r="AD4495">
        <v>30.35</v>
      </c>
      <c r="AE4495">
        <v>542</v>
      </c>
      <c r="AF4495">
        <v>37</v>
      </c>
      <c r="AG4495">
        <v>161</v>
      </c>
      <c r="AH4495">
        <v>129</v>
      </c>
      <c r="AI4495">
        <v>6.83</v>
      </c>
      <c r="AJ4495">
        <v>29.7</v>
      </c>
      <c r="AK4495">
        <v>23.8</v>
      </c>
      <c r="AL4495">
        <v>-20.166610649999971</v>
      </c>
      <c r="AM4495">
        <v>-44.903452988928308</v>
      </c>
      <c r="AN4495">
        <v>-20.166610649999971</v>
      </c>
      <c r="AO4495">
        <v>-44.903452988928308</v>
      </c>
      <c r="AP4495">
        <v>-20.166903999999999</v>
      </c>
      <c r="AQ4495">
        <v>-44.903492</v>
      </c>
      <c r="AR4495">
        <v>32.909175876856217</v>
      </c>
      <c r="AS4495" t="s">
        <v>65</v>
      </c>
      <c r="AT4495">
        <v>1</v>
      </c>
      <c r="AU4495" t="s">
        <v>482</v>
      </c>
      <c r="AV4495" t="s">
        <v>483</v>
      </c>
      <c r="AW4495" t="s">
        <v>60</v>
      </c>
      <c r="AX4495" t="s">
        <v>68</v>
      </c>
      <c r="AY4495" t="s">
        <v>69</v>
      </c>
      <c r="AZ4495" t="b">
        <v>1</v>
      </c>
    </row>
    <row r="4496" spans="1:52" x14ac:dyDescent="0.3">
      <c r="A4496" t="s">
        <v>52</v>
      </c>
      <c r="B4496" t="s">
        <v>53</v>
      </c>
      <c r="C4496" t="s">
        <v>54</v>
      </c>
      <c r="D4496" t="s">
        <v>55</v>
      </c>
      <c r="E4496" t="s">
        <v>2223</v>
      </c>
      <c r="F4496" t="s">
        <v>190</v>
      </c>
      <c r="G4496" t="s">
        <v>484</v>
      </c>
      <c r="H4496" t="s">
        <v>485</v>
      </c>
      <c r="I4496" t="s">
        <v>485</v>
      </c>
      <c r="J4496" t="s">
        <v>60</v>
      </c>
      <c r="K4496" t="s">
        <v>486</v>
      </c>
      <c r="L4496" t="s">
        <v>62</v>
      </c>
      <c r="M4496" t="s">
        <v>486</v>
      </c>
      <c r="N4496" t="s">
        <v>487</v>
      </c>
      <c r="O4496" t="s">
        <v>488</v>
      </c>
      <c r="P4496">
        <v>-20.173000999999999</v>
      </c>
      <c r="Q4496">
        <v>-44.901876999999999</v>
      </c>
      <c r="R4496" s="2" t="str">
        <f>HYPERLINK("https://www.google.com/maps?q=-20.1730010,-44.9018770","Abrir no Google Maps")</f>
        <v>Abrir no Google Maps</v>
      </c>
      <c r="S4496">
        <v>3</v>
      </c>
      <c r="T4496">
        <v>437.59695450783011</v>
      </c>
      <c r="U4496">
        <v>4</v>
      </c>
      <c r="V4496">
        <v>0.1237436416007844</v>
      </c>
      <c r="W4496">
        <v>1</v>
      </c>
      <c r="X4496">
        <v>0.1237436416007844</v>
      </c>
      <c r="Y4496">
        <v>578</v>
      </c>
      <c r="Z4496">
        <v>440.53629183653243</v>
      </c>
      <c r="AA4496">
        <v>198</v>
      </c>
      <c r="AB4496">
        <v>332</v>
      </c>
      <c r="AC4496">
        <v>536</v>
      </c>
      <c r="AD4496">
        <v>30.35</v>
      </c>
      <c r="AE4496">
        <v>542</v>
      </c>
      <c r="AF4496">
        <v>37</v>
      </c>
      <c r="AG4496">
        <v>161</v>
      </c>
      <c r="AH4496">
        <v>129</v>
      </c>
      <c r="AI4496">
        <v>6.83</v>
      </c>
      <c r="AJ4496">
        <v>29.7</v>
      </c>
      <c r="AK4496">
        <v>23.8</v>
      </c>
      <c r="AL4496">
        <v>-20.173065299999969</v>
      </c>
      <c r="AM4496">
        <v>-44.902052686008687</v>
      </c>
      <c r="AN4496">
        <v>-20.173065299999969</v>
      </c>
      <c r="AO4496">
        <v>-44.902052686008687</v>
      </c>
      <c r="AP4496">
        <v>-20.173000999999999</v>
      </c>
      <c r="AQ4496">
        <v>-44.901876999999999</v>
      </c>
      <c r="AR4496">
        <v>19.703745070768829</v>
      </c>
      <c r="AS4496" t="s">
        <v>65</v>
      </c>
      <c r="AT4496">
        <v>1</v>
      </c>
      <c r="AU4496" t="s">
        <v>489</v>
      </c>
      <c r="AV4496" t="s">
        <v>490</v>
      </c>
      <c r="AW4496" t="s">
        <v>60</v>
      </c>
      <c r="AX4496" t="s">
        <v>68</v>
      </c>
      <c r="AY4496" t="s">
        <v>69</v>
      </c>
      <c r="AZ4496" t="b">
        <v>1</v>
      </c>
    </row>
    <row r="4497" spans="1:52" x14ac:dyDescent="0.3">
      <c r="A4497" t="s">
        <v>52</v>
      </c>
      <c r="B4497" t="s">
        <v>53</v>
      </c>
      <c r="C4497" t="s">
        <v>54</v>
      </c>
      <c r="D4497" t="s">
        <v>55</v>
      </c>
      <c r="E4497" t="s">
        <v>2223</v>
      </c>
      <c r="F4497" t="s">
        <v>190</v>
      </c>
      <c r="G4497" t="s">
        <v>503</v>
      </c>
      <c r="H4497" t="s">
        <v>504</v>
      </c>
      <c r="I4497" t="s">
        <v>504</v>
      </c>
      <c r="J4497" t="s">
        <v>60</v>
      </c>
      <c r="K4497" t="s">
        <v>505</v>
      </c>
      <c r="L4497" t="s">
        <v>62</v>
      </c>
      <c r="M4497" t="s">
        <v>505</v>
      </c>
      <c r="N4497" t="s">
        <v>506</v>
      </c>
      <c r="O4497" t="s">
        <v>507</v>
      </c>
      <c r="P4497">
        <v>-20.131428</v>
      </c>
      <c r="Q4497">
        <v>-44.888921000000003</v>
      </c>
      <c r="R4497" s="2" t="str">
        <f>HYPERLINK("https://www.google.com/maps?q=-20.1314280,-44.8889210","Abrir no Google Maps")</f>
        <v>Abrir no Google Maps</v>
      </c>
      <c r="S4497">
        <v>3</v>
      </c>
      <c r="T4497">
        <v>250.64150698244501</v>
      </c>
      <c r="U4497">
        <v>4</v>
      </c>
      <c r="V4497">
        <v>0.12921993831084741</v>
      </c>
      <c r="W4497">
        <v>1</v>
      </c>
      <c r="X4497">
        <v>0.12921993831084741</v>
      </c>
      <c r="Y4497">
        <v>564</v>
      </c>
      <c r="Z4497">
        <v>189.93933888952441</v>
      </c>
      <c r="AA4497">
        <v>198</v>
      </c>
      <c r="AB4497">
        <v>332</v>
      </c>
      <c r="AC4497">
        <v>536</v>
      </c>
      <c r="AD4497">
        <v>30.35</v>
      </c>
      <c r="AE4497">
        <v>542</v>
      </c>
      <c r="AF4497">
        <v>37</v>
      </c>
      <c r="AG4497">
        <v>161</v>
      </c>
      <c r="AH4497">
        <v>129</v>
      </c>
      <c r="AI4497">
        <v>6.83</v>
      </c>
      <c r="AJ4497">
        <v>29.7</v>
      </c>
      <c r="AK4497">
        <v>23.8</v>
      </c>
      <c r="AL4497">
        <v>-20.13123589999995</v>
      </c>
      <c r="AM4497">
        <v>-44.888742396501762</v>
      </c>
      <c r="AN4497">
        <v>-20.13123589999995</v>
      </c>
      <c r="AO4497">
        <v>-44.888742396501762</v>
      </c>
      <c r="AP4497">
        <v>-20.131428</v>
      </c>
      <c r="AQ4497">
        <v>-44.888921000000003</v>
      </c>
      <c r="AR4497">
        <v>28.386169462917032</v>
      </c>
      <c r="AS4497" t="s">
        <v>65</v>
      </c>
      <c r="AT4497">
        <v>1</v>
      </c>
      <c r="AU4497" t="s">
        <v>508</v>
      </c>
      <c r="AV4497" t="s">
        <v>509</v>
      </c>
      <c r="AW4497" t="s">
        <v>60</v>
      </c>
      <c r="AX4497" t="s">
        <v>68</v>
      </c>
      <c r="AY4497" t="s">
        <v>69</v>
      </c>
      <c r="AZ4497" t="b">
        <v>1</v>
      </c>
    </row>
    <row r="4498" spans="1:52" x14ac:dyDescent="0.3">
      <c r="A4498" t="s">
        <v>52</v>
      </c>
      <c r="B4498" t="s">
        <v>53</v>
      </c>
      <c r="C4498" t="s">
        <v>54</v>
      </c>
      <c r="D4498" t="s">
        <v>55</v>
      </c>
      <c r="E4498" t="s">
        <v>2223</v>
      </c>
      <c r="F4498" t="s">
        <v>190</v>
      </c>
      <c r="G4498" t="s">
        <v>879</v>
      </c>
      <c r="H4498" t="s">
        <v>880</v>
      </c>
      <c r="I4498" t="s">
        <v>880</v>
      </c>
      <c r="J4498" t="s">
        <v>60</v>
      </c>
      <c r="K4498" t="s">
        <v>505</v>
      </c>
      <c r="L4498" t="s">
        <v>62</v>
      </c>
      <c r="M4498" t="s">
        <v>505</v>
      </c>
      <c r="N4498" t="s">
        <v>881</v>
      </c>
      <c r="O4498" t="s">
        <v>882</v>
      </c>
      <c r="P4498">
        <v>-20.133452999999999</v>
      </c>
      <c r="Q4498">
        <v>-44.890571999999999</v>
      </c>
      <c r="R4498" s="2" t="str">
        <f>HYPERLINK("https://www.google.com/maps?q=-20.1334530,-44.8905720","Abrir no Google Maps")</f>
        <v>Abrir no Google Maps</v>
      </c>
      <c r="S4498">
        <v>3</v>
      </c>
      <c r="T4498">
        <v>373.51332104809921</v>
      </c>
      <c r="U4498">
        <v>4</v>
      </c>
      <c r="V4498">
        <v>0.12916316379431131</v>
      </c>
      <c r="W4498">
        <v>1</v>
      </c>
      <c r="X4498">
        <v>0.12916316379431131</v>
      </c>
      <c r="Y4498">
        <v>564</v>
      </c>
      <c r="Z4498">
        <v>422.34693311930448</v>
      </c>
      <c r="AA4498">
        <v>198</v>
      </c>
      <c r="AB4498">
        <v>332</v>
      </c>
      <c r="AC4498">
        <v>536</v>
      </c>
      <c r="AD4498">
        <v>30.35</v>
      </c>
      <c r="AE4498">
        <v>542</v>
      </c>
      <c r="AF4498">
        <v>37</v>
      </c>
      <c r="AG4498">
        <v>161</v>
      </c>
      <c r="AH4498">
        <v>129</v>
      </c>
      <c r="AI4498">
        <v>6.83</v>
      </c>
      <c r="AJ4498">
        <v>29.7</v>
      </c>
      <c r="AK4498">
        <v>23.8</v>
      </c>
      <c r="AL4498">
        <v>-20.133421549999952</v>
      </c>
      <c r="AM4498">
        <v>-44.890623456009052</v>
      </c>
      <c r="AN4498">
        <v>-20.133421549999952</v>
      </c>
      <c r="AO4498">
        <v>-44.890623456009052</v>
      </c>
      <c r="AP4498">
        <v>-20.133452999999999</v>
      </c>
      <c r="AQ4498">
        <v>-44.890571999999999</v>
      </c>
      <c r="AR4498">
        <v>6.4172139275452773</v>
      </c>
      <c r="AS4498" t="s">
        <v>65</v>
      </c>
      <c r="AT4498">
        <v>1</v>
      </c>
      <c r="AU4498" t="s">
        <v>883</v>
      </c>
      <c r="AV4498" t="s">
        <v>884</v>
      </c>
      <c r="AW4498" t="s">
        <v>60</v>
      </c>
      <c r="AX4498" t="s">
        <v>68</v>
      </c>
      <c r="AY4498" t="s">
        <v>69</v>
      </c>
      <c r="AZ4498" t="b">
        <v>1</v>
      </c>
    </row>
    <row r="4499" spans="1:52" x14ac:dyDescent="0.3">
      <c r="A4499" t="s">
        <v>52</v>
      </c>
      <c r="B4499" t="s">
        <v>53</v>
      </c>
      <c r="C4499" t="s">
        <v>54</v>
      </c>
      <c r="D4499" t="s">
        <v>55</v>
      </c>
      <c r="E4499" t="s">
        <v>2223</v>
      </c>
      <c r="F4499" t="s">
        <v>190</v>
      </c>
      <c r="G4499" t="s">
        <v>523</v>
      </c>
      <c r="H4499" t="s">
        <v>524</v>
      </c>
      <c r="I4499" t="s">
        <v>524</v>
      </c>
      <c r="J4499" t="s">
        <v>60</v>
      </c>
      <c r="K4499" t="s">
        <v>518</v>
      </c>
      <c r="L4499" t="s">
        <v>62</v>
      </c>
      <c r="M4499" t="s">
        <v>518</v>
      </c>
      <c r="N4499" t="s">
        <v>525</v>
      </c>
      <c r="O4499" t="s">
        <v>331</v>
      </c>
      <c r="P4499">
        <v>-20.126553000000001</v>
      </c>
      <c r="Q4499">
        <v>-44.888599999999997</v>
      </c>
      <c r="R4499" s="2" t="str">
        <f>HYPERLINK("https://www.google.com/maps?q=-20.1265530,-44.8886000","Abrir no Google Maps")</f>
        <v>Abrir no Google Maps</v>
      </c>
      <c r="S4499">
        <v>3</v>
      </c>
      <c r="T4499">
        <v>256.34043440603853</v>
      </c>
      <c r="U4499">
        <v>4</v>
      </c>
      <c r="V4499">
        <v>0.1235533342201782</v>
      </c>
      <c r="W4499">
        <v>1</v>
      </c>
      <c r="X4499">
        <v>0.1235533342201782</v>
      </c>
      <c r="Y4499">
        <v>564</v>
      </c>
      <c r="Z4499">
        <v>325.4404273055876</v>
      </c>
      <c r="AA4499">
        <v>198</v>
      </c>
      <c r="AB4499">
        <v>332</v>
      </c>
      <c r="AC4499">
        <v>536</v>
      </c>
      <c r="AD4499">
        <v>30.35</v>
      </c>
      <c r="AE4499">
        <v>542</v>
      </c>
      <c r="AF4499">
        <v>37</v>
      </c>
      <c r="AG4499">
        <v>161</v>
      </c>
      <c r="AH4499">
        <v>129</v>
      </c>
      <c r="AI4499">
        <v>6.83</v>
      </c>
      <c r="AJ4499">
        <v>29.7</v>
      </c>
      <c r="AK4499">
        <v>23.8</v>
      </c>
      <c r="AL4499">
        <v>-20.12669049999997</v>
      </c>
      <c r="AM4499">
        <v>-44.888671289876577</v>
      </c>
      <c r="AN4499">
        <v>-20.12669049999997</v>
      </c>
      <c r="AO4499">
        <v>-44.888671289876577</v>
      </c>
      <c r="AP4499">
        <v>-20.126553000000001</v>
      </c>
      <c r="AQ4499">
        <v>-44.888599999999997</v>
      </c>
      <c r="AR4499">
        <v>17.023861591720589</v>
      </c>
      <c r="AS4499" t="s">
        <v>65</v>
      </c>
      <c r="AT4499">
        <v>1</v>
      </c>
      <c r="AU4499" t="s">
        <v>526</v>
      </c>
      <c r="AV4499" t="s">
        <v>527</v>
      </c>
      <c r="AW4499" t="s">
        <v>60</v>
      </c>
      <c r="AX4499" t="s">
        <v>68</v>
      </c>
      <c r="AY4499" t="s">
        <v>69</v>
      </c>
      <c r="AZ4499" t="b">
        <v>1</v>
      </c>
    </row>
    <row r="4500" spans="1:52" x14ac:dyDescent="0.3">
      <c r="A4500" t="s">
        <v>52</v>
      </c>
      <c r="B4500" t="s">
        <v>53</v>
      </c>
      <c r="C4500" t="s">
        <v>54</v>
      </c>
      <c r="D4500" t="s">
        <v>55</v>
      </c>
      <c r="E4500" t="s">
        <v>2223</v>
      </c>
      <c r="F4500" t="s">
        <v>190</v>
      </c>
      <c r="G4500" t="s">
        <v>890</v>
      </c>
      <c r="H4500" t="s">
        <v>891</v>
      </c>
      <c r="I4500" t="s">
        <v>891</v>
      </c>
      <c r="J4500" t="s">
        <v>60</v>
      </c>
      <c r="K4500" t="s">
        <v>892</v>
      </c>
      <c r="L4500" t="s">
        <v>62</v>
      </c>
      <c r="M4500" t="s">
        <v>892</v>
      </c>
      <c r="N4500" t="s">
        <v>893</v>
      </c>
      <c r="O4500" t="s">
        <v>894</v>
      </c>
      <c r="P4500">
        <v>-20.152519000000002</v>
      </c>
      <c r="Q4500">
        <v>-44.899177000000002</v>
      </c>
      <c r="R4500" s="2" t="str">
        <f>HYPERLINK("https://www.google.com/maps?q=-20.1525190,-44.8991770","Abrir no Google Maps")</f>
        <v>Abrir no Google Maps</v>
      </c>
      <c r="S4500">
        <v>3</v>
      </c>
      <c r="T4500">
        <v>211.80188552994721</v>
      </c>
      <c r="U4500">
        <v>4</v>
      </c>
      <c r="V4500">
        <v>0.1273470219523849</v>
      </c>
      <c r="W4500">
        <v>1</v>
      </c>
      <c r="X4500">
        <v>0.1273470219523849</v>
      </c>
      <c r="Y4500">
        <v>556</v>
      </c>
      <c r="Z4500">
        <v>290.34804137107091</v>
      </c>
      <c r="AA4500">
        <v>198</v>
      </c>
      <c r="AB4500">
        <v>332</v>
      </c>
      <c r="AC4500">
        <v>536</v>
      </c>
      <c r="AD4500">
        <v>30.35</v>
      </c>
      <c r="AE4500">
        <v>542</v>
      </c>
      <c r="AF4500">
        <v>37</v>
      </c>
      <c r="AG4500">
        <v>161</v>
      </c>
      <c r="AH4500">
        <v>129</v>
      </c>
      <c r="AI4500">
        <v>6.83</v>
      </c>
      <c r="AJ4500">
        <v>29.7</v>
      </c>
      <c r="AK4500">
        <v>23.8</v>
      </c>
      <c r="AL4500">
        <v>-20.152516249999959</v>
      </c>
      <c r="AM4500">
        <v>-44.899310431333959</v>
      </c>
      <c r="AN4500">
        <v>-20.152516249999959</v>
      </c>
      <c r="AO4500">
        <v>-44.899310431333959</v>
      </c>
      <c r="AP4500">
        <v>-20.152519000000002</v>
      </c>
      <c r="AQ4500">
        <v>-44.899177000000002</v>
      </c>
      <c r="AR4500">
        <v>13.947583284957719</v>
      </c>
      <c r="AS4500" t="s">
        <v>65</v>
      </c>
      <c r="AT4500">
        <v>1</v>
      </c>
      <c r="AU4500" t="s">
        <v>895</v>
      </c>
      <c r="AV4500" t="s">
        <v>896</v>
      </c>
      <c r="AW4500" t="s">
        <v>60</v>
      </c>
      <c r="AX4500" t="s">
        <v>68</v>
      </c>
      <c r="AY4500" t="s">
        <v>69</v>
      </c>
      <c r="AZ4500" t="b">
        <v>1</v>
      </c>
    </row>
    <row r="4501" spans="1:52" x14ac:dyDescent="0.3">
      <c r="A4501" t="s">
        <v>52</v>
      </c>
      <c r="B4501" t="s">
        <v>53</v>
      </c>
      <c r="C4501" t="s">
        <v>54</v>
      </c>
      <c r="D4501" t="s">
        <v>55</v>
      </c>
      <c r="E4501" t="s">
        <v>2223</v>
      </c>
      <c r="F4501" t="s">
        <v>190</v>
      </c>
      <c r="G4501" t="s">
        <v>535</v>
      </c>
      <c r="H4501" t="s">
        <v>536</v>
      </c>
      <c r="I4501" t="s">
        <v>536</v>
      </c>
      <c r="J4501" t="s">
        <v>60</v>
      </c>
      <c r="K4501" t="s">
        <v>388</v>
      </c>
      <c r="L4501" t="s">
        <v>62</v>
      </c>
      <c r="M4501" t="s">
        <v>388</v>
      </c>
      <c r="N4501" t="s">
        <v>537</v>
      </c>
      <c r="O4501" t="s">
        <v>538</v>
      </c>
      <c r="P4501">
        <v>-20.150061999999998</v>
      </c>
      <c r="Q4501">
        <v>-44.903379000000001</v>
      </c>
      <c r="R4501" s="2" t="str">
        <f>HYPERLINK("https://www.google.com/maps?q=-20.1500620,-44.9033790","Abrir no Google Maps")</f>
        <v>Abrir no Google Maps</v>
      </c>
      <c r="S4501">
        <v>3</v>
      </c>
      <c r="T4501">
        <v>286.20313674219977</v>
      </c>
      <c r="U4501">
        <v>4</v>
      </c>
      <c r="V4501">
        <v>0.1228416980878818</v>
      </c>
      <c r="W4501">
        <v>1</v>
      </c>
      <c r="X4501">
        <v>0.1228416980878818</v>
      </c>
      <c r="Y4501">
        <v>556</v>
      </c>
      <c r="Z4501">
        <v>315.81851898667401</v>
      </c>
      <c r="AA4501">
        <v>198</v>
      </c>
      <c r="AB4501">
        <v>332</v>
      </c>
      <c r="AC4501">
        <v>536</v>
      </c>
      <c r="AD4501">
        <v>30.35</v>
      </c>
      <c r="AE4501">
        <v>542</v>
      </c>
      <c r="AF4501">
        <v>37</v>
      </c>
      <c r="AG4501">
        <v>161</v>
      </c>
      <c r="AH4501">
        <v>129</v>
      </c>
      <c r="AI4501">
        <v>6.83</v>
      </c>
      <c r="AJ4501">
        <v>29.7</v>
      </c>
      <c r="AK4501">
        <v>23.8</v>
      </c>
      <c r="AL4501">
        <v>-20.150084299999971</v>
      </c>
      <c r="AM4501">
        <v>-44.903278407568479</v>
      </c>
      <c r="AN4501">
        <v>-20.150084299999971</v>
      </c>
      <c r="AO4501">
        <v>-44.903278407568479</v>
      </c>
      <c r="AP4501">
        <v>-20.150061999999998</v>
      </c>
      <c r="AQ4501">
        <v>-44.903379000000001</v>
      </c>
      <c r="AR4501">
        <v>10.801687336134639</v>
      </c>
      <c r="AS4501" t="s">
        <v>65</v>
      </c>
      <c r="AT4501">
        <v>1</v>
      </c>
      <c r="AU4501" t="s">
        <v>539</v>
      </c>
      <c r="AV4501" t="s">
        <v>540</v>
      </c>
      <c r="AW4501" t="s">
        <v>60</v>
      </c>
      <c r="AX4501" t="s">
        <v>68</v>
      </c>
      <c r="AY4501" t="s">
        <v>69</v>
      </c>
      <c r="AZ4501" t="b">
        <v>1</v>
      </c>
    </row>
    <row r="4502" spans="1:52" x14ac:dyDescent="0.3">
      <c r="A4502" t="s">
        <v>52</v>
      </c>
      <c r="B4502" t="s">
        <v>53</v>
      </c>
      <c r="C4502" t="s">
        <v>54</v>
      </c>
      <c r="D4502" t="s">
        <v>55</v>
      </c>
      <c r="E4502" t="s">
        <v>2223</v>
      </c>
      <c r="F4502" t="s">
        <v>190</v>
      </c>
      <c r="G4502" t="s">
        <v>398</v>
      </c>
      <c r="H4502" t="s">
        <v>541</v>
      </c>
      <c r="I4502" t="s">
        <v>541</v>
      </c>
      <c r="J4502" t="s">
        <v>60</v>
      </c>
      <c r="K4502" t="s">
        <v>388</v>
      </c>
      <c r="L4502" t="s">
        <v>62</v>
      </c>
      <c r="M4502" t="s">
        <v>388</v>
      </c>
      <c r="N4502" t="s">
        <v>400</v>
      </c>
      <c r="O4502" t="s">
        <v>542</v>
      </c>
      <c r="P4502">
        <v>-20.151335</v>
      </c>
      <c r="Q4502">
        <v>-44.901041999999997</v>
      </c>
      <c r="R4502" s="2" t="str">
        <f>HYPERLINK("https://www.google.com/maps?q=-20.1513350,-44.9010420","Abrir no Google Maps")</f>
        <v>Abrir no Google Maps</v>
      </c>
      <c r="S4502">
        <v>3</v>
      </c>
      <c r="T4502">
        <v>0</v>
      </c>
      <c r="U4502">
        <v>4</v>
      </c>
      <c r="V4502">
        <v>0.1294433340735805</v>
      </c>
      <c r="W4502">
        <v>1</v>
      </c>
      <c r="X4502">
        <v>0.1294433340735805</v>
      </c>
      <c r="Y4502">
        <v>556</v>
      </c>
      <c r="Z4502">
        <v>137.71609036908939</v>
      </c>
      <c r="AA4502">
        <v>198</v>
      </c>
      <c r="AB4502">
        <v>332</v>
      </c>
      <c r="AC4502">
        <v>536</v>
      </c>
      <c r="AD4502">
        <v>30.35</v>
      </c>
      <c r="AE4502">
        <v>542</v>
      </c>
      <c r="AF4502">
        <v>37</v>
      </c>
      <c r="AG4502">
        <v>161</v>
      </c>
      <c r="AH4502">
        <v>129</v>
      </c>
      <c r="AI4502">
        <v>6.83</v>
      </c>
      <c r="AJ4502">
        <v>29.7</v>
      </c>
      <c r="AK4502">
        <v>23.8</v>
      </c>
      <c r="AL4502">
        <v>-20.15125899999995</v>
      </c>
      <c r="AM4502">
        <v>-44.900838557594433</v>
      </c>
      <c r="AN4502">
        <v>-20.15125899999995</v>
      </c>
      <c r="AO4502">
        <v>-44.900838557594433</v>
      </c>
      <c r="AP4502">
        <v>-20.151335</v>
      </c>
      <c r="AQ4502">
        <v>-44.901041999999997</v>
      </c>
      <c r="AR4502">
        <v>22.882363139483491</v>
      </c>
      <c r="AS4502" t="s">
        <v>65</v>
      </c>
      <c r="AT4502">
        <v>1</v>
      </c>
      <c r="AU4502" t="s">
        <v>543</v>
      </c>
      <c r="AV4502" t="s">
        <v>544</v>
      </c>
      <c r="AW4502" t="s">
        <v>60</v>
      </c>
      <c r="AX4502" t="s">
        <v>68</v>
      </c>
      <c r="AY4502" t="s">
        <v>69</v>
      </c>
      <c r="AZ4502" t="b">
        <v>1</v>
      </c>
    </row>
    <row r="4503" spans="1:52" x14ac:dyDescent="0.3">
      <c r="A4503" t="s">
        <v>52</v>
      </c>
      <c r="B4503" t="s">
        <v>53</v>
      </c>
      <c r="C4503" t="s">
        <v>54</v>
      </c>
      <c r="D4503" t="s">
        <v>55</v>
      </c>
      <c r="E4503" t="s">
        <v>2223</v>
      </c>
      <c r="F4503" t="s">
        <v>190</v>
      </c>
      <c r="G4503" t="s">
        <v>545</v>
      </c>
      <c r="H4503" t="s">
        <v>546</v>
      </c>
      <c r="I4503" t="s">
        <v>546</v>
      </c>
      <c r="J4503" t="s">
        <v>60</v>
      </c>
      <c r="K4503" t="s">
        <v>388</v>
      </c>
      <c r="L4503" t="s">
        <v>62</v>
      </c>
      <c r="M4503" t="s">
        <v>388</v>
      </c>
      <c r="N4503" t="s">
        <v>547</v>
      </c>
      <c r="O4503" t="s">
        <v>548</v>
      </c>
      <c r="P4503">
        <v>-20.155839</v>
      </c>
      <c r="Q4503">
        <v>-44.905655000000003</v>
      </c>
      <c r="R4503" s="2" t="str">
        <f>HYPERLINK("https://www.google.com/maps?q=-20.1558390,-44.9056550","Abrir no Google Maps")</f>
        <v>Abrir no Google Maps</v>
      </c>
      <c r="S4503">
        <v>3</v>
      </c>
      <c r="T4503">
        <v>309.7643089121122</v>
      </c>
      <c r="U4503">
        <v>4</v>
      </c>
      <c r="V4503">
        <v>0.12779519331243469</v>
      </c>
      <c r="W4503">
        <v>1</v>
      </c>
      <c r="X4503">
        <v>0.12779519331243469</v>
      </c>
      <c r="Y4503">
        <v>548</v>
      </c>
      <c r="Z4503">
        <v>284.24281731793161</v>
      </c>
      <c r="AA4503">
        <v>198</v>
      </c>
      <c r="AB4503">
        <v>332</v>
      </c>
      <c r="AC4503">
        <v>536</v>
      </c>
      <c r="AD4503">
        <v>30.35</v>
      </c>
      <c r="AE4503">
        <v>542</v>
      </c>
      <c r="AF4503">
        <v>37</v>
      </c>
      <c r="AG4503">
        <v>161</v>
      </c>
      <c r="AH4503">
        <v>129</v>
      </c>
      <c r="AI4503">
        <v>6.83</v>
      </c>
      <c r="AJ4503">
        <v>29.7</v>
      </c>
      <c r="AK4503">
        <v>23.8</v>
      </c>
      <c r="AL4503">
        <v>-20.155913549999951</v>
      </c>
      <c r="AM4503">
        <v>-44.905554508392683</v>
      </c>
      <c r="AN4503">
        <v>-20.155913549999951</v>
      </c>
      <c r="AO4503">
        <v>-44.905554508392669</v>
      </c>
      <c r="AP4503">
        <v>-20.155839</v>
      </c>
      <c r="AQ4503">
        <v>-44.905655000000003</v>
      </c>
      <c r="AR4503">
        <v>13.384922093797449</v>
      </c>
      <c r="AS4503" t="s">
        <v>65</v>
      </c>
      <c r="AT4503">
        <v>1</v>
      </c>
      <c r="AU4503" t="s">
        <v>549</v>
      </c>
      <c r="AV4503" t="s">
        <v>550</v>
      </c>
      <c r="AW4503" t="s">
        <v>60</v>
      </c>
      <c r="AX4503" t="s">
        <v>68</v>
      </c>
      <c r="AY4503" t="s">
        <v>69</v>
      </c>
      <c r="AZ4503" t="b">
        <v>1</v>
      </c>
    </row>
    <row r="4504" spans="1:52" x14ac:dyDescent="0.3">
      <c r="A4504" t="s">
        <v>52</v>
      </c>
      <c r="B4504" t="s">
        <v>53</v>
      </c>
      <c r="C4504" t="s">
        <v>54</v>
      </c>
      <c r="D4504" t="s">
        <v>55</v>
      </c>
      <c r="E4504" t="s">
        <v>2223</v>
      </c>
      <c r="F4504" t="s">
        <v>190</v>
      </c>
      <c r="G4504" t="s">
        <v>556</v>
      </c>
      <c r="H4504" t="s">
        <v>557</v>
      </c>
      <c r="I4504" t="s">
        <v>557</v>
      </c>
      <c r="J4504" t="s">
        <v>60</v>
      </c>
      <c r="K4504" t="s">
        <v>388</v>
      </c>
      <c r="L4504" t="s">
        <v>62</v>
      </c>
      <c r="M4504" t="s">
        <v>388</v>
      </c>
      <c r="N4504" t="s">
        <v>558</v>
      </c>
      <c r="O4504" t="s">
        <v>559</v>
      </c>
      <c r="P4504">
        <v>-20.152670000000001</v>
      </c>
      <c r="Q4504">
        <v>-44.902557999999999</v>
      </c>
      <c r="R4504" s="2" t="str">
        <f>HYPERLINK("https://www.google.com/maps?q=-20.1526700,-44.9025580","Abrir no Google Maps")</f>
        <v>Abrir no Google Maps</v>
      </c>
      <c r="S4504">
        <v>3</v>
      </c>
      <c r="T4504">
        <v>228.56195217678911</v>
      </c>
      <c r="U4504">
        <v>4</v>
      </c>
      <c r="V4504">
        <v>0.12678062678062679</v>
      </c>
      <c r="W4504">
        <v>1</v>
      </c>
      <c r="X4504">
        <v>0.12678062678062679</v>
      </c>
      <c r="Y4504">
        <v>548</v>
      </c>
      <c r="Z4504">
        <v>250.63133895224919</v>
      </c>
      <c r="AA4504">
        <v>198</v>
      </c>
      <c r="AB4504">
        <v>332</v>
      </c>
      <c r="AC4504">
        <v>536</v>
      </c>
      <c r="AD4504">
        <v>30.35</v>
      </c>
      <c r="AE4504">
        <v>542</v>
      </c>
      <c r="AF4504">
        <v>37</v>
      </c>
      <c r="AG4504">
        <v>161</v>
      </c>
      <c r="AH4504">
        <v>129</v>
      </c>
      <c r="AI4504">
        <v>6.83</v>
      </c>
      <c r="AJ4504">
        <v>29.7</v>
      </c>
      <c r="AK4504">
        <v>23.8</v>
      </c>
      <c r="AL4504">
        <v>-20.152629799999939</v>
      </c>
      <c r="AM4504">
        <v>-44.902604744705201</v>
      </c>
      <c r="AN4504">
        <v>-20.152629799999939</v>
      </c>
      <c r="AO4504">
        <v>-44.902604744705201</v>
      </c>
      <c r="AP4504">
        <v>-20.152670000000001</v>
      </c>
      <c r="AQ4504">
        <v>-44.902557999999999</v>
      </c>
      <c r="AR4504">
        <v>6.6249428037111509</v>
      </c>
      <c r="AS4504" t="s">
        <v>65</v>
      </c>
      <c r="AT4504">
        <v>1</v>
      </c>
      <c r="AU4504" t="s">
        <v>560</v>
      </c>
      <c r="AV4504" t="s">
        <v>561</v>
      </c>
      <c r="AW4504" t="s">
        <v>60</v>
      </c>
      <c r="AX4504" t="s">
        <v>68</v>
      </c>
      <c r="AY4504" t="s">
        <v>69</v>
      </c>
      <c r="AZ4504" t="b">
        <v>1</v>
      </c>
    </row>
    <row r="4505" spans="1:52" x14ac:dyDescent="0.3">
      <c r="A4505" t="s">
        <v>52</v>
      </c>
      <c r="B4505" t="s">
        <v>53</v>
      </c>
      <c r="C4505" t="s">
        <v>54</v>
      </c>
      <c r="D4505" t="s">
        <v>55</v>
      </c>
      <c r="E4505" t="s">
        <v>2223</v>
      </c>
      <c r="F4505" t="s">
        <v>190</v>
      </c>
      <c r="G4505" t="s">
        <v>562</v>
      </c>
      <c r="H4505" t="s">
        <v>563</v>
      </c>
      <c r="I4505" t="s">
        <v>563</v>
      </c>
      <c r="J4505" t="s">
        <v>60</v>
      </c>
      <c r="K4505" t="s">
        <v>388</v>
      </c>
      <c r="L4505" t="s">
        <v>62</v>
      </c>
      <c r="M4505" t="s">
        <v>388</v>
      </c>
      <c r="N4505" t="s">
        <v>564</v>
      </c>
      <c r="O4505" t="s">
        <v>565</v>
      </c>
      <c r="P4505">
        <v>-20.154432</v>
      </c>
      <c r="Q4505">
        <v>-44.902977999999997</v>
      </c>
      <c r="R4505" s="2" t="str">
        <f>HYPERLINK("https://www.google.com/maps?q=-20.1544320,-44.9029780","Abrir no Google Maps")</f>
        <v>Abrir no Google Maps</v>
      </c>
      <c r="S4505">
        <v>3</v>
      </c>
      <c r="T4505">
        <v>0</v>
      </c>
      <c r="U4505">
        <v>4</v>
      </c>
      <c r="V4505">
        <v>0.12558708563117379</v>
      </c>
      <c r="W4505">
        <v>1</v>
      </c>
      <c r="X4505">
        <v>0.12558708563117379</v>
      </c>
      <c r="Y4505">
        <v>548</v>
      </c>
      <c r="Z4505">
        <v>29.424211042533759</v>
      </c>
      <c r="AA4505">
        <v>198</v>
      </c>
      <c r="AB4505">
        <v>332</v>
      </c>
      <c r="AC4505">
        <v>536</v>
      </c>
      <c r="AD4505">
        <v>30.35</v>
      </c>
      <c r="AE4505">
        <v>542</v>
      </c>
      <c r="AF4505">
        <v>37</v>
      </c>
      <c r="AG4505">
        <v>161</v>
      </c>
      <c r="AH4505">
        <v>129</v>
      </c>
      <c r="AI4505">
        <v>6.83</v>
      </c>
      <c r="AJ4505">
        <v>29.7</v>
      </c>
      <c r="AK4505">
        <v>23.8</v>
      </c>
      <c r="AL4505">
        <v>-20.15467689999997</v>
      </c>
      <c r="AM4505">
        <v>-44.902895281771222</v>
      </c>
      <c r="AN4505">
        <v>-20.15467689999997</v>
      </c>
      <c r="AO4505">
        <v>-44.902895281771222</v>
      </c>
      <c r="AP4505">
        <v>-20.154432</v>
      </c>
      <c r="AQ4505">
        <v>-44.902977999999997</v>
      </c>
      <c r="AR4505">
        <v>28.5999270636025</v>
      </c>
      <c r="AS4505" t="s">
        <v>65</v>
      </c>
      <c r="AT4505">
        <v>1</v>
      </c>
      <c r="AU4505" t="s">
        <v>566</v>
      </c>
      <c r="AV4505" t="s">
        <v>567</v>
      </c>
      <c r="AW4505" t="s">
        <v>60</v>
      </c>
      <c r="AX4505" t="s">
        <v>68</v>
      </c>
      <c r="AY4505" t="s">
        <v>69</v>
      </c>
      <c r="AZ4505" t="b">
        <v>1</v>
      </c>
    </row>
    <row r="4506" spans="1:52" x14ac:dyDescent="0.3">
      <c r="A4506" t="s">
        <v>52</v>
      </c>
      <c r="B4506" t="s">
        <v>53</v>
      </c>
      <c r="C4506" t="s">
        <v>54</v>
      </c>
      <c r="D4506" t="s">
        <v>55</v>
      </c>
      <c r="E4506" t="s">
        <v>2223</v>
      </c>
      <c r="F4506" t="s">
        <v>190</v>
      </c>
      <c r="G4506" t="s">
        <v>620</v>
      </c>
      <c r="H4506" t="s">
        <v>621</v>
      </c>
      <c r="I4506" t="s">
        <v>621</v>
      </c>
      <c r="J4506" t="s">
        <v>60</v>
      </c>
      <c r="K4506" t="s">
        <v>207</v>
      </c>
      <c r="L4506" t="s">
        <v>62</v>
      </c>
      <c r="M4506" t="s">
        <v>207</v>
      </c>
      <c r="N4506" t="s">
        <v>622</v>
      </c>
      <c r="O4506" t="s">
        <v>623</v>
      </c>
      <c r="P4506">
        <v>-20.120775999999999</v>
      </c>
      <c r="Q4506">
        <v>-44.885562999999998</v>
      </c>
      <c r="R4506" s="2" t="str">
        <f>HYPERLINK("https://www.google.com/maps?q=-20.1207760,-44.8855630","Abrir no Google Maps")</f>
        <v>Abrir no Google Maps</v>
      </c>
      <c r="S4506">
        <v>3</v>
      </c>
      <c r="T4506">
        <v>332.24231777761912</v>
      </c>
      <c r="U4506">
        <v>4</v>
      </c>
      <c r="V4506">
        <v>0.12303493449781661</v>
      </c>
      <c r="W4506">
        <v>1</v>
      </c>
      <c r="X4506">
        <v>0.12303493449781661</v>
      </c>
      <c r="Y4506">
        <v>536</v>
      </c>
      <c r="Z4506">
        <v>255.48165096313261</v>
      </c>
      <c r="AA4506">
        <v>198</v>
      </c>
      <c r="AB4506">
        <v>332</v>
      </c>
      <c r="AC4506">
        <v>536</v>
      </c>
      <c r="AD4506">
        <v>30.35</v>
      </c>
      <c r="AE4506">
        <v>542</v>
      </c>
      <c r="AF4506">
        <v>37</v>
      </c>
      <c r="AG4506">
        <v>161</v>
      </c>
      <c r="AH4506">
        <v>129</v>
      </c>
      <c r="AI4506">
        <v>6.83</v>
      </c>
      <c r="AJ4506">
        <v>29.7</v>
      </c>
      <c r="AK4506">
        <v>23.8</v>
      </c>
      <c r="AL4506">
        <v>-20.120783799999941</v>
      </c>
      <c r="AM4506">
        <v>-44.885629603396453</v>
      </c>
      <c r="AN4506">
        <v>-20.120783799999941</v>
      </c>
      <c r="AO4506">
        <v>-44.885629603396453</v>
      </c>
      <c r="AP4506">
        <v>-20.120775999999999</v>
      </c>
      <c r="AQ4506">
        <v>-44.885562999999998</v>
      </c>
      <c r="AR4506">
        <v>7.0157317818911196</v>
      </c>
      <c r="AS4506" t="s">
        <v>65</v>
      </c>
      <c r="AT4506">
        <v>1</v>
      </c>
      <c r="AU4506" t="s">
        <v>624</v>
      </c>
      <c r="AV4506" t="s">
        <v>619</v>
      </c>
      <c r="AW4506" t="s">
        <v>60</v>
      </c>
      <c r="AX4506" t="s">
        <v>68</v>
      </c>
      <c r="AY4506" t="s">
        <v>69</v>
      </c>
      <c r="AZ4506" t="b">
        <v>1</v>
      </c>
    </row>
    <row r="4507" spans="1:52" x14ac:dyDescent="0.3">
      <c r="A4507" t="s">
        <v>52</v>
      </c>
      <c r="B4507" t="s">
        <v>53</v>
      </c>
      <c r="C4507" t="s">
        <v>54</v>
      </c>
      <c r="D4507" t="s">
        <v>55</v>
      </c>
      <c r="E4507" t="s">
        <v>2223</v>
      </c>
      <c r="F4507" t="s">
        <v>190</v>
      </c>
      <c r="G4507" t="s">
        <v>935</v>
      </c>
      <c r="H4507" t="s">
        <v>936</v>
      </c>
      <c r="I4507" t="s">
        <v>936</v>
      </c>
      <c r="J4507" t="s">
        <v>60</v>
      </c>
      <c r="K4507" t="s">
        <v>193</v>
      </c>
      <c r="L4507" t="s">
        <v>62</v>
      </c>
      <c r="M4507" t="s">
        <v>193</v>
      </c>
      <c r="N4507" t="s">
        <v>937</v>
      </c>
      <c r="O4507" t="s">
        <v>938</v>
      </c>
      <c r="P4507">
        <v>-20.144727</v>
      </c>
      <c r="Q4507">
        <v>-44.919978999999998</v>
      </c>
      <c r="R4507" s="2" t="str">
        <f>HYPERLINK("https://www.google.com/maps?q=-20.1447270,-44.9199790","Abrir no Google Maps")</f>
        <v>Abrir no Google Maps</v>
      </c>
      <c r="S4507">
        <v>3</v>
      </c>
      <c r="T4507">
        <v>341.13992759662477</v>
      </c>
      <c r="U4507">
        <v>4</v>
      </c>
      <c r="V4507">
        <v>0.1224883310564663</v>
      </c>
      <c r="W4507">
        <v>1</v>
      </c>
      <c r="X4507">
        <v>0.1224883310564663</v>
      </c>
      <c r="Y4507">
        <v>508</v>
      </c>
      <c r="Z4507">
        <v>274.58151985101409</v>
      </c>
      <c r="AA4507">
        <v>198</v>
      </c>
      <c r="AB4507">
        <v>332</v>
      </c>
      <c r="AC4507">
        <v>536</v>
      </c>
      <c r="AD4507">
        <v>30.35</v>
      </c>
      <c r="AE4507">
        <v>542</v>
      </c>
      <c r="AF4507">
        <v>37</v>
      </c>
      <c r="AG4507">
        <v>161</v>
      </c>
      <c r="AH4507">
        <v>129</v>
      </c>
      <c r="AI4507">
        <v>6.83</v>
      </c>
      <c r="AJ4507">
        <v>29.7</v>
      </c>
      <c r="AK4507">
        <v>23.8</v>
      </c>
      <c r="AL4507">
        <v>-20.144771099999961</v>
      </c>
      <c r="AM4507">
        <v>-44.92003491095209</v>
      </c>
      <c r="AN4507">
        <v>-20.144771099999961</v>
      </c>
      <c r="AO4507">
        <v>-44.92003491095209</v>
      </c>
      <c r="AP4507">
        <v>-20.144727</v>
      </c>
      <c r="AQ4507">
        <v>-44.919978999999998</v>
      </c>
      <c r="AR4507">
        <v>7.6317760459664177</v>
      </c>
      <c r="AS4507" t="s">
        <v>65</v>
      </c>
      <c r="AT4507">
        <v>1</v>
      </c>
      <c r="AU4507" t="s">
        <v>939</v>
      </c>
      <c r="AV4507" t="s">
        <v>940</v>
      </c>
      <c r="AW4507" t="s">
        <v>60</v>
      </c>
      <c r="AX4507" t="s">
        <v>68</v>
      </c>
      <c r="AY4507" t="s">
        <v>69</v>
      </c>
      <c r="AZ4507" t="b">
        <v>1</v>
      </c>
    </row>
    <row r="4508" spans="1:52" x14ac:dyDescent="0.3">
      <c r="A4508" t="s">
        <v>52</v>
      </c>
      <c r="B4508" t="s">
        <v>53</v>
      </c>
      <c r="C4508" t="s">
        <v>54</v>
      </c>
      <c r="D4508" t="s">
        <v>55</v>
      </c>
      <c r="E4508" t="s">
        <v>2223</v>
      </c>
      <c r="F4508" t="s">
        <v>190</v>
      </c>
      <c r="G4508" t="s">
        <v>631</v>
      </c>
      <c r="H4508" t="s">
        <v>632</v>
      </c>
      <c r="I4508" t="s">
        <v>632</v>
      </c>
      <c r="J4508" t="s">
        <v>60</v>
      </c>
      <c r="K4508" t="s">
        <v>530</v>
      </c>
      <c r="L4508" t="s">
        <v>62</v>
      </c>
      <c r="M4508" t="s">
        <v>530</v>
      </c>
      <c r="N4508" t="s">
        <v>633</v>
      </c>
      <c r="O4508" t="s">
        <v>634</v>
      </c>
      <c r="P4508">
        <v>-20.142136000000001</v>
      </c>
      <c r="Q4508">
        <v>-44.893895999999998</v>
      </c>
      <c r="R4508" s="2" t="str">
        <f>HYPERLINK("https://www.google.com/maps?q=-20.1421360,-44.8938960","Abrir no Google Maps")</f>
        <v>Abrir no Google Maps</v>
      </c>
      <c r="S4508">
        <v>3</v>
      </c>
      <c r="T4508">
        <v>252.77776243958951</v>
      </c>
      <c r="U4508">
        <v>4</v>
      </c>
      <c r="V4508">
        <v>0.12335001518422831</v>
      </c>
      <c r="W4508">
        <v>1</v>
      </c>
      <c r="X4508">
        <v>0.12335001518422831</v>
      </c>
      <c r="Y4508">
        <v>505</v>
      </c>
      <c r="Z4508">
        <v>331.79497003706751</v>
      </c>
      <c r="AA4508">
        <v>198</v>
      </c>
      <c r="AB4508">
        <v>332</v>
      </c>
      <c r="AC4508">
        <v>536</v>
      </c>
      <c r="AD4508">
        <v>30.35</v>
      </c>
      <c r="AE4508">
        <v>542</v>
      </c>
      <c r="AF4508">
        <v>37</v>
      </c>
      <c r="AG4508">
        <v>161</v>
      </c>
      <c r="AH4508">
        <v>129</v>
      </c>
      <c r="AI4508">
        <v>6.83</v>
      </c>
      <c r="AJ4508">
        <v>29.7</v>
      </c>
      <c r="AK4508">
        <v>23.8</v>
      </c>
      <c r="AL4508">
        <v>-20.142209999999949</v>
      </c>
      <c r="AM4508">
        <v>-44.893919659400702</v>
      </c>
      <c r="AN4508">
        <v>-20.142209999999949</v>
      </c>
      <c r="AO4508">
        <v>-44.893919659400702</v>
      </c>
      <c r="AP4508">
        <v>-20.142136000000001</v>
      </c>
      <c r="AQ4508">
        <v>-44.893895999999998</v>
      </c>
      <c r="AR4508">
        <v>8.6007875127343159</v>
      </c>
      <c r="AS4508" t="s">
        <v>65</v>
      </c>
      <c r="AT4508">
        <v>1</v>
      </c>
      <c r="AU4508" t="s">
        <v>635</v>
      </c>
      <c r="AV4508" t="s">
        <v>636</v>
      </c>
      <c r="AW4508" t="s">
        <v>60</v>
      </c>
      <c r="AX4508" t="s">
        <v>68</v>
      </c>
      <c r="AY4508" t="s">
        <v>69</v>
      </c>
      <c r="AZ4508" t="b">
        <v>1</v>
      </c>
    </row>
    <row r="4509" spans="1:52" x14ac:dyDescent="0.3">
      <c r="A4509" t="s">
        <v>52</v>
      </c>
      <c r="B4509" t="s">
        <v>53</v>
      </c>
      <c r="C4509" t="s">
        <v>54</v>
      </c>
      <c r="D4509" t="s">
        <v>55</v>
      </c>
      <c r="E4509" t="s">
        <v>2223</v>
      </c>
      <c r="F4509" t="s">
        <v>190</v>
      </c>
      <c r="G4509" t="s">
        <v>963</v>
      </c>
      <c r="H4509" t="s">
        <v>964</v>
      </c>
      <c r="I4509" t="s">
        <v>964</v>
      </c>
      <c r="J4509" t="s">
        <v>60</v>
      </c>
      <c r="K4509" t="s">
        <v>702</v>
      </c>
      <c r="L4509" t="s">
        <v>62</v>
      </c>
      <c r="M4509" t="s">
        <v>702</v>
      </c>
      <c r="N4509" t="s">
        <v>965</v>
      </c>
      <c r="O4509" t="s">
        <v>960</v>
      </c>
      <c r="P4509">
        <v>-20.164622000000001</v>
      </c>
      <c r="Q4509">
        <v>-44.860289999999999</v>
      </c>
      <c r="R4509" s="2" t="str">
        <f>HYPERLINK("https://www.google.com/maps?q=-20.1646220,-44.8602900","Abrir no Google Maps")</f>
        <v>Abrir no Google Maps</v>
      </c>
      <c r="S4509">
        <v>3</v>
      </c>
      <c r="T4509">
        <v>393.43725605569188</v>
      </c>
      <c r="U4509">
        <v>4</v>
      </c>
      <c r="V4509">
        <v>0.13272636815920391</v>
      </c>
      <c r="W4509">
        <v>1</v>
      </c>
      <c r="X4509">
        <v>0.13272636815920391</v>
      </c>
      <c r="Y4509">
        <v>491</v>
      </c>
      <c r="Z4509">
        <v>358.96336458076678</v>
      </c>
      <c r="AA4509">
        <v>198</v>
      </c>
      <c r="AB4509">
        <v>332</v>
      </c>
      <c r="AC4509">
        <v>536</v>
      </c>
      <c r="AD4509">
        <v>30.35</v>
      </c>
      <c r="AE4509">
        <v>542</v>
      </c>
      <c r="AF4509">
        <v>37</v>
      </c>
      <c r="AG4509">
        <v>161</v>
      </c>
      <c r="AH4509">
        <v>129</v>
      </c>
      <c r="AI4509">
        <v>6.83</v>
      </c>
      <c r="AJ4509">
        <v>29.7</v>
      </c>
      <c r="AK4509">
        <v>23.8</v>
      </c>
      <c r="AL4509">
        <v>-20.164560849999951</v>
      </c>
      <c r="AM4509">
        <v>-44.860330680844072</v>
      </c>
      <c r="AN4509">
        <v>-20.164560849999951</v>
      </c>
      <c r="AO4509">
        <v>-44.860330680844072</v>
      </c>
      <c r="AP4509">
        <v>-20.164622000000001</v>
      </c>
      <c r="AQ4509">
        <v>-44.860289999999999</v>
      </c>
      <c r="AR4509">
        <v>8.0255448908437454</v>
      </c>
      <c r="AS4509" t="s">
        <v>65</v>
      </c>
      <c r="AT4509">
        <v>1</v>
      </c>
      <c r="AU4509" t="s">
        <v>966</v>
      </c>
      <c r="AV4509" t="s">
        <v>967</v>
      </c>
      <c r="AW4509" t="s">
        <v>60</v>
      </c>
      <c r="AX4509" t="s">
        <v>68</v>
      </c>
      <c r="AY4509" t="s">
        <v>69</v>
      </c>
      <c r="AZ4509" t="b">
        <v>1</v>
      </c>
    </row>
    <row r="4510" spans="1:52" x14ac:dyDescent="0.3">
      <c r="A4510" t="s">
        <v>52</v>
      </c>
      <c r="B4510" t="s">
        <v>53</v>
      </c>
      <c r="C4510" t="s">
        <v>54</v>
      </c>
      <c r="D4510" t="s">
        <v>55</v>
      </c>
      <c r="E4510" t="s">
        <v>2223</v>
      </c>
      <c r="F4510" t="s">
        <v>190</v>
      </c>
      <c r="G4510" t="s">
        <v>968</v>
      </c>
      <c r="H4510" t="s">
        <v>969</v>
      </c>
      <c r="I4510" t="s">
        <v>969</v>
      </c>
      <c r="J4510" t="s">
        <v>60</v>
      </c>
      <c r="K4510" t="s">
        <v>262</v>
      </c>
      <c r="L4510" t="s">
        <v>62</v>
      </c>
      <c r="M4510" t="s">
        <v>262</v>
      </c>
      <c r="N4510" t="s">
        <v>970</v>
      </c>
      <c r="O4510" t="s">
        <v>971</v>
      </c>
      <c r="P4510">
        <v>-20.163060999999999</v>
      </c>
      <c r="Q4510">
        <v>-44.854047000000001</v>
      </c>
      <c r="R4510" s="2" t="str">
        <f>HYPERLINK("https://www.google.com/maps?q=-20.1630610,-44.8540470","Abrir no Google Maps")</f>
        <v>Abrir no Google Maps</v>
      </c>
      <c r="S4510">
        <v>3</v>
      </c>
      <c r="T4510">
        <v>418.63868463200271</v>
      </c>
      <c r="U4510">
        <v>4</v>
      </c>
      <c r="V4510">
        <v>0.1277777777777778</v>
      </c>
      <c r="W4510">
        <v>1</v>
      </c>
      <c r="X4510">
        <v>0.1277777777777778</v>
      </c>
      <c r="Y4510">
        <v>491</v>
      </c>
      <c r="Z4510">
        <v>339.19068595447408</v>
      </c>
      <c r="AA4510">
        <v>198</v>
      </c>
      <c r="AB4510">
        <v>332</v>
      </c>
      <c r="AC4510">
        <v>536</v>
      </c>
      <c r="AD4510">
        <v>30.35</v>
      </c>
      <c r="AE4510">
        <v>542</v>
      </c>
      <c r="AF4510">
        <v>37</v>
      </c>
      <c r="AG4510">
        <v>161</v>
      </c>
      <c r="AH4510">
        <v>129</v>
      </c>
      <c r="AI4510">
        <v>6.83</v>
      </c>
      <c r="AJ4510">
        <v>29.7</v>
      </c>
      <c r="AK4510">
        <v>23.8</v>
      </c>
      <c r="AL4510">
        <v>-20.163118949999959</v>
      </c>
      <c r="AM4510">
        <v>-44.854106723889032</v>
      </c>
      <c r="AN4510">
        <v>-20.163118949999959</v>
      </c>
      <c r="AO4510">
        <v>-44.854106723889032</v>
      </c>
      <c r="AP4510">
        <v>-20.163060999999999</v>
      </c>
      <c r="AQ4510">
        <v>-44.854047000000001</v>
      </c>
      <c r="AR4510">
        <v>8.9758322935491428</v>
      </c>
      <c r="AS4510" t="s">
        <v>65</v>
      </c>
      <c r="AT4510">
        <v>1</v>
      </c>
      <c r="AU4510" t="s">
        <v>972</v>
      </c>
      <c r="AV4510" t="s">
        <v>973</v>
      </c>
      <c r="AW4510" t="s">
        <v>60</v>
      </c>
      <c r="AX4510" t="s">
        <v>68</v>
      </c>
      <c r="AY4510" t="s">
        <v>69</v>
      </c>
      <c r="AZ4510" t="b">
        <v>1</v>
      </c>
    </row>
    <row r="4511" spans="1:52" x14ac:dyDescent="0.3">
      <c r="A4511" t="s">
        <v>52</v>
      </c>
      <c r="B4511" t="s">
        <v>53</v>
      </c>
      <c r="C4511" t="s">
        <v>54</v>
      </c>
      <c r="D4511" t="s">
        <v>55</v>
      </c>
      <c r="E4511" t="s">
        <v>2223</v>
      </c>
      <c r="F4511" t="s">
        <v>190</v>
      </c>
      <c r="G4511" t="s">
        <v>974</v>
      </c>
      <c r="H4511" t="s">
        <v>975</v>
      </c>
      <c r="I4511" t="s">
        <v>975</v>
      </c>
      <c r="J4511" t="s">
        <v>60</v>
      </c>
      <c r="K4511" t="s">
        <v>702</v>
      </c>
      <c r="L4511" t="s">
        <v>62</v>
      </c>
      <c r="M4511" t="s">
        <v>702</v>
      </c>
      <c r="N4511" t="s">
        <v>976</v>
      </c>
      <c r="O4511" t="s">
        <v>977</v>
      </c>
      <c r="P4511">
        <v>-20.167021999999999</v>
      </c>
      <c r="Q4511">
        <v>-44.863095000000001</v>
      </c>
      <c r="R4511" s="2" t="str">
        <f>HYPERLINK("https://www.google.com/maps?q=-20.1670220,-44.8630950","Abrir no Google Maps")</f>
        <v>Abrir no Google Maps</v>
      </c>
      <c r="S4511">
        <v>3</v>
      </c>
      <c r="T4511">
        <v>629.02897442495839</v>
      </c>
      <c r="U4511">
        <v>4</v>
      </c>
      <c r="V4511">
        <v>0.1227713162919357</v>
      </c>
      <c r="W4511">
        <v>1</v>
      </c>
      <c r="X4511">
        <v>0.1227713162919357</v>
      </c>
      <c r="Y4511">
        <v>491</v>
      </c>
      <c r="Z4511">
        <v>693.48000708961661</v>
      </c>
      <c r="AA4511">
        <v>198</v>
      </c>
      <c r="AB4511">
        <v>332</v>
      </c>
      <c r="AC4511">
        <v>536</v>
      </c>
      <c r="AD4511">
        <v>30.35</v>
      </c>
      <c r="AE4511">
        <v>542</v>
      </c>
      <c r="AF4511">
        <v>37</v>
      </c>
      <c r="AG4511">
        <v>161</v>
      </c>
      <c r="AH4511">
        <v>129</v>
      </c>
      <c r="AI4511">
        <v>6.83</v>
      </c>
      <c r="AJ4511">
        <v>29.7</v>
      </c>
      <c r="AK4511">
        <v>23.8</v>
      </c>
      <c r="AL4511">
        <v>-20.167032199999941</v>
      </c>
      <c r="AM4511">
        <v>-44.863123980291967</v>
      </c>
      <c r="AN4511">
        <v>-20.167032199999941</v>
      </c>
      <c r="AO4511">
        <v>-44.863123980291967</v>
      </c>
      <c r="AP4511">
        <v>-20.167021999999999</v>
      </c>
      <c r="AQ4511">
        <v>-44.863095000000001</v>
      </c>
      <c r="AR4511">
        <v>3.2341734571542871</v>
      </c>
      <c r="AS4511" t="s">
        <v>65</v>
      </c>
      <c r="AT4511">
        <v>1</v>
      </c>
      <c r="AU4511" t="s">
        <v>978</v>
      </c>
      <c r="AV4511" t="s">
        <v>979</v>
      </c>
      <c r="AW4511" t="s">
        <v>60</v>
      </c>
      <c r="AX4511" t="s">
        <v>68</v>
      </c>
      <c r="AY4511" t="s">
        <v>69</v>
      </c>
      <c r="AZ4511" t="b">
        <v>1</v>
      </c>
    </row>
    <row r="4512" spans="1:52" x14ac:dyDescent="0.3">
      <c r="A4512" t="s">
        <v>52</v>
      </c>
      <c r="B4512" t="s">
        <v>53</v>
      </c>
      <c r="C4512" t="s">
        <v>54</v>
      </c>
      <c r="D4512" t="s">
        <v>55</v>
      </c>
      <c r="E4512" t="s">
        <v>2223</v>
      </c>
      <c r="F4512" t="s">
        <v>190</v>
      </c>
      <c r="G4512" t="s">
        <v>968</v>
      </c>
      <c r="H4512" t="s">
        <v>1754</v>
      </c>
      <c r="I4512" t="s">
        <v>1754</v>
      </c>
      <c r="J4512" t="s">
        <v>60</v>
      </c>
      <c r="K4512" t="s">
        <v>262</v>
      </c>
      <c r="L4512" t="s">
        <v>62</v>
      </c>
      <c r="M4512" t="s">
        <v>262</v>
      </c>
      <c r="N4512" t="s">
        <v>970</v>
      </c>
      <c r="O4512" t="s">
        <v>1331</v>
      </c>
      <c r="P4512">
        <v>-20.161989999999999</v>
      </c>
      <c r="Q4512">
        <v>-44.857933000000003</v>
      </c>
      <c r="R4512" s="2" t="str">
        <f>HYPERLINK("https://www.google.com/maps?q=-20.1619900,-44.8579330","Abrir no Google Maps")</f>
        <v>Abrir no Google Maps</v>
      </c>
      <c r="S4512">
        <v>3</v>
      </c>
      <c r="T4512">
        <v>0</v>
      </c>
      <c r="U4512">
        <v>4</v>
      </c>
      <c r="V4512">
        <v>0.1236096980777831</v>
      </c>
      <c r="W4512">
        <v>1</v>
      </c>
      <c r="X4512">
        <v>0.1236096980777831</v>
      </c>
      <c r="Y4512">
        <v>491</v>
      </c>
      <c r="Z4512">
        <v>131.1697533741382</v>
      </c>
      <c r="AA4512">
        <v>198</v>
      </c>
      <c r="AB4512">
        <v>332</v>
      </c>
      <c r="AC4512">
        <v>536</v>
      </c>
      <c r="AD4512">
        <v>30.35</v>
      </c>
      <c r="AE4512">
        <v>542</v>
      </c>
      <c r="AF4512">
        <v>37</v>
      </c>
      <c r="AG4512">
        <v>161</v>
      </c>
      <c r="AH4512">
        <v>129</v>
      </c>
      <c r="AI4512">
        <v>6.83</v>
      </c>
      <c r="AJ4512">
        <v>29.7</v>
      </c>
      <c r="AK4512">
        <v>23.8</v>
      </c>
      <c r="AL4512">
        <v>-20.161858549999948</v>
      </c>
      <c r="AM4512">
        <v>-44.857884031071968</v>
      </c>
      <c r="AN4512">
        <v>-20.161858549999948</v>
      </c>
      <c r="AO4512">
        <v>-44.857884031071968</v>
      </c>
      <c r="AP4512">
        <v>-20.161989999999999</v>
      </c>
      <c r="AQ4512">
        <v>-44.857933000000003</v>
      </c>
      <c r="AR4512">
        <v>15.501957281614381</v>
      </c>
      <c r="AS4512" t="s">
        <v>65</v>
      </c>
      <c r="AT4512">
        <v>1</v>
      </c>
      <c r="AU4512" t="s">
        <v>1755</v>
      </c>
      <c r="AV4512" t="s">
        <v>1756</v>
      </c>
      <c r="AW4512" t="s">
        <v>60</v>
      </c>
      <c r="AX4512" t="s">
        <v>68</v>
      </c>
      <c r="AY4512" t="s">
        <v>69</v>
      </c>
      <c r="AZ4512" t="b">
        <v>1</v>
      </c>
    </row>
    <row r="4513" spans="1:52" x14ac:dyDescent="0.3">
      <c r="A4513" t="s">
        <v>52</v>
      </c>
      <c r="B4513" t="s">
        <v>53</v>
      </c>
      <c r="C4513" t="s">
        <v>54</v>
      </c>
      <c r="D4513" t="s">
        <v>55</v>
      </c>
      <c r="E4513" t="s">
        <v>2223</v>
      </c>
      <c r="F4513" t="s">
        <v>190</v>
      </c>
      <c r="G4513" t="s">
        <v>637</v>
      </c>
      <c r="H4513" t="s">
        <v>638</v>
      </c>
      <c r="I4513" t="s">
        <v>638</v>
      </c>
      <c r="J4513" t="s">
        <v>60</v>
      </c>
      <c r="K4513" t="s">
        <v>530</v>
      </c>
      <c r="L4513" t="s">
        <v>62</v>
      </c>
      <c r="M4513" t="s">
        <v>530</v>
      </c>
      <c r="N4513" t="s">
        <v>639</v>
      </c>
      <c r="O4513" t="s">
        <v>640</v>
      </c>
      <c r="P4513">
        <v>-20.143090000000001</v>
      </c>
      <c r="Q4513">
        <v>-44.888948999999997</v>
      </c>
      <c r="R4513" s="2" t="str">
        <f>HYPERLINK("https://www.google.com/maps?q=-20.1430900,-44.8889490","Abrir no Google Maps")</f>
        <v>Abrir no Google Maps</v>
      </c>
      <c r="S4513">
        <v>3</v>
      </c>
      <c r="T4513">
        <v>264.88903234377068</v>
      </c>
      <c r="U4513">
        <v>4</v>
      </c>
      <c r="V4513">
        <v>0.1312034739454094</v>
      </c>
      <c r="W4513">
        <v>1</v>
      </c>
      <c r="X4513">
        <v>0.1312034739454094</v>
      </c>
      <c r="Y4513">
        <v>478</v>
      </c>
      <c r="Z4513">
        <v>216.60886577490871</v>
      </c>
      <c r="AA4513">
        <v>198</v>
      </c>
      <c r="AB4513">
        <v>332</v>
      </c>
      <c r="AC4513">
        <v>536</v>
      </c>
      <c r="AD4513">
        <v>30.35</v>
      </c>
      <c r="AE4513">
        <v>542</v>
      </c>
      <c r="AF4513">
        <v>37</v>
      </c>
      <c r="AG4513">
        <v>161</v>
      </c>
      <c r="AH4513">
        <v>129</v>
      </c>
      <c r="AI4513">
        <v>6.83</v>
      </c>
      <c r="AJ4513">
        <v>29.7</v>
      </c>
      <c r="AK4513">
        <v>23.8</v>
      </c>
      <c r="AL4513">
        <v>-20.14306029999997</v>
      </c>
      <c r="AM4513">
        <v>-44.889053908028878</v>
      </c>
      <c r="AN4513">
        <v>-20.14306029999997</v>
      </c>
      <c r="AO4513">
        <v>-44.889053908028878</v>
      </c>
      <c r="AP4513">
        <v>-20.143090000000001</v>
      </c>
      <c r="AQ4513">
        <v>-44.888948999999997</v>
      </c>
      <c r="AR4513">
        <v>11.451710102611671</v>
      </c>
      <c r="AS4513" t="s">
        <v>65</v>
      </c>
      <c r="AT4513">
        <v>1</v>
      </c>
      <c r="AU4513" t="s">
        <v>641</v>
      </c>
      <c r="AV4513" t="s">
        <v>642</v>
      </c>
      <c r="AW4513" t="s">
        <v>60</v>
      </c>
      <c r="AX4513" t="s">
        <v>68</v>
      </c>
      <c r="AY4513" t="s">
        <v>69</v>
      </c>
      <c r="AZ4513" t="b">
        <v>1</v>
      </c>
    </row>
    <row r="4514" spans="1:52" x14ac:dyDescent="0.3">
      <c r="A4514" t="s">
        <v>52</v>
      </c>
      <c r="B4514" t="s">
        <v>53</v>
      </c>
      <c r="C4514" t="s">
        <v>54</v>
      </c>
      <c r="D4514" t="s">
        <v>55</v>
      </c>
      <c r="E4514" t="s">
        <v>2223</v>
      </c>
      <c r="F4514" t="s">
        <v>190</v>
      </c>
      <c r="G4514" t="s">
        <v>643</v>
      </c>
      <c r="H4514" t="s">
        <v>644</v>
      </c>
      <c r="I4514" t="s">
        <v>644</v>
      </c>
      <c r="J4514" t="s">
        <v>60</v>
      </c>
      <c r="K4514" t="s">
        <v>462</v>
      </c>
      <c r="L4514" t="s">
        <v>62</v>
      </c>
      <c r="M4514" t="s">
        <v>462</v>
      </c>
      <c r="N4514" t="s">
        <v>645</v>
      </c>
      <c r="O4514" t="s">
        <v>646</v>
      </c>
      <c r="P4514">
        <v>-20.138680000000001</v>
      </c>
      <c r="Q4514">
        <v>-44.901313000000002</v>
      </c>
      <c r="R4514" s="2" t="str">
        <f>HYPERLINK("https://www.google.com/maps?q=-20.1386800,-44.9013130","Abrir no Google Maps")</f>
        <v>Abrir no Google Maps</v>
      </c>
      <c r="S4514">
        <v>3</v>
      </c>
      <c r="T4514">
        <v>322.91859681380862</v>
      </c>
      <c r="U4514">
        <v>4</v>
      </c>
      <c r="V4514">
        <v>0.12485690464773699</v>
      </c>
      <c r="W4514">
        <v>1</v>
      </c>
      <c r="X4514">
        <v>0.12485690464773699</v>
      </c>
      <c r="Y4514">
        <v>435</v>
      </c>
      <c r="Z4514">
        <v>299.891766434874</v>
      </c>
      <c r="AA4514">
        <v>198</v>
      </c>
      <c r="AB4514">
        <v>332</v>
      </c>
      <c r="AC4514">
        <v>536</v>
      </c>
      <c r="AD4514">
        <v>30.35</v>
      </c>
      <c r="AE4514">
        <v>542</v>
      </c>
      <c r="AF4514">
        <v>37</v>
      </c>
      <c r="AG4514">
        <v>161</v>
      </c>
      <c r="AH4514">
        <v>129</v>
      </c>
      <c r="AI4514">
        <v>6.83</v>
      </c>
      <c r="AJ4514">
        <v>29.7</v>
      </c>
      <c r="AK4514">
        <v>23.8</v>
      </c>
      <c r="AL4514">
        <v>-20.13865734999996</v>
      </c>
      <c r="AM4514">
        <v>-44.901255803238627</v>
      </c>
      <c r="AN4514">
        <v>-20.13865734999996</v>
      </c>
      <c r="AO4514">
        <v>-44.901255803238627</v>
      </c>
      <c r="AP4514">
        <v>-20.138680000000001</v>
      </c>
      <c r="AQ4514">
        <v>-44.901313000000002</v>
      </c>
      <c r="AR4514">
        <v>6.4878640135702481</v>
      </c>
      <c r="AS4514" t="s">
        <v>65</v>
      </c>
      <c r="AT4514">
        <v>1</v>
      </c>
      <c r="AU4514" t="s">
        <v>647</v>
      </c>
      <c r="AV4514" t="s">
        <v>648</v>
      </c>
      <c r="AW4514" t="s">
        <v>60</v>
      </c>
      <c r="AX4514" t="s">
        <v>68</v>
      </c>
      <c r="AY4514" t="s">
        <v>69</v>
      </c>
      <c r="AZ4514" t="b">
        <v>1</v>
      </c>
    </row>
    <row r="4515" spans="1:52" x14ac:dyDescent="0.3">
      <c r="A4515" t="s">
        <v>52</v>
      </c>
      <c r="B4515" t="s">
        <v>53</v>
      </c>
      <c r="C4515" t="s">
        <v>54</v>
      </c>
      <c r="D4515" t="s">
        <v>55</v>
      </c>
      <c r="E4515" t="s">
        <v>2223</v>
      </c>
      <c r="F4515" t="s">
        <v>190</v>
      </c>
      <c r="G4515" t="s">
        <v>656</v>
      </c>
      <c r="H4515" t="s">
        <v>657</v>
      </c>
      <c r="I4515" t="s">
        <v>657</v>
      </c>
      <c r="J4515" t="s">
        <v>60</v>
      </c>
      <c r="K4515" t="s">
        <v>651</v>
      </c>
      <c r="L4515" t="s">
        <v>62</v>
      </c>
      <c r="M4515" t="s">
        <v>651</v>
      </c>
      <c r="N4515" t="s">
        <v>658</v>
      </c>
      <c r="O4515" t="s">
        <v>659</v>
      </c>
      <c r="P4515">
        <v>-20.134922</v>
      </c>
      <c r="Q4515">
        <v>-44.893098000000002</v>
      </c>
      <c r="R4515" s="2" t="str">
        <f>HYPERLINK("https://www.google.com/maps?q=-20.1349220,-44.8930980","Abrir no Google Maps")</f>
        <v>Abrir no Google Maps</v>
      </c>
      <c r="S4515">
        <v>3</v>
      </c>
      <c r="T4515">
        <v>589.83980259734562</v>
      </c>
      <c r="U4515">
        <v>4</v>
      </c>
      <c r="V4515">
        <v>0.1305354415196984</v>
      </c>
      <c r="W4515">
        <v>1</v>
      </c>
      <c r="X4515">
        <v>0.1305354415196984</v>
      </c>
      <c r="Y4515">
        <v>435</v>
      </c>
      <c r="Z4515">
        <v>663.80986080131709</v>
      </c>
      <c r="AA4515">
        <v>198</v>
      </c>
      <c r="AB4515">
        <v>332</v>
      </c>
      <c r="AC4515">
        <v>536</v>
      </c>
      <c r="AD4515">
        <v>30.35</v>
      </c>
      <c r="AE4515">
        <v>542</v>
      </c>
      <c r="AF4515">
        <v>37</v>
      </c>
      <c r="AG4515">
        <v>161</v>
      </c>
      <c r="AH4515">
        <v>129</v>
      </c>
      <c r="AI4515">
        <v>6.83</v>
      </c>
      <c r="AJ4515">
        <v>29.7</v>
      </c>
      <c r="AK4515">
        <v>23.8</v>
      </c>
      <c r="AL4515">
        <v>-20.135021049999949</v>
      </c>
      <c r="AM4515">
        <v>-44.893227478208203</v>
      </c>
      <c r="AN4515">
        <v>-20.135021049999949</v>
      </c>
      <c r="AO4515">
        <v>-44.893227478208203</v>
      </c>
      <c r="AP4515">
        <v>-20.134922</v>
      </c>
      <c r="AQ4515">
        <v>-44.893098000000002</v>
      </c>
      <c r="AR4515">
        <v>17.455940349902249</v>
      </c>
      <c r="AS4515" t="s">
        <v>65</v>
      </c>
      <c r="AT4515">
        <v>1</v>
      </c>
      <c r="AU4515" t="s">
        <v>660</v>
      </c>
      <c r="AV4515" t="s">
        <v>661</v>
      </c>
      <c r="AW4515" t="s">
        <v>60</v>
      </c>
      <c r="AX4515" t="s">
        <v>68</v>
      </c>
      <c r="AY4515" t="s">
        <v>69</v>
      </c>
      <c r="AZ4515" t="b">
        <v>1</v>
      </c>
    </row>
    <row r="4516" spans="1:52" x14ac:dyDescent="0.3">
      <c r="A4516" t="s">
        <v>52</v>
      </c>
      <c r="B4516" t="s">
        <v>53</v>
      </c>
      <c r="C4516" t="s">
        <v>54</v>
      </c>
      <c r="D4516" t="s">
        <v>55</v>
      </c>
      <c r="E4516" t="s">
        <v>2223</v>
      </c>
      <c r="F4516" t="s">
        <v>190</v>
      </c>
      <c r="G4516" t="s">
        <v>669</v>
      </c>
      <c r="H4516" t="s">
        <v>670</v>
      </c>
      <c r="I4516" t="s">
        <v>670</v>
      </c>
      <c r="J4516" t="s">
        <v>60</v>
      </c>
      <c r="K4516" t="s">
        <v>530</v>
      </c>
      <c r="L4516" t="s">
        <v>62</v>
      </c>
      <c r="M4516" t="s">
        <v>530</v>
      </c>
      <c r="N4516" t="s">
        <v>671</v>
      </c>
      <c r="O4516" t="s">
        <v>672</v>
      </c>
      <c r="P4516">
        <v>-20.139036999999998</v>
      </c>
      <c r="Q4516">
        <v>-44.889187</v>
      </c>
      <c r="R4516" s="2" t="str">
        <f>HYPERLINK("https://www.google.com/maps?q=-20.1390370,-44.8891870","Abrir no Google Maps")</f>
        <v>Abrir no Google Maps</v>
      </c>
      <c r="S4516">
        <v>3</v>
      </c>
      <c r="T4516">
        <v>162.03713995333371</v>
      </c>
      <c r="U4516">
        <v>4</v>
      </c>
      <c r="V4516">
        <v>0.13760546404178381</v>
      </c>
      <c r="W4516">
        <v>1</v>
      </c>
      <c r="X4516">
        <v>0.13760546404178381</v>
      </c>
      <c r="Y4516">
        <v>428</v>
      </c>
      <c r="Z4516">
        <v>126.21352118044651</v>
      </c>
      <c r="AA4516">
        <v>198</v>
      </c>
      <c r="AB4516">
        <v>332</v>
      </c>
      <c r="AC4516">
        <v>536</v>
      </c>
      <c r="AD4516">
        <v>30.35</v>
      </c>
      <c r="AE4516">
        <v>542</v>
      </c>
      <c r="AF4516">
        <v>37</v>
      </c>
      <c r="AG4516">
        <v>161</v>
      </c>
      <c r="AH4516">
        <v>129</v>
      </c>
      <c r="AI4516">
        <v>6.83</v>
      </c>
      <c r="AJ4516">
        <v>29.7</v>
      </c>
      <c r="AK4516">
        <v>23.8</v>
      </c>
      <c r="AL4516">
        <v>-20.13900394999996</v>
      </c>
      <c r="AM4516">
        <v>-44.889298503583859</v>
      </c>
      <c r="AN4516">
        <v>-20.13900394999996</v>
      </c>
      <c r="AO4516">
        <v>-44.889298503583859</v>
      </c>
      <c r="AP4516">
        <v>-20.139036999999998</v>
      </c>
      <c r="AQ4516">
        <v>-44.889187</v>
      </c>
      <c r="AR4516">
        <v>12.220642731957311</v>
      </c>
      <c r="AS4516" t="s">
        <v>65</v>
      </c>
      <c r="AT4516">
        <v>1</v>
      </c>
      <c r="AU4516" t="s">
        <v>673</v>
      </c>
      <c r="AV4516" t="s">
        <v>674</v>
      </c>
      <c r="AW4516" t="s">
        <v>60</v>
      </c>
      <c r="AX4516" t="s">
        <v>68</v>
      </c>
      <c r="AY4516" t="s">
        <v>69</v>
      </c>
      <c r="AZ4516" t="b">
        <v>1</v>
      </c>
    </row>
    <row r="4517" spans="1:52" x14ac:dyDescent="0.3">
      <c r="A4517" t="s">
        <v>52</v>
      </c>
      <c r="B4517" t="s">
        <v>53</v>
      </c>
      <c r="C4517" t="s">
        <v>54</v>
      </c>
      <c r="D4517" t="s">
        <v>55</v>
      </c>
      <c r="E4517" t="s">
        <v>2223</v>
      </c>
      <c r="F4517" t="s">
        <v>190</v>
      </c>
      <c r="G4517" t="s">
        <v>675</v>
      </c>
      <c r="H4517" t="s">
        <v>676</v>
      </c>
      <c r="I4517" t="s">
        <v>676</v>
      </c>
      <c r="J4517" t="s">
        <v>60</v>
      </c>
      <c r="K4517" t="s">
        <v>530</v>
      </c>
      <c r="L4517" t="s">
        <v>62</v>
      </c>
      <c r="M4517" t="s">
        <v>530</v>
      </c>
      <c r="N4517" t="s">
        <v>677</v>
      </c>
      <c r="O4517" t="s">
        <v>678</v>
      </c>
      <c r="P4517">
        <v>-20.140103</v>
      </c>
      <c r="Q4517">
        <v>-44.887059999999998</v>
      </c>
      <c r="R4517" s="2" t="str">
        <f>HYPERLINK("https://www.google.com/maps?q=-20.1401030,-44.8870600","Abrir no Google Maps")</f>
        <v>Abrir no Google Maps</v>
      </c>
      <c r="S4517">
        <v>3</v>
      </c>
      <c r="T4517">
        <v>202.19329492684349</v>
      </c>
      <c r="U4517">
        <v>4</v>
      </c>
      <c r="V4517">
        <v>0.1325097926698435</v>
      </c>
      <c r="W4517">
        <v>1</v>
      </c>
      <c r="X4517">
        <v>0.1325097926698435</v>
      </c>
      <c r="Y4517">
        <v>428</v>
      </c>
      <c r="Z4517">
        <v>144.95603883960419</v>
      </c>
      <c r="AA4517">
        <v>198</v>
      </c>
      <c r="AB4517">
        <v>332</v>
      </c>
      <c r="AC4517">
        <v>536</v>
      </c>
      <c r="AD4517">
        <v>30.35</v>
      </c>
      <c r="AE4517">
        <v>542</v>
      </c>
      <c r="AF4517">
        <v>37</v>
      </c>
      <c r="AG4517">
        <v>161</v>
      </c>
      <c r="AH4517">
        <v>129</v>
      </c>
      <c r="AI4517">
        <v>6.83</v>
      </c>
      <c r="AJ4517">
        <v>29.7</v>
      </c>
      <c r="AK4517">
        <v>23.8</v>
      </c>
      <c r="AL4517">
        <v>-20.13997164999995</v>
      </c>
      <c r="AM4517">
        <v>-44.887075246455773</v>
      </c>
      <c r="AN4517">
        <v>-20.13997164999995</v>
      </c>
      <c r="AO4517">
        <v>-44.887075246455773</v>
      </c>
      <c r="AP4517">
        <v>-20.140103</v>
      </c>
      <c r="AQ4517">
        <v>-44.887059999999998</v>
      </c>
      <c r="AR4517">
        <v>14.7084512385181</v>
      </c>
      <c r="AS4517" t="s">
        <v>65</v>
      </c>
      <c r="AT4517">
        <v>1</v>
      </c>
      <c r="AU4517" t="s">
        <v>679</v>
      </c>
      <c r="AV4517" t="s">
        <v>680</v>
      </c>
      <c r="AW4517" t="s">
        <v>60</v>
      </c>
      <c r="AX4517" t="s">
        <v>68</v>
      </c>
      <c r="AY4517" t="s">
        <v>69</v>
      </c>
      <c r="AZ4517" t="b">
        <v>1</v>
      </c>
    </row>
    <row r="4518" spans="1:52" x14ac:dyDescent="0.3">
      <c r="A4518" t="s">
        <v>52</v>
      </c>
      <c r="B4518" t="s">
        <v>53</v>
      </c>
      <c r="C4518" t="s">
        <v>54</v>
      </c>
      <c r="D4518" t="s">
        <v>55</v>
      </c>
      <c r="E4518" t="s">
        <v>2223</v>
      </c>
      <c r="F4518" t="s">
        <v>190</v>
      </c>
      <c r="G4518" t="s">
        <v>681</v>
      </c>
      <c r="H4518" t="s">
        <v>682</v>
      </c>
      <c r="I4518" t="s">
        <v>682</v>
      </c>
      <c r="J4518" t="s">
        <v>60</v>
      </c>
      <c r="K4518" t="s">
        <v>530</v>
      </c>
      <c r="L4518" t="s">
        <v>62</v>
      </c>
      <c r="M4518" t="s">
        <v>530</v>
      </c>
      <c r="N4518" t="s">
        <v>683</v>
      </c>
      <c r="O4518" t="s">
        <v>173</v>
      </c>
      <c r="P4518">
        <v>-20.138342999999999</v>
      </c>
      <c r="Q4518">
        <v>-44.887732</v>
      </c>
      <c r="R4518" s="2" t="str">
        <f>HYPERLINK("https://www.google.com/maps?q=-20.1383430,-44.8877320","Abrir no Google Maps")</f>
        <v>Abrir no Google Maps</v>
      </c>
      <c r="S4518">
        <v>3</v>
      </c>
      <c r="T4518">
        <v>0</v>
      </c>
      <c r="U4518">
        <v>4</v>
      </c>
      <c r="V4518">
        <v>0.12801887570062639</v>
      </c>
      <c r="W4518">
        <v>1</v>
      </c>
      <c r="X4518">
        <v>0.12801887570062639</v>
      </c>
      <c r="Y4518">
        <v>428</v>
      </c>
      <c r="Z4518">
        <v>82.685534812530861</v>
      </c>
      <c r="AA4518">
        <v>198</v>
      </c>
      <c r="AB4518">
        <v>332</v>
      </c>
      <c r="AC4518">
        <v>536</v>
      </c>
      <c r="AD4518">
        <v>30.35</v>
      </c>
      <c r="AE4518">
        <v>542</v>
      </c>
      <c r="AF4518">
        <v>37</v>
      </c>
      <c r="AG4518">
        <v>161</v>
      </c>
      <c r="AH4518">
        <v>129</v>
      </c>
      <c r="AI4518">
        <v>6.83</v>
      </c>
      <c r="AJ4518">
        <v>29.7</v>
      </c>
      <c r="AK4518">
        <v>23.8</v>
      </c>
      <c r="AL4518">
        <v>-20.138329099999961</v>
      </c>
      <c r="AM4518">
        <v>-44.887922589375549</v>
      </c>
      <c r="AN4518">
        <v>-20.138329099999961</v>
      </c>
      <c r="AO4518">
        <v>-44.887922589375549</v>
      </c>
      <c r="AP4518">
        <v>-20.138342999999999</v>
      </c>
      <c r="AQ4518">
        <v>-44.887732</v>
      </c>
      <c r="AR4518">
        <v>19.979335127307191</v>
      </c>
      <c r="AS4518" t="s">
        <v>65</v>
      </c>
      <c r="AT4518">
        <v>1</v>
      </c>
      <c r="AU4518" t="s">
        <v>684</v>
      </c>
      <c r="AV4518" t="s">
        <v>685</v>
      </c>
      <c r="AW4518" t="s">
        <v>60</v>
      </c>
      <c r="AX4518" t="s">
        <v>68</v>
      </c>
      <c r="AY4518" t="s">
        <v>69</v>
      </c>
      <c r="AZ4518" t="b">
        <v>1</v>
      </c>
    </row>
    <row r="4519" spans="1:52" x14ac:dyDescent="0.3">
      <c r="A4519" t="s">
        <v>52</v>
      </c>
      <c r="B4519" t="s">
        <v>53</v>
      </c>
      <c r="C4519" t="s">
        <v>54</v>
      </c>
      <c r="D4519" t="s">
        <v>55</v>
      </c>
      <c r="E4519" t="s">
        <v>2223</v>
      </c>
      <c r="F4519" t="s">
        <v>190</v>
      </c>
      <c r="G4519" t="s">
        <v>693</v>
      </c>
      <c r="H4519" t="s">
        <v>694</v>
      </c>
      <c r="I4519" t="s">
        <v>694</v>
      </c>
      <c r="J4519" t="s">
        <v>60</v>
      </c>
      <c r="K4519" t="s">
        <v>695</v>
      </c>
      <c r="L4519" t="s">
        <v>62</v>
      </c>
      <c r="M4519" t="s">
        <v>695</v>
      </c>
      <c r="N4519" t="s">
        <v>696</v>
      </c>
      <c r="O4519" t="s">
        <v>697</v>
      </c>
      <c r="P4519">
        <v>-20.174917000000001</v>
      </c>
      <c r="Q4519">
        <v>-44.857677000000002</v>
      </c>
      <c r="R4519" s="2" t="str">
        <f>HYPERLINK("https://www.google.com/maps?q=-20.1749170,-44.8576770","Abrir no Google Maps")</f>
        <v>Abrir no Google Maps</v>
      </c>
      <c r="S4519">
        <v>3</v>
      </c>
      <c r="T4519">
        <v>850.52349144267646</v>
      </c>
      <c r="U4519">
        <v>4</v>
      </c>
      <c r="V4519">
        <v>0.1370657090892132</v>
      </c>
      <c r="W4519">
        <v>1</v>
      </c>
      <c r="X4519">
        <v>0.1370657090892132</v>
      </c>
      <c r="Y4519">
        <v>422</v>
      </c>
      <c r="Z4519">
        <v>1042.4685698911451</v>
      </c>
      <c r="AA4519">
        <v>198</v>
      </c>
      <c r="AB4519">
        <v>332</v>
      </c>
      <c r="AC4519">
        <v>536</v>
      </c>
      <c r="AD4519">
        <v>30.35</v>
      </c>
      <c r="AE4519">
        <v>542</v>
      </c>
      <c r="AF4519">
        <v>37</v>
      </c>
      <c r="AG4519">
        <v>161</v>
      </c>
      <c r="AH4519">
        <v>129</v>
      </c>
      <c r="AI4519">
        <v>6.83</v>
      </c>
      <c r="AJ4519">
        <v>29.7</v>
      </c>
      <c r="AK4519">
        <v>23.8</v>
      </c>
      <c r="AL4519">
        <v>-20.17483459999994</v>
      </c>
      <c r="AM4519">
        <v>-44.857715667542379</v>
      </c>
      <c r="AN4519">
        <v>-20.17483459999994</v>
      </c>
      <c r="AO4519">
        <v>-44.857715667542379</v>
      </c>
      <c r="AP4519">
        <v>-20.174917000000001</v>
      </c>
      <c r="AQ4519">
        <v>-44.857677000000002</v>
      </c>
      <c r="AR4519">
        <v>10.02318555136439</v>
      </c>
      <c r="AS4519" t="s">
        <v>65</v>
      </c>
      <c r="AT4519">
        <v>1</v>
      </c>
      <c r="AU4519" t="s">
        <v>698</v>
      </c>
      <c r="AV4519" t="s">
        <v>699</v>
      </c>
      <c r="AW4519" t="s">
        <v>60</v>
      </c>
      <c r="AX4519" t="s">
        <v>68</v>
      </c>
      <c r="AY4519" t="s">
        <v>69</v>
      </c>
      <c r="AZ4519" t="b">
        <v>1</v>
      </c>
    </row>
    <row r="4520" spans="1:52" x14ac:dyDescent="0.3">
      <c r="A4520" t="s">
        <v>52</v>
      </c>
      <c r="B4520" t="s">
        <v>53</v>
      </c>
      <c r="C4520" t="s">
        <v>54</v>
      </c>
      <c r="D4520" t="s">
        <v>55</v>
      </c>
      <c r="E4520" t="s">
        <v>2223</v>
      </c>
      <c r="F4520" t="s">
        <v>190</v>
      </c>
      <c r="G4520" t="s">
        <v>1039</v>
      </c>
      <c r="H4520" t="s">
        <v>1040</v>
      </c>
      <c r="I4520" t="s">
        <v>1040</v>
      </c>
      <c r="J4520" t="s">
        <v>60</v>
      </c>
      <c r="K4520" t="s">
        <v>1023</v>
      </c>
      <c r="L4520" t="s">
        <v>62</v>
      </c>
      <c r="M4520" t="s">
        <v>1023</v>
      </c>
      <c r="N4520" t="s">
        <v>1041</v>
      </c>
      <c r="O4520" t="s">
        <v>738</v>
      </c>
      <c r="P4520">
        <v>-20.172284000000001</v>
      </c>
      <c r="Q4520">
        <v>-44.865392999999997</v>
      </c>
      <c r="R4520" s="2" t="str">
        <f>HYPERLINK("https://www.google.com/maps?q=-20.1722840,-44.8653930","Abrir no Google Maps")</f>
        <v>Abrir no Google Maps</v>
      </c>
      <c r="S4520">
        <v>3</v>
      </c>
      <c r="T4520">
        <v>0</v>
      </c>
      <c r="U4520">
        <v>4</v>
      </c>
      <c r="V4520">
        <v>0.12862026903019311</v>
      </c>
      <c r="W4520">
        <v>1</v>
      </c>
      <c r="X4520">
        <v>0.12862026903019311</v>
      </c>
      <c r="Y4520">
        <v>422</v>
      </c>
      <c r="Z4520">
        <v>202.96804500763591</v>
      </c>
      <c r="AA4520">
        <v>198</v>
      </c>
      <c r="AB4520">
        <v>332</v>
      </c>
      <c r="AC4520">
        <v>536</v>
      </c>
      <c r="AD4520">
        <v>30.35</v>
      </c>
      <c r="AE4520">
        <v>542</v>
      </c>
      <c r="AF4520">
        <v>37</v>
      </c>
      <c r="AG4520">
        <v>161</v>
      </c>
      <c r="AH4520">
        <v>129</v>
      </c>
      <c r="AI4520">
        <v>6.83</v>
      </c>
      <c r="AJ4520">
        <v>29.7</v>
      </c>
      <c r="AK4520">
        <v>23.8</v>
      </c>
      <c r="AL4520">
        <v>-20.17229514999994</v>
      </c>
      <c r="AM4520">
        <v>-44.865398249858011</v>
      </c>
      <c r="AN4520">
        <v>-20.17229514999994</v>
      </c>
      <c r="AO4520">
        <v>-44.865398249858011</v>
      </c>
      <c r="AP4520">
        <v>-20.172284000000001</v>
      </c>
      <c r="AQ4520">
        <v>-44.865392999999997</v>
      </c>
      <c r="AR4520">
        <v>1.357036084497409</v>
      </c>
      <c r="AS4520" t="s">
        <v>65</v>
      </c>
      <c r="AT4520">
        <v>1</v>
      </c>
      <c r="AU4520" t="s">
        <v>1042</v>
      </c>
      <c r="AV4520" t="s">
        <v>1043</v>
      </c>
      <c r="AW4520" t="s">
        <v>60</v>
      </c>
      <c r="AX4520" t="s">
        <v>68</v>
      </c>
      <c r="AY4520" t="s">
        <v>69</v>
      </c>
      <c r="AZ4520" t="b">
        <v>1</v>
      </c>
    </row>
    <row r="4521" spans="1:52" x14ac:dyDescent="0.3">
      <c r="A4521" t="s">
        <v>52</v>
      </c>
      <c r="B4521" t="s">
        <v>53</v>
      </c>
      <c r="C4521" t="s">
        <v>54</v>
      </c>
      <c r="D4521" t="s">
        <v>55</v>
      </c>
      <c r="E4521" t="s">
        <v>2223</v>
      </c>
      <c r="F4521" t="s">
        <v>190</v>
      </c>
      <c r="G4521" t="s">
        <v>706</v>
      </c>
      <c r="H4521" t="s">
        <v>707</v>
      </c>
      <c r="I4521" t="s">
        <v>707</v>
      </c>
      <c r="J4521" t="s">
        <v>60</v>
      </c>
      <c r="K4521" t="s">
        <v>708</v>
      </c>
      <c r="L4521" t="s">
        <v>62</v>
      </c>
      <c r="M4521" t="s">
        <v>708</v>
      </c>
      <c r="N4521" t="s">
        <v>709</v>
      </c>
      <c r="O4521" t="s">
        <v>710</v>
      </c>
      <c r="P4521">
        <v>-20.127054999999999</v>
      </c>
      <c r="Q4521">
        <v>-44.872073</v>
      </c>
      <c r="R4521" s="2" t="str">
        <f>HYPERLINK("https://www.google.com/maps?q=-20.1270550,-44.8720730","Abrir no Google Maps")</f>
        <v>Abrir no Google Maps</v>
      </c>
      <c r="S4521">
        <v>3</v>
      </c>
      <c r="T4521">
        <v>395.91108553086929</v>
      </c>
      <c r="U4521">
        <v>4</v>
      </c>
      <c r="V4521">
        <v>0.1243858028410384</v>
      </c>
      <c r="W4521">
        <v>1</v>
      </c>
      <c r="X4521">
        <v>0.1243858028410384</v>
      </c>
      <c r="Y4521">
        <v>387</v>
      </c>
      <c r="Z4521">
        <v>518.31496622382247</v>
      </c>
      <c r="AA4521">
        <v>198</v>
      </c>
      <c r="AB4521">
        <v>332</v>
      </c>
      <c r="AC4521">
        <v>536</v>
      </c>
      <c r="AD4521">
        <v>30.35</v>
      </c>
      <c r="AE4521">
        <v>542</v>
      </c>
      <c r="AF4521">
        <v>37</v>
      </c>
      <c r="AG4521">
        <v>161</v>
      </c>
      <c r="AH4521">
        <v>129</v>
      </c>
      <c r="AI4521">
        <v>6.83</v>
      </c>
      <c r="AJ4521">
        <v>29.7</v>
      </c>
      <c r="AK4521">
        <v>23.8</v>
      </c>
      <c r="AL4521">
        <v>-20.126854749999978</v>
      </c>
      <c r="AM4521">
        <v>-44.871712455027861</v>
      </c>
      <c r="AN4521">
        <v>-20.126854749999978</v>
      </c>
      <c r="AO4521">
        <v>-44.871712455027861</v>
      </c>
      <c r="AP4521">
        <v>-20.127054999999999</v>
      </c>
      <c r="AQ4521">
        <v>-44.872073</v>
      </c>
      <c r="AR4521">
        <v>43.784435535392717</v>
      </c>
      <c r="AS4521" t="s">
        <v>65</v>
      </c>
      <c r="AT4521">
        <v>1</v>
      </c>
      <c r="AU4521" t="s">
        <v>711</v>
      </c>
      <c r="AV4521" t="s">
        <v>712</v>
      </c>
      <c r="AW4521" t="s">
        <v>60</v>
      </c>
      <c r="AX4521" t="s">
        <v>68</v>
      </c>
      <c r="AY4521" t="s">
        <v>69</v>
      </c>
      <c r="AZ4521" t="b">
        <v>1</v>
      </c>
    </row>
    <row r="4522" spans="1:52" x14ac:dyDescent="0.3">
      <c r="A4522" t="s">
        <v>52</v>
      </c>
      <c r="B4522" t="s">
        <v>53</v>
      </c>
      <c r="C4522" t="s">
        <v>54</v>
      </c>
      <c r="D4522" t="s">
        <v>55</v>
      </c>
      <c r="E4522" t="s">
        <v>2223</v>
      </c>
      <c r="F4522" t="s">
        <v>190</v>
      </c>
      <c r="G4522" t="s">
        <v>734</v>
      </c>
      <c r="H4522" t="s">
        <v>735</v>
      </c>
      <c r="I4522" t="s">
        <v>735</v>
      </c>
      <c r="J4522" t="s">
        <v>60</v>
      </c>
      <c r="K4522" t="s">
        <v>736</v>
      </c>
      <c r="L4522" t="s">
        <v>62</v>
      </c>
      <c r="M4522" t="s">
        <v>736</v>
      </c>
      <c r="N4522" t="s">
        <v>737</v>
      </c>
      <c r="O4522" t="s">
        <v>738</v>
      </c>
      <c r="P4522">
        <v>-20.113050000000001</v>
      </c>
      <c r="Q4522">
        <v>-44.977640999999998</v>
      </c>
      <c r="R4522" s="2" t="str">
        <f>HYPERLINK("https://www.google.com/maps?q=-20.1130500,-44.9776410","Abrir no Google Maps")</f>
        <v>Abrir no Google Maps</v>
      </c>
      <c r="S4522">
        <v>3</v>
      </c>
      <c r="T4522">
        <v>1057.751631532733</v>
      </c>
      <c r="U4522">
        <v>4</v>
      </c>
      <c r="V4522">
        <v>0.126946637574885</v>
      </c>
      <c r="W4522">
        <v>1</v>
      </c>
      <c r="X4522">
        <v>0.126946637574885</v>
      </c>
      <c r="Y4522">
        <v>385</v>
      </c>
      <c r="Z4522">
        <v>1001.029655866156</v>
      </c>
      <c r="AA4522">
        <v>198</v>
      </c>
      <c r="AB4522">
        <v>332</v>
      </c>
      <c r="AC4522">
        <v>536</v>
      </c>
      <c r="AD4522">
        <v>30.35</v>
      </c>
      <c r="AE4522">
        <v>542</v>
      </c>
      <c r="AF4522">
        <v>37</v>
      </c>
      <c r="AG4522">
        <v>161</v>
      </c>
      <c r="AH4522">
        <v>129</v>
      </c>
      <c r="AI4522">
        <v>6.83</v>
      </c>
      <c r="AJ4522">
        <v>29.7</v>
      </c>
      <c r="AK4522">
        <v>23.8</v>
      </c>
      <c r="AL4522">
        <v>-20.112977499999939</v>
      </c>
      <c r="AM4522">
        <v>-44.977939579895221</v>
      </c>
      <c r="AN4522">
        <v>-20.112977499999939</v>
      </c>
      <c r="AO4522">
        <v>-44.977939579895221</v>
      </c>
      <c r="AP4522">
        <v>-20.113050000000001</v>
      </c>
      <c r="AQ4522">
        <v>-44.977640999999998</v>
      </c>
      <c r="AR4522">
        <v>32.23754556505741</v>
      </c>
      <c r="AS4522" t="s">
        <v>65</v>
      </c>
      <c r="AT4522">
        <v>1</v>
      </c>
      <c r="AU4522" t="s">
        <v>739</v>
      </c>
      <c r="AV4522" t="s">
        <v>740</v>
      </c>
      <c r="AW4522" t="s">
        <v>60</v>
      </c>
      <c r="AX4522" t="s">
        <v>68</v>
      </c>
      <c r="AY4522" t="s">
        <v>69</v>
      </c>
      <c r="AZ4522" t="b">
        <v>1</v>
      </c>
    </row>
    <row r="4523" spans="1:52" x14ac:dyDescent="0.3">
      <c r="A4523" t="s">
        <v>52</v>
      </c>
      <c r="B4523" t="s">
        <v>53</v>
      </c>
      <c r="C4523" t="s">
        <v>54</v>
      </c>
      <c r="D4523" t="s">
        <v>55</v>
      </c>
      <c r="E4523" t="s">
        <v>2223</v>
      </c>
      <c r="F4523" t="s">
        <v>190</v>
      </c>
      <c r="G4523" t="s">
        <v>741</v>
      </c>
      <c r="H4523" t="s">
        <v>742</v>
      </c>
      <c r="I4523" t="s">
        <v>742</v>
      </c>
      <c r="J4523" t="s">
        <v>60</v>
      </c>
      <c r="K4523" t="s">
        <v>688</v>
      </c>
      <c r="L4523" t="s">
        <v>62</v>
      </c>
      <c r="M4523" t="s">
        <v>688</v>
      </c>
      <c r="N4523" t="s">
        <v>743</v>
      </c>
      <c r="O4523" t="s">
        <v>744</v>
      </c>
      <c r="P4523">
        <v>-20.136733</v>
      </c>
      <c r="Q4523">
        <v>-44.888140999999997</v>
      </c>
      <c r="R4523" s="2" t="str">
        <f>HYPERLINK("https://www.google.com/maps?q=-20.1367330,-44.8881410","Abrir no Google Maps")</f>
        <v>Abrir no Google Maps</v>
      </c>
      <c r="S4523">
        <v>3</v>
      </c>
      <c r="T4523">
        <v>175.84339996559589</v>
      </c>
      <c r="U4523">
        <v>4</v>
      </c>
      <c r="V4523">
        <v>0.1256509427715653</v>
      </c>
      <c r="W4523">
        <v>1</v>
      </c>
      <c r="X4523">
        <v>0.1256509427715653</v>
      </c>
      <c r="Y4523">
        <v>350</v>
      </c>
      <c r="Z4523">
        <v>171.90575296051961</v>
      </c>
      <c r="AA4523">
        <v>198</v>
      </c>
      <c r="AB4523">
        <v>332</v>
      </c>
      <c r="AC4523">
        <v>536</v>
      </c>
      <c r="AD4523">
        <v>30.35</v>
      </c>
      <c r="AE4523">
        <v>542</v>
      </c>
      <c r="AF4523">
        <v>37</v>
      </c>
      <c r="AG4523">
        <v>161</v>
      </c>
      <c r="AH4523">
        <v>129</v>
      </c>
      <c r="AI4523">
        <v>6.83</v>
      </c>
      <c r="AJ4523">
        <v>29.7</v>
      </c>
      <c r="AK4523">
        <v>23.8</v>
      </c>
      <c r="AL4523">
        <v>-20.136726099999979</v>
      </c>
      <c r="AM4523">
        <v>-44.888062077766982</v>
      </c>
      <c r="AN4523">
        <v>-20.136726099999979</v>
      </c>
      <c r="AO4523">
        <v>-44.888062077766982</v>
      </c>
      <c r="AP4523">
        <v>-20.136733</v>
      </c>
      <c r="AQ4523">
        <v>-44.888140999999997</v>
      </c>
      <c r="AR4523">
        <v>8.2842769013797852</v>
      </c>
      <c r="AS4523" t="s">
        <v>65</v>
      </c>
      <c r="AT4523">
        <v>1</v>
      </c>
      <c r="AU4523" t="s">
        <v>745</v>
      </c>
      <c r="AV4523" t="s">
        <v>746</v>
      </c>
      <c r="AW4523" t="s">
        <v>60</v>
      </c>
      <c r="AX4523" t="s">
        <v>68</v>
      </c>
      <c r="AY4523" t="s">
        <v>69</v>
      </c>
      <c r="AZ4523" t="b">
        <v>1</v>
      </c>
    </row>
    <row r="4524" spans="1:52" x14ac:dyDescent="0.3">
      <c r="A4524" t="s">
        <v>52</v>
      </c>
      <c r="B4524" t="s">
        <v>53</v>
      </c>
      <c r="C4524" t="s">
        <v>54</v>
      </c>
      <c r="D4524" t="s">
        <v>55</v>
      </c>
      <c r="E4524" t="s">
        <v>2223</v>
      </c>
      <c r="F4524" t="s">
        <v>190</v>
      </c>
      <c r="G4524" t="s">
        <v>753</v>
      </c>
      <c r="H4524" t="s">
        <v>754</v>
      </c>
      <c r="I4524" t="s">
        <v>754</v>
      </c>
      <c r="J4524" t="s">
        <v>60</v>
      </c>
      <c r="K4524" t="s">
        <v>688</v>
      </c>
      <c r="L4524" t="s">
        <v>62</v>
      </c>
      <c r="M4524" t="s">
        <v>688</v>
      </c>
      <c r="N4524" t="s">
        <v>755</v>
      </c>
      <c r="O4524" t="s">
        <v>756</v>
      </c>
      <c r="P4524">
        <v>-20.135238000000001</v>
      </c>
      <c r="Q4524">
        <v>-44.890405999999999</v>
      </c>
      <c r="R4524" s="2" t="str">
        <f>HYPERLINK("https://www.google.com/maps?q=-20.1352380,-44.8904060","Abrir no Google Maps")</f>
        <v>Abrir no Google Maps</v>
      </c>
      <c r="S4524">
        <v>3</v>
      </c>
      <c r="T4524">
        <v>314.49904475975598</v>
      </c>
      <c r="U4524">
        <v>4</v>
      </c>
      <c r="V4524">
        <v>0.12932034330781719</v>
      </c>
      <c r="W4524">
        <v>1</v>
      </c>
      <c r="X4524">
        <v>0.12932034330781719</v>
      </c>
      <c r="Y4524">
        <v>350</v>
      </c>
      <c r="Z4524">
        <v>443.96798796176353</v>
      </c>
      <c r="AA4524">
        <v>198</v>
      </c>
      <c r="AB4524">
        <v>332</v>
      </c>
      <c r="AC4524">
        <v>536</v>
      </c>
      <c r="AD4524">
        <v>30.35</v>
      </c>
      <c r="AE4524">
        <v>542</v>
      </c>
      <c r="AF4524">
        <v>37</v>
      </c>
      <c r="AG4524">
        <v>161</v>
      </c>
      <c r="AH4524">
        <v>129</v>
      </c>
      <c r="AI4524">
        <v>6.83</v>
      </c>
      <c r="AJ4524">
        <v>29.7</v>
      </c>
      <c r="AK4524">
        <v>23.8</v>
      </c>
      <c r="AL4524">
        <v>-20.134851099999931</v>
      </c>
      <c r="AM4524">
        <v>-44.890573293408117</v>
      </c>
      <c r="AN4524">
        <v>-20.134851099999931</v>
      </c>
      <c r="AO4524">
        <v>-44.890573293408131</v>
      </c>
      <c r="AP4524">
        <v>-20.135238000000001</v>
      </c>
      <c r="AQ4524">
        <v>-44.890405999999999</v>
      </c>
      <c r="AR4524">
        <v>46.483580940434933</v>
      </c>
      <c r="AS4524" t="s">
        <v>65</v>
      </c>
      <c r="AT4524">
        <v>1</v>
      </c>
      <c r="AU4524" t="s">
        <v>757</v>
      </c>
      <c r="AV4524" t="s">
        <v>758</v>
      </c>
      <c r="AW4524" t="s">
        <v>60</v>
      </c>
      <c r="AX4524" t="s">
        <v>68</v>
      </c>
      <c r="AY4524" t="s">
        <v>69</v>
      </c>
      <c r="AZ4524" t="b">
        <v>1</v>
      </c>
    </row>
    <row r="4525" spans="1:52" x14ac:dyDescent="0.3">
      <c r="A4525" t="s">
        <v>52</v>
      </c>
      <c r="B4525" t="s">
        <v>53</v>
      </c>
      <c r="C4525" t="s">
        <v>54</v>
      </c>
      <c r="D4525" t="s">
        <v>55</v>
      </c>
      <c r="E4525" t="s">
        <v>2223</v>
      </c>
      <c r="F4525" t="s">
        <v>190</v>
      </c>
      <c r="G4525" t="s">
        <v>766</v>
      </c>
      <c r="H4525" t="s">
        <v>767</v>
      </c>
      <c r="I4525" t="s">
        <v>767</v>
      </c>
      <c r="J4525" t="s">
        <v>60</v>
      </c>
      <c r="K4525" t="s">
        <v>768</v>
      </c>
      <c r="L4525" t="s">
        <v>62</v>
      </c>
      <c r="M4525" t="s">
        <v>768</v>
      </c>
      <c r="N4525" t="s">
        <v>769</v>
      </c>
      <c r="O4525" t="s">
        <v>770</v>
      </c>
      <c r="P4525">
        <v>-20.135211000000002</v>
      </c>
      <c r="Q4525">
        <v>-44.875359000000003</v>
      </c>
      <c r="R4525" s="2" t="str">
        <f>HYPERLINK("https://www.google.com/maps?q=-20.1352110,-44.8753590","Abrir no Google Maps")</f>
        <v>Abrir no Google Maps</v>
      </c>
      <c r="S4525">
        <v>3</v>
      </c>
      <c r="T4525">
        <v>383.44405482521267</v>
      </c>
      <c r="U4525">
        <v>4</v>
      </c>
      <c r="V4525">
        <v>0.1237286994005523</v>
      </c>
      <c r="W4525">
        <v>1</v>
      </c>
      <c r="X4525">
        <v>0.1237286994005523</v>
      </c>
      <c r="Y4525">
        <v>332</v>
      </c>
      <c r="Z4525">
        <v>219.0766044611764</v>
      </c>
      <c r="AA4525">
        <v>198</v>
      </c>
      <c r="AB4525">
        <v>332</v>
      </c>
      <c r="AC4525">
        <v>536</v>
      </c>
      <c r="AD4525">
        <v>30.35</v>
      </c>
      <c r="AE4525">
        <v>542</v>
      </c>
      <c r="AF4525">
        <v>37</v>
      </c>
      <c r="AG4525">
        <v>161</v>
      </c>
      <c r="AH4525">
        <v>129</v>
      </c>
      <c r="AI4525">
        <v>6.83</v>
      </c>
      <c r="AJ4525">
        <v>29.7</v>
      </c>
      <c r="AK4525">
        <v>23.8</v>
      </c>
      <c r="AL4525">
        <v>-20.135125549999941</v>
      </c>
      <c r="AM4525">
        <v>-44.875534947489427</v>
      </c>
      <c r="AN4525">
        <v>-20.135125549999941</v>
      </c>
      <c r="AO4525">
        <v>-44.875534947489427</v>
      </c>
      <c r="AP4525">
        <v>-20.135211000000002</v>
      </c>
      <c r="AQ4525">
        <v>-44.875359000000003</v>
      </c>
      <c r="AR4525">
        <v>20.703969313709418</v>
      </c>
      <c r="AS4525" t="s">
        <v>65</v>
      </c>
      <c r="AT4525">
        <v>1</v>
      </c>
      <c r="AU4525" t="s">
        <v>771</v>
      </c>
      <c r="AV4525" t="s">
        <v>772</v>
      </c>
      <c r="AW4525" t="s">
        <v>60</v>
      </c>
      <c r="AX4525" t="s">
        <v>68</v>
      </c>
      <c r="AY4525" t="s">
        <v>69</v>
      </c>
      <c r="AZ4525" t="b">
        <v>1</v>
      </c>
    </row>
    <row r="4526" spans="1:52" x14ac:dyDescent="0.3">
      <c r="A4526" t="s">
        <v>52</v>
      </c>
      <c r="B4526" t="s">
        <v>53</v>
      </c>
      <c r="C4526" t="s">
        <v>54</v>
      </c>
      <c r="D4526" t="s">
        <v>55</v>
      </c>
      <c r="E4526" t="s">
        <v>2223</v>
      </c>
      <c r="F4526" t="s">
        <v>190</v>
      </c>
      <c r="G4526" t="s">
        <v>1099</v>
      </c>
      <c r="H4526" t="s">
        <v>1100</v>
      </c>
      <c r="I4526" t="s">
        <v>1100</v>
      </c>
      <c r="J4526" t="s">
        <v>60</v>
      </c>
      <c r="K4526" t="s">
        <v>781</v>
      </c>
      <c r="L4526" t="s">
        <v>62</v>
      </c>
      <c r="M4526" t="s">
        <v>781</v>
      </c>
      <c r="N4526" t="s">
        <v>1101</v>
      </c>
      <c r="O4526" t="s">
        <v>235</v>
      </c>
      <c r="P4526">
        <v>-20.136811999999999</v>
      </c>
      <c r="Q4526">
        <v>-44.872388000000001</v>
      </c>
      <c r="R4526" s="2" t="str">
        <f>HYPERLINK("https://www.google.com/maps?q=-20.1368120,-44.8723880","Abrir no Google Maps")</f>
        <v>Abrir no Google Maps</v>
      </c>
      <c r="S4526">
        <v>3</v>
      </c>
      <c r="T4526">
        <v>0</v>
      </c>
      <c r="U4526">
        <v>4</v>
      </c>
      <c r="V4526">
        <v>0.1239559845625058</v>
      </c>
      <c r="W4526">
        <v>1</v>
      </c>
      <c r="X4526">
        <v>0.1239559845625058</v>
      </c>
      <c r="Y4526">
        <v>332</v>
      </c>
      <c r="Z4526">
        <v>121.0319884418894</v>
      </c>
      <c r="AA4526">
        <v>198</v>
      </c>
      <c r="AB4526">
        <v>332</v>
      </c>
      <c r="AC4526">
        <v>536</v>
      </c>
      <c r="AD4526">
        <v>30.35</v>
      </c>
      <c r="AE4526">
        <v>542</v>
      </c>
      <c r="AF4526">
        <v>37</v>
      </c>
      <c r="AG4526">
        <v>161</v>
      </c>
      <c r="AH4526">
        <v>129</v>
      </c>
      <c r="AI4526">
        <v>6.83</v>
      </c>
      <c r="AJ4526">
        <v>29.7</v>
      </c>
      <c r="AK4526">
        <v>23.8</v>
      </c>
      <c r="AL4526">
        <v>-20.136943099999939</v>
      </c>
      <c r="AM4526">
        <v>-44.872411407897907</v>
      </c>
      <c r="AN4526">
        <v>-20.136943099999939</v>
      </c>
      <c r="AO4526">
        <v>-44.872411407897907</v>
      </c>
      <c r="AP4526">
        <v>-20.136811999999999</v>
      </c>
      <c r="AQ4526">
        <v>-44.872388000000001</v>
      </c>
      <c r="AR4526">
        <v>14.79769012694347</v>
      </c>
      <c r="AS4526" t="s">
        <v>65</v>
      </c>
      <c r="AT4526">
        <v>1</v>
      </c>
      <c r="AU4526" t="s">
        <v>1102</v>
      </c>
      <c r="AV4526" t="s">
        <v>1103</v>
      </c>
      <c r="AW4526" t="s">
        <v>60</v>
      </c>
      <c r="AX4526" t="s">
        <v>68</v>
      </c>
      <c r="AY4526" t="s">
        <v>69</v>
      </c>
      <c r="AZ4526" t="b">
        <v>1</v>
      </c>
    </row>
    <row r="4527" spans="1:52" x14ac:dyDescent="0.3">
      <c r="A4527" t="s">
        <v>52</v>
      </c>
      <c r="B4527" t="s">
        <v>53</v>
      </c>
      <c r="C4527" t="s">
        <v>54</v>
      </c>
      <c r="D4527" t="s">
        <v>55</v>
      </c>
      <c r="E4527" t="s">
        <v>2223</v>
      </c>
      <c r="F4527" t="s">
        <v>190</v>
      </c>
      <c r="G4527" t="s">
        <v>1906</v>
      </c>
      <c r="H4527" t="s">
        <v>1907</v>
      </c>
      <c r="I4527" t="s">
        <v>1907</v>
      </c>
      <c r="J4527" t="s">
        <v>60</v>
      </c>
      <c r="K4527" t="s">
        <v>362</v>
      </c>
      <c r="L4527" t="s">
        <v>62</v>
      </c>
      <c r="M4527" t="s">
        <v>362</v>
      </c>
      <c r="N4527" t="s">
        <v>1908</v>
      </c>
      <c r="O4527" t="s">
        <v>1909</v>
      </c>
      <c r="P4527">
        <v>-20.138714</v>
      </c>
      <c r="Q4527">
        <v>-44.872736000000003</v>
      </c>
      <c r="R4527" s="2" t="str">
        <f>HYPERLINK("https://www.google.com/maps?q=-20.1387140,-44.8727360","Abrir no Google Maps")</f>
        <v>Abrir no Google Maps</v>
      </c>
      <c r="S4527">
        <v>3</v>
      </c>
      <c r="T4527">
        <v>204.03161929799671</v>
      </c>
      <c r="U4527">
        <v>4</v>
      </c>
      <c r="V4527">
        <v>0.14494973767471661</v>
      </c>
      <c r="W4527">
        <v>0.85</v>
      </c>
      <c r="X4527">
        <v>0.1232072770235091</v>
      </c>
      <c r="Y4527">
        <v>332</v>
      </c>
      <c r="Z4527">
        <v>318.98956929839972</v>
      </c>
      <c r="AA4527">
        <v>198</v>
      </c>
      <c r="AB4527">
        <v>332</v>
      </c>
      <c r="AC4527">
        <v>536</v>
      </c>
      <c r="AD4527">
        <v>30.35</v>
      </c>
      <c r="AE4527">
        <v>542</v>
      </c>
      <c r="AF4527">
        <v>37</v>
      </c>
      <c r="AG4527">
        <v>161</v>
      </c>
      <c r="AH4527">
        <v>129</v>
      </c>
      <c r="AI4527">
        <v>6.83</v>
      </c>
      <c r="AJ4527">
        <v>29.7</v>
      </c>
      <c r="AK4527">
        <v>23.8</v>
      </c>
      <c r="AL4527">
        <v>-20.138752749999949</v>
      </c>
      <c r="AM4527">
        <v>-44.872785060765217</v>
      </c>
      <c r="AN4527">
        <v>-20.138752749999949</v>
      </c>
      <c r="AO4527">
        <v>-44.872785060765217</v>
      </c>
      <c r="AP4527">
        <v>-20.138714</v>
      </c>
      <c r="AQ4527">
        <v>-44.872736000000003</v>
      </c>
      <c r="AR4527">
        <v>6.7006900304588592</v>
      </c>
      <c r="AS4527" t="s">
        <v>65</v>
      </c>
      <c r="AT4527">
        <v>1</v>
      </c>
      <c r="AU4527" t="s">
        <v>1910</v>
      </c>
      <c r="AV4527" t="s">
        <v>1911</v>
      </c>
      <c r="AW4527" t="s">
        <v>60</v>
      </c>
      <c r="AX4527" t="s">
        <v>68</v>
      </c>
      <c r="AY4527" t="s">
        <v>69</v>
      </c>
      <c r="AZ4527" t="b">
        <v>1</v>
      </c>
    </row>
    <row r="4528" spans="1:52" x14ac:dyDescent="0.3">
      <c r="A4528" t="s">
        <v>52</v>
      </c>
      <c r="B4528" t="s">
        <v>53</v>
      </c>
      <c r="C4528" t="s">
        <v>54</v>
      </c>
      <c r="D4528" t="s">
        <v>55</v>
      </c>
      <c r="E4528" t="s">
        <v>2223</v>
      </c>
      <c r="F4528" t="s">
        <v>190</v>
      </c>
      <c r="G4528" t="s">
        <v>1109</v>
      </c>
      <c r="H4528" t="s">
        <v>1110</v>
      </c>
      <c r="I4528" t="s">
        <v>1110</v>
      </c>
      <c r="J4528" t="s">
        <v>60</v>
      </c>
      <c r="K4528" t="s">
        <v>768</v>
      </c>
      <c r="L4528" t="s">
        <v>62</v>
      </c>
      <c r="M4528" t="s">
        <v>768</v>
      </c>
      <c r="N4528" t="s">
        <v>1111</v>
      </c>
      <c r="O4528" t="s">
        <v>1112</v>
      </c>
      <c r="P4528">
        <v>-20.135508000000002</v>
      </c>
      <c r="Q4528">
        <v>-44.871786999999998</v>
      </c>
      <c r="R4528" s="2" t="str">
        <f>HYPERLINK("https://www.google.com/maps?q=-20.1355080,-44.8717870","Abrir no Google Maps")</f>
        <v>Abrir no Google Maps</v>
      </c>
      <c r="S4528">
        <v>3</v>
      </c>
      <c r="T4528">
        <v>167.5382405548801</v>
      </c>
      <c r="U4528">
        <v>4</v>
      </c>
      <c r="V4528">
        <v>0.12979631158821911</v>
      </c>
      <c r="W4528">
        <v>1</v>
      </c>
      <c r="X4528">
        <v>0.12979631158821911</v>
      </c>
      <c r="Y4528">
        <v>332</v>
      </c>
      <c r="Z4528">
        <v>179.76671916562941</v>
      </c>
      <c r="AA4528">
        <v>198</v>
      </c>
      <c r="AB4528">
        <v>332</v>
      </c>
      <c r="AC4528">
        <v>536</v>
      </c>
      <c r="AD4528">
        <v>30.35</v>
      </c>
      <c r="AE4528">
        <v>542</v>
      </c>
      <c r="AF4528">
        <v>37</v>
      </c>
      <c r="AG4528">
        <v>161</v>
      </c>
      <c r="AH4528">
        <v>129</v>
      </c>
      <c r="AI4528">
        <v>6.83</v>
      </c>
      <c r="AJ4528">
        <v>29.7</v>
      </c>
      <c r="AK4528">
        <v>23.8</v>
      </c>
      <c r="AL4528">
        <v>-20.135532899999959</v>
      </c>
      <c r="AM4528">
        <v>-44.871828172735903</v>
      </c>
      <c r="AN4528">
        <v>-20.135532899999959</v>
      </c>
      <c r="AO4528">
        <v>-44.871828172735903</v>
      </c>
      <c r="AP4528">
        <v>-20.135508000000002</v>
      </c>
      <c r="AQ4528">
        <v>-44.871786999999998</v>
      </c>
      <c r="AR4528">
        <v>5.1186859635787858</v>
      </c>
      <c r="AS4528" t="s">
        <v>65</v>
      </c>
      <c r="AT4528">
        <v>1</v>
      </c>
      <c r="AU4528" t="s">
        <v>1113</v>
      </c>
      <c r="AV4528" t="s">
        <v>1114</v>
      </c>
      <c r="AW4528" t="s">
        <v>60</v>
      </c>
      <c r="AX4528" t="s">
        <v>68</v>
      </c>
      <c r="AY4528" t="s">
        <v>69</v>
      </c>
      <c r="AZ4528" t="b">
        <v>1</v>
      </c>
    </row>
    <row r="4529" spans="1:52" x14ac:dyDescent="0.3">
      <c r="A4529" t="s">
        <v>52</v>
      </c>
      <c r="B4529" t="s">
        <v>53</v>
      </c>
      <c r="C4529" t="s">
        <v>54</v>
      </c>
      <c r="D4529" t="s">
        <v>55</v>
      </c>
      <c r="E4529" t="s">
        <v>2223</v>
      </c>
      <c r="F4529" t="s">
        <v>190</v>
      </c>
      <c r="G4529" t="s">
        <v>1757</v>
      </c>
      <c r="H4529" t="s">
        <v>1758</v>
      </c>
      <c r="I4529" t="s">
        <v>1758</v>
      </c>
      <c r="J4529" t="s">
        <v>60</v>
      </c>
      <c r="K4529" t="s">
        <v>362</v>
      </c>
      <c r="L4529" t="s">
        <v>62</v>
      </c>
      <c r="M4529" t="s">
        <v>362</v>
      </c>
      <c r="N4529" t="s">
        <v>1759</v>
      </c>
      <c r="O4529" t="s">
        <v>1760</v>
      </c>
      <c r="P4529">
        <v>-20.140051</v>
      </c>
      <c r="Q4529">
        <v>-44.871685999999997</v>
      </c>
      <c r="R4529" s="2" t="str">
        <f>HYPERLINK("https://www.google.com/maps?q=-20.1400510,-44.8716860","Abrir no Google Maps")</f>
        <v>Abrir no Google Maps</v>
      </c>
      <c r="S4529">
        <v>3</v>
      </c>
      <c r="T4529">
        <v>352.31744538617551</v>
      </c>
      <c r="U4529">
        <v>4</v>
      </c>
      <c r="V4529">
        <v>0.15923382534796221</v>
      </c>
      <c r="W4529">
        <v>0.85</v>
      </c>
      <c r="X4529">
        <v>0.13534875154576789</v>
      </c>
      <c r="Y4529">
        <v>332</v>
      </c>
      <c r="Z4529">
        <v>504.25252355351739</v>
      </c>
      <c r="AA4529">
        <v>198</v>
      </c>
      <c r="AB4529">
        <v>332</v>
      </c>
      <c r="AC4529">
        <v>536</v>
      </c>
      <c r="AD4529">
        <v>30.35</v>
      </c>
      <c r="AE4529">
        <v>542</v>
      </c>
      <c r="AF4529">
        <v>37</v>
      </c>
      <c r="AG4529">
        <v>161</v>
      </c>
      <c r="AH4529">
        <v>129</v>
      </c>
      <c r="AI4529">
        <v>6.83</v>
      </c>
      <c r="AJ4529">
        <v>29.7</v>
      </c>
      <c r="AK4529">
        <v>23.8</v>
      </c>
      <c r="AL4529">
        <v>-20.140052049999959</v>
      </c>
      <c r="AM4529">
        <v>-44.871685093874923</v>
      </c>
      <c r="AN4529">
        <v>-20.140052049999959</v>
      </c>
      <c r="AO4529">
        <v>-44.871685093874909</v>
      </c>
      <c r="AP4529">
        <v>-20.140051</v>
      </c>
      <c r="AQ4529">
        <v>-44.871685999999997</v>
      </c>
      <c r="AR4529">
        <v>0.1504354058892336</v>
      </c>
      <c r="AS4529" t="s">
        <v>65</v>
      </c>
      <c r="AT4529">
        <v>1</v>
      </c>
      <c r="AU4529" t="s">
        <v>1761</v>
      </c>
      <c r="AV4529" t="s">
        <v>1762</v>
      </c>
      <c r="AW4529" t="s">
        <v>60</v>
      </c>
      <c r="AX4529" t="s">
        <v>68</v>
      </c>
      <c r="AY4529" t="s">
        <v>69</v>
      </c>
      <c r="AZ4529" t="b">
        <v>1</v>
      </c>
    </row>
    <row r="4530" spans="1:52" x14ac:dyDescent="0.3">
      <c r="A4530" t="s">
        <v>52</v>
      </c>
      <c r="B4530" t="s">
        <v>53</v>
      </c>
      <c r="C4530" t="s">
        <v>54</v>
      </c>
      <c r="D4530" t="s">
        <v>55</v>
      </c>
      <c r="E4530" t="s">
        <v>2223</v>
      </c>
      <c r="F4530" t="s">
        <v>190</v>
      </c>
      <c r="G4530" t="s">
        <v>1127</v>
      </c>
      <c r="H4530" t="s">
        <v>1128</v>
      </c>
      <c r="I4530" t="s">
        <v>1128</v>
      </c>
      <c r="J4530" t="s">
        <v>60</v>
      </c>
      <c r="K4530" t="s">
        <v>1129</v>
      </c>
      <c r="L4530" t="s">
        <v>62</v>
      </c>
      <c r="M4530" t="s">
        <v>1129</v>
      </c>
      <c r="N4530" t="s">
        <v>1130</v>
      </c>
      <c r="O4530" t="s">
        <v>357</v>
      </c>
      <c r="P4530">
        <v>-20.106638</v>
      </c>
      <c r="Q4530">
        <v>-44.883538000000001</v>
      </c>
      <c r="R4530" s="2" t="str">
        <f>HYPERLINK("https://www.google.com/maps?q=-20.1066380,-44.8835380","Abrir no Google Maps")</f>
        <v>Abrir no Google Maps</v>
      </c>
      <c r="S4530">
        <v>3</v>
      </c>
      <c r="T4530">
        <v>754.03514396665969</v>
      </c>
      <c r="U4530">
        <v>4</v>
      </c>
      <c r="V4530">
        <v>0.12530852592099809</v>
      </c>
      <c r="W4530">
        <v>1</v>
      </c>
      <c r="X4530">
        <v>0.12530852592099809</v>
      </c>
      <c r="Y4530">
        <v>314</v>
      </c>
      <c r="Z4530">
        <v>584.1161650721092</v>
      </c>
      <c r="AA4530">
        <v>198</v>
      </c>
      <c r="AB4530">
        <v>332</v>
      </c>
      <c r="AC4530">
        <v>536</v>
      </c>
      <c r="AD4530">
        <v>30.35</v>
      </c>
      <c r="AE4530">
        <v>542</v>
      </c>
      <c r="AF4530">
        <v>37</v>
      </c>
      <c r="AG4530">
        <v>161</v>
      </c>
      <c r="AH4530">
        <v>129</v>
      </c>
      <c r="AI4530">
        <v>6.83</v>
      </c>
      <c r="AJ4530">
        <v>29.7</v>
      </c>
      <c r="AK4530">
        <v>23.8</v>
      </c>
      <c r="AL4530">
        <v>-20.106599599999949</v>
      </c>
      <c r="AM4530">
        <v>-44.883527947279568</v>
      </c>
      <c r="AN4530">
        <v>-20.106599599999949</v>
      </c>
      <c r="AO4530">
        <v>-44.883527947279568</v>
      </c>
      <c r="AP4530">
        <v>-20.106638</v>
      </c>
      <c r="AQ4530">
        <v>-44.883538000000001</v>
      </c>
      <c r="AR4530">
        <v>4.4019630384815924</v>
      </c>
      <c r="AS4530" t="s">
        <v>65</v>
      </c>
      <c r="AT4530">
        <v>1</v>
      </c>
      <c r="AU4530" t="s">
        <v>1131</v>
      </c>
      <c r="AV4530" t="s">
        <v>1132</v>
      </c>
      <c r="AW4530" t="s">
        <v>60</v>
      </c>
      <c r="AX4530" t="s">
        <v>68</v>
      </c>
      <c r="AY4530" t="s">
        <v>69</v>
      </c>
      <c r="AZ4530" t="b">
        <v>1</v>
      </c>
    </row>
    <row r="4531" spans="1:52" x14ac:dyDescent="0.3">
      <c r="A4531" t="s">
        <v>52</v>
      </c>
      <c r="B4531" t="s">
        <v>53</v>
      </c>
      <c r="C4531" t="s">
        <v>54</v>
      </c>
      <c r="D4531" t="s">
        <v>55</v>
      </c>
      <c r="E4531" t="s">
        <v>2223</v>
      </c>
      <c r="F4531" t="s">
        <v>190</v>
      </c>
      <c r="G4531" t="s">
        <v>1138</v>
      </c>
      <c r="H4531" t="s">
        <v>1139</v>
      </c>
      <c r="I4531" t="s">
        <v>1139</v>
      </c>
      <c r="J4531" t="s">
        <v>60</v>
      </c>
      <c r="K4531" t="s">
        <v>1140</v>
      </c>
      <c r="L4531" t="s">
        <v>62</v>
      </c>
      <c r="M4531" t="s">
        <v>1140</v>
      </c>
      <c r="N4531" t="s">
        <v>1141</v>
      </c>
      <c r="O4531" t="s">
        <v>293</v>
      </c>
      <c r="P4531">
        <v>-20.103041999999999</v>
      </c>
      <c r="Q4531">
        <v>-44.882694999999998</v>
      </c>
      <c r="R4531" s="2" t="str">
        <f>HYPERLINK("https://www.google.com/maps?q=-20.1030420,-44.8826950","Abrir no Google Maps")</f>
        <v>Abrir no Google Maps</v>
      </c>
      <c r="S4531">
        <v>3</v>
      </c>
      <c r="T4531">
        <v>764.07293048598467</v>
      </c>
      <c r="U4531">
        <v>4</v>
      </c>
      <c r="V4531">
        <v>0.1247283806263103</v>
      </c>
      <c r="W4531">
        <v>1</v>
      </c>
      <c r="X4531">
        <v>0.1247283806263103</v>
      </c>
      <c r="Y4531">
        <v>314</v>
      </c>
      <c r="Z4531">
        <v>696.03268335706969</v>
      </c>
      <c r="AA4531">
        <v>198</v>
      </c>
      <c r="AB4531">
        <v>332</v>
      </c>
      <c r="AC4531">
        <v>536</v>
      </c>
      <c r="AD4531">
        <v>30.35</v>
      </c>
      <c r="AE4531">
        <v>542</v>
      </c>
      <c r="AF4531">
        <v>37</v>
      </c>
      <c r="AG4531">
        <v>161</v>
      </c>
      <c r="AH4531">
        <v>129</v>
      </c>
      <c r="AI4531">
        <v>6.83</v>
      </c>
      <c r="AJ4531">
        <v>29.7</v>
      </c>
      <c r="AK4531">
        <v>23.8</v>
      </c>
      <c r="AL4531">
        <v>-20.10298734999995</v>
      </c>
      <c r="AM4531">
        <v>-44.882802925792483</v>
      </c>
      <c r="AN4531">
        <v>-20.10298734999995</v>
      </c>
      <c r="AO4531">
        <v>-44.882802925792483</v>
      </c>
      <c r="AP4531">
        <v>-20.103041999999999</v>
      </c>
      <c r="AQ4531">
        <v>-44.882694999999998</v>
      </c>
      <c r="AR4531">
        <v>12.8180317775525</v>
      </c>
      <c r="AS4531" t="s">
        <v>65</v>
      </c>
      <c r="AT4531">
        <v>1</v>
      </c>
      <c r="AU4531" t="s">
        <v>1142</v>
      </c>
      <c r="AV4531" t="s">
        <v>1143</v>
      </c>
      <c r="AW4531" t="s">
        <v>60</v>
      </c>
      <c r="AX4531" t="s">
        <v>68</v>
      </c>
      <c r="AY4531" t="s">
        <v>69</v>
      </c>
      <c r="AZ4531" t="b">
        <v>1</v>
      </c>
    </row>
    <row r="4532" spans="1:52" x14ac:dyDescent="0.3">
      <c r="A4532" t="s">
        <v>52</v>
      </c>
      <c r="B4532" t="s">
        <v>53</v>
      </c>
      <c r="C4532" t="s">
        <v>54</v>
      </c>
      <c r="D4532" t="s">
        <v>55</v>
      </c>
      <c r="E4532" t="s">
        <v>2223</v>
      </c>
      <c r="F4532" t="s">
        <v>190</v>
      </c>
      <c r="G4532" t="s">
        <v>1147</v>
      </c>
      <c r="H4532" t="s">
        <v>1148</v>
      </c>
      <c r="I4532" t="s">
        <v>1148</v>
      </c>
      <c r="J4532" t="s">
        <v>60</v>
      </c>
      <c r="K4532" t="s">
        <v>798</v>
      </c>
      <c r="L4532" t="s">
        <v>62</v>
      </c>
      <c r="M4532" t="s">
        <v>798</v>
      </c>
      <c r="N4532" t="s">
        <v>1149</v>
      </c>
      <c r="O4532" t="s">
        <v>836</v>
      </c>
      <c r="P4532">
        <v>-20.112448000000001</v>
      </c>
      <c r="Q4532">
        <v>-44.904887000000002</v>
      </c>
      <c r="R4532" s="2" t="str">
        <f>HYPERLINK("https://www.google.com/maps?q=-20.1124480,-44.9048870","Abrir no Google Maps")</f>
        <v>Abrir no Google Maps</v>
      </c>
      <c r="S4532">
        <v>3</v>
      </c>
      <c r="T4532">
        <v>404.16588765758058</v>
      </c>
      <c r="U4532">
        <v>4</v>
      </c>
      <c r="V4532">
        <v>0.1250231801350728</v>
      </c>
      <c r="W4532">
        <v>1</v>
      </c>
      <c r="X4532">
        <v>0.1250231801350728</v>
      </c>
      <c r="Y4532">
        <v>300</v>
      </c>
      <c r="Z4532">
        <v>435.21165957304731</v>
      </c>
      <c r="AA4532">
        <v>198</v>
      </c>
      <c r="AB4532">
        <v>332</v>
      </c>
      <c r="AC4532">
        <v>536</v>
      </c>
      <c r="AD4532">
        <v>30.35</v>
      </c>
      <c r="AE4532">
        <v>542</v>
      </c>
      <c r="AF4532">
        <v>37</v>
      </c>
      <c r="AG4532">
        <v>161</v>
      </c>
      <c r="AH4532">
        <v>129</v>
      </c>
      <c r="AI4532">
        <v>6.83</v>
      </c>
      <c r="AJ4532">
        <v>29.7</v>
      </c>
      <c r="AK4532">
        <v>23.8</v>
      </c>
      <c r="AL4532">
        <v>-20.11243479999996</v>
      </c>
      <c r="AM4532">
        <v>-44.904803228053026</v>
      </c>
      <c r="AN4532">
        <v>-20.11243479999996</v>
      </c>
      <c r="AO4532">
        <v>-44.904803228053026</v>
      </c>
      <c r="AP4532">
        <v>-20.112448000000001</v>
      </c>
      <c r="AQ4532">
        <v>-44.904887000000002</v>
      </c>
      <c r="AR4532">
        <v>8.8792525353759544</v>
      </c>
      <c r="AS4532" t="s">
        <v>65</v>
      </c>
      <c r="AT4532">
        <v>1</v>
      </c>
      <c r="AU4532" t="s">
        <v>1150</v>
      </c>
      <c r="AV4532" t="s">
        <v>1151</v>
      </c>
      <c r="AW4532" t="s">
        <v>60</v>
      </c>
      <c r="AX4532" t="s">
        <v>68</v>
      </c>
      <c r="AY4532" t="s">
        <v>69</v>
      </c>
      <c r="AZ4532" t="b">
        <v>1</v>
      </c>
    </row>
    <row r="4533" spans="1:52" x14ac:dyDescent="0.3">
      <c r="A4533" t="s">
        <v>52</v>
      </c>
      <c r="B4533" t="s">
        <v>53</v>
      </c>
      <c r="C4533" t="s">
        <v>54</v>
      </c>
      <c r="D4533" t="s">
        <v>55</v>
      </c>
      <c r="E4533" t="s">
        <v>2223</v>
      </c>
      <c r="F4533" t="s">
        <v>190</v>
      </c>
      <c r="G4533" t="s">
        <v>1152</v>
      </c>
      <c r="H4533" t="s">
        <v>1153</v>
      </c>
      <c r="I4533" t="s">
        <v>1153</v>
      </c>
      <c r="J4533" t="s">
        <v>60</v>
      </c>
      <c r="K4533" t="s">
        <v>798</v>
      </c>
      <c r="L4533" t="s">
        <v>62</v>
      </c>
      <c r="M4533" t="s">
        <v>798</v>
      </c>
      <c r="N4533" t="s">
        <v>1154</v>
      </c>
      <c r="O4533" t="s">
        <v>293</v>
      </c>
      <c r="P4533">
        <v>-20.112477999999999</v>
      </c>
      <c r="Q4533">
        <v>-44.903066000000003</v>
      </c>
      <c r="R4533" s="2" t="str">
        <f>HYPERLINK("https://www.google.com/maps?q=-20.1124780,-44.9030660","Abrir no Google Maps")</f>
        <v>Abrir no Google Maps</v>
      </c>
      <c r="S4533">
        <v>3</v>
      </c>
      <c r="T4533">
        <v>246.8131690803576</v>
      </c>
      <c r="U4533">
        <v>4</v>
      </c>
      <c r="V4533">
        <v>0.1226257081002165</v>
      </c>
      <c r="W4533">
        <v>1</v>
      </c>
      <c r="X4533">
        <v>0.1226257081002165</v>
      </c>
      <c r="Y4533">
        <v>300</v>
      </c>
      <c r="Z4533">
        <v>335.63974056009812</v>
      </c>
      <c r="AA4533">
        <v>198</v>
      </c>
      <c r="AB4533">
        <v>332</v>
      </c>
      <c r="AC4533">
        <v>536</v>
      </c>
      <c r="AD4533">
        <v>30.35</v>
      </c>
      <c r="AE4533">
        <v>542</v>
      </c>
      <c r="AF4533">
        <v>37</v>
      </c>
      <c r="AG4533">
        <v>161</v>
      </c>
      <c r="AH4533">
        <v>129</v>
      </c>
      <c r="AI4533">
        <v>6.83</v>
      </c>
      <c r="AJ4533">
        <v>29.7</v>
      </c>
      <c r="AK4533">
        <v>23.8</v>
      </c>
      <c r="AL4533">
        <v>-20.112499949999972</v>
      </c>
      <c r="AM4533">
        <v>-44.903143791889391</v>
      </c>
      <c r="AN4533">
        <v>-20.112499949999972</v>
      </c>
      <c r="AO4533">
        <v>-44.903143791889391</v>
      </c>
      <c r="AP4533">
        <v>-20.112477999999999</v>
      </c>
      <c r="AQ4533">
        <v>-44.903066000000003</v>
      </c>
      <c r="AR4533">
        <v>8.4908959019572912</v>
      </c>
      <c r="AS4533" t="s">
        <v>65</v>
      </c>
      <c r="AT4533">
        <v>1</v>
      </c>
      <c r="AU4533" t="s">
        <v>1155</v>
      </c>
      <c r="AV4533" t="s">
        <v>1156</v>
      </c>
      <c r="AW4533" t="s">
        <v>60</v>
      </c>
      <c r="AX4533" t="s">
        <v>68</v>
      </c>
      <c r="AY4533" t="s">
        <v>69</v>
      </c>
      <c r="AZ4533" t="b">
        <v>1</v>
      </c>
    </row>
    <row r="4534" spans="1:52" x14ac:dyDescent="0.3">
      <c r="A4534" t="s">
        <v>52</v>
      </c>
      <c r="B4534" t="s">
        <v>53</v>
      </c>
      <c r="C4534" t="s">
        <v>54</v>
      </c>
      <c r="D4534" t="s">
        <v>55</v>
      </c>
      <c r="E4534" t="s">
        <v>2223</v>
      </c>
      <c r="F4534" t="s">
        <v>190</v>
      </c>
      <c r="G4534" t="s">
        <v>1769</v>
      </c>
      <c r="H4534" t="s">
        <v>1770</v>
      </c>
      <c r="I4534" t="s">
        <v>1770</v>
      </c>
      <c r="J4534" t="s">
        <v>60</v>
      </c>
      <c r="K4534" t="s">
        <v>791</v>
      </c>
      <c r="L4534" t="s">
        <v>62</v>
      </c>
      <c r="M4534" t="s">
        <v>791</v>
      </c>
      <c r="N4534" t="s">
        <v>1771</v>
      </c>
      <c r="O4534" t="s">
        <v>494</v>
      </c>
      <c r="P4534">
        <v>-20.108464999999999</v>
      </c>
      <c r="Q4534">
        <v>-44.902169000000001</v>
      </c>
      <c r="R4534" s="2" t="str">
        <f>HYPERLINK("https://www.google.com/maps?q=-20.1084650,-44.9021690","Abrir no Google Maps")</f>
        <v>Abrir no Google Maps</v>
      </c>
      <c r="S4534">
        <v>3</v>
      </c>
      <c r="T4534">
        <v>332.55452480320798</v>
      </c>
      <c r="U4534">
        <v>4</v>
      </c>
      <c r="V4534">
        <v>0.122044731117774</v>
      </c>
      <c r="W4534">
        <v>1</v>
      </c>
      <c r="X4534">
        <v>0.122044731117774</v>
      </c>
      <c r="Y4534">
        <v>300</v>
      </c>
      <c r="Z4534">
        <v>139.01495543278119</v>
      </c>
      <c r="AA4534">
        <v>198</v>
      </c>
      <c r="AB4534">
        <v>332</v>
      </c>
      <c r="AC4534">
        <v>536</v>
      </c>
      <c r="AD4534">
        <v>30.35</v>
      </c>
      <c r="AE4534">
        <v>542</v>
      </c>
      <c r="AF4534">
        <v>37</v>
      </c>
      <c r="AG4534">
        <v>161</v>
      </c>
      <c r="AH4534">
        <v>129</v>
      </c>
      <c r="AI4534">
        <v>6.83</v>
      </c>
      <c r="AJ4534">
        <v>29.7</v>
      </c>
      <c r="AK4534">
        <v>23.8</v>
      </c>
      <c r="AL4534">
        <v>-20.108420149999969</v>
      </c>
      <c r="AM4534">
        <v>-44.90164352007664</v>
      </c>
      <c r="AN4534">
        <v>-20.108420149999969</v>
      </c>
      <c r="AO4534">
        <v>-44.90164352007664</v>
      </c>
      <c r="AP4534">
        <v>-20.108464999999999</v>
      </c>
      <c r="AQ4534">
        <v>-44.902169000000001</v>
      </c>
      <c r="AR4534">
        <v>55.157130612493773</v>
      </c>
      <c r="AS4534" t="s">
        <v>65</v>
      </c>
      <c r="AT4534">
        <v>1</v>
      </c>
      <c r="AU4534" t="s">
        <v>1772</v>
      </c>
      <c r="AV4534" t="s">
        <v>1773</v>
      </c>
      <c r="AW4534" t="s">
        <v>60</v>
      </c>
      <c r="AX4534" t="s">
        <v>68</v>
      </c>
      <c r="AY4534" t="s">
        <v>69</v>
      </c>
      <c r="AZ4534" t="b">
        <v>1</v>
      </c>
    </row>
    <row r="4535" spans="1:52" x14ac:dyDescent="0.3">
      <c r="A4535" t="s">
        <v>52</v>
      </c>
      <c r="B4535" t="s">
        <v>53</v>
      </c>
      <c r="C4535" t="s">
        <v>54</v>
      </c>
      <c r="D4535" t="s">
        <v>55</v>
      </c>
      <c r="E4535" t="s">
        <v>2223</v>
      </c>
      <c r="F4535" t="s">
        <v>190</v>
      </c>
      <c r="G4535" t="s">
        <v>1163</v>
      </c>
      <c r="H4535" t="s">
        <v>1164</v>
      </c>
      <c r="I4535" t="s">
        <v>1164</v>
      </c>
      <c r="J4535" t="s">
        <v>60</v>
      </c>
      <c r="K4535" t="s">
        <v>1165</v>
      </c>
      <c r="L4535" t="s">
        <v>62</v>
      </c>
      <c r="M4535" t="s">
        <v>1165</v>
      </c>
      <c r="N4535" t="s">
        <v>1166</v>
      </c>
      <c r="O4535" t="s">
        <v>1167</v>
      </c>
      <c r="P4535">
        <v>-20.155543000000002</v>
      </c>
      <c r="Q4535">
        <v>-44.863444000000001</v>
      </c>
      <c r="R4535" s="2" t="str">
        <f>HYPERLINK("https://www.google.com/maps?q=-20.1555430,-44.8634440","Abrir no Google Maps")</f>
        <v>Abrir no Google Maps</v>
      </c>
      <c r="S4535">
        <v>3</v>
      </c>
      <c r="T4535">
        <v>314.02353400254742</v>
      </c>
      <c r="U4535">
        <v>4</v>
      </c>
      <c r="V4535">
        <v>0.1227972027972028</v>
      </c>
      <c r="W4535">
        <v>1</v>
      </c>
      <c r="X4535">
        <v>0.1227972027972028</v>
      </c>
      <c r="Y4535">
        <v>264</v>
      </c>
      <c r="Z4535">
        <v>282.65065866463459</v>
      </c>
      <c r="AA4535">
        <v>198</v>
      </c>
      <c r="AB4535">
        <v>332</v>
      </c>
      <c r="AC4535">
        <v>536</v>
      </c>
      <c r="AD4535">
        <v>30.35</v>
      </c>
      <c r="AE4535">
        <v>542</v>
      </c>
      <c r="AF4535">
        <v>37</v>
      </c>
      <c r="AG4535">
        <v>161</v>
      </c>
      <c r="AH4535">
        <v>129</v>
      </c>
      <c r="AI4535">
        <v>6.83</v>
      </c>
      <c r="AJ4535">
        <v>29.7</v>
      </c>
      <c r="AK4535">
        <v>23.8</v>
      </c>
      <c r="AL4535">
        <v>-20.155436449999939</v>
      </c>
      <c r="AM4535">
        <v>-44.863557722691183</v>
      </c>
      <c r="AN4535">
        <v>-20.155436449999939</v>
      </c>
      <c r="AO4535">
        <v>-44.863557722691183</v>
      </c>
      <c r="AP4535">
        <v>-20.155543000000002</v>
      </c>
      <c r="AQ4535">
        <v>-44.863444000000001</v>
      </c>
      <c r="AR4535">
        <v>16.790610674079979</v>
      </c>
      <c r="AS4535" t="s">
        <v>65</v>
      </c>
      <c r="AT4535">
        <v>1</v>
      </c>
      <c r="AU4535" t="s">
        <v>1168</v>
      </c>
      <c r="AV4535" t="s">
        <v>1169</v>
      </c>
      <c r="AW4535" t="s">
        <v>60</v>
      </c>
      <c r="AX4535" t="s">
        <v>68</v>
      </c>
      <c r="AY4535" t="s">
        <v>69</v>
      </c>
      <c r="AZ4535" t="b">
        <v>1</v>
      </c>
    </row>
    <row r="4536" spans="1:52" x14ac:dyDescent="0.3">
      <c r="A4536" t="s">
        <v>52</v>
      </c>
      <c r="B4536" t="s">
        <v>53</v>
      </c>
      <c r="C4536" t="s">
        <v>54</v>
      </c>
      <c r="D4536" t="s">
        <v>55</v>
      </c>
      <c r="E4536" t="s">
        <v>2223</v>
      </c>
      <c r="F4536" t="s">
        <v>190</v>
      </c>
      <c r="G4536" t="s">
        <v>1785</v>
      </c>
      <c r="H4536" t="s">
        <v>1786</v>
      </c>
      <c r="I4536" t="s">
        <v>1786</v>
      </c>
      <c r="J4536" t="s">
        <v>60</v>
      </c>
      <c r="K4536" t="s">
        <v>323</v>
      </c>
      <c r="L4536" t="s">
        <v>62</v>
      </c>
      <c r="M4536" t="s">
        <v>323</v>
      </c>
      <c r="N4536" t="s">
        <v>1787</v>
      </c>
      <c r="O4536" t="s">
        <v>166</v>
      </c>
      <c r="P4536">
        <v>-20.150456999999999</v>
      </c>
      <c r="Q4536">
        <v>-44.859959000000003</v>
      </c>
      <c r="R4536" s="2" t="str">
        <f>HYPERLINK("https://www.google.com/maps?q=-20.1504570,-44.8599590","Abrir no Google Maps")</f>
        <v>Abrir no Google Maps</v>
      </c>
      <c r="S4536">
        <v>3</v>
      </c>
      <c r="T4536">
        <v>658.64381182775185</v>
      </c>
      <c r="U4536">
        <v>4</v>
      </c>
      <c r="V4536">
        <v>0.1259906411788132</v>
      </c>
      <c r="W4536">
        <v>1</v>
      </c>
      <c r="X4536">
        <v>0.1259906411788132</v>
      </c>
      <c r="Y4536">
        <v>264</v>
      </c>
      <c r="Z4536">
        <v>516.83560872131818</v>
      </c>
      <c r="AA4536">
        <v>198</v>
      </c>
      <c r="AB4536">
        <v>332</v>
      </c>
      <c r="AC4536">
        <v>536</v>
      </c>
      <c r="AD4536">
        <v>30.35</v>
      </c>
      <c r="AE4536">
        <v>542</v>
      </c>
      <c r="AF4536">
        <v>37</v>
      </c>
      <c r="AG4536">
        <v>161</v>
      </c>
      <c r="AH4536">
        <v>129</v>
      </c>
      <c r="AI4536">
        <v>6.83</v>
      </c>
      <c r="AJ4536">
        <v>29.7</v>
      </c>
      <c r="AK4536">
        <v>23.8</v>
      </c>
      <c r="AL4536">
        <v>-20.150445899999969</v>
      </c>
      <c r="AM4536">
        <v>-44.860119388819953</v>
      </c>
      <c r="AN4536">
        <v>-20.150445899999969</v>
      </c>
      <c r="AO4536">
        <v>-44.860119388819953</v>
      </c>
      <c r="AP4536">
        <v>-20.150456999999999</v>
      </c>
      <c r="AQ4536">
        <v>-44.859959000000003</v>
      </c>
      <c r="AR4536">
        <v>16.807117810283469</v>
      </c>
      <c r="AS4536" t="s">
        <v>65</v>
      </c>
      <c r="AT4536">
        <v>1</v>
      </c>
      <c r="AU4536" t="s">
        <v>1788</v>
      </c>
      <c r="AV4536" t="s">
        <v>1789</v>
      </c>
      <c r="AW4536" t="s">
        <v>60</v>
      </c>
      <c r="AX4536" t="s">
        <v>68</v>
      </c>
      <c r="AY4536" t="s">
        <v>69</v>
      </c>
      <c r="AZ4536" t="b">
        <v>1</v>
      </c>
    </row>
    <row r="4537" spans="1:52" x14ac:dyDescent="0.3">
      <c r="A4537" t="s">
        <v>52</v>
      </c>
      <c r="B4537" t="s">
        <v>53</v>
      </c>
      <c r="C4537" t="s">
        <v>54</v>
      </c>
      <c r="D4537" t="s">
        <v>55</v>
      </c>
      <c r="E4537" t="s">
        <v>2223</v>
      </c>
      <c r="F4537" t="s">
        <v>190</v>
      </c>
      <c r="G4537" t="s">
        <v>815</v>
      </c>
      <c r="H4537" t="s">
        <v>816</v>
      </c>
      <c r="I4537" t="s">
        <v>816</v>
      </c>
      <c r="J4537" t="s">
        <v>60</v>
      </c>
      <c r="K4537" t="s">
        <v>805</v>
      </c>
      <c r="L4537" t="s">
        <v>62</v>
      </c>
      <c r="M4537" t="s">
        <v>805</v>
      </c>
      <c r="N4537" t="s">
        <v>817</v>
      </c>
      <c r="O4537" t="s">
        <v>818</v>
      </c>
      <c r="P4537">
        <v>-20.129894</v>
      </c>
      <c r="Q4537">
        <v>-44.886285000000001</v>
      </c>
      <c r="R4537" s="2" t="str">
        <f>HYPERLINK("https://www.google.com/maps?q=-20.1298940,-44.8862850","Abrir no Google Maps")</f>
        <v>Abrir no Google Maps</v>
      </c>
      <c r="S4537">
        <v>3</v>
      </c>
      <c r="T4537">
        <v>245.88570896460399</v>
      </c>
      <c r="U4537">
        <v>4</v>
      </c>
      <c r="V4537">
        <v>0.1365597035794183</v>
      </c>
      <c r="W4537">
        <v>1</v>
      </c>
      <c r="X4537">
        <v>0.1365597035794183</v>
      </c>
      <c r="Y4537">
        <v>259</v>
      </c>
      <c r="Z4537">
        <v>274.53833463725539</v>
      </c>
      <c r="AA4537">
        <v>198</v>
      </c>
      <c r="AB4537">
        <v>332</v>
      </c>
      <c r="AC4537">
        <v>536</v>
      </c>
      <c r="AD4537">
        <v>30.35</v>
      </c>
      <c r="AE4537">
        <v>542</v>
      </c>
      <c r="AF4537">
        <v>37</v>
      </c>
      <c r="AG4537">
        <v>161</v>
      </c>
      <c r="AH4537">
        <v>129</v>
      </c>
      <c r="AI4537">
        <v>6.83</v>
      </c>
      <c r="AJ4537">
        <v>29.7</v>
      </c>
      <c r="AK4537">
        <v>23.8</v>
      </c>
      <c r="AL4537">
        <v>-20.129900749999969</v>
      </c>
      <c r="AM4537">
        <v>-44.886258682425179</v>
      </c>
      <c r="AN4537">
        <v>-20.129900749999969</v>
      </c>
      <c r="AO4537">
        <v>-44.886258682425179</v>
      </c>
      <c r="AP4537">
        <v>-20.129894</v>
      </c>
      <c r="AQ4537">
        <v>-44.886285000000001</v>
      </c>
      <c r="AR4537">
        <v>2.851497427576585</v>
      </c>
      <c r="AS4537" t="s">
        <v>65</v>
      </c>
      <c r="AT4537">
        <v>1</v>
      </c>
      <c r="AU4537" t="s">
        <v>819</v>
      </c>
      <c r="AV4537" t="s">
        <v>814</v>
      </c>
      <c r="AW4537" t="s">
        <v>60</v>
      </c>
      <c r="AX4537" t="s">
        <v>68</v>
      </c>
      <c r="AY4537" t="s">
        <v>69</v>
      </c>
      <c r="AZ4537" t="b">
        <v>1</v>
      </c>
    </row>
    <row r="4538" spans="1:52" x14ac:dyDescent="0.3">
      <c r="A4538" t="s">
        <v>52</v>
      </c>
      <c r="B4538" t="s">
        <v>53</v>
      </c>
      <c r="C4538" t="s">
        <v>54</v>
      </c>
      <c r="D4538" t="s">
        <v>55</v>
      </c>
      <c r="E4538" t="s">
        <v>2223</v>
      </c>
      <c r="F4538" t="s">
        <v>190</v>
      </c>
      <c r="G4538" t="s">
        <v>1200</v>
      </c>
      <c r="H4538" t="s">
        <v>1201</v>
      </c>
      <c r="I4538" t="s">
        <v>1201</v>
      </c>
      <c r="J4538" t="s">
        <v>60</v>
      </c>
      <c r="K4538" t="s">
        <v>1202</v>
      </c>
      <c r="L4538" t="s">
        <v>62</v>
      </c>
      <c r="M4538" t="s">
        <v>1202</v>
      </c>
      <c r="N4538" t="s">
        <v>1203</v>
      </c>
      <c r="O4538" t="s">
        <v>710</v>
      </c>
      <c r="P4538">
        <v>-20.191745999999998</v>
      </c>
      <c r="Q4538">
        <v>-44.904957000000003</v>
      </c>
      <c r="R4538" s="2" t="str">
        <f>HYPERLINK("https://www.google.com/maps?q=-20.1917460,-44.9049570","Abrir no Google Maps")</f>
        <v>Abrir no Google Maps</v>
      </c>
      <c r="S4538">
        <v>3</v>
      </c>
      <c r="T4538">
        <v>882.9384716293963</v>
      </c>
      <c r="U4538">
        <v>4</v>
      </c>
      <c r="V4538">
        <v>0.1256737588652482</v>
      </c>
      <c r="W4538">
        <v>1</v>
      </c>
      <c r="X4538">
        <v>0.1256737588652482</v>
      </c>
      <c r="Y4538">
        <v>135</v>
      </c>
      <c r="Z4538">
        <v>802.45927673397398</v>
      </c>
      <c r="AA4538">
        <v>198</v>
      </c>
      <c r="AB4538">
        <v>332</v>
      </c>
      <c r="AC4538">
        <v>536</v>
      </c>
      <c r="AD4538">
        <v>30.35</v>
      </c>
      <c r="AE4538">
        <v>542</v>
      </c>
      <c r="AF4538">
        <v>37</v>
      </c>
      <c r="AG4538">
        <v>161</v>
      </c>
      <c r="AH4538">
        <v>129</v>
      </c>
      <c r="AI4538">
        <v>6.83</v>
      </c>
      <c r="AJ4538">
        <v>29.7</v>
      </c>
      <c r="AK4538">
        <v>23.8</v>
      </c>
      <c r="AL4538">
        <v>-20.19172654999997</v>
      </c>
      <c r="AM4538">
        <v>-44.904976932073851</v>
      </c>
      <c r="AN4538">
        <v>-20.19172654999997</v>
      </c>
      <c r="AO4538">
        <v>-44.904976932073851</v>
      </c>
      <c r="AP4538">
        <v>-20.191745999999998</v>
      </c>
      <c r="AQ4538">
        <v>-44.904957000000003</v>
      </c>
      <c r="AR4538">
        <v>3.004110632807953</v>
      </c>
      <c r="AS4538" t="s">
        <v>65</v>
      </c>
      <c r="AT4538">
        <v>1</v>
      </c>
      <c r="AU4538" t="s">
        <v>1204</v>
      </c>
      <c r="AV4538" t="s">
        <v>1205</v>
      </c>
      <c r="AW4538" t="s">
        <v>60</v>
      </c>
      <c r="AX4538" t="s">
        <v>68</v>
      </c>
      <c r="AY4538" t="s">
        <v>69</v>
      </c>
      <c r="AZ4538" t="b">
        <v>1</v>
      </c>
    </row>
    <row r="4539" spans="1:52" x14ac:dyDescent="0.3">
      <c r="A4539" t="s">
        <v>52</v>
      </c>
      <c r="B4539" t="s">
        <v>53</v>
      </c>
      <c r="C4539" t="s">
        <v>54</v>
      </c>
      <c r="D4539" t="s">
        <v>55</v>
      </c>
      <c r="E4539" t="s">
        <v>2223</v>
      </c>
      <c r="F4539" t="s">
        <v>190</v>
      </c>
      <c r="G4539" t="s">
        <v>820</v>
      </c>
      <c r="H4539" t="s">
        <v>821</v>
      </c>
      <c r="I4539" t="s">
        <v>821</v>
      </c>
      <c r="J4539" t="s">
        <v>60</v>
      </c>
      <c r="K4539" t="s">
        <v>822</v>
      </c>
      <c r="L4539" t="s">
        <v>62</v>
      </c>
      <c r="M4539" t="s">
        <v>822</v>
      </c>
      <c r="N4539" t="s">
        <v>823</v>
      </c>
      <c r="O4539" t="s">
        <v>187</v>
      </c>
      <c r="P4539">
        <v>-20.182960999999999</v>
      </c>
      <c r="Q4539">
        <v>-44.902512999999999</v>
      </c>
      <c r="R4539" s="2" t="str">
        <f>HYPERLINK("https://www.google.com/maps?q=-20.1829610,-44.9025130","Abrir no Google Maps")</f>
        <v>Abrir no Google Maps</v>
      </c>
      <c r="S4539">
        <v>3</v>
      </c>
      <c r="T4539">
        <v>908.09917748271926</v>
      </c>
      <c r="U4539">
        <v>4</v>
      </c>
      <c r="V4539">
        <v>0.1397118725788484</v>
      </c>
      <c r="W4539">
        <v>1</v>
      </c>
      <c r="X4539">
        <v>0.1397118725788484</v>
      </c>
      <c r="Y4539">
        <v>135</v>
      </c>
      <c r="Z4539">
        <v>562.42494356837676</v>
      </c>
      <c r="AA4539">
        <v>198</v>
      </c>
      <c r="AB4539">
        <v>332</v>
      </c>
      <c r="AC4539">
        <v>536</v>
      </c>
      <c r="AD4539">
        <v>30.35</v>
      </c>
      <c r="AE4539">
        <v>542</v>
      </c>
      <c r="AF4539">
        <v>37</v>
      </c>
      <c r="AG4539">
        <v>161</v>
      </c>
      <c r="AH4539">
        <v>129</v>
      </c>
      <c r="AI4539">
        <v>6.83</v>
      </c>
      <c r="AJ4539">
        <v>29.7</v>
      </c>
      <c r="AK4539">
        <v>23.8</v>
      </c>
      <c r="AL4539">
        <v>-20.18277184999997</v>
      </c>
      <c r="AM4539">
        <v>-44.902421436048833</v>
      </c>
      <c r="AN4539">
        <v>-20.18277184999997</v>
      </c>
      <c r="AO4539">
        <v>-44.902421436048833</v>
      </c>
      <c r="AP4539">
        <v>-20.182960999999999</v>
      </c>
      <c r="AQ4539">
        <v>-44.902512999999999</v>
      </c>
      <c r="AR4539">
        <v>23.127700959037089</v>
      </c>
      <c r="AS4539" t="s">
        <v>65</v>
      </c>
      <c r="AT4539">
        <v>1</v>
      </c>
      <c r="AU4539" t="s">
        <v>824</v>
      </c>
      <c r="AV4539" t="s">
        <v>825</v>
      </c>
      <c r="AW4539" t="s">
        <v>60</v>
      </c>
      <c r="AX4539" t="s">
        <v>68</v>
      </c>
      <c r="AY4539" t="s">
        <v>69</v>
      </c>
      <c r="AZ4539" t="b">
        <v>1</v>
      </c>
    </row>
    <row r="4540" spans="1:52" x14ac:dyDescent="0.3">
      <c r="A4540" t="s">
        <v>52</v>
      </c>
      <c r="B4540" t="s">
        <v>53</v>
      </c>
      <c r="C4540" t="s">
        <v>54</v>
      </c>
      <c r="D4540" t="s">
        <v>55</v>
      </c>
      <c r="E4540" t="s">
        <v>2223</v>
      </c>
      <c r="F4540" t="s">
        <v>190</v>
      </c>
      <c r="G4540" t="s">
        <v>1801</v>
      </c>
      <c r="H4540" t="s">
        <v>1802</v>
      </c>
      <c r="I4540" t="s">
        <v>1802</v>
      </c>
      <c r="J4540" t="s">
        <v>60</v>
      </c>
      <c r="K4540" t="s">
        <v>1803</v>
      </c>
      <c r="L4540" t="s">
        <v>62</v>
      </c>
      <c r="M4540" t="s">
        <v>1803</v>
      </c>
      <c r="N4540" t="s">
        <v>1804</v>
      </c>
      <c r="O4540" t="s">
        <v>1805</v>
      </c>
      <c r="P4540">
        <v>-20.131599000000001</v>
      </c>
      <c r="Q4540">
        <v>-44.839945</v>
      </c>
      <c r="R4540" s="2" t="str">
        <f>HYPERLINK("https://www.google.com/maps?q=-20.1315990,-44.8399450","Abrir no Google Maps")</f>
        <v>Abrir no Google Maps</v>
      </c>
      <c r="S4540">
        <v>3</v>
      </c>
      <c r="T4540">
        <v>480.67866935083049</v>
      </c>
      <c r="U4540">
        <v>4</v>
      </c>
      <c r="V4540">
        <v>0.1299779653991317</v>
      </c>
      <c r="W4540">
        <v>1</v>
      </c>
      <c r="X4540">
        <v>0.1299779653991317</v>
      </c>
      <c r="Y4540">
        <v>118</v>
      </c>
      <c r="Z4540">
        <v>505.26312452494989</v>
      </c>
      <c r="AA4540">
        <v>198</v>
      </c>
      <c r="AB4540">
        <v>332</v>
      </c>
      <c r="AC4540">
        <v>536</v>
      </c>
      <c r="AD4540">
        <v>30.35</v>
      </c>
      <c r="AE4540">
        <v>542</v>
      </c>
      <c r="AF4540">
        <v>37</v>
      </c>
      <c r="AG4540">
        <v>161</v>
      </c>
      <c r="AH4540">
        <v>129</v>
      </c>
      <c r="AI4540">
        <v>6.83</v>
      </c>
      <c r="AJ4540">
        <v>29.7</v>
      </c>
      <c r="AK4540">
        <v>23.8</v>
      </c>
      <c r="AL4540">
        <v>-20.131561999999949</v>
      </c>
      <c r="AM4540">
        <v>-44.839930272274998</v>
      </c>
      <c r="AN4540">
        <v>-20.131561999999949</v>
      </c>
      <c r="AO4540">
        <v>-44.839930272274998</v>
      </c>
      <c r="AP4540">
        <v>-20.131599000000001</v>
      </c>
      <c r="AQ4540">
        <v>-44.839945</v>
      </c>
      <c r="AR4540">
        <v>4.3970860299791923</v>
      </c>
      <c r="AS4540" t="s">
        <v>65</v>
      </c>
      <c r="AT4540">
        <v>1</v>
      </c>
      <c r="AU4540" t="s">
        <v>1806</v>
      </c>
      <c r="AV4540" t="s">
        <v>1807</v>
      </c>
      <c r="AW4540" t="s">
        <v>60</v>
      </c>
      <c r="AX4540" t="s">
        <v>68</v>
      </c>
      <c r="AY4540" t="s">
        <v>69</v>
      </c>
      <c r="AZ4540" t="b">
        <v>1</v>
      </c>
    </row>
    <row r="4541" spans="1:52" x14ac:dyDescent="0.3">
      <c r="A4541" t="s">
        <v>52</v>
      </c>
      <c r="B4541" t="s">
        <v>53</v>
      </c>
      <c r="C4541" t="s">
        <v>54</v>
      </c>
      <c r="D4541" t="s">
        <v>55</v>
      </c>
      <c r="E4541" t="s">
        <v>2223</v>
      </c>
      <c r="F4541" t="s">
        <v>190</v>
      </c>
      <c r="G4541" t="s">
        <v>1819</v>
      </c>
      <c r="H4541" t="s">
        <v>1820</v>
      </c>
      <c r="I4541" t="s">
        <v>1820</v>
      </c>
      <c r="J4541" t="s">
        <v>60</v>
      </c>
      <c r="K4541" t="s">
        <v>1821</v>
      </c>
      <c r="L4541" t="s">
        <v>62</v>
      </c>
      <c r="M4541" t="s">
        <v>1821</v>
      </c>
      <c r="N4541" t="s">
        <v>1822</v>
      </c>
      <c r="O4541" t="s">
        <v>250</v>
      </c>
      <c r="P4541">
        <v>-20.206074999999998</v>
      </c>
      <c r="Q4541">
        <v>-44.923881999999999</v>
      </c>
      <c r="R4541" s="2" t="str">
        <f>HYPERLINK("https://www.google.com/maps?q=-20.2060750,-44.9238820","Abrir no Google Maps")</f>
        <v>Abrir no Google Maps</v>
      </c>
      <c r="S4541">
        <v>3</v>
      </c>
      <c r="T4541">
        <v>2167.614130207975</v>
      </c>
      <c r="U4541">
        <v>4</v>
      </c>
      <c r="V4541">
        <v>0.14949784139968189</v>
      </c>
      <c r="W4541">
        <v>1</v>
      </c>
      <c r="X4541">
        <v>0.14949784139968189</v>
      </c>
      <c r="Y4541">
        <v>113</v>
      </c>
      <c r="Z4541">
        <v>2279.572967498636</v>
      </c>
      <c r="AA4541">
        <v>198</v>
      </c>
      <c r="AB4541">
        <v>332</v>
      </c>
      <c r="AC4541">
        <v>536</v>
      </c>
      <c r="AD4541">
        <v>30.35</v>
      </c>
      <c r="AE4541">
        <v>542</v>
      </c>
      <c r="AF4541">
        <v>37</v>
      </c>
      <c r="AG4541">
        <v>161</v>
      </c>
      <c r="AH4541">
        <v>129</v>
      </c>
      <c r="AI4541">
        <v>6.83</v>
      </c>
      <c r="AJ4541">
        <v>29.7</v>
      </c>
      <c r="AK4541">
        <v>23.8</v>
      </c>
      <c r="AL4541">
        <v>-20.206031099999961</v>
      </c>
      <c r="AM4541">
        <v>-44.923641529947623</v>
      </c>
      <c r="AN4541">
        <v>-20.206031099999961</v>
      </c>
      <c r="AO4541">
        <v>-44.923641529947623</v>
      </c>
      <c r="AP4541">
        <v>-20.206074999999998</v>
      </c>
      <c r="AQ4541">
        <v>-44.923881999999999</v>
      </c>
      <c r="AR4541">
        <v>25.59258324329182</v>
      </c>
      <c r="AS4541" t="s">
        <v>65</v>
      </c>
      <c r="AT4541">
        <v>1</v>
      </c>
      <c r="AU4541" t="s">
        <v>1823</v>
      </c>
      <c r="AV4541" t="s">
        <v>1824</v>
      </c>
      <c r="AW4541" t="s">
        <v>60</v>
      </c>
      <c r="AX4541" t="s">
        <v>68</v>
      </c>
      <c r="AY4541" t="s">
        <v>69</v>
      </c>
      <c r="AZ4541" t="b">
        <v>1</v>
      </c>
    </row>
    <row r="4542" spans="1:52" x14ac:dyDescent="0.3">
      <c r="A4542" t="s">
        <v>52</v>
      </c>
      <c r="B4542" t="s">
        <v>53</v>
      </c>
      <c r="C4542" t="s">
        <v>54</v>
      </c>
      <c r="D4542" t="s">
        <v>55</v>
      </c>
      <c r="E4542" t="s">
        <v>2223</v>
      </c>
      <c r="F4542" t="s">
        <v>190</v>
      </c>
      <c r="G4542" t="s">
        <v>1825</v>
      </c>
      <c r="H4542" t="s">
        <v>1826</v>
      </c>
      <c r="I4542" t="s">
        <v>1826</v>
      </c>
      <c r="J4542" t="s">
        <v>60</v>
      </c>
      <c r="K4542" t="s">
        <v>1821</v>
      </c>
      <c r="L4542" t="s">
        <v>62</v>
      </c>
      <c r="M4542" t="s">
        <v>1821</v>
      </c>
      <c r="N4542" t="s">
        <v>1827</v>
      </c>
      <c r="O4542" t="s">
        <v>303</v>
      </c>
      <c r="P4542">
        <v>-20.209962000000001</v>
      </c>
      <c r="Q4542">
        <v>-44.922398000000001</v>
      </c>
      <c r="R4542" s="2" t="str">
        <f>HYPERLINK("https://www.google.com/maps?q=-20.2099620,-44.9223980","Abrir no Google Maps")</f>
        <v>Abrir no Google Maps</v>
      </c>
      <c r="S4542">
        <v>3</v>
      </c>
      <c r="T4542">
        <v>2648.9288862562971</v>
      </c>
      <c r="U4542">
        <v>4</v>
      </c>
      <c r="V4542">
        <v>0.15434404454191791</v>
      </c>
      <c r="W4542">
        <v>1</v>
      </c>
      <c r="X4542">
        <v>0.15434404454191791</v>
      </c>
      <c r="Y4542">
        <v>113</v>
      </c>
      <c r="Z4542">
        <v>2658.455493028307</v>
      </c>
      <c r="AA4542">
        <v>198</v>
      </c>
      <c r="AB4542">
        <v>332</v>
      </c>
      <c r="AC4542">
        <v>536</v>
      </c>
      <c r="AD4542">
        <v>30.35</v>
      </c>
      <c r="AE4542">
        <v>542</v>
      </c>
      <c r="AF4542">
        <v>37</v>
      </c>
      <c r="AG4542">
        <v>161</v>
      </c>
      <c r="AH4542">
        <v>129</v>
      </c>
      <c r="AI4542">
        <v>6.83</v>
      </c>
      <c r="AJ4542">
        <v>29.7</v>
      </c>
      <c r="AK4542">
        <v>23.8</v>
      </c>
      <c r="AL4542">
        <v>-20.210291849999951</v>
      </c>
      <c r="AM4542">
        <v>-44.921758447931353</v>
      </c>
      <c r="AN4542">
        <v>-20.210291849999951</v>
      </c>
      <c r="AO4542">
        <v>-44.921758447931353</v>
      </c>
      <c r="AP4542">
        <v>-20.209962000000001</v>
      </c>
      <c r="AQ4542">
        <v>-44.922398000000001</v>
      </c>
      <c r="AR4542">
        <v>76.23686013355892</v>
      </c>
      <c r="AS4542" t="s">
        <v>65</v>
      </c>
      <c r="AT4542">
        <v>1</v>
      </c>
      <c r="AU4542" t="s">
        <v>1828</v>
      </c>
      <c r="AV4542" t="s">
        <v>1829</v>
      </c>
      <c r="AW4542" t="s">
        <v>60</v>
      </c>
      <c r="AX4542" t="s">
        <v>68</v>
      </c>
      <c r="AY4542" t="s">
        <v>69</v>
      </c>
      <c r="AZ4542" t="b">
        <v>1</v>
      </c>
    </row>
    <row r="4543" spans="1:52" x14ac:dyDescent="0.3">
      <c r="A4543" t="s">
        <v>52</v>
      </c>
      <c r="B4543" t="s">
        <v>53</v>
      </c>
      <c r="C4543" t="s">
        <v>54</v>
      </c>
      <c r="D4543" t="s">
        <v>55</v>
      </c>
      <c r="E4543" t="s">
        <v>2223</v>
      </c>
      <c r="F4543" t="s">
        <v>190</v>
      </c>
      <c r="G4543" t="s">
        <v>1830</v>
      </c>
      <c r="H4543" t="s">
        <v>1831</v>
      </c>
      <c r="I4543" t="s">
        <v>1831</v>
      </c>
      <c r="J4543" t="s">
        <v>60</v>
      </c>
      <c r="K4543" t="s">
        <v>1243</v>
      </c>
      <c r="L4543" t="s">
        <v>62</v>
      </c>
      <c r="M4543" t="s">
        <v>1243</v>
      </c>
      <c r="N4543" t="s">
        <v>1832</v>
      </c>
      <c r="O4543" t="s">
        <v>1833</v>
      </c>
      <c r="P4543">
        <v>-20.196815999999998</v>
      </c>
      <c r="Q4543">
        <v>-44.940482000000003</v>
      </c>
      <c r="R4543" s="2" t="str">
        <f>HYPERLINK("https://www.google.com/maps?q=-20.1968160,-44.9404820","Abrir no Google Maps")</f>
        <v>Abrir no Google Maps</v>
      </c>
      <c r="S4543">
        <v>3</v>
      </c>
      <c r="T4543">
        <v>536.34378309151361</v>
      </c>
      <c r="U4543">
        <v>4</v>
      </c>
      <c r="V4543">
        <v>0.12594976311790471</v>
      </c>
      <c r="W4543">
        <v>1</v>
      </c>
      <c r="X4543">
        <v>0.12594976311790471</v>
      </c>
      <c r="Y4543">
        <v>113</v>
      </c>
      <c r="Z4543">
        <v>376.90325621866373</v>
      </c>
      <c r="AA4543">
        <v>198</v>
      </c>
      <c r="AB4543">
        <v>332</v>
      </c>
      <c r="AC4543">
        <v>536</v>
      </c>
      <c r="AD4543">
        <v>30.35</v>
      </c>
      <c r="AE4543">
        <v>542</v>
      </c>
      <c r="AF4543">
        <v>37</v>
      </c>
      <c r="AG4543">
        <v>161</v>
      </c>
      <c r="AH4543">
        <v>129</v>
      </c>
      <c r="AI4543">
        <v>6.83</v>
      </c>
      <c r="AJ4543">
        <v>29.7</v>
      </c>
      <c r="AK4543">
        <v>23.8</v>
      </c>
      <c r="AL4543">
        <v>-20.196517149999949</v>
      </c>
      <c r="AM4543">
        <v>-44.94010487355537</v>
      </c>
      <c r="AN4543">
        <v>-20.196517149999949</v>
      </c>
      <c r="AO4543">
        <v>-44.94010487355537</v>
      </c>
      <c r="AP4543">
        <v>-20.196815999999998</v>
      </c>
      <c r="AQ4543">
        <v>-44.940482000000003</v>
      </c>
      <c r="AR4543">
        <v>51.566969969189948</v>
      </c>
      <c r="AS4543" t="s">
        <v>65</v>
      </c>
      <c r="AT4543">
        <v>1</v>
      </c>
      <c r="AU4543" t="s">
        <v>1834</v>
      </c>
      <c r="AV4543" t="s">
        <v>1835</v>
      </c>
      <c r="AW4543" t="s">
        <v>60</v>
      </c>
      <c r="AX4543" t="s">
        <v>68</v>
      </c>
      <c r="AY4543" t="s">
        <v>69</v>
      </c>
      <c r="AZ4543" t="b">
        <v>1</v>
      </c>
    </row>
    <row r="4544" spans="1:52" x14ac:dyDescent="0.3">
      <c r="A4544" t="s">
        <v>52</v>
      </c>
      <c r="B4544" t="s">
        <v>53</v>
      </c>
      <c r="C4544" t="s">
        <v>54</v>
      </c>
      <c r="D4544" t="s">
        <v>55</v>
      </c>
      <c r="E4544" t="s">
        <v>2223</v>
      </c>
      <c r="F4544" t="s">
        <v>190</v>
      </c>
      <c r="G4544" t="s">
        <v>1836</v>
      </c>
      <c r="H4544" t="s">
        <v>1837</v>
      </c>
      <c r="I4544" t="s">
        <v>1837</v>
      </c>
      <c r="J4544" t="s">
        <v>60</v>
      </c>
      <c r="K4544" t="s">
        <v>1243</v>
      </c>
      <c r="L4544" t="s">
        <v>62</v>
      </c>
      <c r="M4544" t="s">
        <v>1243</v>
      </c>
      <c r="N4544" t="s">
        <v>1838</v>
      </c>
      <c r="O4544" t="s">
        <v>1839</v>
      </c>
      <c r="P4544">
        <v>-20.194417999999999</v>
      </c>
      <c r="Q4544">
        <v>-44.943080999999999</v>
      </c>
      <c r="R4544" s="2" t="str">
        <f>HYPERLINK("https://www.google.com/maps?q=-20.1944180,-44.9430810","Abrir no Google Maps")</f>
        <v>Abrir no Google Maps</v>
      </c>
      <c r="S4544">
        <v>3</v>
      </c>
      <c r="T4544">
        <v>570.3426559957137</v>
      </c>
      <c r="U4544">
        <v>4</v>
      </c>
      <c r="V4544">
        <v>0.1407974016192807</v>
      </c>
      <c r="W4544">
        <v>1</v>
      </c>
      <c r="X4544">
        <v>0.1407974016192807</v>
      </c>
      <c r="Y4544">
        <v>113</v>
      </c>
      <c r="Z4544">
        <v>342.73864025959449</v>
      </c>
      <c r="AA4544">
        <v>198</v>
      </c>
      <c r="AB4544">
        <v>332</v>
      </c>
      <c r="AC4544">
        <v>536</v>
      </c>
      <c r="AD4544">
        <v>30.35</v>
      </c>
      <c r="AE4544">
        <v>542</v>
      </c>
      <c r="AF4544">
        <v>37</v>
      </c>
      <c r="AG4544">
        <v>161</v>
      </c>
      <c r="AH4544">
        <v>129</v>
      </c>
      <c r="AI4544">
        <v>6.83</v>
      </c>
      <c r="AJ4544">
        <v>29.7</v>
      </c>
      <c r="AK4544">
        <v>23.8</v>
      </c>
      <c r="AL4544">
        <v>-20.194494749999929</v>
      </c>
      <c r="AM4544">
        <v>-44.942951635393733</v>
      </c>
      <c r="AN4544">
        <v>-20.194494749999929</v>
      </c>
      <c r="AO4544">
        <v>-44.942951635393733</v>
      </c>
      <c r="AP4544">
        <v>-20.194417999999999</v>
      </c>
      <c r="AQ4544">
        <v>-44.943080999999999</v>
      </c>
      <c r="AR4544">
        <v>15.9896188813922</v>
      </c>
      <c r="AS4544" t="s">
        <v>65</v>
      </c>
      <c r="AT4544">
        <v>1</v>
      </c>
      <c r="AU4544" t="s">
        <v>1840</v>
      </c>
      <c r="AV4544" t="s">
        <v>1841</v>
      </c>
      <c r="AW4544" t="s">
        <v>60</v>
      </c>
      <c r="AX4544" t="s">
        <v>68</v>
      </c>
      <c r="AY4544" t="s">
        <v>69</v>
      </c>
      <c r="AZ4544" t="b">
        <v>1</v>
      </c>
    </row>
    <row r="4545" spans="1:52" x14ac:dyDescent="0.3">
      <c r="A4545" t="s">
        <v>52</v>
      </c>
      <c r="B4545" t="s">
        <v>53</v>
      </c>
      <c r="C4545" t="s">
        <v>54</v>
      </c>
      <c r="D4545" t="s">
        <v>55</v>
      </c>
      <c r="E4545" t="s">
        <v>2223</v>
      </c>
      <c r="F4545" t="s">
        <v>190</v>
      </c>
      <c r="G4545" t="s">
        <v>1235</v>
      </c>
      <c r="H4545" t="s">
        <v>1236</v>
      </c>
      <c r="I4545" t="s">
        <v>1236</v>
      </c>
      <c r="J4545" t="s">
        <v>60</v>
      </c>
      <c r="K4545" t="s">
        <v>1237</v>
      </c>
      <c r="L4545" t="s">
        <v>62</v>
      </c>
      <c r="M4545" t="s">
        <v>1237</v>
      </c>
      <c r="N4545" t="s">
        <v>1238</v>
      </c>
      <c r="O4545" t="s">
        <v>315</v>
      </c>
      <c r="P4545">
        <v>-20.199687000000001</v>
      </c>
      <c r="Q4545">
        <v>-44.941882999999997</v>
      </c>
      <c r="R4545" s="2" t="str">
        <f>HYPERLINK("https://www.google.com/maps?q=-20.1996870,-44.9418830","Abrir no Google Maps")</f>
        <v>Abrir no Google Maps</v>
      </c>
      <c r="S4545">
        <v>3</v>
      </c>
      <c r="T4545">
        <v>928.80393950893483</v>
      </c>
      <c r="U4545">
        <v>4</v>
      </c>
      <c r="V4545">
        <v>0.1296054811609457</v>
      </c>
      <c r="W4545">
        <v>1</v>
      </c>
      <c r="X4545">
        <v>0.1296054811609457</v>
      </c>
      <c r="Y4545">
        <v>113</v>
      </c>
      <c r="Z4545">
        <v>798.11967422937732</v>
      </c>
      <c r="AA4545">
        <v>198</v>
      </c>
      <c r="AB4545">
        <v>332</v>
      </c>
      <c r="AC4545">
        <v>536</v>
      </c>
      <c r="AD4545">
        <v>30.35</v>
      </c>
      <c r="AE4545">
        <v>542</v>
      </c>
      <c r="AF4545">
        <v>37</v>
      </c>
      <c r="AG4545">
        <v>161</v>
      </c>
      <c r="AH4545">
        <v>129</v>
      </c>
      <c r="AI4545">
        <v>6.83</v>
      </c>
      <c r="AJ4545">
        <v>29.7</v>
      </c>
      <c r="AK4545">
        <v>23.8</v>
      </c>
      <c r="AL4545">
        <v>-20.199663899999958</v>
      </c>
      <c r="AM4545">
        <v>-44.941858448694838</v>
      </c>
      <c r="AN4545">
        <v>-20.199663899999958</v>
      </c>
      <c r="AO4545">
        <v>-44.941858448694838</v>
      </c>
      <c r="AP4545">
        <v>-20.199687000000001</v>
      </c>
      <c r="AQ4545">
        <v>-44.941882999999997</v>
      </c>
      <c r="AR4545">
        <v>3.632019521873886</v>
      </c>
      <c r="AS4545" t="s">
        <v>65</v>
      </c>
      <c r="AT4545">
        <v>1</v>
      </c>
      <c r="AU4545" t="s">
        <v>1239</v>
      </c>
      <c r="AV4545" t="s">
        <v>1240</v>
      </c>
      <c r="AW4545" t="s">
        <v>60</v>
      </c>
      <c r="AX4545" t="s">
        <v>68</v>
      </c>
      <c r="AY4545" t="s">
        <v>69</v>
      </c>
      <c r="AZ4545" t="b">
        <v>1</v>
      </c>
    </row>
    <row r="4546" spans="1:52" x14ac:dyDescent="0.3">
      <c r="A4546" t="s">
        <v>52</v>
      </c>
      <c r="B4546" t="s">
        <v>53</v>
      </c>
      <c r="C4546" t="s">
        <v>54</v>
      </c>
      <c r="D4546" t="s">
        <v>55</v>
      </c>
      <c r="E4546" t="s">
        <v>2223</v>
      </c>
      <c r="F4546" t="s">
        <v>190</v>
      </c>
      <c r="G4546" t="s">
        <v>1235</v>
      </c>
      <c r="H4546" t="s">
        <v>1847</v>
      </c>
      <c r="I4546" t="s">
        <v>1847</v>
      </c>
      <c r="J4546" t="s">
        <v>60</v>
      </c>
      <c r="K4546" t="s">
        <v>1243</v>
      </c>
      <c r="L4546" t="s">
        <v>62</v>
      </c>
      <c r="M4546" t="s">
        <v>1243</v>
      </c>
      <c r="N4546" t="s">
        <v>1238</v>
      </c>
      <c r="O4546" t="s">
        <v>1351</v>
      </c>
      <c r="P4546">
        <v>-20.194087</v>
      </c>
      <c r="Q4546">
        <v>-44.936889999999998</v>
      </c>
      <c r="R4546" s="2" t="str">
        <f>HYPERLINK("https://www.google.com/maps?q=-20.1940870,-44.9368900","Abrir no Google Maps")</f>
        <v>Abrir no Google Maps</v>
      </c>
      <c r="S4546">
        <v>3</v>
      </c>
      <c r="T4546">
        <v>257.18642318734362</v>
      </c>
      <c r="U4546">
        <v>4</v>
      </c>
      <c r="V4546">
        <v>0.1240225124453312</v>
      </c>
      <c r="W4546">
        <v>1</v>
      </c>
      <c r="X4546">
        <v>0.1240225124453312</v>
      </c>
      <c r="Y4546">
        <v>113</v>
      </c>
      <c r="Z4546">
        <v>339.77652558311001</v>
      </c>
      <c r="AA4546">
        <v>198</v>
      </c>
      <c r="AB4546">
        <v>332</v>
      </c>
      <c r="AC4546">
        <v>536</v>
      </c>
      <c r="AD4546">
        <v>30.35</v>
      </c>
      <c r="AE4546">
        <v>542</v>
      </c>
      <c r="AF4546">
        <v>37</v>
      </c>
      <c r="AG4546">
        <v>161</v>
      </c>
      <c r="AH4546">
        <v>129</v>
      </c>
      <c r="AI4546">
        <v>6.83</v>
      </c>
      <c r="AJ4546">
        <v>29.7</v>
      </c>
      <c r="AK4546">
        <v>23.8</v>
      </c>
      <c r="AL4546">
        <v>-20.19405954999996</v>
      </c>
      <c r="AM4546">
        <v>-44.936949074015281</v>
      </c>
      <c r="AN4546">
        <v>-20.19405954999996</v>
      </c>
      <c r="AO4546">
        <v>-44.936949074015281</v>
      </c>
      <c r="AP4546">
        <v>-20.194087</v>
      </c>
      <c r="AQ4546">
        <v>-44.936889999999998</v>
      </c>
      <c r="AR4546">
        <v>6.8869138825619167</v>
      </c>
      <c r="AS4546" t="s">
        <v>65</v>
      </c>
      <c r="AT4546">
        <v>1</v>
      </c>
      <c r="AU4546" t="s">
        <v>1848</v>
      </c>
      <c r="AV4546" t="s">
        <v>1849</v>
      </c>
      <c r="AW4546" t="s">
        <v>60</v>
      </c>
      <c r="AX4546" t="s">
        <v>68</v>
      </c>
      <c r="AY4546" t="s">
        <v>69</v>
      </c>
      <c r="AZ4546" t="b">
        <v>1</v>
      </c>
    </row>
    <row r="4547" spans="1:52" x14ac:dyDescent="0.3">
      <c r="A4547" t="s">
        <v>52</v>
      </c>
      <c r="B4547" t="s">
        <v>53</v>
      </c>
      <c r="C4547" t="s">
        <v>54</v>
      </c>
      <c r="D4547" t="s">
        <v>55</v>
      </c>
      <c r="E4547" t="s">
        <v>2223</v>
      </c>
      <c r="F4547" t="s">
        <v>190</v>
      </c>
      <c r="G4547" t="s">
        <v>1850</v>
      </c>
      <c r="H4547" t="s">
        <v>1851</v>
      </c>
      <c r="I4547" t="s">
        <v>1851</v>
      </c>
      <c r="J4547" t="s">
        <v>60</v>
      </c>
      <c r="K4547" t="s">
        <v>1681</v>
      </c>
      <c r="L4547" t="s">
        <v>62</v>
      </c>
      <c r="M4547" t="s">
        <v>1681</v>
      </c>
      <c r="N4547" t="s">
        <v>1852</v>
      </c>
      <c r="O4547" t="s">
        <v>1853</v>
      </c>
      <c r="P4547">
        <v>-20.139354000000001</v>
      </c>
      <c r="Q4547">
        <v>-44.855398999999998</v>
      </c>
      <c r="R4547" s="2" t="str">
        <f>HYPERLINK("https://www.google.com/maps?q=-20.1393540,-44.8553990","Abrir no Google Maps")</f>
        <v>Abrir no Google Maps</v>
      </c>
      <c r="S4547">
        <v>3</v>
      </c>
      <c r="T4547">
        <v>694.41696355871329</v>
      </c>
      <c r="U4547">
        <v>4</v>
      </c>
      <c r="V4547">
        <v>0.12711431943100751</v>
      </c>
      <c r="W4547">
        <v>1</v>
      </c>
      <c r="X4547">
        <v>0.12711431943100751</v>
      </c>
      <c r="Y4547">
        <v>95</v>
      </c>
      <c r="Z4547">
        <v>790.58507878435637</v>
      </c>
      <c r="AA4547">
        <v>198</v>
      </c>
      <c r="AB4547">
        <v>332</v>
      </c>
      <c r="AC4547">
        <v>536</v>
      </c>
      <c r="AD4547">
        <v>30.35</v>
      </c>
      <c r="AE4547">
        <v>542</v>
      </c>
      <c r="AF4547">
        <v>37</v>
      </c>
      <c r="AG4547">
        <v>161</v>
      </c>
      <c r="AH4547">
        <v>129</v>
      </c>
      <c r="AI4547">
        <v>6.83</v>
      </c>
      <c r="AJ4547">
        <v>29.7</v>
      </c>
      <c r="AK4547">
        <v>23.8</v>
      </c>
      <c r="AL4547">
        <v>-20.139412599999961</v>
      </c>
      <c r="AM4547">
        <v>-44.855150404999961</v>
      </c>
      <c r="AN4547">
        <v>-20.139412599999961</v>
      </c>
      <c r="AO4547">
        <v>-44.855150404999961</v>
      </c>
      <c r="AP4547">
        <v>-20.139354000000001</v>
      </c>
      <c r="AQ4547">
        <v>-44.855398999999998</v>
      </c>
      <c r="AR4547">
        <v>26.787980665123101</v>
      </c>
      <c r="AS4547" t="s">
        <v>65</v>
      </c>
      <c r="AT4547">
        <v>1</v>
      </c>
      <c r="AU4547" t="s">
        <v>1854</v>
      </c>
      <c r="AV4547" t="s">
        <v>1855</v>
      </c>
      <c r="AW4547" t="s">
        <v>60</v>
      </c>
      <c r="AX4547" t="s">
        <v>68</v>
      </c>
      <c r="AY4547" t="s">
        <v>69</v>
      </c>
      <c r="AZ4547" t="b">
        <v>1</v>
      </c>
    </row>
    <row r="4548" spans="1:52" x14ac:dyDescent="0.3">
      <c r="A4548" t="s">
        <v>52</v>
      </c>
      <c r="B4548" t="s">
        <v>53</v>
      </c>
      <c r="C4548" t="s">
        <v>54</v>
      </c>
      <c r="D4548" t="s">
        <v>55</v>
      </c>
      <c r="E4548" t="s">
        <v>2223</v>
      </c>
      <c r="F4548" t="s">
        <v>190</v>
      </c>
      <c r="G4548" t="s">
        <v>380</v>
      </c>
      <c r="H4548" t="s">
        <v>381</v>
      </c>
      <c r="I4548" t="s">
        <v>381</v>
      </c>
      <c r="J4548" t="s">
        <v>60</v>
      </c>
      <c r="K4548" t="s">
        <v>72</v>
      </c>
      <c r="L4548" t="s">
        <v>62</v>
      </c>
      <c r="M4548" t="s">
        <v>72</v>
      </c>
      <c r="N4548" t="s">
        <v>382</v>
      </c>
      <c r="O4548" t="s">
        <v>383</v>
      </c>
      <c r="P4548">
        <v>-20.147182000000001</v>
      </c>
      <c r="Q4548">
        <v>-44.912728999999999</v>
      </c>
      <c r="R4548" s="2" t="str">
        <f>HYPERLINK("https://www.google.com/maps?q=-20.1471820,-44.9127290","Abrir no Google Maps")</f>
        <v>Abrir no Google Maps</v>
      </c>
      <c r="S4548">
        <v>3</v>
      </c>
      <c r="T4548">
        <v>478.0141981540923</v>
      </c>
      <c r="U4548">
        <v>3</v>
      </c>
      <c r="V4548">
        <v>0.1211857937767421</v>
      </c>
      <c r="W4548">
        <v>1</v>
      </c>
      <c r="X4548">
        <v>0.1211857937767421</v>
      </c>
      <c r="Y4548">
        <v>747</v>
      </c>
      <c r="Z4548">
        <v>494.0254290673729</v>
      </c>
      <c r="AA4548">
        <v>198</v>
      </c>
      <c r="AB4548">
        <v>332</v>
      </c>
      <c r="AC4548">
        <v>536</v>
      </c>
      <c r="AD4548">
        <v>30.35</v>
      </c>
      <c r="AE4548">
        <v>542</v>
      </c>
      <c r="AF4548">
        <v>37</v>
      </c>
      <c r="AG4548">
        <v>161</v>
      </c>
      <c r="AH4548">
        <v>129</v>
      </c>
      <c r="AI4548">
        <v>6.83</v>
      </c>
      <c r="AJ4548">
        <v>29.7</v>
      </c>
      <c r="AK4548">
        <v>23.8</v>
      </c>
      <c r="AL4548">
        <v>-20.147375599999979</v>
      </c>
      <c r="AM4548">
        <v>-44.912907472879468</v>
      </c>
      <c r="AN4548">
        <v>-20.147375599999979</v>
      </c>
      <c r="AO4548">
        <v>-44.912907472879468</v>
      </c>
      <c r="AP4548">
        <v>-20.147182000000001</v>
      </c>
      <c r="AQ4548">
        <v>-44.912728999999999</v>
      </c>
      <c r="AR4548">
        <v>28.50197694184326</v>
      </c>
      <c r="AS4548" t="s">
        <v>65</v>
      </c>
      <c r="AT4548">
        <v>1</v>
      </c>
      <c r="AU4548" t="s">
        <v>384</v>
      </c>
      <c r="AV4548" t="s">
        <v>385</v>
      </c>
      <c r="AW4548" t="s">
        <v>60</v>
      </c>
      <c r="AX4548" t="s">
        <v>68</v>
      </c>
      <c r="AY4548" t="s">
        <v>69</v>
      </c>
      <c r="AZ4548" t="b">
        <v>1</v>
      </c>
    </row>
    <row r="4549" spans="1:52" x14ac:dyDescent="0.3">
      <c r="A4549" t="s">
        <v>52</v>
      </c>
      <c r="B4549" t="s">
        <v>53</v>
      </c>
      <c r="C4549" t="s">
        <v>54</v>
      </c>
      <c r="D4549" t="s">
        <v>55</v>
      </c>
      <c r="E4549" t="s">
        <v>2223</v>
      </c>
      <c r="F4549" t="s">
        <v>190</v>
      </c>
      <c r="G4549" t="s">
        <v>839</v>
      </c>
      <c r="H4549" t="s">
        <v>840</v>
      </c>
      <c r="I4549" t="s">
        <v>840</v>
      </c>
      <c r="J4549" t="s">
        <v>60</v>
      </c>
      <c r="K4549" t="s">
        <v>388</v>
      </c>
      <c r="L4549" t="s">
        <v>62</v>
      </c>
      <c r="M4549" t="s">
        <v>388</v>
      </c>
      <c r="N4549" t="s">
        <v>841</v>
      </c>
      <c r="O4549" t="s">
        <v>842</v>
      </c>
      <c r="P4549">
        <v>-20.159977999999999</v>
      </c>
      <c r="Q4549">
        <v>-44.900207000000002</v>
      </c>
      <c r="R4549" s="2" t="str">
        <f>HYPERLINK("https://www.google.com/maps?q=-20.1599780,-44.9002070","Abrir no Google Maps")</f>
        <v>Abrir no Google Maps</v>
      </c>
      <c r="S4549">
        <v>3</v>
      </c>
      <c r="T4549">
        <v>213.24333517300789</v>
      </c>
      <c r="U4549">
        <v>3</v>
      </c>
      <c r="V4549">
        <v>0.1179487179487179</v>
      </c>
      <c r="W4549">
        <v>1</v>
      </c>
      <c r="X4549">
        <v>0.1179487179487179</v>
      </c>
      <c r="Y4549">
        <v>729</v>
      </c>
      <c r="Z4549">
        <v>315.47173727880028</v>
      </c>
      <c r="AA4549">
        <v>198</v>
      </c>
      <c r="AB4549">
        <v>332</v>
      </c>
      <c r="AC4549">
        <v>536</v>
      </c>
      <c r="AD4549">
        <v>30.35</v>
      </c>
      <c r="AE4549">
        <v>542</v>
      </c>
      <c r="AF4549">
        <v>37</v>
      </c>
      <c r="AG4549">
        <v>161</v>
      </c>
      <c r="AH4549">
        <v>129</v>
      </c>
      <c r="AI4549">
        <v>6.83</v>
      </c>
      <c r="AJ4549">
        <v>29.7</v>
      </c>
      <c r="AK4549">
        <v>23.8</v>
      </c>
      <c r="AL4549">
        <v>-20.159825649999959</v>
      </c>
      <c r="AM4549">
        <v>-44.900143828909613</v>
      </c>
      <c r="AN4549">
        <v>-20.159825649999959</v>
      </c>
      <c r="AO4549">
        <v>-44.900143828909613</v>
      </c>
      <c r="AP4549">
        <v>-20.159977999999999</v>
      </c>
      <c r="AQ4549">
        <v>-44.900207000000002</v>
      </c>
      <c r="AR4549">
        <v>18.199073573580371</v>
      </c>
      <c r="AS4549" t="s">
        <v>65</v>
      </c>
      <c r="AT4549">
        <v>1</v>
      </c>
      <c r="AU4549" t="s">
        <v>843</v>
      </c>
      <c r="AV4549" t="s">
        <v>844</v>
      </c>
      <c r="AW4549" t="s">
        <v>60</v>
      </c>
      <c r="AX4549" t="s">
        <v>68</v>
      </c>
      <c r="AY4549" t="s">
        <v>69</v>
      </c>
      <c r="AZ4549" t="b">
        <v>1</v>
      </c>
    </row>
    <row r="4550" spans="1:52" x14ac:dyDescent="0.3">
      <c r="A4550" t="s">
        <v>52</v>
      </c>
      <c r="B4550" t="s">
        <v>53</v>
      </c>
      <c r="C4550" t="s">
        <v>54</v>
      </c>
      <c r="D4550" t="s">
        <v>55</v>
      </c>
      <c r="E4550" t="s">
        <v>2223</v>
      </c>
      <c r="F4550" t="s">
        <v>190</v>
      </c>
      <c r="G4550" t="s">
        <v>839</v>
      </c>
      <c r="H4550" t="s">
        <v>1274</v>
      </c>
      <c r="I4550" t="s">
        <v>1274</v>
      </c>
      <c r="J4550" t="s">
        <v>60</v>
      </c>
      <c r="K4550" t="s">
        <v>388</v>
      </c>
      <c r="L4550" t="s">
        <v>62</v>
      </c>
      <c r="M4550" t="s">
        <v>388</v>
      </c>
      <c r="N4550" t="s">
        <v>841</v>
      </c>
      <c r="O4550" t="s">
        <v>1275</v>
      </c>
      <c r="P4550">
        <v>-20.157979999999998</v>
      </c>
      <c r="Q4550">
        <v>-44.906365999999998</v>
      </c>
      <c r="R4550" s="2" t="str">
        <f>HYPERLINK("https://www.google.com/maps?q=-20.1579800,-44.9063660","Abrir no Google Maps")</f>
        <v>Abrir no Google Maps</v>
      </c>
      <c r="S4550">
        <v>3</v>
      </c>
      <c r="T4550">
        <v>519.48953004348823</v>
      </c>
      <c r="U4550">
        <v>3</v>
      </c>
      <c r="V4550">
        <v>0.1337674671008004</v>
      </c>
      <c r="W4550">
        <v>0.85</v>
      </c>
      <c r="X4550">
        <v>0.1137023470356803</v>
      </c>
      <c r="Y4550">
        <v>729</v>
      </c>
      <c r="Z4550">
        <v>393.22938248316768</v>
      </c>
      <c r="AA4550">
        <v>198</v>
      </c>
      <c r="AB4550">
        <v>332</v>
      </c>
      <c r="AC4550">
        <v>536</v>
      </c>
      <c r="AD4550">
        <v>30.35</v>
      </c>
      <c r="AE4550">
        <v>542</v>
      </c>
      <c r="AF4550">
        <v>37</v>
      </c>
      <c r="AG4550">
        <v>161</v>
      </c>
      <c r="AH4550">
        <v>129</v>
      </c>
      <c r="AI4550">
        <v>6.83</v>
      </c>
      <c r="AJ4550">
        <v>29.7</v>
      </c>
      <c r="AK4550">
        <v>23.8</v>
      </c>
      <c r="AL4550">
        <v>-20.157977799999941</v>
      </c>
      <c r="AM4550">
        <v>-44.906429896327573</v>
      </c>
      <c r="AN4550">
        <v>-20.157977799999941</v>
      </c>
      <c r="AO4550">
        <v>-44.906429896327573</v>
      </c>
      <c r="AP4550">
        <v>-20.157979999999998</v>
      </c>
      <c r="AQ4550">
        <v>-44.906365999999998</v>
      </c>
      <c r="AR4550">
        <v>6.6817330699236734</v>
      </c>
      <c r="AS4550" t="s">
        <v>65</v>
      </c>
      <c r="AT4550">
        <v>1</v>
      </c>
      <c r="AU4550" t="s">
        <v>1276</v>
      </c>
      <c r="AV4550" t="s">
        <v>1277</v>
      </c>
      <c r="AW4550" t="s">
        <v>60</v>
      </c>
      <c r="AX4550" t="s">
        <v>68</v>
      </c>
      <c r="AY4550" t="s">
        <v>69</v>
      </c>
      <c r="AZ4550" t="b">
        <v>1</v>
      </c>
    </row>
    <row r="4551" spans="1:52" x14ac:dyDescent="0.3">
      <c r="A4551" t="s">
        <v>52</v>
      </c>
      <c r="B4551" t="s">
        <v>53</v>
      </c>
      <c r="C4551" t="s">
        <v>54</v>
      </c>
      <c r="D4551" t="s">
        <v>55</v>
      </c>
      <c r="E4551" t="s">
        <v>2223</v>
      </c>
      <c r="F4551" t="s">
        <v>190</v>
      </c>
      <c r="G4551" t="s">
        <v>404</v>
      </c>
      <c r="H4551" t="s">
        <v>405</v>
      </c>
      <c r="I4551" t="s">
        <v>405</v>
      </c>
      <c r="J4551" t="s">
        <v>60</v>
      </c>
      <c r="K4551" t="s">
        <v>388</v>
      </c>
      <c r="L4551" t="s">
        <v>62</v>
      </c>
      <c r="M4551" t="s">
        <v>388</v>
      </c>
      <c r="N4551" t="s">
        <v>406</v>
      </c>
      <c r="O4551" t="s">
        <v>407</v>
      </c>
      <c r="P4551">
        <v>-20.162780999999999</v>
      </c>
      <c r="Q4551">
        <v>-44.904437999999999</v>
      </c>
      <c r="R4551" s="2" t="str">
        <f>HYPERLINK("https://www.google.com/maps?q=-20.1627810,-44.9044380","Abrir no Google Maps")</f>
        <v>Abrir no Google Maps</v>
      </c>
      <c r="S4551">
        <v>3</v>
      </c>
      <c r="T4551">
        <v>681.0891377731482</v>
      </c>
      <c r="U4551">
        <v>3</v>
      </c>
      <c r="V4551">
        <v>0.121532797596565</v>
      </c>
      <c r="W4551">
        <v>1</v>
      </c>
      <c r="X4551">
        <v>0.121532797596565</v>
      </c>
      <c r="Y4551">
        <v>729</v>
      </c>
      <c r="Z4551">
        <v>564.17713687218622</v>
      </c>
      <c r="AA4551">
        <v>198</v>
      </c>
      <c r="AB4551">
        <v>332</v>
      </c>
      <c r="AC4551">
        <v>536</v>
      </c>
      <c r="AD4551">
        <v>30.35</v>
      </c>
      <c r="AE4551">
        <v>542</v>
      </c>
      <c r="AF4551">
        <v>37</v>
      </c>
      <c r="AG4551">
        <v>161</v>
      </c>
      <c r="AH4551">
        <v>129</v>
      </c>
      <c r="AI4551">
        <v>6.83</v>
      </c>
      <c r="AJ4551">
        <v>29.7</v>
      </c>
      <c r="AK4551">
        <v>23.8</v>
      </c>
      <c r="AL4551">
        <v>-20.16295434999995</v>
      </c>
      <c r="AM4551">
        <v>-44.904242686956152</v>
      </c>
      <c r="AN4551">
        <v>-20.16295434999995</v>
      </c>
      <c r="AO4551">
        <v>-44.904242686956152</v>
      </c>
      <c r="AP4551">
        <v>-20.162780999999999</v>
      </c>
      <c r="AQ4551">
        <v>-44.904437999999999</v>
      </c>
      <c r="AR4551">
        <v>28.088191280523411</v>
      </c>
      <c r="AS4551" t="s">
        <v>65</v>
      </c>
      <c r="AT4551">
        <v>1</v>
      </c>
      <c r="AU4551" t="s">
        <v>408</v>
      </c>
      <c r="AV4551" t="s">
        <v>409</v>
      </c>
      <c r="AW4551" t="s">
        <v>60</v>
      </c>
      <c r="AX4551" t="s">
        <v>68</v>
      </c>
      <c r="AY4551" t="s">
        <v>69</v>
      </c>
      <c r="AZ4551" t="b">
        <v>1</v>
      </c>
    </row>
    <row r="4552" spans="1:52" x14ac:dyDescent="0.3">
      <c r="A4552" t="s">
        <v>52</v>
      </c>
      <c r="B4552" t="s">
        <v>53</v>
      </c>
      <c r="C4552" t="s">
        <v>54</v>
      </c>
      <c r="D4552" t="s">
        <v>55</v>
      </c>
      <c r="E4552" t="s">
        <v>2223</v>
      </c>
      <c r="F4552" t="s">
        <v>190</v>
      </c>
      <c r="G4552" t="s">
        <v>1307</v>
      </c>
      <c r="H4552" t="s">
        <v>1308</v>
      </c>
      <c r="I4552" t="s">
        <v>1308</v>
      </c>
      <c r="J4552" t="s">
        <v>60</v>
      </c>
      <c r="K4552" t="s">
        <v>1302</v>
      </c>
      <c r="L4552" t="s">
        <v>62</v>
      </c>
      <c r="M4552" t="s">
        <v>1302</v>
      </c>
      <c r="N4552" t="s">
        <v>558</v>
      </c>
      <c r="O4552" t="s">
        <v>1309</v>
      </c>
      <c r="P4552">
        <v>-20.169051</v>
      </c>
      <c r="Q4552">
        <v>-44.910093000000003</v>
      </c>
      <c r="R4552" s="2" t="str">
        <f>HYPERLINK("https://www.google.com/maps?q=-20.1690510,-44.9100930","Abrir no Google Maps")</f>
        <v>Abrir no Google Maps</v>
      </c>
      <c r="S4552">
        <v>3</v>
      </c>
      <c r="T4552">
        <v>375.90504489887479</v>
      </c>
      <c r="U4552">
        <v>3</v>
      </c>
      <c r="V4552">
        <v>0.13519311070152959</v>
      </c>
      <c r="W4552">
        <v>0.85</v>
      </c>
      <c r="X4552">
        <v>0.1149141440963001</v>
      </c>
      <c r="Y4552">
        <v>723</v>
      </c>
      <c r="Z4552">
        <v>456.19893675176831</v>
      </c>
      <c r="AA4552">
        <v>198</v>
      </c>
      <c r="AB4552">
        <v>332</v>
      </c>
      <c r="AC4552">
        <v>536</v>
      </c>
      <c r="AD4552">
        <v>30.35</v>
      </c>
      <c r="AE4552">
        <v>542</v>
      </c>
      <c r="AF4552">
        <v>37</v>
      </c>
      <c r="AG4552">
        <v>161</v>
      </c>
      <c r="AH4552">
        <v>129</v>
      </c>
      <c r="AI4552">
        <v>6.83</v>
      </c>
      <c r="AJ4552">
        <v>29.7</v>
      </c>
      <c r="AK4552">
        <v>23.8</v>
      </c>
      <c r="AL4552">
        <v>-20.168810949999941</v>
      </c>
      <c r="AM4552">
        <v>-44.910156475447927</v>
      </c>
      <c r="AN4552">
        <v>-20.168810949999941</v>
      </c>
      <c r="AO4552">
        <v>-44.910156475447927</v>
      </c>
      <c r="AP4552">
        <v>-20.169051</v>
      </c>
      <c r="AQ4552">
        <v>-44.910093000000003</v>
      </c>
      <c r="AR4552">
        <v>27.533232396417059</v>
      </c>
      <c r="AS4552" t="s">
        <v>65</v>
      </c>
      <c r="AT4552">
        <v>1</v>
      </c>
      <c r="AU4552" t="s">
        <v>1310</v>
      </c>
      <c r="AV4552" t="s">
        <v>1311</v>
      </c>
      <c r="AW4552" t="s">
        <v>60</v>
      </c>
      <c r="AX4552" t="s">
        <v>68</v>
      </c>
      <c r="AY4552" t="s">
        <v>69</v>
      </c>
      <c r="AZ4552" t="b">
        <v>1</v>
      </c>
    </row>
    <row r="4553" spans="1:52" x14ac:dyDescent="0.3">
      <c r="A4553" t="s">
        <v>52</v>
      </c>
      <c r="B4553" t="s">
        <v>53</v>
      </c>
      <c r="C4553" t="s">
        <v>54</v>
      </c>
      <c r="D4553" t="s">
        <v>55</v>
      </c>
      <c r="E4553" t="s">
        <v>2223</v>
      </c>
      <c r="F4553" t="s">
        <v>190</v>
      </c>
      <c r="G4553" t="s">
        <v>422</v>
      </c>
      <c r="H4553" t="s">
        <v>423</v>
      </c>
      <c r="I4553" t="s">
        <v>423</v>
      </c>
      <c r="J4553" t="s">
        <v>60</v>
      </c>
      <c r="K4553" t="s">
        <v>424</v>
      </c>
      <c r="L4553" t="s">
        <v>62</v>
      </c>
      <c r="M4553" t="s">
        <v>424</v>
      </c>
      <c r="N4553" t="s">
        <v>425</v>
      </c>
      <c r="O4553" t="s">
        <v>426</v>
      </c>
      <c r="P4553">
        <v>-20.177748000000001</v>
      </c>
      <c r="Q4553">
        <v>-44.912475000000001</v>
      </c>
      <c r="R4553" s="2" t="str">
        <f>HYPERLINK("https://www.google.com/maps?q=-20.1777480,-44.9124750","Abrir no Google Maps")</f>
        <v>Abrir no Google Maps</v>
      </c>
      <c r="S4553">
        <v>3</v>
      </c>
      <c r="T4553">
        <v>657.07560140436533</v>
      </c>
      <c r="U4553">
        <v>3</v>
      </c>
      <c r="V4553">
        <v>0.1208739816712948</v>
      </c>
      <c r="W4553">
        <v>1</v>
      </c>
      <c r="X4553">
        <v>0.1208739816712948</v>
      </c>
      <c r="Y4553">
        <v>723</v>
      </c>
      <c r="Z4553">
        <v>796.94198000561175</v>
      </c>
      <c r="AA4553">
        <v>198</v>
      </c>
      <c r="AB4553">
        <v>332</v>
      </c>
      <c r="AC4553">
        <v>536</v>
      </c>
      <c r="AD4553">
        <v>30.35</v>
      </c>
      <c r="AE4553">
        <v>542</v>
      </c>
      <c r="AF4553">
        <v>37</v>
      </c>
      <c r="AG4553">
        <v>161</v>
      </c>
      <c r="AH4553">
        <v>129</v>
      </c>
      <c r="AI4553">
        <v>6.83</v>
      </c>
      <c r="AJ4553">
        <v>29.7</v>
      </c>
      <c r="AK4553">
        <v>23.8</v>
      </c>
      <c r="AL4553">
        <v>-20.177761749999949</v>
      </c>
      <c r="AM4553">
        <v>-44.91263311624418</v>
      </c>
      <c r="AN4553">
        <v>-20.177761749999949</v>
      </c>
      <c r="AO4553">
        <v>-44.91263311624418</v>
      </c>
      <c r="AP4553">
        <v>-20.177748000000001</v>
      </c>
      <c r="AQ4553">
        <v>-44.912475000000001</v>
      </c>
      <c r="AR4553">
        <v>16.591996803075372</v>
      </c>
      <c r="AS4553" t="s">
        <v>65</v>
      </c>
      <c r="AT4553">
        <v>1</v>
      </c>
      <c r="AU4553" t="s">
        <v>427</v>
      </c>
      <c r="AV4553" t="s">
        <v>428</v>
      </c>
      <c r="AW4553" t="s">
        <v>60</v>
      </c>
      <c r="AX4553" t="s">
        <v>68</v>
      </c>
      <c r="AY4553" t="s">
        <v>69</v>
      </c>
      <c r="AZ4553" t="b">
        <v>1</v>
      </c>
    </row>
    <row r="4554" spans="1:52" x14ac:dyDescent="0.3">
      <c r="A4554" t="s">
        <v>52</v>
      </c>
      <c r="B4554" t="s">
        <v>53</v>
      </c>
      <c r="C4554" t="s">
        <v>54</v>
      </c>
      <c r="D4554" t="s">
        <v>55</v>
      </c>
      <c r="E4554" t="s">
        <v>2223</v>
      </c>
      <c r="F4554" t="s">
        <v>190</v>
      </c>
      <c r="G4554" t="s">
        <v>429</v>
      </c>
      <c r="H4554" t="s">
        <v>430</v>
      </c>
      <c r="I4554" t="s">
        <v>430</v>
      </c>
      <c r="J4554" t="s">
        <v>60</v>
      </c>
      <c r="K4554" t="s">
        <v>431</v>
      </c>
      <c r="L4554" t="s">
        <v>62</v>
      </c>
      <c r="M4554" t="s">
        <v>431</v>
      </c>
      <c r="N4554" t="s">
        <v>432</v>
      </c>
      <c r="O4554" t="s">
        <v>315</v>
      </c>
      <c r="P4554">
        <v>-20.172698</v>
      </c>
      <c r="Q4554">
        <v>-44.923842</v>
      </c>
      <c r="R4554" s="2" t="str">
        <f>HYPERLINK("https://www.google.com/maps?q=-20.1726980,-44.9238420","Abrir no Google Maps")</f>
        <v>Abrir no Google Maps</v>
      </c>
      <c r="S4554">
        <v>3</v>
      </c>
      <c r="T4554">
        <v>1376.1843173402931</v>
      </c>
      <c r="U4554">
        <v>3</v>
      </c>
      <c r="V4554">
        <v>0.13503344146741961</v>
      </c>
      <c r="W4554">
        <v>0.85</v>
      </c>
      <c r="X4554">
        <v>0.11477842524730671</v>
      </c>
      <c r="Y4554">
        <v>723</v>
      </c>
      <c r="Z4554">
        <v>1101.340635002096</v>
      </c>
      <c r="AA4554">
        <v>198</v>
      </c>
      <c r="AB4554">
        <v>332</v>
      </c>
      <c r="AC4554">
        <v>536</v>
      </c>
      <c r="AD4554">
        <v>30.35</v>
      </c>
      <c r="AE4554">
        <v>542</v>
      </c>
      <c r="AF4554">
        <v>37</v>
      </c>
      <c r="AG4554">
        <v>161</v>
      </c>
      <c r="AH4554">
        <v>129</v>
      </c>
      <c r="AI4554">
        <v>6.83</v>
      </c>
      <c r="AJ4554">
        <v>29.7</v>
      </c>
      <c r="AK4554">
        <v>23.8</v>
      </c>
      <c r="AL4554">
        <v>-20.172942799999959</v>
      </c>
      <c r="AM4554">
        <v>-44.923585372665762</v>
      </c>
      <c r="AN4554">
        <v>-20.172942799999959</v>
      </c>
      <c r="AO4554">
        <v>-44.923585372665762</v>
      </c>
      <c r="AP4554">
        <v>-20.172698</v>
      </c>
      <c r="AQ4554">
        <v>-44.923842</v>
      </c>
      <c r="AR4554">
        <v>38.231981408478958</v>
      </c>
      <c r="AS4554" t="s">
        <v>65</v>
      </c>
      <c r="AT4554">
        <v>1</v>
      </c>
      <c r="AU4554" t="s">
        <v>433</v>
      </c>
      <c r="AV4554" t="s">
        <v>434</v>
      </c>
      <c r="AW4554" t="s">
        <v>60</v>
      </c>
      <c r="AX4554" t="s">
        <v>68</v>
      </c>
      <c r="AY4554" t="s">
        <v>69</v>
      </c>
      <c r="AZ4554" t="b">
        <v>1</v>
      </c>
    </row>
    <row r="4555" spans="1:52" x14ac:dyDescent="0.3">
      <c r="A4555" t="s">
        <v>52</v>
      </c>
      <c r="B4555" t="s">
        <v>53</v>
      </c>
      <c r="C4555" t="s">
        <v>54</v>
      </c>
      <c r="D4555" t="s">
        <v>55</v>
      </c>
      <c r="E4555" t="s">
        <v>2223</v>
      </c>
      <c r="F4555" t="s">
        <v>190</v>
      </c>
      <c r="G4555" t="s">
        <v>435</v>
      </c>
      <c r="H4555" t="s">
        <v>436</v>
      </c>
      <c r="I4555" t="s">
        <v>436</v>
      </c>
      <c r="J4555" t="s">
        <v>60</v>
      </c>
      <c r="K4555" t="s">
        <v>437</v>
      </c>
      <c r="L4555" t="s">
        <v>62</v>
      </c>
      <c r="M4555" t="s">
        <v>437</v>
      </c>
      <c r="N4555" t="s">
        <v>438</v>
      </c>
      <c r="O4555" t="s">
        <v>439</v>
      </c>
      <c r="P4555">
        <v>-20.145613000000001</v>
      </c>
      <c r="Q4555">
        <v>-44.882375000000003</v>
      </c>
      <c r="R4555" s="2" t="str">
        <f>HYPERLINK("https://www.google.com/maps?q=-20.1456130,-44.8823750","Abrir no Google Maps")</f>
        <v>Abrir no Google Maps</v>
      </c>
      <c r="S4555">
        <v>3</v>
      </c>
      <c r="T4555">
        <v>305.65092112314198</v>
      </c>
      <c r="U4555">
        <v>3</v>
      </c>
      <c r="V4555">
        <v>0.1186240338222717</v>
      </c>
      <c r="W4555">
        <v>1</v>
      </c>
      <c r="X4555">
        <v>0.1186240338222717</v>
      </c>
      <c r="Y4555">
        <v>653</v>
      </c>
      <c r="Z4555">
        <v>349.55297035282501</v>
      </c>
      <c r="AA4555">
        <v>198</v>
      </c>
      <c r="AB4555">
        <v>332</v>
      </c>
      <c r="AC4555">
        <v>536</v>
      </c>
      <c r="AD4555">
        <v>30.35</v>
      </c>
      <c r="AE4555">
        <v>542</v>
      </c>
      <c r="AF4555">
        <v>37</v>
      </c>
      <c r="AG4555">
        <v>161</v>
      </c>
      <c r="AH4555">
        <v>129</v>
      </c>
      <c r="AI4555">
        <v>6.83</v>
      </c>
      <c r="AJ4555">
        <v>29.7</v>
      </c>
      <c r="AK4555">
        <v>23.8</v>
      </c>
      <c r="AL4555">
        <v>-20.14550464999996</v>
      </c>
      <c r="AM4555">
        <v>-44.882157007077737</v>
      </c>
      <c r="AN4555">
        <v>-20.14550464999996</v>
      </c>
      <c r="AO4555">
        <v>-44.882157007077737</v>
      </c>
      <c r="AP4555">
        <v>-20.145613000000001</v>
      </c>
      <c r="AQ4555">
        <v>-44.882375000000003</v>
      </c>
      <c r="AR4555">
        <v>25.77819791856259</v>
      </c>
      <c r="AS4555" t="s">
        <v>65</v>
      </c>
      <c r="AT4555">
        <v>1</v>
      </c>
      <c r="AU4555" t="s">
        <v>440</v>
      </c>
      <c r="AV4555" t="s">
        <v>441</v>
      </c>
      <c r="AW4555" t="s">
        <v>60</v>
      </c>
      <c r="AX4555" t="s">
        <v>68</v>
      </c>
      <c r="AY4555" t="s">
        <v>69</v>
      </c>
      <c r="AZ4555" t="b">
        <v>1</v>
      </c>
    </row>
    <row r="4556" spans="1:52" x14ac:dyDescent="0.3">
      <c r="A4556" t="s">
        <v>52</v>
      </c>
      <c r="B4556" t="s">
        <v>53</v>
      </c>
      <c r="C4556" t="s">
        <v>54</v>
      </c>
      <c r="D4556" t="s">
        <v>55</v>
      </c>
      <c r="E4556" t="s">
        <v>2223</v>
      </c>
      <c r="F4556" t="s">
        <v>190</v>
      </c>
      <c r="G4556" t="s">
        <v>1333</v>
      </c>
      <c r="H4556" t="s">
        <v>1334</v>
      </c>
      <c r="I4556" t="s">
        <v>1334</v>
      </c>
      <c r="J4556" t="s">
        <v>60</v>
      </c>
      <c r="K4556" t="s">
        <v>437</v>
      </c>
      <c r="L4556" t="s">
        <v>62</v>
      </c>
      <c r="M4556" t="s">
        <v>437</v>
      </c>
      <c r="N4556" t="s">
        <v>1335</v>
      </c>
      <c r="O4556" t="s">
        <v>807</v>
      </c>
      <c r="P4556">
        <v>-20.148</v>
      </c>
      <c r="Q4556">
        <v>-44.880944999999997</v>
      </c>
      <c r="R4556" s="2" t="str">
        <f>HYPERLINK("https://www.google.com/maps?q=-20.1480000,-44.8809450","Abrir no Google Maps")</f>
        <v>Abrir no Google Maps</v>
      </c>
      <c r="S4556">
        <v>3</v>
      </c>
      <c r="T4556">
        <v>0</v>
      </c>
      <c r="U4556">
        <v>3</v>
      </c>
      <c r="V4556">
        <v>0.1319549081980021</v>
      </c>
      <c r="W4556">
        <v>0.85</v>
      </c>
      <c r="X4556">
        <v>0.1121616719683018</v>
      </c>
      <c r="Y4556">
        <v>653</v>
      </c>
      <c r="Z4556">
        <v>108.2792411420544</v>
      </c>
      <c r="AA4556">
        <v>198</v>
      </c>
      <c r="AB4556">
        <v>332</v>
      </c>
      <c r="AC4556">
        <v>536</v>
      </c>
      <c r="AD4556">
        <v>30.35</v>
      </c>
      <c r="AE4556">
        <v>542</v>
      </c>
      <c r="AF4556">
        <v>37</v>
      </c>
      <c r="AG4556">
        <v>161</v>
      </c>
      <c r="AH4556">
        <v>129</v>
      </c>
      <c r="AI4556">
        <v>6.83</v>
      </c>
      <c r="AJ4556">
        <v>29.7</v>
      </c>
      <c r="AK4556">
        <v>23.8</v>
      </c>
      <c r="AL4556">
        <v>-20.14802099999994</v>
      </c>
      <c r="AM4556">
        <v>-44.880951206225959</v>
      </c>
      <c r="AN4556">
        <v>-20.14802099999994</v>
      </c>
      <c r="AO4556">
        <v>-44.880951206225959</v>
      </c>
      <c r="AP4556">
        <v>-20.148</v>
      </c>
      <c r="AQ4556">
        <v>-44.880944999999997</v>
      </c>
      <c r="AR4556">
        <v>2.4260288619737169</v>
      </c>
      <c r="AS4556" t="s">
        <v>65</v>
      </c>
      <c r="AT4556">
        <v>1</v>
      </c>
      <c r="AU4556" t="s">
        <v>1336</v>
      </c>
      <c r="AV4556" t="s">
        <v>1337</v>
      </c>
      <c r="AW4556" t="s">
        <v>60</v>
      </c>
      <c r="AX4556" t="s">
        <v>68</v>
      </c>
      <c r="AY4556" t="s">
        <v>69</v>
      </c>
      <c r="AZ4556" t="b">
        <v>1</v>
      </c>
    </row>
    <row r="4557" spans="1:52" x14ac:dyDescent="0.3">
      <c r="A4557" t="s">
        <v>52</v>
      </c>
      <c r="B4557" t="s">
        <v>53</v>
      </c>
      <c r="C4557" t="s">
        <v>54</v>
      </c>
      <c r="D4557" t="s">
        <v>55</v>
      </c>
      <c r="E4557" t="s">
        <v>2223</v>
      </c>
      <c r="F4557" t="s">
        <v>190</v>
      </c>
      <c r="G4557" t="s">
        <v>448</v>
      </c>
      <c r="H4557" t="s">
        <v>449</v>
      </c>
      <c r="I4557" t="s">
        <v>449</v>
      </c>
      <c r="J4557" t="s">
        <v>60</v>
      </c>
      <c r="K4557" t="s">
        <v>388</v>
      </c>
      <c r="L4557" t="s">
        <v>62</v>
      </c>
      <c r="M4557" t="s">
        <v>388</v>
      </c>
      <c r="N4557" t="s">
        <v>450</v>
      </c>
      <c r="O4557" t="s">
        <v>451</v>
      </c>
      <c r="P4557">
        <v>-20.163981</v>
      </c>
      <c r="Q4557">
        <v>-44.907128999999998</v>
      </c>
      <c r="R4557" s="2" t="str">
        <f>HYPERLINK("https://www.google.com/maps?q=-20.1639810,-44.9071290","Abrir no Google Maps")</f>
        <v>Abrir no Google Maps</v>
      </c>
      <c r="S4557">
        <v>3</v>
      </c>
      <c r="T4557">
        <v>782.50730806588319</v>
      </c>
      <c r="U4557">
        <v>3</v>
      </c>
      <c r="V4557">
        <v>0.1140068198855429</v>
      </c>
      <c r="W4557">
        <v>1</v>
      </c>
      <c r="X4557">
        <v>0.1140068198855429</v>
      </c>
      <c r="Y4557">
        <v>639</v>
      </c>
      <c r="Z4557">
        <v>710.90621453796166</v>
      </c>
      <c r="AA4557">
        <v>198</v>
      </c>
      <c r="AB4557">
        <v>332</v>
      </c>
      <c r="AC4557">
        <v>536</v>
      </c>
      <c r="AD4557">
        <v>30.35</v>
      </c>
      <c r="AE4557">
        <v>542</v>
      </c>
      <c r="AF4557">
        <v>37</v>
      </c>
      <c r="AG4557">
        <v>161</v>
      </c>
      <c r="AH4557">
        <v>129</v>
      </c>
      <c r="AI4557">
        <v>6.83</v>
      </c>
      <c r="AJ4557">
        <v>29.7</v>
      </c>
      <c r="AK4557">
        <v>23.8</v>
      </c>
      <c r="AL4557">
        <v>-20.163958349999969</v>
      </c>
      <c r="AM4557">
        <v>-44.907180923930973</v>
      </c>
      <c r="AN4557">
        <v>-20.163958349999969</v>
      </c>
      <c r="AO4557">
        <v>-44.907180923930973</v>
      </c>
      <c r="AP4557">
        <v>-20.163981</v>
      </c>
      <c r="AQ4557">
        <v>-44.907128999999998</v>
      </c>
      <c r="AR4557">
        <v>5.9831345092457884</v>
      </c>
      <c r="AS4557" t="s">
        <v>65</v>
      </c>
      <c r="AT4557">
        <v>1</v>
      </c>
      <c r="AU4557" t="s">
        <v>452</v>
      </c>
      <c r="AV4557" t="s">
        <v>453</v>
      </c>
      <c r="AW4557" t="s">
        <v>60</v>
      </c>
      <c r="AX4557" t="s">
        <v>68</v>
      </c>
      <c r="AY4557" t="s">
        <v>69</v>
      </c>
      <c r="AZ4557" t="b">
        <v>1</v>
      </c>
    </row>
    <row r="4558" spans="1:52" x14ac:dyDescent="0.3">
      <c r="A4558" t="s">
        <v>52</v>
      </c>
      <c r="B4558" t="s">
        <v>53</v>
      </c>
      <c r="C4558" t="s">
        <v>54</v>
      </c>
      <c r="D4558" t="s">
        <v>55</v>
      </c>
      <c r="E4558" t="s">
        <v>2223</v>
      </c>
      <c r="F4558" t="s">
        <v>190</v>
      </c>
      <c r="G4558" t="s">
        <v>454</v>
      </c>
      <c r="H4558" t="s">
        <v>455</v>
      </c>
      <c r="I4558" t="s">
        <v>455</v>
      </c>
      <c r="J4558" t="s">
        <v>60</v>
      </c>
      <c r="K4558" t="s">
        <v>456</v>
      </c>
      <c r="L4558" t="s">
        <v>62</v>
      </c>
      <c r="M4558" t="s">
        <v>456</v>
      </c>
      <c r="N4558" t="s">
        <v>102</v>
      </c>
      <c r="O4558" t="s">
        <v>457</v>
      </c>
      <c r="P4558">
        <v>-20.138373999999999</v>
      </c>
      <c r="Q4558">
        <v>-44.903756999999999</v>
      </c>
      <c r="R4558" s="2" t="str">
        <f>HYPERLINK("https://www.google.com/maps?q=-20.1383740,-44.9037570","Abrir no Google Maps")</f>
        <v>Abrir no Google Maps</v>
      </c>
      <c r="S4558">
        <v>3</v>
      </c>
      <c r="T4558">
        <v>357.59466273594461</v>
      </c>
      <c r="U4558">
        <v>3</v>
      </c>
      <c r="V4558">
        <v>0.1189153439153439</v>
      </c>
      <c r="W4558">
        <v>1</v>
      </c>
      <c r="X4558">
        <v>0.1189153439153439</v>
      </c>
      <c r="Y4558">
        <v>581</v>
      </c>
      <c r="Z4558">
        <v>406.92482694505992</v>
      </c>
      <c r="AA4558">
        <v>198</v>
      </c>
      <c r="AB4558">
        <v>332</v>
      </c>
      <c r="AC4558">
        <v>536</v>
      </c>
      <c r="AD4558">
        <v>30.35</v>
      </c>
      <c r="AE4558">
        <v>542</v>
      </c>
      <c r="AF4558">
        <v>37</v>
      </c>
      <c r="AG4558">
        <v>161</v>
      </c>
      <c r="AH4558">
        <v>129</v>
      </c>
      <c r="AI4558">
        <v>6.83</v>
      </c>
      <c r="AJ4558">
        <v>29.7</v>
      </c>
      <c r="AK4558">
        <v>23.8</v>
      </c>
      <c r="AL4558">
        <v>-20.138338199999961</v>
      </c>
      <c r="AM4558">
        <v>-44.903768618976301</v>
      </c>
      <c r="AN4558">
        <v>-20.138338199999961</v>
      </c>
      <c r="AO4558">
        <v>-44.903768618976301</v>
      </c>
      <c r="AP4558">
        <v>-20.138373999999999</v>
      </c>
      <c r="AQ4558">
        <v>-44.903756999999999</v>
      </c>
      <c r="AR4558">
        <v>4.1661625938922704</v>
      </c>
      <c r="AS4558" t="s">
        <v>65</v>
      </c>
      <c r="AT4558">
        <v>1</v>
      </c>
      <c r="AU4558" t="s">
        <v>458</v>
      </c>
      <c r="AV4558" t="s">
        <v>459</v>
      </c>
      <c r="AW4558" t="s">
        <v>60</v>
      </c>
      <c r="AX4558" t="s">
        <v>68</v>
      </c>
      <c r="AY4558" t="s">
        <v>69</v>
      </c>
      <c r="AZ4558" t="b">
        <v>1</v>
      </c>
    </row>
    <row r="4559" spans="1:52" x14ac:dyDescent="0.3">
      <c r="A4559" t="s">
        <v>52</v>
      </c>
      <c r="B4559" t="s">
        <v>53</v>
      </c>
      <c r="C4559" t="s">
        <v>54</v>
      </c>
      <c r="D4559" t="s">
        <v>55</v>
      </c>
      <c r="E4559" t="s">
        <v>2223</v>
      </c>
      <c r="F4559" t="s">
        <v>190</v>
      </c>
      <c r="G4559" t="s">
        <v>1342</v>
      </c>
      <c r="H4559" t="s">
        <v>1343</v>
      </c>
      <c r="I4559" t="s">
        <v>1343</v>
      </c>
      <c r="J4559" t="s">
        <v>60</v>
      </c>
      <c r="K4559" t="s">
        <v>462</v>
      </c>
      <c r="L4559" t="s">
        <v>62</v>
      </c>
      <c r="M4559" t="s">
        <v>462</v>
      </c>
      <c r="N4559" t="s">
        <v>921</v>
      </c>
      <c r="O4559" t="s">
        <v>1344</v>
      </c>
      <c r="P4559">
        <v>-20.137526000000001</v>
      </c>
      <c r="Q4559">
        <v>-44.912452999999999</v>
      </c>
      <c r="R4559" s="2" t="str">
        <f>HYPERLINK("https://www.google.com/maps?q=-20.1375260,-44.9124530","Abrir no Google Maps")</f>
        <v>Abrir no Google Maps</v>
      </c>
      <c r="S4559">
        <v>3</v>
      </c>
      <c r="T4559">
        <v>446.95091416730708</v>
      </c>
      <c r="U4559">
        <v>3</v>
      </c>
      <c r="V4559">
        <v>0.13891914790607601</v>
      </c>
      <c r="W4559">
        <v>0.85</v>
      </c>
      <c r="X4559">
        <v>0.11808127572016459</v>
      </c>
      <c r="Y4559">
        <v>581</v>
      </c>
      <c r="Z4559">
        <v>507.4747778269288</v>
      </c>
      <c r="AA4559">
        <v>198</v>
      </c>
      <c r="AB4559">
        <v>332</v>
      </c>
      <c r="AC4559">
        <v>536</v>
      </c>
      <c r="AD4559">
        <v>30.35</v>
      </c>
      <c r="AE4559">
        <v>542</v>
      </c>
      <c r="AF4559">
        <v>37</v>
      </c>
      <c r="AG4559">
        <v>161</v>
      </c>
      <c r="AH4559">
        <v>129</v>
      </c>
      <c r="AI4559">
        <v>6.83</v>
      </c>
      <c r="AJ4559">
        <v>29.7</v>
      </c>
      <c r="AK4559">
        <v>23.8</v>
      </c>
      <c r="AL4559">
        <v>-20.136672649999959</v>
      </c>
      <c r="AM4559">
        <v>-44.911825104396357</v>
      </c>
      <c r="AN4559">
        <v>-20.136672649999959</v>
      </c>
      <c r="AO4559">
        <v>-44.911825104396357</v>
      </c>
      <c r="AP4559">
        <v>-20.137526000000001</v>
      </c>
      <c r="AQ4559">
        <v>-44.912452999999999</v>
      </c>
      <c r="AR4559">
        <v>115.45843265992529</v>
      </c>
      <c r="AS4559" t="s">
        <v>65</v>
      </c>
      <c r="AT4559">
        <v>1</v>
      </c>
      <c r="AU4559" t="s">
        <v>1345</v>
      </c>
      <c r="AV4559" t="s">
        <v>1346</v>
      </c>
      <c r="AW4559" t="s">
        <v>60</v>
      </c>
      <c r="AX4559" t="s">
        <v>68</v>
      </c>
      <c r="AY4559" t="s">
        <v>69</v>
      </c>
      <c r="AZ4559" t="b">
        <v>1</v>
      </c>
    </row>
    <row r="4560" spans="1:52" x14ac:dyDescent="0.3">
      <c r="A4560" t="s">
        <v>52</v>
      </c>
      <c r="B4560" t="s">
        <v>53</v>
      </c>
      <c r="C4560" t="s">
        <v>54</v>
      </c>
      <c r="D4560" t="s">
        <v>55</v>
      </c>
      <c r="E4560" t="s">
        <v>2223</v>
      </c>
      <c r="F4560" t="s">
        <v>190</v>
      </c>
      <c r="G4560" t="s">
        <v>1347</v>
      </c>
      <c r="H4560" t="s">
        <v>1348</v>
      </c>
      <c r="I4560" t="s">
        <v>1348</v>
      </c>
      <c r="J4560" t="s">
        <v>60</v>
      </c>
      <c r="K4560" t="s">
        <v>1349</v>
      </c>
      <c r="L4560" t="s">
        <v>62</v>
      </c>
      <c r="M4560" t="s">
        <v>1349</v>
      </c>
      <c r="N4560" t="s">
        <v>1350</v>
      </c>
      <c r="O4560" t="s">
        <v>1351</v>
      </c>
      <c r="P4560">
        <v>-20.140426999999999</v>
      </c>
      <c r="Q4560">
        <v>-44.905327999999997</v>
      </c>
      <c r="R4560" s="2" t="str">
        <f>HYPERLINK("https://www.google.com/maps?q=-20.1404270,-44.9053280","Abrir no Google Maps")</f>
        <v>Abrir no Google Maps</v>
      </c>
      <c r="S4560">
        <v>3</v>
      </c>
      <c r="T4560">
        <v>359.5810968231857</v>
      </c>
      <c r="U4560">
        <v>3</v>
      </c>
      <c r="V4560">
        <v>0.13447402626507099</v>
      </c>
      <c r="W4560">
        <v>0.85</v>
      </c>
      <c r="X4560">
        <v>0.11430292232531029</v>
      </c>
      <c r="Y4560">
        <v>581</v>
      </c>
      <c r="Z4560">
        <v>292.370097058873</v>
      </c>
      <c r="AA4560">
        <v>198</v>
      </c>
      <c r="AB4560">
        <v>332</v>
      </c>
      <c r="AC4560">
        <v>536</v>
      </c>
      <c r="AD4560">
        <v>30.35</v>
      </c>
      <c r="AE4560">
        <v>542</v>
      </c>
      <c r="AF4560">
        <v>37</v>
      </c>
      <c r="AG4560">
        <v>161</v>
      </c>
      <c r="AH4560">
        <v>129</v>
      </c>
      <c r="AI4560">
        <v>6.83</v>
      </c>
      <c r="AJ4560">
        <v>29.7</v>
      </c>
      <c r="AK4560">
        <v>23.8</v>
      </c>
      <c r="AL4560">
        <v>-20.140465449999969</v>
      </c>
      <c r="AM4560">
        <v>-44.905317129037229</v>
      </c>
      <c r="AN4560">
        <v>-20.140465449999969</v>
      </c>
      <c r="AO4560">
        <v>-44.905317129037229</v>
      </c>
      <c r="AP4560">
        <v>-20.140426999999999</v>
      </c>
      <c r="AQ4560">
        <v>-44.905327999999997</v>
      </c>
      <c r="AR4560">
        <v>4.4284788644958706</v>
      </c>
      <c r="AS4560" t="s">
        <v>65</v>
      </c>
      <c r="AT4560">
        <v>1</v>
      </c>
      <c r="AU4560" t="s">
        <v>1352</v>
      </c>
      <c r="AV4560" t="s">
        <v>1353</v>
      </c>
      <c r="AW4560" t="s">
        <v>60</v>
      </c>
      <c r="AX4560" t="s">
        <v>68</v>
      </c>
      <c r="AY4560" t="s">
        <v>69</v>
      </c>
      <c r="AZ4560" t="b">
        <v>1</v>
      </c>
    </row>
    <row r="4561" spans="1:52" x14ac:dyDescent="0.3">
      <c r="A4561" t="s">
        <v>52</v>
      </c>
      <c r="B4561" t="s">
        <v>53</v>
      </c>
      <c r="C4561" t="s">
        <v>54</v>
      </c>
      <c r="D4561" t="s">
        <v>55</v>
      </c>
      <c r="E4561" t="s">
        <v>2223</v>
      </c>
      <c r="F4561" t="s">
        <v>190</v>
      </c>
      <c r="G4561" t="s">
        <v>851</v>
      </c>
      <c r="H4561" t="s">
        <v>852</v>
      </c>
      <c r="I4561" t="s">
        <v>852</v>
      </c>
      <c r="J4561" t="s">
        <v>60</v>
      </c>
      <c r="K4561" t="s">
        <v>853</v>
      </c>
      <c r="L4561" t="s">
        <v>62</v>
      </c>
      <c r="M4561" t="s">
        <v>853</v>
      </c>
      <c r="N4561" t="s">
        <v>854</v>
      </c>
      <c r="O4561" t="s">
        <v>855</v>
      </c>
      <c r="P4561">
        <v>-20.127835000000001</v>
      </c>
      <c r="Q4561">
        <v>-44.909329</v>
      </c>
      <c r="R4561" s="2" t="str">
        <f>HYPERLINK("https://www.google.com/maps?q=-20.1278350,-44.9093290","Abrir no Google Maps")</f>
        <v>Abrir no Google Maps</v>
      </c>
      <c r="S4561">
        <v>3</v>
      </c>
      <c r="T4561">
        <v>1173.033690896357</v>
      </c>
      <c r="U4561">
        <v>3</v>
      </c>
      <c r="V4561">
        <v>0.1154203657333636</v>
      </c>
      <c r="W4561">
        <v>1</v>
      </c>
      <c r="X4561">
        <v>0.1154203657333636</v>
      </c>
      <c r="Y4561">
        <v>581</v>
      </c>
      <c r="Z4561">
        <v>1296.5011565926129</v>
      </c>
      <c r="AA4561">
        <v>198</v>
      </c>
      <c r="AB4561">
        <v>332</v>
      </c>
      <c r="AC4561">
        <v>536</v>
      </c>
      <c r="AD4561">
        <v>30.35</v>
      </c>
      <c r="AE4561">
        <v>542</v>
      </c>
      <c r="AF4561">
        <v>37</v>
      </c>
      <c r="AG4561">
        <v>161</v>
      </c>
      <c r="AH4561">
        <v>129</v>
      </c>
      <c r="AI4561">
        <v>6.83</v>
      </c>
      <c r="AJ4561">
        <v>29.7</v>
      </c>
      <c r="AK4561">
        <v>23.8</v>
      </c>
      <c r="AL4561">
        <v>-20.127852899999969</v>
      </c>
      <c r="AM4561">
        <v>-44.909386667699948</v>
      </c>
      <c r="AN4561">
        <v>-20.127852899999969</v>
      </c>
      <c r="AO4561">
        <v>-44.909386667699948</v>
      </c>
      <c r="AP4561">
        <v>-20.127835000000001</v>
      </c>
      <c r="AQ4561">
        <v>-44.909329</v>
      </c>
      <c r="AR4561">
        <v>6.3483385067119924</v>
      </c>
      <c r="AS4561" t="s">
        <v>65</v>
      </c>
      <c r="AT4561">
        <v>1</v>
      </c>
      <c r="AU4561" t="s">
        <v>856</v>
      </c>
      <c r="AV4561" t="s">
        <v>857</v>
      </c>
      <c r="AW4561" t="s">
        <v>60</v>
      </c>
      <c r="AX4561" t="s">
        <v>68</v>
      </c>
      <c r="AY4561" t="s">
        <v>69</v>
      </c>
      <c r="AZ4561" t="b">
        <v>1</v>
      </c>
    </row>
    <row r="4562" spans="1:52" x14ac:dyDescent="0.3">
      <c r="A4562" t="s">
        <v>52</v>
      </c>
      <c r="B4562" t="s">
        <v>53</v>
      </c>
      <c r="C4562" t="s">
        <v>54</v>
      </c>
      <c r="D4562" t="s">
        <v>55</v>
      </c>
      <c r="E4562" t="s">
        <v>2223</v>
      </c>
      <c r="F4562" t="s">
        <v>190</v>
      </c>
      <c r="G4562" t="s">
        <v>864</v>
      </c>
      <c r="H4562" t="s">
        <v>865</v>
      </c>
      <c r="I4562" t="s">
        <v>865</v>
      </c>
      <c r="J4562" t="s">
        <v>60</v>
      </c>
      <c r="K4562" t="s">
        <v>486</v>
      </c>
      <c r="L4562" t="s">
        <v>62</v>
      </c>
      <c r="M4562" t="s">
        <v>486</v>
      </c>
      <c r="N4562" t="s">
        <v>866</v>
      </c>
      <c r="O4562" t="s">
        <v>867</v>
      </c>
      <c r="P4562">
        <v>-20.170919000000001</v>
      </c>
      <c r="Q4562">
        <v>-44.905451999999997</v>
      </c>
      <c r="R4562" s="2" t="str">
        <f>HYPERLINK("https://www.google.com/maps?q=-20.1709190,-44.9054520","Abrir no Google Maps")</f>
        <v>Abrir no Google Maps</v>
      </c>
      <c r="S4562">
        <v>3</v>
      </c>
      <c r="T4562">
        <v>0</v>
      </c>
      <c r="U4562">
        <v>3</v>
      </c>
      <c r="V4562">
        <v>0.1170871432880166</v>
      </c>
      <c r="W4562">
        <v>1</v>
      </c>
      <c r="X4562">
        <v>0.1170871432880166</v>
      </c>
      <c r="Y4562">
        <v>578</v>
      </c>
      <c r="Z4562">
        <v>205.34598855748419</v>
      </c>
      <c r="AA4562">
        <v>198</v>
      </c>
      <c r="AB4562">
        <v>332</v>
      </c>
      <c r="AC4562">
        <v>536</v>
      </c>
      <c r="AD4562">
        <v>30.35</v>
      </c>
      <c r="AE4562">
        <v>542</v>
      </c>
      <c r="AF4562">
        <v>37</v>
      </c>
      <c r="AG4562">
        <v>161</v>
      </c>
      <c r="AH4562">
        <v>129</v>
      </c>
      <c r="AI4562">
        <v>6.83</v>
      </c>
      <c r="AJ4562">
        <v>29.7</v>
      </c>
      <c r="AK4562">
        <v>23.8</v>
      </c>
      <c r="AL4562">
        <v>-20.170854399999939</v>
      </c>
      <c r="AM4562">
        <v>-44.905524839633358</v>
      </c>
      <c r="AN4562">
        <v>-20.170854399999939</v>
      </c>
      <c r="AO4562">
        <v>-44.905524839633358</v>
      </c>
      <c r="AP4562">
        <v>-20.170919000000001</v>
      </c>
      <c r="AQ4562">
        <v>-44.905451999999997</v>
      </c>
      <c r="AR4562">
        <v>10.471140355179269</v>
      </c>
      <c r="AS4562" t="s">
        <v>65</v>
      </c>
      <c r="AT4562">
        <v>1</v>
      </c>
      <c r="AU4562" t="s">
        <v>868</v>
      </c>
      <c r="AV4562" t="s">
        <v>869</v>
      </c>
      <c r="AW4562" t="s">
        <v>60</v>
      </c>
      <c r="AX4562" t="s">
        <v>68</v>
      </c>
      <c r="AY4562" t="s">
        <v>69</v>
      </c>
      <c r="AZ4562" t="b">
        <v>1</v>
      </c>
    </row>
    <row r="4563" spans="1:52" x14ac:dyDescent="0.3">
      <c r="A4563" t="s">
        <v>52</v>
      </c>
      <c r="B4563" t="s">
        <v>53</v>
      </c>
      <c r="C4563" t="s">
        <v>54</v>
      </c>
      <c r="D4563" t="s">
        <v>55</v>
      </c>
      <c r="E4563" t="s">
        <v>2223</v>
      </c>
      <c r="F4563" t="s">
        <v>190</v>
      </c>
      <c r="G4563" t="s">
        <v>1376</v>
      </c>
      <c r="H4563" t="s">
        <v>1377</v>
      </c>
      <c r="I4563" t="s">
        <v>1377</v>
      </c>
      <c r="J4563" t="s">
        <v>60</v>
      </c>
      <c r="K4563" t="s">
        <v>475</v>
      </c>
      <c r="L4563" t="s">
        <v>62</v>
      </c>
      <c r="M4563" t="s">
        <v>475</v>
      </c>
      <c r="N4563" t="s">
        <v>1378</v>
      </c>
      <c r="O4563" t="s">
        <v>1379</v>
      </c>
      <c r="P4563">
        <v>-20.175298000000002</v>
      </c>
      <c r="Q4563">
        <v>-44.904794000000003</v>
      </c>
      <c r="R4563" s="2" t="str">
        <f>HYPERLINK("https://www.google.com/maps?q=-20.1752980,-44.9047940","Abrir no Google Maps")</f>
        <v>Abrir no Google Maps</v>
      </c>
      <c r="S4563">
        <v>3</v>
      </c>
      <c r="T4563">
        <v>497.7557906927301</v>
      </c>
      <c r="U4563">
        <v>3</v>
      </c>
      <c r="V4563">
        <v>0.1319692514560197</v>
      </c>
      <c r="W4563">
        <v>0.85</v>
      </c>
      <c r="X4563">
        <v>0.1121738637376167</v>
      </c>
      <c r="Y4563">
        <v>578</v>
      </c>
      <c r="Z4563">
        <v>363.80816567363502</v>
      </c>
      <c r="AA4563">
        <v>198</v>
      </c>
      <c r="AB4563">
        <v>332</v>
      </c>
      <c r="AC4563">
        <v>536</v>
      </c>
      <c r="AD4563">
        <v>30.35</v>
      </c>
      <c r="AE4563">
        <v>542</v>
      </c>
      <c r="AF4563">
        <v>37</v>
      </c>
      <c r="AG4563">
        <v>161</v>
      </c>
      <c r="AH4563">
        <v>129</v>
      </c>
      <c r="AI4563">
        <v>6.83</v>
      </c>
      <c r="AJ4563">
        <v>29.7</v>
      </c>
      <c r="AK4563">
        <v>23.8</v>
      </c>
      <c r="AL4563">
        <v>-20.17530484999995</v>
      </c>
      <c r="AM4563">
        <v>-44.904834224351781</v>
      </c>
      <c r="AN4563">
        <v>-20.17530484999995</v>
      </c>
      <c r="AO4563">
        <v>-44.904834224351781</v>
      </c>
      <c r="AP4563">
        <v>-20.175298000000002</v>
      </c>
      <c r="AQ4563">
        <v>-44.904794000000003</v>
      </c>
      <c r="AR4563">
        <v>4.2716392411563806</v>
      </c>
      <c r="AS4563" t="s">
        <v>65</v>
      </c>
      <c r="AT4563">
        <v>1</v>
      </c>
      <c r="AU4563" t="s">
        <v>1380</v>
      </c>
      <c r="AV4563" t="s">
        <v>1381</v>
      </c>
      <c r="AW4563" t="s">
        <v>60</v>
      </c>
      <c r="AX4563" t="s">
        <v>68</v>
      </c>
      <c r="AY4563" t="s">
        <v>69</v>
      </c>
      <c r="AZ4563" t="b">
        <v>1</v>
      </c>
    </row>
    <row r="4564" spans="1:52" x14ac:dyDescent="0.3">
      <c r="A4564" t="s">
        <v>52</v>
      </c>
      <c r="B4564" t="s">
        <v>53</v>
      </c>
      <c r="C4564" t="s">
        <v>54</v>
      </c>
      <c r="D4564" t="s">
        <v>55</v>
      </c>
      <c r="E4564" t="s">
        <v>2223</v>
      </c>
      <c r="F4564" t="s">
        <v>190</v>
      </c>
      <c r="G4564" t="s">
        <v>473</v>
      </c>
      <c r="H4564" t="s">
        <v>474</v>
      </c>
      <c r="I4564" t="s">
        <v>474</v>
      </c>
      <c r="J4564" t="s">
        <v>60</v>
      </c>
      <c r="K4564" t="s">
        <v>475</v>
      </c>
      <c r="L4564" t="s">
        <v>62</v>
      </c>
      <c r="M4564" t="s">
        <v>475</v>
      </c>
      <c r="N4564" t="s">
        <v>406</v>
      </c>
      <c r="O4564" t="s">
        <v>476</v>
      </c>
      <c r="P4564">
        <v>-20.177902</v>
      </c>
      <c r="Q4564">
        <v>-44.908504000000001</v>
      </c>
      <c r="R4564" s="2" t="str">
        <f>HYPERLINK("https://www.google.com/maps?q=-20.1779020,-44.9085040","Abrir no Google Maps")</f>
        <v>Abrir no Google Maps</v>
      </c>
      <c r="S4564">
        <v>3</v>
      </c>
      <c r="T4564">
        <v>656.92307673247149</v>
      </c>
      <c r="U4564">
        <v>3</v>
      </c>
      <c r="V4564">
        <v>0.11810224241113269</v>
      </c>
      <c r="W4564">
        <v>1</v>
      </c>
      <c r="X4564">
        <v>0.11810224241113269</v>
      </c>
      <c r="Y4564">
        <v>578</v>
      </c>
      <c r="Z4564">
        <v>635.01982153722327</v>
      </c>
      <c r="AA4564">
        <v>198</v>
      </c>
      <c r="AB4564">
        <v>332</v>
      </c>
      <c r="AC4564">
        <v>536</v>
      </c>
      <c r="AD4564">
        <v>30.35</v>
      </c>
      <c r="AE4564">
        <v>542</v>
      </c>
      <c r="AF4564">
        <v>37</v>
      </c>
      <c r="AG4564">
        <v>161</v>
      </c>
      <c r="AH4564">
        <v>129</v>
      </c>
      <c r="AI4564">
        <v>6.83</v>
      </c>
      <c r="AJ4564">
        <v>29.7</v>
      </c>
      <c r="AK4564">
        <v>23.8</v>
      </c>
      <c r="AL4564">
        <v>-20.177800399999938</v>
      </c>
      <c r="AM4564">
        <v>-44.908361879701268</v>
      </c>
      <c r="AN4564">
        <v>-20.177800399999938</v>
      </c>
      <c r="AO4564">
        <v>-44.908361879701268</v>
      </c>
      <c r="AP4564">
        <v>-20.177902</v>
      </c>
      <c r="AQ4564">
        <v>-44.908504000000001</v>
      </c>
      <c r="AR4564">
        <v>18.666463141775541</v>
      </c>
      <c r="AS4564" t="s">
        <v>65</v>
      </c>
      <c r="AT4564">
        <v>1</v>
      </c>
      <c r="AU4564" t="s">
        <v>477</v>
      </c>
      <c r="AV4564" t="s">
        <v>478</v>
      </c>
      <c r="AW4564" t="s">
        <v>60</v>
      </c>
      <c r="AX4564" t="s">
        <v>68</v>
      </c>
      <c r="AY4564" t="s">
        <v>69</v>
      </c>
      <c r="AZ4564" t="b">
        <v>1</v>
      </c>
    </row>
    <row r="4565" spans="1:52" x14ac:dyDescent="0.3">
      <c r="A4565" t="s">
        <v>52</v>
      </c>
      <c r="B4565" t="s">
        <v>53</v>
      </c>
      <c r="C4565" t="s">
        <v>54</v>
      </c>
      <c r="D4565" t="s">
        <v>55</v>
      </c>
      <c r="E4565" t="s">
        <v>2223</v>
      </c>
      <c r="F4565" t="s">
        <v>190</v>
      </c>
      <c r="G4565" t="s">
        <v>510</v>
      </c>
      <c r="H4565" t="s">
        <v>511</v>
      </c>
      <c r="I4565" t="s">
        <v>511</v>
      </c>
      <c r="J4565" t="s">
        <v>60</v>
      </c>
      <c r="K4565" t="s">
        <v>512</v>
      </c>
      <c r="L4565" t="s">
        <v>62</v>
      </c>
      <c r="M4565" t="s">
        <v>512</v>
      </c>
      <c r="N4565" t="s">
        <v>406</v>
      </c>
      <c r="O4565" t="s">
        <v>513</v>
      </c>
      <c r="P4565">
        <v>-20.127853000000002</v>
      </c>
      <c r="Q4565">
        <v>-44.891415000000002</v>
      </c>
      <c r="R4565" s="2" t="str">
        <f>HYPERLINK("https://www.google.com/maps?q=-20.1278530,-44.8914150","Abrir no Google Maps")</f>
        <v>Abrir no Google Maps</v>
      </c>
      <c r="S4565">
        <v>3</v>
      </c>
      <c r="T4565">
        <v>340.86994528233612</v>
      </c>
      <c r="U4565">
        <v>3</v>
      </c>
      <c r="V4565">
        <v>0.1134226436645791</v>
      </c>
      <c r="W4565">
        <v>1</v>
      </c>
      <c r="X4565">
        <v>0.1134226436645791</v>
      </c>
      <c r="Y4565">
        <v>564</v>
      </c>
      <c r="Z4565">
        <v>294.18108015916812</v>
      </c>
      <c r="AA4565">
        <v>198</v>
      </c>
      <c r="AB4565">
        <v>332</v>
      </c>
      <c r="AC4565">
        <v>536</v>
      </c>
      <c r="AD4565">
        <v>30.35</v>
      </c>
      <c r="AE4565">
        <v>542</v>
      </c>
      <c r="AF4565">
        <v>37</v>
      </c>
      <c r="AG4565">
        <v>161</v>
      </c>
      <c r="AH4565">
        <v>129</v>
      </c>
      <c r="AI4565">
        <v>6.83</v>
      </c>
      <c r="AJ4565">
        <v>29.7</v>
      </c>
      <c r="AK4565">
        <v>23.8</v>
      </c>
      <c r="AL4565">
        <v>-20.12777399999996</v>
      </c>
      <c r="AM4565">
        <v>-44.891400975758501</v>
      </c>
      <c r="AN4565">
        <v>-20.12777399999996</v>
      </c>
      <c r="AO4565">
        <v>-44.891400975758501</v>
      </c>
      <c r="AP4565">
        <v>-20.127853000000002</v>
      </c>
      <c r="AQ4565">
        <v>-44.891415000000002</v>
      </c>
      <c r="AR4565">
        <v>8.9156059162975616</v>
      </c>
      <c r="AS4565" t="s">
        <v>65</v>
      </c>
      <c r="AT4565">
        <v>1</v>
      </c>
      <c r="AU4565" t="s">
        <v>514</v>
      </c>
      <c r="AV4565" t="s">
        <v>515</v>
      </c>
      <c r="AW4565" t="s">
        <v>60</v>
      </c>
      <c r="AX4565" t="s">
        <v>68</v>
      </c>
      <c r="AY4565" t="s">
        <v>69</v>
      </c>
      <c r="AZ4565" t="b">
        <v>1</v>
      </c>
    </row>
    <row r="4566" spans="1:52" x14ac:dyDescent="0.3">
      <c r="A4566" t="s">
        <v>52</v>
      </c>
      <c r="B4566" t="s">
        <v>53</v>
      </c>
      <c r="C4566" t="s">
        <v>54</v>
      </c>
      <c r="D4566" t="s">
        <v>55</v>
      </c>
      <c r="E4566" t="s">
        <v>2223</v>
      </c>
      <c r="F4566" t="s">
        <v>190</v>
      </c>
      <c r="G4566" t="s">
        <v>516</v>
      </c>
      <c r="H4566" t="s">
        <v>517</v>
      </c>
      <c r="I4566" t="s">
        <v>517</v>
      </c>
      <c r="J4566" t="s">
        <v>60</v>
      </c>
      <c r="K4566" t="s">
        <v>518</v>
      </c>
      <c r="L4566" t="s">
        <v>62</v>
      </c>
      <c r="M4566" t="s">
        <v>518</v>
      </c>
      <c r="N4566" t="s">
        <v>519</v>
      </c>
      <c r="O4566" t="s">
        <v>520</v>
      </c>
      <c r="P4566">
        <v>-20.124502</v>
      </c>
      <c r="Q4566">
        <v>-44.888424000000001</v>
      </c>
      <c r="R4566" s="2" t="str">
        <f>HYPERLINK("https://www.google.com/maps?q=-20.1245020,-44.8884240","Abrir no Google Maps")</f>
        <v>Abrir no Google Maps</v>
      </c>
      <c r="S4566">
        <v>3</v>
      </c>
      <c r="T4566">
        <v>483.42298121929559</v>
      </c>
      <c r="U4566">
        <v>3</v>
      </c>
      <c r="V4566">
        <v>0.11974636726231259</v>
      </c>
      <c r="W4566">
        <v>1</v>
      </c>
      <c r="X4566">
        <v>0.11974636726231259</v>
      </c>
      <c r="Y4566">
        <v>564</v>
      </c>
      <c r="Z4566">
        <v>565.43074237076587</v>
      </c>
      <c r="AA4566">
        <v>198</v>
      </c>
      <c r="AB4566">
        <v>332</v>
      </c>
      <c r="AC4566">
        <v>536</v>
      </c>
      <c r="AD4566">
        <v>30.35</v>
      </c>
      <c r="AE4566">
        <v>542</v>
      </c>
      <c r="AF4566">
        <v>37</v>
      </c>
      <c r="AG4566">
        <v>161</v>
      </c>
      <c r="AH4566">
        <v>129</v>
      </c>
      <c r="AI4566">
        <v>6.83</v>
      </c>
      <c r="AJ4566">
        <v>29.7</v>
      </c>
      <c r="AK4566">
        <v>23.8</v>
      </c>
      <c r="AL4566">
        <v>-20.124624949999941</v>
      </c>
      <c r="AM4566">
        <v>-44.888432821777258</v>
      </c>
      <c r="AN4566">
        <v>-20.124624949999941</v>
      </c>
      <c r="AO4566">
        <v>-44.888432821777258</v>
      </c>
      <c r="AP4566">
        <v>-20.124502</v>
      </c>
      <c r="AQ4566">
        <v>-44.888424000000001</v>
      </c>
      <c r="AR4566">
        <v>13.717819333897451</v>
      </c>
      <c r="AS4566" t="s">
        <v>65</v>
      </c>
      <c r="AT4566">
        <v>1</v>
      </c>
      <c r="AU4566" t="s">
        <v>521</v>
      </c>
      <c r="AV4566" t="s">
        <v>522</v>
      </c>
      <c r="AW4566" t="s">
        <v>60</v>
      </c>
      <c r="AX4566" t="s">
        <v>68</v>
      </c>
      <c r="AY4566" t="s">
        <v>69</v>
      </c>
      <c r="AZ4566" t="b">
        <v>1</v>
      </c>
    </row>
    <row r="4567" spans="1:52" x14ac:dyDescent="0.3">
      <c r="A4567" t="s">
        <v>52</v>
      </c>
      <c r="B4567" t="s">
        <v>53</v>
      </c>
      <c r="C4567" t="s">
        <v>54</v>
      </c>
      <c r="D4567" t="s">
        <v>55</v>
      </c>
      <c r="E4567" t="s">
        <v>2223</v>
      </c>
      <c r="F4567" t="s">
        <v>190</v>
      </c>
      <c r="G4567" t="s">
        <v>1429</v>
      </c>
      <c r="H4567" t="s">
        <v>1430</v>
      </c>
      <c r="I4567" t="s">
        <v>1430</v>
      </c>
      <c r="J4567" t="s">
        <v>60</v>
      </c>
      <c r="K4567" t="s">
        <v>505</v>
      </c>
      <c r="L4567" t="s">
        <v>62</v>
      </c>
      <c r="M4567" t="s">
        <v>505</v>
      </c>
      <c r="N4567" t="s">
        <v>1431</v>
      </c>
      <c r="O4567" t="s">
        <v>1432</v>
      </c>
      <c r="P4567">
        <v>-20.132069000000001</v>
      </c>
      <c r="Q4567">
        <v>-44.891694000000001</v>
      </c>
      <c r="R4567" s="2" t="str">
        <f>HYPERLINK("https://www.google.com/maps?q=-20.1320690,-44.8916940","Abrir no Google Maps")</f>
        <v>Abrir no Google Maps</v>
      </c>
      <c r="S4567">
        <v>3</v>
      </c>
      <c r="T4567">
        <v>463.84477613866852</v>
      </c>
      <c r="U4567">
        <v>3</v>
      </c>
      <c r="V4567">
        <v>0.13283250128008189</v>
      </c>
      <c r="W4567">
        <v>0.85</v>
      </c>
      <c r="X4567">
        <v>0.1129076260880696</v>
      </c>
      <c r="Y4567">
        <v>564</v>
      </c>
      <c r="Z4567">
        <v>349.6044774510159</v>
      </c>
      <c r="AA4567">
        <v>198</v>
      </c>
      <c r="AB4567">
        <v>332</v>
      </c>
      <c r="AC4567">
        <v>536</v>
      </c>
      <c r="AD4567">
        <v>30.35</v>
      </c>
      <c r="AE4567">
        <v>542</v>
      </c>
      <c r="AF4567">
        <v>37</v>
      </c>
      <c r="AG4567">
        <v>161</v>
      </c>
      <c r="AH4567">
        <v>129</v>
      </c>
      <c r="AI4567">
        <v>6.83</v>
      </c>
      <c r="AJ4567">
        <v>29.7</v>
      </c>
      <c r="AK4567">
        <v>23.8</v>
      </c>
      <c r="AL4567">
        <v>-20.131860799999941</v>
      </c>
      <c r="AM4567">
        <v>-44.891643045551348</v>
      </c>
      <c r="AN4567">
        <v>-20.131860799999941</v>
      </c>
      <c r="AO4567">
        <v>-44.891643045551348</v>
      </c>
      <c r="AP4567">
        <v>-20.132069000000001</v>
      </c>
      <c r="AQ4567">
        <v>-44.891694000000001</v>
      </c>
      <c r="AR4567">
        <v>23.780836080569209</v>
      </c>
      <c r="AS4567" t="s">
        <v>65</v>
      </c>
      <c r="AT4567">
        <v>1</v>
      </c>
      <c r="AU4567" t="s">
        <v>1433</v>
      </c>
      <c r="AV4567" t="s">
        <v>1434</v>
      </c>
      <c r="AW4567" t="s">
        <v>60</v>
      </c>
      <c r="AX4567" t="s">
        <v>68</v>
      </c>
      <c r="AY4567" t="s">
        <v>69</v>
      </c>
      <c r="AZ4567" t="b">
        <v>1</v>
      </c>
    </row>
    <row r="4568" spans="1:52" x14ac:dyDescent="0.3">
      <c r="A4568" t="s">
        <v>52</v>
      </c>
      <c r="B4568" t="s">
        <v>53</v>
      </c>
      <c r="C4568" t="s">
        <v>54</v>
      </c>
      <c r="D4568" t="s">
        <v>55</v>
      </c>
      <c r="E4568" t="s">
        <v>2223</v>
      </c>
      <c r="F4568" t="s">
        <v>190</v>
      </c>
      <c r="G4568" t="s">
        <v>1435</v>
      </c>
      <c r="H4568" t="s">
        <v>1436</v>
      </c>
      <c r="I4568" t="s">
        <v>1436</v>
      </c>
      <c r="J4568" t="s">
        <v>60</v>
      </c>
      <c r="K4568" t="s">
        <v>886</v>
      </c>
      <c r="L4568" t="s">
        <v>62</v>
      </c>
      <c r="M4568" t="s">
        <v>886</v>
      </c>
      <c r="N4568" t="s">
        <v>1437</v>
      </c>
      <c r="O4568" t="s">
        <v>1438</v>
      </c>
      <c r="P4568">
        <v>-20.131108000000001</v>
      </c>
      <c r="Q4568">
        <v>-44.893228000000001</v>
      </c>
      <c r="R4568" s="2" t="str">
        <f>HYPERLINK("https://www.google.com/maps?q=-20.1311080,-44.8932280","Abrir no Google Maps")</f>
        <v>Abrir no Google Maps</v>
      </c>
      <c r="S4568">
        <v>3</v>
      </c>
      <c r="T4568">
        <v>548.07497919430136</v>
      </c>
      <c r="U4568">
        <v>3</v>
      </c>
      <c r="V4568">
        <v>0.13137268915570799</v>
      </c>
      <c r="W4568">
        <v>0.85</v>
      </c>
      <c r="X4568">
        <v>0.1116667857823518</v>
      </c>
      <c r="Y4568">
        <v>564</v>
      </c>
      <c r="Z4568">
        <v>369.17139216388432</v>
      </c>
      <c r="AA4568">
        <v>198</v>
      </c>
      <c r="AB4568">
        <v>332</v>
      </c>
      <c r="AC4568">
        <v>536</v>
      </c>
      <c r="AD4568">
        <v>30.35</v>
      </c>
      <c r="AE4568">
        <v>542</v>
      </c>
      <c r="AF4568">
        <v>37</v>
      </c>
      <c r="AG4568">
        <v>161</v>
      </c>
      <c r="AH4568">
        <v>129</v>
      </c>
      <c r="AI4568">
        <v>6.83</v>
      </c>
      <c r="AJ4568">
        <v>29.7</v>
      </c>
      <c r="AK4568">
        <v>23.8</v>
      </c>
      <c r="AL4568">
        <v>-20.13103294999997</v>
      </c>
      <c r="AM4568">
        <v>-44.89318457893738</v>
      </c>
      <c r="AN4568">
        <v>-20.13103294999997</v>
      </c>
      <c r="AO4568">
        <v>-44.89318457893738</v>
      </c>
      <c r="AP4568">
        <v>-20.131108000000001</v>
      </c>
      <c r="AQ4568">
        <v>-44.893228000000001</v>
      </c>
      <c r="AR4568">
        <v>9.5076426885244203</v>
      </c>
      <c r="AS4568" t="s">
        <v>65</v>
      </c>
      <c r="AT4568">
        <v>1</v>
      </c>
      <c r="AU4568" t="s">
        <v>1439</v>
      </c>
      <c r="AV4568" t="s">
        <v>1440</v>
      </c>
      <c r="AW4568" t="s">
        <v>60</v>
      </c>
      <c r="AX4568" t="s">
        <v>68</v>
      </c>
      <c r="AY4568" t="s">
        <v>69</v>
      </c>
      <c r="AZ4568" t="b">
        <v>1</v>
      </c>
    </row>
    <row r="4569" spans="1:52" x14ac:dyDescent="0.3">
      <c r="A4569" t="s">
        <v>52</v>
      </c>
      <c r="B4569" t="s">
        <v>53</v>
      </c>
      <c r="C4569" t="s">
        <v>54</v>
      </c>
      <c r="D4569" t="s">
        <v>55</v>
      </c>
      <c r="E4569" t="s">
        <v>2223</v>
      </c>
      <c r="F4569" t="s">
        <v>190</v>
      </c>
      <c r="G4569" t="s">
        <v>528</v>
      </c>
      <c r="H4569" t="s">
        <v>529</v>
      </c>
      <c r="I4569" t="s">
        <v>529</v>
      </c>
      <c r="J4569" t="s">
        <v>60</v>
      </c>
      <c r="K4569" t="s">
        <v>530</v>
      </c>
      <c r="L4569" t="s">
        <v>62</v>
      </c>
      <c r="M4569" t="s">
        <v>530</v>
      </c>
      <c r="N4569" t="s">
        <v>531</v>
      </c>
      <c r="O4569" t="s">
        <v>532</v>
      </c>
      <c r="P4569">
        <v>-20.142457</v>
      </c>
      <c r="Q4569">
        <v>-44.891688000000002</v>
      </c>
      <c r="R4569" s="2" t="str">
        <f>HYPERLINK("https://www.google.com/maps?q=-20.1424570,-44.8916880","Abrir no Google Maps")</f>
        <v>Abrir no Google Maps</v>
      </c>
      <c r="S4569">
        <v>3</v>
      </c>
      <c r="T4569">
        <v>0</v>
      </c>
      <c r="U4569">
        <v>3</v>
      </c>
      <c r="V4569">
        <v>0.1198740204032856</v>
      </c>
      <c r="W4569">
        <v>1</v>
      </c>
      <c r="X4569">
        <v>0.1198740204032856</v>
      </c>
      <c r="Y4569">
        <v>557</v>
      </c>
      <c r="Z4569">
        <v>42.611952255679803</v>
      </c>
      <c r="AA4569">
        <v>198</v>
      </c>
      <c r="AB4569">
        <v>332</v>
      </c>
      <c r="AC4569">
        <v>536</v>
      </c>
      <c r="AD4569">
        <v>30.35</v>
      </c>
      <c r="AE4569">
        <v>542</v>
      </c>
      <c r="AF4569">
        <v>37</v>
      </c>
      <c r="AG4569">
        <v>161</v>
      </c>
      <c r="AH4569">
        <v>129</v>
      </c>
      <c r="AI4569">
        <v>6.83</v>
      </c>
      <c r="AJ4569">
        <v>29.7</v>
      </c>
      <c r="AK4569">
        <v>23.8</v>
      </c>
      <c r="AL4569">
        <v>-20.142523099999948</v>
      </c>
      <c r="AM4569">
        <v>-44.891523817588819</v>
      </c>
      <c r="AN4569">
        <v>-20.142523099999948</v>
      </c>
      <c r="AO4569">
        <v>-44.891523817588819</v>
      </c>
      <c r="AP4569">
        <v>-20.142457</v>
      </c>
      <c r="AQ4569">
        <v>-44.891688000000002</v>
      </c>
      <c r="AR4569">
        <v>18.670129248632971</v>
      </c>
      <c r="AS4569" t="s">
        <v>65</v>
      </c>
      <c r="AT4569">
        <v>1</v>
      </c>
      <c r="AU4569" t="s">
        <v>533</v>
      </c>
      <c r="AV4569" t="s">
        <v>534</v>
      </c>
      <c r="AW4569" t="s">
        <v>60</v>
      </c>
      <c r="AX4569" t="s">
        <v>68</v>
      </c>
      <c r="AY4569" t="s">
        <v>69</v>
      </c>
      <c r="AZ4569" t="b">
        <v>1</v>
      </c>
    </row>
    <row r="4570" spans="1:52" x14ac:dyDescent="0.3">
      <c r="A4570" t="s">
        <v>52</v>
      </c>
      <c r="B4570" t="s">
        <v>53</v>
      </c>
      <c r="C4570" t="s">
        <v>54</v>
      </c>
      <c r="D4570" t="s">
        <v>55</v>
      </c>
      <c r="E4570" t="s">
        <v>2223</v>
      </c>
      <c r="F4570" t="s">
        <v>190</v>
      </c>
      <c r="G4570" t="s">
        <v>1412</v>
      </c>
      <c r="H4570" t="s">
        <v>1413</v>
      </c>
      <c r="I4570" t="s">
        <v>1413</v>
      </c>
      <c r="J4570" t="s">
        <v>60</v>
      </c>
      <c r="K4570" t="s">
        <v>892</v>
      </c>
      <c r="L4570" t="s">
        <v>62</v>
      </c>
      <c r="M4570" t="s">
        <v>892</v>
      </c>
      <c r="N4570" t="s">
        <v>1414</v>
      </c>
      <c r="O4570" t="s">
        <v>293</v>
      </c>
      <c r="P4570">
        <v>-20.150780999999998</v>
      </c>
      <c r="Q4570">
        <v>-44.897972000000003</v>
      </c>
      <c r="R4570" s="2" t="str">
        <f>HYPERLINK("https://www.google.com/maps?q=-20.1507810,-44.8979720","Abrir no Google Maps")</f>
        <v>Abrir no Google Maps</v>
      </c>
      <c r="S4570">
        <v>3</v>
      </c>
      <c r="T4570">
        <v>306.36394634674508</v>
      </c>
      <c r="U4570">
        <v>3</v>
      </c>
      <c r="V4570">
        <v>0.13433545461195229</v>
      </c>
      <c r="W4570">
        <v>0.85</v>
      </c>
      <c r="X4570">
        <v>0.1141851364201594</v>
      </c>
      <c r="Y4570">
        <v>556</v>
      </c>
      <c r="Z4570">
        <v>233.85692443628571</v>
      </c>
      <c r="AA4570">
        <v>198</v>
      </c>
      <c r="AB4570">
        <v>332</v>
      </c>
      <c r="AC4570">
        <v>536</v>
      </c>
      <c r="AD4570">
        <v>30.35</v>
      </c>
      <c r="AE4570">
        <v>542</v>
      </c>
      <c r="AF4570">
        <v>37</v>
      </c>
      <c r="AG4570">
        <v>161</v>
      </c>
      <c r="AH4570">
        <v>129</v>
      </c>
      <c r="AI4570">
        <v>6.83</v>
      </c>
      <c r="AJ4570">
        <v>29.7</v>
      </c>
      <c r="AK4570">
        <v>23.8</v>
      </c>
      <c r="AL4570">
        <v>-20.15074609999996</v>
      </c>
      <c r="AM4570">
        <v>-44.89795774234689</v>
      </c>
      <c r="AN4570">
        <v>-20.15074609999996</v>
      </c>
      <c r="AO4570">
        <v>-44.89795774234689</v>
      </c>
      <c r="AP4570">
        <v>-20.150780999999998</v>
      </c>
      <c r="AQ4570">
        <v>-44.897972000000003</v>
      </c>
      <c r="AR4570">
        <v>4.160995809097348</v>
      </c>
      <c r="AS4570" t="s">
        <v>65</v>
      </c>
      <c r="AT4570">
        <v>1</v>
      </c>
      <c r="AU4570" t="s">
        <v>1415</v>
      </c>
      <c r="AV4570" t="s">
        <v>1416</v>
      </c>
      <c r="AW4570" t="s">
        <v>60</v>
      </c>
      <c r="AX4570" t="s">
        <v>68</v>
      </c>
      <c r="AY4570" t="s">
        <v>69</v>
      </c>
      <c r="AZ4570" t="b">
        <v>1</v>
      </c>
    </row>
    <row r="4571" spans="1:52" x14ac:dyDescent="0.3">
      <c r="A4571" t="s">
        <v>52</v>
      </c>
      <c r="B4571" t="s">
        <v>53</v>
      </c>
      <c r="C4571" t="s">
        <v>54</v>
      </c>
      <c r="D4571" t="s">
        <v>55</v>
      </c>
      <c r="E4571" t="s">
        <v>2223</v>
      </c>
      <c r="F4571" t="s">
        <v>190</v>
      </c>
      <c r="G4571" t="s">
        <v>1127</v>
      </c>
      <c r="H4571" t="s">
        <v>1449</v>
      </c>
      <c r="I4571" t="s">
        <v>1449</v>
      </c>
      <c r="J4571" t="s">
        <v>60</v>
      </c>
      <c r="K4571" t="s">
        <v>1450</v>
      </c>
      <c r="L4571" t="s">
        <v>62</v>
      </c>
      <c r="M4571" t="s">
        <v>1450</v>
      </c>
      <c r="N4571" t="s">
        <v>1451</v>
      </c>
      <c r="O4571" t="s">
        <v>1452</v>
      </c>
      <c r="P4571">
        <v>-20.152612000000001</v>
      </c>
      <c r="Q4571">
        <v>-44.897098</v>
      </c>
      <c r="R4571" s="2" t="str">
        <f>HYPERLINK("https://www.google.com/maps?q=-20.1526120,-44.8970980","Abrir no Google Maps")</f>
        <v>Abrir no Google Maps</v>
      </c>
      <c r="S4571">
        <v>3</v>
      </c>
      <c r="T4571">
        <v>418.6283592063233</v>
      </c>
      <c r="U4571">
        <v>3</v>
      </c>
      <c r="V4571">
        <v>0.13754313319530709</v>
      </c>
      <c r="W4571">
        <v>0.85</v>
      </c>
      <c r="X4571">
        <v>0.116911663216011</v>
      </c>
      <c r="Y4571">
        <v>556</v>
      </c>
      <c r="Z4571">
        <v>387.16462225830952</v>
      </c>
      <c r="AA4571">
        <v>198</v>
      </c>
      <c r="AB4571">
        <v>332</v>
      </c>
      <c r="AC4571">
        <v>536</v>
      </c>
      <c r="AD4571">
        <v>30.35</v>
      </c>
      <c r="AE4571">
        <v>542</v>
      </c>
      <c r="AF4571">
        <v>37</v>
      </c>
      <c r="AG4571">
        <v>161</v>
      </c>
      <c r="AH4571">
        <v>129</v>
      </c>
      <c r="AI4571">
        <v>6.83</v>
      </c>
      <c r="AJ4571">
        <v>29.7</v>
      </c>
      <c r="AK4571">
        <v>23.8</v>
      </c>
      <c r="AL4571">
        <v>-20.15253669999996</v>
      </c>
      <c r="AM4571">
        <v>-44.897068126936119</v>
      </c>
      <c r="AN4571">
        <v>-20.15253669999996</v>
      </c>
      <c r="AO4571">
        <v>-44.897068126936119</v>
      </c>
      <c r="AP4571">
        <v>-20.152612000000001</v>
      </c>
      <c r="AQ4571">
        <v>-44.897098</v>
      </c>
      <c r="AR4571">
        <v>8.9448699164987104</v>
      </c>
      <c r="AS4571" t="s">
        <v>65</v>
      </c>
      <c r="AT4571">
        <v>1</v>
      </c>
      <c r="AU4571" t="s">
        <v>1453</v>
      </c>
      <c r="AV4571" t="s">
        <v>1454</v>
      </c>
      <c r="AW4571" t="s">
        <v>60</v>
      </c>
      <c r="AX4571" t="s">
        <v>68</v>
      </c>
      <c r="AY4571" t="s">
        <v>69</v>
      </c>
      <c r="AZ4571" t="b">
        <v>1</v>
      </c>
    </row>
    <row r="4572" spans="1:52" x14ac:dyDescent="0.3">
      <c r="A4572" t="s">
        <v>52</v>
      </c>
      <c r="B4572" t="s">
        <v>53</v>
      </c>
      <c r="C4572" t="s">
        <v>54</v>
      </c>
      <c r="D4572" t="s">
        <v>55</v>
      </c>
      <c r="E4572" t="s">
        <v>2223</v>
      </c>
      <c r="F4572" t="s">
        <v>190</v>
      </c>
      <c r="G4572" t="s">
        <v>897</v>
      </c>
      <c r="H4572" t="s">
        <v>898</v>
      </c>
      <c r="I4572" t="s">
        <v>898</v>
      </c>
      <c r="J4572" t="s">
        <v>60</v>
      </c>
      <c r="K4572" t="s">
        <v>892</v>
      </c>
      <c r="L4572" t="s">
        <v>62</v>
      </c>
      <c r="M4572" t="s">
        <v>892</v>
      </c>
      <c r="N4572" t="s">
        <v>899</v>
      </c>
      <c r="O4572" t="s">
        <v>900</v>
      </c>
      <c r="P4572">
        <v>-20.154885</v>
      </c>
      <c r="Q4572">
        <v>-44.899890999999997</v>
      </c>
      <c r="R4572" s="2" t="str">
        <f>HYPERLINK("https://www.google.com/maps?q=-20.1548850,-44.8998910","Abrir no Google Maps")</f>
        <v>Abrir no Google Maps</v>
      </c>
      <c r="S4572">
        <v>3</v>
      </c>
      <c r="T4572">
        <v>314.66339661014308</v>
      </c>
      <c r="U4572">
        <v>3</v>
      </c>
      <c r="V4572">
        <v>0.1193506910961105</v>
      </c>
      <c r="W4572">
        <v>1</v>
      </c>
      <c r="X4572">
        <v>0.1193506910961105</v>
      </c>
      <c r="Y4572">
        <v>548</v>
      </c>
      <c r="Z4572">
        <v>319.02252584834253</v>
      </c>
      <c r="AA4572">
        <v>198</v>
      </c>
      <c r="AB4572">
        <v>332</v>
      </c>
      <c r="AC4572">
        <v>536</v>
      </c>
      <c r="AD4572">
        <v>30.35</v>
      </c>
      <c r="AE4572">
        <v>542</v>
      </c>
      <c r="AF4572">
        <v>37</v>
      </c>
      <c r="AG4572">
        <v>161</v>
      </c>
      <c r="AH4572">
        <v>129</v>
      </c>
      <c r="AI4572">
        <v>6.83</v>
      </c>
      <c r="AJ4572">
        <v>29.7</v>
      </c>
      <c r="AK4572">
        <v>23.8</v>
      </c>
      <c r="AL4572">
        <v>-20.154906649999951</v>
      </c>
      <c r="AM4572">
        <v>-44.899894072543653</v>
      </c>
      <c r="AN4572">
        <v>-20.154906649999951</v>
      </c>
      <c r="AO4572">
        <v>-44.899894072543653</v>
      </c>
      <c r="AP4572">
        <v>-20.154885</v>
      </c>
      <c r="AQ4572">
        <v>-44.899890999999997</v>
      </c>
      <c r="AR4572">
        <v>2.431373123904943</v>
      </c>
      <c r="AS4572" t="s">
        <v>65</v>
      </c>
      <c r="AT4572">
        <v>1</v>
      </c>
      <c r="AU4572" t="s">
        <v>901</v>
      </c>
      <c r="AV4572" t="s">
        <v>902</v>
      </c>
      <c r="AW4572" t="s">
        <v>60</v>
      </c>
      <c r="AX4572" t="s">
        <v>68</v>
      </c>
      <c r="AY4572" t="s">
        <v>69</v>
      </c>
      <c r="AZ4572" t="b">
        <v>1</v>
      </c>
    </row>
    <row r="4573" spans="1:52" x14ac:dyDescent="0.3">
      <c r="A4573" t="s">
        <v>52</v>
      </c>
      <c r="B4573" t="s">
        <v>53</v>
      </c>
      <c r="C4573" t="s">
        <v>54</v>
      </c>
      <c r="D4573" t="s">
        <v>55</v>
      </c>
      <c r="E4573" t="s">
        <v>2223</v>
      </c>
      <c r="F4573" t="s">
        <v>190</v>
      </c>
      <c r="G4573" t="s">
        <v>551</v>
      </c>
      <c r="H4573" t="s">
        <v>552</v>
      </c>
      <c r="I4573" t="s">
        <v>552</v>
      </c>
      <c r="J4573" t="s">
        <v>60</v>
      </c>
      <c r="K4573" t="s">
        <v>388</v>
      </c>
      <c r="L4573" t="s">
        <v>62</v>
      </c>
      <c r="M4573" t="s">
        <v>388</v>
      </c>
      <c r="N4573" t="s">
        <v>553</v>
      </c>
      <c r="O4573" t="s">
        <v>315</v>
      </c>
      <c r="P4573">
        <v>-20.153086999999999</v>
      </c>
      <c r="Q4573">
        <v>-44.905451999999997</v>
      </c>
      <c r="R4573" s="2" t="str">
        <f>HYPERLINK("https://www.google.com/maps?q=-20.1530870,-44.9054520","Abrir no Google Maps")</f>
        <v>Abrir no Google Maps</v>
      </c>
      <c r="S4573">
        <v>3</v>
      </c>
      <c r="T4573">
        <v>313.69387682409018</v>
      </c>
      <c r="U4573">
        <v>3</v>
      </c>
      <c r="V4573">
        <v>0.115200372891255</v>
      </c>
      <c r="W4573">
        <v>1</v>
      </c>
      <c r="X4573">
        <v>0.115200372891255</v>
      </c>
      <c r="Y4573">
        <v>548</v>
      </c>
      <c r="Z4573">
        <v>319.51605309906859</v>
      </c>
      <c r="AA4573">
        <v>198</v>
      </c>
      <c r="AB4573">
        <v>332</v>
      </c>
      <c r="AC4573">
        <v>536</v>
      </c>
      <c r="AD4573">
        <v>30.35</v>
      </c>
      <c r="AE4573">
        <v>542</v>
      </c>
      <c r="AF4573">
        <v>37</v>
      </c>
      <c r="AG4573">
        <v>161</v>
      </c>
      <c r="AH4573">
        <v>129</v>
      </c>
      <c r="AI4573">
        <v>6.83</v>
      </c>
      <c r="AJ4573">
        <v>29.7</v>
      </c>
      <c r="AK4573">
        <v>23.8</v>
      </c>
      <c r="AL4573">
        <v>-20.153043049999951</v>
      </c>
      <c r="AM4573">
        <v>-44.905348275899513</v>
      </c>
      <c r="AN4573">
        <v>-20.153043049999951</v>
      </c>
      <c r="AO4573">
        <v>-44.905348275899513</v>
      </c>
      <c r="AP4573">
        <v>-20.153086999999999</v>
      </c>
      <c r="AQ4573">
        <v>-44.905451999999997</v>
      </c>
      <c r="AR4573">
        <v>11.892619975648341</v>
      </c>
      <c r="AS4573" t="s">
        <v>65</v>
      </c>
      <c r="AT4573">
        <v>1</v>
      </c>
      <c r="AU4573" t="s">
        <v>554</v>
      </c>
      <c r="AV4573" t="s">
        <v>555</v>
      </c>
      <c r="AW4573" t="s">
        <v>60</v>
      </c>
      <c r="AX4573" t="s">
        <v>68</v>
      </c>
      <c r="AY4573" t="s">
        <v>69</v>
      </c>
      <c r="AZ4573" t="b">
        <v>1</v>
      </c>
    </row>
    <row r="4574" spans="1:52" x14ac:dyDescent="0.3">
      <c r="A4574" t="s">
        <v>52</v>
      </c>
      <c r="B4574" t="s">
        <v>53</v>
      </c>
      <c r="C4574" t="s">
        <v>54</v>
      </c>
      <c r="D4574" t="s">
        <v>55</v>
      </c>
      <c r="E4574" t="s">
        <v>2223</v>
      </c>
      <c r="F4574" t="s">
        <v>190</v>
      </c>
      <c r="G4574" t="s">
        <v>568</v>
      </c>
      <c r="H4574" t="s">
        <v>569</v>
      </c>
      <c r="I4574" t="s">
        <v>569</v>
      </c>
      <c r="J4574" t="s">
        <v>60</v>
      </c>
      <c r="K4574" t="s">
        <v>61</v>
      </c>
      <c r="L4574" t="s">
        <v>62</v>
      </c>
      <c r="M4574" t="s">
        <v>61</v>
      </c>
      <c r="N4574" t="s">
        <v>570</v>
      </c>
      <c r="O4574" t="s">
        <v>548</v>
      </c>
      <c r="P4574">
        <v>-20.151508</v>
      </c>
      <c r="Q4574">
        <v>-44.907826</v>
      </c>
      <c r="R4574" s="2" t="str">
        <f>HYPERLINK("https://www.google.com/maps?q=-20.1515080,-44.9078260","Abrir no Google Maps")</f>
        <v>Abrir no Google Maps</v>
      </c>
      <c r="S4574">
        <v>3</v>
      </c>
      <c r="T4574">
        <v>567.15905416240514</v>
      </c>
      <c r="U4574">
        <v>3</v>
      </c>
      <c r="V4574">
        <v>0.13443696221473991</v>
      </c>
      <c r="W4574">
        <v>0.85</v>
      </c>
      <c r="X4574">
        <v>0.1142714178825289</v>
      </c>
      <c r="Y4574">
        <v>548</v>
      </c>
      <c r="Z4574">
        <v>560.49158010771464</v>
      </c>
      <c r="AA4574">
        <v>198</v>
      </c>
      <c r="AB4574">
        <v>332</v>
      </c>
      <c r="AC4574">
        <v>536</v>
      </c>
      <c r="AD4574">
        <v>30.35</v>
      </c>
      <c r="AE4574">
        <v>542</v>
      </c>
      <c r="AF4574">
        <v>37</v>
      </c>
      <c r="AG4574">
        <v>161</v>
      </c>
      <c r="AH4574">
        <v>129</v>
      </c>
      <c r="AI4574">
        <v>6.83</v>
      </c>
      <c r="AJ4574">
        <v>29.7</v>
      </c>
      <c r="AK4574">
        <v>23.8</v>
      </c>
      <c r="AL4574">
        <v>-20.15211779999996</v>
      </c>
      <c r="AM4574">
        <v>-44.907597469593128</v>
      </c>
      <c r="AN4574">
        <v>-20.15211779999996</v>
      </c>
      <c r="AO4574">
        <v>-44.907597469593128</v>
      </c>
      <c r="AP4574">
        <v>-20.151508</v>
      </c>
      <c r="AQ4574">
        <v>-44.907826</v>
      </c>
      <c r="AR4574">
        <v>71.961597929314735</v>
      </c>
      <c r="AS4574" t="s">
        <v>65</v>
      </c>
      <c r="AT4574">
        <v>1</v>
      </c>
      <c r="AU4574" t="s">
        <v>571</v>
      </c>
      <c r="AV4574" t="s">
        <v>572</v>
      </c>
      <c r="AW4574" t="s">
        <v>60</v>
      </c>
      <c r="AX4574" t="s">
        <v>68</v>
      </c>
      <c r="AY4574" t="s">
        <v>69</v>
      </c>
      <c r="AZ4574" t="b">
        <v>1</v>
      </c>
    </row>
    <row r="4575" spans="1:52" x14ac:dyDescent="0.3">
      <c r="A4575" t="s">
        <v>52</v>
      </c>
      <c r="B4575" t="s">
        <v>53</v>
      </c>
      <c r="C4575" t="s">
        <v>54</v>
      </c>
      <c r="D4575" t="s">
        <v>55</v>
      </c>
      <c r="E4575" t="s">
        <v>2223</v>
      </c>
      <c r="F4575" t="s">
        <v>190</v>
      </c>
      <c r="G4575" t="s">
        <v>903</v>
      </c>
      <c r="H4575" t="s">
        <v>904</v>
      </c>
      <c r="I4575" t="s">
        <v>904</v>
      </c>
      <c r="J4575" t="s">
        <v>60</v>
      </c>
      <c r="K4575" t="s">
        <v>905</v>
      </c>
      <c r="L4575" t="s">
        <v>62</v>
      </c>
      <c r="M4575" t="s">
        <v>905</v>
      </c>
      <c r="N4575" t="s">
        <v>906</v>
      </c>
      <c r="O4575" t="s">
        <v>907</v>
      </c>
      <c r="P4575">
        <v>-20.112969</v>
      </c>
      <c r="Q4575">
        <v>-44.891264</v>
      </c>
      <c r="R4575" s="2" t="str">
        <f>HYPERLINK("https://www.google.com/maps?q=-20.1129690,-44.8912640","Abrir no Google Maps")</f>
        <v>Abrir no Google Maps</v>
      </c>
      <c r="S4575">
        <v>3</v>
      </c>
      <c r="T4575">
        <v>760.33197426397032</v>
      </c>
      <c r="U4575">
        <v>3</v>
      </c>
      <c r="V4575">
        <v>0.1122786304604486</v>
      </c>
      <c r="W4575">
        <v>1</v>
      </c>
      <c r="X4575">
        <v>0.1122786304604486</v>
      </c>
      <c r="Y4575">
        <v>536</v>
      </c>
      <c r="Z4575">
        <v>755.3791742519096</v>
      </c>
      <c r="AA4575">
        <v>198</v>
      </c>
      <c r="AB4575">
        <v>332</v>
      </c>
      <c r="AC4575">
        <v>536</v>
      </c>
      <c r="AD4575">
        <v>30.35</v>
      </c>
      <c r="AE4575">
        <v>542</v>
      </c>
      <c r="AF4575">
        <v>37</v>
      </c>
      <c r="AG4575">
        <v>161</v>
      </c>
      <c r="AH4575">
        <v>129</v>
      </c>
      <c r="AI4575">
        <v>6.83</v>
      </c>
      <c r="AJ4575">
        <v>29.7</v>
      </c>
      <c r="AK4575">
        <v>23.8</v>
      </c>
      <c r="AL4575">
        <v>-20.11260604999995</v>
      </c>
      <c r="AM4575">
        <v>-44.891480970454502</v>
      </c>
      <c r="AN4575">
        <v>-20.11260604999995</v>
      </c>
      <c r="AO4575">
        <v>-44.891480970454502</v>
      </c>
      <c r="AP4575">
        <v>-20.112969</v>
      </c>
      <c r="AQ4575">
        <v>-44.891264</v>
      </c>
      <c r="AR4575">
        <v>46.334053708506183</v>
      </c>
      <c r="AS4575" t="s">
        <v>65</v>
      </c>
      <c r="AT4575">
        <v>1</v>
      </c>
      <c r="AU4575" t="s">
        <v>908</v>
      </c>
      <c r="AV4575" t="s">
        <v>909</v>
      </c>
      <c r="AW4575" t="s">
        <v>60</v>
      </c>
      <c r="AX4575" t="s">
        <v>68</v>
      </c>
      <c r="AY4575" t="s">
        <v>69</v>
      </c>
      <c r="AZ4575" t="b">
        <v>1</v>
      </c>
    </row>
    <row r="4576" spans="1:52" x14ac:dyDescent="0.3">
      <c r="A4576" t="s">
        <v>52</v>
      </c>
      <c r="B4576" t="s">
        <v>53</v>
      </c>
      <c r="C4576" t="s">
        <v>54</v>
      </c>
      <c r="D4576" t="s">
        <v>55</v>
      </c>
      <c r="E4576" t="s">
        <v>2223</v>
      </c>
      <c r="F4576" t="s">
        <v>190</v>
      </c>
      <c r="G4576" t="s">
        <v>579</v>
      </c>
      <c r="H4576" t="s">
        <v>580</v>
      </c>
      <c r="I4576" t="s">
        <v>580</v>
      </c>
      <c r="J4576" t="s">
        <v>60</v>
      </c>
      <c r="K4576" t="s">
        <v>117</v>
      </c>
      <c r="L4576" t="s">
        <v>62</v>
      </c>
      <c r="M4576" t="s">
        <v>117</v>
      </c>
      <c r="N4576" t="s">
        <v>581</v>
      </c>
      <c r="O4576" t="s">
        <v>338</v>
      </c>
      <c r="P4576">
        <v>-20.119333000000001</v>
      </c>
      <c r="Q4576">
        <v>-44.892454999999998</v>
      </c>
      <c r="R4576" s="2" t="str">
        <f>HYPERLINK("https://www.google.com/maps?q=-20.1193330,-44.8924550","Abrir no Google Maps")</f>
        <v>Abrir no Google Maps</v>
      </c>
      <c r="S4576">
        <v>3</v>
      </c>
      <c r="T4576">
        <v>545.06582215852734</v>
      </c>
      <c r="U4576">
        <v>3</v>
      </c>
      <c r="V4576">
        <v>0.1118145376590878</v>
      </c>
      <c r="W4576">
        <v>1</v>
      </c>
      <c r="X4576">
        <v>0.1118145376590878</v>
      </c>
      <c r="Y4576">
        <v>536</v>
      </c>
      <c r="Z4576">
        <v>583.72689769042404</v>
      </c>
      <c r="AA4576">
        <v>198</v>
      </c>
      <c r="AB4576">
        <v>332</v>
      </c>
      <c r="AC4576">
        <v>536</v>
      </c>
      <c r="AD4576">
        <v>30.35</v>
      </c>
      <c r="AE4576">
        <v>542</v>
      </c>
      <c r="AF4576">
        <v>37</v>
      </c>
      <c r="AG4576">
        <v>161</v>
      </c>
      <c r="AH4576">
        <v>129</v>
      </c>
      <c r="AI4576">
        <v>6.83</v>
      </c>
      <c r="AJ4576">
        <v>29.7</v>
      </c>
      <c r="AK4576">
        <v>23.8</v>
      </c>
      <c r="AL4576">
        <v>-20.11966729999995</v>
      </c>
      <c r="AM4576">
        <v>-44.892529474102908</v>
      </c>
      <c r="AN4576">
        <v>-20.119667299999939</v>
      </c>
      <c r="AO4576">
        <v>-44.892529474102908</v>
      </c>
      <c r="AP4576">
        <v>-20.119333000000001</v>
      </c>
      <c r="AQ4576">
        <v>-44.892454999999998</v>
      </c>
      <c r="AR4576">
        <v>38.019750592693072</v>
      </c>
      <c r="AS4576" t="s">
        <v>65</v>
      </c>
      <c r="AT4576">
        <v>1</v>
      </c>
      <c r="AU4576" t="s">
        <v>582</v>
      </c>
      <c r="AV4576" t="s">
        <v>583</v>
      </c>
      <c r="AW4576" t="s">
        <v>60</v>
      </c>
      <c r="AX4576" t="s">
        <v>68</v>
      </c>
      <c r="AY4576" t="s">
        <v>69</v>
      </c>
      <c r="AZ4576" t="b">
        <v>1</v>
      </c>
    </row>
    <row r="4577" spans="1:52" x14ac:dyDescent="0.3">
      <c r="A4577" t="s">
        <v>52</v>
      </c>
      <c r="B4577" t="s">
        <v>53</v>
      </c>
      <c r="C4577" t="s">
        <v>54</v>
      </c>
      <c r="D4577" t="s">
        <v>55</v>
      </c>
      <c r="E4577" t="s">
        <v>2223</v>
      </c>
      <c r="F4577" t="s">
        <v>190</v>
      </c>
      <c r="G4577" t="s">
        <v>910</v>
      </c>
      <c r="H4577" t="s">
        <v>911</v>
      </c>
      <c r="I4577" t="s">
        <v>911</v>
      </c>
      <c r="J4577" t="s">
        <v>60</v>
      </c>
      <c r="K4577" t="s">
        <v>207</v>
      </c>
      <c r="L4577" t="s">
        <v>62</v>
      </c>
      <c r="M4577" t="s">
        <v>207</v>
      </c>
      <c r="N4577" t="s">
        <v>912</v>
      </c>
      <c r="O4577" t="s">
        <v>548</v>
      </c>
      <c r="P4577">
        <v>-20.116987000000002</v>
      </c>
      <c r="Q4577">
        <v>-44.885240000000003</v>
      </c>
      <c r="R4577" s="2" t="str">
        <f>HYPERLINK("https://www.google.com/maps?q=-20.1169870,-44.8852400","Abrir no Google Maps")</f>
        <v>Abrir no Google Maps</v>
      </c>
      <c r="S4577">
        <v>3</v>
      </c>
      <c r="T4577">
        <v>283.94804862214067</v>
      </c>
      <c r="U4577">
        <v>3</v>
      </c>
      <c r="V4577">
        <v>0.1198801742919389</v>
      </c>
      <c r="W4577">
        <v>1</v>
      </c>
      <c r="X4577">
        <v>0.1198801742919389</v>
      </c>
      <c r="Y4577">
        <v>536</v>
      </c>
      <c r="Z4577">
        <v>297.39410031170689</v>
      </c>
      <c r="AA4577">
        <v>198</v>
      </c>
      <c r="AB4577">
        <v>332</v>
      </c>
      <c r="AC4577">
        <v>536</v>
      </c>
      <c r="AD4577">
        <v>30.35</v>
      </c>
      <c r="AE4577">
        <v>542</v>
      </c>
      <c r="AF4577">
        <v>37</v>
      </c>
      <c r="AG4577">
        <v>161</v>
      </c>
      <c r="AH4577">
        <v>129</v>
      </c>
      <c r="AI4577">
        <v>6.83</v>
      </c>
      <c r="AJ4577">
        <v>29.7</v>
      </c>
      <c r="AK4577">
        <v>23.8</v>
      </c>
      <c r="AL4577">
        <v>-20.116999599999961</v>
      </c>
      <c r="AM4577">
        <v>-44.885197873315192</v>
      </c>
      <c r="AN4577">
        <v>-20.116999599999961</v>
      </c>
      <c r="AO4577">
        <v>-44.885197873315192</v>
      </c>
      <c r="AP4577">
        <v>-20.116987000000002</v>
      </c>
      <c r="AQ4577">
        <v>-44.885240000000003</v>
      </c>
      <c r="AR4577">
        <v>4.6214387870334246</v>
      </c>
      <c r="AS4577" t="s">
        <v>65</v>
      </c>
      <c r="AT4577">
        <v>1</v>
      </c>
      <c r="AU4577" t="s">
        <v>913</v>
      </c>
      <c r="AV4577" t="s">
        <v>914</v>
      </c>
      <c r="AW4577" t="s">
        <v>60</v>
      </c>
      <c r="AX4577" t="s">
        <v>68</v>
      </c>
      <c r="AY4577" t="s">
        <v>69</v>
      </c>
      <c r="AZ4577" t="b">
        <v>1</v>
      </c>
    </row>
    <row r="4578" spans="1:52" x14ac:dyDescent="0.3">
      <c r="A4578" t="s">
        <v>52</v>
      </c>
      <c r="B4578" t="s">
        <v>53</v>
      </c>
      <c r="C4578" t="s">
        <v>54</v>
      </c>
      <c r="D4578" t="s">
        <v>55</v>
      </c>
      <c r="E4578" t="s">
        <v>2223</v>
      </c>
      <c r="F4578" t="s">
        <v>190</v>
      </c>
      <c r="G4578" t="s">
        <v>595</v>
      </c>
      <c r="H4578" t="s">
        <v>596</v>
      </c>
      <c r="I4578" t="s">
        <v>596</v>
      </c>
      <c r="J4578" t="s">
        <v>60</v>
      </c>
      <c r="K4578" t="s">
        <v>207</v>
      </c>
      <c r="L4578" t="s">
        <v>62</v>
      </c>
      <c r="M4578" t="s">
        <v>207</v>
      </c>
      <c r="N4578" t="s">
        <v>597</v>
      </c>
      <c r="O4578" t="s">
        <v>598</v>
      </c>
      <c r="P4578">
        <v>-20.118335999999999</v>
      </c>
      <c r="Q4578">
        <v>-44.887441000000003</v>
      </c>
      <c r="R4578" s="2" t="str">
        <f>HYPERLINK("https://www.google.com/maps?q=-20.1183360,-44.8874410","Abrir no Google Maps")</f>
        <v>Abrir no Google Maps</v>
      </c>
      <c r="S4578">
        <v>3</v>
      </c>
      <c r="T4578">
        <v>0</v>
      </c>
      <c r="U4578">
        <v>3</v>
      </c>
      <c r="V4578">
        <v>0.12165044893819781</v>
      </c>
      <c r="W4578">
        <v>1</v>
      </c>
      <c r="X4578">
        <v>0.12165044893819781</v>
      </c>
      <c r="Y4578">
        <v>536</v>
      </c>
      <c r="Z4578">
        <v>70.729031566967279</v>
      </c>
      <c r="AA4578">
        <v>198</v>
      </c>
      <c r="AB4578">
        <v>332</v>
      </c>
      <c r="AC4578">
        <v>536</v>
      </c>
      <c r="AD4578">
        <v>30.35</v>
      </c>
      <c r="AE4578">
        <v>542</v>
      </c>
      <c r="AF4578">
        <v>37</v>
      </c>
      <c r="AG4578">
        <v>161</v>
      </c>
      <c r="AH4578">
        <v>129</v>
      </c>
      <c r="AI4578">
        <v>6.83</v>
      </c>
      <c r="AJ4578">
        <v>29.7</v>
      </c>
      <c r="AK4578">
        <v>23.8</v>
      </c>
      <c r="AL4578">
        <v>-20.118357999999969</v>
      </c>
      <c r="AM4578">
        <v>-44.88750246616479</v>
      </c>
      <c r="AN4578">
        <v>-20.118357999999969</v>
      </c>
      <c r="AO4578">
        <v>-44.88750246616479</v>
      </c>
      <c r="AP4578">
        <v>-20.118335999999999</v>
      </c>
      <c r="AQ4578">
        <v>-44.887441000000003</v>
      </c>
      <c r="AR4578">
        <v>6.875853437004074</v>
      </c>
      <c r="AS4578" t="s">
        <v>65</v>
      </c>
      <c r="AT4578">
        <v>1</v>
      </c>
      <c r="AU4578" t="s">
        <v>599</v>
      </c>
      <c r="AV4578" t="s">
        <v>600</v>
      </c>
      <c r="AW4578" t="s">
        <v>60</v>
      </c>
      <c r="AX4578" t="s">
        <v>68</v>
      </c>
      <c r="AY4578" t="s">
        <v>69</v>
      </c>
      <c r="AZ4578" t="b">
        <v>1</v>
      </c>
    </row>
    <row r="4579" spans="1:52" x14ac:dyDescent="0.3">
      <c r="A4579" t="s">
        <v>52</v>
      </c>
      <c r="B4579" t="s">
        <v>53</v>
      </c>
      <c r="C4579" t="s">
        <v>54</v>
      </c>
      <c r="D4579" t="s">
        <v>55</v>
      </c>
      <c r="E4579" t="s">
        <v>2223</v>
      </c>
      <c r="F4579" t="s">
        <v>190</v>
      </c>
      <c r="G4579" t="s">
        <v>614</v>
      </c>
      <c r="H4579" t="s">
        <v>615</v>
      </c>
      <c r="I4579" t="s">
        <v>615</v>
      </c>
      <c r="J4579" t="s">
        <v>60</v>
      </c>
      <c r="K4579" t="s">
        <v>207</v>
      </c>
      <c r="L4579" t="s">
        <v>62</v>
      </c>
      <c r="M4579" t="s">
        <v>207</v>
      </c>
      <c r="N4579" t="s">
        <v>616</v>
      </c>
      <c r="O4579" t="s">
        <v>617</v>
      </c>
      <c r="P4579">
        <v>-20.123118999999999</v>
      </c>
      <c r="Q4579">
        <v>-44.886259000000003</v>
      </c>
      <c r="R4579" s="2" t="str">
        <f>HYPERLINK("https://www.google.com/maps?q=-20.1231190,-44.8862590","Abrir no Google Maps")</f>
        <v>Abrir no Google Maps</v>
      </c>
      <c r="S4579">
        <v>3</v>
      </c>
      <c r="T4579">
        <v>534.91642326845545</v>
      </c>
      <c r="U4579">
        <v>3</v>
      </c>
      <c r="V4579">
        <v>0.1199679980167784</v>
      </c>
      <c r="W4579">
        <v>1</v>
      </c>
      <c r="X4579">
        <v>0.1199679980167784</v>
      </c>
      <c r="Y4579">
        <v>536</v>
      </c>
      <c r="Z4579">
        <v>478.9192959851456</v>
      </c>
      <c r="AA4579">
        <v>198</v>
      </c>
      <c r="AB4579">
        <v>332</v>
      </c>
      <c r="AC4579">
        <v>536</v>
      </c>
      <c r="AD4579">
        <v>30.35</v>
      </c>
      <c r="AE4579">
        <v>542</v>
      </c>
      <c r="AF4579">
        <v>37</v>
      </c>
      <c r="AG4579">
        <v>161</v>
      </c>
      <c r="AH4579">
        <v>129</v>
      </c>
      <c r="AI4579">
        <v>6.83</v>
      </c>
      <c r="AJ4579">
        <v>29.7</v>
      </c>
      <c r="AK4579">
        <v>23.8</v>
      </c>
      <c r="AL4579">
        <v>-20.12305974999995</v>
      </c>
      <c r="AM4579">
        <v>-44.886314469108633</v>
      </c>
      <c r="AN4579">
        <v>-20.12305974999995</v>
      </c>
      <c r="AO4579">
        <v>-44.886314469108633</v>
      </c>
      <c r="AP4579">
        <v>-20.123118999999999</v>
      </c>
      <c r="AQ4579">
        <v>-44.886259000000003</v>
      </c>
      <c r="AR4579">
        <v>8.7817342078334093</v>
      </c>
      <c r="AS4579" t="s">
        <v>65</v>
      </c>
      <c r="AT4579">
        <v>1</v>
      </c>
      <c r="AU4579" t="s">
        <v>618</v>
      </c>
      <c r="AV4579" t="s">
        <v>619</v>
      </c>
      <c r="AW4579" t="s">
        <v>60</v>
      </c>
      <c r="AX4579" t="s">
        <v>68</v>
      </c>
      <c r="AY4579" t="s">
        <v>69</v>
      </c>
      <c r="AZ4579" t="b">
        <v>1</v>
      </c>
    </row>
    <row r="4580" spans="1:52" x14ac:dyDescent="0.3">
      <c r="A4580" t="s">
        <v>52</v>
      </c>
      <c r="B4580" t="s">
        <v>53</v>
      </c>
      <c r="C4580" t="s">
        <v>54</v>
      </c>
      <c r="D4580" t="s">
        <v>55</v>
      </c>
      <c r="E4580" t="s">
        <v>2223</v>
      </c>
      <c r="F4580" t="s">
        <v>190</v>
      </c>
      <c r="G4580" t="s">
        <v>637</v>
      </c>
      <c r="H4580" t="s">
        <v>915</v>
      </c>
      <c r="I4580" t="s">
        <v>915</v>
      </c>
      <c r="J4580" t="s">
        <v>60</v>
      </c>
      <c r="K4580" t="s">
        <v>530</v>
      </c>
      <c r="L4580" t="s">
        <v>62</v>
      </c>
      <c r="M4580" t="s">
        <v>530</v>
      </c>
      <c r="N4580" t="s">
        <v>639</v>
      </c>
      <c r="O4580" t="s">
        <v>916</v>
      </c>
      <c r="P4580">
        <v>-20.144821</v>
      </c>
      <c r="Q4580">
        <v>-44.88937</v>
      </c>
      <c r="R4580" s="2" t="str">
        <f>HYPERLINK("https://www.google.com/maps?q=-20.1448210,-44.8893700","Abrir no Google Maps")</f>
        <v>Abrir no Google Maps</v>
      </c>
      <c r="S4580">
        <v>3</v>
      </c>
      <c r="T4580">
        <v>256.58219197259177</v>
      </c>
      <c r="U4580">
        <v>3</v>
      </c>
      <c r="V4580">
        <v>0.13760504201680671</v>
      </c>
      <c r="W4580">
        <v>0.85</v>
      </c>
      <c r="X4580">
        <v>0.1169642857142857</v>
      </c>
      <c r="Y4580">
        <v>527</v>
      </c>
      <c r="Z4580">
        <v>177.1895281295705</v>
      </c>
      <c r="AA4580">
        <v>198</v>
      </c>
      <c r="AB4580">
        <v>332</v>
      </c>
      <c r="AC4580">
        <v>536</v>
      </c>
      <c r="AD4580">
        <v>30.35</v>
      </c>
      <c r="AE4580">
        <v>542</v>
      </c>
      <c r="AF4580">
        <v>37</v>
      </c>
      <c r="AG4580">
        <v>161</v>
      </c>
      <c r="AH4580">
        <v>129</v>
      </c>
      <c r="AI4580">
        <v>6.83</v>
      </c>
      <c r="AJ4580">
        <v>29.7</v>
      </c>
      <c r="AK4580">
        <v>23.8</v>
      </c>
      <c r="AL4580">
        <v>-20.144812799999951</v>
      </c>
      <c r="AM4580">
        <v>-44.8892780390361</v>
      </c>
      <c r="AN4580">
        <v>-20.144812799999951</v>
      </c>
      <c r="AO4580">
        <v>-44.8892780390361</v>
      </c>
      <c r="AP4580">
        <v>-20.144821</v>
      </c>
      <c r="AQ4580">
        <v>-44.88937</v>
      </c>
      <c r="AR4580">
        <v>9.6540941010892158</v>
      </c>
      <c r="AS4580" t="s">
        <v>65</v>
      </c>
      <c r="AT4580">
        <v>1</v>
      </c>
      <c r="AU4580" t="s">
        <v>917</v>
      </c>
      <c r="AV4580" t="s">
        <v>918</v>
      </c>
      <c r="AW4580" t="s">
        <v>60</v>
      </c>
      <c r="AX4580" t="s">
        <v>68</v>
      </c>
      <c r="AY4580" t="s">
        <v>69</v>
      </c>
      <c r="AZ4580" t="b">
        <v>1</v>
      </c>
    </row>
    <row r="4581" spans="1:52" x14ac:dyDescent="0.3">
      <c r="A4581" t="s">
        <v>52</v>
      </c>
      <c r="B4581" t="s">
        <v>53</v>
      </c>
      <c r="C4581" t="s">
        <v>54</v>
      </c>
      <c r="D4581" t="s">
        <v>55</v>
      </c>
      <c r="E4581" t="s">
        <v>2223</v>
      </c>
      <c r="F4581" t="s">
        <v>190</v>
      </c>
      <c r="G4581" t="s">
        <v>232</v>
      </c>
      <c r="H4581" t="s">
        <v>925</v>
      </c>
      <c r="I4581" t="s">
        <v>925</v>
      </c>
      <c r="J4581" t="s">
        <v>60</v>
      </c>
      <c r="K4581" t="s">
        <v>702</v>
      </c>
      <c r="L4581" t="s">
        <v>62</v>
      </c>
      <c r="M4581" t="s">
        <v>702</v>
      </c>
      <c r="N4581" t="s">
        <v>234</v>
      </c>
      <c r="O4581" t="s">
        <v>926</v>
      </c>
      <c r="P4581">
        <v>-20.165887999999999</v>
      </c>
      <c r="Q4581">
        <v>-44.865220000000001</v>
      </c>
      <c r="R4581" s="2" t="str">
        <f>HYPERLINK("https://www.google.com/maps?q=-20.1658880,-44.8652200","Abrir no Google Maps")</f>
        <v>Abrir no Google Maps</v>
      </c>
      <c r="S4581">
        <v>3</v>
      </c>
      <c r="T4581">
        <v>711.71706763776342</v>
      </c>
      <c r="U4581">
        <v>3</v>
      </c>
      <c r="V4581">
        <v>0.1172718393001231</v>
      </c>
      <c r="W4581">
        <v>1</v>
      </c>
      <c r="X4581">
        <v>0.1172718393001231</v>
      </c>
      <c r="Y4581">
        <v>518</v>
      </c>
      <c r="Z4581">
        <v>801.45781285603209</v>
      </c>
      <c r="AA4581">
        <v>198</v>
      </c>
      <c r="AB4581">
        <v>332</v>
      </c>
      <c r="AC4581">
        <v>536</v>
      </c>
      <c r="AD4581">
        <v>30.35</v>
      </c>
      <c r="AE4581">
        <v>542</v>
      </c>
      <c r="AF4581">
        <v>37</v>
      </c>
      <c r="AG4581">
        <v>161</v>
      </c>
      <c r="AH4581">
        <v>129</v>
      </c>
      <c r="AI4581">
        <v>6.83</v>
      </c>
      <c r="AJ4581">
        <v>29.7</v>
      </c>
      <c r="AK4581">
        <v>23.8</v>
      </c>
      <c r="AL4581">
        <v>-20.165865449999959</v>
      </c>
      <c r="AM4581">
        <v>-44.865240434761468</v>
      </c>
      <c r="AN4581">
        <v>-20.165865449999959</v>
      </c>
      <c r="AO4581">
        <v>-44.865240434761468</v>
      </c>
      <c r="AP4581">
        <v>-20.165887999999999</v>
      </c>
      <c r="AQ4581">
        <v>-44.865220000000001</v>
      </c>
      <c r="AR4581">
        <v>3.2956262004279409</v>
      </c>
      <c r="AS4581" t="s">
        <v>65</v>
      </c>
      <c r="AT4581">
        <v>1</v>
      </c>
      <c r="AU4581" t="s">
        <v>927</v>
      </c>
      <c r="AV4581" t="s">
        <v>928</v>
      </c>
      <c r="AW4581" t="s">
        <v>60</v>
      </c>
      <c r="AX4581" t="s">
        <v>68</v>
      </c>
      <c r="AY4581" t="s">
        <v>69</v>
      </c>
      <c r="AZ4581" t="b">
        <v>1</v>
      </c>
    </row>
    <row r="4582" spans="1:52" x14ac:dyDescent="0.3">
      <c r="A4582" t="s">
        <v>52</v>
      </c>
      <c r="B4582" t="s">
        <v>53</v>
      </c>
      <c r="C4582" t="s">
        <v>54</v>
      </c>
      <c r="D4582" t="s">
        <v>55</v>
      </c>
      <c r="E4582" t="s">
        <v>2223</v>
      </c>
      <c r="F4582" t="s">
        <v>190</v>
      </c>
      <c r="G4582" t="s">
        <v>929</v>
      </c>
      <c r="H4582" t="s">
        <v>930</v>
      </c>
      <c r="I4582" t="s">
        <v>930</v>
      </c>
      <c r="J4582" t="s">
        <v>60</v>
      </c>
      <c r="K4582" t="s">
        <v>72</v>
      </c>
      <c r="L4582" t="s">
        <v>62</v>
      </c>
      <c r="M4582" t="s">
        <v>72</v>
      </c>
      <c r="N4582" t="s">
        <v>931</v>
      </c>
      <c r="O4582" t="s">
        <v>932</v>
      </c>
      <c r="P4582">
        <v>-20.144780999999998</v>
      </c>
      <c r="Q4582">
        <v>-44.914259000000001</v>
      </c>
      <c r="R4582" s="2" t="str">
        <f>HYPERLINK("https://www.google.com/maps?q=-20.1447810,-44.9142590","Abrir no Google Maps")</f>
        <v>Abrir no Google Maps</v>
      </c>
      <c r="S4582">
        <v>3</v>
      </c>
      <c r="T4582">
        <v>256.09363485874093</v>
      </c>
      <c r="U4582">
        <v>3</v>
      </c>
      <c r="V4582">
        <v>0.1119647679053619</v>
      </c>
      <c r="W4582">
        <v>1</v>
      </c>
      <c r="X4582">
        <v>0.1119647679053619</v>
      </c>
      <c r="Y4582">
        <v>508</v>
      </c>
      <c r="Z4582">
        <v>318.29766547935321</v>
      </c>
      <c r="AA4582">
        <v>198</v>
      </c>
      <c r="AB4582">
        <v>332</v>
      </c>
      <c r="AC4582">
        <v>536</v>
      </c>
      <c r="AD4582">
        <v>30.35</v>
      </c>
      <c r="AE4582">
        <v>542</v>
      </c>
      <c r="AF4582">
        <v>37</v>
      </c>
      <c r="AG4582">
        <v>161</v>
      </c>
      <c r="AH4582">
        <v>129</v>
      </c>
      <c r="AI4582">
        <v>6.83</v>
      </c>
      <c r="AJ4582">
        <v>29.7</v>
      </c>
      <c r="AK4582">
        <v>23.8</v>
      </c>
      <c r="AL4582">
        <v>-20.144721899999951</v>
      </c>
      <c r="AM4582">
        <v>-44.914368749511411</v>
      </c>
      <c r="AN4582">
        <v>-20.144721899999951</v>
      </c>
      <c r="AO4582">
        <v>-44.914368749511411</v>
      </c>
      <c r="AP4582">
        <v>-20.144780999999998</v>
      </c>
      <c r="AQ4582">
        <v>-44.914259000000001</v>
      </c>
      <c r="AR4582">
        <v>13.22280973360979</v>
      </c>
      <c r="AS4582" t="s">
        <v>65</v>
      </c>
      <c r="AT4582">
        <v>1</v>
      </c>
      <c r="AU4582" t="s">
        <v>933</v>
      </c>
      <c r="AV4582" t="s">
        <v>934</v>
      </c>
      <c r="AW4582" t="s">
        <v>60</v>
      </c>
      <c r="AX4582" t="s">
        <v>68</v>
      </c>
      <c r="AY4582" t="s">
        <v>69</v>
      </c>
      <c r="AZ4582" t="b">
        <v>1</v>
      </c>
    </row>
    <row r="4583" spans="1:52" x14ac:dyDescent="0.3">
      <c r="A4583" t="s">
        <v>52</v>
      </c>
      <c r="B4583" t="s">
        <v>53</v>
      </c>
      <c r="C4583" t="s">
        <v>54</v>
      </c>
      <c r="D4583" t="s">
        <v>55</v>
      </c>
      <c r="E4583" t="s">
        <v>2223</v>
      </c>
      <c r="F4583" t="s">
        <v>190</v>
      </c>
      <c r="G4583" t="s">
        <v>946</v>
      </c>
      <c r="H4583" t="s">
        <v>947</v>
      </c>
      <c r="I4583" t="s">
        <v>947</v>
      </c>
      <c r="J4583" t="s">
        <v>60</v>
      </c>
      <c r="K4583" t="s">
        <v>193</v>
      </c>
      <c r="L4583" t="s">
        <v>62</v>
      </c>
      <c r="M4583" t="s">
        <v>193</v>
      </c>
      <c r="N4583" t="s">
        <v>948</v>
      </c>
      <c r="O4583" t="s">
        <v>949</v>
      </c>
      <c r="P4583">
        <v>-20.141646000000001</v>
      </c>
      <c r="Q4583">
        <v>-44.920682999999997</v>
      </c>
      <c r="R4583" s="2" t="str">
        <f>HYPERLINK("https://www.google.com/maps?q=-20.1416460,-44.9206830","Abrir no Google Maps")</f>
        <v>Abrir no Google Maps</v>
      </c>
      <c r="S4583">
        <v>3</v>
      </c>
      <c r="T4583">
        <v>538.41742581974165</v>
      </c>
      <c r="U4583">
        <v>3</v>
      </c>
      <c r="V4583">
        <v>0.12076874788739191</v>
      </c>
      <c r="W4583">
        <v>1</v>
      </c>
      <c r="X4583">
        <v>0.12076874788739191</v>
      </c>
      <c r="Y4583">
        <v>508</v>
      </c>
      <c r="Z4583">
        <v>459.99626097363068</v>
      </c>
      <c r="AA4583">
        <v>198</v>
      </c>
      <c r="AB4583">
        <v>332</v>
      </c>
      <c r="AC4583">
        <v>536</v>
      </c>
      <c r="AD4583">
        <v>30.35</v>
      </c>
      <c r="AE4583">
        <v>542</v>
      </c>
      <c r="AF4583">
        <v>37</v>
      </c>
      <c r="AG4583">
        <v>161</v>
      </c>
      <c r="AH4583">
        <v>129</v>
      </c>
      <c r="AI4583">
        <v>6.83</v>
      </c>
      <c r="AJ4583">
        <v>29.7</v>
      </c>
      <c r="AK4583">
        <v>23.8</v>
      </c>
      <c r="AL4583">
        <v>-20.141877549999979</v>
      </c>
      <c r="AM4583">
        <v>-44.920658074778594</v>
      </c>
      <c r="AN4583">
        <v>-20.141877549999979</v>
      </c>
      <c r="AO4583">
        <v>-44.920658074778594</v>
      </c>
      <c r="AP4583">
        <v>-20.141646000000001</v>
      </c>
      <c r="AQ4583">
        <v>-44.920682999999997</v>
      </c>
      <c r="AR4583">
        <v>25.907443828287509</v>
      </c>
      <c r="AS4583" t="s">
        <v>65</v>
      </c>
      <c r="AT4583">
        <v>1</v>
      </c>
      <c r="AU4583" t="s">
        <v>950</v>
      </c>
      <c r="AV4583" t="s">
        <v>951</v>
      </c>
      <c r="AW4583" t="s">
        <v>60</v>
      </c>
      <c r="AX4583" t="s">
        <v>68</v>
      </c>
      <c r="AY4583" t="s">
        <v>69</v>
      </c>
      <c r="AZ4583" t="b">
        <v>1</v>
      </c>
    </row>
    <row r="4584" spans="1:52" x14ac:dyDescent="0.3">
      <c r="A4584" t="s">
        <v>52</v>
      </c>
      <c r="B4584" t="s">
        <v>53</v>
      </c>
      <c r="C4584" t="s">
        <v>54</v>
      </c>
      <c r="D4584" t="s">
        <v>55</v>
      </c>
      <c r="E4584" t="s">
        <v>2223</v>
      </c>
      <c r="F4584" t="s">
        <v>190</v>
      </c>
      <c r="G4584" t="s">
        <v>625</v>
      </c>
      <c r="H4584" t="s">
        <v>626</v>
      </c>
      <c r="I4584" t="s">
        <v>626</v>
      </c>
      <c r="J4584" t="s">
        <v>60</v>
      </c>
      <c r="K4584" t="s">
        <v>193</v>
      </c>
      <c r="L4584" t="s">
        <v>62</v>
      </c>
      <c r="M4584" t="s">
        <v>193</v>
      </c>
      <c r="N4584" t="s">
        <v>627</v>
      </c>
      <c r="O4584" t="s">
        <v>628</v>
      </c>
      <c r="P4584">
        <v>-20.145171999999999</v>
      </c>
      <c r="Q4584">
        <v>-44.916764000000001</v>
      </c>
      <c r="R4584" s="2" t="str">
        <f>HYPERLINK("https://www.google.com/maps?q=-20.1451720,-44.9167640","Abrir no Google Maps")</f>
        <v>Abrir no Google Maps</v>
      </c>
      <c r="S4584">
        <v>3</v>
      </c>
      <c r="T4584">
        <v>0</v>
      </c>
      <c r="U4584">
        <v>3</v>
      </c>
      <c r="V4584">
        <v>0.118524637755407</v>
      </c>
      <c r="W4584">
        <v>1</v>
      </c>
      <c r="X4584">
        <v>0.118524637755407</v>
      </c>
      <c r="Y4584">
        <v>508</v>
      </c>
      <c r="Z4584">
        <v>79.403393114466795</v>
      </c>
      <c r="AA4584">
        <v>198</v>
      </c>
      <c r="AB4584">
        <v>332</v>
      </c>
      <c r="AC4584">
        <v>536</v>
      </c>
      <c r="AD4584">
        <v>30.35</v>
      </c>
      <c r="AE4584">
        <v>542</v>
      </c>
      <c r="AF4584">
        <v>37</v>
      </c>
      <c r="AG4584">
        <v>161</v>
      </c>
      <c r="AH4584">
        <v>129</v>
      </c>
      <c r="AI4584">
        <v>6.83</v>
      </c>
      <c r="AJ4584">
        <v>29.7</v>
      </c>
      <c r="AK4584">
        <v>23.8</v>
      </c>
      <c r="AL4584">
        <v>-20.145089199999969</v>
      </c>
      <c r="AM4584">
        <v>-44.916788127791321</v>
      </c>
      <c r="AN4584">
        <v>-20.145089199999969</v>
      </c>
      <c r="AO4584">
        <v>-44.916788127791321</v>
      </c>
      <c r="AP4584">
        <v>-20.145171999999999</v>
      </c>
      <c r="AQ4584">
        <v>-44.916764000000001</v>
      </c>
      <c r="AR4584">
        <v>9.555991267747272</v>
      </c>
      <c r="AS4584" t="s">
        <v>65</v>
      </c>
      <c r="AT4584">
        <v>1</v>
      </c>
      <c r="AU4584" t="s">
        <v>629</v>
      </c>
      <c r="AV4584" t="s">
        <v>630</v>
      </c>
      <c r="AW4584" t="s">
        <v>60</v>
      </c>
      <c r="AX4584" t="s">
        <v>68</v>
      </c>
      <c r="AY4584" t="s">
        <v>69</v>
      </c>
      <c r="AZ4584" t="b">
        <v>1</v>
      </c>
    </row>
    <row r="4585" spans="1:52" x14ac:dyDescent="0.3">
      <c r="A4585" t="s">
        <v>52</v>
      </c>
      <c r="B4585" t="s">
        <v>53</v>
      </c>
      <c r="C4585" t="s">
        <v>54</v>
      </c>
      <c r="D4585" t="s">
        <v>55</v>
      </c>
      <c r="E4585" t="s">
        <v>2223</v>
      </c>
      <c r="F4585" t="s">
        <v>190</v>
      </c>
      <c r="G4585" t="s">
        <v>957</v>
      </c>
      <c r="H4585" t="s">
        <v>958</v>
      </c>
      <c r="I4585" t="s">
        <v>958</v>
      </c>
      <c r="J4585" t="s">
        <v>60</v>
      </c>
      <c r="K4585" t="s">
        <v>262</v>
      </c>
      <c r="L4585" t="s">
        <v>62</v>
      </c>
      <c r="M4585" t="s">
        <v>262</v>
      </c>
      <c r="N4585" t="s">
        <v>959</v>
      </c>
      <c r="O4585" t="s">
        <v>960</v>
      </c>
      <c r="P4585">
        <v>-20.165469999999999</v>
      </c>
      <c r="Q4585">
        <v>-44.854308000000003</v>
      </c>
      <c r="R4585" s="2" t="str">
        <f>HYPERLINK("https://www.google.com/maps?q=-20.1654700,-44.8543080","Abrir no Google Maps")</f>
        <v>Abrir no Google Maps</v>
      </c>
      <c r="S4585">
        <v>3</v>
      </c>
      <c r="T4585">
        <v>555.06043712641599</v>
      </c>
      <c r="U4585">
        <v>3</v>
      </c>
      <c r="V4585">
        <v>0.11551519879796571</v>
      </c>
      <c r="W4585">
        <v>1</v>
      </c>
      <c r="X4585">
        <v>0.11551519879796571</v>
      </c>
      <c r="Y4585">
        <v>491</v>
      </c>
      <c r="Z4585">
        <v>423.16855805320131</v>
      </c>
      <c r="AA4585">
        <v>198</v>
      </c>
      <c r="AB4585">
        <v>332</v>
      </c>
      <c r="AC4585">
        <v>536</v>
      </c>
      <c r="AD4585">
        <v>30.35</v>
      </c>
      <c r="AE4585">
        <v>542</v>
      </c>
      <c r="AF4585">
        <v>37</v>
      </c>
      <c r="AG4585">
        <v>161</v>
      </c>
      <c r="AH4585">
        <v>129</v>
      </c>
      <c r="AI4585">
        <v>6.83</v>
      </c>
      <c r="AJ4585">
        <v>29.7</v>
      </c>
      <c r="AK4585">
        <v>23.8</v>
      </c>
      <c r="AL4585">
        <v>-20.165538449999961</v>
      </c>
      <c r="AM4585">
        <v>-44.854274624633042</v>
      </c>
      <c r="AN4585">
        <v>-20.165538449999961</v>
      </c>
      <c r="AO4585">
        <v>-44.854274624633042</v>
      </c>
      <c r="AP4585">
        <v>-20.165469999999999</v>
      </c>
      <c r="AQ4585">
        <v>-44.854308000000003</v>
      </c>
      <c r="AR4585">
        <v>8.3800661572970956</v>
      </c>
      <c r="AS4585" t="s">
        <v>65</v>
      </c>
      <c r="AT4585">
        <v>1</v>
      </c>
      <c r="AU4585" t="s">
        <v>961</v>
      </c>
      <c r="AV4585" t="s">
        <v>962</v>
      </c>
      <c r="AW4585" t="s">
        <v>60</v>
      </c>
      <c r="AX4585" t="s">
        <v>68</v>
      </c>
      <c r="AY4585" t="s">
        <v>69</v>
      </c>
      <c r="AZ4585" t="b">
        <v>1</v>
      </c>
    </row>
    <row r="4586" spans="1:52" x14ac:dyDescent="0.3">
      <c r="A4586" t="s">
        <v>52</v>
      </c>
      <c r="B4586" t="s">
        <v>53</v>
      </c>
      <c r="C4586" t="s">
        <v>54</v>
      </c>
      <c r="D4586" t="s">
        <v>55</v>
      </c>
      <c r="E4586" t="s">
        <v>2223</v>
      </c>
      <c r="F4586" t="s">
        <v>190</v>
      </c>
      <c r="G4586" t="s">
        <v>957</v>
      </c>
      <c r="H4586" t="s">
        <v>1750</v>
      </c>
      <c r="I4586" t="s">
        <v>1750</v>
      </c>
      <c r="J4586" t="s">
        <v>60</v>
      </c>
      <c r="K4586" t="s">
        <v>982</v>
      </c>
      <c r="L4586" t="s">
        <v>62</v>
      </c>
      <c r="M4586" t="s">
        <v>982</v>
      </c>
      <c r="N4586" t="s">
        <v>959</v>
      </c>
      <c r="O4586" t="s">
        <v>1751</v>
      </c>
      <c r="P4586">
        <v>-20.164285</v>
      </c>
      <c r="Q4586">
        <v>-44.857562000000001</v>
      </c>
      <c r="R4586" s="2" t="str">
        <f>HYPERLINK("https://www.google.com/maps?q=-20.1642850,-44.8575620","Abrir no Google Maps")</f>
        <v>Abrir no Google Maps</v>
      </c>
      <c r="S4586">
        <v>3</v>
      </c>
      <c r="T4586">
        <v>275.89108588842112</v>
      </c>
      <c r="U4586">
        <v>3</v>
      </c>
      <c r="V4586">
        <v>0.1215195959684937</v>
      </c>
      <c r="W4586">
        <v>1</v>
      </c>
      <c r="X4586">
        <v>0.1215195959684937</v>
      </c>
      <c r="Y4586">
        <v>491</v>
      </c>
      <c r="Z4586">
        <v>150.50906778215881</v>
      </c>
      <c r="AA4586">
        <v>198</v>
      </c>
      <c r="AB4586">
        <v>332</v>
      </c>
      <c r="AC4586">
        <v>536</v>
      </c>
      <c r="AD4586">
        <v>30.35</v>
      </c>
      <c r="AE4586">
        <v>542</v>
      </c>
      <c r="AF4586">
        <v>37</v>
      </c>
      <c r="AG4586">
        <v>161</v>
      </c>
      <c r="AH4586">
        <v>129</v>
      </c>
      <c r="AI4586">
        <v>6.83</v>
      </c>
      <c r="AJ4586">
        <v>29.7</v>
      </c>
      <c r="AK4586">
        <v>23.8</v>
      </c>
      <c r="AL4586">
        <v>-20.164333749999969</v>
      </c>
      <c r="AM4586">
        <v>-44.857568319333943</v>
      </c>
      <c r="AN4586">
        <v>-20.164333749999969</v>
      </c>
      <c r="AO4586">
        <v>-44.857568319333943</v>
      </c>
      <c r="AP4586">
        <v>-20.164285</v>
      </c>
      <c r="AQ4586">
        <v>-44.857562000000001</v>
      </c>
      <c r="AR4586">
        <v>5.4668788625524281</v>
      </c>
      <c r="AS4586" t="s">
        <v>65</v>
      </c>
      <c r="AT4586">
        <v>1</v>
      </c>
      <c r="AU4586" t="s">
        <v>1752</v>
      </c>
      <c r="AV4586" t="s">
        <v>1753</v>
      </c>
      <c r="AW4586" t="s">
        <v>60</v>
      </c>
      <c r="AX4586" t="s">
        <v>68</v>
      </c>
      <c r="AY4586" t="s">
        <v>69</v>
      </c>
      <c r="AZ4586" t="b">
        <v>1</v>
      </c>
    </row>
    <row r="4587" spans="1:52" x14ac:dyDescent="0.3">
      <c r="A4587" t="s">
        <v>52</v>
      </c>
      <c r="B4587" t="s">
        <v>53</v>
      </c>
      <c r="C4587" t="s">
        <v>54</v>
      </c>
      <c r="D4587" t="s">
        <v>55</v>
      </c>
      <c r="E4587" t="s">
        <v>2223</v>
      </c>
      <c r="F4587" t="s">
        <v>190</v>
      </c>
      <c r="G4587" t="s">
        <v>986</v>
      </c>
      <c r="H4587" t="s">
        <v>987</v>
      </c>
      <c r="I4587" t="s">
        <v>987</v>
      </c>
      <c r="J4587" t="s">
        <v>60</v>
      </c>
      <c r="K4587" t="s">
        <v>702</v>
      </c>
      <c r="L4587" t="s">
        <v>62</v>
      </c>
      <c r="M4587" t="s">
        <v>702</v>
      </c>
      <c r="N4587" t="s">
        <v>988</v>
      </c>
      <c r="O4587" t="s">
        <v>989</v>
      </c>
      <c r="P4587">
        <v>-20.1691</v>
      </c>
      <c r="Q4587">
        <v>-44.860813999999998</v>
      </c>
      <c r="R4587" s="2" t="str">
        <f>HYPERLINK("https://www.google.com/maps?q=-20.1691000,-44.8608140","Abrir no Google Maps")</f>
        <v>Abrir no Google Maps</v>
      </c>
      <c r="S4587">
        <v>3</v>
      </c>
      <c r="T4587">
        <v>596.11124105675003</v>
      </c>
      <c r="U4587">
        <v>3</v>
      </c>
      <c r="V4587">
        <v>0.1177343770801714</v>
      </c>
      <c r="W4587">
        <v>1</v>
      </c>
      <c r="X4587">
        <v>0.1177343770801714</v>
      </c>
      <c r="Y4587">
        <v>491</v>
      </c>
      <c r="Z4587">
        <v>741.65354053819078</v>
      </c>
      <c r="AA4587">
        <v>198</v>
      </c>
      <c r="AB4587">
        <v>332</v>
      </c>
      <c r="AC4587">
        <v>536</v>
      </c>
      <c r="AD4587">
        <v>30.35</v>
      </c>
      <c r="AE4587">
        <v>542</v>
      </c>
      <c r="AF4587">
        <v>37</v>
      </c>
      <c r="AG4587">
        <v>161</v>
      </c>
      <c r="AH4587">
        <v>129</v>
      </c>
      <c r="AI4587">
        <v>6.83</v>
      </c>
      <c r="AJ4587">
        <v>29.7</v>
      </c>
      <c r="AK4587">
        <v>23.8</v>
      </c>
      <c r="AL4587">
        <v>-20.168995449999951</v>
      </c>
      <c r="AM4587">
        <v>-44.86088900357106</v>
      </c>
      <c r="AN4587">
        <v>-20.168995449999951</v>
      </c>
      <c r="AO4587">
        <v>-44.86088900357106</v>
      </c>
      <c r="AP4587">
        <v>-20.1691</v>
      </c>
      <c r="AQ4587">
        <v>-44.860813999999998</v>
      </c>
      <c r="AR4587">
        <v>14.03138702725616</v>
      </c>
      <c r="AS4587" t="s">
        <v>65</v>
      </c>
      <c r="AT4587">
        <v>1</v>
      </c>
      <c r="AU4587" t="s">
        <v>990</v>
      </c>
      <c r="AV4587" t="s">
        <v>991</v>
      </c>
      <c r="AW4587" t="s">
        <v>60</v>
      </c>
      <c r="AX4587" t="s">
        <v>68</v>
      </c>
      <c r="AY4587" t="s">
        <v>69</v>
      </c>
      <c r="AZ4587" t="b">
        <v>1</v>
      </c>
    </row>
    <row r="4588" spans="1:52" x14ac:dyDescent="0.3">
      <c r="A4588" t="s">
        <v>52</v>
      </c>
      <c r="B4588" t="s">
        <v>53</v>
      </c>
      <c r="C4588" t="s">
        <v>54</v>
      </c>
      <c r="D4588" t="s">
        <v>55</v>
      </c>
      <c r="E4588" t="s">
        <v>2223</v>
      </c>
      <c r="F4588" t="s">
        <v>190</v>
      </c>
      <c r="G4588" t="s">
        <v>1856</v>
      </c>
      <c r="H4588" t="s">
        <v>1857</v>
      </c>
      <c r="I4588" t="s">
        <v>1857</v>
      </c>
      <c r="J4588" t="s">
        <v>60</v>
      </c>
      <c r="K4588" t="s">
        <v>982</v>
      </c>
      <c r="L4588" t="s">
        <v>62</v>
      </c>
      <c r="M4588" t="s">
        <v>982</v>
      </c>
      <c r="N4588" t="s">
        <v>1858</v>
      </c>
      <c r="O4588" t="s">
        <v>1859</v>
      </c>
      <c r="P4588">
        <v>-20.170065000000001</v>
      </c>
      <c r="Q4588">
        <v>-44.856502999999996</v>
      </c>
      <c r="R4588" s="2" t="str">
        <f>HYPERLINK("https://www.google.com/maps?q=-20.1700650,-44.8565030","Abrir no Google Maps")</f>
        <v>Abrir no Google Maps</v>
      </c>
      <c r="S4588">
        <v>3</v>
      </c>
      <c r="T4588">
        <v>924.49628970405706</v>
      </c>
      <c r="U4588">
        <v>3</v>
      </c>
      <c r="V4588">
        <v>0.1318866787221217</v>
      </c>
      <c r="W4588">
        <v>0.85</v>
      </c>
      <c r="X4588">
        <v>0.11210367691380339</v>
      </c>
      <c r="Y4588">
        <v>491</v>
      </c>
      <c r="Z4588">
        <v>781.19994751508341</v>
      </c>
      <c r="AA4588">
        <v>198</v>
      </c>
      <c r="AB4588">
        <v>332</v>
      </c>
      <c r="AC4588">
        <v>536</v>
      </c>
      <c r="AD4588">
        <v>30.35</v>
      </c>
      <c r="AE4588">
        <v>542</v>
      </c>
      <c r="AF4588">
        <v>37</v>
      </c>
      <c r="AG4588">
        <v>161</v>
      </c>
      <c r="AH4588">
        <v>129</v>
      </c>
      <c r="AI4588">
        <v>6.83</v>
      </c>
      <c r="AJ4588">
        <v>29.7</v>
      </c>
      <c r="AK4588">
        <v>23.8</v>
      </c>
      <c r="AL4588">
        <v>-20.170106749999949</v>
      </c>
      <c r="AM4588">
        <v>-44.856479111371733</v>
      </c>
      <c r="AN4588">
        <v>-20.170106749999949</v>
      </c>
      <c r="AO4588">
        <v>-44.856479111371733</v>
      </c>
      <c r="AP4588">
        <v>-20.170065000000001</v>
      </c>
      <c r="AQ4588">
        <v>-44.856502999999996</v>
      </c>
      <c r="AR4588">
        <v>5.275535546946946</v>
      </c>
      <c r="AS4588" t="s">
        <v>65</v>
      </c>
      <c r="AT4588">
        <v>1</v>
      </c>
      <c r="AU4588" t="s">
        <v>1860</v>
      </c>
      <c r="AV4588" t="s">
        <v>1861</v>
      </c>
      <c r="AW4588" t="s">
        <v>60</v>
      </c>
      <c r="AX4588" t="s">
        <v>68</v>
      </c>
      <c r="AY4588" t="s">
        <v>69</v>
      </c>
      <c r="AZ4588" t="b">
        <v>1</v>
      </c>
    </row>
    <row r="4589" spans="1:52" x14ac:dyDescent="0.3">
      <c r="A4589" t="s">
        <v>52</v>
      </c>
      <c r="B4589" t="s">
        <v>53</v>
      </c>
      <c r="C4589" t="s">
        <v>54</v>
      </c>
      <c r="D4589" t="s">
        <v>55</v>
      </c>
      <c r="E4589" t="s">
        <v>2223</v>
      </c>
      <c r="F4589" t="s">
        <v>190</v>
      </c>
      <c r="G4589" t="s">
        <v>992</v>
      </c>
      <c r="H4589" t="s">
        <v>993</v>
      </c>
      <c r="I4589" t="s">
        <v>993</v>
      </c>
      <c r="J4589" t="s">
        <v>60</v>
      </c>
      <c r="K4589" t="s">
        <v>530</v>
      </c>
      <c r="L4589" t="s">
        <v>62</v>
      </c>
      <c r="M4589" t="s">
        <v>530</v>
      </c>
      <c r="N4589" t="s">
        <v>994</v>
      </c>
      <c r="O4589" t="s">
        <v>995</v>
      </c>
      <c r="P4589">
        <v>-20.144141000000001</v>
      </c>
      <c r="Q4589">
        <v>-44.884635000000003</v>
      </c>
      <c r="R4589" s="2" t="str">
        <f>HYPERLINK("https://www.google.com/maps?q=-20.1441410,-44.8846350","Abrir no Google Maps")</f>
        <v>Abrir no Google Maps</v>
      </c>
      <c r="S4589">
        <v>3</v>
      </c>
      <c r="T4589">
        <v>0</v>
      </c>
      <c r="U4589">
        <v>3</v>
      </c>
      <c r="V4589">
        <v>0.1320017368649587</v>
      </c>
      <c r="W4589">
        <v>0.85</v>
      </c>
      <c r="X4589">
        <v>0.11220147633521491</v>
      </c>
      <c r="Y4589">
        <v>478</v>
      </c>
      <c r="Z4589">
        <v>252.29400768218821</v>
      </c>
      <c r="AA4589">
        <v>198</v>
      </c>
      <c r="AB4589">
        <v>332</v>
      </c>
      <c r="AC4589">
        <v>536</v>
      </c>
      <c r="AD4589">
        <v>30.35</v>
      </c>
      <c r="AE4589">
        <v>542</v>
      </c>
      <c r="AF4589">
        <v>37</v>
      </c>
      <c r="AG4589">
        <v>161</v>
      </c>
      <c r="AH4589">
        <v>129</v>
      </c>
      <c r="AI4589">
        <v>6.83</v>
      </c>
      <c r="AJ4589">
        <v>29.7</v>
      </c>
      <c r="AK4589">
        <v>23.8</v>
      </c>
      <c r="AL4589">
        <v>-20.144119999999951</v>
      </c>
      <c r="AM4589">
        <v>-44.884814928637752</v>
      </c>
      <c r="AN4589">
        <v>-20.144119999999951</v>
      </c>
      <c r="AO4589">
        <v>-44.884814928637752</v>
      </c>
      <c r="AP4589">
        <v>-20.144141000000001</v>
      </c>
      <c r="AQ4589">
        <v>-44.884635000000003</v>
      </c>
      <c r="AR4589">
        <v>18.949181367223549</v>
      </c>
      <c r="AS4589" t="s">
        <v>65</v>
      </c>
      <c r="AT4589">
        <v>1</v>
      </c>
      <c r="AU4589" t="s">
        <v>996</v>
      </c>
      <c r="AV4589" t="s">
        <v>997</v>
      </c>
      <c r="AW4589" t="s">
        <v>60</v>
      </c>
      <c r="AX4589" t="s">
        <v>68</v>
      </c>
      <c r="AY4589" t="s">
        <v>69</v>
      </c>
      <c r="AZ4589" t="b">
        <v>1</v>
      </c>
    </row>
    <row r="4590" spans="1:52" x14ac:dyDescent="0.3">
      <c r="A4590" t="s">
        <v>52</v>
      </c>
      <c r="B4590" t="s">
        <v>53</v>
      </c>
      <c r="C4590" t="s">
        <v>54</v>
      </c>
      <c r="D4590" t="s">
        <v>55</v>
      </c>
      <c r="E4590" t="s">
        <v>2223</v>
      </c>
      <c r="F4590" t="s">
        <v>190</v>
      </c>
      <c r="G4590" t="s">
        <v>649</v>
      </c>
      <c r="H4590" t="s">
        <v>650</v>
      </c>
      <c r="I4590" t="s">
        <v>650</v>
      </c>
      <c r="J4590" t="s">
        <v>60</v>
      </c>
      <c r="K4590" t="s">
        <v>651</v>
      </c>
      <c r="L4590" t="s">
        <v>62</v>
      </c>
      <c r="M4590" t="s">
        <v>651</v>
      </c>
      <c r="N4590" t="s">
        <v>652</v>
      </c>
      <c r="O4590" t="s">
        <v>653</v>
      </c>
      <c r="P4590">
        <v>-20.134566</v>
      </c>
      <c r="Q4590">
        <v>-44.894970999999998</v>
      </c>
      <c r="R4590" s="2" t="str">
        <f>HYPERLINK("https://www.google.com/maps?q=-20.1345660,-44.8949710","Abrir no Google Maps")</f>
        <v>Abrir no Google Maps</v>
      </c>
      <c r="S4590">
        <v>3</v>
      </c>
      <c r="T4590">
        <v>722.088947634291</v>
      </c>
      <c r="U4590">
        <v>3</v>
      </c>
      <c r="V4590">
        <v>0.11595146871008929</v>
      </c>
      <c r="W4590">
        <v>1</v>
      </c>
      <c r="X4590">
        <v>0.11595146871008929</v>
      </c>
      <c r="Y4590">
        <v>435</v>
      </c>
      <c r="Z4590">
        <v>510.93480096112631</v>
      </c>
      <c r="AA4590">
        <v>198</v>
      </c>
      <c r="AB4590">
        <v>332</v>
      </c>
      <c r="AC4590">
        <v>536</v>
      </c>
      <c r="AD4590">
        <v>30.35</v>
      </c>
      <c r="AE4590">
        <v>542</v>
      </c>
      <c r="AF4590">
        <v>37</v>
      </c>
      <c r="AG4590">
        <v>161</v>
      </c>
      <c r="AH4590">
        <v>129</v>
      </c>
      <c r="AI4590">
        <v>6.83</v>
      </c>
      <c r="AJ4590">
        <v>29.7</v>
      </c>
      <c r="AK4590">
        <v>23.8</v>
      </c>
      <c r="AL4590">
        <v>-20.134477649999951</v>
      </c>
      <c r="AM4590">
        <v>-44.894921468906077</v>
      </c>
      <c r="AN4590">
        <v>-20.134477649999951</v>
      </c>
      <c r="AO4590">
        <v>-44.894921468906077</v>
      </c>
      <c r="AP4590">
        <v>-20.134566</v>
      </c>
      <c r="AQ4590">
        <v>-44.894970999999998</v>
      </c>
      <c r="AR4590">
        <v>11.114372522967921</v>
      </c>
      <c r="AS4590" t="s">
        <v>65</v>
      </c>
      <c r="AT4590">
        <v>1</v>
      </c>
      <c r="AU4590" t="s">
        <v>654</v>
      </c>
      <c r="AV4590" t="s">
        <v>655</v>
      </c>
      <c r="AW4590" t="s">
        <v>60</v>
      </c>
      <c r="AX4590" t="s">
        <v>68</v>
      </c>
      <c r="AY4590" t="s">
        <v>69</v>
      </c>
      <c r="AZ4590" t="b">
        <v>1</v>
      </c>
    </row>
    <row r="4591" spans="1:52" x14ac:dyDescent="0.3">
      <c r="A4591" t="s">
        <v>52</v>
      </c>
      <c r="B4591" t="s">
        <v>53</v>
      </c>
      <c r="C4591" t="s">
        <v>54</v>
      </c>
      <c r="D4591" t="s">
        <v>55</v>
      </c>
      <c r="E4591" t="s">
        <v>2223</v>
      </c>
      <c r="F4591" t="s">
        <v>190</v>
      </c>
      <c r="G4591" t="s">
        <v>686</v>
      </c>
      <c r="H4591" t="s">
        <v>687</v>
      </c>
      <c r="I4591" t="s">
        <v>687</v>
      </c>
      <c r="J4591" t="s">
        <v>60</v>
      </c>
      <c r="K4591" t="s">
        <v>688</v>
      </c>
      <c r="L4591" t="s">
        <v>62</v>
      </c>
      <c r="M4591" t="s">
        <v>688</v>
      </c>
      <c r="N4591" t="s">
        <v>689</v>
      </c>
      <c r="O4591" t="s">
        <v>690</v>
      </c>
      <c r="P4591">
        <v>-20.136451999999998</v>
      </c>
      <c r="Q4591">
        <v>-44.891254000000004</v>
      </c>
      <c r="R4591" s="2" t="str">
        <f>HYPERLINK("https://www.google.com/maps?q=-20.1364520,-44.8912540","Abrir no Google Maps")</f>
        <v>Abrir no Google Maps</v>
      </c>
      <c r="S4591">
        <v>3</v>
      </c>
      <c r="T4591">
        <v>397.58661308638909</v>
      </c>
      <c r="U4591">
        <v>3</v>
      </c>
      <c r="V4591">
        <v>0.11790776974590431</v>
      </c>
      <c r="W4591">
        <v>1</v>
      </c>
      <c r="X4591">
        <v>0.11790776974590431</v>
      </c>
      <c r="Y4591">
        <v>428</v>
      </c>
      <c r="Z4591">
        <v>449.62002896840892</v>
      </c>
      <c r="AA4591">
        <v>198</v>
      </c>
      <c r="AB4591">
        <v>332</v>
      </c>
      <c r="AC4591">
        <v>536</v>
      </c>
      <c r="AD4591">
        <v>30.35</v>
      </c>
      <c r="AE4591">
        <v>542</v>
      </c>
      <c r="AF4591">
        <v>37</v>
      </c>
      <c r="AG4591">
        <v>161</v>
      </c>
      <c r="AH4591">
        <v>129</v>
      </c>
      <c r="AI4591">
        <v>6.83</v>
      </c>
      <c r="AJ4591">
        <v>29.7</v>
      </c>
      <c r="AK4591">
        <v>23.8</v>
      </c>
      <c r="AL4591">
        <v>-20.136400499999951</v>
      </c>
      <c r="AM4591">
        <v>-44.891173264034883</v>
      </c>
      <c r="AN4591">
        <v>-20.136400499999951</v>
      </c>
      <c r="AO4591">
        <v>-44.891173264034883</v>
      </c>
      <c r="AP4591">
        <v>-20.136451999999998</v>
      </c>
      <c r="AQ4591">
        <v>-44.891254000000004</v>
      </c>
      <c r="AR4591">
        <v>10.20146066113916</v>
      </c>
      <c r="AS4591" t="s">
        <v>65</v>
      </c>
      <c r="AT4591">
        <v>1</v>
      </c>
      <c r="AU4591" t="s">
        <v>691</v>
      </c>
      <c r="AV4591" t="s">
        <v>692</v>
      </c>
      <c r="AW4591" t="s">
        <v>60</v>
      </c>
      <c r="AX4591" t="s">
        <v>68</v>
      </c>
      <c r="AY4591" t="s">
        <v>69</v>
      </c>
      <c r="AZ4591" t="b">
        <v>1</v>
      </c>
    </row>
    <row r="4592" spans="1:52" x14ac:dyDescent="0.3">
      <c r="A4592" t="s">
        <v>52</v>
      </c>
      <c r="B4592" t="s">
        <v>53</v>
      </c>
      <c r="C4592" t="s">
        <v>54</v>
      </c>
      <c r="D4592" t="s">
        <v>55</v>
      </c>
      <c r="E4592" t="s">
        <v>2223</v>
      </c>
      <c r="F4592" t="s">
        <v>190</v>
      </c>
      <c r="G4592" t="s">
        <v>1021</v>
      </c>
      <c r="H4592" t="s">
        <v>1022</v>
      </c>
      <c r="I4592" t="s">
        <v>1022</v>
      </c>
      <c r="J4592" t="s">
        <v>60</v>
      </c>
      <c r="K4592" t="s">
        <v>1023</v>
      </c>
      <c r="L4592" t="s">
        <v>62</v>
      </c>
      <c r="M4592" t="s">
        <v>1023</v>
      </c>
      <c r="N4592" t="s">
        <v>1024</v>
      </c>
      <c r="O4592" t="s">
        <v>1025</v>
      </c>
      <c r="P4592">
        <v>-20.169588999999998</v>
      </c>
      <c r="Q4592">
        <v>-44.866636</v>
      </c>
      <c r="R4592" s="2" t="str">
        <f>HYPERLINK("https://www.google.com/maps?q=-20.1695890,-44.8666360","Abrir no Google Maps")</f>
        <v>Abrir no Google Maps</v>
      </c>
      <c r="S4592">
        <v>3</v>
      </c>
      <c r="T4592">
        <v>326.02709617860302</v>
      </c>
      <c r="U4592">
        <v>3</v>
      </c>
      <c r="V4592">
        <v>0.11771857590794239</v>
      </c>
      <c r="W4592">
        <v>1</v>
      </c>
      <c r="X4592">
        <v>0.11771857590794239</v>
      </c>
      <c r="Y4592">
        <v>422</v>
      </c>
      <c r="Z4592">
        <v>333.05362278862168</v>
      </c>
      <c r="AA4592">
        <v>198</v>
      </c>
      <c r="AB4592">
        <v>332</v>
      </c>
      <c r="AC4592">
        <v>536</v>
      </c>
      <c r="AD4592">
        <v>30.35</v>
      </c>
      <c r="AE4592">
        <v>542</v>
      </c>
      <c r="AF4592">
        <v>37</v>
      </c>
      <c r="AG4592">
        <v>161</v>
      </c>
      <c r="AH4592">
        <v>129</v>
      </c>
      <c r="AI4592">
        <v>6.83</v>
      </c>
      <c r="AJ4592">
        <v>29.7</v>
      </c>
      <c r="AK4592">
        <v>23.8</v>
      </c>
      <c r="AL4592">
        <v>-20.16956104999997</v>
      </c>
      <c r="AM4592">
        <v>-44.866560528183591</v>
      </c>
      <c r="AN4592">
        <v>-20.16956104999997</v>
      </c>
      <c r="AO4592">
        <v>-44.866560528183591</v>
      </c>
      <c r="AP4592">
        <v>-20.169588999999998</v>
      </c>
      <c r="AQ4592">
        <v>-44.866636</v>
      </c>
      <c r="AR4592">
        <v>8.4778927137831293</v>
      </c>
      <c r="AS4592" t="s">
        <v>65</v>
      </c>
      <c r="AT4592">
        <v>1</v>
      </c>
      <c r="AU4592" t="s">
        <v>1026</v>
      </c>
      <c r="AV4592" t="s">
        <v>1027</v>
      </c>
      <c r="AW4592" t="s">
        <v>60</v>
      </c>
      <c r="AX4592" t="s">
        <v>68</v>
      </c>
      <c r="AY4592" t="s">
        <v>69</v>
      </c>
      <c r="AZ4592" t="b">
        <v>1</v>
      </c>
    </row>
    <row r="4593" spans="1:52" x14ac:dyDescent="0.3">
      <c r="A4593" t="s">
        <v>52</v>
      </c>
      <c r="B4593" t="s">
        <v>53</v>
      </c>
      <c r="C4593" t="s">
        <v>54</v>
      </c>
      <c r="D4593" t="s">
        <v>55</v>
      </c>
      <c r="E4593" t="s">
        <v>2223</v>
      </c>
      <c r="F4593" t="s">
        <v>190</v>
      </c>
      <c r="G4593" t="s">
        <v>1028</v>
      </c>
      <c r="H4593" t="s">
        <v>1029</v>
      </c>
      <c r="I4593" t="s">
        <v>1029</v>
      </c>
      <c r="J4593" t="s">
        <v>60</v>
      </c>
      <c r="K4593" t="s">
        <v>1016</v>
      </c>
      <c r="L4593" t="s">
        <v>62</v>
      </c>
      <c r="M4593" t="s">
        <v>1016</v>
      </c>
      <c r="N4593" t="s">
        <v>1030</v>
      </c>
      <c r="O4593" t="s">
        <v>855</v>
      </c>
      <c r="P4593">
        <v>-20.169778000000001</v>
      </c>
      <c r="Q4593">
        <v>-44.871940000000002</v>
      </c>
      <c r="R4593" s="2" t="str">
        <f>HYPERLINK("https://www.google.com/maps?q=-20.1697780,-44.8719400","Abrir no Google Maps")</f>
        <v>Abrir no Google Maps</v>
      </c>
      <c r="S4593">
        <v>3</v>
      </c>
      <c r="T4593">
        <v>730.45462447863167</v>
      </c>
      <c r="U4593">
        <v>3</v>
      </c>
      <c r="V4593">
        <v>0.1188205372754729</v>
      </c>
      <c r="W4593">
        <v>1</v>
      </c>
      <c r="X4593">
        <v>0.1188205372754729</v>
      </c>
      <c r="Y4593">
        <v>422</v>
      </c>
      <c r="Z4593">
        <v>600.74952959765801</v>
      </c>
      <c r="AA4593">
        <v>198</v>
      </c>
      <c r="AB4593">
        <v>332</v>
      </c>
      <c r="AC4593">
        <v>536</v>
      </c>
      <c r="AD4593">
        <v>30.35</v>
      </c>
      <c r="AE4593">
        <v>542</v>
      </c>
      <c r="AF4593">
        <v>37</v>
      </c>
      <c r="AG4593">
        <v>161</v>
      </c>
      <c r="AH4593">
        <v>129</v>
      </c>
      <c r="AI4593">
        <v>6.83</v>
      </c>
      <c r="AJ4593">
        <v>29.7</v>
      </c>
      <c r="AK4593">
        <v>23.8</v>
      </c>
      <c r="AL4593">
        <v>-20.169770599999961</v>
      </c>
      <c r="AM4593">
        <v>-44.871857291666629</v>
      </c>
      <c r="AN4593">
        <v>-20.169770599999961</v>
      </c>
      <c r="AO4593">
        <v>-44.871857291666629</v>
      </c>
      <c r="AP4593">
        <v>-20.169778000000001</v>
      </c>
      <c r="AQ4593">
        <v>-44.871940000000002</v>
      </c>
      <c r="AR4593">
        <v>8.6816379320830315</v>
      </c>
      <c r="AS4593" t="s">
        <v>65</v>
      </c>
      <c r="AT4593">
        <v>1</v>
      </c>
      <c r="AU4593" t="s">
        <v>1031</v>
      </c>
      <c r="AV4593" t="s">
        <v>1032</v>
      </c>
      <c r="AW4593" t="s">
        <v>60</v>
      </c>
      <c r="AX4593" t="s">
        <v>68</v>
      </c>
      <c r="AY4593" t="s">
        <v>69</v>
      </c>
      <c r="AZ4593" t="b">
        <v>1</v>
      </c>
    </row>
    <row r="4594" spans="1:52" x14ac:dyDescent="0.3">
      <c r="A4594" t="s">
        <v>52</v>
      </c>
      <c r="B4594" t="s">
        <v>53</v>
      </c>
      <c r="C4594" t="s">
        <v>54</v>
      </c>
      <c r="D4594" t="s">
        <v>55</v>
      </c>
      <c r="E4594" t="s">
        <v>2223</v>
      </c>
      <c r="F4594" t="s">
        <v>190</v>
      </c>
      <c r="G4594" t="s">
        <v>1033</v>
      </c>
      <c r="H4594" t="s">
        <v>1034</v>
      </c>
      <c r="I4594" t="s">
        <v>1034</v>
      </c>
      <c r="J4594" t="s">
        <v>60</v>
      </c>
      <c r="K4594" t="s">
        <v>1016</v>
      </c>
      <c r="L4594" t="s">
        <v>62</v>
      </c>
      <c r="M4594" t="s">
        <v>1016</v>
      </c>
      <c r="N4594" t="s">
        <v>1035</v>
      </c>
      <c r="O4594" t="s">
        <v>1036</v>
      </c>
      <c r="P4594">
        <v>-20.176404999999999</v>
      </c>
      <c r="Q4594">
        <v>-44.871102</v>
      </c>
      <c r="R4594" s="2" t="str">
        <f>HYPERLINK("https://www.google.com/maps?q=-20.1764050,-44.8711020","Abrir no Google Maps")</f>
        <v>Abrir no Google Maps</v>
      </c>
      <c r="S4594">
        <v>3</v>
      </c>
      <c r="T4594">
        <v>746.17794449655105</v>
      </c>
      <c r="U4594">
        <v>3</v>
      </c>
      <c r="V4594">
        <v>0.1200796707215192</v>
      </c>
      <c r="W4594">
        <v>1</v>
      </c>
      <c r="X4594">
        <v>0.1200796707215192</v>
      </c>
      <c r="Y4594">
        <v>422</v>
      </c>
      <c r="Z4594">
        <v>532.61564453099913</v>
      </c>
      <c r="AA4594">
        <v>198</v>
      </c>
      <c r="AB4594">
        <v>332</v>
      </c>
      <c r="AC4594">
        <v>536</v>
      </c>
      <c r="AD4594">
        <v>30.35</v>
      </c>
      <c r="AE4594">
        <v>542</v>
      </c>
      <c r="AF4594">
        <v>37</v>
      </c>
      <c r="AG4594">
        <v>161</v>
      </c>
      <c r="AH4594">
        <v>129</v>
      </c>
      <c r="AI4594">
        <v>6.83</v>
      </c>
      <c r="AJ4594">
        <v>29.7</v>
      </c>
      <c r="AK4594">
        <v>23.8</v>
      </c>
      <c r="AL4594">
        <v>-20.176464949999971</v>
      </c>
      <c r="AM4594">
        <v>-44.871010194676387</v>
      </c>
      <c r="AN4594">
        <v>-20.176464949999971</v>
      </c>
      <c r="AO4594">
        <v>-44.871010194676387</v>
      </c>
      <c r="AP4594">
        <v>-20.176404999999999</v>
      </c>
      <c r="AQ4594">
        <v>-44.871102</v>
      </c>
      <c r="AR4594">
        <v>11.68571547850415</v>
      </c>
      <c r="AS4594" t="s">
        <v>65</v>
      </c>
      <c r="AT4594">
        <v>1</v>
      </c>
      <c r="AU4594" t="s">
        <v>1037</v>
      </c>
      <c r="AV4594" t="s">
        <v>1038</v>
      </c>
      <c r="AW4594" t="s">
        <v>60</v>
      </c>
      <c r="AX4594" t="s">
        <v>68</v>
      </c>
      <c r="AY4594" t="s">
        <v>69</v>
      </c>
      <c r="AZ4594" t="b">
        <v>1</v>
      </c>
    </row>
    <row r="4595" spans="1:52" x14ac:dyDescent="0.3">
      <c r="A4595" t="s">
        <v>52</v>
      </c>
      <c r="B4595" t="s">
        <v>53</v>
      </c>
      <c r="C4595" t="s">
        <v>54</v>
      </c>
      <c r="D4595" t="s">
        <v>55</v>
      </c>
      <c r="E4595" t="s">
        <v>2223</v>
      </c>
      <c r="F4595" t="s">
        <v>190</v>
      </c>
      <c r="G4595" t="s">
        <v>1871</v>
      </c>
      <c r="H4595" t="s">
        <v>1872</v>
      </c>
      <c r="I4595" t="s">
        <v>1872</v>
      </c>
      <c r="J4595" t="s">
        <v>60</v>
      </c>
      <c r="K4595" t="s">
        <v>1873</v>
      </c>
      <c r="L4595" t="s">
        <v>62</v>
      </c>
      <c r="M4595" t="s">
        <v>1873</v>
      </c>
      <c r="N4595" t="s">
        <v>1874</v>
      </c>
      <c r="O4595" t="s">
        <v>1777</v>
      </c>
      <c r="P4595">
        <v>-20.174001000000001</v>
      </c>
      <c r="Q4595">
        <v>-44.858052999999998</v>
      </c>
      <c r="R4595" s="2" t="str">
        <f>HYPERLINK("https://www.google.com/maps?q=-20.1740010,-44.8580530","Abrir no Google Maps")</f>
        <v>Abrir no Google Maps</v>
      </c>
      <c r="S4595">
        <v>3</v>
      </c>
      <c r="T4595">
        <v>781.46073891498543</v>
      </c>
      <c r="U4595">
        <v>3</v>
      </c>
      <c r="V4595">
        <v>0.1330123226674951</v>
      </c>
      <c r="W4595">
        <v>0.85</v>
      </c>
      <c r="X4595">
        <v>0.1130604742673708</v>
      </c>
      <c r="Y4595">
        <v>422</v>
      </c>
      <c r="Z4595">
        <v>952.0433747489468</v>
      </c>
      <c r="AA4595">
        <v>198</v>
      </c>
      <c r="AB4595">
        <v>332</v>
      </c>
      <c r="AC4595">
        <v>536</v>
      </c>
      <c r="AD4595">
        <v>30.35</v>
      </c>
      <c r="AE4595">
        <v>542</v>
      </c>
      <c r="AF4595">
        <v>37</v>
      </c>
      <c r="AG4595">
        <v>161</v>
      </c>
      <c r="AH4595">
        <v>129</v>
      </c>
      <c r="AI4595">
        <v>6.83</v>
      </c>
      <c r="AJ4595">
        <v>29.7</v>
      </c>
      <c r="AK4595">
        <v>23.8</v>
      </c>
      <c r="AL4595">
        <v>-20.173775449999969</v>
      </c>
      <c r="AM4595">
        <v>-44.858085656466983</v>
      </c>
      <c r="AN4595">
        <v>-20.173775449999969</v>
      </c>
      <c r="AO4595">
        <v>-44.858085656466983</v>
      </c>
      <c r="AP4595">
        <v>-20.174001000000001</v>
      </c>
      <c r="AQ4595">
        <v>-44.858052999999998</v>
      </c>
      <c r="AR4595">
        <v>25.339036445914079</v>
      </c>
      <c r="AS4595" t="s">
        <v>65</v>
      </c>
      <c r="AT4595">
        <v>1</v>
      </c>
      <c r="AU4595" t="s">
        <v>1875</v>
      </c>
      <c r="AV4595" t="s">
        <v>1876</v>
      </c>
      <c r="AW4595" t="s">
        <v>60</v>
      </c>
      <c r="AX4595" t="s">
        <v>68</v>
      </c>
      <c r="AY4595" t="s">
        <v>69</v>
      </c>
      <c r="AZ4595" t="b">
        <v>1</v>
      </c>
    </row>
    <row r="4596" spans="1:52" x14ac:dyDescent="0.3">
      <c r="A4596" t="s">
        <v>52</v>
      </c>
      <c r="B4596" t="s">
        <v>53</v>
      </c>
      <c r="C4596" t="s">
        <v>54</v>
      </c>
      <c r="D4596" t="s">
        <v>55</v>
      </c>
      <c r="E4596" t="s">
        <v>2223</v>
      </c>
      <c r="F4596" t="s">
        <v>190</v>
      </c>
      <c r="G4596" t="s">
        <v>700</v>
      </c>
      <c r="H4596" t="s">
        <v>701</v>
      </c>
      <c r="I4596" t="s">
        <v>701</v>
      </c>
      <c r="J4596" t="s">
        <v>60</v>
      </c>
      <c r="K4596" t="s">
        <v>702</v>
      </c>
      <c r="L4596" t="s">
        <v>62</v>
      </c>
      <c r="M4596" t="s">
        <v>702</v>
      </c>
      <c r="N4596" t="s">
        <v>703</v>
      </c>
      <c r="O4596" t="s">
        <v>315</v>
      </c>
      <c r="P4596">
        <v>-20.172599000000002</v>
      </c>
      <c r="Q4596">
        <v>-44.85915</v>
      </c>
      <c r="R4596" s="2" t="str">
        <f>HYPERLINK("https://www.google.com/maps?q=-20.1725990,-44.8591500","Abrir no Google Maps")</f>
        <v>Abrir no Google Maps</v>
      </c>
      <c r="S4596">
        <v>3</v>
      </c>
      <c r="T4596">
        <v>665.1003223445598</v>
      </c>
      <c r="U4596">
        <v>3</v>
      </c>
      <c r="V4596">
        <v>0.1210360254877552</v>
      </c>
      <c r="W4596">
        <v>1</v>
      </c>
      <c r="X4596">
        <v>0.1210360254877552</v>
      </c>
      <c r="Y4596">
        <v>422</v>
      </c>
      <c r="Z4596">
        <v>843.09189615634341</v>
      </c>
      <c r="AA4596">
        <v>198</v>
      </c>
      <c r="AB4596">
        <v>332</v>
      </c>
      <c r="AC4596">
        <v>536</v>
      </c>
      <c r="AD4596">
        <v>30.35</v>
      </c>
      <c r="AE4596">
        <v>542</v>
      </c>
      <c r="AF4596">
        <v>37</v>
      </c>
      <c r="AG4596">
        <v>161</v>
      </c>
      <c r="AH4596">
        <v>129</v>
      </c>
      <c r="AI4596">
        <v>6.83</v>
      </c>
      <c r="AJ4596">
        <v>29.7</v>
      </c>
      <c r="AK4596">
        <v>23.8</v>
      </c>
      <c r="AL4596">
        <v>-20.172576899999971</v>
      </c>
      <c r="AM4596">
        <v>-44.859040110359317</v>
      </c>
      <c r="AN4596">
        <v>-20.172576899999971</v>
      </c>
      <c r="AO4596">
        <v>-44.859040110359317</v>
      </c>
      <c r="AP4596">
        <v>-20.172599000000002</v>
      </c>
      <c r="AQ4596">
        <v>-44.85915</v>
      </c>
      <c r="AR4596">
        <v>11.743118835828479</v>
      </c>
      <c r="AS4596" t="s">
        <v>65</v>
      </c>
      <c r="AT4596">
        <v>1</v>
      </c>
      <c r="AU4596" t="s">
        <v>704</v>
      </c>
      <c r="AV4596" t="s">
        <v>705</v>
      </c>
      <c r="AW4596" t="s">
        <v>60</v>
      </c>
      <c r="AX4596" t="s">
        <v>68</v>
      </c>
      <c r="AY4596" t="s">
        <v>69</v>
      </c>
      <c r="AZ4596" t="b">
        <v>1</v>
      </c>
    </row>
    <row r="4597" spans="1:52" x14ac:dyDescent="0.3">
      <c r="A4597" t="s">
        <v>52</v>
      </c>
      <c r="B4597" t="s">
        <v>53</v>
      </c>
      <c r="C4597" t="s">
        <v>54</v>
      </c>
      <c r="D4597" t="s">
        <v>55</v>
      </c>
      <c r="E4597" t="s">
        <v>2223</v>
      </c>
      <c r="F4597" t="s">
        <v>190</v>
      </c>
      <c r="G4597" t="s">
        <v>1044</v>
      </c>
      <c r="H4597" t="s">
        <v>1045</v>
      </c>
      <c r="I4597" t="s">
        <v>1045</v>
      </c>
      <c r="J4597" t="s">
        <v>60</v>
      </c>
      <c r="K4597" t="s">
        <v>702</v>
      </c>
      <c r="L4597" t="s">
        <v>62</v>
      </c>
      <c r="M4597" t="s">
        <v>702</v>
      </c>
      <c r="N4597" t="s">
        <v>983</v>
      </c>
      <c r="O4597" t="s">
        <v>1046</v>
      </c>
      <c r="P4597">
        <v>-20.172056000000001</v>
      </c>
      <c r="Q4597">
        <v>-44.861556999999998</v>
      </c>
      <c r="R4597" s="2" t="str">
        <f>HYPERLINK("https://www.google.com/maps?q=-20.1720560,-44.8615570","Abrir no Google Maps")</f>
        <v>Abrir no Google Maps</v>
      </c>
      <c r="S4597">
        <v>3</v>
      </c>
      <c r="T4597">
        <v>387.50881633442719</v>
      </c>
      <c r="U4597">
        <v>3</v>
      </c>
      <c r="V4597">
        <v>0.1112864658058345</v>
      </c>
      <c r="W4597">
        <v>1</v>
      </c>
      <c r="X4597">
        <v>0.1112864658058345</v>
      </c>
      <c r="Y4597">
        <v>422</v>
      </c>
      <c r="Z4597">
        <v>592.01060063884404</v>
      </c>
      <c r="AA4597">
        <v>198</v>
      </c>
      <c r="AB4597">
        <v>332</v>
      </c>
      <c r="AC4597">
        <v>536</v>
      </c>
      <c r="AD4597">
        <v>30.35</v>
      </c>
      <c r="AE4597">
        <v>542</v>
      </c>
      <c r="AF4597">
        <v>37</v>
      </c>
      <c r="AG4597">
        <v>161</v>
      </c>
      <c r="AH4597">
        <v>129</v>
      </c>
      <c r="AI4597">
        <v>6.83</v>
      </c>
      <c r="AJ4597">
        <v>29.7</v>
      </c>
      <c r="AK4597">
        <v>23.8</v>
      </c>
      <c r="AL4597">
        <v>-20.171880149999961</v>
      </c>
      <c r="AM4597">
        <v>-44.861715860253369</v>
      </c>
      <c r="AN4597">
        <v>-20.171880149999961</v>
      </c>
      <c r="AO4597">
        <v>-44.861715860253369</v>
      </c>
      <c r="AP4597">
        <v>-20.172056000000001</v>
      </c>
      <c r="AQ4597">
        <v>-44.861556999999998</v>
      </c>
      <c r="AR4597">
        <v>25.66616443825145</v>
      </c>
      <c r="AS4597" t="s">
        <v>65</v>
      </c>
      <c r="AT4597">
        <v>1</v>
      </c>
      <c r="AU4597" t="s">
        <v>1047</v>
      </c>
      <c r="AV4597" t="s">
        <v>705</v>
      </c>
      <c r="AW4597" t="s">
        <v>60</v>
      </c>
      <c r="AX4597" t="s">
        <v>68</v>
      </c>
      <c r="AY4597" t="s">
        <v>69</v>
      </c>
      <c r="AZ4597" t="b">
        <v>1</v>
      </c>
    </row>
    <row r="4598" spans="1:52" x14ac:dyDescent="0.3">
      <c r="A4598" t="s">
        <v>52</v>
      </c>
      <c r="B4598" t="s">
        <v>53</v>
      </c>
      <c r="C4598" t="s">
        <v>54</v>
      </c>
      <c r="D4598" t="s">
        <v>55</v>
      </c>
      <c r="E4598" t="s">
        <v>2223</v>
      </c>
      <c r="F4598" t="s">
        <v>190</v>
      </c>
      <c r="G4598" t="s">
        <v>724</v>
      </c>
      <c r="H4598" t="s">
        <v>725</v>
      </c>
      <c r="I4598" t="s">
        <v>725</v>
      </c>
      <c r="J4598" t="s">
        <v>60</v>
      </c>
      <c r="K4598" t="s">
        <v>708</v>
      </c>
      <c r="L4598" t="s">
        <v>62</v>
      </c>
      <c r="M4598" t="s">
        <v>708</v>
      </c>
      <c r="N4598" t="s">
        <v>726</v>
      </c>
      <c r="O4598" t="s">
        <v>727</v>
      </c>
      <c r="P4598">
        <v>-20.131702000000001</v>
      </c>
      <c r="Q4598">
        <v>-44.873930999999999</v>
      </c>
      <c r="R4598" s="2" t="str">
        <f>HYPERLINK("https://www.google.com/maps?q=-20.1317020,-44.8739310","Abrir no Google Maps")</f>
        <v>Abrir no Google Maps</v>
      </c>
      <c r="S4598">
        <v>3</v>
      </c>
      <c r="T4598">
        <v>207.9085436463628</v>
      </c>
      <c r="U4598">
        <v>3</v>
      </c>
      <c r="V4598">
        <v>0.11674505737335571</v>
      </c>
      <c r="W4598">
        <v>1</v>
      </c>
      <c r="X4598">
        <v>0.11674505737335571</v>
      </c>
      <c r="Y4598">
        <v>387</v>
      </c>
      <c r="Z4598">
        <v>213.98086855276571</v>
      </c>
      <c r="AA4598">
        <v>198</v>
      </c>
      <c r="AB4598">
        <v>332</v>
      </c>
      <c r="AC4598">
        <v>536</v>
      </c>
      <c r="AD4598">
        <v>30.35</v>
      </c>
      <c r="AE4598">
        <v>542</v>
      </c>
      <c r="AF4598">
        <v>37</v>
      </c>
      <c r="AG4598">
        <v>161</v>
      </c>
      <c r="AH4598">
        <v>129</v>
      </c>
      <c r="AI4598">
        <v>6.83</v>
      </c>
      <c r="AJ4598">
        <v>29.7</v>
      </c>
      <c r="AK4598">
        <v>23.8</v>
      </c>
      <c r="AL4598">
        <v>-20.131807549999959</v>
      </c>
      <c r="AM4598">
        <v>-44.874039553784442</v>
      </c>
      <c r="AN4598">
        <v>-20.131807549999959</v>
      </c>
      <c r="AO4598">
        <v>-44.874039553784442</v>
      </c>
      <c r="AP4598">
        <v>-20.131702000000001</v>
      </c>
      <c r="AQ4598">
        <v>-44.873930999999999</v>
      </c>
      <c r="AR4598">
        <v>16.333643574998401</v>
      </c>
      <c r="AS4598" t="s">
        <v>65</v>
      </c>
      <c r="AT4598">
        <v>1</v>
      </c>
      <c r="AU4598" t="s">
        <v>728</v>
      </c>
      <c r="AV4598" t="s">
        <v>729</v>
      </c>
      <c r="AW4598" t="s">
        <v>60</v>
      </c>
      <c r="AX4598" t="s">
        <v>68</v>
      </c>
      <c r="AY4598" t="s">
        <v>69</v>
      </c>
      <c r="AZ4598" t="b">
        <v>1</v>
      </c>
    </row>
    <row r="4599" spans="1:52" x14ac:dyDescent="0.3">
      <c r="A4599" t="s">
        <v>52</v>
      </c>
      <c r="B4599" t="s">
        <v>53</v>
      </c>
      <c r="C4599" t="s">
        <v>54</v>
      </c>
      <c r="D4599" t="s">
        <v>55</v>
      </c>
      <c r="E4599" t="s">
        <v>2223</v>
      </c>
      <c r="F4599" t="s">
        <v>190</v>
      </c>
      <c r="G4599" t="s">
        <v>1054</v>
      </c>
      <c r="H4599" t="s">
        <v>1055</v>
      </c>
      <c r="I4599" t="s">
        <v>1055</v>
      </c>
      <c r="J4599" t="s">
        <v>60</v>
      </c>
      <c r="K4599" t="s">
        <v>708</v>
      </c>
      <c r="L4599" t="s">
        <v>62</v>
      </c>
      <c r="M4599" t="s">
        <v>708</v>
      </c>
      <c r="N4599" t="s">
        <v>1056</v>
      </c>
      <c r="O4599" t="s">
        <v>315</v>
      </c>
      <c r="P4599">
        <v>-20.130849000000001</v>
      </c>
      <c r="Q4599">
        <v>-44.870922999999998</v>
      </c>
      <c r="R4599" s="2" t="str">
        <f>HYPERLINK("https://www.google.com/maps?q=-20.1308490,-44.8709230","Abrir no Google Maps")</f>
        <v>Abrir no Google Maps</v>
      </c>
      <c r="S4599">
        <v>3</v>
      </c>
      <c r="T4599">
        <v>288.83865075380498</v>
      </c>
      <c r="U4599">
        <v>3</v>
      </c>
      <c r="V4599">
        <v>0.13780602636534839</v>
      </c>
      <c r="W4599">
        <v>0.85</v>
      </c>
      <c r="X4599">
        <v>0.11713512241054611</v>
      </c>
      <c r="Y4599">
        <v>387</v>
      </c>
      <c r="Z4599">
        <v>347.59283577270531</v>
      </c>
      <c r="AA4599">
        <v>198</v>
      </c>
      <c r="AB4599">
        <v>332</v>
      </c>
      <c r="AC4599">
        <v>536</v>
      </c>
      <c r="AD4599">
        <v>30.35</v>
      </c>
      <c r="AE4599">
        <v>542</v>
      </c>
      <c r="AF4599">
        <v>37</v>
      </c>
      <c r="AG4599">
        <v>161</v>
      </c>
      <c r="AH4599">
        <v>129</v>
      </c>
      <c r="AI4599">
        <v>6.83</v>
      </c>
      <c r="AJ4599">
        <v>29.7</v>
      </c>
      <c r="AK4599">
        <v>23.8</v>
      </c>
      <c r="AL4599">
        <v>-20.130950899999959</v>
      </c>
      <c r="AM4599">
        <v>-44.87096892838121</v>
      </c>
      <c r="AN4599">
        <v>-20.130950899999959</v>
      </c>
      <c r="AO4599">
        <v>-44.87096892838121</v>
      </c>
      <c r="AP4599">
        <v>-20.130849000000001</v>
      </c>
      <c r="AQ4599">
        <v>-44.870922999999998</v>
      </c>
      <c r="AR4599">
        <v>12.31742795843153</v>
      </c>
      <c r="AS4599" t="s">
        <v>65</v>
      </c>
      <c r="AT4599">
        <v>1</v>
      </c>
      <c r="AU4599" t="s">
        <v>1057</v>
      </c>
      <c r="AV4599" t="s">
        <v>1058</v>
      </c>
      <c r="AW4599" t="s">
        <v>60</v>
      </c>
      <c r="AX4599" t="s">
        <v>68</v>
      </c>
      <c r="AY4599" t="s">
        <v>69</v>
      </c>
      <c r="AZ4599" t="b">
        <v>1</v>
      </c>
    </row>
    <row r="4600" spans="1:52" x14ac:dyDescent="0.3">
      <c r="A4600" t="s">
        <v>52</v>
      </c>
      <c r="B4600" t="s">
        <v>53</v>
      </c>
      <c r="C4600" t="s">
        <v>54</v>
      </c>
      <c r="D4600" t="s">
        <v>55</v>
      </c>
      <c r="E4600" t="s">
        <v>2223</v>
      </c>
      <c r="F4600" t="s">
        <v>190</v>
      </c>
      <c r="G4600" t="s">
        <v>706</v>
      </c>
      <c r="H4600" t="s">
        <v>730</v>
      </c>
      <c r="I4600" t="s">
        <v>730</v>
      </c>
      <c r="J4600" t="s">
        <v>60</v>
      </c>
      <c r="K4600" t="s">
        <v>708</v>
      </c>
      <c r="L4600" t="s">
        <v>62</v>
      </c>
      <c r="M4600" t="s">
        <v>708</v>
      </c>
      <c r="N4600" t="s">
        <v>709</v>
      </c>
      <c r="O4600" t="s">
        <v>731</v>
      </c>
      <c r="P4600">
        <v>-20.130037999999999</v>
      </c>
      <c r="Q4600">
        <v>-44.873514</v>
      </c>
      <c r="R4600" s="2" t="str">
        <f>HYPERLINK("https://www.google.com/maps?q=-20.1300380,-44.8735140","Abrir no Google Maps")</f>
        <v>Abrir no Google Maps</v>
      </c>
      <c r="S4600">
        <v>3</v>
      </c>
      <c r="T4600">
        <v>0</v>
      </c>
      <c r="U4600">
        <v>3</v>
      </c>
      <c r="V4600">
        <v>0.1167720762137599</v>
      </c>
      <c r="W4600">
        <v>1</v>
      </c>
      <c r="X4600">
        <v>0.1167720762137599</v>
      </c>
      <c r="Y4600">
        <v>387</v>
      </c>
      <c r="Z4600">
        <v>108.0014931591698</v>
      </c>
      <c r="AA4600">
        <v>198</v>
      </c>
      <c r="AB4600">
        <v>332</v>
      </c>
      <c r="AC4600">
        <v>536</v>
      </c>
      <c r="AD4600">
        <v>30.35</v>
      </c>
      <c r="AE4600">
        <v>542</v>
      </c>
      <c r="AF4600">
        <v>37</v>
      </c>
      <c r="AG4600">
        <v>161</v>
      </c>
      <c r="AH4600">
        <v>129</v>
      </c>
      <c r="AI4600">
        <v>6.83</v>
      </c>
      <c r="AJ4600">
        <v>29.7</v>
      </c>
      <c r="AK4600">
        <v>23.8</v>
      </c>
      <c r="AL4600">
        <v>-20.12998944999995</v>
      </c>
      <c r="AM4600">
        <v>-44.873538114227337</v>
      </c>
      <c r="AN4600">
        <v>-20.12998944999995</v>
      </c>
      <c r="AO4600">
        <v>-44.873538114227337</v>
      </c>
      <c r="AP4600">
        <v>-20.130037999999999</v>
      </c>
      <c r="AQ4600">
        <v>-44.873514</v>
      </c>
      <c r="AR4600">
        <v>5.9633928268280867</v>
      </c>
      <c r="AS4600" t="s">
        <v>65</v>
      </c>
      <c r="AT4600">
        <v>1</v>
      </c>
      <c r="AU4600" t="s">
        <v>732</v>
      </c>
      <c r="AV4600" t="s">
        <v>733</v>
      </c>
      <c r="AW4600" t="s">
        <v>60</v>
      </c>
      <c r="AX4600" t="s">
        <v>68</v>
      </c>
      <c r="AY4600" t="s">
        <v>69</v>
      </c>
      <c r="AZ4600" t="b">
        <v>1</v>
      </c>
    </row>
    <row r="4601" spans="1:52" x14ac:dyDescent="0.3">
      <c r="A4601" t="s">
        <v>52</v>
      </c>
      <c r="B4601" t="s">
        <v>53</v>
      </c>
      <c r="C4601" t="s">
        <v>54</v>
      </c>
      <c r="D4601" t="s">
        <v>55</v>
      </c>
      <c r="E4601" t="s">
        <v>2223</v>
      </c>
      <c r="F4601" t="s">
        <v>190</v>
      </c>
      <c r="G4601" t="s">
        <v>747</v>
      </c>
      <c r="H4601" t="s">
        <v>748</v>
      </c>
      <c r="I4601" t="s">
        <v>748</v>
      </c>
      <c r="J4601" t="s">
        <v>60</v>
      </c>
      <c r="K4601" t="s">
        <v>505</v>
      </c>
      <c r="L4601" t="s">
        <v>62</v>
      </c>
      <c r="M4601" t="s">
        <v>505</v>
      </c>
      <c r="N4601" t="s">
        <v>749</v>
      </c>
      <c r="O4601" t="s">
        <v>750</v>
      </c>
      <c r="P4601">
        <v>-20.135107000000001</v>
      </c>
      <c r="Q4601">
        <v>-44.887521</v>
      </c>
      <c r="R4601" s="2" t="str">
        <f>HYPERLINK("https://www.google.com/maps?q=-20.1351070,-44.8875210","Abrir no Google Maps")</f>
        <v>Abrir no Google Maps</v>
      </c>
      <c r="S4601">
        <v>3</v>
      </c>
      <c r="T4601">
        <v>0</v>
      </c>
      <c r="U4601">
        <v>3</v>
      </c>
      <c r="V4601">
        <v>0.1157893093543149</v>
      </c>
      <c r="W4601">
        <v>1</v>
      </c>
      <c r="X4601">
        <v>0.1157893093543149</v>
      </c>
      <c r="Y4601">
        <v>350</v>
      </c>
      <c r="Z4601">
        <v>162.3716242776689</v>
      </c>
      <c r="AA4601">
        <v>198</v>
      </c>
      <c r="AB4601">
        <v>332</v>
      </c>
      <c r="AC4601">
        <v>536</v>
      </c>
      <c r="AD4601">
        <v>30.35</v>
      </c>
      <c r="AE4601">
        <v>542</v>
      </c>
      <c r="AF4601">
        <v>37</v>
      </c>
      <c r="AG4601">
        <v>161</v>
      </c>
      <c r="AH4601">
        <v>129</v>
      </c>
      <c r="AI4601">
        <v>6.83</v>
      </c>
      <c r="AJ4601">
        <v>29.7</v>
      </c>
      <c r="AK4601">
        <v>23.8</v>
      </c>
      <c r="AL4601">
        <v>-20.13520169999995</v>
      </c>
      <c r="AM4601">
        <v>-44.887587176802917</v>
      </c>
      <c r="AN4601">
        <v>-20.13520169999995</v>
      </c>
      <c r="AO4601">
        <v>-44.887587176802931</v>
      </c>
      <c r="AP4601">
        <v>-20.135107000000001</v>
      </c>
      <c r="AQ4601">
        <v>-44.887521</v>
      </c>
      <c r="AR4601">
        <v>12.608438103029821</v>
      </c>
      <c r="AS4601" t="s">
        <v>65</v>
      </c>
      <c r="AT4601">
        <v>1</v>
      </c>
      <c r="AU4601" t="s">
        <v>751</v>
      </c>
      <c r="AV4601" t="s">
        <v>752</v>
      </c>
      <c r="AW4601" t="s">
        <v>60</v>
      </c>
      <c r="AX4601" t="s">
        <v>68</v>
      </c>
      <c r="AY4601" t="s">
        <v>69</v>
      </c>
      <c r="AZ4601" t="b">
        <v>1</v>
      </c>
    </row>
    <row r="4602" spans="1:52" x14ac:dyDescent="0.3">
      <c r="A4602" t="s">
        <v>52</v>
      </c>
      <c r="B4602" t="s">
        <v>53</v>
      </c>
      <c r="C4602" t="s">
        <v>54</v>
      </c>
      <c r="D4602" t="s">
        <v>55</v>
      </c>
      <c r="E4602" t="s">
        <v>2223</v>
      </c>
      <c r="F4602" t="s">
        <v>190</v>
      </c>
      <c r="G4602" t="s">
        <v>1083</v>
      </c>
      <c r="H4602" t="s">
        <v>1084</v>
      </c>
      <c r="I4602" t="s">
        <v>1084</v>
      </c>
      <c r="J4602" t="s">
        <v>60</v>
      </c>
      <c r="K4602" t="s">
        <v>761</v>
      </c>
      <c r="L4602" t="s">
        <v>62</v>
      </c>
      <c r="M4602" t="s">
        <v>761</v>
      </c>
      <c r="N4602" t="s">
        <v>1085</v>
      </c>
      <c r="O4602" t="s">
        <v>1086</v>
      </c>
      <c r="P4602">
        <v>-20.124312</v>
      </c>
      <c r="Q4602">
        <v>-44.850425000000001</v>
      </c>
      <c r="R4602" s="2" t="str">
        <f>HYPERLINK("https://www.google.com/maps?q=-20.1243120,-44.8504250","Abrir no Google Maps")</f>
        <v>Abrir no Google Maps</v>
      </c>
      <c r="S4602">
        <v>3</v>
      </c>
      <c r="T4602">
        <v>0</v>
      </c>
      <c r="U4602">
        <v>3</v>
      </c>
      <c r="V4602">
        <v>0.1200436551273828</v>
      </c>
      <c r="W4602">
        <v>1</v>
      </c>
      <c r="X4602">
        <v>0.1200436551273828</v>
      </c>
      <c r="Y4602">
        <v>350</v>
      </c>
      <c r="Z4602">
        <v>380.24040721202471</v>
      </c>
      <c r="AA4602">
        <v>198</v>
      </c>
      <c r="AB4602">
        <v>332</v>
      </c>
      <c r="AC4602">
        <v>536</v>
      </c>
      <c r="AD4602">
        <v>30.35</v>
      </c>
      <c r="AE4602">
        <v>542</v>
      </c>
      <c r="AF4602">
        <v>37</v>
      </c>
      <c r="AG4602">
        <v>161</v>
      </c>
      <c r="AH4602">
        <v>129</v>
      </c>
      <c r="AI4602">
        <v>6.83</v>
      </c>
      <c r="AJ4602">
        <v>29.7</v>
      </c>
      <c r="AK4602">
        <v>23.8</v>
      </c>
      <c r="AL4602">
        <v>-20.126267499999951</v>
      </c>
      <c r="AM4602">
        <v>-44.852460192840908</v>
      </c>
      <c r="AN4602">
        <v>-20.126267499999951</v>
      </c>
      <c r="AO4602">
        <v>-44.852460192840908</v>
      </c>
      <c r="AP4602">
        <v>-20.124312</v>
      </c>
      <c r="AQ4602">
        <v>-44.850425000000001</v>
      </c>
      <c r="AR4602">
        <v>304.36574074135672</v>
      </c>
      <c r="AS4602" t="s">
        <v>65</v>
      </c>
      <c r="AT4602">
        <v>1</v>
      </c>
      <c r="AU4602" t="s">
        <v>1087</v>
      </c>
      <c r="AV4602" t="s">
        <v>1088</v>
      </c>
      <c r="AW4602" t="s">
        <v>60</v>
      </c>
      <c r="AX4602" t="s">
        <v>68</v>
      </c>
      <c r="AY4602" t="s">
        <v>69</v>
      </c>
      <c r="AZ4602" t="b">
        <v>1</v>
      </c>
    </row>
    <row r="4603" spans="1:52" x14ac:dyDescent="0.3">
      <c r="A4603" t="s">
        <v>52</v>
      </c>
      <c r="B4603" t="s">
        <v>53</v>
      </c>
      <c r="C4603" t="s">
        <v>54</v>
      </c>
      <c r="D4603" t="s">
        <v>55</v>
      </c>
      <c r="E4603" t="s">
        <v>2223</v>
      </c>
      <c r="F4603" t="s">
        <v>190</v>
      </c>
      <c r="G4603" t="s">
        <v>1089</v>
      </c>
      <c r="H4603" t="s">
        <v>1090</v>
      </c>
      <c r="I4603" t="s">
        <v>1090</v>
      </c>
      <c r="J4603" t="s">
        <v>60</v>
      </c>
      <c r="K4603" t="s">
        <v>761</v>
      </c>
      <c r="L4603" t="s">
        <v>62</v>
      </c>
      <c r="M4603" t="s">
        <v>761</v>
      </c>
      <c r="N4603" t="s">
        <v>1091</v>
      </c>
      <c r="O4603" t="s">
        <v>86</v>
      </c>
      <c r="P4603">
        <v>-20.116182999999999</v>
      </c>
      <c r="Q4603">
        <v>-44.850524</v>
      </c>
      <c r="R4603" s="2" t="str">
        <f>HYPERLINK("https://www.google.com/maps?q=-20.1161830,-44.8505240","Abrir no Google Maps")</f>
        <v>Abrir no Google Maps</v>
      </c>
      <c r="S4603">
        <v>3</v>
      </c>
      <c r="T4603">
        <v>1142.6607426309961</v>
      </c>
      <c r="U4603">
        <v>3</v>
      </c>
      <c r="V4603">
        <v>0.1197847009152178</v>
      </c>
      <c r="W4603">
        <v>1</v>
      </c>
      <c r="X4603">
        <v>0.1197847009152178</v>
      </c>
      <c r="Y4603">
        <v>350</v>
      </c>
      <c r="Z4603">
        <v>723.44841640590141</v>
      </c>
      <c r="AA4603">
        <v>198</v>
      </c>
      <c r="AB4603">
        <v>332</v>
      </c>
      <c r="AC4603">
        <v>536</v>
      </c>
      <c r="AD4603">
        <v>30.35</v>
      </c>
      <c r="AE4603">
        <v>542</v>
      </c>
      <c r="AF4603">
        <v>37</v>
      </c>
      <c r="AG4603">
        <v>161</v>
      </c>
      <c r="AH4603">
        <v>129</v>
      </c>
      <c r="AI4603">
        <v>6.83</v>
      </c>
      <c r="AJ4603">
        <v>29.7</v>
      </c>
      <c r="AK4603">
        <v>23.8</v>
      </c>
      <c r="AL4603">
        <v>-20.11605684999995</v>
      </c>
      <c r="AM4603">
        <v>-44.850832861808193</v>
      </c>
      <c r="AN4603">
        <v>-20.11605684999995</v>
      </c>
      <c r="AO4603">
        <v>-44.850832861808193</v>
      </c>
      <c r="AP4603">
        <v>-20.116182999999999</v>
      </c>
      <c r="AQ4603">
        <v>-44.850524</v>
      </c>
      <c r="AR4603">
        <v>35.207009729928053</v>
      </c>
      <c r="AS4603" t="s">
        <v>65</v>
      </c>
      <c r="AT4603">
        <v>1</v>
      </c>
      <c r="AU4603" t="s">
        <v>1092</v>
      </c>
      <c r="AV4603" t="s">
        <v>1093</v>
      </c>
      <c r="AW4603" t="s">
        <v>60</v>
      </c>
      <c r="AX4603" t="s">
        <v>68</v>
      </c>
      <c r="AY4603" t="s">
        <v>69</v>
      </c>
      <c r="AZ4603" t="b">
        <v>1</v>
      </c>
    </row>
    <row r="4604" spans="1:52" x14ac:dyDescent="0.3">
      <c r="A4604" t="s">
        <v>52</v>
      </c>
      <c r="B4604" t="s">
        <v>53</v>
      </c>
      <c r="C4604" t="s">
        <v>54</v>
      </c>
      <c r="D4604" t="s">
        <v>55</v>
      </c>
      <c r="E4604" t="s">
        <v>2223</v>
      </c>
      <c r="F4604" t="s">
        <v>190</v>
      </c>
      <c r="G4604" t="s">
        <v>1094</v>
      </c>
      <c r="H4604" t="s">
        <v>1095</v>
      </c>
      <c r="I4604" t="s">
        <v>1095</v>
      </c>
      <c r="J4604" t="s">
        <v>60</v>
      </c>
      <c r="K4604" t="s">
        <v>761</v>
      </c>
      <c r="L4604" t="s">
        <v>62</v>
      </c>
      <c r="M4604" t="s">
        <v>761</v>
      </c>
      <c r="N4604" t="s">
        <v>1096</v>
      </c>
      <c r="O4604" t="s">
        <v>1070</v>
      </c>
      <c r="P4604">
        <v>-20.122955999999999</v>
      </c>
      <c r="Q4604">
        <v>-44.847842</v>
      </c>
      <c r="R4604" s="2" t="str">
        <f>HYPERLINK("https://www.google.com/maps?q=-20.1229560,-44.8478420","Abrir no Google Maps")</f>
        <v>Abrir no Google Maps</v>
      </c>
      <c r="S4604">
        <v>3</v>
      </c>
      <c r="T4604">
        <v>611.23533866709147</v>
      </c>
      <c r="U4604">
        <v>3</v>
      </c>
      <c r="V4604">
        <v>0.1201581247456633</v>
      </c>
      <c r="W4604">
        <v>1</v>
      </c>
      <c r="X4604">
        <v>0.1201581247456633</v>
      </c>
      <c r="Y4604">
        <v>350</v>
      </c>
      <c r="Z4604">
        <v>567.3129443637539</v>
      </c>
      <c r="AA4604">
        <v>198</v>
      </c>
      <c r="AB4604">
        <v>332</v>
      </c>
      <c r="AC4604">
        <v>536</v>
      </c>
      <c r="AD4604">
        <v>30.35</v>
      </c>
      <c r="AE4604">
        <v>542</v>
      </c>
      <c r="AF4604">
        <v>37</v>
      </c>
      <c r="AG4604">
        <v>161</v>
      </c>
      <c r="AH4604">
        <v>129</v>
      </c>
      <c r="AI4604">
        <v>6.83</v>
      </c>
      <c r="AJ4604">
        <v>29.7</v>
      </c>
      <c r="AK4604">
        <v>23.8</v>
      </c>
      <c r="AL4604">
        <v>-20.122854299999972</v>
      </c>
      <c r="AM4604">
        <v>-44.847862495675152</v>
      </c>
      <c r="AN4604">
        <v>-20.122854299999972</v>
      </c>
      <c r="AO4604">
        <v>-44.847862495675152</v>
      </c>
      <c r="AP4604">
        <v>-20.122955999999999</v>
      </c>
      <c r="AQ4604">
        <v>-44.847842</v>
      </c>
      <c r="AR4604">
        <v>11.522154044835331</v>
      </c>
      <c r="AS4604" t="s">
        <v>65</v>
      </c>
      <c r="AT4604">
        <v>1</v>
      </c>
      <c r="AU4604" t="s">
        <v>1097</v>
      </c>
      <c r="AV4604" t="s">
        <v>1098</v>
      </c>
      <c r="AW4604" t="s">
        <v>60</v>
      </c>
      <c r="AX4604" t="s">
        <v>68</v>
      </c>
      <c r="AY4604" t="s">
        <v>69</v>
      </c>
      <c r="AZ4604" t="b">
        <v>1</v>
      </c>
    </row>
    <row r="4605" spans="1:52" x14ac:dyDescent="0.3">
      <c r="A4605" t="s">
        <v>52</v>
      </c>
      <c r="B4605" t="s">
        <v>53</v>
      </c>
      <c r="C4605" t="s">
        <v>54</v>
      </c>
      <c r="D4605" t="s">
        <v>55</v>
      </c>
      <c r="E4605" t="s">
        <v>2223</v>
      </c>
      <c r="F4605" t="s">
        <v>190</v>
      </c>
      <c r="G4605" t="s">
        <v>759</v>
      </c>
      <c r="H4605" t="s">
        <v>760</v>
      </c>
      <c r="I4605" t="s">
        <v>760</v>
      </c>
      <c r="J4605" t="s">
        <v>60</v>
      </c>
      <c r="K4605" t="s">
        <v>761</v>
      </c>
      <c r="L4605" t="s">
        <v>62</v>
      </c>
      <c r="M4605" t="s">
        <v>761</v>
      </c>
      <c r="N4605" t="s">
        <v>762</v>
      </c>
      <c r="O4605" t="s">
        <v>763</v>
      </c>
      <c r="P4605">
        <v>-20.118755</v>
      </c>
      <c r="Q4605">
        <v>-44.850627000000003</v>
      </c>
      <c r="R4605" s="2" t="str">
        <f>HYPERLINK("https://www.google.com/maps?q=-20.1187550,-44.8506270","Abrir no Google Maps")</f>
        <v>Abrir no Google Maps</v>
      </c>
      <c r="S4605">
        <v>3</v>
      </c>
      <c r="T4605">
        <v>848.81670834514034</v>
      </c>
      <c r="U4605">
        <v>3</v>
      </c>
      <c r="V4605">
        <v>0.1212515605493133</v>
      </c>
      <c r="W4605">
        <v>1</v>
      </c>
      <c r="X4605">
        <v>0.1212515605493133</v>
      </c>
      <c r="Y4605">
        <v>350</v>
      </c>
      <c r="Z4605">
        <v>443.51354125420028</v>
      </c>
      <c r="AA4605">
        <v>198</v>
      </c>
      <c r="AB4605">
        <v>332</v>
      </c>
      <c r="AC4605">
        <v>536</v>
      </c>
      <c r="AD4605">
        <v>30.35</v>
      </c>
      <c r="AE4605">
        <v>542</v>
      </c>
      <c r="AF4605">
        <v>37</v>
      </c>
      <c r="AG4605">
        <v>161</v>
      </c>
      <c r="AH4605">
        <v>129</v>
      </c>
      <c r="AI4605">
        <v>6.83</v>
      </c>
      <c r="AJ4605">
        <v>29.7</v>
      </c>
      <c r="AK4605">
        <v>23.8</v>
      </c>
      <c r="AL4605">
        <v>-20.11882464999994</v>
      </c>
      <c r="AM4605">
        <v>-44.850497004056017</v>
      </c>
      <c r="AN4605">
        <v>-20.11882464999994</v>
      </c>
      <c r="AO4605">
        <v>-44.850497004056017</v>
      </c>
      <c r="AP4605">
        <v>-20.118755</v>
      </c>
      <c r="AQ4605">
        <v>-44.850627000000003</v>
      </c>
      <c r="AR4605">
        <v>15.6445928866994</v>
      </c>
      <c r="AS4605" t="s">
        <v>65</v>
      </c>
      <c r="AT4605">
        <v>1</v>
      </c>
      <c r="AU4605" t="s">
        <v>764</v>
      </c>
      <c r="AV4605" t="s">
        <v>765</v>
      </c>
      <c r="AW4605" t="s">
        <v>60</v>
      </c>
      <c r="AX4605" t="s">
        <v>68</v>
      </c>
      <c r="AY4605" t="s">
        <v>69</v>
      </c>
      <c r="AZ4605" t="b">
        <v>1</v>
      </c>
    </row>
    <row r="4606" spans="1:52" x14ac:dyDescent="0.3">
      <c r="A4606" t="s">
        <v>52</v>
      </c>
      <c r="B4606" t="s">
        <v>53</v>
      </c>
      <c r="C4606" t="s">
        <v>54</v>
      </c>
      <c r="D4606" t="s">
        <v>55</v>
      </c>
      <c r="E4606" t="s">
        <v>2223</v>
      </c>
      <c r="F4606" t="s">
        <v>190</v>
      </c>
      <c r="G4606" t="s">
        <v>773</v>
      </c>
      <c r="H4606" t="s">
        <v>774</v>
      </c>
      <c r="I4606" t="s">
        <v>774</v>
      </c>
      <c r="J4606" t="s">
        <v>60</v>
      </c>
      <c r="K4606" t="s">
        <v>775</v>
      </c>
      <c r="L4606" t="s">
        <v>62</v>
      </c>
      <c r="M4606" t="s">
        <v>775</v>
      </c>
      <c r="N4606" t="s">
        <v>776</v>
      </c>
      <c r="O4606" t="s">
        <v>250</v>
      </c>
      <c r="P4606">
        <v>-20.135413</v>
      </c>
      <c r="Q4606">
        <v>-44.868969999999997</v>
      </c>
      <c r="R4606" s="2" t="str">
        <f>HYPERLINK("https://www.google.com/maps?q=-20.1354130,-44.8689700","Abrir no Google Maps")</f>
        <v>Abrir no Google Maps</v>
      </c>
      <c r="S4606">
        <v>3</v>
      </c>
      <c r="T4606">
        <v>403.5118397372845</v>
      </c>
      <c r="U4606">
        <v>3</v>
      </c>
      <c r="V4606">
        <v>0.1182757296466974</v>
      </c>
      <c r="W4606">
        <v>1</v>
      </c>
      <c r="X4606">
        <v>0.1182757296466974</v>
      </c>
      <c r="Y4606">
        <v>332</v>
      </c>
      <c r="Z4606">
        <v>455.74614750795899</v>
      </c>
      <c r="AA4606">
        <v>198</v>
      </c>
      <c r="AB4606">
        <v>332</v>
      </c>
      <c r="AC4606">
        <v>536</v>
      </c>
      <c r="AD4606">
        <v>30.35</v>
      </c>
      <c r="AE4606">
        <v>542</v>
      </c>
      <c r="AF4606">
        <v>37</v>
      </c>
      <c r="AG4606">
        <v>161</v>
      </c>
      <c r="AH4606">
        <v>129</v>
      </c>
      <c r="AI4606">
        <v>6.83</v>
      </c>
      <c r="AJ4606">
        <v>29.7</v>
      </c>
      <c r="AK4606">
        <v>23.8</v>
      </c>
      <c r="AL4606">
        <v>-20.13561149999995</v>
      </c>
      <c r="AM4606">
        <v>-44.868817260088647</v>
      </c>
      <c r="AN4606">
        <v>-20.13561149999995</v>
      </c>
      <c r="AO4606">
        <v>-44.868817260088647</v>
      </c>
      <c r="AP4606">
        <v>-20.135413</v>
      </c>
      <c r="AQ4606">
        <v>-44.868969999999997</v>
      </c>
      <c r="AR4606">
        <v>27.26024434808955</v>
      </c>
      <c r="AS4606" t="s">
        <v>65</v>
      </c>
      <c r="AT4606">
        <v>1</v>
      </c>
      <c r="AU4606" t="s">
        <v>777</v>
      </c>
      <c r="AV4606" t="s">
        <v>778</v>
      </c>
      <c r="AW4606" t="s">
        <v>60</v>
      </c>
      <c r="AX4606" t="s">
        <v>68</v>
      </c>
      <c r="AY4606" t="s">
        <v>69</v>
      </c>
      <c r="AZ4606" t="b">
        <v>1</v>
      </c>
    </row>
    <row r="4607" spans="1:52" x14ac:dyDescent="0.3">
      <c r="A4607" t="s">
        <v>52</v>
      </c>
      <c r="B4607" t="s">
        <v>53</v>
      </c>
      <c r="C4607" t="s">
        <v>54</v>
      </c>
      <c r="D4607" t="s">
        <v>55</v>
      </c>
      <c r="E4607" t="s">
        <v>2223</v>
      </c>
      <c r="F4607" t="s">
        <v>190</v>
      </c>
      <c r="G4607" t="s">
        <v>1104</v>
      </c>
      <c r="H4607" t="s">
        <v>1105</v>
      </c>
      <c r="I4607" t="s">
        <v>1105</v>
      </c>
      <c r="J4607" t="s">
        <v>60</v>
      </c>
      <c r="K4607" t="s">
        <v>781</v>
      </c>
      <c r="L4607" t="s">
        <v>62</v>
      </c>
      <c r="M4607" t="s">
        <v>781</v>
      </c>
      <c r="N4607" t="s">
        <v>1106</v>
      </c>
      <c r="O4607" t="s">
        <v>1080</v>
      </c>
      <c r="P4607">
        <v>-20.138683</v>
      </c>
      <c r="Q4607">
        <v>-44.868507999999999</v>
      </c>
      <c r="R4607" s="2" t="str">
        <f>HYPERLINK("https://www.google.com/maps?q=-20.1386830,-44.8685080","Abrir no Google Maps")</f>
        <v>Abrir no Google Maps</v>
      </c>
      <c r="S4607">
        <v>3</v>
      </c>
      <c r="T4607">
        <v>450.88210098833099</v>
      </c>
      <c r="U4607">
        <v>3</v>
      </c>
      <c r="V4607">
        <v>0.1124054341500612</v>
      </c>
      <c r="W4607">
        <v>1</v>
      </c>
      <c r="X4607">
        <v>0.1124054341500612</v>
      </c>
      <c r="Y4607">
        <v>332</v>
      </c>
      <c r="Z4607">
        <v>601.27669048153166</v>
      </c>
      <c r="AA4607">
        <v>198</v>
      </c>
      <c r="AB4607">
        <v>332</v>
      </c>
      <c r="AC4607">
        <v>536</v>
      </c>
      <c r="AD4607">
        <v>30.35</v>
      </c>
      <c r="AE4607">
        <v>542</v>
      </c>
      <c r="AF4607">
        <v>37</v>
      </c>
      <c r="AG4607">
        <v>161</v>
      </c>
      <c r="AH4607">
        <v>129</v>
      </c>
      <c r="AI4607">
        <v>6.83</v>
      </c>
      <c r="AJ4607">
        <v>29.7</v>
      </c>
      <c r="AK4607">
        <v>23.8</v>
      </c>
      <c r="AL4607">
        <v>-20.13870544999995</v>
      </c>
      <c r="AM4607">
        <v>-44.868521774012208</v>
      </c>
      <c r="AN4607">
        <v>-20.138705449999939</v>
      </c>
      <c r="AO4607">
        <v>-44.868521774012208</v>
      </c>
      <c r="AP4607">
        <v>-20.138683</v>
      </c>
      <c r="AQ4607">
        <v>-44.868507999999999</v>
      </c>
      <c r="AR4607">
        <v>2.8841042175322271</v>
      </c>
      <c r="AS4607" t="s">
        <v>65</v>
      </c>
      <c r="AT4607">
        <v>1</v>
      </c>
      <c r="AU4607" t="s">
        <v>1107</v>
      </c>
      <c r="AV4607" t="s">
        <v>1108</v>
      </c>
      <c r="AW4607" t="s">
        <v>60</v>
      </c>
      <c r="AX4607" t="s">
        <v>68</v>
      </c>
      <c r="AY4607" t="s">
        <v>69</v>
      </c>
      <c r="AZ4607" t="b">
        <v>1</v>
      </c>
    </row>
    <row r="4608" spans="1:52" x14ac:dyDescent="0.3">
      <c r="A4608" t="s">
        <v>52</v>
      </c>
      <c r="B4608" t="s">
        <v>53</v>
      </c>
      <c r="C4608" t="s">
        <v>54</v>
      </c>
      <c r="D4608" t="s">
        <v>55</v>
      </c>
      <c r="E4608" t="s">
        <v>2223</v>
      </c>
      <c r="F4608" t="s">
        <v>190</v>
      </c>
      <c r="G4608" t="s">
        <v>1115</v>
      </c>
      <c r="H4608" t="s">
        <v>1116</v>
      </c>
      <c r="I4608" t="s">
        <v>1116</v>
      </c>
      <c r="J4608" t="s">
        <v>60</v>
      </c>
      <c r="K4608" t="s">
        <v>1117</v>
      </c>
      <c r="L4608" t="s">
        <v>62</v>
      </c>
      <c r="M4608" t="s">
        <v>1117</v>
      </c>
      <c r="N4608" t="s">
        <v>1118</v>
      </c>
      <c r="O4608" t="s">
        <v>74</v>
      </c>
      <c r="P4608">
        <v>-20.171123000000001</v>
      </c>
      <c r="Q4608">
        <v>-44.944929999999999</v>
      </c>
      <c r="R4608" s="2" t="str">
        <f>HYPERLINK("https://www.google.com/maps?q=-20.1711230,-44.9449300","Abrir no Google Maps")</f>
        <v>Abrir no Google Maps</v>
      </c>
      <c r="S4608">
        <v>3</v>
      </c>
      <c r="T4608">
        <v>2450.5355520785151</v>
      </c>
      <c r="U4608">
        <v>3</v>
      </c>
      <c r="V4608">
        <v>0.13836996336996329</v>
      </c>
      <c r="W4608">
        <v>0.85</v>
      </c>
      <c r="X4608">
        <v>0.1176144688644688</v>
      </c>
      <c r="Y4608">
        <v>331</v>
      </c>
      <c r="Z4608">
        <v>2306.317072968428</v>
      </c>
      <c r="AA4608">
        <v>198</v>
      </c>
      <c r="AB4608">
        <v>332</v>
      </c>
      <c r="AC4608">
        <v>536</v>
      </c>
      <c r="AD4608">
        <v>30.35</v>
      </c>
      <c r="AE4608">
        <v>542</v>
      </c>
      <c r="AF4608">
        <v>37</v>
      </c>
      <c r="AG4608">
        <v>161</v>
      </c>
      <c r="AH4608">
        <v>129</v>
      </c>
      <c r="AI4608">
        <v>6.83</v>
      </c>
      <c r="AJ4608">
        <v>29.7</v>
      </c>
      <c r="AK4608">
        <v>23.8</v>
      </c>
      <c r="AL4608">
        <v>-20.170858699999972</v>
      </c>
      <c r="AM4608">
        <v>-44.945018498005382</v>
      </c>
      <c r="AN4608">
        <v>-20.170858699999972</v>
      </c>
      <c r="AO4608">
        <v>-44.945018498005382</v>
      </c>
      <c r="AP4608">
        <v>-20.171123000000001</v>
      </c>
      <c r="AQ4608">
        <v>-44.944929999999999</v>
      </c>
      <c r="AR4608">
        <v>30.840896798881371</v>
      </c>
      <c r="AS4608" t="s">
        <v>65</v>
      </c>
      <c r="AT4608">
        <v>1</v>
      </c>
      <c r="AU4608" t="s">
        <v>1119</v>
      </c>
      <c r="AV4608" t="s">
        <v>1120</v>
      </c>
      <c r="AW4608" t="s">
        <v>60</v>
      </c>
      <c r="AX4608" t="s">
        <v>68</v>
      </c>
      <c r="AY4608" t="s">
        <v>69</v>
      </c>
      <c r="AZ4608" t="b">
        <v>1</v>
      </c>
    </row>
    <row r="4609" spans="1:52" x14ac:dyDescent="0.3">
      <c r="A4609" t="s">
        <v>52</v>
      </c>
      <c r="B4609" t="s">
        <v>53</v>
      </c>
      <c r="C4609" t="s">
        <v>54</v>
      </c>
      <c r="D4609" t="s">
        <v>55</v>
      </c>
      <c r="E4609" t="s">
        <v>2223</v>
      </c>
      <c r="F4609" t="s">
        <v>190</v>
      </c>
      <c r="G4609" t="s">
        <v>1121</v>
      </c>
      <c r="H4609" t="s">
        <v>1122</v>
      </c>
      <c r="I4609" t="s">
        <v>1122</v>
      </c>
      <c r="J4609" t="s">
        <v>60</v>
      </c>
      <c r="K4609" t="s">
        <v>1123</v>
      </c>
      <c r="L4609" t="s">
        <v>62</v>
      </c>
      <c r="M4609" t="s">
        <v>1123</v>
      </c>
      <c r="N4609" t="s">
        <v>1124</v>
      </c>
      <c r="O4609" t="s">
        <v>74</v>
      </c>
      <c r="P4609">
        <v>-20.105318</v>
      </c>
      <c r="Q4609">
        <v>-44.879216</v>
      </c>
      <c r="R4609" s="2" t="str">
        <f>HYPERLINK("https://www.google.com/maps?q=-20.1053180,-44.8792160","Abrir no Google Maps")</f>
        <v>Abrir no Google Maps</v>
      </c>
      <c r="S4609">
        <v>3</v>
      </c>
      <c r="T4609">
        <v>318.57668516180911</v>
      </c>
      <c r="U4609">
        <v>3</v>
      </c>
      <c r="V4609">
        <v>0.11242998339772529</v>
      </c>
      <c r="W4609">
        <v>1</v>
      </c>
      <c r="X4609">
        <v>0.11242998339772529</v>
      </c>
      <c r="Y4609">
        <v>314</v>
      </c>
      <c r="Z4609">
        <v>207.50829098881519</v>
      </c>
      <c r="AA4609">
        <v>198</v>
      </c>
      <c r="AB4609">
        <v>332</v>
      </c>
      <c r="AC4609">
        <v>536</v>
      </c>
      <c r="AD4609">
        <v>30.35</v>
      </c>
      <c r="AE4609">
        <v>542</v>
      </c>
      <c r="AF4609">
        <v>37</v>
      </c>
      <c r="AG4609">
        <v>161</v>
      </c>
      <c r="AH4609">
        <v>129</v>
      </c>
      <c r="AI4609">
        <v>6.83</v>
      </c>
      <c r="AJ4609">
        <v>29.7</v>
      </c>
      <c r="AK4609">
        <v>23.8</v>
      </c>
      <c r="AL4609">
        <v>-20.105361049999939</v>
      </c>
      <c r="AM4609">
        <v>-44.87924613740698</v>
      </c>
      <c r="AN4609">
        <v>-20.105361049999939</v>
      </c>
      <c r="AO4609">
        <v>-44.87924613740698</v>
      </c>
      <c r="AP4609">
        <v>-20.105318</v>
      </c>
      <c r="AQ4609">
        <v>-44.879216</v>
      </c>
      <c r="AR4609">
        <v>5.7351338374851242</v>
      </c>
      <c r="AS4609" t="s">
        <v>65</v>
      </c>
      <c r="AT4609">
        <v>1</v>
      </c>
      <c r="AU4609" t="s">
        <v>1125</v>
      </c>
      <c r="AV4609" t="s">
        <v>1126</v>
      </c>
      <c r="AW4609" t="s">
        <v>60</v>
      </c>
      <c r="AX4609" t="s">
        <v>68</v>
      </c>
      <c r="AY4609" t="s">
        <v>69</v>
      </c>
      <c r="AZ4609" t="b">
        <v>1</v>
      </c>
    </row>
    <row r="4610" spans="1:52" x14ac:dyDescent="0.3">
      <c r="A4610" t="s">
        <v>52</v>
      </c>
      <c r="B4610" t="s">
        <v>53</v>
      </c>
      <c r="C4610" t="s">
        <v>54</v>
      </c>
      <c r="D4610" t="s">
        <v>55</v>
      </c>
      <c r="E4610" t="s">
        <v>2223</v>
      </c>
      <c r="F4610" t="s">
        <v>190</v>
      </c>
      <c r="G4610" t="s">
        <v>1133</v>
      </c>
      <c r="H4610" t="s">
        <v>1144</v>
      </c>
      <c r="I4610" t="s">
        <v>1144</v>
      </c>
      <c r="J4610" t="s">
        <v>60</v>
      </c>
      <c r="K4610" t="s">
        <v>1123</v>
      </c>
      <c r="L4610" t="s">
        <v>62</v>
      </c>
      <c r="M4610" t="s">
        <v>1123</v>
      </c>
      <c r="N4610" t="s">
        <v>1135</v>
      </c>
      <c r="O4610" t="s">
        <v>907</v>
      </c>
      <c r="P4610">
        <v>-20.100351</v>
      </c>
      <c r="Q4610">
        <v>-44.878037999999997</v>
      </c>
      <c r="R4610" s="2" t="str">
        <f>HYPERLINK("https://www.google.com/maps?q=-20.1003510,-44.8780380","Abrir no Google Maps")</f>
        <v>Abrir no Google Maps</v>
      </c>
      <c r="S4610">
        <v>3</v>
      </c>
      <c r="T4610">
        <v>665.56785712469116</v>
      </c>
      <c r="U4610">
        <v>3</v>
      </c>
      <c r="V4610">
        <v>0.1137729089155298</v>
      </c>
      <c r="W4610">
        <v>1</v>
      </c>
      <c r="X4610">
        <v>0.1137729089155298</v>
      </c>
      <c r="Y4610">
        <v>314</v>
      </c>
      <c r="Z4610">
        <v>584.8532299266725</v>
      </c>
      <c r="AA4610">
        <v>198</v>
      </c>
      <c r="AB4610">
        <v>332</v>
      </c>
      <c r="AC4610">
        <v>536</v>
      </c>
      <c r="AD4610">
        <v>30.35</v>
      </c>
      <c r="AE4610">
        <v>542</v>
      </c>
      <c r="AF4610">
        <v>37</v>
      </c>
      <c r="AG4610">
        <v>161</v>
      </c>
      <c r="AH4610">
        <v>129</v>
      </c>
      <c r="AI4610">
        <v>6.83</v>
      </c>
      <c r="AJ4610">
        <v>29.7</v>
      </c>
      <c r="AK4610">
        <v>23.8</v>
      </c>
      <c r="AL4610">
        <v>-20.100420499999959</v>
      </c>
      <c r="AM4610">
        <v>-44.878125332575927</v>
      </c>
      <c r="AN4610">
        <v>-20.100420499999959</v>
      </c>
      <c r="AO4610">
        <v>-44.878125332575927</v>
      </c>
      <c r="AP4610">
        <v>-20.100351</v>
      </c>
      <c r="AQ4610">
        <v>-44.878037999999997</v>
      </c>
      <c r="AR4610">
        <v>11.966993892024719</v>
      </c>
      <c r="AS4610" t="s">
        <v>65</v>
      </c>
      <c r="AT4610">
        <v>1</v>
      </c>
      <c r="AU4610" t="s">
        <v>1145</v>
      </c>
      <c r="AV4610" t="s">
        <v>1146</v>
      </c>
      <c r="AW4610" t="s">
        <v>60</v>
      </c>
      <c r="AX4610" t="s">
        <v>68</v>
      </c>
      <c r="AY4610" t="s">
        <v>69</v>
      </c>
      <c r="AZ4610" t="b">
        <v>1</v>
      </c>
    </row>
    <row r="4611" spans="1:52" x14ac:dyDescent="0.3">
      <c r="A4611" t="s">
        <v>52</v>
      </c>
      <c r="B4611" t="s">
        <v>53</v>
      </c>
      <c r="C4611" t="s">
        <v>54</v>
      </c>
      <c r="D4611" t="s">
        <v>55</v>
      </c>
      <c r="E4611" t="s">
        <v>2223</v>
      </c>
      <c r="F4611" t="s">
        <v>190</v>
      </c>
      <c r="G4611" t="s">
        <v>789</v>
      </c>
      <c r="H4611" t="s">
        <v>790</v>
      </c>
      <c r="I4611" t="s">
        <v>790</v>
      </c>
      <c r="J4611" t="s">
        <v>60</v>
      </c>
      <c r="K4611" t="s">
        <v>791</v>
      </c>
      <c r="L4611" t="s">
        <v>62</v>
      </c>
      <c r="M4611" t="s">
        <v>791</v>
      </c>
      <c r="N4611" t="s">
        <v>792</v>
      </c>
      <c r="O4611" t="s">
        <v>793</v>
      </c>
      <c r="P4611">
        <v>-20.114263000000001</v>
      </c>
      <c r="Q4611">
        <v>-44.910150000000002</v>
      </c>
      <c r="R4611" s="2" t="str">
        <f>HYPERLINK("https://www.google.com/maps?q=-20.1142630,-44.9101500","Abrir no Google Maps")</f>
        <v>Abrir no Google Maps</v>
      </c>
      <c r="S4611">
        <v>3</v>
      </c>
      <c r="T4611">
        <v>1039.6249825628629</v>
      </c>
      <c r="U4611">
        <v>3</v>
      </c>
      <c r="V4611">
        <v>0.11548279834528979</v>
      </c>
      <c r="W4611">
        <v>1</v>
      </c>
      <c r="X4611">
        <v>0.11548279834528979</v>
      </c>
      <c r="Y4611">
        <v>300</v>
      </c>
      <c r="Z4611">
        <v>1156.8405524690361</v>
      </c>
      <c r="AA4611">
        <v>198</v>
      </c>
      <c r="AB4611">
        <v>332</v>
      </c>
      <c r="AC4611">
        <v>536</v>
      </c>
      <c r="AD4611">
        <v>30.35</v>
      </c>
      <c r="AE4611">
        <v>542</v>
      </c>
      <c r="AF4611">
        <v>37</v>
      </c>
      <c r="AG4611">
        <v>161</v>
      </c>
      <c r="AH4611">
        <v>129</v>
      </c>
      <c r="AI4611">
        <v>6.83</v>
      </c>
      <c r="AJ4611">
        <v>29.7</v>
      </c>
      <c r="AK4611">
        <v>23.8</v>
      </c>
      <c r="AL4611">
        <v>-20.113823899999939</v>
      </c>
      <c r="AM4611">
        <v>-44.910704705968108</v>
      </c>
      <c r="AN4611">
        <v>-20.113823899999939</v>
      </c>
      <c r="AO4611">
        <v>-44.910704705968108</v>
      </c>
      <c r="AP4611">
        <v>-20.114263000000001</v>
      </c>
      <c r="AQ4611">
        <v>-44.910150000000002</v>
      </c>
      <c r="AR4611">
        <v>75.838236800419978</v>
      </c>
      <c r="AS4611" t="s">
        <v>65</v>
      </c>
      <c r="AT4611">
        <v>1</v>
      </c>
      <c r="AU4611" t="s">
        <v>794</v>
      </c>
      <c r="AV4611" t="s">
        <v>795</v>
      </c>
      <c r="AW4611" t="s">
        <v>60</v>
      </c>
      <c r="AX4611" t="s">
        <v>68</v>
      </c>
      <c r="AY4611" t="s">
        <v>69</v>
      </c>
      <c r="AZ4611" t="b">
        <v>1</v>
      </c>
    </row>
    <row r="4612" spans="1:52" x14ac:dyDescent="0.3">
      <c r="A4612" t="s">
        <v>52</v>
      </c>
      <c r="B4612" t="s">
        <v>53</v>
      </c>
      <c r="C4612" t="s">
        <v>54</v>
      </c>
      <c r="D4612" t="s">
        <v>55</v>
      </c>
      <c r="E4612" t="s">
        <v>2223</v>
      </c>
      <c r="F4612" t="s">
        <v>190</v>
      </c>
      <c r="G4612" t="s">
        <v>796</v>
      </c>
      <c r="H4612" t="s">
        <v>797</v>
      </c>
      <c r="I4612" t="s">
        <v>797</v>
      </c>
      <c r="J4612" t="s">
        <v>60</v>
      </c>
      <c r="K4612" t="s">
        <v>798</v>
      </c>
      <c r="L4612" t="s">
        <v>62</v>
      </c>
      <c r="M4612" t="s">
        <v>798</v>
      </c>
      <c r="N4612" t="s">
        <v>799</v>
      </c>
      <c r="O4612" t="s">
        <v>800</v>
      </c>
      <c r="P4612">
        <v>-20.105681000000001</v>
      </c>
      <c r="Q4612">
        <v>-44.902771999999999</v>
      </c>
      <c r="R4612" s="2" t="str">
        <f>HYPERLINK("https://www.google.com/maps?q=-20.1056810,-44.9027720","Abrir no Google Maps")</f>
        <v>Abrir no Google Maps</v>
      </c>
      <c r="S4612">
        <v>3</v>
      </c>
      <c r="T4612">
        <v>654.76334876090721</v>
      </c>
      <c r="U4612">
        <v>3</v>
      </c>
      <c r="V4612">
        <v>0.1136253505238991</v>
      </c>
      <c r="W4612">
        <v>1</v>
      </c>
      <c r="X4612">
        <v>0.1136253505238991</v>
      </c>
      <c r="Y4612">
        <v>300</v>
      </c>
      <c r="Z4612">
        <v>473.90209409135377</v>
      </c>
      <c r="AA4612">
        <v>198</v>
      </c>
      <c r="AB4612">
        <v>332</v>
      </c>
      <c r="AC4612">
        <v>536</v>
      </c>
      <c r="AD4612">
        <v>30.35</v>
      </c>
      <c r="AE4612">
        <v>542</v>
      </c>
      <c r="AF4612">
        <v>37</v>
      </c>
      <c r="AG4612">
        <v>161</v>
      </c>
      <c r="AH4612">
        <v>129</v>
      </c>
      <c r="AI4612">
        <v>6.83</v>
      </c>
      <c r="AJ4612">
        <v>29.7</v>
      </c>
      <c r="AK4612">
        <v>23.8</v>
      </c>
      <c r="AL4612">
        <v>-20.105710249999959</v>
      </c>
      <c r="AM4612">
        <v>-44.902887601574513</v>
      </c>
      <c r="AN4612">
        <v>-20.105710249999959</v>
      </c>
      <c r="AO4612">
        <v>-44.902887601574513</v>
      </c>
      <c r="AP4612">
        <v>-20.105681000000001</v>
      </c>
      <c r="AQ4612">
        <v>-44.902771999999999</v>
      </c>
      <c r="AR4612">
        <v>12.5155291382583</v>
      </c>
      <c r="AS4612" t="s">
        <v>65</v>
      </c>
      <c r="AT4612">
        <v>1</v>
      </c>
      <c r="AU4612" t="s">
        <v>801</v>
      </c>
      <c r="AV4612" t="s">
        <v>802</v>
      </c>
      <c r="AW4612" t="s">
        <v>60</v>
      </c>
      <c r="AX4612" t="s">
        <v>68</v>
      </c>
      <c r="AY4612" t="s">
        <v>69</v>
      </c>
      <c r="AZ4612" t="b">
        <v>1</v>
      </c>
    </row>
    <row r="4613" spans="1:52" x14ac:dyDescent="0.3">
      <c r="A4613" t="s">
        <v>52</v>
      </c>
      <c r="B4613" t="s">
        <v>53</v>
      </c>
      <c r="C4613" t="s">
        <v>54</v>
      </c>
      <c r="D4613" t="s">
        <v>55</v>
      </c>
      <c r="E4613" t="s">
        <v>2223</v>
      </c>
      <c r="F4613" t="s">
        <v>190</v>
      </c>
      <c r="G4613" t="s">
        <v>1780</v>
      </c>
      <c r="H4613" t="s">
        <v>1781</v>
      </c>
      <c r="I4613" t="s">
        <v>1781</v>
      </c>
      <c r="J4613" t="s">
        <v>60</v>
      </c>
      <c r="K4613" t="s">
        <v>791</v>
      </c>
      <c r="L4613" t="s">
        <v>62</v>
      </c>
      <c r="M4613" t="s">
        <v>791</v>
      </c>
      <c r="N4613" t="s">
        <v>1782</v>
      </c>
      <c r="O4613" t="s">
        <v>283</v>
      </c>
      <c r="P4613">
        <v>-20.111986999999999</v>
      </c>
      <c r="Q4613">
        <v>-44.915275999999999</v>
      </c>
      <c r="R4613" s="2" t="str">
        <f>HYPERLINK("https://www.google.com/maps?q=-20.1119870,-44.9152760","Abrir no Google Maps")</f>
        <v>Abrir no Google Maps</v>
      </c>
      <c r="S4613">
        <v>3</v>
      </c>
      <c r="T4613">
        <v>1467.0043378534899</v>
      </c>
      <c r="U4613">
        <v>3</v>
      </c>
      <c r="V4613">
        <v>0.13317779373055749</v>
      </c>
      <c r="W4613">
        <v>0.85</v>
      </c>
      <c r="X4613">
        <v>0.1132011246709739</v>
      </c>
      <c r="Y4613">
        <v>300</v>
      </c>
      <c r="Z4613">
        <v>1478.329767690894</v>
      </c>
      <c r="AA4613">
        <v>198</v>
      </c>
      <c r="AB4613">
        <v>332</v>
      </c>
      <c r="AC4613">
        <v>536</v>
      </c>
      <c r="AD4613">
        <v>30.35</v>
      </c>
      <c r="AE4613">
        <v>542</v>
      </c>
      <c r="AF4613">
        <v>37</v>
      </c>
      <c r="AG4613">
        <v>161</v>
      </c>
      <c r="AH4613">
        <v>129</v>
      </c>
      <c r="AI4613">
        <v>6.83</v>
      </c>
      <c r="AJ4613">
        <v>29.7</v>
      </c>
      <c r="AK4613">
        <v>23.8</v>
      </c>
      <c r="AL4613">
        <v>-20.11213934999995</v>
      </c>
      <c r="AM4613">
        <v>-44.915112261589371</v>
      </c>
      <c r="AN4613">
        <v>-20.11213934999995</v>
      </c>
      <c r="AO4613">
        <v>-44.915112261589371</v>
      </c>
      <c r="AP4613">
        <v>-20.111986999999999</v>
      </c>
      <c r="AQ4613">
        <v>-44.915275999999999</v>
      </c>
      <c r="AR4613">
        <v>24.095258739308729</v>
      </c>
      <c r="AS4613" t="s">
        <v>65</v>
      </c>
      <c r="AT4613">
        <v>1</v>
      </c>
      <c r="AU4613" t="s">
        <v>1783</v>
      </c>
      <c r="AV4613" t="s">
        <v>1784</v>
      </c>
      <c r="AW4613" t="s">
        <v>60</v>
      </c>
      <c r="AX4613" t="s">
        <v>68</v>
      </c>
      <c r="AY4613" t="s">
        <v>69</v>
      </c>
      <c r="AZ4613" t="b">
        <v>1</v>
      </c>
    </row>
    <row r="4614" spans="1:52" x14ac:dyDescent="0.3">
      <c r="A4614" t="s">
        <v>52</v>
      </c>
      <c r="B4614" t="s">
        <v>53</v>
      </c>
      <c r="C4614" t="s">
        <v>54</v>
      </c>
      <c r="D4614" t="s">
        <v>55</v>
      </c>
      <c r="E4614" t="s">
        <v>2223</v>
      </c>
      <c r="F4614" t="s">
        <v>190</v>
      </c>
      <c r="G4614" t="s">
        <v>1170</v>
      </c>
      <c r="H4614" t="s">
        <v>1171</v>
      </c>
      <c r="I4614" t="s">
        <v>1171</v>
      </c>
      <c r="J4614" t="s">
        <v>60</v>
      </c>
      <c r="K4614" t="s">
        <v>1165</v>
      </c>
      <c r="L4614" t="s">
        <v>62</v>
      </c>
      <c r="M4614" t="s">
        <v>1165</v>
      </c>
      <c r="N4614" t="s">
        <v>1172</v>
      </c>
      <c r="O4614" t="s">
        <v>1160</v>
      </c>
      <c r="P4614">
        <v>-20.158208999999999</v>
      </c>
      <c r="Q4614">
        <v>-44.865242000000002</v>
      </c>
      <c r="R4614" s="2" t="str">
        <f>HYPERLINK("https://www.google.com/maps?q=-20.1582090,-44.8652420","Abrir no Google Maps")</f>
        <v>Abrir no Google Maps</v>
      </c>
      <c r="S4614">
        <v>3</v>
      </c>
      <c r="T4614">
        <v>529.55269054560301</v>
      </c>
      <c r="U4614">
        <v>3</v>
      </c>
      <c r="V4614">
        <v>0.11304855049408161</v>
      </c>
      <c r="W4614">
        <v>1</v>
      </c>
      <c r="X4614">
        <v>0.11304855049408161</v>
      </c>
      <c r="Y4614">
        <v>264</v>
      </c>
      <c r="Z4614">
        <v>576.82525833351326</v>
      </c>
      <c r="AA4614">
        <v>198</v>
      </c>
      <c r="AB4614">
        <v>332</v>
      </c>
      <c r="AC4614">
        <v>536</v>
      </c>
      <c r="AD4614">
        <v>30.35</v>
      </c>
      <c r="AE4614">
        <v>542</v>
      </c>
      <c r="AF4614">
        <v>37</v>
      </c>
      <c r="AG4614">
        <v>161</v>
      </c>
      <c r="AH4614">
        <v>129</v>
      </c>
      <c r="AI4614">
        <v>6.83</v>
      </c>
      <c r="AJ4614">
        <v>29.7</v>
      </c>
      <c r="AK4614">
        <v>23.8</v>
      </c>
      <c r="AL4614">
        <v>-20.15813384999996</v>
      </c>
      <c r="AM4614">
        <v>-44.865189279062598</v>
      </c>
      <c r="AN4614">
        <v>-20.15813384999996</v>
      </c>
      <c r="AO4614">
        <v>-44.865189279062598</v>
      </c>
      <c r="AP4614">
        <v>-20.158208999999999</v>
      </c>
      <c r="AQ4614">
        <v>-44.865242000000002</v>
      </c>
      <c r="AR4614">
        <v>10.01690313145691</v>
      </c>
      <c r="AS4614" t="s">
        <v>65</v>
      </c>
      <c r="AT4614">
        <v>1</v>
      </c>
      <c r="AU4614" t="s">
        <v>1173</v>
      </c>
      <c r="AV4614" t="s">
        <v>1174</v>
      </c>
      <c r="AW4614" t="s">
        <v>60</v>
      </c>
      <c r="AX4614" t="s">
        <v>68</v>
      </c>
      <c r="AY4614" t="s">
        <v>69</v>
      </c>
      <c r="AZ4614" t="b">
        <v>1</v>
      </c>
    </row>
    <row r="4615" spans="1:52" x14ac:dyDescent="0.3">
      <c r="A4615" t="s">
        <v>52</v>
      </c>
      <c r="B4615" t="s">
        <v>53</v>
      </c>
      <c r="C4615" t="s">
        <v>54</v>
      </c>
      <c r="D4615" t="s">
        <v>55</v>
      </c>
      <c r="E4615" t="s">
        <v>2223</v>
      </c>
      <c r="F4615" t="s">
        <v>190</v>
      </c>
      <c r="G4615" t="s">
        <v>1175</v>
      </c>
      <c r="H4615" t="s">
        <v>1176</v>
      </c>
      <c r="I4615" t="s">
        <v>1176</v>
      </c>
      <c r="J4615" t="s">
        <v>60</v>
      </c>
      <c r="K4615" t="s">
        <v>1177</v>
      </c>
      <c r="L4615" t="s">
        <v>62</v>
      </c>
      <c r="M4615" t="s">
        <v>1177</v>
      </c>
      <c r="N4615" t="s">
        <v>1178</v>
      </c>
      <c r="O4615" t="s">
        <v>1179</v>
      </c>
      <c r="P4615">
        <v>-20.153393000000001</v>
      </c>
      <c r="Q4615">
        <v>-44.865701999999999</v>
      </c>
      <c r="R4615" s="2" t="str">
        <f>HYPERLINK("https://www.google.com/maps?q=-20.1533930,-44.8657020","Abrir no Google Maps")</f>
        <v>Abrir no Google Maps</v>
      </c>
      <c r="S4615">
        <v>3</v>
      </c>
      <c r="T4615">
        <v>0</v>
      </c>
      <c r="U4615">
        <v>3</v>
      </c>
      <c r="V4615">
        <v>0.1205683278267254</v>
      </c>
      <c r="W4615">
        <v>1</v>
      </c>
      <c r="X4615">
        <v>0.1205683278267254</v>
      </c>
      <c r="Y4615">
        <v>264</v>
      </c>
      <c r="Z4615">
        <v>187.61117597536</v>
      </c>
      <c r="AA4615">
        <v>198</v>
      </c>
      <c r="AB4615">
        <v>332</v>
      </c>
      <c r="AC4615">
        <v>536</v>
      </c>
      <c r="AD4615">
        <v>30.35</v>
      </c>
      <c r="AE4615">
        <v>542</v>
      </c>
      <c r="AF4615">
        <v>37</v>
      </c>
      <c r="AG4615">
        <v>161</v>
      </c>
      <c r="AH4615">
        <v>129</v>
      </c>
      <c r="AI4615">
        <v>6.83</v>
      </c>
      <c r="AJ4615">
        <v>29.7</v>
      </c>
      <c r="AK4615">
        <v>23.8</v>
      </c>
      <c r="AL4615">
        <v>-20.153365199999971</v>
      </c>
      <c r="AM4615">
        <v>-44.865611713780503</v>
      </c>
      <c r="AN4615">
        <v>-20.153365199999971</v>
      </c>
      <c r="AO4615">
        <v>-44.865611713780503</v>
      </c>
      <c r="AP4615">
        <v>-20.153393000000001</v>
      </c>
      <c r="AQ4615">
        <v>-44.865701999999999</v>
      </c>
      <c r="AR4615">
        <v>9.9298532940923003</v>
      </c>
      <c r="AS4615" t="s">
        <v>65</v>
      </c>
      <c r="AT4615">
        <v>1</v>
      </c>
      <c r="AU4615" t="s">
        <v>1180</v>
      </c>
      <c r="AV4615" t="s">
        <v>1181</v>
      </c>
      <c r="AW4615" t="s">
        <v>60</v>
      </c>
      <c r="AX4615" t="s">
        <v>68</v>
      </c>
      <c r="AY4615" t="s">
        <v>69</v>
      </c>
      <c r="AZ4615" t="b">
        <v>1</v>
      </c>
    </row>
    <row r="4616" spans="1:52" x14ac:dyDescent="0.3">
      <c r="A4616" t="s">
        <v>52</v>
      </c>
      <c r="B4616" t="s">
        <v>53</v>
      </c>
      <c r="C4616" t="s">
        <v>54</v>
      </c>
      <c r="D4616" t="s">
        <v>55</v>
      </c>
      <c r="E4616" t="s">
        <v>2223</v>
      </c>
      <c r="F4616" t="s">
        <v>190</v>
      </c>
      <c r="G4616" t="s">
        <v>803</v>
      </c>
      <c r="H4616" t="s">
        <v>804</v>
      </c>
      <c r="I4616" t="s">
        <v>804</v>
      </c>
      <c r="J4616" t="s">
        <v>60</v>
      </c>
      <c r="K4616" t="s">
        <v>805</v>
      </c>
      <c r="L4616" t="s">
        <v>62</v>
      </c>
      <c r="M4616" t="s">
        <v>805</v>
      </c>
      <c r="N4616" t="s">
        <v>806</v>
      </c>
      <c r="O4616" t="s">
        <v>807</v>
      </c>
      <c r="P4616">
        <v>-20.133293999999999</v>
      </c>
      <c r="Q4616">
        <v>-44.886302000000001</v>
      </c>
      <c r="R4616" s="2" t="str">
        <f>HYPERLINK("https://www.google.com/maps?q=-20.1332940,-44.8863020","Abrir no Google Maps")</f>
        <v>Abrir no Google Maps</v>
      </c>
      <c r="S4616">
        <v>3</v>
      </c>
      <c r="T4616">
        <v>0</v>
      </c>
      <c r="U4616">
        <v>3</v>
      </c>
      <c r="V4616">
        <v>0.1190396852291125</v>
      </c>
      <c r="W4616">
        <v>1</v>
      </c>
      <c r="X4616">
        <v>0.1190396852291125</v>
      </c>
      <c r="Y4616">
        <v>259</v>
      </c>
      <c r="Z4616">
        <v>76.358812960729097</v>
      </c>
      <c r="AA4616">
        <v>198</v>
      </c>
      <c r="AB4616">
        <v>332</v>
      </c>
      <c r="AC4616">
        <v>536</v>
      </c>
      <c r="AD4616">
        <v>30.35</v>
      </c>
      <c r="AE4616">
        <v>542</v>
      </c>
      <c r="AF4616">
        <v>37</v>
      </c>
      <c r="AG4616">
        <v>161</v>
      </c>
      <c r="AH4616">
        <v>129</v>
      </c>
      <c r="AI4616">
        <v>6.83</v>
      </c>
      <c r="AJ4616">
        <v>29.7</v>
      </c>
      <c r="AK4616">
        <v>23.8</v>
      </c>
      <c r="AL4616">
        <v>-20.133281749999949</v>
      </c>
      <c r="AM4616">
        <v>-44.886395047959027</v>
      </c>
      <c r="AN4616">
        <v>-20.133281749999949</v>
      </c>
      <c r="AO4616">
        <v>-44.886395047959027</v>
      </c>
      <c r="AP4616">
        <v>-20.133293999999999</v>
      </c>
      <c r="AQ4616">
        <v>-44.886302000000001</v>
      </c>
      <c r="AR4616">
        <v>9.8203037443031231</v>
      </c>
      <c r="AS4616" t="s">
        <v>65</v>
      </c>
      <c r="AT4616">
        <v>1</v>
      </c>
      <c r="AU4616" t="s">
        <v>808</v>
      </c>
      <c r="AV4616" t="s">
        <v>809</v>
      </c>
      <c r="AW4616" t="s">
        <v>60</v>
      </c>
      <c r="AX4616" t="s">
        <v>68</v>
      </c>
      <c r="AY4616" t="s">
        <v>69</v>
      </c>
      <c r="AZ4616" t="b">
        <v>1</v>
      </c>
    </row>
    <row r="4617" spans="1:52" x14ac:dyDescent="0.3">
      <c r="A4617" t="s">
        <v>52</v>
      </c>
      <c r="B4617" t="s">
        <v>53</v>
      </c>
      <c r="C4617" t="s">
        <v>54</v>
      </c>
      <c r="D4617" t="s">
        <v>55</v>
      </c>
      <c r="E4617" t="s">
        <v>2223</v>
      </c>
      <c r="F4617" t="s">
        <v>190</v>
      </c>
      <c r="G4617" t="s">
        <v>810</v>
      </c>
      <c r="H4617" t="s">
        <v>811</v>
      </c>
      <c r="I4617" t="s">
        <v>811</v>
      </c>
      <c r="J4617" t="s">
        <v>60</v>
      </c>
      <c r="K4617" t="s">
        <v>805</v>
      </c>
      <c r="L4617" t="s">
        <v>62</v>
      </c>
      <c r="M4617" t="s">
        <v>805</v>
      </c>
      <c r="N4617" t="s">
        <v>812</v>
      </c>
      <c r="O4617" t="s">
        <v>309</v>
      </c>
      <c r="P4617">
        <v>-20.129868999999999</v>
      </c>
      <c r="Q4617">
        <v>-44.884247999999999</v>
      </c>
      <c r="R4617" s="2" t="str">
        <f>HYPERLINK("https://www.google.com/maps?q=-20.1298690,-44.8842480","Abrir no Google Maps")</f>
        <v>Abrir no Google Maps</v>
      </c>
      <c r="S4617">
        <v>3</v>
      </c>
      <c r="T4617">
        <v>434.82198084080329</v>
      </c>
      <c r="U4617">
        <v>3</v>
      </c>
      <c r="V4617">
        <v>0.1140630826905336</v>
      </c>
      <c r="W4617">
        <v>1</v>
      </c>
      <c r="X4617">
        <v>0.1140630826905336</v>
      </c>
      <c r="Y4617">
        <v>259</v>
      </c>
      <c r="Z4617">
        <v>281.76247768049842</v>
      </c>
      <c r="AA4617">
        <v>198</v>
      </c>
      <c r="AB4617">
        <v>332</v>
      </c>
      <c r="AC4617">
        <v>536</v>
      </c>
      <c r="AD4617">
        <v>30.35</v>
      </c>
      <c r="AE4617">
        <v>542</v>
      </c>
      <c r="AF4617">
        <v>37</v>
      </c>
      <c r="AG4617">
        <v>161</v>
      </c>
      <c r="AH4617">
        <v>129</v>
      </c>
      <c r="AI4617">
        <v>6.83</v>
      </c>
      <c r="AJ4617">
        <v>29.7</v>
      </c>
      <c r="AK4617">
        <v>23.8</v>
      </c>
      <c r="AL4617">
        <v>-20.129927549999959</v>
      </c>
      <c r="AM4617">
        <v>-44.884228133573217</v>
      </c>
      <c r="AN4617">
        <v>-20.129927549999959</v>
      </c>
      <c r="AO4617">
        <v>-44.884228133573217</v>
      </c>
      <c r="AP4617">
        <v>-20.129868999999999</v>
      </c>
      <c r="AQ4617">
        <v>-44.884247999999999</v>
      </c>
      <c r="AR4617">
        <v>6.8405504803478081</v>
      </c>
      <c r="AS4617" t="s">
        <v>65</v>
      </c>
      <c r="AT4617">
        <v>1</v>
      </c>
      <c r="AU4617" t="s">
        <v>813</v>
      </c>
      <c r="AV4617" t="s">
        <v>814</v>
      </c>
      <c r="AW4617" t="s">
        <v>60</v>
      </c>
      <c r="AX4617" t="s">
        <v>68</v>
      </c>
      <c r="AY4617" t="s">
        <v>69</v>
      </c>
      <c r="AZ4617" t="b">
        <v>1</v>
      </c>
    </row>
    <row r="4618" spans="1:52" x14ac:dyDescent="0.3">
      <c r="A4618" t="s">
        <v>52</v>
      </c>
      <c r="B4618" t="s">
        <v>53</v>
      </c>
      <c r="C4618" t="s">
        <v>54</v>
      </c>
      <c r="D4618" t="s">
        <v>55</v>
      </c>
      <c r="E4618" t="s">
        <v>2223</v>
      </c>
      <c r="F4618" t="s">
        <v>190</v>
      </c>
      <c r="G4618" t="s">
        <v>1790</v>
      </c>
      <c r="H4618" t="s">
        <v>1791</v>
      </c>
      <c r="I4618" t="s">
        <v>1791</v>
      </c>
      <c r="J4618" t="s">
        <v>60</v>
      </c>
      <c r="K4618" t="s">
        <v>781</v>
      </c>
      <c r="L4618" t="s">
        <v>62</v>
      </c>
      <c r="M4618" t="s">
        <v>781</v>
      </c>
      <c r="N4618" t="s">
        <v>1792</v>
      </c>
      <c r="O4618" t="s">
        <v>1438</v>
      </c>
      <c r="P4618">
        <v>-20.140640999999999</v>
      </c>
      <c r="Q4618">
        <v>-44.865606999999997</v>
      </c>
      <c r="R4618" s="2" t="str">
        <f>HYPERLINK("https://www.google.com/maps?q=-20.1406410,-44.8656070","Abrir no Google Maps")</f>
        <v>Abrir no Google Maps</v>
      </c>
      <c r="S4618">
        <v>3</v>
      </c>
      <c r="T4618">
        <v>718.83674500124857</v>
      </c>
      <c r="U4618">
        <v>3</v>
      </c>
      <c r="V4618">
        <v>0.11771816037735849</v>
      </c>
      <c r="W4618">
        <v>1</v>
      </c>
      <c r="X4618">
        <v>0.11771816037735849</v>
      </c>
      <c r="Y4618">
        <v>198</v>
      </c>
      <c r="Z4618">
        <v>796.27455839490824</v>
      </c>
      <c r="AA4618">
        <v>198</v>
      </c>
      <c r="AB4618">
        <v>332</v>
      </c>
      <c r="AC4618">
        <v>536</v>
      </c>
      <c r="AD4618">
        <v>30.35</v>
      </c>
      <c r="AE4618">
        <v>542</v>
      </c>
      <c r="AF4618">
        <v>37</v>
      </c>
      <c r="AG4618">
        <v>161</v>
      </c>
      <c r="AH4618">
        <v>129</v>
      </c>
      <c r="AI4618">
        <v>6.83</v>
      </c>
      <c r="AJ4618">
        <v>29.7</v>
      </c>
      <c r="AK4618">
        <v>23.8</v>
      </c>
      <c r="AL4618">
        <v>-20.14068544999995</v>
      </c>
      <c r="AM4618">
        <v>-44.865682971258813</v>
      </c>
      <c r="AN4618">
        <v>-20.140685449999939</v>
      </c>
      <c r="AO4618">
        <v>-44.865682971258813</v>
      </c>
      <c r="AP4618">
        <v>-20.140640999999999</v>
      </c>
      <c r="AQ4618">
        <v>-44.865606999999997</v>
      </c>
      <c r="AR4618">
        <v>9.3556137916774258</v>
      </c>
      <c r="AS4618" t="s">
        <v>65</v>
      </c>
      <c r="AT4618">
        <v>1</v>
      </c>
      <c r="AU4618" t="s">
        <v>1793</v>
      </c>
      <c r="AV4618" t="s">
        <v>1794</v>
      </c>
      <c r="AW4618" t="s">
        <v>60</v>
      </c>
      <c r="AX4618" t="s">
        <v>68</v>
      </c>
      <c r="AY4618" t="s">
        <v>69</v>
      </c>
      <c r="AZ4618" t="b">
        <v>1</v>
      </c>
    </row>
    <row r="4619" spans="1:52" x14ac:dyDescent="0.3">
      <c r="A4619" t="s">
        <v>52</v>
      </c>
      <c r="B4619" t="s">
        <v>53</v>
      </c>
      <c r="C4619" t="s">
        <v>54</v>
      </c>
      <c r="D4619" t="s">
        <v>55</v>
      </c>
      <c r="E4619" t="s">
        <v>2223</v>
      </c>
      <c r="F4619" t="s">
        <v>190</v>
      </c>
      <c r="G4619" t="s">
        <v>1193</v>
      </c>
      <c r="H4619" t="s">
        <v>1194</v>
      </c>
      <c r="I4619" t="s">
        <v>1194</v>
      </c>
      <c r="J4619" t="s">
        <v>60</v>
      </c>
      <c r="K4619" t="s">
        <v>1195</v>
      </c>
      <c r="L4619" t="s">
        <v>62</v>
      </c>
      <c r="M4619" t="s">
        <v>1195</v>
      </c>
      <c r="N4619" t="s">
        <v>1196</v>
      </c>
      <c r="O4619" t="s">
        <v>1197</v>
      </c>
      <c r="P4619">
        <v>-20.105342</v>
      </c>
      <c r="Q4619">
        <v>-44.964716000000003</v>
      </c>
      <c r="R4619" s="2" t="str">
        <f>HYPERLINK("https://www.google.com/maps?q=-20.1053420,-44.9647160","Abrir no Google Maps")</f>
        <v>Abrir no Google Maps</v>
      </c>
      <c r="S4619">
        <v>3</v>
      </c>
      <c r="T4619">
        <v>893.28710125086457</v>
      </c>
      <c r="U4619">
        <v>3</v>
      </c>
      <c r="V4619">
        <v>0.1165872046331172</v>
      </c>
      <c r="W4619">
        <v>1</v>
      </c>
      <c r="X4619">
        <v>0.1165872046331172</v>
      </c>
      <c r="Y4619">
        <v>187</v>
      </c>
      <c r="Z4619">
        <v>592.18957175243293</v>
      </c>
      <c r="AA4619">
        <v>198</v>
      </c>
      <c r="AB4619">
        <v>332</v>
      </c>
      <c r="AC4619">
        <v>536</v>
      </c>
      <c r="AD4619">
        <v>30.35</v>
      </c>
      <c r="AE4619">
        <v>542</v>
      </c>
      <c r="AF4619">
        <v>37</v>
      </c>
      <c r="AG4619">
        <v>161</v>
      </c>
      <c r="AH4619">
        <v>129</v>
      </c>
      <c r="AI4619">
        <v>6.83</v>
      </c>
      <c r="AJ4619">
        <v>29.7</v>
      </c>
      <c r="AK4619">
        <v>23.8</v>
      </c>
      <c r="AL4619">
        <v>-20.105505699999949</v>
      </c>
      <c r="AM4619">
        <v>-44.964494228377532</v>
      </c>
      <c r="AN4619">
        <v>-20.105505699999949</v>
      </c>
      <c r="AO4619">
        <v>-44.964494228377532</v>
      </c>
      <c r="AP4619">
        <v>-20.105342</v>
      </c>
      <c r="AQ4619">
        <v>-44.964716000000003</v>
      </c>
      <c r="AR4619">
        <v>29.48797728637869</v>
      </c>
      <c r="AS4619" t="s">
        <v>65</v>
      </c>
      <c r="AT4619">
        <v>1</v>
      </c>
      <c r="AU4619" t="s">
        <v>1198</v>
      </c>
      <c r="AV4619" t="s">
        <v>1199</v>
      </c>
      <c r="AW4619" t="s">
        <v>60</v>
      </c>
      <c r="AX4619" t="s">
        <v>68</v>
      </c>
      <c r="AY4619" t="s">
        <v>69</v>
      </c>
      <c r="AZ4619" t="b">
        <v>1</v>
      </c>
    </row>
    <row r="4620" spans="1:52" x14ac:dyDescent="0.3">
      <c r="A4620" t="s">
        <v>52</v>
      </c>
      <c r="B4620" t="s">
        <v>53</v>
      </c>
      <c r="C4620" t="s">
        <v>54</v>
      </c>
      <c r="D4620" t="s">
        <v>55</v>
      </c>
      <c r="E4620" t="s">
        <v>2223</v>
      </c>
      <c r="F4620" t="s">
        <v>190</v>
      </c>
      <c r="G4620" t="s">
        <v>1206</v>
      </c>
      <c r="H4620" t="s">
        <v>1207</v>
      </c>
      <c r="I4620" t="s">
        <v>1207</v>
      </c>
      <c r="J4620" t="s">
        <v>60</v>
      </c>
      <c r="K4620" t="s">
        <v>475</v>
      </c>
      <c r="L4620" t="s">
        <v>62</v>
      </c>
      <c r="M4620" t="s">
        <v>475</v>
      </c>
      <c r="N4620" t="s">
        <v>1208</v>
      </c>
      <c r="O4620" t="s">
        <v>1209</v>
      </c>
      <c r="P4620">
        <v>-20.180554999999998</v>
      </c>
      <c r="Q4620">
        <v>-44.905642999999998</v>
      </c>
      <c r="R4620" s="2" t="str">
        <f>HYPERLINK("https://www.google.com/maps?q=-20.1805550,-44.9056430","Abrir no Google Maps")</f>
        <v>Abrir no Google Maps</v>
      </c>
      <c r="S4620">
        <v>3</v>
      </c>
      <c r="T4620">
        <v>768.13826761541702</v>
      </c>
      <c r="U4620">
        <v>3</v>
      </c>
      <c r="V4620">
        <v>0.1211915073008086</v>
      </c>
      <c r="W4620">
        <v>1</v>
      </c>
      <c r="X4620">
        <v>0.1211915073008086</v>
      </c>
      <c r="Y4620">
        <v>135</v>
      </c>
      <c r="Z4620">
        <v>442.64437152702573</v>
      </c>
      <c r="AA4620">
        <v>198</v>
      </c>
      <c r="AB4620">
        <v>332</v>
      </c>
      <c r="AC4620">
        <v>536</v>
      </c>
      <c r="AD4620">
        <v>30.35</v>
      </c>
      <c r="AE4620">
        <v>542</v>
      </c>
      <c r="AF4620">
        <v>37</v>
      </c>
      <c r="AG4620">
        <v>161</v>
      </c>
      <c r="AH4620">
        <v>129</v>
      </c>
      <c r="AI4620">
        <v>6.83</v>
      </c>
      <c r="AJ4620">
        <v>29.7</v>
      </c>
      <c r="AK4620">
        <v>23.8</v>
      </c>
      <c r="AL4620">
        <v>-20.180439499999949</v>
      </c>
      <c r="AM4620">
        <v>-44.905757266135502</v>
      </c>
      <c r="AN4620">
        <v>-20.180439499999949</v>
      </c>
      <c r="AO4620">
        <v>-44.905757266135502</v>
      </c>
      <c r="AP4620">
        <v>-20.180554999999998</v>
      </c>
      <c r="AQ4620">
        <v>-44.905642999999998</v>
      </c>
      <c r="AR4620">
        <v>17.545924993698129</v>
      </c>
      <c r="AS4620" t="s">
        <v>65</v>
      </c>
      <c r="AT4620">
        <v>1</v>
      </c>
      <c r="AU4620" t="s">
        <v>1210</v>
      </c>
      <c r="AV4620" t="s">
        <v>1211</v>
      </c>
      <c r="AW4620" t="s">
        <v>60</v>
      </c>
      <c r="AX4620" t="s">
        <v>68</v>
      </c>
      <c r="AY4620" t="s">
        <v>69</v>
      </c>
      <c r="AZ4620" t="b">
        <v>1</v>
      </c>
    </row>
    <row r="4621" spans="1:52" x14ac:dyDescent="0.3">
      <c r="A4621" t="s">
        <v>52</v>
      </c>
      <c r="B4621" t="s">
        <v>53</v>
      </c>
      <c r="C4621" t="s">
        <v>54</v>
      </c>
      <c r="D4621" t="s">
        <v>55</v>
      </c>
      <c r="E4621" t="s">
        <v>2223</v>
      </c>
      <c r="F4621" t="s">
        <v>190</v>
      </c>
      <c r="G4621" t="s">
        <v>1218</v>
      </c>
      <c r="H4621" t="s">
        <v>1219</v>
      </c>
      <c r="I4621" t="s">
        <v>1219</v>
      </c>
      <c r="J4621" t="s">
        <v>60</v>
      </c>
      <c r="K4621" t="s">
        <v>828</v>
      </c>
      <c r="L4621" t="s">
        <v>62</v>
      </c>
      <c r="M4621" t="s">
        <v>828</v>
      </c>
      <c r="N4621" t="s">
        <v>1220</v>
      </c>
      <c r="O4621" t="s">
        <v>1221</v>
      </c>
      <c r="P4621">
        <v>-20.132722000000001</v>
      </c>
      <c r="Q4621">
        <v>-44.843550999999998</v>
      </c>
      <c r="R4621" s="2" t="str">
        <f>HYPERLINK("https://www.google.com/maps?q=-20.1327220,-44.8435510","Abrir no Google Maps")</f>
        <v>Abrir no Google Maps</v>
      </c>
      <c r="S4621">
        <v>3</v>
      </c>
      <c r="T4621">
        <v>846.88659580558431</v>
      </c>
      <c r="U4621">
        <v>3</v>
      </c>
      <c r="V4621">
        <v>0.1132275132275132</v>
      </c>
      <c r="W4621">
        <v>1</v>
      </c>
      <c r="X4621">
        <v>0.1132275132275132</v>
      </c>
      <c r="Y4621">
        <v>118</v>
      </c>
      <c r="Z4621">
        <v>797.91643890712305</v>
      </c>
      <c r="AA4621">
        <v>198</v>
      </c>
      <c r="AB4621">
        <v>332</v>
      </c>
      <c r="AC4621">
        <v>536</v>
      </c>
      <c r="AD4621">
        <v>30.35</v>
      </c>
      <c r="AE4621">
        <v>542</v>
      </c>
      <c r="AF4621">
        <v>37</v>
      </c>
      <c r="AG4621">
        <v>161</v>
      </c>
      <c r="AH4621">
        <v>129</v>
      </c>
      <c r="AI4621">
        <v>6.83</v>
      </c>
      <c r="AJ4621">
        <v>29.7</v>
      </c>
      <c r="AK4621">
        <v>23.8</v>
      </c>
      <c r="AL4621">
        <v>-20.132714949999979</v>
      </c>
      <c r="AM4621">
        <v>-44.843475702545703</v>
      </c>
      <c r="AN4621">
        <v>-20.132714949999979</v>
      </c>
      <c r="AO4621">
        <v>-44.843475702545703</v>
      </c>
      <c r="AP4621">
        <v>-20.132722000000001</v>
      </c>
      <c r="AQ4621">
        <v>-44.843550999999998</v>
      </c>
      <c r="AR4621">
        <v>7.9089820822755481</v>
      </c>
      <c r="AS4621" t="s">
        <v>65</v>
      </c>
      <c r="AT4621">
        <v>1</v>
      </c>
      <c r="AU4621" t="s">
        <v>1222</v>
      </c>
      <c r="AV4621" t="s">
        <v>1223</v>
      </c>
      <c r="AW4621" t="s">
        <v>60</v>
      </c>
      <c r="AX4621" t="s">
        <v>68</v>
      </c>
      <c r="AY4621" t="s">
        <v>69</v>
      </c>
      <c r="AZ4621" t="b">
        <v>1</v>
      </c>
    </row>
    <row r="4622" spans="1:52" x14ac:dyDescent="0.3">
      <c r="A4622" t="s">
        <v>52</v>
      </c>
      <c r="B4622" t="s">
        <v>53</v>
      </c>
      <c r="C4622" t="s">
        <v>54</v>
      </c>
      <c r="D4622" t="s">
        <v>55</v>
      </c>
      <c r="E4622" t="s">
        <v>2223</v>
      </c>
      <c r="F4622" t="s">
        <v>190</v>
      </c>
      <c r="G4622" t="s">
        <v>1224</v>
      </c>
      <c r="H4622" t="s">
        <v>1225</v>
      </c>
      <c r="I4622" t="s">
        <v>1225</v>
      </c>
      <c r="J4622" t="s">
        <v>60</v>
      </c>
      <c r="K4622" t="s">
        <v>828</v>
      </c>
      <c r="L4622" t="s">
        <v>62</v>
      </c>
      <c r="M4622" t="s">
        <v>828</v>
      </c>
      <c r="N4622" t="s">
        <v>1226</v>
      </c>
      <c r="O4622" t="s">
        <v>1227</v>
      </c>
      <c r="P4622">
        <v>-20.135355000000001</v>
      </c>
      <c r="Q4622">
        <v>-44.835469000000003</v>
      </c>
      <c r="R4622" s="2" t="str">
        <f>HYPERLINK("https://www.google.com/maps?q=-20.1353550,-44.8354690","Abrir no Google Maps")</f>
        <v>Abrir no Google Maps</v>
      </c>
      <c r="S4622">
        <v>3</v>
      </c>
      <c r="T4622">
        <v>751.16107206095137</v>
      </c>
      <c r="U4622">
        <v>3</v>
      </c>
      <c r="V4622">
        <v>0.1326754385964912</v>
      </c>
      <c r="W4622">
        <v>0.85</v>
      </c>
      <c r="X4622">
        <v>0.1127741228070175</v>
      </c>
      <c r="Y4622">
        <v>118</v>
      </c>
      <c r="Z4622">
        <v>677.63401865784431</v>
      </c>
      <c r="AA4622">
        <v>198</v>
      </c>
      <c r="AB4622">
        <v>332</v>
      </c>
      <c r="AC4622">
        <v>536</v>
      </c>
      <c r="AD4622">
        <v>30.35</v>
      </c>
      <c r="AE4622">
        <v>542</v>
      </c>
      <c r="AF4622">
        <v>37</v>
      </c>
      <c r="AG4622">
        <v>161</v>
      </c>
      <c r="AH4622">
        <v>129</v>
      </c>
      <c r="AI4622">
        <v>6.83</v>
      </c>
      <c r="AJ4622">
        <v>29.7</v>
      </c>
      <c r="AK4622">
        <v>23.8</v>
      </c>
      <c r="AL4622">
        <v>-20.134961199999939</v>
      </c>
      <c r="AM4622">
        <v>-44.835020399356488</v>
      </c>
      <c r="AN4622">
        <v>-20.134961199999939</v>
      </c>
      <c r="AO4622">
        <v>-44.835020399356488</v>
      </c>
      <c r="AP4622">
        <v>-20.135355000000001</v>
      </c>
      <c r="AQ4622">
        <v>-44.835469000000003</v>
      </c>
      <c r="AR4622">
        <v>64.187783608237439</v>
      </c>
      <c r="AS4622" t="s">
        <v>65</v>
      </c>
      <c r="AT4622">
        <v>1</v>
      </c>
      <c r="AU4622" t="s">
        <v>1228</v>
      </c>
      <c r="AV4622" t="s">
        <v>1229</v>
      </c>
      <c r="AW4622" t="s">
        <v>60</v>
      </c>
      <c r="AX4622" t="s">
        <v>68</v>
      </c>
      <c r="AY4622" t="s">
        <v>69</v>
      </c>
      <c r="AZ4622" t="b">
        <v>1</v>
      </c>
    </row>
    <row r="4623" spans="1:52" x14ac:dyDescent="0.3">
      <c r="A4623" t="s">
        <v>52</v>
      </c>
      <c r="B4623" t="s">
        <v>53</v>
      </c>
      <c r="C4623" t="s">
        <v>54</v>
      </c>
      <c r="D4623" t="s">
        <v>55</v>
      </c>
      <c r="E4623" t="s">
        <v>2223</v>
      </c>
      <c r="F4623" t="s">
        <v>190</v>
      </c>
      <c r="G4623" t="s">
        <v>1224</v>
      </c>
      <c r="H4623" t="s">
        <v>1230</v>
      </c>
      <c r="I4623" t="s">
        <v>1230</v>
      </c>
      <c r="J4623" t="s">
        <v>60</v>
      </c>
      <c r="K4623" t="s">
        <v>828</v>
      </c>
      <c r="L4623" t="s">
        <v>62</v>
      </c>
      <c r="M4623" t="s">
        <v>828</v>
      </c>
      <c r="N4623" t="s">
        <v>1231</v>
      </c>
      <c r="O4623" t="s">
        <v>1232</v>
      </c>
      <c r="P4623">
        <v>-20.136106000000002</v>
      </c>
      <c r="Q4623">
        <v>-44.838470999999998</v>
      </c>
      <c r="R4623" s="2" t="str">
        <f>HYPERLINK("https://www.google.com/maps?q=-20.1361060,-44.8384710","Abrir no Google Maps")</f>
        <v>Abrir no Google Maps</v>
      </c>
      <c r="S4623">
        <v>3</v>
      </c>
      <c r="T4623">
        <v>910.01690137237858</v>
      </c>
      <c r="U4623">
        <v>3</v>
      </c>
      <c r="V4623">
        <v>0.1138897953213084</v>
      </c>
      <c r="W4623">
        <v>1</v>
      </c>
      <c r="X4623">
        <v>0.1138897953213084</v>
      </c>
      <c r="Y4623">
        <v>118</v>
      </c>
      <c r="Z4623">
        <v>892.76979321439796</v>
      </c>
      <c r="AA4623">
        <v>198</v>
      </c>
      <c r="AB4623">
        <v>332</v>
      </c>
      <c r="AC4623">
        <v>536</v>
      </c>
      <c r="AD4623">
        <v>30.35</v>
      </c>
      <c r="AE4623">
        <v>542</v>
      </c>
      <c r="AF4623">
        <v>37</v>
      </c>
      <c r="AG4623">
        <v>161</v>
      </c>
      <c r="AH4623">
        <v>129</v>
      </c>
      <c r="AI4623">
        <v>6.83</v>
      </c>
      <c r="AJ4623">
        <v>29.7</v>
      </c>
      <c r="AK4623">
        <v>23.8</v>
      </c>
      <c r="AL4623">
        <v>-20.136356149999951</v>
      </c>
      <c r="AM4623">
        <v>-44.838929886373997</v>
      </c>
      <c r="AN4623">
        <v>-20.136356149999951</v>
      </c>
      <c r="AO4623">
        <v>-44.838929886373997</v>
      </c>
      <c r="AP4623">
        <v>-20.136106000000002</v>
      </c>
      <c r="AQ4623">
        <v>-44.838470999999998</v>
      </c>
      <c r="AR4623">
        <v>55.458802856549369</v>
      </c>
      <c r="AS4623" t="s">
        <v>65</v>
      </c>
      <c r="AT4623">
        <v>1</v>
      </c>
      <c r="AU4623" t="s">
        <v>1233</v>
      </c>
      <c r="AV4623" t="s">
        <v>1234</v>
      </c>
      <c r="AW4623" t="s">
        <v>60</v>
      </c>
      <c r="AX4623" t="s">
        <v>68</v>
      </c>
      <c r="AY4623" t="s">
        <v>69</v>
      </c>
      <c r="AZ4623" t="b">
        <v>1</v>
      </c>
    </row>
    <row r="4624" spans="1:52" x14ac:dyDescent="0.3">
      <c r="A4624" t="s">
        <v>52</v>
      </c>
      <c r="B4624" t="s">
        <v>53</v>
      </c>
      <c r="C4624" t="s">
        <v>54</v>
      </c>
      <c r="D4624" t="s">
        <v>55</v>
      </c>
      <c r="E4624" t="s">
        <v>2223</v>
      </c>
      <c r="F4624" t="s">
        <v>190</v>
      </c>
      <c r="G4624" t="s">
        <v>826</v>
      </c>
      <c r="H4624" t="s">
        <v>827</v>
      </c>
      <c r="I4624" t="s">
        <v>827</v>
      </c>
      <c r="J4624" t="s">
        <v>60</v>
      </c>
      <c r="K4624" t="s">
        <v>828</v>
      </c>
      <c r="L4624" t="s">
        <v>62</v>
      </c>
      <c r="M4624" t="s">
        <v>828</v>
      </c>
      <c r="N4624" t="s">
        <v>829</v>
      </c>
      <c r="O4624" t="s">
        <v>830</v>
      </c>
      <c r="P4624">
        <v>-20.128309999999999</v>
      </c>
      <c r="Q4624">
        <v>-44.8367</v>
      </c>
      <c r="R4624" s="2" t="str">
        <f>HYPERLINK("https://www.google.com/maps?q=-20.1283100,-44.8367000","Abrir no Google Maps")</f>
        <v>Abrir no Google Maps</v>
      </c>
      <c r="S4624">
        <v>3</v>
      </c>
      <c r="T4624">
        <v>0</v>
      </c>
      <c r="U4624">
        <v>3</v>
      </c>
      <c r="V4624">
        <v>0.1209510357815442</v>
      </c>
      <c r="W4624">
        <v>1</v>
      </c>
      <c r="X4624">
        <v>0.1209510357815442</v>
      </c>
      <c r="Y4624">
        <v>118</v>
      </c>
      <c r="Z4624">
        <v>65.93296364139367</v>
      </c>
      <c r="AA4624">
        <v>198</v>
      </c>
      <c r="AB4624">
        <v>332</v>
      </c>
      <c r="AC4624">
        <v>536</v>
      </c>
      <c r="AD4624">
        <v>30.35</v>
      </c>
      <c r="AE4624">
        <v>542</v>
      </c>
      <c r="AF4624">
        <v>37</v>
      </c>
      <c r="AG4624">
        <v>161</v>
      </c>
      <c r="AH4624">
        <v>129</v>
      </c>
      <c r="AI4624">
        <v>6.83</v>
      </c>
      <c r="AJ4624">
        <v>29.7</v>
      </c>
      <c r="AK4624">
        <v>23.8</v>
      </c>
      <c r="AL4624">
        <v>-20.128383649999961</v>
      </c>
      <c r="AM4624">
        <v>-44.836795615491283</v>
      </c>
      <c r="AN4624">
        <v>-20.128383649999961</v>
      </c>
      <c r="AO4624">
        <v>-44.836795615491283</v>
      </c>
      <c r="AP4624">
        <v>-20.128309999999999</v>
      </c>
      <c r="AQ4624">
        <v>-44.8367</v>
      </c>
      <c r="AR4624">
        <v>12.92654496723039</v>
      </c>
      <c r="AS4624" t="s">
        <v>65</v>
      </c>
      <c r="AT4624">
        <v>1</v>
      </c>
      <c r="AU4624" t="s">
        <v>831</v>
      </c>
      <c r="AV4624" t="s">
        <v>832</v>
      </c>
      <c r="AW4624" t="s">
        <v>60</v>
      </c>
      <c r="AX4624" t="s">
        <v>68</v>
      </c>
      <c r="AY4624" t="s">
        <v>69</v>
      </c>
      <c r="AZ4624" t="b">
        <v>1</v>
      </c>
    </row>
    <row r="4625" spans="1:52" x14ac:dyDescent="0.3">
      <c r="A4625" t="s">
        <v>52</v>
      </c>
      <c r="B4625" t="s">
        <v>53</v>
      </c>
      <c r="C4625" t="s">
        <v>54</v>
      </c>
      <c r="D4625" t="s">
        <v>55</v>
      </c>
      <c r="E4625" t="s">
        <v>2223</v>
      </c>
      <c r="F4625" t="s">
        <v>190</v>
      </c>
      <c r="G4625" t="s">
        <v>1193</v>
      </c>
      <c r="H4625" t="s">
        <v>2025</v>
      </c>
      <c r="I4625" t="s">
        <v>2025</v>
      </c>
      <c r="J4625" t="s">
        <v>60</v>
      </c>
      <c r="K4625" t="s">
        <v>1710</v>
      </c>
      <c r="L4625" t="s">
        <v>62</v>
      </c>
      <c r="M4625" t="s">
        <v>1710</v>
      </c>
      <c r="N4625" t="s">
        <v>2026</v>
      </c>
      <c r="O4625" t="s">
        <v>1438</v>
      </c>
      <c r="P4625">
        <v>-20.147459000000001</v>
      </c>
      <c r="Q4625">
        <v>-44.839049000000003</v>
      </c>
      <c r="R4625" s="2" t="str">
        <f>HYPERLINK("https://www.google.com/maps?q=-20.1474590,-44.8390490","Abrir no Google Maps")</f>
        <v>Abrir no Google Maps</v>
      </c>
      <c r="S4625">
        <v>3</v>
      </c>
      <c r="T4625">
        <v>2134.7842223159018</v>
      </c>
      <c r="U4625">
        <v>3</v>
      </c>
      <c r="V4625">
        <v>0.14020864756158871</v>
      </c>
      <c r="W4625">
        <v>0.85</v>
      </c>
      <c r="X4625">
        <v>0.11917735042735041</v>
      </c>
      <c r="Y4625">
        <v>118</v>
      </c>
      <c r="Z4625">
        <v>2105.8235104165119</v>
      </c>
      <c r="AA4625">
        <v>198</v>
      </c>
      <c r="AB4625">
        <v>332</v>
      </c>
      <c r="AC4625">
        <v>536</v>
      </c>
      <c r="AD4625">
        <v>30.35</v>
      </c>
      <c r="AE4625">
        <v>542</v>
      </c>
      <c r="AF4625">
        <v>37</v>
      </c>
      <c r="AG4625">
        <v>161</v>
      </c>
      <c r="AH4625">
        <v>129</v>
      </c>
      <c r="AI4625">
        <v>6.83</v>
      </c>
      <c r="AJ4625">
        <v>29.7</v>
      </c>
      <c r="AK4625">
        <v>23.8</v>
      </c>
      <c r="AL4625">
        <v>-20.147568249999949</v>
      </c>
      <c r="AM4625">
        <v>-44.838938056199567</v>
      </c>
      <c r="AN4625">
        <v>-20.147568249999949</v>
      </c>
      <c r="AO4625">
        <v>-44.838938056199567</v>
      </c>
      <c r="AP4625">
        <v>-20.147459000000001</v>
      </c>
      <c r="AQ4625">
        <v>-44.839049000000003</v>
      </c>
      <c r="AR4625">
        <v>16.80298816089098</v>
      </c>
      <c r="AS4625" t="s">
        <v>65</v>
      </c>
      <c r="AT4625">
        <v>1</v>
      </c>
      <c r="AU4625" t="s">
        <v>2027</v>
      </c>
      <c r="AV4625" t="s">
        <v>2028</v>
      </c>
      <c r="AW4625" t="s">
        <v>60</v>
      </c>
      <c r="AX4625" t="s">
        <v>68</v>
      </c>
      <c r="AY4625" t="s">
        <v>69</v>
      </c>
      <c r="AZ4625" t="b">
        <v>1</v>
      </c>
    </row>
    <row r="4626" spans="1:52" x14ac:dyDescent="0.3">
      <c r="A4626" t="s">
        <v>52</v>
      </c>
      <c r="B4626" t="s">
        <v>53</v>
      </c>
      <c r="C4626" t="s">
        <v>54</v>
      </c>
      <c r="D4626" t="s">
        <v>55</v>
      </c>
      <c r="E4626" t="s">
        <v>2223</v>
      </c>
      <c r="F4626" t="s">
        <v>190</v>
      </c>
      <c r="G4626" t="s">
        <v>1813</v>
      </c>
      <c r="H4626" t="s">
        <v>1814</v>
      </c>
      <c r="I4626" t="s">
        <v>1814</v>
      </c>
      <c r="J4626" t="s">
        <v>60</v>
      </c>
      <c r="K4626" t="s">
        <v>1815</v>
      </c>
      <c r="L4626" t="s">
        <v>62</v>
      </c>
      <c r="M4626" t="s">
        <v>1815</v>
      </c>
      <c r="N4626" t="s">
        <v>1816</v>
      </c>
      <c r="O4626" t="s">
        <v>793</v>
      </c>
      <c r="P4626">
        <v>-20.144487999999999</v>
      </c>
      <c r="Q4626">
        <v>-44.836683000000001</v>
      </c>
      <c r="R4626" s="2" t="str">
        <f>HYPERLINK("https://www.google.com/maps?q=-20.1444880,-44.8366830","Abrir no Google Maps")</f>
        <v>Abrir no Google Maps</v>
      </c>
      <c r="S4626">
        <v>3</v>
      </c>
      <c r="T4626">
        <v>1786.4671732320769</v>
      </c>
      <c r="U4626">
        <v>3</v>
      </c>
      <c r="V4626">
        <v>0.1311328625250415</v>
      </c>
      <c r="W4626">
        <v>0.85</v>
      </c>
      <c r="X4626">
        <v>0.1114629331462853</v>
      </c>
      <c r="Y4626">
        <v>118</v>
      </c>
      <c r="Z4626">
        <v>1788.4311204774231</v>
      </c>
      <c r="AA4626">
        <v>198</v>
      </c>
      <c r="AB4626">
        <v>332</v>
      </c>
      <c r="AC4626">
        <v>536</v>
      </c>
      <c r="AD4626">
        <v>30.35</v>
      </c>
      <c r="AE4626">
        <v>542</v>
      </c>
      <c r="AF4626">
        <v>37</v>
      </c>
      <c r="AG4626">
        <v>161</v>
      </c>
      <c r="AH4626">
        <v>129</v>
      </c>
      <c r="AI4626">
        <v>6.83</v>
      </c>
      <c r="AJ4626">
        <v>29.7</v>
      </c>
      <c r="AK4626">
        <v>23.8</v>
      </c>
      <c r="AL4626">
        <v>-20.14452704999994</v>
      </c>
      <c r="AM4626">
        <v>-44.836757520268662</v>
      </c>
      <c r="AN4626">
        <v>-20.14452704999994</v>
      </c>
      <c r="AO4626">
        <v>-44.836757520268662</v>
      </c>
      <c r="AP4626">
        <v>-20.144487999999999</v>
      </c>
      <c r="AQ4626">
        <v>-44.836683000000001</v>
      </c>
      <c r="AR4626">
        <v>8.9191793946858624</v>
      </c>
      <c r="AS4626" t="s">
        <v>65</v>
      </c>
      <c r="AT4626">
        <v>1</v>
      </c>
      <c r="AU4626" t="s">
        <v>1817</v>
      </c>
      <c r="AV4626" t="s">
        <v>1818</v>
      </c>
      <c r="AW4626" t="s">
        <v>60</v>
      </c>
      <c r="AX4626" t="s">
        <v>68</v>
      </c>
      <c r="AY4626" t="s">
        <v>69</v>
      </c>
      <c r="AZ4626" t="b">
        <v>1</v>
      </c>
    </row>
    <row r="4627" spans="1:52" x14ac:dyDescent="0.3">
      <c r="A4627" t="s">
        <v>52</v>
      </c>
      <c r="B4627" t="s">
        <v>53</v>
      </c>
      <c r="C4627" t="s">
        <v>54</v>
      </c>
      <c r="D4627" t="s">
        <v>55</v>
      </c>
      <c r="E4627" t="s">
        <v>2223</v>
      </c>
      <c r="F4627" t="s">
        <v>190</v>
      </c>
      <c r="G4627" t="s">
        <v>1842</v>
      </c>
      <c r="H4627" t="s">
        <v>1843</v>
      </c>
      <c r="I4627" t="s">
        <v>1843</v>
      </c>
      <c r="J4627" t="s">
        <v>60</v>
      </c>
      <c r="K4627" t="s">
        <v>1243</v>
      </c>
      <c r="L4627" t="s">
        <v>62</v>
      </c>
      <c r="M4627" t="s">
        <v>1243</v>
      </c>
      <c r="N4627" t="s">
        <v>1844</v>
      </c>
      <c r="O4627" t="s">
        <v>598</v>
      </c>
      <c r="P4627">
        <v>-20.191507999999999</v>
      </c>
      <c r="Q4627">
        <v>-44.942765000000001</v>
      </c>
      <c r="R4627" s="2" t="str">
        <f>HYPERLINK("https://www.google.com/maps?q=-20.1915080,-44.9427650","Abrir no Google Maps")</f>
        <v>Abrir no Google Maps</v>
      </c>
      <c r="S4627">
        <v>3</v>
      </c>
      <c r="T4627">
        <v>481.65843439031818</v>
      </c>
      <c r="U4627">
        <v>3</v>
      </c>
      <c r="V4627">
        <v>0.120327336331834</v>
      </c>
      <c r="W4627">
        <v>1</v>
      </c>
      <c r="X4627">
        <v>0.120327336331834</v>
      </c>
      <c r="Y4627">
        <v>113</v>
      </c>
      <c r="Z4627">
        <v>403.01657911729887</v>
      </c>
      <c r="AA4627">
        <v>198</v>
      </c>
      <c r="AB4627">
        <v>332</v>
      </c>
      <c r="AC4627">
        <v>536</v>
      </c>
      <c r="AD4627">
        <v>30.35</v>
      </c>
      <c r="AE4627">
        <v>542</v>
      </c>
      <c r="AF4627">
        <v>37</v>
      </c>
      <c r="AG4627">
        <v>161</v>
      </c>
      <c r="AH4627">
        <v>129</v>
      </c>
      <c r="AI4627">
        <v>6.83</v>
      </c>
      <c r="AJ4627">
        <v>29.7</v>
      </c>
      <c r="AK4627">
        <v>23.8</v>
      </c>
      <c r="AL4627">
        <v>-20.19144764999993</v>
      </c>
      <c r="AM4627">
        <v>-44.942723431709183</v>
      </c>
      <c r="AN4627">
        <v>-20.19144764999993</v>
      </c>
      <c r="AO4627">
        <v>-44.942723431709183</v>
      </c>
      <c r="AP4627">
        <v>-20.191507999999999</v>
      </c>
      <c r="AQ4627">
        <v>-44.942765000000001</v>
      </c>
      <c r="AR4627">
        <v>7.9997116897974587</v>
      </c>
      <c r="AS4627" t="s">
        <v>65</v>
      </c>
      <c r="AT4627">
        <v>1</v>
      </c>
      <c r="AU4627" t="s">
        <v>1845</v>
      </c>
      <c r="AV4627" t="s">
        <v>1846</v>
      </c>
      <c r="AW4627" t="s">
        <v>60</v>
      </c>
      <c r="AX4627" t="s">
        <v>68</v>
      </c>
      <c r="AY4627" t="s">
        <v>69</v>
      </c>
      <c r="AZ4627" t="b">
        <v>1</v>
      </c>
    </row>
    <row r="4628" spans="1:52" x14ac:dyDescent="0.3">
      <c r="A4628" t="s">
        <v>52</v>
      </c>
      <c r="B4628" t="s">
        <v>53</v>
      </c>
      <c r="C4628" t="s">
        <v>54</v>
      </c>
      <c r="D4628" t="s">
        <v>55</v>
      </c>
      <c r="E4628" t="s">
        <v>2223</v>
      </c>
      <c r="F4628" t="s">
        <v>190</v>
      </c>
      <c r="G4628" t="s">
        <v>1241</v>
      </c>
      <c r="H4628" t="s">
        <v>1242</v>
      </c>
      <c r="I4628" t="s">
        <v>1242</v>
      </c>
      <c r="J4628" t="s">
        <v>60</v>
      </c>
      <c r="K4628" t="s">
        <v>1243</v>
      </c>
      <c r="L4628" t="s">
        <v>62</v>
      </c>
      <c r="M4628" t="s">
        <v>1243</v>
      </c>
      <c r="N4628" t="s">
        <v>1244</v>
      </c>
      <c r="O4628" t="s">
        <v>315</v>
      </c>
      <c r="P4628">
        <v>-20.188538000000001</v>
      </c>
      <c r="Q4628">
        <v>-44.930104</v>
      </c>
      <c r="R4628" s="2" t="str">
        <f>HYPERLINK("https://www.google.com/maps?q=-20.1885380,-44.9301040","Abrir no Google Maps")</f>
        <v>Abrir no Google Maps</v>
      </c>
      <c r="S4628">
        <v>3</v>
      </c>
      <c r="T4628">
        <v>928.27105405717066</v>
      </c>
      <c r="U4628">
        <v>3</v>
      </c>
      <c r="V4628">
        <v>0.12055532907550839</v>
      </c>
      <c r="W4628">
        <v>1</v>
      </c>
      <c r="X4628">
        <v>0.12055532907550839</v>
      </c>
      <c r="Y4628">
        <v>113</v>
      </c>
      <c r="Z4628">
        <v>1111.4269393179579</v>
      </c>
      <c r="AA4628">
        <v>198</v>
      </c>
      <c r="AB4628">
        <v>332</v>
      </c>
      <c r="AC4628">
        <v>536</v>
      </c>
      <c r="AD4628">
        <v>30.35</v>
      </c>
      <c r="AE4628">
        <v>542</v>
      </c>
      <c r="AF4628">
        <v>37</v>
      </c>
      <c r="AG4628">
        <v>161</v>
      </c>
      <c r="AH4628">
        <v>129</v>
      </c>
      <c r="AI4628">
        <v>6.83</v>
      </c>
      <c r="AJ4628">
        <v>29.7</v>
      </c>
      <c r="AK4628">
        <v>23.8</v>
      </c>
      <c r="AL4628">
        <v>-20.18852899999996</v>
      </c>
      <c r="AM4628">
        <v>-44.930083089036543</v>
      </c>
      <c r="AN4628">
        <v>-20.18852899999996</v>
      </c>
      <c r="AO4628">
        <v>-44.930083089036543</v>
      </c>
      <c r="AP4628">
        <v>-20.188538000000001</v>
      </c>
      <c r="AQ4628">
        <v>-44.930104</v>
      </c>
      <c r="AR4628">
        <v>2.4035564137158438</v>
      </c>
      <c r="AS4628" t="s">
        <v>65</v>
      </c>
      <c r="AT4628">
        <v>1</v>
      </c>
      <c r="AU4628" t="s">
        <v>1245</v>
      </c>
      <c r="AV4628" t="s">
        <v>1246</v>
      </c>
      <c r="AW4628" t="s">
        <v>60</v>
      </c>
      <c r="AX4628" t="s">
        <v>68</v>
      </c>
      <c r="AY4628" t="s">
        <v>69</v>
      </c>
      <c r="AZ4628" t="b">
        <v>1</v>
      </c>
    </row>
    <row r="4629" spans="1:52" x14ac:dyDescent="0.3">
      <c r="A4629" t="s">
        <v>52</v>
      </c>
      <c r="B4629" t="s">
        <v>53</v>
      </c>
      <c r="C4629" t="s">
        <v>54</v>
      </c>
      <c r="D4629" t="s">
        <v>55</v>
      </c>
      <c r="E4629" t="s">
        <v>2223</v>
      </c>
      <c r="F4629" t="s">
        <v>1247</v>
      </c>
      <c r="G4629" t="s">
        <v>58</v>
      </c>
      <c r="H4629" t="s">
        <v>59</v>
      </c>
      <c r="I4629" t="s">
        <v>59</v>
      </c>
      <c r="J4629" t="s">
        <v>60</v>
      </c>
      <c r="K4629" t="s">
        <v>61</v>
      </c>
      <c r="L4629" t="s">
        <v>62</v>
      </c>
      <c r="M4629" t="s">
        <v>61</v>
      </c>
      <c r="N4629" t="s">
        <v>63</v>
      </c>
      <c r="O4629" t="s">
        <v>64</v>
      </c>
      <c r="P4629">
        <v>-20.147940999999999</v>
      </c>
      <c r="Q4629">
        <v>-44.906514000000001</v>
      </c>
      <c r="R4629" s="2" t="str">
        <f>HYPERLINK("https://www.google.com/maps?q=-20.1479410,-44.9065140","Abrir no Google Maps")</f>
        <v>Abrir no Google Maps</v>
      </c>
      <c r="S4629">
        <v>4</v>
      </c>
      <c r="T4629">
        <v>308.67004994113421</v>
      </c>
      <c r="U4629">
        <v>4</v>
      </c>
      <c r="V4629">
        <v>0.12934533985963759</v>
      </c>
      <c r="W4629">
        <v>1</v>
      </c>
      <c r="X4629">
        <v>0.12934533985963759</v>
      </c>
      <c r="Y4629">
        <v>747</v>
      </c>
      <c r="Z4629">
        <v>274.71440454502522</v>
      </c>
      <c r="AA4629">
        <v>198</v>
      </c>
      <c r="AB4629">
        <v>332</v>
      </c>
      <c r="AC4629">
        <v>536</v>
      </c>
      <c r="AD4629">
        <v>30.35</v>
      </c>
      <c r="AE4629">
        <v>542</v>
      </c>
      <c r="AF4629">
        <v>37</v>
      </c>
      <c r="AG4629">
        <v>161</v>
      </c>
      <c r="AH4629">
        <v>129</v>
      </c>
      <c r="AI4629">
        <v>6.83</v>
      </c>
      <c r="AJ4629">
        <v>29.7</v>
      </c>
      <c r="AK4629">
        <v>23.8</v>
      </c>
      <c r="AL4629">
        <v>-20.147947799999969</v>
      </c>
      <c r="AM4629">
        <v>-44.906591596129203</v>
      </c>
      <c r="AN4629">
        <v>-20.147947799999969</v>
      </c>
      <c r="AO4629">
        <v>-44.906591596129203</v>
      </c>
      <c r="AP4629">
        <v>-20.147940999999999</v>
      </c>
      <c r="AQ4629">
        <v>-44.906514000000001</v>
      </c>
      <c r="AR4629">
        <v>8.1446636170570326</v>
      </c>
      <c r="AS4629" t="s">
        <v>65</v>
      </c>
      <c r="AT4629">
        <v>1</v>
      </c>
      <c r="AU4629" t="s">
        <v>66</v>
      </c>
      <c r="AV4629" t="s">
        <v>67</v>
      </c>
      <c r="AW4629" t="s">
        <v>60</v>
      </c>
      <c r="AX4629" t="s">
        <v>68</v>
      </c>
      <c r="AY4629" t="s">
        <v>69</v>
      </c>
      <c r="AZ4629" t="b">
        <v>1</v>
      </c>
    </row>
    <row r="4630" spans="1:52" x14ac:dyDescent="0.3">
      <c r="A4630" t="s">
        <v>52</v>
      </c>
      <c r="B4630" t="s">
        <v>53</v>
      </c>
      <c r="C4630" t="s">
        <v>54</v>
      </c>
      <c r="D4630" t="s">
        <v>55</v>
      </c>
      <c r="E4630" t="s">
        <v>2223</v>
      </c>
      <c r="F4630" t="s">
        <v>1247</v>
      </c>
      <c r="G4630" t="s">
        <v>191</v>
      </c>
      <c r="H4630" t="s">
        <v>192</v>
      </c>
      <c r="I4630" t="s">
        <v>192</v>
      </c>
      <c r="J4630" t="s">
        <v>60</v>
      </c>
      <c r="K4630" t="s">
        <v>193</v>
      </c>
      <c r="L4630" t="s">
        <v>62</v>
      </c>
      <c r="M4630" t="s">
        <v>193</v>
      </c>
      <c r="N4630" t="s">
        <v>194</v>
      </c>
      <c r="O4630" t="s">
        <v>195</v>
      </c>
      <c r="P4630">
        <v>-20.143266000000001</v>
      </c>
      <c r="Q4630">
        <v>-44.912075000000002</v>
      </c>
      <c r="R4630" s="2" t="str">
        <f>HYPERLINK("https://www.google.com/maps?q=-20.1432660,-44.9120750","Abrir no Google Maps")</f>
        <v>Abrir no Google Maps</v>
      </c>
      <c r="S4630">
        <v>4</v>
      </c>
      <c r="T4630">
        <v>467.04339396175408</v>
      </c>
      <c r="U4630">
        <v>4</v>
      </c>
      <c r="V4630">
        <v>0.12684562325154289</v>
      </c>
      <c r="W4630">
        <v>1</v>
      </c>
      <c r="X4630">
        <v>0.12684562325154289</v>
      </c>
      <c r="Y4630">
        <v>747</v>
      </c>
      <c r="Z4630">
        <v>585.1742452866996</v>
      </c>
      <c r="AA4630">
        <v>198</v>
      </c>
      <c r="AB4630">
        <v>332</v>
      </c>
      <c r="AC4630">
        <v>536</v>
      </c>
      <c r="AD4630">
        <v>30.35</v>
      </c>
      <c r="AE4630">
        <v>542</v>
      </c>
      <c r="AF4630">
        <v>37</v>
      </c>
      <c r="AG4630">
        <v>161</v>
      </c>
      <c r="AH4630">
        <v>129</v>
      </c>
      <c r="AI4630">
        <v>6.83</v>
      </c>
      <c r="AJ4630">
        <v>29.7</v>
      </c>
      <c r="AK4630">
        <v>23.8</v>
      </c>
      <c r="AL4630">
        <v>-20.143307949999951</v>
      </c>
      <c r="AM4630">
        <v>-44.912066629431067</v>
      </c>
      <c r="AN4630">
        <v>-20.143307949999951</v>
      </c>
      <c r="AO4630">
        <v>-44.912066629431067</v>
      </c>
      <c r="AP4630">
        <v>-20.143266000000001</v>
      </c>
      <c r="AQ4630">
        <v>-44.912075000000002</v>
      </c>
      <c r="AR4630">
        <v>4.751108024498329</v>
      </c>
      <c r="AS4630" t="s">
        <v>65</v>
      </c>
      <c r="AT4630">
        <v>1</v>
      </c>
      <c r="AU4630" t="s">
        <v>196</v>
      </c>
      <c r="AV4630" t="s">
        <v>197</v>
      </c>
      <c r="AW4630" t="s">
        <v>60</v>
      </c>
      <c r="AX4630" t="s">
        <v>68</v>
      </c>
      <c r="AY4630" t="s">
        <v>69</v>
      </c>
      <c r="AZ4630" t="b">
        <v>1</v>
      </c>
    </row>
    <row r="4631" spans="1:52" x14ac:dyDescent="0.3">
      <c r="A4631" t="s">
        <v>52</v>
      </c>
      <c r="B4631" t="s">
        <v>53</v>
      </c>
      <c r="C4631" t="s">
        <v>54</v>
      </c>
      <c r="D4631" t="s">
        <v>55</v>
      </c>
      <c r="E4631" t="s">
        <v>2223</v>
      </c>
      <c r="F4631" t="s">
        <v>1247</v>
      </c>
      <c r="G4631" t="s">
        <v>77</v>
      </c>
      <c r="H4631" t="s">
        <v>78</v>
      </c>
      <c r="I4631" t="s">
        <v>78</v>
      </c>
      <c r="J4631" t="s">
        <v>60</v>
      </c>
      <c r="K4631" t="s">
        <v>72</v>
      </c>
      <c r="L4631" t="s">
        <v>62</v>
      </c>
      <c r="M4631" t="s">
        <v>72</v>
      </c>
      <c r="N4631" t="s">
        <v>79</v>
      </c>
      <c r="O4631" t="s">
        <v>80</v>
      </c>
      <c r="P4631">
        <v>-20.147821</v>
      </c>
      <c r="Q4631">
        <v>-44.908887</v>
      </c>
      <c r="R4631" s="2" t="str">
        <f>HYPERLINK("https://www.google.com/maps?q=-20.1478210,-44.9088870","Abrir no Google Maps")</f>
        <v>Abrir no Google Maps</v>
      </c>
      <c r="S4631">
        <v>4</v>
      </c>
      <c r="T4631">
        <v>232.2893841532152</v>
      </c>
      <c r="U4631">
        <v>4</v>
      </c>
      <c r="V4631">
        <v>0.12419094805552271</v>
      </c>
      <c r="W4631">
        <v>1</v>
      </c>
      <c r="X4631">
        <v>0.12419094805552271</v>
      </c>
      <c r="Y4631">
        <v>747</v>
      </c>
      <c r="Z4631">
        <v>195.3668648953757</v>
      </c>
      <c r="AA4631">
        <v>198</v>
      </c>
      <c r="AB4631">
        <v>332</v>
      </c>
      <c r="AC4631">
        <v>536</v>
      </c>
      <c r="AD4631">
        <v>30.35</v>
      </c>
      <c r="AE4631">
        <v>542</v>
      </c>
      <c r="AF4631">
        <v>37</v>
      </c>
      <c r="AG4631">
        <v>161</v>
      </c>
      <c r="AH4631">
        <v>129</v>
      </c>
      <c r="AI4631">
        <v>6.83</v>
      </c>
      <c r="AJ4631">
        <v>29.7</v>
      </c>
      <c r="AK4631">
        <v>23.8</v>
      </c>
      <c r="AL4631">
        <v>-20.147802849999952</v>
      </c>
      <c r="AM4631">
        <v>-44.908989919229477</v>
      </c>
      <c r="AN4631">
        <v>-20.147802849999952</v>
      </c>
      <c r="AO4631">
        <v>-44.908989919229491</v>
      </c>
      <c r="AP4631">
        <v>-20.147821</v>
      </c>
      <c r="AQ4631">
        <v>-44.908887</v>
      </c>
      <c r="AR4631">
        <v>10.944007761262529</v>
      </c>
      <c r="AS4631" t="s">
        <v>65</v>
      </c>
      <c r="AT4631">
        <v>1</v>
      </c>
      <c r="AU4631" t="s">
        <v>81</v>
      </c>
      <c r="AV4631" t="s">
        <v>82</v>
      </c>
      <c r="AW4631" t="s">
        <v>60</v>
      </c>
      <c r="AX4631" t="s">
        <v>68</v>
      </c>
      <c r="AY4631" t="s">
        <v>69</v>
      </c>
      <c r="AZ4631" t="b">
        <v>1</v>
      </c>
    </row>
    <row r="4632" spans="1:52" x14ac:dyDescent="0.3">
      <c r="A4632" t="s">
        <v>52</v>
      </c>
      <c r="B4632" t="s">
        <v>53</v>
      </c>
      <c r="C4632" t="s">
        <v>54</v>
      </c>
      <c r="D4632" t="s">
        <v>55</v>
      </c>
      <c r="E4632" t="s">
        <v>2223</v>
      </c>
      <c r="F4632" t="s">
        <v>1247</v>
      </c>
      <c r="G4632" t="s">
        <v>83</v>
      </c>
      <c r="H4632" t="s">
        <v>84</v>
      </c>
      <c r="I4632" t="s">
        <v>84</v>
      </c>
      <c r="J4632" t="s">
        <v>60</v>
      </c>
      <c r="K4632" t="s">
        <v>61</v>
      </c>
      <c r="L4632" t="s">
        <v>62</v>
      </c>
      <c r="M4632" t="s">
        <v>61</v>
      </c>
      <c r="N4632" t="s">
        <v>85</v>
      </c>
      <c r="O4632" t="s">
        <v>86</v>
      </c>
      <c r="P4632">
        <v>-20.149799000000002</v>
      </c>
      <c r="Q4632">
        <v>-44.906517000000001</v>
      </c>
      <c r="R4632" s="2" t="str">
        <f>HYPERLINK("https://www.google.com/maps?q=-20.1497990,-44.9065170","Abrir no Google Maps")</f>
        <v>Abrir no Google Maps</v>
      </c>
      <c r="S4632">
        <v>4</v>
      </c>
      <c r="T4632">
        <v>487.90051105537998</v>
      </c>
      <c r="U4632">
        <v>4</v>
      </c>
      <c r="V4632">
        <v>0.1219313059433723</v>
      </c>
      <c r="W4632">
        <v>1</v>
      </c>
      <c r="X4632">
        <v>0.1219313059433723</v>
      </c>
      <c r="Y4632">
        <v>747</v>
      </c>
      <c r="Z4632">
        <v>365.93785960107078</v>
      </c>
      <c r="AA4632">
        <v>198</v>
      </c>
      <c r="AB4632">
        <v>332</v>
      </c>
      <c r="AC4632">
        <v>536</v>
      </c>
      <c r="AD4632">
        <v>30.35</v>
      </c>
      <c r="AE4632">
        <v>542</v>
      </c>
      <c r="AF4632">
        <v>37</v>
      </c>
      <c r="AG4632">
        <v>161</v>
      </c>
      <c r="AH4632">
        <v>129</v>
      </c>
      <c r="AI4632">
        <v>6.83</v>
      </c>
      <c r="AJ4632">
        <v>29.7</v>
      </c>
      <c r="AK4632">
        <v>23.8</v>
      </c>
      <c r="AL4632">
        <v>-20.149879599999959</v>
      </c>
      <c r="AM4632">
        <v>-44.906746466068469</v>
      </c>
      <c r="AN4632">
        <v>-20.149879599999959</v>
      </c>
      <c r="AO4632">
        <v>-44.906746466068469</v>
      </c>
      <c r="AP4632">
        <v>-20.149799000000002</v>
      </c>
      <c r="AQ4632">
        <v>-44.906517000000001</v>
      </c>
      <c r="AR4632">
        <v>25.604276856970429</v>
      </c>
      <c r="AS4632" t="s">
        <v>65</v>
      </c>
      <c r="AT4632">
        <v>1</v>
      </c>
      <c r="AU4632" t="s">
        <v>87</v>
      </c>
      <c r="AV4632" t="s">
        <v>88</v>
      </c>
      <c r="AW4632" t="s">
        <v>60</v>
      </c>
      <c r="AX4632" t="s">
        <v>68</v>
      </c>
      <c r="AY4632" t="s">
        <v>69</v>
      </c>
      <c r="AZ4632" t="b">
        <v>1</v>
      </c>
    </row>
    <row r="4633" spans="1:52" x14ac:dyDescent="0.3">
      <c r="A4633" t="s">
        <v>52</v>
      </c>
      <c r="B4633" t="s">
        <v>53</v>
      </c>
      <c r="C4633" t="s">
        <v>54</v>
      </c>
      <c r="D4633" t="s">
        <v>55</v>
      </c>
      <c r="E4633" t="s">
        <v>2223</v>
      </c>
      <c r="F4633" t="s">
        <v>1247</v>
      </c>
      <c r="G4633" t="s">
        <v>89</v>
      </c>
      <c r="H4633" t="s">
        <v>90</v>
      </c>
      <c r="I4633" t="s">
        <v>90</v>
      </c>
      <c r="J4633" t="s">
        <v>60</v>
      </c>
      <c r="K4633" t="s">
        <v>72</v>
      </c>
      <c r="L4633" t="s">
        <v>62</v>
      </c>
      <c r="M4633" t="s">
        <v>72</v>
      </c>
      <c r="N4633" t="s">
        <v>91</v>
      </c>
      <c r="O4633" t="s">
        <v>92</v>
      </c>
      <c r="P4633">
        <v>-20.145848999999998</v>
      </c>
      <c r="Q4633">
        <v>-44.908419000000002</v>
      </c>
      <c r="R4633" s="2" t="str">
        <f>HYPERLINK("https://www.google.com/maps?q=-20.1458490,-44.9084190","Abrir no Google Maps")</f>
        <v>Abrir no Google Maps</v>
      </c>
      <c r="S4633">
        <v>4</v>
      </c>
      <c r="T4633">
        <v>0</v>
      </c>
      <c r="U4633">
        <v>4</v>
      </c>
      <c r="V4633">
        <v>0.1269307282684336</v>
      </c>
      <c r="W4633">
        <v>1</v>
      </c>
      <c r="X4633">
        <v>0.1269307282684336</v>
      </c>
      <c r="Y4633">
        <v>747</v>
      </c>
      <c r="Z4633">
        <v>136.08168502765241</v>
      </c>
      <c r="AA4633">
        <v>198</v>
      </c>
      <c r="AB4633">
        <v>332</v>
      </c>
      <c r="AC4633">
        <v>536</v>
      </c>
      <c r="AD4633">
        <v>30.35</v>
      </c>
      <c r="AE4633">
        <v>542</v>
      </c>
      <c r="AF4633">
        <v>37</v>
      </c>
      <c r="AG4633">
        <v>161</v>
      </c>
      <c r="AH4633">
        <v>129</v>
      </c>
      <c r="AI4633">
        <v>6.83</v>
      </c>
      <c r="AJ4633">
        <v>29.7</v>
      </c>
      <c r="AK4633">
        <v>23.8</v>
      </c>
      <c r="AL4633">
        <v>-20.14576979999995</v>
      </c>
      <c r="AM4633">
        <v>-44.908436775053183</v>
      </c>
      <c r="AN4633">
        <v>-20.14576979999995</v>
      </c>
      <c r="AO4633">
        <v>-44.908436775053183</v>
      </c>
      <c r="AP4633">
        <v>-20.145848999999998</v>
      </c>
      <c r="AQ4633">
        <v>-44.908419000000002</v>
      </c>
      <c r="AR4633">
        <v>9.0101247482327356</v>
      </c>
      <c r="AS4633" t="s">
        <v>65</v>
      </c>
      <c r="AT4633">
        <v>1</v>
      </c>
      <c r="AU4633" t="s">
        <v>93</v>
      </c>
      <c r="AV4633" t="s">
        <v>94</v>
      </c>
      <c r="AW4633" t="s">
        <v>60</v>
      </c>
      <c r="AX4633" t="s">
        <v>68</v>
      </c>
      <c r="AY4633" t="s">
        <v>69</v>
      </c>
      <c r="AZ4633" t="b">
        <v>1</v>
      </c>
    </row>
    <row r="4634" spans="1:52" x14ac:dyDescent="0.3">
      <c r="A4634" t="s">
        <v>52</v>
      </c>
      <c r="B4634" t="s">
        <v>53</v>
      </c>
      <c r="C4634" t="s">
        <v>54</v>
      </c>
      <c r="D4634" t="s">
        <v>55</v>
      </c>
      <c r="E4634" t="s">
        <v>2223</v>
      </c>
      <c r="F4634" t="s">
        <v>1247</v>
      </c>
      <c r="G4634" t="s">
        <v>100</v>
      </c>
      <c r="H4634" t="s">
        <v>101</v>
      </c>
      <c r="I4634" t="s">
        <v>101</v>
      </c>
      <c r="J4634" t="s">
        <v>60</v>
      </c>
      <c r="K4634" t="s">
        <v>61</v>
      </c>
      <c r="L4634" t="s">
        <v>62</v>
      </c>
      <c r="M4634" t="s">
        <v>61</v>
      </c>
      <c r="N4634" t="s">
        <v>102</v>
      </c>
      <c r="O4634" t="s">
        <v>103</v>
      </c>
      <c r="P4634">
        <v>-20.151098999999999</v>
      </c>
      <c r="Q4634">
        <v>-44.909699000000003</v>
      </c>
      <c r="R4634" s="2" t="str">
        <f>HYPERLINK("https://www.google.com/maps?q=-20.1510990,-44.9096990","Abrir no Google Maps")</f>
        <v>Abrir no Google Maps</v>
      </c>
      <c r="S4634">
        <v>4</v>
      </c>
      <c r="T4634">
        <v>628.5023128813533</v>
      </c>
      <c r="U4634">
        <v>4</v>
      </c>
      <c r="V4634">
        <v>0.13776537698412691</v>
      </c>
      <c r="W4634">
        <v>1</v>
      </c>
      <c r="X4634">
        <v>0.13776537698412691</v>
      </c>
      <c r="Y4634">
        <v>747</v>
      </c>
      <c r="Z4634">
        <v>563.16456625265948</v>
      </c>
      <c r="AA4634">
        <v>198</v>
      </c>
      <c r="AB4634">
        <v>332</v>
      </c>
      <c r="AC4634">
        <v>536</v>
      </c>
      <c r="AD4634">
        <v>30.35</v>
      </c>
      <c r="AE4634">
        <v>542</v>
      </c>
      <c r="AF4634">
        <v>37</v>
      </c>
      <c r="AG4634">
        <v>161</v>
      </c>
      <c r="AH4634">
        <v>129</v>
      </c>
      <c r="AI4634">
        <v>6.83</v>
      </c>
      <c r="AJ4634">
        <v>29.7</v>
      </c>
      <c r="AK4634">
        <v>23.8</v>
      </c>
      <c r="AL4634">
        <v>-20.151307349999971</v>
      </c>
      <c r="AM4634">
        <v>-44.909772836123523</v>
      </c>
      <c r="AN4634">
        <v>-20.151307349999971</v>
      </c>
      <c r="AO4634">
        <v>-44.909772836123523</v>
      </c>
      <c r="AP4634">
        <v>-20.151098999999999</v>
      </c>
      <c r="AQ4634">
        <v>-44.909699000000003</v>
      </c>
      <c r="AR4634">
        <v>24.443417349564811</v>
      </c>
      <c r="AS4634" t="s">
        <v>65</v>
      </c>
      <c r="AT4634">
        <v>1</v>
      </c>
      <c r="AU4634" t="s">
        <v>104</v>
      </c>
      <c r="AV4634" t="s">
        <v>105</v>
      </c>
      <c r="AW4634" t="s">
        <v>60</v>
      </c>
      <c r="AX4634" t="s">
        <v>68</v>
      </c>
      <c r="AY4634" t="s">
        <v>69</v>
      </c>
      <c r="AZ4634" t="b">
        <v>1</v>
      </c>
    </row>
    <row r="4635" spans="1:52" x14ac:dyDescent="0.3">
      <c r="A4635" t="s">
        <v>52</v>
      </c>
      <c r="B4635" t="s">
        <v>53</v>
      </c>
      <c r="C4635" t="s">
        <v>54</v>
      </c>
      <c r="D4635" t="s">
        <v>55</v>
      </c>
      <c r="E4635" t="s">
        <v>2223</v>
      </c>
      <c r="F4635" t="s">
        <v>1247</v>
      </c>
      <c r="G4635" t="s">
        <v>100</v>
      </c>
      <c r="H4635" t="s">
        <v>106</v>
      </c>
      <c r="I4635" t="s">
        <v>106</v>
      </c>
      <c r="J4635" t="s">
        <v>60</v>
      </c>
      <c r="K4635" t="s">
        <v>61</v>
      </c>
      <c r="L4635" t="s">
        <v>62</v>
      </c>
      <c r="M4635" t="s">
        <v>61</v>
      </c>
      <c r="N4635" t="s">
        <v>102</v>
      </c>
      <c r="O4635" t="s">
        <v>103</v>
      </c>
      <c r="P4635">
        <v>-20.151107</v>
      </c>
      <c r="Q4635">
        <v>-44.908918</v>
      </c>
      <c r="R4635" s="2" t="str">
        <f>HYPERLINK("https://www.google.com/maps?q=-20.1511070,-44.9089180","Abrir no Google Maps")</f>
        <v>Abrir no Google Maps</v>
      </c>
      <c r="S4635">
        <v>4</v>
      </c>
      <c r="T4635">
        <v>615.86400245321579</v>
      </c>
      <c r="U4635">
        <v>4</v>
      </c>
      <c r="V4635">
        <v>0.14381150235971199</v>
      </c>
      <c r="W4635">
        <v>0.85</v>
      </c>
      <c r="X4635">
        <v>0.1222397770057552</v>
      </c>
      <c r="Y4635">
        <v>747</v>
      </c>
      <c r="Z4635">
        <v>535.34543763764702</v>
      </c>
      <c r="AA4635">
        <v>198</v>
      </c>
      <c r="AB4635">
        <v>332</v>
      </c>
      <c r="AC4635">
        <v>536</v>
      </c>
      <c r="AD4635">
        <v>30.35</v>
      </c>
      <c r="AE4635">
        <v>542</v>
      </c>
      <c r="AF4635">
        <v>37</v>
      </c>
      <c r="AG4635">
        <v>161</v>
      </c>
      <c r="AH4635">
        <v>129</v>
      </c>
      <c r="AI4635">
        <v>6.83</v>
      </c>
      <c r="AJ4635">
        <v>29.7</v>
      </c>
      <c r="AK4635">
        <v>23.8</v>
      </c>
      <c r="AL4635">
        <v>-20.151307349999971</v>
      </c>
      <c r="AM4635">
        <v>-44.909024234051429</v>
      </c>
      <c r="AN4635">
        <v>-20.151307349999971</v>
      </c>
      <c r="AO4635">
        <v>-44.909024234051429</v>
      </c>
      <c r="AP4635">
        <v>-20.151107</v>
      </c>
      <c r="AQ4635">
        <v>-44.908918</v>
      </c>
      <c r="AR4635">
        <v>24.91340747371116</v>
      </c>
      <c r="AS4635" t="s">
        <v>65</v>
      </c>
      <c r="AT4635">
        <v>1</v>
      </c>
      <c r="AU4635" t="s">
        <v>107</v>
      </c>
      <c r="AV4635" t="s">
        <v>105</v>
      </c>
      <c r="AW4635" t="s">
        <v>60</v>
      </c>
      <c r="AX4635" t="s">
        <v>68</v>
      </c>
      <c r="AY4635" t="s">
        <v>69</v>
      </c>
      <c r="AZ4635" t="b">
        <v>1</v>
      </c>
    </row>
    <row r="4636" spans="1:52" x14ac:dyDescent="0.3">
      <c r="A4636" t="s">
        <v>52</v>
      </c>
      <c r="B4636" t="s">
        <v>53</v>
      </c>
      <c r="C4636" t="s">
        <v>54</v>
      </c>
      <c r="D4636" t="s">
        <v>55</v>
      </c>
      <c r="E4636" t="s">
        <v>2223</v>
      </c>
      <c r="F4636" t="s">
        <v>1247</v>
      </c>
      <c r="G4636" t="s">
        <v>70</v>
      </c>
      <c r="H4636" t="s">
        <v>71</v>
      </c>
      <c r="I4636" t="s">
        <v>71</v>
      </c>
      <c r="J4636" t="s">
        <v>60</v>
      </c>
      <c r="K4636" t="s">
        <v>72</v>
      </c>
      <c r="L4636" t="s">
        <v>62</v>
      </c>
      <c r="M4636" t="s">
        <v>72</v>
      </c>
      <c r="N4636" t="s">
        <v>73</v>
      </c>
      <c r="O4636" t="s">
        <v>74</v>
      </c>
      <c r="P4636">
        <v>-20.149349000000001</v>
      </c>
      <c r="Q4636">
        <v>-44.910784</v>
      </c>
      <c r="R4636" s="2" t="str">
        <f>HYPERLINK("https://www.google.com/maps?q=-20.1493490,-44.9107840","Abrir no Google Maps")</f>
        <v>Abrir no Google Maps</v>
      </c>
      <c r="S4636">
        <v>4</v>
      </c>
      <c r="T4636">
        <v>472.43876549769578</v>
      </c>
      <c r="U4636">
        <v>3</v>
      </c>
      <c r="V4636">
        <v>0.116593992248062</v>
      </c>
      <c r="W4636">
        <v>1</v>
      </c>
      <c r="X4636">
        <v>0.116593992248062</v>
      </c>
      <c r="Y4636">
        <v>747</v>
      </c>
      <c r="Z4636">
        <v>441.03921887407779</v>
      </c>
      <c r="AA4636">
        <v>198</v>
      </c>
      <c r="AB4636">
        <v>332</v>
      </c>
      <c r="AC4636">
        <v>536</v>
      </c>
      <c r="AD4636">
        <v>30.35</v>
      </c>
      <c r="AE4636">
        <v>542</v>
      </c>
      <c r="AF4636">
        <v>37</v>
      </c>
      <c r="AG4636">
        <v>161</v>
      </c>
      <c r="AH4636">
        <v>129</v>
      </c>
      <c r="AI4636">
        <v>6.83</v>
      </c>
      <c r="AJ4636">
        <v>29.7</v>
      </c>
      <c r="AK4636">
        <v>23.8</v>
      </c>
      <c r="AL4636">
        <v>-20.149403999999951</v>
      </c>
      <c r="AM4636">
        <v>-44.91080895147438</v>
      </c>
      <c r="AN4636">
        <v>-20.149403999999951</v>
      </c>
      <c r="AO4636">
        <v>-44.91080895147438</v>
      </c>
      <c r="AP4636">
        <v>-20.149349000000001</v>
      </c>
      <c r="AQ4636">
        <v>-44.910784</v>
      </c>
      <c r="AR4636">
        <v>6.6547592699416382</v>
      </c>
      <c r="AS4636" t="s">
        <v>65</v>
      </c>
      <c r="AT4636">
        <v>1</v>
      </c>
      <c r="AU4636" t="s">
        <v>75</v>
      </c>
      <c r="AV4636" t="s">
        <v>76</v>
      </c>
      <c r="AW4636" t="s">
        <v>60</v>
      </c>
      <c r="AX4636" t="s">
        <v>68</v>
      </c>
      <c r="AY4636" t="s">
        <v>69</v>
      </c>
      <c r="AZ4636" t="b">
        <v>1</v>
      </c>
    </row>
    <row r="4637" spans="1:52" x14ac:dyDescent="0.3">
      <c r="A4637" t="s">
        <v>52</v>
      </c>
      <c r="B4637" t="s">
        <v>53</v>
      </c>
      <c r="C4637" t="s">
        <v>54</v>
      </c>
      <c r="D4637" t="s">
        <v>55</v>
      </c>
      <c r="E4637" t="s">
        <v>2223</v>
      </c>
      <c r="F4637" t="s">
        <v>1247</v>
      </c>
      <c r="G4637" t="s">
        <v>95</v>
      </c>
      <c r="H4637" t="s">
        <v>96</v>
      </c>
      <c r="I4637" t="s">
        <v>96</v>
      </c>
      <c r="J4637" t="s">
        <v>60</v>
      </c>
      <c r="K4637" t="s">
        <v>72</v>
      </c>
      <c r="L4637" t="s">
        <v>62</v>
      </c>
      <c r="M4637" t="s">
        <v>72</v>
      </c>
      <c r="N4637" t="s">
        <v>97</v>
      </c>
      <c r="O4637" t="s">
        <v>98</v>
      </c>
      <c r="P4637">
        <v>-20.144062999999999</v>
      </c>
      <c r="Q4637">
        <v>-44.909627999999998</v>
      </c>
      <c r="R4637" s="2" t="str">
        <f>HYPERLINK("https://www.google.com/maps?q=-20.1440630,-44.9096280","Abrir no Google Maps")</f>
        <v>Abrir no Google Maps</v>
      </c>
      <c r="S4637">
        <v>4</v>
      </c>
      <c r="T4637">
        <v>205.27083326529291</v>
      </c>
      <c r="U4637">
        <v>3</v>
      </c>
      <c r="V4637">
        <v>0.1180726718333121</v>
      </c>
      <c r="W4637">
        <v>1</v>
      </c>
      <c r="X4637">
        <v>0.1180726718333121</v>
      </c>
      <c r="Y4637">
        <v>747</v>
      </c>
      <c r="Z4637">
        <v>336.75785483480968</v>
      </c>
      <c r="AA4637">
        <v>198</v>
      </c>
      <c r="AB4637">
        <v>332</v>
      </c>
      <c r="AC4637">
        <v>536</v>
      </c>
      <c r="AD4637">
        <v>30.35</v>
      </c>
      <c r="AE4637">
        <v>542</v>
      </c>
      <c r="AF4637">
        <v>37</v>
      </c>
      <c r="AG4637">
        <v>161</v>
      </c>
      <c r="AH4637">
        <v>129</v>
      </c>
      <c r="AI4637">
        <v>6.83</v>
      </c>
      <c r="AJ4637">
        <v>29.7</v>
      </c>
      <c r="AK4637">
        <v>23.8</v>
      </c>
      <c r="AL4637">
        <v>-20.144164099999951</v>
      </c>
      <c r="AM4637">
        <v>-44.909420167767642</v>
      </c>
      <c r="AN4637">
        <v>-20.144164099999951</v>
      </c>
      <c r="AO4637">
        <v>-44.909420167767642</v>
      </c>
      <c r="AP4637">
        <v>-20.144062999999999</v>
      </c>
      <c r="AQ4637">
        <v>-44.909627999999998</v>
      </c>
      <c r="AR4637">
        <v>24.46321571724976</v>
      </c>
      <c r="AS4637" t="s">
        <v>65</v>
      </c>
      <c r="AT4637">
        <v>1</v>
      </c>
      <c r="AU4637" t="s">
        <v>99</v>
      </c>
      <c r="AV4637" t="s">
        <v>94</v>
      </c>
      <c r="AW4637" t="s">
        <v>60</v>
      </c>
      <c r="AX4637" t="s">
        <v>68</v>
      </c>
      <c r="AY4637" t="s">
        <v>69</v>
      </c>
      <c r="AZ4637" t="b">
        <v>1</v>
      </c>
    </row>
    <row r="4638" spans="1:52" x14ac:dyDescent="0.3">
      <c r="A4638" t="s">
        <v>52</v>
      </c>
      <c r="B4638" t="s">
        <v>53</v>
      </c>
      <c r="C4638" t="s">
        <v>54</v>
      </c>
      <c r="D4638" t="s">
        <v>55</v>
      </c>
      <c r="E4638" t="s">
        <v>2223</v>
      </c>
      <c r="F4638" t="s">
        <v>1247</v>
      </c>
      <c r="G4638" t="s">
        <v>115</v>
      </c>
      <c r="H4638" t="s">
        <v>116</v>
      </c>
      <c r="I4638" t="s">
        <v>116</v>
      </c>
      <c r="J4638" t="s">
        <v>60</v>
      </c>
      <c r="K4638" t="s">
        <v>117</v>
      </c>
      <c r="L4638" t="s">
        <v>62</v>
      </c>
      <c r="M4638" t="s">
        <v>117</v>
      </c>
      <c r="N4638" t="s">
        <v>118</v>
      </c>
      <c r="O4638" t="s">
        <v>119</v>
      </c>
      <c r="P4638">
        <v>-20.116992</v>
      </c>
      <c r="Q4638">
        <v>-44.899355</v>
      </c>
      <c r="R4638" s="2" t="str">
        <f>HYPERLINK("https://www.google.com/maps?q=-20.1169920,-44.8993550","Abrir no Google Maps")</f>
        <v>Abrir no Google Maps</v>
      </c>
      <c r="S4638">
        <v>4</v>
      </c>
      <c r="T4638">
        <v>0</v>
      </c>
      <c r="U4638">
        <v>3</v>
      </c>
      <c r="V4638">
        <v>0.1192424070696767</v>
      </c>
      <c r="W4638">
        <v>1</v>
      </c>
      <c r="X4638">
        <v>0.1192424070696767</v>
      </c>
      <c r="Y4638">
        <v>567</v>
      </c>
      <c r="Z4638">
        <v>54.913678078353321</v>
      </c>
      <c r="AA4638">
        <v>198</v>
      </c>
      <c r="AB4638">
        <v>332</v>
      </c>
      <c r="AC4638">
        <v>536</v>
      </c>
      <c r="AD4638">
        <v>30.35</v>
      </c>
      <c r="AE4638">
        <v>542</v>
      </c>
      <c r="AF4638">
        <v>37</v>
      </c>
      <c r="AG4638">
        <v>161</v>
      </c>
      <c r="AH4638">
        <v>129</v>
      </c>
      <c r="AI4638">
        <v>6.83</v>
      </c>
      <c r="AJ4638">
        <v>29.7</v>
      </c>
      <c r="AK4638">
        <v>23.8</v>
      </c>
      <c r="AL4638">
        <v>-20.117107749999949</v>
      </c>
      <c r="AM4638">
        <v>-44.899271226243108</v>
      </c>
      <c r="AN4638">
        <v>-20.117107749999949</v>
      </c>
      <c r="AO4638">
        <v>-44.899271226243108</v>
      </c>
      <c r="AP4638">
        <v>-20.116992</v>
      </c>
      <c r="AQ4638">
        <v>-44.899355</v>
      </c>
      <c r="AR4638">
        <v>15.579196044083419</v>
      </c>
      <c r="AS4638" t="s">
        <v>65</v>
      </c>
      <c r="AT4638">
        <v>1</v>
      </c>
      <c r="AU4638" t="s">
        <v>120</v>
      </c>
      <c r="AV4638" t="s">
        <v>121</v>
      </c>
      <c r="AW4638" t="s">
        <v>60</v>
      </c>
      <c r="AX4638" t="s">
        <v>68</v>
      </c>
      <c r="AY4638" t="s">
        <v>69</v>
      </c>
      <c r="AZ4638" t="b">
        <v>1</v>
      </c>
    </row>
    <row r="4639" spans="1:52" x14ac:dyDescent="0.3">
      <c r="A4639" t="s">
        <v>52</v>
      </c>
      <c r="B4639" t="s">
        <v>53</v>
      </c>
      <c r="C4639" t="s">
        <v>54</v>
      </c>
      <c r="D4639" t="s">
        <v>55</v>
      </c>
      <c r="E4639" t="s">
        <v>2223</v>
      </c>
      <c r="F4639" t="s">
        <v>1247</v>
      </c>
      <c r="G4639" t="s">
        <v>1248</v>
      </c>
      <c r="H4639" t="s">
        <v>1249</v>
      </c>
      <c r="I4639" t="s">
        <v>1249</v>
      </c>
      <c r="J4639" t="s">
        <v>60</v>
      </c>
      <c r="K4639" t="s">
        <v>61</v>
      </c>
      <c r="L4639" t="s">
        <v>62</v>
      </c>
      <c r="M4639" t="s">
        <v>61</v>
      </c>
      <c r="N4639" t="s">
        <v>1250</v>
      </c>
      <c r="O4639" t="s">
        <v>202</v>
      </c>
      <c r="P4639">
        <v>-20.145337999999999</v>
      </c>
      <c r="Q4639">
        <v>-44.906260000000003</v>
      </c>
      <c r="R4639" s="2" t="str">
        <f>HYPERLINK("https://www.google.com/maps?q=-20.1453380,-44.9062600","Abrir no Google Maps")</f>
        <v>Abrir no Google Maps</v>
      </c>
      <c r="S4639">
        <v>4</v>
      </c>
      <c r="T4639">
        <v>231.8105263092443</v>
      </c>
      <c r="U4639">
        <v>2</v>
      </c>
      <c r="V4639">
        <v>0.1258625752459257</v>
      </c>
      <c r="W4639">
        <v>0.85</v>
      </c>
      <c r="X4639">
        <v>0.1069831889590368</v>
      </c>
      <c r="Y4639">
        <v>747</v>
      </c>
      <c r="Z4639">
        <v>210.09098260239841</v>
      </c>
      <c r="AA4639">
        <v>198</v>
      </c>
      <c r="AB4639">
        <v>332</v>
      </c>
      <c r="AC4639">
        <v>536</v>
      </c>
      <c r="AD4639">
        <v>30.35</v>
      </c>
      <c r="AE4639">
        <v>542</v>
      </c>
      <c r="AF4639">
        <v>37</v>
      </c>
      <c r="AG4639">
        <v>161</v>
      </c>
      <c r="AH4639">
        <v>129</v>
      </c>
      <c r="AI4639">
        <v>6.83</v>
      </c>
      <c r="AJ4639">
        <v>29.7</v>
      </c>
      <c r="AK4639">
        <v>23.8</v>
      </c>
      <c r="AL4639">
        <v>-20.14545934999995</v>
      </c>
      <c r="AM4639">
        <v>-44.906243174283489</v>
      </c>
      <c r="AN4639">
        <v>-20.14545934999995</v>
      </c>
      <c r="AO4639">
        <v>-44.906243174283489</v>
      </c>
      <c r="AP4639">
        <v>-20.145337999999999</v>
      </c>
      <c r="AQ4639">
        <v>-44.906260000000003</v>
      </c>
      <c r="AR4639">
        <v>13.622651392262521</v>
      </c>
      <c r="AS4639" t="s">
        <v>65</v>
      </c>
      <c r="AT4639">
        <v>1</v>
      </c>
      <c r="AU4639" t="s">
        <v>1251</v>
      </c>
      <c r="AV4639" t="s">
        <v>1252</v>
      </c>
      <c r="AW4639" t="s">
        <v>60</v>
      </c>
      <c r="AX4639" t="s">
        <v>68</v>
      </c>
      <c r="AY4639" t="s">
        <v>69</v>
      </c>
      <c r="AZ4639" t="b">
        <v>1</v>
      </c>
    </row>
    <row r="4640" spans="1:52" x14ac:dyDescent="0.3">
      <c r="A4640" t="s">
        <v>52</v>
      </c>
      <c r="B4640" t="s">
        <v>53</v>
      </c>
      <c r="C4640" t="s">
        <v>54</v>
      </c>
      <c r="D4640" t="s">
        <v>55</v>
      </c>
      <c r="E4640" t="s">
        <v>2223</v>
      </c>
      <c r="F4640" t="s">
        <v>1247</v>
      </c>
      <c r="G4640" t="s">
        <v>108</v>
      </c>
      <c r="H4640" t="s">
        <v>109</v>
      </c>
      <c r="I4640" t="s">
        <v>109</v>
      </c>
      <c r="J4640" t="s">
        <v>60</v>
      </c>
      <c r="K4640" t="s">
        <v>110</v>
      </c>
      <c r="L4640" t="s">
        <v>62</v>
      </c>
      <c r="M4640" t="s">
        <v>110</v>
      </c>
      <c r="N4640" t="s">
        <v>111</v>
      </c>
      <c r="O4640" t="s">
        <v>112</v>
      </c>
      <c r="P4640">
        <v>-20.122233999999999</v>
      </c>
      <c r="Q4640">
        <v>-44.909194999999997</v>
      </c>
      <c r="R4640" s="2" t="str">
        <f>HYPERLINK("https://www.google.com/maps?q=-20.1222340,-44.9091950","Abrir no Google Maps")</f>
        <v>Abrir no Google Maps</v>
      </c>
      <c r="S4640">
        <v>4</v>
      </c>
      <c r="T4640">
        <v>1171.396020763932</v>
      </c>
      <c r="U4640">
        <v>2</v>
      </c>
      <c r="V4640">
        <v>0.12254847129008201</v>
      </c>
      <c r="W4640">
        <v>0.85</v>
      </c>
      <c r="X4640">
        <v>0.1041662005965697</v>
      </c>
      <c r="Y4640">
        <v>567</v>
      </c>
      <c r="Z4640">
        <v>1238.711234283244</v>
      </c>
      <c r="AA4640">
        <v>198</v>
      </c>
      <c r="AB4640">
        <v>332</v>
      </c>
      <c r="AC4640">
        <v>536</v>
      </c>
      <c r="AD4640">
        <v>30.35</v>
      </c>
      <c r="AE4640">
        <v>542</v>
      </c>
      <c r="AF4640">
        <v>37</v>
      </c>
      <c r="AG4640">
        <v>161</v>
      </c>
      <c r="AH4640">
        <v>129</v>
      </c>
      <c r="AI4640">
        <v>6.83</v>
      </c>
      <c r="AJ4640">
        <v>29.7</v>
      </c>
      <c r="AK4640">
        <v>23.8</v>
      </c>
      <c r="AL4640">
        <v>-20.121881249999941</v>
      </c>
      <c r="AM4640">
        <v>-44.909273766094323</v>
      </c>
      <c r="AN4640">
        <v>-20.121881249999941</v>
      </c>
      <c r="AO4640">
        <v>-44.909273766094323</v>
      </c>
      <c r="AP4640">
        <v>-20.122233999999999</v>
      </c>
      <c r="AQ4640">
        <v>-44.909194999999997</v>
      </c>
      <c r="AR4640">
        <v>40.12192930593006</v>
      </c>
      <c r="AS4640" t="s">
        <v>65</v>
      </c>
      <c r="AT4640">
        <v>1</v>
      </c>
      <c r="AU4640" t="s">
        <v>113</v>
      </c>
      <c r="AV4640" t="s">
        <v>114</v>
      </c>
      <c r="AW4640" t="s">
        <v>60</v>
      </c>
      <c r="AX4640" t="s">
        <v>68</v>
      </c>
      <c r="AY4640" t="s">
        <v>69</v>
      </c>
      <c r="AZ4640" t="b">
        <v>1</v>
      </c>
    </row>
    <row r="4641" spans="1:52" x14ac:dyDescent="0.3">
      <c r="A4641" t="s">
        <v>52</v>
      </c>
      <c r="B4641" t="s">
        <v>53</v>
      </c>
      <c r="C4641" t="s">
        <v>54</v>
      </c>
      <c r="D4641" t="s">
        <v>55</v>
      </c>
      <c r="E4641" t="s">
        <v>2223</v>
      </c>
      <c r="F4641" t="s">
        <v>1247</v>
      </c>
      <c r="G4641" t="s">
        <v>205</v>
      </c>
      <c r="H4641" t="s">
        <v>206</v>
      </c>
      <c r="I4641" t="s">
        <v>206</v>
      </c>
      <c r="J4641" t="s">
        <v>60</v>
      </c>
      <c r="K4641" t="s">
        <v>207</v>
      </c>
      <c r="L4641" t="s">
        <v>62</v>
      </c>
      <c r="M4641" t="s">
        <v>207</v>
      </c>
      <c r="N4641" t="s">
        <v>208</v>
      </c>
      <c r="O4641" t="s">
        <v>209</v>
      </c>
      <c r="P4641">
        <v>-20.117533999999999</v>
      </c>
      <c r="Q4641">
        <v>-44.892943000000002</v>
      </c>
      <c r="R4641" s="2" t="str">
        <f>HYPERLINK("https://www.google.com/maps?q=-20.1175340,-44.8929430","Abrir no Google Maps")</f>
        <v>Abrir no Google Maps</v>
      </c>
      <c r="S4641">
        <v>4</v>
      </c>
      <c r="T4641">
        <v>601.98486688021592</v>
      </c>
      <c r="U4641">
        <v>2</v>
      </c>
      <c r="V4641">
        <v>0.1251048029704156</v>
      </c>
      <c r="W4641">
        <v>0.85</v>
      </c>
      <c r="X4641">
        <v>0.1063390825248533</v>
      </c>
      <c r="Y4641">
        <v>567</v>
      </c>
      <c r="Z4641">
        <v>574.59225706016446</v>
      </c>
      <c r="AA4641">
        <v>198</v>
      </c>
      <c r="AB4641">
        <v>332</v>
      </c>
      <c r="AC4641">
        <v>536</v>
      </c>
      <c r="AD4641">
        <v>30.35</v>
      </c>
      <c r="AE4641">
        <v>542</v>
      </c>
      <c r="AF4641">
        <v>37</v>
      </c>
      <c r="AG4641">
        <v>161</v>
      </c>
      <c r="AH4641">
        <v>129</v>
      </c>
      <c r="AI4641">
        <v>6.83</v>
      </c>
      <c r="AJ4641">
        <v>29.7</v>
      </c>
      <c r="AK4641">
        <v>23.8</v>
      </c>
      <c r="AL4641">
        <v>-20.11671494999996</v>
      </c>
      <c r="AM4641">
        <v>-44.89352717833448</v>
      </c>
      <c r="AN4641">
        <v>-20.11671494999996</v>
      </c>
      <c r="AO4641">
        <v>-44.89352717833448</v>
      </c>
      <c r="AP4641">
        <v>-20.117533999999999</v>
      </c>
      <c r="AQ4641">
        <v>-44.892943000000002</v>
      </c>
      <c r="AR4641">
        <v>109.7357164799156</v>
      </c>
      <c r="AS4641" t="s">
        <v>65</v>
      </c>
      <c r="AT4641">
        <v>1</v>
      </c>
      <c r="AU4641" t="s">
        <v>210</v>
      </c>
      <c r="AV4641" t="s">
        <v>211</v>
      </c>
      <c r="AW4641" t="s">
        <v>60</v>
      </c>
      <c r="AX4641" t="s">
        <v>68</v>
      </c>
      <c r="AY4641" t="s">
        <v>69</v>
      </c>
      <c r="AZ4641" t="b">
        <v>1</v>
      </c>
    </row>
    <row r="4642" spans="1:52" x14ac:dyDescent="0.3">
      <c r="A4642" t="s">
        <v>52</v>
      </c>
      <c r="B4642" t="s">
        <v>53</v>
      </c>
      <c r="C4642" t="s">
        <v>54</v>
      </c>
      <c r="D4642" t="s">
        <v>55</v>
      </c>
      <c r="E4642" t="s">
        <v>2223</v>
      </c>
      <c r="F4642" t="s">
        <v>1247</v>
      </c>
      <c r="G4642" t="s">
        <v>83</v>
      </c>
      <c r="H4642" t="s">
        <v>1253</v>
      </c>
      <c r="I4642" t="s">
        <v>1253</v>
      </c>
      <c r="J4642" t="s">
        <v>60</v>
      </c>
      <c r="K4642" t="s">
        <v>72</v>
      </c>
      <c r="L4642" t="s">
        <v>62</v>
      </c>
      <c r="M4642" t="s">
        <v>72</v>
      </c>
      <c r="N4642" t="s">
        <v>1254</v>
      </c>
      <c r="O4642" t="s">
        <v>1255</v>
      </c>
      <c r="P4642">
        <v>-20.147164</v>
      </c>
      <c r="Q4642">
        <v>-44.905259000000001</v>
      </c>
      <c r="R4642" s="2" t="str">
        <f>HYPERLINK("https://www.google.com/maps?q=-20.1471640,-44.9052590","Abrir no Google Maps")</f>
        <v>Abrir no Google Maps</v>
      </c>
      <c r="S4642">
        <v>4</v>
      </c>
      <c r="T4642">
        <v>364.08569180502712</v>
      </c>
      <c r="U4642">
        <v>1</v>
      </c>
      <c r="V4642">
        <v>0.1146792940163581</v>
      </c>
      <c r="W4642">
        <v>0.85</v>
      </c>
      <c r="X4642">
        <v>9.7477399913904375E-2</v>
      </c>
      <c r="Y4642">
        <v>747</v>
      </c>
      <c r="Z4642">
        <v>309.89238988435022</v>
      </c>
      <c r="AA4642">
        <v>198</v>
      </c>
      <c r="AB4642">
        <v>332</v>
      </c>
      <c r="AC4642">
        <v>536</v>
      </c>
      <c r="AD4642">
        <v>30.35</v>
      </c>
      <c r="AE4642">
        <v>542</v>
      </c>
      <c r="AF4642">
        <v>37</v>
      </c>
      <c r="AG4642">
        <v>161</v>
      </c>
      <c r="AH4642">
        <v>129</v>
      </c>
      <c r="AI4642">
        <v>6.83</v>
      </c>
      <c r="AJ4642">
        <v>29.7</v>
      </c>
      <c r="AK4642">
        <v>23.8</v>
      </c>
      <c r="AL4642">
        <v>-20.14718674999995</v>
      </c>
      <c r="AM4642">
        <v>-44.905292621565764</v>
      </c>
      <c r="AN4642">
        <v>-20.147186749999939</v>
      </c>
      <c r="AO4642">
        <v>-44.905292621565764</v>
      </c>
      <c r="AP4642">
        <v>-20.147164</v>
      </c>
      <c r="AQ4642">
        <v>-44.905259000000001</v>
      </c>
      <c r="AR4642">
        <v>4.3312880650984971</v>
      </c>
      <c r="AS4642" t="s">
        <v>65</v>
      </c>
      <c r="AT4642">
        <v>1</v>
      </c>
      <c r="AU4642" t="s">
        <v>1256</v>
      </c>
      <c r="AV4642" t="s">
        <v>1257</v>
      </c>
      <c r="AW4642" t="s">
        <v>60</v>
      </c>
      <c r="AX4642" t="s">
        <v>68</v>
      </c>
      <c r="AY4642" t="s">
        <v>69</v>
      </c>
      <c r="AZ4642" t="b">
        <v>1</v>
      </c>
    </row>
    <row r="4643" spans="1:52" x14ac:dyDescent="0.3">
      <c r="A4643" t="s">
        <v>52</v>
      </c>
      <c r="B4643" t="s">
        <v>53</v>
      </c>
      <c r="C4643" t="s">
        <v>54</v>
      </c>
      <c r="D4643" t="s">
        <v>55</v>
      </c>
      <c r="E4643" t="s">
        <v>2223</v>
      </c>
      <c r="F4643" t="s">
        <v>1247</v>
      </c>
      <c r="G4643" t="s">
        <v>1258</v>
      </c>
      <c r="H4643" t="s">
        <v>1259</v>
      </c>
      <c r="I4643" t="s">
        <v>1259</v>
      </c>
      <c r="J4643" t="s">
        <v>60</v>
      </c>
      <c r="K4643" t="s">
        <v>905</v>
      </c>
      <c r="L4643" t="s">
        <v>62</v>
      </c>
      <c r="M4643" t="s">
        <v>905</v>
      </c>
      <c r="N4643" t="s">
        <v>1260</v>
      </c>
      <c r="O4643" t="s">
        <v>628</v>
      </c>
      <c r="P4643">
        <v>-20.113569999999999</v>
      </c>
      <c r="Q4643">
        <v>-44.897216</v>
      </c>
      <c r="R4643" s="2" t="str">
        <f>HYPERLINK("https://www.google.com/maps?q=-20.1135700,-44.8972160","Abrir no Google Maps")</f>
        <v>Abrir no Google Maps</v>
      </c>
      <c r="S4643">
        <v>4</v>
      </c>
      <c r="T4643">
        <v>418.54368277643368</v>
      </c>
      <c r="U4643">
        <v>1</v>
      </c>
      <c r="V4643">
        <v>9.2917072266258699E-2</v>
      </c>
      <c r="W4643">
        <v>0.85</v>
      </c>
      <c r="X4643">
        <v>7.8979511426319898E-2</v>
      </c>
      <c r="Y4643">
        <v>567</v>
      </c>
      <c r="Z4643">
        <v>315.02989622191018</v>
      </c>
      <c r="AA4643">
        <v>198</v>
      </c>
      <c r="AB4643">
        <v>332</v>
      </c>
      <c r="AC4643">
        <v>536</v>
      </c>
      <c r="AD4643">
        <v>30.35</v>
      </c>
      <c r="AE4643">
        <v>542</v>
      </c>
      <c r="AF4643">
        <v>37</v>
      </c>
      <c r="AG4643">
        <v>161</v>
      </c>
      <c r="AH4643">
        <v>129</v>
      </c>
      <c r="AI4643">
        <v>6.83</v>
      </c>
      <c r="AJ4643">
        <v>29.7</v>
      </c>
      <c r="AK4643">
        <v>23.8</v>
      </c>
      <c r="AL4643">
        <v>-20.113750149999959</v>
      </c>
      <c r="AM4643">
        <v>-44.897427949999937</v>
      </c>
      <c r="AN4643">
        <v>-20.113750149999959</v>
      </c>
      <c r="AO4643">
        <v>-44.897427949999937</v>
      </c>
      <c r="AP4643">
        <v>-20.113569999999999</v>
      </c>
      <c r="AQ4643">
        <v>-44.897216</v>
      </c>
      <c r="AR4643">
        <v>29.883644534822711</v>
      </c>
      <c r="AS4643" t="s">
        <v>65</v>
      </c>
      <c r="AT4643">
        <v>1</v>
      </c>
      <c r="AU4643" t="s">
        <v>1261</v>
      </c>
      <c r="AV4643" t="s">
        <v>1262</v>
      </c>
      <c r="AW4643" t="s">
        <v>60</v>
      </c>
      <c r="AX4643" t="s">
        <v>68</v>
      </c>
      <c r="AY4643" t="s">
        <v>69</v>
      </c>
      <c r="AZ4643" t="b">
        <v>1</v>
      </c>
    </row>
    <row r="4644" spans="1:52" x14ac:dyDescent="0.3">
      <c r="A4644" t="s">
        <v>52</v>
      </c>
      <c r="B4644" t="s">
        <v>53</v>
      </c>
      <c r="C4644" t="s">
        <v>54</v>
      </c>
      <c r="D4644" t="s">
        <v>55</v>
      </c>
      <c r="E4644" t="s">
        <v>2223</v>
      </c>
      <c r="F4644" t="s">
        <v>1247</v>
      </c>
      <c r="G4644" t="s">
        <v>198</v>
      </c>
      <c r="H4644" t="s">
        <v>199</v>
      </c>
      <c r="I4644" t="s">
        <v>199</v>
      </c>
      <c r="J4644" t="s">
        <v>60</v>
      </c>
      <c r="K4644" t="s">
        <v>200</v>
      </c>
      <c r="L4644" t="s">
        <v>62</v>
      </c>
      <c r="M4644" t="s">
        <v>200</v>
      </c>
      <c r="N4644" t="s">
        <v>201</v>
      </c>
      <c r="O4644" t="s">
        <v>202</v>
      </c>
      <c r="P4644">
        <v>-20.122433000000001</v>
      </c>
      <c r="Q4644">
        <v>-44.897013999999999</v>
      </c>
      <c r="R4644" s="2" t="str">
        <f>HYPERLINK("https://www.google.com/maps?q=-20.1224330,-44.8970140","Abrir no Google Maps")</f>
        <v>Abrir no Google Maps</v>
      </c>
      <c r="S4644">
        <v>4</v>
      </c>
      <c r="T4644">
        <v>616.04759279207849</v>
      </c>
      <c r="U4644">
        <v>1</v>
      </c>
      <c r="V4644">
        <v>9.9539437734881095E-2</v>
      </c>
      <c r="W4644">
        <v>0.85</v>
      </c>
      <c r="X4644">
        <v>8.4608522074648931E-2</v>
      </c>
      <c r="Y4644">
        <v>567</v>
      </c>
      <c r="Z4644">
        <v>655.51024138861465</v>
      </c>
      <c r="AA4644">
        <v>198</v>
      </c>
      <c r="AB4644">
        <v>332</v>
      </c>
      <c r="AC4644">
        <v>536</v>
      </c>
      <c r="AD4644">
        <v>30.35</v>
      </c>
      <c r="AE4644">
        <v>542</v>
      </c>
      <c r="AF4644">
        <v>37</v>
      </c>
      <c r="AG4644">
        <v>161</v>
      </c>
      <c r="AH4644">
        <v>129</v>
      </c>
      <c r="AI4644">
        <v>6.83</v>
      </c>
      <c r="AJ4644">
        <v>29.7</v>
      </c>
      <c r="AK4644">
        <v>23.8</v>
      </c>
      <c r="AL4644">
        <v>-20.122144949999949</v>
      </c>
      <c r="AM4644">
        <v>-44.896761973125983</v>
      </c>
      <c r="AN4644">
        <v>-20.122144949999949</v>
      </c>
      <c r="AO4644">
        <v>-44.896761973125983</v>
      </c>
      <c r="AP4644">
        <v>-20.122433000000001</v>
      </c>
      <c r="AQ4644">
        <v>-44.897013999999999</v>
      </c>
      <c r="AR4644">
        <v>41.499066772735389</v>
      </c>
      <c r="AS4644" t="s">
        <v>65</v>
      </c>
      <c r="AT4644">
        <v>1</v>
      </c>
      <c r="AU4644" t="s">
        <v>203</v>
      </c>
      <c r="AV4644" t="s">
        <v>204</v>
      </c>
      <c r="AW4644" t="s">
        <v>60</v>
      </c>
      <c r="AX4644" t="s">
        <v>68</v>
      </c>
      <c r="AY4644" t="s">
        <v>69</v>
      </c>
      <c r="AZ4644" t="b">
        <v>1</v>
      </c>
    </row>
    <row r="4645" spans="1:52" x14ac:dyDescent="0.3">
      <c r="A4645" t="s">
        <v>52</v>
      </c>
      <c r="B4645" t="s">
        <v>53</v>
      </c>
      <c r="C4645" t="s">
        <v>54</v>
      </c>
      <c r="D4645" t="s">
        <v>55</v>
      </c>
      <c r="E4645" t="s">
        <v>2223</v>
      </c>
      <c r="F4645" t="s">
        <v>1247</v>
      </c>
      <c r="G4645" t="s">
        <v>1263</v>
      </c>
      <c r="H4645" t="s">
        <v>1264</v>
      </c>
      <c r="I4645" t="s">
        <v>1264</v>
      </c>
      <c r="J4645" t="s">
        <v>60</v>
      </c>
      <c r="K4645" t="s">
        <v>1265</v>
      </c>
      <c r="L4645" t="s">
        <v>62</v>
      </c>
      <c r="M4645" t="s">
        <v>1265</v>
      </c>
      <c r="N4645" t="s">
        <v>1266</v>
      </c>
      <c r="O4645" t="s">
        <v>1267</v>
      </c>
      <c r="P4645">
        <v>-20.116924000000001</v>
      </c>
      <c r="Q4645">
        <v>-44.906587000000002</v>
      </c>
      <c r="R4645" s="2" t="str">
        <f>HYPERLINK("https://www.google.com/maps?q=-20.1169240,-44.9065870","Abrir no Google Maps")</f>
        <v>Abrir no Google Maps</v>
      </c>
      <c r="S4645">
        <v>4</v>
      </c>
      <c r="T4645">
        <v>745.10453961787857</v>
      </c>
      <c r="U4645">
        <v>1</v>
      </c>
      <c r="V4645">
        <v>0.10599217103282139</v>
      </c>
      <c r="W4645">
        <v>0.85</v>
      </c>
      <c r="X4645">
        <v>9.0093345377898176E-2</v>
      </c>
      <c r="Y4645">
        <v>567</v>
      </c>
      <c r="Z4645">
        <v>816.44456345071217</v>
      </c>
      <c r="AA4645">
        <v>198</v>
      </c>
      <c r="AB4645">
        <v>332</v>
      </c>
      <c r="AC4645">
        <v>536</v>
      </c>
      <c r="AD4645">
        <v>30.35</v>
      </c>
      <c r="AE4645">
        <v>542</v>
      </c>
      <c r="AF4645">
        <v>37</v>
      </c>
      <c r="AG4645">
        <v>161</v>
      </c>
      <c r="AH4645">
        <v>129</v>
      </c>
      <c r="AI4645">
        <v>6.83</v>
      </c>
      <c r="AJ4645">
        <v>29.7</v>
      </c>
      <c r="AK4645">
        <v>23.8</v>
      </c>
      <c r="AL4645">
        <v>-20.117279149999941</v>
      </c>
      <c r="AM4645">
        <v>-44.906397211815133</v>
      </c>
      <c r="AN4645">
        <v>-20.117279149999941</v>
      </c>
      <c r="AO4645">
        <v>-44.906397211815133</v>
      </c>
      <c r="AP4645">
        <v>-20.116924000000001</v>
      </c>
      <c r="AQ4645">
        <v>-44.906587000000002</v>
      </c>
      <c r="AR4645">
        <v>44.233430660980403</v>
      </c>
      <c r="AS4645" t="s">
        <v>65</v>
      </c>
      <c r="AT4645">
        <v>1</v>
      </c>
      <c r="AU4645" t="s">
        <v>1268</v>
      </c>
      <c r="AV4645" t="s">
        <v>1269</v>
      </c>
      <c r="AW4645" t="s">
        <v>60</v>
      </c>
      <c r="AX4645" t="s">
        <v>68</v>
      </c>
      <c r="AY4645" t="s">
        <v>69</v>
      </c>
      <c r="AZ4645" t="b">
        <v>1</v>
      </c>
    </row>
    <row r="4646" spans="1:52" x14ac:dyDescent="0.3">
      <c r="A4646" t="s">
        <v>52</v>
      </c>
      <c r="B4646" t="s">
        <v>53</v>
      </c>
      <c r="C4646" t="s">
        <v>54</v>
      </c>
      <c r="D4646" t="s">
        <v>55</v>
      </c>
      <c r="E4646" t="s">
        <v>2223</v>
      </c>
      <c r="F4646" t="s">
        <v>1247</v>
      </c>
      <c r="G4646" t="s">
        <v>122</v>
      </c>
      <c r="H4646" t="s">
        <v>123</v>
      </c>
      <c r="I4646" t="s">
        <v>123</v>
      </c>
      <c r="J4646" t="s">
        <v>60</v>
      </c>
      <c r="K4646" t="s">
        <v>117</v>
      </c>
      <c r="L4646" t="s">
        <v>62</v>
      </c>
      <c r="M4646" t="s">
        <v>117</v>
      </c>
      <c r="N4646" t="s">
        <v>124</v>
      </c>
      <c r="O4646" t="s">
        <v>125</v>
      </c>
      <c r="P4646">
        <v>-20.11853</v>
      </c>
      <c r="Q4646">
        <v>-44.896925000000003</v>
      </c>
      <c r="R4646" s="2" t="str">
        <f>HYPERLINK("https://www.google.com/maps?q=-20.1185300,-44.8969250","Abrir no Google Maps")</f>
        <v>Abrir no Google Maps</v>
      </c>
      <c r="S4646">
        <v>4</v>
      </c>
      <c r="T4646">
        <v>325.32255721093247</v>
      </c>
      <c r="U4646">
        <v>1</v>
      </c>
      <c r="V4646">
        <v>9.7074303678977E-2</v>
      </c>
      <c r="W4646">
        <v>1</v>
      </c>
      <c r="X4646">
        <v>9.7074303678977E-2</v>
      </c>
      <c r="Y4646">
        <v>567</v>
      </c>
      <c r="Z4646">
        <v>306.04423478678871</v>
      </c>
      <c r="AA4646">
        <v>198</v>
      </c>
      <c r="AB4646">
        <v>332</v>
      </c>
      <c r="AC4646">
        <v>536</v>
      </c>
      <c r="AD4646">
        <v>30.35</v>
      </c>
      <c r="AE4646">
        <v>542</v>
      </c>
      <c r="AF4646">
        <v>37</v>
      </c>
      <c r="AG4646">
        <v>161</v>
      </c>
      <c r="AH4646">
        <v>129</v>
      </c>
      <c r="AI4646">
        <v>6.83</v>
      </c>
      <c r="AJ4646">
        <v>29.7</v>
      </c>
      <c r="AK4646">
        <v>23.8</v>
      </c>
      <c r="AL4646">
        <v>-20.118682499999949</v>
      </c>
      <c r="AM4646">
        <v>-44.896643089287927</v>
      </c>
      <c r="AN4646">
        <v>-20.118682499999949</v>
      </c>
      <c r="AO4646">
        <v>-44.896643089287927</v>
      </c>
      <c r="AP4646">
        <v>-20.11853</v>
      </c>
      <c r="AQ4646">
        <v>-44.896925000000003</v>
      </c>
      <c r="AR4646">
        <v>34.007698996886518</v>
      </c>
      <c r="AS4646" t="s">
        <v>65</v>
      </c>
      <c r="AT4646">
        <v>1</v>
      </c>
      <c r="AU4646" t="s">
        <v>126</v>
      </c>
      <c r="AV4646" t="s">
        <v>121</v>
      </c>
      <c r="AW4646" t="s">
        <v>60</v>
      </c>
      <c r="AX4646" t="s">
        <v>68</v>
      </c>
      <c r="AY4646" t="s">
        <v>69</v>
      </c>
      <c r="AZ4646" t="b">
        <v>1</v>
      </c>
    </row>
    <row r="4647" spans="1:52" x14ac:dyDescent="0.3">
      <c r="A4647" t="s">
        <v>52</v>
      </c>
      <c r="B4647" t="s">
        <v>53</v>
      </c>
      <c r="C4647" t="s">
        <v>54</v>
      </c>
      <c r="D4647" t="s">
        <v>55</v>
      </c>
      <c r="E4647" t="s">
        <v>2223</v>
      </c>
      <c r="F4647" t="s">
        <v>1247</v>
      </c>
      <c r="G4647" t="s">
        <v>1127</v>
      </c>
      <c r="H4647" t="s">
        <v>1270</v>
      </c>
      <c r="I4647" t="s">
        <v>1270</v>
      </c>
      <c r="J4647" t="s">
        <v>60</v>
      </c>
      <c r="K4647" t="s">
        <v>200</v>
      </c>
      <c r="L4647" t="s">
        <v>62</v>
      </c>
      <c r="M4647" t="s">
        <v>200</v>
      </c>
      <c r="N4647" t="s">
        <v>1271</v>
      </c>
      <c r="O4647" t="s">
        <v>315</v>
      </c>
      <c r="P4647">
        <v>-20.123483</v>
      </c>
      <c r="Q4647">
        <v>-44.904159</v>
      </c>
      <c r="R4647" s="2" t="str">
        <f>HYPERLINK("https://www.google.com/maps?q=-20.1234830,-44.9041590","Abrir no Google Maps")</f>
        <v>Abrir no Google Maps</v>
      </c>
      <c r="S4647">
        <v>4</v>
      </c>
      <c r="T4647">
        <v>1046.2792913459141</v>
      </c>
      <c r="U4647">
        <v>1</v>
      </c>
      <c r="V4647">
        <v>2.6315789473684199E-2</v>
      </c>
      <c r="W4647">
        <v>0.85</v>
      </c>
      <c r="X4647">
        <v>2.2368421052631569E-2</v>
      </c>
      <c r="Y4647">
        <v>567</v>
      </c>
      <c r="Z4647">
        <v>1072.1273144328541</v>
      </c>
      <c r="AA4647">
        <v>198</v>
      </c>
      <c r="AB4647">
        <v>332</v>
      </c>
      <c r="AC4647">
        <v>536</v>
      </c>
      <c r="AD4647">
        <v>30.35</v>
      </c>
      <c r="AE4647">
        <v>542</v>
      </c>
      <c r="AF4647">
        <v>37</v>
      </c>
      <c r="AG4647">
        <v>161</v>
      </c>
      <c r="AH4647">
        <v>129</v>
      </c>
      <c r="AI4647">
        <v>6.83</v>
      </c>
      <c r="AJ4647">
        <v>29.7</v>
      </c>
      <c r="AK4647">
        <v>23.8</v>
      </c>
      <c r="AL4647">
        <v>-20.12548399999994</v>
      </c>
      <c r="AM4647">
        <v>-44.903913990586467</v>
      </c>
      <c r="AN4647">
        <v>-20.12548399999994</v>
      </c>
      <c r="AO4647">
        <v>-44.903913990586467</v>
      </c>
      <c r="AP4647">
        <v>-20.123483</v>
      </c>
      <c r="AQ4647">
        <v>-44.904159</v>
      </c>
      <c r="AR4647">
        <v>224.218591682908</v>
      </c>
      <c r="AS4647" t="s">
        <v>65</v>
      </c>
      <c r="AT4647">
        <v>1</v>
      </c>
      <c r="AU4647" t="s">
        <v>1272</v>
      </c>
      <c r="AV4647" t="s">
        <v>1273</v>
      </c>
      <c r="AW4647" t="s">
        <v>60</v>
      </c>
      <c r="AX4647" t="s">
        <v>68</v>
      </c>
      <c r="AY4647" t="s">
        <v>69</v>
      </c>
      <c r="AZ4647" t="b">
        <v>1</v>
      </c>
    </row>
    <row r="4648" spans="1:52" x14ac:dyDescent="0.3">
      <c r="A4648" t="s">
        <v>52</v>
      </c>
      <c r="B4648" t="s">
        <v>53</v>
      </c>
      <c r="C4648" t="s">
        <v>54</v>
      </c>
      <c r="D4648" t="s">
        <v>55</v>
      </c>
      <c r="E4648" t="s">
        <v>2223</v>
      </c>
      <c r="F4648" t="s">
        <v>1247</v>
      </c>
      <c r="G4648" t="s">
        <v>833</v>
      </c>
      <c r="H4648" t="s">
        <v>834</v>
      </c>
      <c r="I4648" t="s">
        <v>834</v>
      </c>
      <c r="J4648" t="s">
        <v>60</v>
      </c>
      <c r="K4648" t="s">
        <v>388</v>
      </c>
      <c r="L4648" t="s">
        <v>62</v>
      </c>
      <c r="M4648" t="s">
        <v>388</v>
      </c>
      <c r="N4648" t="s">
        <v>835</v>
      </c>
      <c r="O4648" t="s">
        <v>836</v>
      </c>
      <c r="P4648">
        <v>-20.157906000000001</v>
      </c>
      <c r="Q4648">
        <v>-44.900458999999998</v>
      </c>
      <c r="R4648" s="2" t="str">
        <f>HYPERLINK("https://www.google.com/maps?q=-20.1579060,-44.9004590","Abrir no Google Maps")</f>
        <v>Abrir no Google Maps</v>
      </c>
      <c r="S4648">
        <v>3</v>
      </c>
      <c r="T4648">
        <v>0</v>
      </c>
      <c r="U4648">
        <v>4</v>
      </c>
      <c r="V4648">
        <v>0.12390044647097941</v>
      </c>
      <c r="W4648">
        <v>1</v>
      </c>
      <c r="X4648">
        <v>0.12390044647097941</v>
      </c>
      <c r="Y4648">
        <v>729</v>
      </c>
      <c r="Z4648">
        <v>203.63168486652771</v>
      </c>
      <c r="AA4648">
        <v>198</v>
      </c>
      <c r="AB4648">
        <v>332</v>
      </c>
      <c r="AC4648">
        <v>536</v>
      </c>
      <c r="AD4648">
        <v>30.35</v>
      </c>
      <c r="AE4648">
        <v>542</v>
      </c>
      <c r="AF4648">
        <v>37</v>
      </c>
      <c r="AG4648">
        <v>161</v>
      </c>
      <c r="AH4648">
        <v>129</v>
      </c>
      <c r="AI4648">
        <v>6.83</v>
      </c>
      <c r="AJ4648">
        <v>29.7</v>
      </c>
      <c r="AK4648">
        <v>23.8</v>
      </c>
      <c r="AL4648">
        <v>-20.157925749999951</v>
      </c>
      <c r="AM4648">
        <v>-44.900484707799812</v>
      </c>
      <c r="AN4648">
        <v>-20.157925749999951</v>
      </c>
      <c r="AO4648">
        <v>-44.900484707799812</v>
      </c>
      <c r="AP4648">
        <v>-20.157906000000001</v>
      </c>
      <c r="AQ4648">
        <v>-44.900458999999998</v>
      </c>
      <c r="AR4648">
        <v>3.4714515960382508</v>
      </c>
      <c r="AS4648" t="s">
        <v>65</v>
      </c>
      <c r="AT4648">
        <v>1</v>
      </c>
      <c r="AU4648" t="s">
        <v>837</v>
      </c>
      <c r="AV4648" t="s">
        <v>838</v>
      </c>
      <c r="AW4648" t="s">
        <v>60</v>
      </c>
      <c r="AX4648" t="s">
        <v>68</v>
      </c>
      <c r="AY4648" t="s">
        <v>69</v>
      </c>
      <c r="AZ4648" t="b">
        <v>1</v>
      </c>
    </row>
    <row r="4649" spans="1:52" x14ac:dyDescent="0.3">
      <c r="A4649" t="s">
        <v>52</v>
      </c>
      <c r="B4649" t="s">
        <v>53</v>
      </c>
      <c r="C4649" t="s">
        <v>54</v>
      </c>
      <c r="D4649" t="s">
        <v>55</v>
      </c>
      <c r="E4649" t="s">
        <v>2223</v>
      </c>
      <c r="F4649" t="s">
        <v>1247</v>
      </c>
      <c r="G4649" t="s">
        <v>386</v>
      </c>
      <c r="H4649" t="s">
        <v>387</v>
      </c>
      <c r="I4649" t="s">
        <v>387</v>
      </c>
      <c r="J4649" t="s">
        <v>60</v>
      </c>
      <c r="K4649" t="s">
        <v>388</v>
      </c>
      <c r="L4649" t="s">
        <v>62</v>
      </c>
      <c r="M4649" t="s">
        <v>388</v>
      </c>
      <c r="N4649" t="s">
        <v>389</v>
      </c>
      <c r="O4649" t="s">
        <v>357</v>
      </c>
      <c r="P4649">
        <v>-20.161041999999998</v>
      </c>
      <c r="Q4649">
        <v>-44.901242000000003</v>
      </c>
      <c r="R4649" s="2" t="str">
        <f>HYPERLINK("https://www.google.com/maps?q=-20.1610420,-44.9012420","Abrir no Google Maps")</f>
        <v>Abrir no Google Maps</v>
      </c>
      <c r="S4649">
        <v>3</v>
      </c>
      <c r="T4649">
        <v>440.22183232279212</v>
      </c>
      <c r="U4649">
        <v>4</v>
      </c>
      <c r="V4649">
        <v>0.12699062699062699</v>
      </c>
      <c r="W4649">
        <v>1</v>
      </c>
      <c r="X4649">
        <v>0.12699062699062699</v>
      </c>
      <c r="Y4649">
        <v>729</v>
      </c>
      <c r="Z4649">
        <v>398.48306829302379</v>
      </c>
      <c r="AA4649">
        <v>198</v>
      </c>
      <c r="AB4649">
        <v>332</v>
      </c>
      <c r="AC4649">
        <v>536</v>
      </c>
      <c r="AD4649">
        <v>30.35</v>
      </c>
      <c r="AE4649">
        <v>542</v>
      </c>
      <c r="AF4649">
        <v>37</v>
      </c>
      <c r="AG4649">
        <v>161</v>
      </c>
      <c r="AH4649">
        <v>129</v>
      </c>
      <c r="AI4649">
        <v>6.83</v>
      </c>
      <c r="AJ4649">
        <v>29.7</v>
      </c>
      <c r="AK4649">
        <v>23.8</v>
      </c>
      <c r="AL4649">
        <v>-20.16176629999995</v>
      </c>
      <c r="AM4649">
        <v>-44.901582787827898</v>
      </c>
      <c r="AN4649">
        <v>-20.16176629999995</v>
      </c>
      <c r="AO4649">
        <v>-44.901582787827898</v>
      </c>
      <c r="AP4649">
        <v>-20.161041999999998</v>
      </c>
      <c r="AQ4649">
        <v>-44.901242000000003</v>
      </c>
      <c r="AR4649">
        <v>88.143369157892835</v>
      </c>
      <c r="AS4649" t="s">
        <v>65</v>
      </c>
      <c r="AT4649">
        <v>1</v>
      </c>
      <c r="AU4649" t="s">
        <v>390</v>
      </c>
      <c r="AV4649" t="s">
        <v>391</v>
      </c>
      <c r="AW4649" t="s">
        <v>60</v>
      </c>
      <c r="AX4649" t="s">
        <v>68</v>
      </c>
      <c r="AY4649" t="s">
        <v>69</v>
      </c>
      <c r="AZ4649" t="b">
        <v>1</v>
      </c>
    </row>
    <row r="4650" spans="1:52" x14ac:dyDescent="0.3">
      <c r="A4650" t="s">
        <v>52</v>
      </c>
      <c r="B4650" t="s">
        <v>53</v>
      </c>
      <c r="C4650" t="s">
        <v>54</v>
      </c>
      <c r="D4650" t="s">
        <v>55</v>
      </c>
      <c r="E4650" t="s">
        <v>2223</v>
      </c>
      <c r="F4650" t="s">
        <v>1247</v>
      </c>
      <c r="G4650" t="s">
        <v>398</v>
      </c>
      <c r="H4650" t="s">
        <v>399</v>
      </c>
      <c r="I4650" t="s">
        <v>399</v>
      </c>
      <c r="J4650" t="s">
        <v>60</v>
      </c>
      <c r="K4650" t="s">
        <v>388</v>
      </c>
      <c r="L4650" t="s">
        <v>62</v>
      </c>
      <c r="M4650" t="s">
        <v>388</v>
      </c>
      <c r="N4650" t="s">
        <v>400</v>
      </c>
      <c r="O4650" t="s">
        <v>401</v>
      </c>
      <c r="P4650">
        <v>-20.160157000000002</v>
      </c>
      <c r="Q4650">
        <v>-44.904347999999999</v>
      </c>
      <c r="R4650" s="2" t="str">
        <f>HYPERLINK("https://www.google.com/maps?q=-20.1601570,-44.9043480","Abrir no Google Maps")</f>
        <v>Abrir no Google Maps</v>
      </c>
      <c r="S4650">
        <v>3</v>
      </c>
      <c r="T4650">
        <v>469.26088527154809</v>
      </c>
      <c r="U4650">
        <v>4</v>
      </c>
      <c r="V4650">
        <v>0.12594121933446681</v>
      </c>
      <c r="W4650">
        <v>1</v>
      </c>
      <c r="X4650">
        <v>0.12594121933446681</v>
      </c>
      <c r="Y4650">
        <v>729</v>
      </c>
      <c r="Z4650">
        <v>253.57832452309071</v>
      </c>
      <c r="AA4650">
        <v>198</v>
      </c>
      <c r="AB4650">
        <v>332</v>
      </c>
      <c r="AC4650">
        <v>536</v>
      </c>
      <c r="AD4650">
        <v>30.35</v>
      </c>
      <c r="AE4650">
        <v>542</v>
      </c>
      <c r="AF4650">
        <v>37</v>
      </c>
      <c r="AG4650">
        <v>161</v>
      </c>
      <c r="AH4650">
        <v>129</v>
      </c>
      <c r="AI4650">
        <v>6.83</v>
      </c>
      <c r="AJ4650">
        <v>29.7</v>
      </c>
      <c r="AK4650">
        <v>23.8</v>
      </c>
      <c r="AL4650">
        <v>-20.160007949999969</v>
      </c>
      <c r="AM4650">
        <v>-44.904396608560482</v>
      </c>
      <c r="AN4650">
        <v>-20.160007949999969</v>
      </c>
      <c r="AO4650">
        <v>-44.904396608560482</v>
      </c>
      <c r="AP4650">
        <v>-20.160157000000002</v>
      </c>
      <c r="AQ4650">
        <v>-44.904347999999999</v>
      </c>
      <c r="AR4650">
        <v>17.35237255387942</v>
      </c>
      <c r="AS4650" t="s">
        <v>65</v>
      </c>
      <c r="AT4650">
        <v>1</v>
      </c>
      <c r="AU4650" t="s">
        <v>402</v>
      </c>
      <c r="AV4650" t="s">
        <v>403</v>
      </c>
      <c r="AW4650" t="s">
        <v>60</v>
      </c>
      <c r="AX4650" t="s">
        <v>68</v>
      </c>
      <c r="AY4650" t="s">
        <v>69</v>
      </c>
      <c r="AZ4650" t="b">
        <v>1</v>
      </c>
    </row>
    <row r="4651" spans="1:52" x14ac:dyDescent="0.3">
      <c r="A4651" t="s">
        <v>52</v>
      </c>
      <c r="B4651" t="s">
        <v>53</v>
      </c>
      <c r="C4651" t="s">
        <v>54</v>
      </c>
      <c r="D4651" t="s">
        <v>55</v>
      </c>
      <c r="E4651" t="s">
        <v>2223</v>
      </c>
      <c r="F4651" t="s">
        <v>1247</v>
      </c>
      <c r="G4651" t="s">
        <v>410</v>
      </c>
      <c r="H4651" t="s">
        <v>411</v>
      </c>
      <c r="I4651" t="s">
        <v>411</v>
      </c>
      <c r="J4651" t="s">
        <v>60</v>
      </c>
      <c r="K4651" t="s">
        <v>388</v>
      </c>
      <c r="L4651" t="s">
        <v>62</v>
      </c>
      <c r="M4651" t="s">
        <v>388</v>
      </c>
      <c r="N4651" t="s">
        <v>412</v>
      </c>
      <c r="O4651" t="s">
        <v>413</v>
      </c>
      <c r="P4651">
        <v>-20.161394000000001</v>
      </c>
      <c r="Q4651">
        <v>-44.906725999999999</v>
      </c>
      <c r="R4651" s="2" t="str">
        <f>HYPERLINK("https://www.google.com/maps?q=-20.1613940,-44.9067260","Abrir no Google Maps")</f>
        <v>Abrir no Google Maps</v>
      </c>
      <c r="S4651">
        <v>3</v>
      </c>
      <c r="T4651">
        <v>763.68157548493457</v>
      </c>
      <c r="U4651">
        <v>4</v>
      </c>
      <c r="V4651">
        <v>0.13539204330559759</v>
      </c>
      <c r="W4651">
        <v>1</v>
      </c>
      <c r="X4651">
        <v>0.13539204330559759</v>
      </c>
      <c r="Y4651">
        <v>729</v>
      </c>
      <c r="Z4651">
        <v>551.70379325948545</v>
      </c>
      <c r="AA4651">
        <v>198</v>
      </c>
      <c r="AB4651">
        <v>332</v>
      </c>
      <c r="AC4651">
        <v>536</v>
      </c>
      <c r="AD4651">
        <v>30.35</v>
      </c>
      <c r="AE4651">
        <v>542</v>
      </c>
      <c r="AF4651">
        <v>37</v>
      </c>
      <c r="AG4651">
        <v>161</v>
      </c>
      <c r="AH4651">
        <v>129</v>
      </c>
      <c r="AI4651">
        <v>6.83</v>
      </c>
      <c r="AJ4651">
        <v>29.7</v>
      </c>
      <c r="AK4651">
        <v>23.8</v>
      </c>
      <c r="AL4651">
        <v>-20.161371049999929</v>
      </c>
      <c r="AM4651">
        <v>-44.906816797310228</v>
      </c>
      <c r="AN4651">
        <v>-20.161371049999929</v>
      </c>
      <c r="AO4651">
        <v>-44.906816797310228</v>
      </c>
      <c r="AP4651">
        <v>-20.161394000000001</v>
      </c>
      <c r="AQ4651">
        <v>-44.906725999999999</v>
      </c>
      <c r="AR4651">
        <v>9.8261555662022495</v>
      </c>
      <c r="AS4651" t="s">
        <v>65</v>
      </c>
      <c r="AT4651">
        <v>1</v>
      </c>
      <c r="AU4651" t="s">
        <v>414</v>
      </c>
      <c r="AV4651" t="s">
        <v>415</v>
      </c>
      <c r="AW4651" t="s">
        <v>60</v>
      </c>
      <c r="AX4651" t="s">
        <v>68</v>
      </c>
      <c r="AY4651" t="s">
        <v>69</v>
      </c>
      <c r="AZ4651" t="b">
        <v>1</v>
      </c>
    </row>
    <row r="4652" spans="1:52" x14ac:dyDescent="0.3">
      <c r="A4652" t="s">
        <v>52</v>
      </c>
      <c r="B4652" t="s">
        <v>53</v>
      </c>
      <c r="C4652" t="s">
        <v>54</v>
      </c>
      <c r="D4652" t="s">
        <v>55</v>
      </c>
      <c r="E4652" t="s">
        <v>2223</v>
      </c>
      <c r="F4652" t="s">
        <v>1247</v>
      </c>
      <c r="G4652" t="s">
        <v>416</v>
      </c>
      <c r="H4652" t="s">
        <v>417</v>
      </c>
      <c r="I4652" t="s">
        <v>417</v>
      </c>
      <c r="J4652" t="s">
        <v>60</v>
      </c>
      <c r="K4652" t="s">
        <v>418</v>
      </c>
      <c r="L4652" t="s">
        <v>62</v>
      </c>
      <c r="M4652" t="s">
        <v>418</v>
      </c>
      <c r="N4652" t="s">
        <v>419</v>
      </c>
      <c r="O4652" t="s">
        <v>202</v>
      </c>
      <c r="P4652">
        <v>-20.169886000000002</v>
      </c>
      <c r="Q4652">
        <v>-44.913288000000001</v>
      </c>
      <c r="R4652" s="2" t="str">
        <f>HYPERLINK("https://www.google.com/maps?q=-20.1698860,-44.9132880","Abrir no Google Maps")</f>
        <v>Abrir no Google Maps</v>
      </c>
      <c r="S4652">
        <v>3</v>
      </c>
      <c r="T4652">
        <v>422.88733632898152</v>
      </c>
      <c r="U4652">
        <v>4</v>
      </c>
      <c r="V4652">
        <v>0.1226246755654431</v>
      </c>
      <c r="W4652">
        <v>1</v>
      </c>
      <c r="X4652">
        <v>0.1226246755654431</v>
      </c>
      <c r="Y4652">
        <v>723</v>
      </c>
      <c r="Z4652">
        <v>128.65003864232261</v>
      </c>
      <c r="AA4652">
        <v>198</v>
      </c>
      <c r="AB4652">
        <v>332</v>
      </c>
      <c r="AC4652">
        <v>536</v>
      </c>
      <c r="AD4652">
        <v>30.35</v>
      </c>
      <c r="AE4652">
        <v>542</v>
      </c>
      <c r="AF4652">
        <v>37</v>
      </c>
      <c r="AG4652">
        <v>161</v>
      </c>
      <c r="AH4652">
        <v>129</v>
      </c>
      <c r="AI4652">
        <v>6.83</v>
      </c>
      <c r="AJ4652">
        <v>29.7</v>
      </c>
      <c r="AK4652">
        <v>23.8</v>
      </c>
      <c r="AL4652">
        <v>-20.16970024999998</v>
      </c>
      <c r="AM4652">
        <v>-44.913502201257437</v>
      </c>
      <c r="AN4652">
        <v>-20.16970024999998</v>
      </c>
      <c r="AO4652">
        <v>-44.913502201257437</v>
      </c>
      <c r="AP4652">
        <v>-20.169886000000002</v>
      </c>
      <c r="AQ4652">
        <v>-44.913288000000001</v>
      </c>
      <c r="AR4652">
        <v>30.47208587597606</v>
      </c>
      <c r="AS4652" t="s">
        <v>65</v>
      </c>
      <c r="AT4652">
        <v>1</v>
      </c>
      <c r="AU4652" t="s">
        <v>420</v>
      </c>
      <c r="AV4652" t="s">
        <v>421</v>
      </c>
      <c r="AW4652" t="s">
        <v>60</v>
      </c>
      <c r="AX4652" t="s">
        <v>68</v>
      </c>
      <c r="AY4652" t="s">
        <v>69</v>
      </c>
      <c r="AZ4652" t="b">
        <v>1</v>
      </c>
    </row>
    <row r="4653" spans="1:52" x14ac:dyDescent="0.3">
      <c r="A4653" t="s">
        <v>52</v>
      </c>
      <c r="B4653" t="s">
        <v>53</v>
      </c>
      <c r="C4653" t="s">
        <v>54</v>
      </c>
      <c r="D4653" t="s">
        <v>55</v>
      </c>
      <c r="E4653" t="s">
        <v>2223</v>
      </c>
      <c r="F4653" t="s">
        <v>1247</v>
      </c>
      <c r="G4653" t="s">
        <v>442</v>
      </c>
      <c r="H4653" t="s">
        <v>443</v>
      </c>
      <c r="I4653" t="s">
        <v>443</v>
      </c>
      <c r="J4653" t="s">
        <v>60</v>
      </c>
      <c r="K4653" t="s">
        <v>437</v>
      </c>
      <c r="L4653" t="s">
        <v>62</v>
      </c>
      <c r="M4653" t="s">
        <v>437</v>
      </c>
      <c r="N4653" t="s">
        <v>444</v>
      </c>
      <c r="O4653" t="s">
        <v>445</v>
      </c>
      <c r="P4653">
        <v>-20.149744999999999</v>
      </c>
      <c r="Q4653">
        <v>-44.881385000000002</v>
      </c>
      <c r="R4653" s="2" t="str">
        <f>HYPERLINK("https://www.google.com/maps?q=-20.1497450,-44.8813850","Abrir no Google Maps")</f>
        <v>Abrir no Google Maps</v>
      </c>
      <c r="S4653">
        <v>3</v>
      </c>
      <c r="T4653">
        <v>188.80690546111239</v>
      </c>
      <c r="U4653">
        <v>4</v>
      </c>
      <c r="V4653">
        <v>0.13430366725053519</v>
      </c>
      <c r="W4653">
        <v>1</v>
      </c>
      <c r="X4653">
        <v>0.13430366725053519</v>
      </c>
      <c r="Y4653">
        <v>653</v>
      </c>
      <c r="Z4653">
        <v>86.575080390731017</v>
      </c>
      <c r="AA4653">
        <v>198</v>
      </c>
      <c r="AB4653">
        <v>332</v>
      </c>
      <c r="AC4653">
        <v>536</v>
      </c>
      <c r="AD4653">
        <v>30.35</v>
      </c>
      <c r="AE4653">
        <v>542</v>
      </c>
      <c r="AF4653">
        <v>37</v>
      </c>
      <c r="AG4653">
        <v>161</v>
      </c>
      <c r="AH4653">
        <v>129</v>
      </c>
      <c r="AI4653">
        <v>6.83</v>
      </c>
      <c r="AJ4653">
        <v>29.7</v>
      </c>
      <c r="AK4653">
        <v>23.8</v>
      </c>
      <c r="AL4653">
        <v>-20.149645149999941</v>
      </c>
      <c r="AM4653">
        <v>-44.881504585149607</v>
      </c>
      <c r="AN4653">
        <v>-20.149645149999941</v>
      </c>
      <c r="AO4653">
        <v>-44.881504585149607</v>
      </c>
      <c r="AP4653">
        <v>-20.149744999999999</v>
      </c>
      <c r="AQ4653">
        <v>-44.881385000000002</v>
      </c>
      <c r="AR4653">
        <v>16.725323110840389</v>
      </c>
      <c r="AS4653" t="s">
        <v>65</v>
      </c>
      <c r="AT4653">
        <v>1</v>
      </c>
      <c r="AU4653" t="s">
        <v>446</v>
      </c>
      <c r="AV4653" t="s">
        <v>447</v>
      </c>
      <c r="AW4653" t="s">
        <v>60</v>
      </c>
      <c r="AX4653" t="s">
        <v>68</v>
      </c>
      <c r="AY4653" t="s">
        <v>69</v>
      </c>
      <c r="AZ4653" t="b">
        <v>1</v>
      </c>
    </row>
    <row r="4654" spans="1:52" x14ac:dyDescent="0.3">
      <c r="A4654" t="s">
        <v>52</v>
      </c>
      <c r="B4654" t="s">
        <v>53</v>
      </c>
      <c r="C4654" t="s">
        <v>54</v>
      </c>
      <c r="D4654" t="s">
        <v>55</v>
      </c>
      <c r="E4654" t="s">
        <v>2223</v>
      </c>
      <c r="F4654" t="s">
        <v>1247</v>
      </c>
      <c r="G4654" t="s">
        <v>460</v>
      </c>
      <c r="H4654" t="s">
        <v>461</v>
      </c>
      <c r="I4654" t="s">
        <v>461</v>
      </c>
      <c r="J4654" t="s">
        <v>60</v>
      </c>
      <c r="K4654" t="s">
        <v>462</v>
      </c>
      <c r="L4654" t="s">
        <v>62</v>
      </c>
      <c r="M4654" t="s">
        <v>462</v>
      </c>
      <c r="N4654" t="s">
        <v>463</v>
      </c>
      <c r="O4654" t="s">
        <v>464</v>
      </c>
      <c r="P4654">
        <v>-20.137919</v>
      </c>
      <c r="Q4654">
        <v>-44.905591000000001</v>
      </c>
      <c r="R4654" s="2" t="str">
        <f>HYPERLINK("https://www.google.com/maps?q=-20.1379190,-44.9055910","Abrir no Google Maps")</f>
        <v>Abrir no Google Maps</v>
      </c>
      <c r="S4654">
        <v>3</v>
      </c>
      <c r="T4654">
        <v>262.01115919461103</v>
      </c>
      <c r="U4654">
        <v>4</v>
      </c>
      <c r="V4654">
        <v>0.12522172932308179</v>
      </c>
      <c r="W4654">
        <v>1</v>
      </c>
      <c r="X4654">
        <v>0.12522172932308179</v>
      </c>
      <c r="Y4654">
        <v>581</v>
      </c>
      <c r="Z4654">
        <v>318.63337303219271</v>
      </c>
      <c r="AA4654">
        <v>198</v>
      </c>
      <c r="AB4654">
        <v>332</v>
      </c>
      <c r="AC4654">
        <v>536</v>
      </c>
      <c r="AD4654">
        <v>30.35</v>
      </c>
      <c r="AE4654">
        <v>542</v>
      </c>
      <c r="AF4654">
        <v>37</v>
      </c>
      <c r="AG4654">
        <v>161</v>
      </c>
      <c r="AH4654">
        <v>129</v>
      </c>
      <c r="AI4654">
        <v>6.83</v>
      </c>
      <c r="AJ4654">
        <v>29.7</v>
      </c>
      <c r="AK4654">
        <v>23.8</v>
      </c>
      <c r="AL4654">
        <v>-20.13789079999998</v>
      </c>
      <c r="AM4654">
        <v>-44.90548593520333</v>
      </c>
      <c r="AN4654">
        <v>-20.13789079999998</v>
      </c>
      <c r="AO4654">
        <v>-44.90548593520333</v>
      </c>
      <c r="AP4654">
        <v>-20.137919</v>
      </c>
      <c r="AQ4654">
        <v>-44.905591000000001</v>
      </c>
      <c r="AR4654">
        <v>11.42072348298178</v>
      </c>
      <c r="AS4654" t="s">
        <v>65</v>
      </c>
      <c r="AT4654">
        <v>1</v>
      </c>
      <c r="AU4654" t="s">
        <v>465</v>
      </c>
      <c r="AV4654" t="s">
        <v>466</v>
      </c>
      <c r="AW4654" t="s">
        <v>60</v>
      </c>
      <c r="AX4654" t="s">
        <v>68</v>
      </c>
      <c r="AY4654" t="s">
        <v>69</v>
      </c>
      <c r="AZ4654" t="b">
        <v>1</v>
      </c>
    </row>
    <row r="4655" spans="1:52" x14ac:dyDescent="0.3">
      <c r="A4655" t="s">
        <v>52</v>
      </c>
      <c r="B4655" t="s">
        <v>53</v>
      </c>
      <c r="C4655" t="s">
        <v>54</v>
      </c>
      <c r="D4655" t="s">
        <v>55</v>
      </c>
      <c r="E4655" t="s">
        <v>2223</v>
      </c>
      <c r="F4655" t="s">
        <v>1247</v>
      </c>
      <c r="G4655" t="s">
        <v>467</v>
      </c>
      <c r="H4655" t="s">
        <v>468</v>
      </c>
      <c r="I4655" t="s">
        <v>468</v>
      </c>
      <c r="J4655" t="s">
        <v>60</v>
      </c>
      <c r="K4655" t="s">
        <v>462</v>
      </c>
      <c r="L4655" t="s">
        <v>62</v>
      </c>
      <c r="M4655" t="s">
        <v>462</v>
      </c>
      <c r="N4655" t="s">
        <v>469</v>
      </c>
      <c r="O4655" t="s">
        <v>470</v>
      </c>
      <c r="P4655">
        <v>-20.138233</v>
      </c>
      <c r="Q4655">
        <v>-44.908200000000001</v>
      </c>
      <c r="R4655" s="2" t="str">
        <f>HYPERLINK("https://www.google.com/maps?q=-20.1382330,-44.9082000","Abrir no Google Maps")</f>
        <v>Abrir no Google Maps</v>
      </c>
      <c r="S4655">
        <v>3</v>
      </c>
      <c r="T4655">
        <v>0</v>
      </c>
      <c r="U4655">
        <v>4</v>
      </c>
      <c r="V4655">
        <v>0.13688457442451049</v>
      </c>
      <c r="W4655">
        <v>1</v>
      </c>
      <c r="X4655">
        <v>0.13688457442451049</v>
      </c>
      <c r="Y4655">
        <v>581</v>
      </c>
      <c r="Z4655">
        <v>153.18688302958171</v>
      </c>
      <c r="AA4655">
        <v>198</v>
      </c>
      <c r="AB4655">
        <v>332</v>
      </c>
      <c r="AC4655">
        <v>536</v>
      </c>
      <c r="AD4655">
        <v>30.35</v>
      </c>
      <c r="AE4655">
        <v>542</v>
      </c>
      <c r="AF4655">
        <v>37</v>
      </c>
      <c r="AG4655">
        <v>161</v>
      </c>
      <c r="AH4655">
        <v>129</v>
      </c>
      <c r="AI4655">
        <v>6.83</v>
      </c>
      <c r="AJ4655">
        <v>29.7</v>
      </c>
      <c r="AK4655">
        <v>23.8</v>
      </c>
      <c r="AL4655">
        <v>-20.138364899999971</v>
      </c>
      <c r="AM4655">
        <v>-44.907942114873997</v>
      </c>
      <c r="AN4655">
        <v>-20.138364899999971</v>
      </c>
      <c r="AO4655">
        <v>-44.907942114873997</v>
      </c>
      <c r="AP4655">
        <v>-20.138233</v>
      </c>
      <c r="AQ4655">
        <v>-44.908200000000001</v>
      </c>
      <c r="AR4655">
        <v>30.692690617986941</v>
      </c>
      <c r="AS4655" t="s">
        <v>65</v>
      </c>
      <c r="AT4655">
        <v>1</v>
      </c>
      <c r="AU4655" t="s">
        <v>471</v>
      </c>
      <c r="AV4655" t="s">
        <v>472</v>
      </c>
      <c r="AW4655" t="s">
        <v>60</v>
      </c>
      <c r="AX4655" t="s">
        <v>68</v>
      </c>
      <c r="AY4655" t="s">
        <v>69</v>
      </c>
      <c r="AZ4655" t="b">
        <v>1</v>
      </c>
    </row>
    <row r="4656" spans="1:52" x14ac:dyDescent="0.3">
      <c r="A4656" t="s">
        <v>52</v>
      </c>
      <c r="B4656" t="s">
        <v>53</v>
      </c>
      <c r="C4656" t="s">
        <v>54</v>
      </c>
      <c r="D4656" t="s">
        <v>55</v>
      </c>
      <c r="E4656" t="s">
        <v>2223</v>
      </c>
      <c r="F4656" t="s">
        <v>1247</v>
      </c>
      <c r="G4656" t="s">
        <v>870</v>
      </c>
      <c r="H4656" t="s">
        <v>871</v>
      </c>
      <c r="I4656" t="s">
        <v>871</v>
      </c>
      <c r="J4656" t="s">
        <v>60</v>
      </c>
      <c r="K4656" t="s">
        <v>475</v>
      </c>
      <c r="L4656" t="s">
        <v>62</v>
      </c>
      <c r="M4656" t="s">
        <v>475</v>
      </c>
      <c r="N4656" t="s">
        <v>872</v>
      </c>
      <c r="O4656" t="s">
        <v>507</v>
      </c>
      <c r="P4656">
        <v>-20.176269999999999</v>
      </c>
      <c r="Q4656">
        <v>-44.909323999999998</v>
      </c>
      <c r="R4656" s="2" t="str">
        <f>HYPERLINK("https://www.google.com/maps?q=-20.1762700,-44.9093240","Abrir no Google Maps")</f>
        <v>Abrir no Google Maps</v>
      </c>
      <c r="S4656">
        <v>3</v>
      </c>
      <c r="T4656">
        <v>472.42731136821368</v>
      </c>
      <c r="U4656">
        <v>4</v>
      </c>
      <c r="V4656">
        <v>0.12580390706846609</v>
      </c>
      <c r="W4656">
        <v>1</v>
      </c>
      <c r="X4656">
        <v>0.12580390706846609</v>
      </c>
      <c r="Y4656">
        <v>578</v>
      </c>
      <c r="Z4656">
        <v>495.19726726344601</v>
      </c>
      <c r="AA4656">
        <v>198</v>
      </c>
      <c r="AB4656">
        <v>332</v>
      </c>
      <c r="AC4656">
        <v>536</v>
      </c>
      <c r="AD4656">
        <v>30.35</v>
      </c>
      <c r="AE4656">
        <v>542</v>
      </c>
      <c r="AF4656">
        <v>37</v>
      </c>
      <c r="AG4656">
        <v>161</v>
      </c>
      <c r="AH4656">
        <v>129</v>
      </c>
      <c r="AI4656">
        <v>6.83</v>
      </c>
      <c r="AJ4656">
        <v>29.7</v>
      </c>
      <c r="AK4656">
        <v>23.8</v>
      </c>
      <c r="AL4656">
        <v>-20.17630284999996</v>
      </c>
      <c r="AM4656">
        <v>-44.909199064318948</v>
      </c>
      <c r="AN4656">
        <v>-20.17630284999996</v>
      </c>
      <c r="AO4656">
        <v>-44.909199064318948</v>
      </c>
      <c r="AP4656">
        <v>-20.176269999999999</v>
      </c>
      <c r="AQ4656">
        <v>-44.909323999999998</v>
      </c>
      <c r="AR4656">
        <v>13.55691308737447</v>
      </c>
      <c r="AS4656" t="s">
        <v>65</v>
      </c>
      <c r="AT4656">
        <v>1</v>
      </c>
      <c r="AU4656" t="s">
        <v>873</v>
      </c>
      <c r="AV4656" t="s">
        <v>874</v>
      </c>
      <c r="AW4656" t="s">
        <v>60</v>
      </c>
      <c r="AX4656" t="s">
        <v>68</v>
      </c>
      <c r="AY4656" t="s">
        <v>69</v>
      </c>
      <c r="AZ4656" t="b">
        <v>1</v>
      </c>
    </row>
    <row r="4657" spans="1:52" x14ac:dyDescent="0.3">
      <c r="A4657" t="s">
        <v>52</v>
      </c>
      <c r="B4657" t="s">
        <v>53</v>
      </c>
      <c r="C4657" t="s">
        <v>54</v>
      </c>
      <c r="D4657" t="s">
        <v>55</v>
      </c>
      <c r="E4657" t="s">
        <v>2223</v>
      </c>
      <c r="F4657" t="s">
        <v>1247</v>
      </c>
      <c r="G4657" t="s">
        <v>479</v>
      </c>
      <c r="H4657" t="s">
        <v>480</v>
      </c>
      <c r="I4657" t="s">
        <v>480</v>
      </c>
      <c r="J4657" t="s">
        <v>60</v>
      </c>
      <c r="K4657" t="s">
        <v>388</v>
      </c>
      <c r="L4657" t="s">
        <v>62</v>
      </c>
      <c r="M4657" t="s">
        <v>388</v>
      </c>
      <c r="N4657" t="s">
        <v>481</v>
      </c>
      <c r="O4657" t="s">
        <v>315</v>
      </c>
      <c r="P4657">
        <v>-20.166903999999999</v>
      </c>
      <c r="Q4657">
        <v>-44.903492</v>
      </c>
      <c r="R4657" s="2" t="str">
        <f>HYPERLINK("https://www.google.com/maps?q=-20.1669040,-44.9034920","Abrir no Google Maps")</f>
        <v>Abrir no Google Maps</v>
      </c>
      <c r="S4657">
        <v>3</v>
      </c>
      <c r="T4657">
        <v>517.12253532511602</v>
      </c>
      <c r="U4657">
        <v>4</v>
      </c>
      <c r="V4657">
        <v>0.1242053338257406</v>
      </c>
      <c r="W4657">
        <v>1</v>
      </c>
      <c r="X4657">
        <v>0.1242053338257406</v>
      </c>
      <c r="Y4657">
        <v>578</v>
      </c>
      <c r="Z4657">
        <v>721.79551240050432</v>
      </c>
      <c r="AA4657">
        <v>198</v>
      </c>
      <c r="AB4657">
        <v>332</v>
      </c>
      <c r="AC4657">
        <v>536</v>
      </c>
      <c r="AD4657">
        <v>30.35</v>
      </c>
      <c r="AE4657">
        <v>542</v>
      </c>
      <c r="AF4657">
        <v>37</v>
      </c>
      <c r="AG4657">
        <v>161</v>
      </c>
      <c r="AH4657">
        <v>129</v>
      </c>
      <c r="AI4657">
        <v>6.83</v>
      </c>
      <c r="AJ4657">
        <v>29.7</v>
      </c>
      <c r="AK4657">
        <v>23.8</v>
      </c>
      <c r="AL4657">
        <v>-20.166610649999971</v>
      </c>
      <c r="AM4657">
        <v>-44.903452988928308</v>
      </c>
      <c r="AN4657">
        <v>-20.166610649999971</v>
      </c>
      <c r="AO4657">
        <v>-44.903452988928308</v>
      </c>
      <c r="AP4657">
        <v>-20.166903999999999</v>
      </c>
      <c r="AQ4657">
        <v>-44.903492</v>
      </c>
      <c r="AR4657">
        <v>32.909175876856217</v>
      </c>
      <c r="AS4657" t="s">
        <v>65</v>
      </c>
      <c r="AT4657">
        <v>1</v>
      </c>
      <c r="AU4657" t="s">
        <v>482</v>
      </c>
      <c r="AV4657" t="s">
        <v>483</v>
      </c>
      <c r="AW4657" t="s">
        <v>60</v>
      </c>
      <c r="AX4657" t="s">
        <v>68</v>
      </c>
      <c r="AY4657" t="s">
        <v>69</v>
      </c>
      <c r="AZ4657" t="b">
        <v>1</v>
      </c>
    </row>
    <row r="4658" spans="1:52" x14ac:dyDescent="0.3">
      <c r="A4658" t="s">
        <v>52</v>
      </c>
      <c r="B4658" t="s">
        <v>53</v>
      </c>
      <c r="C4658" t="s">
        <v>54</v>
      </c>
      <c r="D4658" t="s">
        <v>55</v>
      </c>
      <c r="E4658" t="s">
        <v>2223</v>
      </c>
      <c r="F4658" t="s">
        <v>1247</v>
      </c>
      <c r="G4658" t="s">
        <v>484</v>
      </c>
      <c r="H4658" t="s">
        <v>485</v>
      </c>
      <c r="I4658" t="s">
        <v>485</v>
      </c>
      <c r="J4658" t="s">
        <v>60</v>
      </c>
      <c r="K4658" t="s">
        <v>486</v>
      </c>
      <c r="L4658" t="s">
        <v>62</v>
      </c>
      <c r="M4658" t="s">
        <v>486</v>
      </c>
      <c r="N4658" t="s">
        <v>487</v>
      </c>
      <c r="O4658" t="s">
        <v>488</v>
      </c>
      <c r="P4658">
        <v>-20.173000999999999</v>
      </c>
      <c r="Q4658">
        <v>-44.901876999999999</v>
      </c>
      <c r="R4658" s="2" t="str">
        <f>HYPERLINK("https://www.google.com/maps?q=-20.1730010,-44.9018770","Abrir no Google Maps")</f>
        <v>Abrir no Google Maps</v>
      </c>
      <c r="S4658">
        <v>3</v>
      </c>
      <c r="T4658">
        <v>437.59695450783011</v>
      </c>
      <c r="U4658">
        <v>4</v>
      </c>
      <c r="V4658">
        <v>0.1237436416007844</v>
      </c>
      <c r="W4658">
        <v>1</v>
      </c>
      <c r="X4658">
        <v>0.1237436416007844</v>
      </c>
      <c r="Y4658">
        <v>578</v>
      </c>
      <c r="Z4658">
        <v>440.53629183653243</v>
      </c>
      <c r="AA4658">
        <v>198</v>
      </c>
      <c r="AB4658">
        <v>332</v>
      </c>
      <c r="AC4658">
        <v>536</v>
      </c>
      <c r="AD4658">
        <v>30.35</v>
      </c>
      <c r="AE4658">
        <v>542</v>
      </c>
      <c r="AF4658">
        <v>37</v>
      </c>
      <c r="AG4658">
        <v>161</v>
      </c>
      <c r="AH4658">
        <v>129</v>
      </c>
      <c r="AI4658">
        <v>6.83</v>
      </c>
      <c r="AJ4658">
        <v>29.7</v>
      </c>
      <c r="AK4658">
        <v>23.8</v>
      </c>
      <c r="AL4658">
        <v>-20.173065299999969</v>
      </c>
      <c r="AM4658">
        <v>-44.902052686008687</v>
      </c>
      <c r="AN4658">
        <v>-20.173065299999969</v>
      </c>
      <c r="AO4658">
        <v>-44.902052686008687</v>
      </c>
      <c r="AP4658">
        <v>-20.173000999999999</v>
      </c>
      <c r="AQ4658">
        <v>-44.901876999999999</v>
      </c>
      <c r="AR4658">
        <v>19.703745070768829</v>
      </c>
      <c r="AS4658" t="s">
        <v>65</v>
      </c>
      <c r="AT4658">
        <v>1</v>
      </c>
      <c r="AU4658" t="s">
        <v>489</v>
      </c>
      <c r="AV4658" t="s">
        <v>490</v>
      </c>
      <c r="AW4658" t="s">
        <v>60</v>
      </c>
      <c r="AX4658" t="s">
        <v>68</v>
      </c>
      <c r="AY4658" t="s">
        <v>69</v>
      </c>
      <c r="AZ4658" t="b">
        <v>1</v>
      </c>
    </row>
    <row r="4659" spans="1:52" x14ac:dyDescent="0.3">
      <c r="A4659" t="s">
        <v>52</v>
      </c>
      <c r="B4659" t="s">
        <v>53</v>
      </c>
      <c r="C4659" t="s">
        <v>54</v>
      </c>
      <c r="D4659" t="s">
        <v>55</v>
      </c>
      <c r="E4659" t="s">
        <v>2223</v>
      </c>
      <c r="F4659" t="s">
        <v>1247</v>
      </c>
      <c r="G4659" t="s">
        <v>503</v>
      </c>
      <c r="H4659" t="s">
        <v>504</v>
      </c>
      <c r="I4659" t="s">
        <v>504</v>
      </c>
      <c r="J4659" t="s">
        <v>60</v>
      </c>
      <c r="K4659" t="s">
        <v>505</v>
      </c>
      <c r="L4659" t="s">
        <v>62</v>
      </c>
      <c r="M4659" t="s">
        <v>505</v>
      </c>
      <c r="N4659" t="s">
        <v>506</v>
      </c>
      <c r="O4659" t="s">
        <v>507</v>
      </c>
      <c r="P4659">
        <v>-20.131428</v>
      </c>
      <c r="Q4659">
        <v>-44.888921000000003</v>
      </c>
      <c r="R4659" s="2" t="str">
        <f>HYPERLINK("https://www.google.com/maps?q=-20.1314280,-44.8889210","Abrir no Google Maps")</f>
        <v>Abrir no Google Maps</v>
      </c>
      <c r="S4659">
        <v>3</v>
      </c>
      <c r="T4659">
        <v>250.64150698244501</v>
      </c>
      <c r="U4659">
        <v>4</v>
      </c>
      <c r="V4659">
        <v>0.12921993831084741</v>
      </c>
      <c r="W4659">
        <v>1</v>
      </c>
      <c r="X4659">
        <v>0.12921993831084741</v>
      </c>
      <c r="Y4659">
        <v>564</v>
      </c>
      <c r="Z4659">
        <v>189.93933888952441</v>
      </c>
      <c r="AA4659">
        <v>198</v>
      </c>
      <c r="AB4659">
        <v>332</v>
      </c>
      <c r="AC4659">
        <v>536</v>
      </c>
      <c r="AD4659">
        <v>30.35</v>
      </c>
      <c r="AE4659">
        <v>542</v>
      </c>
      <c r="AF4659">
        <v>37</v>
      </c>
      <c r="AG4659">
        <v>161</v>
      </c>
      <c r="AH4659">
        <v>129</v>
      </c>
      <c r="AI4659">
        <v>6.83</v>
      </c>
      <c r="AJ4659">
        <v>29.7</v>
      </c>
      <c r="AK4659">
        <v>23.8</v>
      </c>
      <c r="AL4659">
        <v>-20.13123589999995</v>
      </c>
      <c r="AM4659">
        <v>-44.888742396501762</v>
      </c>
      <c r="AN4659">
        <v>-20.13123589999995</v>
      </c>
      <c r="AO4659">
        <v>-44.888742396501762</v>
      </c>
      <c r="AP4659">
        <v>-20.131428</v>
      </c>
      <c r="AQ4659">
        <v>-44.888921000000003</v>
      </c>
      <c r="AR4659">
        <v>28.386169462917032</v>
      </c>
      <c r="AS4659" t="s">
        <v>65</v>
      </c>
      <c r="AT4659">
        <v>1</v>
      </c>
      <c r="AU4659" t="s">
        <v>508</v>
      </c>
      <c r="AV4659" t="s">
        <v>509</v>
      </c>
      <c r="AW4659" t="s">
        <v>60</v>
      </c>
      <c r="AX4659" t="s">
        <v>68</v>
      </c>
      <c r="AY4659" t="s">
        <v>69</v>
      </c>
      <c r="AZ4659" t="b">
        <v>1</v>
      </c>
    </row>
    <row r="4660" spans="1:52" x14ac:dyDescent="0.3">
      <c r="A4660" t="s">
        <v>52</v>
      </c>
      <c r="B4660" t="s">
        <v>53</v>
      </c>
      <c r="C4660" t="s">
        <v>54</v>
      </c>
      <c r="D4660" t="s">
        <v>55</v>
      </c>
      <c r="E4660" t="s">
        <v>2223</v>
      </c>
      <c r="F4660" t="s">
        <v>1247</v>
      </c>
      <c r="G4660" t="s">
        <v>879</v>
      </c>
      <c r="H4660" t="s">
        <v>880</v>
      </c>
      <c r="I4660" t="s">
        <v>880</v>
      </c>
      <c r="J4660" t="s">
        <v>60</v>
      </c>
      <c r="K4660" t="s">
        <v>505</v>
      </c>
      <c r="L4660" t="s">
        <v>62</v>
      </c>
      <c r="M4660" t="s">
        <v>505</v>
      </c>
      <c r="N4660" t="s">
        <v>881</v>
      </c>
      <c r="O4660" t="s">
        <v>882</v>
      </c>
      <c r="P4660">
        <v>-20.133452999999999</v>
      </c>
      <c r="Q4660">
        <v>-44.890571999999999</v>
      </c>
      <c r="R4660" s="2" t="str">
        <f>HYPERLINK("https://www.google.com/maps?q=-20.1334530,-44.8905720","Abrir no Google Maps")</f>
        <v>Abrir no Google Maps</v>
      </c>
      <c r="S4660">
        <v>3</v>
      </c>
      <c r="T4660">
        <v>373.51332104809921</v>
      </c>
      <c r="U4660">
        <v>4</v>
      </c>
      <c r="V4660">
        <v>0.12916316379431131</v>
      </c>
      <c r="W4660">
        <v>1</v>
      </c>
      <c r="X4660">
        <v>0.12916316379431131</v>
      </c>
      <c r="Y4660">
        <v>564</v>
      </c>
      <c r="Z4660">
        <v>422.34693311930448</v>
      </c>
      <c r="AA4660">
        <v>198</v>
      </c>
      <c r="AB4660">
        <v>332</v>
      </c>
      <c r="AC4660">
        <v>536</v>
      </c>
      <c r="AD4660">
        <v>30.35</v>
      </c>
      <c r="AE4660">
        <v>542</v>
      </c>
      <c r="AF4660">
        <v>37</v>
      </c>
      <c r="AG4660">
        <v>161</v>
      </c>
      <c r="AH4660">
        <v>129</v>
      </c>
      <c r="AI4660">
        <v>6.83</v>
      </c>
      <c r="AJ4660">
        <v>29.7</v>
      </c>
      <c r="AK4660">
        <v>23.8</v>
      </c>
      <c r="AL4660">
        <v>-20.133421549999952</v>
      </c>
      <c r="AM4660">
        <v>-44.890623456009052</v>
      </c>
      <c r="AN4660">
        <v>-20.133421549999952</v>
      </c>
      <c r="AO4660">
        <v>-44.890623456009052</v>
      </c>
      <c r="AP4660">
        <v>-20.133452999999999</v>
      </c>
      <c r="AQ4660">
        <v>-44.890571999999999</v>
      </c>
      <c r="AR4660">
        <v>6.4172139275452773</v>
      </c>
      <c r="AS4660" t="s">
        <v>65</v>
      </c>
      <c r="AT4660">
        <v>1</v>
      </c>
      <c r="AU4660" t="s">
        <v>883</v>
      </c>
      <c r="AV4660" t="s">
        <v>884</v>
      </c>
      <c r="AW4660" t="s">
        <v>60</v>
      </c>
      <c r="AX4660" t="s">
        <v>68</v>
      </c>
      <c r="AY4660" t="s">
        <v>69</v>
      </c>
      <c r="AZ4660" t="b">
        <v>1</v>
      </c>
    </row>
    <row r="4661" spans="1:52" x14ac:dyDescent="0.3">
      <c r="A4661" t="s">
        <v>52</v>
      </c>
      <c r="B4661" t="s">
        <v>53</v>
      </c>
      <c r="C4661" t="s">
        <v>54</v>
      </c>
      <c r="D4661" t="s">
        <v>55</v>
      </c>
      <c r="E4661" t="s">
        <v>2223</v>
      </c>
      <c r="F4661" t="s">
        <v>1247</v>
      </c>
      <c r="G4661" t="s">
        <v>523</v>
      </c>
      <c r="H4661" t="s">
        <v>524</v>
      </c>
      <c r="I4661" t="s">
        <v>524</v>
      </c>
      <c r="J4661" t="s">
        <v>60</v>
      </c>
      <c r="K4661" t="s">
        <v>518</v>
      </c>
      <c r="L4661" t="s">
        <v>62</v>
      </c>
      <c r="M4661" t="s">
        <v>518</v>
      </c>
      <c r="N4661" t="s">
        <v>525</v>
      </c>
      <c r="O4661" t="s">
        <v>331</v>
      </c>
      <c r="P4661">
        <v>-20.126553000000001</v>
      </c>
      <c r="Q4661">
        <v>-44.888599999999997</v>
      </c>
      <c r="R4661" s="2" t="str">
        <f>HYPERLINK("https://www.google.com/maps?q=-20.1265530,-44.8886000","Abrir no Google Maps")</f>
        <v>Abrir no Google Maps</v>
      </c>
      <c r="S4661">
        <v>3</v>
      </c>
      <c r="T4661">
        <v>256.34043440603853</v>
      </c>
      <c r="U4661">
        <v>4</v>
      </c>
      <c r="V4661">
        <v>0.1235533342201782</v>
      </c>
      <c r="W4661">
        <v>1</v>
      </c>
      <c r="X4661">
        <v>0.1235533342201782</v>
      </c>
      <c r="Y4661">
        <v>564</v>
      </c>
      <c r="Z4661">
        <v>325.4404273055876</v>
      </c>
      <c r="AA4661">
        <v>198</v>
      </c>
      <c r="AB4661">
        <v>332</v>
      </c>
      <c r="AC4661">
        <v>536</v>
      </c>
      <c r="AD4661">
        <v>30.35</v>
      </c>
      <c r="AE4661">
        <v>542</v>
      </c>
      <c r="AF4661">
        <v>37</v>
      </c>
      <c r="AG4661">
        <v>161</v>
      </c>
      <c r="AH4661">
        <v>129</v>
      </c>
      <c r="AI4661">
        <v>6.83</v>
      </c>
      <c r="AJ4661">
        <v>29.7</v>
      </c>
      <c r="AK4661">
        <v>23.8</v>
      </c>
      <c r="AL4661">
        <v>-20.12669049999997</v>
      </c>
      <c r="AM4661">
        <v>-44.888671289876577</v>
      </c>
      <c r="AN4661">
        <v>-20.12669049999997</v>
      </c>
      <c r="AO4661">
        <v>-44.888671289876577</v>
      </c>
      <c r="AP4661">
        <v>-20.126553000000001</v>
      </c>
      <c r="AQ4661">
        <v>-44.888599999999997</v>
      </c>
      <c r="AR4661">
        <v>17.023861591720589</v>
      </c>
      <c r="AS4661" t="s">
        <v>65</v>
      </c>
      <c r="AT4661">
        <v>1</v>
      </c>
      <c r="AU4661" t="s">
        <v>526</v>
      </c>
      <c r="AV4661" t="s">
        <v>527</v>
      </c>
      <c r="AW4661" t="s">
        <v>60</v>
      </c>
      <c r="AX4661" t="s">
        <v>68</v>
      </c>
      <c r="AY4661" t="s">
        <v>69</v>
      </c>
      <c r="AZ4661" t="b">
        <v>1</v>
      </c>
    </row>
    <row r="4662" spans="1:52" x14ac:dyDescent="0.3">
      <c r="A4662" t="s">
        <v>52</v>
      </c>
      <c r="B4662" t="s">
        <v>53</v>
      </c>
      <c r="C4662" t="s">
        <v>54</v>
      </c>
      <c r="D4662" t="s">
        <v>55</v>
      </c>
      <c r="E4662" t="s">
        <v>2223</v>
      </c>
      <c r="F4662" t="s">
        <v>1247</v>
      </c>
      <c r="G4662" t="s">
        <v>890</v>
      </c>
      <c r="H4662" t="s">
        <v>891</v>
      </c>
      <c r="I4662" t="s">
        <v>891</v>
      </c>
      <c r="J4662" t="s">
        <v>60</v>
      </c>
      <c r="K4662" t="s">
        <v>892</v>
      </c>
      <c r="L4662" t="s">
        <v>62</v>
      </c>
      <c r="M4662" t="s">
        <v>892</v>
      </c>
      <c r="N4662" t="s">
        <v>893</v>
      </c>
      <c r="O4662" t="s">
        <v>894</v>
      </c>
      <c r="P4662">
        <v>-20.152519000000002</v>
      </c>
      <c r="Q4662">
        <v>-44.899177000000002</v>
      </c>
      <c r="R4662" s="2" t="str">
        <f>HYPERLINK("https://www.google.com/maps?q=-20.1525190,-44.8991770","Abrir no Google Maps")</f>
        <v>Abrir no Google Maps</v>
      </c>
      <c r="S4662">
        <v>3</v>
      </c>
      <c r="T4662">
        <v>211.80188552994721</v>
      </c>
      <c r="U4662">
        <v>4</v>
      </c>
      <c r="V4662">
        <v>0.1273470219523849</v>
      </c>
      <c r="W4662">
        <v>1</v>
      </c>
      <c r="X4662">
        <v>0.1273470219523849</v>
      </c>
      <c r="Y4662">
        <v>556</v>
      </c>
      <c r="Z4662">
        <v>290.34804137107091</v>
      </c>
      <c r="AA4662">
        <v>198</v>
      </c>
      <c r="AB4662">
        <v>332</v>
      </c>
      <c r="AC4662">
        <v>536</v>
      </c>
      <c r="AD4662">
        <v>30.35</v>
      </c>
      <c r="AE4662">
        <v>542</v>
      </c>
      <c r="AF4662">
        <v>37</v>
      </c>
      <c r="AG4662">
        <v>161</v>
      </c>
      <c r="AH4662">
        <v>129</v>
      </c>
      <c r="AI4662">
        <v>6.83</v>
      </c>
      <c r="AJ4662">
        <v>29.7</v>
      </c>
      <c r="AK4662">
        <v>23.8</v>
      </c>
      <c r="AL4662">
        <v>-20.152516249999959</v>
      </c>
      <c r="AM4662">
        <v>-44.899310431333959</v>
      </c>
      <c r="AN4662">
        <v>-20.152516249999959</v>
      </c>
      <c r="AO4662">
        <v>-44.899310431333959</v>
      </c>
      <c r="AP4662">
        <v>-20.152519000000002</v>
      </c>
      <c r="AQ4662">
        <v>-44.899177000000002</v>
      </c>
      <c r="AR4662">
        <v>13.947583284957719</v>
      </c>
      <c r="AS4662" t="s">
        <v>65</v>
      </c>
      <c r="AT4662">
        <v>1</v>
      </c>
      <c r="AU4662" t="s">
        <v>895</v>
      </c>
      <c r="AV4662" t="s">
        <v>896</v>
      </c>
      <c r="AW4662" t="s">
        <v>60</v>
      </c>
      <c r="AX4662" t="s">
        <v>68</v>
      </c>
      <c r="AY4662" t="s">
        <v>69</v>
      </c>
      <c r="AZ4662" t="b">
        <v>1</v>
      </c>
    </row>
    <row r="4663" spans="1:52" x14ac:dyDescent="0.3">
      <c r="A4663" t="s">
        <v>52</v>
      </c>
      <c r="B4663" t="s">
        <v>53</v>
      </c>
      <c r="C4663" t="s">
        <v>54</v>
      </c>
      <c r="D4663" t="s">
        <v>55</v>
      </c>
      <c r="E4663" t="s">
        <v>2223</v>
      </c>
      <c r="F4663" t="s">
        <v>1247</v>
      </c>
      <c r="G4663" t="s">
        <v>535</v>
      </c>
      <c r="H4663" t="s">
        <v>536</v>
      </c>
      <c r="I4663" t="s">
        <v>536</v>
      </c>
      <c r="J4663" t="s">
        <v>60</v>
      </c>
      <c r="K4663" t="s">
        <v>388</v>
      </c>
      <c r="L4663" t="s">
        <v>62</v>
      </c>
      <c r="M4663" t="s">
        <v>388</v>
      </c>
      <c r="N4663" t="s">
        <v>537</v>
      </c>
      <c r="O4663" t="s">
        <v>538</v>
      </c>
      <c r="P4663">
        <v>-20.150061999999998</v>
      </c>
      <c r="Q4663">
        <v>-44.903379000000001</v>
      </c>
      <c r="R4663" s="2" t="str">
        <f>HYPERLINK("https://www.google.com/maps?q=-20.1500620,-44.9033790","Abrir no Google Maps")</f>
        <v>Abrir no Google Maps</v>
      </c>
      <c r="S4663">
        <v>3</v>
      </c>
      <c r="T4663">
        <v>286.20313674219977</v>
      </c>
      <c r="U4663">
        <v>4</v>
      </c>
      <c r="V4663">
        <v>0.1228416980878818</v>
      </c>
      <c r="W4663">
        <v>1</v>
      </c>
      <c r="X4663">
        <v>0.1228416980878818</v>
      </c>
      <c r="Y4663">
        <v>556</v>
      </c>
      <c r="Z4663">
        <v>315.81851898667401</v>
      </c>
      <c r="AA4663">
        <v>198</v>
      </c>
      <c r="AB4663">
        <v>332</v>
      </c>
      <c r="AC4663">
        <v>536</v>
      </c>
      <c r="AD4663">
        <v>30.35</v>
      </c>
      <c r="AE4663">
        <v>542</v>
      </c>
      <c r="AF4663">
        <v>37</v>
      </c>
      <c r="AG4663">
        <v>161</v>
      </c>
      <c r="AH4663">
        <v>129</v>
      </c>
      <c r="AI4663">
        <v>6.83</v>
      </c>
      <c r="AJ4663">
        <v>29.7</v>
      </c>
      <c r="AK4663">
        <v>23.8</v>
      </c>
      <c r="AL4663">
        <v>-20.150084299999971</v>
      </c>
      <c r="AM4663">
        <v>-44.903278407568479</v>
      </c>
      <c r="AN4663">
        <v>-20.150084299999971</v>
      </c>
      <c r="AO4663">
        <v>-44.903278407568479</v>
      </c>
      <c r="AP4663">
        <v>-20.150061999999998</v>
      </c>
      <c r="AQ4663">
        <v>-44.903379000000001</v>
      </c>
      <c r="AR4663">
        <v>10.801687336134639</v>
      </c>
      <c r="AS4663" t="s">
        <v>65</v>
      </c>
      <c r="AT4663">
        <v>1</v>
      </c>
      <c r="AU4663" t="s">
        <v>539</v>
      </c>
      <c r="AV4663" t="s">
        <v>540</v>
      </c>
      <c r="AW4663" t="s">
        <v>60</v>
      </c>
      <c r="AX4663" t="s">
        <v>68</v>
      </c>
      <c r="AY4663" t="s">
        <v>69</v>
      </c>
      <c r="AZ4663" t="b">
        <v>1</v>
      </c>
    </row>
    <row r="4664" spans="1:52" x14ac:dyDescent="0.3">
      <c r="A4664" t="s">
        <v>52</v>
      </c>
      <c r="B4664" t="s">
        <v>53</v>
      </c>
      <c r="C4664" t="s">
        <v>54</v>
      </c>
      <c r="D4664" t="s">
        <v>55</v>
      </c>
      <c r="E4664" t="s">
        <v>2223</v>
      </c>
      <c r="F4664" t="s">
        <v>1247</v>
      </c>
      <c r="G4664" t="s">
        <v>398</v>
      </c>
      <c r="H4664" t="s">
        <v>541</v>
      </c>
      <c r="I4664" t="s">
        <v>541</v>
      </c>
      <c r="J4664" t="s">
        <v>60</v>
      </c>
      <c r="K4664" t="s">
        <v>388</v>
      </c>
      <c r="L4664" t="s">
        <v>62</v>
      </c>
      <c r="M4664" t="s">
        <v>388</v>
      </c>
      <c r="N4664" t="s">
        <v>400</v>
      </c>
      <c r="O4664" t="s">
        <v>542</v>
      </c>
      <c r="P4664">
        <v>-20.151335</v>
      </c>
      <c r="Q4664">
        <v>-44.901041999999997</v>
      </c>
      <c r="R4664" s="2" t="str">
        <f>HYPERLINK("https://www.google.com/maps?q=-20.1513350,-44.9010420","Abrir no Google Maps")</f>
        <v>Abrir no Google Maps</v>
      </c>
      <c r="S4664">
        <v>3</v>
      </c>
      <c r="T4664">
        <v>0</v>
      </c>
      <c r="U4664">
        <v>4</v>
      </c>
      <c r="V4664">
        <v>0.1294433340735805</v>
      </c>
      <c r="W4664">
        <v>1</v>
      </c>
      <c r="X4664">
        <v>0.1294433340735805</v>
      </c>
      <c r="Y4664">
        <v>556</v>
      </c>
      <c r="Z4664">
        <v>137.71609036908939</v>
      </c>
      <c r="AA4664">
        <v>198</v>
      </c>
      <c r="AB4664">
        <v>332</v>
      </c>
      <c r="AC4664">
        <v>536</v>
      </c>
      <c r="AD4664">
        <v>30.35</v>
      </c>
      <c r="AE4664">
        <v>542</v>
      </c>
      <c r="AF4664">
        <v>37</v>
      </c>
      <c r="AG4664">
        <v>161</v>
      </c>
      <c r="AH4664">
        <v>129</v>
      </c>
      <c r="AI4664">
        <v>6.83</v>
      </c>
      <c r="AJ4664">
        <v>29.7</v>
      </c>
      <c r="AK4664">
        <v>23.8</v>
      </c>
      <c r="AL4664">
        <v>-20.15125899999995</v>
      </c>
      <c r="AM4664">
        <v>-44.900838557594433</v>
      </c>
      <c r="AN4664">
        <v>-20.15125899999995</v>
      </c>
      <c r="AO4664">
        <v>-44.900838557594433</v>
      </c>
      <c r="AP4664">
        <v>-20.151335</v>
      </c>
      <c r="AQ4664">
        <v>-44.901041999999997</v>
      </c>
      <c r="AR4664">
        <v>22.882363139483491</v>
      </c>
      <c r="AS4664" t="s">
        <v>65</v>
      </c>
      <c r="AT4664">
        <v>1</v>
      </c>
      <c r="AU4664" t="s">
        <v>543</v>
      </c>
      <c r="AV4664" t="s">
        <v>544</v>
      </c>
      <c r="AW4664" t="s">
        <v>60</v>
      </c>
      <c r="AX4664" t="s">
        <v>68</v>
      </c>
      <c r="AY4664" t="s">
        <v>69</v>
      </c>
      <c r="AZ4664" t="b">
        <v>1</v>
      </c>
    </row>
    <row r="4665" spans="1:52" x14ac:dyDescent="0.3">
      <c r="A4665" t="s">
        <v>52</v>
      </c>
      <c r="B4665" t="s">
        <v>53</v>
      </c>
      <c r="C4665" t="s">
        <v>54</v>
      </c>
      <c r="D4665" t="s">
        <v>55</v>
      </c>
      <c r="E4665" t="s">
        <v>2223</v>
      </c>
      <c r="F4665" t="s">
        <v>1247</v>
      </c>
      <c r="G4665" t="s">
        <v>545</v>
      </c>
      <c r="H4665" t="s">
        <v>546</v>
      </c>
      <c r="I4665" t="s">
        <v>546</v>
      </c>
      <c r="J4665" t="s">
        <v>60</v>
      </c>
      <c r="K4665" t="s">
        <v>388</v>
      </c>
      <c r="L4665" t="s">
        <v>62</v>
      </c>
      <c r="M4665" t="s">
        <v>388</v>
      </c>
      <c r="N4665" t="s">
        <v>547</v>
      </c>
      <c r="O4665" t="s">
        <v>548</v>
      </c>
      <c r="P4665">
        <v>-20.155839</v>
      </c>
      <c r="Q4665">
        <v>-44.905655000000003</v>
      </c>
      <c r="R4665" s="2" t="str">
        <f>HYPERLINK("https://www.google.com/maps?q=-20.1558390,-44.9056550","Abrir no Google Maps")</f>
        <v>Abrir no Google Maps</v>
      </c>
      <c r="S4665">
        <v>3</v>
      </c>
      <c r="T4665">
        <v>309.7643089121122</v>
      </c>
      <c r="U4665">
        <v>4</v>
      </c>
      <c r="V4665">
        <v>0.12779519331243469</v>
      </c>
      <c r="W4665">
        <v>1</v>
      </c>
      <c r="X4665">
        <v>0.12779519331243469</v>
      </c>
      <c r="Y4665">
        <v>548</v>
      </c>
      <c r="Z4665">
        <v>284.24281731793161</v>
      </c>
      <c r="AA4665">
        <v>198</v>
      </c>
      <c r="AB4665">
        <v>332</v>
      </c>
      <c r="AC4665">
        <v>536</v>
      </c>
      <c r="AD4665">
        <v>30.35</v>
      </c>
      <c r="AE4665">
        <v>542</v>
      </c>
      <c r="AF4665">
        <v>37</v>
      </c>
      <c r="AG4665">
        <v>161</v>
      </c>
      <c r="AH4665">
        <v>129</v>
      </c>
      <c r="AI4665">
        <v>6.83</v>
      </c>
      <c r="AJ4665">
        <v>29.7</v>
      </c>
      <c r="AK4665">
        <v>23.8</v>
      </c>
      <c r="AL4665">
        <v>-20.155913549999951</v>
      </c>
      <c r="AM4665">
        <v>-44.905554508392683</v>
      </c>
      <c r="AN4665">
        <v>-20.155913549999951</v>
      </c>
      <c r="AO4665">
        <v>-44.905554508392669</v>
      </c>
      <c r="AP4665">
        <v>-20.155839</v>
      </c>
      <c r="AQ4665">
        <v>-44.905655000000003</v>
      </c>
      <c r="AR4665">
        <v>13.384922093797449</v>
      </c>
      <c r="AS4665" t="s">
        <v>65</v>
      </c>
      <c r="AT4665">
        <v>1</v>
      </c>
      <c r="AU4665" t="s">
        <v>549</v>
      </c>
      <c r="AV4665" t="s">
        <v>550</v>
      </c>
      <c r="AW4665" t="s">
        <v>60</v>
      </c>
      <c r="AX4665" t="s">
        <v>68</v>
      </c>
      <c r="AY4665" t="s">
        <v>69</v>
      </c>
      <c r="AZ4665" t="b">
        <v>1</v>
      </c>
    </row>
    <row r="4666" spans="1:52" x14ac:dyDescent="0.3">
      <c r="A4666" t="s">
        <v>52</v>
      </c>
      <c r="B4666" t="s">
        <v>53</v>
      </c>
      <c r="C4666" t="s">
        <v>54</v>
      </c>
      <c r="D4666" t="s">
        <v>55</v>
      </c>
      <c r="E4666" t="s">
        <v>2223</v>
      </c>
      <c r="F4666" t="s">
        <v>1247</v>
      </c>
      <c r="G4666" t="s">
        <v>556</v>
      </c>
      <c r="H4666" t="s">
        <v>557</v>
      </c>
      <c r="I4666" t="s">
        <v>557</v>
      </c>
      <c r="J4666" t="s">
        <v>60</v>
      </c>
      <c r="K4666" t="s">
        <v>388</v>
      </c>
      <c r="L4666" t="s">
        <v>62</v>
      </c>
      <c r="M4666" t="s">
        <v>388</v>
      </c>
      <c r="N4666" t="s">
        <v>558</v>
      </c>
      <c r="O4666" t="s">
        <v>559</v>
      </c>
      <c r="P4666">
        <v>-20.152670000000001</v>
      </c>
      <c r="Q4666">
        <v>-44.902557999999999</v>
      </c>
      <c r="R4666" s="2" t="str">
        <f>HYPERLINK("https://www.google.com/maps?q=-20.1526700,-44.9025580","Abrir no Google Maps")</f>
        <v>Abrir no Google Maps</v>
      </c>
      <c r="S4666">
        <v>3</v>
      </c>
      <c r="T4666">
        <v>228.56195217678911</v>
      </c>
      <c r="U4666">
        <v>4</v>
      </c>
      <c r="V4666">
        <v>0.12678062678062679</v>
      </c>
      <c r="W4666">
        <v>1</v>
      </c>
      <c r="X4666">
        <v>0.12678062678062679</v>
      </c>
      <c r="Y4666">
        <v>548</v>
      </c>
      <c r="Z4666">
        <v>250.63133895224919</v>
      </c>
      <c r="AA4666">
        <v>198</v>
      </c>
      <c r="AB4666">
        <v>332</v>
      </c>
      <c r="AC4666">
        <v>536</v>
      </c>
      <c r="AD4666">
        <v>30.35</v>
      </c>
      <c r="AE4666">
        <v>542</v>
      </c>
      <c r="AF4666">
        <v>37</v>
      </c>
      <c r="AG4666">
        <v>161</v>
      </c>
      <c r="AH4666">
        <v>129</v>
      </c>
      <c r="AI4666">
        <v>6.83</v>
      </c>
      <c r="AJ4666">
        <v>29.7</v>
      </c>
      <c r="AK4666">
        <v>23.8</v>
      </c>
      <c r="AL4666">
        <v>-20.152629799999939</v>
      </c>
      <c r="AM4666">
        <v>-44.902604744705201</v>
      </c>
      <c r="AN4666">
        <v>-20.152629799999939</v>
      </c>
      <c r="AO4666">
        <v>-44.902604744705201</v>
      </c>
      <c r="AP4666">
        <v>-20.152670000000001</v>
      </c>
      <c r="AQ4666">
        <v>-44.902557999999999</v>
      </c>
      <c r="AR4666">
        <v>6.6249428037111509</v>
      </c>
      <c r="AS4666" t="s">
        <v>65</v>
      </c>
      <c r="AT4666">
        <v>1</v>
      </c>
      <c r="AU4666" t="s">
        <v>560</v>
      </c>
      <c r="AV4666" t="s">
        <v>561</v>
      </c>
      <c r="AW4666" t="s">
        <v>60</v>
      </c>
      <c r="AX4666" t="s">
        <v>68</v>
      </c>
      <c r="AY4666" t="s">
        <v>69</v>
      </c>
      <c r="AZ4666" t="b">
        <v>1</v>
      </c>
    </row>
    <row r="4667" spans="1:52" x14ac:dyDescent="0.3">
      <c r="A4667" t="s">
        <v>52</v>
      </c>
      <c r="B4667" t="s">
        <v>53</v>
      </c>
      <c r="C4667" t="s">
        <v>54</v>
      </c>
      <c r="D4667" t="s">
        <v>55</v>
      </c>
      <c r="E4667" t="s">
        <v>2223</v>
      </c>
      <c r="F4667" t="s">
        <v>1247</v>
      </c>
      <c r="G4667" t="s">
        <v>562</v>
      </c>
      <c r="H4667" t="s">
        <v>563</v>
      </c>
      <c r="I4667" t="s">
        <v>563</v>
      </c>
      <c r="J4667" t="s">
        <v>60</v>
      </c>
      <c r="K4667" t="s">
        <v>388</v>
      </c>
      <c r="L4667" t="s">
        <v>62</v>
      </c>
      <c r="M4667" t="s">
        <v>388</v>
      </c>
      <c r="N4667" t="s">
        <v>564</v>
      </c>
      <c r="O4667" t="s">
        <v>565</v>
      </c>
      <c r="P4667">
        <v>-20.154432</v>
      </c>
      <c r="Q4667">
        <v>-44.902977999999997</v>
      </c>
      <c r="R4667" s="2" t="str">
        <f>HYPERLINK("https://www.google.com/maps?q=-20.1544320,-44.9029780","Abrir no Google Maps")</f>
        <v>Abrir no Google Maps</v>
      </c>
      <c r="S4667">
        <v>3</v>
      </c>
      <c r="T4667">
        <v>0</v>
      </c>
      <c r="U4667">
        <v>4</v>
      </c>
      <c r="V4667">
        <v>0.12558708563117379</v>
      </c>
      <c r="W4667">
        <v>1</v>
      </c>
      <c r="X4667">
        <v>0.12558708563117379</v>
      </c>
      <c r="Y4667">
        <v>548</v>
      </c>
      <c r="Z4667">
        <v>29.424211042533759</v>
      </c>
      <c r="AA4667">
        <v>198</v>
      </c>
      <c r="AB4667">
        <v>332</v>
      </c>
      <c r="AC4667">
        <v>536</v>
      </c>
      <c r="AD4667">
        <v>30.35</v>
      </c>
      <c r="AE4667">
        <v>542</v>
      </c>
      <c r="AF4667">
        <v>37</v>
      </c>
      <c r="AG4667">
        <v>161</v>
      </c>
      <c r="AH4667">
        <v>129</v>
      </c>
      <c r="AI4667">
        <v>6.83</v>
      </c>
      <c r="AJ4667">
        <v>29.7</v>
      </c>
      <c r="AK4667">
        <v>23.8</v>
      </c>
      <c r="AL4667">
        <v>-20.15467689999997</v>
      </c>
      <c r="AM4667">
        <v>-44.902895281771222</v>
      </c>
      <c r="AN4667">
        <v>-20.15467689999997</v>
      </c>
      <c r="AO4667">
        <v>-44.902895281771222</v>
      </c>
      <c r="AP4667">
        <v>-20.154432</v>
      </c>
      <c r="AQ4667">
        <v>-44.902977999999997</v>
      </c>
      <c r="AR4667">
        <v>28.5999270636025</v>
      </c>
      <c r="AS4667" t="s">
        <v>65</v>
      </c>
      <c r="AT4667">
        <v>1</v>
      </c>
      <c r="AU4667" t="s">
        <v>566</v>
      </c>
      <c r="AV4667" t="s">
        <v>567</v>
      </c>
      <c r="AW4667" t="s">
        <v>60</v>
      </c>
      <c r="AX4667" t="s">
        <v>68</v>
      </c>
      <c r="AY4667" t="s">
        <v>69</v>
      </c>
      <c r="AZ4667" t="b">
        <v>1</v>
      </c>
    </row>
    <row r="4668" spans="1:52" x14ac:dyDescent="0.3">
      <c r="A4668" t="s">
        <v>52</v>
      </c>
      <c r="B4668" t="s">
        <v>53</v>
      </c>
      <c r="C4668" t="s">
        <v>54</v>
      </c>
      <c r="D4668" t="s">
        <v>55</v>
      </c>
      <c r="E4668" t="s">
        <v>2223</v>
      </c>
      <c r="F4668" t="s">
        <v>1247</v>
      </c>
      <c r="G4668" t="s">
        <v>380</v>
      </c>
      <c r="H4668" t="s">
        <v>381</v>
      </c>
      <c r="I4668" t="s">
        <v>381</v>
      </c>
      <c r="J4668" t="s">
        <v>60</v>
      </c>
      <c r="K4668" t="s">
        <v>72</v>
      </c>
      <c r="L4668" t="s">
        <v>62</v>
      </c>
      <c r="M4668" t="s">
        <v>72</v>
      </c>
      <c r="N4668" t="s">
        <v>382</v>
      </c>
      <c r="O4668" t="s">
        <v>383</v>
      </c>
      <c r="P4668">
        <v>-20.147182000000001</v>
      </c>
      <c r="Q4668">
        <v>-44.912728999999999</v>
      </c>
      <c r="R4668" s="2" t="str">
        <f>HYPERLINK("https://www.google.com/maps?q=-20.1471820,-44.9127290","Abrir no Google Maps")</f>
        <v>Abrir no Google Maps</v>
      </c>
      <c r="S4668">
        <v>3</v>
      </c>
      <c r="T4668">
        <v>478.0141981540923</v>
      </c>
      <c r="U4668">
        <v>3</v>
      </c>
      <c r="V4668">
        <v>0.1211857937767421</v>
      </c>
      <c r="W4668">
        <v>1</v>
      </c>
      <c r="X4668">
        <v>0.1211857937767421</v>
      </c>
      <c r="Y4668">
        <v>747</v>
      </c>
      <c r="Z4668">
        <v>494.0254290673729</v>
      </c>
      <c r="AA4668">
        <v>198</v>
      </c>
      <c r="AB4668">
        <v>332</v>
      </c>
      <c r="AC4668">
        <v>536</v>
      </c>
      <c r="AD4668">
        <v>30.35</v>
      </c>
      <c r="AE4668">
        <v>542</v>
      </c>
      <c r="AF4668">
        <v>37</v>
      </c>
      <c r="AG4668">
        <v>161</v>
      </c>
      <c r="AH4668">
        <v>129</v>
      </c>
      <c r="AI4668">
        <v>6.83</v>
      </c>
      <c r="AJ4668">
        <v>29.7</v>
      </c>
      <c r="AK4668">
        <v>23.8</v>
      </c>
      <c r="AL4668">
        <v>-20.147375599999979</v>
      </c>
      <c r="AM4668">
        <v>-44.912907472879468</v>
      </c>
      <c r="AN4668">
        <v>-20.147375599999979</v>
      </c>
      <c r="AO4668">
        <v>-44.912907472879468</v>
      </c>
      <c r="AP4668">
        <v>-20.147182000000001</v>
      </c>
      <c r="AQ4668">
        <v>-44.912728999999999</v>
      </c>
      <c r="AR4668">
        <v>28.50197694184326</v>
      </c>
      <c r="AS4668" t="s">
        <v>65</v>
      </c>
      <c r="AT4668">
        <v>1</v>
      </c>
      <c r="AU4668" t="s">
        <v>384</v>
      </c>
      <c r="AV4668" t="s">
        <v>385</v>
      </c>
      <c r="AW4668" t="s">
        <v>60</v>
      </c>
      <c r="AX4668" t="s">
        <v>68</v>
      </c>
      <c r="AY4668" t="s">
        <v>69</v>
      </c>
      <c r="AZ4668" t="b">
        <v>1</v>
      </c>
    </row>
    <row r="4669" spans="1:52" x14ac:dyDescent="0.3">
      <c r="A4669" t="s">
        <v>52</v>
      </c>
      <c r="B4669" t="s">
        <v>53</v>
      </c>
      <c r="C4669" t="s">
        <v>54</v>
      </c>
      <c r="D4669" t="s">
        <v>55</v>
      </c>
      <c r="E4669" t="s">
        <v>2223</v>
      </c>
      <c r="F4669" t="s">
        <v>1247</v>
      </c>
      <c r="G4669" t="s">
        <v>839</v>
      </c>
      <c r="H4669" t="s">
        <v>840</v>
      </c>
      <c r="I4669" t="s">
        <v>840</v>
      </c>
      <c r="J4669" t="s">
        <v>60</v>
      </c>
      <c r="K4669" t="s">
        <v>388</v>
      </c>
      <c r="L4669" t="s">
        <v>62</v>
      </c>
      <c r="M4669" t="s">
        <v>388</v>
      </c>
      <c r="N4669" t="s">
        <v>841</v>
      </c>
      <c r="O4669" t="s">
        <v>842</v>
      </c>
      <c r="P4669">
        <v>-20.159977999999999</v>
      </c>
      <c r="Q4669">
        <v>-44.900207000000002</v>
      </c>
      <c r="R4669" s="2" t="str">
        <f>HYPERLINK("https://www.google.com/maps?q=-20.1599780,-44.9002070","Abrir no Google Maps")</f>
        <v>Abrir no Google Maps</v>
      </c>
      <c r="S4669">
        <v>3</v>
      </c>
      <c r="T4669">
        <v>213.24333517300789</v>
      </c>
      <c r="U4669">
        <v>3</v>
      </c>
      <c r="V4669">
        <v>0.1179487179487179</v>
      </c>
      <c r="W4669">
        <v>1</v>
      </c>
      <c r="X4669">
        <v>0.1179487179487179</v>
      </c>
      <c r="Y4669">
        <v>729</v>
      </c>
      <c r="Z4669">
        <v>315.47173727880028</v>
      </c>
      <c r="AA4669">
        <v>198</v>
      </c>
      <c r="AB4669">
        <v>332</v>
      </c>
      <c r="AC4669">
        <v>536</v>
      </c>
      <c r="AD4669">
        <v>30.35</v>
      </c>
      <c r="AE4669">
        <v>542</v>
      </c>
      <c r="AF4669">
        <v>37</v>
      </c>
      <c r="AG4669">
        <v>161</v>
      </c>
      <c r="AH4669">
        <v>129</v>
      </c>
      <c r="AI4669">
        <v>6.83</v>
      </c>
      <c r="AJ4669">
        <v>29.7</v>
      </c>
      <c r="AK4669">
        <v>23.8</v>
      </c>
      <c r="AL4669">
        <v>-20.159825649999959</v>
      </c>
      <c r="AM4669">
        <v>-44.900143828909613</v>
      </c>
      <c r="AN4669">
        <v>-20.159825649999959</v>
      </c>
      <c r="AO4669">
        <v>-44.900143828909613</v>
      </c>
      <c r="AP4669">
        <v>-20.159977999999999</v>
      </c>
      <c r="AQ4669">
        <v>-44.900207000000002</v>
      </c>
      <c r="AR4669">
        <v>18.199073573580371</v>
      </c>
      <c r="AS4669" t="s">
        <v>65</v>
      </c>
      <c r="AT4669">
        <v>1</v>
      </c>
      <c r="AU4669" t="s">
        <v>843</v>
      </c>
      <c r="AV4669" t="s">
        <v>844</v>
      </c>
      <c r="AW4669" t="s">
        <v>60</v>
      </c>
      <c r="AX4669" t="s">
        <v>68</v>
      </c>
      <c r="AY4669" t="s">
        <v>69</v>
      </c>
      <c r="AZ4669" t="b">
        <v>1</v>
      </c>
    </row>
    <row r="4670" spans="1:52" x14ac:dyDescent="0.3">
      <c r="A4670" t="s">
        <v>52</v>
      </c>
      <c r="B4670" t="s">
        <v>53</v>
      </c>
      <c r="C4670" t="s">
        <v>54</v>
      </c>
      <c r="D4670" t="s">
        <v>55</v>
      </c>
      <c r="E4670" t="s">
        <v>2223</v>
      </c>
      <c r="F4670" t="s">
        <v>1247</v>
      </c>
      <c r="G4670" t="s">
        <v>839</v>
      </c>
      <c r="H4670" t="s">
        <v>1274</v>
      </c>
      <c r="I4670" t="s">
        <v>1274</v>
      </c>
      <c r="J4670" t="s">
        <v>60</v>
      </c>
      <c r="K4670" t="s">
        <v>388</v>
      </c>
      <c r="L4670" t="s">
        <v>62</v>
      </c>
      <c r="M4670" t="s">
        <v>388</v>
      </c>
      <c r="N4670" t="s">
        <v>841</v>
      </c>
      <c r="O4670" t="s">
        <v>1275</v>
      </c>
      <c r="P4670">
        <v>-20.157979999999998</v>
      </c>
      <c r="Q4670">
        <v>-44.906365999999998</v>
      </c>
      <c r="R4670" s="2" t="str">
        <f>HYPERLINK("https://www.google.com/maps?q=-20.1579800,-44.9063660","Abrir no Google Maps")</f>
        <v>Abrir no Google Maps</v>
      </c>
      <c r="S4670">
        <v>3</v>
      </c>
      <c r="T4670">
        <v>519.48953004348823</v>
      </c>
      <c r="U4670">
        <v>3</v>
      </c>
      <c r="V4670">
        <v>0.1337674671008004</v>
      </c>
      <c r="W4670">
        <v>0.85</v>
      </c>
      <c r="X4670">
        <v>0.1137023470356803</v>
      </c>
      <c r="Y4670">
        <v>729</v>
      </c>
      <c r="Z4670">
        <v>393.22938248316768</v>
      </c>
      <c r="AA4670">
        <v>198</v>
      </c>
      <c r="AB4670">
        <v>332</v>
      </c>
      <c r="AC4670">
        <v>536</v>
      </c>
      <c r="AD4670">
        <v>30.35</v>
      </c>
      <c r="AE4670">
        <v>542</v>
      </c>
      <c r="AF4670">
        <v>37</v>
      </c>
      <c r="AG4670">
        <v>161</v>
      </c>
      <c r="AH4670">
        <v>129</v>
      </c>
      <c r="AI4670">
        <v>6.83</v>
      </c>
      <c r="AJ4670">
        <v>29.7</v>
      </c>
      <c r="AK4670">
        <v>23.8</v>
      </c>
      <c r="AL4670">
        <v>-20.157977799999941</v>
      </c>
      <c r="AM4670">
        <v>-44.906429896327573</v>
      </c>
      <c r="AN4670">
        <v>-20.157977799999941</v>
      </c>
      <c r="AO4670">
        <v>-44.906429896327573</v>
      </c>
      <c r="AP4670">
        <v>-20.157979999999998</v>
      </c>
      <c r="AQ4670">
        <v>-44.906365999999998</v>
      </c>
      <c r="AR4670">
        <v>6.6817330699236734</v>
      </c>
      <c r="AS4670" t="s">
        <v>65</v>
      </c>
      <c r="AT4670">
        <v>1</v>
      </c>
      <c r="AU4670" t="s">
        <v>1276</v>
      </c>
      <c r="AV4670" t="s">
        <v>1277</v>
      </c>
      <c r="AW4670" t="s">
        <v>60</v>
      </c>
      <c r="AX4670" t="s">
        <v>68</v>
      </c>
      <c r="AY4670" t="s">
        <v>69</v>
      </c>
      <c r="AZ4670" t="b">
        <v>1</v>
      </c>
    </row>
    <row r="4671" spans="1:52" x14ac:dyDescent="0.3">
      <c r="A4671" t="s">
        <v>52</v>
      </c>
      <c r="B4671" t="s">
        <v>53</v>
      </c>
      <c r="C4671" t="s">
        <v>54</v>
      </c>
      <c r="D4671" t="s">
        <v>55</v>
      </c>
      <c r="E4671" t="s">
        <v>2223</v>
      </c>
      <c r="F4671" t="s">
        <v>1247</v>
      </c>
      <c r="G4671" t="s">
        <v>404</v>
      </c>
      <c r="H4671" t="s">
        <v>405</v>
      </c>
      <c r="I4671" t="s">
        <v>405</v>
      </c>
      <c r="J4671" t="s">
        <v>60</v>
      </c>
      <c r="K4671" t="s">
        <v>388</v>
      </c>
      <c r="L4671" t="s">
        <v>62</v>
      </c>
      <c r="M4671" t="s">
        <v>388</v>
      </c>
      <c r="N4671" t="s">
        <v>406</v>
      </c>
      <c r="O4671" t="s">
        <v>407</v>
      </c>
      <c r="P4671">
        <v>-20.162780999999999</v>
      </c>
      <c r="Q4671">
        <v>-44.904437999999999</v>
      </c>
      <c r="R4671" s="2" t="str">
        <f>HYPERLINK("https://www.google.com/maps?q=-20.1627810,-44.9044380","Abrir no Google Maps")</f>
        <v>Abrir no Google Maps</v>
      </c>
      <c r="S4671">
        <v>3</v>
      </c>
      <c r="T4671">
        <v>681.0891377731482</v>
      </c>
      <c r="U4671">
        <v>3</v>
      </c>
      <c r="V4671">
        <v>0.121532797596565</v>
      </c>
      <c r="W4671">
        <v>1</v>
      </c>
      <c r="X4671">
        <v>0.121532797596565</v>
      </c>
      <c r="Y4671">
        <v>729</v>
      </c>
      <c r="Z4671">
        <v>564.17713687218622</v>
      </c>
      <c r="AA4671">
        <v>198</v>
      </c>
      <c r="AB4671">
        <v>332</v>
      </c>
      <c r="AC4671">
        <v>536</v>
      </c>
      <c r="AD4671">
        <v>30.35</v>
      </c>
      <c r="AE4671">
        <v>542</v>
      </c>
      <c r="AF4671">
        <v>37</v>
      </c>
      <c r="AG4671">
        <v>161</v>
      </c>
      <c r="AH4671">
        <v>129</v>
      </c>
      <c r="AI4671">
        <v>6.83</v>
      </c>
      <c r="AJ4671">
        <v>29.7</v>
      </c>
      <c r="AK4671">
        <v>23.8</v>
      </c>
      <c r="AL4671">
        <v>-20.16295434999995</v>
      </c>
      <c r="AM4671">
        <v>-44.904242686956152</v>
      </c>
      <c r="AN4671">
        <v>-20.16295434999995</v>
      </c>
      <c r="AO4671">
        <v>-44.904242686956152</v>
      </c>
      <c r="AP4671">
        <v>-20.162780999999999</v>
      </c>
      <c r="AQ4671">
        <v>-44.904437999999999</v>
      </c>
      <c r="AR4671">
        <v>28.088191280523411</v>
      </c>
      <c r="AS4671" t="s">
        <v>65</v>
      </c>
      <c r="AT4671">
        <v>1</v>
      </c>
      <c r="AU4671" t="s">
        <v>408</v>
      </c>
      <c r="AV4671" t="s">
        <v>409</v>
      </c>
      <c r="AW4671" t="s">
        <v>60</v>
      </c>
      <c r="AX4671" t="s">
        <v>68</v>
      </c>
      <c r="AY4671" t="s">
        <v>69</v>
      </c>
      <c r="AZ4671" t="b">
        <v>1</v>
      </c>
    </row>
    <row r="4672" spans="1:52" x14ac:dyDescent="0.3">
      <c r="A4672" t="s">
        <v>52</v>
      </c>
      <c r="B4672" t="s">
        <v>53</v>
      </c>
      <c r="C4672" t="s">
        <v>54</v>
      </c>
      <c r="D4672" t="s">
        <v>55</v>
      </c>
      <c r="E4672" t="s">
        <v>2223</v>
      </c>
      <c r="F4672" t="s">
        <v>1247</v>
      </c>
      <c r="G4672" t="s">
        <v>1307</v>
      </c>
      <c r="H4672" t="s">
        <v>1308</v>
      </c>
      <c r="I4672" t="s">
        <v>1308</v>
      </c>
      <c r="J4672" t="s">
        <v>60</v>
      </c>
      <c r="K4672" t="s">
        <v>1302</v>
      </c>
      <c r="L4672" t="s">
        <v>62</v>
      </c>
      <c r="M4672" t="s">
        <v>1302</v>
      </c>
      <c r="N4672" t="s">
        <v>558</v>
      </c>
      <c r="O4672" t="s">
        <v>1309</v>
      </c>
      <c r="P4672">
        <v>-20.169051</v>
      </c>
      <c r="Q4672">
        <v>-44.910093000000003</v>
      </c>
      <c r="R4672" s="2" t="str">
        <f>HYPERLINK("https://www.google.com/maps?q=-20.1690510,-44.9100930","Abrir no Google Maps")</f>
        <v>Abrir no Google Maps</v>
      </c>
      <c r="S4672">
        <v>3</v>
      </c>
      <c r="T4672">
        <v>375.90504489887479</v>
      </c>
      <c r="U4672">
        <v>3</v>
      </c>
      <c r="V4672">
        <v>0.13519311070152959</v>
      </c>
      <c r="W4672">
        <v>0.85</v>
      </c>
      <c r="X4672">
        <v>0.1149141440963001</v>
      </c>
      <c r="Y4672">
        <v>723</v>
      </c>
      <c r="Z4672">
        <v>456.19893675176831</v>
      </c>
      <c r="AA4672">
        <v>198</v>
      </c>
      <c r="AB4672">
        <v>332</v>
      </c>
      <c r="AC4672">
        <v>536</v>
      </c>
      <c r="AD4672">
        <v>30.35</v>
      </c>
      <c r="AE4672">
        <v>542</v>
      </c>
      <c r="AF4672">
        <v>37</v>
      </c>
      <c r="AG4672">
        <v>161</v>
      </c>
      <c r="AH4672">
        <v>129</v>
      </c>
      <c r="AI4672">
        <v>6.83</v>
      </c>
      <c r="AJ4672">
        <v>29.7</v>
      </c>
      <c r="AK4672">
        <v>23.8</v>
      </c>
      <c r="AL4672">
        <v>-20.168810949999941</v>
      </c>
      <c r="AM4672">
        <v>-44.910156475447927</v>
      </c>
      <c r="AN4672">
        <v>-20.168810949999941</v>
      </c>
      <c r="AO4672">
        <v>-44.910156475447927</v>
      </c>
      <c r="AP4672">
        <v>-20.169051</v>
      </c>
      <c r="AQ4672">
        <v>-44.910093000000003</v>
      </c>
      <c r="AR4672">
        <v>27.533232396417059</v>
      </c>
      <c r="AS4672" t="s">
        <v>65</v>
      </c>
      <c r="AT4672">
        <v>1</v>
      </c>
      <c r="AU4672" t="s">
        <v>1310</v>
      </c>
      <c r="AV4672" t="s">
        <v>1311</v>
      </c>
      <c r="AW4672" t="s">
        <v>60</v>
      </c>
      <c r="AX4672" t="s">
        <v>68</v>
      </c>
      <c r="AY4672" t="s">
        <v>69</v>
      </c>
      <c r="AZ4672" t="b">
        <v>1</v>
      </c>
    </row>
    <row r="4673" spans="1:52" x14ac:dyDescent="0.3">
      <c r="A4673" t="s">
        <v>52</v>
      </c>
      <c r="B4673" t="s">
        <v>53</v>
      </c>
      <c r="C4673" t="s">
        <v>54</v>
      </c>
      <c r="D4673" t="s">
        <v>55</v>
      </c>
      <c r="E4673" t="s">
        <v>2223</v>
      </c>
      <c r="F4673" t="s">
        <v>1247</v>
      </c>
      <c r="G4673" t="s">
        <v>422</v>
      </c>
      <c r="H4673" t="s">
        <v>423</v>
      </c>
      <c r="I4673" t="s">
        <v>423</v>
      </c>
      <c r="J4673" t="s">
        <v>60</v>
      </c>
      <c r="K4673" t="s">
        <v>424</v>
      </c>
      <c r="L4673" t="s">
        <v>62</v>
      </c>
      <c r="M4673" t="s">
        <v>424</v>
      </c>
      <c r="N4673" t="s">
        <v>425</v>
      </c>
      <c r="O4673" t="s">
        <v>426</v>
      </c>
      <c r="P4673">
        <v>-20.177748000000001</v>
      </c>
      <c r="Q4673">
        <v>-44.912475000000001</v>
      </c>
      <c r="R4673" s="2" t="str">
        <f>HYPERLINK("https://www.google.com/maps?q=-20.1777480,-44.9124750","Abrir no Google Maps")</f>
        <v>Abrir no Google Maps</v>
      </c>
      <c r="S4673">
        <v>3</v>
      </c>
      <c r="T4673">
        <v>657.07560140436533</v>
      </c>
      <c r="U4673">
        <v>3</v>
      </c>
      <c r="V4673">
        <v>0.1208739816712948</v>
      </c>
      <c r="W4673">
        <v>1</v>
      </c>
      <c r="X4673">
        <v>0.1208739816712948</v>
      </c>
      <c r="Y4673">
        <v>723</v>
      </c>
      <c r="Z4673">
        <v>796.94198000561175</v>
      </c>
      <c r="AA4673">
        <v>198</v>
      </c>
      <c r="AB4673">
        <v>332</v>
      </c>
      <c r="AC4673">
        <v>536</v>
      </c>
      <c r="AD4673">
        <v>30.35</v>
      </c>
      <c r="AE4673">
        <v>542</v>
      </c>
      <c r="AF4673">
        <v>37</v>
      </c>
      <c r="AG4673">
        <v>161</v>
      </c>
      <c r="AH4673">
        <v>129</v>
      </c>
      <c r="AI4673">
        <v>6.83</v>
      </c>
      <c r="AJ4673">
        <v>29.7</v>
      </c>
      <c r="AK4673">
        <v>23.8</v>
      </c>
      <c r="AL4673">
        <v>-20.177761749999949</v>
      </c>
      <c r="AM4673">
        <v>-44.91263311624418</v>
      </c>
      <c r="AN4673">
        <v>-20.177761749999949</v>
      </c>
      <c r="AO4673">
        <v>-44.91263311624418</v>
      </c>
      <c r="AP4673">
        <v>-20.177748000000001</v>
      </c>
      <c r="AQ4673">
        <v>-44.912475000000001</v>
      </c>
      <c r="AR4673">
        <v>16.591996803075372</v>
      </c>
      <c r="AS4673" t="s">
        <v>65</v>
      </c>
      <c r="AT4673">
        <v>1</v>
      </c>
      <c r="AU4673" t="s">
        <v>427</v>
      </c>
      <c r="AV4673" t="s">
        <v>428</v>
      </c>
      <c r="AW4673" t="s">
        <v>60</v>
      </c>
      <c r="AX4673" t="s">
        <v>68</v>
      </c>
      <c r="AY4673" t="s">
        <v>69</v>
      </c>
      <c r="AZ4673" t="b">
        <v>1</v>
      </c>
    </row>
    <row r="4674" spans="1:52" x14ac:dyDescent="0.3">
      <c r="A4674" t="s">
        <v>52</v>
      </c>
      <c r="B4674" t="s">
        <v>53</v>
      </c>
      <c r="C4674" t="s">
        <v>54</v>
      </c>
      <c r="D4674" t="s">
        <v>55</v>
      </c>
      <c r="E4674" t="s">
        <v>2223</v>
      </c>
      <c r="F4674" t="s">
        <v>1247</v>
      </c>
      <c r="G4674" t="s">
        <v>429</v>
      </c>
      <c r="H4674" t="s">
        <v>430</v>
      </c>
      <c r="I4674" t="s">
        <v>430</v>
      </c>
      <c r="J4674" t="s">
        <v>60</v>
      </c>
      <c r="K4674" t="s">
        <v>431</v>
      </c>
      <c r="L4674" t="s">
        <v>62</v>
      </c>
      <c r="M4674" t="s">
        <v>431</v>
      </c>
      <c r="N4674" t="s">
        <v>432</v>
      </c>
      <c r="O4674" t="s">
        <v>315</v>
      </c>
      <c r="P4674">
        <v>-20.172698</v>
      </c>
      <c r="Q4674">
        <v>-44.923842</v>
      </c>
      <c r="R4674" s="2" t="str">
        <f>HYPERLINK("https://www.google.com/maps?q=-20.1726980,-44.9238420","Abrir no Google Maps")</f>
        <v>Abrir no Google Maps</v>
      </c>
      <c r="S4674">
        <v>3</v>
      </c>
      <c r="T4674">
        <v>1376.1843173402931</v>
      </c>
      <c r="U4674">
        <v>3</v>
      </c>
      <c r="V4674">
        <v>0.13503344146741961</v>
      </c>
      <c r="W4674">
        <v>0.85</v>
      </c>
      <c r="X4674">
        <v>0.11477842524730671</v>
      </c>
      <c r="Y4674">
        <v>723</v>
      </c>
      <c r="Z4674">
        <v>1101.340635002096</v>
      </c>
      <c r="AA4674">
        <v>198</v>
      </c>
      <c r="AB4674">
        <v>332</v>
      </c>
      <c r="AC4674">
        <v>536</v>
      </c>
      <c r="AD4674">
        <v>30.35</v>
      </c>
      <c r="AE4674">
        <v>542</v>
      </c>
      <c r="AF4674">
        <v>37</v>
      </c>
      <c r="AG4674">
        <v>161</v>
      </c>
      <c r="AH4674">
        <v>129</v>
      </c>
      <c r="AI4674">
        <v>6.83</v>
      </c>
      <c r="AJ4674">
        <v>29.7</v>
      </c>
      <c r="AK4674">
        <v>23.8</v>
      </c>
      <c r="AL4674">
        <v>-20.172942799999959</v>
      </c>
      <c r="AM4674">
        <v>-44.923585372665762</v>
      </c>
      <c r="AN4674">
        <v>-20.172942799999959</v>
      </c>
      <c r="AO4674">
        <v>-44.923585372665762</v>
      </c>
      <c r="AP4674">
        <v>-20.172698</v>
      </c>
      <c r="AQ4674">
        <v>-44.923842</v>
      </c>
      <c r="AR4674">
        <v>38.231981408478958</v>
      </c>
      <c r="AS4674" t="s">
        <v>65</v>
      </c>
      <c r="AT4674">
        <v>1</v>
      </c>
      <c r="AU4674" t="s">
        <v>433</v>
      </c>
      <c r="AV4674" t="s">
        <v>434</v>
      </c>
      <c r="AW4674" t="s">
        <v>60</v>
      </c>
      <c r="AX4674" t="s">
        <v>68</v>
      </c>
      <c r="AY4674" t="s">
        <v>69</v>
      </c>
      <c r="AZ4674" t="b">
        <v>1</v>
      </c>
    </row>
    <row r="4675" spans="1:52" x14ac:dyDescent="0.3">
      <c r="A4675" t="s">
        <v>52</v>
      </c>
      <c r="B4675" t="s">
        <v>53</v>
      </c>
      <c r="C4675" t="s">
        <v>54</v>
      </c>
      <c r="D4675" t="s">
        <v>55</v>
      </c>
      <c r="E4675" t="s">
        <v>2223</v>
      </c>
      <c r="F4675" t="s">
        <v>1247</v>
      </c>
      <c r="G4675" t="s">
        <v>435</v>
      </c>
      <c r="H4675" t="s">
        <v>436</v>
      </c>
      <c r="I4675" t="s">
        <v>436</v>
      </c>
      <c r="J4675" t="s">
        <v>60</v>
      </c>
      <c r="K4675" t="s">
        <v>437</v>
      </c>
      <c r="L4675" t="s">
        <v>62</v>
      </c>
      <c r="M4675" t="s">
        <v>437</v>
      </c>
      <c r="N4675" t="s">
        <v>438</v>
      </c>
      <c r="O4675" t="s">
        <v>439</v>
      </c>
      <c r="P4675">
        <v>-20.145613000000001</v>
      </c>
      <c r="Q4675">
        <v>-44.882375000000003</v>
      </c>
      <c r="R4675" s="2" t="str">
        <f>HYPERLINK("https://www.google.com/maps?q=-20.1456130,-44.8823750","Abrir no Google Maps")</f>
        <v>Abrir no Google Maps</v>
      </c>
      <c r="S4675">
        <v>3</v>
      </c>
      <c r="T4675">
        <v>305.65092112314198</v>
      </c>
      <c r="U4675">
        <v>3</v>
      </c>
      <c r="V4675">
        <v>0.1186240338222717</v>
      </c>
      <c r="W4675">
        <v>1</v>
      </c>
      <c r="X4675">
        <v>0.1186240338222717</v>
      </c>
      <c r="Y4675">
        <v>653</v>
      </c>
      <c r="Z4675">
        <v>349.55297035282501</v>
      </c>
      <c r="AA4675">
        <v>198</v>
      </c>
      <c r="AB4675">
        <v>332</v>
      </c>
      <c r="AC4675">
        <v>536</v>
      </c>
      <c r="AD4675">
        <v>30.35</v>
      </c>
      <c r="AE4675">
        <v>542</v>
      </c>
      <c r="AF4675">
        <v>37</v>
      </c>
      <c r="AG4675">
        <v>161</v>
      </c>
      <c r="AH4675">
        <v>129</v>
      </c>
      <c r="AI4675">
        <v>6.83</v>
      </c>
      <c r="AJ4675">
        <v>29.7</v>
      </c>
      <c r="AK4675">
        <v>23.8</v>
      </c>
      <c r="AL4675">
        <v>-20.14550464999996</v>
      </c>
      <c r="AM4675">
        <v>-44.882157007077737</v>
      </c>
      <c r="AN4675">
        <v>-20.14550464999996</v>
      </c>
      <c r="AO4675">
        <v>-44.882157007077737</v>
      </c>
      <c r="AP4675">
        <v>-20.145613000000001</v>
      </c>
      <c r="AQ4675">
        <v>-44.882375000000003</v>
      </c>
      <c r="AR4675">
        <v>25.77819791856259</v>
      </c>
      <c r="AS4675" t="s">
        <v>65</v>
      </c>
      <c r="AT4675">
        <v>1</v>
      </c>
      <c r="AU4675" t="s">
        <v>440</v>
      </c>
      <c r="AV4675" t="s">
        <v>441</v>
      </c>
      <c r="AW4675" t="s">
        <v>60</v>
      </c>
      <c r="AX4675" t="s">
        <v>68</v>
      </c>
      <c r="AY4675" t="s">
        <v>69</v>
      </c>
      <c r="AZ4675" t="b">
        <v>1</v>
      </c>
    </row>
    <row r="4676" spans="1:52" x14ac:dyDescent="0.3">
      <c r="A4676" t="s">
        <v>52</v>
      </c>
      <c r="B4676" t="s">
        <v>53</v>
      </c>
      <c r="C4676" t="s">
        <v>54</v>
      </c>
      <c r="D4676" t="s">
        <v>55</v>
      </c>
      <c r="E4676" t="s">
        <v>2223</v>
      </c>
      <c r="F4676" t="s">
        <v>1247</v>
      </c>
      <c r="G4676" t="s">
        <v>1333</v>
      </c>
      <c r="H4676" t="s">
        <v>1334</v>
      </c>
      <c r="I4676" t="s">
        <v>1334</v>
      </c>
      <c r="J4676" t="s">
        <v>60</v>
      </c>
      <c r="K4676" t="s">
        <v>437</v>
      </c>
      <c r="L4676" t="s">
        <v>62</v>
      </c>
      <c r="M4676" t="s">
        <v>437</v>
      </c>
      <c r="N4676" t="s">
        <v>1335</v>
      </c>
      <c r="O4676" t="s">
        <v>807</v>
      </c>
      <c r="P4676">
        <v>-20.148</v>
      </c>
      <c r="Q4676">
        <v>-44.880944999999997</v>
      </c>
      <c r="R4676" s="2" t="str">
        <f>HYPERLINK("https://www.google.com/maps?q=-20.1480000,-44.8809450","Abrir no Google Maps")</f>
        <v>Abrir no Google Maps</v>
      </c>
      <c r="S4676">
        <v>3</v>
      </c>
      <c r="T4676">
        <v>0</v>
      </c>
      <c r="U4676">
        <v>3</v>
      </c>
      <c r="V4676">
        <v>0.1319549081980021</v>
      </c>
      <c r="W4676">
        <v>0.85</v>
      </c>
      <c r="X4676">
        <v>0.1121616719683018</v>
      </c>
      <c r="Y4676">
        <v>653</v>
      </c>
      <c r="Z4676">
        <v>108.2792411420544</v>
      </c>
      <c r="AA4676">
        <v>198</v>
      </c>
      <c r="AB4676">
        <v>332</v>
      </c>
      <c r="AC4676">
        <v>536</v>
      </c>
      <c r="AD4676">
        <v>30.35</v>
      </c>
      <c r="AE4676">
        <v>542</v>
      </c>
      <c r="AF4676">
        <v>37</v>
      </c>
      <c r="AG4676">
        <v>161</v>
      </c>
      <c r="AH4676">
        <v>129</v>
      </c>
      <c r="AI4676">
        <v>6.83</v>
      </c>
      <c r="AJ4676">
        <v>29.7</v>
      </c>
      <c r="AK4676">
        <v>23.8</v>
      </c>
      <c r="AL4676">
        <v>-20.14802099999994</v>
      </c>
      <c r="AM4676">
        <v>-44.880951206225959</v>
      </c>
      <c r="AN4676">
        <v>-20.14802099999994</v>
      </c>
      <c r="AO4676">
        <v>-44.880951206225959</v>
      </c>
      <c r="AP4676">
        <v>-20.148</v>
      </c>
      <c r="AQ4676">
        <v>-44.880944999999997</v>
      </c>
      <c r="AR4676">
        <v>2.4260288619737169</v>
      </c>
      <c r="AS4676" t="s">
        <v>65</v>
      </c>
      <c r="AT4676">
        <v>1</v>
      </c>
      <c r="AU4676" t="s">
        <v>1336</v>
      </c>
      <c r="AV4676" t="s">
        <v>1337</v>
      </c>
      <c r="AW4676" t="s">
        <v>60</v>
      </c>
      <c r="AX4676" t="s">
        <v>68</v>
      </c>
      <c r="AY4676" t="s">
        <v>69</v>
      </c>
      <c r="AZ4676" t="b">
        <v>1</v>
      </c>
    </row>
    <row r="4677" spans="1:52" x14ac:dyDescent="0.3">
      <c r="A4677" t="s">
        <v>52</v>
      </c>
      <c r="B4677" t="s">
        <v>53</v>
      </c>
      <c r="C4677" t="s">
        <v>54</v>
      </c>
      <c r="D4677" t="s">
        <v>55</v>
      </c>
      <c r="E4677" t="s">
        <v>2223</v>
      </c>
      <c r="F4677" t="s">
        <v>1247</v>
      </c>
      <c r="G4677" t="s">
        <v>448</v>
      </c>
      <c r="H4677" t="s">
        <v>449</v>
      </c>
      <c r="I4677" t="s">
        <v>449</v>
      </c>
      <c r="J4677" t="s">
        <v>60</v>
      </c>
      <c r="K4677" t="s">
        <v>388</v>
      </c>
      <c r="L4677" t="s">
        <v>62</v>
      </c>
      <c r="M4677" t="s">
        <v>388</v>
      </c>
      <c r="N4677" t="s">
        <v>450</v>
      </c>
      <c r="O4677" t="s">
        <v>451</v>
      </c>
      <c r="P4677">
        <v>-20.163981</v>
      </c>
      <c r="Q4677">
        <v>-44.907128999999998</v>
      </c>
      <c r="R4677" s="2" t="str">
        <f>HYPERLINK("https://www.google.com/maps?q=-20.1639810,-44.9071290","Abrir no Google Maps")</f>
        <v>Abrir no Google Maps</v>
      </c>
      <c r="S4677">
        <v>3</v>
      </c>
      <c r="T4677">
        <v>782.50730806588319</v>
      </c>
      <c r="U4677">
        <v>3</v>
      </c>
      <c r="V4677">
        <v>0.1140068198855429</v>
      </c>
      <c r="W4677">
        <v>1</v>
      </c>
      <c r="X4677">
        <v>0.1140068198855429</v>
      </c>
      <c r="Y4677">
        <v>639</v>
      </c>
      <c r="Z4677">
        <v>710.90621453796166</v>
      </c>
      <c r="AA4677">
        <v>198</v>
      </c>
      <c r="AB4677">
        <v>332</v>
      </c>
      <c r="AC4677">
        <v>536</v>
      </c>
      <c r="AD4677">
        <v>30.35</v>
      </c>
      <c r="AE4677">
        <v>542</v>
      </c>
      <c r="AF4677">
        <v>37</v>
      </c>
      <c r="AG4677">
        <v>161</v>
      </c>
      <c r="AH4677">
        <v>129</v>
      </c>
      <c r="AI4677">
        <v>6.83</v>
      </c>
      <c r="AJ4677">
        <v>29.7</v>
      </c>
      <c r="AK4677">
        <v>23.8</v>
      </c>
      <c r="AL4677">
        <v>-20.163958349999969</v>
      </c>
      <c r="AM4677">
        <v>-44.907180923930973</v>
      </c>
      <c r="AN4677">
        <v>-20.163958349999969</v>
      </c>
      <c r="AO4677">
        <v>-44.907180923930973</v>
      </c>
      <c r="AP4677">
        <v>-20.163981</v>
      </c>
      <c r="AQ4677">
        <v>-44.907128999999998</v>
      </c>
      <c r="AR4677">
        <v>5.9831345092457884</v>
      </c>
      <c r="AS4677" t="s">
        <v>65</v>
      </c>
      <c r="AT4677">
        <v>1</v>
      </c>
      <c r="AU4677" t="s">
        <v>452</v>
      </c>
      <c r="AV4677" t="s">
        <v>453</v>
      </c>
      <c r="AW4677" t="s">
        <v>60</v>
      </c>
      <c r="AX4677" t="s">
        <v>68</v>
      </c>
      <c r="AY4677" t="s">
        <v>69</v>
      </c>
      <c r="AZ4677" t="b">
        <v>1</v>
      </c>
    </row>
    <row r="4678" spans="1:52" x14ac:dyDescent="0.3">
      <c r="A4678" t="s">
        <v>52</v>
      </c>
      <c r="B4678" t="s">
        <v>53</v>
      </c>
      <c r="C4678" t="s">
        <v>54</v>
      </c>
      <c r="D4678" t="s">
        <v>55</v>
      </c>
      <c r="E4678" t="s">
        <v>2223</v>
      </c>
      <c r="F4678" t="s">
        <v>1247</v>
      </c>
      <c r="G4678" t="s">
        <v>454</v>
      </c>
      <c r="H4678" t="s">
        <v>455</v>
      </c>
      <c r="I4678" t="s">
        <v>455</v>
      </c>
      <c r="J4678" t="s">
        <v>60</v>
      </c>
      <c r="K4678" t="s">
        <v>456</v>
      </c>
      <c r="L4678" t="s">
        <v>62</v>
      </c>
      <c r="M4678" t="s">
        <v>456</v>
      </c>
      <c r="N4678" t="s">
        <v>102</v>
      </c>
      <c r="O4678" t="s">
        <v>457</v>
      </c>
      <c r="P4678">
        <v>-20.138373999999999</v>
      </c>
      <c r="Q4678">
        <v>-44.903756999999999</v>
      </c>
      <c r="R4678" s="2" t="str">
        <f>HYPERLINK("https://www.google.com/maps?q=-20.1383740,-44.9037570","Abrir no Google Maps")</f>
        <v>Abrir no Google Maps</v>
      </c>
      <c r="S4678">
        <v>3</v>
      </c>
      <c r="T4678">
        <v>357.59466273594461</v>
      </c>
      <c r="U4678">
        <v>3</v>
      </c>
      <c r="V4678">
        <v>0.1189153439153439</v>
      </c>
      <c r="W4678">
        <v>1</v>
      </c>
      <c r="X4678">
        <v>0.1189153439153439</v>
      </c>
      <c r="Y4678">
        <v>581</v>
      </c>
      <c r="Z4678">
        <v>406.92482694505992</v>
      </c>
      <c r="AA4678">
        <v>198</v>
      </c>
      <c r="AB4678">
        <v>332</v>
      </c>
      <c r="AC4678">
        <v>536</v>
      </c>
      <c r="AD4678">
        <v>30.35</v>
      </c>
      <c r="AE4678">
        <v>542</v>
      </c>
      <c r="AF4678">
        <v>37</v>
      </c>
      <c r="AG4678">
        <v>161</v>
      </c>
      <c r="AH4678">
        <v>129</v>
      </c>
      <c r="AI4678">
        <v>6.83</v>
      </c>
      <c r="AJ4678">
        <v>29.7</v>
      </c>
      <c r="AK4678">
        <v>23.8</v>
      </c>
      <c r="AL4678">
        <v>-20.138338199999961</v>
      </c>
      <c r="AM4678">
        <v>-44.903768618976301</v>
      </c>
      <c r="AN4678">
        <v>-20.138338199999961</v>
      </c>
      <c r="AO4678">
        <v>-44.903768618976301</v>
      </c>
      <c r="AP4678">
        <v>-20.138373999999999</v>
      </c>
      <c r="AQ4678">
        <v>-44.903756999999999</v>
      </c>
      <c r="AR4678">
        <v>4.1661625938922704</v>
      </c>
      <c r="AS4678" t="s">
        <v>65</v>
      </c>
      <c r="AT4678">
        <v>1</v>
      </c>
      <c r="AU4678" t="s">
        <v>458</v>
      </c>
      <c r="AV4678" t="s">
        <v>459</v>
      </c>
      <c r="AW4678" t="s">
        <v>60</v>
      </c>
      <c r="AX4678" t="s">
        <v>68</v>
      </c>
      <c r="AY4678" t="s">
        <v>69</v>
      </c>
      <c r="AZ4678" t="b">
        <v>1</v>
      </c>
    </row>
    <row r="4679" spans="1:52" x14ac:dyDescent="0.3">
      <c r="A4679" t="s">
        <v>52</v>
      </c>
      <c r="B4679" t="s">
        <v>53</v>
      </c>
      <c r="C4679" t="s">
        <v>54</v>
      </c>
      <c r="D4679" t="s">
        <v>55</v>
      </c>
      <c r="E4679" t="s">
        <v>2223</v>
      </c>
      <c r="F4679" t="s">
        <v>1247</v>
      </c>
      <c r="G4679" t="s">
        <v>1342</v>
      </c>
      <c r="H4679" t="s">
        <v>1343</v>
      </c>
      <c r="I4679" t="s">
        <v>1343</v>
      </c>
      <c r="J4679" t="s">
        <v>60</v>
      </c>
      <c r="K4679" t="s">
        <v>462</v>
      </c>
      <c r="L4679" t="s">
        <v>62</v>
      </c>
      <c r="M4679" t="s">
        <v>462</v>
      </c>
      <c r="N4679" t="s">
        <v>921</v>
      </c>
      <c r="O4679" t="s">
        <v>1344</v>
      </c>
      <c r="P4679">
        <v>-20.137526000000001</v>
      </c>
      <c r="Q4679">
        <v>-44.912452999999999</v>
      </c>
      <c r="R4679" s="2" t="str">
        <f>HYPERLINK("https://www.google.com/maps?q=-20.1375260,-44.9124530","Abrir no Google Maps")</f>
        <v>Abrir no Google Maps</v>
      </c>
      <c r="S4679">
        <v>3</v>
      </c>
      <c r="T4679">
        <v>446.95091416730708</v>
      </c>
      <c r="U4679">
        <v>3</v>
      </c>
      <c r="V4679">
        <v>0.13891914790607601</v>
      </c>
      <c r="W4679">
        <v>0.85</v>
      </c>
      <c r="X4679">
        <v>0.11808127572016459</v>
      </c>
      <c r="Y4679">
        <v>581</v>
      </c>
      <c r="Z4679">
        <v>507.4747778269288</v>
      </c>
      <c r="AA4679">
        <v>198</v>
      </c>
      <c r="AB4679">
        <v>332</v>
      </c>
      <c r="AC4679">
        <v>536</v>
      </c>
      <c r="AD4679">
        <v>30.35</v>
      </c>
      <c r="AE4679">
        <v>542</v>
      </c>
      <c r="AF4679">
        <v>37</v>
      </c>
      <c r="AG4679">
        <v>161</v>
      </c>
      <c r="AH4679">
        <v>129</v>
      </c>
      <c r="AI4679">
        <v>6.83</v>
      </c>
      <c r="AJ4679">
        <v>29.7</v>
      </c>
      <c r="AK4679">
        <v>23.8</v>
      </c>
      <c r="AL4679">
        <v>-20.136672649999959</v>
      </c>
      <c r="AM4679">
        <v>-44.911825104396357</v>
      </c>
      <c r="AN4679">
        <v>-20.136672649999959</v>
      </c>
      <c r="AO4679">
        <v>-44.911825104396357</v>
      </c>
      <c r="AP4679">
        <v>-20.137526000000001</v>
      </c>
      <c r="AQ4679">
        <v>-44.912452999999999</v>
      </c>
      <c r="AR4679">
        <v>115.45843265992529</v>
      </c>
      <c r="AS4679" t="s">
        <v>65</v>
      </c>
      <c r="AT4679">
        <v>1</v>
      </c>
      <c r="AU4679" t="s">
        <v>1345</v>
      </c>
      <c r="AV4679" t="s">
        <v>1346</v>
      </c>
      <c r="AW4679" t="s">
        <v>60</v>
      </c>
      <c r="AX4679" t="s">
        <v>68</v>
      </c>
      <c r="AY4679" t="s">
        <v>69</v>
      </c>
      <c r="AZ4679" t="b">
        <v>1</v>
      </c>
    </row>
    <row r="4680" spans="1:52" x14ac:dyDescent="0.3">
      <c r="A4680" t="s">
        <v>52</v>
      </c>
      <c r="B4680" t="s">
        <v>53</v>
      </c>
      <c r="C4680" t="s">
        <v>54</v>
      </c>
      <c r="D4680" t="s">
        <v>55</v>
      </c>
      <c r="E4680" t="s">
        <v>2223</v>
      </c>
      <c r="F4680" t="s">
        <v>1247</v>
      </c>
      <c r="G4680" t="s">
        <v>1347</v>
      </c>
      <c r="H4680" t="s">
        <v>1348</v>
      </c>
      <c r="I4680" t="s">
        <v>1348</v>
      </c>
      <c r="J4680" t="s">
        <v>60</v>
      </c>
      <c r="K4680" t="s">
        <v>1349</v>
      </c>
      <c r="L4680" t="s">
        <v>62</v>
      </c>
      <c r="M4680" t="s">
        <v>1349</v>
      </c>
      <c r="N4680" t="s">
        <v>1350</v>
      </c>
      <c r="O4680" t="s">
        <v>1351</v>
      </c>
      <c r="P4680">
        <v>-20.140426999999999</v>
      </c>
      <c r="Q4680">
        <v>-44.905327999999997</v>
      </c>
      <c r="R4680" s="2" t="str">
        <f>HYPERLINK("https://www.google.com/maps?q=-20.1404270,-44.9053280","Abrir no Google Maps")</f>
        <v>Abrir no Google Maps</v>
      </c>
      <c r="S4680">
        <v>3</v>
      </c>
      <c r="T4680">
        <v>359.5810968231857</v>
      </c>
      <c r="U4680">
        <v>3</v>
      </c>
      <c r="V4680">
        <v>0.13447402626507099</v>
      </c>
      <c r="W4680">
        <v>0.85</v>
      </c>
      <c r="X4680">
        <v>0.11430292232531029</v>
      </c>
      <c r="Y4680">
        <v>581</v>
      </c>
      <c r="Z4680">
        <v>292.370097058873</v>
      </c>
      <c r="AA4680">
        <v>198</v>
      </c>
      <c r="AB4680">
        <v>332</v>
      </c>
      <c r="AC4680">
        <v>536</v>
      </c>
      <c r="AD4680">
        <v>30.35</v>
      </c>
      <c r="AE4680">
        <v>542</v>
      </c>
      <c r="AF4680">
        <v>37</v>
      </c>
      <c r="AG4680">
        <v>161</v>
      </c>
      <c r="AH4680">
        <v>129</v>
      </c>
      <c r="AI4680">
        <v>6.83</v>
      </c>
      <c r="AJ4680">
        <v>29.7</v>
      </c>
      <c r="AK4680">
        <v>23.8</v>
      </c>
      <c r="AL4680">
        <v>-20.140465449999969</v>
      </c>
      <c r="AM4680">
        <v>-44.905317129037229</v>
      </c>
      <c r="AN4680">
        <v>-20.140465449999969</v>
      </c>
      <c r="AO4680">
        <v>-44.905317129037229</v>
      </c>
      <c r="AP4680">
        <v>-20.140426999999999</v>
      </c>
      <c r="AQ4680">
        <v>-44.905327999999997</v>
      </c>
      <c r="AR4680">
        <v>4.4284788644958706</v>
      </c>
      <c r="AS4680" t="s">
        <v>65</v>
      </c>
      <c r="AT4680">
        <v>1</v>
      </c>
      <c r="AU4680" t="s">
        <v>1352</v>
      </c>
      <c r="AV4680" t="s">
        <v>1353</v>
      </c>
      <c r="AW4680" t="s">
        <v>60</v>
      </c>
      <c r="AX4680" t="s">
        <v>68</v>
      </c>
      <c r="AY4680" t="s">
        <v>69</v>
      </c>
      <c r="AZ4680" t="b">
        <v>1</v>
      </c>
    </row>
    <row r="4681" spans="1:52" x14ac:dyDescent="0.3">
      <c r="A4681" t="s">
        <v>52</v>
      </c>
      <c r="B4681" t="s">
        <v>53</v>
      </c>
      <c r="C4681" t="s">
        <v>54</v>
      </c>
      <c r="D4681" t="s">
        <v>55</v>
      </c>
      <c r="E4681" t="s">
        <v>2223</v>
      </c>
      <c r="F4681" t="s">
        <v>1247</v>
      </c>
      <c r="G4681" t="s">
        <v>851</v>
      </c>
      <c r="H4681" t="s">
        <v>852</v>
      </c>
      <c r="I4681" t="s">
        <v>852</v>
      </c>
      <c r="J4681" t="s">
        <v>60</v>
      </c>
      <c r="K4681" t="s">
        <v>853</v>
      </c>
      <c r="L4681" t="s">
        <v>62</v>
      </c>
      <c r="M4681" t="s">
        <v>853</v>
      </c>
      <c r="N4681" t="s">
        <v>854</v>
      </c>
      <c r="O4681" t="s">
        <v>855</v>
      </c>
      <c r="P4681">
        <v>-20.127835000000001</v>
      </c>
      <c r="Q4681">
        <v>-44.909329</v>
      </c>
      <c r="R4681" s="2" t="str">
        <f>HYPERLINK("https://www.google.com/maps?q=-20.1278350,-44.9093290","Abrir no Google Maps")</f>
        <v>Abrir no Google Maps</v>
      </c>
      <c r="S4681">
        <v>3</v>
      </c>
      <c r="T4681">
        <v>1173.033690896357</v>
      </c>
      <c r="U4681">
        <v>3</v>
      </c>
      <c r="V4681">
        <v>0.1154203657333636</v>
      </c>
      <c r="W4681">
        <v>1</v>
      </c>
      <c r="X4681">
        <v>0.1154203657333636</v>
      </c>
      <c r="Y4681">
        <v>581</v>
      </c>
      <c r="Z4681">
        <v>1296.5011565926129</v>
      </c>
      <c r="AA4681">
        <v>198</v>
      </c>
      <c r="AB4681">
        <v>332</v>
      </c>
      <c r="AC4681">
        <v>536</v>
      </c>
      <c r="AD4681">
        <v>30.35</v>
      </c>
      <c r="AE4681">
        <v>542</v>
      </c>
      <c r="AF4681">
        <v>37</v>
      </c>
      <c r="AG4681">
        <v>161</v>
      </c>
      <c r="AH4681">
        <v>129</v>
      </c>
      <c r="AI4681">
        <v>6.83</v>
      </c>
      <c r="AJ4681">
        <v>29.7</v>
      </c>
      <c r="AK4681">
        <v>23.8</v>
      </c>
      <c r="AL4681">
        <v>-20.127852899999969</v>
      </c>
      <c r="AM4681">
        <v>-44.909386667699948</v>
      </c>
      <c r="AN4681">
        <v>-20.127852899999969</v>
      </c>
      <c r="AO4681">
        <v>-44.909386667699948</v>
      </c>
      <c r="AP4681">
        <v>-20.127835000000001</v>
      </c>
      <c r="AQ4681">
        <v>-44.909329</v>
      </c>
      <c r="AR4681">
        <v>6.3483385067119924</v>
      </c>
      <c r="AS4681" t="s">
        <v>65</v>
      </c>
      <c r="AT4681">
        <v>1</v>
      </c>
      <c r="AU4681" t="s">
        <v>856</v>
      </c>
      <c r="AV4681" t="s">
        <v>857</v>
      </c>
      <c r="AW4681" t="s">
        <v>60</v>
      </c>
      <c r="AX4681" t="s">
        <v>68</v>
      </c>
      <c r="AY4681" t="s">
        <v>69</v>
      </c>
      <c r="AZ4681" t="b">
        <v>1</v>
      </c>
    </row>
    <row r="4682" spans="1:52" x14ac:dyDescent="0.3">
      <c r="A4682" t="s">
        <v>52</v>
      </c>
      <c r="B4682" t="s">
        <v>53</v>
      </c>
      <c r="C4682" t="s">
        <v>54</v>
      </c>
      <c r="D4682" t="s">
        <v>55</v>
      </c>
      <c r="E4682" t="s">
        <v>2223</v>
      </c>
      <c r="F4682" t="s">
        <v>1247</v>
      </c>
      <c r="G4682" t="s">
        <v>864</v>
      </c>
      <c r="H4682" t="s">
        <v>865</v>
      </c>
      <c r="I4682" t="s">
        <v>865</v>
      </c>
      <c r="J4682" t="s">
        <v>60</v>
      </c>
      <c r="K4682" t="s">
        <v>486</v>
      </c>
      <c r="L4682" t="s">
        <v>62</v>
      </c>
      <c r="M4682" t="s">
        <v>486</v>
      </c>
      <c r="N4682" t="s">
        <v>866</v>
      </c>
      <c r="O4682" t="s">
        <v>867</v>
      </c>
      <c r="P4682">
        <v>-20.170919000000001</v>
      </c>
      <c r="Q4682">
        <v>-44.905451999999997</v>
      </c>
      <c r="R4682" s="2" t="str">
        <f>HYPERLINK("https://www.google.com/maps?q=-20.1709190,-44.9054520","Abrir no Google Maps")</f>
        <v>Abrir no Google Maps</v>
      </c>
      <c r="S4682">
        <v>3</v>
      </c>
      <c r="T4682">
        <v>0</v>
      </c>
      <c r="U4682">
        <v>3</v>
      </c>
      <c r="V4682">
        <v>0.1170871432880166</v>
      </c>
      <c r="W4682">
        <v>1</v>
      </c>
      <c r="X4682">
        <v>0.1170871432880166</v>
      </c>
      <c r="Y4682">
        <v>578</v>
      </c>
      <c r="Z4682">
        <v>205.34598855748419</v>
      </c>
      <c r="AA4682">
        <v>198</v>
      </c>
      <c r="AB4682">
        <v>332</v>
      </c>
      <c r="AC4682">
        <v>536</v>
      </c>
      <c r="AD4682">
        <v>30.35</v>
      </c>
      <c r="AE4682">
        <v>542</v>
      </c>
      <c r="AF4682">
        <v>37</v>
      </c>
      <c r="AG4682">
        <v>161</v>
      </c>
      <c r="AH4682">
        <v>129</v>
      </c>
      <c r="AI4682">
        <v>6.83</v>
      </c>
      <c r="AJ4682">
        <v>29.7</v>
      </c>
      <c r="AK4682">
        <v>23.8</v>
      </c>
      <c r="AL4682">
        <v>-20.170854399999939</v>
      </c>
      <c r="AM4682">
        <v>-44.905524839633358</v>
      </c>
      <c r="AN4682">
        <v>-20.170854399999939</v>
      </c>
      <c r="AO4682">
        <v>-44.905524839633358</v>
      </c>
      <c r="AP4682">
        <v>-20.170919000000001</v>
      </c>
      <c r="AQ4682">
        <v>-44.905451999999997</v>
      </c>
      <c r="AR4682">
        <v>10.471140355179269</v>
      </c>
      <c r="AS4682" t="s">
        <v>65</v>
      </c>
      <c r="AT4682">
        <v>1</v>
      </c>
      <c r="AU4682" t="s">
        <v>868</v>
      </c>
      <c r="AV4682" t="s">
        <v>869</v>
      </c>
      <c r="AW4682" t="s">
        <v>60</v>
      </c>
      <c r="AX4682" t="s">
        <v>68</v>
      </c>
      <c r="AY4682" t="s">
        <v>69</v>
      </c>
      <c r="AZ4682" t="b">
        <v>1</v>
      </c>
    </row>
    <row r="4683" spans="1:52" x14ac:dyDescent="0.3">
      <c r="A4683" t="s">
        <v>52</v>
      </c>
      <c r="B4683" t="s">
        <v>53</v>
      </c>
      <c r="C4683" t="s">
        <v>54</v>
      </c>
      <c r="D4683" t="s">
        <v>55</v>
      </c>
      <c r="E4683" t="s">
        <v>2223</v>
      </c>
      <c r="F4683" t="s">
        <v>1247</v>
      </c>
      <c r="G4683" t="s">
        <v>1376</v>
      </c>
      <c r="H4683" t="s">
        <v>1377</v>
      </c>
      <c r="I4683" t="s">
        <v>1377</v>
      </c>
      <c r="J4683" t="s">
        <v>60</v>
      </c>
      <c r="K4683" t="s">
        <v>475</v>
      </c>
      <c r="L4683" t="s">
        <v>62</v>
      </c>
      <c r="M4683" t="s">
        <v>475</v>
      </c>
      <c r="N4683" t="s">
        <v>1378</v>
      </c>
      <c r="O4683" t="s">
        <v>1379</v>
      </c>
      <c r="P4683">
        <v>-20.175298000000002</v>
      </c>
      <c r="Q4683">
        <v>-44.904794000000003</v>
      </c>
      <c r="R4683" s="2" t="str">
        <f>HYPERLINK("https://www.google.com/maps?q=-20.1752980,-44.9047940","Abrir no Google Maps")</f>
        <v>Abrir no Google Maps</v>
      </c>
      <c r="S4683">
        <v>3</v>
      </c>
      <c r="T4683">
        <v>497.7557906927301</v>
      </c>
      <c r="U4683">
        <v>3</v>
      </c>
      <c r="V4683">
        <v>0.1319692514560197</v>
      </c>
      <c r="W4683">
        <v>0.85</v>
      </c>
      <c r="X4683">
        <v>0.1121738637376167</v>
      </c>
      <c r="Y4683">
        <v>578</v>
      </c>
      <c r="Z4683">
        <v>363.80816567363502</v>
      </c>
      <c r="AA4683">
        <v>198</v>
      </c>
      <c r="AB4683">
        <v>332</v>
      </c>
      <c r="AC4683">
        <v>536</v>
      </c>
      <c r="AD4683">
        <v>30.35</v>
      </c>
      <c r="AE4683">
        <v>542</v>
      </c>
      <c r="AF4683">
        <v>37</v>
      </c>
      <c r="AG4683">
        <v>161</v>
      </c>
      <c r="AH4683">
        <v>129</v>
      </c>
      <c r="AI4683">
        <v>6.83</v>
      </c>
      <c r="AJ4683">
        <v>29.7</v>
      </c>
      <c r="AK4683">
        <v>23.8</v>
      </c>
      <c r="AL4683">
        <v>-20.17530484999995</v>
      </c>
      <c r="AM4683">
        <v>-44.904834224351781</v>
      </c>
      <c r="AN4683">
        <v>-20.17530484999995</v>
      </c>
      <c r="AO4683">
        <v>-44.904834224351781</v>
      </c>
      <c r="AP4683">
        <v>-20.175298000000002</v>
      </c>
      <c r="AQ4683">
        <v>-44.904794000000003</v>
      </c>
      <c r="AR4683">
        <v>4.2716392411563806</v>
      </c>
      <c r="AS4683" t="s">
        <v>65</v>
      </c>
      <c r="AT4683">
        <v>1</v>
      </c>
      <c r="AU4683" t="s">
        <v>1380</v>
      </c>
      <c r="AV4683" t="s">
        <v>1381</v>
      </c>
      <c r="AW4683" t="s">
        <v>60</v>
      </c>
      <c r="AX4683" t="s">
        <v>68</v>
      </c>
      <c r="AY4683" t="s">
        <v>69</v>
      </c>
      <c r="AZ4683" t="b">
        <v>1</v>
      </c>
    </row>
    <row r="4684" spans="1:52" x14ac:dyDescent="0.3">
      <c r="A4684" t="s">
        <v>52</v>
      </c>
      <c r="B4684" t="s">
        <v>53</v>
      </c>
      <c r="C4684" t="s">
        <v>54</v>
      </c>
      <c r="D4684" t="s">
        <v>55</v>
      </c>
      <c r="E4684" t="s">
        <v>2223</v>
      </c>
      <c r="F4684" t="s">
        <v>1247</v>
      </c>
      <c r="G4684" t="s">
        <v>473</v>
      </c>
      <c r="H4684" t="s">
        <v>474</v>
      </c>
      <c r="I4684" t="s">
        <v>474</v>
      </c>
      <c r="J4684" t="s">
        <v>60</v>
      </c>
      <c r="K4684" t="s">
        <v>475</v>
      </c>
      <c r="L4684" t="s">
        <v>62</v>
      </c>
      <c r="M4684" t="s">
        <v>475</v>
      </c>
      <c r="N4684" t="s">
        <v>406</v>
      </c>
      <c r="O4684" t="s">
        <v>476</v>
      </c>
      <c r="P4684">
        <v>-20.177902</v>
      </c>
      <c r="Q4684">
        <v>-44.908504000000001</v>
      </c>
      <c r="R4684" s="2" t="str">
        <f>HYPERLINK("https://www.google.com/maps?q=-20.1779020,-44.9085040","Abrir no Google Maps")</f>
        <v>Abrir no Google Maps</v>
      </c>
      <c r="S4684">
        <v>3</v>
      </c>
      <c r="T4684">
        <v>656.92307673247149</v>
      </c>
      <c r="U4684">
        <v>3</v>
      </c>
      <c r="V4684">
        <v>0.11810224241113269</v>
      </c>
      <c r="W4684">
        <v>1</v>
      </c>
      <c r="X4684">
        <v>0.11810224241113269</v>
      </c>
      <c r="Y4684">
        <v>578</v>
      </c>
      <c r="Z4684">
        <v>635.01982153722327</v>
      </c>
      <c r="AA4684">
        <v>198</v>
      </c>
      <c r="AB4684">
        <v>332</v>
      </c>
      <c r="AC4684">
        <v>536</v>
      </c>
      <c r="AD4684">
        <v>30.35</v>
      </c>
      <c r="AE4684">
        <v>542</v>
      </c>
      <c r="AF4684">
        <v>37</v>
      </c>
      <c r="AG4684">
        <v>161</v>
      </c>
      <c r="AH4684">
        <v>129</v>
      </c>
      <c r="AI4684">
        <v>6.83</v>
      </c>
      <c r="AJ4684">
        <v>29.7</v>
      </c>
      <c r="AK4684">
        <v>23.8</v>
      </c>
      <c r="AL4684">
        <v>-20.177800399999938</v>
      </c>
      <c r="AM4684">
        <v>-44.908361879701268</v>
      </c>
      <c r="AN4684">
        <v>-20.177800399999938</v>
      </c>
      <c r="AO4684">
        <v>-44.908361879701268</v>
      </c>
      <c r="AP4684">
        <v>-20.177902</v>
      </c>
      <c r="AQ4684">
        <v>-44.908504000000001</v>
      </c>
      <c r="AR4684">
        <v>18.666463141775541</v>
      </c>
      <c r="AS4684" t="s">
        <v>65</v>
      </c>
      <c r="AT4684">
        <v>1</v>
      </c>
      <c r="AU4684" t="s">
        <v>477</v>
      </c>
      <c r="AV4684" t="s">
        <v>478</v>
      </c>
      <c r="AW4684" t="s">
        <v>60</v>
      </c>
      <c r="AX4684" t="s">
        <v>68</v>
      </c>
      <c r="AY4684" t="s">
        <v>69</v>
      </c>
      <c r="AZ4684" t="b">
        <v>1</v>
      </c>
    </row>
    <row r="4685" spans="1:52" x14ac:dyDescent="0.3">
      <c r="A4685" t="s">
        <v>52</v>
      </c>
      <c r="B4685" t="s">
        <v>53</v>
      </c>
      <c r="C4685" t="s">
        <v>54</v>
      </c>
      <c r="D4685" t="s">
        <v>55</v>
      </c>
      <c r="E4685" t="s">
        <v>2223</v>
      </c>
      <c r="F4685" t="s">
        <v>1247</v>
      </c>
      <c r="G4685" t="s">
        <v>510</v>
      </c>
      <c r="H4685" t="s">
        <v>511</v>
      </c>
      <c r="I4685" t="s">
        <v>511</v>
      </c>
      <c r="J4685" t="s">
        <v>60</v>
      </c>
      <c r="K4685" t="s">
        <v>512</v>
      </c>
      <c r="L4685" t="s">
        <v>62</v>
      </c>
      <c r="M4685" t="s">
        <v>512</v>
      </c>
      <c r="N4685" t="s">
        <v>406</v>
      </c>
      <c r="O4685" t="s">
        <v>513</v>
      </c>
      <c r="P4685">
        <v>-20.127853000000002</v>
      </c>
      <c r="Q4685">
        <v>-44.891415000000002</v>
      </c>
      <c r="R4685" s="2" t="str">
        <f>HYPERLINK("https://www.google.com/maps?q=-20.1278530,-44.8914150","Abrir no Google Maps")</f>
        <v>Abrir no Google Maps</v>
      </c>
      <c r="S4685">
        <v>3</v>
      </c>
      <c r="T4685">
        <v>340.86994528233612</v>
      </c>
      <c r="U4685">
        <v>3</v>
      </c>
      <c r="V4685">
        <v>0.1134226436645791</v>
      </c>
      <c r="W4685">
        <v>1</v>
      </c>
      <c r="X4685">
        <v>0.1134226436645791</v>
      </c>
      <c r="Y4685">
        <v>564</v>
      </c>
      <c r="Z4685">
        <v>294.18108015916812</v>
      </c>
      <c r="AA4685">
        <v>198</v>
      </c>
      <c r="AB4685">
        <v>332</v>
      </c>
      <c r="AC4685">
        <v>536</v>
      </c>
      <c r="AD4685">
        <v>30.35</v>
      </c>
      <c r="AE4685">
        <v>542</v>
      </c>
      <c r="AF4685">
        <v>37</v>
      </c>
      <c r="AG4685">
        <v>161</v>
      </c>
      <c r="AH4685">
        <v>129</v>
      </c>
      <c r="AI4685">
        <v>6.83</v>
      </c>
      <c r="AJ4685">
        <v>29.7</v>
      </c>
      <c r="AK4685">
        <v>23.8</v>
      </c>
      <c r="AL4685">
        <v>-20.12777399999996</v>
      </c>
      <c r="AM4685">
        <v>-44.891400975758501</v>
      </c>
      <c r="AN4685">
        <v>-20.12777399999996</v>
      </c>
      <c r="AO4685">
        <v>-44.891400975758501</v>
      </c>
      <c r="AP4685">
        <v>-20.127853000000002</v>
      </c>
      <c r="AQ4685">
        <v>-44.891415000000002</v>
      </c>
      <c r="AR4685">
        <v>8.9156059162975616</v>
      </c>
      <c r="AS4685" t="s">
        <v>65</v>
      </c>
      <c r="AT4685">
        <v>1</v>
      </c>
      <c r="AU4685" t="s">
        <v>514</v>
      </c>
      <c r="AV4685" t="s">
        <v>515</v>
      </c>
      <c r="AW4685" t="s">
        <v>60</v>
      </c>
      <c r="AX4685" t="s">
        <v>68</v>
      </c>
      <c r="AY4685" t="s">
        <v>69</v>
      </c>
      <c r="AZ4685" t="b">
        <v>1</v>
      </c>
    </row>
    <row r="4686" spans="1:52" x14ac:dyDescent="0.3">
      <c r="A4686" t="s">
        <v>52</v>
      </c>
      <c r="B4686" t="s">
        <v>53</v>
      </c>
      <c r="C4686" t="s">
        <v>54</v>
      </c>
      <c r="D4686" t="s">
        <v>55</v>
      </c>
      <c r="E4686" t="s">
        <v>2223</v>
      </c>
      <c r="F4686" t="s">
        <v>1247</v>
      </c>
      <c r="G4686" t="s">
        <v>516</v>
      </c>
      <c r="H4686" t="s">
        <v>517</v>
      </c>
      <c r="I4686" t="s">
        <v>517</v>
      </c>
      <c r="J4686" t="s">
        <v>60</v>
      </c>
      <c r="K4686" t="s">
        <v>518</v>
      </c>
      <c r="L4686" t="s">
        <v>62</v>
      </c>
      <c r="M4686" t="s">
        <v>518</v>
      </c>
      <c r="N4686" t="s">
        <v>519</v>
      </c>
      <c r="O4686" t="s">
        <v>520</v>
      </c>
      <c r="P4686">
        <v>-20.124502</v>
      </c>
      <c r="Q4686">
        <v>-44.888424000000001</v>
      </c>
      <c r="R4686" s="2" t="str">
        <f>HYPERLINK("https://www.google.com/maps?q=-20.1245020,-44.8884240","Abrir no Google Maps")</f>
        <v>Abrir no Google Maps</v>
      </c>
      <c r="S4686">
        <v>3</v>
      </c>
      <c r="T4686">
        <v>483.42298121929559</v>
      </c>
      <c r="U4686">
        <v>3</v>
      </c>
      <c r="V4686">
        <v>0.11974636726231259</v>
      </c>
      <c r="W4686">
        <v>1</v>
      </c>
      <c r="X4686">
        <v>0.11974636726231259</v>
      </c>
      <c r="Y4686">
        <v>564</v>
      </c>
      <c r="Z4686">
        <v>565.43074237076587</v>
      </c>
      <c r="AA4686">
        <v>198</v>
      </c>
      <c r="AB4686">
        <v>332</v>
      </c>
      <c r="AC4686">
        <v>536</v>
      </c>
      <c r="AD4686">
        <v>30.35</v>
      </c>
      <c r="AE4686">
        <v>542</v>
      </c>
      <c r="AF4686">
        <v>37</v>
      </c>
      <c r="AG4686">
        <v>161</v>
      </c>
      <c r="AH4686">
        <v>129</v>
      </c>
      <c r="AI4686">
        <v>6.83</v>
      </c>
      <c r="AJ4686">
        <v>29.7</v>
      </c>
      <c r="AK4686">
        <v>23.8</v>
      </c>
      <c r="AL4686">
        <v>-20.124624949999941</v>
      </c>
      <c r="AM4686">
        <v>-44.888432821777258</v>
      </c>
      <c r="AN4686">
        <v>-20.124624949999941</v>
      </c>
      <c r="AO4686">
        <v>-44.888432821777258</v>
      </c>
      <c r="AP4686">
        <v>-20.124502</v>
      </c>
      <c r="AQ4686">
        <v>-44.888424000000001</v>
      </c>
      <c r="AR4686">
        <v>13.717819333897451</v>
      </c>
      <c r="AS4686" t="s">
        <v>65</v>
      </c>
      <c r="AT4686">
        <v>1</v>
      </c>
      <c r="AU4686" t="s">
        <v>521</v>
      </c>
      <c r="AV4686" t="s">
        <v>522</v>
      </c>
      <c r="AW4686" t="s">
        <v>60</v>
      </c>
      <c r="AX4686" t="s">
        <v>68</v>
      </c>
      <c r="AY4686" t="s">
        <v>69</v>
      </c>
      <c r="AZ4686" t="b">
        <v>1</v>
      </c>
    </row>
    <row r="4687" spans="1:52" x14ac:dyDescent="0.3">
      <c r="A4687" t="s">
        <v>52</v>
      </c>
      <c r="B4687" t="s">
        <v>53</v>
      </c>
      <c r="C4687" t="s">
        <v>54</v>
      </c>
      <c r="D4687" t="s">
        <v>55</v>
      </c>
      <c r="E4687" t="s">
        <v>2223</v>
      </c>
      <c r="F4687" t="s">
        <v>1247</v>
      </c>
      <c r="G4687" t="s">
        <v>1429</v>
      </c>
      <c r="H4687" t="s">
        <v>1430</v>
      </c>
      <c r="I4687" t="s">
        <v>1430</v>
      </c>
      <c r="J4687" t="s">
        <v>60</v>
      </c>
      <c r="K4687" t="s">
        <v>505</v>
      </c>
      <c r="L4687" t="s">
        <v>62</v>
      </c>
      <c r="M4687" t="s">
        <v>505</v>
      </c>
      <c r="N4687" t="s">
        <v>1431</v>
      </c>
      <c r="O4687" t="s">
        <v>1432</v>
      </c>
      <c r="P4687">
        <v>-20.132069000000001</v>
      </c>
      <c r="Q4687">
        <v>-44.891694000000001</v>
      </c>
      <c r="R4687" s="2" t="str">
        <f>HYPERLINK("https://www.google.com/maps?q=-20.1320690,-44.8916940","Abrir no Google Maps")</f>
        <v>Abrir no Google Maps</v>
      </c>
      <c r="S4687">
        <v>3</v>
      </c>
      <c r="T4687">
        <v>463.84477613866852</v>
      </c>
      <c r="U4687">
        <v>3</v>
      </c>
      <c r="V4687">
        <v>0.13283250128008189</v>
      </c>
      <c r="W4687">
        <v>0.85</v>
      </c>
      <c r="X4687">
        <v>0.1129076260880696</v>
      </c>
      <c r="Y4687">
        <v>564</v>
      </c>
      <c r="Z4687">
        <v>349.6044774510159</v>
      </c>
      <c r="AA4687">
        <v>198</v>
      </c>
      <c r="AB4687">
        <v>332</v>
      </c>
      <c r="AC4687">
        <v>536</v>
      </c>
      <c r="AD4687">
        <v>30.35</v>
      </c>
      <c r="AE4687">
        <v>542</v>
      </c>
      <c r="AF4687">
        <v>37</v>
      </c>
      <c r="AG4687">
        <v>161</v>
      </c>
      <c r="AH4687">
        <v>129</v>
      </c>
      <c r="AI4687">
        <v>6.83</v>
      </c>
      <c r="AJ4687">
        <v>29.7</v>
      </c>
      <c r="AK4687">
        <v>23.8</v>
      </c>
      <c r="AL4687">
        <v>-20.131860799999941</v>
      </c>
      <c r="AM4687">
        <v>-44.891643045551348</v>
      </c>
      <c r="AN4687">
        <v>-20.131860799999941</v>
      </c>
      <c r="AO4687">
        <v>-44.891643045551348</v>
      </c>
      <c r="AP4687">
        <v>-20.132069000000001</v>
      </c>
      <c r="AQ4687">
        <v>-44.891694000000001</v>
      </c>
      <c r="AR4687">
        <v>23.780836080569209</v>
      </c>
      <c r="AS4687" t="s">
        <v>65</v>
      </c>
      <c r="AT4687">
        <v>1</v>
      </c>
      <c r="AU4687" t="s">
        <v>1433</v>
      </c>
      <c r="AV4687" t="s">
        <v>1434</v>
      </c>
      <c r="AW4687" t="s">
        <v>60</v>
      </c>
      <c r="AX4687" t="s">
        <v>68</v>
      </c>
      <c r="AY4687" t="s">
        <v>69</v>
      </c>
      <c r="AZ4687" t="b">
        <v>1</v>
      </c>
    </row>
    <row r="4688" spans="1:52" x14ac:dyDescent="0.3">
      <c r="A4688" t="s">
        <v>52</v>
      </c>
      <c r="B4688" t="s">
        <v>53</v>
      </c>
      <c r="C4688" t="s">
        <v>54</v>
      </c>
      <c r="D4688" t="s">
        <v>55</v>
      </c>
      <c r="E4688" t="s">
        <v>2223</v>
      </c>
      <c r="F4688" t="s">
        <v>1247</v>
      </c>
      <c r="G4688" t="s">
        <v>1435</v>
      </c>
      <c r="H4688" t="s">
        <v>1436</v>
      </c>
      <c r="I4688" t="s">
        <v>1436</v>
      </c>
      <c r="J4688" t="s">
        <v>60</v>
      </c>
      <c r="K4688" t="s">
        <v>886</v>
      </c>
      <c r="L4688" t="s">
        <v>62</v>
      </c>
      <c r="M4688" t="s">
        <v>886</v>
      </c>
      <c r="N4688" t="s">
        <v>1437</v>
      </c>
      <c r="O4688" t="s">
        <v>1438</v>
      </c>
      <c r="P4688">
        <v>-20.131108000000001</v>
      </c>
      <c r="Q4688">
        <v>-44.893228000000001</v>
      </c>
      <c r="R4688" s="2" t="str">
        <f>HYPERLINK("https://www.google.com/maps?q=-20.1311080,-44.8932280","Abrir no Google Maps")</f>
        <v>Abrir no Google Maps</v>
      </c>
      <c r="S4688">
        <v>3</v>
      </c>
      <c r="T4688">
        <v>548.07497919430136</v>
      </c>
      <c r="U4688">
        <v>3</v>
      </c>
      <c r="V4688">
        <v>0.13137268915570799</v>
      </c>
      <c r="W4688">
        <v>0.85</v>
      </c>
      <c r="X4688">
        <v>0.1116667857823518</v>
      </c>
      <c r="Y4688">
        <v>564</v>
      </c>
      <c r="Z4688">
        <v>369.17139216388432</v>
      </c>
      <c r="AA4688">
        <v>198</v>
      </c>
      <c r="AB4688">
        <v>332</v>
      </c>
      <c r="AC4688">
        <v>536</v>
      </c>
      <c r="AD4688">
        <v>30.35</v>
      </c>
      <c r="AE4688">
        <v>542</v>
      </c>
      <c r="AF4688">
        <v>37</v>
      </c>
      <c r="AG4688">
        <v>161</v>
      </c>
      <c r="AH4688">
        <v>129</v>
      </c>
      <c r="AI4688">
        <v>6.83</v>
      </c>
      <c r="AJ4688">
        <v>29.7</v>
      </c>
      <c r="AK4688">
        <v>23.8</v>
      </c>
      <c r="AL4688">
        <v>-20.13103294999997</v>
      </c>
      <c r="AM4688">
        <v>-44.89318457893738</v>
      </c>
      <c r="AN4688">
        <v>-20.13103294999997</v>
      </c>
      <c r="AO4688">
        <v>-44.89318457893738</v>
      </c>
      <c r="AP4688">
        <v>-20.131108000000001</v>
      </c>
      <c r="AQ4688">
        <v>-44.893228000000001</v>
      </c>
      <c r="AR4688">
        <v>9.5076426885244203</v>
      </c>
      <c r="AS4688" t="s">
        <v>65</v>
      </c>
      <c r="AT4688">
        <v>1</v>
      </c>
      <c r="AU4688" t="s">
        <v>1439</v>
      </c>
      <c r="AV4688" t="s">
        <v>1440</v>
      </c>
      <c r="AW4688" t="s">
        <v>60</v>
      </c>
      <c r="AX4688" t="s">
        <v>68</v>
      </c>
      <c r="AY4688" t="s">
        <v>69</v>
      </c>
      <c r="AZ4688" t="b">
        <v>1</v>
      </c>
    </row>
    <row r="4689" spans="1:52" x14ac:dyDescent="0.3">
      <c r="A4689" t="s">
        <v>52</v>
      </c>
      <c r="B4689" t="s">
        <v>53</v>
      </c>
      <c r="C4689" t="s">
        <v>54</v>
      </c>
      <c r="D4689" t="s">
        <v>55</v>
      </c>
      <c r="E4689" t="s">
        <v>2223</v>
      </c>
      <c r="F4689" t="s">
        <v>1247</v>
      </c>
      <c r="G4689" t="s">
        <v>528</v>
      </c>
      <c r="H4689" t="s">
        <v>529</v>
      </c>
      <c r="I4689" t="s">
        <v>529</v>
      </c>
      <c r="J4689" t="s">
        <v>60</v>
      </c>
      <c r="K4689" t="s">
        <v>530</v>
      </c>
      <c r="L4689" t="s">
        <v>62</v>
      </c>
      <c r="M4689" t="s">
        <v>530</v>
      </c>
      <c r="N4689" t="s">
        <v>531</v>
      </c>
      <c r="O4689" t="s">
        <v>532</v>
      </c>
      <c r="P4689">
        <v>-20.142457</v>
      </c>
      <c r="Q4689">
        <v>-44.891688000000002</v>
      </c>
      <c r="R4689" s="2" t="str">
        <f>HYPERLINK("https://www.google.com/maps?q=-20.1424570,-44.8916880","Abrir no Google Maps")</f>
        <v>Abrir no Google Maps</v>
      </c>
      <c r="S4689">
        <v>3</v>
      </c>
      <c r="T4689">
        <v>0</v>
      </c>
      <c r="U4689">
        <v>3</v>
      </c>
      <c r="V4689">
        <v>0.1198740204032856</v>
      </c>
      <c r="W4689">
        <v>1</v>
      </c>
      <c r="X4689">
        <v>0.1198740204032856</v>
      </c>
      <c r="Y4689">
        <v>557</v>
      </c>
      <c r="Z4689">
        <v>42.611952255679803</v>
      </c>
      <c r="AA4689">
        <v>198</v>
      </c>
      <c r="AB4689">
        <v>332</v>
      </c>
      <c r="AC4689">
        <v>536</v>
      </c>
      <c r="AD4689">
        <v>30.35</v>
      </c>
      <c r="AE4689">
        <v>542</v>
      </c>
      <c r="AF4689">
        <v>37</v>
      </c>
      <c r="AG4689">
        <v>161</v>
      </c>
      <c r="AH4689">
        <v>129</v>
      </c>
      <c r="AI4689">
        <v>6.83</v>
      </c>
      <c r="AJ4689">
        <v>29.7</v>
      </c>
      <c r="AK4689">
        <v>23.8</v>
      </c>
      <c r="AL4689">
        <v>-20.142523099999948</v>
      </c>
      <c r="AM4689">
        <v>-44.891523817588819</v>
      </c>
      <c r="AN4689">
        <v>-20.142523099999948</v>
      </c>
      <c r="AO4689">
        <v>-44.891523817588819</v>
      </c>
      <c r="AP4689">
        <v>-20.142457</v>
      </c>
      <c r="AQ4689">
        <v>-44.891688000000002</v>
      </c>
      <c r="AR4689">
        <v>18.670129248632971</v>
      </c>
      <c r="AS4689" t="s">
        <v>65</v>
      </c>
      <c r="AT4689">
        <v>1</v>
      </c>
      <c r="AU4689" t="s">
        <v>533</v>
      </c>
      <c r="AV4689" t="s">
        <v>534</v>
      </c>
      <c r="AW4689" t="s">
        <v>60</v>
      </c>
      <c r="AX4689" t="s">
        <v>68</v>
      </c>
      <c r="AY4689" t="s">
        <v>69</v>
      </c>
      <c r="AZ4689" t="b">
        <v>1</v>
      </c>
    </row>
    <row r="4690" spans="1:52" x14ac:dyDescent="0.3">
      <c r="A4690" t="s">
        <v>52</v>
      </c>
      <c r="B4690" t="s">
        <v>53</v>
      </c>
      <c r="C4690" t="s">
        <v>54</v>
      </c>
      <c r="D4690" t="s">
        <v>55</v>
      </c>
      <c r="E4690" t="s">
        <v>2223</v>
      </c>
      <c r="F4690" t="s">
        <v>1247</v>
      </c>
      <c r="G4690" t="s">
        <v>1412</v>
      </c>
      <c r="H4690" t="s">
        <v>1413</v>
      </c>
      <c r="I4690" t="s">
        <v>1413</v>
      </c>
      <c r="J4690" t="s">
        <v>60</v>
      </c>
      <c r="K4690" t="s">
        <v>892</v>
      </c>
      <c r="L4690" t="s">
        <v>62</v>
      </c>
      <c r="M4690" t="s">
        <v>892</v>
      </c>
      <c r="N4690" t="s">
        <v>1414</v>
      </c>
      <c r="O4690" t="s">
        <v>293</v>
      </c>
      <c r="P4690">
        <v>-20.150780999999998</v>
      </c>
      <c r="Q4690">
        <v>-44.897972000000003</v>
      </c>
      <c r="R4690" s="2" t="str">
        <f>HYPERLINK("https://www.google.com/maps?q=-20.1507810,-44.8979720","Abrir no Google Maps")</f>
        <v>Abrir no Google Maps</v>
      </c>
      <c r="S4690">
        <v>3</v>
      </c>
      <c r="T4690">
        <v>306.36394634674508</v>
      </c>
      <c r="U4690">
        <v>3</v>
      </c>
      <c r="V4690">
        <v>0.13433545461195229</v>
      </c>
      <c r="W4690">
        <v>0.85</v>
      </c>
      <c r="X4690">
        <v>0.1141851364201594</v>
      </c>
      <c r="Y4690">
        <v>556</v>
      </c>
      <c r="Z4690">
        <v>233.85692443628571</v>
      </c>
      <c r="AA4690">
        <v>198</v>
      </c>
      <c r="AB4690">
        <v>332</v>
      </c>
      <c r="AC4690">
        <v>536</v>
      </c>
      <c r="AD4690">
        <v>30.35</v>
      </c>
      <c r="AE4690">
        <v>542</v>
      </c>
      <c r="AF4690">
        <v>37</v>
      </c>
      <c r="AG4690">
        <v>161</v>
      </c>
      <c r="AH4690">
        <v>129</v>
      </c>
      <c r="AI4690">
        <v>6.83</v>
      </c>
      <c r="AJ4690">
        <v>29.7</v>
      </c>
      <c r="AK4690">
        <v>23.8</v>
      </c>
      <c r="AL4690">
        <v>-20.15074609999996</v>
      </c>
      <c r="AM4690">
        <v>-44.89795774234689</v>
      </c>
      <c r="AN4690">
        <v>-20.15074609999996</v>
      </c>
      <c r="AO4690">
        <v>-44.89795774234689</v>
      </c>
      <c r="AP4690">
        <v>-20.150780999999998</v>
      </c>
      <c r="AQ4690">
        <v>-44.897972000000003</v>
      </c>
      <c r="AR4690">
        <v>4.160995809097348</v>
      </c>
      <c r="AS4690" t="s">
        <v>65</v>
      </c>
      <c r="AT4690">
        <v>1</v>
      </c>
      <c r="AU4690" t="s">
        <v>1415</v>
      </c>
      <c r="AV4690" t="s">
        <v>1416</v>
      </c>
      <c r="AW4690" t="s">
        <v>60</v>
      </c>
      <c r="AX4690" t="s">
        <v>68</v>
      </c>
      <c r="AY4690" t="s">
        <v>69</v>
      </c>
      <c r="AZ4690" t="b">
        <v>1</v>
      </c>
    </row>
    <row r="4691" spans="1:52" x14ac:dyDescent="0.3">
      <c r="A4691" t="s">
        <v>52</v>
      </c>
      <c r="B4691" t="s">
        <v>53</v>
      </c>
      <c r="C4691" t="s">
        <v>54</v>
      </c>
      <c r="D4691" t="s">
        <v>55</v>
      </c>
      <c r="E4691" t="s">
        <v>2223</v>
      </c>
      <c r="F4691" t="s">
        <v>1247</v>
      </c>
      <c r="G4691" t="s">
        <v>1127</v>
      </c>
      <c r="H4691" t="s">
        <v>1449</v>
      </c>
      <c r="I4691" t="s">
        <v>1449</v>
      </c>
      <c r="J4691" t="s">
        <v>60</v>
      </c>
      <c r="K4691" t="s">
        <v>1450</v>
      </c>
      <c r="L4691" t="s">
        <v>62</v>
      </c>
      <c r="M4691" t="s">
        <v>1450</v>
      </c>
      <c r="N4691" t="s">
        <v>1451</v>
      </c>
      <c r="O4691" t="s">
        <v>1452</v>
      </c>
      <c r="P4691">
        <v>-20.152612000000001</v>
      </c>
      <c r="Q4691">
        <v>-44.897098</v>
      </c>
      <c r="R4691" s="2" t="str">
        <f>HYPERLINK("https://www.google.com/maps?q=-20.1526120,-44.8970980","Abrir no Google Maps")</f>
        <v>Abrir no Google Maps</v>
      </c>
      <c r="S4691">
        <v>3</v>
      </c>
      <c r="T4691">
        <v>418.6283592063233</v>
      </c>
      <c r="U4691">
        <v>3</v>
      </c>
      <c r="V4691">
        <v>0.13754313319530709</v>
      </c>
      <c r="W4691">
        <v>0.85</v>
      </c>
      <c r="X4691">
        <v>0.116911663216011</v>
      </c>
      <c r="Y4691">
        <v>556</v>
      </c>
      <c r="Z4691">
        <v>387.16462225830952</v>
      </c>
      <c r="AA4691">
        <v>198</v>
      </c>
      <c r="AB4691">
        <v>332</v>
      </c>
      <c r="AC4691">
        <v>536</v>
      </c>
      <c r="AD4691">
        <v>30.35</v>
      </c>
      <c r="AE4691">
        <v>542</v>
      </c>
      <c r="AF4691">
        <v>37</v>
      </c>
      <c r="AG4691">
        <v>161</v>
      </c>
      <c r="AH4691">
        <v>129</v>
      </c>
      <c r="AI4691">
        <v>6.83</v>
      </c>
      <c r="AJ4691">
        <v>29.7</v>
      </c>
      <c r="AK4691">
        <v>23.8</v>
      </c>
      <c r="AL4691">
        <v>-20.15253669999996</v>
      </c>
      <c r="AM4691">
        <v>-44.897068126936119</v>
      </c>
      <c r="AN4691">
        <v>-20.15253669999996</v>
      </c>
      <c r="AO4691">
        <v>-44.897068126936119</v>
      </c>
      <c r="AP4691">
        <v>-20.152612000000001</v>
      </c>
      <c r="AQ4691">
        <v>-44.897098</v>
      </c>
      <c r="AR4691">
        <v>8.9448699164987104</v>
      </c>
      <c r="AS4691" t="s">
        <v>65</v>
      </c>
      <c r="AT4691">
        <v>1</v>
      </c>
      <c r="AU4691" t="s">
        <v>1453</v>
      </c>
      <c r="AV4691" t="s">
        <v>1454</v>
      </c>
      <c r="AW4691" t="s">
        <v>60</v>
      </c>
      <c r="AX4691" t="s">
        <v>68</v>
      </c>
      <c r="AY4691" t="s">
        <v>69</v>
      </c>
      <c r="AZ4691" t="b">
        <v>1</v>
      </c>
    </row>
    <row r="4692" spans="1:52" x14ac:dyDescent="0.3">
      <c r="A4692" t="s">
        <v>52</v>
      </c>
      <c r="B4692" t="s">
        <v>53</v>
      </c>
      <c r="C4692" t="s">
        <v>54</v>
      </c>
      <c r="D4692" t="s">
        <v>55</v>
      </c>
      <c r="E4692" t="s">
        <v>2223</v>
      </c>
      <c r="F4692" t="s">
        <v>1247</v>
      </c>
      <c r="G4692" t="s">
        <v>897</v>
      </c>
      <c r="H4692" t="s">
        <v>898</v>
      </c>
      <c r="I4692" t="s">
        <v>898</v>
      </c>
      <c r="J4692" t="s">
        <v>60</v>
      </c>
      <c r="K4692" t="s">
        <v>892</v>
      </c>
      <c r="L4692" t="s">
        <v>62</v>
      </c>
      <c r="M4692" t="s">
        <v>892</v>
      </c>
      <c r="N4692" t="s">
        <v>899</v>
      </c>
      <c r="O4692" t="s">
        <v>900</v>
      </c>
      <c r="P4692">
        <v>-20.154885</v>
      </c>
      <c r="Q4692">
        <v>-44.899890999999997</v>
      </c>
      <c r="R4692" s="2" t="str">
        <f>HYPERLINK("https://www.google.com/maps?q=-20.1548850,-44.8998910","Abrir no Google Maps")</f>
        <v>Abrir no Google Maps</v>
      </c>
      <c r="S4692">
        <v>3</v>
      </c>
      <c r="T4692">
        <v>314.66339661014308</v>
      </c>
      <c r="U4692">
        <v>3</v>
      </c>
      <c r="V4692">
        <v>0.1193506910961105</v>
      </c>
      <c r="W4692">
        <v>1</v>
      </c>
      <c r="X4692">
        <v>0.1193506910961105</v>
      </c>
      <c r="Y4692">
        <v>548</v>
      </c>
      <c r="Z4692">
        <v>319.02252584834253</v>
      </c>
      <c r="AA4692">
        <v>198</v>
      </c>
      <c r="AB4692">
        <v>332</v>
      </c>
      <c r="AC4692">
        <v>536</v>
      </c>
      <c r="AD4692">
        <v>30.35</v>
      </c>
      <c r="AE4692">
        <v>542</v>
      </c>
      <c r="AF4692">
        <v>37</v>
      </c>
      <c r="AG4692">
        <v>161</v>
      </c>
      <c r="AH4692">
        <v>129</v>
      </c>
      <c r="AI4692">
        <v>6.83</v>
      </c>
      <c r="AJ4692">
        <v>29.7</v>
      </c>
      <c r="AK4692">
        <v>23.8</v>
      </c>
      <c r="AL4692">
        <v>-20.154906649999951</v>
      </c>
      <c r="AM4692">
        <v>-44.899894072543653</v>
      </c>
      <c r="AN4692">
        <v>-20.154906649999951</v>
      </c>
      <c r="AO4692">
        <v>-44.899894072543653</v>
      </c>
      <c r="AP4692">
        <v>-20.154885</v>
      </c>
      <c r="AQ4692">
        <v>-44.899890999999997</v>
      </c>
      <c r="AR4692">
        <v>2.431373123904943</v>
      </c>
      <c r="AS4692" t="s">
        <v>65</v>
      </c>
      <c r="AT4692">
        <v>1</v>
      </c>
      <c r="AU4692" t="s">
        <v>901</v>
      </c>
      <c r="AV4692" t="s">
        <v>902</v>
      </c>
      <c r="AW4692" t="s">
        <v>60</v>
      </c>
      <c r="AX4692" t="s">
        <v>68</v>
      </c>
      <c r="AY4692" t="s">
        <v>69</v>
      </c>
      <c r="AZ4692" t="b">
        <v>1</v>
      </c>
    </row>
    <row r="4693" spans="1:52" x14ac:dyDescent="0.3">
      <c r="A4693" t="s">
        <v>52</v>
      </c>
      <c r="B4693" t="s">
        <v>53</v>
      </c>
      <c r="C4693" t="s">
        <v>54</v>
      </c>
      <c r="D4693" t="s">
        <v>55</v>
      </c>
      <c r="E4693" t="s">
        <v>2223</v>
      </c>
      <c r="F4693" t="s">
        <v>1247</v>
      </c>
      <c r="G4693" t="s">
        <v>551</v>
      </c>
      <c r="H4693" t="s">
        <v>552</v>
      </c>
      <c r="I4693" t="s">
        <v>552</v>
      </c>
      <c r="J4693" t="s">
        <v>60</v>
      </c>
      <c r="K4693" t="s">
        <v>388</v>
      </c>
      <c r="L4693" t="s">
        <v>62</v>
      </c>
      <c r="M4693" t="s">
        <v>388</v>
      </c>
      <c r="N4693" t="s">
        <v>553</v>
      </c>
      <c r="O4693" t="s">
        <v>315</v>
      </c>
      <c r="P4693">
        <v>-20.153086999999999</v>
      </c>
      <c r="Q4693">
        <v>-44.905451999999997</v>
      </c>
      <c r="R4693" s="2" t="str">
        <f>HYPERLINK("https://www.google.com/maps?q=-20.1530870,-44.9054520","Abrir no Google Maps")</f>
        <v>Abrir no Google Maps</v>
      </c>
      <c r="S4693">
        <v>3</v>
      </c>
      <c r="T4693">
        <v>313.69387682409018</v>
      </c>
      <c r="U4693">
        <v>3</v>
      </c>
      <c r="V4693">
        <v>0.115200372891255</v>
      </c>
      <c r="W4693">
        <v>1</v>
      </c>
      <c r="X4693">
        <v>0.115200372891255</v>
      </c>
      <c r="Y4693">
        <v>548</v>
      </c>
      <c r="Z4693">
        <v>319.51605309906859</v>
      </c>
      <c r="AA4693">
        <v>198</v>
      </c>
      <c r="AB4693">
        <v>332</v>
      </c>
      <c r="AC4693">
        <v>536</v>
      </c>
      <c r="AD4693">
        <v>30.35</v>
      </c>
      <c r="AE4693">
        <v>542</v>
      </c>
      <c r="AF4693">
        <v>37</v>
      </c>
      <c r="AG4693">
        <v>161</v>
      </c>
      <c r="AH4693">
        <v>129</v>
      </c>
      <c r="AI4693">
        <v>6.83</v>
      </c>
      <c r="AJ4693">
        <v>29.7</v>
      </c>
      <c r="AK4693">
        <v>23.8</v>
      </c>
      <c r="AL4693">
        <v>-20.153043049999951</v>
      </c>
      <c r="AM4693">
        <v>-44.905348275899513</v>
      </c>
      <c r="AN4693">
        <v>-20.153043049999951</v>
      </c>
      <c r="AO4693">
        <v>-44.905348275899513</v>
      </c>
      <c r="AP4693">
        <v>-20.153086999999999</v>
      </c>
      <c r="AQ4693">
        <v>-44.905451999999997</v>
      </c>
      <c r="AR4693">
        <v>11.892619975648341</v>
      </c>
      <c r="AS4693" t="s">
        <v>65</v>
      </c>
      <c r="AT4693">
        <v>1</v>
      </c>
      <c r="AU4693" t="s">
        <v>554</v>
      </c>
      <c r="AV4693" t="s">
        <v>555</v>
      </c>
      <c r="AW4693" t="s">
        <v>60</v>
      </c>
      <c r="AX4693" t="s">
        <v>68</v>
      </c>
      <c r="AY4693" t="s">
        <v>69</v>
      </c>
      <c r="AZ4693" t="b">
        <v>1</v>
      </c>
    </row>
    <row r="4694" spans="1:52" x14ac:dyDescent="0.3">
      <c r="A4694" t="s">
        <v>52</v>
      </c>
      <c r="B4694" t="s">
        <v>53</v>
      </c>
      <c r="C4694" t="s">
        <v>54</v>
      </c>
      <c r="D4694" t="s">
        <v>55</v>
      </c>
      <c r="E4694" t="s">
        <v>2223</v>
      </c>
      <c r="F4694" t="s">
        <v>1247</v>
      </c>
      <c r="G4694" t="s">
        <v>568</v>
      </c>
      <c r="H4694" t="s">
        <v>569</v>
      </c>
      <c r="I4694" t="s">
        <v>569</v>
      </c>
      <c r="J4694" t="s">
        <v>60</v>
      </c>
      <c r="K4694" t="s">
        <v>61</v>
      </c>
      <c r="L4694" t="s">
        <v>62</v>
      </c>
      <c r="M4694" t="s">
        <v>61</v>
      </c>
      <c r="N4694" t="s">
        <v>570</v>
      </c>
      <c r="O4694" t="s">
        <v>548</v>
      </c>
      <c r="P4694">
        <v>-20.151508</v>
      </c>
      <c r="Q4694">
        <v>-44.907826</v>
      </c>
      <c r="R4694" s="2" t="str">
        <f>HYPERLINK("https://www.google.com/maps?q=-20.1515080,-44.9078260","Abrir no Google Maps")</f>
        <v>Abrir no Google Maps</v>
      </c>
      <c r="S4694">
        <v>3</v>
      </c>
      <c r="T4694">
        <v>567.15905416240514</v>
      </c>
      <c r="U4694">
        <v>3</v>
      </c>
      <c r="V4694">
        <v>0.13443696221473991</v>
      </c>
      <c r="W4694">
        <v>0.85</v>
      </c>
      <c r="X4694">
        <v>0.1142714178825289</v>
      </c>
      <c r="Y4694">
        <v>548</v>
      </c>
      <c r="Z4694">
        <v>560.49158010771464</v>
      </c>
      <c r="AA4694">
        <v>198</v>
      </c>
      <c r="AB4694">
        <v>332</v>
      </c>
      <c r="AC4694">
        <v>536</v>
      </c>
      <c r="AD4694">
        <v>30.35</v>
      </c>
      <c r="AE4694">
        <v>542</v>
      </c>
      <c r="AF4694">
        <v>37</v>
      </c>
      <c r="AG4694">
        <v>161</v>
      </c>
      <c r="AH4694">
        <v>129</v>
      </c>
      <c r="AI4694">
        <v>6.83</v>
      </c>
      <c r="AJ4694">
        <v>29.7</v>
      </c>
      <c r="AK4694">
        <v>23.8</v>
      </c>
      <c r="AL4694">
        <v>-20.15211779999996</v>
      </c>
      <c r="AM4694">
        <v>-44.907597469593128</v>
      </c>
      <c r="AN4694">
        <v>-20.15211779999996</v>
      </c>
      <c r="AO4694">
        <v>-44.907597469593128</v>
      </c>
      <c r="AP4694">
        <v>-20.151508</v>
      </c>
      <c r="AQ4694">
        <v>-44.907826</v>
      </c>
      <c r="AR4694">
        <v>71.961597929314735</v>
      </c>
      <c r="AS4694" t="s">
        <v>65</v>
      </c>
      <c r="AT4694">
        <v>1</v>
      </c>
      <c r="AU4694" t="s">
        <v>571</v>
      </c>
      <c r="AV4694" t="s">
        <v>572</v>
      </c>
      <c r="AW4694" t="s">
        <v>60</v>
      </c>
      <c r="AX4694" t="s">
        <v>68</v>
      </c>
      <c r="AY4694" t="s">
        <v>69</v>
      </c>
      <c r="AZ4694" t="b">
        <v>1</v>
      </c>
    </row>
    <row r="4695" spans="1:52" x14ac:dyDescent="0.3">
      <c r="A4695" t="s">
        <v>52</v>
      </c>
      <c r="B4695" t="s">
        <v>53</v>
      </c>
      <c r="C4695" t="s">
        <v>54</v>
      </c>
      <c r="D4695" t="s">
        <v>55</v>
      </c>
      <c r="E4695" t="s">
        <v>2223</v>
      </c>
      <c r="F4695" t="s">
        <v>1247</v>
      </c>
      <c r="G4695" t="s">
        <v>392</v>
      </c>
      <c r="H4695" t="s">
        <v>393</v>
      </c>
      <c r="I4695" t="s">
        <v>393</v>
      </c>
      <c r="J4695" t="s">
        <v>60</v>
      </c>
      <c r="K4695" t="s">
        <v>388</v>
      </c>
      <c r="L4695" t="s">
        <v>62</v>
      </c>
      <c r="M4695" t="s">
        <v>388</v>
      </c>
      <c r="N4695" t="s">
        <v>394</v>
      </c>
      <c r="O4695" t="s">
        <v>395</v>
      </c>
      <c r="P4695">
        <v>-20.158066999999999</v>
      </c>
      <c r="Q4695">
        <v>-44.908164999999997</v>
      </c>
      <c r="R4695" s="2" t="str">
        <f>HYPERLINK("https://www.google.com/maps?q=-20.1580670,-44.9081650","Abrir no Google Maps")</f>
        <v>Abrir no Google Maps</v>
      </c>
      <c r="S4695">
        <v>3</v>
      </c>
      <c r="T4695">
        <v>666.74434317993041</v>
      </c>
      <c r="U4695">
        <v>2</v>
      </c>
      <c r="V4695">
        <v>0.105803848036692</v>
      </c>
      <c r="W4695">
        <v>1</v>
      </c>
      <c r="X4695">
        <v>0.105803848036692</v>
      </c>
      <c r="Y4695">
        <v>729</v>
      </c>
      <c r="Z4695">
        <v>612.4323328215396</v>
      </c>
      <c r="AA4695">
        <v>198</v>
      </c>
      <c r="AB4695">
        <v>332</v>
      </c>
      <c r="AC4695">
        <v>536</v>
      </c>
      <c r="AD4695">
        <v>30.35</v>
      </c>
      <c r="AE4695">
        <v>542</v>
      </c>
      <c r="AF4695">
        <v>37</v>
      </c>
      <c r="AG4695">
        <v>161</v>
      </c>
      <c r="AH4695">
        <v>129</v>
      </c>
      <c r="AI4695">
        <v>6.83</v>
      </c>
      <c r="AJ4695">
        <v>29.7</v>
      </c>
      <c r="AK4695">
        <v>23.8</v>
      </c>
      <c r="AL4695">
        <v>-20.158151449999959</v>
      </c>
      <c r="AM4695">
        <v>-44.908107718360938</v>
      </c>
      <c r="AN4695">
        <v>-20.158151449999959</v>
      </c>
      <c r="AO4695">
        <v>-44.908107718360938</v>
      </c>
      <c r="AP4695">
        <v>-20.158066999999999</v>
      </c>
      <c r="AQ4695">
        <v>-44.908164999999997</v>
      </c>
      <c r="AR4695">
        <v>11.14497345894574</v>
      </c>
      <c r="AS4695" t="s">
        <v>65</v>
      </c>
      <c r="AT4695">
        <v>1</v>
      </c>
      <c r="AU4695" t="s">
        <v>396</v>
      </c>
      <c r="AV4695" t="s">
        <v>397</v>
      </c>
      <c r="AW4695" t="s">
        <v>60</v>
      </c>
      <c r="AX4695" t="s">
        <v>68</v>
      </c>
      <c r="AY4695" t="s">
        <v>69</v>
      </c>
      <c r="AZ4695" t="b">
        <v>1</v>
      </c>
    </row>
    <row r="4696" spans="1:52" x14ac:dyDescent="0.3">
      <c r="A4696" t="s">
        <v>52</v>
      </c>
      <c r="B4696" t="s">
        <v>53</v>
      </c>
      <c r="C4696" t="s">
        <v>54</v>
      </c>
      <c r="D4696" t="s">
        <v>55</v>
      </c>
      <c r="E4696" t="s">
        <v>2223</v>
      </c>
      <c r="F4696" t="s">
        <v>1247</v>
      </c>
      <c r="G4696" t="s">
        <v>1278</v>
      </c>
      <c r="H4696" t="s">
        <v>1279</v>
      </c>
      <c r="I4696" t="s">
        <v>1279</v>
      </c>
      <c r="J4696" t="s">
        <v>60</v>
      </c>
      <c r="K4696" t="s">
        <v>388</v>
      </c>
      <c r="L4696" t="s">
        <v>62</v>
      </c>
      <c r="M4696" t="s">
        <v>388</v>
      </c>
      <c r="N4696" t="s">
        <v>1280</v>
      </c>
      <c r="O4696" t="s">
        <v>216</v>
      </c>
      <c r="P4696">
        <v>-20.15681</v>
      </c>
      <c r="Q4696">
        <v>-44.899290999999998</v>
      </c>
      <c r="R4696" s="2" t="str">
        <f>HYPERLINK("https://www.google.com/maps?q=-20.1568100,-44.8992910","Abrir no Google Maps")</f>
        <v>Abrir no Google Maps</v>
      </c>
      <c r="S4696">
        <v>3</v>
      </c>
      <c r="T4696">
        <v>180.10162979749811</v>
      </c>
      <c r="U4696">
        <v>2</v>
      </c>
      <c r="V4696">
        <v>0.1194640663390663</v>
      </c>
      <c r="W4696">
        <v>0.85</v>
      </c>
      <c r="X4696">
        <v>0.10154445638820631</v>
      </c>
      <c r="Y4696">
        <v>729</v>
      </c>
      <c r="Z4696">
        <v>368.06065118133841</v>
      </c>
      <c r="AA4696">
        <v>198</v>
      </c>
      <c r="AB4696">
        <v>332</v>
      </c>
      <c r="AC4696">
        <v>536</v>
      </c>
      <c r="AD4696">
        <v>30.35</v>
      </c>
      <c r="AE4696">
        <v>542</v>
      </c>
      <c r="AF4696">
        <v>37</v>
      </c>
      <c r="AG4696">
        <v>161</v>
      </c>
      <c r="AH4696">
        <v>129</v>
      </c>
      <c r="AI4696">
        <v>6.83</v>
      </c>
      <c r="AJ4696">
        <v>29.7</v>
      </c>
      <c r="AK4696">
        <v>23.8</v>
      </c>
      <c r="AL4696">
        <v>-20.156785649999961</v>
      </c>
      <c r="AM4696">
        <v>-44.899254812291332</v>
      </c>
      <c r="AN4696">
        <v>-20.156785649999961</v>
      </c>
      <c r="AO4696">
        <v>-44.899254812291332</v>
      </c>
      <c r="AP4696">
        <v>-20.15681</v>
      </c>
      <c r="AQ4696">
        <v>-44.899290999999998</v>
      </c>
      <c r="AR4696">
        <v>4.6528211992813118</v>
      </c>
      <c r="AS4696" t="s">
        <v>65</v>
      </c>
      <c r="AT4696">
        <v>1</v>
      </c>
      <c r="AU4696" t="s">
        <v>1281</v>
      </c>
      <c r="AV4696" t="s">
        <v>1282</v>
      </c>
      <c r="AW4696" t="s">
        <v>60</v>
      </c>
      <c r="AX4696" t="s">
        <v>68</v>
      </c>
      <c r="AY4696" t="s">
        <v>69</v>
      </c>
      <c r="AZ4696" t="b">
        <v>1</v>
      </c>
    </row>
    <row r="4697" spans="1:52" x14ac:dyDescent="0.3">
      <c r="A4697" t="s">
        <v>52</v>
      </c>
      <c r="B4697" t="s">
        <v>53</v>
      </c>
      <c r="C4697" t="s">
        <v>54</v>
      </c>
      <c r="D4697" t="s">
        <v>55</v>
      </c>
      <c r="E4697" t="s">
        <v>2223</v>
      </c>
      <c r="F4697" t="s">
        <v>1247</v>
      </c>
      <c r="G4697" t="s">
        <v>1283</v>
      </c>
      <c r="H4697" t="s">
        <v>1284</v>
      </c>
      <c r="I4697" t="s">
        <v>1284</v>
      </c>
      <c r="J4697" t="s">
        <v>60</v>
      </c>
      <c r="K4697" t="s">
        <v>388</v>
      </c>
      <c r="L4697" t="s">
        <v>62</v>
      </c>
      <c r="M4697" t="s">
        <v>388</v>
      </c>
      <c r="N4697" t="s">
        <v>400</v>
      </c>
      <c r="O4697" t="s">
        <v>1285</v>
      </c>
      <c r="P4697">
        <v>-20.156977999999999</v>
      </c>
      <c r="Q4697">
        <v>-44.90325</v>
      </c>
      <c r="R4697" s="2" t="str">
        <f>HYPERLINK("https://www.google.com/maps?q=-20.1569780,-44.9032500","Abrir no Google Maps")</f>
        <v>Abrir no Google Maps</v>
      </c>
      <c r="S4697">
        <v>3</v>
      </c>
      <c r="T4697">
        <v>256.05633739092571</v>
      </c>
      <c r="U4697">
        <v>2</v>
      </c>
      <c r="V4697">
        <v>0.1229663514910232</v>
      </c>
      <c r="W4697">
        <v>0.85</v>
      </c>
      <c r="X4697">
        <v>0.1045213987673697</v>
      </c>
      <c r="Y4697">
        <v>729</v>
      </c>
      <c r="Z4697">
        <v>162.99447055889971</v>
      </c>
      <c r="AA4697">
        <v>198</v>
      </c>
      <c r="AB4697">
        <v>332</v>
      </c>
      <c r="AC4697">
        <v>536</v>
      </c>
      <c r="AD4697">
        <v>30.35</v>
      </c>
      <c r="AE4697">
        <v>542</v>
      </c>
      <c r="AF4697">
        <v>37</v>
      </c>
      <c r="AG4697">
        <v>161</v>
      </c>
      <c r="AH4697">
        <v>129</v>
      </c>
      <c r="AI4697">
        <v>6.83</v>
      </c>
      <c r="AJ4697">
        <v>29.7</v>
      </c>
      <c r="AK4697">
        <v>23.8</v>
      </c>
      <c r="AL4697">
        <v>-20.15696524999996</v>
      </c>
      <c r="AM4697">
        <v>-44.903258102626708</v>
      </c>
      <c r="AN4697">
        <v>-20.15696524999996</v>
      </c>
      <c r="AO4697">
        <v>-44.903258102626708</v>
      </c>
      <c r="AP4697">
        <v>-20.156977999999999</v>
      </c>
      <c r="AQ4697">
        <v>-44.90325</v>
      </c>
      <c r="AR4697">
        <v>1.6527147033629741</v>
      </c>
      <c r="AS4697" t="s">
        <v>65</v>
      </c>
      <c r="AT4697">
        <v>1</v>
      </c>
      <c r="AU4697" t="s">
        <v>1286</v>
      </c>
      <c r="AV4697" t="s">
        <v>1287</v>
      </c>
      <c r="AW4697" t="s">
        <v>60</v>
      </c>
      <c r="AX4697" t="s">
        <v>68</v>
      </c>
      <c r="AY4697" t="s">
        <v>69</v>
      </c>
      <c r="AZ4697" t="b">
        <v>1</v>
      </c>
    </row>
    <row r="4698" spans="1:52" x14ac:dyDescent="0.3">
      <c r="A4698" t="s">
        <v>52</v>
      </c>
      <c r="B4698" t="s">
        <v>53</v>
      </c>
      <c r="C4698" t="s">
        <v>54</v>
      </c>
      <c r="D4698" t="s">
        <v>55</v>
      </c>
      <c r="E4698" t="s">
        <v>2223</v>
      </c>
      <c r="F4698" t="s">
        <v>1247</v>
      </c>
      <c r="G4698" t="s">
        <v>1417</v>
      </c>
      <c r="H4698" t="s">
        <v>1418</v>
      </c>
      <c r="I4698" t="s">
        <v>1418</v>
      </c>
      <c r="J4698" t="s">
        <v>60</v>
      </c>
      <c r="K4698" t="s">
        <v>1419</v>
      </c>
      <c r="L4698" t="s">
        <v>62</v>
      </c>
      <c r="M4698" t="s">
        <v>1419</v>
      </c>
      <c r="N4698" t="s">
        <v>1420</v>
      </c>
      <c r="O4698" t="s">
        <v>1421</v>
      </c>
      <c r="P4698">
        <v>-20.159427000000001</v>
      </c>
      <c r="Q4698">
        <v>-44.897143</v>
      </c>
      <c r="R4698" s="2" t="str">
        <f>HYPERLINK("https://www.google.com/maps?q=-20.1594270,-44.8971430","Abrir no Google Maps")</f>
        <v>Abrir no Google Maps</v>
      </c>
      <c r="S4698">
        <v>3</v>
      </c>
      <c r="T4698">
        <v>392.64349875646298</v>
      </c>
      <c r="U4698">
        <v>2</v>
      </c>
      <c r="V4698">
        <v>0.1237948803191489</v>
      </c>
      <c r="W4698">
        <v>0.85</v>
      </c>
      <c r="X4698">
        <v>0.1052256482712766</v>
      </c>
      <c r="Y4698">
        <v>729</v>
      </c>
      <c r="Z4698">
        <v>550.20062797366995</v>
      </c>
      <c r="AA4698">
        <v>198</v>
      </c>
      <c r="AB4698">
        <v>332</v>
      </c>
      <c r="AC4698">
        <v>536</v>
      </c>
      <c r="AD4698">
        <v>30.35</v>
      </c>
      <c r="AE4698">
        <v>542</v>
      </c>
      <c r="AF4698">
        <v>37</v>
      </c>
      <c r="AG4698">
        <v>161</v>
      </c>
      <c r="AH4698">
        <v>129</v>
      </c>
      <c r="AI4698">
        <v>6.83</v>
      </c>
      <c r="AJ4698">
        <v>29.7</v>
      </c>
      <c r="AK4698">
        <v>23.8</v>
      </c>
      <c r="AL4698">
        <v>-20.15946549999995</v>
      </c>
      <c r="AM4698">
        <v>-44.89709959354267</v>
      </c>
      <c r="AN4698">
        <v>-20.15946549999995</v>
      </c>
      <c r="AO4698">
        <v>-44.89709959354267</v>
      </c>
      <c r="AP4698">
        <v>-20.159427000000001</v>
      </c>
      <c r="AQ4698">
        <v>-44.897143</v>
      </c>
      <c r="AR4698">
        <v>6.2404649979039286</v>
      </c>
      <c r="AS4698" t="s">
        <v>65</v>
      </c>
      <c r="AT4698">
        <v>1</v>
      </c>
      <c r="AU4698" t="s">
        <v>1422</v>
      </c>
      <c r="AV4698" t="s">
        <v>1423</v>
      </c>
      <c r="AW4698" t="s">
        <v>60</v>
      </c>
      <c r="AX4698" t="s">
        <v>68</v>
      </c>
      <c r="AY4698" t="s">
        <v>69</v>
      </c>
      <c r="AZ4698" t="b">
        <v>1</v>
      </c>
    </row>
    <row r="4699" spans="1:52" x14ac:dyDescent="0.3">
      <c r="A4699" t="s">
        <v>52</v>
      </c>
      <c r="B4699" t="s">
        <v>53</v>
      </c>
      <c r="C4699" t="s">
        <v>54</v>
      </c>
      <c r="D4699" t="s">
        <v>55</v>
      </c>
      <c r="E4699" t="s">
        <v>2223</v>
      </c>
      <c r="F4699" t="s">
        <v>1247</v>
      </c>
      <c r="G4699" t="s">
        <v>1288</v>
      </c>
      <c r="H4699" t="s">
        <v>1289</v>
      </c>
      <c r="I4699" t="s">
        <v>1289</v>
      </c>
      <c r="J4699" t="s">
        <v>60</v>
      </c>
      <c r="K4699" t="s">
        <v>1290</v>
      </c>
      <c r="L4699" t="s">
        <v>62</v>
      </c>
      <c r="M4699" t="s">
        <v>1290</v>
      </c>
      <c r="N4699" t="s">
        <v>1291</v>
      </c>
      <c r="O4699" t="s">
        <v>315</v>
      </c>
      <c r="P4699">
        <v>-20.171008</v>
      </c>
      <c r="Q4699">
        <v>-44.918908999999999</v>
      </c>
      <c r="R4699" s="2" t="str">
        <f>HYPERLINK("https://www.google.com/maps?q=-20.1710080,-44.9189090","Abrir no Google Maps")</f>
        <v>Abrir no Google Maps</v>
      </c>
      <c r="S4699">
        <v>3</v>
      </c>
      <c r="T4699">
        <v>972.86786700299888</v>
      </c>
      <c r="U4699">
        <v>2</v>
      </c>
      <c r="V4699">
        <v>0.118344716163619</v>
      </c>
      <c r="W4699">
        <v>0.85</v>
      </c>
      <c r="X4699">
        <v>0.1005930087390761</v>
      </c>
      <c r="Y4699">
        <v>723</v>
      </c>
      <c r="Z4699">
        <v>690.55600110253613</v>
      </c>
      <c r="AA4699">
        <v>198</v>
      </c>
      <c r="AB4699">
        <v>332</v>
      </c>
      <c r="AC4699">
        <v>536</v>
      </c>
      <c r="AD4699">
        <v>30.35</v>
      </c>
      <c r="AE4699">
        <v>542</v>
      </c>
      <c r="AF4699">
        <v>37</v>
      </c>
      <c r="AG4699">
        <v>161</v>
      </c>
      <c r="AH4699">
        <v>129</v>
      </c>
      <c r="AI4699">
        <v>6.83</v>
      </c>
      <c r="AJ4699">
        <v>29.7</v>
      </c>
      <c r="AK4699">
        <v>23.8</v>
      </c>
      <c r="AL4699">
        <v>-20.171738249999979</v>
      </c>
      <c r="AM4699">
        <v>-44.919736490382917</v>
      </c>
      <c r="AN4699">
        <v>-20.171738249999979</v>
      </c>
      <c r="AO4699">
        <v>-44.919736490382931</v>
      </c>
      <c r="AP4699">
        <v>-20.171008</v>
      </c>
      <c r="AQ4699">
        <v>-44.918908999999999</v>
      </c>
      <c r="AR4699">
        <v>118.678920061485</v>
      </c>
      <c r="AS4699" t="s">
        <v>65</v>
      </c>
      <c r="AT4699">
        <v>1</v>
      </c>
      <c r="AU4699" t="s">
        <v>1292</v>
      </c>
      <c r="AV4699" t="s">
        <v>1293</v>
      </c>
      <c r="AW4699" t="s">
        <v>60</v>
      </c>
      <c r="AX4699" t="s">
        <v>68</v>
      </c>
      <c r="AY4699" t="s">
        <v>69</v>
      </c>
      <c r="AZ4699" t="b">
        <v>1</v>
      </c>
    </row>
    <row r="4700" spans="1:52" x14ac:dyDescent="0.3">
      <c r="A4700" t="s">
        <v>52</v>
      </c>
      <c r="B4700" t="s">
        <v>53</v>
      </c>
      <c r="C4700" t="s">
        <v>54</v>
      </c>
      <c r="D4700" t="s">
        <v>55</v>
      </c>
      <c r="E4700" t="s">
        <v>2223</v>
      </c>
      <c r="F4700" t="s">
        <v>1247</v>
      </c>
      <c r="G4700" t="s">
        <v>1294</v>
      </c>
      <c r="H4700" t="s">
        <v>1295</v>
      </c>
      <c r="I4700" t="s">
        <v>1295</v>
      </c>
      <c r="J4700" t="s">
        <v>60</v>
      </c>
      <c r="K4700" t="s">
        <v>418</v>
      </c>
      <c r="L4700" t="s">
        <v>62</v>
      </c>
      <c r="M4700" t="s">
        <v>418</v>
      </c>
      <c r="N4700" t="s">
        <v>1296</v>
      </c>
      <c r="O4700" t="s">
        <v>1297</v>
      </c>
      <c r="P4700">
        <v>-20.169899999999998</v>
      </c>
      <c r="Q4700">
        <v>-44.916176999999998</v>
      </c>
      <c r="R4700" s="2" t="str">
        <f>HYPERLINK("https://www.google.com/maps?q=-20.1699000,-44.9161770","Abrir no Google Maps")</f>
        <v>Abrir no Google Maps</v>
      </c>
      <c r="S4700">
        <v>3</v>
      </c>
      <c r="T4700">
        <v>658.15251036568407</v>
      </c>
      <c r="U4700">
        <v>2</v>
      </c>
      <c r="V4700">
        <v>0.115665145600821</v>
      </c>
      <c r="W4700">
        <v>0.85</v>
      </c>
      <c r="X4700">
        <v>9.831537376069785E-2</v>
      </c>
      <c r="Y4700">
        <v>723</v>
      </c>
      <c r="Z4700">
        <v>400.39092274559039</v>
      </c>
      <c r="AA4700">
        <v>198</v>
      </c>
      <c r="AB4700">
        <v>332</v>
      </c>
      <c r="AC4700">
        <v>536</v>
      </c>
      <c r="AD4700">
        <v>30.35</v>
      </c>
      <c r="AE4700">
        <v>542</v>
      </c>
      <c r="AF4700">
        <v>37</v>
      </c>
      <c r="AG4700">
        <v>161</v>
      </c>
      <c r="AH4700">
        <v>129</v>
      </c>
      <c r="AI4700">
        <v>6.83</v>
      </c>
      <c r="AJ4700">
        <v>29.7</v>
      </c>
      <c r="AK4700">
        <v>23.8</v>
      </c>
      <c r="AL4700">
        <v>-20.169898399999941</v>
      </c>
      <c r="AM4700">
        <v>-44.916247682868359</v>
      </c>
      <c r="AN4700">
        <v>-20.169898399999941</v>
      </c>
      <c r="AO4700">
        <v>-44.916247682868359</v>
      </c>
      <c r="AP4700">
        <v>-20.169899999999998</v>
      </c>
      <c r="AQ4700">
        <v>-44.916176999999998</v>
      </c>
      <c r="AR4700">
        <v>7.388028048308902</v>
      </c>
      <c r="AS4700" t="s">
        <v>65</v>
      </c>
      <c r="AT4700">
        <v>1</v>
      </c>
      <c r="AU4700" t="s">
        <v>1298</v>
      </c>
      <c r="AV4700" t="s">
        <v>1299</v>
      </c>
      <c r="AW4700" t="s">
        <v>60</v>
      </c>
      <c r="AX4700" t="s">
        <v>68</v>
      </c>
      <c r="AY4700" t="s">
        <v>69</v>
      </c>
      <c r="AZ4700" t="b">
        <v>1</v>
      </c>
    </row>
    <row r="4701" spans="1:52" x14ac:dyDescent="0.3">
      <c r="A4701" t="s">
        <v>52</v>
      </c>
      <c r="B4701" t="s">
        <v>53</v>
      </c>
      <c r="C4701" t="s">
        <v>54</v>
      </c>
      <c r="D4701" t="s">
        <v>55</v>
      </c>
      <c r="E4701" t="s">
        <v>2223</v>
      </c>
      <c r="F4701" t="s">
        <v>1247</v>
      </c>
      <c r="G4701" t="s">
        <v>845</v>
      </c>
      <c r="H4701" t="s">
        <v>846</v>
      </c>
      <c r="I4701" t="s">
        <v>846</v>
      </c>
      <c r="J4701" t="s">
        <v>60</v>
      </c>
      <c r="K4701" t="s">
        <v>424</v>
      </c>
      <c r="L4701" t="s">
        <v>62</v>
      </c>
      <c r="M4701" t="s">
        <v>424</v>
      </c>
      <c r="N4701" t="s">
        <v>847</v>
      </c>
      <c r="O4701" t="s">
        <v>848</v>
      </c>
      <c r="P4701">
        <v>-20.175523999999999</v>
      </c>
      <c r="Q4701">
        <v>-44.918016999999999</v>
      </c>
      <c r="R4701" s="2" t="str">
        <f>HYPERLINK("https://www.google.com/maps?q=-20.1755240,-44.9180170","Abrir no Google Maps")</f>
        <v>Abrir no Google Maps</v>
      </c>
      <c r="S4701">
        <v>3</v>
      </c>
      <c r="T4701">
        <v>833.59191671824021</v>
      </c>
      <c r="U4701">
        <v>2</v>
      </c>
      <c r="V4701">
        <v>0.1287530133683979</v>
      </c>
      <c r="W4701">
        <v>0.85</v>
      </c>
      <c r="X4701">
        <v>0.10944006136313821</v>
      </c>
      <c r="Y4701">
        <v>723</v>
      </c>
      <c r="Z4701">
        <v>701.05790658871581</v>
      </c>
      <c r="AA4701">
        <v>198</v>
      </c>
      <c r="AB4701">
        <v>332</v>
      </c>
      <c r="AC4701">
        <v>536</v>
      </c>
      <c r="AD4701">
        <v>30.35</v>
      </c>
      <c r="AE4701">
        <v>542</v>
      </c>
      <c r="AF4701">
        <v>37</v>
      </c>
      <c r="AG4701">
        <v>161</v>
      </c>
      <c r="AH4701">
        <v>129</v>
      </c>
      <c r="AI4701">
        <v>6.83</v>
      </c>
      <c r="AJ4701">
        <v>29.7</v>
      </c>
      <c r="AK4701">
        <v>23.8</v>
      </c>
      <c r="AL4701">
        <v>-20.17533859999995</v>
      </c>
      <c r="AM4701">
        <v>-44.917689627873088</v>
      </c>
      <c r="AN4701">
        <v>-20.17533859999995</v>
      </c>
      <c r="AO4701">
        <v>-44.917689627873088</v>
      </c>
      <c r="AP4701">
        <v>-20.175523999999999</v>
      </c>
      <c r="AQ4701">
        <v>-44.918016999999999</v>
      </c>
      <c r="AR4701">
        <v>39.950898228213873</v>
      </c>
      <c r="AS4701" t="s">
        <v>65</v>
      </c>
      <c r="AT4701">
        <v>1</v>
      </c>
      <c r="AU4701" t="s">
        <v>849</v>
      </c>
      <c r="AV4701" t="s">
        <v>850</v>
      </c>
      <c r="AW4701" t="s">
        <v>60</v>
      </c>
      <c r="AX4701" t="s">
        <v>68</v>
      </c>
      <c r="AY4701" t="s">
        <v>69</v>
      </c>
      <c r="AZ4701" t="b">
        <v>1</v>
      </c>
    </row>
    <row r="4702" spans="1:52" x14ac:dyDescent="0.3">
      <c r="A4702" t="s">
        <v>52</v>
      </c>
      <c r="B4702" t="s">
        <v>53</v>
      </c>
      <c r="C4702" t="s">
        <v>54</v>
      </c>
      <c r="D4702" t="s">
        <v>55</v>
      </c>
      <c r="E4702" t="s">
        <v>2223</v>
      </c>
      <c r="F4702" t="s">
        <v>1247</v>
      </c>
      <c r="G4702" t="s">
        <v>422</v>
      </c>
      <c r="H4702" t="s">
        <v>1323</v>
      </c>
      <c r="I4702" t="s">
        <v>1323</v>
      </c>
      <c r="J4702" t="s">
        <v>60</v>
      </c>
      <c r="K4702" t="s">
        <v>1324</v>
      </c>
      <c r="L4702" t="s">
        <v>62</v>
      </c>
      <c r="M4702" t="s">
        <v>1324</v>
      </c>
      <c r="N4702" t="s">
        <v>425</v>
      </c>
      <c r="O4702" t="s">
        <v>1325</v>
      </c>
      <c r="P4702">
        <v>-20.175142000000001</v>
      </c>
      <c r="Q4702">
        <v>-44.913783000000002</v>
      </c>
      <c r="R4702" s="2" t="str">
        <f>HYPERLINK("https://www.google.com/maps?q=-20.1751420,-44.9137830","Abrir no Google Maps")</f>
        <v>Abrir no Google Maps</v>
      </c>
      <c r="S4702">
        <v>3</v>
      </c>
      <c r="T4702">
        <v>495.73888273066677</v>
      </c>
      <c r="U4702">
        <v>2</v>
      </c>
      <c r="V4702">
        <v>0.1168605952114567</v>
      </c>
      <c r="W4702">
        <v>0.85</v>
      </c>
      <c r="X4702">
        <v>9.933150592973819E-2</v>
      </c>
      <c r="Y4702">
        <v>723</v>
      </c>
      <c r="Z4702">
        <v>488.51574748236328</v>
      </c>
      <c r="AA4702">
        <v>198</v>
      </c>
      <c r="AB4702">
        <v>332</v>
      </c>
      <c r="AC4702">
        <v>536</v>
      </c>
      <c r="AD4702">
        <v>30.35</v>
      </c>
      <c r="AE4702">
        <v>542</v>
      </c>
      <c r="AF4702">
        <v>37</v>
      </c>
      <c r="AG4702">
        <v>161</v>
      </c>
      <c r="AH4702">
        <v>129</v>
      </c>
      <c r="AI4702">
        <v>6.83</v>
      </c>
      <c r="AJ4702">
        <v>29.7</v>
      </c>
      <c r="AK4702">
        <v>23.8</v>
      </c>
      <c r="AL4702">
        <v>-20.175195199999958</v>
      </c>
      <c r="AM4702">
        <v>-44.913964122548052</v>
      </c>
      <c r="AN4702">
        <v>-20.175195199999958</v>
      </c>
      <c r="AO4702">
        <v>-44.913964122548052</v>
      </c>
      <c r="AP4702">
        <v>-20.175142000000001</v>
      </c>
      <c r="AQ4702">
        <v>-44.913783000000002</v>
      </c>
      <c r="AR4702">
        <v>19.830402633152101</v>
      </c>
      <c r="AS4702" t="s">
        <v>65</v>
      </c>
      <c r="AT4702">
        <v>1</v>
      </c>
      <c r="AU4702" t="s">
        <v>1326</v>
      </c>
      <c r="AV4702" t="s">
        <v>1327</v>
      </c>
      <c r="AW4702" t="s">
        <v>60</v>
      </c>
      <c r="AX4702" t="s">
        <v>68</v>
      </c>
      <c r="AY4702" t="s">
        <v>69</v>
      </c>
      <c r="AZ4702" t="b">
        <v>1</v>
      </c>
    </row>
    <row r="4703" spans="1:52" x14ac:dyDescent="0.3">
      <c r="A4703" t="s">
        <v>52</v>
      </c>
      <c r="B4703" t="s">
        <v>53</v>
      </c>
      <c r="C4703" t="s">
        <v>54</v>
      </c>
      <c r="D4703" t="s">
        <v>55</v>
      </c>
      <c r="E4703" t="s">
        <v>2223</v>
      </c>
      <c r="F4703" t="s">
        <v>1247</v>
      </c>
      <c r="G4703" t="s">
        <v>1328</v>
      </c>
      <c r="H4703" t="s">
        <v>1329</v>
      </c>
      <c r="I4703" t="s">
        <v>1329</v>
      </c>
      <c r="J4703" t="s">
        <v>60</v>
      </c>
      <c r="K4703" t="s">
        <v>1324</v>
      </c>
      <c r="L4703" t="s">
        <v>62</v>
      </c>
      <c r="M4703" t="s">
        <v>1324</v>
      </c>
      <c r="N4703" t="s">
        <v>1330</v>
      </c>
      <c r="O4703" t="s">
        <v>1331</v>
      </c>
      <c r="P4703">
        <v>-20.172984</v>
      </c>
      <c r="Q4703">
        <v>-44.915225999999997</v>
      </c>
      <c r="R4703" s="2" t="str">
        <f>HYPERLINK("https://www.google.com/maps?q=-20.1729840,-44.9152260","Abrir no Google Maps")</f>
        <v>Abrir no Google Maps</v>
      </c>
      <c r="S4703">
        <v>3</v>
      </c>
      <c r="T4703">
        <v>498.21203543103741</v>
      </c>
      <c r="U4703">
        <v>2</v>
      </c>
      <c r="V4703">
        <v>0.1215852377199895</v>
      </c>
      <c r="W4703">
        <v>0.85</v>
      </c>
      <c r="X4703">
        <v>0.1033474520619911</v>
      </c>
      <c r="Y4703">
        <v>723</v>
      </c>
      <c r="Z4703">
        <v>297.36167326949931</v>
      </c>
      <c r="AA4703">
        <v>198</v>
      </c>
      <c r="AB4703">
        <v>332</v>
      </c>
      <c r="AC4703">
        <v>536</v>
      </c>
      <c r="AD4703">
        <v>30.35</v>
      </c>
      <c r="AE4703">
        <v>542</v>
      </c>
      <c r="AF4703">
        <v>37</v>
      </c>
      <c r="AG4703">
        <v>161</v>
      </c>
      <c r="AH4703">
        <v>129</v>
      </c>
      <c r="AI4703">
        <v>6.83</v>
      </c>
      <c r="AJ4703">
        <v>29.7</v>
      </c>
      <c r="AK4703">
        <v>23.8</v>
      </c>
      <c r="AL4703">
        <v>-20.172838899999959</v>
      </c>
      <c r="AM4703">
        <v>-44.915158011603552</v>
      </c>
      <c r="AN4703">
        <v>-20.172838899999959</v>
      </c>
      <c r="AO4703">
        <v>-44.915158011603552</v>
      </c>
      <c r="AP4703">
        <v>-20.172984</v>
      </c>
      <c r="AQ4703">
        <v>-44.915225999999997</v>
      </c>
      <c r="AR4703">
        <v>17.645788305942119</v>
      </c>
      <c r="AS4703" t="s">
        <v>65</v>
      </c>
      <c r="AT4703">
        <v>1</v>
      </c>
      <c r="AU4703" t="s">
        <v>1332</v>
      </c>
      <c r="AV4703" t="s">
        <v>1327</v>
      </c>
      <c r="AW4703" t="s">
        <v>60</v>
      </c>
      <c r="AX4703" t="s">
        <v>68</v>
      </c>
      <c r="AY4703" t="s">
        <v>69</v>
      </c>
      <c r="AZ4703" t="b">
        <v>1</v>
      </c>
    </row>
    <row r="4704" spans="1:52" x14ac:dyDescent="0.3">
      <c r="A4704" t="s">
        <v>52</v>
      </c>
      <c r="B4704" t="s">
        <v>53</v>
      </c>
      <c r="C4704" t="s">
        <v>54</v>
      </c>
      <c r="D4704" t="s">
        <v>55</v>
      </c>
      <c r="E4704" t="s">
        <v>2223</v>
      </c>
      <c r="F4704" t="s">
        <v>1247</v>
      </c>
      <c r="G4704" t="s">
        <v>1364</v>
      </c>
      <c r="H4704" t="s">
        <v>1365</v>
      </c>
      <c r="I4704" t="s">
        <v>1365</v>
      </c>
      <c r="J4704" t="s">
        <v>60</v>
      </c>
      <c r="K4704" t="s">
        <v>1356</v>
      </c>
      <c r="L4704" t="s">
        <v>62</v>
      </c>
      <c r="M4704" t="s">
        <v>1356</v>
      </c>
      <c r="N4704" t="s">
        <v>1366</v>
      </c>
      <c r="O4704" t="s">
        <v>548</v>
      </c>
      <c r="P4704">
        <v>-20.131240999999999</v>
      </c>
      <c r="Q4704">
        <v>-44.910567999999998</v>
      </c>
      <c r="R4704" s="2" t="str">
        <f>HYPERLINK("https://www.google.com/maps?q=-20.1312410,-44.9105680","Abrir no Google Maps")</f>
        <v>Abrir no Google Maps</v>
      </c>
      <c r="S4704">
        <v>3</v>
      </c>
      <c r="T4704">
        <v>822.61354861726704</v>
      </c>
      <c r="U4704">
        <v>2</v>
      </c>
      <c r="V4704">
        <v>0.1211668657905217</v>
      </c>
      <c r="W4704">
        <v>0.85</v>
      </c>
      <c r="X4704">
        <v>0.1029918359219434</v>
      </c>
      <c r="Y4704">
        <v>581</v>
      </c>
      <c r="Z4704">
        <v>982.3990834787046</v>
      </c>
      <c r="AA4704">
        <v>198</v>
      </c>
      <c r="AB4704">
        <v>332</v>
      </c>
      <c r="AC4704">
        <v>536</v>
      </c>
      <c r="AD4704">
        <v>30.35</v>
      </c>
      <c r="AE4704">
        <v>542</v>
      </c>
      <c r="AF4704">
        <v>37</v>
      </c>
      <c r="AG4704">
        <v>161</v>
      </c>
      <c r="AH4704">
        <v>129</v>
      </c>
      <c r="AI4704">
        <v>6.83</v>
      </c>
      <c r="AJ4704">
        <v>29.7</v>
      </c>
      <c r="AK4704">
        <v>23.8</v>
      </c>
      <c r="AL4704">
        <v>-20.131367099999981</v>
      </c>
      <c r="AM4704">
        <v>-44.910597350758543</v>
      </c>
      <c r="AN4704">
        <v>-20.131367099999981</v>
      </c>
      <c r="AO4704">
        <v>-44.910597350758543</v>
      </c>
      <c r="AP4704">
        <v>-20.131240999999999</v>
      </c>
      <c r="AQ4704">
        <v>-44.910567999999998</v>
      </c>
      <c r="AR4704">
        <v>14.36874794070623</v>
      </c>
      <c r="AS4704" t="s">
        <v>65</v>
      </c>
      <c r="AT4704">
        <v>1</v>
      </c>
      <c r="AU4704" t="s">
        <v>1367</v>
      </c>
      <c r="AV4704" t="s">
        <v>1368</v>
      </c>
      <c r="AW4704" t="s">
        <v>60</v>
      </c>
      <c r="AX4704" t="s">
        <v>68</v>
      </c>
      <c r="AY4704" t="s">
        <v>69</v>
      </c>
      <c r="AZ4704" t="b">
        <v>1</v>
      </c>
    </row>
    <row r="4705" spans="1:52" x14ac:dyDescent="0.3">
      <c r="A4705" t="s">
        <v>52</v>
      </c>
      <c r="B4705" t="s">
        <v>53</v>
      </c>
      <c r="C4705" t="s">
        <v>54</v>
      </c>
      <c r="D4705" t="s">
        <v>55</v>
      </c>
      <c r="E4705" t="s">
        <v>2223</v>
      </c>
      <c r="F4705" t="s">
        <v>1247</v>
      </c>
      <c r="G4705" t="s">
        <v>858</v>
      </c>
      <c r="H4705" t="s">
        <v>859</v>
      </c>
      <c r="I4705" t="s">
        <v>859</v>
      </c>
      <c r="J4705" t="s">
        <v>60</v>
      </c>
      <c r="K4705" t="s">
        <v>462</v>
      </c>
      <c r="L4705" t="s">
        <v>62</v>
      </c>
      <c r="M4705" t="s">
        <v>462</v>
      </c>
      <c r="N4705" t="s">
        <v>860</v>
      </c>
      <c r="O4705" t="s">
        <v>861</v>
      </c>
      <c r="P4705">
        <v>-20.139693999999999</v>
      </c>
      <c r="Q4705">
        <v>-44.911256000000002</v>
      </c>
      <c r="R4705" s="2" t="str">
        <f>HYPERLINK("https://www.google.com/maps?q=-20.1396940,-44.9112560","Abrir no Google Maps")</f>
        <v>Abrir no Google Maps</v>
      </c>
      <c r="S4705">
        <v>3</v>
      </c>
      <c r="T4705">
        <v>380.48036838042862</v>
      </c>
      <c r="U4705">
        <v>2</v>
      </c>
      <c r="V4705">
        <v>0.12367256637168141</v>
      </c>
      <c r="W4705">
        <v>0.85</v>
      </c>
      <c r="X4705">
        <v>0.1051216814159292</v>
      </c>
      <c r="Y4705">
        <v>581</v>
      </c>
      <c r="Z4705">
        <v>374.61146000000178</v>
      </c>
      <c r="AA4705">
        <v>198</v>
      </c>
      <c r="AB4705">
        <v>332</v>
      </c>
      <c r="AC4705">
        <v>536</v>
      </c>
      <c r="AD4705">
        <v>30.35</v>
      </c>
      <c r="AE4705">
        <v>542</v>
      </c>
      <c r="AF4705">
        <v>37</v>
      </c>
      <c r="AG4705">
        <v>161</v>
      </c>
      <c r="AH4705">
        <v>129</v>
      </c>
      <c r="AI4705">
        <v>6.83</v>
      </c>
      <c r="AJ4705">
        <v>29.7</v>
      </c>
      <c r="AK4705">
        <v>23.8</v>
      </c>
      <c r="AL4705">
        <v>-20.139768699999959</v>
      </c>
      <c r="AM4705">
        <v>-44.911265351587588</v>
      </c>
      <c r="AN4705">
        <v>-20.139768699999959</v>
      </c>
      <c r="AO4705">
        <v>-44.911265351587588</v>
      </c>
      <c r="AP4705">
        <v>-20.139693999999999</v>
      </c>
      <c r="AQ4705">
        <v>-44.911256000000002</v>
      </c>
      <c r="AR4705">
        <v>8.3728438666521061</v>
      </c>
      <c r="AS4705" t="s">
        <v>65</v>
      </c>
      <c r="AT4705">
        <v>1</v>
      </c>
      <c r="AU4705" t="s">
        <v>862</v>
      </c>
      <c r="AV4705" t="s">
        <v>863</v>
      </c>
      <c r="AW4705" t="s">
        <v>60</v>
      </c>
      <c r="AX4705" t="s">
        <v>68</v>
      </c>
      <c r="AY4705" t="s">
        <v>69</v>
      </c>
      <c r="AZ4705" t="b">
        <v>1</v>
      </c>
    </row>
    <row r="4706" spans="1:52" x14ac:dyDescent="0.3">
      <c r="A4706" t="s">
        <v>52</v>
      </c>
      <c r="B4706" t="s">
        <v>53</v>
      </c>
      <c r="C4706" t="s">
        <v>54</v>
      </c>
      <c r="D4706" t="s">
        <v>55</v>
      </c>
      <c r="E4706" t="s">
        <v>2223</v>
      </c>
      <c r="F4706" t="s">
        <v>1247</v>
      </c>
      <c r="G4706" t="s">
        <v>1382</v>
      </c>
      <c r="H4706" t="s">
        <v>1383</v>
      </c>
      <c r="I4706" t="s">
        <v>1383</v>
      </c>
      <c r="J4706" t="s">
        <v>60</v>
      </c>
      <c r="K4706" t="s">
        <v>1384</v>
      </c>
      <c r="L4706" t="s">
        <v>62</v>
      </c>
      <c r="M4706" t="s">
        <v>1384</v>
      </c>
      <c r="N4706" t="s">
        <v>1385</v>
      </c>
      <c r="O4706" t="s">
        <v>1379</v>
      </c>
      <c r="P4706">
        <v>-20.168914999999998</v>
      </c>
      <c r="Q4706">
        <v>-44.897015000000003</v>
      </c>
      <c r="R4706" s="2" t="str">
        <f>HYPERLINK("https://www.google.com/maps?q=-20.1689150,-44.8970150","Abrir no Google Maps")</f>
        <v>Abrir no Google Maps</v>
      </c>
      <c r="S4706">
        <v>3</v>
      </c>
      <c r="T4706">
        <v>1082.4313448281291</v>
      </c>
      <c r="U4706">
        <v>2</v>
      </c>
      <c r="V4706">
        <v>0.119058750194795</v>
      </c>
      <c r="W4706">
        <v>0.85</v>
      </c>
      <c r="X4706">
        <v>0.10119993766557581</v>
      </c>
      <c r="Y4706">
        <v>578</v>
      </c>
      <c r="Z4706">
        <v>1085.6751638476369</v>
      </c>
      <c r="AA4706">
        <v>198</v>
      </c>
      <c r="AB4706">
        <v>332</v>
      </c>
      <c r="AC4706">
        <v>536</v>
      </c>
      <c r="AD4706">
        <v>30.35</v>
      </c>
      <c r="AE4706">
        <v>542</v>
      </c>
      <c r="AF4706">
        <v>37</v>
      </c>
      <c r="AG4706">
        <v>161</v>
      </c>
      <c r="AH4706">
        <v>129</v>
      </c>
      <c r="AI4706">
        <v>6.83</v>
      </c>
      <c r="AJ4706">
        <v>29.7</v>
      </c>
      <c r="AK4706">
        <v>23.8</v>
      </c>
      <c r="AL4706">
        <v>-20.168195549999979</v>
      </c>
      <c r="AM4706">
        <v>-44.895555997240763</v>
      </c>
      <c r="AN4706">
        <v>-20.168195549999979</v>
      </c>
      <c r="AO4706">
        <v>-44.895555997240763</v>
      </c>
      <c r="AP4706">
        <v>-20.168914999999998</v>
      </c>
      <c r="AQ4706">
        <v>-44.897015000000003</v>
      </c>
      <c r="AR4706">
        <v>172.21377736735809</v>
      </c>
      <c r="AS4706" t="s">
        <v>65</v>
      </c>
      <c r="AT4706">
        <v>1</v>
      </c>
      <c r="AU4706" t="s">
        <v>1386</v>
      </c>
      <c r="AV4706" t="s">
        <v>1387</v>
      </c>
      <c r="AW4706" t="s">
        <v>60</v>
      </c>
      <c r="AX4706" t="s">
        <v>68</v>
      </c>
      <c r="AY4706" t="s">
        <v>69</v>
      </c>
      <c r="AZ4706" t="b">
        <v>1</v>
      </c>
    </row>
    <row r="4707" spans="1:52" x14ac:dyDescent="0.3">
      <c r="A4707" t="s">
        <v>52</v>
      </c>
      <c r="B4707" t="s">
        <v>53</v>
      </c>
      <c r="C4707" t="s">
        <v>54</v>
      </c>
      <c r="D4707" t="s">
        <v>55</v>
      </c>
      <c r="E4707" t="s">
        <v>2223</v>
      </c>
      <c r="F4707" t="s">
        <v>1247</v>
      </c>
      <c r="G4707" t="s">
        <v>491</v>
      </c>
      <c r="H4707" t="s">
        <v>492</v>
      </c>
      <c r="I4707" t="s">
        <v>492</v>
      </c>
      <c r="J4707" t="s">
        <v>60</v>
      </c>
      <c r="K4707" t="s">
        <v>475</v>
      </c>
      <c r="L4707" t="s">
        <v>62</v>
      </c>
      <c r="M4707" t="s">
        <v>475</v>
      </c>
      <c r="N4707" t="s">
        <v>493</v>
      </c>
      <c r="O4707" t="s">
        <v>494</v>
      </c>
      <c r="P4707">
        <v>-20.175250999999999</v>
      </c>
      <c r="Q4707">
        <v>-44.897357</v>
      </c>
      <c r="R4707" s="2" t="str">
        <f>HYPERLINK("https://www.google.com/maps?q=-20.1752510,-44.8973570","Abrir no Google Maps")</f>
        <v>Abrir no Google Maps</v>
      </c>
      <c r="S4707">
        <v>3</v>
      </c>
      <c r="T4707">
        <v>992.29631678149951</v>
      </c>
      <c r="U4707">
        <v>2</v>
      </c>
      <c r="V4707">
        <v>0.1101028755060306</v>
      </c>
      <c r="W4707">
        <v>1</v>
      </c>
      <c r="X4707">
        <v>0.1101028755060306</v>
      </c>
      <c r="Y4707">
        <v>578</v>
      </c>
      <c r="Z4707">
        <v>1008.5871064168319</v>
      </c>
      <c r="AA4707">
        <v>198</v>
      </c>
      <c r="AB4707">
        <v>332</v>
      </c>
      <c r="AC4707">
        <v>536</v>
      </c>
      <c r="AD4707">
        <v>30.35</v>
      </c>
      <c r="AE4707">
        <v>542</v>
      </c>
      <c r="AF4707">
        <v>37</v>
      </c>
      <c r="AG4707">
        <v>161</v>
      </c>
      <c r="AH4707">
        <v>129</v>
      </c>
      <c r="AI4707">
        <v>6.83</v>
      </c>
      <c r="AJ4707">
        <v>29.7</v>
      </c>
      <c r="AK4707">
        <v>23.8</v>
      </c>
      <c r="AL4707">
        <v>-20.175290599999951</v>
      </c>
      <c r="AM4707">
        <v>-44.897271931010721</v>
      </c>
      <c r="AN4707">
        <v>-20.175290599999951</v>
      </c>
      <c r="AO4707">
        <v>-44.897271931010721</v>
      </c>
      <c r="AP4707">
        <v>-20.175250999999999</v>
      </c>
      <c r="AQ4707">
        <v>-44.897357</v>
      </c>
      <c r="AR4707">
        <v>9.921899108467926</v>
      </c>
      <c r="AS4707" t="s">
        <v>65</v>
      </c>
      <c r="AT4707">
        <v>1</v>
      </c>
      <c r="AU4707" t="s">
        <v>495</v>
      </c>
      <c r="AV4707" t="s">
        <v>496</v>
      </c>
      <c r="AW4707" t="s">
        <v>60</v>
      </c>
      <c r="AX4707" t="s">
        <v>68</v>
      </c>
      <c r="AY4707" t="s">
        <v>69</v>
      </c>
      <c r="AZ4707" t="b">
        <v>1</v>
      </c>
    </row>
    <row r="4708" spans="1:52" x14ac:dyDescent="0.3">
      <c r="A4708" t="s">
        <v>52</v>
      </c>
      <c r="B4708" t="s">
        <v>53</v>
      </c>
      <c r="C4708" t="s">
        <v>54</v>
      </c>
      <c r="D4708" t="s">
        <v>55</v>
      </c>
      <c r="E4708" t="s">
        <v>2223</v>
      </c>
      <c r="F4708" t="s">
        <v>1247</v>
      </c>
      <c r="G4708" t="s">
        <v>1393</v>
      </c>
      <c r="H4708" t="s">
        <v>1394</v>
      </c>
      <c r="I4708" t="s">
        <v>1394</v>
      </c>
      <c r="J4708" t="s">
        <v>60</v>
      </c>
      <c r="K4708" t="s">
        <v>388</v>
      </c>
      <c r="L4708" t="s">
        <v>62</v>
      </c>
      <c r="M4708" t="s">
        <v>388</v>
      </c>
      <c r="N4708" t="s">
        <v>1395</v>
      </c>
      <c r="O4708" t="s">
        <v>1396</v>
      </c>
      <c r="P4708">
        <v>-20.167425000000001</v>
      </c>
      <c r="Q4708">
        <v>-44.907733999999998</v>
      </c>
      <c r="R4708" s="2" t="str">
        <f>HYPERLINK("https://www.google.com/maps?q=-20.1674250,-44.9077340","Abrir no Google Maps")</f>
        <v>Abrir no Google Maps</v>
      </c>
      <c r="S4708">
        <v>3</v>
      </c>
      <c r="T4708">
        <v>424.62372109792739</v>
      </c>
      <c r="U4708">
        <v>2</v>
      </c>
      <c r="V4708">
        <v>0.11744749921866331</v>
      </c>
      <c r="W4708">
        <v>0.85</v>
      </c>
      <c r="X4708">
        <v>9.9830374335863808E-2</v>
      </c>
      <c r="Y4708">
        <v>578</v>
      </c>
      <c r="Z4708">
        <v>559.08337206965382</v>
      </c>
      <c r="AA4708">
        <v>198</v>
      </c>
      <c r="AB4708">
        <v>332</v>
      </c>
      <c r="AC4708">
        <v>536</v>
      </c>
      <c r="AD4708">
        <v>30.35</v>
      </c>
      <c r="AE4708">
        <v>542</v>
      </c>
      <c r="AF4708">
        <v>37</v>
      </c>
      <c r="AG4708">
        <v>161</v>
      </c>
      <c r="AH4708">
        <v>129</v>
      </c>
      <c r="AI4708">
        <v>6.83</v>
      </c>
      <c r="AJ4708">
        <v>29.7</v>
      </c>
      <c r="AK4708">
        <v>23.8</v>
      </c>
      <c r="AL4708">
        <v>-20.167592099999951</v>
      </c>
      <c r="AM4708">
        <v>-44.907664214502859</v>
      </c>
      <c r="AN4708">
        <v>-20.167592099999951</v>
      </c>
      <c r="AO4708">
        <v>-44.907664214502859</v>
      </c>
      <c r="AP4708">
        <v>-20.167425000000001</v>
      </c>
      <c r="AQ4708">
        <v>-44.907733999999998</v>
      </c>
      <c r="AR4708">
        <v>19.979863459652229</v>
      </c>
      <c r="AS4708" t="s">
        <v>65</v>
      </c>
      <c r="AT4708">
        <v>1</v>
      </c>
      <c r="AU4708" t="s">
        <v>1397</v>
      </c>
      <c r="AV4708" t="s">
        <v>1398</v>
      </c>
      <c r="AW4708" t="s">
        <v>60</v>
      </c>
      <c r="AX4708" t="s">
        <v>68</v>
      </c>
      <c r="AY4708" t="s">
        <v>69</v>
      </c>
      <c r="AZ4708" t="b">
        <v>1</v>
      </c>
    </row>
    <row r="4709" spans="1:52" x14ac:dyDescent="0.3">
      <c r="A4709" t="s">
        <v>52</v>
      </c>
      <c r="B4709" t="s">
        <v>53</v>
      </c>
      <c r="C4709" t="s">
        <v>54</v>
      </c>
      <c r="D4709" t="s">
        <v>55</v>
      </c>
      <c r="E4709" t="s">
        <v>2223</v>
      </c>
      <c r="F4709" t="s">
        <v>1247</v>
      </c>
      <c r="G4709" t="s">
        <v>497</v>
      </c>
      <c r="H4709" t="s">
        <v>875</v>
      </c>
      <c r="I4709" t="s">
        <v>875</v>
      </c>
      <c r="J4709" t="s">
        <v>60</v>
      </c>
      <c r="K4709" t="s">
        <v>475</v>
      </c>
      <c r="L4709" t="s">
        <v>62</v>
      </c>
      <c r="M4709" t="s">
        <v>475</v>
      </c>
      <c r="N4709" t="s">
        <v>499</v>
      </c>
      <c r="O4709" t="s">
        <v>876</v>
      </c>
      <c r="P4709">
        <v>-20.177212999999998</v>
      </c>
      <c r="Q4709">
        <v>-44.904026999999999</v>
      </c>
      <c r="R4709" s="2" t="str">
        <f>HYPERLINK("https://www.google.com/maps?q=-20.1772130,-44.9040270","Abrir no Google Maps")</f>
        <v>Abrir no Google Maps</v>
      </c>
      <c r="S4709">
        <v>3</v>
      </c>
      <c r="T4709">
        <v>706.4159561113795</v>
      </c>
      <c r="U4709">
        <v>2</v>
      </c>
      <c r="V4709">
        <v>0.1001780793592519</v>
      </c>
      <c r="W4709">
        <v>1</v>
      </c>
      <c r="X4709">
        <v>0.1001780793592519</v>
      </c>
      <c r="Y4709">
        <v>578</v>
      </c>
      <c r="Z4709">
        <v>588.7160518608398</v>
      </c>
      <c r="AA4709">
        <v>198</v>
      </c>
      <c r="AB4709">
        <v>332</v>
      </c>
      <c r="AC4709">
        <v>536</v>
      </c>
      <c r="AD4709">
        <v>30.35</v>
      </c>
      <c r="AE4709">
        <v>542</v>
      </c>
      <c r="AF4709">
        <v>37</v>
      </c>
      <c r="AG4709">
        <v>161</v>
      </c>
      <c r="AH4709">
        <v>129</v>
      </c>
      <c r="AI4709">
        <v>6.83</v>
      </c>
      <c r="AJ4709">
        <v>29.7</v>
      </c>
      <c r="AK4709">
        <v>23.8</v>
      </c>
      <c r="AL4709">
        <v>-20.177090199999949</v>
      </c>
      <c r="AM4709">
        <v>-44.904078820930181</v>
      </c>
      <c r="AN4709">
        <v>-20.177090199999949</v>
      </c>
      <c r="AO4709">
        <v>-44.904078820930181</v>
      </c>
      <c r="AP4709">
        <v>-20.177212999999998</v>
      </c>
      <c r="AQ4709">
        <v>-44.904026999999999</v>
      </c>
      <c r="AR4709">
        <v>14.7034129632295</v>
      </c>
      <c r="AS4709" t="s">
        <v>65</v>
      </c>
      <c r="AT4709">
        <v>1</v>
      </c>
      <c r="AU4709" t="s">
        <v>877</v>
      </c>
      <c r="AV4709" t="s">
        <v>878</v>
      </c>
      <c r="AW4709" t="s">
        <v>60</v>
      </c>
      <c r="AX4709" t="s">
        <v>68</v>
      </c>
      <c r="AY4709" t="s">
        <v>69</v>
      </c>
      <c r="AZ4709" t="b">
        <v>1</v>
      </c>
    </row>
    <row r="4710" spans="1:52" x14ac:dyDescent="0.3">
      <c r="A4710" t="s">
        <v>52</v>
      </c>
      <c r="B4710" t="s">
        <v>53</v>
      </c>
      <c r="C4710" t="s">
        <v>54</v>
      </c>
      <c r="D4710" t="s">
        <v>55</v>
      </c>
      <c r="E4710" t="s">
        <v>2223</v>
      </c>
      <c r="F4710" t="s">
        <v>1247</v>
      </c>
      <c r="G4710" t="s">
        <v>1399</v>
      </c>
      <c r="H4710" t="s">
        <v>1400</v>
      </c>
      <c r="I4710" t="s">
        <v>1400</v>
      </c>
      <c r="J4710" t="s">
        <v>60</v>
      </c>
      <c r="K4710" t="s">
        <v>475</v>
      </c>
      <c r="L4710" t="s">
        <v>62</v>
      </c>
      <c r="M4710" t="s">
        <v>475</v>
      </c>
      <c r="N4710" t="s">
        <v>1401</v>
      </c>
      <c r="O4710" t="s">
        <v>1080</v>
      </c>
      <c r="P4710">
        <v>-20.178809000000001</v>
      </c>
      <c r="Q4710">
        <v>-44.900204000000002</v>
      </c>
      <c r="R4710" s="2" t="str">
        <f>HYPERLINK("https://www.google.com/maps?q=-20.1788090,-44.9002040","Abrir no Google Maps")</f>
        <v>Abrir no Google Maps</v>
      </c>
      <c r="S4710">
        <v>3</v>
      </c>
      <c r="T4710">
        <v>1015.86498565614</v>
      </c>
      <c r="U4710">
        <v>2</v>
      </c>
      <c r="V4710">
        <v>0.1211310850294656</v>
      </c>
      <c r="W4710">
        <v>0.85</v>
      </c>
      <c r="X4710">
        <v>0.1029614222750458</v>
      </c>
      <c r="Y4710">
        <v>578</v>
      </c>
      <c r="Z4710">
        <v>954.77111474428102</v>
      </c>
      <c r="AA4710">
        <v>198</v>
      </c>
      <c r="AB4710">
        <v>332</v>
      </c>
      <c r="AC4710">
        <v>536</v>
      </c>
      <c r="AD4710">
        <v>30.35</v>
      </c>
      <c r="AE4710">
        <v>542</v>
      </c>
      <c r="AF4710">
        <v>37</v>
      </c>
      <c r="AG4710">
        <v>161</v>
      </c>
      <c r="AH4710">
        <v>129</v>
      </c>
      <c r="AI4710">
        <v>6.83</v>
      </c>
      <c r="AJ4710">
        <v>29.7</v>
      </c>
      <c r="AK4710">
        <v>23.8</v>
      </c>
      <c r="AL4710">
        <v>-20.178590099999951</v>
      </c>
      <c r="AM4710">
        <v>-44.90029029928732</v>
      </c>
      <c r="AN4710">
        <v>-20.178590099999951</v>
      </c>
      <c r="AO4710">
        <v>-44.90029029928732</v>
      </c>
      <c r="AP4710">
        <v>-20.178809000000001</v>
      </c>
      <c r="AQ4710">
        <v>-44.900204000000002</v>
      </c>
      <c r="AR4710">
        <v>25.982812999798391</v>
      </c>
      <c r="AS4710" t="s">
        <v>65</v>
      </c>
      <c r="AT4710">
        <v>1</v>
      </c>
      <c r="AU4710" t="s">
        <v>1402</v>
      </c>
      <c r="AV4710" t="s">
        <v>1403</v>
      </c>
      <c r="AW4710" t="s">
        <v>60</v>
      </c>
      <c r="AX4710" t="s">
        <v>68</v>
      </c>
      <c r="AY4710" t="s">
        <v>69</v>
      </c>
      <c r="AZ4710" t="b">
        <v>1</v>
      </c>
    </row>
    <row r="4711" spans="1:52" x14ac:dyDescent="0.3">
      <c r="A4711" t="s">
        <v>52</v>
      </c>
      <c r="B4711" t="s">
        <v>53</v>
      </c>
      <c r="C4711" t="s">
        <v>54</v>
      </c>
      <c r="D4711" t="s">
        <v>55</v>
      </c>
      <c r="E4711" t="s">
        <v>2223</v>
      </c>
      <c r="F4711" t="s">
        <v>1247</v>
      </c>
      <c r="G4711" t="s">
        <v>497</v>
      </c>
      <c r="H4711" t="s">
        <v>498</v>
      </c>
      <c r="I4711" t="s">
        <v>498</v>
      </c>
      <c r="J4711" t="s">
        <v>60</v>
      </c>
      <c r="K4711" t="s">
        <v>475</v>
      </c>
      <c r="L4711" t="s">
        <v>62</v>
      </c>
      <c r="M4711" t="s">
        <v>475</v>
      </c>
      <c r="N4711" t="s">
        <v>499</v>
      </c>
      <c r="O4711" t="s">
        <v>500</v>
      </c>
      <c r="P4711">
        <v>-20.175492999999999</v>
      </c>
      <c r="Q4711">
        <v>-44.900759000000001</v>
      </c>
      <c r="R4711" s="2" t="str">
        <f>HYPERLINK("https://www.google.com/maps?q=-20.1754930,-44.9007590","Abrir no Google Maps")</f>
        <v>Abrir no Google Maps</v>
      </c>
      <c r="S4711">
        <v>3</v>
      </c>
      <c r="T4711">
        <v>753.30732354720431</v>
      </c>
      <c r="U4711">
        <v>2</v>
      </c>
      <c r="V4711">
        <v>0.10776202598314601</v>
      </c>
      <c r="W4711">
        <v>1</v>
      </c>
      <c r="X4711">
        <v>0.10776202598314601</v>
      </c>
      <c r="Y4711">
        <v>578</v>
      </c>
      <c r="Z4711">
        <v>695.28903655431702</v>
      </c>
      <c r="AA4711">
        <v>198</v>
      </c>
      <c r="AB4711">
        <v>332</v>
      </c>
      <c r="AC4711">
        <v>536</v>
      </c>
      <c r="AD4711">
        <v>30.35</v>
      </c>
      <c r="AE4711">
        <v>542</v>
      </c>
      <c r="AF4711">
        <v>37</v>
      </c>
      <c r="AG4711">
        <v>161</v>
      </c>
      <c r="AH4711">
        <v>129</v>
      </c>
      <c r="AI4711">
        <v>6.83</v>
      </c>
      <c r="AJ4711">
        <v>29.7</v>
      </c>
      <c r="AK4711">
        <v>23.8</v>
      </c>
      <c r="AL4711">
        <v>-20.175825999999969</v>
      </c>
      <c r="AM4711">
        <v>-44.900600234646973</v>
      </c>
      <c r="AN4711">
        <v>-20.175825999999969</v>
      </c>
      <c r="AO4711">
        <v>-44.900600234646973</v>
      </c>
      <c r="AP4711">
        <v>-20.175492999999999</v>
      </c>
      <c r="AQ4711">
        <v>-44.900759000000001</v>
      </c>
      <c r="AR4711">
        <v>40.612267304645073</v>
      </c>
      <c r="AS4711" t="s">
        <v>65</v>
      </c>
      <c r="AT4711">
        <v>1</v>
      </c>
      <c r="AU4711" t="s">
        <v>501</v>
      </c>
      <c r="AV4711" t="s">
        <v>502</v>
      </c>
      <c r="AW4711" t="s">
        <v>60</v>
      </c>
      <c r="AX4711" t="s">
        <v>68</v>
      </c>
      <c r="AY4711" t="s">
        <v>69</v>
      </c>
      <c r="AZ4711" t="b">
        <v>1</v>
      </c>
    </row>
    <row r="4712" spans="1:52" x14ac:dyDescent="0.3">
      <c r="A4712" t="s">
        <v>52</v>
      </c>
      <c r="B4712" t="s">
        <v>53</v>
      </c>
      <c r="C4712" t="s">
        <v>54</v>
      </c>
      <c r="D4712" t="s">
        <v>55</v>
      </c>
      <c r="E4712" t="s">
        <v>2223</v>
      </c>
      <c r="F4712" t="s">
        <v>1247</v>
      </c>
      <c r="G4712" t="s">
        <v>649</v>
      </c>
      <c r="H4712" t="s">
        <v>885</v>
      </c>
      <c r="I4712" t="s">
        <v>885</v>
      </c>
      <c r="J4712" t="s">
        <v>60</v>
      </c>
      <c r="K4712" t="s">
        <v>886</v>
      </c>
      <c r="L4712" t="s">
        <v>62</v>
      </c>
      <c r="M4712" t="s">
        <v>886</v>
      </c>
      <c r="N4712" t="s">
        <v>652</v>
      </c>
      <c r="O4712" t="s">
        <v>887</v>
      </c>
      <c r="P4712">
        <v>-20.132252000000001</v>
      </c>
      <c r="Q4712">
        <v>-44.894159000000002</v>
      </c>
      <c r="R4712" s="2" t="str">
        <f>HYPERLINK("https://www.google.com/maps?q=-20.1322520,-44.8941590","Abrir no Google Maps")</f>
        <v>Abrir no Google Maps</v>
      </c>
      <c r="S4712">
        <v>3</v>
      </c>
      <c r="T4712">
        <v>699.5004749448899</v>
      </c>
      <c r="U4712">
        <v>2</v>
      </c>
      <c r="V4712">
        <v>0.12530487804878049</v>
      </c>
      <c r="W4712">
        <v>0.85</v>
      </c>
      <c r="X4712">
        <v>0.1065091463414634</v>
      </c>
      <c r="Y4712">
        <v>564</v>
      </c>
      <c r="Z4712">
        <v>522.21103586457991</v>
      </c>
      <c r="AA4712">
        <v>198</v>
      </c>
      <c r="AB4712">
        <v>332</v>
      </c>
      <c r="AC4712">
        <v>536</v>
      </c>
      <c r="AD4712">
        <v>30.35</v>
      </c>
      <c r="AE4712">
        <v>542</v>
      </c>
      <c r="AF4712">
        <v>37</v>
      </c>
      <c r="AG4712">
        <v>161</v>
      </c>
      <c r="AH4712">
        <v>129</v>
      </c>
      <c r="AI4712">
        <v>6.83</v>
      </c>
      <c r="AJ4712">
        <v>29.7</v>
      </c>
      <c r="AK4712">
        <v>23.8</v>
      </c>
      <c r="AL4712">
        <v>-20.132285999999969</v>
      </c>
      <c r="AM4712">
        <v>-44.894119001288672</v>
      </c>
      <c r="AN4712">
        <v>-20.132285999999969</v>
      </c>
      <c r="AO4712">
        <v>-44.894119001288672</v>
      </c>
      <c r="AP4712">
        <v>-20.132252000000001</v>
      </c>
      <c r="AQ4712">
        <v>-44.894159000000002</v>
      </c>
      <c r="AR4712">
        <v>5.6393921063261629</v>
      </c>
      <c r="AS4712" t="s">
        <v>65</v>
      </c>
      <c r="AT4712">
        <v>1</v>
      </c>
      <c r="AU4712" t="s">
        <v>888</v>
      </c>
      <c r="AV4712" t="s">
        <v>889</v>
      </c>
      <c r="AW4712" t="s">
        <v>60</v>
      </c>
      <c r="AX4712" t="s">
        <v>68</v>
      </c>
      <c r="AY4712" t="s">
        <v>69</v>
      </c>
      <c r="AZ4712" t="b">
        <v>1</v>
      </c>
    </row>
    <row r="4713" spans="1:52" x14ac:dyDescent="0.3">
      <c r="A4713" t="s">
        <v>52</v>
      </c>
      <c r="B4713" t="s">
        <v>53</v>
      </c>
      <c r="C4713" t="s">
        <v>54</v>
      </c>
      <c r="D4713" t="s">
        <v>55</v>
      </c>
      <c r="E4713" t="s">
        <v>2223</v>
      </c>
      <c r="F4713" t="s">
        <v>1247</v>
      </c>
      <c r="G4713" t="s">
        <v>503</v>
      </c>
      <c r="H4713" t="s">
        <v>1441</v>
      </c>
      <c r="I4713" t="s">
        <v>1441</v>
      </c>
      <c r="J4713" t="s">
        <v>60</v>
      </c>
      <c r="K4713" t="s">
        <v>512</v>
      </c>
      <c r="L4713" t="s">
        <v>62</v>
      </c>
      <c r="M4713" t="s">
        <v>512</v>
      </c>
      <c r="N4713" t="s">
        <v>506</v>
      </c>
      <c r="O4713" t="s">
        <v>1442</v>
      </c>
      <c r="P4713">
        <v>-20.13036</v>
      </c>
      <c r="Q4713">
        <v>-44.891019</v>
      </c>
      <c r="R4713" s="2" t="str">
        <f>HYPERLINK("https://www.google.com/maps?q=-20.1303600,-44.8910190","Abrir no Google Maps")</f>
        <v>Abrir no Google Maps</v>
      </c>
      <c r="S4713">
        <v>3</v>
      </c>
      <c r="T4713">
        <v>313.17410616307359</v>
      </c>
      <c r="U4713">
        <v>2</v>
      </c>
      <c r="V4713">
        <v>0.1224058949153095</v>
      </c>
      <c r="W4713">
        <v>0.85</v>
      </c>
      <c r="X4713">
        <v>0.1040450106780131</v>
      </c>
      <c r="Y4713">
        <v>564</v>
      </c>
      <c r="Z4713">
        <v>208.43159293494489</v>
      </c>
      <c r="AA4713">
        <v>198</v>
      </c>
      <c r="AB4713">
        <v>332</v>
      </c>
      <c r="AC4713">
        <v>536</v>
      </c>
      <c r="AD4713">
        <v>30.35</v>
      </c>
      <c r="AE4713">
        <v>542</v>
      </c>
      <c r="AF4713">
        <v>37</v>
      </c>
      <c r="AG4713">
        <v>161</v>
      </c>
      <c r="AH4713">
        <v>129</v>
      </c>
      <c r="AI4713">
        <v>6.83</v>
      </c>
      <c r="AJ4713">
        <v>29.7</v>
      </c>
      <c r="AK4713">
        <v>23.8</v>
      </c>
      <c r="AL4713">
        <v>-20.130100449999961</v>
      </c>
      <c r="AM4713">
        <v>-44.891163633475301</v>
      </c>
      <c r="AN4713">
        <v>-20.130100449999961</v>
      </c>
      <c r="AO4713">
        <v>-44.891163633475301</v>
      </c>
      <c r="AP4713">
        <v>-20.13036</v>
      </c>
      <c r="AQ4713">
        <v>-44.891019</v>
      </c>
      <c r="AR4713">
        <v>32.608854575381159</v>
      </c>
      <c r="AS4713" t="s">
        <v>65</v>
      </c>
      <c r="AT4713">
        <v>1</v>
      </c>
      <c r="AU4713" t="s">
        <v>1443</v>
      </c>
      <c r="AV4713" t="s">
        <v>1444</v>
      </c>
      <c r="AW4713" t="s">
        <v>60</v>
      </c>
      <c r="AX4713" t="s">
        <v>68</v>
      </c>
      <c r="AY4713" t="s">
        <v>69</v>
      </c>
      <c r="AZ4713" t="b">
        <v>1</v>
      </c>
    </row>
    <row r="4714" spans="1:52" x14ac:dyDescent="0.3">
      <c r="A4714" t="s">
        <v>52</v>
      </c>
      <c r="B4714" t="s">
        <v>53</v>
      </c>
      <c r="C4714" t="s">
        <v>54</v>
      </c>
      <c r="D4714" t="s">
        <v>55</v>
      </c>
      <c r="E4714" t="s">
        <v>2223</v>
      </c>
      <c r="F4714" t="s">
        <v>1247</v>
      </c>
      <c r="G4714" t="s">
        <v>473</v>
      </c>
      <c r="H4714" t="s">
        <v>1445</v>
      </c>
      <c r="I4714" t="s">
        <v>1445</v>
      </c>
      <c r="J4714" t="s">
        <v>60</v>
      </c>
      <c r="K4714" t="s">
        <v>892</v>
      </c>
      <c r="L4714" t="s">
        <v>62</v>
      </c>
      <c r="M4714" t="s">
        <v>892</v>
      </c>
      <c r="N4714" t="s">
        <v>406</v>
      </c>
      <c r="O4714" t="s">
        <v>1446</v>
      </c>
      <c r="P4714">
        <v>-20.14941</v>
      </c>
      <c r="Q4714">
        <v>-44.899535</v>
      </c>
      <c r="R4714" s="2" t="str">
        <f>HYPERLINK("https://www.google.com/maps?q=-20.1494100,-44.8995350","Abrir no Google Maps")</f>
        <v>Abrir no Google Maps</v>
      </c>
      <c r="S4714">
        <v>3</v>
      </c>
      <c r="T4714">
        <v>249.83945591849931</v>
      </c>
      <c r="U4714">
        <v>2</v>
      </c>
      <c r="V4714">
        <v>0.1161399290049238</v>
      </c>
      <c r="W4714">
        <v>0.85</v>
      </c>
      <c r="X4714">
        <v>9.8718939654185225E-2</v>
      </c>
      <c r="Y4714">
        <v>556</v>
      </c>
      <c r="Z4714">
        <v>156.62360082488701</v>
      </c>
      <c r="AA4714">
        <v>198</v>
      </c>
      <c r="AB4714">
        <v>332</v>
      </c>
      <c r="AC4714">
        <v>536</v>
      </c>
      <c r="AD4714">
        <v>30.35</v>
      </c>
      <c r="AE4714">
        <v>542</v>
      </c>
      <c r="AF4714">
        <v>37</v>
      </c>
      <c r="AG4714">
        <v>161</v>
      </c>
      <c r="AH4714">
        <v>129</v>
      </c>
      <c r="AI4714">
        <v>6.83</v>
      </c>
      <c r="AJ4714">
        <v>29.7</v>
      </c>
      <c r="AK4714">
        <v>23.8</v>
      </c>
      <c r="AL4714">
        <v>-20.149341899999939</v>
      </c>
      <c r="AM4714">
        <v>-44.899575902083967</v>
      </c>
      <c r="AN4714">
        <v>-20.149341899999939</v>
      </c>
      <c r="AO4714">
        <v>-44.899575902083967</v>
      </c>
      <c r="AP4714">
        <v>-20.14941</v>
      </c>
      <c r="AQ4714">
        <v>-44.899535</v>
      </c>
      <c r="AR4714">
        <v>8.7029725999778709</v>
      </c>
      <c r="AS4714" t="s">
        <v>65</v>
      </c>
      <c r="AT4714">
        <v>1</v>
      </c>
      <c r="AU4714" t="s">
        <v>1447</v>
      </c>
      <c r="AV4714" t="s">
        <v>1448</v>
      </c>
      <c r="AW4714" t="s">
        <v>60</v>
      </c>
      <c r="AX4714" t="s">
        <v>68</v>
      </c>
      <c r="AY4714" t="s">
        <v>69</v>
      </c>
      <c r="AZ4714" t="b">
        <v>1</v>
      </c>
    </row>
    <row r="4715" spans="1:52" x14ac:dyDescent="0.3">
      <c r="A4715" t="s">
        <v>52</v>
      </c>
      <c r="B4715" t="s">
        <v>53</v>
      </c>
      <c r="C4715" t="s">
        <v>54</v>
      </c>
      <c r="D4715" t="s">
        <v>55</v>
      </c>
      <c r="E4715" t="s">
        <v>2223</v>
      </c>
      <c r="F4715" t="s">
        <v>1247</v>
      </c>
      <c r="G4715" t="s">
        <v>1300</v>
      </c>
      <c r="H4715" t="s">
        <v>1301</v>
      </c>
      <c r="I4715" t="s">
        <v>1301</v>
      </c>
      <c r="J4715" t="s">
        <v>60</v>
      </c>
      <c r="K4715" t="s">
        <v>1302</v>
      </c>
      <c r="L4715" t="s">
        <v>62</v>
      </c>
      <c r="M4715" t="s">
        <v>1302</v>
      </c>
      <c r="N4715" t="s">
        <v>1303</v>
      </c>
      <c r="O4715" t="s">
        <v>1304</v>
      </c>
      <c r="P4715">
        <v>-20.166618</v>
      </c>
      <c r="Q4715">
        <v>-44.912920999999997</v>
      </c>
      <c r="R4715" s="2" t="str">
        <f>HYPERLINK("https://www.google.com/maps?q=-20.1666180,-44.9129210","Abrir no Google Maps")</f>
        <v>Abrir no Google Maps</v>
      </c>
      <c r="S4715">
        <v>3</v>
      </c>
      <c r="T4715">
        <v>636.32880156364706</v>
      </c>
      <c r="U4715">
        <v>1</v>
      </c>
      <c r="V4715">
        <v>0.1153116333381987</v>
      </c>
      <c r="W4715">
        <v>0.85</v>
      </c>
      <c r="X4715">
        <v>9.8014888337468895E-2</v>
      </c>
      <c r="Y4715">
        <v>723</v>
      </c>
      <c r="Z4715">
        <v>407.62145176971592</v>
      </c>
      <c r="AA4715">
        <v>198</v>
      </c>
      <c r="AB4715">
        <v>332</v>
      </c>
      <c r="AC4715">
        <v>536</v>
      </c>
      <c r="AD4715">
        <v>30.35</v>
      </c>
      <c r="AE4715">
        <v>542</v>
      </c>
      <c r="AF4715">
        <v>37</v>
      </c>
      <c r="AG4715">
        <v>161</v>
      </c>
      <c r="AH4715">
        <v>129</v>
      </c>
      <c r="AI4715">
        <v>6.83</v>
      </c>
      <c r="AJ4715">
        <v>29.7</v>
      </c>
      <c r="AK4715">
        <v>23.8</v>
      </c>
      <c r="AL4715">
        <v>-20.166924799999951</v>
      </c>
      <c r="AM4715">
        <v>-44.912868681724092</v>
      </c>
      <c r="AN4715">
        <v>-20.166924799999951</v>
      </c>
      <c r="AO4715">
        <v>-44.912868681724092</v>
      </c>
      <c r="AP4715">
        <v>-20.166618</v>
      </c>
      <c r="AQ4715">
        <v>-44.912920999999997</v>
      </c>
      <c r="AR4715">
        <v>34.587771860198139</v>
      </c>
      <c r="AS4715" t="s">
        <v>65</v>
      </c>
      <c r="AT4715">
        <v>1</v>
      </c>
      <c r="AU4715" t="s">
        <v>1305</v>
      </c>
      <c r="AV4715" t="s">
        <v>1306</v>
      </c>
      <c r="AW4715" t="s">
        <v>60</v>
      </c>
      <c r="AX4715" t="s">
        <v>68</v>
      </c>
      <c r="AY4715" t="s">
        <v>69</v>
      </c>
      <c r="AZ4715" t="b">
        <v>1</v>
      </c>
    </row>
    <row r="4716" spans="1:52" x14ac:dyDescent="0.3">
      <c r="A4716" t="s">
        <v>52</v>
      </c>
      <c r="B4716" t="s">
        <v>53</v>
      </c>
      <c r="C4716" t="s">
        <v>54</v>
      </c>
      <c r="D4716" t="s">
        <v>55</v>
      </c>
      <c r="E4716" t="s">
        <v>2223</v>
      </c>
      <c r="F4716" t="s">
        <v>1247</v>
      </c>
      <c r="G4716" t="s">
        <v>1312</v>
      </c>
      <c r="H4716" t="s">
        <v>1313</v>
      </c>
      <c r="I4716" t="s">
        <v>1313</v>
      </c>
      <c r="J4716" t="s">
        <v>60</v>
      </c>
      <c r="K4716" t="s">
        <v>1314</v>
      </c>
      <c r="L4716" t="s">
        <v>62</v>
      </c>
      <c r="M4716" t="s">
        <v>1314</v>
      </c>
      <c r="N4716" t="s">
        <v>1315</v>
      </c>
      <c r="O4716" t="s">
        <v>315</v>
      </c>
      <c r="P4716">
        <v>-20.179649999999999</v>
      </c>
      <c r="Q4716">
        <v>-44.927177</v>
      </c>
      <c r="R4716" s="2" t="str">
        <f>HYPERLINK("https://www.google.com/maps?q=-20.1796500,-44.9271770","Abrir no Google Maps")</f>
        <v>Abrir no Google Maps</v>
      </c>
      <c r="S4716">
        <v>3</v>
      </c>
      <c r="T4716">
        <v>1742.181438658615</v>
      </c>
      <c r="U4716">
        <v>1</v>
      </c>
      <c r="V4716">
        <v>0.1080600164526628</v>
      </c>
      <c r="W4716">
        <v>0.85</v>
      </c>
      <c r="X4716">
        <v>9.1851013984763377E-2</v>
      </c>
      <c r="Y4716">
        <v>723</v>
      </c>
      <c r="Z4716">
        <v>1801.262037027635</v>
      </c>
      <c r="AA4716">
        <v>198</v>
      </c>
      <c r="AB4716">
        <v>332</v>
      </c>
      <c r="AC4716">
        <v>536</v>
      </c>
      <c r="AD4716">
        <v>30.35</v>
      </c>
      <c r="AE4716">
        <v>542</v>
      </c>
      <c r="AF4716">
        <v>37</v>
      </c>
      <c r="AG4716">
        <v>161</v>
      </c>
      <c r="AH4716">
        <v>129</v>
      </c>
      <c r="AI4716">
        <v>6.83</v>
      </c>
      <c r="AJ4716">
        <v>29.7</v>
      </c>
      <c r="AK4716">
        <v>23.8</v>
      </c>
      <c r="AL4716">
        <v>-20.18058599999998</v>
      </c>
      <c r="AM4716">
        <v>-44.926708474999977</v>
      </c>
      <c r="AN4716">
        <v>-20.18058599999998</v>
      </c>
      <c r="AO4716">
        <v>-44.926708474999977</v>
      </c>
      <c r="AP4716">
        <v>-20.179649999999999</v>
      </c>
      <c r="AQ4716">
        <v>-44.927177</v>
      </c>
      <c r="AR4716">
        <v>115.1226868075416</v>
      </c>
      <c r="AS4716" t="s">
        <v>65</v>
      </c>
      <c r="AT4716">
        <v>1</v>
      </c>
      <c r="AU4716" t="s">
        <v>1316</v>
      </c>
      <c r="AV4716" t="s">
        <v>1317</v>
      </c>
      <c r="AW4716" t="s">
        <v>60</v>
      </c>
      <c r="AX4716" t="s">
        <v>68</v>
      </c>
      <c r="AY4716" t="s">
        <v>69</v>
      </c>
      <c r="AZ4716" t="b">
        <v>1</v>
      </c>
    </row>
    <row r="4717" spans="1:52" x14ac:dyDescent="0.3">
      <c r="A4717" t="s">
        <v>52</v>
      </c>
      <c r="B4717" t="s">
        <v>53</v>
      </c>
      <c r="C4717" t="s">
        <v>54</v>
      </c>
      <c r="D4717" t="s">
        <v>55</v>
      </c>
      <c r="E4717" t="s">
        <v>2223</v>
      </c>
      <c r="F4717" t="s">
        <v>1247</v>
      </c>
      <c r="G4717" t="s">
        <v>1318</v>
      </c>
      <c r="H4717" t="s">
        <v>1319</v>
      </c>
      <c r="I4717" t="s">
        <v>1319</v>
      </c>
      <c r="J4717" t="s">
        <v>60</v>
      </c>
      <c r="K4717" t="s">
        <v>1314</v>
      </c>
      <c r="L4717" t="s">
        <v>62</v>
      </c>
      <c r="M4717" t="s">
        <v>1314</v>
      </c>
      <c r="N4717" t="s">
        <v>1320</v>
      </c>
      <c r="O4717" t="s">
        <v>1321</v>
      </c>
      <c r="P4717">
        <v>-20.178615000000001</v>
      </c>
      <c r="Q4717">
        <v>-44.924697999999999</v>
      </c>
      <c r="R4717" s="2" t="str">
        <f>HYPERLINK("https://www.google.com/maps?q=-20.1786150,-44.9246980","Abrir no Google Maps")</f>
        <v>Abrir no Google Maps</v>
      </c>
      <c r="S4717">
        <v>3</v>
      </c>
      <c r="T4717">
        <v>1583.462557226148</v>
      </c>
      <c r="U4717">
        <v>1</v>
      </c>
      <c r="V4717">
        <v>0.10890162314212939</v>
      </c>
      <c r="W4717">
        <v>0.85</v>
      </c>
      <c r="X4717">
        <v>9.2566379670809981E-2</v>
      </c>
      <c r="Y4717">
        <v>723</v>
      </c>
      <c r="Z4717">
        <v>1414.1542726995031</v>
      </c>
      <c r="AA4717">
        <v>198</v>
      </c>
      <c r="AB4717">
        <v>332</v>
      </c>
      <c r="AC4717">
        <v>536</v>
      </c>
      <c r="AD4717">
        <v>30.35</v>
      </c>
      <c r="AE4717">
        <v>542</v>
      </c>
      <c r="AF4717">
        <v>37</v>
      </c>
      <c r="AG4717">
        <v>161</v>
      </c>
      <c r="AH4717">
        <v>129</v>
      </c>
      <c r="AI4717">
        <v>6.83</v>
      </c>
      <c r="AJ4717">
        <v>29.7</v>
      </c>
      <c r="AK4717">
        <v>23.8</v>
      </c>
      <c r="AL4717">
        <v>-20.17821329999995</v>
      </c>
      <c r="AM4717">
        <v>-44.924188563452951</v>
      </c>
      <c r="AN4717">
        <v>-20.17821329999995</v>
      </c>
      <c r="AO4717">
        <v>-44.924188563452951</v>
      </c>
      <c r="AP4717">
        <v>-20.178615000000001</v>
      </c>
      <c r="AQ4717">
        <v>-44.924697999999999</v>
      </c>
      <c r="AR4717">
        <v>69.520116290580319</v>
      </c>
      <c r="AS4717" t="s">
        <v>65</v>
      </c>
      <c r="AT4717">
        <v>1</v>
      </c>
      <c r="AU4717" t="s">
        <v>1322</v>
      </c>
      <c r="AV4717" t="s">
        <v>1317</v>
      </c>
      <c r="AW4717" t="s">
        <v>60</v>
      </c>
      <c r="AX4717" t="s">
        <v>68</v>
      </c>
      <c r="AY4717" t="s">
        <v>69</v>
      </c>
      <c r="AZ4717" t="b">
        <v>1</v>
      </c>
    </row>
    <row r="4718" spans="1:52" x14ac:dyDescent="0.3">
      <c r="A4718" t="s">
        <v>52</v>
      </c>
      <c r="B4718" t="s">
        <v>53</v>
      </c>
      <c r="C4718" t="s">
        <v>54</v>
      </c>
      <c r="D4718" t="s">
        <v>55</v>
      </c>
      <c r="E4718" t="s">
        <v>2223</v>
      </c>
      <c r="F4718" t="s">
        <v>1247</v>
      </c>
      <c r="G4718" t="s">
        <v>479</v>
      </c>
      <c r="H4718" t="s">
        <v>1338</v>
      </c>
      <c r="I4718" t="s">
        <v>1338</v>
      </c>
      <c r="J4718" t="s">
        <v>60</v>
      </c>
      <c r="K4718" t="s">
        <v>1302</v>
      </c>
      <c r="L4718" t="s">
        <v>62</v>
      </c>
      <c r="M4718" t="s">
        <v>1302</v>
      </c>
      <c r="N4718" t="s">
        <v>481</v>
      </c>
      <c r="O4718" t="s">
        <v>1339</v>
      </c>
      <c r="P4718">
        <v>-20.165590000000002</v>
      </c>
      <c r="Q4718">
        <v>-44.907876000000002</v>
      </c>
      <c r="R4718" s="2" t="str">
        <f>HYPERLINK("https://www.google.com/maps?q=-20.1655900,-44.9078760","Abrir no Google Maps")</f>
        <v>Abrir no Google Maps</v>
      </c>
      <c r="S4718">
        <v>3</v>
      </c>
      <c r="T4718">
        <v>626.07643944893005</v>
      </c>
      <c r="U4718">
        <v>1</v>
      </c>
      <c r="V4718">
        <v>9.6637885204128304E-2</v>
      </c>
      <c r="W4718">
        <v>0.85</v>
      </c>
      <c r="X4718">
        <v>8.2142202423509059E-2</v>
      </c>
      <c r="Y4718">
        <v>639</v>
      </c>
      <c r="Z4718">
        <v>723.2656461789519</v>
      </c>
      <c r="AA4718">
        <v>198</v>
      </c>
      <c r="AB4718">
        <v>332</v>
      </c>
      <c r="AC4718">
        <v>536</v>
      </c>
      <c r="AD4718">
        <v>30.35</v>
      </c>
      <c r="AE4718">
        <v>542</v>
      </c>
      <c r="AF4718">
        <v>37</v>
      </c>
      <c r="AG4718">
        <v>161</v>
      </c>
      <c r="AH4718">
        <v>129</v>
      </c>
      <c r="AI4718">
        <v>6.83</v>
      </c>
      <c r="AJ4718">
        <v>29.7</v>
      </c>
      <c r="AK4718">
        <v>23.8</v>
      </c>
      <c r="AL4718">
        <v>-20.16561419999994</v>
      </c>
      <c r="AM4718">
        <v>-44.907783360572083</v>
      </c>
      <c r="AN4718">
        <v>-20.16561419999994</v>
      </c>
      <c r="AO4718">
        <v>-44.907783360572083</v>
      </c>
      <c r="AP4718">
        <v>-20.165590000000002</v>
      </c>
      <c r="AQ4718">
        <v>-44.907876000000002</v>
      </c>
      <c r="AR4718">
        <v>10.04831364257741</v>
      </c>
      <c r="AS4718" t="s">
        <v>65</v>
      </c>
      <c r="AT4718">
        <v>1</v>
      </c>
      <c r="AU4718" t="s">
        <v>1340</v>
      </c>
      <c r="AV4718" t="s">
        <v>1341</v>
      </c>
      <c r="AW4718" t="s">
        <v>60</v>
      </c>
      <c r="AX4718" t="s">
        <v>68</v>
      </c>
      <c r="AY4718" t="s">
        <v>69</v>
      </c>
      <c r="AZ4718" t="b">
        <v>1</v>
      </c>
    </row>
    <row r="4719" spans="1:52" x14ac:dyDescent="0.3">
      <c r="A4719" t="s">
        <v>52</v>
      </c>
      <c r="B4719" t="s">
        <v>53</v>
      </c>
      <c r="C4719" t="s">
        <v>54</v>
      </c>
      <c r="D4719" t="s">
        <v>55</v>
      </c>
      <c r="E4719" t="s">
        <v>2223</v>
      </c>
      <c r="F4719" t="s">
        <v>1247</v>
      </c>
      <c r="G4719" t="s">
        <v>1354</v>
      </c>
      <c r="H4719" t="s">
        <v>1355</v>
      </c>
      <c r="I4719" t="s">
        <v>1355</v>
      </c>
      <c r="J4719" t="s">
        <v>60</v>
      </c>
      <c r="K4719" t="s">
        <v>1356</v>
      </c>
      <c r="L4719" t="s">
        <v>62</v>
      </c>
      <c r="M4719" t="s">
        <v>1356</v>
      </c>
      <c r="N4719" t="s">
        <v>1357</v>
      </c>
      <c r="O4719" t="s">
        <v>315</v>
      </c>
      <c r="P4719">
        <v>-20.132080999999999</v>
      </c>
      <c r="Q4719">
        <v>-44.908614</v>
      </c>
      <c r="R4719" s="2" t="str">
        <f>HYPERLINK("https://www.google.com/maps?q=-20.1320810,-44.9086140","Abrir no Google Maps")</f>
        <v>Abrir no Google Maps</v>
      </c>
      <c r="S4719">
        <v>3</v>
      </c>
      <c r="T4719">
        <v>701.02570959373259</v>
      </c>
      <c r="U4719">
        <v>1</v>
      </c>
      <c r="V4719">
        <v>0.1055621930173901</v>
      </c>
      <c r="W4719">
        <v>0.85</v>
      </c>
      <c r="X4719">
        <v>8.9727864064781587E-2</v>
      </c>
      <c r="Y4719">
        <v>581</v>
      </c>
      <c r="Z4719">
        <v>811.38061352229215</v>
      </c>
      <c r="AA4719">
        <v>198</v>
      </c>
      <c r="AB4719">
        <v>332</v>
      </c>
      <c r="AC4719">
        <v>536</v>
      </c>
      <c r="AD4719">
        <v>30.35</v>
      </c>
      <c r="AE4719">
        <v>542</v>
      </c>
      <c r="AF4719">
        <v>37</v>
      </c>
      <c r="AG4719">
        <v>161</v>
      </c>
      <c r="AH4719">
        <v>129</v>
      </c>
      <c r="AI4719">
        <v>6.83</v>
      </c>
      <c r="AJ4719">
        <v>29.7</v>
      </c>
      <c r="AK4719">
        <v>23.8</v>
      </c>
      <c r="AL4719">
        <v>-20.132063499999951</v>
      </c>
      <c r="AM4719">
        <v>-44.908630454878519</v>
      </c>
      <c r="AN4719">
        <v>-20.132063499999951</v>
      </c>
      <c r="AO4719">
        <v>-44.908630454878519</v>
      </c>
      <c r="AP4719">
        <v>-20.132080999999999</v>
      </c>
      <c r="AQ4719">
        <v>-44.908614</v>
      </c>
      <c r="AR4719">
        <v>2.5986425761911551</v>
      </c>
      <c r="AS4719" t="s">
        <v>65</v>
      </c>
      <c r="AT4719">
        <v>1</v>
      </c>
      <c r="AU4719" t="s">
        <v>1358</v>
      </c>
      <c r="AV4719" t="s">
        <v>1359</v>
      </c>
      <c r="AW4719" t="s">
        <v>60</v>
      </c>
      <c r="AX4719" t="s">
        <v>68</v>
      </c>
      <c r="AY4719" t="s">
        <v>69</v>
      </c>
      <c r="AZ4719" t="b">
        <v>1</v>
      </c>
    </row>
    <row r="4720" spans="1:52" x14ac:dyDescent="0.3">
      <c r="A4720" t="s">
        <v>52</v>
      </c>
      <c r="B4720" t="s">
        <v>53</v>
      </c>
      <c r="C4720" t="s">
        <v>54</v>
      </c>
      <c r="D4720" t="s">
        <v>55</v>
      </c>
      <c r="E4720" t="s">
        <v>2223</v>
      </c>
      <c r="F4720" t="s">
        <v>1247</v>
      </c>
      <c r="G4720" t="s">
        <v>858</v>
      </c>
      <c r="H4720" t="s">
        <v>1360</v>
      </c>
      <c r="I4720" t="s">
        <v>1360</v>
      </c>
      <c r="J4720" t="s">
        <v>60</v>
      </c>
      <c r="K4720" t="s">
        <v>1356</v>
      </c>
      <c r="L4720" t="s">
        <v>62</v>
      </c>
      <c r="M4720" t="s">
        <v>1356</v>
      </c>
      <c r="N4720" t="s">
        <v>860</v>
      </c>
      <c r="O4720" t="s">
        <v>1361</v>
      </c>
      <c r="P4720">
        <v>-20.134969000000002</v>
      </c>
      <c r="Q4720">
        <v>-44.909384000000003</v>
      </c>
      <c r="R4720" s="2" t="str">
        <f>HYPERLINK("https://www.google.com/maps?q=-20.1349690,-44.9093840","Abrir no Google Maps")</f>
        <v>Abrir no Google Maps</v>
      </c>
      <c r="S4720">
        <v>3</v>
      </c>
      <c r="T4720">
        <v>413.6655911675532</v>
      </c>
      <c r="U4720">
        <v>1</v>
      </c>
      <c r="V4720">
        <v>0.10811036271158971</v>
      </c>
      <c r="W4720">
        <v>0.85</v>
      </c>
      <c r="X4720">
        <v>9.1893808304851249E-2</v>
      </c>
      <c r="Y4720">
        <v>581</v>
      </c>
      <c r="Z4720">
        <v>555.30228470489919</v>
      </c>
      <c r="AA4720">
        <v>198</v>
      </c>
      <c r="AB4720">
        <v>332</v>
      </c>
      <c r="AC4720">
        <v>536</v>
      </c>
      <c r="AD4720">
        <v>30.35</v>
      </c>
      <c r="AE4720">
        <v>542</v>
      </c>
      <c r="AF4720">
        <v>37</v>
      </c>
      <c r="AG4720">
        <v>161</v>
      </c>
      <c r="AH4720">
        <v>129</v>
      </c>
      <c r="AI4720">
        <v>6.83</v>
      </c>
      <c r="AJ4720">
        <v>29.7</v>
      </c>
      <c r="AK4720">
        <v>23.8</v>
      </c>
      <c r="AL4720">
        <v>-20.134922099999951</v>
      </c>
      <c r="AM4720">
        <v>-44.909483975879112</v>
      </c>
      <c r="AN4720">
        <v>-20.134922099999951</v>
      </c>
      <c r="AO4720">
        <v>-44.909483975879112</v>
      </c>
      <c r="AP4720">
        <v>-20.134969000000002</v>
      </c>
      <c r="AQ4720">
        <v>-44.909384000000003</v>
      </c>
      <c r="AR4720">
        <v>11.68085867639515</v>
      </c>
      <c r="AS4720" t="s">
        <v>65</v>
      </c>
      <c r="AT4720">
        <v>1</v>
      </c>
      <c r="AU4720" t="s">
        <v>1362</v>
      </c>
      <c r="AV4720" t="s">
        <v>1363</v>
      </c>
      <c r="AW4720" t="s">
        <v>60</v>
      </c>
      <c r="AX4720" t="s">
        <v>68</v>
      </c>
      <c r="AY4720" t="s">
        <v>69</v>
      </c>
      <c r="AZ4720" t="b">
        <v>1</v>
      </c>
    </row>
    <row r="4721" spans="1:52" x14ac:dyDescent="0.3">
      <c r="A4721" t="s">
        <v>52</v>
      </c>
      <c r="B4721" t="s">
        <v>53</v>
      </c>
      <c r="C4721" t="s">
        <v>54</v>
      </c>
      <c r="D4721" t="s">
        <v>55</v>
      </c>
      <c r="E4721" t="s">
        <v>2223</v>
      </c>
      <c r="F4721" t="s">
        <v>1247</v>
      </c>
      <c r="G4721" t="s">
        <v>1364</v>
      </c>
      <c r="H4721" t="s">
        <v>1369</v>
      </c>
      <c r="I4721" t="s">
        <v>1369</v>
      </c>
      <c r="J4721" t="s">
        <v>60</v>
      </c>
      <c r="K4721" t="s">
        <v>1370</v>
      </c>
      <c r="L4721" t="s">
        <v>62</v>
      </c>
      <c r="M4721" t="s">
        <v>1370</v>
      </c>
      <c r="N4721" t="s">
        <v>1366</v>
      </c>
      <c r="O4721" t="s">
        <v>989</v>
      </c>
      <c r="P4721">
        <v>-20.141185</v>
      </c>
      <c r="Q4721">
        <v>-44.914200999999998</v>
      </c>
      <c r="R4721" s="2" t="str">
        <f>HYPERLINK("https://www.google.com/maps?q=-20.1411850,-44.9142010","Abrir no Google Maps")</f>
        <v>Abrir no Google Maps</v>
      </c>
      <c r="S4721">
        <v>3</v>
      </c>
      <c r="T4721">
        <v>512.52588459346453</v>
      </c>
      <c r="U4721">
        <v>1</v>
      </c>
      <c r="V4721">
        <v>0.1003213258921021</v>
      </c>
      <c r="W4721">
        <v>0.85</v>
      </c>
      <c r="X4721">
        <v>8.5273127008286792E-2</v>
      </c>
      <c r="Y4721">
        <v>581</v>
      </c>
      <c r="Z4721">
        <v>473.10673043319349</v>
      </c>
      <c r="AA4721">
        <v>198</v>
      </c>
      <c r="AB4721">
        <v>332</v>
      </c>
      <c r="AC4721">
        <v>536</v>
      </c>
      <c r="AD4721">
        <v>30.35</v>
      </c>
      <c r="AE4721">
        <v>542</v>
      </c>
      <c r="AF4721">
        <v>37</v>
      </c>
      <c r="AG4721">
        <v>161</v>
      </c>
      <c r="AH4721">
        <v>129</v>
      </c>
      <c r="AI4721">
        <v>6.83</v>
      </c>
      <c r="AJ4721">
        <v>29.7</v>
      </c>
      <c r="AK4721">
        <v>23.8</v>
      </c>
      <c r="AL4721">
        <v>-20.14133909999995</v>
      </c>
      <c r="AM4721">
        <v>-44.913910219286038</v>
      </c>
      <c r="AN4721">
        <v>-20.14133909999995</v>
      </c>
      <c r="AO4721">
        <v>-44.913910219286038</v>
      </c>
      <c r="AP4721">
        <v>-20.141185</v>
      </c>
      <c r="AQ4721">
        <v>-44.914200999999998</v>
      </c>
      <c r="AR4721">
        <v>34.897514361429593</v>
      </c>
      <c r="AS4721" t="s">
        <v>65</v>
      </c>
      <c r="AT4721">
        <v>1</v>
      </c>
      <c r="AU4721" t="s">
        <v>1371</v>
      </c>
      <c r="AV4721" t="s">
        <v>863</v>
      </c>
      <c r="AW4721" t="s">
        <v>60</v>
      </c>
      <c r="AX4721" t="s">
        <v>68</v>
      </c>
      <c r="AY4721" t="s">
        <v>69</v>
      </c>
      <c r="AZ4721" t="b">
        <v>1</v>
      </c>
    </row>
    <row r="4722" spans="1:52" x14ac:dyDescent="0.3">
      <c r="A4722" t="s">
        <v>52</v>
      </c>
      <c r="B4722" t="s">
        <v>53</v>
      </c>
      <c r="C4722" t="s">
        <v>54</v>
      </c>
      <c r="D4722" t="s">
        <v>55</v>
      </c>
      <c r="E4722" t="s">
        <v>2223</v>
      </c>
      <c r="F4722" t="s">
        <v>1247</v>
      </c>
      <c r="G4722" t="s">
        <v>1300</v>
      </c>
      <c r="H4722" t="s">
        <v>1372</v>
      </c>
      <c r="I4722" t="s">
        <v>1372</v>
      </c>
      <c r="J4722" t="s">
        <v>60</v>
      </c>
      <c r="K4722" t="s">
        <v>486</v>
      </c>
      <c r="L4722" t="s">
        <v>62</v>
      </c>
      <c r="M4722" t="s">
        <v>486</v>
      </c>
      <c r="N4722" t="s">
        <v>1303</v>
      </c>
      <c r="O4722" t="s">
        <v>1373</v>
      </c>
      <c r="P4722">
        <v>-20.170458</v>
      </c>
      <c r="Q4722">
        <v>-44.900936000000002</v>
      </c>
      <c r="R4722" s="2" t="str">
        <f>HYPERLINK("https://www.google.com/maps?q=-20.1704580,-44.9009360","Abrir no Google Maps")</f>
        <v>Abrir no Google Maps</v>
      </c>
      <c r="S4722">
        <v>3</v>
      </c>
      <c r="T4722">
        <v>470.55793133653339</v>
      </c>
      <c r="U4722">
        <v>1</v>
      </c>
      <c r="V4722">
        <v>0.1102611432560671</v>
      </c>
      <c r="W4722">
        <v>0.85</v>
      </c>
      <c r="X4722">
        <v>9.3721971767657036E-2</v>
      </c>
      <c r="Y4722">
        <v>578</v>
      </c>
      <c r="Z4722">
        <v>645.48909402437766</v>
      </c>
      <c r="AA4722">
        <v>198</v>
      </c>
      <c r="AB4722">
        <v>332</v>
      </c>
      <c r="AC4722">
        <v>536</v>
      </c>
      <c r="AD4722">
        <v>30.35</v>
      </c>
      <c r="AE4722">
        <v>542</v>
      </c>
      <c r="AF4722">
        <v>37</v>
      </c>
      <c r="AG4722">
        <v>161</v>
      </c>
      <c r="AH4722">
        <v>129</v>
      </c>
      <c r="AI4722">
        <v>6.83</v>
      </c>
      <c r="AJ4722">
        <v>29.7</v>
      </c>
      <c r="AK4722">
        <v>23.8</v>
      </c>
      <c r="AL4722">
        <v>-20.17025029999996</v>
      </c>
      <c r="AM4722">
        <v>-44.901067235372473</v>
      </c>
      <c r="AN4722">
        <v>-20.17025029999996</v>
      </c>
      <c r="AO4722">
        <v>-44.901067235372473</v>
      </c>
      <c r="AP4722">
        <v>-20.170458</v>
      </c>
      <c r="AQ4722">
        <v>-44.900936000000002</v>
      </c>
      <c r="AR4722">
        <v>26.88195352459519</v>
      </c>
      <c r="AS4722" t="s">
        <v>65</v>
      </c>
      <c r="AT4722">
        <v>1</v>
      </c>
      <c r="AU4722" t="s">
        <v>1374</v>
      </c>
      <c r="AV4722" t="s">
        <v>1375</v>
      </c>
      <c r="AW4722" t="s">
        <v>60</v>
      </c>
      <c r="AX4722" t="s">
        <v>68</v>
      </c>
      <c r="AY4722" t="s">
        <v>69</v>
      </c>
      <c r="AZ4722" t="b">
        <v>1</v>
      </c>
    </row>
    <row r="4723" spans="1:52" x14ac:dyDescent="0.3">
      <c r="A4723" t="s">
        <v>52</v>
      </c>
      <c r="B4723" t="s">
        <v>53</v>
      </c>
      <c r="C4723" t="s">
        <v>54</v>
      </c>
      <c r="D4723" t="s">
        <v>55</v>
      </c>
      <c r="E4723" t="s">
        <v>2223</v>
      </c>
      <c r="F4723" t="s">
        <v>1247</v>
      </c>
      <c r="G4723" t="s">
        <v>1424</v>
      </c>
      <c r="H4723" t="s">
        <v>1425</v>
      </c>
      <c r="I4723" t="s">
        <v>1425</v>
      </c>
      <c r="J4723" t="s">
        <v>60</v>
      </c>
      <c r="K4723" t="s">
        <v>1324</v>
      </c>
      <c r="L4723" t="s">
        <v>62</v>
      </c>
      <c r="M4723" t="s">
        <v>1324</v>
      </c>
      <c r="N4723" t="s">
        <v>1426</v>
      </c>
      <c r="O4723" t="s">
        <v>938</v>
      </c>
      <c r="P4723">
        <v>-20.172844999999999</v>
      </c>
      <c r="Q4723">
        <v>-44.909215000000003</v>
      </c>
      <c r="R4723" s="2" t="str">
        <f>HYPERLINK("https://www.google.com/maps?q=-20.1728450,-44.9092150","Abrir no Google Maps")</f>
        <v>Abrir no Google Maps</v>
      </c>
      <c r="S4723">
        <v>3</v>
      </c>
      <c r="T4723">
        <v>0</v>
      </c>
      <c r="U4723">
        <v>1</v>
      </c>
      <c r="V4723">
        <v>8.7499999999999994E-2</v>
      </c>
      <c r="W4723">
        <v>0.85</v>
      </c>
      <c r="X4723">
        <v>7.4374999999999997E-2</v>
      </c>
      <c r="Y4723">
        <v>578</v>
      </c>
      <c r="Z4723">
        <v>365.56549317689053</v>
      </c>
      <c r="AA4723">
        <v>198</v>
      </c>
      <c r="AB4723">
        <v>332</v>
      </c>
      <c r="AC4723">
        <v>536</v>
      </c>
      <c r="AD4723">
        <v>30.35</v>
      </c>
      <c r="AE4723">
        <v>542</v>
      </c>
      <c r="AF4723">
        <v>37</v>
      </c>
      <c r="AG4723">
        <v>161</v>
      </c>
      <c r="AH4723">
        <v>129</v>
      </c>
      <c r="AI4723">
        <v>6.83</v>
      </c>
      <c r="AJ4723">
        <v>29.7</v>
      </c>
      <c r="AK4723">
        <v>23.8</v>
      </c>
      <c r="AL4723">
        <v>-20.172197349999941</v>
      </c>
      <c r="AM4723">
        <v>-44.910438675762883</v>
      </c>
      <c r="AN4723">
        <v>-20.172197349999941</v>
      </c>
      <c r="AO4723">
        <v>-44.910438675762883</v>
      </c>
      <c r="AP4723">
        <v>-20.172844999999999</v>
      </c>
      <c r="AQ4723">
        <v>-44.909215000000003</v>
      </c>
      <c r="AR4723">
        <v>146.78922919749749</v>
      </c>
      <c r="AS4723" t="s">
        <v>65</v>
      </c>
      <c r="AT4723">
        <v>1</v>
      </c>
      <c r="AU4723" t="s">
        <v>1427</v>
      </c>
      <c r="AV4723" t="s">
        <v>1428</v>
      </c>
      <c r="AW4723" t="s">
        <v>60</v>
      </c>
      <c r="AX4723" t="s">
        <v>68</v>
      </c>
      <c r="AY4723" t="s">
        <v>69</v>
      </c>
      <c r="AZ4723" t="b">
        <v>1</v>
      </c>
    </row>
    <row r="4724" spans="1:52" x14ac:dyDescent="0.3">
      <c r="A4724" t="s">
        <v>52</v>
      </c>
      <c r="B4724" t="s">
        <v>53</v>
      </c>
      <c r="C4724" t="s">
        <v>54</v>
      </c>
      <c r="D4724" t="s">
        <v>55</v>
      </c>
      <c r="E4724" t="s">
        <v>2223</v>
      </c>
      <c r="F4724" t="s">
        <v>1247</v>
      </c>
      <c r="G4724" t="s">
        <v>1388</v>
      </c>
      <c r="H4724" t="s">
        <v>1389</v>
      </c>
      <c r="I4724" t="s">
        <v>1389</v>
      </c>
      <c r="J4724" t="s">
        <v>60</v>
      </c>
      <c r="K4724" t="s">
        <v>475</v>
      </c>
      <c r="L4724" t="s">
        <v>62</v>
      </c>
      <c r="M4724" t="s">
        <v>475</v>
      </c>
      <c r="N4724" t="s">
        <v>1390</v>
      </c>
      <c r="O4724" t="s">
        <v>855</v>
      </c>
      <c r="P4724">
        <v>-20.173748</v>
      </c>
      <c r="Q4724">
        <v>-44.894596999999997</v>
      </c>
      <c r="R4724" s="2" t="str">
        <f>HYPERLINK("https://www.google.com/maps?q=-20.1737480,-44.8945970","Abrir no Google Maps")</f>
        <v>Abrir no Google Maps</v>
      </c>
      <c r="S4724">
        <v>3</v>
      </c>
      <c r="T4724">
        <v>1217.388518792701</v>
      </c>
      <c r="U4724">
        <v>1</v>
      </c>
      <c r="V4724">
        <v>0.10680332739156261</v>
      </c>
      <c r="W4724">
        <v>0.85</v>
      </c>
      <c r="X4724">
        <v>9.0782828282828215E-2</v>
      </c>
      <c r="Y4724">
        <v>578</v>
      </c>
      <c r="Z4724">
        <v>1268.0048337091989</v>
      </c>
      <c r="AA4724">
        <v>198</v>
      </c>
      <c r="AB4724">
        <v>332</v>
      </c>
      <c r="AC4724">
        <v>536</v>
      </c>
      <c r="AD4724">
        <v>30.35</v>
      </c>
      <c r="AE4724">
        <v>542</v>
      </c>
      <c r="AF4724">
        <v>37</v>
      </c>
      <c r="AG4724">
        <v>161</v>
      </c>
      <c r="AH4724">
        <v>129</v>
      </c>
      <c r="AI4724">
        <v>6.83</v>
      </c>
      <c r="AJ4724">
        <v>29.7</v>
      </c>
      <c r="AK4724">
        <v>23.8</v>
      </c>
      <c r="AL4724">
        <v>-20.173821999999941</v>
      </c>
      <c r="AM4724">
        <v>-44.894306105833543</v>
      </c>
      <c r="AN4724">
        <v>-20.173821999999941</v>
      </c>
      <c r="AO4724">
        <v>-44.894306105833543</v>
      </c>
      <c r="AP4724">
        <v>-20.173748</v>
      </c>
      <c r="AQ4724">
        <v>-44.894596999999997</v>
      </c>
      <c r="AR4724">
        <v>31.492193006406161</v>
      </c>
      <c r="AS4724" t="s">
        <v>65</v>
      </c>
      <c r="AT4724">
        <v>1</v>
      </c>
      <c r="AU4724" t="s">
        <v>1391</v>
      </c>
      <c r="AV4724" t="s">
        <v>1392</v>
      </c>
      <c r="AW4724" t="s">
        <v>60</v>
      </c>
      <c r="AX4724" t="s">
        <v>68</v>
      </c>
      <c r="AY4724" t="s">
        <v>69</v>
      </c>
      <c r="AZ4724" t="b">
        <v>1</v>
      </c>
    </row>
    <row r="4725" spans="1:52" x14ac:dyDescent="0.3">
      <c r="A4725" t="s">
        <v>52</v>
      </c>
      <c r="B4725" t="s">
        <v>53</v>
      </c>
      <c r="C4725" t="s">
        <v>54</v>
      </c>
      <c r="D4725" t="s">
        <v>55</v>
      </c>
      <c r="E4725" t="s">
        <v>2223</v>
      </c>
      <c r="F4725" t="s">
        <v>1247</v>
      </c>
      <c r="G4725" t="s">
        <v>815</v>
      </c>
      <c r="H4725" t="s">
        <v>1404</v>
      </c>
      <c r="I4725" t="s">
        <v>1404</v>
      </c>
      <c r="J4725" t="s">
        <v>60</v>
      </c>
      <c r="K4725" t="s">
        <v>512</v>
      </c>
      <c r="L4725" t="s">
        <v>62</v>
      </c>
      <c r="M4725" t="s">
        <v>512</v>
      </c>
      <c r="N4725" t="s">
        <v>817</v>
      </c>
      <c r="O4725" t="s">
        <v>1405</v>
      </c>
      <c r="P4725">
        <v>-20.129069999999999</v>
      </c>
      <c r="Q4725">
        <v>-44.888452000000001</v>
      </c>
      <c r="R4725" s="2" t="str">
        <f>HYPERLINK("https://www.google.com/maps?q=-20.1290700,-44.8884520","Abrir no Google Maps")</f>
        <v>Abrir no Google Maps</v>
      </c>
      <c r="S4725">
        <v>3</v>
      </c>
      <c r="T4725">
        <v>0</v>
      </c>
      <c r="U4725">
        <v>1</v>
      </c>
      <c r="V4725">
        <v>0.1124172975922515</v>
      </c>
      <c r="W4725">
        <v>0.85</v>
      </c>
      <c r="X4725">
        <v>9.555470295341377E-2</v>
      </c>
      <c r="Y4725">
        <v>564</v>
      </c>
      <c r="Z4725">
        <v>95.870354837220688</v>
      </c>
      <c r="AA4725">
        <v>198</v>
      </c>
      <c r="AB4725">
        <v>332</v>
      </c>
      <c r="AC4725">
        <v>536</v>
      </c>
      <c r="AD4725">
        <v>30.35</v>
      </c>
      <c r="AE4725">
        <v>542</v>
      </c>
      <c r="AF4725">
        <v>37</v>
      </c>
      <c r="AG4725">
        <v>161</v>
      </c>
      <c r="AH4725">
        <v>129</v>
      </c>
      <c r="AI4725">
        <v>6.83</v>
      </c>
      <c r="AJ4725">
        <v>29.7</v>
      </c>
      <c r="AK4725">
        <v>23.8</v>
      </c>
      <c r="AL4725">
        <v>-20.12899334999997</v>
      </c>
      <c r="AM4725">
        <v>-44.888406102471222</v>
      </c>
      <c r="AN4725">
        <v>-20.12899334999997</v>
      </c>
      <c r="AO4725">
        <v>-44.888406102471222</v>
      </c>
      <c r="AP4725">
        <v>-20.129069999999999</v>
      </c>
      <c r="AQ4725">
        <v>-44.888452000000001</v>
      </c>
      <c r="AR4725">
        <v>9.7887731150376265</v>
      </c>
      <c r="AS4725" t="s">
        <v>65</v>
      </c>
      <c r="AT4725">
        <v>1</v>
      </c>
      <c r="AU4725" t="s">
        <v>1406</v>
      </c>
      <c r="AV4725" t="s">
        <v>1407</v>
      </c>
      <c r="AW4725" t="s">
        <v>60</v>
      </c>
      <c r="AX4725" t="s">
        <v>68</v>
      </c>
      <c r="AY4725" t="s">
        <v>69</v>
      </c>
      <c r="AZ4725" t="b">
        <v>1</v>
      </c>
    </row>
    <row r="4726" spans="1:52" x14ac:dyDescent="0.3">
      <c r="A4726" t="s">
        <v>52</v>
      </c>
      <c r="B4726" t="s">
        <v>53</v>
      </c>
      <c r="C4726" t="s">
        <v>54</v>
      </c>
      <c r="D4726" t="s">
        <v>55</v>
      </c>
      <c r="E4726" t="s">
        <v>2223</v>
      </c>
      <c r="F4726" t="s">
        <v>1247</v>
      </c>
      <c r="G4726" t="s">
        <v>1408</v>
      </c>
      <c r="H4726" t="s">
        <v>1409</v>
      </c>
      <c r="I4726" t="s">
        <v>1409</v>
      </c>
      <c r="J4726" t="s">
        <v>60</v>
      </c>
      <c r="K4726" t="s">
        <v>200</v>
      </c>
      <c r="L4726" t="s">
        <v>62</v>
      </c>
      <c r="M4726" t="s">
        <v>200</v>
      </c>
      <c r="N4726" t="s">
        <v>1410</v>
      </c>
      <c r="O4726" t="s">
        <v>1001</v>
      </c>
      <c r="P4726">
        <v>-20.126062999999998</v>
      </c>
      <c r="Q4726">
        <v>-44.894936999999999</v>
      </c>
      <c r="R4726" s="2" t="str">
        <f>HYPERLINK("https://www.google.com/maps?q=-20.1260630,-44.8949370","Abrir no Google Maps")</f>
        <v>Abrir no Google Maps</v>
      </c>
      <c r="S4726">
        <v>3</v>
      </c>
      <c r="T4726">
        <v>747.3122077966558</v>
      </c>
      <c r="U4726">
        <v>1</v>
      </c>
      <c r="V4726">
        <v>9.7997777513195994E-2</v>
      </c>
      <c r="W4726">
        <v>0.85</v>
      </c>
      <c r="X4726">
        <v>8.3298110886216595E-2</v>
      </c>
      <c r="Y4726">
        <v>564</v>
      </c>
      <c r="Z4726">
        <v>693.80888866206885</v>
      </c>
      <c r="AA4726">
        <v>198</v>
      </c>
      <c r="AB4726">
        <v>332</v>
      </c>
      <c r="AC4726">
        <v>536</v>
      </c>
      <c r="AD4726">
        <v>30.35</v>
      </c>
      <c r="AE4726">
        <v>542</v>
      </c>
      <c r="AF4726">
        <v>37</v>
      </c>
      <c r="AG4726">
        <v>161</v>
      </c>
      <c r="AH4726">
        <v>129</v>
      </c>
      <c r="AI4726">
        <v>6.83</v>
      </c>
      <c r="AJ4726">
        <v>29.7</v>
      </c>
      <c r="AK4726">
        <v>23.8</v>
      </c>
      <c r="AL4726">
        <v>-20.126099149999959</v>
      </c>
      <c r="AM4726">
        <v>-44.894866076436763</v>
      </c>
      <c r="AN4726">
        <v>-20.126099149999959</v>
      </c>
      <c r="AO4726">
        <v>-44.894866076436749</v>
      </c>
      <c r="AP4726">
        <v>-20.126062999999998</v>
      </c>
      <c r="AQ4726">
        <v>-44.894936999999999</v>
      </c>
      <c r="AR4726">
        <v>8.4349593682699737</v>
      </c>
      <c r="AS4726" t="s">
        <v>65</v>
      </c>
      <c r="AT4726">
        <v>1</v>
      </c>
      <c r="AU4726" t="s">
        <v>1411</v>
      </c>
      <c r="AV4726" t="s">
        <v>1003</v>
      </c>
      <c r="AW4726" t="s">
        <v>60</v>
      </c>
      <c r="AX4726" t="s">
        <v>68</v>
      </c>
      <c r="AY4726" t="s">
        <v>69</v>
      </c>
      <c r="AZ4726" t="b">
        <v>1</v>
      </c>
    </row>
    <row r="4727" spans="1:52" x14ac:dyDescent="0.3">
      <c r="A4727" t="s">
        <v>52</v>
      </c>
      <c r="B4727" t="s">
        <v>53</v>
      </c>
      <c r="C4727" t="s">
        <v>54</v>
      </c>
      <c r="D4727" t="s">
        <v>55</v>
      </c>
      <c r="E4727" t="s">
        <v>2223</v>
      </c>
      <c r="F4727" t="s">
        <v>1247</v>
      </c>
      <c r="G4727" t="s">
        <v>1127</v>
      </c>
      <c r="H4727" t="s">
        <v>1455</v>
      </c>
      <c r="I4727" t="s">
        <v>1455</v>
      </c>
      <c r="J4727" t="s">
        <v>60</v>
      </c>
      <c r="K4727" t="s">
        <v>431</v>
      </c>
      <c r="L4727" t="s">
        <v>62</v>
      </c>
      <c r="M4727" t="s">
        <v>431</v>
      </c>
      <c r="N4727" t="s">
        <v>1456</v>
      </c>
      <c r="O4727" t="s">
        <v>1001</v>
      </c>
      <c r="P4727">
        <v>-20.168237999999999</v>
      </c>
      <c r="Q4727">
        <v>-44.924250999999998</v>
      </c>
      <c r="R4727" s="2" t="str">
        <f>HYPERLINK("https://www.google.com/maps?q=-20.1682380,-44.9242510","Abrir no Google Maps")</f>
        <v>Abrir no Google Maps</v>
      </c>
      <c r="S4727">
        <v>2</v>
      </c>
      <c r="T4727">
        <v>1220.188820430971</v>
      </c>
      <c r="U4727">
        <v>4</v>
      </c>
      <c r="V4727">
        <v>0.14322573561703991</v>
      </c>
      <c r="W4727">
        <v>0.85</v>
      </c>
      <c r="X4727">
        <v>0.12174187527448389</v>
      </c>
      <c r="Y4727">
        <v>723</v>
      </c>
      <c r="Z4727">
        <v>1092.4377883150901</v>
      </c>
      <c r="AA4727">
        <v>198</v>
      </c>
      <c r="AB4727">
        <v>332</v>
      </c>
      <c r="AC4727">
        <v>536</v>
      </c>
      <c r="AD4727">
        <v>30.35</v>
      </c>
      <c r="AE4727">
        <v>542</v>
      </c>
      <c r="AF4727">
        <v>37</v>
      </c>
      <c r="AG4727">
        <v>161</v>
      </c>
      <c r="AH4727">
        <v>129</v>
      </c>
      <c r="AI4727">
        <v>6.83</v>
      </c>
      <c r="AJ4727">
        <v>29.7</v>
      </c>
      <c r="AK4727">
        <v>23.8</v>
      </c>
      <c r="AL4727">
        <v>-20.168394999999951</v>
      </c>
      <c r="AM4727">
        <v>-44.923548168580673</v>
      </c>
      <c r="AN4727">
        <v>-20.168394999999951</v>
      </c>
      <c r="AO4727">
        <v>-44.923548168580673</v>
      </c>
      <c r="AP4727">
        <v>-20.168237999999999</v>
      </c>
      <c r="AQ4727">
        <v>-44.924250999999998</v>
      </c>
      <c r="AR4727">
        <v>75.492755104934275</v>
      </c>
      <c r="AS4727" t="s">
        <v>65</v>
      </c>
      <c r="AT4727">
        <v>1</v>
      </c>
      <c r="AU4727" t="s">
        <v>1457</v>
      </c>
      <c r="AV4727" t="s">
        <v>1458</v>
      </c>
      <c r="AW4727" t="s">
        <v>60</v>
      </c>
      <c r="AX4727" t="s">
        <v>68</v>
      </c>
      <c r="AY4727" t="s">
        <v>69</v>
      </c>
      <c r="AZ4727" t="b">
        <v>1</v>
      </c>
    </row>
    <row r="4728" spans="1:52" x14ac:dyDescent="0.3">
      <c r="A4728" t="s">
        <v>52</v>
      </c>
      <c r="B4728" t="s">
        <v>53</v>
      </c>
      <c r="C4728" t="s">
        <v>54</v>
      </c>
      <c r="D4728" t="s">
        <v>55</v>
      </c>
      <c r="E4728" t="s">
        <v>2223</v>
      </c>
      <c r="F4728" t="s">
        <v>1247</v>
      </c>
      <c r="G4728" t="s">
        <v>1490</v>
      </c>
      <c r="H4728" t="s">
        <v>1491</v>
      </c>
      <c r="I4728" t="s">
        <v>1491</v>
      </c>
      <c r="J4728" t="s">
        <v>60</v>
      </c>
      <c r="K4728" t="s">
        <v>336</v>
      </c>
      <c r="L4728" t="s">
        <v>62</v>
      </c>
      <c r="M4728" t="s">
        <v>336</v>
      </c>
      <c r="N4728" t="s">
        <v>1492</v>
      </c>
      <c r="O4728" t="s">
        <v>842</v>
      </c>
      <c r="P4728">
        <v>-20.164228999999999</v>
      </c>
      <c r="Q4728">
        <v>-44.876455999999997</v>
      </c>
      <c r="R4728" s="2" t="str">
        <f>HYPERLINK("https://www.google.com/maps?q=-20.1642290,-44.8764560","Abrir no Google Maps")</f>
        <v>Abrir no Google Maps</v>
      </c>
      <c r="S4728">
        <v>2</v>
      </c>
      <c r="T4728">
        <v>420.00990411628987</v>
      </c>
      <c r="U4728">
        <v>4</v>
      </c>
      <c r="V4728">
        <v>0.1218550218079703</v>
      </c>
      <c r="W4728">
        <v>1</v>
      </c>
      <c r="X4728">
        <v>0.1218550218079703</v>
      </c>
      <c r="Y4728">
        <v>671</v>
      </c>
      <c r="Z4728">
        <v>375.90194920648611</v>
      </c>
      <c r="AA4728">
        <v>198</v>
      </c>
      <c r="AB4728">
        <v>332</v>
      </c>
      <c r="AC4728">
        <v>536</v>
      </c>
      <c r="AD4728">
        <v>30.35</v>
      </c>
      <c r="AE4728">
        <v>542</v>
      </c>
      <c r="AF4728">
        <v>37</v>
      </c>
      <c r="AG4728">
        <v>161</v>
      </c>
      <c r="AH4728">
        <v>129</v>
      </c>
      <c r="AI4728">
        <v>6.83</v>
      </c>
      <c r="AJ4728">
        <v>29.7</v>
      </c>
      <c r="AK4728">
        <v>23.8</v>
      </c>
      <c r="AL4728">
        <v>-20.164255749999938</v>
      </c>
      <c r="AM4728">
        <v>-44.876471676086922</v>
      </c>
      <c r="AN4728">
        <v>-20.164255749999938</v>
      </c>
      <c r="AO4728">
        <v>-44.876471676086922</v>
      </c>
      <c r="AP4728">
        <v>-20.164228999999999</v>
      </c>
      <c r="AQ4728">
        <v>-44.876455999999997</v>
      </c>
      <c r="AR4728">
        <v>3.3986375813953771</v>
      </c>
      <c r="AS4728" t="s">
        <v>65</v>
      </c>
      <c r="AT4728">
        <v>1</v>
      </c>
      <c r="AU4728" t="s">
        <v>1493</v>
      </c>
      <c r="AV4728" t="s">
        <v>1494</v>
      </c>
      <c r="AW4728" t="s">
        <v>60</v>
      </c>
      <c r="AX4728" t="s">
        <v>68</v>
      </c>
      <c r="AY4728" t="s">
        <v>69</v>
      </c>
      <c r="AZ4728" t="b">
        <v>1</v>
      </c>
    </row>
    <row r="4729" spans="1:52" x14ac:dyDescent="0.3">
      <c r="A4729" t="s">
        <v>52</v>
      </c>
      <c r="B4729" t="s">
        <v>53</v>
      </c>
      <c r="C4729" t="s">
        <v>54</v>
      </c>
      <c r="D4729" t="s">
        <v>55</v>
      </c>
      <c r="E4729" t="s">
        <v>2223</v>
      </c>
      <c r="F4729" t="s">
        <v>1247</v>
      </c>
      <c r="G4729" t="s">
        <v>1495</v>
      </c>
      <c r="H4729" t="s">
        <v>1496</v>
      </c>
      <c r="I4729" t="s">
        <v>1496</v>
      </c>
      <c r="J4729" t="s">
        <v>60</v>
      </c>
      <c r="K4729" t="s">
        <v>1466</v>
      </c>
      <c r="L4729" t="s">
        <v>62</v>
      </c>
      <c r="M4729" t="s">
        <v>1466</v>
      </c>
      <c r="N4729" t="s">
        <v>1497</v>
      </c>
      <c r="O4729" t="s">
        <v>1498</v>
      </c>
      <c r="P4729">
        <v>-20.163160999999999</v>
      </c>
      <c r="Q4729">
        <v>-44.880460999999997</v>
      </c>
      <c r="R4729" s="2" t="str">
        <f>HYPERLINK("https://www.google.com/maps?q=-20.1631610,-44.8804610","Abrir no Google Maps")</f>
        <v>Abrir no Google Maps</v>
      </c>
      <c r="S4729">
        <v>2</v>
      </c>
      <c r="T4729">
        <v>372.63783804650222</v>
      </c>
      <c r="U4729">
        <v>4</v>
      </c>
      <c r="V4729">
        <v>0.1437005039596832</v>
      </c>
      <c r="W4729">
        <v>1</v>
      </c>
      <c r="X4729">
        <v>0.1437005039596832</v>
      </c>
      <c r="Y4729">
        <v>671</v>
      </c>
      <c r="Z4729">
        <v>250.43144487082299</v>
      </c>
      <c r="AA4729">
        <v>198</v>
      </c>
      <c r="AB4729">
        <v>332</v>
      </c>
      <c r="AC4729">
        <v>536</v>
      </c>
      <c r="AD4729">
        <v>30.35</v>
      </c>
      <c r="AE4729">
        <v>542</v>
      </c>
      <c r="AF4729">
        <v>37</v>
      </c>
      <c r="AG4729">
        <v>161</v>
      </c>
      <c r="AH4729">
        <v>129</v>
      </c>
      <c r="AI4729">
        <v>6.83</v>
      </c>
      <c r="AJ4729">
        <v>29.7</v>
      </c>
      <c r="AK4729">
        <v>23.8</v>
      </c>
      <c r="AL4729">
        <v>-20.163296749999969</v>
      </c>
      <c r="AM4729">
        <v>-44.88037544059182</v>
      </c>
      <c r="AN4729">
        <v>-20.163296749999969</v>
      </c>
      <c r="AO4729">
        <v>-44.88037544059182</v>
      </c>
      <c r="AP4729">
        <v>-20.163160999999999</v>
      </c>
      <c r="AQ4729">
        <v>-44.880460999999997</v>
      </c>
      <c r="AR4729">
        <v>17.558482416121191</v>
      </c>
      <c r="AS4729" t="s">
        <v>65</v>
      </c>
      <c r="AT4729">
        <v>1</v>
      </c>
      <c r="AU4729" t="s">
        <v>1499</v>
      </c>
      <c r="AV4729" t="s">
        <v>1500</v>
      </c>
      <c r="AW4729" t="s">
        <v>60</v>
      </c>
      <c r="AX4729" t="s">
        <v>68</v>
      </c>
      <c r="AY4729" t="s">
        <v>69</v>
      </c>
      <c r="AZ4729" t="b">
        <v>1</v>
      </c>
    </row>
    <row r="4730" spans="1:52" x14ac:dyDescent="0.3">
      <c r="A4730" t="s">
        <v>52</v>
      </c>
      <c r="B4730" t="s">
        <v>53</v>
      </c>
      <c r="C4730" t="s">
        <v>54</v>
      </c>
      <c r="D4730" t="s">
        <v>55</v>
      </c>
      <c r="E4730" t="s">
        <v>2223</v>
      </c>
      <c r="F4730" t="s">
        <v>1247</v>
      </c>
      <c r="G4730" t="s">
        <v>1333</v>
      </c>
      <c r="H4730" t="s">
        <v>1470</v>
      </c>
      <c r="I4730" t="s">
        <v>1470</v>
      </c>
      <c r="J4730" t="s">
        <v>60</v>
      </c>
      <c r="K4730" t="s">
        <v>437</v>
      </c>
      <c r="L4730" t="s">
        <v>62</v>
      </c>
      <c r="M4730" t="s">
        <v>437</v>
      </c>
      <c r="N4730" t="s">
        <v>1335</v>
      </c>
      <c r="O4730" t="s">
        <v>900</v>
      </c>
      <c r="P4730">
        <v>-20.147047000000001</v>
      </c>
      <c r="Q4730">
        <v>-44.883921999999998</v>
      </c>
      <c r="R4730" s="2" t="str">
        <f>HYPERLINK("https://www.google.com/maps?q=-20.1470470,-44.8839220","Abrir no Google Maps")</f>
        <v>Abrir no Google Maps</v>
      </c>
      <c r="S4730">
        <v>2</v>
      </c>
      <c r="T4730">
        <v>296.4098018832658</v>
      </c>
      <c r="U4730">
        <v>4</v>
      </c>
      <c r="V4730">
        <v>0.13397398563385751</v>
      </c>
      <c r="W4730">
        <v>1</v>
      </c>
      <c r="X4730">
        <v>0.13397398563385751</v>
      </c>
      <c r="Y4730">
        <v>653</v>
      </c>
      <c r="Z4730">
        <v>299.72271006042178</v>
      </c>
      <c r="AA4730">
        <v>198</v>
      </c>
      <c r="AB4730">
        <v>332</v>
      </c>
      <c r="AC4730">
        <v>536</v>
      </c>
      <c r="AD4730">
        <v>30.35</v>
      </c>
      <c r="AE4730">
        <v>542</v>
      </c>
      <c r="AF4730">
        <v>37</v>
      </c>
      <c r="AG4730">
        <v>161</v>
      </c>
      <c r="AH4730">
        <v>129</v>
      </c>
      <c r="AI4730">
        <v>6.83</v>
      </c>
      <c r="AJ4730">
        <v>29.7</v>
      </c>
      <c r="AK4730">
        <v>23.8</v>
      </c>
      <c r="AL4730">
        <v>-20.147074949999929</v>
      </c>
      <c r="AM4730">
        <v>-44.883796511502347</v>
      </c>
      <c r="AN4730">
        <v>-20.147074949999929</v>
      </c>
      <c r="AO4730">
        <v>-44.883796511502347</v>
      </c>
      <c r="AP4730">
        <v>-20.147047000000001</v>
      </c>
      <c r="AQ4730">
        <v>-44.883921999999998</v>
      </c>
      <c r="AR4730">
        <v>13.47864632994</v>
      </c>
      <c r="AS4730" t="s">
        <v>65</v>
      </c>
      <c r="AT4730">
        <v>1</v>
      </c>
      <c r="AU4730" t="s">
        <v>1471</v>
      </c>
      <c r="AV4730" t="s">
        <v>1472</v>
      </c>
      <c r="AW4730" t="s">
        <v>60</v>
      </c>
      <c r="AX4730" t="s">
        <v>68</v>
      </c>
      <c r="AY4730" t="s">
        <v>69</v>
      </c>
      <c r="AZ4730" t="b">
        <v>1</v>
      </c>
    </row>
    <row r="4731" spans="1:52" x14ac:dyDescent="0.3">
      <c r="A4731" t="s">
        <v>52</v>
      </c>
      <c r="B4731" t="s">
        <v>53</v>
      </c>
      <c r="C4731" t="s">
        <v>54</v>
      </c>
      <c r="D4731" t="s">
        <v>55</v>
      </c>
      <c r="E4731" t="s">
        <v>2223</v>
      </c>
      <c r="F4731" t="s">
        <v>1247</v>
      </c>
      <c r="G4731" t="s">
        <v>1473</v>
      </c>
      <c r="H4731" t="s">
        <v>1474</v>
      </c>
      <c r="I4731" t="s">
        <v>1474</v>
      </c>
      <c r="J4731" t="s">
        <v>60</v>
      </c>
      <c r="K4731" t="s">
        <v>1302</v>
      </c>
      <c r="L4731" t="s">
        <v>62</v>
      </c>
      <c r="M4731" t="s">
        <v>1302</v>
      </c>
      <c r="N4731" t="s">
        <v>1475</v>
      </c>
      <c r="O4731" t="s">
        <v>1476</v>
      </c>
      <c r="P4731">
        <v>-20.161372</v>
      </c>
      <c r="Q4731">
        <v>-44.914636999999999</v>
      </c>
      <c r="R4731" s="2" t="str">
        <f>HYPERLINK("https://www.google.com/maps?q=-20.1613720,-44.9146370","Abrir no Google Maps")</f>
        <v>Abrir no Google Maps</v>
      </c>
      <c r="S4731">
        <v>2</v>
      </c>
      <c r="T4731">
        <v>0</v>
      </c>
      <c r="U4731">
        <v>4</v>
      </c>
      <c r="V4731">
        <v>0.13071799870045481</v>
      </c>
      <c r="W4731">
        <v>1</v>
      </c>
      <c r="X4731">
        <v>0.13071799870045481</v>
      </c>
      <c r="Y4731">
        <v>639</v>
      </c>
      <c r="Z4731">
        <v>81.742669907651447</v>
      </c>
      <c r="AA4731">
        <v>198</v>
      </c>
      <c r="AB4731">
        <v>332</v>
      </c>
      <c r="AC4731">
        <v>536</v>
      </c>
      <c r="AD4731">
        <v>30.35</v>
      </c>
      <c r="AE4731">
        <v>542</v>
      </c>
      <c r="AF4731">
        <v>37</v>
      </c>
      <c r="AG4731">
        <v>161</v>
      </c>
      <c r="AH4731">
        <v>129</v>
      </c>
      <c r="AI4731">
        <v>6.83</v>
      </c>
      <c r="AJ4731">
        <v>29.7</v>
      </c>
      <c r="AK4731">
        <v>23.8</v>
      </c>
      <c r="AL4731">
        <v>-20.161294499999961</v>
      </c>
      <c r="AM4731">
        <v>-44.914614684493202</v>
      </c>
      <c r="AN4731">
        <v>-20.161294499999961</v>
      </c>
      <c r="AO4731">
        <v>-44.914614684493202</v>
      </c>
      <c r="AP4731">
        <v>-20.161372</v>
      </c>
      <c r="AQ4731">
        <v>-44.914636999999999</v>
      </c>
      <c r="AR4731">
        <v>8.9369058443944862</v>
      </c>
      <c r="AS4731" t="s">
        <v>65</v>
      </c>
      <c r="AT4731">
        <v>1</v>
      </c>
      <c r="AU4731" t="s">
        <v>1477</v>
      </c>
      <c r="AV4731" t="s">
        <v>1478</v>
      </c>
      <c r="AW4731" t="s">
        <v>60</v>
      </c>
      <c r="AX4731" t="s">
        <v>68</v>
      </c>
      <c r="AY4731" t="s">
        <v>69</v>
      </c>
      <c r="AZ4731" t="b">
        <v>1</v>
      </c>
    </row>
    <row r="4732" spans="1:52" x14ac:dyDescent="0.3">
      <c r="A4732" t="s">
        <v>52</v>
      </c>
      <c r="B4732" t="s">
        <v>53</v>
      </c>
      <c r="C4732" t="s">
        <v>54</v>
      </c>
      <c r="D4732" t="s">
        <v>55</v>
      </c>
      <c r="E4732" t="s">
        <v>2223</v>
      </c>
      <c r="F4732" t="s">
        <v>1247</v>
      </c>
      <c r="G4732" t="s">
        <v>1547</v>
      </c>
      <c r="H4732" t="s">
        <v>1548</v>
      </c>
      <c r="I4732" t="s">
        <v>1548</v>
      </c>
      <c r="J4732" t="s">
        <v>60</v>
      </c>
      <c r="K4732" t="s">
        <v>1549</v>
      </c>
      <c r="L4732" t="s">
        <v>62</v>
      </c>
      <c r="M4732" t="s">
        <v>1549</v>
      </c>
      <c r="N4732" t="s">
        <v>1550</v>
      </c>
      <c r="O4732" t="s">
        <v>1551</v>
      </c>
      <c r="P4732">
        <v>-20.173258000000001</v>
      </c>
      <c r="Q4732">
        <v>-44.930354000000001</v>
      </c>
      <c r="R4732" s="2" t="str">
        <f>HYPERLINK("https://www.google.com/maps?q=-20.1732580,-44.9303540","Abrir no Google Maps")</f>
        <v>Abrir no Google Maps</v>
      </c>
      <c r="S4732">
        <v>2</v>
      </c>
      <c r="T4732">
        <v>2023.802197028052</v>
      </c>
      <c r="U4732">
        <v>3</v>
      </c>
      <c r="V4732">
        <v>0.13434343434343429</v>
      </c>
      <c r="W4732">
        <v>0.85</v>
      </c>
      <c r="X4732">
        <v>0.11419191919191921</v>
      </c>
      <c r="Y4732">
        <v>723</v>
      </c>
      <c r="Z4732">
        <v>1727.7445576555911</v>
      </c>
      <c r="AA4732">
        <v>198</v>
      </c>
      <c r="AB4732">
        <v>332</v>
      </c>
      <c r="AC4732">
        <v>536</v>
      </c>
      <c r="AD4732">
        <v>30.35</v>
      </c>
      <c r="AE4732">
        <v>542</v>
      </c>
      <c r="AF4732">
        <v>37</v>
      </c>
      <c r="AG4732">
        <v>161</v>
      </c>
      <c r="AH4732">
        <v>129</v>
      </c>
      <c r="AI4732">
        <v>6.83</v>
      </c>
      <c r="AJ4732">
        <v>29.7</v>
      </c>
      <c r="AK4732">
        <v>23.8</v>
      </c>
      <c r="AL4732">
        <v>-20.172996449999939</v>
      </c>
      <c r="AM4732">
        <v>-44.930058436825973</v>
      </c>
      <c r="AN4732">
        <v>-20.172996449999939</v>
      </c>
      <c r="AO4732">
        <v>-44.930058436825973</v>
      </c>
      <c r="AP4732">
        <v>-20.173258000000001</v>
      </c>
      <c r="AQ4732">
        <v>-44.930354000000001</v>
      </c>
      <c r="AR4732">
        <v>42.444455141884362</v>
      </c>
      <c r="AS4732" t="s">
        <v>65</v>
      </c>
      <c r="AT4732">
        <v>1</v>
      </c>
      <c r="AU4732" t="s">
        <v>1552</v>
      </c>
      <c r="AV4732" t="s">
        <v>1553</v>
      </c>
      <c r="AW4732" t="s">
        <v>60</v>
      </c>
      <c r="AX4732" t="s">
        <v>68</v>
      </c>
      <c r="AY4732" t="s">
        <v>69</v>
      </c>
      <c r="AZ4732" t="b">
        <v>1</v>
      </c>
    </row>
    <row r="4733" spans="1:52" x14ac:dyDescent="0.3">
      <c r="A4733" t="s">
        <v>52</v>
      </c>
      <c r="B4733" t="s">
        <v>53</v>
      </c>
      <c r="C4733" t="s">
        <v>54</v>
      </c>
      <c r="D4733" t="s">
        <v>55</v>
      </c>
      <c r="E4733" t="s">
        <v>2223</v>
      </c>
      <c r="F4733" t="s">
        <v>1247</v>
      </c>
      <c r="G4733" t="s">
        <v>1459</v>
      </c>
      <c r="H4733" t="s">
        <v>1460</v>
      </c>
      <c r="I4733" t="s">
        <v>1460</v>
      </c>
      <c r="J4733" t="s">
        <v>60</v>
      </c>
      <c r="K4733" t="s">
        <v>431</v>
      </c>
      <c r="L4733" t="s">
        <v>62</v>
      </c>
      <c r="M4733" t="s">
        <v>431</v>
      </c>
      <c r="N4733" t="s">
        <v>1461</v>
      </c>
      <c r="O4733" t="s">
        <v>1462</v>
      </c>
      <c r="P4733">
        <v>-20.170182</v>
      </c>
      <c r="Q4733">
        <v>-44.922556999999998</v>
      </c>
      <c r="R4733" s="2" t="str">
        <f>HYPERLINK("https://www.google.com/maps?q=-20.1701820,-44.9225570","Abrir no Google Maps")</f>
        <v>Abrir no Google Maps</v>
      </c>
      <c r="S4733">
        <v>2</v>
      </c>
      <c r="T4733">
        <v>1189.3885679843149</v>
      </c>
      <c r="U4733">
        <v>3</v>
      </c>
      <c r="V4733">
        <v>0.1363499993877276</v>
      </c>
      <c r="W4733">
        <v>0.85</v>
      </c>
      <c r="X4733">
        <v>0.1158974994795685</v>
      </c>
      <c r="Y4733">
        <v>723</v>
      </c>
      <c r="Z4733">
        <v>961.89164604479117</v>
      </c>
      <c r="AA4733">
        <v>198</v>
      </c>
      <c r="AB4733">
        <v>332</v>
      </c>
      <c r="AC4733">
        <v>536</v>
      </c>
      <c r="AD4733">
        <v>30.35</v>
      </c>
      <c r="AE4733">
        <v>542</v>
      </c>
      <c r="AF4733">
        <v>37</v>
      </c>
      <c r="AG4733">
        <v>161</v>
      </c>
      <c r="AH4733">
        <v>129</v>
      </c>
      <c r="AI4733">
        <v>6.83</v>
      </c>
      <c r="AJ4733">
        <v>29.7</v>
      </c>
      <c r="AK4733">
        <v>23.8</v>
      </c>
      <c r="AL4733">
        <v>-20.169385449999961</v>
      </c>
      <c r="AM4733">
        <v>-44.922107101898007</v>
      </c>
      <c r="AN4733">
        <v>-20.169385449999961</v>
      </c>
      <c r="AO4733">
        <v>-44.922107101898007</v>
      </c>
      <c r="AP4733">
        <v>-20.170182</v>
      </c>
      <c r="AQ4733">
        <v>-44.922556999999998</v>
      </c>
      <c r="AR4733">
        <v>100.36329580049031</v>
      </c>
      <c r="AS4733" t="s">
        <v>65</v>
      </c>
      <c r="AT4733">
        <v>1</v>
      </c>
      <c r="AU4733" t="s">
        <v>1463</v>
      </c>
      <c r="AV4733" t="s">
        <v>1458</v>
      </c>
      <c r="AW4733" t="s">
        <v>60</v>
      </c>
      <c r="AX4733" t="s">
        <v>68</v>
      </c>
      <c r="AY4733" t="s">
        <v>69</v>
      </c>
      <c r="AZ4733" t="b">
        <v>1</v>
      </c>
    </row>
    <row r="4734" spans="1:52" x14ac:dyDescent="0.3">
      <c r="A4734" t="s">
        <v>52</v>
      </c>
      <c r="B4734" t="s">
        <v>53</v>
      </c>
      <c r="C4734" t="s">
        <v>54</v>
      </c>
      <c r="D4734" t="s">
        <v>55</v>
      </c>
      <c r="E4734" t="s">
        <v>2223</v>
      </c>
      <c r="F4734" t="s">
        <v>1247</v>
      </c>
      <c r="G4734" t="s">
        <v>1464</v>
      </c>
      <c r="H4734" t="s">
        <v>1485</v>
      </c>
      <c r="I4734" t="s">
        <v>1485</v>
      </c>
      <c r="J4734" t="s">
        <v>60</v>
      </c>
      <c r="K4734" t="s">
        <v>1486</v>
      </c>
      <c r="L4734" t="s">
        <v>62</v>
      </c>
      <c r="M4734" t="s">
        <v>1486</v>
      </c>
      <c r="N4734" t="s">
        <v>1467</v>
      </c>
      <c r="O4734" t="s">
        <v>1487</v>
      </c>
      <c r="P4734">
        <v>-20.162842000000001</v>
      </c>
      <c r="Q4734">
        <v>-44.883769999999998</v>
      </c>
      <c r="R4734" s="2" t="str">
        <f>HYPERLINK("https://www.google.com/maps?q=-20.1628420,-44.8837700","Abrir no Google Maps")</f>
        <v>Abrir no Google Maps</v>
      </c>
      <c r="S4734">
        <v>2</v>
      </c>
      <c r="T4734">
        <v>659.67909450906006</v>
      </c>
      <c r="U4734">
        <v>3</v>
      </c>
      <c r="V4734">
        <v>0.1137392325663099</v>
      </c>
      <c r="W4734">
        <v>1</v>
      </c>
      <c r="X4734">
        <v>0.1137392325663099</v>
      </c>
      <c r="Y4734">
        <v>671</v>
      </c>
      <c r="Z4734">
        <v>566.23107864368092</v>
      </c>
      <c r="AA4734">
        <v>198</v>
      </c>
      <c r="AB4734">
        <v>332</v>
      </c>
      <c r="AC4734">
        <v>536</v>
      </c>
      <c r="AD4734">
        <v>30.35</v>
      </c>
      <c r="AE4734">
        <v>542</v>
      </c>
      <c r="AF4734">
        <v>37</v>
      </c>
      <c r="AG4734">
        <v>161</v>
      </c>
      <c r="AH4734">
        <v>129</v>
      </c>
      <c r="AI4734">
        <v>6.83</v>
      </c>
      <c r="AJ4734">
        <v>29.7</v>
      </c>
      <c r="AK4734">
        <v>23.8</v>
      </c>
      <c r="AL4734">
        <v>-20.162791299999949</v>
      </c>
      <c r="AM4734">
        <v>-44.883966852092939</v>
      </c>
      <c r="AN4734">
        <v>-20.162791299999949</v>
      </c>
      <c r="AO4734">
        <v>-44.883966852092939</v>
      </c>
      <c r="AP4734">
        <v>-20.162842000000001</v>
      </c>
      <c r="AQ4734">
        <v>-44.883769999999998</v>
      </c>
      <c r="AR4734">
        <v>21.33085532825611</v>
      </c>
      <c r="AS4734" t="s">
        <v>65</v>
      </c>
      <c r="AT4734">
        <v>1</v>
      </c>
      <c r="AU4734" t="s">
        <v>1488</v>
      </c>
      <c r="AV4734" t="s">
        <v>1489</v>
      </c>
      <c r="AW4734" t="s">
        <v>60</v>
      </c>
      <c r="AX4734" t="s">
        <v>68</v>
      </c>
      <c r="AY4734" t="s">
        <v>69</v>
      </c>
      <c r="AZ4734" t="b">
        <v>1</v>
      </c>
    </row>
    <row r="4735" spans="1:52" x14ac:dyDescent="0.3">
      <c r="A4735" t="s">
        <v>52</v>
      </c>
      <c r="B4735" t="s">
        <v>53</v>
      </c>
      <c r="C4735" t="s">
        <v>54</v>
      </c>
      <c r="D4735" t="s">
        <v>55</v>
      </c>
      <c r="E4735" t="s">
        <v>2223</v>
      </c>
      <c r="F4735" t="s">
        <v>1247</v>
      </c>
      <c r="G4735" t="s">
        <v>1464</v>
      </c>
      <c r="H4735" t="s">
        <v>1465</v>
      </c>
      <c r="I4735" t="s">
        <v>1465</v>
      </c>
      <c r="J4735" t="s">
        <v>60</v>
      </c>
      <c r="K4735" t="s">
        <v>1466</v>
      </c>
      <c r="L4735" t="s">
        <v>62</v>
      </c>
      <c r="M4735" t="s">
        <v>1466</v>
      </c>
      <c r="N4735" t="s">
        <v>1467</v>
      </c>
      <c r="O4735" t="s">
        <v>145</v>
      </c>
      <c r="P4735">
        <v>-20.160509999999999</v>
      </c>
      <c r="Q4735">
        <v>-44.884123000000002</v>
      </c>
      <c r="R4735" s="2" t="str">
        <f>HYPERLINK("https://www.google.com/maps?q=-20.1605100,-44.8841230","Abrir no Google Maps")</f>
        <v>Abrir no Google Maps</v>
      </c>
      <c r="S4735">
        <v>2</v>
      </c>
      <c r="T4735">
        <v>650.04961276595373</v>
      </c>
      <c r="U4735">
        <v>3</v>
      </c>
      <c r="V4735">
        <v>0.118370866301481</v>
      </c>
      <c r="W4735">
        <v>1</v>
      </c>
      <c r="X4735">
        <v>0.118370866301481</v>
      </c>
      <c r="Y4735">
        <v>671</v>
      </c>
      <c r="Z4735">
        <v>591.49066685698506</v>
      </c>
      <c r="AA4735">
        <v>198</v>
      </c>
      <c r="AB4735">
        <v>332</v>
      </c>
      <c r="AC4735">
        <v>536</v>
      </c>
      <c r="AD4735">
        <v>30.35</v>
      </c>
      <c r="AE4735">
        <v>542</v>
      </c>
      <c r="AF4735">
        <v>37</v>
      </c>
      <c r="AG4735">
        <v>161</v>
      </c>
      <c r="AH4735">
        <v>129</v>
      </c>
      <c r="AI4735">
        <v>6.83</v>
      </c>
      <c r="AJ4735">
        <v>29.7</v>
      </c>
      <c r="AK4735">
        <v>23.8</v>
      </c>
      <c r="AL4735">
        <v>-20.16056479999995</v>
      </c>
      <c r="AM4735">
        <v>-44.88424978393428</v>
      </c>
      <c r="AN4735">
        <v>-20.160564799999939</v>
      </c>
      <c r="AO4735">
        <v>-44.88424978393428</v>
      </c>
      <c r="AP4735">
        <v>-20.160509999999999</v>
      </c>
      <c r="AQ4735">
        <v>-44.884123000000002</v>
      </c>
      <c r="AR4735">
        <v>14.585823463739541</v>
      </c>
      <c r="AS4735" t="s">
        <v>65</v>
      </c>
      <c r="AT4735">
        <v>1</v>
      </c>
      <c r="AU4735" t="s">
        <v>1468</v>
      </c>
      <c r="AV4735" t="s">
        <v>1469</v>
      </c>
      <c r="AW4735" t="s">
        <v>60</v>
      </c>
      <c r="AX4735" t="s">
        <v>68</v>
      </c>
      <c r="AY4735" t="s">
        <v>69</v>
      </c>
      <c r="AZ4735" t="b">
        <v>1</v>
      </c>
    </row>
    <row r="4736" spans="1:52" x14ac:dyDescent="0.3">
      <c r="A4736" t="s">
        <v>52</v>
      </c>
      <c r="B4736" t="s">
        <v>53</v>
      </c>
      <c r="C4736" t="s">
        <v>54</v>
      </c>
      <c r="D4736" t="s">
        <v>55</v>
      </c>
      <c r="E4736" t="s">
        <v>2223</v>
      </c>
      <c r="F4736" t="s">
        <v>1247</v>
      </c>
      <c r="G4736" t="s">
        <v>1507</v>
      </c>
      <c r="H4736" t="s">
        <v>1508</v>
      </c>
      <c r="I4736" t="s">
        <v>1508</v>
      </c>
      <c r="J4736" t="s">
        <v>60</v>
      </c>
      <c r="K4736" t="s">
        <v>1466</v>
      </c>
      <c r="L4736" t="s">
        <v>62</v>
      </c>
      <c r="M4736" t="s">
        <v>1466</v>
      </c>
      <c r="N4736" t="s">
        <v>1509</v>
      </c>
      <c r="O4736" t="s">
        <v>270</v>
      </c>
      <c r="P4736">
        <v>-20.164501999999999</v>
      </c>
      <c r="Q4736">
        <v>-44.883226999999998</v>
      </c>
      <c r="R4736" s="2" t="str">
        <f>HYPERLINK("https://www.google.com/maps?q=-20.1645020,-44.8832270","Abrir no Google Maps")</f>
        <v>Abrir no Google Maps</v>
      </c>
      <c r="S4736">
        <v>2</v>
      </c>
      <c r="T4736">
        <v>691.62667420887726</v>
      </c>
      <c r="U4736">
        <v>3</v>
      </c>
      <c r="V4736">
        <v>0.1163391440946803</v>
      </c>
      <c r="W4736">
        <v>1</v>
      </c>
      <c r="X4736">
        <v>0.1163391440946803</v>
      </c>
      <c r="Y4736">
        <v>671</v>
      </c>
      <c r="Z4736">
        <v>591.13935302436732</v>
      </c>
      <c r="AA4736">
        <v>198</v>
      </c>
      <c r="AB4736">
        <v>332</v>
      </c>
      <c r="AC4736">
        <v>536</v>
      </c>
      <c r="AD4736">
        <v>30.35</v>
      </c>
      <c r="AE4736">
        <v>542</v>
      </c>
      <c r="AF4736">
        <v>37</v>
      </c>
      <c r="AG4736">
        <v>161</v>
      </c>
      <c r="AH4736">
        <v>129</v>
      </c>
      <c r="AI4736">
        <v>6.83</v>
      </c>
      <c r="AJ4736">
        <v>29.7</v>
      </c>
      <c r="AK4736">
        <v>23.8</v>
      </c>
      <c r="AL4736">
        <v>-20.164470149999939</v>
      </c>
      <c r="AM4736">
        <v>-44.883357321672527</v>
      </c>
      <c r="AN4736">
        <v>-20.164470149999939</v>
      </c>
      <c r="AO4736">
        <v>-44.883357321672527</v>
      </c>
      <c r="AP4736">
        <v>-20.164501999999999</v>
      </c>
      <c r="AQ4736">
        <v>-44.883226999999998</v>
      </c>
      <c r="AR4736">
        <v>14.072184947340521</v>
      </c>
      <c r="AS4736" t="s">
        <v>65</v>
      </c>
      <c r="AT4736">
        <v>1</v>
      </c>
      <c r="AU4736" t="s">
        <v>1510</v>
      </c>
      <c r="AV4736" t="s">
        <v>1511</v>
      </c>
      <c r="AW4736" t="s">
        <v>60</v>
      </c>
      <c r="AX4736" t="s">
        <v>68</v>
      </c>
      <c r="AY4736" t="s">
        <v>69</v>
      </c>
      <c r="AZ4736" t="b">
        <v>1</v>
      </c>
    </row>
    <row r="4737" spans="1:52" x14ac:dyDescent="0.3">
      <c r="A4737" t="s">
        <v>52</v>
      </c>
      <c r="B4737" t="s">
        <v>53</v>
      </c>
      <c r="C4737" t="s">
        <v>54</v>
      </c>
      <c r="D4737" t="s">
        <v>55</v>
      </c>
      <c r="E4737" t="s">
        <v>2223</v>
      </c>
      <c r="F4737" t="s">
        <v>1247</v>
      </c>
      <c r="G4737" t="s">
        <v>1512</v>
      </c>
      <c r="H4737" t="s">
        <v>1513</v>
      </c>
      <c r="I4737" t="s">
        <v>1513</v>
      </c>
      <c r="J4737" t="s">
        <v>60</v>
      </c>
      <c r="K4737" t="s">
        <v>1302</v>
      </c>
      <c r="L4737" t="s">
        <v>62</v>
      </c>
      <c r="M4737" t="s">
        <v>1302</v>
      </c>
      <c r="N4737" t="s">
        <v>1514</v>
      </c>
      <c r="O4737" t="s">
        <v>1515</v>
      </c>
      <c r="P4737">
        <v>-20.163709000000001</v>
      </c>
      <c r="Q4737">
        <v>-44.916074999999999</v>
      </c>
      <c r="R4737" s="2" t="str">
        <f>HYPERLINK("https://www.google.com/maps?q=-20.1637090,-44.9160750","Abrir no Google Maps")</f>
        <v>Abrir no Google Maps</v>
      </c>
      <c r="S4737">
        <v>2</v>
      </c>
      <c r="T4737">
        <v>305.09593452131332</v>
      </c>
      <c r="U4737">
        <v>3</v>
      </c>
      <c r="V4737">
        <v>0.1167175106772422</v>
      </c>
      <c r="W4737">
        <v>1</v>
      </c>
      <c r="X4737">
        <v>0.1167175106772422</v>
      </c>
      <c r="Y4737">
        <v>639</v>
      </c>
      <c r="Z4737">
        <v>289.37841230131949</v>
      </c>
      <c r="AA4737">
        <v>198</v>
      </c>
      <c r="AB4737">
        <v>332</v>
      </c>
      <c r="AC4737">
        <v>536</v>
      </c>
      <c r="AD4737">
        <v>30.35</v>
      </c>
      <c r="AE4737">
        <v>542</v>
      </c>
      <c r="AF4737">
        <v>37</v>
      </c>
      <c r="AG4737">
        <v>161</v>
      </c>
      <c r="AH4737">
        <v>129</v>
      </c>
      <c r="AI4737">
        <v>6.83</v>
      </c>
      <c r="AJ4737">
        <v>29.7</v>
      </c>
      <c r="AK4737">
        <v>23.8</v>
      </c>
      <c r="AL4737">
        <v>-20.163666449999969</v>
      </c>
      <c r="AM4737">
        <v>-44.916102906827042</v>
      </c>
      <c r="AN4737">
        <v>-20.163666449999969</v>
      </c>
      <c r="AO4737">
        <v>-44.916102906827042</v>
      </c>
      <c r="AP4737">
        <v>-20.163709000000001</v>
      </c>
      <c r="AQ4737">
        <v>-44.916074999999999</v>
      </c>
      <c r="AR4737">
        <v>5.5623892025550603</v>
      </c>
      <c r="AS4737" t="s">
        <v>65</v>
      </c>
      <c r="AT4737">
        <v>1</v>
      </c>
      <c r="AU4737" t="s">
        <v>1516</v>
      </c>
      <c r="AV4737" t="s">
        <v>1517</v>
      </c>
      <c r="AW4737" t="s">
        <v>60</v>
      </c>
      <c r="AX4737" t="s">
        <v>68</v>
      </c>
      <c r="AY4737" t="s">
        <v>69</v>
      </c>
      <c r="AZ4737" t="b">
        <v>1</v>
      </c>
    </row>
    <row r="4738" spans="1:52" x14ac:dyDescent="0.3">
      <c r="A4738" t="s">
        <v>52</v>
      </c>
      <c r="B4738" t="s">
        <v>53</v>
      </c>
      <c r="C4738" t="s">
        <v>54</v>
      </c>
      <c r="D4738" t="s">
        <v>55</v>
      </c>
      <c r="E4738" t="s">
        <v>2223</v>
      </c>
      <c r="F4738" t="s">
        <v>1247</v>
      </c>
      <c r="G4738" t="s">
        <v>1479</v>
      </c>
      <c r="H4738" t="s">
        <v>1480</v>
      </c>
      <c r="I4738" t="s">
        <v>1480</v>
      </c>
      <c r="J4738" t="s">
        <v>60</v>
      </c>
      <c r="K4738" t="s">
        <v>1302</v>
      </c>
      <c r="L4738" t="s">
        <v>62</v>
      </c>
      <c r="M4738" t="s">
        <v>1302</v>
      </c>
      <c r="N4738" t="s">
        <v>1481</v>
      </c>
      <c r="O4738" t="s">
        <v>1482</v>
      </c>
      <c r="P4738">
        <v>-20.164655</v>
      </c>
      <c r="Q4738">
        <v>-44.912697000000001</v>
      </c>
      <c r="R4738" s="2" t="str">
        <f>HYPERLINK("https://www.google.com/maps?q=-20.1646550,-44.9126970","Abrir no Google Maps")</f>
        <v>Abrir no Google Maps</v>
      </c>
      <c r="S4738">
        <v>2</v>
      </c>
      <c r="T4738">
        <v>441.50274004930441</v>
      </c>
      <c r="U4738">
        <v>3</v>
      </c>
      <c r="V4738">
        <v>0.12011613597908009</v>
      </c>
      <c r="W4738">
        <v>1</v>
      </c>
      <c r="X4738">
        <v>0.12011613597908009</v>
      </c>
      <c r="Y4738">
        <v>639</v>
      </c>
      <c r="Z4738">
        <v>311.03317029936522</v>
      </c>
      <c r="AA4738">
        <v>198</v>
      </c>
      <c r="AB4738">
        <v>332</v>
      </c>
      <c r="AC4738">
        <v>536</v>
      </c>
      <c r="AD4738">
        <v>30.35</v>
      </c>
      <c r="AE4738">
        <v>542</v>
      </c>
      <c r="AF4738">
        <v>37</v>
      </c>
      <c r="AG4738">
        <v>161</v>
      </c>
      <c r="AH4738">
        <v>129</v>
      </c>
      <c r="AI4738">
        <v>6.83</v>
      </c>
      <c r="AJ4738">
        <v>29.7</v>
      </c>
      <c r="AK4738">
        <v>23.8</v>
      </c>
      <c r="AL4738">
        <v>-20.164702999999971</v>
      </c>
      <c r="AM4738">
        <v>-44.912418857911163</v>
      </c>
      <c r="AN4738">
        <v>-20.164702999999971</v>
      </c>
      <c r="AO4738">
        <v>-44.912418857911163</v>
      </c>
      <c r="AP4738">
        <v>-20.164655</v>
      </c>
      <c r="AQ4738">
        <v>-44.912697000000001</v>
      </c>
      <c r="AR4738">
        <v>29.552017409892429</v>
      </c>
      <c r="AS4738" t="s">
        <v>65</v>
      </c>
      <c r="AT4738">
        <v>1</v>
      </c>
      <c r="AU4738" t="s">
        <v>1483</v>
      </c>
      <c r="AV4738" t="s">
        <v>1484</v>
      </c>
      <c r="AW4738" t="s">
        <v>60</v>
      </c>
      <c r="AX4738" t="s">
        <v>68</v>
      </c>
      <c r="AY4738" t="s">
        <v>69</v>
      </c>
      <c r="AZ4738" t="b">
        <v>1</v>
      </c>
    </row>
    <row r="4739" spans="1:52" x14ac:dyDescent="0.3">
      <c r="A4739" t="s">
        <v>52</v>
      </c>
      <c r="B4739" t="s">
        <v>53</v>
      </c>
      <c r="C4739" t="s">
        <v>54</v>
      </c>
      <c r="D4739" t="s">
        <v>55</v>
      </c>
      <c r="E4739" t="s">
        <v>2223</v>
      </c>
      <c r="F4739" t="s">
        <v>1247</v>
      </c>
      <c r="G4739" t="s">
        <v>1518</v>
      </c>
      <c r="H4739" t="s">
        <v>1519</v>
      </c>
      <c r="I4739" t="s">
        <v>1519</v>
      </c>
      <c r="J4739" t="s">
        <v>60</v>
      </c>
      <c r="K4739" t="s">
        <v>1302</v>
      </c>
      <c r="L4739" t="s">
        <v>62</v>
      </c>
      <c r="M4739" t="s">
        <v>1302</v>
      </c>
      <c r="N4739" t="s">
        <v>1520</v>
      </c>
      <c r="O4739" t="s">
        <v>1521</v>
      </c>
      <c r="P4739">
        <v>-20.16263</v>
      </c>
      <c r="Q4739">
        <v>-44.910342999999997</v>
      </c>
      <c r="R4739" s="2" t="str">
        <f>HYPERLINK("https://www.google.com/maps?q=-20.1626300,-44.9103430","Abrir no Google Maps")</f>
        <v>Abrir no Google Maps</v>
      </c>
      <c r="S4739">
        <v>2</v>
      </c>
      <c r="T4739">
        <v>492.63980270666781</v>
      </c>
      <c r="U4739">
        <v>3</v>
      </c>
      <c r="V4739">
        <v>0.1146759813275548</v>
      </c>
      <c r="W4739">
        <v>1</v>
      </c>
      <c r="X4739">
        <v>0.1146759813275548</v>
      </c>
      <c r="Y4739">
        <v>639</v>
      </c>
      <c r="Z4739">
        <v>412.49960371731271</v>
      </c>
      <c r="AA4739">
        <v>198</v>
      </c>
      <c r="AB4739">
        <v>332</v>
      </c>
      <c r="AC4739">
        <v>536</v>
      </c>
      <c r="AD4739">
        <v>30.35</v>
      </c>
      <c r="AE4739">
        <v>542</v>
      </c>
      <c r="AF4739">
        <v>37</v>
      </c>
      <c r="AG4739">
        <v>161</v>
      </c>
      <c r="AH4739">
        <v>129</v>
      </c>
      <c r="AI4739">
        <v>6.83</v>
      </c>
      <c r="AJ4739">
        <v>29.7</v>
      </c>
      <c r="AK4739">
        <v>23.8</v>
      </c>
      <c r="AL4739">
        <v>-20.162579949999952</v>
      </c>
      <c r="AM4739">
        <v>-44.910101148008863</v>
      </c>
      <c r="AN4739">
        <v>-20.162579949999952</v>
      </c>
      <c r="AO4739">
        <v>-44.910101148008863</v>
      </c>
      <c r="AP4739">
        <v>-20.16263</v>
      </c>
      <c r="AQ4739">
        <v>-44.910342999999997</v>
      </c>
      <c r="AR4739">
        <v>25.879932474893501</v>
      </c>
      <c r="AS4739" t="s">
        <v>65</v>
      </c>
      <c r="AT4739">
        <v>1</v>
      </c>
      <c r="AU4739" t="s">
        <v>1522</v>
      </c>
      <c r="AV4739" t="s">
        <v>1523</v>
      </c>
      <c r="AW4739" t="s">
        <v>60</v>
      </c>
      <c r="AX4739" t="s">
        <v>68</v>
      </c>
      <c r="AY4739" t="s">
        <v>69</v>
      </c>
      <c r="AZ4739" t="b">
        <v>1</v>
      </c>
    </row>
    <row r="4740" spans="1:52" x14ac:dyDescent="0.3">
      <c r="A4740" t="s">
        <v>52</v>
      </c>
      <c r="B4740" t="s">
        <v>53</v>
      </c>
      <c r="C4740" t="s">
        <v>54</v>
      </c>
      <c r="D4740" t="s">
        <v>55</v>
      </c>
      <c r="E4740" t="s">
        <v>2223</v>
      </c>
      <c r="F4740" t="s">
        <v>1247</v>
      </c>
      <c r="G4740" t="s">
        <v>1524</v>
      </c>
      <c r="H4740" t="s">
        <v>1525</v>
      </c>
      <c r="I4740" t="s">
        <v>1525</v>
      </c>
      <c r="J4740" t="s">
        <v>60</v>
      </c>
      <c r="K4740" t="s">
        <v>1302</v>
      </c>
      <c r="L4740" t="s">
        <v>62</v>
      </c>
      <c r="M4740" t="s">
        <v>1302</v>
      </c>
      <c r="N4740" t="s">
        <v>1526</v>
      </c>
      <c r="O4740" t="s">
        <v>303</v>
      </c>
      <c r="P4740">
        <v>-20.159873000000001</v>
      </c>
      <c r="Q4740">
        <v>-44.911431999999998</v>
      </c>
      <c r="R4740" s="2" t="str">
        <f>HYPERLINK("https://www.google.com/maps?q=-20.1598730,-44.9114320","Abrir no Google Maps")</f>
        <v>Abrir no Google Maps</v>
      </c>
      <c r="S4740">
        <v>2</v>
      </c>
      <c r="T4740">
        <v>359.34785817593553</v>
      </c>
      <c r="U4740">
        <v>3</v>
      </c>
      <c r="V4740">
        <v>0.1156137401541813</v>
      </c>
      <c r="W4740">
        <v>1</v>
      </c>
      <c r="X4740">
        <v>0.1156137401541813</v>
      </c>
      <c r="Y4740">
        <v>639</v>
      </c>
      <c r="Z4740">
        <v>388.13505700247691</v>
      </c>
      <c r="AA4740">
        <v>198</v>
      </c>
      <c r="AB4740">
        <v>332</v>
      </c>
      <c r="AC4740">
        <v>536</v>
      </c>
      <c r="AD4740">
        <v>30.35</v>
      </c>
      <c r="AE4740">
        <v>542</v>
      </c>
      <c r="AF4740">
        <v>37</v>
      </c>
      <c r="AG4740">
        <v>161</v>
      </c>
      <c r="AH4740">
        <v>129</v>
      </c>
      <c r="AI4740">
        <v>6.83</v>
      </c>
      <c r="AJ4740">
        <v>29.7</v>
      </c>
      <c r="AK4740">
        <v>23.8</v>
      </c>
      <c r="AL4740">
        <v>-20.159583599999969</v>
      </c>
      <c r="AM4740">
        <v>-44.911691929105316</v>
      </c>
      <c r="AN4740">
        <v>-20.159583599999969</v>
      </c>
      <c r="AO4740">
        <v>-44.911691929105316</v>
      </c>
      <c r="AP4740">
        <v>-20.159873000000001</v>
      </c>
      <c r="AQ4740">
        <v>-44.911431999999998</v>
      </c>
      <c r="AR4740">
        <v>42.138811218570019</v>
      </c>
      <c r="AS4740" t="s">
        <v>65</v>
      </c>
      <c r="AT4740">
        <v>1</v>
      </c>
      <c r="AU4740" t="s">
        <v>1527</v>
      </c>
      <c r="AV4740" t="s">
        <v>1528</v>
      </c>
      <c r="AW4740" t="s">
        <v>60</v>
      </c>
      <c r="AX4740" t="s">
        <v>68</v>
      </c>
      <c r="AY4740" t="s">
        <v>69</v>
      </c>
      <c r="AZ4740" t="b">
        <v>1</v>
      </c>
    </row>
    <row r="4741" spans="1:52" x14ac:dyDescent="0.3">
      <c r="A4741" t="s">
        <v>52</v>
      </c>
      <c r="B4741" t="s">
        <v>53</v>
      </c>
      <c r="C4741" t="s">
        <v>54</v>
      </c>
      <c r="D4741" t="s">
        <v>55</v>
      </c>
      <c r="E4741" t="s">
        <v>2223</v>
      </c>
      <c r="F4741" t="s">
        <v>1247</v>
      </c>
      <c r="G4741" t="s">
        <v>1501</v>
      </c>
      <c r="H4741" t="s">
        <v>1502</v>
      </c>
      <c r="I4741" t="s">
        <v>1502</v>
      </c>
      <c r="J4741" t="s">
        <v>60</v>
      </c>
      <c r="K4741" t="s">
        <v>1466</v>
      </c>
      <c r="L4741" t="s">
        <v>62</v>
      </c>
      <c r="M4741" t="s">
        <v>1466</v>
      </c>
      <c r="N4741" t="s">
        <v>1503</v>
      </c>
      <c r="O4741" t="s">
        <v>1504</v>
      </c>
      <c r="P4741">
        <v>-20.159618999999999</v>
      </c>
      <c r="Q4741">
        <v>-44.880065000000002</v>
      </c>
      <c r="R4741" s="2" t="str">
        <f>HYPERLINK("https://www.google.com/maps?q=-20.1596190,-44.8800650","Abrir no Google Maps")</f>
        <v>Abrir no Google Maps</v>
      </c>
      <c r="S4741">
        <v>2</v>
      </c>
      <c r="T4741">
        <v>243.9950282285559</v>
      </c>
      <c r="U4741">
        <v>2</v>
      </c>
      <c r="V4741">
        <v>0.1066612729234088</v>
      </c>
      <c r="W4741">
        <v>1</v>
      </c>
      <c r="X4741">
        <v>0.1066612729234088</v>
      </c>
      <c r="Y4741">
        <v>671</v>
      </c>
      <c r="Z4741">
        <v>265.31354384517681</v>
      </c>
      <c r="AA4741">
        <v>198</v>
      </c>
      <c r="AB4741">
        <v>332</v>
      </c>
      <c r="AC4741">
        <v>536</v>
      </c>
      <c r="AD4741">
        <v>30.35</v>
      </c>
      <c r="AE4741">
        <v>542</v>
      </c>
      <c r="AF4741">
        <v>37</v>
      </c>
      <c r="AG4741">
        <v>161</v>
      </c>
      <c r="AH4741">
        <v>129</v>
      </c>
      <c r="AI4741">
        <v>6.83</v>
      </c>
      <c r="AJ4741">
        <v>29.7</v>
      </c>
      <c r="AK4741">
        <v>23.8</v>
      </c>
      <c r="AL4741">
        <v>-20.159689949999969</v>
      </c>
      <c r="AM4741">
        <v>-44.880075072344489</v>
      </c>
      <c r="AN4741">
        <v>-20.159689949999969</v>
      </c>
      <c r="AO4741">
        <v>-44.880075072344489</v>
      </c>
      <c r="AP4741">
        <v>-20.159618999999999</v>
      </c>
      <c r="AQ4741">
        <v>-44.880065000000002</v>
      </c>
      <c r="AR4741">
        <v>7.9679809486040876</v>
      </c>
      <c r="AS4741" t="s">
        <v>65</v>
      </c>
      <c r="AT4741">
        <v>1</v>
      </c>
      <c r="AU4741" t="s">
        <v>1505</v>
      </c>
      <c r="AV4741" t="s">
        <v>1506</v>
      </c>
      <c r="AW4741" t="s">
        <v>60</v>
      </c>
      <c r="AX4741" t="s">
        <v>68</v>
      </c>
      <c r="AY4741" t="s">
        <v>69</v>
      </c>
      <c r="AZ4741" t="b">
        <v>1</v>
      </c>
    </row>
    <row r="4742" spans="1:52" x14ac:dyDescent="0.3">
      <c r="A4742" t="s">
        <v>52</v>
      </c>
      <c r="B4742" t="s">
        <v>53</v>
      </c>
      <c r="C4742" t="s">
        <v>54</v>
      </c>
      <c r="D4742" t="s">
        <v>55</v>
      </c>
      <c r="E4742" t="s">
        <v>2223</v>
      </c>
      <c r="F4742" t="s">
        <v>1247</v>
      </c>
      <c r="G4742" t="s">
        <v>1554</v>
      </c>
      <c r="H4742" t="s">
        <v>1555</v>
      </c>
      <c r="I4742" t="s">
        <v>1555</v>
      </c>
      <c r="J4742" t="s">
        <v>60</v>
      </c>
      <c r="K4742" t="s">
        <v>1466</v>
      </c>
      <c r="L4742" t="s">
        <v>62</v>
      </c>
      <c r="M4742" t="s">
        <v>1466</v>
      </c>
      <c r="N4742" t="s">
        <v>1556</v>
      </c>
      <c r="O4742" t="s">
        <v>989</v>
      </c>
      <c r="P4742">
        <v>-20.160997999999999</v>
      </c>
      <c r="Q4742">
        <v>-44.878385999999999</v>
      </c>
      <c r="R4742" s="2" t="str">
        <f>HYPERLINK("https://www.google.com/maps?q=-20.1609980,-44.8783860","Abrir no Google Maps")</f>
        <v>Abrir no Google Maps</v>
      </c>
      <c r="S4742">
        <v>2</v>
      </c>
      <c r="T4742">
        <v>0</v>
      </c>
      <c r="U4742">
        <v>2</v>
      </c>
      <c r="V4742">
        <v>0.12581629539212691</v>
      </c>
      <c r="W4742">
        <v>0.85</v>
      </c>
      <c r="X4742">
        <v>0.10694385108330789</v>
      </c>
      <c r="Y4742">
        <v>671</v>
      </c>
      <c r="Z4742">
        <v>74.014802531188664</v>
      </c>
      <c r="AA4742">
        <v>198</v>
      </c>
      <c r="AB4742">
        <v>332</v>
      </c>
      <c r="AC4742">
        <v>536</v>
      </c>
      <c r="AD4742">
        <v>30.35</v>
      </c>
      <c r="AE4742">
        <v>542</v>
      </c>
      <c r="AF4742">
        <v>37</v>
      </c>
      <c r="AG4742">
        <v>161</v>
      </c>
      <c r="AH4742">
        <v>129</v>
      </c>
      <c r="AI4742">
        <v>6.83</v>
      </c>
      <c r="AJ4742">
        <v>29.7</v>
      </c>
      <c r="AK4742">
        <v>23.8</v>
      </c>
      <c r="AL4742">
        <v>-20.160758199999979</v>
      </c>
      <c r="AM4742">
        <v>-44.878032519747983</v>
      </c>
      <c r="AN4742">
        <v>-20.160758199999979</v>
      </c>
      <c r="AO4742">
        <v>-44.878032519747983</v>
      </c>
      <c r="AP4742">
        <v>-20.160997999999999</v>
      </c>
      <c r="AQ4742">
        <v>-44.878385999999999</v>
      </c>
      <c r="AR4742">
        <v>45.574638830261883</v>
      </c>
      <c r="AS4742" t="s">
        <v>65</v>
      </c>
      <c r="AT4742">
        <v>1</v>
      </c>
      <c r="AU4742" t="s">
        <v>1557</v>
      </c>
      <c r="AV4742" t="s">
        <v>1558</v>
      </c>
      <c r="AW4742" t="s">
        <v>60</v>
      </c>
      <c r="AX4742" t="s">
        <v>68</v>
      </c>
      <c r="AY4742" t="s">
        <v>69</v>
      </c>
      <c r="AZ4742" t="b">
        <v>1</v>
      </c>
    </row>
    <row r="4743" spans="1:52" x14ac:dyDescent="0.3">
      <c r="A4743" t="s">
        <v>52</v>
      </c>
      <c r="B4743" t="s">
        <v>53</v>
      </c>
      <c r="C4743" t="s">
        <v>54</v>
      </c>
      <c r="D4743" t="s">
        <v>55</v>
      </c>
      <c r="E4743" t="s">
        <v>2223</v>
      </c>
      <c r="F4743" t="s">
        <v>1247</v>
      </c>
      <c r="G4743" t="s">
        <v>1529</v>
      </c>
      <c r="H4743" t="s">
        <v>1530</v>
      </c>
      <c r="I4743" t="s">
        <v>1530</v>
      </c>
      <c r="J4743" t="s">
        <v>60</v>
      </c>
      <c r="K4743" t="s">
        <v>1466</v>
      </c>
      <c r="L4743" t="s">
        <v>62</v>
      </c>
      <c r="M4743" t="s">
        <v>1466</v>
      </c>
      <c r="N4743" t="s">
        <v>1531</v>
      </c>
      <c r="O4743" t="s">
        <v>145</v>
      </c>
      <c r="P4743">
        <v>-20.162952000000001</v>
      </c>
      <c r="Q4743">
        <v>-44.877612999999997</v>
      </c>
      <c r="R4743" s="2" t="str">
        <f>HYPERLINK("https://www.google.com/maps?q=-20.1629520,-44.8776130","Abrir no Google Maps")</f>
        <v>Abrir no Google Maps</v>
      </c>
      <c r="S4743">
        <v>2</v>
      </c>
      <c r="T4743">
        <v>229.91388913695721</v>
      </c>
      <c r="U4743">
        <v>2</v>
      </c>
      <c r="V4743">
        <v>0.1208660953558912</v>
      </c>
      <c r="W4743">
        <v>0.85</v>
      </c>
      <c r="X4743">
        <v>0.10273618105250749</v>
      </c>
      <c r="Y4743">
        <v>671</v>
      </c>
      <c r="Z4743">
        <v>157.6775523644973</v>
      </c>
      <c r="AA4743">
        <v>198</v>
      </c>
      <c r="AB4743">
        <v>332</v>
      </c>
      <c r="AC4743">
        <v>536</v>
      </c>
      <c r="AD4743">
        <v>30.35</v>
      </c>
      <c r="AE4743">
        <v>542</v>
      </c>
      <c r="AF4743">
        <v>37</v>
      </c>
      <c r="AG4743">
        <v>161</v>
      </c>
      <c r="AH4743">
        <v>129</v>
      </c>
      <c r="AI4743">
        <v>6.83</v>
      </c>
      <c r="AJ4743">
        <v>29.7</v>
      </c>
      <c r="AK4743">
        <v>23.8</v>
      </c>
      <c r="AL4743">
        <v>-20.16278829999996</v>
      </c>
      <c r="AM4743">
        <v>-44.877564655204168</v>
      </c>
      <c r="AN4743">
        <v>-20.16278829999996</v>
      </c>
      <c r="AO4743">
        <v>-44.877564655204168</v>
      </c>
      <c r="AP4743">
        <v>-20.162952000000001</v>
      </c>
      <c r="AQ4743">
        <v>-44.877612999999997</v>
      </c>
      <c r="AR4743">
        <v>18.91038935762678</v>
      </c>
      <c r="AS4743" t="s">
        <v>65</v>
      </c>
      <c r="AT4743">
        <v>1</v>
      </c>
      <c r="AU4743" t="s">
        <v>1532</v>
      </c>
      <c r="AV4743" t="s">
        <v>1533</v>
      </c>
      <c r="AW4743" t="s">
        <v>60</v>
      </c>
      <c r="AX4743" t="s">
        <v>68</v>
      </c>
      <c r="AY4743" t="s">
        <v>69</v>
      </c>
      <c r="AZ4743" t="b">
        <v>1</v>
      </c>
    </row>
    <row r="4744" spans="1:52" x14ac:dyDescent="0.3">
      <c r="A4744" t="s">
        <v>52</v>
      </c>
      <c r="B4744" t="s">
        <v>53</v>
      </c>
      <c r="C4744" t="s">
        <v>54</v>
      </c>
      <c r="D4744" t="s">
        <v>55</v>
      </c>
      <c r="E4744" t="s">
        <v>2223</v>
      </c>
      <c r="F4744" t="s">
        <v>1247</v>
      </c>
      <c r="G4744" t="s">
        <v>1541</v>
      </c>
      <c r="H4744" t="s">
        <v>1542</v>
      </c>
      <c r="I4744" t="s">
        <v>1542</v>
      </c>
      <c r="J4744" t="s">
        <v>60</v>
      </c>
      <c r="K4744" t="s">
        <v>1302</v>
      </c>
      <c r="L4744" t="s">
        <v>62</v>
      </c>
      <c r="M4744" t="s">
        <v>1302</v>
      </c>
      <c r="N4744" t="s">
        <v>1543</v>
      </c>
      <c r="O4744" t="s">
        <v>1544</v>
      </c>
      <c r="P4744">
        <v>-20.166267999999999</v>
      </c>
      <c r="Q4744">
        <v>-44.916902</v>
      </c>
      <c r="R4744" s="2" t="str">
        <f>HYPERLINK("https://www.google.com/maps?q=-20.1662680,-44.9169020","Abrir no Google Maps")</f>
        <v>Abrir no Google Maps</v>
      </c>
      <c r="S4744">
        <v>2</v>
      </c>
      <c r="T4744">
        <v>580.14556008922216</v>
      </c>
      <c r="U4744">
        <v>2</v>
      </c>
      <c r="V4744">
        <v>0.1178981454224315</v>
      </c>
      <c r="W4744">
        <v>0.85</v>
      </c>
      <c r="X4744">
        <v>0.10021342360906681</v>
      </c>
      <c r="Y4744">
        <v>639</v>
      </c>
      <c r="Z4744">
        <v>590.87477783185614</v>
      </c>
      <c r="AA4744">
        <v>198</v>
      </c>
      <c r="AB4744">
        <v>332</v>
      </c>
      <c r="AC4744">
        <v>536</v>
      </c>
      <c r="AD4744">
        <v>30.35</v>
      </c>
      <c r="AE4744">
        <v>542</v>
      </c>
      <c r="AF4744">
        <v>37</v>
      </c>
      <c r="AG4744">
        <v>161</v>
      </c>
      <c r="AH4744">
        <v>129</v>
      </c>
      <c r="AI4744">
        <v>6.83</v>
      </c>
      <c r="AJ4744">
        <v>29.7</v>
      </c>
      <c r="AK4744">
        <v>23.8</v>
      </c>
      <c r="AL4744">
        <v>-20.165891749999961</v>
      </c>
      <c r="AM4744">
        <v>-44.917283075074913</v>
      </c>
      <c r="AN4744">
        <v>-20.165891749999961</v>
      </c>
      <c r="AO4744">
        <v>-44.917283075074913</v>
      </c>
      <c r="AP4744">
        <v>-20.166267999999999</v>
      </c>
      <c r="AQ4744">
        <v>-44.916902</v>
      </c>
      <c r="AR4744">
        <v>57.792534087281872</v>
      </c>
      <c r="AS4744" t="s">
        <v>65</v>
      </c>
      <c r="AT4744">
        <v>1</v>
      </c>
      <c r="AU4744" t="s">
        <v>1545</v>
      </c>
      <c r="AV4744" t="s">
        <v>1546</v>
      </c>
      <c r="AW4744" t="s">
        <v>60</v>
      </c>
      <c r="AX4744" t="s">
        <v>68</v>
      </c>
      <c r="AY4744" t="s">
        <v>69</v>
      </c>
      <c r="AZ4744" t="b">
        <v>1</v>
      </c>
    </row>
    <row r="4745" spans="1:52" x14ac:dyDescent="0.3">
      <c r="A4745" t="s">
        <v>52</v>
      </c>
      <c r="B4745" t="s">
        <v>53</v>
      </c>
      <c r="C4745" t="s">
        <v>54</v>
      </c>
      <c r="D4745" t="s">
        <v>55</v>
      </c>
      <c r="E4745" t="s">
        <v>2223</v>
      </c>
      <c r="F4745" t="s">
        <v>1247</v>
      </c>
      <c r="G4745" t="s">
        <v>1534</v>
      </c>
      <c r="H4745" t="s">
        <v>1535</v>
      </c>
      <c r="I4745" t="s">
        <v>1535</v>
      </c>
      <c r="J4745" t="s">
        <v>60</v>
      </c>
      <c r="K4745" t="s">
        <v>1536</v>
      </c>
      <c r="L4745" t="s">
        <v>62</v>
      </c>
      <c r="M4745" t="s">
        <v>1536</v>
      </c>
      <c r="N4745" t="s">
        <v>1537</v>
      </c>
      <c r="O4745" t="s">
        <v>1538</v>
      </c>
      <c r="P4745">
        <v>-20.164618999999998</v>
      </c>
      <c r="Q4745">
        <v>-44.921776999999999</v>
      </c>
      <c r="R4745" s="2" t="str">
        <f>HYPERLINK("https://www.google.com/maps?q=-20.1646190,-44.9217770","Abrir no Google Maps")</f>
        <v>Abrir no Google Maps</v>
      </c>
      <c r="S4745">
        <v>2</v>
      </c>
      <c r="T4745">
        <v>835.70698013544222</v>
      </c>
      <c r="U4745">
        <v>1</v>
      </c>
      <c r="V4745">
        <v>0.1135190918472652</v>
      </c>
      <c r="W4745">
        <v>0.85</v>
      </c>
      <c r="X4745">
        <v>9.6491228070175419E-2</v>
      </c>
      <c r="Y4745">
        <v>639</v>
      </c>
      <c r="Z4745">
        <v>821.59880323911125</v>
      </c>
      <c r="AA4745">
        <v>198</v>
      </c>
      <c r="AB4745">
        <v>332</v>
      </c>
      <c r="AC4745">
        <v>536</v>
      </c>
      <c r="AD4745">
        <v>30.35</v>
      </c>
      <c r="AE4745">
        <v>542</v>
      </c>
      <c r="AF4745">
        <v>37</v>
      </c>
      <c r="AG4745">
        <v>161</v>
      </c>
      <c r="AH4745">
        <v>129</v>
      </c>
      <c r="AI4745">
        <v>6.83</v>
      </c>
      <c r="AJ4745">
        <v>29.7</v>
      </c>
      <c r="AK4745">
        <v>23.8</v>
      </c>
      <c r="AL4745">
        <v>-20.164312499999969</v>
      </c>
      <c r="AM4745">
        <v>-44.921945691824099</v>
      </c>
      <c r="AN4745">
        <v>-20.164312499999969</v>
      </c>
      <c r="AO4745">
        <v>-44.921945691824099</v>
      </c>
      <c r="AP4745">
        <v>-20.164618999999998</v>
      </c>
      <c r="AQ4745">
        <v>-44.921776999999999</v>
      </c>
      <c r="AR4745">
        <v>38.404224975746608</v>
      </c>
      <c r="AS4745" t="s">
        <v>65</v>
      </c>
      <c r="AT4745">
        <v>1</v>
      </c>
      <c r="AU4745" t="s">
        <v>1539</v>
      </c>
      <c r="AV4745" t="s">
        <v>1540</v>
      </c>
      <c r="AW4745" t="s">
        <v>60</v>
      </c>
      <c r="AX4745" t="s">
        <v>68</v>
      </c>
      <c r="AY4745" t="s">
        <v>69</v>
      </c>
      <c r="AZ4745" t="b">
        <v>1</v>
      </c>
    </row>
    <row r="4746" spans="1:52" x14ac:dyDescent="0.3">
      <c r="A4746" t="s">
        <v>52</v>
      </c>
      <c r="B4746" t="s">
        <v>53</v>
      </c>
      <c r="C4746" t="s">
        <v>54</v>
      </c>
      <c r="D4746" t="s">
        <v>55</v>
      </c>
      <c r="E4746" t="s">
        <v>2223</v>
      </c>
      <c r="F4746" t="s">
        <v>1247</v>
      </c>
      <c r="G4746" t="s">
        <v>1559</v>
      </c>
      <c r="H4746" t="s">
        <v>1560</v>
      </c>
      <c r="I4746" t="s">
        <v>1560</v>
      </c>
      <c r="J4746" t="s">
        <v>60</v>
      </c>
      <c r="K4746" t="s">
        <v>61</v>
      </c>
      <c r="L4746" t="s">
        <v>62</v>
      </c>
      <c r="M4746" t="s">
        <v>61</v>
      </c>
      <c r="N4746" t="s">
        <v>1561</v>
      </c>
      <c r="O4746" t="s">
        <v>1562</v>
      </c>
      <c r="P4746">
        <v>-20.154959000000002</v>
      </c>
      <c r="Q4746">
        <v>-44.91525</v>
      </c>
      <c r="R4746" s="2" t="str">
        <f>HYPERLINK("https://www.google.com/maps?q=-20.1549590,-44.9152500","Abrir no Google Maps")</f>
        <v>Abrir no Google Maps</v>
      </c>
      <c r="S4746">
        <v>2</v>
      </c>
      <c r="T4746">
        <v>738.36411213380245</v>
      </c>
      <c r="U4746">
        <v>1</v>
      </c>
      <c r="V4746">
        <v>0</v>
      </c>
      <c r="W4746">
        <v>0.85</v>
      </c>
      <c r="X4746">
        <v>0</v>
      </c>
      <c r="Y4746">
        <v>639</v>
      </c>
      <c r="Z4746">
        <v>860.82840850294542</v>
      </c>
      <c r="AA4746">
        <v>198</v>
      </c>
      <c r="AB4746">
        <v>332</v>
      </c>
      <c r="AC4746">
        <v>536</v>
      </c>
      <c r="AD4746">
        <v>30.35</v>
      </c>
      <c r="AE4746">
        <v>542</v>
      </c>
      <c r="AF4746">
        <v>37</v>
      </c>
      <c r="AG4746">
        <v>161</v>
      </c>
      <c r="AH4746">
        <v>129</v>
      </c>
      <c r="AI4746">
        <v>6.83</v>
      </c>
      <c r="AJ4746">
        <v>29.7</v>
      </c>
      <c r="AK4746">
        <v>23.8</v>
      </c>
      <c r="AL4746">
        <v>-20.154629849999939</v>
      </c>
      <c r="AM4746">
        <v>-44.914951620624052</v>
      </c>
      <c r="AN4746">
        <v>-20.154629849999939</v>
      </c>
      <c r="AO4746">
        <v>-44.914951620624052</v>
      </c>
      <c r="AP4746">
        <v>-20.154959000000002</v>
      </c>
      <c r="AQ4746">
        <v>-44.91525</v>
      </c>
      <c r="AR4746">
        <v>48.11297170616912</v>
      </c>
      <c r="AS4746" t="s">
        <v>65</v>
      </c>
      <c r="AT4746">
        <v>1</v>
      </c>
      <c r="AU4746" t="s">
        <v>1563</v>
      </c>
      <c r="AV4746" t="s">
        <v>1564</v>
      </c>
      <c r="AW4746" t="s">
        <v>60</v>
      </c>
      <c r="AX4746" t="s">
        <v>68</v>
      </c>
      <c r="AY4746" t="s">
        <v>69</v>
      </c>
      <c r="AZ4746" t="b">
        <v>1</v>
      </c>
    </row>
    <row r="4747" spans="1:52" x14ac:dyDescent="0.3">
      <c r="A4747" t="s">
        <v>52</v>
      </c>
      <c r="B4747" t="s">
        <v>53</v>
      </c>
      <c r="C4747" t="s">
        <v>54</v>
      </c>
      <c r="D4747" t="s">
        <v>55</v>
      </c>
      <c r="E4747" t="s">
        <v>2223</v>
      </c>
      <c r="F4747" t="s">
        <v>1247</v>
      </c>
      <c r="G4747" t="s">
        <v>631</v>
      </c>
      <c r="H4747" t="s">
        <v>1565</v>
      </c>
      <c r="I4747" t="s">
        <v>1565</v>
      </c>
      <c r="J4747" t="s">
        <v>60</v>
      </c>
      <c r="K4747" t="s">
        <v>530</v>
      </c>
      <c r="L4747" t="s">
        <v>62</v>
      </c>
      <c r="M4747" t="s">
        <v>530</v>
      </c>
      <c r="N4747" t="s">
        <v>633</v>
      </c>
      <c r="O4747" t="s">
        <v>1566</v>
      </c>
      <c r="P4747">
        <v>-20.143915</v>
      </c>
      <c r="Q4747">
        <v>-44.8947</v>
      </c>
      <c r="R4747" s="2" t="str">
        <f>HYPERLINK("https://www.google.com/maps?q=-20.1439150,-44.8947000","Abrir no Google Maps")</f>
        <v>Abrir no Google Maps</v>
      </c>
      <c r="S4747">
        <v>1</v>
      </c>
      <c r="T4747">
        <v>327.74435325417051</v>
      </c>
      <c r="U4747">
        <v>4</v>
      </c>
      <c r="V4747">
        <v>0.14357946554149081</v>
      </c>
      <c r="W4747">
        <v>1</v>
      </c>
      <c r="X4747">
        <v>0.14357946554149081</v>
      </c>
      <c r="Y4747">
        <v>602</v>
      </c>
      <c r="Z4747">
        <v>236.41345279429891</v>
      </c>
      <c r="AA4747">
        <v>198</v>
      </c>
      <c r="AB4747">
        <v>332</v>
      </c>
      <c r="AC4747">
        <v>536</v>
      </c>
      <c r="AD4747">
        <v>30.35</v>
      </c>
      <c r="AE4747">
        <v>542</v>
      </c>
      <c r="AF4747">
        <v>37</v>
      </c>
      <c r="AG4747">
        <v>161</v>
      </c>
      <c r="AH4747">
        <v>129</v>
      </c>
      <c r="AI4747">
        <v>6.83</v>
      </c>
      <c r="AJ4747">
        <v>29.7</v>
      </c>
      <c r="AK4747">
        <v>23.8</v>
      </c>
      <c r="AL4747">
        <v>-20.143900549999959</v>
      </c>
      <c r="AM4747">
        <v>-44.894835636584318</v>
      </c>
      <c r="AN4747">
        <v>-20.143900549999959</v>
      </c>
      <c r="AO4747">
        <v>-44.894835636584318</v>
      </c>
      <c r="AP4747">
        <v>-20.143915</v>
      </c>
      <c r="AQ4747">
        <v>-44.8947</v>
      </c>
      <c r="AR4747">
        <v>14.266440053785869</v>
      </c>
      <c r="AS4747" t="s">
        <v>65</v>
      </c>
      <c r="AT4747">
        <v>1</v>
      </c>
      <c r="AU4747" t="s">
        <v>1567</v>
      </c>
      <c r="AV4747" t="s">
        <v>1568</v>
      </c>
      <c r="AW4747" t="s">
        <v>60</v>
      </c>
      <c r="AX4747" t="s">
        <v>68</v>
      </c>
      <c r="AY4747" t="s">
        <v>69</v>
      </c>
      <c r="AZ4747" t="b">
        <v>1</v>
      </c>
    </row>
    <row r="4748" spans="1:52" x14ac:dyDescent="0.3">
      <c r="A4748" t="s">
        <v>52</v>
      </c>
      <c r="B4748" t="s">
        <v>53</v>
      </c>
      <c r="C4748" t="s">
        <v>54</v>
      </c>
      <c r="D4748" t="s">
        <v>55</v>
      </c>
      <c r="E4748" t="s">
        <v>2223</v>
      </c>
      <c r="F4748" t="s">
        <v>1247</v>
      </c>
      <c r="G4748" t="s">
        <v>1569</v>
      </c>
      <c r="H4748" t="s">
        <v>1570</v>
      </c>
      <c r="I4748" t="s">
        <v>1570</v>
      </c>
      <c r="J4748" t="s">
        <v>60</v>
      </c>
      <c r="K4748" t="s">
        <v>530</v>
      </c>
      <c r="L4748" t="s">
        <v>62</v>
      </c>
      <c r="M4748" t="s">
        <v>530</v>
      </c>
      <c r="N4748" t="s">
        <v>1571</v>
      </c>
      <c r="O4748" t="s">
        <v>598</v>
      </c>
      <c r="P4748">
        <v>-20.146418000000001</v>
      </c>
      <c r="Q4748">
        <v>-44.893861999999999</v>
      </c>
      <c r="R4748" s="2" t="str">
        <f>HYPERLINK("https://www.google.com/maps?q=-20.1464180,-44.8938620","Abrir no Google Maps")</f>
        <v>Abrir no Google Maps</v>
      </c>
      <c r="S4748">
        <v>1</v>
      </c>
      <c r="T4748">
        <v>0</v>
      </c>
      <c r="U4748">
        <v>4</v>
      </c>
      <c r="V4748">
        <v>0.144079101833472</v>
      </c>
      <c r="W4748">
        <v>0.85</v>
      </c>
      <c r="X4748">
        <v>0.1224672365584512</v>
      </c>
      <c r="Y4748">
        <v>602</v>
      </c>
      <c r="Z4748">
        <v>124.5475134899211</v>
      </c>
      <c r="AA4748">
        <v>198</v>
      </c>
      <c r="AB4748">
        <v>332</v>
      </c>
      <c r="AC4748">
        <v>536</v>
      </c>
      <c r="AD4748">
        <v>30.35</v>
      </c>
      <c r="AE4748">
        <v>542</v>
      </c>
      <c r="AF4748">
        <v>37</v>
      </c>
      <c r="AG4748">
        <v>161</v>
      </c>
      <c r="AH4748">
        <v>129</v>
      </c>
      <c r="AI4748">
        <v>6.83</v>
      </c>
      <c r="AJ4748">
        <v>29.7</v>
      </c>
      <c r="AK4748">
        <v>23.8</v>
      </c>
      <c r="AL4748">
        <v>-20.146753399999941</v>
      </c>
      <c r="AM4748">
        <v>-44.893993355901941</v>
      </c>
      <c r="AN4748">
        <v>-20.146753399999941</v>
      </c>
      <c r="AO4748">
        <v>-44.893993355901941</v>
      </c>
      <c r="AP4748">
        <v>-20.146418000000001</v>
      </c>
      <c r="AQ4748">
        <v>-44.893861999999999</v>
      </c>
      <c r="AR4748">
        <v>39.780457157851913</v>
      </c>
      <c r="AS4748" t="s">
        <v>65</v>
      </c>
      <c r="AT4748">
        <v>1</v>
      </c>
      <c r="AU4748" t="s">
        <v>1572</v>
      </c>
      <c r="AV4748" t="s">
        <v>1573</v>
      </c>
      <c r="AW4748" t="s">
        <v>60</v>
      </c>
      <c r="AX4748" t="s">
        <v>68</v>
      </c>
      <c r="AY4748" t="s">
        <v>69</v>
      </c>
      <c r="AZ4748" t="b">
        <v>1</v>
      </c>
    </row>
    <row r="4749" spans="1:52" x14ac:dyDescent="0.3">
      <c r="A4749" t="s">
        <v>52</v>
      </c>
      <c r="B4749" t="s">
        <v>53</v>
      </c>
      <c r="C4749" t="s">
        <v>54</v>
      </c>
      <c r="D4749" t="s">
        <v>55</v>
      </c>
      <c r="E4749" t="s">
        <v>2223</v>
      </c>
      <c r="F4749" t="s">
        <v>1247</v>
      </c>
      <c r="G4749" t="s">
        <v>1569</v>
      </c>
      <c r="H4749" t="s">
        <v>1574</v>
      </c>
      <c r="I4749" t="s">
        <v>1574</v>
      </c>
      <c r="J4749" t="s">
        <v>60</v>
      </c>
      <c r="K4749" t="s">
        <v>530</v>
      </c>
      <c r="L4749" t="s">
        <v>62</v>
      </c>
      <c r="M4749" t="s">
        <v>530</v>
      </c>
      <c r="N4749" t="s">
        <v>1571</v>
      </c>
      <c r="O4749" t="s">
        <v>1575</v>
      </c>
      <c r="P4749">
        <v>-20.14554</v>
      </c>
      <c r="Q4749">
        <v>-44.895606000000001</v>
      </c>
      <c r="R4749" s="2" t="str">
        <f>HYPERLINK("https://www.google.com/maps?q=-20.1455400,-44.8956060","Abrir no Google Maps")</f>
        <v>Abrir no Google Maps</v>
      </c>
      <c r="S4749">
        <v>1</v>
      </c>
      <c r="T4749">
        <v>218.66647838959381</v>
      </c>
      <c r="U4749">
        <v>4</v>
      </c>
      <c r="V4749">
        <v>0.13099999999999989</v>
      </c>
      <c r="W4749">
        <v>1</v>
      </c>
      <c r="X4749">
        <v>0.13099999999999989</v>
      </c>
      <c r="Y4749">
        <v>602</v>
      </c>
      <c r="Z4749">
        <v>263.6501043391637</v>
      </c>
      <c r="AA4749">
        <v>198</v>
      </c>
      <c r="AB4749">
        <v>332</v>
      </c>
      <c r="AC4749">
        <v>536</v>
      </c>
      <c r="AD4749">
        <v>30.35</v>
      </c>
      <c r="AE4749">
        <v>542</v>
      </c>
      <c r="AF4749">
        <v>37</v>
      </c>
      <c r="AG4749">
        <v>161</v>
      </c>
      <c r="AH4749">
        <v>129</v>
      </c>
      <c r="AI4749">
        <v>6.83</v>
      </c>
      <c r="AJ4749">
        <v>29.7</v>
      </c>
      <c r="AK4749">
        <v>23.8</v>
      </c>
      <c r="AL4749">
        <v>-20.145504749999962</v>
      </c>
      <c r="AM4749">
        <v>-44.89561499588882</v>
      </c>
      <c r="AN4749">
        <v>-20.145504749999962</v>
      </c>
      <c r="AO4749">
        <v>-44.89561499588882</v>
      </c>
      <c r="AP4749">
        <v>-20.14554</v>
      </c>
      <c r="AQ4749">
        <v>-44.895606000000001</v>
      </c>
      <c r="AR4749">
        <v>4.0350843151508604</v>
      </c>
      <c r="AS4749" t="s">
        <v>65</v>
      </c>
      <c r="AT4749">
        <v>1</v>
      </c>
      <c r="AU4749" t="s">
        <v>1576</v>
      </c>
      <c r="AV4749" t="s">
        <v>1577</v>
      </c>
      <c r="AW4749" t="s">
        <v>60</v>
      </c>
      <c r="AX4749" t="s">
        <v>68</v>
      </c>
      <c r="AY4749" t="s">
        <v>69</v>
      </c>
      <c r="AZ4749" t="b">
        <v>1</v>
      </c>
    </row>
    <row r="4750" spans="1:52" x14ac:dyDescent="0.3">
      <c r="A4750" t="s">
        <v>52</v>
      </c>
      <c r="B4750" t="s">
        <v>53</v>
      </c>
      <c r="C4750" t="s">
        <v>54</v>
      </c>
      <c r="D4750" t="s">
        <v>55</v>
      </c>
      <c r="E4750" t="s">
        <v>2223</v>
      </c>
      <c r="F4750" t="s">
        <v>1247</v>
      </c>
      <c r="G4750" t="s">
        <v>1578</v>
      </c>
      <c r="H4750" t="s">
        <v>1579</v>
      </c>
      <c r="I4750" t="s">
        <v>1579</v>
      </c>
      <c r="J4750" t="s">
        <v>60</v>
      </c>
      <c r="K4750" t="s">
        <v>530</v>
      </c>
      <c r="L4750" t="s">
        <v>62</v>
      </c>
      <c r="M4750" t="s">
        <v>530</v>
      </c>
      <c r="N4750" t="s">
        <v>1580</v>
      </c>
      <c r="O4750" t="s">
        <v>1581</v>
      </c>
      <c r="P4750">
        <v>-20.143713999999999</v>
      </c>
      <c r="Q4750">
        <v>-44.897387999999999</v>
      </c>
      <c r="R4750" s="2" t="str">
        <f>HYPERLINK("https://www.google.com/maps?q=-20.1437140,-44.8973880","Abrir no Google Maps")</f>
        <v>Abrir no Google Maps</v>
      </c>
      <c r="S4750">
        <v>1</v>
      </c>
      <c r="T4750">
        <v>354.74438118735611</v>
      </c>
      <c r="U4750">
        <v>4</v>
      </c>
      <c r="V4750">
        <v>0.15044279663648441</v>
      </c>
      <c r="W4750">
        <v>1</v>
      </c>
      <c r="X4750">
        <v>0.15044279663648441</v>
      </c>
      <c r="Y4750">
        <v>588</v>
      </c>
      <c r="Z4750">
        <v>336.29881064197872</v>
      </c>
      <c r="AA4750">
        <v>198</v>
      </c>
      <c r="AB4750">
        <v>332</v>
      </c>
      <c r="AC4750">
        <v>536</v>
      </c>
      <c r="AD4750">
        <v>30.35</v>
      </c>
      <c r="AE4750">
        <v>542</v>
      </c>
      <c r="AF4750">
        <v>37</v>
      </c>
      <c r="AG4750">
        <v>161</v>
      </c>
      <c r="AH4750">
        <v>129</v>
      </c>
      <c r="AI4750">
        <v>6.83</v>
      </c>
      <c r="AJ4750">
        <v>29.7</v>
      </c>
      <c r="AK4750">
        <v>23.8</v>
      </c>
      <c r="AL4750">
        <v>-20.14371329999997</v>
      </c>
      <c r="AM4750">
        <v>-44.897384604125257</v>
      </c>
      <c r="AN4750">
        <v>-20.14371329999997</v>
      </c>
      <c r="AO4750">
        <v>-44.897384604125257</v>
      </c>
      <c r="AP4750">
        <v>-20.143713999999999</v>
      </c>
      <c r="AQ4750">
        <v>-44.897387999999999</v>
      </c>
      <c r="AR4750">
        <v>0.36335934693921551</v>
      </c>
      <c r="AS4750" t="s">
        <v>65</v>
      </c>
      <c r="AT4750">
        <v>1</v>
      </c>
      <c r="AU4750" t="s">
        <v>1582</v>
      </c>
      <c r="AV4750" t="s">
        <v>1583</v>
      </c>
      <c r="AW4750" t="s">
        <v>60</v>
      </c>
      <c r="AX4750" t="s">
        <v>68</v>
      </c>
      <c r="AY4750" t="s">
        <v>69</v>
      </c>
      <c r="AZ4750" t="b">
        <v>1</v>
      </c>
    </row>
    <row r="4751" spans="1:52" x14ac:dyDescent="0.3">
      <c r="A4751" t="s">
        <v>52</v>
      </c>
      <c r="B4751" t="s">
        <v>53</v>
      </c>
      <c r="C4751" t="s">
        <v>54</v>
      </c>
      <c r="D4751" t="s">
        <v>55</v>
      </c>
      <c r="E4751" t="s">
        <v>2223</v>
      </c>
      <c r="F4751" t="s">
        <v>1247</v>
      </c>
      <c r="G4751" t="s">
        <v>1584</v>
      </c>
      <c r="H4751" t="s">
        <v>1604</v>
      </c>
      <c r="I4751" t="s">
        <v>1604</v>
      </c>
      <c r="J4751" t="s">
        <v>60</v>
      </c>
      <c r="K4751" t="s">
        <v>530</v>
      </c>
      <c r="L4751" t="s">
        <v>62</v>
      </c>
      <c r="M4751" t="s">
        <v>530</v>
      </c>
      <c r="N4751" t="s">
        <v>406</v>
      </c>
      <c r="O4751" t="s">
        <v>1267</v>
      </c>
      <c r="P4751">
        <v>-20.147068000000001</v>
      </c>
      <c r="Q4751">
        <v>-44.898629999999997</v>
      </c>
      <c r="R4751" s="2" t="str">
        <f>HYPERLINK("https://www.google.com/maps?q=-20.1470680,-44.8986300","Abrir no Google Maps")</f>
        <v>Abrir no Google Maps</v>
      </c>
      <c r="S4751">
        <v>1</v>
      </c>
      <c r="T4751">
        <v>468.5580266389448</v>
      </c>
      <c r="U4751">
        <v>4</v>
      </c>
      <c r="V4751">
        <v>0.13157874538518799</v>
      </c>
      <c r="W4751">
        <v>1</v>
      </c>
      <c r="X4751">
        <v>0.13157874538518799</v>
      </c>
      <c r="Y4751">
        <v>556</v>
      </c>
      <c r="Z4751">
        <v>447.77738134922419</v>
      </c>
      <c r="AA4751">
        <v>198</v>
      </c>
      <c r="AB4751">
        <v>332</v>
      </c>
      <c r="AC4751">
        <v>536</v>
      </c>
      <c r="AD4751">
        <v>30.35</v>
      </c>
      <c r="AE4751">
        <v>542</v>
      </c>
      <c r="AF4751">
        <v>37</v>
      </c>
      <c r="AG4751">
        <v>161</v>
      </c>
      <c r="AH4751">
        <v>129</v>
      </c>
      <c r="AI4751">
        <v>6.83</v>
      </c>
      <c r="AJ4751">
        <v>29.7</v>
      </c>
      <c r="AK4751">
        <v>23.8</v>
      </c>
      <c r="AL4751">
        <v>-20.14701759999997</v>
      </c>
      <c r="AM4751">
        <v>-44.898633710342303</v>
      </c>
      <c r="AN4751">
        <v>-20.14701759999997</v>
      </c>
      <c r="AO4751">
        <v>-44.898633710342303</v>
      </c>
      <c r="AP4751">
        <v>-20.147068000000001</v>
      </c>
      <c r="AQ4751">
        <v>-44.898629999999997</v>
      </c>
      <c r="AR4751">
        <v>5.6239118246064832</v>
      </c>
      <c r="AS4751" t="s">
        <v>65</v>
      </c>
      <c r="AT4751">
        <v>1</v>
      </c>
      <c r="AU4751" t="s">
        <v>1605</v>
      </c>
      <c r="AV4751" t="s">
        <v>1606</v>
      </c>
      <c r="AW4751" t="s">
        <v>60</v>
      </c>
      <c r="AX4751" t="s">
        <v>68</v>
      </c>
      <c r="AY4751" t="s">
        <v>69</v>
      </c>
      <c r="AZ4751" t="b">
        <v>1</v>
      </c>
    </row>
    <row r="4752" spans="1:52" x14ac:dyDescent="0.3">
      <c r="A4752" t="s">
        <v>52</v>
      </c>
      <c r="B4752" t="s">
        <v>53</v>
      </c>
      <c r="C4752" t="s">
        <v>54</v>
      </c>
      <c r="D4752" t="s">
        <v>55</v>
      </c>
      <c r="E4752" t="s">
        <v>2223</v>
      </c>
      <c r="F4752" t="s">
        <v>1247</v>
      </c>
      <c r="G4752" t="s">
        <v>1607</v>
      </c>
      <c r="H4752" t="s">
        <v>1608</v>
      </c>
      <c r="I4752" t="s">
        <v>1608</v>
      </c>
      <c r="J4752" t="s">
        <v>60</v>
      </c>
      <c r="K4752" t="s">
        <v>1486</v>
      </c>
      <c r="L4752" t="s">
        <v>62</v>
      </c>
      <c r="M4752" t="s">
        <v>1486</v>
      </c>
      <c r="N4752" t="s">
        <v>1609</v>
      </c>
      <c r="O4752" t="s">
        <v>1255</v>
      </c>
      <c r="P4752">
        <v>-20.157689000000001</v>
      </c>
      <c r="Q4752">
        <v>-44.883887000000001</v>
      </c>
      <c r="R4752" s="2" t="str">
        <f>HYPERLINK("https://www.google.com/maps?q=-20.1576890,-44.8838870","Abrir no Google Maps")</f>
        <v>Abrir no Google Maps</v>
      </c>
      <c r="S4752">
        <v>1</v>
      </c>
      <c r="T4752">
        <v>603.38424821205774</v>
      </c>
      <c r="U4752">
        <v>3</v>
      </c>
      <c r="V4752">
        <v>0.12064422670215839</v>
      </c>
      <c r="W4752">
        <v>1</v>
      </c>
      <c r="X4752">
        <v>0.12064422670215839</v>
      </c>
      <c r="Y4752">
        <v>671</v>
      </c>
      <c r="Z4752">
        <v>682.48636898467089</v>
      </c>
      <c r="AA4752">
        <v>198</v>
      </c>
      <c r="AB4752">
        <v>332</v>
      </c>
      <c r="AC4752">
        <v>536</v>
      </c>
      <c r="AD4752">
        <v>30.35</v>
      </c>
      <c r="AE4752">
        <v>542</v>
      </c>
      <c r="AF4752">
        <v>37</v>
      </c>
      <c r="AG4752">
        <v>161</v>
      </c>
      <c r="AH4752">
        <v>129</v>
      </c>
      <c r="AI4752">
        <v>6.83</v>
      </c>
      <c r="AJ4752">
        <v>29.7</v>
      </c>
      <c r="AK4752">
        <v>23.8</v>
      </c>
      <c r="AL4752">
        <v>-20.157732249999949</v>
      </c>
      <c r="AM4752">
        <v>-44.883829923283272</v>
      </c>
      <c r="AN4752">
        <v>-20.157732249999949</v>
      </c>
      <c r="AO4752">
        <v>-44.883829923283272</v>
      </c>
      <c r="AP4752">
        <v>-20.157689000000001</v>
      </c>
      <c r="AQ4752">
        <v>-44.883887000000001</v>
      </c>
      <c r="AR4752">
        <v>7.6652901074925257</v>
      </c>
      <c r="AS4752" t="s">
        <v>65</v>
      </c>
      <c r="AT4752">
        <v>1</v>
      </c>
      <c r="AU4752" t="s">
        <v>1610</v>
      </c>
      <c r="AV4752" t="s">
        <v>1611</v>
      </c>
      <c r="AW4752" t="s">
        <v>60</v>
      </c>
      <c r="AX4752" t="s">
        <v>68</v>
      </c>
      <c r="AY4752" t="s">
        <v>69</v>
      </c>
      <c r="AZ4752" t="b">
        <v>1</v>
      </c>
    </row>
    <row r="4753" spans="1:52" x14ac:dyDescent="0.3">
      <c r="A4753" t="s">
        <v>52</v>
      </c>
      <c r="B4753" t="s">
        <v>53</v>
      </c>
      <c r="C4753" t="s">
        <v>54</v>
      </c>
      <c r="D4753" t="s">
        <v>55</v>
      </c>
      <c r="E4753" t="s">
        <v>2223</v>
      </c>
      <c r="F4753" t="s">
        <v>1247</v>
      </c>
      <c r="G4753" t="s">
        <v>1584</v>
      </c>
      <c r="H4753" t="s">
        <v>1585</v>
      </c>
      <c r="I4753" t="s">
        <v>1585</v>
      </c>
      <c r="J4753" t="s">
        <v>60</v>
      </c>
      <c r="K4753" t="s">
        <v>530</v>
      </c>
      <c r="L4753" t="s">
        <v>62</v>
      </c>
      <c r="M4753" t="s">
        <v>530</v>
      </c>
      <c r="N4753" t="s">
        <v>406</v>
      </c>
      <c r="O4753" t="s">
        <v>1586</v>
      </c>
      <c r="P4753">
        <v>-20.141316</v>
      </c>
      <c r="Q4753">
        <v>-44.896424000000003</v>
      </c>
      <c r="R4753" s="2" t="str">
        <f>HYPERLINK("https://www.google.com/maps?q=-20.1413160,-44.8964240","Abrir no Google Maps")</f>
        <v>Abrir no Google Maps</v>
      </c>
      <c r="S4753">
        <v>1</v>
      </c>
      <c r="T4753">
        <v>236.6687095166524</v>
      </c>
      <c r="U4753">
        <v>3</v>
      </c>
      <c r="V4753">
        <v>0.1194179333097679</v>
      </c>
      <c r="W4753">
        <v>1</v>
      </c>
      <c r="X4753">
        <v>0.1194179333097679</v>
      </c>
      <c r="Y4753">
        <v>588</v>
      </c>
      <c r="Z4753">
        <v>255.50729797374251</v>
      </c>
      <c r="AA4753">
        <v>198</v>
      </c>
      <c r="AB4753">
        <v>332</v>
      </c>
      <c r="AC4753">
        <v>536</v>
      </c>
      <c r="AD4753">
        <v>30.35</v>
      </c>
      <c r="AE4753">
        <v>542</v>
      </c>
      <c r="AF4753">
        <v>37</v>
      </c>
      <c r="AG4753">
        <v>161</v>
      </c>
      <c r="AH4753">
        <v>129</v>
      </c>
      <c r="AI4753">
        <v>6.83</v>
      </c>
      <c r="AJ4753">
        <v>29.7</v>
      </c>
      <c r="AK4753">
        <v>23.8</v>
      </c>
      <c r="AL4753">
        <v>-20.141468299999961</v>
      </c>
      <c r="AM4753">
        <v>-44.896566678331098</v>
      </c>
      <c r="AN4753">
        <v>-20.141468299999961</v>
      </c>
      <c r="AO4753">
        <v>-44.896566678331098</v>
      </c>
      <c r="AP4753">
        <v>-20.141316</v>
      </c>
      <c r="AQ4753">
        <v>-44.896424000000003</v>
      </c>
      <c r="AR4753">
        <v>22.578666373759301</v>
      </c>
      <c r="AS4753" t="s">
        <v>65</v>
      </c>
      <c r="AT4753">
        <v>1</v>
      </c>
      <c r="AU4753" t="s">
        <v>1587</v>
      </c>
      <c r="AV4753" t="s">
        <v>1588</v>
      </c>
      <c r="AW4753" t="s">
        <v>60</v>
      </c>
      <c r="AX4753" t="s">
        <v>68</v>
      </c>
      <c r="AY4753" t="s">
        <v>69</v>
      </c>
      <c r="AZ4753" t="b">
        <v>1</v>
      </c>
    </row>
    <row r="4754" spans="1:52" x14ac:dyDescent="0.3">
      <c r="A4754" t="s">
        <v>52</v>
      </c>
      <c r="B4754" t="s">
        <v>53</v>
      </c>
      <c r="C4754" t="s">
        <v>54</v>
      </c>
      <c r="D4754" t="s">
        <v>55</v>
      </c>
      <c r="E4754" t="s">
        <v>2223</v>
      </c>
      <c r="F4754" t="s">
        <v>1247</v>
      </c>
      <c r="G4754" t="s">
        <v>1589</v>
      </c>
      <c r="H4754" t="s">
        <v>1590</v>
      </c>
      <c r="I4754" t="s">
        <v>1590</v>
      </c>
      <c r="J4754" t="s">
        <v>60</v>
      </c>
      <c r="K4754" t="s">
        <v>1591</v>
      </c>
      <c r="L4754" t="s">
        <v>62</v>
      </c>
      <c r="M4754" t="s">
        <v>1591</v>
      </c>
      <c r="N4754" t="s">
        <v>1592</v>
      </c>
      <c r="O4754" t="s">
        <v>659</v>
      </c>
      <c r="P4754">
        <v>-20.140789000000002</v>
      </c>
      <c r="Q4754">
        <v>-44.898631000000002</v>
      </c>
      <c r="R4754" s="2" t="str">
        <f>HYPERLINK("https://www.google.com/maps?q=-20.1407890,-44.8986310","Abrir no Google Maps")</f>
        <v>Abrir no Google Maps</v>
      </c>
      <c r="S4754">
        <v>1</v>
      </c>
      <c r="T4754">
        <v>0</v>
      </c>
      <c r="U4754">
        <v>3</v>
      </c>
      <c r="V4754">
        <v>0.11586627579248319</v>
      </c>
      <c r="W4754">
        <v>1</v>
      </c>
      <c r="X4754">
        <v>0.11586627579248319</v>
      </c>
      <c r="Y4754">
        <v>588</v>
      </c>
      <c r="Z4754">
        <v>51.152636251897107</v>
      </c>
      <c r="AA4754">
        <v>198</v>
      </c>
      <c r="AB4754">
        <v>332</v>
      </c>
      <c r="AC4754">
        <v>536</v>
      </c>
      <c r="AD4754">
        <v>30.35</v>
      </c>
      <c r="AE4754">
        <v>542</v>
      </c>
      <c r="AF4754">
        <v>37</v>
      </c>
      <c r="AG4754">
        <v>161</v>
      </c>
      <c r="AH4754">
        <v>129</v>
      </c>
      <c r="AI4754">
        <v>6.83</v>
      </c>
      <c r="AJ4754">
        <v>29.7</v>
      </c>
      <c r="AK4754">
        <v>23.8</v>
      </c>
      <c r="AL4754">
        <v>-20.140759399999951</v>
      </c>
      <c r="AM4754">
        <v>-44.898703172474903</v>
      </c>
      <c r="AN4754">
        <v>-20.140759399999951</v>
      </c>
      <c r="AO4754">
        <v>-44.898703172474903</v>
      </c>
      <c r="AP4754">
        <v>-20.140789000000002</v>
      </c>
      <c r="AQ4754">
        <v>-44.898631000000002</v>
      </c>
      <c r="AR4754">
        <v>8.2312502179962053</v>
      </c>
      <c r="AS4754" t="s">
        <v>65</v>
      </c>
      <c r="AT4754">
        <v>1</v>
      </c>
      <c r="AU4754" t="s">
        <v>1593</v>
      </c>
      <c r="AV4754" t="s">
        <v>1594</v>
      </c>
      <c r="AW4754" t="s">
        <v>60</v>
      </c>
      <c r="AX4754" t="s">
        <v>68</v>
      </c>
      <c r="AY4754" t="s">
        <v>69</v>
      </c>
      <c r="AZ4754" t="b">
        <v>1</v>
      </c>
    </row>
    <row r="4755" spans="1:52" x14ac:dyDescent="0.3">
      <c r="A4755" t="s">
        <v>52</v>
      </c>
      <c r="B4755" t="s">
        <v>53</v>
      </c>
      <c r="C4755" t="s">
        <v>54</v>
      </c>
      <c r="D4755" t="s">
        <v>55</v>
      </c>
      <c r="E4755" t="s">
        <v>2223</v>
      </c>
      <c r="F4755" t="s">
        <v>1247</v>
      </c>
      <c r="G4755" t="s">
        <v>1595</v>
      </c>
      <c r="H4755" t="s">
        <v>1596</v>
      </c>
      <c r="I4755" t="s">
        <v>1596</v>
      </c>
      <c r="J4755" t="s">
        <v>60</v>
      </c>
      <c r="K4755" t="s">
        <v>530</v>
      </c>
      <c r="L4755" t="s">
        <v>62</v>
      </c>
      <c r="M4755" t="s">
        <v>530</v>
      </c>
      <c r="N4755" t="s">
        <v>1006</v>
      </c>
      <c r="O4755" t="s">
        <v>1597</v>
      </c>
      <c r="P4755">
        <v>-20.139135</v>
      </c>
      <c r="Q4755">
        <v>-44.895907000000001</v>
      </c>
      <c r="R4755" s="2" t="str">
        <f>HYPERLINK("https://www.google.com/maps?q=-20.1391350,-44.8959070","Abrir no Google Maps")</f>
        <v>Abrir no Google Maps</v>
      </c>
      <c r="S4755">
        <v>1</v>
      </c>
      <c r="T4755">
        <v>324.98342996447241</v>
      </c>
      <c r="U4755">
        <v>3</v>
      </c>
      <c r="V4755">
        <v>0.1212013224842113</v>
      </c>
      <c r="W4755">
        <v>1</v>
      </c>
      <c r="X4755">
        <v>0.1212013224842113</v>
      </c>
      <c r="Y4755">
        <v>588</v>
      </c>
      <c r="Z4755">
        <v>411.69998599301618</v>
      </c>
      <c r="AA4755">
        <v>198</v>
      </c>
      <c r="AB4755">
        <v>332</v>
      </c>
      <c r="AC4755">
        <v>536</v>
      </c>
      <c r="AD4755">
        <v>30.35</v>
      </c>
      <c r="AE4755">
        <v>542</v>
      </c>
      <c r="AF4755">
        <v>37</v>
      </c>
      <c r="AG4755">
        <v>161</v>
      </c>
      <c r="AH4755">
        <v>129</v>
      </c>
      <c r="AI4755">
        <v>6.83</v>
      </c>
      <c r="AJ4755">
        <v>29.7</v>
      </c>
      <c r="AK4755">
        <v>23.8</v>
      </c>
      <c r="AL4755">
        <v>-20.139299649999941</v>
      </c>
      <c r="AM4755">
        <v>-44.896005009217312</v>
      </c>
      <c r="AN4755">
        <v>-20.139299649999941</v>
      </c>
      <c r="AO4755">
        <v>-44.896005009217312</v>
      </c>
      <c r="AP4755">
        <v>-20.139135</v>
      </c>
      <c r="AQ4755">
        <v>-44.895907000000001</v>
      </c>
      <c r="AR4755">
        <v>20.996943428875841</v>
      </c>
      <c r="AS4755" t="s">
        <v>65</v>
      </c>
      <c r="AT4755">
        <v>1</v>
      </c>
      <c r="AU4755" t="s">
        <v>1598</v>
      </c>
      <c r="AV4755" t="s">
        <v>1599</v>
      </c>
      <c r="AW4755" t="s">
        <v>60</v>
      </c>
      <c r="AX4755" t="s">
        <v>68</v>
      </c>
      <c r="AY4755" t="s">
        <v>69</v>
      </c>
      <c r="AZ4755" t="b">
        <v>1</v>
      </c>
    </row>
    <row r="4756" spans="1:52" x14ac:dyDescent="0.3">
      <c r="A4756" t="s">
        <v>52</v>
      </c>
      <c r="B4756" t="s">
        <v>53</v>
      </c>
      <c r="C4756" t="s">
        <v>54</v>
      </c>
      <c r="D4756" t="s">
        <v>55</v>
      </c>
      <c r="E4756" t="s">
        <v>2223</v>
      </c>
      <c r="F4756" t="s">
        <v>1247</v>
      </c>
      <c r="G4756" t="s">
        <v>1342</v>
      </c>
      <c r="H4756" t="s">
        <v>1600</v>
      </c>
      <c r="I4756" t="s">
        <v>1600</v>
      </c>
      <c r="J4756" t="s">
        <v>60</v>
      </c>
      <c r="K4756" t="s">
        <v>462</v>
      </c>
      <c r="L4756" t="s">
        <v>62</v>
      </c>
      <c r="M4756" t="s">
        <v>462</v>
      </c>
      <c r="N4756" t="s">
        <v>921</v>
      </c>
      <c r="O4756" t="s">
        <v>1601</v>
      </c>
      <c r="P4756">
        <v>-20.140741999999999</v>
      </c>
      <c r="Q4756">
        <v>-44.902729000000001</v>
      </c>
      <c r="R4756" s="2" t="str">
        <f>HYPERLINK("https://www.google.com/maps?q=-20.1407420,-44.9027290","Abrir no Google Maps")</f>
        <v>Abrir no Google Maps</v>
      </c>
      <c r="S4756">
        <v>1</v>
      </c>
      <c r="T4756">
        <v>373.97936588503438</v>
      </c>
      <c r="U4756">
        <v>3</v>
      </c>
      <c r="V4756">
        <v>0.1133059418457648</v>
      </c>
      <c r="W4756">
        <v>1</v>
      </c>
      <c r="X4756">
        <v>0.1133059418457648</v>
      </c>
      <c r="Y4756">
        <v>588</v>
      </c>
      <c r="Z4756">
        <v>427.55758539734131</v>
      </c>
      <c r="AA4756">
        <v>198</v>
      </c>
      <c r="AB4756">
        <v>332</v>
      </c>
      <c r="AC4756">
        <v>536</v>
      </c>
      <c r="AD4756">
        <v>30.35</v>
      </c>
      <c r="AE4756">
        <v>542</v>
      </c>
      <c r="AF4756">
        <v>37</v>
      </c>
      <c r="AG4756">
        <v>161</v>
      </c>
      <c r="AH4756">
        <v>129</v>
      </c>
      <c r="AI4756">
        <v>6.83</v>
      </c>
      <c r="AJ4756">
        <v>29.7</v>
      </c>
      <c r="AK4756">
        <v>23.8</v>
      </c>
      <c r="AL4756">
        <v>-20.140729549999971</v>
      </c>
      <c r="AM4756">
        <v>-44.902779454814521</v>
      </c>
      <c r="AN4756">
        <v>-20.140729549999971</v>
      </c>
      <c r="AO4756">
        <v>-44.902779454814521</v>
      </c>
      <c r="AP4756">
        <v>-20.140741999999999</v>
      </c>
      <c r="AQ4756">
        <v>-44.902729000000001</v>
      </c>
      <c r="AR4756">
        <v>5.4522610212697993</v>
      </c>
      <c r="AS4756" t="s">
        <v>65</v>
      </c>
      <c r="AT4756">
        <v>1</v>
      </c>
      <c r="AU4756" t="s">
        <v>1602</v>
      </c>
      <c r="AV4756" t="s">
        <v>1603</v>
      </c>
      <c r="AW4756" t="s">
        <v>60</v>
      </c>
      <c r="AX4756" t="s">
        <v>68</v>
      </c>
      <c r="AY4756" t="s">
        <v>69</v>
      </c>
      <c r="AZ4756" t="b">
        <v>1</v>
      </c>
    </row>
    <row r="4757" spans="1:52" x14ac:dyDescent="0.3">
      <c r="A4757" t="s">
        <v>52</v>
      </c>
      <c r="B4757" t="s">
        <v>53</v>
      </c>
      <c r="C4757" t="s">
        <v>54</v>
      </c>
      <c r="D4757" t="s">
        <v>55</v>
      </c>
      <c r="E4757" t="s">
        <v>2223</v>
      </c>
      <c r="F4757" t="s">
        <v>1247</v>
      </c>
      <c r="G4757" t="s">
        <v>1612</v>
      </c>
      <c r="H4757" t="s">
        <v>1613</v>
      </c>
      <c r="I4757" t="s">
        <v>1613</v>
      </c>
      <c r="J4757" t="s">
        <v>60</v>
      </c>
      <c r="K4757" t="s">
        <v>1349</v>
      </c>
      <c r="L4757" t="s">
        <v>62</v>
      </c>
      <c r="M4757" t="s">
        <v>1349</v>
      </c>
      <c r="N4757" t="s">
        <v>1614</v>
      </c>
      <c r="O4757" t="s">
        <v>710</v>
      </c>
      <c r="P4757">
        <v>-20.141335999999999</v>
      </c>
      <c r="Q4757">
        <v>-44.901133000000002</v>
      </c>
      <c r="R4757" s="2" t="str">
        <f>HYPERLINK("https://www.google.com/maps?q=-20.1413360,-44.9011330","Abrir no Google Maps")</f>
        <v>Abrir no Google Maps</v>
      </c>
      <c r="S4757">
        <v>1</v>
      </c>
      <c r="T4757">
        <v>257.92927430829218</v>
      </c>
      <c r="U4757">
        <v>3</v>
      </c>
      <c r="V4757">
        <v>0.13230775184798171</v>
      </c>
      <c r="W4757">
        <v>0.85</v>
      </c>
      <c r="X4757">
        <v>0.11246158907078441</v>
      </c>
      <c r="Y4757">
        <v>588</v>
      </c>
      <c r="Z4757">
        <v>252.62617475231269</v>
      </c>
      <c r="AA4757">
        <v>198</v>
      </c>
      <c r="AB4757">
        <v>332</v>
      </c>
      <c r="AC4757">
        <v>536</v>
      </c>
      <c r="AD4757">
        <v>30.35</v>
      </c>
      <c r="AE4757">
        <v>542</v>
      </c>
      <c r="AF4757">
        <v>37</v>
      </c>
      <c r="AG4757">
        <v>161</v>
      </c>
      <c r="AH4757">
        <v>129</v>
      </c>
      <c r="AI4757">
        <v>6.83</v>
      </c>
      <c r="AJ4757">
        <v>29.7</v>
      </c>
      <c r="AK4757">
        <v>23.8</v>
      </c>
      <c r="AL4757">
        <v>-20.141297649999959</v>
      </c>
      <c r="AM4757">
        <v>-44.901104406351408</v>
      </c>
      <c r="AN4757">
        <v>-20.141297649999959</v>
      </c>
      <c r="AO4757">
        <v>-44.901104406351408</v>
      </c>
      <c r="AP4757">
        <v>-20.141335999999999</v>
      </c>
      <c r="AQ4757">
        <v>-44.901133000000002</v>
      </c>
      <c r="AR4757">
        <v>5.211130154459668</v>
      </c>
      <c r="AS4757" t="s">
        <v>65</v>
      </c>
      <c r="AT4757">
        <v>1</v>
      </c>
      <c r="AU4757" t="s">
        <v>1615</v>
      </c>
      <c r="AV4757" t="s">
        <v>1616</v>
      </c>
      <c r="AW4757" t="s">
        <v>60</v>
      </c>
      <c r="AX4757" t="s">
        <v>68</v>
      </c>
      <c r="AY4757" t="s">
        <v>69</v>
      </c>
      <c r="AZ4757" t="b">
        <v>1</v>
      </c>
    </row>
    <row r="4758" spans="1:52" x14ac:dyDescent="0.3">
      <c r="A4758" t="s">
        <v>52</v>
      </c>
      <c r="B4758" t="s">
        <v>53</v>
      </c>
      <c r="C4758" t="s">
        <v>54</v>
      </c>
      <c r="D4758" t="s">
        <v>55</v>
      </c>
      <c r="E4758" t="s">
        <v>2224</v>
      </c>
      <c r="F4758" t="s">
        <v>57</v>
      </c>
      <c r="G4758" t="s">
        <v>1127</v>
      </c>
      <c r="H4758" t="s">
        <v>1270</v>
      </c>
      <c r="I4758" t="s">
        <v>1270</v>
      </c>
      <c r="J4758" t="s">
        <v>60</v>
      </c>
      <c r="K4758" t="s">
        <v>200</v>
      </c>
      <c r="L4758" t="s">
        <v>62</v>
      </c>
      <c r="M4758" t="s">
        <v>200</v>
      </c>
      <c r="N4758" t="s">
        <v>1271</v>
      </c>
      <c r="O4758" t="s">
        <v>315</v>
      </c>
      <c r="P4758">
        <v>-20.123483</v>
      </c>
      <c r="Q4758">
        <v>-44.904159</v>
      </c>
      <c r="R4758" s="2" t="str">
        <f>HYPERLINK("https://www.google.com/maps?q=-20.1234830,-44.9041590","Abrir no Google Maps")</f>
        <v>Abrir no Google Maps</v>
      </c>
      <c r="S4758">
        <v>4</v>
      </c>
      <c r="T4758">
        <v>1046.2792913459141</v>
      </c>
      <c r="U4758">
        <v>4</v>
      </c>
      <c r="V4758">
        <v>0.1875</v>
      </c>
      <c r="W4758">
        <v>0.85</v>
      </c>
      <c r="X4758">
        <v>0.15937499999999999</v>
      </c>
      <c r="Y4758">
        <v>567</v>
      </c>
      <c r="Z4758">
        <v>1072.1273144328541</v>
      </c>
      <c r="AA4758">
        <v>198</v>
      </c>
      <c r="AB4758">
        <v>332</v>
      </c>
      <c r="AC4758">
        <v>536</v>
      </c>
      <c r="AD4758">
        <v>32.42</v>
      </c>
      <c r="AE4758">
        <v>542</v>
      </c>
      <c r="AF4758">
        <v>39</v>
      </c>
      <c r="AG4758">
        <v>173</v>
      </c>
      <c r="AH4758">
        <v>129</v>
      </c>
      <c r="AI4758">
        <v>7.2</v>
      </c>
      <c r="AJ4758">
        <v>31.92</v>
      </c>
      <c r="AK4758">
        <v>23.8</v>
      </c>
      <c r="AL4758">
        <v>-20.12548399999994</v>
      </c>
      <c r="AM4758">
        <v>-44.903913990586467</v>
      </c>
      <c r="AN4758">
        <v>-20.12548399999994</v>
      </c>
      <c r="AO4758">
        <v>-44.903913990586467</v>
      </c>
      <c r="AP4758">
        <v>-20.123483</v>
      </c>
      <c r="AQ4758">
        <v>-44.904159</v>
      </c>
      <c r="AR4758">
        <v>224.218591682908</v>
      </c>
      <c r="AS4758" t="s">
        <v>65</v>
      </c>
      <c r="AT4758">
        <v>1</v>
      </c>
      <c r="AU4758" t="s">
        <v>1272</v>
      </c>
      <c r="AV4758" t="s">
        <v>1273</v>
      </c>
      <c r="AW4758" t="s">
        <v>60</v>
      </c>
      <c r="AX4758" t="s">
        <v>68</v>
      </c>
      <c r="AY4758" t="s">
        <v>69</v>
      </c>
      <c r="AZ4758" t="b">
        <v>1</v>
      </c>
    </row>
    <row r="4759" spans="1:52" x14ac:dyDescent="0.3">
      <c r="A4759" t="s">
        <v>52</v>
      </c>
      <c r="B4759" t="s">
        <v>53</v>
      </c>
      <c r="C4759" t="s">
        <v>54</v>
      </c>
      <c r="D4759" t="s">
        <v>55</v>
      </c>
      <c r="E4759" t="s">
        <v>2224</v>
      </c>
      <c r="F4759" t="s">
        <v>57</v>
      </c>
      <c r="G4759" t="s">
        <v>225</v>
      </c>
      <c r="H4759" t="s">
        <v>226</v>
      </c>
      <c r="I4759" t="s">
        <v>226</v>
      </c>
      <c r="J4759" t="s">
        <v>60</v>
      </c>
      <c r="K4759" t="s">
        <v>227</v>
      </c>
      <c r="L4759" t="s">
        <v>62</v>
      </c>
      <c r="M4759" t="s">
        <v>227</v>
      </c>
      <c r="N4759" t="s">
        <v>228</v>
      </c>
      <c r="O4759" t="s">
        <v>229</v>
      </c>
      <c r="P4759">
        <v>-20.156986</v>
      </c>
      <c r="Q4759">
        <v>-44.857474000000003</v>
      </c>
      <c r="R4759" s="2" t="str">
        <f>HYPERLINK("https://www.google.com/maps?q=-20.1569860,-44.8574740","Abrir no Google Maps")</f>
        <v>Abrir no Google Maps</v>
      </c>
      <c r="S4759">
        <v>4</v>
      </c>
      <c r="T4759">
        <v>270.52797591847911</v>
      </c>
      <c r="U4759">
        <v>4</v>
      </c>
      <c r="V4759">
        <v>0.1378787878787878</v>
      </c>
      <c r="W4759">
        <v>1</v>
      </c>
      <c r="X4759">
        <v>0.1378787878787878</v>
      </c>
      <c r="Y4759">
        <v>518</v>
      </c>
      <c r="Z4759">
        <v>441.86584449256071</v>
      </c>
      <c r="AA4759">
        <v>198</v>
      </c>
      <c r="AB4759">
        <v>332</v>
      </c>
      <c r="AC4759">
        <v>536</v>
      </c>
      <c r="AD4759">
        <v>32.42</v>
      </c>
      <c r="AE4759">
        <v>542</v>
      </c>
      <c r="AF4759">
        <v>39</v>
      </c>
      <c r="AG4759">
        <v>173</v>
      </c>
      <c r="AH4759">
        <v>129</v>
      </c>
      <c r="AI4759">
        <v>7.2</v>
      </c>
      <c r="AJ4759">
        <v>31.92</v>
      </c>
      <c r="AK4759">
        <v>23.8</v>
      </c>
      <c r="AL4759">
        <v>-20.156957249999952</v>
      </c>
      <c r="AM4759">
        <v>-44.857396682659299</v>
      </c>
      <c r="AN4759">
        <v>-20.156957249999952</v>
      </c>
      <c r="AO4759">
        <v>-44.857396682659299</v>
      </c>
      <c r="AP4759">
        <v>-20.156986</v>
      </c>
      <c r="AQ4759">
        <v>-44.857474000000003</v>
      </c>
      <c r="AR4759">
        <v>8.6905800579264607</v>
      </c>
      <c r="AS4759" t="s">
        <v>65</v>
      </c>
      <c r="AT4759">
        <v>1</v>
      </c>
      <c r="AU4759" t="s">
        <v>230</v>
      </c>
      <c r="AV4759" t="s">
        <v>231</v>
      </c>
      <c r="AW4759" t="s">
        <v>60</v>
      </c>
      <c r="AX4759" t="s">
        <v>68</v>
      </c>
      <c r="AY4759" t="s">
        <v>69</v>
      </c>
      <c r="AZ4759" t="b">
        <v>1</v>
      </c>
    </row>
    <row r="4760" spans="1:52" x14ac:dyDescent="0.3">
      <c r="A4760" t="s">
        <v>52</v>
      </c>
      <c r="B4760" t="s">
        <v>53</v>
      </c>
      <c r="C4760" t="s">
        <v>54</v>
      </c>
      <c r="D4760" t="s">
        <v>55</v>
      </c>
      <c r="E4760" t="s">
        <v>2224</v>
      </c>
      <c r="F4760" t="s">
        <v>57</v>
      </c>
      <c r="G4760" t="s">
        <v>1618</v>
      </c>
      <c r="H4760" t="s">
        <v>1619</v>
      </c>
      <c r="I4760" t="s">
        <v>1619</v>
      </c>
      <c r="J4760" t="s">
        <v>60</v>
      </c>
      <c r="K4760" t="s">
        <v>227</v>
      </c>
      <c r="L4760" t="s">
        <v>62</v>
      </c>
      <c r="M4760" t="s">
        <v>227</v>
      </c>
      <c r="N4760" t="s">
        <v>228</v>
      </c>
      <c r="O4760" t="s">
        <v>1620</v>
      </c>
      <c r="P4760">
        <v>-20.159497999999999</v>
      </c>
      <c r="Q4760">
        <v>-44.852925999999997</v>
      </c>
      <c r="R4760" s="2" t="str">
        <f>HYPERLINK("https://www.google.com/maps?q=-20.1594980,-44.8529260","Abrir no Google Maps")</f>
        <v>Abrir no Google Maps</v>
      </c>
      <c r="S4760">
        <v>4</v>
      </c>
      <c r="T4760">
        <v>560.11627509727657</v>
      </c>
      <c r="U4760">
        <v>4</v>
      </c>
      <c r="V4760">
        <v>0.15528634361233479</v>
      </c>
      <c r="W4760">
        <v>1</v>
      </c>
      <c r="X4760">
        <v>0.15528634361233479</v>
      </c>
      <c r="Y4760">
        <v>491</v>
      </c>
      <c r="Z4760">
        <v>609.25494989442086</v>
      </c>
      <c r="AA4760">
        <v>198</v>
      </c>
      <c r="AB4760">
        <v>332</v>
      </c>
      <c r="AC4760">
        <v>536</v>
      </c>
      <c r="AD4760">
        <v>32.42</v>
      </c>
      <c r="AE4760">
        <v>542</v>
      </c>
      <c r="AF4760">
        <v>39</v>
      </c>
      <c r="AG4760">
        <v>173</v>
      </c>
      <c r="AH4760">
        <v>129</v>
      </c>
      <c r="AI4760">
        <v>7.2</v>
      </c>
      <c r="AJ4760">
        <v>31.92</v>
      </c>
      <c r="AK4760">
        <v>23.8</v>
      </c>
      <c r="AL4760">
        <v>-20.159495399999969</v>
      </c>
      <c r="AM4760">
        <v>-44.85297928977559</v>
      </c>
      <c r="AN4760">
        <v>-20.159495399999969</v>
      </c>
      <c r="AO4760">
        <v>-44.85297928977559</v>
      </c>
      <c r="AP4760">
        <v>-20.159497999999999</v>
      </c>
      <c r="AQ4760">
        <v>-44.852925999999997</v>
      </c>
      <c r="AR4760">
        <v>5.5763081103260701</v>
      </c>
      <c r="AS4760" t="s">
        <v>65</v>
      </c>
      <c r="AT4760">
        <v>1</v>
      </c>
      <c r="AU4760" t="s">
        <v>1621</v>
      </c>
      <c r="AV4760" t="s">
        <v>1622</v>
      </c>
      <c r="AW4760" t="s">
        <v>60</v>
      </c>
      <c r="AX4760" t="s">
        <v>68</v>
      </c>
      <c r="AY4760" t="s">
        <v>69</v>
      </c>
      <c r="AZ4760" t="b">
        <v>1</v>
      </c>
    </row>
    <row r="4761" spans="1:52" x14ac:dyDescent="0.3">
      <c r="A4761" t="s">
        <v>52</v>
      </c>
      <c r="B4761" t="s">
        <v>53</v>
      </c>
      <c r="C4761" t="s">
        <v>54</v>
      </c>
      <c r="D4761" t="s">
        <v>55</v>
      </c>
      <c r="E4761" t="s">
        <v>2224</v>
      </c>
      <c r="F4761" t="s">
        <v>57</v>
      </c>
      <c r="G4761" t="s">
        <v>253</v>
      </c>
      <c r="H4761" t="s">
        <v>254</v>
      </c>
      <c r="I4761" t="s">
        <v>254</v>
      </c>
      <c r="J4761" t="s">
        <v>60</v>
      </c>
      <c r="K4761" t="s">
        <v>255</v>
      </c>
      <c r="L4761" t="s">
        <v>62</v>
      </c>
      <c r="M4761" t="s">
        <v>255</v>
      </c>
      <c r="N4761" t="s">
        <v>256</v>
      </c>
      <c r="O4761" t="s">
        <v>257</v>
      </c>
      <c r="P4761">
        <v>-20.159638000000001</v>
      </c>
      <c r="Q4761">
        <v>-44.849030999999997</v>
      </c>
      <c r="R4761" s="2" t="str">
        <f>HYPERLINK("https://www.google.com/maps?q=-20.1596380,-44.8490310","Abrir no Google Maps")</f>
        <v>Abrir no Google Maps</v>
      </c>
      <c r="S4761">
        <v>4</v>
      </c>
      <c r="T4761">
        <v>691.81173220845892</v>
      </c>
      <c r="U4761">
        <v>4</v>
      </c>
      <c r="V4761">
        <v>0.16158536585365851</v>
      </c>
      <c r="W4761">
        <v>1</v>
      </c>
      <c r="X4761">
        <v>0.16158536585365851</v>
      </c>
      <c r="Y4761">
        <v>292</v>
      </c>
      <c r="Z4761">
        <v>678.56824923431736</v>
      </c>
      <c r="AA4761">
        <v>198</v>
      </c>
      <c r="AB4761">
        <v>332</v>
      </c>
      <c r="AC4761">
        <v>536</v>
      </c>
      <c r="AD4761">
        <v>32.42</v>
      </c>
      <c r="AE4761">
        <v>542</v>
      </c>
      <c r="AF4761">
        <v>39</v>
      </c>
      <c r="AG4761">
        <v>173</v>
      </c>
      <c r="AH4761">
        <v>129</v>
      </c>
      <c r="AI4761">
        <v>7.2</v>
      </c>
      <c r="AJ4761">
        <v>31.92</v>
      </c>
      <c r="AK4761">
        <v>23.8</v>
      </c>
      <c r="AL4761">
        <v>-20.159590049999959</v>
      </c>
      <c r="AM4761">
        <v>-44.849181856774607</v>
      </c>
      <c r="AN4761">
        <v>-20.159590049999959</v>
      </c>
      <c r="AO4761">
        <v>-44.849181856774607</v>
      </c>
      <c r="AP4761">
        <v>-20.159638000000001</v>
      </c>
      <c r="AQ4761">
        <v>-44.849030999999997</v>
      </c>
      <c r="AR4761">
        <v>16.643712040087191</v>
      </c>
      <c r="AS4761" t="s">
        <v>65</v>
      </c>
      <c r="AT4761">
        <v>1</v>
      </c>
      <c r="AU4761" t="s">
        <v>258</v>
      </c>
      <c r="AV4761" t="s">
        <v>259</v>
      </c>
      <c r="AW4761" t="s">
        <v>60</v>
      </c>
      <c r="AX4761" t="s">
        <v>68</v>
      </c>
      <c r="AY4761" t="s">
        <v>69</v>
      </c>
      <c r="AZ4761" t="b">
        <v>1</v>
      </c>
    </row>
    <row r="4762" spans="1:52" x14ac:dyDescent="0.3">
      <c r="A4762" t="s">
        <v>52</v>
      </c>
      <c r="B4762" t="s">
        <v>53</v>
      </c>
      <c r="C4762" t="s">
        <v>54</v>
      </c>
      <c r="D4762" t="s">
        <v>55</v>
      </c>
      <c r="E4762" t="s">
        <v>2224</v>
      </c>
      <c r="F4762" t="s">
        <v>57</v>
      </c>
      <c r="G4762" t="s">
        <v>1623</v>
      </c>
      <c r="H4762" t="s">
        <v>1624</v>
      </c>
      <c r="I4762" t="s">
        <v>1624</v>
      </c>
      <c r="J4762" t="s">
        <v>60</v>
      </c>
      <c r="K4762" t="s">
        <v>281</v>
      </c>
      <c r="L4762" t="s">
        <v>62</v>
      </c>
      <c r="M4762" t="s">
        <v>281</v>
      </c>
      <c r="N4762" t="s">
        <v>1625</v>
      </c>
      <c r="O4762" t="s">
        <v>1538</v>
      </c>
      <c r="P4762">
        <v>-20.177247000000001</v>
      </c>
      <c r="Q4762">
        <v>-44.848650999999997</v>
      </c>
      <c r="R4762" s="2" t="str">
        <f>HYPERLINK("https://www.google.com/maps?q=-20.1772470,-44.8486510","Abrir no Google Maps")</f>
        <v>Abrir no Google Maps</v>
      </c>
      <c r="S4762">
        <v>4</v>
      </c>
      <c r="T4762">
        <v>1293.074917502197</v>
      </c>
      <c r="U4762">
        <v>4</v>
      </c>
      <c r="V4762">
        <v>0.1496913580246913</v>
      </c>
      <c r="W4762">
        <v>1</v>
      </c>
      <c r="X4762">
        <v>0.1496913580246913</v>
      </c>
      <c r="Y4762">
        <v>292</v>
      </c>
      <c r="Z4762">
        <v>1225.3954943545491</v>
      </c>
      <c r="AA4762">
        <v>198</v>
      </c>
      <c r="AB4762">
        <v>332</v>
      </c>
      <c r="AC4762">
        <v>536</v>
      </c>
      <c r="AD4762">
        <v>32.42</v>
      </c>
      <c r="AE4762">
        <v>542</v>
      </c>
      <c r="AF4762">
        <v>39</v>
      </c>
      <c r="AG4762">
        <v>173</v>
      </c>
      <c r="AH4762">
        <v>129</v>
      </c>
      <c r="AI4762">
        <v>7.2</v>
      </c>
      <c r="AJ4762">
        <v>31.92</v>
      </c>
      <c r="AK4762">
        <v>23.8</v>
      </c>
      <c r="AL4762">
        <v>-20.17729789999996</v>
      </c>
      <c r="AM4762">
        <v>-44.848543982702637</v>
      </c>
      <c r="AN4762">
        <v>-20.17729789999996</v>
      </c>
      <c r="AO4762">
        <v>-44.848543982702637</v>
      </c>
      <c r="AP4762">
        <v>-20.177247000000001</v>
      </c>
      <c r="AQ4762">
        <v>-44.848650999999997</v>
      </c>
      <c r="AR4762">
        <v>12.53570773213052</v>
      </c>
      <c r="AS4762" t="s">
        <v>65</v>
      </c>
      <c r="AT4762">
        <v>1</v>
      </c>
      <c r="AU4762" t="s">
        <v>1626</v>
      </c>
      <c r="AV4762" t="s">
        <v>1627</v>
      </c>
      <c r="AW4762" t="s">
        <v>60</v>
      </c>
      <c r="AX4762" t="s">
        <v>68</v>
      </c>
      <c r="AY4762" t="s">
        <v>69</v>
      </c>
      <c r="AZ4762" t="b">
        <v>1</v>
      </c>
    </row>
    <row r="4763" spans="1:52" x14ac:dyDescent="0.3">
      <c r="A4763" t="s">
        <v>52</v>
      </c>
      <c r="B4763" t="s">
        <v>53</v>
      </c>
      <c r="C4763" t="s">
        <v>54</v>
      </c>
      <c r="D4763" t="s">
        <v>55</v>
      </c>
      <c r="E4763" t="s">
        <v>2224</v>
      </c>
      <c r="F4763" t="s">
        <v>57</v>
      </c>
      <c r="G4763" t="s">
        <v>260</v>
      </c>
      <c r="H4763" t="s">
        <v>261</v>
      </c>
      <c r="I4763" t="s">
        <v>261</v>
      </c>
      <c r="J4763" t="s">
        <v>60</v>
      </c>
      <c r="K4763" t="s">
        <v>262</v>
      </c>
      <c r="L4763" t="s">
        <v>62</v>
      </c>
      <c r="M4763" t="s">
        <v>262</v>
      </c>
      <c r="N4763" t="s">
        <v>263</v>
      </c>
      <c r="O4763" t="s">
        <v>264</v>
      </c>
      <c r="P4763">
        <v>-20.162230000000001</v>
      </c>
      <c r="Q4763">
        <v>-44.850189</v>
      </c>
      <c r="R4763" s="2" t="str">
        <f>HYPERLINK("https://www.google.com/maps?q=-20.1622300,-44.8501890","Abrir no Google Maps")</f>
        <v>Abrir no Google Maps</v>
      </c>
      <c r="S4763">
        <v>4</v>
      </c>
      <c r="T4763">
        <v>485.03737650296068</v>
      </c>
      <c r="U4763">
        <v>4</v>
      </c>
      <c r="V4763">
        <v>0.15746359223300971</v>
      </c>
      <c r="W4763">
        <v>1</v>
      </c>
      <c r="X4763">
        <v>0.15746359223300971</v>
      </c>
      <c r="Y4763">
        <v>292</v>
      </c>
      <c r="Z4763">
        <v>461.03925198673232</v>
      </c>
      <c r="AA4763">
        <v>198</v>
      </c>
      <c r="AB4763">
        <v>332</v>
      </c>
      <c r="AC4763">
        <v>536</v>
      </c>
      <c r="AD4763">
        <v>32.42</v>
      </c>
      <c r="AE4763">
        <v>542</v>
      </c>
      <c r="AF4763">
        <v>39</v>
      </c>
      <c r="AG4763">
        <v>173</v>
      </c>
      <c r="AH4763">
        <v>129</v>
      </c>
      <c r="AI4763">
        <v>7.2</v>
      </c>
      <c r="AJ4763">
        <v>31.92</v>
      </c>
      <c r="AK4763">
        <v>23.8</v>
      </c>
      <c r="AL4763">
        <v>-20.162067849999971</v>
      </c>
      <c r="AM4763">
        <v>-44.850230909322903</v>
      </c>
      <c r="AN4763">
        <v>-20.162067849999971</v>
      </c>
      <c r="AO4763">
        <v>-44.850230909322903</v>
      </c>
      <c r="AP4763">
        <v>-20.162230000000001</v>
      </c>
      <c r="AQ4763">
        <v>-44.850189</v>
      </c>
      <c r="AR4763">
        <v>18.574218491036259</v>
      </c>
      <c r="AS4763" t="s">
        <v>65</v>
      </c>
      <c r="AT4763">
        <v>1</v>
      </c>
      <c r="AU4763" t="s">
        <v>265</v>
      </c>
      <c r="AV4763" t="s">
        <v>266</v>
      </c>
      <c r="AW4763" t="s">
        <v>60</v>
      </c>
      <c r="AX4763" t="s">
        <v>68</v>
      </c>
      <c r="AY4763" t="s">
        <v>69</v>
      </c>
      <c r="AZ4763" t="b">
        <v>1</v>
      </c>
    </row>
    <row r="4764" spans="1:52" x14ac:dyDescent="0.3">
      <c r="A4764" t="s">
        <v>52</v>
      </c>
      <c r="B4764" t="s">
        <v>53</v>
      </c>
      <c r="C4764" t="s">
        <v>54</v>
      </c>
      <c r="D4764" t="s">
        <v>55</v>
      </c>
      <c r="E4764" t="s">
        <v>2224</v>
      </c>
      <c r="F4764" t="s">
        <v>57</v>
      </c>
      <c r="G4764" t="s">
        <v>1628</v>
      </c>
      <c r="H4764" t="s">
        <v>1629</v>
      </c>
      <c r="I4764" t="s">
        <v>1629</v>
      </c>
      <c r="J4764" t="s">
        <v>60</v>
      </c>
      <c r="K4764" t="s">
        <v>136</v>
      </c>
      <c r="L4764" t="s">
        <v>62</v>
      </c>
      <c r="M4764" t="s">
        <v>136</v>
      </c>
      <c r="N4764" t="s">
        <v>1630</v>
      </c>
      <c r="O4764" t="s">
        <v>103</v>
      </c>
      <c r="P4764">
        <v>-20.169488999999999</v>
      </c>
      <c r="Q4764">
        <v>-44.848812000000002</v>
      </c>
      <c r="R4764" s="2" t="str">
        <f>HYPERLINK("https://www.google.com/maps?q=-20.1694890,-44.8488120","Abrir no Google Maps")</f>
        <v>Abrir no Google Maps</v>
      </c>
      <c r="S4764">
        <v>4</v>
      </c>
      <c r="T4764">
        <v>426.92881761579793</v>
      </c>
      <c r="U4764">
        <v>4</v>
      </c>
      <c r="V4764">
        <v>0.16728624535315981</v>
      </c>
      <c r="W4764">
        <v>1</v>
      </c>
      <c r="X4764">
        <v>0.16728624535315981</v>
      </c>
      <c r="Y4764">
        <v>292</v>
      </c>
      <c r="Z4764">
        <v>345.01829288722871</v>
      </c>
      <c r="AA4764">
        <v>198</v>
      </c>
      <c r="AB4764">
        <v>332</v>
      </c>
      <c r="AC4764">
        <v>536</v>
      </c>
      <c r="AD4764">
        <v>32.42</v>
      </c>
      <c r="AE4764">
        <v>542</v>
      </c>
      <c r="AF4764">
        <v>39</v>
      </c>
      <c r="AG4764">
        <v>173</v>
      </c>
      <c r="AH4764">
        <v>129</v>
      </c>
      <c r="AI4764">
        <v>7.2</v>
      </c>
      <c r="AJ4764">
        <v>31.92</v>
      </c>
      <c r="AK4764">
        <v>23.8</v>
      </c>
      <c r="AL4764">
        <v>-20.169293749999959</v>
      </c>
      <c r="AM4764">
        <v>-44.848899945665508</v>
      </c>
      <c r="AN4764">
        <v>-20.169293749999959</v>
      </c>
      <c r="AO4764">
        <v>-44.848899945665508</v>
      </c>
      <c r="AP4764">
        <v>-20.169488999999999</v>
      </c>
      <c r="AQ4764">
        <v>-44.848812000000002</v>
      </c>
      <c r="AR4764">
        <v>23.598134321543789</v>
      </c>
      <c r="AS4764" t="s">
        <v>65</v>
      </c>
      <c r="AT4764">
        <v>1</v>
      </c>
      <c r="AU4764" t="s">
        <v>1631</v>
      </c>
      <c r="AV4764" t="s">
        <v>1632</v>
      </c>
      <c r="AW4764" t="s">
        <v>60</v>
      </c>
      <c r="AX4764" t="s">
        <v>68</v>
      </c>
      <c r="AY4764" t="s">
        <v>69</v>
      </c>
      <c r="AZ4764" t="b">
        <v>1</v>
      </c>
    </row>
    <row r="4765" spans="1:52" x14ac:dyDescent="0.3">
      <c r="A4765" t="s">
        <v>52</v>
      </c>
      <c r="B4765" t="s">
        <v>53</v>
      </c>
      <c r="C4765" t="s">
        <v>54</v>
      </c>
      <c r="D4765" t="s">
        <v>55</v>
      </c>
      <c r="E4765" t="s">
        <v>2224</v>
      </c>
      <c r="F4765" t="s">
        <v>57</v>
      </c>
      <c r="G4765" t="s">
        <v>267</v>
      </c>
      <c r="H4765" t="s">
        <v>268</v>
      </c>
      <c r="I4765" t="s">
        <v>268</v>
      </c>
      <c r="J4765" t="s">
        <v>60</v>
      </c>
      <c r="K4765" t="s">
        <v>150</v>
      </c>
      <c r="L4765" t="s">
        <v>62</v>
      </c>
      <c r="M4765" t="s">
        <v>150</v>
      </c>
      <c r="N4765" t="s">
        <v>269</v>
      </c>
      <c r="O4765" t="s">
        <v>270</v>
      </c>
      <c r="P4765">
        <v>-20.172367999999999</v>
      </c>
      <c r="Q4765">
        <v>-44.848661</v>
      </c>
      <c r="R4765" s="2" t="str">
        <f>HYPERLINK("https://www.google.com/maps?q=-20.1723680,-44.8486610","Abrir no Google Maps")</f>
        <v>Abrir no Google Maps</v>
      </c>
      <c r="S4765">
        <v>4</v>
      </c>
      <c r="T4765">
        <v>759.75892180950234</v>
      </c>
      <c r="U4765">
        <v>4</v>
      </c>
      <c r="V4765">
        <v>0.16320754716981131</v>
      </c>
      <c r="W4765">
        <v>1</v>
      </c>
      <c r="X4765">
        <v>0.16320754716981131</v>
      </c>
      <c r="Y4765">
        <v>292</v>
      </c>
      <c r="Z4765">
        <v>735.80511761487242</v>
      </c>
      <c r="AA4765">
        <v>198</v>
      </c>
      <c r="AB4765">
        <v>332</v>
      </c>
      <c r="AC4765">
        <v>536</v>
      </c>
      <c r="AD4765">
        <v>32.42</v>
      </c>
      <c r="AE4765">
        <v>542</v>
      </c>
      <c r="AF4765">
        <v>39</v>
      </c>
      <c r="AG4765">
        <v>173</v>
      </c>
      <c r="AH4765">
        <v>129</v>
      </c>
      <c r="AI4765">
        <v>7.2</v>
      </c>
      <c r="AJ4765">
        <v>31.92</v>
      </c>
      <c r="AK4765">
        <v>23.8</v>
      </c>
      <c r="AL4765">
        <v>-20.172435999999951</v>
      </c>
      <c r="AM4765">
        <v>-44.84866233556005</v>
      </c>
      <c r="AN4765">
        <v>-20.172435999999951</v>
      </c>
      <c r="AO4765">
        <v>-44.84866233556005</v>
      </c>
      <c r="AP4765">
        <v>-20.172367999999999</v>
      </c>
      <c r="AQ4765">
        <v>-44.848661</v>
      </c>
      <c r="AR4765">
        <v>7.5710462874877198</v>
      </c>
      <c r="AS4765" t="s">
        <v>65</v>
      </c>
      <c r="AT4765">
        <v>1</v>
      </c>
      <c r="AU4765" t="s">
        <v>271</v>
      </c>
      <c r="AV4765" t="s">
        <v>272</v>
      </c>
      <c r="AW4765" t="s">
        <v>60</v>
      </c>
      <c r="AX4765" t="s">
        <v>68</v>
      </c>
      <c r="AY4765" t="s">
        <v>69</v>
      </c>
      <c r="AZ4765" t="b">
        <v>1</v>
      </c>
    </row>
    <row r="4766" spans="1:52" x14ac:dyDescent="0.3">
      <c r="A4766" t="s">
        <v>52</v>
      </c>
      <c r="B4766" t="s">
        <v>53</v>
      </c>
      <c r="C4766" t="s">
        <v>54</v>
      </c>
      <c r="D4766" t="s">
        <v>55</v>
      </c>
      <c r="E4766" t="s">
        <v>2224</v>
      </c>
      <c r="F4766" t="s">
        <v>57</v>
      </c>
      <c r="G4766" t="s">
        <v>273</v>
      </c>
      <c r="H4766" t="s">
        <v>274</v>
      </c>
      <c r="I4766" t="s">
        <v>274</v>
      </c>
      <c r="J4766" t="s">
        <v>60</v>
      </c>
      <c r="K4766" t="s">
        <v>143</v>
      </c>
      <c r="L4766" t="s">
        <v>62</v>
      </c>
      <c r="M4766" t="s">
        <v>143</v>
      </c>
      <c r="N4766" t="s">
        <v>275</v>
      </c>
      <c r="O4766" t="s">
        <v>276</v>
      </c>
      <c r="P4766">
        <v>-20.171367</v>
      </c>
      <c r="Q4766">
        <v>-44.844709999999999</v>
      </c>
      <c r="R4766" s="2" t="str">
        <f>HYPERLINK("https://www.google.com/maps?q=-20.1713670,-44.8447100","Abrir no Google Maps")</f>
        <v>Abrir no Google Maps</v>
      </c>
      <c r="S4766">
        <v>4</v>
      </c>
      <c r="T4766">
        <v>700.36715126879801</v>
      </c>
      <c r="U4766">
        <v>4</v>
      </c>
      <c r="V4766">
        <v>0.1578947368421052</v>
      </c>
      <c r="W4766">
        <v>1</v>
      </c>
      <c r="X4766">
        <v>0.1578947368421052</v>
      </c>
      <c r="Y4766">
        <v>292</v>
      </c>
      <c r="Z4766">
        <v>767.70201658334747</v>
      </c>
      <c r="AA4766">
        <v>198</v>
      </c>
      <c r="AB4766">
        <v>332</v>
      </c>
      <c r="AC4766">
        <v>536</v>
      </c>
      <c r="AD4766">
        <v>32.42</v>
      </c>
      <c r="AE4766">
        <v>542</v>
      </c>
      <c r="AF4766">
        <v>39</v>
      </c>
      <c r="AG4766">
        <v>173</v>
      </c>
      <c r="AH4766">
        <v>129</v>
      </c>
      <c r="AI4766">
        <v>7.2</v>
      </c>
      <c r="AJ4766">
        <v>31.92</v>
      </c>
      <c r="AK4766">
        <v>23.8</v>
      </c>
      <c r="AL4766">
        <v>-20.17140124999997</v>
      </c>
      <c r="AM4766">
        <v>-44.844758486699448</v>
      </c>
      <c r="AN4766">
        <v>-20.171401249999981</v>
      </c>
      <c r="AO4766">
        <v>-44.844758486699448</v>
      </c>
      <c r="AP4766">
        <v>-20.171367</v>
      </c>
      <c r="AQ4766">
        <v>-44.844709999999999</v>
      </c>
      <c r="AR4766">
        <v>6.3408204899540994</v>
      </c>
      <c r="AS4766" t="s">
        <v>65</v>
      </c>
      <c r="AT4766">
        <v>1</v>
      </c>
      <c r="AU4766" t="s">
        <v>277</v>
      </c>
      <c r="AV4766" t="s">
        <v>278</v>
      </c>
      <c r="AW4766" t="s">
        <v>60</v>
      </c>
      <c r="AX4766" t="s">
        <v>68</v>
      </c>
      <c r="AY4766" t="s">
        <v>69</v>
      </c>
      <c r="AZ4766" t="b">
        <v>1</v>
      </c>
    </row>
    <row r="4767" spans="1:52" x14ac:dyDescent="0.3">
      <c r="A4767" t="s">
        <v>52</v>
      </c>
      <c r="B4767" t="s">
        <v>53</v>
      </c>
      <c r="C4767" t="s">
        <v>54</v>
      </c>
      <c r="D4767" t="s">
        <v>55</v>
      </c>
      <c r="E4767" t="s">
        <v>2224</v>
      </c>
      <c r="F4767" t="s">
        <v>57</v>
      </c>
      <c r="G4767" t="s">
        <v>279</v>
      </c>
      <c r="H4767" t="s">
        <v>280</v>
      </c>
      <c r="I4767" t="s">
        <v>280</v>
      </c>
      <c r="J4767" t="s">
        <v>60</v>
      </c>
      <c r="K4767" t="s">
        <v>281</v>
      </c>
      <c r="L4767" t="s">
        <v>62</v>
      </c>
      <c r="M4767" t="s">
        <v>281</v>
      </c>
      <c r="N4767" t="s">
        <v>282</v>
      </c>
      <c r="O4767" t="s">
        <v>283</v>
      </c>
      <c r="P4767">
        <v>-20.175312999999999</v>
      </c>
      <c r="Q4767">
        <v>-44.848562999999999</v>
      </c>
      <c r="R4767" s="2" t="str">
        <f>HYPERLINK("https://www.google.com/maps?q=-20.1753130,-44.8485630","Abrir no Google Maps")</f>
        <v>Abrir no Google Maps</v>
      </c>
      <c r="S4767">
        <v>4</v>
      </c>
      <c r="T4767">
        <v>1076.9164078034139</v>
      </c>
      <c r="U4767">
        <v>4</v>
      </c>
      <c r="V4767">
        <v>0.1676136363636363</v>
      </c>
      <c r="W4767">
        <v>1</v>
      </c>
      <c r="X4767">
        <v>0.1676136363636363</v>
      </c>
      <c r="Y4767">
        <v>292</v>
      </c>
      <c r="Z4767">
        <v>1035.650579259463</v>
      </c>
      <c r="AA4767">
        <v>198</v>
      </c>
      <c r="AB4767">
        <v>332</v>
      </c>
      <c r="AC4767">
        <v>536</v>
      </c>
      <c r="AD4767">
        <v>32.42</v>
      </c>
      <c r="AE4767">
        <v>542</v>
      </c>
      <c r="AF4767">
        <v>39</v>
      </c>
      <c r="AG4767">
        <v>173</v>
      </c>
      <c r="AH4767">
        <v>129</v>
      </c>
      <c r="AI4767">
        <v>7.2</v>
      </c>
      <c r="AJ4767">
        <v>31.92</v>
      </c>
      <c r="AK4767">
        <v>23.8</v>
      </c>
      <c r="AL4767">
        <v>-20.175338949999961</v>
      </c>
      <c r="AM4767">
        <v>-44.848523168324952</v>
      </c>
      <c r="AN4767">
        <v>-20.175338949999961</v>
      </c>
      <c r="AO4767">
        <v>-44.848523168324952</v>
      </c>
      <c r="AP4767">
        <v>-20.175312999999999</v>
      </c>
      <c r="AQ4767">
        <v>-44.848562999999999</v>
      </c>
      <c r="AR4767">
        <v>5.0662709576519056</v>
      </c>
      <c r="AS4767" t="s">
        <v>65</v>
      </c>
      <c r="AT4767">
        <v>1</v>
      </c>
      <c r="AU4767" t="s">
        <v>284</v>
      </c>
      <c r="AV4767" t="s">
        <v>285</v>
      </c>
      <c r="AW4767" t="s">
        <v>60</v>
      </c>
      <c r="AX4767" t="s">
        <v>68</v>
      </c>
      <c r="AY4767" t="s">
        <v>69</v>
      </c>
      <c r="AZ4767" t="b">
        <v>1</v>
      </c>
    </row>
    <row r="4768" spans="1:52" x14ac:dyDescent="0.3">
      <c r="A4768" t="s">
        <v>52</v>
      </c>
      <c r="B4768" t="s">
        <v>53</v>
      </c>
      <c r="C4768" t="s">
        <v>54</v>
      </c>
      <c r="D4768" t="s">
        <v>55</v>
      </c>
      <c r="E4768" t="s">
        <v>2224</v>
      </c>
      <c r="F4768" t="s">
        <v>57</v>
      </c>
      <c r="G4768" t="s">
        <v>134</v>
      </c>
      <c r="H4768" t="s">
        <v>135</v>
      </c>
      <c r="I4768" t="s">
        <v>135</v>
      </c>
      <c r="J4768" t="s">
        <v>60</v>
      </c>
      <c r="K4768" t="s">
        <v>136</v>
      </c>
      <c r="L4768" t="s">
        <v>62</v>
      </c>
      <c r="M4768" t="s">
        <v>136</v>
      </c>
      <c r="N4768" t="s">
        <v>137</v>
      </c>
      <c r="O4768" t="s">
        <v>138</v>
      </c>
      <c r="P4768">
        <v>-20.165773000000002</v>
      </c>
      <c r="Q4768">
        <v>-44.847566999999998</v>
      </c>
      <c r="R4768" s="2" t="str">
        <f>HYPERLINK("https://www.google.com/maps?q=-20.1657730,-44.8475670","Abrir no Google Maps")</f>
        <v>Abrir no Google Maps</v>
      </c>
      <c r="S4768">
        <v>4</v>
      </c>
      <c r="T4768">
        <v>0</v>
      </c>
      <c r="U4768">
        <v>4</v>
      </c>
      <c r="V4768">
        <v>0.15377697841726609</v>
      </c>
      <c r="W4768">
        <v>1</v>
      </c>
      <c r="X4768">
        <v>0.15377697841726609</v>
      </c>
      <c r="Y4768">
        <v>292</v>
      </c>
      <c r="Z4768">
        <v>98.987346341524855</v>
      </c>
      <c r="AA4768">
        <v>198</v>
      </c>
      <c r="AB4768">
        <v>332</v>
      </c>
      <c r="AC4768">
        <v>536</v>
      </c>
      <c r="AD4768">
        <v>32.42</v>
      </c>
      <c r="AE4768">
        <v>542</v>
      </c>
      <c r="AF4768">
        <v>39</v>
      </c>
      <c r="AG4768">
        <v>173</v>
      </c>
      <c r="AH4768">
        <v>129</v>
      </c>
      <c r="AI4768">
        <v>7.2</v>
      </c>
      <c r="AJ4768">
        <v>31.92</v>
      </c>
      <c r="AK4768">
        <v>23.8</v>
      </c>
      <c r="AL4768">
        <v>-20.16565029999995</v>
      </c>
      <c r="AM4768">
        <v>-44.847556627666897</v>
      </c>
      <c r="AN4768">
        <v>-20.16565029999995</v>
      </c>
      <c r="AO4768">
        <v>-44.847556627666897</v>
      </c>
      <c r="AP4768">
        <v>-20.165773000000002</v>
      </c>
      <c r="AQ4768">
        <v>-44.847566999999998</v>
      </c>
      <c r="AR4768">
        <v>13.701900146251189</v>
      </c>
      <c r="AS4768" t="s">
        <v>65</v>
      </c>
      <c r="AT4768">
        <v>1</v>
      </c>
      <c r="AU4768" t="s">
        <v>139</v>
      </c>
      <c r="AV4768" t="s">
        <v>140</v>
      </c>
      <c r="AW4768" t="s">
        <v>60</v>
      </c>
      <c r="AX4768" t="s">
        <v>68</v>
      </c>
      <c r="AY4768" t="s">
        <v>69</v>
      </c>
      <c r="AZ4768" t="b">
        <v>1</v>
      </c>
    </row>
    <row r="4769" spans="1:52" x14ac:dyDescent="0.3">
      <c r="A4769" t="s">
        <v>52</v>
      </c>
      <c r="B4769" t="s">
        <v>53</v>
      </c>
      <c r="C4769" t="s">
        <v>54</v>
      </c>
      <c r="D4769" t="s">
        <v>55</v>
      </c>
      <c r="E4769" t="s">
        <v>2224</v>
      </c>
      <c r="F4769" t="s">
        <v>57</v>
      </c>
      <c r="G4769" t="s">
        <v>253</v>
      </c>
      <c r="H4769" t="s">
        <v>286</v>
      </c>
      <c r="I4769" t="s">
        <v>286</v>
      </c>
      <c r="J4769" t="s">
        <v>60</v>
      </c>
      <c r="K4769" t="s">
        <v>136</v>
      </c>
      <c r="L4769" t="s">
        <v>62</v>
      </c>
      <c r="M4769" t="s">
        <v>136</v>
      </c>
      <c r="N4769" t="s">
        <v>256</v>
      </c>
      <c r="O4769" t="s">
        <v>287</v>
      </c>
      <c r="P4769">
        <v>-20.165067000000001</v>
      </c>
      <c r="Q4769">
        <v>-44.851146999999997</v>
      </c>
      <c r="R4769" s="2" t="str">
        <f>HYPERLINK("https://www.google.com/maps?q=-20.1650670,-44.8511470","Abrir no Google Maps")</f>
        <v>Abrir no Google Maps</v>
      </c>
      <c r="S4769">
        <v>4</v>
      </c>
      <c r="T4769">
        <v>374.14945573570043</v>
      </c>
      <c r="U4769">
        <v>4</v>
      </c>
      <c r="V4769">
        <v>0.15929203539823009</v>
      </c>
      <c r="W4769">
        <v>1</v>
      </c>
      <c r="X4769">
        <v>0.15929203539823009</v>
      </c>
      <c r="Y4769">
        <v>292</v>
      </c>
      <c r="Z4769">
        <v>295.9878686859272</v>
      </c>
      <c r="AA4769">
        <v>198</v>
      </c>
      <c r="AB4769">
        <v>332</v>
      </c>
      <c r="AC4769">
        <v>536</v>
      </c>
      <c r="AD4769">
        <v>32.42</v>
      </c>
      <c r="AE4769">
        <v>542</v>
      </c>
      <c r="AF4769">
        <v>39</v>
      </c>
      <c r="AG4769">
        <v>173</v>
      </c>
      <c r="AH4769">
        <v>129</v>
      </c>
      <c r="AI4769">
        <v>7.2</v>
      </c>
      <c r="AJ4769">
        <v>31.92</v>
      </c>
      <c r="AK4769">
        <v>23.8</v>
      </c>
      <c r="AL4769">
        <v>-20.164961799999961</v>
      </c>
      <c r="AM4769">
        <v>-44.851062119796737</v>
      </c>
      <c r="AN4769">
        <v>-20.164961799999961</v>
      </c>
      <c r="AO4769">
        <v>-44.851062119796737</v>
      </c>
      <c r="AP4769">
        <v>-20.165067000000001</v>
      </c>
      <c r="AQ4769">
        <v>-44.851146999999997</v>
      </c>
      <c r="AR4769">
        <v>14.690666366415</v>
      </c>
      <c r="AS4769" t="s">
        <v>65</v>
      </c>
      <c r="AT4769">
        <v>1</v>
      </c>
      <c r="AU4769" t="s">
        <v>288</v>
      </c>
      <c r="AV4769" t="s">
        <v>289</v>
      </c>
      <c r="AW4769" t="s">
        <v>60</v>
      </c>
      <c r="AX4769" t="s">
        <v>68</v>
      </c>
      <c r="AY4769" t="s">
        <v>69</v>
      </c>
      <c r="AZ4769" t="b">
        <v>1</v>
      </c>
    </row>
    <row r="4770" spans="1:52" x14ac:dyDescent="0.3">
      <c r="A4770" t="s">
        <v>52</v>
      </c>
      <c r="B4770" t="s">
        <v>53</v>
      </c>
      <c r="C4770" t="s">
        <v>54</v>
      </c>
      <c r="D4770" t="s">
        <v>55</v>
      </c>
      <c r="E4770" t="s">
        <v>2224</v>
      </c>
      <c r="F4770" t="s">
        <v>57</v>
      </c>
      <c r="G4770" t="s">
        <v>141</v>
      </c>
      <c r="H4770" t="s">
        <v>142</v>
      </c>
      <c r="I4770" t="s">
        <v>142</v>
      </c>
      <c r="J4770" t="s">
        <v>60</v>
      </c>
      <c r="K4770" t="s">
        <v>143</v>
      </c>
      <c r="L4770" t="s">
        <v>62</v>
      </c>
      <c r="M4770" t="s">
        <v>143</v>
      </c>
      <c r="N4770" t="s">
        <v>144</v>
      </c>
      <c r="O4770" t="s">
        <v>145</v>
      </c>
      <c r="P4770">
        <v>-20.163377000000001</v>
      </c>
      <c r="Q4770">
        <v>-44.843598</v>
      </c>
      <c r="R4770" s="2" t="str">
        <f>HYPERLINK("https://www.google.com/maps?q=-20.1633770,-44.8435980","Abrir no Google Maps")</f>
        <v>Abrir no Google Maps</v>
      </c>
      <c r="S4770">
        <v>4</v>
      </c>
      <c r="T4770">
        <v>481.58374128635978</v>
      </c>
      <c r="U4770">
        <v>4</v>
      </c>
      <c r="V4770">
        <v>0.16714285714285709</v>
      </c>
      <c r="W4770">
        <v>1</v>
      </c>
      <c r="X4770">
        <v>0.16714285714285709</v>
      </c>
      <c r="Y4770">
        <v>292</v>
      </c>
      <c r="Z4770">
        <v>575.44522663909652</v>
      </c>
      <c r="AA4770">
        <v>198</v>
      </c>
      <c r="AB4770">
        <v>332</v>
      </c>
      <c r="AC4770">
        <v>536</v>
      </c>
      <c r="AD4770">
        <v>32.42</v>
      </c>
      <c r="AE4770">
        <v>542</v>
      </c>
      <c r="AF4770">
        <v>39</v>
      </c>
      <c r="AG4770">
        <v>173</v>
      </c>
      <c r="AH4770">
        <v>129</v>
      </c>
      <c r="AI4770">
        <v>7.2</v>
      </c>
      <c r="AJ4770">
        <v>31.92</v>
      </c>
      <c r="AK4770">
        <v>23.8</v>
      </c>
      <c r="AL4770">
        <v>-20.16343344999996</v>
      </c>
      <c r="AM4770">
        <v>-44.843590796247732</v>
      </c>
      <c r="AN4770">
        <v>-20.16343344999996</v>
      </c>
      <c r="AO4770">
        <v>-44.843590796247732</v>
      </c>
      <c r="AP4770">
        <v>-20.163377000000001</v>
      </c>
      <c r="AQ4770">
        <v>-44.843598</v>
      </c>
      <c r="AR4770">
        <v>6.3289415646640057</v>
      </c>
      <c r="AS4770" t="s">
        <v>65</v>
      </c>
      <c r="AT4770">
        <v>1</v>
      </c>
      <c r="AU4770" t="s">
        <v>146</v>
      </c>
      <c r="AV4770" t="s">
        <v>147</v>
      </c>
      <c r="AW4770" t="s">
        <v>60</v>
      </c>
      <c r="AX4770" t="s">
        <v>68</v>
      </c>
      <c r="AY4770" t="s">
        <v>69</v>
      </c>
      <c r="AZ4770" t="b">
        <v>1</v>
      </c>
    </row>
    <row r="4771" spans="1:52" x14ac:dyDescent="0.3">
      <c r="A4771" t="s">
        <v>52</v>
      </c>
      <c r="B4771" t="s">
        <v>53</v>
      </c>
      <c r="C4771" t="s">
        <v>54</v>
      </c>
      <c r="D4771" t="s">
        <v>55</v>
      </c>
      <c r="E4771" t="s">
        <v>2224</v>
      </c>
      <c r="F4771" t="s">
        <v>57</v>
      </c>
      <c r="G4771" t="s">
        <v>253</v>
      </c>
      <c r="H4771" t="s">
        <v>296</v>
      </c>
      <c r="I4771" t="s">
        <v>296</v>
      </c>
      <c r="J4771" t="s">
        <v>60</v>
      </c>
      <c r="K4771" t="s">
        <v>136</v>
      </c>
      <c r="L4771" t="s">
        <v>62</v>
      </c>
      <c r="M4771" t="s">
        <v>136</v>
      </c>
      <c r="N4771" t="s">
        <v>256</v>
      </c>
      <c r="O4771" t="s">
        <v>297</v>
      </c>
      <c r="P4771">
        <v>-20.168476999999999</v>
      </c>
      <c r="Q4771">
        <v>-44.852528</v>
      </c>
      <c r="R4771" s="2" t="str">
        <f>HYPERLINK("https://www.google.com/maps?q=-20.1684770,-44.8525280","Abrir no Google Maps")</f>
        <v>Abrir no Google Maps</v>
      </c>
      <c r="S4771">
        <v>4</v>
      </c>
      <c r="T4771">
        <v>587.16898087421623</v>
      </c>
      <c r="U4771">
        <v>4</v>
      </c>
      <c r="V4771">
        <v>0.1563876651982378</v>
      </c>
      <c r="W4771">
        <v>1</v>
      </c>
      <c r="X4771">
        <v>0.1563876651982378</v>
      </c>
      <c r="Y4771">
        <v>292</v>
      </c>
      <c r="Z4771">
        <v>471.75619463337938</v>
      </c>
      <c r="AA4771">
        <v>198</v>
      </c>
      <c r="AB4771">
        <v>332</v>
      </c>
      <c r="AC4771">
        <v>536</v>
      </c>
      <c r="AD4771">
        <v>32.42</v>
      </c>
      <c r="AE4771">
        <v>542</v>
      </c>
      <c r="AF4771">
        <v>39</v>
      </c>
      <c r="AG4771">
        <v>173</v>
      </c>
      <c r="AH4771">
        <v>129</v>
      </c>
      <c r="AI4771">
        <v>7.2</v>
      </c>
      <c r="AJ4771">
        <v>31.92</v>
      </c>
      <c r="AK4771">
        <v>23.8</v>
      </c>
      <c r="AL4771">
        <v>-20.16846514999995</v>
      </c>
      <c r="AM4771">
        <v>-44.852319844682007</v>
      </c>
      <c r="AN4771">
        <v>-20.168465149999939</v>
      </c>
      <c r="AO4771">
        <v>-44.852319844682007</v>
      </c>
      <c r="AP4771">
        <v>-20.168476999999999</v>
      </c>
      <c r="AQ4771">
        <v>-44.852528</v>
      </c>
      <c r="AR4771">
        <v>21.790984536052999</v>
      </c>
      <c r="AS4771" t="s">
        <v>65</v>
      </c>
      <c r="AT4771">
        <v>1</v>
      </c>
      <c r="AU4771" t="s">
        <v>298</v>
      </c>
      <c r="AV4771" t="s">
        <v>299</v>
      </c>
      <c r="AW4771" t="s">
        <v>60</v>
      </c>
      <c r="AX4771" t="s">
        <v>68</v>
      </c>
      <c r="AY4771" t="s">
        <v>69</v>
      </c>
      <c r="AZ4771" t="b">
        <v>1</v>
      </c>
    </row>
    <row r="4772" spans="1:52" x14ac:dyDescent="0.3">
      <c r="A4772" t="s">
        <v>52</v>
      </c>
      <c r="B4772" t="s">
        <v>53</v>
      </c>
      <c r="C4772" t="s">
        <v>54</v>
      </c>
      <c r="D4772" t="s">
        <v>55</v>
      </c>
      <c r="E4772" t="s">
        <v>2224</v>
      </c>
      <c r="F4772" t="s">
        <v>57</v>
      </c>
      <c r="G4772" t="s">
        <v>253</v>
      </c>
      <c r="H4772" t="s">
        <v>1633</v>
      </c>
      <c r="I4772" t="s">
        <v>1633</v>
      </c>
      <c r="J4772" t="s">
        <v>60</v>
      </c>
      <c r="K4772" t="s">
        <v>982</v>
      </c>
      <c r="L4772" t="s">
        <v>62</v>
      </c>
      <c r="M4772" t="s">
        <v>982</v>
      </c>
      <c r="N4772" t="s">
        <v>256</v>
      </c>
      <c r="O4772" t="s">
        <v>1634</v>
      </c>
      <c r="P4772">
        <v>-20.170407000000001</v>
      </c>
      <c r="Q4772">
        <v>-44.853330999999997</v>
      </c>
      <c r="R4772" s="2" t="str">
        <f>HYPERLINK("https://www.google.com/maps?q=-20.1704070,-44.8533310","Abrir no Google Maps")</f>
        <v>Abrir no Google Maps</v>
      </c>
      <c r="S4772">
        <v>4</v>
      </c>
      <c r="T4772">
        <v>801.41180076523165</v>
      </c>
      <c r="U4772">
        <v>4</v>
      </c>
      <c r="V4772">
        <v>0.1739583333333333</v>
      </c>
      <c r="W4772">
        <v>1</v>
      </c>
      <c r="X4772">
        <v>0.1739583333333333</v>
      </c>
      <c r="Y4772">
        <v>292</v>
      </c>
      <c r="Z4772">
        <v>726.46828777213966</v>
      </c>
      <c r="AA4772">
        <v>198</v>
      </c>
      <c r="AB4772">
        <v>332</v>
      </c>
      <c r="AC4772">
        <v>536</v>
      </c>
      <c r="AD4772">
        <v>32.42</v>
      </c>
      <c r="AE4772">
        <v>542</v>
      </c>
      <c r="AF4772">
        <v>39</v>
      </c>
      <c r="AG4772">
        <v>173</v>
      </c>
      <c r="AH4772">
        <v>129</v>
      </c>
      <c r="AI4772">
        <v>7.2</v>
      </c>
      <c r="AJ4772">
        <v>31.92</v>
      </c>
      <c r="AK4772">
        <v>23.8</v>
      </c>
      <c r="AL4772">
        <v>-20.170412849999959</v>
      </c>
      <c r="AM4772">
        <v>-44.853334311192633</v>
      </c>
      <c r="AN4772">
        <v>-20.170412849999959</v>
      </c>
      <c r="AO4772">
        <v>-44.853334311192633</v>
      </c>
      <c r="AP4772">
        <v>-20.170407000000001</v>
      </c>
      <c r="AQ4772">
        <v>-44.853330999999997</v>
      </c>
      <c r="AR4772">
        <v>0.73743023728700929</v>
      </c>
      <c r="AS4772" t="s">
        <v>65</v>
      </c>
      <c r="AT4772">
        <v>1</v>
      </c>
      <c r="AU4772" t="s">
        <v>1635</v>
      </c>
      <c r="AV4772" t="s">
        <v>1636</v>
      </c>
      <c r="AW4772" t="s">
        <v>60</v>
      </c>
      <c r="AX4772" t="s">
        <v>68</v>
      </c>
      <c r="AY4772" t="s">
        <v>69</v>
      </c>
      <c r="AZ4772" t="b">
        <v>1</v>
      </c>
    </row>
    <row r="4773" spans="1:52" x14ac:dyDescent="0.3">
      <c r="A4773" t="s">
        <v>52</v>
      </c>
      <c r="B4773" t="s">
        <v>53</v>
      </c>
      <c r="C4773" t="s">
        <v>54</v>
      </c>
      <c r="D4773" t="s">
        <v>55</v>
      </c>
      <c r="E4773" t="s">
        <v>2224</v>
      </c>
      <c r="F4773" t="s">
        <v>57</v>
      </c>
      <c r="G4773" t="s">
        <v>148</v>
      </c>
      <c r="H4773" t="s">
        <v>149</v>
      </c>
      <c r="I4773" t="s">
        <v>149</v>
      </c>
      <c r="J4773" t="s">
        <v>60</v>
      </c>
      <c r="K4773" t="s">
        <v>150</v>
      </c>
      <c r="L4773" t="s">
        <v>62</v>
      </c>
      <c r="M4773" t="s">
        <v>150</v>
      </c>
      <c r="N4773" t="s">
        <v>151</v>
      </c>
      <c r="O4773" t="s">
        <v>152</v>
      </c>
      <c r="P4773">
        <v>-20.174192999999999</v>
      </c>
      <c r="Q4773">
        <v>-44.850782000000002</v>
      </c>
      <c r="R4773" s="2" t="str">
        <f>HYPERLINK("https://www.google.com/maps?q=-20.1741930,-44.8507820","Abrir no Google Maps")</f>
        <v>Abrir no Google Maps</v>
      </c>
      <c r="S4773">
        <v>4</v>
      </c>
      <c r="T4773">
        <v>994.93657848632188</v>
      </c>
      <c r="U4773">
        <v>4</v>
      </c>
      <c r="V4773">
        <v>0.1670506912442396</v>
      </c>
      <c r="W4773">
        <v>1</v>
      </c>
      <c r="X4773">
        <v>0.1670506912442396</v>
      </c>
      <c r="Y4773">
        <v>292</v>
      </c>
      <c r="Z4773">
        <v>948.95851793804729</v>
      </c>
      <c r="AA4773">
        <v>198</v>
      </c>
      <c r="AB4773">
        <v>332</v>
      </c>
      <c r="AC4773">
        <v>536</v>
      </c>
      <c r="AD4773">
        <v>32.42</v>
      </c>
      <c r="AE4773">
        <v>542</v>
      </c>
      <c r="AF4773">
        <v>39</v>
      </c>
      <c r="AG4773">
        <v>173</v>
      </c>
      <c r="AH4773">
        <v>129</v>
      </c>
      <c r="AI4773">
        <v>7.2</v>
      </c>
      <c r="AJ4773">
        <v>31.92</v>
      </c>
      <c r="AK4773">
        <v>23.8</v>
      </c>
      <c r="AL4773">
        <v>-20.174122099999941</v>
      </c>
      <c r="AM4773">
        <v>-44.850744657037339</v>
      </c>
      <c r="AN4773">
        <v>-20.174122099999941</v>
      </c>
      <c r="AO4773">
        <v>-44.850744657037339</v>
      </c>
      <c r="AP4773">
        <v>-20.174192999999999</v>
      </c>
      <c r="AQ4773">
        <v>-44.850782000000002</v>
      </c>
      <c r="AR4773">
        <v>8.8044534253701947</v>
      </c>
      <c r="AS4773" t="s">
        <v>65</v>
      </c>
      <c r="AT4773">
        <v>1</v>
      </c>
      <c r="AU4773" t="s">
        <v>153</v>
      </c>
      <c r="AV4773" t="s">
        <v>154</v>
      </c>
      <c r="AW4773" t="s">
        <v>60</v>
      </c>
      <c r="AX4773" t="s">
        <v>68</v>
      </c>
      <c r="AY4773" t="s">
        <v>69</v>
      </c>
      <c r="AZ4773" t="b">
        <v>1</v>
      </c>
    </row>
    <row r="4774" spans="1:52" x14ac:dyDescent="0.3">
      <c r="A4774" t="s">
        <v>52</v>
      </c>
      <c r="B4774" t="s">
        <v>53</v>
      </c>
      <c r="C4774" t="s">
        <v>54</v>
      </c>
      <c r="D4774" t="s">
        <v>55</v>
      </c>
      <c r="E4774" t="s">
        <v>2224</v>
      </c>
      <c r="F4774" t="s">
        <v>57</v>
      </c>
      <c r="G4774" t="s">
        <v>300</v>
      </c>
      <c r="H4774" t="s">
        <v>301</v>
      </c>
      <c r="I4774" t="s">
        <v>301</v>
      </c>
      <c r="J4774" t="s">
        <v>60</v>
      </c>
      <c r="K4774" t="s">
        <v>150</v>
      </c>
      <c r="L4774" t="s">
        <v>62</v>
      </c>
      <c r="M4774" t="s">
        <v>150</v>
      </c>
      <c r="N4774" t="s">
        <v>302</v>
      </c>
      <c r="O4774" t="s">
        <v>303</v>
      </c>
      <c r="P4774">
        <v>-20.172993000000002</v>
      </c>
      <c r="Q4774">
        <v>-44.853588999999999</v>
      </c>
      <c r="R4774" s="2" t="str">
        <f>HYPERLINK("https://www.google.com/maps?q=-20.1729930,-44.8535890","Abrir no Google Maps")</f>
        <v>Abrir no Google Maps</v>
      </c>
      <c r="S4774">
        <v>4</v>
      </c>
      <c r="T4774">
        <v>1041.446216907221</v>
      </c>
      <c r="U4774">
        <v>4</v>
      </c>
      <c r="V4774">
        <v>0.1666666666666666</v>
      </c>
      <c r="W4774">
        <v>1</v>
      </c>
      <c r="X4774">
        <v>0.1666666666666666</v>
      </c>
      <c r="Y4774">
        <v>292</v>
      </c>
      <c r="Z4774">
        <v>978.86270909763937</v>
      </c>
      <c r="AA4774">
        <v>198</v>
      </c>
      <c r="AB4774">
        <v>332</v>
      </c>
      <c r="AC4774">
        <v>536</v>
      </c>
      <c r="AD4774">
        <v>32.42</v>
      </c>
      <c r="AE4774">
        <v>542</v>
      </c>
      <c r="AF4774">
        <v>39</v>
      </c>
      <c r="AG4774">
        <v>173</v>
      </c>
      <c r="AH4774">
        <v>129</v>
      </c>
      <c r="AI4774">
        <v>7.2</v>
      </c>
      <c r="AJ4774">
        <v>31.92</v>
      </c>
      <c r="AK4774">
        <v>23.8</v>
      </c>
      <c r="AL4774">
        <v>-20.173142449999968</v>
      </c>
      <c r="AM4774">
        <v>-44.853588035903172</v>
      </c>
      <c r="AN4774">
        <v>-20.173142449999968</v>
      </c>
      <c r="AO4774">
        <v>-44.853588035903172</v>
      </c>
      <c r="AP4774">
        <v>-20.172993000000002</v>
      </c>
      <c r="AQ4774">
        <v>-44.853588999999999</v>
      </c>
      <c r="AR4774">
        <v>16.637078994259841</v>
      </c>
      <c r="AS4774" t="s">
        <v>65</v>
      </c>
      <c r="AT4774">
        <v>1</v>
      </c>
      <c r="AU4774" t="s">
        <v>304</v>
      </c>
      <c r="AV4774" t="s">
        <v>305</v>
      </c>
      <c r="AW4774" t="s">
        <v>60</v>
      </c>
      <c r="AX4774" t="s">
        <v>68</v>
      </c>
      <c r="AY4774" t="s">
        <v>69</v>
      </c>
      <c r="AZ4774" t="b">
        <v>1</v>
      </c>
    </row>
    <row r="4775" spans="1:52" x14ac:dyDescent="0.3">
      <c r="A4775" t="s">
        <v>52</v>
      </c>
      <c r="B4775" t="s">
        <v>53</v>
      </c>
      <c r="C4775" t="s">
        <v>54</v>
      </c>
      <c r="D4775" t="s">
        <v>55</v>
      </c>
      <c r="E4775" t="s">
        <v>2224</v>
      </c>
      <c r="F4775" t="s">
        <v>57</v>
      </c>
      <c r="G4775" t="s">
        <v>1702</v>
      </c>
      <c r="H4775" t="s">
        <v>1703</v>
      </c>
      <c r="I4775" t="s">
        <v>1703</v>
      </c>
      <c r="J4775" t="s">
        <v>60</v>
      </c>
      <c r="K4775" t="s">
        <v>143</v>
      </c>
      <c r="L4775" t="s">
        <v>62</v>
      </c>
      <c r="M4775" t="s">
        <v>143</v>
      </c>
      <c r="N4775" t="s">
        <v>1704</v>
      </c>
      <c r="O4775" t="s">
        <v>1705</v>
      </c>
      <c r="P4775">
        <v>-20.166733000000001</v>
      </c>
      <c r="Q4775">
        <v>-44.837273000000003</v>
      </c>
      <c r="R4775" s="2" t="str">
        <f>HYPERLINK("https://www.google.com/maps?q=-20.1667330,-44.8372730","Abrir no Google Maps")</f>
        <v>Abrir no Google Maps</v>
      </c>
      <c r="S4775">
        <v>4</v>
      </c>
      <c r="T4775">
        <v>1092.9004991941661</v>
      </c>
      <c r="U4775">
        <v>4</v>
      </c>
      <c r="V4775">
        <v>0.160377358490566</v>
      </c>
      <c r="W4775">
        <v>0.85</v>
      </c>
      <c r="X4775">
        <v>0.1363207547169811</v>
      </c>
      <c r="Y4775">
        <v>292</v>
      </c>
      <c r="Z4775">
        <v>1132.696229139676</v>
      </c>
      <c r="AA4775">
        <v>198</v>
      </c>
      <c r="AB4775">
        <v>332</v>
      </c>
      <c r="AC4775">
        <v>536</v>
      </c>
      <c r="AD4775">
        <v>32.42</v>
      </c>
      <c r="AE4775">
        <v>542</v>
      </c>
      <c r="AF4775">
        <v>39</v>
      </c>
      <c r="AG4775">
        <v>173</v>
      </c>
      <c r="AH4775">
        <v>129</v>
      </c>
      <c r="AI4775">
        <v>7.2</v>
      </c>
      <c r="AJ4775">
        <v>31.92</v>
      </c>
      <c r="AK4775">
        <v>23.8</v>
      </c>
      <c r="AL4775">
        <v>-20.166934899999941</v>
      </c>
      <c r="AM4775">
        <v>-44.837186632575722</v>
      </c>
      <c r="AN4775">
        <v>-20.166934899999941</v>
      </c>
      <c r="AO4775">
        <v>-44.837186632575722</v>
      </c>
      <c r="AP4775">
        <v>-20.166733000000001</v>
      </c>
      <c r="AQ4775">
        <v>-44.837273000000003</v>
      </c>
      <c r="AR4775">
        <v>24.219800989920522</v>
      </c>
      <c r="AS4775" t="s">
        <v>65</v>
      </c>
      <c r="AT4775">
        <v>1</v>
      </c>
      <c r="AU4775" t="s">
        <v>1706</v>
      </c>
      <c r="AV4775" t="s">
        <v>1707</v>
      </c>
      <c r="AW4775" t="s">
        <v>60</v>
      </c>
      <c r="AX4775" t="s">
        <v>68</v>
      </c>
      <c r="AY4775" t="s">
        <v>69</v>
      </c>
      <c r="AZ4775" t="b">
        <v>1</v>
      </c>
    </row>
    <row r="4776" spans="1:52" x14ac:dyDescent="0.3">
      <c r="A4776" t="s">
        <v>52</v>
      </c>
      <c r="B4776" t="s">
        <v>53</v>
      </c>
      <c r="C4776" t="s">
        <v>54</v>
      </c>
      <c r="D4776" t="s">
        <v>55</v>
      </c>
      <c r="E4776" t="s">
        <v>2224</v>
      </c>
      <c r="F4776" t="s">
        <v>57</v>
      </c>
      <c r="G4776" t="s">
        <v>1708</v>
      </c>
      <c r="H4776" t="s">
        <v>1709</v>
      </c>
      <c r="I4776" t="s">
        <v>1709</v>
      </c>
      <c r="J4776" t="s">
        <v>60</v>
      </c>
      <c r="K4776" t="s">
        <v>1710</v>
      </c>
      <c r="L4776" t="s">
        <v>62</v>
      </c>
      <c r="M4776" t="s">
        <v>1710</v>
      </c>
      <c r="N4776" t="s">
        <v>1711</v>
      </c>
      <c r="O4776" t="s">
        <v>1712</v>
      </c>
      <c r="P4776">
        <v>-20.15184</v>
      </c>
      <c r="Q4776">
        <v>-44.83925</v>
      </c>
      <c r="R4776" s="2" t="str">
        <f>HYPERLINK("https://www.google.com/maps?q=-20.1518400,-44.8392500","Abrir no Google Maps")</f>
        <v>Abrir no Google Maps</v>
      </c>
      <c r="S4776">
        <v>4</v>
      </c>
      <c r="T4776">
        <v>1728.5795777153901</v>
      </c>
      <c r="U4776">
        <v>4</v>
      </c>
      <c r="V4776">
        <v>0.1648936170212765</v>
      </c>
      <c r="W4776">
        <v>0.85</v>
      </c>
      <c r="X4776">
        <v>0.140159574468085</v>
      </c>
      <c r="Y4776">
        <v>292</v>
      </c>
      <c r="Z4776">
        <v>1820.006956919507</v>
      </c>
      <c r="AA4776">
        <v>198</v>
      </c>
      <c r="AB4776">
        <v>332</v>
      </c>
      <c r="AC4776">
        <v>536</v>
      </c>
      <c r="AD4776">
        <v>32.42</v>
      </c>
      <c r="AE4776">
        <v>542</v>
      </c>
      <c r="AF4776">
        <v>39</v>
      </c>
      <c r="AG4776">
        <v>173</v>
      </c>
      <c r="AH4776">
        <v>129</v>
      </c>
      <c r="AI4776">
        <v>7.2</v>
      </c>
      <c r="AJ4776">
        <v>31.92</v>
      </c>
      <c r="AK4776">
        <v>23.8</v>
      </c>
      <c r="AL4776">
        <v>-20.151719099999951</v>
      </c>
      <c r="AM4776">
        <v>-44.840074931592113</v>
      </c>
      <c r="AN4776">
        <v>-20.151719099999951</v>
      </c>
      <c r="AO4776">
        <v>-44.840074931592113</v>
      </c>
      <c r="AP4776">
        <v>-20.15184</v>
      </c>
      <c r="AQ4776">
        <v>-44.83925</v>
      </c>
      <c r="AR4776">
        <v>87.254018820689481</v>
      </c>
      <c r="AS4776" t="s">
        <v>65</v>
      </c>
      <c r="AT4776">
        <v>1</v>
      </c>
      <c r="AU4776" t="s">
        <v>1713</v>
      </c>
      <c r="AV4776" t="s">
        <v>1714</v>
      </c>
      <c r="AW4776" t="s">
        <v>60</v>
      </c>
      <c r="AX4776" t="s">
        <v>68</v>
      </c>
      <c r="AY4776" t="s">
        <v>69</v>
      </c>
      <c r="AZ4776" t="b">
        <v>1</v>
      </c>
    </row>
    <row r="4777" spans="1:52" x14ac:dyDescent="0.3">
      <c r="A4777" t="s">
        <v>52</v>
      </c>
      <c r="B4777" t="s">
        <v>53</v>
      </c>
      <c r="C4777" t="s">
        <v>54</v>
      </c>
      <c r="D4777" t="s">
        <v>55</v>
      </c>
      <c r="E4777" t="s">
        <v>2224</v>
      </c>
      <c r="F4777" t="s">
        <v>57</v>
      </c>
      <c r="G4777" t="s">
        <v>306</v>
      </c>
      <c r="H4777" t="s">
        <v>307</v>
      </c>
      <c r="I4777" t="s">
        <v>307</v>
      </c>
      <c r="J4777" t="s">
        <v>60</v>
      </c>
      <c r="K4777" t="s">
        <v>143</v>
      </c>
      <c r="L4777" t="s">
        <v>62</v>
      </c>
      <c r="M4777" t="s">
        <v>143</v>
      </c>
      <c r="N4777" t="s">
        <v>308</v>
      </c>
      <c r="O4777" t="s">
        <v>309</v>
      </c>
      <c r="P4777">
        <v>-20.167071</v>
      </c>
      <c r="Q4777">
        <v>-44.842730000000003</v>
      </c>
      <c r="R4777" s="2" t="str">
        <f>HYPERLINK("https://www.google.com/maps?q=-20.1670710,-44.8427300","Abrir no Google Maps")</f>
        <v>Abrir no Google Maps</v>
      </c>
      <c r="S4777">
        <v>4</v>
      </c>
      <c r="T4777">
        <v>535.14780070571521</v>
      </c>
      <c r="U4777">
        <v>4</v>
      </c>
      <c r="V4777">
        <v>0.15294117647058819</v>
      </c>
      <c r="W4777">
        <v>1</v>
      </c>
      <c r="X4777">
        <v>0.15294117647058819</v>
      </c>
      <c r="Y4777">
        <v>292</v>
      </c>
      <c r="Z4777">
        <v>582.78942050501109</v>
      </c>
      <c r="AA4777">
        <v>198</v>
      </c>
      <c r="AB4777">
        <v>332</v>
      </c>
      <c r="AC4777">
        <v>536</v>
      </c>
      <c r="AD4777">
        <v>32.42</v>
      </c>
      <c r="AE4777">
        <v>542</v>
      </c>
      <c r="AF4777">
        <v>39</v>
      </c>
      <c r="AG4777">
        <v>173</v>
      </c>
      <c r="AH4777">
        <v>129</v>
      </c>
      <c r="AI4777">
        <v>7.2</v>
      </c>
      <c r="AJ4777">
        <v>31.92</v>
      </c>
      <c r="AK4777">
        <v>23.8</v>
      </c>
      <c r="AL4777">
        <v>-20.167006799999971</v>
      </c>
      <c r="AM4777">
        <v>-44.842640974693197</v>
      </c>
      <c r="AN4777">
        <v>-20.167006799999971</v>
      </c>
      <c r="AO4777">
        <v>-44.842640974693197</v>
      </c>
      <c r="AP4777">
        <v>-20.167071</v>
      </c>
      <c r="AQ4777">
        <v>-44.842730000000003</v>
      </c>
      <c r="AR4777">
        <v>11.73100304278117</v>
      </c>
      <c r="AS4777" t="s">
        <v>65</v>
      </c>
      <c r="AT4777">
        <v>1</v>
      </c>
      <c r="AU4777" t="s">
        <v>310</v>
      </c>
      <c r="AV4777" t="s">
        <v>311</v>
      </c>
      <c r="AW4777" t="s">
        <v>60</v>
      </c>
      <c r="AX4777" t="s">
        <v>68</v>
      </c>
      <c r="AY4777" t="s">
        <v>69</v>
      </c>
      <c r="AZ4777" t="b">
        <v>1</v>
      </c>
    </row>
    <row r="4778" spans="1:52" x14ac:dyDescent="0.3">
      <c r="A4778" t="s">
        <v>52</v>
      </c>
      <c r="B4778" t="s">
        <v>53</v>
      </c>
      <c r="C4778" t="s">
        <v>54</v>
      </c>
      <c r="D4778" t="s">
        <v>55</v>
      </c>
      <c r="E4778" t="s">
        <v>2224</v>
      </c>
      <c r="F4778" t="s">
        <v>57</v>
      </c>
      <c r="G4778" t="s">
        <v>312</v>
      </c>
      <c r="H4778" t="s">
        <v>313</v>
      </c>
      <c r="I4778" t="s">
        <v>313</v>
      </c>
      <c r="J4778" t="s">
        <v>60</v>
      </c>
      <c r="K4778" t="s">
        <v>143</v>
      </c>
      <c r="L4778" t="s">
        <v>62</v>
      </c>
      <c r="M4778" t="s">
        <v>143</v>
      </c>
      <c r="N4778" t="s">
        <v>314</v>
      </c>
      <c r="O4778" t="s">
        <v>315</v>
      </c>
      <c r="P4778">
        <v>-20.168939000000002</v>
      </c>
      <c r="Q4778">
        <v>-44.843286999999997</v>
      </c>
      <c r="R4778" s="2" t="str">
        <f>HYPERLINK("https://www.google.com/maps?q=-20.1689390,-44.8432870","Abrir no Google Maps")</f>
        <v>Abrir no Google Maps</v>
      </c>
      <c r="S4778">
        <v>4</v>
      </c>
      <c r="T4778">
        <v>582.22902758915586</v>
      </c>
      <c r="U4778">
        <v>4</v>
      </c>
      <c r="V4778">
        <v>0.15083798882681559</v>
      </c>
      <c r="W4778">
        <v>1</v>
      </c>
      <c r="X4778">
        <v>0.15083798882681559</v>
      </c>
      <c r="Y4778">
        <v>292</v>
      </c>
      <c r="Z4778">
        <v>628.29035609472794</v>
      </c>
      <c r="AA4778">
        <v>198</v>
      </c>
      <c r="AB4778">
        <v>332</v>
      </c>
      <c r="AC4778">
        <v>536</v>
      </c>
      <c r="AD4778">
        <v>32.42</v>
      </c>
      <c r="AE4778">
        <v>542</v>
      </c>
      <c r="AF4778">
        <v>39</v>
      </c>
      <c r="AG4778">
        <v>173</v>
      </c>
      <c r="AH4778">
        <v>129</v>
      </c>
      <c r="AI4778">
        <v>7.2</v>
      </c>
      <c r="AJ4778">
        <v>31.92</v>
      </c>
      <c r="AK4778">
        <v>23.8</v>
      </c>
      <c r="AL4778">
        <v>-20.16917709999996</v>
      </c>
      <c r="AM4778">
        <v>-44.84342194427667</v>
      </c>
      <c r="AN4778">
        <v>-20.16917709999996</v>
      </c>
      <c r="AO4778">
        <v>-44.84342194427667</v>
      </c>
      <c r="AP4778">
        <v>-20.168939000000002</v>
      </c>
      <c r="AQ4778">
        <v>-44.843286999999997</v>
      </c>
      <c r="AR4778">
        <v>30.02272213565665</v>
      </c>
      <c r="AS4778" t="s">
        <v>65</v>
      </c>
      <c r="AT4778">
        <v>1</v>
      </c>
      <c r="AU4778" t="s">
        <v>316</v>
      </c>
      <c r="AV4778" t="s">
        <v>311</v>
      </c>
      <c r="AW4778" t="s">
        <v>60</v>
      </c>
      <c r="AX4778" t="s">
        <v>68</v>
      </c>
      <c r="AY4778" t="s">
        <v>69</v>
      </c>
      <c r="AZ4778" t="b">
        <v>1</v>
      </c>
    </row>
    <row r="4779" spans="1:52" x14ac:dyDescent="0.3">
      <c r="A4779" t="s">
        <v>52</v>
      </c>
      <c r="B4779" t="s">
        <v>53</v>
      </c>
      <c r="C4779" t="s">
        <v>54</v>
      </c>
      <c r="D4779" t="s">
        <v>55</v>
      </c>
      <c r="E4779" t="s">
        <v>2224</v>
      </c>
      <c r="F4779" t="s">
        <v>57</v>
      </c>
      <c r="G4779" t="s">
        <v>260</v>
      </c>
      <c r="H4779" t="s">
        <v>317</v>
      </c>
      <c r="I4779" t="s">
        <v>317</v>
      </c>
      <c r="J4779" t="s">
        <v>60</v>
      </c>
      <c r="K4779" t="s">
        <v>255</v>
      </c>
      <c r="L4779" t="s">
        <v>62</v>
      </c>
      <c r="M4779" t="s">
        <v>255</v>
      </c>
      <c r="N4779" t="s">
        <v>263</v>
      </c>
      <c r="O4779" t="s">
        <v>318</v>
      </c>
      <c r="P4779">
        <v>-20.163532</v>
      </c>
      <c r="Q4779">
        <v>-44.846910999999999</v>
      </c>
      <c r="R4779" s="2" t="str">
        <f>HYPERLINK("https://www.google.com/maps?q=-20.1635320,-44.8469110","Abrir no Google Maps")</f>
        <v>Abrir no Google Maps</v>
      </c>
      <c r="S4779">
        <v>4</v>
      </c>
      <c r="T4779">
        <v>259.92389401636012</v>
      </c>
      <c r="U4779">
        <v>4</v>
      </c>
      <c r="V4779">
        <v>0.16193181818181809</v>
      </c>
      <c r="W4779">
        <v>1</v>
      </c>
      <c r="X4779">
        <v>0.16193181818181809</v>
      </c>
      <c r="Y4779">
        <v>292</v>
      </c>
      <c r="Z4779">
        <v>316.26738966059708</v>
      </c>
      <c r="AA4779">
        <v>198</v>
      </c>
      <c r="AB4779">
        <v>332</v>
      </c>
      <c r="AC4779">
        <v>536</v>
      </c>
      <c r="AD4779">
        <v>32.42</v>
      </c>
      <c r="AE4779">
        <v>542</v>
      </c>
      <c r="AF4779">
        <v>39</v>
      </c>
      <c r="AG4779">
        <v>173</v>
      </c>
      <c r="AH4779">
        <v>129</v>
      </c>
      <c r="AI4779">
        <v>7.2</v>
      </c>
      <c r="AJ4779">
        <v>31.92</v>
      </c>
      <c r="AK4779">
        <v>23.8</v>
      </c>
      <c r="AL4779">
        <v>-20.16343344999996</v>
      </c>
      <c r="AM4779">
        <v>-44.846734659744428</v>
      </c>
      <c r="AN4779">
        <v>-20.16343344999996</v>
      </c>
      <c r="AO4779">
        <v>-44.846734659744428</v>
      </c>
      <c r="AP4779">
        <v>-20.163532</v>
      </c>
      <c r="AQ4779">
        <v>-44.846910999999999</v>
      </c>
      <c r="AR4779">
        <v>21.445575432006599</v>
      </c>
      <c r="AS4779" t="s">
        <v>65</v>
      </c>
      <c r="AT4779">
        <v>1</v>
      </c>
      <c r="AU4779" t="s">
        <v>319</v>
      </c>
      <c r="AV4779" t="s">
        <v>320</v>
      </c>
      <c r="AW4779" t="s">
        <v>60</v>
      </c>
      <c r="AX4779" t="s">
        <v>68</v>
      </c>
      <c r="AY4779" t="s">
        <v>69</v>
      </c>
      <c r="AZ4779" t="b">
        <v>1</v>
      </c>
    </row>
    <row r="4780" spans="1:52" x14ac:dyDescent="0.3">
      <c r="A4780" t="s">
        <v>52</v>
      </c>
      <c r="B4780" t="s">
        <v>53</v>
      </c>
      <c r="C4780" t="s">
        <v>54</v>
      </c>
      <c r="D4780" t="s">
        <v>55</v>
      </c>
      <c r="E4780" t="s">
        <v>2224</v>
      </c>
      <c r="F4780" t="s">
        <v>57</v>
      </c>
      <c r="G4780" t="s">
        <v>321</v>
      </c>
      <c r="H4780" t="s">
        <v>322</v>
      </c>
      <c r="I4780" t="s">
        <v>322</v>
      </c>
      <c r="J4780" t="s">
        <v>60</v>
      </c>
      <c r="K4780" t="s">
        <v>323</v>
      </c>
      <c r="L4780" t="s">
        <v>62</v>
      </c>
      <c r="M4780" t="s">
        <v>323</v>
      </c>
      <c r="N4780" t="s">
        <v>324</v>
      </c>
      <c r="O4780" t="s">
        <v>325</v>
      </c>
      <c r="P4780">
        <v>-20.151437999999999</v>
      </c>
      <c r="Q4780">
        <v>-44.855761000000001</v>
      </c>
      <c r="R4780" s="2" t="str">
        <f>HYPERLINK("https://www.google.com/maps?q=-20.1514380,-44.8557610","Abrir no Google Maps")</f>
        <v>Abrir no Google Maps</v>
      </c>
      <c r="S4780">
        <v>4</v>
      </c>
      <c r="T4780">
        <v>970.69989262042009</v>
      </c>
      <c r="U4780">
        <v>4</v>
      </c>
      <c r="V4780">
        <v>0.1659388646288209</v>
      </c>
      <c r="W4780">
        <v>1</v>
      </c>
      <c r="X4780">
        <v>0.1659388646288209</v>
      </c>
      <c r="Y4780">
        <v>264</v>
      </c>
      <c r="Z4780">
        <v>1041.0105988261671</v>
      </c>
      <c r="AA4780">
        <v>198</v>
      </c>
      <c r="AB4780">
        <v>332</v>
      </c>
      <c r="AC4780">
        <v>536</v>
      </c>
      <c r="AD4780">
        <v>32.42</v>
      </c>
      <c r="AE4780">
        <v>542</v>
      </c>
      <c r="AF4780">
        <v>39</v>
      </c>
      <c r="AG4780">
        <v>173</v>
      </c>
      <c r="AH4780">
        <v>129</v>
      </c>
      <c r="AI4780">
        <v>7.2</v>
      </c>
      <c r="AJ4780">
        <v>31.92</v>
      </c>
      <c r="AK4780">
        <v>23.8</v>
      </c>
      <c r="AL4780">
        <v>-20.15142824999996</v>
      </c>
      <c r="AM4780">
        <v>-44.854100160898767</v>
      </c>
      <c r="AN4780">
        <v>-20.15142824999996</v>
      </c>
      <c r="AO4780">
        <v>-44.854100160898767</v>
      </c>
      <c r="AP4780">
        <v>-20.151437999999999</v>
      </c>
      <c r="AQ4780">
        <v>-44.855761000000001</v>
      </c>
      <c r="AR4780">
        <v>173.57036632351381</v>
      </c>
      <c r="AS4780" t="s">
        <v>65</v>
      </c>
      <c r="AT4780">
        <v>1</v>
      </c>
      <c r="AU4780" t="s">
        <v>326</v>
      </c>
      <c r="AV4780" t="s">
        <v>327</v>
      </c>
      <c r="AW4780" t="s">
        <v>60</v>
      </c>
      <c r="AX4780" t="s">
        <v>68</v>
      </c>
      <c r="AY4780" t="s">
        <v>69</v>
      </c>
      <c r="AZ4780" t="b">
        <v>1</v>
      </c>
    </row>
    <row r="4781" spans="1:52" x14ac:dyDescent="0.3">
      <c r="A4781" t="s">
        <v>52</v>
      </c>
      <c r="B4781" t="s">
        <v>53</v>
      </c>
      <c r="C4781" t="s">
        <v>54</v>
      </c>
      <c r="D4781" t="s">
        <v>55</v>
      </c>
      <c r="E4781" t="s">
        <v>2224</v>
      </c>
      <c r="F4781" t="s">
        <v>57</v>
      </c>
      <c r="G4781" t="s">
        <v>341</v>
      </c>
      <c r="H4781" t="s">
        <v>342</v>
      </c>
      <c r="I4781" t="s">
        <v>342</v>
      </c>
      <c r="J4781" t="s">
        <v>60</v>
      </c>
      <c r="K4781" t="s">
        <v>164</v>
      </c>
      <c r="L4781" t="s">
        <v>62</v>
      </c>
      <c r="M4781" t="s">
        <v>164</v>
      </c>
      <c r="N4781" t="s">
        <v>343</v>
      </c>
      <c r="O4781" t="s">
        <v>344</v>
      </c>
      <c r="P4781">
        <v>-20.17606</v>
      </c>
      <c r="Q4781">
        <v>-44.880409999999998</v>
      </c>
      <c r="R4781" s="2" t="str">
        <f>HYPERLINK("https://www.google.com/maps?q=-20.1760600,-44.8804100","Abrir no Google Maps")</f>
        <v>Abrir no Google Maps</v>
      </c>
      <c r="S4781">
        <v>4</v>
      </c>
      <c r="T4781">
        <v>556.35468246023754</v>
      </c>
      <c r="U4781">
        <v>4</v>
      </c>
      <c r="V4781">
        <v>0.15257352941176469</v>
      </c>
      <c r="W4781">
        <v>1</v>
      </c>
      <c r="X4781">
        <v>0.15257352941176469</v>
      </c>
      <c r="Y4781">
        <v>232</v>
      </c>
      <c r="Z4781">
        <v>674.22003156100322</v>
      </c>
      <c r="AA4781">
        <v>198</v>
      </c>
      <c r="AB4781">
        <v>332</v>
      </c>
      <c r="AC4781">
        <v>536</v>
      </c>
      <c r="AD4781">
        <v>32.42</v>
      </c>
      <c r="AE4781">
        <v>542</v>
      </c>
      <c r="AF4781">
        <v>39</v>
      </c>
      <c r="AG4781">
        <v>173</v>
      </c>
      <c r="AH4781">
        <v>129</v>
      </c>
      <c r="AI4781">
        <v>7.2</v>
      </c>
      <c r="AJ4781">
        <v>31.92</v>
      </c>
      <c r="AK4781">
        <v>23.8</v>
      </c>
      <c r="AL4781">
        <v>-20.176226899999961</v>
      </c>
      <c r="AM4781">
        <v>-44.880527903427911</v>
      </c>
      <c r="AN4781">
        <v>-20.176226899999961</v>
      </c>
      <c r="AO4781">
        <v>-44.880527903427911</v>
      </c>
      <c r="AP4781">
        <v>-20.17606</v>
      </c>
      <c r="AQ4781">
        <v>-44.880409999999998</v>
      </c>
      <c r="AR4781">
        <v>22.292677247804349</v>
      </c>
      <c r="AS4781" t="s">
        <v>65</v>
      </c>
      <c r="AT4781">
        <v>1</v>
      </c>
      <c r="AU4781" t="s">
        <v>345</v>
      </c>
      <c r="AV4781" t="s">
        <v>346</v>
      </c>
      <c r="AW4781" t="s">
        <v>60</v>
      </c>
      <c r="AX4781" t="s">
        <v>68</v>
      </c>
      <c r="AY4781" t="s">
        <v>69</v>
      </c>
      <c r="AZ4781" t="b">
        <v>1</v>
      </c>
    </row>
    <row r="4782" spans="1:52" x14ac:dyDescent="0.3">
      <c r="A4782" t="s">
        <v>52</v>
      </c>
      <c r="B4782" t="s">
        <v>53</v>
      </c>
      <c r="C4782" t="s">
        <v>54</v>
      </c>
      <c r="D4782" t="s">
        <v>55</v>
      </c>
      <c r="E4782" t="s">
        <v>2224</v>
      </c>
      <c r="F4782" t="s">
        <v>57</v>
      </c>
      <c r="G4782" t="s">
        <v>162</v>
      </c>
      <c r="H4782" t="s">
        <v>163</v>
      </c>
      <c r="I4782" t="s">
        <v>163</v>
      </c>
      <c r="J4782" t="s">
        <v>60</v>
      </c>
      <c r="K4782" t="s">
        <v>164</v>
      </c>
      <c r="L4782" t="s">
        <v>62</v>
      </c>
      <c r="M4782" t="s">
        <v>164</v>
      </c>
      <c r="N4782" t="s">
        <v>165</v>
      </c>
      <c r="O4782" t="s">
        <v>166</v>
      </c>
      <c r="P4782">
        <v>-20.175967</v>
      </c>
      <c r="Q4782">
        <v>-44.876730000000002</v>
      </c>
      <c r="R4782" s="2" t="str">
        <f>HYPERLINK("https://www.google.com/maps?q=-20.1759670,-44.8767300","Abrir no Google Maps")</f>
        <v>Abrir no Google Maps</v>
      </c>
      <c r="S4782">
        <v>4</v>
      </c>
      <c r="T4782">
        <v>692.5753730151132</v>
      </c>
      <c r="U4782">
        <v>4</v>
      </c>
      <c r="V4782">
        <v>0.15241228070175439</v>
      </c>
      <c r="W4782">
        <v>1</v>
      </c>
      <c r="X4782">
        <v>0.15241228070175439</v>
      </c>
      <c r="Y4782">
        <v>232</v>
      </c>
      <c r="Z4782">
        <v>686.15054949166824</v>
      </c>
      <c r="AA4782">
        <v>198</v>
      </c>
      <c r="AB4782">
        <v>332</v>
      </c>
      <c r="AC4782">
        <v>536</v>
      </c>
      <c r="AD4782">
        <v>32.42</v>
      </c>
      <c r="AE4782">
        <v>542</v>
      </c>
      <c r="AF4782">
        <v>39</v>
      </c>
      <c r="AG4782">
        <v>173</v>
      </c>
      <c r="AH4782">
        <v>129</v>
      </c>
      <c r="AI4782">
        <v>7.2</v>
      </c>
      <c r="AJ4782">
        <v>31.92</v>
      </c>
      <c r="AK4782">
        <v>23.8</v>
      </c>
      <c r="AL4782">
        <v>-20.17598664999997</v>
      </c>
      <c r="AM4782">
        <v>-44.876806510253203</v>
      </c>
      <c r="AN4782">
        <v>-20.17598664999997</v>
      </c>
      <c r="AO4782">
        <v>-44.876806510253203</v>
      </c>
      <c r="AP4782">
        <v>-20.175967</v>
      </c>
      <c r="AQ4782">
        <v>-44.876730000000002</v>
      </c>
      <c r="AR4782">
        <v>8.2883514287440097</v>
      </c>
      <c r="AS4782" t="s">
        <v>65</v>
      </c>
      <c r="AT4782">
        <v>1</v>
      </c>
      <c r="AU4782" t="s">
        <v>167</v>
      </c>
      <c r="AV4782" t="s">
        <v>168</v>
      </c>
      <c r="AW4782" t="s">
        <v>60</v>
      </c>
      <c r="AX4782" t="s">
        <v>68</v>
      </c>
      <c r="AY4782" t="s">
        <v>69</v>
      </c>
      <c r="AZ4782" t="b">
        <v>1</v>
      </c>
    </row>
    <row r="4783" spans="1:52" x14ac:dyDescent="0.3">
      <c r="A4783" t="s">
        <v>52</v>
      </c>
      <c r="B4783" t="s">
        <v>53</v>
      </c>
      <c r="C4783" t="s">
        <v>54</v>
      </c>
      <c r="D4783" t="s">
        <v>55</v>
      </c>
      <c r="E4783" t="s">
        <v>2224</v>
      </c>
      <c r="F4783" t="s">
        <v>57</v>
      </c>
      <c r="G4783" t="s">
        <v>347</v>
      </c>
      <c r="H4783" t="s">
        <v>348</v>
      </c>
      <c r="I4783" t="s">
        <v>348</v>
      </c>
      <c r="J4783" t="s">
        <v>60</v>
      </c>
      <c r="K4783" t="s">
        <v>157</v>
      </c>
      <c r="L4783" t="s">
        <v>62</v>
      </c>
      <c r="M4783" t="s">
        <v>157</v>
      </c>
      <c r="N4783" t="s">
        <v>349</v>
      </c>
      <c r="O4783" t="s">
        <v>350</v>
      </c>
      <c r="P4783">
        <v>-20.171206999999999</v>
      </c>
      <c r="Q4783">
        <v>-44.881143999999999</v>
      </c>
      <c r="R4783" s="2" t="str">
        <f>HYPERLINK("https://www.google.com/maps?q=-20.1712070,-44.8811440","Abrir no Google Maps")</f>
        <v>Abrir no Google Maps</v>
      </c>
      <c r="S4783">
        <v>4</v>
      </c>
      <c r="T4783">
        <v>0</v>
      </c>
      <c r="U4783">
        <v>4</v>
      </c>
      <c r="V4783">
        <v>0.13227513227513221</v>
      </c>
      <c r="W4783">
        <v>1</v>
      </c>
      <c r="X4783">
        <v>0.13227513227513221</v>
      </c>
      <c r="Y4783">
        <v>232</v>
      </c>
      <c r="Z4783">
        <v>184.81719774496389</v>
      </c>
      <c r="AA4783">
        <v>198</v>
      </c>
      <c r="AB4783">
        <v>332</v>
      </c>
      <c r="AC4783">
        <v>536</v>
      </c>
      <c r="AD4783">
        <v>32.42</v>
      </c>
      <c r="AE4783">
        <v>542</v>
      </c>
      <c r="AF4783">
        <v>39</v>
      </c>
      <c r="AG4783">
        <v>173</v>
      </c>
      <c r="AH4783">
        <v>129</v>
      </c>
      <c r="AI4783">
        <v>7.2</v>
      </c>
      <c r="AJ4783">
        <v>31.92</v>
      </c>
      <c r="AK4783">
        <v>23.8</v>
      </c>
      <c r="AL4783">
        <v>-20.171229949999969</v>
      </c>
      <c r="AM4783">
        <v>-44.881113944480241</v>
      </c>
      <c r="AN4783">
        <v>-20.171229949999969</v>
      </c>
      <c r="AO4783">
        <v>-44.881113944480241</v>
      </c>
      <c r="AP4783">
        <v>-20.171206999999999</v>
      </c>
      <c r="AQ4783">
        <v>-44.881143999999999</v>
      </c>
      <c r="AR4783">
        <v>4.0484763362859333</v>
      </c>
      <c r="AS4783" t="s">
        <v>65</v>
      </c>
      <c r="AT4783">
        <v>1</v>
      </c>
      <c r="AU4783" t="s">
        <v>351</v>
      </c>
      <c r="AV4783" t="s">
        <v>352</v>
      </c>
      <c r="AW4783" t="s">
        <v>60</v>
      </c>
      <c r="AX4783" t="s">
        <v>68</v>
      </c>
      <c r="AY4783" t="s">
        <v>69</v>
      </c>
      <c r="AZ4783" t="b">
        <v>1</v>
      </c>
    </row>
    <row r="4784" spans="1:52" x14ac:dyDescent="0.3">
      <c r="A4784" t="s">
        <v>52</v>
      </c>
      <c r="B4784" t="s">
        <v>53</v>
      </c>
      <c r="C4784" t="s">
        <v>54</v>
      </c>
      <c r="D4784" t="s">
        <v>55</v>
      </c>
      <c r="E4784" t="s">
        <v>2224</v>
      </c>
      <c r="F4784" t="s">
        <v>57</v>
      </c>
      <c r="G4784" t="s">
        <v>1127</v>
      </c>
      <c r="H4784" t="s">
        <v>1643</v>
      </c>
      <c r="I4784" t="s">
        <v>1643</v>
      </c>
      <c r="J4784" t="s">
        <v>60</v>
      </c>
      <c r="K4784" t="s">
        <v>1644</v>
      </c>
      <c r="L4784" t="s">
        <v>62</v>
      </c>
      <c r="M4784" t="s">
        <v>1644</v>
      </c>
      <c r="N4784" t="s">
        <v>1645</v>
      </c>
      <c r="O4784" t="s">
        <v>1646</v>
      </c>
      <c r="P4784">
        <v>-20.144261</v>
      </c>
      <c r="Q4784">
        <v>-44.872231999999997</v>
      </c>
      <c r="R4784" s="2" t="str">
        <f>HYPERLINK("https://www.google.com/maps?q=-20.1442610,-44.8722320","Abrir no Google Maps")</f>
        <v>Abrir no Google Maps</v>
      </c>
      <c r="S4784">
        <v>4</v>
      </c>
      <c r="T4784">
        <v>347.76810049345352</v>
      </c>
      <c r="U4784">
        <v>4</v>
      </c>
      <c r="V4784">
        <v>0.18313953488372089</v>
      </c>
      <c r="W4784">
        <v>0.85</v>
      </c>
      <c r="X4784">
        <v>0.15566860465116281</v>
      </c>
      <c r="Y4784">
        <v>209</v>
      </c>
      <c r="Z4784">
        <v>239.9249814054366</v>
      </c>
      <c r="AA4784">
        <v>198</v>
      </c>
      <c r="AB4784">
        <v>332</v>
      </c>
      <c r="AC4784">
        <v>536</v>
      </c>
      <c r="AD4784">
        <v>32.42</v>
      </c>
      <c r="AE4784">
        <v>542</v>
      </c>
      <c r="AF4784">
        <v>39</v>
      </c>
      <c r="AG4784">
        <v>173</v>
      </c>
      <c r="AH4784">
        <v>129</v>
      </c>
      <c r="AI4784">
        <v>7.2</v>
      </c>
      <c r="AJ4784">
        <v>31.92</v>
      </c>
      <c r="AK4784">
        <v>23.8</v>
      </c>
      <c r="AL4784">
        <v>-20.144283649999949</v>
      </c>
      <c r="AM4784">
        <v>-44.872299150008573</v>
      </c>
      <c r="AN4784">
        <v>-20.144283649999949</v>
      </c>
      <c r="AO4784">
        <v>-44.872299150008573</v>
      </c>
      <c r="AP4784">
        <v>-20.144261</v>
      </c>
      <c r="AQ4784">
        <v>-44.872231999999997</v>
      </c>
      <c r="AR4784">
        <v>7.4570759248114484</v>
      </c>
      <c r="AS4784" t="s">
        <v>65</v>
      </c>
      <c r="AT4784">
        <v>1</v>
      </c>
      <c r="AU4784" t="s">
        <v>1647</v>
      </c>
      <c r="AV4784" t="s">
        <v>1648</v>
      </c>
      <c r="AW4784" t="s">
        <v>60</v>
      </c>
      <c r="AX4784" t="s">
        <v>68</v>
      </c>
      <c r="AY4784" t="s">
        <v>69</v>
      </c>
      <c r="AZ4784" t="b">
        <v>1</v>
      </c>
    </row>
    <row r="4785" spans="1:52" x14ac:dyDescent="0.3">
      <c r="A4785" t="s">
        <v>52</v>
      </c>
      <c r="B4785" t="s">
        <v>53</v>
      </c>
      <c r="C4785" t="s">
        <v>54</v>
      </c>
      <c r="D4785" t="s">
        <v>55</v>
      </c>
      <c r="E4785" t="s">
        <v>2224</v>
      </c>
      <c r="F4785" t="s">
        <v>57</v>
      </c>
      <c r="G4785" t="s">
        <v>353</v>
      </c>
      <c r="H4785" t="s">
        <v>354</v>
      </c>
      <c r="I4785" t="s">
        <v>354</v>
      </c>
      <c r="J4785" t="s">
        <v>60</v>
      </c>
      <c r="K4785" t="s">
        <v>355</v>
      </c>
      <c r="L4785" t="s">
        <v>62</v>
      </c>
      <c r="M4785" t="s">
        <v>355</v>
      </c>
      <c r="N4785" t="s">
        <v>356</v>
      </c>
      <c r="O4785" t="s">
        <v>357</v>
      </c>
      <c r="P4785">
        <v>-20.147373999999999</v>
      </c>
      <c r="Q4785">
        <v>-44.875141999999997</v>
      </c>
      <c r="R4785" s="2" t="str">
        <f>HYPERLINK("https://www.google.com/maps?q=-20.1473740,-44.8751420","Abrir no Google Maps")</f>
        <v>Abrir no Google Maps</v>
      </c>
      <c r="S4785">
        <v>4</v>
      </c>
      <c r="T4785">
        <v>394.29708169591709</v>
      </c>
      <c r="U4785">
        <v>4</v>
      </c>
      <c r="V4785">
        <v>0.15978260869565211</v>
      </c>
      <c r="W4785">
        <v>1</v>
      </c>
      <c r="X4785">
        <v>0.15978260869565211</v>
      </c>
      <c r="Y4785">
        <v>209</v>
      </c>
      <c r="Z4785">
        <v>326.95034461828868</v>
      </c>
      <c r="AA4785">
        <v>198</v>
      </c>
      <c r="AB4785">
        <v>332</v>
      </c>
      <c r="AC4785">
        <v>536</v>
      </c>
      <c r="AD4785">
        <v>32.42</v>
      </c>
      <c r="AE4785">
        <v>542</v>
      </c>
      <c r="AF4785">
        <v>39</v>
      </c>
      <c r="AG4785">
        <v>173</v>
      </c>
      <c r="AH4785">
        <v>129</v>
      </c>
      <c r="AI4785">
        <v>7.2</v>
      </c>
      <c r="AJ4785">
        <v>31.92</v>
      </c>
      <c r="AK4785">
        <v>23.8</v>
      </c>
      <c r="AL4785">
        <v>-20.147207999999949</v>
      </c>
      <c r="AM4785">
        <v>-44.875152120336942</v>
      </c>
      <c r="AN4785">
        <v>-20.147207999999949</v>
      </c>
      <c r="AO4785">
        <v>-44.875152120336942</v>
      </c>
      <c r="AP4785">
        <v>-20.147373999999999</v>
      </c>
      <c r="AQ4785">
        <v>-44.875141999999997</v>
      </c>
      <c r="AR4785">
        <v>18.509363081081169</v>
      </c>
      <c r="AS4785" t="s">
        <v>65</v>
      </c>
      <c r="AT4785">
        <v>1</v>
      </c>
      <c r="AU4785" t="s">
        <v>358</v>
      </c>
      <c r="AV4785" t="s">
        <v>359</v>
      </c>
      <c r="AW4785" t="s">
        <v>60</v>
      </c>
      <c r="AX4785" t="s">
        <v>68</v>
      </c>
      <c r="AY4785" t="s">
        <v>69</v>
      </c>
      <c r="AZ4785" t="b">
        <v>1</v>
      </c>
    </row>
    <row r="4786" spans="1:52" x14ac:dyDescent="0.3">
      <c r="A4786" t="s">
        <v>52</v>
      </c>
      <c r="B4786" t="s">
        <v>53</v>
      </c>
      <c r="C4786" t="s">
        <v>54</v>
      </c>
      <c r="D4786" t="s">
        <v>55</v>
      </c>
      <c r="E4786" t="s">
        <v>2224</v>
      </c>
      <c r="F4786" t="s">
        <v>57</v>
      </c>
      <c r="G4786" t="s">
        <v>1649</v>
      </c>
      <c r="H4786" t="s">
        <v>1650</v>
      </c>
      <c r="I4786" t="s">
        <v>1650</v>
      </c>
      <c r="J4786" t="s">
        <v>60</v>
      </c>
      <c r="K4786" t="s">
        <v>355</v>
      </c>
      <c r="L4786" t="s">
        <v>62</v>
      </c>
      <c r="M4786" t="s">
        <v>355</v>
      </c>
      <c r="N4786" t="s">
        <v>1651</v>
      </c>
      <c r="O4786" t="s">
        <v>293</v>
      </c>
      <c r="P4786">
        <v>-20.141983</v>
      </c>
      <c r="Q4786">
        <v>-44.871161000000001</v>
      </c>
      <c r="R4786" s="2" t="str">
        <f>HYPERLINK("https://www.google.com/maps?q=-20.1419830,-44.8711610","Abrir no Google Maps")</f>
        <v>Abrir no Google Maps</v>
      </c>
      <c r="S4786">
        <v>4</v>
      </c>
      <c r="T4786">
        <v>492.40092389187612</v>
      </c>
      <c r="U4786">
        <v>4</v>
      </c>
      <c r="V4786">
        <v>0.17771084337349391</v>
      </c>
      <c r="W4786">
        <v>1</v>
      </c>
      <c r="X4786">
        <v>0.17771084337349391</v>
      </c>
      <c r="Y4786">
        <v>209</v>
      </c>
      <c r="Z4786">
        <v>425.51195583014947</v>
      </c>
      <c r="AA4786">
        <v>198</v>
      </c>
      <c r="AB4786">
        <v>332</v>
      </c>
      <c r="AC4786">
        <v>536</v>
      </c>
      <c r="AD4786">
        <v>32.42</v>
      </c>
      <c r="AE4786">
        <v>542</v>
      </c>
      <c r="AF4786">
        <v>39</v>
      </c>
      <c r="AG4786">
        <v>173</v>
      </c>
      <c r="AH4786">
        <v>129</v>
      </c>
      <c r="AI4786">
        <v>7.2</v>
      </c>
      <c r="AJ4786">
        <v>31.92</v>
      </c>
      <c r="AK4786">
        <v>23.8</v>
      </c>
      <c r="AL4786">
        <v>-20.142006349999971</v>
      </c>
      <c r="AM4786">
        <v>-44.871190369486733</v>
      </c>
      <c r="AN4786">
        <v>-20.142006349999981</v>
      </c>
      <c r="AO4786">
        <v>-44.871190369486733</v>
      </c>
      <c r="AP4786">
        <v>-20.141983</v>
      </c>
      <c r="AQ4786">
        <v>-44.871161000000001</v>
      </c>
      <c r="AR4786">
        <v>4.0221964388318616</v>
      </c>
      <c r="AS4786" t="s">
        <v>65</v>
      </c>
      <c r="AT4786">
        <v>1</v>
      </c>
      <c r="AU4786" t="s">
        <v>1652</v>
      </c>
      <c r="AV4786" t="s">
        <v>1653</v>
      </c>
      <c r="AW4786" t="s">
        <v>60</v>
      </c>
      <c r="AX4786" t="s">
        <v>68</v>
      </c>
      <c r="AY4786" t="s">
        <v>69</v>
      </c>
      <c r="AZ4786" t="b">
        <v>1</v>
      </c>
    </row>
    <row r="4787" spans="1:52" x14ac:dyDescent="0.3">
      <c r="A4787" t="s">
        <v>52</v>
      </c>
      <c r="B4787" t="s">
        <v>53</v>
      </c>
      <c r="C4787" t="s">
        <v>54</v>
      </c>
      <c r="D4787" t="s">
        <v>55</v>
      </c>
      <c r="E4787" t="s">
        <v>2224</v>
      </c>
      <c r="F4787" t="s">
        <v>57</v>
      </c>
      <c r="G4787" t="s">
        <v>1654</v>
      </c>
      <c r="H4787" t="s">
        <v>1655</v>
      </c>
      <c r="I4787" t="s">
        <v>1655</v>
      </c>
      <c r="J4787" t="s">
        <v>60</v>
      </c>
      <c r="K4787" t="s">
        <v>368</v>
      </c>
      <c r="L4787" t="s">
        <v>62</v>
      </c>
      <c r="M4787" t="s">
        <v>368</v>
      </c>
      <c r="N4787" t="s">
        <v>1656</v>
      </c>
      <c r="O4787" t="s">
        <v>1657</v>
      </c>
      <c r="P4787">
        <v>-20.143647999999999</v>
      </c>
      <c r="Q4787">
        <v>-44.870466</v>
      </c>
      <c r="R4787" s="2" t="str">
        <f>HYPERLINK("https://www.google.com/maps?q=-20.1436480,-44.8704660","Abrir no Google Maps")</f>
        <v>Abrir no Google Maps</v>
      </c>
      <c r="S4787">
        <v>4</v>
      </c>
      <c r="T4787">
        <v>545.81556277505979</v>
      </c>
      <c r="U4787">
        <v>4</v>
      </c>
      <c r="V4787">
        <v>0.1618357487922705</v>
      </c>
      <c r="W4787">
        <v>1</v>
      </c>
      <c r="X4787">
        <v>0.1618357487922705</v>
      </c>
      <c r="Y4787">
        <v>198</v>
      </c>
      <c r="Z4787">
        <v>258.83396188518708</v>
      </c>
      <c r="AA4787">
        <v>198</v>
      </c>
      <c r="AB4787">
        <v>332</v>
      </c>
      <c r="AC4787">
        <v>536</v>
      </c>
      <c r="AD4787">
        <v>32.42</v>
      </c>
      <c r="AE4787">
        <v>542</v>
      </c>
      <c r="AF4787">
        <v>39</v>
      </c>
      <c r="AG4787">
        <v>173</v>
      </c>
      <c r="AH4787">
        <v>129</v>
      </c>
      <c r="AI4787">
        <v>7.2</v>
      </c>
      <c r="AJ4787">
        <v>31.92</v>
      </c>
      <c r="AK4787">
        <v>23.8</v>
      </c>
      <c r="AL4787">
        <v>-20.143704099999951</v>
      </c>
      <c r="AM4787">
        <v>-44.870339403868741</v>
      </c>
      <c r="AN4787">
        <v>-20.143704099999951</v>
      </c>
      <c r="AO4787">
        <v>-44.870339403868741</v>
      </c>
      <c r="AP4787">
        <v>-20.143647999999999</v>
      </c>
      <c r="AQ4787">
        <v>-44.870466</v>
      </c>
      <c r="AR4787">
        <v>14.63048136060379</v>
      </c>
      <c r="AS4787" t="s">
        <v>65</v>
      </c>
      <c r="AT4787">
        <v>1</v>
      </c>
      <c r="AU4787" t="s">
        <v>1658</v>
      </c>
      <c r="AV4787" t="s">
        <v>1659</v>
      </c>
      <c r="AW4787" t="s">
        <v>60</v>
      </c>
      <c r="AX4787" t="s">
        <v>68</v>
      </c>
      <c r="AY4787" t="s">
        <v>69</v>
      </c>
      <c r="AZ4787" t="b">
        <v>1</v>
      </c>
    </row>
    <row r="4788" spans="1:52" x14ac:dyDescent="0.3">
      <c r="A4788" t="s">
        <v>52</v>
      </c>
      <c r="B4788" t="s">
        <v>53</v>
      </c>
      <c r="C4788" t="s">
        <v>54</v>
      </c>
      <c r="D4788" t="s">
        <v>55</v>
      </c>
      <c r="E4788" t="s">
        <v>2224</v>
      </c>
      <c r="F4788" t="s">
        <v>57</v>
      </c>
      <c r="G4788" t="s">
        <v>1660</v>
      </c>
      <c r="H4788" t="s">
        <v>1661</v>
      </c>
      <c r="I4788" t="s">
        <v>1661</v>
      </c>
      <c r="J4788" t="s">
        <v>60</v>
      </c>
      <c r="K4788" t="s">
        <v>164</v>
      </c>
      <c r="L4788" t="s">
        <v>62</v>
      </c>
      <c r="M4788" t="s">
        <v>164</v>
      </c>
      <c r="N4788" t="s">
        <v>1662</v>
      </c>
      <c r="O4788" t="s">
        <v>1663</v>
      </c>
      <c r="P4788">
        <v>-20.181692000000002</v>
      </c>
      <c r="Q4788">
        <v>-44.877276000000002</v>
      </c>
      <c r="R4788" s="2" t="str">
        <f>HYPERLINK("https://www.google.com/maps?q=-20.1816920,-44.8772760","Abrir no Google Maps")</f>
        <v>Abrir no Google Maps</v>
      </c>
      <c r="S4788">
        <v>4</v>
      </c>
      <c r="T4788">
        <v>630.49689192580956</v>
      </c>
      <c r="U4788">
        <v>4</v>
      </c>
      <c r="V4788">
        <v>0.15887850467289719</v>
      </c>
      <c r="W4788">
        <v>1</v>
      </c>
      <c r="X4788">
        <v>0.15887850467289719</v>
      </c>
      <c r="Y4788">
        <v>101</v>
      </c>
      <c r="Z4788">
        <v>732.81472992851411</v>
      </c>
      <c r="AA4788">
        <v>198</v>
      </c>
      <c r="AB4788">
        <v>332</v>
      </c>
      <c r="AC4788">
        <v>536</v>
      </c>
      <c r="AD4788">
        <v>32.42</v>
      </c>
      <c r="AE4788">
        <v>542</v>
      </c>
      <c r="AF4788">
        <v>39</v>
      </c>
      <c r="AG4788">
        <v>173</v>
      </c>
      <c r="AH4788">
        <v>129</v>
      </c>
      <c r="AI4788">
        <v>7.2</v>
      </c>
      <c r="AJ4788">
        <v>31.92</v>
      </c>
      <c r="AK4788">
        <v>23.8</v>
      </c>
      <c r="AL4788">
        <v>-20.181644349999971</v>
      </c>
      <c r="AM4788">
        <v>-44.876890970787557</v>
      </c>
      <c r="AN4788">
        <v>-20.181644349999971</v>
      </c>
      <c r="AO4788">
        <v>-44.876890970787557</v>
      </c>
      <c r="AP4788">
        <v>-20.181692000000002</v>
      </c>
      <c r="AQ4788">
        <v>-44.877276000000002</v>
      </c>
      <c r="AR4788">
        <v>40.578104107908509</v>
      </c>
      <c r="AS4788" t="s">
        <v>65</v>
      </c>
      <c r="AT4788">
        <v>1</v>
      </c>
      <c r="AU4788" t="s">
        <v>1664</v>
      </c>
      <c r="AV4788" t="s">
        <v>1665</v>
      </c>
      <c r="AW4788" t="s">
        <v>60</v>
      </c>
      <c r="AX4788" t="s">
        <v>68</v>
      </c>
      <c r="AY4788" t="s">
        <v>69</v>
      </c>
      <c r="AZ4788" t="b">
        <v>1</v>
      </c>
    </row>
    <row r="4789" spans="1:52" x14ac:dyDescent="0.3">
      <c r="A4789" t="s">
        <v>52</v>
      </c>
      <c r="B4789" t="s">
        <v>53</v>
      </c>
      <c r="C4789" t="s">
        <v>54</v>
      </c>
      <c r="D4789" t="s">
        <v>55</v>
      </c>
      <c r="E4789" t="s">
        <v>2224</v>
      </c>
      <c r="F4789" t="s">
        <v>57</v>
      </c>
      <c r="G4789" t="s">
        <v>1193</v>
      </c>
      <c r="H4789" t="s">
        <v>1734</v>
      </c>
      <c r="I4789" t="s">
        <v>1734</v>
      </c>
      <c r="J4789" t="s">
        <v>60</v>
      </c>
      <c r="K4789" t="s">
        <v>1735</v>
      </c>
      <c r="L4789" t="s">
        <v>62</v>
      </c>
      <c r="M4789" t="s">
        <v>1735</v>
      </c>
      <c r="N4789" t="s">
        <v>1736</v>
      </c>
      <c r="O4789" t="s">
        <v>315</v>
      </c>
      <c r="P4789">
        <v>-20.200367</v>
      </c>
      <c r="Q4789">
        <v>-44.880668999999997</v>
      </c>
      <c r="R4789" s="2" t="str">
        <f>HYPERLINK("https://www.google.com/maps?q=-20.2003670,-44.8806690","Abrir no Google Maps")</f>
        <v>Abrir no Google Maps</v>
      </c>
      <c r="S4789">
        <v>4</v>
      </c>
      <c r="T4789">
        <v>1820.469679459095</v>
      </c>
      <c r="U4789">
        <v>4</v>
      </c>
      <c r="V4789">
        <v>0.18421052631578949</v>
      </c>
      <c r="W4789">
        <v>0.85</v>
      </c>
      <c r="X4789">
        <v>0.1565789473684211</v>
      </c>
      <c r="Y4789">
        <v>101</v>
      </c>
      <c r="Z4789">
        <v>1841.9598393829469</v>
      </c>
      <c r="AA4789">
        <v>198</v>
      </c>
      <c r="AB4789">
        <v>332</v>
      </c>
      <c r="AC4789">
        <v>536</v>
      </c>
      <c r="AD4789">
        <v>32.42</v>
      </c>
      <c r="AE4789">
        <v>542</v>
      </c>
      <c r="AF4789">
        <v>39</v>
      </c>
      <c r="AG4789">
        <v>173</v>
      </c>
      <c r="AH4789">
        <v>129</v>
      </c>
      <c r="AI4789">
        <v>7.2</v>
      </c>
      <c r="AJ4789">
        <v>31.92</v>
      </c>
      <c r="AK4789">
        <v>23.8</v>
      </c>
      <c r="AL4789">
        <v>-20.202122099999968</v>
      </c>
      <c r="AM4789">
        <v>-44.88131085114675</v>
      </c>
      <c r="AN4789">
        <v>-20.202122099999968</v>
      </c>
      <c r="AO4789">
        <v>-44.88131085114675</v>
      </c>
      <c r="AP4789">
        <v>-20.200367</v>
      </c>
      <c r="AQ4789">
        <v>-44.880668999999997</v>
      </c>
      <c r="AR4789">
        <v>206.56442547254821</v>
      </c>
      <c r="AS4789" t="s">
        <v>65</v>
      </c>
      <c r="AT4789">
        <v>1</v>
      </c>
      <c r="AU4789" t="s">
        <v>1737</v>
      </c>
      <c r="AV4789" t="s">
        <v>1738</v>
      </c>
      <c r="AW4789" t="s">
        <v>60</v>
      </c>
      <c r="AX4789" t="s">
        <v>68</v>
      </c>
      <c r="AY4789" t="s">
        <v>69</v>
      </c>
      <c r="AZ4789" t="b">
        <v>1</v>
      </c>
    </row>
    <row r="4790" spans="1:52" x14ac:dyDescent="0.3">
      <c r="A4790" t="s">
        <v>52</v>
      </c>
      <c r="B4790" t="s">
        <v>53</v>
      </c>
      <c r="C4790" t="s">
        <v>54</v>
      </c>
      <c r="D4790" t="s">
        <v>55</v>
      </c>
      <c r="E4790" t="s">
        <v>2224</v>
      </c>
      <c r="F4790" t="s">
        <v>57</v>
      </c>
      <c r="G4790" t="s">
        <v>1739</v>
      </c>
      <c r="H4790" t="s">
        <v>1740</v>
      </c>
      <c r="I4790" t="s">
        <v>1740</v>
      </c>
      <c r="J4790" t="s">
        <v>60</v>
      </c>
      <c r="K4790" t="s">
        <v>164</v>
      </c>
      <c r="L4790" t="s">
        <v>62</v>
      </c>
      <c r="M4790" t="s">
        <v>164</v>
      </c>
      <c r="N4790" t="s">
        <v>1741</v>
      </c>
      <c r="O4790" t="s">
        <v>395</v>
      </c>
      <c r="P4790">
        <v>-20.185585</v>
      </c>
      <c r="Q4790">
        <v>-44.881284000000001</v>
      </c>
      <c r="R4790" s="2" t="str">
        <f>HYPERLINK("https://www.google.com/maps?q=-20.1855850,-44.8812840","Abrir no Google Maps")</f>
        <v>Abrir no Google Maps</v>
      </c>
      <c r="S4790">
        <v>4</v>
      </c>
      <c r="T4790">
        <v>0</v>
      </c>
      <c r="U4790">
        <v>4</v>
      </c>
      <c r="V4790">
        <v>0.17758620689655169</v>
      </c>
      <c r="W4790">
        <v>0.85</v>
      </c>
      <c r="X4790">
        <v>0.15094827586206891</v>
      </c>
      <c r="Y4790">
        <v>101</v>
      </c>
      <c r="Z4790">
        <v>50.899335234186083</v>
      </c>
      <c r="AA4790">
        <v>198</v>
      </c>
      <c r="AB4790">
        <v>332</v>
      </c>
      <c r="AC4790">
        <v>536</v>
      </c>
      <c r="AD4790">
        <v>32.42</v>
      </c>
      <c r="AE4790">
        <v>542</v>
      </c>
      <c r="AF4790">
        <v>39</v>
      </c>
      <c r="AG4790">
        <v>173</v>
      </c>
      <c r="AH4790">
        <v>129</v>
      </c>
      <c r="AI4790">
        <v>7.2</v>
      </c>
      <c r="AJ4790">
        <v>31.92</v>
      </c>
      <c r="AK4790">
        <v>23.8</v>
      </c>
      <c r="AL4790">
        <v>-20.185672099999952</v>
      </c>
      <c r="AM4790">
        <v>-44.881158973926922</v>
      </c>
      <c r="AN4790">
        <v>-20.185672099999952</v>
      </c>
      <c r="AO4790">
        <v>-44.881158973926922</v>
      </c>
      <c r="AP4790">
        <v>-20.185585</v>
      </c>
      <c r="AQ4790">
        <v>-44.881284000000001</v>
      </c>
      <c r="AR4790">
        <v>16.268229707677129</v>
      </c>
      <c r="AS4790" t="s">
        <v>65</v>
      </c>
      <c r="AT4790">
        <v>1</v>
      </c>
      <c r="AU4790" t="s">
        <v>1742</v>
      </c>
      <c r="AV4790" t="s">
        <v>1743</v>
      </c>
      <c r="AW4790" t="s">
        <v>60</v>
      </c>
      <c r="AX4790" t="s">
        <v>68</v>
      </c>
      <c r="AY4790" t="s">
        <v>69</v>
      </c>
      <c r="AZ4790" t="b">
        <v>1</v>
      </c>
    </row>
    <row r="4791" spans="1:52" x14ac:dyDescent="0.3">
      <c r="A4791" t="s">
        <v>52</v>
      </c>
      <c r="B4791" t="s">
        <v>53</v>
      </c>
      <c r="C4791" t="s">
        <v>54</v>
      </c>
      <c r="D4791" t="s">
        <v>55</v>
      </c>
      <c r="E4791" t="s">
        <v>2224</v>
      </c>
      <c r="F4791" t="s">
        <v>57</v>
      </c>
      <c r="G4791" t="s">
        <v>1666</v>
      </c>
      <c r="H4791" t="s">
        <v>1667</v>
      </c>
      <c r="I4791" t="s">
        <v>1667</v>
      </c>
      <c r="J4791" t="s">
        <v>60</v>
      </c>
      <c r="K4791" t="s">
        <v>164</v>
      </c>
      <c r="L4791" t="s">
        <v>62</v>
      </c>
      <c r="M4791" t="s">
        <v>164</v>
      </c>
      <c r="N4791" t="s">
        <v>1668</v>
      </c>
      <c r="O4791" t="s">
        <v>977</v>
      </c>
      <c r="P4791">
        <v>-20.188607999999999</v>
      </c>
      <c r="Q4791">
        <v>-44.884746999999997</v>
      </c>
      <c r="R4791" s="2" t="str">
        <f>HYPERLINK("https://www.google.com/maps?q=-20.1886080,-44.8847470","Abrir no Google Maps")</f>
        <v>Abrir no Google Maps</v>
      </c>
      <c r="S4791">
        <v>4</v>
      </c>
      <c r="T4791">
        <v>501.52638987448978</v>
      </c>
      <c r="U4791">
        <v>4</v>
      </c>
      <c r="V4791">
        <v>0.17771084337349391</v>
      </c>
      <c r="W4791">
        <v>0.85</v>
      </c>
      <c r="X4791">
        <v>0.15105421686746981</v>
      </c>
      <c r="Y4791">
        <v>101</v>
      </c>
      <c r="Z4791">
        <v>489.47740203600989</v>
      </c>
      <c r="AA4791">
        <v>198</v>
      </c>
      <c r="AB4791">
        <v>332</v>
      </c>
      <c r="AC4791">
        <v>536</v>
      </c>
      <c r="AD4791">
        <v>32.42</v>
      </c>
      <c r="AE4791">
        <v>542</v>
      </c>
      <c r="AF4791">
        <v>39</v>
      </c>
      <c r="AG4791">
        <v>173</v>
      </c>
      <c r="AH4791">
        <v>129</v>
      </c>
      <c r="AI4791">
        <v>7.2</v>
      </c>
      <c r="AJ4791">
        <v>31.92</v>
      </c>
      <c r="AK4791">
        <v>23.8</v>
      </c>
      <c r="AL4791">
        <v>-20.188808899999941</v>
      </c>
      <c r="AM4791">
        <v>-44.884623554762321</v>
      </c>
      <c r="AN4791">
        <v>-20.188808899999941</v>
      </c>
      <c r="AO4791">
        <v>-44.884623554762321</v>
      </c>
      <c r="AP4791">
        <v>-20.188607999999999</v>
      </c>
      <c r="AQ4791">
        <v>-44.884746999999997</v>
      </c>
      <c r="AR4791">
        <v>25.8167710394147</v>
      </c>
      <c r="AS4791" t="s">
        <v>65</v>
      </c>
      <c r="AT4791">
        <v>1</v>
      </c>
      <c r="AU4791" t="s">
        <v>1669</v>
      </c>
      <c r="AV4791" t="s">
        <v>1670</v>
      </c>
      <c r="AW4791" t="s">
        <v>60</v>
      </c>
      <c r="AX4791" t="s">
        <v>68</v>
      </c>
      <c r="AY4791" t="s">
        <v>69</v>
      </c>
      <c r="AZ4791" t="b">
        <v>1</v>
      </c>
    </row>
    <row r="4792" spans="1:52" x14ac:dyDescent="0.3">
      <c r="A4792" t="s">
        <v>52</v>
      </c>
      <c r="B4792" t="s">
        <v>53</v>
      </c>
      <c r="C4792" t="s">
        <v>54</v>
      </c>
      <c r="D4792" t="s">
        <v>55</v>
      </c>
      <c r="E4792" t="s">
        <v>2224</v>
      </c>
      <c r="F4792" t="s">
        <v>57</v>
      </c>
      <c r="G4792" t="s">
        <v>373</v>
      </c>
      <c r="H4792" t="s">
        <v>374</v>
      </c>
      <c r="I4792" t="s">
        <v>374</v>
      </c>
      <c r="J4792" t="s">
        <v>60</v>
      </c>
      <c r="K4792" t="s">
        <v>375</v>
      </c>
      <c r="L4792" t="s">
        <v>62</v>
      </c>
      <c r="M4792" t="s">
        <v>375</v>
      </c>
      <c r="N4792" t="s">
        <v>376</v>
      </c>
      <c r="O4792" t="s">
        <v>377</v>
      </c>
      <c r="P4792">
        <v>-20.178172</v>
      </c>
      <c r="Q4792">
        <v>-44.882871999999999</v>
      </c>
      <c r="R4792" s="2" t="str">
        <f>HYPERLINK("https://www.google.com/maps?q=-20.1781720,-44.8828720","Abrir no Google Maps")</f>
        <v>Abrir no Google Maps</v>
      </c>
      <c r="S4792">
        <v>4</v>
      </c>
      <c r="T4792">
        <v>817.23317190190858</v>
      </c>
      <c r="U4792">
        <v>4</v>
      </c>
      <c r="V4792">
        <v>0.17031250000000001</v>
      </c>
      <c r="W4792">
        <v>1</v>
      </c>
      <c r="X4792">
        <v>0.17031250000000001</v>
      </c>
      <c r="Y4792">
        <v>101</v>
      </c>
      <c r="Z4792">
        <v>845.03006728789421</v>
      </c>
      <c r="AA4792">
        <v>198</v>
      </c>
      <c r="AB4792">
        <v>332</v>
      </c>
      <c r="AC4792">
        <v>536</v>
      </c>
      <c r="AD4792">
        <v>32.42</v>
      </c>
      <c r="AE4792">
        <v>542</v>
      </c>
      <c r="AF4792">
        <v>39</v>
      </c>
      <c r="AG4792">
        <v>173</v>
      </c>
      <c r="AH4792">
        <v>129</v>
      </c>
      <c r="AI4792">
        <v>7.2</v>
      </c>
      <c r="AJ4792">
        <v>31.92</v>
      </c>
      <c r="AK4792">
        <v>23.8</v>
      </c>
      <c r="AL4792">
        <v>-20.178380049999959</v>
      </c>
      <c r="AM4792">
        <v>-44.883070555357122</v>
      </c>
      <c r="AN4792">
        <v>-20.178380049999959</v>
      </c>
      <c r="AO4792">
        <v>-44.883070555357122</v>
      </c>
      <c r="AP4792">
        <v>-20.178172</v>
      </c>
      <c r="AQ4792">
        <v>-44.882871999999999</v>
      </c>
      <c r="AR4792">
        <v>31.093588149250511</v>
      </c>
      <c r="AS4792" t="s">
        <v>65</v>
      </c>
      <c r="AT4792">
        <v>1</v>
      </c>
      <c r="AU4792" t="s">
        <v>378</v>
      </c>
      <c r="AV4792" t="s">
        <v>379</v>
      </c>
      <c r="AW4792" t="s">
        <v>60</v>
      </c>
      <c r="AX4792" t="s">
        <v>68</v>
      </c>
      <c r="AY4792" t="s">
        <v>69</v>
      </c>
      <c r="AZ4792" t="b">
        <v>1</v>
      </c>
    </row>
    <row r="4793" spans="1:52" x14ac:dyDescent="0.3">
      <c r="A4793" t="s">
        <v>52</v>
      </c>
      <c r="B4793" t="s">
        <v>53</v>
      </c>
      <c r="C4793" t="s">
        <v>54</v>
      </c>
      <c r="D4793" t="s">
        <v>55</v>
      </c>
      <c r="E4793" t="s">
        <v>2224</v>
      </c>
      <c r="F4793" t="s">
        <v>57</v>
      </c>
      <c r="G4793" t="s">
        <v>1671</v>
      </c>
      <c r="H4793" t="s">
        <v>1672</v>
      </c>
      <c r="I4793" t="s">
        <v>1672</v>
      </c>
      <c r="J4793" t="s">
        <v>60</v>
      </c>
      <c r="K4793" t="s">
        <v>375</v>
      </c>
      <c r="L4793" t="s">
        <v>62</v>
      </c>
      <c r="M4793" t="s">
        <v>375</v>
      </c>
      <c r="N4793" t="s">
        <v>1673</v>
      </c>
      <c r="O4793" t="s">
        <v>370</v>
      </c>
      <c r="P4793">
        <v>-20.180724000000001</v>
      </c>
      <c r="Q4793">
        <v>-44.886913999999997</v>
      </c>
      <c r="R4793" s="2" t="str">
        <f>HYPERLINK("https://www.google.com/maps?q=-20.1807240,-44.8869140","Abrir no Google Maps")</f>
        <v>Abrir no Google Maps</v>
      </c>
      <c r="S4793">
        <v>4</v>
      </c>
      <c r="T4793">
        <v>814.7424073839951</v>
      </c>
      <c r="U4793">
        <v>4</v>
      </c>
      <c r="V4793">
        <v>0.1826347305389221</v>
      </c>
      <c r="W4793">
        <v>1</v>
      </c>
      <c r="X4793">
        <v>0.1826347305389221</v>
      </c>
      <c r="Y4793">
        <v>101</v>
      </c>
      <c r="Z4793">
        <v>808.23656795472721</v>
      </c>
      <c r="AA4793">
        <v>198</v>
      </c>
      <c r="AB4793">
        <v>332</v>
      </c>
      <c r="AC4793">
        <v>536</v>
      </c>
      <c r="AD4793">
        <v>32.42</v>
      </c>
      <c r="AE4793">
        <v>542</v>
      </c>
      <c r="AF4793">
        <v>39</v>
      </c>
      <c r="AG4793">
        <v>173</v>
      </c>
      <c r="AH4793">
        <v>129</v>
      </c>
      <c r="AI4793">
        <v>7.2</v>
      </c>
      <c r="AJ4793">
        <v>31.92</v>
      </c>
      <c r="AK4793">
        <v>23.8</v>
      </c>
      <c r="AL4793">
        <v>-20.18071869999994</v>
      </c>
      <c r="AM4793">
        <v>-44.886927989725393</v>
      </c>
      <c r="AN4793">
        <v>-20.18071869999994</v>
      </c>
      <c r="AO4793">
        <v>-44.886927989725393</v>
      </c>
      <c r="AP4793">
        <v>-20.180724000000001</v>
      </c>
      <c r="AQ4793">
        <v>-44.886913999999997</v>
      </c>
      <c r="AR4793">
        <v>1.5763090046691759</v>
      </c>
      <c r="AS4793" t="s">
        <v>65</v>
      </c>
      <c r="AT4793">
        <v>1</v>
      </c>
      <c r="AU4793" t="s">
        <v>1674</v>
      </c>
      <c r="AV4793" t="s">
        <v>1642</v>
      </c>
      <c r="AW4793" t="s">
        <v>60</v>
      </c>
      <c r="AX4793" t="s">
        <v>68</v>
      </c>
      <c r="AY4793" t="s">
        <v>69</v>
      </c>
      <c r="AZ4793" t="b">
        <v>1</v>
      </c>
    </row>
    <row r="4794" spans="1:52" x14ac:dyDescent="0.3">
      <c r="A4794" t="s">
        <v>52</v>
      </c>
      <c r="B4794" t="s">
        <v>53</v>
      </c>
      <c r="C4794" t="s">
        <v>54</v>
      </c>
      <c r="D4794" t="s">
        <v>55</v>
      </c>
      <c r="E4794" t="s">
        <v>2224</v>
      </c>
      <c r="F4794" t="s">
        <v>57</v>
      </c>
      <c r="G4794" t="s">
        <v>1671</v>
      </c>
      <c r="H4794" t="s">
        <v>1675</v>
      </c>
      <c r="I4794" t="s">
        <v>1675</v>
      </c>
      <c r="J4794" t="s">
        <v>60</v>
      </c>
      <c r="K4794" t="s">
        <v>1676</v>
      </c>
      <c r="L4794" t="s">
        <v>62</v>
      </c>
      <c r="M4794" t="s">
        <v>1676</v>
      </c>
      <c r="N4794" t="s">
        <v>1673</v>
      </c>
      <c r="O4794" t="s">
        <v>283</v>
      </c>
      <c r="P4794">
        <v>-20.183022000000001</v>
      </c>
      <c r="Q4794">
        <v>-44.885517</v>
      </c>
      <c r="R4794" s="2" t="str">
        <f>HYPERLINK("https://www.google.com/maps?q=-20.1830220,-44.8855170","Abrir no Google Maps")</f>
        <v>Abrir no Google Maps</v>
      </c>
      <c r="S4794">
        <v>4</v>
      </c>
      <c r="T4794">
        <v>532.27605375591554</v>
      </c>
      <c r="U4794">
        <v>4</v>
      </c>
      <c r="V4794">
        <v>0.20833333333333329</v>
      </c>
      <c r="W4794">
        <v>0.85</v>
      </c>
      <c r="X4794">
        <v>0.17708333333333329</v>
      </c>
      <c r="Y4794">
        <v>101</v>
      </c>
      <c r="Z4794">
        <v>549.01511922042539</v>
      </c>
      <c r="AA4794">
        <v>198</v>
      </c>
      <c r="AB4794">
        <v>332</v>
      </c>
      <c r="AC4794">
        <v>536</v>
      </c>
      <c r="AD4794">
        <v>32.42</v>
      </c>
      <c r="AE4794">
        <v>542</v>
      </c>
      <c r="AF4794">
        <v>39</v>
      </c>
      <c r="AG4794">
        <v>173</v>
      </c>
      <c r="AH4794">
        <v>129</v>
      </c>
      <c r="AI4794">
        <v>7.2</v>
      </c>
      <c r="AJ4794">
        <v>31.92</v>
      </c>
      <c r="AK4794">
        <v>23.8</v>
      </c>
      <c r="AL4794">
        <v>-20.182930199999959</v>
      </c>
      <c r="AM4794">
        <v>-44.885344551029888</v>
      </c>
      <c r="AN4794">
        <v>-20.182930199999959</v>
      </c>
      <c r="AO4794">
        <v>-44.885344551029888</v>
      </c>
      <c r="AP4794">
        <v>-20.183022000000001</v>
      </c>
      <c r="AQ4794">
        <v>-44.885517</v>
      </c>
      <c r="AR4794">
        <v>20.714454632752489</v>
      </c>
      <c r="AS4794" t="s">
        <v>65</v>
      </c>
      <c r="AT4794">
        <v>1</v>
      </c>
      <c r="AU4794" t="s">
        <v>1677</v>
      </c>
      <c r="AV4794" t="s">
        <v>1678</v>
      </c>
      <c r="AW4794" t="s">
        <v>60</v>
      </c>
      <c r="AX4794" t="s">
        <v>68</v>
      </c>
      <c r="AY4794" t="s">
        <v>69</v>
      </c>
      <c r="AZ4794" t="b">
        <v>1</v>
      </c>
    </row>
    <row r="4795" spans="1:52" x14ac:dyDescent="0.3">
      <c r="A4795" t="s">
        <v>52</v>
      </c>
      <c r="B4795" t="s">
        <v>53</v>
      </c>
      <c r="C4795" t="s">
        <v>54</v>
      </c>
      <c r="D4795" t="s">
        <v>55</v>
      </c>
      <c r="E4795" t="s">
        <v>2224</v>
      </c>
      <c r="F4795" t="s">
        <v>57</v>
      </c>
      <c r="G4795" t="s">
        <v>1744</v>
      </c>
      <c r="H4795" t="s">
        <v>1745</v>
      </c>
      <c r="I4795" t="s">
        <v>1745</v>
      </c>
      <c r="J4795" t="s">
        <v>60</v>
      </c>
      <c r="K4795" t="s">
        <v>1676</v>
      </c>
      <c r="L4795" t="s">
        <v>62</v>
      </c>
      <c r="M4795" t="s">
        <v>1676</v>
      </c>
      <c r="N4795" t="s">
        <v>1746</v>
      </c>
      <c r="O4795" t="s">
        <v>1747</v>
      </c>
      <c r="P4795">
        <v>-20.180457000000001</v>
      </c>
      <c r="Q4795">
        <v>-44.880989</v>
      </c>
      <c r="R4795" s="2" t="str">
        <f>HYPERLINK("https://www.google.com/maps?q=-20.1804570,-44.8809890","Abrir no Google Maps")</f>
        <v>Abrir no Google Maps</v>
      </c>
      <c r="S4795">
        <v>4</v>
      </c>
      <c r="T4795">
        <v>594.60456790345131</v>
      </c>
      <c r="U4795">
        <v>4</v>
      </c>
      <c r="V4795">
        <v>0.1604330708661417</v>
      </c>
      <c r="W4795">
        <v>0.85</v>
      </c>
      <c r="X4795">
        <v>0.13636811023622039</v>
      </c>
      <c r="Y4795">
        <v>101</v>
      </c>
      <c r="Z4795">
        <v>644.27072665474043</v>
      </c>
      <c r="AA4795">
        <v>198</v>
      </c>
      <c r="AB4795">
        <v>332</v>
      </c>
      <c r="AC4795">
        <v>536</v>
      </c>
      <c r="AD4795">
        <v>32.42</v>
      </c>
      <c r="AE4795">
        <v>542</v>
      </c>
      <c r="AF4795">
        <v>39</v>
      </c>
      <c r="AG4795">
        <v>173</v>
      </c>
      <c r="AH4795">
        <v>129</v>
      </c>
      <c r="AI4795">
        <v>7.2</v>
      </c>
      <c r="AJ4795">
        <v>31.92</v>
      </c>
      <c r="AK4795">
        <v>23.8</v>
      </c>
      <c r="AL4795">
        <v>-20.180299249999969</v>
      </c>
      <c r="AM4795">
        <v>-44.881100391239819</v>
      </c>
      <c r="AN4795">
        <v>-20.180299249999969</v>
      </c>
      <c r="AO4795">
        <v>-44.881100391239819</v>
      </c>
      <c r="AP4795">
        <v>-20.180457000000001</v>
      </c>
      <c r="AQ4795">
        <v>-44.880989</v>
      </c>
      <c r="AR4795">
        <v>21.067561465339171</v>
      </c>
      <c r="AS4795" t="s">
        <v>65</v>
      </c>
      <c r="AT4795">
        <v>1</v>
      </c>
      <c r="AU4795" t="s">
        <v>1748</v>
      </c>
      <c r="AV4795" t="s">
        <v>1749</v>
      </c>
      <c r="AW4795" t="s">
        <v>60</v>
      </c>
      <c r="AX4795" t="s">
        <v>68</v>
      </c>
      <c r="AY4795" t="s">
        <v>69</v>
      </c>
      <c r="AZ4795" t="b">
        <v>1</v>
      </c>
    </row>
    <row r="4796" spans="1:52" x14ac:dyDescent="0.3">
      <c r="A4796" t="s">
        <v>52</v>
      </c>
      <c r="B4796" t="s">
        <v>53</v>
      </c>
      <c r="C4796" t="s">
        <v>54</v>
      </c>
      <c r="D4796" t="s">
        <v>55</v>
      </c>
      <c r="E4796" t="s">
        <v>2224</v>
      </c>
      <c r="F4796" t="s">
        <v>57</v>
      </c>
      <c r="G4796" t="s">
        <v>176</v>
      </c>
      <c r="H4796" t="s">
        <v>177</v>
      </c>
      <c r="I4796" t="s">
        <v>177</v>
      </c>
      <c r="J4796" t="s">
        <v>60</v>
      </c>
      <c r="K4796" t="s">
        <v>178</v>
      </c>
      <c r="L4796" t="s">
        <v>62</v>
      </c>
      <c r="M4796" t="s">
        <v>178</v>
      </c>
      <c r="N4796" t="s">
        <v>179</v>
      </c>
      <c r="O4796" t="s">
        <v>180</v>
      </c>
      <c r="P4796">
        <v>-20.129152999999999</v>
      </c>
      <c r="Q4796">
        <v>-44.859299</v>
      </c>
      <c r="R4796" s="2" t="str">
        <f>HYPERLINK("https://www.google.com/maps?q=-20.1291530,-44.8592990","Abrir no Google Maps")</f>
        <v>Abrir no Google Maps</v>
      </c>
      <c r="S4796">
        <v>4</v>
      </c>
      <c r="T4796">
        <v>0</v>
      </c>
      <c r="U4796">
        <v>4</v>
      </c>
      <c r="V4796">
        <v>0.138671875</v>
      </c>
      <c r="W4796">
        <v>1</v>
      </c>
      <c r="X4796">
        <v>0.138671875</v>
      </c>
      <c r="Y4796">
        <v>95</v>
      </c>
      <c r="Z4796">
        <v>323.58963420291411</v>
      </c>
      <c r="AA4796">
        <v>198</v>
      </c>
      <c r="AB4796">
        <v>332</v>
      </c>
      <c r="AC4796">
        <v>536</v>
      </c>
      <c r="AD4796">
        <v>32.42</v>
      </c>
      <c r="AE4796">
        <v>542</v>
      </c>
      <c r="AF4796">
        <v>39</v>
      </c>
      <c r="AG4796">
        <v>173</v>
      </c>
      <c r="AH4796">
        <v>129</v>
      </c>
      <c r="AI4796">
        <v>7.2</v>
      </c>
      <c r="AJ4796">
        <v>31.92</v>
      </c>
      <c r="AK4796">
        <v>23.8</v>
      </c>
      <c r="AL4796">
        <v>-20.129260799999969</v>
      </c>
      <c r="AM4796">
        <v>-44.859468344955843</v>
      </c>
      <c r="AN4796">
        <v>-20.129260799999969</v>
      </c>
      <c r="AO4796">
        <v>-44.859468344955843</v>
      </c>
      <c r="AP4796">
        <v>-20.129152999999999</v>
      </c>
      <c r="AQ4796">
        <v>-44.859299</v>
      </c>
      <c r="AR4796">
        <v>21.38451122307773</v>
      </c>
      <c r="AS4796" t="s">
        <v>65</v>
      </c>
      <c r="AT4796">
        <v>1</v>
      </c>
      <c r="AU4796" t="s">
        <v>181</v>
      </c>
      <c r="AV4796" t="s">
        <v>182</v>
      </c>
      <c r="AW4796" t="s">
        <v>60</v>
      </c>
      <c r="AX4796" t="s">
        <v>68</v>
      </c>
      <c r="AY4796" t="s">
        <v>69</v>
      </c>
      <c r="AZ4796" t="b">
        <v>1</v>
      </c>
    </row>
    <row r="4797" spans="1:52" x14ac:dyDescent="0.3">
      <c r="A4797" t="s">
        <v>52</v>
      </c>
      <c r="B4797" t="s">
        <v>53</v>
      </c>
      <c r="C4797" t="s">
        <v>54</v>
      </c>
      <c r="D4797" t="s">
        <v>55</v>
      </c>
      <c r="E4797" t="s">
        <v>2224</v>
      </c>
      <c r="F4797" t="s">
        <v>190</v>
      </c>
      <c r="G4797" t="s">
        <v>1248</v>
      </c>
      <c r="H4797" t="s">
        <v>1249</v>
      </c>
      <c r="I4797" t="s">
        <v>1249</v>
      </c>
      <c r="J4797" t="s">
        <v>60</v>
      </c>
      <c r="K4797" t="s">
        <v>61</v>
      </c>
      <c r="L4797" t="s">
        <v>62</v>
      </c>
      <c r="M4797" t="s">
        <v>61</v>
      </c>
      <c r="N4797" t="s">
        <v>1250</v>
      </c>
      <c r="O4797" t="s">
        <v>202</v>
      </c>
      <c r="P4797">
        <v>-20.145337999999999</v>
      </c>
      <c r="Q4797">
        <v>-44.906260000000003</v>
      </c>
      <c r="R4797" s="2" t="str">
        <f>HYPERLINK("https://www.google.com/maps?q=-20.1453380,-44.9062600","Abrir no Google Maps")</f>
        <v>Abrir no Google Maps</v>
      </c>
      <c r="S4797">
        <v>4</v>
      </c>
      <c r="T4797">
        <v>231.8105263092443</v>
      </c>
      <c r="U4797">
        <v>3</v>
      </c>
      <c r="V4797">
        <v>0.1326530612244898</v>
      </c>
      <c r="W4797">
        <v>0.85</v>
      </c>
      <c r="X4797">
        <v>0.1127551020408163</v>
      </c>
      <c r="Y4797">
        <v>747</v>
      </c>
      <c r="Z4797">
        <v>210.09098260239841</v>
      </c>
      <c r="AA4797">
        <v>198</v>
      </c>
      <c r="AB4797">
        <v>332</v>
      </c>
      <c r="AC4797">
        <v>536</v>
      </c>
      <c r="AD4797">
        <v>32.42</v>
      </c>
      <c r="AE4797">
        <v>542</v>
      </c>
      <c r="AF4797">
        <v>39</v>
      </c>
      <c r="AG4797">
        <v>173</v>
      </c>
      <c r="AH4797">
        <v>129</v>
      </c>
      <c r="AI4797">
        <v>7.2</v>
      </c>
      <c r="AJ4797">
        <v>31.92</v>
      </c>
      <c r="AK4797">
        <v>23.8</v>
      </c>
      <c r="AL4797">
        <v>-20.14545934999995</v>
      </c>
      <c r="AM4797">
        <v>-44.906243174283489</v>
      </c>
      <c r="AN4797">
        <v>-20.14545934999995</v>
      </c>
      <c r="AO4797">
        <v>-44.906243174283489</v>
      </c>
      <c r="AP4797">
        <v>-20.145337999999999</v>
      </c>
      <c r="AQ4797">
        <v>-44.906260000000003</v>
      </c>
      <c r="AR4797">
        <v>13.622651392262521</v>
      </c>
      <c r="AS4797" t="s">
        <v>65</v>
      </c>
      <c r="AT4797">
        <v>1</v>
      </c>
      <c r="AU4797" t="s">
        <v>1251</v>
      </c>
      <c r="AV4797" t="s">
        <v>1252</v>
      </c>
      <c r="AW4797" t="s">
        <v>60</v>
      </c>
      <c r="AX4797" t="s">
        <v>68</v>
      </c>
      <c r="AY4797" t="s">
        <v>69</v>
      </c>
      <c r="AZ4797" t="b">
        <v>1</v>
      </c>
    </row>
    <row r="4798" spans="1:52" x14ac:dyDescent="0.3">
      <c r="A4798" t="s">
        <v>52</v>
      </c>
      <c r="B4798" t="s">
        <v>53</v>
      </c>
      <c r="C4798" t="s">
        <v>54</v>
      </c>
      <c r="D4798" t="s">
        <v>55</v>
      </c>
      <c r="E4798" t="s">
        <v>2224</v>
      </c>
      <c r="F4798" t="s">
        <v>190</v>
      </c>
      <c r="G4798" t="s">
        <v>100</v>
      </c>
      <c r="H4798" t="s">
        <v>101</v>
      </c>
      <c r="I4798" t="s">
        <v>101</v>
      </c>
      <c r="J4798" t="s">
        <v>60</v>
      </c>
      <c r="K4798" t="s">
        <v>61</v>
      </c>
      <c r="L4798" t="s">
        <v>62</v>
      </c>
      <c r="M4798" t="s">
        <v>61</v>
      </c>
      <c r="N4798" t="s">
        <v>102</v>
      </c>
      <c r="O4798" t="s">
        <v>103</v>
      </c>
      <c r="P4798">
        <v>-20.151098999999999</v>
      </c>
      <c r="Q4798">
        <v>-44.909699000000003</v>
      </c>
      <c r="R4798" s="2" t="str">
        <f>HYPERLINK("https://www.google.com/maps?q=-20.1510990,-44.9096990","Abrir no Google Maps")</f>
        <v>Abrir no Google Maps</v>
      </c>
      <c r="S4798">
        <v>4</v>
      </c>
      <c r="T4798">
        <v>628.5023128813533</v>
      </c>
      <c r="U4798">
        <v>3</v>
      </c>
      <c r="V4798">
        <v>0.12109375</v>
      </c>
      <c r="W4798">
        <v>1</v>
      </c>
      <c r="X4798">
        <v>0.12109375</v>
      </c>
      <c r="Y4798">
        <v>747</v>
      </c>
      <c r="Z4798">
        <v>563.16456625265948</v>
      </c>
      <c r="AA4798">
        <v>198</v>
      </c>
      <c r="AB4798">
        <v>332</v>
      </c>
      <c r="AC4798">
        <v>536</v>
      </c>
      <c r="AD4798">
        <v>32.42</v>
      </c>
      <c r="AE4798">
        <v>542</v>
      </c>
      <c r="AF4798">
        <v>39</v>
      </c>
      <c r="AG4798">
        <v>173</v>
      </c>
      <c r="AH4798">
        <v>129</v>
      </c>
      <c r="AI4798">
        <v>7.2</v>
      </c>
      <c r="AJ4798">
        <v>31.92</v>
      </c>
      <c r="AK4798">
        <v>23.8</v>
      </c>
      <c r="AL4798">
        <v>-20.151307349999971</v>
      </c>
      <c r="AM4798">
        <v>-44.909772836123523</v>
      </c>
      <c r="AN4798">
        <v>-20.151307349999971</v>
      </c>
      <c r="AO4798">
        <v>-44.909772836123523</v>
      </c>
      <c r="AP4798">
        <v>-20.151098999999999</v>
      </c>
      <c r="AQ4798">
        <v>-44.909699000000003</v>
      </c>
      <c r="AR4798">
        <v>24.443417349564811</v>
      </c>
      <c r="AS4798" t="s">
        <v>65</v>
      </c>
      <c r="AT4798">
        <v>1</v>
      </c>
      <c r="AU4798" t="s">
        <v>104</v>
      </c>
      <c r="AV4798" t="s">
        <v>105</v>
      </c>
      <c r="AW4798" t="s">
        <v>60</v>
      </c>
      <c r="AX4798" t="s">
        <v>68</v>
      </c>
      <c r="AY4798" t="s">
        <v>69</v>
      </c>
      <c r="AZ4798" t="b">
        <v>1</v>
      </c>
    </row>
    <row r="4799" spans="1:52" x14ac:dyDescent="0.3">
      <c r="A4799" t="s">
        <v>52</v>
      </c>
      <c r="B4799" t="s">
        <v>53</v>
      </c>
      <c r="C4799" t="s">
        <v>54</v>
      </c>
      <c r="D4799" t="s">
        <v>55</v>
      </c>
      <c r="E4799" t="s">
        <v>2224</v>
      </c>
      <c r="F4799" t="s">
        <v>190</v>
      </c>
      <c r="G4799" t="s">
        <v>219</v>
      </c>
      <c r="H4799" t="s">
        <v>220</v>
      </c>
      <c r="I4799" t="s">
        <v>220</v>
      </c>
      <c r="J4799" t="s">
        <v>60</v>
      </c>
      <c r="K4799" t="s">
        <v>214</v>
      </c>
      <c r="L4799" t="s">
        <v>62</v>
      </c>
      <c r="M4799" t="s">
        <v>214</v>
      </c>
      <c r="N4799" t="s">
        <v>221</v>
      </c>
      <c r="O4799" t="s">
        <v>222</v>
      </c>
      <c r="P4799">
        <v>-20.158049999999999</v>
      </c>
      <c r="Q4799">
        <v>-44.868823999999996</v>
      </c>
      <c r="R4799" s="2" t="str">
        <f>HYPERLINK("https://www.google.com/maps?q=-20.1580500,-44.8688240","Abrir no Google Maps")</f>
        <v>Abrir no Google Maps</v>
      </c>
      <c r="S4799">
        <v>4</v>
      </c>
      <c r="T4799">
        <v>400.85705002223079</v>
      </c>
      <c r="U4799">
        <v>3</v>
      </c>
      <c r="V4799">
        <v>0.117601246105919</v>
      </c>
      <c r="W4799">
        <v>1</v>
      </c>
      <c r="X4799">
        <v>0.117601246105919</v>
      </c>
      <c r="Y4799">
        <v>531</v>
      </c>
      <c r="Z4799">
        <v>493.98501624607121</v>
      </c>
      <c r="AA4799">
        <v>198</v>
      </c>
      <c r="AB4799">
        <v>332</v>
      </c>
      <c r="AC4799">
        <v>536</v>
      </c>
      <c r="AD4799">
        <v>32.42</v>
      </c>
      <c r="AE4799">
        <v>542</v>
      </c>
      <c r="AF4799">
        <v>39</v>
      </c>
      <c r="AG4799">
        <v>173</v>
      </c>
      <c r="AH4799">
        <v>129</v>
      </c>
      <c r="AI4799">
        <v>7.2</v>
      </c>
      <c r="AJ4799">
        <v>31.92</v>
      </c>
      <c r="AK4799">
        <v>23.8</v>
      </c>
      <c r="AL4799">
        <v>-20.158020649999969</v>
      </c>
      <c r="AM4799">
        <v>-44.868748475381317</v>
      </c>
      <c r="AN4799">
        <v>-20.158020649999969</v>
      </c>
      <c r="AO4799">
        <v>-44.868748475381331</v>
      </c>
      <c r="AP4799">
        <v>-20.158049999999999</v>
      </c>
      <c r="AQ4799">
        <v>-44.868823999999996</v>
      </c>
      <c r="AR4799">
        <v>8.5419571471718818</v>
      </c>
      <c r="AS4799" t="s">
        <v>65</v>
      </c>
      <c r="AT4799">
        <v>1</v>
      </c>
      <c r="AU4799" t="s">
        <v>223</v>
      </c>
      <c r="AV4799" t="s">
        <v>224</v>
      </c>
      <c r="AW4799" t="s">
        <v>60</v>
      </c>
      <c r="AX4799" t="s">
        <v>68</v>
      </c>
      <c r="AY4799" t="s">
        <v>69</v>
      </c>
      <c r="AZ4799" t="b">
        <v>1</v>
      </c>
    </row>
    <row r="4800" spans="1:52" x14ac:dyDescent="0.3">
      <c r="A4800" t="s">
        <v>52</v>
      </c>
      <c r="B4800" t="s">
        <v>53</v>
      </c>
      <c r="C4800" t="s">
        <v>54</v>
      </c>
      <c r="D4800" t="s">
        <v>55</v>
      </c>
      <c r="E4800" t="s">
        <v>2224</v>
      </c>
      <c r="F4800" t="s">
        <v>190</v>
      </c>
      <c r="G4800" t="s">
        <v>232</v>
      </c>
      <c r="H4800" t="s">
        <v>233</v>
      </c>
      <c r="I4800" t="s">
        <v>233</v>
      </c>
      <c r="J4800" t="s">
        <v>60</v>
      </c>
      <c r="K4800" t="s">
        <v>227</v>
      </c>
      <c r="L4800" t="s">
        <v>62</v>
      </c>
      <c r="M4800" t="s">
        <v>227</v>
      </c>
      <c r="N4800" t="s">
        <v>234</v>
      </c>
      <c r="O4800" t="s">
        <v>235</v>
      </c>
      <c r="P4800">
        <v>-20.158666</v>
      </c>
      <c r="Q4800">
        <v>-44.861398999999999</v>
      </c>
      <c r="R4800" s="2" t="str">
        <f>HYPERLINK("https://www.google.com/maps?q=-20.1586660,-44.8613990","Abrir no Google Maps")</f>
        <v>Abrir no Google Maps</v>
      </c>
      <c r="S4800">
        <v>4</v>
      </c>
      <c r="T4800">
        <v>330.01505397941582</v>
      </c>
      <c r="U4800">
        <v>3</v>
      </c>
      <c r="V4800">
        <v>0.119047619047619</v>
      </c>
      <c r="W4800">
        <v>1</v>
      </c>
      <c r="X4800">
        <v>0.119047619047619</v>
      </c>
      <c r="Y4800">
        <v>518</v>
      </c>
      <c r="Z4800">
        <v>251.8092920281106</v>
      </c>
      <c r="AA4800">
        <v>198</v>
      </c>
      <c r="AB4800">
        <v>332</v>
      </c>
      <c r="AC4800">
        <v>536</v>
      </c>
      <c r="AD4800">
        <v>32.42</v>
      </c>
      <c r="AE4800">
        <v>542</v>
      </c>
      <c r="AF4800">
        <v>39</v>
      </c>
      <c r="AG4800">
        <v>173</v>
      </c>
      <c r="AH4800">
        <v>129</v>
      </c>
      <c r="AI4800">
        <v>7.2</v>
      </c>
      <c r="AJ4800">
        <v>31.92</v>
      </c>
      <c r="AK4800">
        <v>23.8</v>
      </c>
      <c r="AL4800">
        <v>-20.158631449999969</v>
      </c>
      <c r="AM4800">
        <v>-44.861424574758061</v>
      </c>
      <c r="AN4800">
        <v>-20.158631449999969</v>
      </c>
      <c r="AO4800">
        <v>-44.861424574758061</v>
      </c>
      <c r="AP4800">
        <v>-20.158666</v>
      </c>
      <c r="AQ4800">
        <v>-44.861398999999999</v>
      </c>
      <c r="AR4800">
        <v>4.6835056709567411</v>
      </c>
      <c r="AS4800" t="s">
        <v>65</v>
      </c>
      <c r="AT4800">
        <v>1</v>
      </c>
      <c r="AU4800" t="s">
        <v>236</v>
      </c>
      <c r="AV4800" t="s">
        <v>237</v>
      </c>
      <c r="AW4800" t="s">
        <v>60</v>
      </c>
      <c r="AX4800" t="s">
        <v>68</v>
      </c>
      <c r="AY4800" t="s">
        <v>69</v>
      </c>
      <c r="AZ4800" t="b">
        <v>1</v>
      </c>
    </row>
    <row r="4801" spans="1:52" x14ac:dyDescent="0.3">
      <c r="A4801" t="s">
        <v>52</v>
      </c>
      <c r="B4801" t="s">
        <v>53</v>
      </c>
      <c r="C4801" t="s">
        <v>54</v>
      </c>
      <c r="D4801" t="s">
        <v>55</v>
      </c>
      <c r="E4801" t="s">
        <v>2224</v>
      </c>
      <c r="F4801" t="s">
        <v>190</v>
      </c>
      <c r="G4801" t="s">
        <v>2207</v>
      </c>
      <c r="H4801" t="s">
        <v>2208</v>
      </c>
      <c r="I4801" t="s">
        <v>2208</v>
      </c>
      <c r="J4801" t="s">
        <v>60</v>
      </c>
      <c r="K4801" t="s">
        <v>227</v>
      </c>
      <c r="L4801" t="s">
        <v>62</v>
      </c>
      <c r="M4801" t="s">
        <v>227</v>
      </c>
      <c r="N4801" t="s">
        <v>2209</v>
      </c>
      <c r="O4801" t="s">
        <v>2210</v>
      </c>
      <c r="P4801">
        <v>-20.159182999999999</v>
      </c>
      <c r="Q4801">
        <v>-44.858448000000003</v>
      </c>
      <c r="R4801" s="2" t="str">
        <f>HYPERLINK("https://www.google.com/maps?q=-20.1591830,-44.8584480","Abrir no Google Maps")</f>
        <v>Abrir no Google Maps</v>
      </c>
      <c r="S4801">
        <v>4</v>
      </c>
      <c r="T4801">
        <v>0</v>
      </c>
      <c r="U4801">
        <v>3</v>
      </c>
      <c r="V4801">
        <v>0.13682432432432429</v>
      </c>
      <c r="W4801">
        <v>0.85</v>
      </c>
      <c r="X4801">
        <v>0.1163006756756756</v>
      </c>
      <c r="Y4801">
        <v>518</v>
      </c>
      <c r="Z4801">
        <v>134.5083704691157</v>
      </c>
      <c r="AA4801">
        <v>198</v>
      </c>
      <c r="AB4801">
        <v>332</v>
      </c>
      <c r="AC4801">
        <v>536</v>
      </c>
      <c r="AD4801">
        <v>32.42</v>
      </c>
      <c r="AE4801">
        <v>542</v>
      </c>
      <c r="AF4801">
        <v>39</v>
      </c>
      <c r="AG4801">
        <v>173</v>
      </c>
      <c r="AH4801">
        <v>129</v>
      </c>
      <c r="AI4801">
        <v>7.2</v>
      </c>
      <c r="AJ4801">
        <v>31.92</v>
      </c>
      <c r="AK4801">
        <v>23.8</v>
      </c>
      <c r="AL4801">
        <v>-20.159236649999961</v>
      </c>
      <c r="AM4801">
        <v>-44.858332253616709</v>
      </c>
      <c r="AN4801">
        <v>-20.159236649999961</v>
      </c>
      <c r="AO4801">
        <v>-44.858332253616709</v>
      </c>
      <c r="AP4801">
        <v>-20.159182999999999</v>
      </c>
      <c r="AQ4801">
        <v>-44.858448000000003</v>
      </c>
      <c r="AR4801">
        <v>13.48964977008214</v>
      </c>
      <c r="AS4801" t="s">
        <v>65</v>
      </c>
      <c r="AT4801">
        <v>1</v>
      </c>
      <c r="AU4801" t="s">
        <v>2211</v>
      </c>
      <c r="AV4801" t="s">
        <v>2212</v>
      </c>
      <c r="AW4801" t="s">
        <v>60</v>
      </c>
      <c r="AX4801" t="s">
        <v>68</v>
      </c>
      <c r="AY4801" t="s">
        <v>69</v>
      </c>
      <c r="AZ4801" t="b">
        <v>1</v>
      </c>
    </row>
    <row r="4802" spans="1:52" x14ac:dyDescent="0.3">
      <c r="A4802" t="s">
        <v>52</v>
      </c>
      <c r="B4802" t="s">
        <v>53</v>
      </c>
      <c r="C4802" t="s">
        <v>54</v>
      </c>
      <c r="D4802" t="s">
        <v>55</v>
      </c>
      <c r="E4802" t="s">
        <v>2224</v>
      </c>
      <c r="F4802" t="s">
        <v>190</v>
      </c>
      <c r="G4802" t="s">
        <v>219</v>
      </c>
      <c r="H4802" t="s">
        <v>2129</v>
      </c>
      <c r="I4802" t="s">
        <v>2129</v>
      </c>
      <c r="J4802" t="s">
        <v>60</v>
      </c>
      <c r="K4802" t="s">
        <v>1165</v>
      </c>
      <c r="L4802" t="s">
        <v>62</v>
      </c>
      <c r="M4802" t="s">
        <v>1165</v>
      </c>
      <c r="N4802" t="s">
        <v>221</v>
      </c>
      <c r="O4802" t="s">
        <v>2130</v>
      </c>
      <c r="P4802">
        <v>-20.156721000000001</v>
      </c>
      <c r="Q4802">
        <v>-44.862000000000002</v>
      </c>
      <c r="R4802" s="2" t="str">
        <f>HYPERLINK("https://www.google.com/maps?q=-20.1567210,-44.8620000","Abrir no Google Maps")</f>
        <v>Abrir no Google Maps</v>
      </c>
      <c r="S4802">
        <v>4</v>
      </c>
      <c r="T4802">
        <v>471.61852854830028</v>
      </c>
      <c r="U4802">
        <v>3</v>
      </c>
      <c r="V4802">
        <v>0.1423611111111111</v>
      </c>
      <c r="W4802">
        <v>0.85</v>
      </c>
      <c r="X4802">
        <v>0.1210069444444444</v>
      </c>
      <c r="Y4802">
        <v>518</v>
      </c>
      <c r="Z4802">
        <v>453.51649447198128</v>
      </c>
      <c r="AA4802">
        <v>198</v>
      </c>
      <c r="AB4802">
        <v>332</v>
      </c>
      <c r="AC4802">
        <v>536</v>
      </c>
      <c r="AD4802">
        <v>32.42</v>
      </c>
      <c r="AE4802">
        <v>542</v>
      </c>
      <c r="AF4802">
        <v>39</v>
      </c>
      <c r="AG4802">
        <v>173</v>
      </c>
      <c r="AH4802">
        <v>129</v>
      </c>
      <c r="AI4802">
        <v>7.2</v>
      </c>
      <c r="AJ4802">
        <v>31.92</v>
      </c>
      <c r="AK4802">
        <v>23.8</v>
      </c>
      <c r="AL4802">
        <v>-20.156574899999949</v>
      </c>
      <c r="AM4802">
        <v>-44.861856840496699</v>
      </c>
      <c r="AN4802">
        <v>-20.156574899999949</v>
      </c>
      <c r="AO4802">
        <v>-44.861856840496699</v>
      </c>
      <c r="AP4802">
        <v>-20.156721000000001</v>
      </c>
      <c r="AQ4802">
        <v>-44.862000000000002</v>
      </c>
      <c r="AR4802">
        <v>22.09816067181935</v>
      </c>
      <c r="AS4802" t="s">
        <v>65</v>
      </c>
      <c r="AT4802">
        <v>1</v>
      </c>
      <c r="AU4802" t="s">
        <v>2131</v>
      </c>
      <c r="AV4802" t="s">
        <v>2132</v>
      </c>
      <c r="AW4802" t="s">
        <v>60</v>
      </c>
      <c r="AX4802" t="s">
        <v>68</v>
      </c>
      <c r="AY4802" t="s">
        <v>69</v>
      </c>
      <c r="AZ4802" t="b">
        <v>1</v>
      </c>
    </row>
    <row r="4803" spans="1:52" x14ac:dyDescent="0.3">
      <c r="A4803" t="s">
        <v>52</v>
      </c>
      <c r="B4803" t="s">
        <v>53</v>
      </c>
      <c r="C4803" t="s">
        <v>54</v>
      </c>
      <c r="D4803" t="s">
        <v>55</v>
      </c>
      <c r="E4803" t="s">
        <v>2224</v>
      </c>
      <c r="F4803" t="s">
        <v>190</v>
      </c>
      <c r="G4803" t="s">
        <v>238</v>
      </c>
      <c r="H4803" t="s">
        <v>239</v>
      </c>
      <c r="I4803" t="s">
        <v>239</v>
      </c>
      <c r="J4803" t="s">
        <v>60</v>
      </c>
      <c r="K4803" t="s">
        <v>227</v>
      </c>
      <c r="L4803" t="s">
        <v>62</v>
      </c>
      <c r="M4803" t="s">
        <v>227</v>
      </c>
      <c r="N4803" t="s">
        <v>240</v>
      </c>
      <c r="O4803" t="s">
        <v>202</v>
      </c>
      <c r="P4803">
        <v>-20.155833999999999</v>
      </c>
      <c r="Q4803">
        <v>-44.859437999999997</v>
      </c>
      <c r="R4803" s="2" t="str">
        <f>HYPERLINK("https://www.google.com/maps?q=-20.1558340,-44.8594380","Abrir no Google Maps")</f>
        <v>Abrir no Google Maps</v>
      </c>
      <c r="S4803">
        <v>4</v>
      </c>
      <c r="T4803">
        <v>381.00646482339403</v>
      </c>
      <c r="U4803">
        <v>3</v>
      </c>
      <c r="V4803">
        <v>0.1228070175438596</v>
      </c>
      <c r="W4803">
        <v>1</v>
      </c>
      <c r="X4803">
        <v>0.1228070175438596</v>
      </c>
      <c r="Y4803">
        <v>518</v>
      </c>
      <c r="Z4803">
        <v>484.9275363207239</v>
      </c>
      <c r="AA4803">
        <v>198</v>
      </c>
      <c r="AB4803">
        <v>332</v>
      </c>
      <c r="AC4803">
        <v>536</v>
      </c>
      <c r="AD4803">
        <v>32.42</v>
      </c>
      <c r="AE4803">
        <v>542</v>
      </c>
      <c r="AF4803">
        <v>39</v>
      </c>
      <c r="AG4803">
        <v>173</v>
      </c>
      <c r="AH4803">
        <v>129</v>
      </c>
      <c r="AI4803">
        <v>7.2</v>
      </c>
      <c r="AJ4803">
        <v>31.92</v>
      </c>
      <c r="AK4803">
        <v>23.8</v>
      </c>
      <c r="AL4803">
        <v>-20.155935399999979</v>
      </c>
      <c r="AM4803">
        <v>-44.859367525422847</v>
      </c>
      <c r="AN4803">
        <v>-20.155935399999979</v>
      </c>
      <c r="AO4803">
        <v>-44.859367525422847</v>
      </c>
      <c r="AP4803">
        <v>-20.155833999999999</v>
      </c>
      <c r="AQ4803">
        <v>-44.859437999999997</v>
      </c>
      <c r="AR4803">
        <v>13.477960508152201</v>
      </c>
      <c r="AS4803" t="s">
        <v>65</v>
      </c>
      <c r="AT4803">
        <v>1</v>
      </c>
      <c r="AU4803" t="s">
        <v>241</v>
      </c>
      <c r="AV4803" t="s">
        <v>242</v>
      </c>
      <c r="AW4803" t="s">
        <v>60</v>
      </c>
      <c r="AX4803" t="s">
        <v>68</v>
      </c>
      <c r="AY4803" t="s">
        <v>69</v>
      </c>
      <c r="AZ4803" t="b">
        <v>1</v>
      </c>
    </row>
    <row r="4804" spans="1:52" x14ac:dyDescent="0.3">
      <c r="A4804" t="s">
        <v>52</v>
      </c>
      <c r="B4804" t="s">
        <v>53</v>
      </c>
      <c r="C4804" t="s">
        <v>54</v>
      </c>
      <c r="D4804" t="s">
        <v>55</v>
      </c>
      <c r="E4804" t="s">
        <v>2224</v>
      </c>
      <c r="F4804" t="s">
        <v>190</v>
      </c>
      <c r="G4804" t="s">
        <v>1685</v>
      </c>
      <c r="H4804" t="s">
        <v>1686</v>
      </c>
      <c r="I4804" t="s">
        <v>1686</v>
      </c>
      <c r="J4804" t="s">
        <v>60</v>
      </c>
      <c r="K4804" t="s">
        <v>262</v>
      </c>
      <c r="L4804" t="s">
        <v>62</v>
      </c>
      <c r="M4804" t="s">
        <v>262</v>
      </c>
      <c r="N4804" t="s">
        <v>1687</v>
      </c>
      <c r="O4804" t="s">
        <v>1688</v>
      </c>
      <c r="P4804">
        <v>-20.159354</v>
      </c>
      <c r="Q4804">
        <v>-44.855550000000001</v>
      </c>
      <c r="R4804" s="2" t="str">
        <f>HYPERLINK("https://www.google.com/maps?q=-20.1593540,-44.8555500","Abrir no Google Maps")</f>
        <v>Abrir no Google Maps</v>
      </c>
      <c r="S4804">
        <v>4</v>
      </c>
      <c r="T4804">
        <v>274.97810369746082</v>
      </c>
      <c r="U4804">
        <v>3</v>
      </c>
      <c r="V4804">
        <v>0.14285714285714279</v>
      </c>
      <c r="W4804">
        <v>0.85</v>
      </c>
      <c r="X4804">
        <v>0.1214285714285714</v>
      </c>
      <c r="Y4804">
        <v>491</v>
      </c>
      <c r="Z4804">
        <v>435.37144349550522</v>
      </c>
      <c r="AA4804">
        <v>198</v>
      </c>
      <c r="AB4804">
        <v>332</v>
      </c>
      <c r="AC4804">
        <v>536</v>
      </c>
      <c r="AD4804">
        <v>32.42</v>
      </c>
      <c r="AE4804">
        <v>542</v>
      </c>
      <c r="AF4804">
        <v>39</v>
      </c>
      <c r="AG4804">
        <v>173</v>
      </c>
      <c r="AH4804">
        <v>129</v>
      </c>
      <c r="AI4804">
        <v>7.2</v>
      </c>
      <c r="AJ4804">
        <v>31.92</v>
      </c>
      <c r="AK4804">
        <v>23.8</v>
      </c>
      <c r="AL4804">
        <v>-20.159411649999949</v>
      </c>
      <c r="AM4804">
        <v>-44.855707414762733</v>
      </c>
      <c r="AN4804">
        <v>-20.159411649999949</v>
      </c>
      <c r="AO4804">
        <v>-44.855707414762733</v>
      </c>
      <c r="AP4804">
        <v>-20.159354</v>
      </c>
      <c r="AQ4804">
        <v>-44.855550000000001</v>
      </c>
      <c r="AR4804">
        <v>17.65741114106341</v>
      </c>
      <c r="AS4804" t="s">
        <v>65</v>
      </c>
      <c r="AT4804">
        <v>1</v>
      </c>
      <c r="AU4804" t="s">
        <v>1689</v>
      </c>
      <c r="AV4804" t="s">
        <v>1690</v>
      </c>
      <c r="AW4804" t="s">
        <v>60</v>
      </c>
      <c r="AX4804" t="s">
        <v>68</v>
      </c>
      <c r="AY4804" t="s">
        <v>69</v>
      </c>
      <c r="AZ4804" t="b">
        <v>1</v>
      </c>
    </row>
    <row r="4805" spans="1:52" x14ac:dyDescent="0.3">
      <c r="A4805" t="s">
        <v>52</v>
      </c>
      <c r="B4805" t="s">
        <v>53</v>
      </c>
      <c r="C4805" t="s">
        <v>54</v>
      </c>
      <c r="D4805" t="s">
        <v>55</v>
      </c>
      <c r="E4805" t="s">
        <v>2224</v>
      </c>
      <c r="F4805" t="s">
        <v>190</v>
      </c>
      <c r="G4805" t="s">
        <v>1691</v>
      </c>
      <c r="H4805" t="s">
        <v>1692</v>
      </c>
      <c r="I4805" t="s">
        <v>1692</v>
      </c>
      <c r="J4805" t="s">
        <v>60</v>
      </c>
      <c r="K4805" t="s">
        <v>355</v>
      </c>
      <c r="L4805" t="s">
        <v>62</v>
      </c>
      <c r="M4805" t="s">
        <v>355</v>
      </c>
      <c r="N4805" t="s">
        <v>1693</v>
      </c>
      <c r="O4805" t="s">
        <v>1446</v>
      </c>
      <c r="P4805">
        <v>-20.14547</v>
      </c>
      <c r="Q4805">
        <v>-44.877133999999998</v>
      </c>
      <c r="R4805" s="2" t="str">
        <f>HYPERLINK("https://www.google.com/maps?q=-20.1454700,-44.8771340","Abrir no Google Maps")</f>
        <v>Abrir no Google Maps</v>
      </c>
      <c r="S4805">
        <v>4</v>
      </c>
      <c r="T4805">
        <v>258.39225185862313</v>
      </c>
      <c r="U4805">
        <v>3</v>
      </c>
      <c r="V4805">
        <v>0.14333333333333331</v>
      </c>
      <c r="W4805">
        <v>0.85</v>
      </c>
      <c r="X4805">
        <v>0.12183333333333329</v>
      </c>
      <c r="Y4805">
        <v>465</v>
      </c>
      <c r="Z4805">
        <v>177.55740786989961</v>
      </c>
      <c r="AA4805">
        <v>198</v>
      </c>
      <c r="AB4805">
        <v>332</v>
      </c>
      <c r="AC4805">
        <v>536</v>
      </c>
      <c r="AD4805">
        <v>32.42</v>
      </c>
      <c r="AE4805">
        <v>542</v>
      </c>
      <c r="AF4805">
        <v>39</v>
      </c>
      <c r="AG4805">
        <v>173</v>
      </c>
      <c r="AH4805">
        <v>129</v>
      </c>
      <c r="AI4805">
        <v>7.2</v>
      </c>
      <c r="AJ4805">
        <v>31.92</v>
      </c>
      <c r="AK4805">
        <v>23.8</v>
      </c>
      <c r="AL4805">
        <v>-20.14545944999994</v>
      </c>
      <c r="AM4805">
        <v>-44.877145069822348</v>
      </c>
      <c r="AN4805">
        <v>-20.14545944999994</v>
      </c>
      <c r="AO4805">
        <v>-44.877145069822348</v>
      </c>
      <c r="AP4805">
        <v>-20.14547</v>
      </c>
      <c r="AQ4805">
        <v>-44.877133999999998</v>
      </c>
      <c r="AR4805">
        <v>1.6485448005145531</v>
      </c>
      <c r="AS4805" t="s">
        <v>65</v>
      </c>
      <c r="AT4805">
        <v>1</v>
      </c>
      <c r="AU4805" t="s">
        <v>1694</v>
      </c>
      <c r="AV4805" t="s">
        <v>1695</v>
      </c>
      <c r="AW4805" t="s">
        <v>60</v>
      </c>
      <c r="AX4805" t="s">
        <v>68</v>
      </c>
      <c r="AY4805" t="s">
        <v>69</v>
      </c>
      <c r="AZ4805" t="b">
        <v>1</v>
      </c>
    </row>
    <row r="4806" spans="1:52" x14ac:dyDescent="0.3">
      <c r="A4806" t="s">
        <v>52</v>
      </c>
      <c r="B4806" t="s">
        <v>53</v>
      </c>
      <c r="C4806" t="s">
        <v>54</v>
      </c>
      <c r="D4806" t="s">
        <v>55</v>
      </c>
      <c r="E4806" t="s">
        <v>2224</v>
      </c>
      <c r="F4806" t="s">
        <v>190</v>
      </c>
      <c r="G4806" t="s">
        <v>243</v>
      </c>
      <c r="H4806" t="s">
        <v>244</v>
      </c>
      <c r="I4806" t="s">
        <v>244</v>
      </c>
      <c r="J4806" t="s">
        <v>60</v>
      </c>
      <c r="K4806" t="s">
        <v>214</v>
      </c>
      <c r="L4806" t="s">
        <v>62</v>
      </c>
      <c r="M4806" t="s">
        <v>214</v>
      </c>
      <c r="N4806" t="s">
        <v>245</v>
      </c>
      <c r="O4806" t="s">
        <v>246</v>
      </c>
      <c r="P4806">
        <v>-20.156296999999999</v>
      </c>
      <c r="Q4806">
        <v>-44.873035999999999</v>
      </c>
      <c r="R4806" s="2" t="str">
        <f>HYPERLINK("https://www.google.com/maps?q=-20.1562970,-44.8730360","Abrir no Google Maps")</f>
        <v>Abrir no Google Maps</v>
      </c>
      <c r="S4806">
        <v>4</v>
      </c>
      <c r="T4806">
        <v>198.04479306725889</v>
      </c>
      <c r="U4806">
        <v>3</v>
      </c>
      <c r="V4806">
        <v>0.1114583333333333</v>
      </c>
      <c r="W4806">
        <v>1</v>
      </c>
      <c r="X4806">
        <v>0.1114583333333333</v>
      </c>
      <c r="Y4806">
        <v>305</v>
      </c>
      <c r="Z4806">
        <v>267.7765515134916</v>
      </c>
      <c r="AA4806">
        <v>198</v>
      </c>
      <c r="AB4806">
        <v>332</v>
      </c>
      <c r="AC4806">
        <v>536</v>
      </c>
      <c r="AD4806">
        <v>32.42</v>
      </c>
      <c r="AE4806">
        <v>542</v>
      </c>
      <c r="AF4806">
        <v>39</v>
      </c>
      <c r="AG4806">
        <v>173</v>
      </c>
      <c r="AH4806">
        <v>129</v>
      </c>
      <c r="AI4806">
        <v>7.2</v>
      </c>
      <c r="AJ4806">
        <v>31.92</v>
      </c>
      <c r="AK4806">
        <v>23.8</v>
      </c>
      <c r="AL4806">
        <v>-20.156361349999941</v>
      </c>
      <c r="AM4806">
        <v>-44.87296512500793</v>
      </c>
      <c r="AN4806">
        <v>-20.156361349999941</v>
      </c>
      <c r="AO4806">
        <v>-44.87296512500793</v>
      </c>
      <c r="AP4806">
        <v>-20.156296999999999</v>
      </c>
      <c r="AQ4806">
        <v>-44.873035999999999</v>
      </c>
      <c r="AR4806">
        <v>10.304009356726979</v>
      </c>
      <c r="AS4806" t="s">
        <v>65</v>
      </c>
      <c r="AT4806">
        <v>1</v>
      </c>
      <c r="AU4806" t="s">
        <v>247</v>
      </c>
      <c r="AV4806" t="s">
        <v>248</v>
      </c>
      <c r="AW4806" t="s">
        <v>60</v>
      </c>
      <c r="AX4806" t="s">
        <v>68</v>
      </c>
      <c r="AY4806" t="s">
        <v>69</v>
      </c>
      <c r="AZ4806" t="b">
        <v>1</v>
      </c>
    </row>
    <row r="4807" spans="1:52" x14ac:dyDescent="0.3">
      <c r="A4807" t="s">
        <v>52</v>
      </c>
      <c r="B4807" t="s">
        <v>53</v>
      </c>
      <c r="C4807" t="s">
        <v>54</v>
      </c>
      <c r="D4807" t="s">
        <v>55</v>
      </c>
      <c r="E4807" t="s">
        <v>2224</v>
      </c>
      <c r="F4807" t="s">
        <v>190</v>
      </c>
      <c r="G4807" t="s">
        <v>212</v>
      </c>
      <c r="H4807" t="s">
        <v>249</v>
      </c>
      <c r="I4807" t="s">
        <v>249</v>
      </c>
      <c r="J4807" t="s">
        <v>60</v>
      </c>
      <c r="K4807" t="s">
        <v>214</v>
      </c>
      <c r="L4807" t="s">
        <v>62</v>
      </c>
      <c r="M4807" t="s">
        <v>214</v>
      </c>
      <c r="N4807" t="s">
        <v>215</v>
      </c>
      <c r="O4807" t="s">
        <v>250</v>
      </c>
      <c r="P4807">
        <v>-20.153901000000001</v>
      </c>
      <c r="Q4807">
        <v>-44.873201000000002</v>
      </c>
      <c r="R4807" s="2" t="str">
        <f>HYPERLINK("https://www.google.com/maps?q=-20.1539010,-44.8732010","Abrir no Google Maps")</f>
        <v>Abrir no Google Maps</v>
      </c>
      <c r="S4807">
        <v>4</v>
      </c>
      <c r="T4807">
        <v>478.23282142593177</v>
      </c>
      <c r="U4807">
        <v>3</v>
      </c>
      <c r="V4807">
        <v>0.12626262626262619</v>
      </c>
      <c r="W4807">
        <v>1</v>
      </c>
      <c r="X4807">
        <v>0.12626262626262619</v>
      </c>
      <c r="Y4807">
        <v>305</v>
      </c>
      <c r="Z4807">
        <v>392.82025973713081</v>
      </c>
      <c r="AA4807">
        <v>198</v>
      </c>
      <c r="AB4807">
        <v>332</v>
      </c>
      <c r="AC4807">
        <v>536</v>
      </c>
      <c r="AD4807">
        <v>32.42</v>
      </c>
      <c r="AE4807">
        <v>542</v>
      </c>
      <c r="AF4807">
        <v>39</v>
      </c>
      <c r="AG4807">
        <v>173</v>
      </c>
      <c r="AH4807">
        <v>129</v>
      </c>
      <c r="AI4807">
        <v>7.2</v>
      </c>
      <c r="AJ4807">
        <v>31.92</v>
      </c>
      <c r="AK4807">
        <v>23.8</v>
      </c>
      <c r="AL4807">
        <v>-20.153814849999971</v>
      </c>
      <c r="AM4807">
        <v>-44.87304592111829</v>
      </c>
      <c r="AN4807">
        <v>-20.153814849999971</v>
      </c>
      <c r="AO4807">
        <v>-44.87304592111829</v>
      </c>
      <c r="AP4807">
        <v>-20.153901000000001</v>
      </c>
      <c r="AQ4807">
        <v>-44.873201000000002</v>
      </c>
      <c r="AR4807">
        <v>18.831316146831309</v>
      </c>
      <c r="AS4807" t="s">
        <v>65</v>
      </c>
      <c r="AT4807">
        <v>1</v>
      </c>
      <c r="AU4807" t="s">
        <v>251</v>
      </c>
      <c r="AV4807" t="s">
        <v>252</v>
      </c>
      <c r="AW4807" t="s">
        <v>60</v>
      </c>
      <c r="AX4807" t="s">
        <v>68</v>
      </c>
      <c r="AY4807" t="s">
        <v>69</v>
      </c>
      <c r="AZ4807" t="b">
        <v>1</v>
      </c>
    </row>
    <row r="4808" spans="1:52" x14ac:dyDescent="0.3">
      <c r="A4808" t="s">
        <v>52</v>
      </c>
      <c r="B4808" t="s">
        <v>53</v>
      </c>
      <c r="C4808" t="s">
        <v>54</v>
      </c>
      <c r="D4808" t="s">
        <v>55</v>
      </c>
      <c r="E4808" t="s">
        <v>2224</v>
      </c>
      <c r="F4808" t="s">
        <v>190</v>
      </c>
      <c r="G4808" t="s">
        <v>290</v>
      </c>
      <c r="H4808" t="s">
        <v>291</v>
      </c>
      <c r="I4808" t="s">
        <v>291</v>
      </c>
      <c r="J4808" t="s">
        <v>60</v>
      </c>
      <c r="K4808" t="s">
        <v>143</v>
      </c>
      <c r="L4808" t="s">
        <v>62</v>
      </c>
      <c r="M4808" t="s">
        <v>143</v>
      </c>
      <c r="N4808" t="s">
        <v>292</v>
      </c>
      <c r="O4808" t="s">
        <v>293</v>
      </c>
      <c r="P4808">
        <v>-20.164380999999999</v>
      </c>
      <c r="Q4808">
        <v>-44.841638000000003</v>
      </c>
      <c r="R4808" s="2" t="str">
        <f>HYPERLINK("https://www.google.com/maps?q=-20.1643810,-44.8416380","Abrir no Google Maps")</f>
        <v>Abrir no Google Maps</v>
      </c>
      <c r="S4808">
        <v>4</v>
      </c>
      <c r="T4808">
        <v>653.87342410001406</v>
      </c>
      <c r="U4808">
        <v>3</v>
      </c>
      <c r="V4808">
        <v>0.1272727272727272</v>
      </c>
      <c r="W4808">
        <v>1</v>
      </c>
      <c r="X4808">
        <v>0.1272727272727272</v>
      </c>
      <c r="Y4808">
        <v>292</v>
      </c>
      <c r="Z4808">
        <v>761.66023684754805</v>
      </c>
      <c r="AA4808">
        <v>198</v>
      </c>
      <c r="AB4808">
        <v>332</v>
      </c>
      <c r="AC4808">
        <v>536</v>
      </c>
      <c r="AD4808">
        <v>32.42</v>
      </c>
      <c r="AE4808">
        <v>542</v>
      </c>
      <c r="AF4808">
        <v>39</v>
      </c>
      <c r="AG4808">
        <v>173</v>
      </c>
      <c r="AH4808">
        <v>129</v>
      </c>
      <c r="AI4808">
        <v>7.2</v>
      </c>
      <c r="AJ4808">
        <v>31.92</v>
      </c>
      <c r="AK4808">
        <v>23.8</v>
      </c>
      <c r="AL4808">
        <v>-20.16420624999995</v>
      </c>
      <c r="AM4808">
        <v>-44.841488984995642</v>
      </c>
      <c r="AN4808">
        <v>-20.16420624999995</v>
      </c>
      <c r="AO4808">
        <v>-44.841488984995642</v>
      </c>
      <c r="AP4808">
        <v>-20.164380999999999</v>
      </c>
      <c r="AQ4808">
        <v>-44.841638000000003</v>
      </c>
      <c r="AR4808">
        <v>24.91789254993785</v>
      </c>
      <c r="AS4808" t="s">
        <v>65</v>
      </c>
      <c r="AT4808">
        <v>1</v>
      </c>
      <c r="AU4808" t="s">
        <v>294</v>
      </c>
      <c r="AV4808" t="s">
        <v>295</v>
      </c>
      <c r="AW4808" t="s">
        <v>60</v>
      </c>
      <c r="AX4808" t="s">
        <v>68</v>
      </c>
      <c r="AY4808" t="s">
        <v>69</v>
      </c>
      <c r="AZ4808" t="b">
        <v>1</v>
      </c>
    </row>
    <row r="4809" spans="1:52" x14ac:dyDescent="0.3">
      <c r="A4809" t="s">
        <v>52</v>
      </c>
      <c r="B4809" t="s">
        <v>53</v>
      </c>
      <c r="C4809" t="s">
        <v>54</v>
      </c>
      <c r="D4809" t="s">
        <v>55</v>
      </c>
      <c r="E4809" t="s">
        <v>2224</v>
      </c>
      <c r="F4809" t="s">
        <v>190</v>
      </c>
      <c r="G4809" t="s">
        <v>1696</v>
      </c>
      <c r="H4809" t="s">
        <v>1697</v>
      </c>
      <c r="I4809" t="s">
        <v>1697</v>
      </c>
      <c r="J4809" t="s">
        <v>60</v>
      </c>
      <c r="K4809" t="s">
        <v>143</v>
      </c>
      <c r="L4809" t="s">
        <v>62</v>
      </c>
      <c r="M4809" t="s">
        <v>143</v>
      </c>
      <c r="N4809" t="s">
        <v>1698</v>
      </c>
      <c r="O4809" t="s">
        <v>1699</v>
      </c>
      <c r="P4809">
        <v>-20.164061</v>
      </c>
      <c r="Q4809">
        <v>-44.839478</v>
      </c>
      <c r="R4809" s="2" t="str">
        <f>HYPERLINK("https://www.google.com/maps?q=-20.1640610,-44.8394780","Abrir no Google Maps")</f>
        <v>Abrir no Google Maps</v>
      </c>
      <c r="S4809">
        <v>4</v>
      </c>
      <c r="T4809">
        <v>877.73340935244505</v>
      </c>
      <c r="U4809">
        <v>3</v>
      </c>
      <c r="V4809">
        <v>0.14506172839506171</v>
      </c>
      <c r="W4809">
        <v>0.85</v>
      </c>
      <c r="X4809">
        <v>0.12330246913580251</v>
      </c>
      <c r="Y4809">
        <v>292</v>
      </c>
      <c r="Z4809">
        <v>961.72330387274496</v>
      </c>
      <c r="AA4809">
        <v>198</v>
      </c>
      <c r="AB4809">
        <v>332</v>
      </c>
      <c r="AC4809">
        <v>536</v>
      </c>
      <c r="AD4809">
        <v>32.42</v>
      </c>
      <c r="AE4809">
        <v>542</v>
      </c>
      <c r="AF4809">
        <v>39</v>
      </c>
      <c r="AG4809">
        <v>173</v>
      </c>
      <c r="AH4809">
        <v>129</v>
      </c>
      <c r="AI4809">
        <v>7.2</v>
      </c>
      <c r="AJ4809">
        <v>31.92</v>
      </c>
      <c r="AK4809">
        <v>23.8</v>
      </c>
      <c r="AL4809">
        <v>-20.164152949999931</v>
      </c>
      <c r="AM4809">
        <v>-44.839307994949444</v>
      </c>
      <c r="AN4809">
        <v>-20.164152949999931</v>
      </c>
      <c r="AO4809">
        <v>-44.839307994949444</v>
      </c>
      <c r="AP4809">
        <v>-20.164061</v>
      </c>
      <c r="AQ4809">
        <v>-44.839478</v>
      </c>
      <c r="AR4809">
        <v>20.50291216141127</v>
      </c>
      <c r="AS4809" t="s">
        <v>65</v>
      </c>
      <c r="AT4809">
        <v>1</v>
      </c>
      <c r="AU4809" t="s">
        <v>1700</v>
      </c>
      <c r="AV4809" t="s">
        <v>1701</v>
      </c>
      <c r="AW4809" t="s">
        <v>60</v>
      </c>
      <c r="AX4809" t="s">
        <v>68</v>
      </c>
      <c r="AY4809" t="s">
        <v>69</v>
      </c>
      <c r="AZ4809" t="b">
        <v>1</v>
      </c>
    </row>
    <row r="4810" spans="1:52" x14ac:dyDescent="0.3">
      <c r="A4810" t="s">
        <v>52</v>
      </c>
      <c r="B4810" t="s">
        <v>53</v>
      </c>
      <c r="C4810" t="s">
        <v>54</v>
      </c>
      <c r="D4810" t="s">
        <v>55</v>
      </c>
      <c r="E4810" t="s">
        <v>2224</v>
      </c>
      <c r="F4810" t="s">
        <v>190</v>
      </c>
      <c r="G4810" t="s">
        <v>1715</v>
      </c>
      <c r="H4810" t="s">
        <v>1716</v>
      </c>
      <c r="I4810" t="s">
        <v>1716</v>
      </c>
      <c r="J4810" t="s">
        <v>60</v>
      </c>
      <c r="K4810" t="s">
        <v>255</v>
      </c>
      <c r="L4810" t="s">
        <v>62</v>
      </c>
      <c r="M4810" t="s">
        <v>255</v>
      </c>
      <c r="N4810" t="s">
        <v>1698</v>
      </c>
      <c r="O4810" t="s">
        <v>315</v>
      </c>
      <c r="P4810">
        <v>-20.161683</v>
      </c>
      <c r="Q4810">
        <v>-44.845424999999999</v>
      </c>
      <c r="R4810" s="2" t="str">
        <f>HYPERLINK("https://www.google.com/maps?q=-20.1616830,-44.8454250","Abrir no Google Maps")</f>
        <v>Abrir no Google Maps</v>
      </c>
      <c r="S4810">
        <v>4</v>
      </c>
      <c r="T4810">
        <v>524.43989478411606</v>
      </c>
      <c r="U4810">
        <v>3</v>
      </c>
      <c r="V4810">
        <v>0.1378205128205128</v>
      </c>
      <c r="W4810">
        <v>0.85</v>
      </c>
      <c r="X4810">
        <v>0.1171474358974359</v>
      </c>
      <c r="Y4810">
        <v>292</v>
      </c>
      <c r="Z4810">
        <v>608.20869498965567</v>
      </c>
      <c r="AA4810">
        <v>198</v>
      </c>
      <c r="AB4810">
        <v>332</v>
      </c>
      <c r="AC4810">
        <v>536</v>
      </c>
      <c r="AD4810">
        <v>32.42</v>
      </c>
      <c r="AE4810">
        <v>542</v>
      </c>
      <c r="AF4810">
        <v>39</v>
      </c>
      <c r="AG4810">
        <v>173</v>
      </c>
      <c r="AH4810">
        <v>129</v>
      </c>
      <c r="AI4810">
        <v>7.2</v>
      </c>
      <c r="AJ4810">
        <v>31.92</v>
      </c>
      <c r="AK4810">
        <v>23.8</v>
      </c>
      <c r="AL4810">
        <v>-20.161451749999941</v>
      </c>
      <c r="AM4810">
        <v>-44.845228942326678</v>
      </c>
      <c r="AN4810">
        <v>-20.161451749999941</v>
      </c>
      <c r="AO4810">
        <v>-44.845228942326678</v>
      </c>
      <c r="AP4810">
        <v>-20.161683</v>
      </c>
      <c r="AQ4810">
        <v>-44.845424999999999</v>
      </c>
      <c r="AR4810">
        <v>32.900447293752777</v>
      </c>
      <c r="AS4810" t="s">
        <v>65</v>
      </c>
      <c r="AT4810">
        <v>1</v>
      </c>
      <c r="AU4810" t="s">
        <v>1717</v>
      </c>
      <c r="AV4810" t="s">
        <v>320</v>
      </c>
      <c r="AW4810" t="s">
        <v>60</v>
      </c>
      <c r="AX4810" t="s">
        <v>68</v>
      </c>
      <c r="AY4810" t="s">
        <v>69</v>
      </c>
      <c r="AZ4810" t="b">
        <v>1</v>
      </c>
    </row>
    <row r="4811" spans="1:52" x14ac:dyDescent="0.3">
      <c r="A4811" t="s">
        <v>52</v>
      </c>
      <c r="B4811" t="s">
        <v>53</v>
      </c>
      <c r="C4811" t="s">
        <v>54</v>
      </c>
      <c r="D4811" t="s">
        <v>55</v>
      </c>
      <c r="E4811" t="s">
        <v>2224</v>
      </c>
      <c r="F4811" t="s">
        <v>190</v>
      </c>
      <c r="G4811" t="s">
        <v>328</v>
      </c>
      <c r="H4811" t="s">
        <v>329</v>
      </c>
      <c r="I4811" t="s">
        <v>329</v>
      </c>
      <c r="J4811" t="s">
        <v>60</v>
      </c>
      <c r="K4811" t="s">
        <v>157</v>
      </c>
      <c r="L4811" t="s">
        <v>62</v>
      </c>
      <c r="M4811" t="s">
        <v>157</v>
      </c>
      <c r="N4811" t="s">
        <v>330</v>
      </c>
      <c r="O4811" t="s">
        <v>331</v>
      </c>
      <c r="P4811">
        <v>-20.167981999999999</v>
      </c>
      <c r="Q4811">
        <v>-44.885706999999996</v>
      </c>
      <c r="R4811" s="2" t="str">
        <f>HYPERLINK("https://www.google.com/maps?q=-20.1679820,-44.8857070","Abrir no Google Maps")</f>
        <v>Abrir no Google Maps</v>
      </c>
      <c r="S4811">
        <v>4</v>
      </c>
      <c r="T4811">
        <v>594.70112534633722</v>
      </c>
      <c r="U4811">
        <v>3</v>
      </c>
      <c r="V4811">
        <v>0.1214511041009463</v>
      </c>
      <c r="W4811">
        <v>1</v>
      </c>
      <c r="X4811">
        <v>0.1214511041009463</v>
      </c>
      <c r="Y4811">
        <v>232</v>
      </c>
      <c r="Z4811">
        <v>560.38516624860983</v>
      </c>
      <c r="AA4811">
        <v>198</v>
      </c>
      <c r="AB4811">
        <v>332</v>
      </c>
      <c r="AC4811">
        <v>536</v>
      </c>
      <c r="AD4811">
        <v>32.42</v>
      </c>
      <c r="AE4811">
        <v>542</v>
      </c>
      <c r="AF4811">
        <v>39</v>
      </c>
      <c r="AG4811">
        <v>173</v>
      </c>
      <c r="AH4811">
        <v>129</v>
      </c>
      <c r="AI4811">
        <v>7.2</v>
      </c>
      <c r="AJ4811">
        <v>31.92</v>
      </c>
      <c r="AK4811">
        <v>23.8</v>
      </c>
      <c r="AL4811">
        <v>-20.167931149999959</v>
      </c>
      <c r="AM4811">
        <v>-44.885606821741909</v>
      </c>
      <c r="AN4811">
        <v>-20.167931149999959</v>
      </c>
      <c r="AO4811">
        <v>-44.885606821741909</v>
      </c>
      <c r="AP4811">
        <v>-20.167981999999999</v>
      </c>
      <c r="AQ4811">
        <v>-44.885706999999996</v>
      </c>
      <c r="AR4811">
        <v>11.90056149590643</v>
      </c>
      <c r="AS4811" t="s">
        <v>65</v>
      </c>
      <c r="AT4811">
        <v>1</v>
      </c>
      <c r="AU4811" t="s">
        <v>332</v>
      </c>
      <c r="AV4811" t="s">
        <v>333</v>
      </c>
      <c r="AW4811" t="s">
        <v>60</v>
      </c>
      <c r="AX4811" t="s">
        <v>68</v>
      </c>
      <c r="AY4811" t="s">
        <v>69</v>
      </c>
      <c r="AZ4811" t="b">
        <v>1</v>
      </c>
    </row>
    <row r="4812" spans="1:52" x14ac:dyDescent="0.3">
      <c r="A4812" t="s">
        <v>52</v>
      </c>
      <c r="B4812" t="s">
        <v>53</v>
      </c>
      <c r="C4812" t="s">
        <v>54</v>
      </c>
      <c r="D4812" t="s">
        <v>55</v>
      </c>
      <c r="E4812" t="s">
        <v>2224</v>
      </c>
      <c r="F4812" t="s">
        <v>190</v>
      </c>
      <c r="G4812" t="s">
        <v>155</v>
      </c>
      <c r="H4812" t="s">
        <v>156</v>
      </c>
      <c r="I4812" t="s">
        <v>156</v>
      </c>
      <c r="J4812" t="s">
        <v>60</v>
      </c>
      <c r="K4812" t="s">
        <v>157</v>
      </c>
      <c r="L4812" t="s">
        <v>62</v>
      </c>
      <c r="M4812" t="s">
        <v>157</v>
      </c>
      <c r="N4812" t="s">
        <v>158</v>
      </c>
      <c r="O4812" t="s">
        <v>159</v>
      </c>
      <c r="P4812">
        <v>-20.166302999999999</v>
      </c>
      <c r="Q4812">
        <v>-44.880659999999999</v>
      </c>
      <c r="R4812" s="2" t="str">
        <f>HYPERLINK("https://www.google.com/maps?q=-20.1663030,-44.8806600","Abrir no Google Maps")</f>
        <v>Abrir no Google Maps</v>
      </c>
      <c r="S4812">
        <v>4</v>
      </c>
      <c r="T4812">
        <v>504.41812426451338</v>
      </c>
      <c r="U4812">
        <v>3</v>
      </c>
      <c r="V4812">
        <v>0.1213503649635036</v>
      </c>
      <c r="W4812">
        <v>1</v>
      </c>
      <c r="X4812">
        <v>0.1213503649635036</v>
      </c>
      <c r="Y4812">
        <v>232</v>
      </c>
      <c r="Z4812">
        <v>279.57571553948952</v>
      </c>
      <c r="AA4812">
        <v>198</v>
      </c>
      <c r="AB4812">
        <v>332</v>
      </c>
      <c r="AC4812">
        <v>536</v>
      </c>
      <c r="AD4812">
        <v>32.42</v>
      </c>
      <c r="AE4812">
        <v>542</v>
      </c>
      <c r="AF4812">
        <v>39</v>
      </c>
      <c r="AG4812">
        <v>173</v>
      </c>
      <c r="AH4812">
        <v>129</v>
      </c>
      <c r="AI4812">
        <v>7.2</v>
      </c>
      <c r="AJ4812">
        <v>31.92</v>
      </c>
      <c r="AK4812">
        <v>23.8</v>
      </c>
      <c r="AL4812">
        <v>-20.166700449999951</v>
      </c>
      <c r="AM4812">
        <v>-44.880573341714289</v>
      </c>
      <c r="AN4812">
        <v>-20.166700449999951</v>
      </c>
      <c r="AO4812">
        <v>-44.880573341714289</v>
      </c>
      <c r="AP4812">
        <v>-20.166302999999999</v>
      </c>
      <c r="AQ4812">
        <v>-44.880659999999999</v>
      </c>
      <c r="AR4812">
        <v>45.161304979350312</v>
      </c>
      <c r="AS4812" t="s">
        <v>65</v>
      </c>
      <c r="AT4812">
        <v>1</v>
      </c>
      <c r="AU4812" t="s">
        <v>160</v>
      </c>
      <c r="AV4812" t="s">
        <v>161</v>
      </c>
      <c r="AW4812" t="s">
        <v>60</v>
      </c>
      <c r="AX4812" t="s">
        <v>68</v>
      </c>
      <c r="AY4812" t="s">
        <v>69</v>
      </c>
      <c r="AZ4812" t="b">
        <v>1</v>
      </c>
    </row>
    <row r="4813" spans="1:52" x14ac:dyDescent="0.3">
      <c r="A4813" t="s">
        <v>52</v>
      </c>
      <c r="B4813" t="s">
        <v>53</v>
      </c>
      <c r="C4813" t="s">
        <v>54</v>
      </c>
      <c r="D4813" t="s">
        <v>55</v>
      </c>
      <c r="E4813" t="s">
        <v>2224</v>
      </c>
      <c r="F4813" t="s">
        <v>190</v>
      </c>
      <c r="G4813" t="s">
        <v>1718</v>
      </c>
      <c r="H4813" t="s">
        <v>1719</v>
      </c>
      <c r="I4813" t="s">
        <v>1719</v>
      </c>
      <c r="J4813" t="s">
        <v>60</v>
      </c>
      <c r="K4813" t="s">
        <v>157</v>
      </c>
      <c r="L4813" t="s">
        <v>62</v>
      </c>
      <c r="M4813" t="s">
        <v>157</v>
      </c>
      <c r="N4813" t="s">
        <v>1720</v>
      </c>
      <c r="O4813" t="s">
        <v>1504</v>
      </c>
      <c r="P4813">
        <v>-20.171738999999999</v>
      </c>
      <c r="Q4813">
        <v>-44.883522999999997</v>
      </c>
      <c r="R4813" s="2" t="str">
        <f>HYPERLINK("https://www.google.com/maps?q=-20.1717390,-44.8835230","Abrir no Google Maps")</f>
        <v>Abrir no Google Maps</v>
      </c>
      <c r="S4813">
        <v>4</v>
      </c>
      <c r="T4813">
        <v>256.99601600395061</v>
      </c>
      <c r="U4813">
        <v>3</v>
      </c>
      <c r="V4813">
        <v>0.1334677419354838</v>
      </c>
      <c r="W4813">
        <v>0.85</v>
      </c>
      <c r="X4813">
        <v>0.11344758064516119</v>
      </c>
      <c r="Y4813">
        <v>232</v>
      </c>
      <c r="Z4813">
        <v>340.87195921482072</v>
      </c>
      <c r="AA4813">
        <v>198</v>
      </c>
      <c r="AB4813">
        <v>332</v>
      </c>
      <c r="AC4813">
        <v>536</v>
      </c>
      <c r="AD4813">
        <v>32.42</v>
      </c>
      <c r="AE4813">
        <v>542</v>
      </c>
      <c r="AF4813">
        <v>39</v>
      </c>
      <c r="AG4813">
        <v>173</v>
      </c>
      <c r="AH4813">
        <v>129</v>
      </c>
      <c r="AI4813">
        <v>7.2</v>
      </c>
      <c r="AJ4813">
        <v>31.92</v>
      </c>
      <c r="AK4813">
        <v>23.8</v>
      </c>
      <c r="AL4813">
        <v>-20.171852049999959</v>
      </c>
      <c r="AM4813">
        <v>-44.883483547306533</v>
      </c>
      <c r="AN4813">
        <v>-20.171852049999959</v>
      </c>
      <c r="AO4813">
        <v>-44.883483547306533</v>
      </c>
      <c r="AP4813">
        <v>-20.171738999999999</v>
      </c>
      <c r="AQ4813">
        <v>-44.883522999999997</v>
      </c>
      <c r="AR4813">
        <v>13.24274259208917</v>
      </c>
      <c r="AS4813" t="s">
        <v>65</v>
      </c>
      <c r="AT4813">
        <v>1</v>
      </c>
      <c r="AU4813" t="s">
        <v>1721</v>
      </c>
      <c r="AV4813" t="s">
        <v>352</v>
      </c>
      <c r="AW4813" t="s">
        <v>60</v>
      </c>
      <c r="AX4813" t="s">
        <v>68</v>
      </c>
      <c r="AY4813" t="s">
        <v>69</v>
      </c>
      <c r="AZ4813" t="b">
        <v>1</v>
      </c>
    </row>
    <row r="4814" spans="1:52" x14ac:dyDescent="0.3">
      <c r="A4814" t="s">
        <v>52</v>
      </c>
      <c r="B4814" t="s">
        <v>53</v>
      </c>
      <c r="C4814" t="s">
        <v>54</v>
      </c>
      <c r="D4814" t="s">
        <v>55</v>
      </c>
      <c r="E4814" t="s">
        <v>2224</v>
      </c>
      <c r="F4814" t="s">
        <v>190</v>
      </c>
      <c r="G4814" t="s">
        <v>1637</v>
      </c>
      <c r="H4814" t="s">
        <v>1638</v>
      </c>
      <c r="I4814" t="s">
        <v>1638</v>
      </c>
      <c r="J4814" t="s">
        <v>60</v>
      </c>
      <c r="K4814" t="s">
        <v>375</v>
      </c>
      <c r="L4814" t="s">
        <v>62</v>
      </c>
      <c r="M4814" t="s">
        <v>375</v>
      </c>
      <c r="N4814" t="s">
        <v>1639</v>
      </c>
      <c r="O4814" t="s">
        <v>1640</v>
      </c>
      <c r="P4814">
        <v>-20.179231999999999</v>
      </c>
      <c r="Q4814">
        <v>-44.885683999999998</v>
      </c>
      <c r="R4814" s="2" t="str">
        <f>HYPERLINK("https://www.google.com/maps?q=-20.1792320,-44.8856840","Abrir no Google Maps")</f>
        <v>Abrir no Google Maps</v>
      </c>
      <c r="S4814">
        <v>4</v>
      </c>
      <c r="T4814">
        <v>801.46262351669486</v>
      </c>
      <c r="U4814">
        <v>3</v>
      </c>
      <c r="V4814">
        <v>0.15</v>
      </c>
      <c r="W4814">
        <v>0.85</v>
      </c>
      <c r="X4814">
        <v>0.1275</v>
      </c>
      <c r="Y4814">
        <v>232</v>
      </c>
      <c r="Z4814">
        <v>1050.1168515236079</v>
      </c>
      <c r="AA4814">
        <v>198</v>
      </c>
      <c r="AB4814">
        <v>332</v>
      </c>
      <c r="AC4814">
        <v>536</v>
      </c>
      <c r="AD4814">
        <v>32.42</v>
      </c>
      <c r="AE4814">
        <v>542</v>
      </c>
      <c r="AF4814">
        <v>39</v>
      </c>
      <c r="AG4814">
        <v>173</v>
      </c>
      <c r="AH4814">
        <v>129</v>
      </c>
      <c r="AI4814">
        <v>7.2</v>
      </c>
      <c r="AJ4814">
        <v>31.92</v>
      </c>
      <c r="AK4814">
        <v>23.8</v>
      </c>
      <c r="AL4814">
        <v>-20.174313549999969</v>
      </c>
      <c r="AM4814">
        <v>-44.888054159272059</v>
      </c>
      <c r="AN4814">
        <v>-20.174313549999969</v>
      </c>
      <c r="AO4814">
        <v>-44.888054159272059</v>
      </c>
      <c r="AP4814">
        <v>-20.179231999999999</v>
      </c>
      <c r="AQ4814">
        <v>-44.885683999999998</v>
      </c>
      <c r="AR4814">
        <v>600.92840546618686</v>
      </c>
      <c r="AS4814" t="s">
        <v>65</v>
      </c>
      <c r="AT4814">
        <v>1</v>
      </c>
      <c r="AU4814" t="s">
        <v>1641</v>
      </c>
      <c r="AV4814" t="s">
        <v>1642</v>
      </c>
      <c r="AW4814" t="s">
        <v>60</v>
      </c>
      <c r="AX4814" t="s">
        <v>68</v>
      </c>
      <c r="AY4814" t="s">
        <v>69</v>
      </c>
      <c r="AZ4814" t="b">
        <v>1</v>
      </c>
    </row>
    <row r="4815" spans="1:52" x14ac:dyDescent="0.3">
      <c r="A4815" t="s">
        <v>52</v>
      </c>
      <c r="B4815" t="s">
        <v>53</v>
      </c>
      <c r="C4815" t="s">
        <v>54</v>
      </c>
      <c r="D4815" t="s">
        <v>55</v>
      </c>
      <c r="E4815" t="s">
        <v>2224</v>
      </c>
      <c r="F4815" t="s">
        <v>190</v>
      </c>
      <c r="G4815" t="s">
        <v>360</v>
      </c>
      <c r="H4815" t="s">
        <v>361</v>
      </c>
      <c r="I4815" t="s">
        <v>361</v>
      </c>
      <c r="J4815" t="s">
        <v>60</v>
      </c>
      <c r="K4815" t="s">
        <v>362</v>
      </c>
      <c r="L4815" t="s">
        <v>62</v>
      </c>
      <c r="M4815" t="s">
        <v>362</v>
      </c>
      <c r="N4815" t="s">
        <v>363</v>
      </c>
      <c r="O4815" t="s">
        <v>235</v>
      </c>
      <c r="P4815">
        <v>-20.143716999999999</v>
      </c>
      <c r="Q4815">
        <v>-44.875278000000002</v>
      </c>
      <c r="R4815" s="2" t="str">
        <f>HYPERLINK("https://www.google.com/maps?q=-20.1437170,-44.8752780","Abrir no Google Maps")</f>
        <v>Abrir no Google Maps</v>
      </c>
      <c r="S4815">
        <v>4</v>
      </c>
      <c r="T4815">
        <v>0</v>
      </c>
      <c r="U4815">
        <v>3</v>
      </c>
      <c r="V4815">
        <v>0.1221590909090909</v>
      </c>
      <c r="W4815">
        <v>1</v>
      </c>
      <c r="X4815">
        <v>0.1221590909090909</v>
      </c>
      <c r="Y4815">
        <v>209</v>
      </c>
      <c r="Z4815">
        <v>121.8438559354383</v>
      </c>
      <c r="AA4815">
        <v>198</v>
      </c>
      <c r="AB4815">
        <v>332</v>
      </c>
      <c r="AC4815">
        <v>536</v>
      </c>
      <c r="AD4815">
        <v>32.42</v>
      </c>
      <c r="AE4815">
        <v>542</v>
      </c>
      <c r="AF4815">
        <v>39</v>
      </c>
      <c r="AG4815">
        <v>173</v>
      </c>
      <c r="AH4815">
        <v>129</v>
      </c>
      <c r="AI4815">
        <v>7.2</v>
      </c>
      <c r="AJ4815">
        <v>31.92</v>
      </c>
      <c r="AK4815">
        <v>23.8</v>
      </c>
      <c r="AL4815">
        <v>-20.143665999999961</v>
      </c>
      <c r="AM4815">
        <v>-44.875561853046079</v>
      </c>
      <c r="AN4815">
        <v>-20.143665999999961</v>
      </c>
      <c r="AO4815">
        <v>-44.875561853046079</v>
      </c>
      <c r="AP4815">
        <v>-20.143716999999999</v>
      </c>
      <c r="AQ4815">
        <v>-44.875278000000002</v>
      </c>
      <c r="AR4815">
        <v>30.20407282671313</v>
      </c>
      <c r="AS4815" t="s">
        <v>65</v>
      </c>
      <c r="AT4815">
        <v>1</v>
      </c>
      <c r="AU4815" t="s">
        <v>364</v>
      </c>
      <c r="AV4815" t="s">
        <v>365</v>
      </c>
      <c r="AW4815" t="s">
        <v>60</v>
      </c>
      <c r="AX4815" t="s">
        <v>68</v>
      </c>
      <c r="AY4815" t="s">
        <v>69</v>
      </c>
      <c r="AZ4815" t="b">
        <v>1</v>
      </c>
    </row>
    <row r="4816" spans="1:52" x14ac:dyDescent="0.3">
      <c r="A4816" t="s">
        <v>52</v>
      </c>
      <c r="B4816" t="s">
        <v>53</v>
      </c>
      <c r="C4816" t="s">
        <v>54</v>
      </c>
      <c r="D4816" t="s">
        <v>55</v>
      </c>
      <c r="E4816" t="s">
        <v>2224</v>
      </c>
      <c r="F4816" t="s">
        <v>190</v>
      </c>
      <c r="G4816" t="s">
        <v>1722</v>
      </c>
      <c r="H4816" t="s">
        <v>1723</v>
      </c>
      <c r="I4816" t="s">
        <v>1723</v>
      </c>
      <c r="J4816" t="s">
        <v>60</v>
      </c>
      <c r="K4816" t="s">
        <v>355</v>
      </c>
      <c r="L4816" t="s">
        <v>62</v>
      </c>
      <c r="M4816" t="s">
        <v>355</v>
      </c>
      <c r="N4816" t="s">
        <v>1724</v>
      </c>
      <c r="O4816" t="s">
        <v>1725</v>
      </c>
      <c r="P4816">
        <v>-20.143581999999999</v>
      </c>
      <c r="Q4816">
        <v>-44.873627999999997</v>
      </c>
      <c r="R4816" s="2" t="str">
        <f>HYPERLINK("https://www.google.com/maps?q=-20.1435820,-44.8736280","Abrir no Google Maps")</f>
        <v>Abrir no Google Maps</v>
      </c>
      <c r="S4816">
        <v>4</v>
      </c>
      <c r="T4816">
        <v>208.52786918687181</v>
      </c>
      <c r="U4816">
        <v>3</v>
      </c>
      <c r="V4816">
        <v>0.13020833333333329</v>
      </c>
      <c r="W4816">
        <v>0.85</v>
      </c>
      <c r="X4816">
        <v>0.1106770833333333</v>
      </c>
      <c r="Y4816">
        <v>209</v>
      </c>
      <c r="Z4816">
        <v>128.3269726321931</v>
      </c>
      <c r="AA4816">
        <v>198</v>
      </c>
      <c r="AB4816">
        <v>332</v>
      </c>
      <c r="AC4816">
        <v>536</v>
      </c>
      <c r="AD4816">
        <v>32.42</v>
      </c>
      <c r="AE4816">
        <v>542</v>
      </c>
      <c r="AF4816">
        <v>39</v>
      </c>
      <c r="AG4816">
        <v>173</v>
      </c>
      <c r="AH4816">
        <v>129</v>
      </c>
      <c r="AI4816">
        <v>7.2</v>
      </c>
      <c r="AJ4816">
        <v>31.92</v>
      </c>
      <c r="AK4816">
        <v>23.8</v>
      </c>
      <c r="AL4816">
        <v>-20.143898149999959</v>
      </c>
      <c r="AM4816">
        <v>-44.873581764571512</v>
      </c>
      <c r="AN4816">
        <v>-20.143898149999959</v>
      </c>
      <c r="AO4816">
        <v>-44.873581764571512</v>
      </c>
      <c r="AP4816">
        <v>-20.143581999999999</v>
      </c>
      <c r="AQ4816">
        <v>-44.873627999999997</v>
      </c>
      <c r="AR4816">
        <v>35.5239912670961</v>
      </c>
      <c r="AS4816" t="s">
        <v>65</v>
      </c>
      <c r="AT4816">
        <v>1</v>
      </c>
      <c r="AU4816" t="s">
        <v>1726</v>
      </c>
      <c r="AV4816" t="s">
        <v>1727</v>
      </c>
      <c r="AW4816" t="s">
        <v>60</v>
      </c>
      <c r="AX4816" t="s">
        <v>68</v>
      </c>
      <c r="AY4816" t="s">
        <v>69</v>
      </c>
      <c r="AZ4816" t="b">
        <v>1</v>
      </c>
    </row>
    <row r="4817" spans="1:52" x14ac:dyDescent="0.3">
      <c r="A4817" t="s">
        <v>52</v>
      </c>
      <c r="B4817" t="s">
        <v>53</v>
      </c>
      <c r="C4817" t="s">
        <v>54</v>
      </c>
      <c r="D4817" t="s">
        <v>55</v>
      </c>
      <c r="E4817" t="s">
        <v>2224</v>
      </c>
      <c r="F4817" t="s">
        <v>190</v>
      </c>
      <c r="G4817" t="s">
        <v>366</v>
      </c>
      <c r="H4817" t="s">
        <v>367</v>
      </c>
      <c r="I4817" t="s">
        <v>367</v>
      </c>
      <c r="J4817" t="s">
        <v>60</v>
      </c>
      <c r="K4817" t="s">
        <v>368</v>
      </c>
      <c r="L4817" t="s">
        <v>62</v>
      </c>
      <c r="M4817" t="s">
        <v>368</v>
      </c>
      <c r="N4817" t="s">
        <v>369</v>
      </c>
      <c r="O4817" t="s">
        <v>370</v>
      </c>
      <c r="P4817">
        <v>-20.144553999999999</v>
      </c>
      <c r="Q4817">
        <v>-44.868183000000002</v>
      </c>
      <c r="R4817" s="2" t="str">
        <f>HYPERLINK("https://www.google.com/maps?q=-20.1445540,-44.8681830","Abrir no Google Maps")</f>
        <v>Abrir no Google Maps</v>
      </c>
      <c r="S4817">
        <v>4</v>
      </c>
      <c r="T4817">
        <v>783.87848835431373</v>
      </c>
      <c r="U4817">
        <v>3</v>
      </c>
      <c r="V4817">
        <v>0.1109022556390977</v>
      </c>
      <c r="W4817">
        <v>1</v>
      </c>
      <c r="X4817">
        <v>0.1109022556390977</v>
      </c>
      <c r="Y4817">
        <v>198</v>
      </c>
      <c r="Z4817">
        <v>360.68413994394842</v>
      </c>
      <c r="AA4817">
        <v>198</v>
      </c>
      <c r="AB4817">
        <v>332</v>
      </c>
      <c r="AC4817">
        <v>536</v>
      </c>
      <c r="AD4817">
        <v>32.42</v>
      </c>
      <c r="AE4817">
        <v>542</v>
      </c>
      <c r="AF4817">
        <v>39</v>
      </c>
      <c r="AG4817">
        <v>173</v>
      </c>
      <c r="AH4817">
        <v>129</v>
      </c>
      <c r="AI4817">
        <v>7.2</v>
      </c>
      <c r="AJ4817">
        <v>31.92</v>
      </c>
      <c r="AK4817">
        <v>23.8</v>
      </c>
      <c r="AL4817">
        <v>-20.144487399999949</v>
      </c>
      <c r="AM4817">
        <v>-44.868111936674481</v>
      </c>
      <c r="AN4817">
        <v>-20.144487399999939</v>
      </c>
      <c r="AO4817">
        <v>-44.868111936674481</v>
      </c>
      <c r="AP4817">
        <v>-20.144553999999999</v>
      </c>
      <c r="AQ4817">
        <v>-44.868183000000002</v>
      </c>
      <c r="AR4817">
        <v>10.49400387332288</v>
      </c>
      <c r="AS4817" t="s">
        <v>65</v>
      </c>
      <c r="AT4817">
        <v>1</v>
      </c>
      <c r="AU4817" t="s">
        <v>371</v>
      </c>
      <c r="AV4817" t="s">
        <v>372</v>
      </c>
      <c r="AW4817" t="s">
        <v>60</v>
      </c>
      <c r="AX4817" t="s">
        <v>68</v>
      </c>
      <c r="AY4817" t="s">
        <v>69</v>
      </c>
      <c r="AZ4817" t="b">
        <v>1</v>
      </c>
    </row>
    <row r="4818" spans="1:52" x14ac:dyDescent="0.3">
      <c r="A4818" t="s">
        <v>52</v>
      </c>
      <c r="B4818" t="s">
        <v>53</v>
      </c>
      <c r="C4818" t="s">
        <v>54</v>
      </c>
      <c r="D4818" t="s">
        <v>55</v>
      </c>
      <c r="E4818" t="s">
        <v>2224</v>
      </c>
      <c r="F4818" t="s">
        <v>190</v>
      </c>
      <c r="G4818" t="s">
        <v>2225</v>
      </c>
      <c r="H4818" t="s">
        <v>2226</v>
      </c>
      <c r="I4818" t="s">
        <v>2226</v>
      </c>
      <c r="J4818" t="s">
        <v>60</v>
      </c>
      <c r="K4818" t="s">
        <v>2227</v>
      </c>
      <c r="L4818" t="s">
        <v>62</v>
      </c>
      <c r="M4818" t="s">
        <v>2227</v>
      </c>
      <c r="N4818" t="s">
        <v>2228</v>
      </c>
      <c r="O4818" t="s">
        <v>315</v>
      </c>
      <c r="P4818">
        <v>-20.162430000000001</v>
      </c>
      <c r="Q4818">
        <v>-44.866650999999997</v>
      </c>
      <c r="R4818" s="2" t="str">
        <f>HYPERLINK("https://www.google.com/maps?q=-20.1624300,-44.8666510","Abrir no Google Maps")</f>
        <v>Abrir no Google Maps</v>
      </c>
      <c r="S4818">
        <v>4</v>
      </c>
      <c r="T4818">
        <v>658.29119054221178</v>
      </c>
      <c r="U4818">
        <v>3</v>
      </c>
      <c r="V4818">
        <v>0.13235294117647059</v>
      </c>
      <c r="W4818">
        <v>0.85</v>
      </c>
      <c r="X4818">
        <v>0.1125</v>
      </c>
      <c r="Y4818">
        <v>147</v>
      </c>
      <c r="Z4818">
        <v>609.49957203499457</v>
      </c>
      <c r="AA4818">
        <v>198</v>
      </c>
      <c r="AB4818">
        <v>332</v>
      </c>
      <c r="AC4818">
        <v>536</v>
      </c>
      <c r="AD4818">
        <v>32.42</v>
      </c>
      <c r="AE4818">
        <v>542</v>
      </c>
      <c r="AF4818">
        <v>39</v>
      </c>
      <c r="AG4818">
        <v>173</v>
      </c>
      <c r="AH4818">
        <v>129</v>
      </c>
      <c r="AI4818">
        <v>7.2</v>
      </c>
      <c r="AJ4818">
        <v>31.92</v>
      </c>
      <c r="AK4818">
        <v>23.8</v>
      </c>
      <c r="AL4818">
        <v>-20.161996199999979</v>
      </c>
      <c r="AM4818">
        <v>-44.867809865233887</v>
      </c>
      <c r="AN4818">
        <v>-20.161996199999979</v>
      </c>
      <c r="AO4818">
        <v>-44.867809865233887</v>
      </c>
      <c r="AP4818">
        <v>-20.162430000000001</v>
      </c>
      <c r="AQ4818">
        <v>-44.866650999999997</v>
      </c>
      <c r="AR4818">
        <v>130.37300463304959</v>
      </c>
      <c r="AS4818" t="s">
        <v>65</v>
      </c>
      <c r="AT4818">
        <v>1</v>
      </c>
      <c r="AU4818" t="s">
        <v>2229</v>
      </c>
      <c r="AV4818" t="s">
        <v>2230</v>
      </c>
      <c r="AW4818" t="s">
        <v>60</v>
      </c>
      <c r="AX4818" t="s">
        <v>68</v>
      </c>
      <c r="AY4818" t="s">
        <v>69</v>
      </c>
      <c r="AZ4818" t="b">
        <v>1</v>
      </c>
    </row>
    <row r="4819" spans="1:52" x14ac:dyDescent="0.3">
      <c r="A4819" t="s">
        <v>52</v>
      </c>
      <c r="B4819" t="s">
        <v>53</v>
      </c>
      <c r="C4819" t="s">
        <v>54</v>
      </c>
      <c r="D4819" t="s">
        <v>55</v>
      </c>
      <c r="E4819" t="s">
        <v>2224</v>
      </c>
      <c r="F4819" t="s">
        <v>190</v>
      </c>
      <c r="G4819" t="s">
        <v>1728</v>
      </c>
      <c r="H4819" t="s">
        <v>1729</v>
      </c>
      <c r="I4819" t="s">
        <v>1729</v>
      </c>
      <c r="J4819" t="s">
        <v>60</v>
      </c>
      <c r="K4819" t="s">
        <v>171</v>
      </c>
      <c r="L4819" t="s">
        <v>62</v>
      </c>
      <c r="M4819" t="s">
        <v>171</v>
      </c>
      <c r="N4819" t="s">
        <v>1730</v>
      </c>
      <c r="O4819" t="s">
        <v>1731</v>
      </c>
      <c r="P4819">
        <v>-20.153237000000001</v>
      </c>
      <c r="Q4819">
        <v>-44.893830999999999</v>
      </c>
      <c r="R4819" s="2" t="str">
        <f>HYPERLINK("https://www.google.com/maps?q=-20.1532370,-44.8938310","Abrir no Google Maps")</f>
        <v>Abrir no Google Maps</v>
      </c>
      <c r="S4819">
        <v>4</v>
      </c>
      <c r="T4819">
        <v>413.69072684661631</v>
      </c>
      <c r="U4819">
        <v>3</v>
      </c>
      <c r="V4819">
        <v>0.11160714285714279</v>
      </c>
      <c r="W4819">
        <v>1</v>
      </c>
      <c r="X4819">
        <v>0.11160714285714279</v>
      </c>
      <c r="Y4819">
        <v>129</v>
      </c>
      <c r="Z4819">
        <v>276.95856023076033</v>
      </c>
      <c r="AA4819">
        <v>198</v>
      </c>
      <c r="AB4819">
        <v>332</v>
      </c>
      <c r="AC4819">
        <v>536</v>
      </c>
      <c r="AD4819">
        <v>32.42</v>
      </c>
      <c r="AE4819">
        <v>542</v>
      </c>
      <c r="AF4819">
        <v>39</v>
      </c>
      <c r="AG4819">
        <v>173</v>
      </c>
      <c r="AH4819">
        <v>129</v>
      </c>
      <c r="AI4819">
        <v>7.2</v>
      </c>
      <c r="AJ4819">
        <v>31.92</v>
      </c>
      <c r="AK4819">
        <v>23.8</v>
      </c>
      <c r="AL4819">
        <v>-20.15278304999995</v>
      </c>
      <c r="AM4819">
        <v>-44.894325691070982</v>
      </c>
      <c r="AN4819">
        <v>-20.15278304999995</v>
      </c>
      <c r="AO4819">
        <v>-44.894325691070982</v>
      </c>
      <c r="AP4819">
        <v>-20.153237000000001</v>
      </c>
      <c r="AQ4819">
        <v>-44.893830999999999</v>
      </c>
      <c r="AR4819">
        <v>72.293093135883012</v>
      </c>
      <c r="AS4819" t="s">
        <v>65</v>
      </c>
      <c r="AT4819">
        <v>1</v>
      </c>
      <c r="AU4819" t="s">
        <v>1732</v>
      </c>
      <c r="AV4819" t="s">
        <v>1733</v>
      </c>
      <c r="AW4819" t="s">
        <v>60</v>
      </c>
      <c r="AX4819" t="s">
        <v>68</v>
      </c>
      <c r="AY4819" t="s">
        <v>69</v>
      </c>
      <c r="AZ4819" t="b">
        <v>1</v>
      </c>
    </row>
    <row r="4820" spans="1:52" x14ac:dyDescent="0.3">
      <c r="A4820" t="s">
        <v>52</v>
      </c>
      <c r="B4820" t="s">
        <v>53</v>
      </c>
      <c r="C4820" t="s">
        <v>54</v>
      </c>
      <c r="D4820" t="s">
        <v>55</v>
      </c>
      <c r="E4820" t="s">
        <v>2224</v>
      </c>
      <c r="F4820" t="s">
        <v>190</v>
      </c>
      <c r="G4820" t="s">
        <v>1679</v>
      </c>
      <c r="H4820" t="s">
        <v>1680</v>
      </c>
      <c r="I4820" t="s">
        <v>1680</v>
      </c>
      <c r="J4820" t="s">
        <v>60</v>
      </c>
      <c r="K4820" t="s">
        <v>1681</v>
      </c>
      <c r="L4820" t="s">
        <v>62</v>
      </c>
      <c r="M4820" t="s">
        <v>1681</v>
      </c>
      <c r="N4820" t="s">
        <v>1682</v>
      </c>
      <c r="O4820" t="s">
        <v>315</v>
      </c>
      <c r="P4820">
        <v>-20.136075999999999</v>
      </c>
      <c r="Q4820">
        <v>-44.854410999999999</v>
      </c>
      <c r="R4820" s="2" t="str">
        <f>HYPERLINK("https://www.google.com/maps?q=-20.1360760,-44.8544110","Abrir no Google Maps")</f>
        <v>Abrir no Google Maps</v>
      </c>
      <c r="S4820">
        <v>4</v>
      </c>
      <c r="T4820">
        <v>923.14535705095284</v>
      </c>
      <c r="U4820">
        <v>3</v>
      </c>
      <c r="V4820">
        <v>0.1226053639846743</v>
      </c>
      <c r="W4820">
        <v>1</v>
      </c>
      <c r="X4820">
        <v>0.1226053639846743</v>
      </c>
      <c r="Y4820">
        <v>95</v>
      </c>
      <c r="Z4820">
        <v>512.25410822465881</v>
      </c>
      <c r="AA4820">
        <v>198</v>
      </c>
      <c r="AB4820">
        <v>332</v>
      </c>
      <c r="AC4820">
        <v>536</v>
      </c>
      <c r="AD4820">
        <v>32.42</v>
      </c>
      <c r="AE4820">
        <v>542</v>
      </c>
      <c r="AF4820">
        <v>39</v>
      </c>
      <c r="AG4820">
        <v>173</v>
      </c>
      <c r="AH4820">
        <v>129</v>
      </c>
      <c r="AI4820">
        <v>7.2</v>
      </c>
      <c r="AJ4820">
        <v>31.92</v>
      </c>
      <c r="AK4820">
        <v>23.8</v>
      </c>
      <c r="AL4820">
        <v>-20.13612434999996</v>
      </c>
      <c r="AM4820">
        <v>-44.854448179058288</v>
      </c>
      <c r="AN4820">
        <v>-20.13612434999996</v>
      </c>
      <c r="AO4820">
        <v>-44.854448179058288</v>
      </c>
      <c r="AP4820">
        <v>-20.136075999999999</v>
      </c>
      <c r="AQ4820">
        <v>-44.854410999999999</v>
      </c>
      <c r="AR4820">
        <v>6.6384360450222868</v>
      </c>
      <c r="AS4820" t="s">
        <v>65</v>
      </c>
      <c r="AT4820">
        <v>1</v>
      </c>
      <c r="AU4820" t="s">
        <v>1683</v>
      </c>
      <c r="AV4820" t="s">
        <v>1684</v>
      </c>
      <c r="AW4820" t="s">
        <v>60</v>
      </c>
      <c r="AX4820" t="s">
        <v>68</v>
      </c>
      <c r="AY4820" t="s">
        <v>69</v>
      </c>
      <c r="AZ4820" t="b">
        <v>1</v>
      </c>
    </row>
    <row r="4821" spans="1:52" x14ac:dyDescent="0.3">
      <c r="A4821" t="s">
        <v>52</v>
      </c>
      <c r="B4821" t="s">
        <v>53</v>
      </c>
      <c r="C4821" t="s">
        <v>54</v>
      </c>
      <c r="D4821" t="s">
        <v>55</v>
      </c>
      <c r="E4821" t="s">
        <v>2224</v>
      </c>
      <c r="F4821" t="s">
        <v>190</v>
      </c>
      <c r="G4821" t="s">
        <v>183</v>
      </c>
      <c r="H4821" t="s">
        <v>184</v>
      </c>
      <c r="I4821" t="s">
        <v>184</v>
      </c>
      <c r="J4821" t="s">
        <v>60</v>
      </c>
      <c r="K4821" t="s">
        <v>185</v>
      </c>
      <c r="L4821" t="s">
        <v>62</v>
      </c>
      <c r="M4821" t="s">
        <v>185</v>
      </c>
      <c r="N4821" t="s">
        <v>186</v>
      </c>
      <c r="O4821" t="s">
        <v>187</v>
      </c>
      <c r="P4821">
        <v>-20.134855000000002</v>
      </c>
      <c r="Q4821">
        <v>-44.860174000000001</v>
      </c>
      <c r="R4821" s="2" t="str">
        <f>HYPERLINK("https://www.google.com/maps?q=-20.1348550,-44.8601740","Abrir no Google Maps")</f>
        <v>Abrir no Google Maps</v>
      </c>
      <c r="S4821">
        <v>4</v>
      </c>
      <c r="T4821">
        <v>625.96998974571841</v>
      </c>
      <c r="U4821">
        <v>3</v>
      </c>
      <c r="V4821">
        <v>0.1155778894472361</v>
      </c>
      <c r="W4821">
        <v>1</v>
      </c>
      <c r="X4821">
        <v>0.1155778894472361</v>
      </c>
      <c r="Y4821">
        <v>95</v>
      </c>
      <c r="Z4821">
        <v>257.67818504656498</v>
      </c>
      <c r="AA4821">
        <v>198</v>
      </c>
      <c r="AB4821">
        <v>332</v>
      </c>
      <c r="AC4821">
        <v>536</v>
      </c>
      <c r="AD4821">
        <v>32.42</v>
      </c>
      <c r="AE4821">
        <v>542</v>
      </c>
      <c r="AF4821">
        <v>39</v>
      </c>
      <c r="AG4821">
        <v>173</v>
      </c>
      <c r="AH4821">
        <v>129</v>
      </c>
      <c r="AI4821">
        <v>7.2</v>
      </c>
      <c r="AJ4821">
        <v>31.92</v>
      </c>
      <c r="AK4821">
        <v>23.8</v>
      </c>
      <c r="AL4821">
        <v>-20.134903999999981</v>
      </c>
      <c r="AM4821">
        <v>-44.859880285335962</v>
      </c>
      <c r="AN4821">
        <v>-20.134903999999981</v>
      </c>
      <c r="AO4821">
        <v>-44.859880285335962</v>
      </c>
      <c r="AP4821">
        <v>-20.134855000000002</v>
      </c>
      <c r="AQ4821">
        <v>-44.860174000000001</v>
      </c>
      <c r="AR4821">
        <v>31.178921696823132</v>
      </c>
      <c r="AS4821" t="s">
        <v>65</v>
      </c>
      <c r="AT4821">
        <v>1</v>
      </c>
      <c r="AU4821" t="s">
        <v>188</v>
      </c>
      <c r="AV4821" t="s">
        <v>189</v>
      </c>
      <c r="AW4821" t="s">
        <v>60</v>
      </c>
      <c r="AX4821" t="s">
        <v>68</v>
      </c>
      <c r="AY4821" t="s">
        <v>69</v>
      </c>
      <c r="AZ4821" t="b">
        <v>1</v>
      </c>
    </row>
    <row r="4822" spans="1:52" x14ac:dyDescent="0.3">
      <c r="A4822" t="s">
        <v>52</v>
      </c>
      <c r="B4822" t="s">
        <v>53</v>
      </c>
      <c r="C4822" t="s">
        <v>54</v>
      </c>
      <c r="D4822" t="s">
        <v>55</v>
      </c>
      <c r="E4822" t="s">
        <v>2224</v>
      </c>
      <c r="F4822" t="s">
        <v>190</v>
      </c>
      <c r="G4822" t="s">
        <v>2173</v>
      </c>
      <c r="H4822" t="s">
        <v>2231</v>
      </c>
      <c r="I4822" t="s">
        <v>2231</v>
      </c>
      <c r="J4822" t="s">
        <v>60</v>
      </c>
      <c r="K4822" t="s">
        <v>2232</v>
      </c>
      <c r="L4822" t="s">
        <v>62</v>
      </c>
      <c r="M4822" t="s">
        <v>2232</v>
      </c>
      <c r="N4822" t="s">
        <v>2233</v>
      </c>
      <c r="O4822" t="s">
        <v>315</v>
      </c>
      <c r="P4822">
        <v>-20.091393</v>
      </c>
      <c r="Q4822">
        <v>-45.023135000000003</v>
      </c>
      <c r="R4822" s="2" t="str">
        <f>HYPERLINK("https://www.google.com/maps?q=-20.0913930,-45.0231350","Abrir no Google Maps")</f>
        <v>Abrir no Google Maps</v>
      </c>
      <c r="S4822">
        <v>4</v>
      </c>
      <c r="T4822">
        <v>3067.0253042391168</v>
      </c>
      <c r="U4822">
        <v>3</v>
      </c>
      <c r="V4822">
        <v>0.13461538461538461</v>
      </c>
      <c r="W4822">
        <v>0.85</v>
      </c>
      <c r="X4822">
        <v>0.11442307692307691</v>
      </c>
      <c r="Y4822">
        <v>34</v>
      </c>
      <c r="Z4822">
        <v>2960.202019771787</v>
      </c>
      <c r="AA4822">
        <v>198</v>
      </c>
      <c r="AB4822">
        <v>332</v>
      </c>
      <c r="AC4822">
        <v>536</v>
      </c>
      <c r="AD4822">
        <v>32.42</v>
      </c>
      <c r="AE4822">
        <v>542</v>
      </c>
      <c r="AF4822">
        <v>39</v>
      </c>
      <c r="AG4822">
        <v>173</v>
      </c>
      <c r="AH4822">
        <v>129</v>
      </c>
      <c r="AI4822">
        <v>7.2</v>
      </c>
      <c r="AJ4822">
        <v>31.92</v>
      </c>
      <c r="AK4822">
        <v>23.8</v>
      </c>
      <c r="AL4822">
        <v>-20.091948549999959</v>
      </c>
      <c r="AM4822">
        <v>-45.02934783713124</v>
      </c>
      <c r="AN4822">
        <v>-20.091948549999959</v>
      </c>
      <c r="AO4822">
        <v>-45.02934783713124</v>
      </c>
      <c r="AP4822">
        <v>-20.091393</v>
      </c>
      <c r="AQ4822">
        <v>-45.023135000000003</v>
      </c>
      <c r="AR4822">
        <v>652.46077606030462</v>
      </c>
      <c r="AS4822" t="s">
        <v>65</v>
      </c>
      <c r="AT4822">
        <v>1</v>
      </c>
      <c r="AU4822" t="s">
        <v>2234</v>
      </c>
      <c r="AV4822" t="s">
        <v>2235</v>
      </c>
      <c r="AW4822" t="s">
        <v>60</v>
      </c>
      <c r="AX4822" t="s">
        <v>68</v>
      </c>
      <c r="AY4822" t="s">
        <v>69</v>
      </c>
      <c r="AZ4822" t="b">
        <v>1</v>
      </c>
    </row>
    <row r="4823" spans="1:52" x14ac:dyDescent="0.3">
      <c r="A4823" t="s">
        <v>52</v>
      </c>
      <c r="B4823" t="s">
        <v>53</v>
      </c>
      <c r="C4823" t="s">
        <v>54</v>
      </c>
      <c r="D4823" t="s">
        <v>55</v>
      </c>
      <c r="E4823" t="s">
        <v>2224</v>
      </c>
      <c r="F4823" t="s">
        <v>190</v>
      </c>
      <c r="G4823" t="s">
        <v>870</v>
      </c>
      <c r="H4823" t="s">
        <v>871</v>
      </c>
      <c r="I4823" t="s">
        <v>871</v>
      </c>
      <c r="J4823" t="s">
        <v>60</v>
      </c>
      <c r="K4823" t="s">
        <v>475</v>
      </c>
      <c r="L4823" t="s">
        <v>62</v>
      </c>
      <c r="M4823" t="s">
        <v>475</v>
      </c>
      <c r="N4823" t="s">
        <v>872</v>
      </c>
      <c r="O4823" t="s">
        <v>507</v>
      </c>
      <c r="P4823">
        <v>-20.176269999999999</v>
      </c>
      <c r="Q4823">
        <v>-44.909323999999998</v>
      </c>
      <c r="R4823" s="2" t="str">
        <f>HYPERLINK("https://www.google.com/maps?q=-20.1762700,-44.9093240","Abrir no Google Maps")</f>
        <v>Abrir no Google Maps</v>
      </c>
      <c r="S4823">
        <v>3</v>
      </c>
      <c r="T4823">
        <v>472.42731136821368</v>
      </c>
      <c r="U4823">
        <v>4</v>
      </c>
      <c r="V4823">
        <v>0.13555555555555551</v>
      </c>
      <c r="W4823">
        <v>1</v>
      </c>
      <c r="X4823">
        <v>0.13555555555555551</v>
      </c>
      <c r="Y4823">
        <v>578</v>
      </c>
      <c r="Z4823">
        <v>495.19726726344601</v>
      </c>
      <c r="AA4823">
        <v>198</v>
      </c>
      <c r="AB4823">
        <v>332</v>
      </c>
      <c r="AC4823">
        <v>536</v>
      </c>
      <c r="AD4823">
        <v>32.42</v>
      </c>
      <c r="AE4823">
        <v>542</v>
      </c>
      <c r="AF4823">
        <v>39</v>
      </c>
      <c r="AG4823">
        <v>173</v>
      </c>
      <c r="AH4823">
        <v>129</v>
      </c>
      <c r="AI4823">
        <v>7.2</v>
      </c>
      <c r="AJ4823">
        <v>31.92</v>
      </c>
      <c r="AK4823">
        <v>23.8</v>
      </c>
      <c r="AL4823">
        <v>-20.17630284999996</v>
      </c>
      <c r="AM4823">
        <v>-44.909199064318948</v>
      </c>
      <c r="AN4823">
        <v>-20.17630284999996</v>
      </c>
      <c r="AO4823">
        <v>-44.909199064318948</v>
      </c>
      <c r="AP4823">
        <v>-20.176269999999999</v>
      </c>
      <c r="AQ4823">
        <v>-44.909323999999998</v>
      </c>
      <c r="AR4823">
        <v>13.55691308737447</v>
      </c>
      <c r="AS4823" t="s">
        <v>65</v>
      </c>
      <c r="AT4823">
        <v>1</v>
      </c>
      <c r="AU4823" t="s">
        <v>873</v>
      </c>
      <c r="AV4823" t="s">
        <v>874</v>
      </c>
      <c r="AW4823" t="s">
        <v>60</v>
      </c>
      <c r="AX4823" t="s">
        <v>68</v>
      </c>
      <c r="AY4823" t="s">
        <v>69</v>
      </c>
      <c r="AZ4823" t="b">
        <v>1</v>
      </c>
    </row>
    <row r="4824" spans="1:52" x14ac:dyDescent="0.3">
      <c r="A4824" t="s">
        <v>52</v>
      </c>
      <c r="B4824" t="s">
        <v>53</v>
      </c>
      <c r="C4824" t="s">
        <v>54</v>
      </c>
      <c r="D4824" t="s">
        <v>55</v>
      </c>
      <c r="E4824" t="s">
        <v>2224</v>
      </c>
      <c r="F4824" t="s">
        <v>190</v>
      </c>
      <c r="G4824" t="s">
        <v>1435</v>
      </c>
      <c r="H4824" t="s">
        <v>1436</v>
      </c>
      <c r="I4824" t="s">
        <v>1436</v>
      </c>
      <c r="J4824" t="s">
        <v>60</v>
      </c>
      <c r="K4824" t="s">
        <v>886</v>
      </c>
      <c r="L4824" t="s">
        <v>62</v>
      </c>
      <c r="M4824" t="s">
        <v>886</v>
      </c>
      <c r="N4824" t="s">
        <v>1437</v>
      </c>
      <c r="O4824" t="s">
        <v>1438</v>
      </c>
      <c r="P4824">
        <v>-20.131108000000001</v>
      </c>
      <c r="Q4824">
        <v>-44.893228000000001</v>
      </c>
      <c r="R4824" s="2" t="str">
        <f>HYPERLINK("https://www.google.com/maps?q=-20.1311080,-44.8932280","Abrir no Google Maps")</f>
        <v>Abrir no Google Maps</v>
      </c>
      <c r="S4824">
        <v>3</v>
      </c>
      <c r="T4824">
        <v>548.07497919430136</v>
      </c>
      <c r="U4824">
        <v>4</v>
      </c>
      <c r="V4824">
        <v>0.15801886792452829</v>
      </c>
      <c r="W4824">
        <v>0.85</v>
      </c>
      <c r="X4824">
        <v>0.13431603773584899</v>
      </c>
      <c r="Y4824">
        <v>564</v>
      </c>
      <c r="Z4824">
        <v>369.17139216388432</v>
      </c>
      <c r="AA4824">
        <v>198</v>
      </c>
      <c r="AB4824">
        <v>332</v>
      </c>
      <c r="AC4824">
        <v>536</v>
      </c>
      <c r="AD4824">
        <v>32.42</v>
      </c>
      <c r="AE4824">
        <v>542</v>
      </c>
      <c r="AF4824">
        <v>39</v>
      </c>
      <c r="AG4824">
        <v>173</v>
      </c>
      <c r="AH4824">
        <v>129</v>
      </c>
      <c r="AI4824">
        <v>7.2</v>
      </c>
      <c r="AJ4824">
        <v>31.92</v>
      </c>
      <c r="AK4824">
        <v>23.8</v>
      </c>
      <c r="AL4824">
        <v>-20.13103294999997</v>
      </c>
      <c r="AM4824">
        <v>-44.89318457893738</v>
      </c>
      <c r="AN4824">
        <v>-20.13103294999997</v>
      </c>
      <c r="AO4824">
        <v>-44.89318457893738</v>
      </c>
      <c r="AP4824">
        <v>-20.131108000000001</v>
      </c>
      <c r="AQ4824">
        <v>-44.893228000000001</v>
      </c>
      <c r="AR4824">
        <v>9.5076426885244203</v>
      </c>
      <c r="AS4824" t="s">
        <v>65</v>
      </c>
      <c r="AT4824">
        <v>1</v>
      </c>
      <c r="AU4824" t="s">
        <v>1439</v>
      </c>
      <c r="AV4824" t="s">
        <v>1440</v>
      </c>
      <c r="AW4824" t="s">
        <v>60</v>
      </c>
      <c r="AX4824" t="s">
        <v>68</v>
      </c>
      <c r="AY4824" t="s">
        <v>69</v>
      </c>
      <c r="AZ4824" t="b">
        <v>1</v>
      </c>
    </row>
    <row r="4825" spans="1:52" x14ac:dyDescent="0.3">
      <c r="A4825" t="s">
        <v>52</v>
      </c>
      <c r="B4825" t="s">
        <v>53</v>
      </c>
      <c r="C4825" t="s">
        <v>54</v>
      </c>
      <c r="D4825" t="s">
        <v>55</v>
      </c>
      <c r="E4825" t="s">
        <v>2224</v>
      </c>
      <c r="F4825" t="s">
        <v>190</v>
      </c>
      <c r="G4825" t="s">
        <v>935</v>
      </c>
      <c r="H4825" t="s">
        <v>936</v>
      </c>
      <c r="I4825" t="s">
        <v>936</v>
      </c>
      <c r="J4825" t="s">
        <v>60</v>
      </c>
      <c r="K4825" t="s">
        <v>193</v>
      </c>
      <c r="L4825" t="s">
        <v>62</v>
      </c>
      <c r="M4825" t="s">
        <v>193</v>
      </c>
      <c r="N4825" t="s">
        <v>937</v>
      </c>
      <c r="O4825" t="s">
        <v>938</v>
      </c>
      <c r="P4825">
        <v>-20.144727</v>
      </c>
      <c r="Q4825">
        <v>-44.919978999999998</v>
      </c>
      <c r="R4825" s="2" t="str">
        <f>HYPERLINK("https://www.google.com/maps?q=-20.1447270,-44.9199790","Abrir no Google Maps")</f>
        <v>Abrir no Google Maps</v>
      </c>
      <c r="S4825">
        <v>3</v>
      </c>
      <c r="T4825">
        <v>341.13992759662477</v>
      </c>
      <c r="U4825">
        <v>4</v>
      </c>
      <c r="V4825">
        <v>0.13797814207650269</v>
      </c>
      <c r="W4825">
        <v>1</v>
      </c>
      <c r="X4825">
        <v>0.13797814207650269</v>
      </c>
      <c r="Y4825">
        <v>508</v>
      </c>
      <c r="Z4825">
        <v>274.58151985101409</v>
      </c>
      <c r="AA4825">
        <v>198</v>
      </c>
      <c r="AB4825">
        <v>332</v>
      </c>
      <c r="AC4825">
        <v>536</v>
      </c>
      <c r="AD4825">
        <v>32.42</v>
      </c>
      <c r="AE4825">
        <v>542</v>
      </c>
      <c r="AF4825">
        <v>39</v>
      </c>
      <c r="AG4825">
        <v>173</v>
      </c>
      <c r="AH4825">
        <v>129</v>
      </c>
      <c r="AI4825">
        <v>7.2</v>
      </c>
      <c r="AJ4825">
        <v>31.92</v>
      </c>
      <c r="AK4825">
        <v>23.8</v>
      </c>
      <c r="AL4825">
        <v>-20.144771099999961</v>
      </c>
      <c r="AM4825">
        <v>-44.92003491095209</v>
      </c>
      <c r="AN4825">
        <v>-20.144771099999961</v>
      </c>
      <c r="AO4825">
        <v>-44.92003491095209</v>
      </c>
      <c r="AP4825">
        <v>-20.144727</v>
      </c>
      <c r="AQ4825">
        <v>-44.919978999999998</v>
      </c>
      <c r="AR4825">
        <v>7.6317760459664177</v>
      </c>
      <c r="AS4825" t="s">
        <v>65</v>
      </c>
      <c r="AT4825">
        <v>1</v>
      </c>
      <c r="AU4825" t="s">
        <v>939</v>
      </c>
      <c r="AV4825" t="s">
        <v>940</v>
      </c>
      <c r="AW4825" t="s">
        <v>60</v>
      </c>
      <c r="AX4825" t="s">
        <v>68</v>
      </c>
      <c r="AY4825" t="s">
        <v>69</v>
      </c>
      <c r="AZ4825" t="b">
        <v>1</v>
      </c>
    </row>
    <row r="4826" spans="1:52" x14ac:dyDescent="0.3">
      <c r="A4826" t="s">
        <v>52</v>
      </c>
      <c r="B4826" t="s">
        <v>53</v>
      </c>
      <c r="C4826" t="s">
        <v>54</v>
      </c>
      <c r="D4826" t="s">
        <v>55</v>
      </c>
      <c r="E4826" t="s">
        <v>2224</v>
      </c>
      <c r="F4826" t="s">
        <v>190</v>
      </c>
      <c r="G4826" t="s">
        <v>968</v>
      </c>
      <c r="H4826" t="s">
        <v>969</v>
      </c>
      <c r="I4826" t="s">
        <v>969</v>
      </c>
      <c r="J4826" t="s">
        <v>60</v>
      </c>
      <c r="K4826" t="s">
        <v>262</v>
      </c>
      <c r="L4826" t="s">
        <v>62</v>
      </c>
      <c r="M4826" t="s">
        <v>262</v>
      </c>
      <c r="N4826" t="s">
        <v>970</v>
      </c>
      <c r="O4826" t="s">
        <v>971</v>
      </c>
      <c r="P4826">
        <v>-20.163060999999999</v>
      </c>
      <c r="Q4826">
        <v>-44.854047000000001</v>
      </c>
      <c r="R4826" s="2" t="str">
        <f>HYPERLINK("https://www.google.com/maps?q=-20.1630610,-44.8540470","Abrir no Google Maps")</f>
        <v>Abrir no Google Maps</v>
      </c>
      <c r="S4826">
        <v>3</v>
      </c>
      <c r="T4826">
        <v>418.63868463200271</v>
      </c>
      <c r="U4826">
        <v>4</v>
      </c>
      <c r="V4826">
        <v>0.1377314814814814</v>
      </c>
      <c r="W4826">
        <v>1</v>
      </c>
      <c r="X4826">
        <v>0.1377314814814814</v>
      </c>
      <c r="Y4826">
        <v>491</v>
      </c>
      <c r="Z4826">
        <v>339.19068595447408</v>
      </c>
      <c r="AA4826">
        <v>198</v>
      </c>
      <c r="AB4826">
        <v>332</v>
      </c>
      <c r="AC4826">
        <v>536</v>
      </c>
      <c r="AD4826">
        <v>32.42</v>
      </c>
      <c r="AE4826">
        <v>542</v>
      </c>
      <c r="AF4826">
        <v>39</v>
      </c>
      <c r="AG4826">
        <v>173</v>
      </c>
      <c r="AH4826">
        <v>129</v>
      </c>
      <c r="AI4826">
        <v>7.2</v>
      </c>
      <c r="AJ4826">
        <v>31.92</v>
      </c>
      <c r="AK4826">
        <v>23.8</v>
      </c>
      <c r="AL4826">
        <v>-20.163118949999959</v>
      </c>
      <c r="AM4826">
        <v>-44.854106723889032</v>
      </c>
      <c r="AN4826">
        <v>-20.163118949999959</v>
      </c>
      <c r="AO4826">
        <v>-44.854106723889032</v>
      </c>
      <c r="AP4826">
        <v>-20.163060999999999</v>
      </c>
      <c r="AQ4826">
        <v>-44.854047000000001</v>
      </c>
      <c r="AR4826">
        <v>8.9758322935491428</v>
      </c>
      <c r="AS4826" t="s">
        <v>65</v>
      </c>
      <c r="AT4826">
        <v>1</v>
      </c>
      <c r="AU4826" t="s">
        <v>972</v>
      </c>
      <c r="AV4826" t="s">
        <v>973</v>
      </c>
      <c r="AW4826" t="s">
        <v>60</v>
      </c>
      <c r="AX4826" t="s">
        <v>68</v>
      </c>
      <c r="AY4826" t="s">
        <v>69</v>
      </c>
      <c r="AZ4826" t="b">
        <v>1</v>
      </c>
    </row>
    <row r="4827" spans="1:52" x14ac:dyDescent="0.3">
      <c r="A4827" t="s">
        <v>52</v>
      </c>
      <c r="B4827" t="s">
        <v>53</v>
      </c>
      <c r="C4827" t="s">
        <v>54</v>
      </c>
      <c r="D4827" t="s">
        <v>55</v>
      </c>
      <c r="E4827" t="s">
        <v>2224</v>
      </c>
      <c r="F4827" t="s">
        <v>190</v>
      </c>
      <c r="G4827" t="s">
        <v>974</v>
      </c>
      <c r="H4827" t="s">
        <v>975</v>
      </c>
      <c r="I4827" t="s">
        <v>975</v>
      </c>
      <c r="J4827" t="s">
        <v>60</v>
      </c>
      <c r="K4827" t="s">
        <v>702</v>
      </c>
      <c r="L4827" t="s">
        <v>62</v>
      </c>
      <c r="M4827" t="s">
        <v>702</v>
      </c>
      <c r="N4827" t="s">
        <v>976</v>
      </c>
      <c r="O4827" t="s">
        <v>977</v>
      </c>
      <c r="P4827">
        <v>-20.167021999999999</v>
      </c>
      <c r="Q4827">
        <v>-44.863095000000001</v>
      </c>
      <c r="R4827" s="2" t="str">
        <f>HYPERLINK("https://www.google.com/maps?q=-20.1670220,-44.8630950","Abrir no Google Maps")</f>
        <v>Abrir no Google Maps</v>
      </c>
      <c r="S4827">
        <v>3</v>
      </c>
      <c r="T4827">
        <v>629.02897442495839</v>
      </c>
      <c r="U4827">
        <v>4</v>
      </c>
      <c r="V4827">
        <v>0.1320093457943925</v>
      </c>
      <c r="W4827">
        <v>1</v>
      </c>
      <c r="X4827">
        <v>0.1320093457943925</v>
      </c>
      <c r="Y4827">
        <v>491</v>
      </c>
      <c r="Z4827">
        <v>693.48000708961661</v>
      </c>
      <c r="AA4827">
        <v>198</v>
      </c>
      <c r="AB4827">
        <v>332</v>
      </c>
      <c r="AC4827">
        <v>536</v>
      </c>
      <c r="AD4827">
        <v>32.42</v>
      </c>
      <c r="AE4827">
        <v>542</v>
      </c>
      <c r="AF4827">
        <v>39</v>
      </c>
      <c r="AG4827">
        <v>173</v>
      </c>
      <c r="AH4827">
        <v>129</v>
      </c>
      <c r="AI4827">
        <v>7.2</v>
      </c>
      <c r="AJ4827">
        <v>31.92</v>
      </c>
      <c r="AK4827">
        <v>23.8</v>
      </c>
      <c r="AL4827">
        <v>-20.167032199999941</v>
      </c>
      <c r="AM4827">
        <v>-44.863123980291967</v>
      </c>
      <c r="AN4827">
        <v>-20.167032199999941</v>
      </c>
      <c r="AO4827">
        <v>-44.863123980291967</v>
      </c>
      <c r="AP4827">
        <v>-20.167021999999999</v>
      </c>
      <c r="AQ4827">
        <v>-44.863095000000001</v>
      </c>
      <c r="AR4827">
        <v>3.2341734571542871</v>
      </c>
      <c r="AS4827" t="s">
        <v>65</v>
      </c>
      <c r="AT4827">
        <v>1</v>
      </c>
      <c r="AU4827" t="s">
        <v>978</v>
      </c>
      <c r="AV4827" t="s">
        <v>979</v>
      </c>
      <c r="AW4827" t="s">
        <v>60</v>
      </c>
      <c r="AX4827" t="s">
        <v>68</v>
      </c>
      <c r="AY4827" t="s">
        <v>69</v>
      </c>
      <c r="AZ4827" t="b">
        <v>1</v>
      </c>
    </row>
    <row r="4828" spans="1:52" x14ac:dyDescent="0.3">
      <c r="A4828" t="s">
        <v>52</v>
      </c>
      <c r="B4828" t="s">
        <v>53</v>
      </c>
      <c r="C4828" t="s">
        <v>54</v>
      </c>
      <c r="D4828" t="s">
        <v>55</v>
      </c>
      <c r="E4828" t="s">
        <v>2224</v>
      </c>
      <c r="F4828" t="s">
        <v>190</v>
      </c>
      <c r="G4828" t="s">
        <v>968</v>
      </c>
      <c r="H4828" t="s">
        <v>1754</v>
      </c>
      <c r="I4828" t="s">
        <v>1754</v>
      </c>
      <c r="J4828" t="s">
        <v>60</v>
      </c>
      <c r="K4828" t="s">
        <v>262</v>
      </c>
      <c r="L4828" t="s">
        <v>62</v>
      </c>
      <c r="M4828" t="s">
        <v>262</v>
      </c>
      <c r="N4828" t="s">
        <v>970</v>
      </c>
      <c r="O4828" t="s">
        <v>1331</v>
      </c>
      <c r="P4828">
        <v>-20.161989999999999</v>
      </c>
      <c r="Q4828">
        <v>-44.857933000000003</v>
      </c>
      <c r="R4828" s="2" t="str">
        <f>HYPERLINK("https://www.google.com/maps?q=-20.1619900,-44.8579330","Abrir no Google Maps")</f>
        <v>Abrir no Google Maps</v>
      </c>
      <c r="S4828">
        <v>3</v>
      </c>
      <c r="T4828">
        <v>0</v>
      </c>
      <c r="U4828">
        <v>4</v>
      </c>
      <c r="V4828">
        <v>0.15653153153153149</v>
      </c>
      <c r="W4828">
        <v>1</v>
      </c>
      <c r="X4828">
        <v>0.15653153153153149</v>
      </c>
      <c r="Y4828">
        <v>491</v>
      </c>
      <c r="Z4828">
        <v>131.1697533741382</v>
      </c>
      <c r="AA4828">
        <v>198</v>
      </c>
      <c r="AB4828">
        <v>332</v>
      </c>
      <c r="AC4828">
        <v>536</v>
      </c>
      <c r="AD4828">
        <v>32.42</v>
      </c>
      <c r="AE4828">
        <v>542</v>
      </c>
      <c r="AF4828">
        <v>39</v>
      </c>
      <c r="AG4828">
        <v>173</v>
      </c>
      <c r="AH4828">
        <v>129</v>
      </c>
      <c r="AI4828">
        <v>7.2</v>
      </c>
      <c r="AJ4828">
        <v>31.92</v>
      </c>
      <c r="AK4828">
        <v>23.8</v>
      </c>
      <c r="AL4828">
        <v>-20.161858549999948</v>
      </c>
      <c r="AM4828">
        <v>-44.857884031071968</v>
      </c>
      <c r="AN4828">
        <v>-20.161858549999948</v>
      </c>
      <c r="AO4828">
        <v>-44.857884031071968</v>
      </c>
      <c r="AP4828">
        <v>-20.161989999999999</v>
      </c>
      <c r="AQ4828">
        <v>-44.857933000000003</v>
      </c>
      <c r="AR4828">
        <v>15.501957281614381</v>
      </c>
      <c r="AS4828" t="s">
        <v>65</v>
      </c>
      <c r="AT4828">
        <v>1</v>
      </c>
      <c r="AU4828" t="s">
        <v>1755</v>
      </c>
      <c r="AV4828" t="s">
        <v>1756</v>
      </c>
      <c r="AW4828" t="s">
        <v>60</v>
      </c>
      <c r="AX4828" t="s">
        <v>68</v>
      </c>
      <c r="AY4828" t="s">
        <v>69</v>
      </c>
      <c r="AZ4828" t="b">
        <v>1</v>
      </c>
    </row>
    <row r="4829" spans="1:52" x14ac:dyDescent="0.3">
      <c r="A4829" t="s">
        <v>52</v>
      </c>
      <c r="B4829" t="s">
        <v>53</v>
      </c>
      <c r="C4829" t="s">
        <v>54</v>
      </c>
      <c r="D4829" t="s">
        <v>55</v>
      </c>
      <c r="E4829" t="s">
        <v>2224</v>
      </c>
      <c r="F4829" t="s">
        <v>190</v>
      </c>
      <c r="G4829" t="s">
        <v>980</v>
      </c>
      <c r="H4829" t="s">
        <v>981</v>
      </c>
      <c r="I4829" t="s">
        <v>981</v>
      </c>
      <c r="J4829" t="s">
        <v>60</v>
      </c>
      <c r="K4829" t="s">
        <v>982</v>
      </c>
      <c r="L4829" t="s">
        <v>62</v>
      </c>
      <c r="M4829" t="s">
        <v>982</v>
      </c>
      <c r="N4829" t="s">
        <v>983</v>
      </c>
      <c r="O4829" t="s">
        <v>264</v>
      </c>
      <c r="P4829">
        <v>-20.166967</v>
      </c>
      <c r="Q4829">
        <v>-44.859355000000001</v>
      </c>
      <c r="R4829" s="2" t="str">
        <f>HYPERLINK("https://www.google.com/maps?q=-20.1669670,-44.8593550","Abrir no Google Maps")</f>
        <v>Abrir no Google Maps</v>
      </c>
      <c r="S4829">
        <v>3</v>
      </c>
      <c r="T4829">
        <v>577.54934865824521</v>
      </c>
      <c r="U4829">
        <v>4</v>
      </c>
      <c r="V4829">
        <v>0.1327751196172248</v>
      </c>
      <c r="W4829">
        <v>1</v>
      </c>
      <c r="X4829">
        <v>0.1327751196172248</v>
      </c>
      <c r="Y4829">
        <v>491</v>
      </c>
      <c r="Z4829">
        <v>433.59782149216659</v>
      </c>
      <c r="AA4829">
        <v>198</v>
      </c>
      <c r="AB4829">
        <v>332</v>
      </c>
      <c r="AC4829">
        <v>536</v>
      </c>
      <c r="AD4829">
        <v>32.42</v>
      </c>
      <c r="AE4829">
        <v>542</v>
      </c>
      <c r="AF4829">
        <v>39</v>
      </c>
      <c r="AG4829">
        <v>173</v>
      </c>
      <c r="AH4829">
        <v>129</v>
      </c>
      <c r="AI4829">
        <v>7.2</v>
      </c>
      <c r="AJ4829">
        <v>31.92</v>
      </c>
      <c r="AK4829">
        <v>23.8</v>
      </c>
      <c r="AL4829">
        <v>-20.16694954999997</v>
      </c>
      <c r="AM4829">
        <v>-44.859100695938046</v>
      </c>
      <c r="AN4829">
        <v>-20.16694954999997</v>
      </c>
      <c r="AO4829">
        <v>-44.859100695938046</v>
      </c>
      <c r="AP4829">
        <v>-20.166967</v>
      </c>
      <c r="AQ4829">
        <v>-44.859355000000001</v>
      </c>
      <c r="AR4829">
        <v>26.644458793923111</v>
      </c>
      <c r="AS4829" t="s">
        <v>65</v>
      </c>
      <c r="AT4829">
        <v>1</v>
      </c>
      <c r="AU4829" t="s">
        <v>984</v>
      </c>
      <c r="AV4829" t="s">
        <v>985</v>
      </c>
      <c r="AW4829" t="s">
        <v>60</v>
      </c>
      <c r="AX4829" t="s">
        <v>68</v>
      </c>
      <c r="AY4829" t="s">
        <v>69</v>
      </c>
      <c r="AZ4829" t="b">
        <v>1</v>
      </c>
    </row>
    <row r="4830" spans="1:52" x14ac:dyDescent="0.3">
      <c r="A4830" t="s">
        <v>52</v>
      </c>
      <c r="B4830" t="s">
        <v>53</v>
      </c>
      <c r="C4830" t="s">
        <v>54</v>
      </c>
      <c r="D4830" t="s">
        <v>55</v>
      </c>
      <c r="E4830" t="s">
        <v>2224</v>
      </c>
      <c r="F4830" t="s">
        <v>190</v>
      </c>
      <c r="G4830" t="s">
        <v>986</v>
      </c>
      <c r="H4830" t="s">
        <v>987</v>
      </c>
      <c r="I4830" t="s">
        <v>987</v>
      </c>
      <c r="J4830" t="s">
        <v>60</v>
      </c>
      <c r="K4830" t="s">
        <v>702</v>
      </c>
      <c r="L4830" t="s">
        <v>62</v>
      </c>
      <c r="M4830" t="s">
        <v>702</v>
      </c>
      <c r="N4830" t="s">
        <v>988</v>
      </c>
      <c r="O4830" t="s">
        <v>989</v>
      </c>
      <c r="P4830">
        <v>-20.1691</v>
      </c>
      <c r="Q4830">
        <v>-44.860813999999998</v>
      </c>
      <c r="R4830" s="2" t="str">
        <f>HYPERLINK("https://www.google.com/maps?q=-20.1691000,-44.8608140","Abrir no Google Maps")</f>
        <v>Abrir no Google Maps</v>
      </c>
      <c r="S4830">
        <v>3</v>
      </c>
      <c r="T4830">
        <v>596.11124105675003</v>
      </c>
      <c r="U4830">
        <v>4</v>
      </c>
      <c r="V4830">
        <v>0.1542056074766355</v>
      </c>
      <c r="W4830">
        <v>1</v>
      </c>
      <c r="X4830">
        <v>0.1542056074766355</v>
      </c>
      <c r="Y4830">
        <v>491</v>
      </c>
      <c r="Z4830">
        <v>741.65354053819078</v>
      </c>
      <c r="AA4830">
        <v>198</v>
      </c>
      <c r="AB4830">
        <v>332</v>
      </c>
      <c r="AC4830">
        <v>536</v>
      </c>
      <c r="AD4830">
        <v>32.42</v>
      </c>
      <c r="AE4830">
        <v>542</v>
      </c>
      <c r="AF4830">
        <v>39</v>
      </c>
      <c r="AG4830">
        <v>173</v>
      </c>
      <c r="AH4830">
        <v>129</v>
      </c>
      <c r="AI4830">
        <v>7.2</v>
      </c>
      <c r="AJ4830">
        <v>31.92</v>
      </c>
      <c r="AK4830">
        <v>23.8</v>
      </c>
      <c r="AL4830">
        <v>-20.168995449999951</v>
      </c>
      <c r="AM4830">
        <v>-44.86088900357106</v>
      </c>
      <c r="AN4830">
        <v>-20.168995449999951</v>
      </c>
      <c r="AO4830">
        <v>-44.86088900357106</v>
      </c>
      <c r="AP4830">
        <v>-20.1691</v>
      </c>
      <c r="AQ4830">
        <v>-44.860813999999998</v>
      </c>
      <c r="AR4830">
        <v>14.03138702725616</v>
      </c>
      <c r="AS4830" t="s">
        <v>65</v>
      </c>
      <c r="AT4830">
        <v>1</v>
      </c>
      <c r="AU4830" t="s">
        <v>990</v>
      </c>
      <c r="AV4830" t="s">
        <v>991</v>
      </c>
      <c r="AW4830" t="s">
        <v>60</v>
      </c>
      <c r="AX4830" t="s">
        <v>68</v>
      </c>
      <c r="AY4830" t="s">
        <v>69</v>
      </c>
      <c r="AZ4830" t="b">
        <v>1</v>
      </c>
    </row>
    <row r="4831" spans="1:52" x14ac:dyDescent="0.3">
      <c r="A4831" t="s">
        <v>52</v>
      </c>
      <c r="B4831" t="s">
        <v>53</v>
      </c>
      <c r="C4831" t="s">
        <v>54</v>
      </c>
      <c r="D4831" t="s">
        <v>55</v>
      </c>
      <c r="E4831" t="s">
        <v>2224</v>
      </c>
      <c r="F4831" t="s">
        <v>190</v>
      </c>
      <c r="G4831" t="s">
        <v>1856</v>
      </c>
      <c r="H4831" t="s">
        <v>1857</v>
      </c>
      <c r="I4831" t="s">
        <v>1857</v>
      </c>
      <c r="J4831" t="s">
        <v>60</v>
      </c>
      <c r="K4831" t="s">
        <v>982</v>
      </c>
      <c r="L4831" t="s">
        <v>62</v>
      </c>
      <c r="M4831" t="s">
        <v>982</v>
      </c>
      <c r="N4831" t="s">
        <v>1858</v>
      </c>
      <c r="O4831" t="s">
        <v>1859</v>
      </c>
      <c r="P4831">
        <v>-20.170065000000001</v>
      </c>
      <c r="Q4831">
        <v>-44.856502999999996</v>
      </c>
      <c r="R4831" s="2" t="str">
        <f>HYPERLINK("https://www.google.com/maps?q=-20.1700650,-44.8565030","Abrir no Google Maps")</f>
        <v>Abrir no Google Maps</v>
      </c>
      <c r="S4831">
        <v>3</v>
      </c>
      <c r="T4831">
        <v>924.49628970405706</v>
      </c>
      <c r="U4831">
        <v>4</v>
      </c>
      <c r="V4831">
        <v>0.1714285714285714</v>
      </c>
      <c r="W4831">
        <v>0.85</v>
      </c>
      <c r="X4831">
        <v>0.14571428571428571</v>
      </c>
      <c r="Y4831">
        <v>491</v>
      </c>
      <c r="Z4831">
        <v>781.19994751508341</v>
      </c>
      <c r="AA4831">
        <v>198</v>
      </c>
      <c r="AB4831">
        <v>332</v>
      </c>
      <c r="AC4831">
        <v>536</v>
      </c>
      <c r="AD4831">
        <v>32.42</v>
      </c>
      <c r="AE4831">
        <v>542</v>
      </c>
      <c r="AF4831">
        <v>39</v>
      </c>
      <c r="AG4831">
        <v>173</v>
      </c>
      <c r="AH4831">
        <v>129</v>
      </c>
      <c r="AI4831">
        <v>7.2</v>
      </c>
      <c r="AJ4831">
        <v>31.92</v>
      </c>
      <c r="AK4831">
        <v>23.8</v>
      </c>
      <c r="AL4831">
        <v>-20.170106749999949</v>
      </c>
      <c r="AM4831">
        <v>-44.856479111371733</v>
      </c>
      <c r="AN4831">
        <v>-20.170106749999949</v>
      </c>
      <c r="AO4831">
        <v>-44.856479111371733</v>
      </c>
      <c r="AP4831">
        <v>-20.170065000000001</v>
      </c>
      <c r="AQ4831">
        <v>-44.856502999999996</v>
      </c>
      <c r="AR4831">
        <v>5.275535546946946</v>
      </c>
      <c r="AS4831" t="s">
        <v>65</v>
      </c>
      <c r="AT4831">
        <v>1</v>
      </c>
      <c r="AU4831" t="s">
        <v>1860</v>
      </c>
      <c r="AV4831" t="s">
        <v>1861</v>
      </c>
      <c r="AW4831" t="s">
        <v>60</v>
      </c>
      <c r="AX4831" t="s">
        <v>68</v>
      </c>
      <c r="AY4831" t="s">
        <v>69</v>
      </c>
      <c r="AZ4831" t="b">
        <v>1</v>
      </c>
    </row>
    <row r="4832" spans="1:52" x14ac:dyDescent="0.3">
      <c r="A4832" t="s">
        <v>52</v>
      </c>
      <c r="B4832" t="s">
        <v>53</v>
      </c>
      <c r="C4832" t="s">
        <v>54</v>
      </c>
      <c r="D4832" t="s">
        <v>55</v>
      </c>
      <c r="E4832" t="s">
        <v>2224</v>
      </c>
      <c r="F4832" t="s">
        <v>190</v>
      </c>
      <c r="G4832" t="s">
        <v>1014</v>
      </c>
      <c r="H4832" t="s">
        <v>1015</v>
      </c>
      <c r="I4832" t="s">
        <v>1015</v>
      </c>
      <c r="J4832" t="s">
        <v>60</v>
      </c>
      <c r="K4832" t="s">
        <v>1016</v>
      </c>
      <c r="L4832" t="s">
        <v>62</v>
      </c>
      <c r="M4832" t="s">
        <v>1016</v>
      </c>
      <c r="N4832" t="s">
        <v>1017</v>
      </c>
      <c r="O4832" t="s">
        <v>1018</v>
      </c>
      <c r="P4832">
        <v>-20.174461000000001</v>
      </c>
      <c r="Q4832">
        <v>-44.868710999999998</v>
      </c>
      <c r="R4832" s="2" t="str">
        <f>HYPERLINK("https://www.google.com/maps?q=-20.1744610,-44.8687110","Abrir no Google Maps")</f>
        <v>Abrir no Google Maps</v>
      </c>
      <c r="S4832">
        <v>3</v>
      </c>
      <c r="T4832">
        <v>435.39504742850158</v>
      </c>
      <c r="U4832">
        <v>4</v>
      </c>
      <c r="V4832">
        <v>0.14163498098859309</v>
      </c>
      <c r="W4832">
        <v>1</v>
      </c>
      <c r="X4832">
        <v>0.14163498098859309</v>
      </c>
      <c r="Y4832">
        <v>422</v>
      </c>
      <c r="Z4832">
        <v>264.99958639233438</v>
      </c>
      <c r="AA4832">
        <v>198</v>
      </c>
      <c r="AB4832">
        <v>332</v>
      </c>
      <c r="AC4832">
        <v>536</v>
      </c>
      <c r="AD4832">
        <v>32.42</v>
      </c>
      <c r="AE4832">
        <v>542</v>
      </c>
      <c r="AF4832">
        <v>39</v>
      </c>
      <c r="AG4832">
        <v>173</v>
      </c>
      <c r="AH4832">
        <v>129</v>
      </c>
      <c r="AI4832">
        <v>7.2</v>
      </c>
      <c r="AJ4832">
        <v>31.92</v>
      </c>
      <c r="AK4832">
        <v>23.8</v>
      </c>
      <c r="AL4832">
        <v>-20.174459749999951</v>
      </c>
      <c r="AM4832">
        <v>-44.868877789186897</v>
      </c>
      <c r="AN4832">
        <v>-20.174459749999951</v>
      </c>
      <c r="AO4832">
        <v>-44.868877789186897</v>
      </c>
      <c r="AP4832">
        <v>-20.174461000000001</v>
      </c>
      <c r="AQ4832">
        <v>-44.868710999999998</v>
      </c>
      <c r="AR4832">
        <v>17.42838555603738</v>
      </c>
      <c r="AS4832" t="s">
        <v>65</v>
      </c>
      <c r="AT4832">
        <v>1</v>
      </c>
      <c r="AU4832" t="s">
        <v>1019</v>
      </c>
      <c r="AV4832" t="s">
        <v>1020</v>
      </c>
      <c r="AW4832" t="s">
        <v>60</v>
      </c>
      <c r="AX4832" t="s">
        <v>68</v>
      </c>
      <c r="AY4832" t="s">
        <v>69</v>
      </c>
      <c r="AZ4832" t="b">
        <v>1</v>
      </c>
    </row>
    <row r="4833" spans="1:52" x14ac:dyDescent="0.3">
      <c r="A4833" t="s">
        <v>52</v>
      </c>
      <c r="B4833" t="s">
        <v>53</v>
      </c>
      <c r="C4833" t="s">
        <v>54</v>
      </c>
      <c r="D4833" t="s">
        <v>55</v>
      </c>
      <c r="E4833" t="s">
        <v>2224</v>
      </c>
      <c r="F4833" t="s">
        <v>190</v>
      </c>
      <c r="G4833" t="s">
        <v>1021</v>
      </c>
      <c r="H4833" t="s">
        <v>1022</v>
      </c>
      <c r="I4833" t="s">
        <v>1022</v>
      </c>
      <c r="J4833" t="s">
        <v>60</v>
      </c>
      <c r="K4833" t="s">
        <v>1023</v>
      </c>
      <c r="L4833" t="s">
        <v>62</v>
      </c>
      <c r="M4833" t="s">
        <v>1023</v>
      </c>
      <c r="N4833" t="s">
        <v>1024</v>
      </c>
      <c r="O4833" t="s">
        <v>1025</v>
      </c>
      <c r="P4833">
        <v>-20.169588999999998</v>
      </c>
      <c r="Q4833">
        <v>-44.866636</v>
      </c>
      <c r="R4833" s="2" t="str">
        <f>HYPERLINK("https://www.google.com/maps?q=-20.1695890,-44.8666360","Abrir no Google Maps")</f>
        <v>Abrir no Google Maps</v>
      </c>
      <c r="S4833">
        <v>3</v>
      </c>
      <c r="T4833">
        <v>326.02709617860302</v>
      </c>
      <c r="U4833">
        <v>4</v>
      </c>
      <c r="V4833">
        <v>0.14087947882736149</v>
      </c>
      <c r="W4833">
        <v>1</v>
      </c>
      <c r="X4833">
        <v>0.14087947882736149</v>
      </c>
      <c r="Y4833">
        <v>422</v>
      </c>
      <c r="Z4833">
        <v>333.05362278862168</v>
      </c>
      <c r="AA4833">
        <v>198</v>
      </c>
      <c r="AB4833">
        <v>332</v>
      </c>
      <c r="AC4833">
        <v>536</v>
      </c>
      <c r="AD4833">
        <v>32.42</v>
      </c>
      <c r="AE4833">
        <v>542</v>
      </c>
      <c r="AF4833">
        <v>39</v>
      </c>
      <c r="AG4833">
        <v>173</v>
      </c>
      <c r="AH4833">
        <v>129</v>
      </c>
      <c r="AI4833">
        <v>7.2</v>
      </c>
      <c r="AJ4833">
        <v>31.92</v>
      </c>
      <c r="AK4833">
        <v>23.8</v>
      </c>
      <c r="AL4833">
        <v>-20.16956104999997</v>
      </c>
      <c r="AM4833">
        <v>-44.866560528183591</v>
      </c>
      <c r="AN4833">
        <v>-20.16956104999997</v>
      </c>
      <c r="AO4833">
        <v>-44.866560528183591</v>
      </c>
      <c r="AP4833">
        <v>-20.169588999999998</v>
      </c>
      <c r="AQ4833">
        <v>-44.866636</v>
      </c>
      <c r="AR4833">
        <v>8.4778927137831293</v>
      </c>
      <c r="AS4833" t="s">
        <v>65</v>
      </c>
      <c r="AT4833">
        <v>1</v>
      </c>
      <c r="AU4833" t="s">
        <v>1026</v>
      </c>
      <c r="AV4833" t="s">
        <v>1027</v>
      </c>
      <c r="AW4833" t="s">
        <v>60</v>
      </c>
      <c r="AX4833" t="s">
        <v>68</v>
      </c>
      <c r="AY4833" t="s">
        <v>69</v>
      </c>
      <c r="AZ4833" t="b">
        <v>1</v>
      </c>
    </row>
    <row r="4834" spans="1:52" x14ac:dyDescent="0.3">
      <c r="A4834" t="s">
        <v>52</v>
      </c>
      <c r="B4834" t="s">
        <v>53</v>
      </c>
      <c r="C4834" t="s">
        <v>54</v>
      </c>
      <c r="D4834" t="s">
        <v>55</v>
      </c>
      <c r="E4834" t="s">
        <v>2224</v>
      </c>
      <c r="F4834" t="s">
        <v>190</v>
      </c>
      <c r="G4834" t="s">
        <v>1865</v>
      </c>
      <c r="H4834" t="s">
        <v>1866</v>
      </c>
      <c r="I4834" t="s">
        <v>1866</v>
      </c>
      <c r="J4834" t="s">
        <v>60</v>
      </c>
      <c r="K4834" t="s">
        <v>1867</v>
      </c>
      <c r="L4834" t="s">
        <v>62</v>
      </c>
      <c r="M4834" t="s">
        <v>1867</v>
      </c>
      <c r="N4834" t="s">
        <v>1868</v>
      </c>
      <c r="O4834" t="s">
        <v>331</v>
      </c>
      <c r="P4834">
        <v>-20.181349000000001</v>
      </c>
      <c r="Q4834">
        <v>-44.855376</v>
      </c>
      <c r="R4834" s="2" t="str">
        <f>HYPERLINK("https://www.google.com/maps?q=-20.1813490,-44.8553760","Abrir no Google Maps")</f>
        <v>Abrir no Google Maps</v>
      </c>
      <c r="S4834">
        <v>3</v>
      </c>
      <c r="T4834">
        <v>1480.8140209554069</v>
      </c>
      <c r="U4834">
        <v>4</v>
      </c>
      <c r="V4834">
        <v>0.17598684210526311</v>
      </c>
      <c r="W4834">
        <v>0.85</v>
      </c>
      <c r="X4834">
        <v>0.14958881578947361</v>
      </c>
      <c r="Y4834">
        <v>422</v>
      </c>
      <c r="Z4834">
        <v>1626.22889540284</v>
      </c>
      <c r="AA4834">
        <v>198</v>
      </c>
      <c r="AB4834">
        <v>332</v>
      </c>
      <c r="AC4834">
        <v>536</v>
      </c>
      <c r="AD4834">
        <v>32.42</v>
      </c>
      <c r="AE4834">
        <v>542</v>
      </c>
      <c r="AF4834">
        <v>39</v>
      </c>
      <c r="AG4834">
        <v>173</v>
      </c>
      <c r="AH4834">
        <v>129</v>
      </c>
      <c r="AI4834">
        <v>7.2</v>
      </c>
      <c r="AJ4834">
        <v>31.92</v>
      </c>
      <c r="AK4834">
        <v>23.8</v>
      </c>
      <c r="AL4834">
        <v>-20.18159664999996</v>
      </c>
      <c r="AM4834">
        <v>-44.855209881649429</v>
      </c>
      <c r="AN4834">
        <v>-20.18159664999996</v>
      </c>
      <c r="AO4834">
        <v>-44.855209881649429</v>
      </c>
      <c r="AP4834">
        <v>-20.181349000000001</v>
      </c>
      <c r="AQ4834">
        <v>-44.855376</v>
      </c>
      <c r="AR4834">
        <v>32.577291538690083</v>
      </c>
      <c r="AS4834" t="s">
        <v>65</v>
      </c>
      <c r="AT4834">
        <v>1</v>
      </c>
      <c r="AU4834" t="s">
        <v>1869</v>
      </c>
      <c r="AV4834" t="s">
        <v>1870</v>
      </c>
      <c r="AW4834" t="s">
        <v>60</v>
      </c>
      <c r="AX4834" t="s">
        <v>68</v>
      </c>
      <c r="AY4834" t="s">
        <v>69</v>
      </c>
      <c r="AZ4834" t="b">
        <v>1</v>
      </c>
    </row>
    <row r="4835" spans="1:52" x14ac:dyDescent="0.3">
      <c r="A4835" t="s">
        <v>52</v>
      </c>
      <c r="B4835" t="s">
        <v>53</v>
      </c>
      <c r="C4835" t="s">
        <v>54</v>
      </c>
      <c r="D4835" t="s">
        <v>55</v>
      </c>
      <c r="E4835" t="s">
        <v>2224</v>
      </c>
      <c r="F4835" t="s">
        <v>190</v>
      </c>
      <c r="G4835" t="s">
        <v>1028</v>
      </c>
      <c r="H4835" t="s">
        <v>1029</v>
      </c>
      <c r="I4835" t="s">
        <v>1029</v>
      </c>
      <c r="J4835" t="s">
        <v>60</v>
      </c>
      <c r="K4835" t="s">
        <v>1016</v>
      </c>
      <c r="L4835" t="s">
        <v>62</v>
      </c>
      <c r="M4835" t="s">
        <v>1016</v>
      </c>
      <c r="N4835" t="s">
        <v>1030</v>
      </c>
      <c r="O4835" t="s">
        <v>855</v>
      </c>
      <c r="P4835">
        <v>-20.169778000000001</v>
      </c>
      <c r="Q4835">
        <v>-44.871940000000002</v>
      </c>
      <c r="R4835" s="2" t="str">
        <f>HYPERLINK("https://www.google.com/maps?q=-20.1697780,-44.8719400","Abrir no Google Maps")</f>
        <v>Abrir no Google Maps</v>
      </c>
      <c r="S4835">
        <v>3</v>
      </c>
      <c r="T4835">
        <v>730.45462447863167</v>
      </c>
      <c r="U4835">
        <v>4</v>
      </c>
      <c r="V4835">
        <v>0.13981481481481481</v>
      </c>
      <c r="W4835">
        <v>1</v>
      </c>
      <c r="X4835">
        <v>0.13981481481481481</v>
      </c>
      <c r="Y4835">
        <v>422</v>
      </c>
      <c r="Z4835">
        <v>600.74952959765801</v>
      </c>
      <c r="AA4835">
        <v>198</v>
      </c>
      <c r="AB4835">
        <v>332</v>
      </c>
      <c r="AC4835">
        <v>536</v>
      </c>
      <c r="AD4835">
        <v>32.42</v>
      </c>
      <c r="AE4835">
        <v>542</v>
      </c>
      <c r="AF4835">
        <v>39</v>
      </c>
      <c r="AG4835">
        <v>173</v>
      </c>
      <c r="AH4835">
        <v>129</v>
      </c>
      <c r="AI4835">
        <v>7.2</v>
      </c>
      <c r="AJ4835">
        <v>31.92</v>
      </c>
      <c r="AK4835">
        <v>23.8</v>
      </c>
      <c r="AL4835">
        <v>-20.169770599999961</v>
      </c>
      <c r="AM4835">
        <v>-44.871857291666629</v>
      </c>
      <c r="AN4835">
        <v>-20.169770599999961</v>
      </c>
      <c r="AO4835">
        <v>-44.871857291666629</v>
      </c>
      <c r="AP4835">
        <v>-20.169778000000001</v>
      </c>
      <c r="AQ4835">
        <v>-44.871940000000002</v>
      </c>
      <c r="AR4835">
        <v>8.6816379320830315</v>
      </c>
      <c r="AS4835" t="s">
        <v>65</v>
      </c>
      <c r="AT4835">
        <v>1</v>
      </c>
      <c r="AU4835" t="s">
        <v>1031</v>
      </c>
      <c r="AV4835" t="s">
        <v>1032</v>
      </c>
      <c r="AW4835" t="s">
        <v>60</v>
      </c>
      <c r="AX4835" t="s">
        <v>68</v>
      </c>
      <c r="AY4835" t="s">
        <v>69</v>
      </c>
      <c r="AZ4835" t="b">
        <v>1</v>
      </c>
    </row>
    <row r="4836" spans="1:52" x14ac:dyDescent="0.3">
      <c r="A4836" t="s">
        <v>52</v>
      </c>
      <c r="B4836" t="s">
        <v>53</v>
      </c>
      <c r="C4836" t="s">
        <v>54</v>
      </c>
      <c r="D4836" t="s">
        <v>55</v>
      </c>
      <c r="E4836" t="s">
        <v>2224</v>
      </c>
      <c r="F4836" t="s">
        <v>190</v>
      </c>
      <c r="G4836" t="s">
        <v>1033</v>
      </c>
      <c r="H4836" t="s">
        <v>1034</v>
      </c>
      <c r="I4836" t="s">
        <v>1034</v>
      </c>
      <c r="J4836" t="s">
        <v>60</v>
      </c>
      <c r="K4836" t="s">
        <v>1016</v>
      </c>
      <c r="L4836" t="s">
        <v>62</v>
      </c>
      <c r="M4836" t="s">
        <v>1016</v>
      </c>
      <c r="N4836" t="s">
        <v>1035</v>
      </c>
      <c r="O4836" t="s">
        <v>1036</v>
      </c>
      <c r="P4836">
        <v>-20.176404999999999</v>
      </c>
      <c r="Q4836">
        <v>-44.871102</v>
      </c>
      <c r="R4836" s="2" t="str">
        <f>HYPERLINK("https://www.google.com/maps?q=-20.1764050,-44.8711020","Abrir no Google Maps")</f>
        <v>Abrir no Google Maps</v>
      </c>
      <c r="S4836">
        <v>3</v>
      </c>
      <c r="T4836">
        <v>746.17794449655105</v>
      </c>
      <c r="U4836">
        <v>4</v>
      </c>
      <c r="V4836">
        <v>0.15447154471544711</v>
      </c>
      <c r="W4836">
        <v>1</v>
      </c>
      <c r="X4836">
        <v>0.15447154471544711</v>
      </c>
      <c r="Y4836">
        <v>422</v>
      </c>
      <c r="Z4836">
        <v>532.61564453099913</v>
      </c>
      <c r="AA4836">
        <v>198</v>
      </c>
      <c r="AB4836">
        <v>332</v>
      </c>
      <c r="AC4836">
        <v>536</v>
      </c>
      <c r="AD4836">
        <v>32.42</v>
      </c>
      <c r="AE4836">
        <v>542</v>
      </c>
      <c r="AF4836">
        <v>39</v>
      </c>
      <c r="AG4836">
        <v>173</v>
      </c>
      <c r="AH4836">
        <v>129</v>
      </c>
      <c r="AI4836">
        <v>7.2</v>
      </c>
      <c r="AJ4836">
        <v>31.92</v>
      </c>
      <c r="AK4836">
        <v>23.8</v>
      </c>
      <c r="AL4836">
        <v>-20.176464949999971</v>
      </c>
      <c r="AM4836">
        <v>-44.871010194676387</v>
      </c>
      <c r="AN4836">
        <v>-20.176464949999971</v>
      </c>
      <c r="AO4836">
        <v>-44.871010194676387</v>
      </c>
      <c r="AP4836">
        <v>-20.176404999999999</v>
      </c>
      <c r="AQ4836">
        <v>-44.871102</v>
      </c>
      <c r="AR4836">
        <v>11.68571547850415</v>
      </c>
      <c r="AS4836" t="s">
        <v>65</v>
      </c>
      <c r="AT4836">
        <v>1</v>
      </c>
      <c r="AU4836" t="s">
        <v>1037</v>
      </c>
      <c r="AV4836" t="s">
        <v>1038</v>
      </c>
      <c r="AW4836" t="s">
        <v>60</v>
      </c>
      <c r="AX4836" t="s">
        <v>68</v>
      </c>
      <c r="AY4836" t="s">
        <v>69</v>
      </c>
      <c r="AZ4836" t="b">
        <v>1</v>
      </c>
    </row>
    <row r="4837" spans="1:52" x14ac:dyDescent="0.3">
      <c r="A4837" t="s">
        <v>52</v>
      </c>
      <c r="B4837" t="s">
        <v>53</v>
      </c>
      <c r="C4837" t="s">
        <v>54</v>
      </c>
      <c r="D4837" t="s">
        <v>55</v>
      </c>
      <c r="E4837" t="s">
        <v>2224</v>
      </c>
      <c r="F4837" t="s">
        <v>190</v>
      </c>
      <c r="G4837" t="s">
        <v>693</v>
      </c>
      <c r="H4837" t="s">
        <v>694</v>
      </c>
      <c r="I4837" t="s">
        <v>694</v>
      </c>
      <c r="J4837" t="s">
        <v>60</v>
      </c>
      <c r="K4837" t="s">
        <v>695</v>
      </c>
      <c r="L4837" t="s">
        <v>62</v>
      </c>
      <c r="M4837" t="s">
        <v>695</v>
      </c>
      <c r="N4837" t="s">
        <v>696</v>
      </c>
      <c r="O4837" t="s">
        <v>697</v>
      </c>
      <c r="P4837">
        <v>-20.174917000000001</v>
      </c>
      <c r="Q4837">
        <v>-44.857677000000002</v>
      </c>
      <c r="R4837" s="2" t="str">
        <f>HYPERLINK("https://www.google.com/maps?q=-20.1749170,-44.8576770","Abrir no Google Maps")</f>
        <v>Abrir no Google Maps</v>
      </c>
      <c r="S4837">
        <v>3</v>
      </c>
      <c r="T4837">
        <v>850.52349144267646</v>
      </c>
      <c r="U4837">
        <v>4</v>
      </c>
      <c r="V4837">
        <v>0.1414634146341463</v>
      </c>
      <c r="W4837">
        <v>1</v>
      </c>
      <c r="X4837">
        <v>0.1414634146341463</v>
      </c>
      <c r="Y4837">
        <v>422</v>
      </c>
      <c r="Z4837">
        <v>1042.4685698911451</v>
      </c>
      <c r="AA4837">
        <v>198</v>
      </c>
      <c r="AB4837">
        <v>332</v>
      </c>
      <c r="AC4837">
        <v>536</v>
      </c>
      <c r="AD4837">
        <v>32.42</v>
      </c>
      <c r="AE4837">
        <v>542</v>
      </c>
      <c r="AF4837">
        <v>39</v>
      </c>
      <c r="AG4837">
        <v>173</v>
      </c>
      <c r="AH4837">
        <v>129</v>
      </c>
      <c r="AI4837">
        <v>7.2</v>
      </c>
      <c r="AJ4837">
        <v>31.92</v>
      </c>
      <c r="AK4837">
        <v>23.8</v>
      </c>
      <c r="AL4837">
        <v>-20.17483459999994</v>
      </c>
      <c r="AM4837">
        <v>-44.857715667542379</v>
      </c>
      <c r="AN4837">
        <v>-20.17483459999994</v>
      </c>
      <c r="AO4837">
        <v>-44.857715667542379</v>
      </c>
      <c r="AP4837">
        <v>-20.174917000000001</v>
      </c>
      <c r="AQ4837">
        <v>-44.857677000000002</v>
      </c>
      <c r="AR4837">
        <v>10.02318555136439</v>
      </c>
      <c r="AS4837" t="s">
        <v>65</v>
      </c>
      <c r="AT4837">
        <v>1</v>
      </c>
      <c r="AU4837" t="s">
        <v>698</v>
      </c>
      <c r="AV4837" t="s">
        <v>699</v>
      </c>
      <c r="AW4837" t="s">
        <v>60</v>
      </c>
      <c r="AX4837" t="s">
        <v>68</v>
      </c>
      <c r="AY4837" t="s">
        <v>69</v>
      </c>
      <c r="AZ4837" t="b">
        <v>1</v>
      </c>
    </row>
    <row r="4838" spans="1:52" x14ac:dyDescent="0.3">
      <c r="A4838" t="s">
        <v>52</v>
      </c>
      <c r="B4838" t="s">
        <v>53</v>
      </c>
      <c r="C4838" t="s">
        <v>54</v>
      </c>
      <c r="D4838" t="s">
        <v>55</v>
      </c>
      <c r="E4838" t="s">
        <v>2224</v>
      </c>
      <c r="F4838" t="s">
        <v>190</v>
      </c>
      <c r="G4838" t="s">
        <v>1039</v>
      </c>
      <c r="H4838" t="s">
        <v>1040</v>
      </c>
      <c r="I4838" t="s">
        <v>1040</v>
      </c>
      <c r="J4838" t="s">
        <v>60</v>
      </c>
      <c r="K4838" t="s">
        <v>1023</v>
      </c>
      <c r="L4838" t="s">
        <v>62</v>
      </c>
      <c r="M4838" t="s">
        <v>1023</v>
      </c>
      <c r="N4838" t="s">
        <v>1041</v>
      </c>
      <c r="O4838" t="s">
        <v>738</v>
      </c>
      <c r="P4838">
        <v>-20.172284000000001</v>
      </c>
      <c r="Q4838">
        <v>-44.865392999999997</v>
      </c>
      <c r="R4838" s="2" t="str">
        <f>HYPERLINK("https://www.google.com/maps?q=-20.1722840,-44.8653930","Abrir no Google Maps")</f>
        <v>Abrir no Google Maps</v>
      </c>
      <c r="S4838">
        <v>3</v>
      </c>
      <c r="T4838">
        <v>0</v>
      </c>
      <c r="U4838">
        <v>4</v>
      </c>
      <c r="V4838">
        <v>0.14622641509433959</v>
      </c>
      <c r="W4838">
        <v>1</v>
      </c>
      <c r="X4838">
        <v>0.14622641509433959</v>
      </c>
      <c r="Y4838">
        <v>422</v>
      </c>
      <c r="Z4838">
        <v>202.96804500763591</v>
      </c>
      <c r="AA4838">
        <v>198</v>
      </c>
      <c r="AB4838">
        <v>332</v>
      </c>
      <c r="AC4838">
        <v>536</v>
      </c>
      <c r="AD4838">
        <v>32.42</v>
      </c>
      <c r="AE4838">
        <v>542</v>
      </c>
      <c r="AF4838">
        <v>39</v>
      </c>
      <c r="AG4838">
        <v>173</v>
      </c>
      <c r="AH4838">
        <v>129</v>
      </c>
      <c r="AI4838">
        <v>7.2</v>
      </c>
      <c r="AJ4838">
        <v>31.92</v>
      </c>
      <c r="AK4838">
        <v>23.8</v>
      </c>
      <c r="AL4838">
        <v>-20.17229514999994</v>
      </c>
      <c r="AM4838">
        <v>-44.865398249858011</v>
      </c>
      <c r="AN4838">
        <v>-20.17229514999994</v>
      </c>
      <c r="AO4838">
        <v>-44.865398249858011</v>
      </c>
      <c r="AP4838">
        <v>-20.172284000000001</v>
      </c>
      <c r="AQ4838">
        <v>-44.865392999999997</v>
      </c>
      <c r="AR4838">
        <v>1.357036084497409</v>
      </c>
      <c r="AS4838" t="s">
        <v>65</v>
      </c>
      <c r="AT4838">
        <v>1</v>
      </c>
      <c r="AU4838" t="s">
        <v>1042</v>
      </c>
      <c r="AV4838" t="s">
        <v>1043</v>
      </c>
      <c r="AW4838" t="s">
        <v>60</v>
      </c>
      <c r="AX4838" t="s">
        <v>68</v>
      </c>
      <c r="AY4838" t="s">
        <v>69</v>
      </c>
      <c r="AZ4838" t="b">
        <v>1</v>
      </c>
    </row>
    <row r="4839" spans="1:52" x14ac:dyDescent="0.3">
      <c r="A4839" t="s">
        <v>52</v>
      </c>
      <c r="B4839" t="s">
        <v>53</v>
      </c>
      <c r="C4839" t="s">
        <v>54</v>
      </c>
      <c r="D4839" t="s">
        <v>55</v>
      </c>
      <c r="E4839" t="s">
        <v>2224</v>
      </c>
      <c r="F4839" t="s">
        <v>190</v>
      </c>
      <c r="G4839" t="s">
        <v>700</v>
      </c>
      <c r="H4839" t="s">
        <v>701</v>
      </c>
      <c r="I4839" t="s">
        <v>701</v>
      </c>
      <c r="J4839" t="s">
        <v>60</v>
      </c>
      <c r="K4839" t="s">
        <v>702</v>
      </c>
      <c r="L4839" t="s">
        <v>62</v>
      </c>
      <c r="M4839" t="s">
        <v>702</v>
      </c>
      <c r="N4839" t="s">
        <v>703</v>
      </c>
      <c r="O4839" t="s">
        <v>315</v>
      </c>
      <c r="P4839">
        <v>-20.172599000000002</v>
      </c>
      <c r="Q4839">
        <v>-44.85915</v>
      </c>
      <c r="R4839" s="2" t="str">
        <f>HYPERLINK("https://www.google.com/maps?q=-20.1725990,-44.8591500","Abrir no Google Maps")</f>
        <v>Abrir no Google Maps</v>
      </c>
      <c r="S4839">
        <v>3</v>
      </c>
      <c r="T4839">
        <v>665.1003223445598</v>
      </c>
      <c r="U4839">
        <v>4</v>
      </c>
      <c r="V4839">
        <v>0.13294797687861271</v>
      </c>
      <c r="W4839">
        <v>1</v>
      </c>
      <c r="X4839">
        <v>0.13294797687861271</v>
      </c>
      <c r="Y4839">
        <v>422</v>
      </c>
      <c r="Z4839">
        <v>843.09189615634341</v>
      </c>
      <c r="AA4839">
        <v>198</v>
      </c>
      <c r="AB4839">
        <v>332</v>
      </c>
      <c r="AC4839">
        <v>536</v>
      </c>
      <c r="AD4839">
        <v>32.42</v>
      </c>
      <c r="AE4839">
        <v>542</v>
      </c>
      <c r="AF4839">
        <v>39</v>
      </c>
      <c r="AG4839">
        <v>173</v>
      </c>
      <c r="AH4839">
        <v>129</v>
      </c>
      <c r="AI4839">
        <v>7.2</v>
      </c>
      <c r="AJ4839">
        <v>31.92</v>
      </c>
      <c r="AK4839">
        <v>23.8</v>
      </c>
      <c r="AL4839">
        <v>-20.172576899999971</v>
      </c>
      <c r="AM4839">
        <v>-44.859040110359317</v>
      </c>
      <c r="AN4839">
        <v>-20.172576899999971</v>
      </c>
      <c r="AO4839">
        <v>-44.859040110359317</v>
      </c>
      <c r="AP4839">
        <v>-20.172599000000002</v>
      </c>
      <c r="AQ4839">
        <v>-44.85915</v>
      </c>
      <c r="AR4839">
        <v>11.743118835828479</v>
      </c>
      <c r="AS4839" t="s">
        <v>65</v>
      </c>
      <c r="AT4839">
        <v>1</v>
      </c>
      <c r="AU4839" t="s">
        <v>704</v>
      </c>
      <c r="AV4839" t="s">
        <v>705</v>
      </c>
      <c r="AW4839" t="s">
        <v>60</v>
      </c>
      <c r="AX4839" t="s">
        <v>68</v>
      </c>
      <c r="AY4839" t="s">
        <v>69</v>
      </c>
      <c r="AZ4839" t="b">
        <v>1</v>
      </c>
    </row>
    <row r="4840" spans="1:52" x14ac:dyDescent="0.3">
      <c r="A4840" t="s">
        <v>52</v>
      </c>
      <c r="B4840" t="s">
        <v>53</v>
      </c>
      <c r="C4840" t="s">
        <v>54</v>
      </c>
      <c r="D4840" t="s">
        <v>55</v>
      </c>
      <c r="E4840" t="s">
        <v>2224</v>
      </c>
      <c r="F4840" t="s">
        <v>190</v>
      </c>
      <c r="G4840" t="s">
        <v>734</v>
      </c>
      <c r="H4840" t="s">
        <v>1068</v>
      </c>
      <c r="I4840" t="s">
        <v>1068</v>
      </c>
      <c r="J4840" t="s">
        <v>60</v>
      </c>
      <c r="K4840" t="s">
        <v>736</v>
      </c>
      <c r="L4840" t="s">
        <v>62</v>
      </c>
      <c r="M4840" t="s">
        <v>736</v>
      </c>
      <c r="N4840" t="s">
        <v>1069</v>
      </c>
      <c r="O4840" t="s">
        <v>1070</v>
      </c>
      <c r="P4840">
        <v>-20.110289999999999</v>
      </c>
      <c r="Q4840">
        <v>-44.981574000000002</v>
      </c>
      <c r="R4840" s="2" t="str">
        <f>HYPERLINK("https://www.google.com/maps?q=-20.1102900,-44.9815740","Abrir no Google Maps")</f>
        <v>Abrir no Google Maps</v>
      </c>
      <c r="S4840">
        <v>3</v>
      </c>
      <c r="T4840">
        <v>1081.8012210194311</v>
      </c>
      <c r="U4840">
        <v>4</v>
      </c>
      <c r="V4840">
        <v>0.15329218106995879</v>
      </c>
      <c r="W4840">
        <v>1</v>
      </c>
      <c r="X4840">
        <v>0.15329218106995879</v>
      </c>
      <c r="Y4840">
        <v>385</v>
      </c>
      <c r="Z4840">
        <v>1009.915869278438</v>
      </c>
      <c r="AA4840">
        <v>198</v>
      </c>
      <c r="AB4840">
        <v>332</v>
      </c>
      <c r="AC4840">
        <v>536</v>
      </c>
      <c r="AD4840">
        <v>32.42</v>
      </c>
      <c r="AE4840">
        <v>542</v>
      </c>
      <c r="AF4840">
        <v>39</v>
      </c>
      <c r="AG4840">
        <v>173</v>
      </c>
      <c r="AH4840">
        <v>129</v>
      </c>
      <c r="AI4840">
        <v>7.2</v>
      </c>
      <c r="AJ4840">
        <v>31.92</v>
      </c>
      <c r="AK4840">
        <v>23.8</v>
      </c>
      <c r="AL4840">
        <v>-20.110281699999941</v>
      </c>
      <c r="AM4840">
        <v>-44.98144213076452</v>
      </c>
      <c r="AN4840">
        <v>-20.110281699999941</v>
      </c>
      <c r="AO4840">
        <v>-44.98144213076452</v>
      </c>
      <c r="AP4840">
        <v>-20.110289999999999</v>
      </c>
      <c r="AQ4840">
        <v>-44.981574000000002</v>
      </c>
      <c r="AR4840">
        <v>13.815631287504781</v>
      </c>
      <c r="AS4840" t="s">
        <v>65</v>
      </c>
      <c r="AT4840">
        <v>1</v>
      </c>
      <c r="AU4840" t="s">
        <v>1071</v>
      </c>
      <c r="AV4840" t="s">
        <v>1072</v>
      </c>
      <c r="AW4840" t="s">
        <v>60</v>
      </c>
      <c r="AX4840" t="s">
        <v>68</v>
      </c>
      <c r="AY4840" t="s">
        <v>69</v>
      </c>
      <c r="AZ4840" t="b">
        <v>1</v>
      </c>
    </row>
    <row r="4841" spans="1:52" x14ac:dyDescent="0.3">
      <c r="A4841" t="s">
        <v>52</v>
      </c>
      <c r="B4841" t="s">
        <v>53</v>
      </c>
      <c r="C4841" t="s">
        <v>54</v>
      </c>
      <c r="D4841" t="s">
        <v>55</v>
      </c>
      <c r="E4841" t="s">
        <v>2224</v>
      </c>
      <c r="F4841" t="s">
        <v>190</v>
      </c>
      <c r="G4841" t="s">
        <v>1077</v>
      </c>
      <c r="H4841" t="s">
        <v>1078</v>
      </c>
      <c r="I4841" t="s">
        <v>1078</v>
      </c>
      <c r="J4841" t="s">
        <v>60</v>
      </c>
      <c r="K4841" t="s">
        <v>761</v>
      </c>
      <c r="L4841" t="s">
        <v>62</v>
      </c>
      <c r="M4841" t="s">
        <v>761</v>
      </c>
      <c r="N4841" t="s">
        <v>1079</v>
      </c>
      <c r="O4841" t="s">
        <v>1080</v>
      </c>
      <c r="P4841">
        <v>-20.119579999999999</v>
      </c>
      <c r="Q4841">
        <v>-44.855030999999997</v>
      </c>
      <c r="R4841" s="2" t="str">
        <f>HYPERLINK("https://www.google.com/maps?q=-20.1195800,-44.8550310","Abrir no Google Maps")</f>
        <v>Abrir no Google Maps</v>
      </c>
      <c r="S4841">
        <v>3</v>
      </c>
      <c r="T4841">
        <v>800.32085104254202</v>
      </c>
      <c r="U4841">
        <v>4</v>
      </c>
      <c r="V4841">
        <v>0.13947368421052631</v>
      </c>
      <c r="W4841">
        <v>1</v>
      </c>
      <c r="X4841">
        <v>0.13947368421052631</v>
      </c>
      <c r="Y4841">
        <v>350</v>
      </c>
      <c r="Z4841">
        <v>431.56201899267722</v>
      </c>
      <c r="AA4841">
        <v>198</v>
      </c>
      <c r="AB4841">
        <v>332</v>
      </c>
      <c r="AC4841">
        <v>536</v>
      </c>
      <c r="AD4841">
        <v>32.42</v>
      </c>
      <c r="AE4841">
        <v>542</v>
      </c>
      <c r="AF4841">
        <v>39</v>
      </c>
      <c r="AG4841">
        <v>173</v>
      </c>
      <c r="AH4841">
        <v>129</v>
      </c>
      <c r="AI4841">
        <v>7.2</v>
      </c>
      <c r="AJ4841">
        <v>31.92</v>
      </c>
      <c r="AK4841">
        <v>23.8</v>
      </c>
      <c r="AL4841">
        <v>-20.119806999999948</v>
      </c>
      <c r="AM4841">
        <v>-44.855901548391778</v>
      </c>
      <c r="AN4841">
        <v>-20.119806999999948</v>
      </c>
      <c r="AO4841">
        <v>-44.855901548391778</v>
      </c>
      <c r="AP4841">
        <v>-20.119579999999999</v>
      </c>
      <c r="AQ4841">
        <v>-44.855030999999997</v>
      </c>
      <c r="AR4841">
        <v>94.439141250965164</v>
      </c>
      <c r="AS4841" t="s">
        <v>65</v>
      </c>
      <c r="AT4841">
        <v>1</v>
      </c>
      <c r="AU4841" t="s">
        <v>1081</v>
      </c>
      <c r="AV4841" t="s">
        <v>1082</v>
      </c>
      <c r="AW4841" t="s">
        <v>60</v>
      </c>
      <c r="AX4841" t="s">
        <v>68</v>
      </c>
      <c r="AY4841" t="s">
        <v>69</v>
      </c>
      <c r="AZ4841" t="b">
        <v>1</v>
      </c>
    </row>
    <row r="4842" spans="1:52" x14ac:dyDescent="0.3">
      <c r="A4842" t="s">
        <v>52</v>
      </c>
      <c r="B4842" t="s">
        <v>53</v>
      </c>
      <c r="C4842" t="s">
        <v>54</v>
      </c>
      <c r="D4842" t="s">
        <v>55</v>
      </c>
      <c r="E4842" t="s">
        <v>2224</v>
      </c>
      <c r="F4842" t="s">
        <v>190</v>
      </c>
      <c r="G4842" t="s">
        <v>1083</v>
      </c>
      <c r="H4842" t="s">
        <v>1084</v>
      </c>
      <c r="I4842" t="s">
        <v>1084</v>
      </c>
      <c r="J4842" t="s">
        <v>60</v>
      </c>
      <c r="K4842" t="s">
        <v>761</v>
      </c>
      <c r="L4842" t="s">
        <v>62</v>
      </c>
      <c r="M4842" t="s">
        <v>761</v>
      </c>
      <c r="N4842" t="s">
        <v>1085</v>
      </c>
      <c r="O4842" t="s">
        <v>1086</v>
      </c>
      <c r="P4842">
        <v>-20.124312</v>
      </c>
      <c r="Q4842">
        <v>-44.850425000000001</v>
      </c>
      <c r="R4842" s="2" t="str">
        <f>HYPERLINK("https://www.google.com/maps?q=-20.1243120,-44.8504250","Abrir no Google Maps")</f>
        <v>Abrir no Google Maps</v>
      </c>
      <c r="S4842">
        <v>3</v>
      </c>
      <c r="T4842">
        <v>0</v>
      </c>
      <c r="U4842">
        <v>4</v>
      </c>
      <c r="V4842">
        <v>0.15853658536585361</v>
      </c>
      <c r="W4842">
        <v>1</v>
      </c>
      <c r="X4842">
        <v>0.15853658536585361</v>
      </c>
      <c r="Y4842">
        <v>350</v>
      </c>
      <c r="Z4842">
        <v>380.24040721202471</v>
      </c>
      <c r="AA4842">
        <v>198</v>
      </c>
      <c r="AB4842">
        <v>332</v>
      </c>
      <c r="AC4842">
        <v>536</v>
      </c>
      <c r="AD4842">
        <v>32.42</v>
      </c>
      <c r="AE4842">
        <v>542</v>
      </c>
      <c r="AF4842">
        <v>39</v>
      </c>
      <c r="AG4842">
        <v>173</v>
      </c>
      <c r="AH4842">
        <v>129</v>
      </c>
      <c r="AI4842">
        <v>7.2</v>
      </c>
      <c r="AJ4842">
        <v>31.92</v>
      </c>
      <c r="AK4842">
        <v>23.8</v>
      </c>
      <c r="AL4842">
        <v>-20.126267499999951</v>
      </c>
      <c r="AM4842">
        <v>-44.852460192840908</v>
      </c>
      <c r="AN4842">
        <v>-20.126267499999951</v>
      </c>
      <c r="AO4842">
        <v>-44.852460192840908</v>
      </c>
      <c r="AP4842">
        <v>-20.124312</v>
      </c>
      <c r="AQ4842">
        <v>-44.850425000000001</v>
      </c>
      <c r="AR4842">
        <v>304.36574074135672</v>
      </c>
      <c r="AS4842" t="s">
        <v>65</v>
      </c>
      <c r="AT4842">
        <v>1</v>
      </c>
      <c r="AU4842" t="s">
        <v>1087</v>
      </c>
      <c r="AV4842" t="s">
        <v>1088</v>
      </c>
      <c r="AW4842" t="s">
        <v>60</v>
      </c>
      <c r="AX4842" t="s">
        <v>68</v>
      </c>
      <c r="AY4842" t="s">
        <v>69</v>
      </c>
      <c r="AZ4842" t="b">
        <v>1</v>
      </c>
    </row>
    <row r="4843" spans="1:52" x14ac:dyDescent="0.3">
      <c r="A4843" t="s">
        <v>52</v>
      </c>
      <c r="B4843" t="s">
        <v>53</v>
      </c>
      <c r="C4843" t="s">
        <v>54</v>
      </c>
      <c r="D4843" t="s">
        <v>55</v>
      </c>
      <c r="E4843" t="s">
        <v>2224</v>
      </c>
      <c r="F4843" t="s">
        <v>190</v>
      </c>
      <c r="G4843" t="s">
        <v>1089</v>
      </c>
      <c r="H4843" t="s">
        <v>1090</v>
      </c>
      <c r="I4843" t="s">
        <v>1090</v>
      </c>
      <c r="J4843" t="s">
        <v>60</v>
      </c>
      <c r="K4843" t="s">
        <v>761</v>
      </c>
      <c r="L4843" t="s">
        <v>62</v>
      </c>
      <c r="M4843" t="s">
        <v>761</v>
      </c>
      <c r="N4843" t="s">
        <v>1091</v>
      </c>
      <c r="O4843" t="s">
        <v>86</v>
      </c>
      <c r="P4843">
        <v>-20.116182999999999</v>
      </c>
      <c r="Q4843">
        <v>-44.850524</v>
      </c>
      <c r="R4843" s="2" t="str">
        <f>HYPERLINK("https://www.google.com/maps?q=-20.1161830,-44.8505240","Abrir no Google Maps")</f>
        <v>Abrir no Google Maps</v>
      </c>
      <c r="S4843">
        <v>3</v>
      </c>
      <c r="T4843">
        <v>1142.6607426309961</v>
      </c>
      <c r="U4843">
        <v>4</v>
      </c>
      <c r="V4843">
        <v>0.15350877192982451</v>
      </c>
      <c r="W4843">
        <v>1</v>
      </c>
      <c r="X4843">
        <v>0.15350877192982451</v>
      </c>
      <c r="Y4843">
        <v>350</v>
      </c>
      <c r="Z4843">
        <v>723.44841640590141</v>
      </c>
      <c r="AA4843">
        <v>198</v>
      </c>
      <c r="AB4843">
        <v>332</v>
      </c>
      <c r="AC4843">
        <v>536</v>
      </c>
      <c r="AD4843">
        <v>32.42</v>
      </c>
      <c r="AE4843">
        <v>542</v>
      </c>
      <c r="AF4843">
        <v>39</v>
      </c>
      <c r="AG4843">
        <v>173</v>
      </c>
      <c r="AH4843">
        <v>129</v>
      </c>
      <c r="AI4843">
        <v>7.2</v>
      </c>
      <c r="AJ4843">
        <v>31.92</v>
      </c>
      <c r="AK4843">
        <v>23.8</v>
      </c>
      <c r="AL4843">
        <v>-20.11605684999995</v>
      </c>
      <c r="AM4843">
        <v>-44.850832861808193</v>
      </c>
      <c r="AN4843">
        <v>-20.11605684999995</v>
      </c>
      <c r="AO4843">
        <v>-44.850832861808193</v>
      </c>
      <c r="AP4843">
        <v>-20.116182999999999</v>
      </c>
      <c r="AQ4843">
        <v>-44.850524</v>
      </c>
      <c r="AR4843">
        <v>35.207009729928053</v>
      </c>
      <c r="AS4843" t="s">
        <v>65</v>
      </c>
      <c r="AT4843">
        <v>1</v>
      </c>
      <c r="AU4843" t="s">
        <v>1092</v>
      </c>
      <c r="AV4843" t="s">
        <v>1093</v>
      </c>
      <c r="AW4843" t="s">
        <v>60</v>
      </c>
      <c r="AX4843" t="s">
        <v>68</v>
      </c>
      <c r="AY4843" t="s">
        <v>69</v>
      </c>
      <c r="AZ4843" t="b">
        <v>1</v>
      </c>
    </row>
    <row r="4844" spans="1:52" x14ac:dyDescent="0.3">
      <c r="A4844" t="s">
        <v>52</v>
      </c>
      <c r="B4844" t="s">
        <v>53</v>
      </c>
      <c r="C4844" t="s">
        <v>54</v>
      </c>
      <c r="D4844" t="s">
        <v>55</v>
      </c>
      <c r="E4844" t="s">
        <v>2224</v>
      </c>
      <c r="F4844" t="s">
        <v>190</v>
      </c>
      <c r="G4844" t="s">
        <v>1094</v>
      </c>
      <c r="H4844" t="s">
        <v>1095</v>
      </c>
      <c r="I4844" t="s">
        <v>1095</v>
      </c>
      <c r="J4844" t="s">
        <v>60</v>
      </c>
      <c r="K4844" t="s">
        <v>761</v>
      </c>
      <c r="L4844" t="s">
        <v>62</v>
      </c>
      <c r="M4844" t="s">
        <v>761</v>
      </c>
      <c r="N4844" t="s">
        <v>1096</v>
      </c>
      <c r="O4844" t="s">
        <v>1070</v>
      </c>
      <c r="P4844">
        <v>-20.122955999999999</v>
      </c>
      <c r="Q4844">
        <v>-44.847842</v>
      </c>
      <c r="R4844" s="2" t="str">
        <f>HYPERLINK("https://www.google.com/maps?q=-20.1229560,-44.8478420","Abrir no Google Maps")</f>
        <v>Abrir no Google Maps</v>
      </c>
      <c r="S4844">
        <v>3</v>
      </c>
      <c r="T4844">
        <v>611.23533866709147</v>
      </c>
      <c r="U4844">
        <v>4</v>
      </c>
      <c r="V4844">
        <v>0.16746411483253579</v>
      </c>
      <c r="W4844">
        <v>1</v>
      </c>
      <c r="X4844">
        <v>0.16746411483253579</v>
      </c>
      <c r="Y4844">
        <v>350</v>
      </c>
      <c r="Z4844">
        <v>567.3129443637539</v>
      </c>
      <c r="AA4844">
        <v>198</v>
      </c>
      <c r="AB4844">
        <v>332</v>
      </c>
      <c r="AC4844">
        <v>536</v>
      </c>
      <c r="AD4844">
        <v>32.42</v>
      </c>
      <c r="AE4844">
        <v>542</v>
      </c>
      <c r="AF4844">
        <v>39</v>
      </c>
      <c r="AG4844">
        <v>173</v>
      </c>
      <c r="AH4844">
        <v>129</v>
      </c>
      <c r="AI4844">
        <v>7.2</v>
      </c>
      <c r="AJ4844">
        <v>31.92</v>
      </c>
      <c r="AK4844">
        <v>23.8</v>
      </c>
      <c r="AL4844">
        <v>-20.122854299999972</v>
      </c>
      <c r="AM4844">
        <v>-44.847862495675152</v>
      </c>
      <c r="AN4844">
        <v>-20.122854299999972</v>
      </c>
      <c r="AO4844">
        <v>-44.847862495675152</v>
      </c>
      <c r="AP4844">
        <v>-20.122955999999999</v>
      </c>
      <c r="AQ4844">
        <v>-44.847842</v>
      </c>
      <c r="AR4844">
        <v>11.522154044835331</v>
      </c>
      <c r="AS4844" t="s">
        <v>65</v>
      </c>
      <c r="AT4844">
        <v>1</v>
      </c>
      <c r="AU4844" t="s">
        <v>1097</v>
      </c>
      <c r="AV4844" t="s">
        <v>1098</v>
      </c>
      <c r="AW4844" t="s">
        <v>60</v>
      </c>
      <c r="AX4844" t="s">
        <v>68</v>
      </c>
      <c r="AY4844" t="s">
        <v>69</v>
      </c>
      <c r="AZ4844" t="b">
        <v>1</v>
      </c>
    </row>
    <row r="4845" spans="1:52" x14ac:dyDescent="0.3">
      <c r="A4845" t="s">
        <v>52</v>
      </c>
      <c r="B4845" t="s">
        <v>53</v>
      </c>
      <c r="C4845" t="s">
        <v>54</v>
      </c>
      <c r="D4845" t="s">
        <v>55</v>
      </c>
      <c r="E4845" t="s">
        <v>2224</v>
      </c>
      <c r="F4845" t="s">
        <v>190</v>
      </c>
      <c r="G4845" t="s">
        <v>1901</v>
      </c>
      <c r="H4845" t="s">
        <v>1902</v>
      </c>
      <c r="I4845" t="s">
        <v>1902</v>
      </c>
      <c r="J4845" t="s">
        <v>60</v>
      </c>
      <c r="K4845" t="s">
        <v>761</v>
      </c>
      <c r="L4845" t="s">
        <v>62</v>
      </c>
      <c r="M4845" t="s">
        <v>761</v>
      </c>
      <c r="N4845" t="s">
        <v>1903</v>
      </c>
      <c r="O4845" t="s">
        <v>604</v>
      </c>
      <c r="P4845">
        <v>-20.120100999999998</v>
      </c>
      <c r="Q4845">
        <v>-44.845737</v>
      </c>
      <c r="R4845" s="2" t="str">
        <f>HYPERLINK("https://www.google.com/maps?q=-20.1201010,-44.8457370","Abrir no Google Maps")</f>
        <v>Abrir no Google Maps</v>
      </c>
      <c r="S4845">
        <v>3</v>
      </c>
      <c r="T4845">
        <v>1004.735730632553</v>
      </c>
      <c r="U4845">
        <v>4</v>
      </c>
      <c r="V4845">
        <v>0.17091836734693869</v>
      </c>
      <c r="W4845">
        <v>0.85</v>
      </c>
      <c r="X4845">
        <v>0.14528061224489791</v>
      </c>
      <c r="Y4845">
        <v>350</v>
      </c>
      <c r="Z4845">
        <v>830.02999366281665</v>
      </c>
      <c r="AA4845">
        <v>198</v>
      </c>
      <c r="AB4845">
        <v>332</v>
      </c>
      <c r="AC4845">
        <v>536</v>
      </c>
      <c r="AD4845">
        <v>32.42</v>
      </c>
      <c r="AE4845">
        <v>542</v>
      </c>
      <c r="AF4845">
        <v>39</v>
      </c>
      <c r="AG4845">
        <v>173</v>
      </c>
      <c r="AH4845">
        <v>129</v>
      </c>
      <c r="AI4845">
        <v>7.2</v>
      </c>
      <c r="AJ4845">
        <v>31.92</v>
      </c>
      <c r="AK4845">
        <v>23.8</v>
      </c>
      <c r="AL4845">
        <v>-20.120147299999928</v>
      </c>
      <c r="AM4845">
        <v>-44.84535984827329</v>
      </c>
      <c r="AN4845">
        <v>-20.120147299999928</v>
      </c>
      <c r="AO4845">
        <v>-44.84535984827329</v>
      </c>
      <c r="AP4845">
        <v>-20.120100999999998</v>
      </c>
      <c r="AQ4845">
        <v>-44.845737</v>
      </c>
      <c r="AR4845">
        <v>39.757854400729308</v>
      </c>
      <c r="AS4845" t="s">
        <v>65</v>
      </c>
      <c r="AT4845">
        <v>1</v>
      </c>
      <c r="AU4845" t="s">
        <v>1904</v>
      </c>
      <c r="AV4845" t="s">
        <v>1905</v>
      </c>
      <c r="AW4845" t="s">
        <v>60</v>
      </c>
      <c r="AX4845" t="s">
        <v>68</v>
      </c>
      <c r="AY4845" t="s">
        <v>69</v>
      </c>
      <c r="AZ4845" t="b">
        <v>1</v>
      </c>
    </row>
    <row r="4846" spans="1:52" x14ac:dyDescent="0.3">
      <c r="A4846" t="s">
        <v>52</v>
      </c>
      <c r="B4846" t="s">
        <v>53</v>
      </c>
      <c r="C4846" t="s">
        <v>54</v>
      </c>
      <c r="D4846" t="s">
        <v>55</v>
      </c>
      <c r="E4846" t="s">
        <v>2224</v>
      </c>
      <c r="F4846" t="s">
        <v>190</v>
      </c>
      <c r="G4846" t="s">
        <v>759</v>
      </c>
      <c r="H4846" t="s">
        <v>760</v>
      </c>
      <c r="I4846" t="s">
        <v>760</v>
      </c>
      <c r="J4846" t="s">
        <v>60</v>
      </c>
      <c r="K4846" t="s">
        <v>761</v>
      </c>
      <c r="L4846" t="s">
        <v>62</v>
      </c>
      <c r="M4846" t="s">
        <v>761</v>
      </c>
      <c r="N4846" t="s">
        <v>762</v>
      </c>
      <c r="O4846" t="s">
        <v>763</v>
      </c>
      <c r="P4846">
        <v>-20.118755</v>
      </c>
      <c r="Q4846">
        <v>-44.850627000000003</v>
      </c>
      <c r="R4846" s="2" t="str">
        <f>HYPERLINK("https://www.google.com/maps?q=-20.1187550,-44.8506270","Abrir no Google Maps")</f>
        <v>Abrir no Google Maps</v>
      </c>
      <c r="S4846">
        <v>3</v>
      </c>
      <c r="T4846">
        <v>848.81670834514034</v>
      </c>
      <c r="U4846">
        <v>4</v>
      </c>
      <c r="V4846">
        <v>0.14374999999999999</v>
      </c>
      <c r="W4846">
        <v>1</v>
      </c>
      <c r="X4846">
        <v>0.14374999999999999</v>
      </c>
      <c r="Y4846">
        <v>350</v>
      </c>
      <c r="Z4846">
        <v>443.51354125420028</v>
      </c>
      <c r="AA4846">
        <v>198</v>
      </c>
      <c r="AB4846">
        <v>332</v>
      </c>
      <c r="AC4846">
        <v>536</v>
      </c>
      <c r="AD4846">
        <v>32.42</v>
      </c>
      <c r="AE4846">
        <v>542</v>
      </c>
      <c r="AF4846">
        <v>39</v>
      </c>
      <c r="AG4846">
        <v>173</v>
      </c>
      <c r="AH4846">
        <v>129</v>
      </c>
      <c r="AI4846">
        <v>7.2</v>
      </c>
      <c r="AJ4846">
        <v>31.92</v>
      </c>
      <c r="AK4846">
        <v>23.8</v>
      </c>
      <c r="AL4846">
        <v>-20.11882464999994</v>
      </c>
      <c r="AM4846">
        <v>-44.850497004056017</v>
      </c>
      <c r="AN4846">
        <v>-20.11882464999994</v>
      </c>
      <c r="AO4846">
        <v>-44.850497004056017</v>
      </c>
      <c r="AP4846">
        <v>-20.118755</v>
      </c>
      <c r="AQ4846">
        <v>-44.850627000000003</v>
      </c>
      <c r="AR4846">
        <v>15.6445928866994</v>
      </c>
      <c r="AS4846" t="s">
        <v>65</v>
      </c>
      <c r="AT4846">
        <v>1</v>
      </c>
      <c r="AU4846" t="s">
        <v>764</v>
      </c>
      <c r="AV4846" t="s">
        <v>765</v>
      </c>
      <c r="AW4846" t="s">
        <v>60</v>
      </c>
      <c r="AX4846" t="s">
        <v>68</v>
      </c>
      <c r="AY4846" t="s">
        <v>69</v>
      </c>
      <c r="AZ4846" t="b">
        <v>1</v>
      </c>
    </row>
    <row r="4847" spans="1:52" x14ac:dyDescent="0.3">
      <c r="A4847" t="s">
        <v>52</v>
      </c>
      <c r="B4847" t="s">
        <v>53</v>
      </c>
      <c r="C4847" t="s">
        <v>54</v>
      </c>
      <c r="D4847" t="s">
        <v>55</v>
      </c>
      <c r="E4847" t="s">
        <v>2224</v>
      </c>
      <c r="F4847" t="s">
        <v>190</v>
      </c>
      <c r="G4847" t="s">
        <v>1757</v>
      </c>
      <c r="H4847" t="s">
        <v>1758</v>
      </c>
      <c r="I4847" t="s">
        <v>1758</v>
      </c>
      <c r="J4847" t="s">
        <v>60</v>
      </c>
      <c r="K4847" t="s">
        <v>362</v>
      </c>
      <c r="L4847" t="s">
        <v>62</v>
      </c>
      <c r="M4847" t="s">
        <v>362</v>
      </c>
      <c r="N4847" t="s">
        <v>1759</v>
      </c>
      <c r="O4847" t="s">
        <v>1760</v>
      </c>
      <c r="P4847">
        <v>-20.140051</v>
      </c>
      <c r="Q4847">
        <v>-44.871685999999997</v>
      </c>
      <c r="R4847" s="2" t="str">
        <f>HYPERLINK("https://www.google.com/maps?q=-20.1400510,-44.8716860","Abrir no Google Maps")</f>
        <v>Abrir no Google Maps</v>
      </c>
      <c r="S4847">
        <v>3</v>
      </c>
      <c r="T4847">
        <v>352.31744538617551</v>
      </c>
      <c r="U4847">
        <v>4</v>
      </c>
      <c r="V4847">
        <v>0.17233009708737859</v>
      </c>
      <c r="W4847">
        <v>0.85</v>
      </c>
      <c r="X4847">
        <v>0.14648058252427179</v>
      </c>
      <c r="Y4847">
        <v>332</v>
      </c>
      <c r="Z4847">
        <v>504.25252355351739</v>
      </c>
      <c r="AA4847">
        <v>198</v>
      </c>
      <c r="AB4847">
        <v>332</v>
      </c>
      <c r="AC4847">
        <v>536</v>
      </c>
      <c r="AD4847">
        <v>32.42</v>
      </c>
      <c r="AE4847">
        <v>542</v>
      </c>
      <c r="AF4847">
        <v>39</v>
      </c>
      <c r="AG4847">
        <v>173</v>
      </c>
      <c r="AH4847">
        <v>129</v>
      </c>
      <c r="AI4847">
        <v>7.2</v>
      </c>
      <c r="AJ4847">
        <v>31.92</v>
      </c>
      <c r="AK4847">
        <v>23.8</v>
      </c>
      <c r="AL4847">
        <v>-20.140052049999959</v>
      </c>
      <c r="AM4847">
        <v>-44.871685093874923</v>
      </c>
      <c r="AN4847">
        <v>-20.140052049999959</v>
      </c>
      <c r="AO4847">
        <v>-44.871685093874909</v>
      </c>
      <c r="AP4847">
        <v>-20.140051</v>
      </c>
      <c r="AQ4847">
        <v>-44.871685999999997</v>
      </c>
      <c r="AR4847">
        <v>0.1504354058892336</v>
      </c>
      <c r="AS4847" t="s">
        <v>65</v>
      </c>
      <c r="AT4847">
        <v>1</v>
      </c>
      <c r="AU4847" t="s">
        <v>1761</v>
      </c>
      <c r="AV4847" t="s">
        <v>1762</v>
      </c>
      <c r="AW4847" t="s">
        <v>60</v>
      </c>
      <c r="AX4847" t="s">
        <v>68</v>
      </c>
      <c r="AY4847" t="s">
        <v>69</v>
      </c>
      <c r="AZ4847" t="b">
        <v>1</v>
      </c>
    </row>
    <row r="4848" spans="1:52" x14ac:dyDescent="0.3">
      <c r="A4848" t="s">
        <v>52</v>
      </c>
      <c r="B4848" t="s">
        <v>53</v>
      </c>
      <c r="C4848" t="s">
        <v>54</v>
      </c>
      <c r="D4848" t="s">
        <v>55</v>
      </c>
      <c r="E4848" t="s">
        <v>2224</v>
      </c>
      <c r="F4848" t="s">
        <v>190</v>
      </c>
      <c r="G4848" t="s">
        <v>1115</v>
      </c>
      <c r="H4848" t="s">
        <v>1116</v>
      </c>
      <c r="I4848" t="s">
        <v>1116</v>
      </c>
      <c r="J4848" t="s">
        <v>60</v>
      </c>
      <c r="K4848" t="s">
        <v>1117</v>
      </c>
      <c r="L4848" t="s">
        <v>62</v>
      </c>
      <c r="M4848" t="s">
        <v>1117</v>
      </c>
      <c r="N4848" t="s">
        <v>1118</v>
      </c>
      <c r="O4848" t="s">
        <v>74</v>
      </c>
      <c r="P4848">
        <v>-20.171123000000001</v>
      </c>
      <c r="Q4848">
        <v>-44.944929999999999</v>
      </c>
      <c r="R4848" s="2" t="str">
        <f>HYPERLINK("https://www.google.com/maps?q=-20.1711230,-44.9449300","Abrir no Google Maps")</f>
        <v>Abrir no Google Maps</v>
      </c>
      <c r="S4848">
        <v>3</v>
      </c>
      <c r="T4848">
        <v>2450.5355520785151</v>
      </c>
      <c r="U4848">
        <v>4</v>
      </c>
      <c r="V4848">
        <v>0.1653846153846153</v>
      </c>
      <c r="W4848">
        <v>0.85</v>
      </c>
      <c r="X4848">
        <v>0.14057692307692299</v>
      </c>
      <c r="Y4848">
        <v>331</v>
      </c>
      <c r="Z4848">
        <v>2306.317072968428</v>
      </c>
      <c r="AA4848">
        <v>198</v>
      </c>
      <c r="AB4848">
        <v>332</v>
      </c>
      <c r="AC4848">
        <v>536</v>
      </c>
      <c r="AD4848">
        <v>32.42</v>
      </c>
      <c r="AE4848">
        <v>542</v>
      </c>
      <c r="AF4848">
        <v>39</v>
      </c>
      <c r="AG4848">
        <v>173</v>
      </c>
      <c r="AH4848">
        <v>129</v>
      </c>
      <c r="AI4848">
        <v>7.2</v>
      </c>
      <c r="AJ4848">
        <v>31.92</v>
      </c>
      <c r="AK4848">
        <v>23.8</v>
      </c>
      <c r="AL4848">
        <v>-20.170858699999972</v>
      </c>
      <c r="AM4848">
        <v>-44.945018498005382</v>
      </c>
      <c r="AN4848">
        <v>-20.170858699999972</v>
      </c>
      <c r="AO4848">
        <v>-44.945018498005382</v>
      </c>
      <c r="AP4848">
        <v>-20.171123000000001</v>
      </c>
      <c r="AQ4848">
        <v>-44.944929999999999</v>
      </c>
      <c r="AR4848">
        <v>30.840896798881371</v>
      </c>
      <c r="AS4848" t="s">
        <v>65</v>
      </c>
      <c r="AT4848">
        <v>1</v>
      </c>
      <c r="AU4848" t="s">
        <v>1119</v>
      </c>
      <c r="AV4848" t="s">
        <v>1120</v>
      </c>
      <c r="AW4848" t="s">
        <v>60</v>
      </c>
      <c r="AX4848" t="s">
        <v>68</v>
      </c>
      <c r="AY4848" t="s">
        <v>69</v>
      </c>
      <c r="AZ4848" t="b">
        <v>1</v>
      </c>
    </row>
    <row r="4849" spans="1:52" x14ac:dyDescent="0.3">
      <c r="A4849" t="s">
        <v>52</v>
      </c>
      <c r="B4849" t="s">
        <v>53</v>
      </c>
      <c r="C4849" t="s">
        <v>54</v>
      </c>
      <c r="D4849" t="s">
        <v>55</v>
      </c>
      <c r="E4849" t="s">
        <v>2224</v>
      </c>
      <c r="F4849" t="s">
        <v>190</v>
      </c>
      <c r="G4849" t="s">
        <v>1121</v>
      </c>
      <c r="H4849" t="s">
        <v>1122</v>
      </c>
      <c r="I4849" t="s">
        <v>1122</v>
      </c>
      <c r="J4849" t="s">
        <v>60</v>
      </c>
      <c r="K4849" t="s">
        <v>1123</v>
      </c>
      <c r="L4849" t="s">
        <v>62</v>
      </c>
      <c r="M4849" t="s">
        <v>1123</v>
      </c>
      <c r="N4849" t="s">
        <v>1124</v>
      </c>
      <c r="O4849" t="s">
        <v>74</v>
      </c>
      <c r="P4849">
        <v>-20.105318</v>
      </c>
      <c r="Q4849">
        <v>-44.879216</v>
      </c>
      <c r="R4849" s="2" t="str">
        <f>HYPERLINK("https://www.google.com/maps?q=-20.1053180,-44.8792160","Abrir no Google Maps")</f>
        <v>Abrir no Google Maps</v>
      </c>
      <c r="S4849">
        <v>3</v>
      </c>
      <c r="T4849">
        <v>318.57668516180911</v>
      </c>
      <c r="U4849">
        <v>4</v>
      </c>
      <c r="V4849">
        <v>0.1491935483870967</v>
      </c>
      <c r="W4849">
        <v>1</v>
      </c>
      <c r="X4849">
        <v>0.1491935483870967</v>
      </c>
      <c r="Y4849">
        <v>314</v>
      </c>
      <c r="Z4849">
        <v>207.50829098881519</v>
      </c>
      <c r="AA4849">
        <v>198</v>
      </c>
      <c r="AB4849">
        <v>332</v>
      </c>
      <c r="AC4849">
        <v>536</v>
      </c>
      <c r="AD4849">
        <v>32.42</v>
      </c>
      <c r="AE4849">
        <v>542</v>
      </c>
      <c r="AF4849">
        <v>39</v>
      </c>
      <c r="AG4849">
        <v>173</v>
      </c>
      <c r="AH4849">
        <v>129</v>
      </c>
      <c r="AI4849">
        <v>7.2</v>
      </c>
      <c r="AJ4849">
        <v>31.92</v>
      </c>
      <c r="AK4849">
        <v>23.8</v>
      </c>
      <c r="AL4849">
        <v>-20.105361049999939</v>
      </c>
      <c r="AM4849">
        <v>-44.87924613740698</v>
      </c>
      <c r="AN4849">
        <v>-20.105361049999939</v>
      </c>
      <c r="AO4849">
        <v>-44.87924613740698</v>
      </c>
      <c r="AP4849">
        <v>-20.105318</v>
      </c>
      <c r="AQ4849">
        <v>-44.879216</v>
      </c>
      <c r="AR4849">
        <v>5.7351338374851242</v>
      </c>
      <c r="AS4849" t="s">
        <v>65</v>
      </c>
      <c r="AT4849">
        <v>1</v>
      </c>
      <c r="AU4849" t="s">
        <v>1125</v>
      </c>
      <c r="AV4849" t="s">
        <v>1126</v>
      </c>
      <c r="AW4849" t="s">
        <v>60</v>
      </c>
      <c r="AX4849" t="s">
        <v>68</v>
      </c>
      <c r="AY4849" t="s">
        <v>69</v>
      </c>
      <c r="AZ4849" t="b">
        <v>1</v>
      </c>
    </row>
    <row r="4850" spans="1:52" x14ac:dyDescent="0.3">
      <c r="A4850" t="s">
        <v>52</v>
      </c>
      <c r="B4850" t="s">
        <v>53</v>
      </c>
      <c r="C4850" t="s">
        <v>54</v>
      </c>
      <c r="D4850" t="s">
        <v>55</v>
      </c>
      <c r="E4850" t="s">
        <v>2224</v>
      </c>
      <c r="F4850" t="s">
        <v>190</v>
      </c>
      <c r="G4850" t="s">
        <v>1127</v>
      </c>
      <c r="H4850" t="s">
        <v>1128</v>
      </c>
      <c r="I4850" t="s">
        <v>1128</v>
      </c>
      <c r="J4850" t="s">
        <v>60</v>
      </c>
      <c r="K4850" t="s">
        <v>1129</v>
      </c>
      <c r="L4850" t="s">
        <v>62</v>
      </c>
      <c r="M4850" t="s">
        <v>1129</v>
      </c>
      <c r="N4850" t="s">
        <v>1130</v>
      </c>
      <c r="O4850" t="s">
        <v>357</v>
      </c>
      <c r="P4850">
        <v>-20.106638</v>
      </c>
      <c r="Q4850">
        <v>-44.883538000000001</v>
      </c>
      <c r="R4850" s="2" t="str">
        <f>HYPERLINK("https://www.google.com/maps?q=-20.1066380,-44.8835380","Abrir no Google Maps")</f>
        <v>Abrir no Google Maps</v>
      </c>
      <c r="S4850">
        <v>3</v>
      </c>
      <c r="T4850">
        <v>754.03514396665969</v>
      </c>
      <c r="U4850">
        <v>4</v>
      </c>
      <c r="V4850">
        <v>0.14691558441558439</v>
      </c>
      <c r="W4850">
        <v>1</v>
      </c>
      <c r="X4850">
        <v>0.14691558441558439</v>
      </c>
      <c r="Y4850">
        <v>314</v>
      </c>
      <c r="Z4850">
        <v>584.1161650721092</v>
      </c>
      <c r="AA4850">
        <v>198</v>
      </c>
      <c r="AB4850">
        <v>332</v>
      </c>
      <c r="AC4850">
        <v>536</v>
      </c>
      <c r="AD4850">
        <v>32.42</v>
      </c>
      <c r="AE4850">
        <v>542</v>
      </c>
      <c r="AF4850">
        <v>39</v>
      </c>
      <c r="AG4850">
        <v>173</v>
      </c>
      <c r="AH4850">
        <v>129</v>
      </c>
      <c r="AI4850">
        <v>7.2</v>
      </c>
      <c r="AJ4850">
        <v>31.92</v>
      </c>
      <c r="AK4850">
        <v>23.8</v>
      </c>
      <c r="AL4850">
        <v>-20.106599599999949</v>
      </c>
      <c r="AM4850">
        <v>-44.883527947279568</v>
      </c>
      <c r="AN4850">
        <v>-20.106599599999949</v>
      </c>
      <c r="AO4850">
        <v>-44.883527947279568</v>
      </c>
      <c r="AP4850">
        <v>-20.106638</v>
      </c>
      <c r="AQ4850">
        <v>-44.883538000000001</v>
      </c>
      <c r="AR4850">
        <v>4.4019630384815924</v>
      </c>
      <c r="AS4850" t="s">
        <v>65</v>
      </c>
      <c r="AT4850">
        <v>1</v>
      </c>
      <c r="AU4850" t="s">
        <v>1131</v>
      </c>
      <c r="AV4850" t="s">
        <v>1132</v>
      </c>
      <c r="AW4850" t="s">
        <v>60</v>
      </c>
      <c r="AX4850" t="s">
        <v>68</v>
      </c>
      <c r="AY4850" t="s">
        <v>69</v>
      </c>
      <c r="AZ4850" t="b">
        <v>1</v>
      </c>
    </row>
    <row r="4851" spans="1:52" x14ac:dyDescent="0.3">
      <c r="A4851" t="s">
        <v>52</v>
      </c>
      <c r="B4851" t="s">
        <v>53</v>
      </c>
      <c r="C4851" t="s">
        <v>54</v>
      </c>
      <c r="D4851" t="s">
        <v>55</v>
      </c>
      <c r="E4851" t="s">
        <v>2224</v>
      </c>
      <c r="F4851" t="s">
        <v>190</v>
      </c>
      <c r="G4851" t="s">
        <v>1133</v>
      </c>
      <c r="H4851" t="s">
        <v>1134</v>
      </c>
      <c r="I4851" t="s">
        <v>1134</v>
      </c>
      <c r="J4851" t="s">
        <v>60</v>
      </c>
      <c r="K4851" t="s">
        <v>1123</v>
      </c>
      <c r="L4851" t="s">
        <v>62</v>
      </c>
      <c r="M4851" t="s">
        <v>1123</v>
      </c>
      <c r="N4851" t="s">
        <v>1135</v>
      </c>
      <c r="O4851" t="s">
        <v>138</v>
      </c>
      <c r="P4851">
        <v>-20.106113000000001</v>
      </c>
      <c r="Q4851">
        <v>-44.876035999999999</v>
      </c>
      <c r="R4851" s="2" t="str">
        <f>HYPERLINK("https://www.google.com/maps?q=-20.1061130,-44.8760360","Abrir no Google Maps")</f>
        <v>Abrir no Google Maps</v>
      </c>
      <c r="S4851">
        <v>3</v>
      </c>
      <c r="T4851">
        <v>0</v>
      </c>
      <c r="U4851">
        <v>4</v>
      </c>
      <c r="V4851">
        <v>0.1394230769230769</v>
      </c>
      <c r="W4851">
        <v>1</v>
      </c>
      <c r="X4851">
        <v>0.1394230769230769</v>
      </c>
      <c r="Y4851">
        <v>314</v>
      </c>
      <c r="Z4851">
        <v>98.504848991092999</v>
      </c>
      <c r="AA4851">
        <v>198</v>
      </c>
      <c r="AB4851">
        <v>332</v>
      </c>
      <c r="AC4851">
        <v>536</v>
      </c>
      <c r="AD4851">
        <v>32.42</v>
      </c>
      <c r="AE4851">
        <v>542</v>
      </c>
      <c r="AF4851">
        <v>39</v>
      </c>
      <c r="AG4851">
        <v>173</v>
      </c>
      <c r="AH4851">
        <v>129</v>
      </c>
      <c r="AI4851">
        <v>7.2</v>
      </c>
      <c r="AJ4851">
        <v>31.92</v>
      </c>
      <c r="AK4851">
        <v>23.8</v>
      </c>
      <c r="AL4851">
        <v>-20.106190249999941</v>
      </c>
      <c r="AM4851">
        <v>-44.876327742253288</v>
      </c>
      <c r="AN4851">
        <v>-20.106190249999941</v>
      </c>
      <c r="AO4851">
        <v>-44.876327742253288</v>
      </c>
      <c r="AP4851">
        <v>-20.106113000000001</v>
      </c>
      <c r="AQ4851">
        <v>-44.876035999999999</v>
      </c>
      <c r="AR4851">
        <v>31.686742853465731</v>
      </c>
      <c r="AS4851" t="s">
        <v>65</v>
      </c>
      <c r="AT4851">
        <v>1</v>
      </c>
      <c r="AU4851" t="s">
        <v>1136</v>
      </c>
      <c r="AV4851" t="s">
        <v>1137</v>
      </c>
      <c r="AW4851" t="s">
        <v>60</v>
      </c>
      <c r="AX4851" t="s">
        <v>68</v>
      </c>
      <c r="AY4851" t="s">
        <v>69</v>
      </c>
      <c r="AZ4851" t="b">
        <v>1</v>
      </c>
    </row>
    <row r="4852" spans="1:52" x14ac:dyDescent="0.3">
      <c r="A4852" t="s">
        <v>52</v>
      </c>
      <c r="B4852" t="s">
        <v>53</v>
      </c>
      <c r="C4852" t="s">
        <v>54</v>
      </c>
      <c r="D4852" t="s">
        <v>55</v>
      </c>
      <c r="E4852" t="s">
        <v>2224</v>
      </c>
      <c r="F4852" t="s">
        <v>190</v>
      </c>
      <c r="G4852" t="s">
        <v>1133</v>
      </c>
      <c r="H4852" t="s">
        <v>1144</v>
      </c>
      <c r="I4852" t="s">
        <v>1144</v>
      </c>
      <c r="J4852" t="s">
        <v>60</v>
      </c>
      <c r="K4852" t="s">
        <v>1123</v>
      </c>
      <c r="L4852" t="s">
        <v>62</v>
      </c>
      <c r="M4852" t="s">
        <v>1123</v>
      </c>
      <c r="N4852" t="s">
        <v>1135</v>
      </c>
      <c r="O4852" t="s">
        <v>907</v>
      </c>
      <c r="P4852">
        <v>-20.100351</v>
      </c>
      <c r="Q4852">
        <v>-44.878037999999997</v>
      </c>
      <c r="R4852" s="2" t="str">
        <f>HYPERLINK("https://www.google.com/maps?q=-20.1003510,-44.8780380","Abrir no Google Maps")</f>
        <v>Abrir no Google Maps</v>
      </c>
      <c r="S4852">
        <v>3</v>
      </c>
      <c r="T4852">
        <v>665.56785712469116</v>
      </c>
      <c r="U4852">
        <v>4</v>
      </c>
      <c r="V4852">
        <v>0.1707317073170731</v>
      </c>
      <c r="W4852">
        <v>1</v>
      </c>
      <c r="X4852">
        <v>0.1707317073170731</v>
      </c>
      <c r="Y4852">
        <v>314</v>
      </c>
      <c r="Z4852">
        <v>584.8532299266725</v>
      </c>
      <c r="AA4852">
        <v>198</v>
      </c>
      <c r="AB4852">
        <v>332</v>
      </c>
      <c r="AC4852">
        <v>536</v>
      </c>
      <c r="AD4852">
        <v>32.42</v>
      </c>
      <c r="AE4852">
        <v>542</v>
      </c>
      <c r="AF4852">
        <v>39</v>
      </c>
      <c r="AG4852">
        <v>173</v>
      </c>
      <c r="AH4852">
        <v>129</v>
      </c>
      <c r="AI4852">
        <v>7.2</v>
      </c>
      <c r="AJ4852">
        <v>31.92</v>
      </c>
      <c r="AK4852">
        <v>23.8</v>
      </c>
      <c r="AL4852">
        <v>-20.100420499999959</v>
      </c>
      <c r="AM4852">
        <v>-44.878125332575927</v>
      </c>
      <c r="AN4852">
        <v>-20.100420499999959</v>
      </c>
      <c r="AO4852">
        <v>-44.878125332575927</v>
      </c>
      <c r="AP4852">
        <v>-20.100351</v>
      </c>
      <c r="AQ4852">
        <v>-44.878037999999997</v>
      </c>
      <c r="AR4852">
        <v>11.966993892024719</v>
      </c>
      <c r="AS4852" t="s">
        <v>65</v>
      </c>
      <c r="AT4852">
        <v>1</v>
      </c>
      <c r="AU4852" t="s">
        <v>1145</v>
      </c>
      <c r="AV4852" t="s">
        <v>1146</v>
      </c>
      <c r="AW4852" t="s">
        <v>60</v>
      </c>
      <c r="AX4852" t="s">
        <v>68</v>
      </c>
      <c r="AY4852" t="s">
        <v>69</v>
      </c>
      <c r="AZ4852" t="b">
        <v>1</v>
      </c>
    </row>
    <row r="4853" spans="1:52" x14ac:dyDescent="0.3">
      <c r="A4853" t="s">
        <v>52</v>
      </c>
      <c r="B4853" t="s">
        <v>53</v>
      </c>
      <c r="C4853" t="s">
        <v>54</v>
      </c>
      <c r="D4853" t="s">
        <v>55</v>
      </c>
      <c r="E4853" t="s">
        <v>2224</v>
      </c>
      <c r="F4853" t="s">
        <v>190</v>
      </c>
      <c r="G4853" t="s">
        <v>2201</v>
      </c>
      <c r="H4853" t="s">
        <v>2202</v>
      </c>
      <c r="I4853" t="s">
        <v>2202</v>
      </c>
      <c r="J4853" t="s">
        <v>60</v>
      </c>
      <c r="K4853" t="s">
        <v>1123</v>
      </c>
      <c r="L4853" t="s">
        <v>62</v>
      </c>
      <c r="M4853" t="s">
        <v>1123</v>
      </c>
      <c r="N4853" t="s">
        <v>2203</v>
      </c>
      <c r="O4853" t="s">
        <v>125</v>
      </c>
      <c r="P4853">
        <v>-20.098407000000002</v>
      </c>
      <c r="Q4853">
        <v>-44.878131000000003</v>
      </c>
      <c r="R4853" s="2" t="str">
        <f>HYPERLINK("https://www.google.com/maps?q=-20.0984070,-44.8781310","Abrir no Google Maps")</f>
        <v>Abrir no Google Maps</v>
      </c>
      <c r="S4853">
        <v>3</v>
      </c>
      <c r="T4853">
        <v>859.51107665183554</v>
      </c>
      <c r="U4853">
        <v>4</v>
      </c>
      <c r="V4853">
        <v>0.15990990990990989</v>
      </c>
      <c r="W4853">
        <v>0.85</v>
      </c>
      <c r="X4853">
        <v>0.1359234234234234</v>
      </c>
      <c r="Y4853">
        <v>314</v>
      </c>
      <c r="Z4853">
        <v>773.95456912091106</v>
      </c>
      <c r="AA4853">
        <v>198</v>
      </c>
      <c r="AB4853">
        <v>332</v>
      </c>
      <c r="AC4853">
        <v>536</v>
      </c>
      <c r="AD4853">
        <v>32.42</v>
      </c>
      <c r="AE4853">
        <v>542</v>
      </c>
      <c r="AF4853">
        <v>39</v>
      </c>
      <c r="AG4853">
        <v>173</v>
      </c>
      <c r="AH4853">
        <v>129</v>
      </c>
      <c r="AI4853">
        <v>7.2</v>
      </c>
      <c r="AJ4853">
        <v>31.92</v>
      </c>
      <c r="AK4853">
        <v>23.8</v>
      </c>
      <c r="AL4853">
        <v>-20.098590499999979</v>
      </c>
      <c r="AM4853">
        <v>-44.878024949589523</v>
      </c>
      <c r="AN4853">
        <v>-20.098590499999979</v>
      </c>
      <c r="AO4853">
        <v>-44.878024949589523</v>
      </c>
      <c r="AP4853">
        <v>-20.098407000000002</v>
      </c>
      <c r="AQ4853">
        <v>-44.878131000000003</v>
      </c>
      <c r="AR4853">
        <v>23.24186236676552</v>
      </c>
      <c r="AS4853" t="s">
        <v>65</v>
      </c>
      <c r="AT4853">
        <v>1</v>
      </c>
      <c r="AU4853" t="s">
        <v>2204</v>
      </c>
      <c r="AV4853" t="s">
        <v>1922</v>
      </c>
      <c r="AW4853" t="s">
        <v>60</v>
      </c>
      <c r="AX4853" t="s">
        <v>68</v>
      </c>
      <c r="AY4853" t="s">
        <v>69</v>
      </c>
      <c r="AZ4853" t="b">
        <v>1</v>
      </c>
    </row>
    <row r="4854" spans="1:52" x14ac:dyDescent="0.3">
      <c r="A4854" t="s">
        <v>52</v>
      </c>
      <c r="B4854" t="s">
        <v>53</v>
      </c>
      <c r="C4854" t="s">
        <v>54</v>
      </c>
      <c r="D4854" t="s">
        <v>55</v>
      </c>
      <c r="E4854" t="s">
        <v>2224</v>
      </c>
      <c r="F4854" t="s">
        <v>190</v>
      </c>
      <c r="G4854" t="s">
        <v>1923</v>
      </c>
      <c r="H4854" t="s">
        <v>1924</v>
      </c>
      <c r="I4854" t="s">
        <v>1924</v>
      </c>
      <c r="J4854" t="s">
        <v>60</v>
      </c>
      <c r="K4854" t="s">
        <v>1925</v>
      </c>
      <c r="L4854" t="s">
        <v>62</v>
      </c>
      <c r="M4854" t="s">
        <v>1925</v>
      </c>
      <c r="N4854" t="s">
        <v>1184</v>
      </c>
      <c r="O4854" t="s">
        <v>1926</v>
      </c>
      <c r="P4854">
        <v>-20.110175999999999</v>
      </c>
      <c r="Q4854">
        <v>-44.878174000000001</v>
      </c>
      <c r="R4854" s="2" t="str">
        <f>HYPERLINK("https://www.google.com/maps?q=-20.1101760,-44.8781740","Abrir no Google Maps")</f>
        <v>Abrir no Google Maps</v>
      </c>
      <c r="S4854">
        <v>3</v>
      </c>
      <c r="T4854">
        <v>483.09360915139621</v>
      </c>
      <c r="U4854">
        <v>4</v>
      </c>
      <c r="V4854">
        <v>0.15645161290322579</v>
      </c>
      <c r="W4854">
        <v>0.85</v>
      </c>
      <c r="X4854">
        <v>0.13298387096774189</v>
      </c>
      <c r="Y4854">
        <v>314</v>
      </c>
      <c r="Z4854">
        <v>570.40116580928134</v>
      </c>
      <c r="AA4854">
        <v>198</v>
      </c>
      <c r="AB4854">
        <v>332</v>
      </c>
      <c r="AC4854">
        <v>536</v>
      </c>
      <c r="AD4854">
        <v>32.42</v>
      </c>
      <c r="AE4854">
        <v>542</v>
      </c>
      <c r="AF4854">
        <v>39</v>
      </c>
      <c r="AG4854">
        <v>173</v>
      </c>
      <c r="AH4854">
        <v>129</v>
      </c>
      <c r="AI4854">
        <v>7.2</v>
      </c>
      <c r="AJ4854">
        <v>31.92</v>
      </c>
      <c r="AK4854">
        <v>23.8</v>
      </c>
      <c r="AL4854">
        <v>-20.110151299999959</v>
      </c>
      <c r="AM4854">
        <v>-44.878270449999967</v>
      </c>
      <c r="AN4854">
        <v>-20.110151299999959</v>
      </c>
      <c r="AO4854">
        <v>-44.878270449999967</v>
      </c>
      <c r="AP4854">
        <v>-20.110175999999999</v>
      </c>
      <c r="AQ4854">
        <v>-44.878174000000001</v>
      </c>
      <c r="AR4854">
        <v>10.450435955197751</v>
      </c>
      <c r="AS4854" t="s">
        <v>65</v>
      </c>
      <c r="AT4854">
        <v>1</v>
      </c>
      <c r="AU4854" t="s">
        <v>1927</v>
      </c>
      <c r="AV4854" t="s">
        <v>1928</v>
      </c>
      <c r="AW4854" t="s">
        <v>60</v>
      </c>
      <c r="AX4854" t="s">
        <v>68</v>
      </c>
      <c r="AY4854" t="s">
        <v>69</v>
      </c>
      <c r="AZ4854" t="b">
        <v>1</v>
      </c>
    </row>
    <row r="4855" spans="1:52" x14ac:dyDescent="0.3">
      <c r="A4855" t="s">
        <v>52</v>
      </c>
      <c r="B4855" t="s">
        <v>53</v>
      </c>
      <c r="C4855" t="s">
        <v>54</v>
      </c>
      <c r="D4855" t="s">
        <v>55</v>
      </c>
      <c r="E4855" t="s">
        <v>2224</v>
      </c>
      <c r="F4855" t="s">
        <v>190</v>
      </c>
      <c r="G4855" t="s">
        <v>1147</v>
      </c>
      <c r="H4855" t="s">
        <v>1148</v>
      </c>
      <c r="I4855" t="s">
        <v>1148</v>
      </c>
      <c r="J4855" t="s">
        <v>60</v>
      </c>
      <c r="K4855" t="s">
        <v>798</v>
      </c>
      <c r="L4855" t="s">
        <v>62</v>
      </c>
      <c r="M4855" t="s">
        <v>798</v>
      </c>
      <c r="N4855" t="s">
        <v>1149</v>
      </c>
      <c r="O4855" t="s">
        <v>836</v>
      </c>
      <c r="P4855">
        <v>-20.112448000000001</v>
      </c>
      <c r="Q4855">
        <v>-44.904887000000002</v>
      </c>
      <c r="R4855" s="2" t="str">
        <f>HYPERLINK("https://www.google.com/maps?q=-20.1124480,-44.9048870","Abrir no Google Maps")</f>
        <v>Abrir no Google Maps</v>
      </c>
      <c r="S4855">
        <v>3</v>
      </c>
      <c r="T4855">
        <v>404.16588765758058</v>
      </c>
      <c r="U4855">
        <v>4</v>
      </c>
      <c r="V4855">
        <v>0.1480582524271844</v>
      </c>
      <c r="W4855">
        <v>1</v>
      </c>
      <c r="X4855">
        <v>0.1480582524271844</v>
      </c>
      <c r="Y4855">
        <v>300</v>
      </c>
      <c r="Z4855">
        <v>435.21165957304731</v>
      </c>
      <c r="AA4855">
        <v>198</v>
      </c>
      <c r="AB4855">
        <v>332</v>
      </c>
      <c r="AC4855">
        <v>536</v>
      </c>
      <c r="AD4855">
        <v>32.42</v>
      </c>
      <c r="AE4855">
        <v>542</v>
      </c>
      <c r="AF4855">
        <v>39</v>
      </c>
      <c r="AG4855">
        <v>173</v>
      </c>
      <c r="AH4855">
        <v>129</v>
      </c>
      <c r="AI4855">
        <v>7.2</v>
      </c>
      <c r="AJ4855">
        <v>31.92</v>
      </c>
      <c r="AK4855">
        <v>23.8</v>
      </c>
      <c r="AL4855">
        <v>-20.11243479999996</v>
      </c>
      <c r="AM4855">
        <v>-44.904803228053026</v>
      </c>
      <c r="AN4855">
        <v>-20.11243479999996</v>
      </c>
      <c r="AO4855">
        <v>-44.904803228053026</v>
      </c>
      <c r="AP4855">
        <v>-20.112448000000001</v>
      </c>
      <c r="AQ4855">
        <v>-44.904887000000002</v>
      </c>
      <c r="AR4855">
        <v>8.8792525353759544</v>
      </c>
      <c r="AS4855" t="s">
        <v>65</v>
      </c>
      <c r="AT4855">
        <v>1</v>
      </c>
      <c r="AU4855" t="s">
        <v>1150</v>
      </c>
      <c r="AV4855" t="s">
        <v>1151</v>
      </c>
      <c r="AW4855" t="s">
        <v>60</v>
      </c>
      <c r="AX4855" t="s">
        <v>68</v>
      </c>
      <c r="AY4855" t="s">
        <v>69</v>
      </c>
      <c r="AZ4855" t="b">
        <v>1</v>
      </c>
    </row>
    <row r="4856" spans="1:52" x14ac:dyDescent="0.3">
      <c r="A4856" t="s">
        <v>52</v>
      </c>
      <c r="B4856" t="s">
        <v>53</v>
      </c>
      <c r="C4856" t="s">
        <v>54</v>
      </c>
      <c r="D4856" t="s">
        <v>55</v>
      </c>
      <c r="E4856" t="s">
        <v>2224</v>
      </c>
      <c r="F4856" t="s">
        <v>190</v>
      </c>
      <c r="G4856" t="s">
        <v>1763</v>
      </c>
      <c r="H4856" t="s">
        <v>1764</v>
      </c>
      <c r="I4856" t="s">
        <v>1764</v>
      </c>
      <c r="J4856" t="s">
        <v>60</v>
      </c>
      <c r="K4856" t="s">
        <v>798</v>
      </c>
      <c r="L4856" t="s">
        <v>62</v>
      </c>
      <c r="M4856" t="s">
        <v>798</v>
      </c>
      <c r="N4856" t="s">
        <v>1765</v>
      </c>
      <c r="O4856" t="s">
        <v>1766</v>
      </c>
      <c r="P4856">
        <v>-20.111158</v>
      </c>
      <c r="Q4856">
        <v>-44.901231000000003</v>
      </c>
      <c r="R4856" s="2" t="str">
        <f>HYPERLINK("https://www.google.com/maps?q=-20.1111580,-44.9012310","Abrir no Google Maps")</f>
        <v>Abrir no Google Maps</v>
      </c>
      <c r="S4856">
        <v>3</v>
      </c>
      <c r="T4856">
        <v>0</v>
      </c>
      <c r="U4856">
        <v>4</v>
      </c>
      <c r="V4856">
        <v>0.13551401869158869</v>
      </c>
      <c r="W4856">
        <v>1</v>
      </c>
      <c r="X4856">
        <v>0.13551401869158869</v>
      </c>
      <c r="Y4856">
        <v>300</v>
      </c>
      <c r="Z4856">
        <v>159.5707781627477</v>
      </c>
      <c r="AA4856">
        <v>198</v>
      </c>
      <c r="AB4856">
        <v>332</v>
      </c>
      <c r="AC4856">
        <v>536</v>
      </c>
      <c r="AD4856">
        <v>32.42</v>
      </c>
      <c r="AE4856">
        <v>542</v>
      </c>
      <c r="AF4856">
        <v>39</v>
      </c>
      <c r="AG4856">
        <v>173</v>
      </c>
      <c r="AH4856">
        <v>129</v>
      </c>
      <c r="AI4856">
        <v>7.2</v>
      </c>
      <c r="AJ4856">
        <v>31.92</v>
      </c>
      <c r="AK4856">
        <v>23.8</v>
      </c>
      <c r="AL4856">
        <v>-20.111381299999941</v>
      </c>
      <c r="AM4856">
        <v>-44.90110111260114</v>
      </c>
      <c r="AN4856">
        <v>-20.111381299999941</v>
      </c>
      <c r="AO4856">
        <v>-44.90110111260114</v>
      </c>
      <c r="AP4856">
        <v>-20.111158</v>
      </c>
      <c r="AQ4856">
        <v>-44.901231000000003</v>
      </c>
      <c r="AR4856">
        <v>28.32410367036935</v>
      </c>
      <c r="AS4856" t="s">
        <v>65</v>
      </c>
      <c r="AT4856">
        <v>1</v>
      </c>
      <c r="AU4856" t="s">
        <v>1767</v>
      </c>
      <c r="AV4856" t="s">
        <v>1768</v>
      </c>
      <c r="AW4856" t="s">
        <v>60</v>
      </c>
      <c r="AX4856" t="s">
        <v>68</v>
      </c>
      <c r="AY4856" t="s">
        <v>69</v>
      </c>
      <c r="AZ4856" t="b">
        <v>1</v>
      </c>
    </row>
    <row r="4857" spans="1:52" x14ac:dyDescent="0.3">
      <c r="A4857" t="s">
        <v>52</v>
      </c>
      <c r="B4857" t="s">
        <v>53</v>
      </c>
      <c r="C4857" t="s">
        <v>54</v>
      </c>
      <c r="D4857" t="s">
        <v>55</v>
      </c>
      <c r="E4857" t="s">
        <v>2224</v>
      </c>
      <c r="F4857" t="s">
        <v>190</v>
      </c>
      <c r="G4857" t="s">
        <v>1152</v>
      </c>
      <c r="H4857" t="s">
        <v>1153</v>
      </c>
      <c r="I4857" t="s">
        <v>1153</v>
      </c>
      <c r="J4857" t="s">
        <v>60</v>
      </c>
      <c r="K4857" t="s">
        <v>798</v>
      </c>
      <c r="L4857" t="s">
        <v>62</v>
      </c>
      <c r="M4857" t="s">
        <v>798</v>
      </c>
      <c r="N4857" t="s">
        <v>1154</v>
      </c>
      <c r="O4857" t="s">
        <v>293</v>
      </c>
      <c r="P4857">
        <v>-20.112477999999999</v>
      </c>
      <c r="Q4857">
        <v>-44.903066000000003</v>
      </c>
      <c r="R4857" s="2" t="str">
        <f>HYPERLINK("https://www.google.com/maps?q=-20.1124780,-44.9030660","Abrir no Google Maps")</f>
        <v>Abrir no Google Maps</v>
      </c>
      <c r="S4857">
        <v>3</v>
      </c>
      <c r="T4857">
        <v>246.8131690803576</v>
      </c>
      <c r="U4857">
        <v>4</v>
      </c>
      <c r="V4857">
        <v>0.13380281690140841</v>
      </c>
      <c r="W4857">
        <v>1</v>
      </c>
      <c r="X4857">
        <v>0.13380281690140841</v>
      </c>
      <c r="Y4857">
        <v>300</v>
      </c>
      <c r="Z4857">
        <v>335.63974056009812</v>
      </c>
      <c r="AA4857">
        <v>198</v>
      </c>
      <c r="AB4857">
        <v>332</v>
      </c>
      <c r="AC4857">
        <v>536</v>
      </c>
      <c r="AD4857">
        <v>32.42</v>
      </c>
      <c r="AE4857">
        <v>542</v>
      </c>
      <c r="AF4857">
        <v>39</v>
      </c>
      <c r="AG4857">
        <v>173</v>
      </c>
      <c r="AH4857">
        <v>129</v>
      </c>
      <c r="AI4857">
        <v>7.2</v>
      </c>
      <c r="AJ4857">
        <v>31.92</v>
      </c>
      <c r="AK4857">
        <v>23.8</v>
      </c>
      <c r="AL4857">
        <v>-20.112499949999972</v>
      </c>
      <c r="AM4857">
        <v>-44.903143791889391</v>
      </c>
      <c r="AN4857">
        <v>-20.112499949999972</v>
      </c>
      <c r="AO4857">
        <v>-44.903143791889391</v>
      </c>
      <c r="AP4857">
        <v>-20.112477999999999</v>
      </c>
      <c r="AQ4857">
        <v>-44.903066000000003</v>
      </c>
      <c r="AR4857">
        <v>8.4908959019572912</v>
      </c>
      <c r="AS4857" t="s">
        <v>65</v>
      </c>
      <c r="AT4857">
        <v>1</v>
      </c>
      <c r="AU4857" t="s">
        <v>1155</v>
      </c>
      <c r="AV4857" t="s">
        <v>1156</v>
      </c>
      <c r="AW4857" t="s">
        <v>60</v>
      </c>
      <c r="AX4857" t="s">
        <v>68</v>
      </c>
      <c r="AY4857" t="s">
        <v>69</v>
      </c>
      <c r="AZ4857" t="b">
        <v>1</v>
      </c>
    </row>
    <row r="4858" spans="1:52" x14ac:dyDescent="0.3">
      <c r="A4858" t="s">
        <v>52</v>
      </c>
      <c r="B4858" t="s">
        <v>53</v>
      </c>
      <c r="C4858" t="s">
        <v>54</v>
      </c>
      <c r="D4858" t="s">
        <v>55</v>
      </c>
      <c r="E4858" t="s">
        <v>2224</v>
      </c>
      <c r="F4858" t="s">
        <v>190</v>
      </c>
      <c r="G4858" t="s">
        <v>796</v>
      </c>
      <c r="H4858" t="s">
        <v>797</v>
      </c>
      <c r="I4858" t="s">
        <v>797</v>
      </c>
      <c r="J4858" t="s">
        <v>60</v>
      </c>
      <c r="K4858" t="s">
        <v>798</v>
      </c>
      <c r="L4858" t="s">
        <v>62</v>
      </c>
      <c r="M4858" t="s">
        <v>798</v>
      </c>
      <c r="N4858" t="s">
        <v>799</v>
      </c>
      <c r="O4858" t="s">
        <v>800</v>
      </c>
      <c r="P4858">
        <v>-20.105681000000001</v>
      </c>
      <c r="Q4858">
        <v>-44.902771999999999</v>
      </c>
      <c r="R4858" s="2" t="str">
        <f>HYPERLINK("https://www.google.com/maps?q=-20.1056810,-44.9027720","Abrir no Google Maps")</f>
        <v>Abrir no Google Maps</v>
      </c>
      <c r="S4858">
        <v>3</v>
      </c>
      <c r="T4858">
        <v>654.76334876090721</v>
      </c>
      <c r="U4858">
        <v>4</v>
      </c>
      <c r="V4858">
        <v>0.13967136150234741</v>
      </c>
      <c r="W4858">
        <v>1</v>
      </c>
      <c r="X4858">
        <v>0.13967136150234741</v>
      </c>
      <c r="Y4858">
        <v>300</v>
      </c>
      <c r="Z4858">
        <v>473.90209409135377</v>
      </c>
      <c r="AA4858">
        <v>198</v>
      </c>
      <c r="AB4858">
        <v>332</v>
      </c>
      <c r="AC4858">
        <v>536</v>
      </c>
      <c r="AD4858">
        <v>32.42</v>
      </c>
      <c r="AE4858">
        <v>542</v>
      </c>
      <c r="AF4858">
        <v>39</v>
      </c>
      <c r="AG4858">
        <v>173</v>
      </c>
      <c r="AH4858">
        <v>129</v>
      </c>
      <c r="AI4858">
        <v>7.2</v>
      </c>
      <c r="AJ4858">
        <v>31.92</v>
      </c>
      <c r="AK4858">
        <v>23.8</v>
      </c>
      <c r="AL4858">
        <v>-20.105710249999959</v>
      </c>
      <c r="AM4858">
        <v>-44.902887601574513</v>
      </c>
      <c r="AN4858">
        <v>-20.105710249999959</v>
      </c>
      <c r="AO4858">
        <v>-44.902887601574513</v>
      </c>
      <c r="AP4858">
        <v>-20.105681000000001</v>
      </c>
      <c r="AQ4858">
        <v>-44.902771999999999</v>
      </c>
      <c r="AR4858">
        <v>12.5155291382583</v>
      </c>
      <c r="AS4858" t="s">
        <v>65</v>
      </c>
      <c r="AT4858">
        <v>1</v>
      </c>
      <c r="AU4858" t="s">
        <v>801</v>
      </c>
      <c r="AV4858" t="s">
        <v>802</v>
      </c>
      <c r="AW4858" t="s">
        <v>60</v>
      </c>
      <c r="AX4858" t="s">
        <v>68</v>
      </c>
      <c r="AY4858" t="s">
        <v>69</v>
      </c>
      <c r="AZ4858" t="b">
        <v>1</v>
      </c>
    </row>
    <row r="4859" spans="1:52" x14ac:dyDescent="0.3">
      <c r="A4859" t="s">
        <v>52</v>
      </c>
      <c r="B4859" t="s">
        <v>53</v>
      </c>
      <c r="C4859" t="s">
        <v>54</v>
      </c>
      <c r="D4859" t="s">
        <v>55</v>
      </c>
      <c r="E4859" t="s">
        <v>2224</v>
      </c>
      <c r="F4859" t="s">
        <v>190</v>
      </c>
      <c r="G4859" t="s">
        <v>1929</v>
      </c>
      <c r="H4859" t="s">
        <v>1930</v>
      </c>
      <c r="I4859" t="s">
        <v>1930</v>
      </c>
      <c r="J4859" t="s">
        <v>60</v>
      </c>
      <c r="K4859" t="s">
        <v>1265</v>
      </c>
      <c r="L4859" t="s">
        <v>62</v>
      </c>
      <c r="M4859" t="s">
        <v>1265</v>
      </c>
      <c r="N4859" t="s">
        <v>1931</v>
      </c>
      <c r="O4859" t="s">
        <v>1932</v>
      </c>
      <c r="P4859">
        <v>-20.114929</v>
      </c>
      <c r="Q4859">
        <v>-44.905743999999999</v>
      </c>
      <c r="R4859" s="2" t="str">
        <f>HYPERLINK("https://www.google.com/maps?q=-20.1149290,-44.9057440","Abrir no Google Maps")</f>
        <v>Abrir no Google Maps</v>
      </c>
      <c r="S4859">
        <v>3</v>
      </c>
      <c r="T4859">
        <v>637.15270418882039</v>
      </c>
      <c r="U4859">
        <v>4</v>
      </c>
      <c r="V4859">
        <v>0.15625</v>
      </c>
      <c r="W4859">
        <v>0.85</v>
      </c>
      <c r="X4859">
        <v>0.1328125</v>
      </c>
      <c r="Y4859">
        <v>300</v>
      </c>
      <c r="Z4859">
        <v>687.66887304438887</v>
      </c>
      <c r="AA4859">
        <v>198</v>
      </c>
      <c r="AB4859">
        <v>332</v>
      </c>
      <c r="AC4859">
        <v>536</v>
      </c>
      <c r="AD4859">
        <v>32.42</v>
      </c>
      <c r="AE4859">
        <v>542</v>
      </c>
      <c r="AF4859">
        <v>39</v>
      </c>
      <c r="AG4859">
        <v>173</v>
      </c>
      <c r="AH4859">
        <v>129</v>
      </c>
      <c r="AI4859">
        <v>7.2</v>
      </c>
      <c r="AJ4859">
        <v>31.92</v>
      </c>
      <c r="AK4859">
        <v>23.8</v>
      </c>
      <c r="AL4859">
        <v>-20.115029799999949</v>
      </c>
      <c r="AM4859">
        <v>-44.905816489739038</v>
      </c>
      <c r="AN4859">
        <v>-20.115029799999949</v>
      </c>
      <c r="AO4859">
        <v>-44.905816489739038</v>
      </c>
      <c r="AP4859">
        <v>-20.114929</v>
      </c>
      <c r="AQ4859">
        <v>-44.905743999999999</v>
      </c>
      <c r="AR4859">
        <v>13.5398779152241</v>
      </c>
      <c r="AS4859" t="s">
        <v>65</v>
      </c>
      <c r="AT4859">
        <v>1</v>
      </c>
      <c r="AU4859" t="s">
        <v>1933</v>
      </c>
      <c r="AV4859" t="s">
        <v>1934</v>
      </c>
      <c r="AW4859" t="s">
        <v>60</v>
      </c>
      <c r="AX4859" t="s">
        <v>68</v>
      </c>
      <c r="AY4859" t="s">
        <v>69</v>
      </c>
      <c r="AZ4859" t="b">
        <v>1</v>
      </c>
    </row>
    <row r="4860" spans="1:52" x14ac:dyDescent="0.3">
      <c r="A4860" t="s">
        <v>52</v>
      </c>
      <c r="B4860" t="s">
        <v>53</v>
      </c>
      <c r="C4860" t="s">
        <v>54</v>
      </c>
      <c r="D4860" t="s">
        <v>55</v>
      </c>
      <c r="E4860" t="s">
        <v>2224</v>
      </c>
      <c r="F4860" t="s">
        <v>190</v>
      </c>
      <c r="G4860" t="s">
        <v>1157</v>
      </c>
      <c r="H4860" t="s">
        <v>1158</v>
      </c>
      <c r="I4860" t="s">
        <v>1158</v>
      </c>
      <c r="J4860" t="s">
        <v>60</v>
      </c>
      <c r="K4860" t="s">
        <v>791</v>
      </c>
      <c r="L4860" t="s">
        <v>62</v>
      </c>
      <c r="M4860" t="s">
        <v>791</v>
      </c>
      <c r="N4860" t="s">
        <v>1159</v>
      </c>
      <c r="O4860" t="s">
        <v>1160</v>
      </c>
      <c r="P4860">
        <v>-20.108114</v>
      </c>
      <c r="Q4860">
        <v>-44.905804000000003</v>
      </c>
      <c r="R4860" s="2" t="str">
        <f>HYPERLINK("https://www.google.com/maps?q=-20.1081140,-44.9058040","Abrir no Google Maps")</f>
        <v>Abrir no Google Maps</v>
      </c>
      <c r="S4860">
        <v>3</v>
      </c>
      <c r="T4860">
        <v>603.1428230097074</v>
      </c>
      <c r="U4860">
        <v>4</v>
      </c>
      <c r="V4860">
        <v>0.16304347826086951</v>
      </c>
      <c r="W4860">
        <v>1</v>
      </c>
      <c r="X4860">
        <v>0.16304347826086951</v>
      </c>
      <c r="Y4860">
        <v>300</v>
      </c>
      <c r="Z4860">
        <v>444.71482981499793</v>
      </c>
      <c r="AA4860">
        <v>198</v>
      </c>
      <c r="AB4860">
        <v>332</v>
      </c>
      <c r="AC4860">
        <v>536</v>
      </c>
      <c r="AD4860">
        <v>32.42</v>
      </c>
      <c r="AE4860">
        <v>542</v>
      </c>
      <c r="AF4860">
        <v>39</v>
      </c>
      <c r="AG4860">
        <v>173</v>
      </c>
      <c r="AH4860">
        <v>129</v>
      </c>
      <c r="AI4860">
        <v>7.2</v>
      </c>
      <c r="AJ4860">
        <v>31.92</v>
      </c>
      <c r="AK4860">
        <v>23.8</v>
      </c>
      <c r="AL4860">
        <v>-20.108146549999962</v>
      </c>
      <c r="AM4860">
        <v>-44.905744943453513</v>
      </c>
      <c r="AN4860">
        <v>-20.108146549999962</v>
      </c>
      <c r="AO4860">
        <v>-44.905744943453513</v>
      </c>
      <c r="AP4860">
        <v>-20.108114</v>
      </c>
      <c r="AQ4860">
        <v>-44.905804000000003</v>
      </c>
      <c r="AR4860">
        <v>7.1582799138071884</v>
      </c>
      <c r="AS4860" t="s">
        <v>65</v>
      </c>
      <c r="AT4860">
        <v>1</v>
      </c>
      <c r="AU4860" t="s">
        <v>1161</v>
      </c>
      <c r="AV4860" t="s">
        <v>1162</v>
      </c>
      <c r="AW4860" t="s">
        <v>60</v>
      </c>
      <c r="AX4860" t="s">
        <v>68</v>
      </c>
      <c r="AY4860" t="s">
        <v>69</v>
      </c>
      <c r="AZ4860" t="b">
        <v>1</v>
      </c>
    </row>
    <row r="4861" spans="1:52" x14ac:dyDescent="0.3">
      <c r="A4861" t="s">
        <v>52</v>
      </c>
      <c r="B4861" t="s">
        <v>53</v>
      </c>
      <c r="C4861" t="s">
        <v>54</v>
      </c>
      <c r="D4861" t="s">
        <v>55</v>
      </c>
      <c r="E4861" t="s">
        <v>2224</v>
      </c>
      <c r="F4861" t="s">
        <v>190</v>
      </c>
      <c r="G4861" t="s">
        <v>1780</v>
      </c>
      <c r="H4861" t="s">
        <v>1781</v>
      </c>
      <c r="I4861" t="s">
        <v>1781</v>
      </c>
      <c r="J4861" t="s">
        <v>60</v>
      </c>
      <c r="K4861" t="s">
        <v>791</v>
      </c>
      <c r="L4861" t="s">
        <v>62</v>
      </c>
      <c r="M4861" t="s">
        <v>791</v>
      </c>
      <c r="N4861" t="s">
        <v>1782</v>
      </c>
      <c r="O4861" t="s">
        <v>283</v>
      </c>
      <c r="P4861">
        <v>-20.111986999999999</v>
      </c>
      <c r="Q4861">
        <v>-44.915275999999999</v>
      </c>
      <c r="R4861" s="2" t="str">
        <f>HYPERLINK("https://www.google.com/maps?q=-20.1119870,-44.9152760","Abrir no Google Maps")</f>
        <v>Abrir no Google Maps</v>
      </c>
      <c r="S4861">
        <v>3</v>
      </c>
      <c r="T4861">
        <v>1467.0043378534899</v>
      </c>
      <c r="U4861">
        <v>4</v>
      </c>
      <c r="V4861">
        <v>0.19017857142857139</v>
      </c>
      <c r="W4861">
        <v>0.85</v>
      </c>
      <c r="X4861">
        <v>0.16165178571428571</v>
      </c>
      <c r="Y4861">
        <v>300</v>
      </c>
      <c r="Z4861">
        <v>1478.329767690894</v>
      </c>
      <c r="AA4861">
        <v>198</v>
      </c>
      <c r="AB4861">
        <v>332</v>
      </c>
      <c r="AC4861">
        <v>536</v>
      </c>
      <c r="AD4861">
        <v>32.42</v>
      </c>
      <c r="AE4861">
        <v>542</v>
      </c>
      <c r="AF4861">
        <v>39</v>
      </c>
      <c r="AG4861">
        <v>173</v>
      </c>
      <c r="AH4861">
        <v>129</v>
      </c>
      <c r="AI4861">
        <v>7.2</v>
      </c>
      <c r="AJ4861">
        <v>31.92</v>
      </c>
      <c r="AK4861">
        <v>23.8</v>
      </c>
      <c r="AL4861">
        <v>-20.11213934999995</v>
      </c>
      <c r="AM4861">
        <v>-44.915112261589371</v>
      </c>
      <c r="AN4861">
        <v>-20.11213934999995</v>
      </c>
      <c r="AO4861">
        <v>-44.915112261589371</v>
      </c>
      <c r="AP4861">
        <v>-20.111986999999999</v>
      </c>
      <c r="AQ4861">
        <v>-44.915275999999999</v>
      </c>
      <c r="AR4861">
        <v>24.095258739308729</v>
      </c>
      <c r="AS4861" t="s">
        <v>65</v>
      </c>
      <c r="AT4861">
        <v>1</v>
      </c>
      <c r="AU4861" t="s">
        <v>1783</v>
      </c>
      <c r="AV4861" t="s">
        <v>1784</v>
      </c>
      <c r="AW4861" t="s">
        <v>60</v>
      </c>
      <c r="AX4861" t="s">
        <v>68</v>
      </c>
      <c r="AY4861" t="s">
        <v>69</v>
      </c>
      <c r="AZ4861" t="b">
        <v>1</v>
      </c>
    </row>
    <row r="4862" spans="1:52" x14ac:dyDescent="0.3">
      <c r="A4862" t="s">
        <v>52</v>
      </c>
      <c r="B4862" t="s">
        <v>53</v>
      </c>
      <c r="C4862" t="s">
        <v>54</v>
      </c>
      <c r="D4862" t="s">
        <v>55</v>
      </c>
      <c r="E4862" t="s">
        <v>2224</v>
      </c>
      <c r="F4862" t="s">
        <v>190</v>
      </c>
      <c r="G4862" t="s">
        <v>1940</v>
      </c>
      <c r="H4862" t="s">
        <v>1941</v>
      </c>
      <c r="I4862" t="s">
        <v>1941</v>
      </c>
      <c r="J4862" t="s">
        <v>60</v>
      </c>
      <c r="K4862" t="s">
        <v>791</v>
      </c>
      <c r="L4862" t="s">
        <v>62</v>
      </c>
      <c r="M4862" t="s">
        <v>791</v>
      </c>
      <c r="N4862" t="s">
        <v>1942</v>
      </c>
      <c r="O4862" t="s">
        <v>1943</v>
      </c>
      <c r="P4862">
        <v>-20.10868</v>
      </c>
      <c r="Q4862">
        <v>-44.914802999999999</v>
      </c>
      <c r="R4862" s="2" t="str">
        <f>HYPERLINK("https://www.google.com/maps?q=-20.1086800,-44.9148030","Abrir no Google Maps")</f>
        <v>Abrir no Google Maps</v>
      </c>
      <c r="S4862">
        <v>3</v>
      </c>
      <c r="T4862">
        <v>1497.818218016964</v>
      </c>
      <c r="U4862">
        <v>4</v>
      </c>
      <c r="V4862">
        <v>0.17006802721088429</v>
      </c>
      <c r="W4862">
        <v>0.85</v>
      </c>
      <c r="X4862">
        <v>0.14455782312925161</v>
      </c>
      <c r="Y4862">
        <v>300</v>
      </c>
      <c r="Z4862">
        <v>1347.8282808622</v>
      </c>
      <c r="AA4862">
        <v>198</v>
      </c>
      <c r="AB4862">
        <v>332</v>
      </c>
      <c r="AC4862">
        <v>536</v>
      </c>
      <c r="AD4862">
        <v>32.42</v>
      </c>
      <c r="AE4862">
        <v>542</v>
      </c>
      <c r="AF4862">
        <v>39</v>
      </c>
      <c r="AG4862">
        <v>173</v>
      </c>
      <c r="AH4862">
        <v>129</v>
      </c>
      <c r="AI4862">
        <v>7.2</v>
      </c>
      <c r="AJ4862">
        <v>31.92</v>
      </c>
      <c r="AK4862">
        <v>23.8</v>
      </c>
      <c r="AL4862">
        <v>-20.108341949999978</v>
      </c>
      <c r="AM4862">
        <v>-44.915063905998323</v>
      </c>
      <c r="AN4862">
        <v>-20.108341949999978</v>
      </c>
      <c r="AO4862">
        <v>-44.915063905998323</v>
      </c>
      <c r="AP4862">
        <v>-20.10868</v>
      </c>
      <c r="AQ4862">
        <v>-44.914802999999999</v>
      </c>
      <c r="AR4862">
        <v>46.47578843967414</v>
      </c>
      <c r="AS4862" t="s">
        <v>65</v>
      </c>
      <c r="AT4862">
        <v>1</v>
      </c>
      <c r="AU4862" t="s">
        <v>1944</v>
      </c>
      <c r="AV4862" t="s">
        <v>1945</v>
      </c>
      <c r="AW4862" t="s">
        <v>60</v>
      </c>
      <c r="AX4862" t="s">
        <v>68</v>
      </c>
      <c r="AY4862" t="s">
        <v>69</v>
      </c>
      <c r="AZ4862" t="b">
        <v>1</v>
      </c>
    </row>
    <row r="4863" spans="1:52" x14ac:dyDescent="0.3">
      <c r="A4863" t="s">
        <v>52</v>
      </c>
      <c r="B4863" t="s">
        <v>53</v>
      </c>
      <c r="C4863" t="s">
        <v>54</v>
      </c>
      <c r="D4863" t="s">
        <v>55</v>
      </c>
      <c r="E4863" t="s">
        <v>2224</v>
      </c>
      <c r="F4863" t="s">
        <v>190</v>
      </c>
      <c r="G4863" t="s">
        <v>1785</v>
      </c>
      <c r="H4863" t="s">
        <v>1786</v>
      </c>
      <c r="I4863" t="s">
        <v>1786</v>
      </c>
      <c r="J4863" t="s">
        <v>60</v>
      </c>
      <c r="K4863" t="s">
        <v>323</v>
      </c>
      <c r="L4863" t="s">
        <v>62</v>
      </c>
      <c r="M4863" t="s">
        <v>323</v>
      </c>
      <c r="N4863" t="s">
        <v>1787</v>
      </c>
      <c r="O4863" t="s">
        <v>166</v>
      </c>
      <c r="P4863">
        <v>-20.150456999999999</v>
      </c>
      <c r="Q4863">
        <v>-44.859959000000003</v>
      </c>
      <c r="R4863" s="2" t="str">
        <f>HYPERLINK("https://www.google.com/maps?q=-20.1504570,-44.8599590","Abrir no Google Maps")</f>
        <v>Abrir no Google Maps</v>
      </c>
      <c r="S4863">
        <v>3</v>
      </c>
      <c r="T4863">
        <v>658.64381182775185</v>
      </c>
      <c r="U4863">
        <v>4</v>
      </c>
      <c r="V4863">
        <v>0.16296296296296289</v>
      </c>
      <c r="W4863">
        <v>1</v>
      </c>
      <c r="X4863">
        <v>0.16296296296296289</v>
      </c>
      <c r="Y4863">
        <v>264</v>
      </c>
      <c r="Z4863">
        <v>516.83560872131818</v>
      </c>
      <c r="AA4863">
        <v>198</v>
      </c>
      <c r="AB4863">
        <v>332</v>
      </c>
      <c r="AC4863">
        <v>536</v>
      </c>
      <c r="AD4863">
        <v>32.42</v>
      </c>
      <c r="AE4863">
        <v>542</v>
      </c>
      <c r="AF4863">
        <v>39</v>
      </c>
      <c r="AG4863">
        <v>173</v>
      </c>
      <c r="AH4863">
        <v>129</v>
      </c>
      <c r="AI4863">
        <v>7.2</v>
      </c>
      <c r="AJ4863">
        <v>31.92</v>
      </c>
      <c r="AK4863">
        <v>23.8</v>
      </c>
      <c r="AL4863">
        <v>-20.150445899999969</v>
      </c>
      <c r="AM4863">
        <v>-44.860119388819953</v>
      </c>
      <c r="AN4863">
        <v>-20.150445899999969</v>
      </c>
      <c r="AO4863">
        <v>-44.860119388819953</v>
      </c>
      <c r="AP4863">
        <v>-20.150456999999999</v>
      </c>
      <c r="AQ4863">
        <v>-44.859959000000003</v>
      </c>
      <c r="AR4863">
        <v>16.807117810283469</v>
      </c>
      <c r="AS4863" t="s">
        <v>65</v>
      </c>
      <c r="AT4863">
        <v>1</v>
      </c>
      <c r="AU4863" t="s">
        <v>1788</v>
      </c>
      <c r="AV4863" t="s">
        <v>1789</v>
      </c>
      <c r="AW4863" t="s">
        <v>60</v>
      </c>
      <c r="AX4863" t="s">
        <v>68</v>
      </c>
      <c r="AY4863" t="s">
        <v>69</v>
      </c>
      <c r="AZ4863" t="b">
        <v>1</v>
      </c>
    </row>
    <row r="4864" spans="1:52" x14ac:dyDescent="0.3">
      <c r="A4864" t="s">
        <v>52</v>
      </c>
      <c r="B4864" t="s">
        <v>53</v>
      </c>
      <c r="C4864" t="s">
        <v>54</v>
      </c>
      <c r="D4864" t="s">
        <v>55</v>
      </c>
      <c r="E4864" t="s">
        <v>2224</v>
      </c>
      <c r="F4864" t="s">
        <v>190</v>
      </c>
      <c r="G4864" t="s">
        <v>1175</v>
      </c>
      <c r="H4864" t="s">
        <v>1176</v>
      </c>
      <c r="I4864" t="s">
        <v>1176</v>
      </c>
      <c r="J4864" t="s">
        <v>60</v>
      </c>
      <c r="K4864" t="s">
        <v>1177</v>
      </c>
      <c r="L4864" t="s">
        <v>62</v>
      </c>
      <c r="M4864" t="s">
        <v>1177</v>
      </c>
      <c r="N4864" t="s">
        <v>1178</v>
      </c>
      <c r="O4864" t="s">
        <v>1179</v>
      </c>
      <c r="P4864">
        <v>-20.153393000000001</v>
      </c>
      <c r="Q4864">
        <v>-44.865701999999999</v>
      </c>
      <c r="R4864" s="2" t="str">
        <f>HYPERLINK("https://www.google.com/maps?q=-20.1533930,-44.8657020","Abrir no Google Maps")</f>
        <v>Abrir no Google Maps</v>
      </c>
      <c r="S4864">
        <v>3</v>
      </c>
      <c r="T4864">
        <v>0</v>
      </c>
      <c r="U4864">
        <v>4</v>
      </c>
      <c r="V4864">
        <v>0.1431718061674008</v>
      </c>
      <c r="W4864">
        <v>1</v>
      </c>
      <c r="X4864">
        <v>0.1431718061674008</v>
      </c>
      <c r="Y4864">
        <v>264</v>
      </c>
      <c r="Z4864">
        <v>187.61117597536</v>
      </c>
      <c r="AA4864">
        <v>198</v>
      </c>
      <c r="AB4864">
        <v>332</v>
      </c>
      <c r="AC4864">
        <v>536</v>
      </c>
      <c r="AD4864">
        <v>32.42</v>
      </c>
      <c r="AE4864">
        <v>542</v>
      </c>
      <c r="AF4864">
        <v>39</v>
      </c>
      <c r="AG4864">
        <v>173</v>
      </c>
      <c r="AH4864">
        <v>129</v>
      </c>
      <c r="AI4864">
        <v>7.2</v>
      </c>
      <c r="AJ4864">
        <v>31.92</v>
      </c>
      <c r="AK4864">
        <v>23.8</v>
      </c>
      <c r="AL4864">
        <v>-20.153365199999971</v>
      </c>
      <c r="AM4864">
        <v>-44.865611713780503</v>
      </c>
      <c r="AN4864">
        <v>-20.153365199999971</v>
      </c>
      <c r="AO4864">
        <v>-44.865611713780503</v>
      </c>
      <c r="AP4864">
        <v>-20.153393000000001</v>
      </c>
      <c r="AQ4864">
        <v>-44.865701999999999</v>
      </c>
      <c r="AR4864">
        <v>9.9298532940923003</v>
      </c>
      <c r="AS4864" t="s">
        <v>65</v>
      </c>
      <c r="AT4864">
        <v>1</v>
      </c>
      <c r="AU4864" t="s">
        <v>1180</v>
      </c>
      <c r="AV4864" t="s">
        <v>1181</v>
      </c>
      <c r="AW4864" t="s">
        <v>60</v>
      </c>
      <c r="AX4864" t="s">
        <v>68</v>
      </c>
      <c r="AY4864" t="s">
        <v>69</v>
      </c>
      <c r="AZ4864" t="b">
        <v>1</v>
      </c>
    </row>
    <row r="4865" spans="1:52" x14ac:dyDescent="0.3">
      <c r="A4865" t="s">
        <v>52</v>
      </c>
      <c r="B4865" t="s">
        <v>53</v>
      </c>
      <c r="C4865" t="s">
        <v>54</v>
      </c>
      <c r="D4865" t="s">
        <v>55</v>
      </c>
      <c r="E4865" t="s">
        <v>2224</v>
      </c>
      <c r="F4865" t="s">
        <v>190</v>
      </c>
      <c r="G4865" t="s">
        <v>1790</v>
      </c>
      <c r="H4865" t="s">
        <v>1791</v>
      </c>
      <c r="I4865" t="s">
        <v>1791</v>
      </c>
      <c r="J4865" t="s">
        <v>60</v>
      </c>
      <c r="K4865" t="s">
        <v>781</v>
      </c>
      <c r="L4865" t="s">
        <v>62</v>
      </c>
      <c r="M4865" t="s">
        <v>781</v>
      </c>
      <c r="N4865" t="s">
        <v>1792</v>
      </c>
      <c r="O4865" t="s">
        <v>1438</v>
      </c>
      <c r="P4865">
        <v>-20.140640999999999</v>
      </c>
      <c r="Q4865">
        <v>-44.865606999999997</v>
      </c>
      <c r="R4865" s="2" t="str">
        <f>HYPERLINK("https://www.google.com/maps?q=-20.1406410,-44.8656070","Abrir no Google Maps")</f>
        <v>Abrir no Google Maps</v>
      </c>
      <c r="S4865">
        <v>3</v>
      </c>
      <c r="T4865">
        <v>718.83674500124857</v>
      </c>
      <c r="U4865">
        <v>4</v>
      </c>
      <c r="V4865">
        <v>0.13411458333333329</v>
      </c>
      <c r="W4865">
        <v>1</v>
      </c>
      <c r="X4865">
        <v>0.13411458333333329</v>
      </c>
      <c r="Y4865">
        <v>198</v>
      </c>
      <c r="Z4865">
        <v>796.27455839490824</v>
      </c>
      <c r="AA4865">
        <v>198</v>
      </c>
      <c r="AB4865">
        <v>332</v>
      </c>
      <c r="AC4865">
        <v>536</v>
      </c>
      <c r="AD4865">
        <v>32.42</v>
      </c>
      <c r="AE4865">
        <v>542</v>
      </c>
      <c r="AF4865">
        <v>39</v>
      </c>
      <c r="AG4865">
        <v>173</v>
      </c>
      <c r="AH4865">
        <v>129</v>
      </c>
      <c r="AI4865">
        <v>7.2</v>
      </c>
      <c r="AJ4865">
        <v>31.92</v>
      </c>
      <c r="AK4865">
        <v>23.8</v>
      </c>
      <c r="AL4865">
        <v>-20.14068544999995</v>
      </c>
      <c r="AM4865">
        <v>-44.865682971258813</v>
      </c>
      <c r="AN4865">
        <v>-20.140685449999939</v>
      </c>
      <c r="AO4865">
        <v>-44.865682971258813</v>
      </c>
      <c r="AP4865">
        <v>-20.140640999999999</v>
      </c>
      <c r="AQ4865">
        <v>-44.865606999999997</v>
      </c>
      <c r="AR4865">
        <v>9.3556137916774258</v>
      </c>
      <c r="AS4865" t="s">
        <v>65</v>
      </c>
      <c r="AT4865">
        <v>1</v>
      </c>
      <c r="AU4865" t="s">
        <v>1793</v>
      </c>
      <c r="AV4865" t="s">
        <v>1794</v>
      </c>
      <c r="AW4865" t="s">
        <v>60</v>
      </c>
      <c r="AX4865" t="s">
        <v>68</v>
      </c>
      <c r="AY4865" t="s">
        <v>69</v>
      </c>
      <c r="AZ4865" t="b">
        <v>1</v>
      </c>
    </row>
    <row r="4866" spans="1:52" x14ac:dyDescent="0.3">
      <c r="A4866" t="s">
        <v>52</v>
      </c>
      <c r="B4866" t="s">
        <v>53</v>
      </c>
      <c r="C4866" t="s">
        <v>54</v>
      </c>
      <c r="D4866" t="s">
        <v>55</v>
      </c>
      <c r="E4866" t="s">
        <v>2224</v>
      </c>
      <c r="F4866" t="s">
        <v>190</v>
      </c>
      <c r="G4866" t="s">
        <v>1966</v>
      </c>
      <c r="H4866" t="s">
        <v>1967</v>
      </c>
      <c r="I4866" t="s">
        <v>1967</v>
      </c>
      <c r="J4866" t="s">
        <v>60</v>
      </c>
      <c r="K4866" t="s">
        <v>1968</v>
      </c>
      <c r="L4866" t="s">
        <v>62</v>
      </c>
      <c r="M4866" t="s">
        <v>1968</v>
      </c>
      <c r="N4866" t="s">
        <v>1969</v>
      </c>
      <c r="O4866" t="s">
        <v>1476</v>
      </c>
      <c r="P4866">
        <v>-20.197641999999998</v>
      </c>
      <c r="Q4866">
        <v>-44.916038</v>
      </c>
      <c r="R4866" s="2" t="str">
        <f>HYPERLINK("https://www.google.com/maps?q=-20.1976420,-44.9160380","Abrir no Google Maps")</f>
        <v>Abrir no Google Maps</v>
      </c>
      <c r="S4866">
        <v>3</v>
      </c>
      <c r="T4866">
        <v>1439.13475701932</v>
      </c>
      <c r="U4866">
        <v>4</v>
      </c>
      <c r="V4866">
        <v>0.17913385826771649</v>
      </c>
      <c r="W4866">
        <v>0.85</v>
      </c>
      <c r="X4866">
        <v>0.15226377952755901</v>
      </c>
      <c r="Y4866">
        <v>135</v>
      </c>
      <c r="Z4866">
        <v>1733.8683911476401</v>
      </c>
      <c r="AA4866">
        <v>198</v>
      </c>
      <c r="AB4866">
        <v>332</v>
      </c>
      <c r="AC4866">
        <v>536</v>
      </c>
      <c r="AD4866">
        <v>32.42</v>
      </c>
      <c r="AE4866">
        <v>542</v>
      </c>
      <c r="AF4866">
        <v>39</v>
      </c>
      <c r="AG4866">
        <v>173</v>
      </c>
      <c r="AH4866">
        <v>129</v>
      </c>
      <c r="AI4866">
        <v>7.2</v>
      </c>
      <c r="AJ4866">
        <v>31.92</v>
      </c>
      <c r="AK4866">
        <v>23.8</v>
      </c>
      <c r="AL4866">
        <v>-20.19762214999994</v>
      </c>
      <c r="AM4866">
        <v>-44.916074568962941</v>
      </c>
      <c r="AN4866">
        <v>-20.19762214999994</v>
      </c>
      <c r="AO4866">
        <v>-44.916074568962941</v>
      </c>
      <c r="AP4866">
        <v>-20.197641999999998</v>
      </c>
      <c r="AQ4866">
        <v>-44.916038</v>
      </c>
      <c r="AR4866">
        <v>4.4135276350484256</v>
      </c>
      <c r="AS4866" t="s">
        <v>65</v>
      </c>
      <c r="AT4866">
        <v>1</v>
      </c>
      <c r="AU4866" t="s">
        <v>1970</v>
      </c>
      <c r="AV4866" t="s">
        <v>1971</v>
      </c>
      <c r="AW4866" t="s">
        <v>60</v>
      </c>
      <c r="AX4866" t="s">
        <v>68</v>
      </c>
      <c r="AY4866" t="s">
        <v>69</v>
      </c>
      <c r="AZ4866" t="b">
        <v>1</v>
      </c>
    </row>
    <row r="4867" spans="1:52" x14ac:dyDescent="0.3">
      <c r="A4867" t="s">
        <v>52</v>
      </c>
      <c r="B4867" t="s">
        <v>53</v>
      </c>
      <c r="C4867" t="s">
        <v>54</v>
      </c>
      <c r="D4867" t="s">
        <v>55</v>
      </c>
      <c r="E4867" t="s">
        <v>2224</v>
      </c>
      <c r="F4867" t="s">
        <v>190</v>
      </c>
      <c r="G4867" t="s">
        <v>1200</v>
      </c>
      <c r="H4867" t="s">
        <v>1201</v>
      </c>
      <c r="I4867" t="s">
        <v>1201</v>
      </c>
      <c r="J4867" t="s">
        <v>60</v>
      </c>
      <c r="K4867" t="s">
        <v>1202</v>
      </c>
      <c r="L4867" t="s">
        <v>62</v>
      </c>
      <c r="M4867" t="s">
        <v>1202</v>
      </c>
      <c r="N4867" t="s">
        <v>1203</v>
      </c>
      <c r="O4867" t="s">
        <v>710</v>
      </c>
      <c r="P4867">
        <v>-20.191745999999998</v>
      </c>
      <c r="Q4867">
        <v>-44.904957000000003</v>
      </c>
      <c r="R4867" s="2" t="str">
        <f>HYPERLINK("https://www.google.com/maps?q=-20.1917460,-44.9049570","Abrir no Google Maps")</f>
        <v>Abrir no Google Maps</v>
      </c>
      <c r="S4867">
        <v>3</v>
      </c>
      <c r="T4867">
        <v>882.9384716293963</v>
      </c>
      <c r="U4867">
        <v>4</v>
      </c>
      <c r="V4867">
        <v>0.1436170212765957</v>
      </c>
      <c r="W4867">
        <v>1</v>
      </c>
      <c r="X4867">
        <v>0.1436170212765957</v>
      </c>
      <c r="Y4867">
        <v>135</v>
      </c>
      <c r="Z4867">
        <v>802.45927673397398</v>
      </c>
      <c r="AA4867">
        <v>198</v>
      </c>
      <c r="AB4867">
        <v>332</v>
      </c>
      <c r="AC4867">
        <v>536</v>
      </c>
      <c r="AD4867">
        <v>32.42</v>
      </c>
      <c r="AE4867">
        <v>542</v>
      </c>
      <c r="AF4867">
        <v>39</v>
      </c>
      <c r="AG4867">
        <v>173</v>
      </c>
      <c r="AH4867">
        <v>129</v>
      </c>
      <c r="AI4867">
        <v>7.2</v>
      </c>
      <c r="AJ4867">
        <v>31.92</v>
      </c>
      <c r="AK4867">
        <v>23.8</v>
      </c>
      <c r="AL4867">
        <v>-20.19172654999997</v>
      </c>
      <c r="AM4867">
        <v>-44.904976932073851</v>
      </c>
      <c r="AN4867">
        <v>-20.19172654999997</v>
      </c>
      <c r="AO4867">
        <v>-44.904976932073851</v>
      </c>
      <c r="AP4867">
        <v>-20.191745999999998</v>
      </c>
      <c r="AQ4867">
        <v>-44.904957000000003</v>
      </c>
      <c r="AR4867">
        <v>3.004110632807953</v>
      </c>
      <c r="AS4867" t="s">
        <v>65</v>
      </c>
      <c r="AT4867">
        <v>1</v>
      </c>
      <c r="AU4867" t="s">
        <v>1204</v>
      </c>
      <c r="AV4867" t="s">
        <v>1205</v>
      </c>
      <c r="AW4867" t="s">
        <v>60</v>
      </c>
      <c r="AX4867" t="s">
        <v>68</v>
      </c>
      <c r="AY4867" t="s">
        <v>69</v>
      </c>
      <c r="AZ4867" t="b">
        <v>1</v>
      </c>
    </row>
    <row r="4868" spans="1:52" x14ac:dyDescent="0.3">
      <c r="A4868" t="s">
        <v>52</v>
      </c>
      <c r="B4868" t="s">
        <v>53</v>
      </c>
      <c r="C4868" t="s">
        <v>54</v>
      </c>
      <c r="D4868" t="s">
        <v>55</v>
      </c>
      <c r="E4868" t="s">
        <v>2224</v>
      </c>
      <c r="F4868" t="s">
        <v>190</v>
      </c>
      <c r="G4868" t="s">
        <v>1978</v>
      </c>
      <c r="H4868" t="s">
        <v>1979</v>
      </c>
      <c r="I4868" t="s">
        <v>1979</v>
      </c>
      <c r="J4868" t="s">
        <v>60</v>
      </c>
      <c r="K4868" t="s">
        <v>822</v>
      </c>
      <c r="L4868" t="s">
        <v>62</v>
      </c>
      <c r="M4868" t="s">
        <v>822</v>
      </c>
      <c r="N4868" t="s">
        <v>1980</v>
      </c>
      <c r="O4868" t="s">
        <v>1981</v>
      </c>
      <c r="P4868">
        <v>-20.183568000000001</v>
      </c>
      <c r="Q4868">
        <v>-44.904950999999997</v>
      </c>
      <c r="R4868" s="2" t="str">
        <f>HYPERLINK("https://www.google.com/maps?q=-20.1835680,-44.9049510","Abrir no Google Maps")</f>
        <v>Abrir no Google Maps</v>
      </c>
      <c r="S4868">
        <v>3</v>
      </c>
      <c r="T4868">
        <v>739.49865836455649</v>
      </c>
      <c r="U4868">
        <v>4</v>
      </c>
      <c r="V4868">
        <v>0.16929133858267709</v>
      </c>
      <c r="W4868">
        <v>0.85</v>
      </c>
      <c r="X4868">
        <v>0.14389763779527551</v>
      </c>
      <c r="Y4868">
        <v>135</v>
      </c>
      <c r="Z4868">
        <v>563.62602480507815</v>
      </c>
      <c r="AA4868">
        <v>198</v>
      </c>
      <c r="AB4868">
        <v>332</v>
      </c>
      <c r="AC4868">
        <v>536</v>
      </c>
      <c r="AD4868">
        <v>32.42</v>
      </c>
      <c r="AE4868">
        <v>542</v>
      </c>
      <c r="AF4868">
        <v>39</v>
      </c>
      <c r="AG4868">
        <v>173</v>
      </c>
      <c r="AH4868">
        <v>129</v>
      </c>
      <c r="AI4868">
        <v>7.2</v>
      </c>
      <c r="AJ4868">
        <v>31.92</v>
      </c>
      <c r="AK4868">
        <v>23.8</v>
      </c>
      <c r="AL4868">
        <v>-20.18318414999996</v>
      </c>
      <c r="AM4868">
        <v>-44.903984104996781</v>
      </c>
      <c r="AN4868">
        <v>-20.18318414999996</v>
      </c>
      <c r="AO4868">
        <v>-44.903984104996781</v>
      </c>
      <c r="AP4868">
        <v>-20.183568000000001</v>
      </c>
      <c r="AQ4868">
        <v>-44.904950999999997</v>
      </c>
      <c r="AR4868">
        <v>109.69044287201569</v>
      </c>
      <c r="AS4868" t="s">
        <v>65</v>
      </c>
      <c r="AT4868">
        <v>1</v>
      </c>
      <c r="AU4868" t="s">
        <v>1982</v>
      </c>
      <c r="AV4868" t="s">
        <v>1983</v>
      </c>
      <c r="AW4868" t="s">
        <v>60</v>
      </c>
      <c r="AX4868" t="s">
        <v>68</v>
      </c>
      <c r="AY4868" t="s">
        <v>69</v>
      </c>
      <c r="AZ4868" t="b">
        <v>1</v>
      </c>
    </row>
    <row r="4869" spans="1:52" x14ac:dyDescent="0.3">
      <c r="A4869" t="s">
        <v>52</v>
      </c>
      <c r="B4869" t="s">
        <v>53</v>
      </c>
      <c r="C4869" t="s">
        <v>54</v>
      </c>
      <c r="D4869" t="s">
        <v>55</v>
      </c>
      <c r="E4869" t="s">
        <v>2224</v>
      </c>
      <c r="F4869" t="s">
        <v>190</v>
      </c>
      <c r="G4869" t="s">
        <v>2008</v>
      </c>
      <c r="H4869" t="s">
        <v>2009</v>
      </c>
      <c r="I4869" t="s">
        <v>2009</v>
      </c>
      <c r="J4869" t="s">
        <v>60</v>
      </c>
      <c r="K4869" t="s">
        <v>2010</v>
      </c>
      <c r="L4869" t="s">
        <v>62</v>
      </c>
      <c r="M4869" t="s">
        <v>2010</v>
      </c>
      <c r="N4869" t="s">
        <v>2011</v>
      </c>
      <c r="O4869" t="s">
        <v>2012</v>
      </c>
      <c r="P4869">
        <v>-20.118297999999999</v>
      </c>
      <c r="Q4869">
        <v>-44.838487999999998</v>
      </c>
      <c r="R4869" s="2" t="str">
        <f>HYPERLINK("https://www.google.com/maps?q=-20.1182980,-44.8384880","Abrir no Google Maps")</f>
        <v>Abrir no Google Maps</v>
      </c>
      <c r="S4869">
        <v>3</v>
      </c>
      <c r="T4869">
        <v>1127.69090971931</v>
      </c>
      <c r="U4869">
        <v>4</v>
      </c>
      <c r="V4869">
        <v>0.19230769230769229</v>
      </c>
      <c r="W4869">
        <v>0.85</v>
      </c>
      <c r="X4869">
        <v>0.16346153846153841</v>
      </c>
      <c r="Y4869">
        <v>118</v>
      </c>
      <c r="Z4869">
        <v>1304.1094969996529</v>
      </c>
      <c r="AA4869">
        <v>198</v>
      </c>
      <c r="AB4869">
        <v>332</v>
      </c>
      <c r="AC4869">
        <v>536</v>
      </c>
      <c r="AD4869">
        <v>32.42</v>
      </c>
      <c r="AE4869">
        <v>542</v>
      </c>
      <c r="AF4869">
        <v>39</v>
      </c>
      <c r="AG4869">
        <v>173</v>
      </c>
      <c r="AH4869">
        <v>129</v>
      </c>
      <c r="AI4869">
        <v>7.2</v>
      </c>
      <c r="AJ4869">
        <v>31.92</v>
      </c>
      <c r="AK4869">
        <v>23.8</v>
      </c>
      <c r="AL4869">
        <v>-20.118270449999951</v>
      </c>
      <c r="AM4869">
        <v>-44.838121221737303</v>
      </c>
      <c r="AN4869">
        <v>-20.118270449999951</v>
      </c>
      <c r="AO4869">
        <v>-44.838121221737303</v>
      </c>
      <c r="AP4869">
        <v>-20.118297999999999</v>
      </c>
      <c r="AQ4869">
        <v>-44.838487999999998</v>
      </c>
      <c r="AR4869">
        <v>38.460983471643253</v>
      </c>
      <c r="AS4869" t="s">
        <v>65</v>
      </c>
      <c r="AT4869">
        <v>1</v>
      </c>
      <c r="AU4869" t="s">
        <v>2013</v>
      </c>
      <c r="AV4869" t="s">
        <v>2014</v>
      </c>
      <c r="AW4869" t="s">
        <v>60</v>
      </c>
      <c r="AX4869" t="s">
        <v>68</v>
      </c>
      <c r="AY4869" t="s">
        <v>69</v>
      </c>
      <c r="AZ4869" t="b">
        <v>1</v>
      </c>
    </row>
    <row r="4870" spans="1:52" x14ac:dyDescent="0.3">
      <c r="A4870" t="s">
        <v>52</v>
      </c>
      <c r="B4870" t="s">
        <v>53</v>
      </c>
      <c r="C4870" t="s">
        <v>54</v>
      </c>
      <c r="D4870" t="s">
        <v>55</v>
      </c>
      <c r="E4870" t="s">
        <v>2224</v>
      </c>
      <c r="F4870" t="s">
        <v>190</v>
      </c>
      <c r="G4870" t="s">
        <v>1795</v>
      </c>
      <c r="H4870" t="s">
        <v>1796</v>
      </c>
      <c r="I4870" t="s">
        <v>1796</v>
      </c>
      <c r="J4870" t="s">
        <v>60</v>
      </c>
      <c r="K4870" t="s">
        <v>1797</v>
      </c>
      <c r="L4870" t="s">
        <v>62</v>
      </c>
      <c r="M4870" t="s">
        <v>1797</v>
      </c>
      <c r="N4870" t="s">
        <v>1798</v>
      </c>
      <c r="O4870" t="s">
        <v>166</v>
      </c>
      <c r="P4870">
        <v>-20.137136999999999</v>
      </c>
      <c r="Q4870">
        <v>-44.844737000000002</v>
      </c>
      <c r="R4870" s="2" t="str">
        <f>HYPERLINK("https://www.google.com/maps?q=-20.1371370,-44.8447370","Abrir no Google Maps")</f>
        <v>Abrir no Google Maps</v>
      </c>
      <c r="S4870">
        <v>3</v>
      </c>
      <c r="T4870">
        <v>1265.572541081038</v>
      </c>
      <c r="U4870">
        <v>4</v>
      </c>
      <c r="V4870">
        <v>0.18487394957983189</v>
      </c>
      <c r="W4870">
        <v>0.85</v>
      </c>
      <c r="X4870">
        <v>0.15714285714285711</v>
      </c>
      <c r="Y4870">
        <v>118</v>
      </c>
      <c r="Z4870">
        <v>1247.9681773794671</v>
      </c>
      <c r="AA4870">
        <v>198</v>
      </c>
      <c r="AB4870">
        <v>332</v>
      </c>
      <c r="AC4870">
        <v>536</v>
      </c>
      <c r="AD4870">
        <v>32.42</v>
      </c>
      <c r="AE4870">
        <v>542</v>
      </c>
      <c r="AF4870">
        <v>39</v>
      </c>
      <c r="AG4870">
        <v>173</v>
      </c>
      <c r="AH4870">
        <v>129</v>
      </c>
      <c r="AI4870">
        <v>7.2</v>
      </c>
      <c r="AJ4870">
        <v>31.92</v>
      </c>
      <c r="AK4870">
        <v>23.8</v>
      </c>
      <c r="AL4870">
        <v>-20.137060849999951</v>
      </c>
      <c r="AM4870">
        <v>-44.844683186696408</v>
      </c>
      <c r="AN4870">
        <v>-20.137060849999951</v>
      </c>
      <c r="AO4870">
        <v>-44.844683186696408</v>
      </c>
      <c r="AP4870">
        <v>-20.137136999999999</v>
      </c>
      <c r="AQ4870">
        <v>-44.844737000000002</v>
      </c>
      <c r="AR4870">
        <v>10.173135199564809</v>
      </c>
      <c r="AS4870" t="s">
        <v>65</v>
      </c>
      <c r="AT4870">
        <v>1</v>
      </c>
      <c r="AU4870" t="s">
        <v>1799</v>
      </c>
      <c r="AV4870" t="s">
        <v>1800</v>
      </c>
      <c r="AW4870" t="s">
        <v>60</v>
      </c>
      <c r="AX4870" t="s">
        <v>68</v>
      </c>
      <c r="AY4870" t="s">
        <v>69</v>
      </c>
      <c r="AZ4870" t="b">
        <v>1</v>
      </c>
    </row>
    <row r="4871" spans="1:52" x14ac:dyDescent="0.3">
      <c r="A4871" t="s">
        <v>52</v>
      </c>
      <c r="B4871" t="s">
        <v>53</v>
      </c>
      <c r="C4871" t="s">
        <v>54</v>
      </c>
      <c r="D4871" t="s">
        <v>55</v>
      </c>
      <c r="E4871" t="s">
        <v>2224</v>
      </c>
      <c r="F4871" t="s">
        <v>190</v>
      </c>
      <c r="G4871" t="s">
        <v>2015</v>
      </c>
      <c r="H4871" t="s">
        <v>2016</v>
      </c>
      <c r="I4871" t="s">
        <v>2016</v>
      </c>
      <c r="J4871" t="s">
        <v>60</v>
      </c>
      <c r="K4871" t="s">
        <v>2010</v>
      </c>
      <c r="L4871" t="s">
        <v>62</v>
      </c>
      <c r="M4871" t="s">
        <v>2010</v>
      </c>
      <c r="N4871" t="s">
        <v>2017</v>
      </c>
      <c r="O4871" t="s">
        <v>202</v>
      </c>
      <c r="P4871">
        <v>-20.127607000000001</v>
      </c>
      <c r="Q4871">
        <v>-44.833697000000001</v>
      </c>
      <c r="R4871" s="2" t="str">
        <f>HYPERLINK("https://www.google.com/maps?q=-20.1276070,-44.8336970","Abrir no Google Maps")</f>
        <v>Abrir no Google Maps</v>
      </c>
      <c r="S4871">
        <v>3</v>
      </c>
      <c r="T4871">
        <v>313.23341761890651</v>
      </c>
      <c r="U4871">
        <v>4</v>
      </c>
      <c r="V4871">
        <v>0.16911764705882351</v>
      </c>
      <c r="W4871">
        <v>0.85</v>
      </c>
      <c r="X4871">
        <v>0.14374999999999999</v>
      </c>
      <c r="Y4871">
        <v>118</v>
      </c>
      <c r="Z4871">
        <v>357.91926098592711</v>
      </c>
      <c r="AA4871">
        <v>198</v>
      </c>
      <c r="AB4871">
        <v>332</v>
      </c>
      <c r="AC4871">
        <v>536</v>
      </c>
      <c r="AD4871">
        <v>32.42</v>
      </c>
      <c r="AE4871">
        <v>542</v>
      </c>
      <c r="AF4871">
        <v>39</v>
      </c>
      <c r="AG4871">
        <v>173</v>
      </c>
      <c r="AH4871">
        <v>129</v>
      </c>
      <c r="AI4871">
        <v>7.2</v>
      </c>
      <c r="AJ4871">
        <v>31.92</v>
      </c>
      <c r="AK4871">
        <v>23.8</v>
      </c>
      <c r="AL4871">
        <v>-20.127577799999951</v>
      </c>
      <c r="AM4871">
        <v>-44.833922781418423</v>
      </c>
      <c r="AN4871">
        <v>-20.127577799999951</v>
      </c>
      <c r="AO4871">
        <v>-44.833922781418423</v>
      </c>
      <c r="AP4871">
        <v>-20.127607000000001</v>
      </c>
      <c r="AQ4871">
        <v>-44.833697000000001</v>
      </c>
      <c r="AR4871">
        <v>23.82183710940641</v>
      </c>
      <c r="AS4871" t="s">
        <v>65</v>
      </c>
      <c r="AT4871">
        <v>1</v>
      </c>
      <c r="AU4871" t="s">
        <v>2018</v>
      </c>
      <c r="AV4871" t="s">
        <v>2019</v>
      </c>
      <c r="AW4871" t="s">
        <v>60</v>
      </c>
      <c r="AX4871" t="s">
        <v>68</v>
      </c>
      <c r="AY4871" t="s">
        <v>69</v>
      </c>
      <c r="AZ4871" t="b">
        <v>1</v>
      </c>
    </row>
    <row r="4872" spans="1:52" x14ac:dyDescent="0.3">
      <c r="A4872" t="s">
        <v>52</v>
      </c>
      <c r="B4872" t="s">
        <v>53</v>
      </c>
      <c r="C4872" t="s">
        <v>54</v>
      </c>
      <c r="D4872" t="s">
        <v>55</v>
      </c>
      <c r="E4872" t="s">
        <v>2224</v>
      </c>
      <c r="F4872" t="s">
        <v>190</v>
      </c>
      <c r="G4872" t="s">
        <v>1218</v>
      </c>
      <c r="H4872" t="s">
        <v>1219</v>
      </c>
      <c r="I4872" t="s">
        <v>1219</v>
      </c>
      <c r="J4872" t="s">
        <v>60</v>
      </c>
      <c r="K4872" t="s">
        <v>828</v>
      </c>
      <c r="L4872" t="s">
        <v>62</v>
      </c>
      <c r="M4872" t="s">
        <v>828</v>
      </c>
      <c r="N4872" t="s">
        <v>1220</v>
      </c>
      <c r="O4872" t="s">
        <v>1221</v>
      </c>
      <c r="P4872">
        <v>-20.132722000000001</v>
      </c>
      <c r="Q4872">
        <v>-44.843550999999998</v>
      </c>
      <c r="R4872" s="2" t="str">
        <f>HYPERLINK("https://www.google.com/maps?q=-20.1327220,-44.8435510","Abrir no Google Maps")</f>
        <v>Abrir no Google Maps</v>
      </c>
      <c r="S4872">
        <v>3</v>
      </c>
      <c r="T4872">
        <v>846.88659580558431</v>
      </c>
      <c r="U4872">
        <v>4</v>
      </c>
      <c r="V4872">
        <v>0.15952380952380951</v>
      </c>
      <c r="W4872">
        <v>1</v>
      </c>
      <c r="X4872">
        <v>0.15952380952380951</v>
      </c>
      <c r="Y4872">
        <v>118</v>
      </c>
      <c r="Z4872">
        <v>797.91643890712305</v>
      </c>
      <c r="AA4872">
        <v>198</v>
      </c>
      <c r="AB4872">
        <v>332</v>
      </c>
      <c r="AC4872">
        <v>536</v>
      </c>
      <c r="AD4872">
        <v>32.42</v>
      </c>
      <c r="AE4872">
        <v>542</v>
      </c>
      <c r="AF4872">
        <v>39</v>
      </c>
      <c r="AG4872">
        <v>173</v>
      </c>
      <c r="AH4872">
        <v>129</v>
      </c>
      <c r="AI4872">
        <v>7.2</v>
      </c>
      <c r="AJ4872">
        <v>31.92</v>
      </c>
      <c r="AK4872">
        <v>23.8</v>
      </c>
      <c r="AL4872">
        <v>-20.132714949999979</v>
      </c>
      <c r="AM4872">
        <v>-44.843475702545703</v>
      </c>
      <c r="AN4872">
        <v>-20.132714949999979</v>
      </c>
      <c r="AO4872">
        <v>-44.843475702545703</v>
      </c>
      <c r="AP4872">
        <v>-20.132722000000001</v>
      </c>
      <c r="AQ4872">
        <v>-44.843550999999998</v>
      </c>
      <c r="AR4872">
        <v>7.9089820822755481</v>
      </c>
      <c r="AS4872" t="s">
        <v>65</v>
      </c>
      <c r="AT4872">
        <v>1</v>
      </c>
      <c r="AU4872" t="s">
        <v>1222</v>
      </c>
      <c r="AV4872" t="s">
        <v>1223</v>
      </c>
      <c r="AW4872" t="s">
        <v>60</v>
      </c>
      <c r="AX4872" t="s">
        <v>68</v>
      </c>
      <c r="AY4872" t="s">
        <v>69</v>
      </c>
      <c r="AZ4872" t="b">
        <v>1</v>
      </c>
    </row>
    <row r="4873" spans="1:52" x14ac:dyDescent="0.3">
      <c r="A4873" t="s">
        <v>52</v>
      </c>
      <c r="B4873" t="s">
        <v>53</v>
      </c>
      <c r="C4873" t="s">
        <v>54</v>
      </c>
      <c r="D4873" t="s">
        <v>55</v>
      </c>
      <c r="E4873" t="s">
        <v>2224</v>
      </c>
      <c r="F4873" t="s">
        <v>190</v>
      </c>
      <c r="G4873" t="s">
        <v>1801</v>
      </c>
      <c r="H4873" t="s">
        <v>1802</v>
      </c>
      <c r="I4873" t="s">
        <v>1802</v>
      </c>
      <c r="J4873" t="s">
        <v>60</v>
      </c>
      <c r="K4873" t="s">
        <v>1803</v>
      </c>
      <c r="L4873" t="s">
        <v>62</v>
      </c>
      <c r="M4873" t="s">
        <v>1803</v>
      </c>
      <c r="N4873" t="s">
        <v>1804</v>
      </c>
      <c r="O4873" t="s">
        <v>1805</v>
      </c>
      <c r="P4873">
        <v>-20.131599000000001</v>
      </c>
      <c r="Q4873">
        <v>-44.839945</v>
      </c>
      <c r="R4873" s="2" t="str">
        <f>HYPERLINK("https://www.google.com/maps?q=-20.1315990,-44.8399450","Abrir no Google Maps")</f>
        <v>Abrir no Google Maps</v>
      </c>
      <c r="S4873">
        <v>3</v>
      </c>
      <c r="T4873">
        <v>480.67866935083049</v>
      </c>
      <c r="U4873">
        <v>4</v>
      </c>
      <c r="V4873">
        <v>0.1757575757575757</v>
      </c>
      <c r="W4873">
        <v>1</v>
      </c>
      <c r="X4873">
        <v>0.1757575757575757</v>
      </c>
      <c r="Y4873">
        <v>118</v>
      </c>
      <c r="Z4873">
        <v>505.26312452494989</v>
      </c>
      <c r="AA4873">
        <v>198</v>
      </c>
      <c r="AB4873">
        <v>332</v>
      </c>
      <c r="AC4873">
        <v>536</v>
      </c>
      <c r="AD4873">
        <v>32.42</v>
      </c>
      <c r="AE4873">
        <v>542</v>
      </c>
      <c r="AF4873">
        <v>39</v>
      </c>
      <c r="AG4873">
        <v>173</v>
      </c>
      <c r="AH4873">
        <v>129</v>
      </c>
      <c r="AI4873">
        <v>7.2</v>
      </c>
      <c r="AJ4873">
        <v>31.92</v>
      </c>
      <c r="AK4873">
        <v>23.8</v>
      </c>
      <c r="AL4873">
        <v>-20.131561999999949</v>
      </c>
      <c r="AM4873">
        <v>-44.839930272274998</v>
      </c>
      <c r="AN4873">
        <v>-20.131561999999949</v>
      </c>
      <c r="AO4873">
        <v>-44.839930272274998</v>
      </c>
      <c r="AP4873">
        <v>-20.131599000000001</v>
      </c>
      <c r="AQ4873">
        <v>-44.839945</v>
      </c>
      <c r="AR4873">
        <v>4.3970860299791923</v>
      </c>
      <c r="AS4873" t="s">
        <v>65</v>
      </c>
      <c r="AT4873">
        <v>1</v>
      </c>
      <c r="AU4873" t="s">
        <v>1806</v>
      </c>
      <c r="AV4873" t="s">
        <v>1807</v>
      </c>
      <c r="AW4873" t="s">
        <v>60</v>
      </c>
      <c r="AX4873" t="s">
        <v>68</v>
      </c>
      <c r="AY4873" t="s">
        <v>69</v>
      </c>
      <c r="AZ4873" t="b">
        <v>1</v>
      </c>
    </row>
    <row r="4874" spans="1:52" x14ac:dyDescent="0.3">
      <c r="A4874" t="s">
        <v>52</v>
      </c>
      <c r="B4874" t="s">
        <v>53</v>
      </c>
      <c r="C4874" t="s">
        <v>54</v>
      </c>
      <c r="D4874" t="s">
        <v>55</v>
      </c>
      <c r="E4874" t="s">
        <v>2224</v>
      </c>
      <c r="F4874" t="s">
        <v>190</v>
      </c>
      <c r="G4874" t="s">
        <v>1224</v>
      </c>
      <c r="H4874" t="s">
        <v>1230</v>
      </c>
      <c r="I4874" t="s">
        <v>1230</v>
      </c>
      <c r="J4874" t="s">
        <v>60</v>
      </c>
      <c r="K4874" t="s">
        <v>828</v>
      </c>
      <c r="L4874" t="s">
        <v>62</v>
      </c>
      <c r="M4874" t="s">
        <v>828</v>
      </c>
      <c r="N4874" t="s">
        <v>1231</v>
      </c>
      <c r="O4874" t="s">
        <v>1232</v>
      </c>
      <c r="P4874">
        <v>-20.136106000000002</v>
      </c>
      <c r="Q4874">
        <v>-44.838470999999998</v>
      </c>
      <c r="R4874" s="2" t="str">
        <f>HYPERLINK("https://www.google.com/maps?q=-20.1361060,-44.8384710","Abrir no Google Maps")</f>
        <v>Abrir no Google Maps</v>
      </c>
      <c r="S4874">
        <v>3</v>
      </c>
      <c r="T4874">
        <v>910.01690137237858</v>
      </c>
      <c r="U4874">
        <v>4</v>
      </c>
      <c r="V4874">
        <v>0.17403314917127069</v>
      </c>
      <c r="W4874">
        <v>1</v>
      </c>
      <c r="X4874">
        <v>0.17403314917127069</v>
      </c>
      <c r="Y4874">
        <v>118</v>
      </c>
      <c r="Z4874">
        <v>892.76979321439796</v>
      </c>
      <c r="AA4874">
        <v>198</v>
      </c>
      <c r="AB4874">
        <v>332</v>
      </c>
      <c r="AC4874">
        <v>536</v>
      </c>
      <c r="AD4874">
        <v>32.42</v>
      </c>
      <c r="AE4874">
        <v>542</v>
      </c>
      <c r="AF4874">
        <v>39</v>
      </c>
      <c r="AG4874">
        <v>173</v>
      </c>
      <c r="AH4874">
        <v>129</v>
      </c>
      <c r="AI4874">
        <v>7.2</v>
      </c>
      <c r="AJ4874">
        <v>31.92</v>
      </c>
      <c r="AK4874">
        <v>23.8</v>
      </c>
      <c r="AL4874">
        <v>-20.136356149999951</v>
      </c>
      <c r="AM4874">
        <v>-44.838929886373997</v>
      </c>
      <c r="AN4874">
        <v>-20.136356149999951</v>
      </c>
      <c r="AO4874">
        <v>-44.838929886373997</v>
      </c>
      <c r="AP4874">
        <v>-20.136106000000002</v>
      </c>
      <c r="AQ4874">
        <v>-44.838470999999998</v>
      </c>
      <c r="AR4874">
        <v>55.458802856549369</v>
      </c>
      <c r="AS4874" t="s">
        <v>65</v>
      </c>
      <c r="AT4874">
        <v>1</v>
      </c>
      <c r="AU4874" t="s">
        <v>1233</v>
      </c>
      <c r="AV4874" t="s">
        <v>1234</v>
      </c>
      <c r="AW4874" t="s">
        <v>60</v>
      </c>
      <c r="AX4874" t="s">
        <v>68</v>
      </c>
      <c r="AY4874" t="s">
        <v>69</v>
      </c>
      <c r="AZ4874" t="b">
        <v>1</v>
      </c>
    </row>
    <row r="4875" spans="1:52" x14ac:dyDescent="0.3">
      <c r="A4875" t="s">
        <v>52</v>
      </c>
      <c r="B4875" t="s">
        <v>53</v>
      </c>
      <c r="C4875" t="s">
        <v>54</v>
      </c>
      <c r="D4875" t="s">
        <v>55</v>
      </c>
      <c r="E4875" t="s">
        <v>2224</v>
      </c>
      <c r="F4875" t="s">
        <v>190</v>
      </c>
      <c r="G4875" t="s">
        <v>1193</v>
      </c>
      <c r="H4875" t="s">
        <v>2020</v>
      </c>
      <c r="I4875" t="s">
        <v>2020</v>
      </c>
      <c r="J4875" t="s">
        <v>60</v>
      </c>
      <c r="K4875" t="s">
        <v>1803</v>
      </c>
      <c r="L4875" t="s">
        <v>62</v>
      </c>
      <c r="M4875" t="s">
        <v>1803</v>
      </c>
      <c r="N4875" t="s">
        <v>2021</v>
      </c>
      <c r="O4875" t="s">
        <v>2022</v>
      </c>
      <c r="P4875">
        <v>-20.131063000000001</v>
      </c>
      <c r="Q4875">
        <v>-44.835818000000003</v>
      </c>
      <c r="R4875" s="2" t="str">
        <f>HYPERLINK("https://www.google.com/maps?q=-20.1310630,-44.8358180","Abrir no Google Maps")</f>
        <v>Abrir no Google Maps</v>
      </c>
      <c r="S4875">
        <v>3</v>
      </c>
      <c r="T4875">
        <v>341.23125780909078</v>
      </c>
      <c r="U4875">
        <v>4</v>
      </c>
      <c r="V4875">
        <v>0.16880341880341879</v>
      </c>
      <c r="W4875">
        <v>0.85</v>
      </c>
      <c r="X4875">
        <v>0.143482905982906</v>
      </c>
      <c r="Y4875">
        <v>118</v>
      </c>
      <c r="Z4875">
        <v>313.11962562154281</v>
      </c>
      <c r="AA4875">
        <v>198</v>
      </c>
      <c r="AB4875">
        <v>332</v>
      </c>
      <c r="AC4875">
        <v>536</v>
      </c>
      <c r="AD4875">
        <v>32.42</v>
      </c>
      <c r="AE4875">
        <v>542</v>
      </c>
      <c r="AF4875">
        <v>39</v>
      </c>
      <c r="AG4875">
        <v>173</v>
      </c>
      <c r="AH4875">
        <v>129</v>
      </c>
      <c r="AI4875">
        <v>7.2</v>
      </c>
      <c r="AJ4875">
        <v>31.92</v>
      </c>
      <c r="AK4875">
        <v>23.8</v>
      </c>
      <c r="AL4875">
        <v>-20.131250049999949</v>
      </c>
      <c r="AM4875">
        <v>-44.835592156063377</v>
      </c>
      <c r="AN4875">
        <v>-20.131250049999949</v>
      </c>
      <c r="AO4875">
        <v>-44.835592156063377</v>
      </c>
      <c r="AP4875">
        <v>-20.131063000000001</v>
      </c>
      <c r="AQ4875">
        <v>-44.835818000000003</v>
      </c>
      <c r="AR4875">
        <v>31.47647942151896</v>
      </c>
      <c r="AS4875" t="s">
        <v>65</v>
      </c>
      <c r="AT4875">
        <v>1</v>
      </c>
      <c r="AU4875" t="s">
        <v>2023</v>
      </c>
      <c r="AV4875" t="s">
        <v>2024</v>
      </c>
      <c r="AW4875" t="s">
        <v>60</v>
      </c>
      <c r="AX4875" t="s">
        <v>68</v>
      </c>
      <c r="AY4875" t="s">
        <v>69</v>
      </c>
      <c r="AZ4875" t="b">
        <v>1</v>
      </c>
    </row>
    <row r="4876" spans="1:52" x14ac:dyDescent="0.3">
      <c r="A4876" t="s">
        <v>52</v>
      </c>
      <c r="B4876" t="s">
        <v>53</v>
      </c>
      <c r="C4876" t="s">
        <v>54</v>
      </c>
      <c r="D4876" t="s">
        <v>55</v>
      </c>
      <c r="E4876" t="s">
        <v>2224</v>
      </c>
      <c r="F4876" t="s">
        <v>190</v>
      </c>
      <c r="G4876" t="s">
        <v>826</v>
      </c>
      <c r="H4876" t="s">
        <v>827</v>
      </c>
      <c r="I4876" t="s">
        <v>827</v>
      </c>
      <c r="J4876" t="s">
        <v>60</v>
      </c>
      <c r="K4876" t="s">
        <v>828</v>
      </c>
      <c r="L4876" t="s">
        <v>62</v>
      </c>
      <c r="M4876" t="s">
        <v>828</v>
      </c>
      <c r="N4876" t="s">
        <v>829</v>
      </c>
      <c r="O4876" t="s">
        <v>830</v>
      </c>
      <c r="P4876">
        <v>-20.128309999999999</v>
      </c>
      <c r="Q4876">
        <v>-44.8367</v>
      </c>
      <c r="R4876" s="2" t="str">
        <f>HYPERLINK("https://www.google.com/maps?q=-20.1283100,-44.8367000","Abrir no Google Maps")</f>
        <v>Abrir no Google Maps</v>
      </c>
      <c r="S4876">
        <v>3</v>
      </c>
      <c r="T4876">
        <v>0</v>
      </c>
      <c r="U4876">
        <v>4</v>
      </c>
      <c r="V4876">
        <v>0.1384180790960452</v>
      </c>
      <c r="W4876">
        <v>1</v>
      </c>
      <c r="X4876">
        <v>0.1384180790960452</v>
      </c>
      <c r="Y4876">
        <v>118</v>
      </c>
      <c r="Z4876">
        <v>65.93296364139367</v>
      </c>
      <c r="AA4876">
        <v>198</v>
      </c>
      <c r="AB4876">
        <v>332</v>
      </c>
      <c r="AC4876">
        <v>536</v>
      </c>
      <c r="AD4876">
        <v>32.42</v>
      </c>
      <c r="AE4876">
        <v>542</v>
      </c>
      <c r="AF4876">
        <v>39</v>
      </c>
      <c r="AG4876">
        <v>173</v>
      </c>
      <c r="AH4876">
        <v>129</v>
      </c>
      <c r="AI4876">
        <v>7.2</v>
      </c>
      <c r="AJ4876">
        <v>31.92</v>
      </c>
      <c r="AK4876">
        <v>23.8</v>
      </c>
      <c r="AL4876">
        <v>-20.128383649999961</v>
      </c>
      <c r="AM4876">
        <v>-44.836795615491283</v>
      </c>
      <c r="AN4876">
        <v>-20.128383649999961</v>
      </c>
      <c r="AO4876">
        <v>-44.836795615491283</v>
      </c>
      <c r="AP4876">
        <v>-20.128309999999999</v>
      </c>
      <c r="AQ4876">
        <v>-44.8367</v>
      </c>
      <c r="AR4876">
        <v>12.92654496723039</v>
      </c>
      <c r="AS4876" t="s">
        <v>65</v>
      </c>
      <c r="AT4876">
        <v>1</v>
      </c>
      <c r="AU4876" t="s">
        <v>831</v>
      </c>
      <c r="AV4876" t="s">
        <v>832</v>
      </c>
      <c r="AW4876" t="s">
        <v>60</v>
      </c>
      <c r="AX4876" t="s">
        <v>68</v>
      </c>
      <c r="AY4876" t="s">
        <v>69</v>
      </c>
      <c r="AZ4876" t="b">
        <v>1</v>
      </c>
    </row>
    <row r="4877" spans="1:52" x14ac:dyDescent="0.3">
      <c r="A4877" t="s">
        <v>52</v>
      </c>
      <c r="B4877" t="s">
        <v>53</v>
      </c>
      <c r="C4877" t="s">
        <v>54</v>
      </c>
      <c r="D4877" t="s">
        <v>55</v>
      </c>
      <c r="E4877" t="s">
        <v>2224</v>
      </c>
      <c r="F4877" t="s">
        <v>190</v>
      </c>
      <c r="G4877" t="s">
        <v>1808</v>
      </c>
      <c r="H4877" t="s">
        <v>1809</v>
      </c>
      <c r="I4877" t="s">
        <v>1809</v>
      </c>
      <c r="J4877" t="s">
        <v>60</v>
      </c>
      <c r="K4877" t="s">
        <v>1710</v>
      </c>
      <c r="L4877" t="s">
        <v>62</v>
      </c>
      <c r="M4877" t="s">
        <v>1710</v>
      </c>
      <c r="N4877" t="s">
        <v>1810</v>
      </c>
      <c r="O4877" t="s">
        <v>297</v>
      </c>
      <c r="P4877">
        <v>-20.144154</v>
      </c>
      <c r="Q4877">
        <v>-44.840567</v>
      </c>
      <c r="R4877" s="2" t="str">
        <f>HYPERLINK("https://www.google.com/maps?q=-20.1441540,-44.8405670","Abrir no Google Maps")</f>
        <v>Abrir no Google Maps</v>
      </c>
      <c r="S4877">
        <v>3</v>
      </c>
      <c r="T4877">
        <v>1790.4609200116779</v>
      </c>
      <c r="U4877">
        <v>4</v>
      </c>
      <c r="V4877">
        <v>0.1866197183098591</v>
      </c>
      <c r="W4877">
        <v>0.85</v>
      </c>
      <c r="X4877">
        <v>0.15862676056338021</v>
      </c>
      <c r="Y4877">
        <v>118</v>
      </c>
      <c r="Z4877">
        <v>1718.5674352993251</v>
      </c>
      <c r="AA4877">
        <v>198</v>
      </c>
      <c r="AB4877">
        <v>332</v>
      </c>
      <c r="AC4877">
        <v>536</v>
      </c>
      <c r="AD4877">
        <v>32.42</v>
      </c>
      <c r="AE4877">
        <v>542</v>
      </c>
      <c r="AF4877">
        <v>39</v>
      </c>
      <c r="AG4877">
        <v>173</v>
      </c>
      <c r="AH4877">
        <v>129</v>
      </c>
      <c r="AI4877">
        <v>7.2</v>
      </c>
      <c r="AJ4877">
        <v>31.92</v>
      </c>
      <c r="AK4877">
        <v>23.8</v>
      </c>
      <c r="AL4877">
        <v>-20.144149799999951</v>
      </c>
      <c r="AM4877">
        <v>-44.840643310374091</v>
      </c>
      <c r="AN4877">
        <v>-20.144149799999951</v>
      </c>
      <c r="AO4877">
        <v>-44.840643310374091</v>
      </c>
      <c r="AP4877">
        <v>-20.144154</v>
      </c>
      <c r="AQ4877">
        <v>-44.840567</v>
      </c>
      <c r="AR4877">
        <v>7.9889254965004346</v>
      </c>
      <c r="AS4877" t="s">
        <v>65</v>
      </c>
      <c r="AT4877">
        <v>1</v>
      </c>
      <c r="AU4877" t="s">
        <v>1811</v>
      </c>
      <c r="AV4877" t="s">
        <v>1812</v>
      </c>
      <c r="AW4877" t="s">
        <v>60</v>
      </c>
      <c r="AX4877" t="s">
        <v>68</v>
      </c>
      <c r="AY4877" t="s">
        <v>69</v>
      </c>
      <c r="AZ4877" t="b">
        <v>1</v>
      </c>
    </row>
    <row r="4878" spans="1:52" x14ac:dyDescent="0.3">
      <c r="A4878" t="s">
        <v>52</v>
      </c>
      <c r="B4878" t="s">
        <v>53</v>
      </c>
      <c r="C4878" t="s">
        <v>54</v>
      </c>
      <c r="D4878" t="s">
        <v>55</v>
      </c>
      <c r="E4878" t="s">
        <v>2224</v>
      </c>
      <c r="F4878" t="s">
        <v>190</v>
      </c>
      <c r="G4878" t="s">
        <v>1193</v>
      </c>
      <c r="H4878" t="s">
        <v>2025</v>
      </c>
      <c r="I4878" t="s">
        <v>2025</v>
      </c>
      <c r="J4878" t="s">
        <v>60</v>
      </c>
      <c r="K4878" t="s">
        <v>1710</v>
      </c>
      <c r="L4878" t="s">
        <v>62</v>
      </c>
      <c r="M4878" t="s">
        <v>1710</v>
      </c>
      <c r="N4878" t="s">
        <v>2026</v>
      </c>
      <c r="O4878" t="s">
        <v>1438</v>
      </c>
      <c r="P4878">
        <v>-20.147459000000001</v>
      </c>
      <c r="Q4878">
        <v>-44.839049000000003</v>
      </c>
      <c r="R4878" s="2" t="str">
        <f>HYPERLINK("https://www.google.com/maps?q=-20.1474590,-44.8390490","Abrir no Google Maps")</f>
        <v>Abrir no Google Maps</v>
      </c>
      <c r="S4878">
        <v>3</v>
      </c>
      <c r="T4878">
        <v>2134.7842223159018</v>
      </c>
      <c r="U4878">
        <v>4</v>
      </c>
      <c r="V4878">
        <v>0.1554487179487179</v>
      </c>
      <c r="W4878">
        <v>0.85</v>
      </c>
      <c r="X4878">
        <v>0.1321314102564102</v>
      </c>
      <c r="Y4878">
        <v>118</v>
      </c>
      <c r="Z4878">
        <v>2105.8235104165119</v>
      </c>
      <c r="AA4878">
        <v>198</v>
      </c>
      <c r="AB4878">
        <v>332</v>
      </c>
      <c r="AC4878">
        <v>536</v>
      </c>
      <c r="AD4878">
        <v>32.42</v>
      </c>
      <c r="AE4878">
        <v>542</v>
      </c>
      <c r="AF4878">
        <v>39</v>
      </c>
      <c r="AG4878">
        <v>173</v>
      </c>
      <c r="AH4878">
        <v>129</v>
      </c>
      <c r="AI4878">
        <v>7.2</v>
      </c>
      <c r="AJ4878">
        <v>31.92</v>
      </c>
      <c r="AK4878">
        <v>23.8</v>
      </c>
      <c r="AL4878">
        <v>-20.147568249999949</v>
      </c>
      <c r="AM4878">
        <v>-44.838938056199567</v>
      </c>
      <c r="AN4878">
        <v>-20.147568249999949</v>
      </c>
      <c r="AO4878">
        <v>-44.838938056199567</v>
      </c>
      <c r="AP4878">
        <v>-20.147459000000001</v>
      </c>
      <c r="AQ4878">
        <v>-44.839049000000003</v>
      </c>
      <c r="AR4878">
        <v>16.80298816089098</v>
      </c>
      <c r="AS4878" t="s">
        <v>65</v>
      </c>
      <c r="AT4878">
        <v>1</v>
      </c>
      <c r="AU4878" t="s">
        <v>2027</v>
      </c>
      <c r="AV4878" t="s">
        <v>2028</v>
      </c>
      <c r="AW4878" t="s">
        <v>60</v>
      </c>
      <c r="AX4878" t="s">
        <v>68</v>
      </c>
      <c r="AY4878" t="s">
        <v>69</v>
      </c>
      <c r="AZ4878" t="b">
        <v>1</v>
      </c>
    </row>
    <row r="4879" spans="1:52" x14ac:dyDescent="0.3">
      <c r="A4879" t="s">
        <v>52</v>
      </c>
      <c r="B4879" t="s">
        <v>53</v>
      </c>
      <c r="C4879" t="s">
        <v>54</v>
      </c>
      <c r="D4879" t="s">
        <v>55</v>
      </c>
      <c r="E4879" t="s">
        <v>2224</v>
      </c>
      <c r="F4879" t="s">
        <v>190</v>
      </c>
      <c r="G4879" t="s">
        <v>1813</v>
      </c>
      <c r="H4879" t="s">
        <v>1814</v>
      </c>
      <c r="I4879" t="s">
        <v>1814</v>
      </c>
      <c r="J4879" t="s">
        <v>60</v>
      </c>
      <c r="K4879" t="s">
        <v>1815</v>
      </c>
      <c r="L4879" t="s">
        <v>62</v>
      </c>
      <c r="M4879" t="s">
        <v>1815</v>
      </c>
      <c r="N4879" t="s">
        <v>1816</v>
      </c>
      <c r="O4879" t="s">
        <v>793</v>
      </c>
      <c r="P4879">
        <v>-20.144487999999999</v>
      </c>
      <c r="Q4879">
        <v>-44.836683000000001</v>
      </c>
      <c r="R4879" s="2" t="str">
        <f>HYPERLINK("https://www.google.com/maps?q=-20.1444880,-44.8366830","Abrir no Google Maps")</f>
        <v>Abrir no Google Maps</v>
      </c>
      <c r="S4879">
        <v>3</v>
      </c>
      <c r="T4879">
        <v>1786.4671732320769</v>
      </c>
      <c r="U4879">
        <v>4</v>
      </c>
      <c r="V4879">
        <v>0.1879194630872483</v>
      </c>
      <c r="W4879">
        <v>0.85</v>
      </c>
      <c r="X4879">
        <v>0.15973154362416109</v>
      </c>
      <c r="Y4879">
        <v>118</v>
      </c>
      <c r="Z4879">
        <v>1788.4311204774231</v>
      </c>
      <c r="AA4879">
        <v>198</v>
      </c>
      <c r="AB4879">
        <v>332</v>
      </c>
      <c r="AC4879">
        <v>536</v>
      </c>
      <c r="AD4879">
        <v>32.42</v>
      </c>
      <c r="AE4879">
        <v>542</v>
      </c>
      <c r="AF4879">
        <v>39</v>
      </c>
      <c r="AG4879">
        <v>173</v>
      </c>
      <c r="AH4879">
        <v>129</v>
      </c>
      <c r="AI4879">
        <v>7.2</v>
      </c>
      <c r="AJ4879">
        <v>31.92</v>
      </c>
      <c r="AK4879">
        <v>23.8</v>
      </c>
      <c r="AL4879">
        <v>-20.14452704999994</v>
      </c>
      <c r="AM4879">
        <v>-44.836757520268662</v>
      </c>
      <c r="AN4879">
        <v>-20.14452704999994</v>
      </c>
      <c r="AO4879">
        <v>-44.836757520268662</v>
      </c>
      <c r="AP4879">
        <v>-20.144487999999999</v>
      </c>
      <c r="AQ4879">
        <v>-44.836683000000001</v>
      </c>
      <c r="AR4879">
        <v>8.9191793946858624</v>
      </c>
      <c r="AS4879" t="s">
        <v>65</v>
      </c>
      <c r="AT4879">
        <v>1</v>
      </c>
      <c r="AU4879" t="s">
        <v>1817</v>
      </c>
      <c r="AV4879" t="s">
        <v>1818</v>
      </c>
      <c r="AW4879" t="s">
        <v>60</v>
      </c>
      <c r="AX4879" t="s">
        <v>68</v>
      </c>
      <c r="AY4879" t="s">
        <v>69</v>
      </c>
      <c r="AZ4879" t="b">
        <v>1</v>
      </c>
    </row>
    <row r="4880" spans="1:52" x14ac:dyDescent="0.3">
      <c r="A4880" t="s">
        <v>52</v>
      </c>
      <c r="B4880" t="s">
        <v>53</v>
      </c>
      <c r="C4880" t="s">
        <v>54</v>
      </c>
      <c r="D4880" t="s">
        <v>55</v>
      </c>
      <c r="E4880" t="s">
        <v>2224</v>
      </c>
      <c r="F4880" t="s">
        <v>190</v>
      </c>
      <c r="G4880" t="s">
        <v>2029</v>
      </c>
      <c r="H4880" t="s">
        <v>2030</v>
      </c>
      <c r="I4880" t="s">
        <v>2030</v>
      </c>
      <c r="J4880" t="s">
        <v>60</v>
      </c>
      <c r="K4880" t="s">
        <v>2010</v>
      </c>
      <c r="L4880" t="s">
        <v>62</v>
      </c>
      <c r="M4880" t="s">
        <v>2010</v>
      </c>
      <c r="N4880" t="s">
        <v>2031</v>
      </c>
      <c r="O4880" t="s">
        <v>1932</v>
      </c>
      <c r="P4880">
        <v>-20.120073000000001</v>
      </c>
      <c r="Q4880">
        <v>-44.826827000000002</v>
      </c>
      <c r="R4880" s="2" t="str">
        <f>HYPERLINK("https://www.google.com/maps?q=-20.1200730,-44.8268270","Abrir no Google Maps")</f>
        <v>Abrir no Google Maps</v>
      </c>
      <c r="S4880">
        <v>3</v>
      </c>
      <c r="T4880">
        <v>1421.006931425223</v>
      </c>
      <c r="U4880">
        <v>4</v>
      </c>
      <c r="V4880">
        <v>0.15865384615384609</v>
      </c>
      <c r="W4880">
        <v>0.85</v>
      </c>
      <c r="X4880">
        <v>0.1348557692307692</v>
      </c>
      <c r="Y4880">
        <v>118</v>
      </c>
      <c r="Z4880">
        <v>1745.512358841755</v>
      </c>
      <c r="AA4880">
        <v>198</v>
      </c>
      <c r="AB4880">
        <v>332</v>
      </c>
      <c r="AC4880">
        <v>536</v>
      </c>
      <c r="AD4880">
        <v>32.42</v>
      </c>
      <c r="AE4880">
        <v>542</v>
      </c>
      <c r="AF4880">
        <v>39</v>
      </c>
      <c r="AG4880">
        <v>173</v>
      </c>
      <c r="AH4880">
        <v>129</v>
      </c>
      <c r="AI4880">
        <v>7.2</v>
      </c>
      <c r="AJ4880">
        <v>31.92</v>
      </c>
      <c r="AK4880">
        <v>23.8</v>
      </c>
      <c r="AL4880">
        <v>-20.119513099999949</v>
      </c>
      <c r="AM4880">
        <v>-44.826965747783362</v>
      </c>
      <c r="AN4880">
        <v>-20.119513099999949</v>
      </c>
      <c r="AO4880">
        <v>-44.826965747783362</v>
      </c>
      <c r="AP4880">
        <v>-20.120073000000001</v>
      </c>
      <c r="AQ4880">
        <v>-44.826827000000002</v>
      </c>
      <c r="AR4880">
        <v>63.993137242515942</v>
      </c>
      <c r="AS4880" t="s">
        <v>65</v>
      </c>
      <c r="AT4880">
        <v>1</v>
      </c>
      <c r="AU4880" t="s">
        <v>2032</v>
      </c>
      <c r="AV4880" t="s">
        <v>2033</v>
      </c>
      <c r="AW4880" t="s">
        <v>60</v>
      </c>
      <c r="AX4880" t="s">
        <v>68</v>
      </c>
      <c r="AY4880" t="s">
        <v>69</v>
      </c>
      <c r="AZ4880" t="b">
        <v>1</v>
      </c>
    </row>
    <row r="4881" spans="1:52" x14ac:dyDescent="0.3">
      <c r="A4881" t="s">
        <v>52</v>
      </c>
      <c r="B4881" t="s">
        <v>53</v>
      </c>
      <c r="C4881" t="s">
        <v>54</v>
      </c>
      <c r="D4881" t="s">
        <v>55</v>
      </c>
      <c r="E4881" t="s">
        <v>2224</v>
      </c>
      <c r="F4881" t="s">
        <v>190</v>
      </c>
      <c r="G4881" t="s">
        <v>2034</v>
      </c>
      <c r="H4881" t="s">
        <v>2035</v>
      </c>
      <c r="I4881" t="s">
        <v>2035</v>
      </c>
      <c r="J4881" t="s">
        <v>60</v>
      </c>
      <c r="K4881" t="s">
        <v>2036</v>
      </c>
      <c r="L4881" t="s">
        <v>62</v>
      </c>
      <c r="M4881" t="s">
        <v>2036</v>
      </c>
      <c r="N4881" t="s">
        <v>2037</v>
      </c>
      <c r="O4881" t="s">
        <v>2038</v>
      </c>
      <c r="P4881">
        <v>-20.187795999999999</v>
      </c>
      <c r="Q4881">
        <v>-44.950932999999999</v>
      </c>
      <c r="R4881" s="2" t="str">
        <f>HYPERLINK("https://www.google.com/maps?q=-20.1877960,-44.9509330","Abrir no Google Maps")</f>
        <v>Abrir no Google Maps</v>
      </c>
      <c r="S4881">
        <v>3</v>
      </c>
      <c r="T4881">
        <v>1422.0314004446971</v>
      </c>
      <c r="U4881">
        <v>4</v>
      </c>
      <c r="V4881">
        <v>0.1802325581395349</v>
      </c>
      <c r="W4881">
        <v>0.85</v>
      </c>
      <c r="X4881">
        <v>0.15319767441860471</v>
      </c>
      <c r="Y4881">
        <v>113</v>
      </c>
      <c r="Z4881">
        <v>1408.9974407319651</v>
      </c>
      <c r="AA4881">
        <v>198</v>
      </c>
      <c r="AB4881">
        <v>332</v>
      </c>
      <c r="AC4881">
        <v>536</v>
      </c>
      <c r="AD4881">
        <v>32.42</v>
      </c>
      <c r="AE4881">
        <v>542</v>
      </c>
      <c r="AF4881">
        <v>39</v>
      </c>
      <c r="AG4881">
        <v>173</v>
      </c>
      <c r="AH4881">
        <v>129</v>
      </c>
      <c r="AI4881">
        <v>7.2</v>
      </c>
      <c r="AJ4881">
        <v>31.92</v>
      </c>
      <c r="AK4881">
        <v>23.8</v>
      </c>
      <c r="AL4881">
        <v>-20.187850249999968</v>
      </c>
      <c r="AM4881">
        <v>-44.951024485175793</v>
      </c>
      <c r="AN4881">
        <v>-20.187850249999968</v>
      </c>
      <c r="AO4881">
        <v>-44.951024485175793</v>
      </c>
      <c r="AP4881">
        <v>-20.187795999999999</v>
      </c>
      <c r="AQ4881">
        <v>-44.950932999999999</v>
      </c>
      <c r="AR4881">
        <v>11.30643151318464</v>
      </c>
      <c r="AS4881" t="s">
        <v>65</v>
      </c>
      <c r="AT4881">
        <v>1</v>
      </c>
      <c r="AU4881" t="s">
        <v>2039</v>
      </c>
      <c r="AV4881" t="s">
        <v>2040</v>
      </c>
      <c r="AW4881" t="s">
        <v>60</v>
      </c>
      <c r="AX4881" t="s">
        <v>68</v>
      </c>
      <c r="AY4881" t="s">
        <v>69</v>
      </c>
      <c r="AZ4881" t="b">
        <v>1</v>
      </c>
    </row>
    <row r="4882" spans="1:52" x14ac:dyDescent="0.3">
      <c r="A4882" t="s">
        <v>52</v>
      </c>
      <c r="B4882" t="s">
        <v>53</v>
      </c>
      <c r="C4882" t="s">
        <v>54</v>
      </c>
      <c r="D4882" t="s">
        <v>55</v>
      </c>
      <c r="E4882" t="s">
        <v>2224</v>
      </c>
      <c r="F4882" t="s">
        <v>190</v>
      </c>
      <c r="G4882" t="s">
        <v>1193</v>
      </c>
      <c r="H4882" t="s">
        <v>2236</v>
      </c>
      <c r="I4882" t="s">
        <v>2236</v>
      </c>
      <c r="J4882" t="s">
        <v>60</v>
      </c>
      <c r="K4882" t="s">
        <v>2237</v>
      </c>
      <c r="L4882" t="s">
        <v>62</v>
      </c>
      <c r="M4882" t="s">
        <v>2237</v>
      </c>
      <c r="N4882" t="s">
        <v>2238</v>
      </c>
      <c r="O4882" t="s">
        <v>315</v>
      </c>
      <c r="P4882">
        <v>-20.180969999999999</v>
      </c>
      <c r="Q4882">
        <v>-44.980122000000001</v>
      </c>
      <c r="R4882" s="2" t="str">
        <f>HYPERLINK("https://www.google.com/maps?q=-20.1809700,-44.9801220","Abrir no Google Maps")</f>
        <v>Abrir no Google Maps</v>
      </c>
      <c r="S4882">
        <v>3</v>
      </c>
      <c r="T4882">
        <v>4645.851646235702</v>
      </c>
      <c r="U4882">
        <v>4</v>
      </c>
      <c r="V4882">
        <v>0.16145833333333329</v>
      </c>
      <c r="W4882">
        <v>0.85</v>
      </c>
      <c r="X4882">
        <v>0.1372395833333333</v>
      </c>
      <c r="Y4882">
        <v>113</v>
      </c>
      <c r="Z4882">
        <v>4455.2728926322416</v>
      </c>
      <c r="AA4882">
        <v>198</v>
      </c>
      <c r="AB4882">
        <v>332</v>
      </c>
      <c r="AC4882">
        <v>536</v>
      </c>
      <c r="AD4882">
        <v>32.42</v>
      </c>
      <c r="AE4882">
        <v>542</v>
      </c>
      <c r="AF4882">
        <v>39</v>
      </c>
      <c r="AG4882">
        <v>173</v>
      </c>
      <c r="AH4882">
        <v>129</v>
      </c>
      <c r="AI4882">
        <v>7.2</v>
      </c>
      <c r="AJ4882">
        <v>31.92</v>
      </c>
      <c r="AK4882">
        <v>23.8</v>
      </c>
      <c r="AL4882">
        <v>-20.180488599999961</v>
      </c>
      <c r="AM4882">
        <v>-44.980906594690779</v>
      </c>
      <c r="AN4882">
        <v>-20.180488599999961</v>
      </c>
      <c r="AO4882">
        <v>-44.980906594690779</v>
      </c>
      <c r="AP4882">
        <v>-20.180969999999999</v>
      </c>
      <c r="AQ4882">
        <v>-44.980122000000001</v>
      </c>
      <c r="AR4882">
        <v>97.940941877980521</v>
      </c>
      <c r="AS4882" t="s">
        <v>65</v>
      </c>
      <c r="AT4882">
        <v>1</v>
      </c>
      <c r="AU4882" t="s">
        <v>2239</v>
      </c>
      <c r="AV4882" t="s">
        <v>2240</v>
      </c>
      <c r="AW4882" t="s">
        <v>60</v>
      </c>
      <c r="AX4882" t="s">
        <v>68</v>
      </c>
      <c r="AY4882" t="s">
        <v>69</v>
      </c>
      <c r="AZ4882" t="b">
        <v>1</v>
      </c>
    </row>
    <row r="4883" spans="1:52" x14ac:dyDescent="0.3">
      <c r="A4883" t="s">
        <v>52</v>
      </c>
      <c r="B4883" t="s">
        <v>53</v>
      </c>
      <c r="C4883" t="s">
        <v>54</v>
      </c>
      <c r="D4883" t="s">
        <v>55</v>
      </c>
      <c r="E4883" t="s">
        <v>2224</v>
      </c>
      <c r="F4883" t="s">
        <v>190</v>
      </c>
      <c r="G4883" t="s">
        <v>1193</v>
      </c>
      <c r="H4883" t="s">
        <v>2047</v>
      </c>
      <c r="I4883" t="s">
        <v>2047</v>
      </c>
      <c r="J4883" t="s">
        <v>60</v>
      </c>
      <c r="K4883" t="s">
        <v>2048</v>
      </c>
      <c r="L4883" t="s">
        <v>62</v>
      </c>
      <c r="M4883" t="s">
        <v>2048</v>
      </c>
      <c r="N4883" t="s">
        <v>1711</v>
      </c>
      <c r="O4883" t="s">
        <v>315</v>
      </c>
      <c r="P4883">
        <v>-20.187764000000001</v>
      </c>
      <c r="Q4883">
        <v>-44.963973000000003</v>
      </c>
      <c r="R4883" s="2" t="str">
        <f>HYPERLINK("https://www.google.com/maps?q=-20.1877640,-44.9639730","Abrir no Google Maps")</f>
        <v>Abrir no Google Maps</v>
      </c>
      <c r="S4883">
        <v>3</v>
      </c>
      <c r="T4883">
        <v>2694.091551200042</v>
      </c>
      <c r="U4883">
        <v>4</v>
      </c>
      <c r="V4883">
        <v>0.1701388888888889</v>
      </c>
      <c r="W4883">
        <v>0.85</v>
      </c>
      <c r="X4883">
        <v>0.1446180555555556</v>
      </c>
      <c r="Y4883">
        <v>113</v>
      </c>
      <c r="Z4883">
        <v>2488.1773294891568</v>
      </c>
      <c r="AA4883">
        <v>198</v>
      </c>
      <c r="AB4883">
        <v>332</v>
      </c>
      <c r="AC4883">
        <v>536</v>
      </c>
      <c r="AD4883">
        <v>32.42</v>
      </c>
      <c r="AE4883">
        <v>542</v>
      </c>
      <c r="AF4883">
        <v>39</v>
      </c>
      <c r="AG4883">
        <v>173</v>
      </c>
      <c r="AH4883">
        <v>129</v>
      </c>
      <c r="AI4883">
        <v>7.2</v>
      </c>
      <c r="AJ4883">
        <v>31.92</v>
      </c>
      <c r="AK4883">
        <v>23.8</v>
      </c>
      <c r="AL4883">
        <v>-20.187617999999961</v>
      </c>
      <c r="AM4883">
        <v>-44.963513462391013</v>
      </c>
      <c r="AN4883">
        <v>-20.187617999999961</v>
      </c>
      <c r="AO4883">
        <v>-44.963513462391013</v>
      </c>
      <c r="AP4883">
        <v>-20.187764000000001</v>
      </c>
      <c r="AQ4883">
        <v>-44.963973000000003</v>
      </c>
      <c r="AR4883">
        <v>50.689343207818922</v>
      </c>
      <c r="AS4883" t="s">
        <v>65</v>
      </c>
      <c r="AT4883">
        <v>1</v>
      </c>
      <c r="AU4883" t="s">
        <v>2049</v>
      </c>
      <c r="AV4883" t="s">
        <v>2050</v>
      </c>
      <c r="AW4883" t="s">
        <v>60</v>
      </c>
      <c r="AX4883" t="s">
        <v>68</v>
      </c>
      <c r="AY4883" t="s">
        <v>69</v>
      </c>
      <c r="AZ4883" t="b">
        <v>1</v>
      </c>
    </row>
    <row r="4884" spans="1:52" x14ac:dyDescent="0.3">
      <c r="A4884" t="s">
        <v>52</v>
      </c>
      <c r="B4884" t="s">
        <v>53</v>
      </c>
      <c r="C4884" t="s">
        <v>54</v>
      </c>
      <c r="D4884" t="s">
        <v>55</v>
      </c>
      <c r="E4884" t="s">
        <v>2224</v>
      </c>
      <c r="F4884" t="s">
        <v>190</v>
      </c>
      <c r="G4884" t="s">
        <v>1819</v>
      </c>
      <c r="H4884" t="s">
        <v>1820</v>
      </c>
      <c r="I4884" t="s">
        <v>1820</v>
      </c>
      <c r="J4884" t="s">
        <v>60</v>
      </c>
      <c r="K4884" t="s">
        <v>1821</v>
      </c>
      <c r="L4884" t="s">
        <v>62</v>
      </c>
      <c r="M4884" t="s">
        <v>1821</v>
      </c>
      <c r="N4884" t="s">
        <v>1822</v>
      </c>
      <c r="O4884" t="s">
        <v>250</v>
      </c>
      <c r="P4884">
        <v>-20.206074999999998</v>
      </c>
      <c r="Q4884">
        <v>-44.923881999999999</v>
      </c>
      <c r="R4884" s="2" t="str">
        <f>HYPERLINK("https://www.google.com/maps?q=-20.2060750,-44.9238820","Abrir no Google Maps")</f>
        <v>Abrir no Google Maps</v>
      </c>
      <c r="S4884">
        <v>3</v>
      </c>
      <c r="T4884">
        <v>2167.614130207975</v>
      </c>
      <c r="U4884">
        <v>4</v>
      </c>
      <c r="V4884">
        <v>0.1641104294478527</v>
      </c>
      <c r="W4884">
        <v>1</v>
      </c>
      <c r="X4884">
        <v>0.1641104294478527</v>
      </c>
      <c r="Y4884">
        <v>113</v>
      </c>
      <c r="Z4884">
        <v>2279.572967498636</v>
      </c>
      <c r="AA4884">
        <v>198</v>
      </c>
      <c r="AB4884">
        <v>332</v>
      </c>
      <c r="AC4884">
        <v>536</v>
      </c>
      <c r="AD4884">
        <v>32.42</v>
      </c>
      <c r="AE4884">
        <v>542</v>
      </c>
      <c r="AF4884">
        <v>39</v>
      </c>
      <c r="AG4884">
        <v>173</v>
      </c>
      <c r="AH4884">
        <v>129</v>
      </c>
      <c r="AI4884">
        <v>7.2</v>
      </c>
      <c r="AJ4884">
        <v>31.92</v>
      </c>
      <c r="AK4884">
        <v>23.8</v>
      </c>
      <c r="AL4884">
        <v>-20.206031099999961</v>
      </c>
      <c r="AM4884">
        <v>-44.923641529947623</v>
      </c>
      <c r="AN4884">
        <v>-20.206031099999961</v>
      </c>
      <c r="AO4884">
        <v>-44.923641529947623</v>
      </c>
      <c r="AP4884">
        <v>-20.206074999999998</v>
      </c>
      <c r="AQ4884">
        <v>-44.923881999999999</v>
      </c>
      <c r="AR4884">
        <v>25.59258324329182</v>
      </c>
      <c r="AS4884" t="s">
        <v>65</v>
      </c>
      <c r="AT4884">
        <v>1</v>
      </c>
      <c r="AU4884" t="s">
        <v>1823</v>
      </c>
      <c r="AV4884" t="s">
        <v>1824</v>
      </c>
      <c r="AW4884" t="s">
        <v>60</v>
      </c>
      <c r="AX4884" t="s">
        <v>68</v>
      </c>
      <c r="AY4884" t="s">
        <v>69</v>
      </c>
      <c r="AZ4884" t="b">
        <v>1</v>
      </c>
    </row>
    <row r="4885" spans="1:52" x14ac:dyDescent="0.3">
      <c r="A4885" t="s">
        <v>52</v>
      </c>
      <c r="B4885" t="s">
        <v>53</v>
      </c>
      <c r="C4885" t="s">
        <v>54</v>
      </c>
      <c r="D4885" t="s">
        <v>55</v>
      </c>
      <c r="E4885" t="s">
        <v>2224</v>
      </c>
      <c r="F4885" t="s">
        <v>190</v>
      </c>
      <c r="G4885" t="s">
        <v>1825</v>
      </c>
      <c r="H4885" t="s">
        <v>1826</v>
      </c>
      <c r="I4885" t="s">
        <v>1826</v>
      </c>
      <c r="J4885" t="s">
        <v>60</v>
      </c>
      <c r="K4885" t="s">
        <v>1821</v>
      </c>
      <c r="L4885" t="s">
        <v>62</v>
      </c>
      <c r="M4885" t="s">
        <v>1821</v>
      </c>
      <c r="N4885" t="s">
        <v>1827</v>
      </c>
      <c r="O4885" t="s">
        <v>303</v>
      </c>
      <c r="P4885">
        <v>-20.209962000000001</v>
      </c>
      <c r="Q4885">
        <v>-44.922398000000001</v>
      </c>
      <c r="R4885" s="2" t="str">
        <f>HYPERLINK("https://www.google.com/maps?q=-20.2099620,-44.9223980","Abrir no Google Maps")</f>
        <v>Abrir no Google Maps</v>
      </c>
      <c r="S4885">
        <v>3</v>
      </c>
      <c r="T4885">
        <v>2648.9288862562971</v>
      </c>
      <c r="U4885">
        <v>4</v>
      </c>
      <c r="V4885">
        <v>0.1654411764705882</v>
      </c>
      <c r="W4885">
        <v>1</v>
      </c>
      <c r="X4885">
        <v>0.1654411764705882</v>
      </c>
      <c r="Y4885">
        <v>113</v>
      </c>
      <c r="Z4885">
        <v>2658.455493028307</v>
      </c>
      <c r="AA4885">
        <v>198</v>
      </c>
      <c r="AB4885">
        <v>332</v>
      </c>
      <c r="AC4885">
        <v>536</v>
      </c>
      <c r="AD4885">
        <v>32.42</v>
      </c>
      <c r="AE4885">
        <v>542</v>
      </c>
      <c r="AF4885">
        <v>39</v>
      </c>
      <c r="AG4885">
        <v>173</v>
      </c>
      <c r="AH4885">
        <v>129</v>
      </c>
      <c r="AI4885">
        <v>7.2</v>
      </c>
      <c r="AJ4885">
        <v>31.92</v>
      </c>
      <c r="AK4885">
        <v>23.8</v>
      </c>
      <c r="AL4885">
        <v>-20.210291849999951</v>
      </c>
      <c r="AM4885">
        <v>-44.921758447931353</v>
      </c>
      <c r="AN4885">
        <v>-20.210291849999951</v>
      </c>
      <c r="AO4885">
        <v>-44.921758447931353</v>
      </c>
      <c r="AP4885">
        <v>-20.209962000000001</v>
      </c>
      <c r="AQ4885">
        <v>-44.922398000000001</v>
      </c>
      <c r="AR4885">
        <v>76.23686013355892</v>
      </c>
      <c r="AS4885" t="s">
        <v>65</v>
      </c>
      <c r="AT4885">
        <v>1</v>
      </c>
      <c r="AU4885" t="s">
        <v>1828</v>
      </c>
      <c r="AV4885" t="s">
        <v>1829</v>
      </c>
      <c r="AW4885" t="s">
        <v>60</v>
      </c>
      <c r="AX4885" t="s">
        <v>68</v>
      </c>
      <c r="AY4885" t="s">
        <v>69</v>
      </c>
      <c r="AZ4885" t="b">
        <v>1</v>
      </c>
    </row>
    <row r="4886" spans="1:52" x14ac:dyDescent="0.3">
      <c r="A4886" t="s">
        <v>52</v>
      </c>
      <c r="B4886" t="s">
        <v>53</v>
      </c>
      <c r="C4886" t="s">
        <v>54</v>
      </c>
      <c r="D4886" t="s">
        <v>55</v>
      </c>
      <c r="E4886" t="s">
        <v>2224</v>
      </c>
      <c r="F4886" t="s">
        <v>190</v>
      </c>
      <c r="G4886" t="s">
        <v>2057</v>
      </c>
      <c r="H4886" t="s">
        <v>2058</v>
      </c>
      <c r="I4886" t="s">
        <v>2058</v>
      </c>
      <c r="J4886" t="s">
        <v>60</v>
      </c>
      <c r="K4886" t="s">
        <v>1237</v>
      </c>
      <c r="L4886" t="s">
        <v>62</v>
      </c>
      <c r="M4886" t="s">
        <v>1237</v>
      </c>
      <c r="N4886" t="s">
        <v>2059</v>
      </c>
      <c r="O4886" t="s">
        <v>315</v>
      </c>
      <c r="P4886">
        <v>-20.198418</v>
      </c>
      <c r="Q4886">
        <v>-44.937344000000003</v>
      </c>
      <c r="R4886" s="2" t="str">
        <f>HYPERLINK("https://www.google.com/maps?q=-20.1984180,-44.9373440","Abrir no Google Maps")</f>
        <v>Abrir no Google Maps</v>
      </c>
      <c r="S4886">
        <v>3</v>
      </c>
      <c r="T4886">
        <v>681.20132559707884</v>
      </c>
      <c r="U4886">
        <v>4</v>
      </c>
      <c r="V4886">
        <v>0.1779661016949152</v>
      </c>
      <c r="W4886">
        <v>0.85</v>
      </c>
      <c r="X4886">
        <v>0.15127118644067791</v>
      </c>
      <c r="Y4886">
        <v>113</v>
      </c>
      <c r="Z4886">
        <v>639.34162859061189</v>
      </c>
      <c r="AA4886">
        <v>198</v>
      </c>
      <c r="AB4886">
        <v>332</v>
      </c>
      <c r="AC4886">
        <v>536</v>
      </c>
      <c r="AD4886">
        <v>32.42</v>
      </c>
      <c r="AE4886">
        <v>542</v>
      </c>
      <c r="AF4886">
        <v>39</v>
      </c>
      <c r="AG4886">
        <v>173</v>
      </c>
      <c r="AH4886">
        <v>129</v>
      </c>
      <c r="AI4886">
        <v>7.2</v>
      </c>
      <c r="AJ4886">
        <v>31.92</v>
      </c>
      <c r="AK4886">
        <v>23.8</v>
      </c>
      <c r="AL4886">
        <v>-20.198113949999939</v>
      </c>
      <c r="AM4886">
        <v>-44.937138435092578</v>
      </c>
      <c r="AN4886">
        <v>-20.198113949999939</v>
      </c>
      <c r="AO4886">
        <v>-44.937138435092578</v>
      </c>
      <c r="AP4886">
        <v>-20.198418</v>
      </c>
      <c r="AQ4886">
        <v>-44.937344000000003</v>
      </c>
      <c r="AR4886">
        <v>40.085388434380476</v>
      </c>
      <c r="AS4886" t="s">
        <v>65</v>
      </c>
      <c r="AT4886">
        <v>1</v>
      </c>
      <c r="AU4886" t="s">
        <v>2060</v>
      </c>
      <c r="AV4886" t="s">
        <v>2061</v>
      </c>
      <c r="AW4886" t="s">
        <v>60</v>
      </c>
      <c r="AX4886" t="s">
        <v>68</v>
      </c>
      <c r="AY4886" t="s">
        <v>69</v>
      </c>
      <c r="AZ4886" t="b">
        <v>1</v>
      </c>
    </row>
    <row r="4887" spans="1:52" x14ac:dyDescent="0.3">
      <c r="A4887" t="s">
        <v>52</v>
      </c>
      <c r="B4887" t="s">
        <v>53</v>
      </c>
      <c r="C4887" t="s">
        <v>54</v>
      </c>
      <c r="D4887" t="s">
        <v>55</v>
      </c>
      <c r="E4887" t="s">
        <v>2224</v>
      </c>
      <c r="F4887" t="s">
        <v>190</v>
      </c>
      <c r="G4887" t="s">
        <v>1830</v>
      </c>
      <c r="H4887" t="s">
        <v>1831</v>
      </c>
      <c r="I4887" t="s">
        <v>1831</v>
      </c>
      <c r="J4887" t="s">
        <v>60</v>
      </c>
      <c r="K4887" t="s">
        <v>1243</v>
      </c>
      <c r="L4887" t="s">
        <v>62</v>
      </c>
      <c r="M4887" t="s">
        <v>1243</v>
      </c>
      <c r="N4887" t="s">
        <v>1832</v>
      </c>
      <c r="O4887" t="s">
        <v>1833</v>
      </c>
      <c r="P4887">
        <v>-20.196815999999998</v>
      </c>
      <c r="Q4887">
        <v>-44.940482000000003</v>
      </c>
      <c r="R4887" s="2" t="str">
        <f>HYPERLINK("https://www.google.com/maps?q=-20.1968160,-44.9404820","Abrir no Google Maps")</f>
        <v>Abrir no Google Maps</v>
      </c>
      <c r="S4887">
        <v>3</v>
      </c>
      <c r="T4887">
        <v>536.34378309151361</v>
      </c>
      <c r="U4887">
        <v>4</v>
      </c>
      <c r="V4887">
        <v>0.1556818181818182</v>
      </c>
      <c r="W4887">
        <v>1</v>
      </c>
      <c r="X4887">
        <v>0.1556818181818182</v>
      </c>
      <c r="Y4887">
        <v>113</v>
      </c>
      <c r="Z4887">
        <v>376.90325621866373</v>
      </c>
      <c r="AA4887">
        <v>198</v>
      </c>
      <c r="AB4887">
        <v>332</v>
      </c>
      <c r="AC4887">
        <v>536</v>
      </c>
      <c r="AD4887">
        <v>32.42</v>
      </c>
      <c r="AE4887">
        <v>542</v>
      </c>
      <c r="AF4887">
        <v>39</v>
      </c>
      <c r="AG4887">
        <v>173</v>
      </c>
      <c r="AH4887">
        <v>129</v>
      </c>
      <c r="AI4887">
        <v>7.2</v>
      </c>
      <c r="AJ4887">
        <v>31.92</v>
      </c>
      <c r="AK4887">
        <v>23.8</v>
      </c>
      <c r="AL4887">
        <v>-20.196517149999949</v>
      </c>
      <c r="AM4887">
        <v>-44.94010487355537</v>
      </c>
      <c r="AN4887">
        <v>-20.196517149999949</v>
      </c>
      <c r="AO4887">
        <v>-44.94010487355537</v>
      </c>
      <c r="AP4887">
        <v>-20.196815999999998</v>
      </c>
      <c r="AQ4887">
        <v>-44.940482000000003</v>
      </c>
      <c r="AR4887">
        <v>51.566969969189948</v>
      </c>
      <c r="AS4887" t="s">
        <v>65</v>
      </c>
      <c r="AT4887">
        <v>1</v>
      </c>
      <c r="AU4887" t="s">
        <v>1834</v>
      </c>
      <c r="AV4887" t="s">
        <v>1835</v>
      </c>
      <c r="AW4887" t="s">
        <v>60</v>
      </c>
      <c r="AX4887" t="s">
        <v>68</v>
      </c>
      <c r="AY4887" t="s">
        <v>69</v>
      </c>
      <c r="AZ4887" t="b">
        <v>1</v>
      </c>
    </row>
    <row r="4888" spans="1:52" x14ac:dyDescent="0.3">
      <c r="A4888" t="s">
        <v>52</v>
      </c>
      <c r="B4888" t="s">
        <v>53</v>
      </c>
      <c r="C4888" t="s">
        <v>54</v>
      </c>
      <c r="D4888" t="s">
        <v>55</v>
      </c>
      <c r="E4888" t="s">
        <v>2224</v>
      </c>
      <c r="F4888" t="s">
        <v>190</v>
      </c>
      <c r="G4888" t="s">
        <v>1836</v>
      </c>
      <c r="H4888" t="s">
        <v>1837</v>
      </c>
      <c r="I4888" t="s">
        <v>1837</v>
      </c>
      <c r="J4888" t="s">
        <v>60</v>
      </c>
      <c r="K4888" t="s">
        <v>1243</v>
      </c>
      <c r="L4888" t="s">
        <v>62</v>
      </c>
      <c r="M4888" t="s">
        <v>1243</v>
      </c>
      <c r="N4888" t="s">
        <v>1838</v>
      </c>
      <c r="O4888" t="s">
        <v>1839</v>
      </c>
      <c r="P4888">
        <v>-20.194417999999999</v>
      </c>
      <c r="Q4888">
        <v>-44.943080999999999</v>
      </c>
      <c r="R4888" s="2" t="str">
        <f>HYPERLINK("https://www.google.com/maps?q=-20.1944180,-44.9430810","Abrir no Google Maps")</f>
        <v>Abrir no Google Maps</v>
      </c>
      <c r="S4888">
        <v>3</v>
      </c>
      <c r="T4888">
        <v>570.3426559957137</v>
      </c>
      <c r="U4888">
        <v>4</v>
      </c>
      <c r="V4888">
        <v>0.15026595744680851</v>
      </c>
      <c r="W4888">
        <v>1</v>
      </c>
      <c r="X4888">
        <v>0.15026595744680851</v>
      </c>
      <c r="Y4888">
        <v>113</v>
      </c>
      <c r="Z4888">
        <v>342.73864025959449</v>
      </c>
      <c r="AA4888">
        <v>198</v>
      </c>
      <c r="AB4888">
        <v>332</v>
      </c>
      <c r="AC4888">
        <v>536</v>
      </c>
      <c r="AD4888">
        <v>32.42</v>
      </c>
      <c r="AE4888">
        <v>542</v>
      </c>
      <c r="AF4888">
        <v>39</v>
      </c>
      <c r="AG4888">
        <v>173</v>
      </c>
      <c r="AH4888">
        <v>129</v>
      </c>
      <c r="AI4888">
        <v>7.2</v>
      </c>
      <c r="AJ4888">
        <v>31.92</v>
      </c>
      <c r="AK4888">
        <v>23.8</v>
      </c>
      <c r="AL4888">
        <v>-20.194494749999929</v>
      </c>
      <c r="AM4888">
        <v>-44.942951635393733</v>
      </c>
      <c r="AN4888">
        <v>-20.194494749999929</v>
      </c>
      <c r="AO4888">
        <v>-44.942951635393733</v>
      </c>
      <c r="AP4888">
        <v>-20.194417999999999</v>
      </c>
      <c r="AQ4888">
        <v>-44.943080999999999</v>
      </c>
      <c r="AR4888">
        <v>15.9896188813922</v>
      </c>
      <c r="AS4888" t="s">
        <v>65</v>
      </c>
      <c r="AT4888">
        <v>1</v>
      </c>
      <c r="AU4888" t="s">
        <v>1840</v>
      </c>
      <c r="AV4888" t="s">
        <v>1841</v>
      </c>
      <c r="AW4888" t="s">
        <v>60</v>
      </c>
      <c r="AX4888" t="s">
        <v>68</v>
      </c>
      <c r="AY4888" t="s">
        <v>69</v>
      </c>
      <c r="AZ4888" t="b">
        <v>1</v>
      </c>
    </row>
    <row r="4889" spans="1:52" x14ac:dyDescent="0.3">
      <c r="A4889" t="s">
        <v>52</v>
      </c>
      <c r="B4889" t="s">
        <v>53</v>
      </c>
      <c r="C4889" t="s">
        <v>54</v>
      </c>
      <c r="D4889" t="s">
        <v>55</v>
      </c>
      <c r="E4889" t="s">
        <v>2224</v>
      </c>
      <c r="F4889" t="s">
        <v>190</v>
      </c>
      <c r="G4889" t="s">
        <v>1235</v>
      </c>
      <c r="H4889" t="s">
        <v>1236</v>
      </c>
      <c r="I4889" t="s">
        <v>1236</v>
      </c>
      <c r="J4889" t="s">
        <v>60</v>
      </c>
      <c r="K4889" t="s">
        <v>1237</v>
      </c>
      <c r="L4889" t="s">
        <v>62</v>
      </c>
      <c r="M4889" t="s">
        <v>1237</v>
      </c>
      <c r="N4889" t="s">
        <v>1238</v>
      </c>
      <c r="O4889" t="s">
        <v>315</v>
      </c>
      <c r="P4889">
        <v>-20.199687000000001</v>
      </c>
      <c r="Q4889">
        <v>-44.941882999999997</v>
      </c>
      <c r="R4889" s="2" t="str">
        <f>HYPERLINK("https://www.google.com/maps?q=-20.1996870,-44.9418830","Abrir no Google Maps")</f>
        <v>Abrir no Google Maps</v>
      </c>
      <c r="S4889">
        <v>3</v>
      </c>
      <c r="T4889">
        <v>928.80393950893483</v>
      </c>
      <c r="U4889">
        <v>4</v>
      </c>
      <c r="V4889">
        <v>0.1520408163265306</v>
      </c>
      <c r="W4889">
        <v>1</v>
      </c>
      <c r="X4889">
        <v>0.1520408163265306</v>
      </c>
      <c r="Y4889">
        <v>113</v>
      </c>
      <c r="Z4889">
        <v>798.11967422937732</v>
      </c>
      <c r="AA4889">
        <v>198</v>
      </c>
      <c r="AB4889">
        <v>332</v>
      </c>
      <c r="AC4889">
        <v>536</v>
      </c>
      <c r="AD4889">
        <v>32.42</v>
      </c>
      <c r="AE4889">
        <v>542</v>
      </c>
      <c r="AF4889">
        <v>39</v>
      </c>
      <c r="AG4889">
        <v>173</v>
      </c>
      <c r="AH4889">
        <v>129</v>
      </c>
      <c r="AI4889">
        <v>7.2</v>
      </c>
      <c r="AJ4889">
        <v>31.92</v>
      </c>
      <c r="AK4889">
        <v>23.8</v>
      </c>
      <c r="AL4889">
        <v>-20.199663899999958</v>
      </c>
      <c r="AM4889">
        <v>-44.941858448694838</v>
      </c>
      <c r="AN4889">
        <v>-20.199663899999958</v>
      </c>
      <c r="AO4889">
        <v>-44.941858448694838</v>
      </c>
      <c r="AP4889">
        <v>-20.199687000000001</v>
      </c>
      <c r="AQ4889">
        <v>-44.941882999999997</v>
      </c>
      <c r="AR4889">
        <v>3.632019521873886</v>
      </c>
      <c r="AS4889" t="s">
        <v>65</v>
      </c>
      <c r="AT4889">
        <v>1</v>
      </c>
      <c r="AU4889" t="s">
        <v>1239</v>
      </c>
      <c r="AV4889" t="s">
        <v>1240</v>
      </c>
      <c r="AW4889" t="s">
        <v>60</v>
      </c>
      <c r="AX4889" t="s">
        <v>68</v>
      </c>
      <c r="AY4889" t="s">
        <v>69</v>
      </c>
      <c r="AZ4889" t="b">
        <v>1</v>
      </c>
    </row>
    <row r="4890" spans="1:52" x14ac:dyDescent="0.3">
      <c r="A4890" t="s">
        <v>52</v>
      </c>
      <c r="B4890" t="s">
        <v>53</v>
      </c>
      <c r="C4890" t="s">
        <v>54</v>
      </c>
      <c r="D4890" t="s">
        <v>55</v>
      </c>
      <c r="E4890" t="s">
        <v>2224</v>
      </c>
      <c r="F4890" t="s">
        <v>190</v>
      </c>
      <c r="G4890" t="s">
        <v>1842</v>
      </c>
      <c r="H4890" t="s">
        <v>1843</v>
      </c>
      <c r="I4890" t="s">
        <v>1843</v>
      </c>
      <c r="J4890" t="s">
        <v>60</v>
      </c>
      <c r="K4890" t="s">
        <v>1243</v>
      </c>
      <c r="L4890" t="s">
        <v>62</v>
      </c>
      <c r="M4890" t="s">
        <v>1243</v>
      </c>
      <c r="N4890" t="s">
        <v>1844</v>
      </c>
      <c r="O4890" t="s">
        <v>598</v>
      </c>
      <c r="P4890">
        <v>-20.191507999999999</v>
      </c>
      <c r="Q4890">
        <v>-44.942765000000001</v>
      </c>
      <c r="R4890" s="2" t="str">
        <f>HYPERLINK("https://www.google.com/maps?q=-20.1915080,-44.9427650","Abrir no Google Maps")</f>
        <v>Abrir no Google Maps</v>
      </c>
      <c r="S4890">
        <v>3</v>
      </c>
      <c r="T4890">
        <v>481.65843439031818</v>
      </c>
      <c r="U4890">
        <v>4</v>
      </c>
      <c r="V4890">
        <v>0.14655172413793099</v>
      </c>
      <c r="W4890">
        <v>1</v>
      </c>
      <c r="X4890">
        <v>0.14655172413793099</v>
      </c>
      <c r="Y4890">
        <v>113</v>
      </c>
      <c r="Z4890">
        <v>403.01657911729887</v>
      </c>
      <c r="AA4890">
        <v>198</v>
      </c>
      <c r="AB4890">
        <v>332</v>
      </c>
      <c r="AC4890">
        <v>536</v>
      </c>
      <c r="AD4890">
        <v>32.42</v>
      </c>
      <c r="AE4890">
        <v>542</v>
      </c>
      <c r="AF4890">
        <v>39</v>
      </c>
      <c r="AG4890">
        <v>173</v>
      </c>
      <c r="AH4890">
        <v>129</v>
      </c>
      <c r="AI4890">
        <v>7.2</v>
      </c>
      <c r="AJ4890">
        <v>31.92</v>
      </c>
      <c r="AK4890">
        <v>23.8</v>
      </c>
      <c r="AL4890">
        <v>-20.19144764999993</v>
      </c>
      <c r="AM4890">
        <v>-44.942723431709183</v>
      </c>
      <c r="AN4890">
        <v>-20.19144764999993</v>
      </c>
      <c r="AO4890">
        <v>-44.942723431709183</v>
      </c>
      <c r="AP4890">
        <v>-20.191507999999999</v>
      </c>
      <c r="AQ4890">
        <v>-44.942765000000001</v>
      </c>
      <c r="AR4890">
        <v>7.9997116897974587</v>
      </c>
      <c r="AS4890" t="s">
        <v>65</v>
      </c>
      <c r="AT4890">
        <v>1</v>
      </c>
      <c r="AU4890" t="s">
        <v>1845</v>
      </c>
      <c r="AV4890" t="s">
        <v>1846</v>
      </c>
      <c r="AW4890" t="s">
        <v>60</v>
      </c>
      <c r="AX4890" t="s">
        <v>68</v>
      </c>
      <c r="AY4890" t="s">
        <v>69</v>
      </c>
      <c r="AZ4890" t="b">
        <v>1</v>
      </c>
    </row>
    <row r="4891" spans="1:52" x14ac:dyDescent="0.3">
      <c r="A4891" t="s">
        <v>52</v>
      </c>
      <c r="B4891" t="s">
        <v>53</v>
      </c>
      <c r="C4891" t="s">
        <v>54</v>
      </c>
      <c r="D4891" t="s">
        <v>55</v>
      </c>
      <c r="E4891" t="s">
        <v>2224</v>
      </c>
      <c r="F4891" t="s">
        <v>190</v>
      </c>
      <c r="G4891" t="s">
        <v>1241</v>
      </c>
      <c r="H4891" t="s">
        <v>1242</v>
      </c>
      <c r="I4891" t="s">
        <v>1242</v>
      </c>
      <c r="J4891" t="s">
        <v>60</v>
      </c>
      <c r="K4891" t="s">
        <v>1243</v>
      </c>
      <c r="L4891" t="s">
        <v>62</v>
      </c>
      <c r="M4891" t="s">
        <v>1243</v>
      </c>
      <c r="N4891" t="s">
        <v>1244</v>
      </c>
      <c r="O4891" t="s">
        <v>315</v>
      </c>
      <c r="P4891">
        <v>-20.188538000000001</v>
      </c>
      <c r="Q4891">
        <v>-44.930104</v>
      </c>
      <c r="R4891" s="2" t="str">
        <f>HYPERLINK("https://www.google.com/maps?q=-20.1885380,-44.9301040","Abrir no Google Maps")</f>
        <v>Abrir no Google Maps</v>
      </c>
      <c r="S4891">
        <v>3</v>
      </c>
      <c r="T4891">
        <v>928.27105405717066</v>
      </c>
      <c r="U4891">
        <v>4</v>
      </c>
      <c r="V4891">
        <v>0.1393939393939394</v>
      </c>
      <c r="W4891">
        <v>1</v>
      </c>
      <c r="X4891">
        <v>0.1393939393939394</v>
      </c>
      <c r="Y4891">
        <v>113</v>
      </c>
      <c r="Z4891">
        <v>1111.4269393179579</v>
      </c>
      <c r="AA4891">
        <v>198</v>
      </c>
      <c r="AB4891">
        <v>332</v>
      </c>
      <c r="AC4891">
        <v>536</v>
      </c>
      <c r="AD4891">
        <v>32.42</v>
      </c>
      <c r="AE4891">
        <v>542</v>
      </c>
      <c r="AF4891">
        <v>39</v>
      </c>
      <c r="AG4891">
        <v>173</v>
      </c>
      <c r="AH4891">
        <v>129</v>
      </c>
      <c r="AI4891">
        <v>7.2</v>
      </c>
      <c r="AJ4891">
        <v>31.92</v>
      </c>
      <c r="AK4891">
        <v>23.8</v>
      </c>
      <c r="AL4891">
        <v>-20.18852899999996</v>
      </c>
      <c r="AM4891">
        <v>-44.930083089036543</v>
      </c>
      <c r="AN4891">
        <v>-20.18852899999996</v>
      </c>
      <c r="AO4891">
        <v>-44.930083089036543</v>
      </c>
      <c r="AP4891">
        <v>-20.188538000000001</v>
      </c>
      <c r="AQ4891">
        <v>-44.930104</v>
      </c>
      <c r="AR4891">
        <v>2.4035564137158438</v>
      </c>
      <c r="AS4891" t="s">
        <v>65</v>
      </c>
      <c r="AT4891">
        <v>1</v>
      </c>
      <c r="AU4891" t="s">
        <v>1245</v>
      </c>
      <c r="AV4891" t="s">
        <v>1246</v>
      </c>
      <c r="AW4891" t="s">
        <v>60</v>
      </c>
      <c r="AX4891" t="s">
        <v>68</v>
      </c>
      <c r="AY4891" t="s">
        <v>69</v>
      </c>
      <c r="AZ4891" t="b">
        <v>1</v>
      </c>
    </row>
    <row r="4892" spans="1:52" x14ac:dyDescent="0.3">
      <c r="A4892" t="s">
        <v>52</v>
      </c>
      <c r="B4892" t="s">
        <v>53</v>
      </c>
      <c r="C4892" t="s">
        <v>54</v>
      </c>
      <c r="D4892" t="s">
        <v>55</v>
      </c>
      <c r="E4892" t="s">
        <v>2224</v>
      </c>
      <c r="F4892" t="s">
        <v>190</v>
      </c>
      <c r="G4892" t="s">
        <v>2068</v>
      </c>
      <c r="H4892" t="s">
        <v>2069</v>
      </c>
      <c r="I4892" t="s">
        <v>2069</v>
      </c>
      <c r="J4892" t="s">
        <v>60</v>
      </c>
      <c r="K4892" t="s">
        <v>1243</v>
      </c>
      <c r="L4892" t="s">
        <v>62</v>
      </c>
      <c r="M4892" t="s">
        <v>1243</v>
      </c>
      <c r="N4892" t="s">
        <v>2070</v>
      </c>
      <c r="O4892" t="s">
        <v>2071</v>
      </c>
      <c r="P4892">
        <v>-20.191583999999999</v>
      </c>
      <c r="Q4892">
        <v>-44.935839999999999</v>
      </c>
      <c r="R4892" s="2" t="str">
        <f>HYPERLINK("https://www.google.com/maps?q=-20.1915840,-44.9358400","Abrir no Google Maps")</f>
        <v>Abrir no Google Maps</v>
      </c>
      <c r="S4892">
        <v>3</v>
      </c>
      <c r="T4892">
        <v>307.37698546101831</v>
      </c>
      <c r="U4892">
        <v>4</v>
      </c>
      <c r="V4892">
        <v>0.16297468354430381</v>
      </c>
      <c r="W4892">
        <v>0.85</v>
      </c>
      <c r="X4892">
        <v>0.13852848101265819</v>
      </c>
      <c r="Y4892">
        <v>113</v>
      </c>
      <c r="Z4892">
        <v>564.35501618411911</v>
      </c>
      <c r="AA4892">
        <v>198</v>
      </c>
      <c r="AB4892">
        <v>332</v>
      </c>
      <c r="AC4892">
        <v>536</v>
      </c>
      <c r="AD4892">
        <v>32.42</v>
      </c>
      <c r="AE4892">
        <v>542</v>
      </c>
      <c r="AF4892">
        <v>39</v>
      </c>
      <c r="AG4892">
        <v>173</v>
      </c>
      <c r="AH4892">
        <v>129</v>
      </c>
      <c r="AI4892">
        <v>7.2</v>
      </c>
      <c r="AJ4892">
        <v>31.92</v>
      </c>
      <c r="AK4892">
        <v>23.8</v>
      </c>
      <c r="AL4892">
        <v>-20.191156699999961</v>
      </c>
      <c r="AM4892">
        <v>-44.935363697152681</v>
      </c>
      <c r="AN4892">
        <v>-20.191156699999961</v>
      </c>
      <c r="AO4892">
        <v>-44.935363697152681</v>
      </c>
      <c r="AP4892">
        <v>-20.191583999999999</v>
      </c>
      <c r="AQ4892">
        <v>-44.935839999999999</v>
      </c>
      <c r="AR4892">
        <v>68.84070092388103</v>
      </c>
      <c r="AS4892" t="s">
        <v>65</v>
      </c>
      <c r="AT4892">
        <v>1</v>
      </c>
      <c r="AU4892" t="s">
        <v>2072</v>
      </c>
      <c r="AV4892" t="s">
        <v>2073</v>
      </c>
      <c r="AW4892" t="s">
        <v>60</v>
      </c>
      <c r="AX4892" t="s">
        <v>68</v>
      </c>
      <c r="AY4892" t="s">
        <v>69</v>
      </c>
      <c r="AZ4892" t="b">
        <v>1</v>
      </c>
    </row>
    <row r="4893" spans="1:52" x14ac:dyDescent="0.3">
      <c r="A4893" t="s">
        <v>52</v>
      </c>
      <c r="B4893" t="s">
        <v>53</v>
      </c>
      <c r="C4893" t="s">
        <v>54</v>
      </c>
      <c r="D4893" t="s">
        <v>55</v>
      </c>
      <c r="E4893" t="s">
        <v>2224</v>
      </c>
      <c r="F4893" t="s">
        <v>190</v>
      </c>
      <c r="G4893" t="s">
        <v>1235</v>
      </c>
      <c r="H4893" t="s">
        <v>1847</v>
      </c>
      <c r="I4893" t="s">
        <v>1847</v>
      </c>
      <c r="J4893" t="s">
        <v>60</v>
      </c>
      <c r="K4893" t="s">
        <v>1243</v>
      </c>
      <c r="L4893" t="s">
        <v>62</v>
      </c>
      <c r="M4893" t="s">
        <v>1243</v>
      </c>
      <c r="N4893" t="s">
        <v>1238</v>
      </c>
      <c r="O4893" t="s">
        <v>1351</v>
      </c>
      <c r="P4893">
        <v>-20.194087</v>
      </c>
      <c r="Q4893">
        <v>-44.936889999999998</v>
      </c>
      <c r="R4893" s="2" t="str">
        <f>HYPERLINK("https://www.google.com/maps?q=-20.1940870,-44.9368900","Abrir no Google Maps")</f>
        <v>Abrir no Google Maps</v>
      </c>
      <c r="S4893">
        <v>3</v>
      </c>
      <c r="T4893">
        <v>257.18642318734362</v>
      </c>
      <c r="U4893">
        <v>4</v>
      </c>
      <c r="V4893">
        <v>0.1570945945945946</v>
      </c>
      <c r="W4893">
        <v>1</v>
      </c>
      <c r="X4893">
        <v>0.1570945945945946</v>
      </c>
      <c r="Y4893">
        <v>113</v>
      </c>
      <c r="Z4893">
        <v>339.77652558311001</v>
      </c>
      <c r="AA4893">
        <v>198</v>
      </c>
      <c r="AB4893">
        <v>332</v>
      </c>
      <c r="AC4893">
        <v>536</v>
      </c>
      <c r="AD4893">
        <v>32.42</v>
      </c>
      <c r="AE4893">
        <v>542</v>
      </c>
      <c r="AF4893">
        <v>39</v>
      </c>
      <c r="AG4893">
        <v>173</v>
      </c>
      <c r="AH4893">
        <v>129</v>
      </c>
      <c r="AI4893">
        <v>7.2</v>
      </c>
      <c r="AJ4893">
        <v>31.92</v>
      </c>
      <c r="AK4893">
        <v>23.8</v>
      </c>
      <c r="AL4893">
        <v>-20.19405954999996</v>
      </c>
      <c r="AM4893">
        <v>-44.936949074015281</v>
      </c>
      <c r="AN4893">
        <v>-20.19405954999996</v>
      </c>
      <c r="AO4893">
        <v>-44.936949074015281</v>
      </c>
      <c r="AP4893">
        <v>-20.194087</v>
      </c>
      <c r="AQ4893">
        <v>-44.936889999999998</v>
      </c>
      <c r="AR4893">
        <v>6.8869138825619167</v>
      </c>
      <c r="AS4893" t="s">
        <v>65</v>
      </c>
      <c r="AT4893">
        <v>1</v>
      </c>
      <c r="AU4893" t="s">
        <v>1848</v>
      </c>
      <c r="AV4893" t="s">
        <v>1849</v>
      </c>
      <c r="AW4893" t="s">
        <v>60</v>
      </c>
      <c r="AX4893" t="s">
        <v>68</v>
      </c>
      <c r="AY4893" t="s">
        <v>69</v>
      </c>
      <c r="AZ4893" t="b">
        <v>1</v>
      </c>
    </row>
    <row r="4894" spans="1:52" x14ac:dyDescent="0.3">
      <c r="A4894" t="s">
        <v>52</v>
      </c>
      <c r="B4894" t="s">
        <v>53</v>
      </c>
      <c r="C4894" t="s">
        <v>54</v>
      </c>
      <c r="D4894" t="s">
        <v>55</v>
      </c>
      <c r="E4894" t="s">
        <v>2224</v>
      </c>
      <c r="F4894" t="s">
        <v>190</v>
      </c>
      <c r="G4894" t="s">
        <v>1850</v>
      </c>
      <c r="H4894" t="s">
        <v>1851</v>
      </c>
      <c r="I4894" t="s">
        <v>1851</v>
      </c>
      <c r="J4894" t="s">
        <v>60</v>
      </c>
      <c r="K4894" t="s">
        <v>1681</v>
      </c>
      <c r="L4894" t="s">
        <v>62</v>
      </c>
      <c r="M4894" t="s">
        <v>1681</v>
      </c>
      <c r="N4894" t="s">
        <v>1852</v>
      </c>
      <c r="O4894" t="s">
        <v>1853</v>
      </c>
      <c r="P4894">
        <v>-20.139354000000001</v>
      </c>
      <c r="Q4894">
        <v>-44.855398999999998</v>
      </c>
      <c r="R4894" s="2" t="str">
        <f>HYPERLINK("https://www.google.com/maps?q=-20.1393540,-44.8553990","Abrir no Google Maps")</f>
        <v>Abrir no Google Maps</v>
      </c>
      <c r="S4894">
        <v>3</v>
      </c>
      <c r="T4894">
        <v>694.41696355871329</v>
      </c>
      <c r="U4894">
        <v>4</v>
      </c>
      <c r="V4894">
        <v>0.14037433155080209</v>
      </c>
      <c r="W4894">
        <v>1</v>
      </c>
      <c r="X4894">
        <v>0.14037433155080209</v>
      </c>
      <c r="Y4894">
        <v>95</v>
      </c>
      <c r="Z4894">
        <v>790.58507878435637</v>
      </c>
      <c r="AA4894">
        <v>198</v>
      </c>
      <c r="AB4894">
        <v>332</v>
      </c>
      <c r="AC4894">
        <v>536</v>
      </c>
      <c r="AD4894">
        <v>32.42</v>
      </c>
      <c r="AE4894">
        <v>542</v>
      </c>
      <c r="AF4894">
        <v>39</v>
      </c>
      <c r="AG4894">
        <v>173</v>
      </c>
      <c r="AH4894">
        <v>129</v>
      </c>
      <c r="AI4894">
        <v>7.2</v>
      </c>
      <c r="AJ4894">
        <v>31.92</v>
      </c>
      <c r="AK4894">
        <v>23.8</v>
      </c>
      <c r="AL4894">
        <v>-20.139412599999961</v>
      </c>
      <c r="AM4894">
        <v>-44.855150404999961</v>
      </c>
      <c r="AN4894">
        <v>-20.139412599999961</v>
      </c>
      <c r="AO4894">
        <v>-44.855150404999961</v>
      </c>
      <c r="AP4894">
        <v>-20.139354000000001</v>
      </c>
      <c r="AQ4894">
        <v>-44.855398999999998</v>
      </c>
      <c r="AR4894">
        <v>26.787980665123101</v>
      </c>
      <c r="AS4894" t="s">
        <v>65</v>
      </c>
      <c r="AT4894">
        <v>1</v>
      </c>
      <c r="AU4894" t="s">
        <v>1854</v>
      </c>
      <c r="AV4894" t="s">
        <v>1855</v>
      </c>
      <c r="AW4894" t="s">
        <v>60</v>
      </c>
      <c r="AX4894" t="s">
        <v>68</v>
      </c>
      <c r="AY4894" t="s">
        <v>69</v>
      </c>
      <c r="AZ4894" t="b">
        <v>1</v>
      </c>
    </row>
    <row r="4895" spans="1:52" x14ac:dyDescent="0.3">
      <c r="A4895" t="s">
        <v>52</v>
      </c>
      <c r="B4895" t="s">
        <v>53</v>
      </c>
      <c r="C4895" t="s">
        <v>54</v>
      </c>
      <c r="D4895" t="s">
        <v>55</v>
      </c>
      <c r="E4895" t="s">
        <v>2224</v>
      </c>
      <c r="F4895" t="s">
        <v>190</v>
      </c>
      <c r="G4895" t="s">
        <v>1193</v>
      </c>
      <c r="H4895" t="s">
        <v>2089</v>
      </c>
      <c r="I4895" t="s">
        <v>2089</v>
      </c>
      <c r="J4895" t="s">
        <v>60</v>
      </c>
      <c r="K4895" t="s">
        <v>1797</v>
      </c>
      <c r="L4895" t="s">
        <v>62</v>
      </c>
      <c r="M4895" t="s">
        <v>1797</v>
      </c>
      <c r="N4895" t="s">
        <v>2090</v>
      </c>
      <c r="O4895" t="s">
        <v>2091</v>
      </c>
      <c r="P4895">
        <v>-20.131095999999999</v>
      </c>
      <c r="Q4895">
        <v>-44.849972999999999</v>
      </c>
      <c r="R4895" s="2" t="str">
        <f>HYPERLINK("https://www.google.com/maps?q=-20.1310960,-44.8499730","Abrir no Google Maps")</f>
        <v>Abrir no Google Maps</v>
      </c>
      <c r="S4895">
        <v>3</v>
      </c>
      <c r="T4895">
        <v>537.19051863771813</v>
      </c>
      <c r="U4895">
        <v>4</v>
      </c>
      <c r="V4895">
        <v>0.15909090909090909</v>
      </c>
      <c r="W4895">
        <v>0.85</v>
      </c>
      <c r="X4895">
        <v>0.1352272727272727</v>
      </c>
      <c r="Y4895">
        <v>95</v>
      </c>
      <c r="Z4895">
        <v>759.25593758629111</v>
      </c>
      <c r="AA4895">
        <v>198</v>
      </c>
      <c r="AB4895">
        <v>332</v>
      </c>
      <c r="AC4895">
        <v>536</v>
      </c>
      <c r="AD4895">
        <v>32.42</v>
      </c>
      <c r="AE4895">
        <v>542</v>
      </c>
      <c r="AF4895">
        <v>39</v>
      </c>
      <c r="AG4895">
        <v>173</v>
      </c>
      <c r="AH4895">
        <v>129</v>
      </c>
      <c r="AI4895">
        <v>7.2</v>
      </c>
      <c r="AJ4895">
        <v>31.92</v>
      </c>
      <c r="AK4895">
        <v>23.8</v>
      </c>
      <c r="AL4895">
        <v>-20.131014649999969</v>
      </c>
      <c r="AM4895">
        <v>-44.851386102569123</v>
      </c>
      <c r="AN4895">
        <v>-20.131014649999969</v>
      </c>
      <c r="AO4895">
        <v>-44.851386102569123</v>
      </c>
      <c r="AP4895">
        <v>-20.131095999999999</v>
      </c>
      <c r="AQ4895">
        <v>-44.849972999999999</v>
      </c>
      <c r="AR4895">
        <v>147.97378497445629</v>
      </c>
      <c r="AS4895" t="s">
        <v>65</v>
      </c>
      <c r="AT4895">
        <v>1</v>
      </c>
      <c r="AU4895" t="s">
        <v>2092</v>
      </c>
      <c r="AV4895" t="s">
        <v>2093</v>
      </c>
      <c r="AW4895" t="s">
        <v>60</v>
      </c>
      <c r="AX4895" t="s">
        <v>68</v>
      </c>
      <c r="AY4895" t="s">
        <v>69</v>
      </c>
      <c r="AZ4895" t="b">
        <v>1</v>
      </c>
    </row>
    <row r="4896" spans="1:52" x14ac:dyDescent="0.3">
      <c r="A4896" t="s">
        <v>52</v>
      </c>
      <c r="B4896" t="s">
        <v>53</v>
      </c>
      <c r="C4896" t="s">
        <v>54</v>
      </c>
      <c r="D4896" t="s">
        <v>55</v>
      </c>
      <c r="E4896" t="s">
        <v>2224</v>
      </c>
      <c r="F4896" t="s">
        <v>190</v>
      </c>
      <c r="G4896" t="s">
        <v>2094</v>
      </c>
      <c r="H4896" t="s">
        <v>2095</v>
      </c>
      <c r="I4896" t="s">
        <v>2095</v>
      </c>
      <c r="J4896" t="s">
        <v>60</v>
      </c>
      <c r="K4896" t="s">
        <v>1797</v>
      </c>
      <c r="L4896" t="s">
        <v>62</v>
      </c>
      <c r="M4896" t="s">
        <v>1797</v>
      </c>
      <c r="N4896" t="s">
        <v>2096</v>
      </c>
      <c r="O4896" t="s">
        <v>315</v>
      </c>
      <c r="P4896">
        <v>-20.140082</v>
      </c>
      <c r="Q4896">
        <v>-44.846947</v>
      </c>
      <c r="R4896" s="2" t="str">
        <f>HYPERLINK("https://www.google.com/maps?q=-20.1400820,-44.8469470","Abrir no Google Maps")</f>
        <v>Abrir no Google Maps</v>
      </c>
      <c r="S4896">
        <v>3</v>
      </c>
      <c r="T4896">
        <v>1379.631793854335</v>
      </c>
      <c r="U4896">
        <v>4</v>
      </c>
      <c r="V4896">
        <v>0.1666666666666666</v>
      </c>
      <c r="W4896">
        <v>0.85</v>
      </c>
      <c r="X4896">
        <v>0.14166666666666661</v>
      </c>
      <c r="Y4896">
        <v>95</v>
      </c>
      <c r="Z4896">
        <v>1497.10194218233</v>
      </c>
      <c r="AA4896">
        <v>198</v>
      </c>
      <c r="AB4896">
        <v>332</v>
      </c>
      <c r="AC4896">
        <v>536</v>
      </c>
      <c r="AD4896">
        <v>32.42</v>
      </c>
      <c r="AE4896">
        <v>542</v>
      </c>
      <c r="AF4896">
        <v>39</v>
      </c>
      <c r="AG4896">
        <v>173</v>
      </c>
      <c r="AH4896">
        <v>129</v>
      </c>
      <c r="AI4896">
        <v>7.2</v>
      </c>
      <c r="AJ4896">
        <v>31.92</v>
      </c>
      <c r="AK4896">
        <v>23.8</v>
      </c>
      <c r="AL4896">
        <v>-20.141991249999961</v>
      </c>
      <c r="AM4896">
        <v>-44.846701290794478</v>
      </c>
      <c r="AN4896">
        <v>-20.141991249999961</v>
      </c>
      <c r="AO4896">
        <v>-44.846701290794478</v>
      </c>
      <c r="AP4896">
        <v>-20.140082</v>
      </c>
      <c r="AQ4896">
        <v>-44.846947</v>
      </c>
      <c r="AR4896">
        <v>214.08343424718549</v>
      </c>
      <c r="AS4896" t="s">
        <v>65</v>
      </c>
      <c r="AT4896">
        <v>1</v>
      </c>
      <c r="AU4896" t="s">
        <v>2097</v>
      </c>
      <c r="AV4896" t="s">
        <v>2098</v>
      </c>
      <c r="AW4896" t="s">
        <v>60</v>
      </c>
      <c r="AX4896" t="s">
        <v>68</v>
      </c>
      <c r="AY4896" t="s">
        <v>69</v>
      </c>
      <c r="AZ4896" t="b">
        <v>1</v>
      </c>
    </row>
    <row r="4897" spans="1:52" x14ac:dyDescent="0.3">
      <c r="A4897" t="s">
        <v>52</v>
      </c>
      <c r="B4897" t="s">
        <v>53</v>
      </c>
      <c r="C4897" t="s">
        <v>54</v>
      </c>
      <c r="D4897" t="s">
        <v>55</v>
      </c>
      <c r="E4897" t="s">
        <v>2224</v>
      </c>
      <c r="F4897" t="s">
        <v>190</v>
      </c>
      <c r="G4897" t="s">
        <v>1278</v>
      </c>
      <c r="H4897" t="s">
        <v>1279</v>
      </c>
      <c r="I4897" t="s">
        <v>1279</v>
      </c>
      <c r="J4897" t="s">
        <v>60</v>
      </c>
      <c r="K4897" t="s">
        <v>388</v>
      </c>
      <c r="L4897" t="s">
        <v>62</v>
      </c>
      <c r="M4897" t="s">
        <v>388</v>
      </c>
      <c r="N4897" t="s">
        <v>1280</v>
      </c>
      <c r="O4897" t="s">
        <v>216</v>
      </c>
      <c r="P4897">
        <v>-20.15681</v>
      </c>
      <c r="Q4897">
        <v>-44.899290999999998</v>
      </c>
      <c r="R4897" s="2" t="str">
        <f>HYPERLINK("https://www.google.com/maps?q=-20.1568100,-44.8992910","Abrir no Google Maps")</f>
        <v>Abrir no Google Maps</v>
      </c>
      <c r="S4897">
        <v>3</v>
      </c>
      <c r="T4897">
        <v>180.10162979749811</v>
      </c>
      <c r="U4897">
        <v>3</v>
      </c>
      <c r="V4897">
        <v>0.13750000000000001</v>
      </c>
      <c r="W4897">
        <v>0.85</v>
      </c>
      <c r="X4897">
        <v>0.11687500000000001</v>
      </c>
      <c r="Y4897">
        <v>729</v>
      </c>
      <c r="Z4897">
        <v>368.06065118133841</v>
      </c>
      <c r="AA4897">
        <v>198</v>
      </c>
      <c r="AB4897">
        <v>332</v>
      </c>
      <c r="AC4897">
        <v>536</v>
      </c>
      <c r="AD4897">
        <v>32.42</v>
      </c>
      <c r="AE4897">
        <v>542</v>
      </c>
      <c r="AF4897">
        <v>39</v>
      </c>
      <c r="AG4897">
        <v>173</v>
      </c>
      <c r="AH4897">
        <v>129</v>
      </c>
      <c r="AI4897">
        <v>7.2</v>
      </c>
      <c r="AJ4897">
        <v>31.92</v>
      </c>
      <c r="AK4897">
        <v>23.8</v>
      </c>
      <c r="AL4897">
        <v>-20.156785649999961</v>
      </c>
      <c r="AM4897">
        <v>-44.899254812291332</v>
      </c>
      <c r="AN4897">
        <v>-20.156785649999961</v>
      </c>
      <c r="AO4897">
        <v>-44.899254812291332</v>
      </c>
      <c r="AP4897">
        <v>-20.15681</v>
      </c>
      <c r="AQ4897">
        <v>-44.899290999999998</v>
      </c>
      <c r="AR4897">
        <v>4.6528211992813118</v>
      </c>
      <c r="AS4897" t="s">
        <v>65</v>
      </c>
      <c r="AT4897">
        <v>1</v>
      </c>
      <c r="AU4897" t="s">
        <v>1281</v>
      </c>
      <c r="AV4897" t="s">
        <v>1282</v>
      </c>
      <c r="AW4897" t="s">
        <v>60</v>
      </c>
      <c r="AX4897" t="s">
        <v>68</v>
      </c>
      <c r="AY4897" t="s">
        <v>69</v>
      </c>
      <c r="AZ4897" t="b">
        <v>1</v>
      </c>
    </row>
    <row r="4898" spans="1:52" x14ac:dyDescent="0.3">
      <c r="A4898" t="s">
        <v>52</v>
      </c>
      <c r="B4898" t="s">
        <v>53</v>
      </c>
      <c r="C4898" t="s">
        <v>54</v>
      </c>
      <c r="D4898" t="s">
        <v>55</v>
      </c>
      <c r="E4898" t="s">
        <v>2224</v>
      </c>
      <c r="F4898" t="s">
        <v>190</v>
      </c>
      <c r="G4898" t="s">
        <v>1417</v>
      </c>
      <c r="H4898" t="s">
        <v>1418</v>
      </c>
      <c r="I4898" t="s">
        <v>1418</v>
      </c>
      <c r="J4898" t="s">
        <v>60</v>
      </c>
      <c r="K4898" t="s">
        <v>1419</v>
      </c>
      <c r="L4898" t="s">
        <v>62</v>
      </c>
      <c r="M4898" t="s">
        <v>1419</v>
      </c>
      <c r="N4898" t="s">
        <v>1420</v>
      </c>
      <c r="O4898" t="s">
        <v>1421</v>
      </c>
      <c r="P4898">
        <v>-20.159427000000001</v>
      </c>
      <c r="Q4898">
        <v>-44.897143</v>
      </c>
      <c r="R4898" s="2" t="str">
        <f>HYPERLINK("https://www.google.com/maps?q=-20.1594270,-44.8971430","Abrir no Google Maps")</f>
        <v>Abrir no Google Maps</v>
      </c>
      <c r="S4898">
        <v>3</v>
      </c>
      <c r="T4898">
        <v>392.64349875646298</v>
      </c>
      <c r="U4898">
        <v>3</v>
      </c>
      <c r="V4898">
        <v>0.1436170212765957</v>
      </c>
      <c r="W4898">
        <v>0.85</v>
      </c>
      <c r="X4898">
        <v>0.1220744680851063</v>
      </c>
      <c r="Y4898">
        <v>729</v>
      </c>
      <c r="Z4898">
        <v>550.20062797366995</v>
      </c>
      <c r="AA4898">
        <v>198</v>
      </c>
      <c r="AB4898">
        <v>332</v>
      </c>
      <c r="AC4898">
        <v>536</v>
      </c>
      <c r="AD4898">
        <v>32.42</v>
      </c>
      <c r="AE4898">
        <v>542</v>
      </c>
      <c r="AF4898">
        <v>39</v>
      </c>
      <c r="AG4898">
        <v>173</v>
      </c>
      <c r="AH4898">
        <v>129</v>
      </c>
      <c r="AI4898">
        <v>7.2</v>
      </c>
      <c r="AJ4898">
        <v>31.92</v>
      </c>
      <c r="AK4898">
        <v>23.8</v>
      </c>
      <c r="AL4898">
        <v>-20.15946549999995</v>
      </c>
      <c r="AM4898">
        <v>-44.89709959354267</v>
      </c>
      <c r="AN4898">
        <v>-20.15946549999995</v>
      </c>
      <c r="AO4898">
        <v>-44.89709959354267</v>
      </c>
      <c r="AP4898">
        <v>-20.159427000000001</v>
      </c>
      <c r="AQ4898">
        <v>-44.897143</v>
      </c>
      <c r="AR4898">
        <v>6.2404649979039286</v>
      </c>
      <c r="AS4898" t="s">
        <v>65</v>
      </c>
      <c r="AT4898">
        <v>1</v>
      </c>
      <c r="AU4898" t="s">
        <v>1422</v>
      </c>
      <c r="AV4898" t="s">
        <v>1423</v>
      </c>
      <c r="AW4898" t="s">
        <v>60</v>
      </c>
      <c r="AX4898" t="s">
        <v>68</v>
      </c>
      <c r="AY4898" t="s">
        <v>69</v>
      </c>
      <c r="AZ4898" t="b">
        <v>1</v>
      </c>
    </row>
    <row r="4899" spans="1:52" x14ac:dyDescent="0.3">
      <c r="A4899" t="s">
        <v>52</v>
      </c>
      <c r="B4899" t="s">
        <v>53</v>
      </c>
      <c r="C4899" t="s">
        <v>54</v>
      </c>
      <c r="D4899" t="s">
        <v>55</v>
      </c>
      <c r="E4899" t="s">
        <v>2224</v>
      </c>
      <c r="F4899" t="s">
        <v>190</v>
      </c>
      <c r="G4899" t="s">
        <v>422</v>
      </c>
      <c r="H4899" t="s">
        <v>423</v>
      </c>
      <c r="I4899" t="s">
        <v>423</v>
      </c>
      <c r="J4899" t="s">
        <v>60</v>
      </c>
      <c r="K4899" t="s">
        <v>424</v>
      </c>
      <c r="L4899" t="s">
        <v>62</v>
      </c>
      <c r="M4899" t="s">
        <v>424</v>
      </c>
      <c r="N4899" t="s">
        <v>425</v>
      </c>
      <c r="O4899" t="s">
        <v>426</v>
      </c>
      <c r="P4899">
        <v>-20.177748000000001</v>
      </c>
      <c r="Q4899">
        <v>-44.912475000000001</v>
      </c>
      <c r="R4899" s="2" t="str">
        <f>HYPERLINK("https://www.google.com/maps?q=-20.1777480,-44.9124750","Abrir no Google Maps")</f>
        <v>Abrir no Google Maps</v>
      </c>
      <c r="S4899">
        <v>3</v>
      </c>
      <c r="T4899">
        <v>657.07560140436533</v>
      </c>
      <c r="U4899">
        <v>3</v>
      </c>
      <c r="V4899">
        <v>0.1200440528634361</v>
      </c>
      <c r="W4899">
        <v>1</v>
      </c>
      <c r="X4899">
        <v>0.1200440528634361</v>
      </c>
      <c r="Y4899">
        <v>723</v>
      </c>
      <c r="Z4899">
        <v>796.94198000561175</v>
      </c>
      <c r="AA4899">
        <v>198</v>
      </c>
      <c r="AB4899">
        <v>332</v>
      </c>
      <c r="AC4899">
        <v>536</v>
      </c>
      <c r="AD4899">
        <v>32.42</v>
      </c>
      <c r="AE4899">
        <v>542</v>
      </c>
      <c r="AF4899">
        <v>39</v>
      </c>
      <c r="AG4899">
        <v>173</v>
      </c>
      <c r="AH4899">
        <v>129</v>
      </c>
      <c r="AI4899">
        <v>7.2</v>
      </c>
      <c r="AJ4899">
        <v>31.92</v>
      </c>
      <c r="AK4899">
        <v>23.8</v>
      </c>
      <c r="AL4899">
        <v>-20.177761749999949</v>
      </c>
      <c r="AM4899">
        <v>-44.91263311624418</v>
      </c>
      <c r="AN4899">
        <v>-20.177761749999949</v>
      </c>
      <c r="AO4899">
        <v>-44.91263311624418</v>
      </c>
      <c r="AP4899">
        <v>-20.177748000000001</v>
      </c>
      <c r="AQ4899">
        <v>-44.912475000000001</v>
      </c>
      <c r="AR4899">
        <v>16.591996803075372</v>
      </c>
      <c r="AS4899" t="s">
        <v>65</v>
      </c>
      <c r="AT4899">
        <v>1</v>
      </c>
      <c r="AU4899" t="s">
        <v>427</v>
      </c>
      <c r="AV4899" t="s">
        <v>428</v>
      </c>
      <c r="AW4899" t="s">
        <v>60</v>
      </c>
      <c r="AX4899" t="s">
        <v>68</v>
      </c>
      <c r="AY4899" t="s">
        <v>69</v>
      </c>
      <c r="AZ4899" t="b">
        <v>1</v>
      </c>
    </row>
    <row r="4900" spans="1:52" x14ac:dyDescent="0.3">
      <c r="A4900" t="s">
        <v>52</v>
      </c>
      <c r="B4900" t="s">
        <v>53</v>
      </c>
      <c r="C4900" t="s">
        <v>54</v>
      </c>
      <c r="D4900" t="s">
        <v>55</v>
      </c>
      <c r="E4900" t="s">
        <v>2224</v>
      </c>
      <c r="F4900" t="s">
        <v>190</v>
      </c>
      <c r="G4900" t="s">
        <v>429</v>
      </c>
      <c r="H4900" t="s">
        <v>430</v>
      </c>
      <c r="I4900" t="s">
        <v>430</v>
      </c>
      <c r="J4900" t="s">
        <v>60</v>
      </c>
      <c r="K4900" t="s">
        <v>431</v>
      </c>
      <c r="L4900" t="s">
        <v>62</v>
      </c>
      <c r="M4900" t="s">
        <v>431</v>
      </c>
      <c r="N4900" t="s">
        <v>432</v>
      </c>
      <c r="O4900" t="s">
        <v>315</v>
      </c>
      <c r="P4900">
        <v>-20.172698</v>
      </c>
      <c r="Q4900">
        <v>-44.923842</v>
      </c>
      <c r="R4900" s="2" t="str">
        <f>HYPERLINK("https://www.google.com/maps?q=-20.1726980,-44.9238420","Abrir no Google Maps")</f>
        <v>Abrir no Google Maps</v>
      </c>
      <c r="S4900">
        <v>3</v>
      </c>
      <c r="T4900">
        <v>1376.1843173402931</v>
      </c>
      <c r="U4900">
        <v>3</v>
      </c>
      <c r="V4900">
        <v>0.13300492610837439</v>
      </c>
      <c r="W4900">
        <v>0.85</v>
      </c>
      <c r="X4900">
        <v>0.1130541871921182</v>
      </c>
      <c r="Y4900">
        <v>723</v>
      </c>
      <c r="Z4900">
        <v>1101.340635002096</v>
      </c>
      <c r="AA4900">
        <v>198</v>
      </c>
      <c r="AB4900">
        <v>332</v>
      </c>
      <c r="AC4900">
        <v>536</v>
      </c>
      <c r="AD4900">
        <v>32.42</v>
      </c>
      <c r="AE4900">
        <v>542</v>
      </c>
      <c r="AF4900">
        <v>39</v>
      </c>
      <c r="AG4900">
        <v>173</v>
      </c>
      <c r="AH4900">
        <v>129</v>
      </c>
      <c r="AI4900">
        <v>7.2</v>
      </c>
      <c r="AJ4900">
        <v>31.92</v>
      </c>
      <c r="AK4900">
        <v>23.8</v>
      </c>
      <c r="AL4900">
        <v>-20.172942799999959</v>
      </c>
      <c r="AM4900">
        <v>-44.923585372665762</v>
      </c>
      <c r="AN4900">
        <v>-20.172942799999959</v>
      </c>
      <c r="AO4900">
        <v>-44.923585372665762</v>
      </c>
      <c r="AP4900">
        <v>-20.172698</v>
      </c>
      <c r="AQ4900">
        <v>-44.923842</v>
      </c>
      <c r="AR4900">
        <v>38.231981408478958</v>
      </c>
      <c r="AS4900" t="s">
        <v>65</v>
      </c>
      <c r="AT4900">
        <v>1</v>
      </c>
      <c r="AU4900" t="s">
        <v>433</v>
      </c>
      <c r="AV4900" t="s">
        <v>434</v>
      </c>
      <c r="AW4900" t="s">
        <v>60</v>
      </c>
      <c r="AX4900" t="s">
        <v>68</v>
      </c>
      <c r="AY4900" t="s">
        <v>69</v>
      </c>
      <c r="AZ4900" t="b">
        <v>1</v>
      </c>
    </row>
    <row r="4901" spans="1:52" x14ac:dyDescent="0.3">
      <c r="A4901" t="s">
        <v>52</v>
      </c>
      <c r="B4901" t="s">
        <v>53</v>
      </c>
      <c r="C4901" t="s">
        <v>54</v>
      </c>
      <c r="D4901" t="s">
        <v>55</v>
      </c>
      <c r="E4901" t="s">
        <v>2224</v>
      </c>
      <c r="F4901" t="s">
        <v>190</v>
      </c>
      <c r="G4901" t="s">
        <v>1318</v>
      </c>
      <c r="H4901" t="s">
        <v>1319</v>
      </c>
      <c r="I4901" t="s">
        <v>1319</v>
      </c>
      <c r="J4901" t="s">
        <v>60</v>
      </c>
      <c r="K4901" t="s">
        <v>1314</v>
      </c>
      <c r="L4901" t="s">
        <v>62</v>
      </c>
      <c r="M4901" t="s">
        <v>1314</v>
      </c>
      <c r="N4901" t="s">
        <v>1320</v>
      </c>
      <c r="O4901" t="s">
        <v>1321</v>
      </c>
      <c r="P4901">
        <v>-20.178615000000001</v>
      </c>
      <c r="Q4901">
        <v>-44.924697999999999</v>
      </c>
      <c r="R4901" s="2" t="str">
        <f>HYPERLINK("https://www.google.com/maps?q=-20.1786150,-44.9246980","Abrir no Google Maps")</f>
        <v>Abrir no Google Maps</v>
      </c>
      <c r="S4901">
        <v>3</v>
      </c>
      <c r="T4901">
        <v>1583.462557226148</v>
      </c>
      <c r="U4901">
        <v>3</v>
      </c>
      <c r="V4901">
        <v>0.13513513513513509</v>
      </c>
      <c r="W4901">
        <v>0.85</v>
      </c>
      <c r="X4901">
        <v>0.1148648648648648</v>
      </c>
      <c r="Y4901">
        <v>723</v>
      </c>
      <c r="Z4901">
        <v>1414.1542726995031</v>
      </c>
      <c r="AA4901">
        <v>198</v>
      </c>
      <c r="AB4901">
        <v>332</v>
      </c>
      <c r="AC4901">
        <v>536</v>
      </c>
      <c r="AD4901">
        <v>32.42</v>
      </c>
      <c r="AE4901">
        <v>542</v>
      </c>
      <c r="AF4901">
        <v>39</v>
      </c>
      <c r="AG4901">
        <v>173</v>
      </c>
      <c r="AH4901">
        <v>129</v>
      </c>
      <c r="AI4901">
        <v>7.2</v>
      </c>
      <c r="AJ4901">
        <v>31.92</v>
      </c>
      <c r="AK4901">
        <v>23.8</v>
      </c>
      <c r="AL4901">
        <v>-20.17821329999995</v>
      </c>
      <c r="AM4901">
        <v>-44.924188563452951</v>
      </c>
      <c r="AN4901">
        <v>-20.17821329999995</v>
      </c>
      <c r="AO4901">
        <v>-44.924188563452951</v>
      </c>
      <c r="AP4901">
        <v>-20.178615000000001</v>
      </c>
      <c r="AQ4901">
        <v>-44.924697999999999</v>
      </c>
      <c r="AR4901">
        <v>69.520116290580319</v>
      </c>
      <c r="AS4901" t="s">
        <v>65</v>
      </c>
      <c r="AT4901">
        <v>1</v>
      </c>
      <c r="AU4901" t="s">
        <v>1322</v>
      </c>
      <c r="AV4901" t="s">
        <v>1317</v>
      </c>
      <c r="AW4901" t="s">
        <v>60</v>
      </c>
      <c r="AX4901" t="s">
        <v>68</v>
      </c>
      <c r="AY4901" t="s">
        <v>69</v>
      </c>
      <c r="AZ4901" t="b">
        <v>1</v>
      </c>
    </row>
    <row r="4902" spans="1:52" x14ac:dyDescent="0.3">
      <c r="A4902" t="s">
        <v>52</v>
      </c>
      <c r="B4902" t="s">
        <v>53</v>
      </c>
      <c r="C4902" t="s">
        <v>54</v>
      </c>
      <c r="D4902" t="s">
        <v>55</v>
      </c>
      <c r="E4902" t="s">
        <v>2224</v>
      </c>
      <c r="F4902" t="s">
        <v>190</v>
      </c>
      <c r="G4902" t="s">
        <v>473</v>
      </c>
      <c r="H4902" t="s">
        <v>474</v>
      </c>
      <c r="I4902" t="s">
        <v>474</v>
      </c>
      <c r="J4902" t="s">
        <v>60</v>
      </c>
      <c r="K4902" t="s">
        <v>475</v>
      </c>
      <c r="L4902" t="s">
        <v>62</v>
      </c>
      <c r="M4902" t="s">
        <v>475</v>
      </c>
      <c r="N4902" t="s">
        <v>406</v>
      </c>
      <c r="O4902" t="s">
        <v>476</v>
      </c>
      <c r="P4902">
        <v>-20.177902</v>
      </c>
      <c r="Q4902">
        <v>-44.908504000000001</v>
      </c>
      <c r="R4902" s="2" t="str">
        <f>HYPERLINK("https://www.google.com/maps?q=-20.1779020,-44.9085040","Abrir no Google Maps")</f>
        <v>Abrir no Google Maps</v>
      </c>
      <c r="S4902">
        <v>3</v>
      </c>
      <c r="T4902">
        <v>656.92307673247149</v>
      </c>
      <c r="U4902">
        <v>3</v>
      </c>
      <c r="V4902">
        <v>0.11940298507462679</v>
      </c>
      <c r="W4902">
        <v>1</v>
      </c>
      <c r="X4902">
        <v>0.11940298507462679</v>
      </c>
      <c r="Y4902">
        <v>578</v>
      </c>
      <c r="Z4902">
        <v>635.01982153722327</v>
      </c>
      <c r="AA4902">
        <v>198</v>
      </c>
      <c r="AB4902">
        <v>332</v>
      </c>
      <c r="AC4902">
        <v>536</v>
      </c>
      <c r="AD4902">
        <v>32.42</v>
      </c>
      <c r="AE4902">
        <v>542</v>
      </c>
      <c r="AF4902">
        <v>39</v>
      </c>
      <c r="AG4902">
        <v>173</v>
      </c>
      <c r="AH4902">
        <v>129</v>
      </c>
      <c r="AI4902">
        <v>7.2</v>
      </c>
      <c r="AJ4902">
        <v>31.92</v>
      </c>
      <c r="AK4902">
        <v>23.8</v>
      </c>
      <c r="AL4902">
        <v>-20.177800399999938</v>
      </c>
      <c r="AM4902">
        <v>-44.908361879701268</v>
      </c>
      <c r="AN4902">
        <v>-20.177800399999938</v>
      </c>
      <c r="AO4902">
        <v>-44.908361879701268</v>
      </c>
      <c r="AP4902">
        <v>-20.177902</v>
      </c>
      <c r="AQ4902">
        <v>-44.908504000000001</v>
      </c>
      <c r="AR4902">
        <v>18.666463141775541</v>
      </c>
      <c r="AS4902" t="s">
        <v>65</v>
      </c>
      <c r="AT4902">
        <v>1</v>
      </c>
      <c r="AU4902" t="s">
        <v>477</v>
      </c>
      <c r="AV4902" t="s">
        <v>478</v>
      </c>
      <c r="AW4902" t="s">
        <v>60</v>
      </c>
      <c r="AX4902" t="s">
        <v>68</v>
      </c>
      <c r="AY4902" t="s">
        <v>69</v>
      </c>
      <c r="AZ4902" t="b">
        <v>1</v>
      </c>
    </row>
    <row r="4903" spans="1:52" x14ac:dyDescent="0.3">
      <c r="A4903" t="s">
        <v>52</v>
      </c>
      <c r="B4903" t="s">
        <v>53</v>
      </c>
      <c r="C4903" t="s">
        <v>54</v>
      </c>
      <c r="D4903" t="s">
        <v>55</v>
      </c>
      <c r="E4903" t="s">
        <v>2224</v>
      </c>
      <c r="F4903" t="s">
        <v>190</v>
      </c>
      <c r="G4903" t="s">
        <v>479</v>
      </c>
      <c r="H4903" t="s">
        <v>480</v>
      </c>
      <c r="I4903" t="s">
        <v>480</v>
      </c>
      <c r="J4903" t="s">
        <v>60</v>
      </c>
      <c r="K4903" t="s">
        <v>388</v>
      </c>
      <c r="L4903" t="s">
        <v>62</v>
      </c>
      <c r="M4903" t="s">
        <v>388</v>
      </c>
      <c r="N4903" t="s">
        <v>481</v>
      </c>
      <c r="O4903" t="s">
        <v>315</v>
      </c>
      <c r="P4903">
        <v>-20.166903999999999</v>
      </c>
      <c r="Q4903">
        <v>-44.903492</v>
      </c>
      <c r="R4903" s="2" t="str">
        <f>HYPERLINK("https://www.google.com/maps?q=-20.1669040,-44.9034920","Abrir no Google Maps")</f>
        <v>Abrir no Google Maps</v>
      </c>
      <c r="S4903">
        <v>3</v>
      </c>
      <c r="T4903">
        <v>517.12253532511602</v>
      </c>
      <c r="U4903">
        <v>3</v>
      </c>
      <c r="V4903">
        <v>0.1122754491017964</v>
      </c>
      <c r="W4903">
        <v>1</v>
      </c>
      <c r="X4903">
        <v>0.1122754491017964</v>
      </c>
      <c r="Y4903">
        <v>578</v>
      </c>
      <c r="Z4903">
        <v>721.79551240050432</v>
      </c>
      <c r="AA4903">
        <v>198</v>
      </c>
      <c r="AB4903">
        <v>332</v>
      </c>
      <c r="AC4903">
        <v>536</v>
      </c>
      <c r="AD4903">
        <v>32.42</v>
      </c>
      <c r="AE4903">
        <v>542</v>
      </c>
      <c r="AF4903">
        <v>39</v>
      </c>
      <c r="AG4903">
        <v>173</v>
      </c>
      <c r="AH4903">
        <v>129</v>
      </c>
      <c r="AI4903">
        <v>7.2</v>
      </c>
      <c r="AJ4903">
        <v>31.92</v>
      </c>
      <c r="AK4903">
        <v>23.8</v>
      </c>
      <c r="AL4903">
        <v>-20.166610649999971</v>
      </c>
      <c r="AM4903">
        <v>-44.903452988928308</v>
      </c>
      <c r="AN4903">
        <v>-20.166610649999971</v>
      </c>
      <c r="AO4903">
        <v>-44.903452988928308</v>
      </c>
      <c r="AP4903">
        <v>-20.166903999999999</v>
      </c>
      <c r="AQ4903">
        <v>-44.903492</v>
      </c>
      <c r="AR4903">
        <v>32.909175876856217</v>
      </c>
      <c r="AS4903" t="s">
        <v>65</v>
      </c>
      <c r="AT4903">
        <v>1</v>
      </c>
      <c r="AU4903" t="s">
        <v>482</v>
      </c>
      <c r="AV4903" t="s">
        <v>483</v>
      </c>
      <c r="AW4903" t="s">
        <v>60</v>
      </c>
      <c r="AX4903" t="s">
        <v>68</v>
      </c>
      <c r="AY4903" t="s">
        <v>69</v>
      </c>
      <c r="AZ4903" t="b">
        <v>1</v>
      </c>
    </row>
    <row r="4904" spans="1:52" x14ac:dyDescent="0.3">
      <c r="A4904" t="s">
        <v>52</v>
      </c>
      <c r="B4904" t="s">
        <v>53</v>
      </c>
      <c r="C4904" t="s">
        <v>54</v>
      </c>
      <c r="D4904" t="s">
        <v>55</v>
      </c>
      <c r="E4904" t="s">
        <v>2224</v>
      </c>
      <c r="F4904" t="s">
        <v>190</v>
      </c>
      <c r="G4904" t="s">
        <v>484</v>
      </c>
      <c r="H4904" t="s">
        <v>485</v>
      </c>
      <c r="I4904" t="s">
        <v>485</v>
      </c>
      <c r="J4904" t="s">
        <v>60</v>
      </c>
      <c r="K4904" t="s">
        <v>486</v>
      </c>
      <c r="L4904" t="s">
        <v>62</v>
      </c>
      <c r="M4904" t="s">
        <v>486</v>
      </c>
      <c r="N4904" t="s">
        <v>487</v>
      </c>
      <c r="O4904" t="s">
        <v>488</v>
      </c>
      <c r="P4904">
        <v>-20.173000999999999</v>
      </c>
      <c r="Q4904">
        <v>-44.901876999999999</v>
      </c>
      <c r="R4904" s="2" t="str">
        <f>HYPERLINK("https://www.google.com/maps?q=-20.1730010,-44.9018770","Abrir no Google Maps")</f>
        <v>Abrir no Google Maps</v>
      </c>
      <c r="S4904">
        <v>3</v>
      </c>
      <c r="T4904">
        <v>437.59695450783011</v>
      </c>
      <c r="U4904">
        <v>3</v>
      </c>
      <c r="V4904">
        <v>0.1171171171171171</v>
      </c>
      <c r="W4904">
        <v>1</v>
      </c>
      <c r="X4904">
        <v>0.1171171171171171</v>
      </c>
      <c r="Y4904">
        <v>578</v>
      </c>
      <c r="Z4904">
        <v>440.53629183653243</v>
      </c>
      <c r="AA4904">
        <v>198</v>
      </c>
      <c r="AB4904">
        <v>332</v>
      </c>
      <c r="AC4904">
        <v>536</v>
      </c>
      <c r="AD4904">
        <v>32.42</v>
      </c>
      <c r="AE4904">
        <v>542</v>
      </c>
      <c r="AF4904">
        <v>39</v>
      </c>
      <c r="AG4904">
        <v>173</v>
      </c>
      <c r="AH4904">
        <v>129</v>
      </c>
      <c r="AI4904">
        <v>7.2</v>
      </c>
      <c r="AJ4904">
        <v>31.92</v>
      </c>
      <c r="AK4904">
        <v>23.8</v>
      </c>
      <c r="AL4904">
        <v>-20.173065299999969</v>
      </c>
      <c r="AM4904">
        <v>-44.902052686008687</v>
      </c>
      <c r="AN4904">
        <v>-20.173065299999969</v>
      </c>
      <c r="AO4904">
        <v>-44.902052686008687</v>
      </c>
      <c r="AP4904">
        <v>-20.173000999999999</v>
      </c>
      <c r="AQ4904">
        <v>-44.901876999999999</v>
      </c>
      <c r="AR4904">
        <v>19.703745070768829</v>
      </c>
      <c r="AS4904" t="s">
        <v>65</v>
      </c>
      <c r="AT4904">
        <v>1</v>
      </c>
      <c r="AU4904" t="s">
        <v>489</v>
      </c>
      <c r="AV4904" t="s">
        <v>490</v>
      </c>
      <c r="AW4904" t="s">
        <v>60</v>
      </c>
      <c r="AX4904" t="s">
        <v>68</v>
      </c>
      <c r="AY4904" t="s">
        <v>69</v>
      </c>
      <c r="AZ4904" t="b">
        <v>1</v>
      </c>
    </row>
    <row r="4905" spans="1:52" x14ac:dyDescent="0.3">
      <c r="A4905" t="s">
        <v>52</v>
      </c>
      <c r="B4905" t="s">
        <v>53</v>
      </c>
      <c r="C4905" t="s">
        <v>54</v>
      </c>
      <c r="D4905" t="s">
        <v>55</v>
      </c>
      <c r="E4905" t="s">
        <v>2224</v>
      </c>
      <c r="F4905" t="s">
        <v>190</v>
      </c>
      <c r="G4905" t="s">
        <v>491</v>
      </c>
      <c r="H4905" t="s">
        <v>492</v>
      </c>
      <c r="I4905" t="s">
        <v>492</v>
      </c>
      <c r="J4905" t="s">
        <v>60</v>
      </c>
      <c r="K4905" t="s">
        <v>475</v>
      </c>
      <c r="L4905" t="s">
        <v>62</v>
      </c>
      <c r="M4905" t="s">
        <v>475</v>
      </c>
      <c r="N4905" t="s">
        <v>493</v>
      </c>
      <c r="O4905" t="s">
        <v>494</v>
      </c>
      <c r="P4905">
        <v>-20.175250999999999</v>
      </c>
      <c r="Q4905">
        <v>-44.897357</v>
      </c>
      <c r="R4905" s="2" t="str">
        <f>HYPERLINK("https://www.google.com/maps?q=-20.1752510,-44.8973570","Abrir no Google Maps")</f>
        <v>Abrir no Google Maps</v>
      </c>
      <c r="S4905">
        <v>3</v>
      </c>
      <c r="T4905">
        <v>992.29631678149951</v>
      </c>
      <c r="U4905">
        <v>3</v>
      </c>
      <c r="V4905">
        <v>0.11326530612244889</v>
      </c>
      <c r="W4905">
        <v>1</v>
      </c>
      <c r="X4905">
        <v>0.11326530612244889</v>
      </c>
      <c r="Y4905">
        <v>578</v>
      </c>
      <c r="Z4905">
        <v>1008.5871064168319</v>
      </c>
      <c r="AA4905">
        <v>198</v>
      </c>
      <c r="AB4905">
        <v>332</v>
      </c>
      <c r="AC4905">
        <v>536</v>
      </c>
      <c r="AD4905">
        <v>32.42</v>
      </c>
      <c r="AE4905">
        <v>542</v>
      </c>
      <c r="AF4905">
        <v>39</v>
      </c>
      <c r="AG4905">
        <v>173</v>
      </c>
      <c r="AH4905">
        <v>129</v>
      </c>
      <c r="AI4905">
        <v>7.2</v>
      </c>
      <c r="AJ4905">
        <v>31.92</v>
      </c>
      <c r="AK4905">
        <v>23.8</v>
      </c>
      <c r="AL4905">
        <v>-20.175290599999951</v>
      </c>
      <c r="AM4905">
        <v>-44.897271931010721</v>
      </c>
      <c r="AN4905">
        <v>-20.175290599999951</v>
      </c>
      <c r="AO4905">
        <v>-44.897271931010721</v>
      </c>
      <c r="AP4905">
        <v>-20.175250999999999</v>
      </c>
      <c r="AQ4905">
        <v>-44.897357</v>
      </c>
      <c r="AR4905">
        <v>9.921899108467926</v>
      </c>
      <c r="AS4905" t="s">
        <v>65</v>
      </c>
      <c r="AT4905">
        <v>1</v>
      </c>
      <c r="AU4905" t="s">
        <v>495</v>
      </c>
      <c r="AV4905" t="s">
        <v>496</v>
      </c>
      <c r="AW4905" t="s">
        <v>60</v>
      </c>
      <c r="AX4905" t="s">
        <v>68</v>
      </c>
      <c r="AY4905" t="s">
        <v>69</v>
      </c>
      <c r="AZ4905" t="b">
        <v>1</v>
      </c>
    </row>
    <row r="4906" spans="1:52" x14ac:dyDescent="0.3">
      <c r="A4906" t="s">
        <v>52</v>
      </c>
      <c r="B4906" t="s">
        <v>53</v>
      </c>
      <c r="C4906" t="s">
        <v>54</v>
      </c>
      <c r="D4906" t="s">
        <v>55</v>
      </c>
      <c r="E4906" t="s">
        <v>2224</v>
      </c>
      <c r="F4906" t="s">
        <v>190</v>
      </c>
      <c r="G4906" t="s">
        <v>497</v>
      </c>
      <c r="H4906" t="s">
        <v>498</v>
      </c>
      <c r="I4906" t="s">
        <v>498</v>
      </c>
      <c r="J4906" t="s">
        <v>60</v>
      </c>
      <c r="K4906" t="s">
        <v>475</v>
      </c>
      <c r="L4906" t="s">
        <v>62</v>
      </c>
      <c r="M4906" t="s">
        <v>475</v>
      </c>
      <c r="N4906" t="s">
        <v>499</v>
      </c>
      <c r="O4906" t="s">
        <v>500</v>
      </c>
      <c r="P4906">
        <v>-20.175492999999999</v>
      </c>
      <c r="Q4906">
        <v>-44.900759000000001</v>
      </c>
      <c r="R4906" s="2" t="str">
        <f>HYPERLINK("https://www.google.com/maps?q=-20.1754930,-44.9007590","Abrir no Google Maps")</f>
        <v>Abrir no Google Maps</v>
      </c>
      <c r="S4906">
        <v>3</v>
      </c>
      <c r="T4906">
        <v>753.30732354720431</v>
      </c>
      <c r="U4906">
        <v>3</v>
      </c>
      <c r="V4906">
        <v>0.1109550561797752</v>
      </c>
      <c r="W4906">
        <v>1</v>
      </c>
      <c r="X4906">
        <v>0.1109550561797752</v>
      </c>
      <c r="Y4906">
        <v>578</v>
      </c>
      <c r="Z4906">
        <v>695.28903655431702</v>
      </c>
      <c r="AA4906">
        <v>198</v>
      </c>
      <c r="AB4906">
        <v>332</v>
      </c>
      <c r="AC4906">
        <v>536</v>
      </c>
      <c r="AD4906">
        <v>32.42</v>
      </c>
      <c r="AE4906">
        <v>542</v>
      </c>
      <c r="AF4906">
        <v>39</v>
      </c>
      <c r="AG4906">
        <v>173</v>
      </c>
      <c r="AH4906">
        <v>129</v>
      </c>
      <c r="AI4906">
        <v>7.2</v>
      </c>
      <c r="AJ4906">
        <v>31.92</v>
      </c>
      <c r="AK4906">
        <v>23.8</v>
      </c>
      <c r="AL4906">
        <v>-20.175825999999969</v>
      </c>
      <c r="AM4906">
        <v>-44.900600234646973</v>
      </c>
      <c r="AN4906">
        <v>-20.175825999999969</v>
      </c>
      <c r="AO4906">
        <v>-44.900600234646973</v>
      </c>
      <c r="AP4906">
        <v>-20.175492999999999</v>
      </c>
      <c r="AQ4906">
        <v>-44.900759000000001</v>
      </c>
      <c r="AR4906">
        <v>40.612267304645073</v>
      </c>
      <c r="AS4906" t="s">
        <v>65</v>
      </c>
      <c r="AT4906">
        <v>1</v>
      </c>
      <c r="AU4906" t="s">
        <v>501</v>
      </c>
      <c r="AV4906" t="s">
        <v>502</v>
      </c>
      <c r="AW4906" t="s">
        <v>60</v>
      </c>
      <c r="AX4906" t="s">
        <v>68</v>
      </c>
      <c r="AY4906" t="s">
        <v>69</v>
      </c>
      <c r="AZ4906" t="b">
        <v>1</v>
      </c>
    </row>
    <row r="4907" spans="1:52" x14ac:dyDescent="0.3">
      <c r="A4907" t="s">
        <v>52</v>
      </c>
      <c r="B4907" t="s">
        <v>53</v>
      </c>
      <c r="C4907" t="s">
        <v>54</v>
      </c>
      <c r="D4907" t="s">
        <v>55</v>
      </c>
      <c r="E4907" t="s">
        <v>2224</v>
      </c>
      <c r="F4907" t="s">
        <v>190</v>
      </c>
      <c r="G4907" t="s">
        <v>879</v>
      </c>
      <c r="H4907" t="s">
        <v>880</v>
      </c>
      <c r="I4907" t="s">
        <v>880</v>
      </c>
      <c r="J4907" t="s">
        <v>60</v>
      </c>
      <c r="K4907" t="s">
        <v>505</v>
      </c>
      <c r="L4907" t="s">
        <v>62</v>
      </c>
      <c r="M4907" t="s">
        <v>505</v>
      </c>
      <c r="N4907" t="s">
        <v>881</v>
      </c>
      <c r="O4907" t="s">
        <v>882</v>
      </c>
      <c r="P4907">
        <v>-20.133452999999999</v>
      </c>
      <c r="Q4907">
        <v>-44.890571999999999</v>
      </c>
      <c r="R4907" s="2" t="str">
        <f>HYPERLINK("https://www.google.com/maps?q=-20.1334530,-44.8905720","Abrir no Google Maps")</f>
        <v>Abrir no Google Maps</v>
      </c>
      <c r="S4907">
        <v>3</v>
      </c>
      <c r="T4907">
        <v>373.51332104809921</v>
      </c>
      <c r="U4907">
        <v>3</v>
      </c>
      <c r="V4907">
        <v>0.12564102564102561</v>
      </c>
      <c r="W4907">
        <v>1</v>
      </c>
      <c r="X4907">
        <v>0.12564102564102561</v>
      </c>
      <c r="Y4907">
        <v>564</v>
      </c>
      <c r="Z4907">
        <v>422.34693311930448</v>
      </c>
      <c r="AA4907">
        <v>198</v>
      </c>
      <c r="AB4907">
        <v>332</v>
      </c>
      <c r="AC4907">
        <v>536</v>
      </c>
      <c r="AD4907">
        <v>32.42</v>
      </c>
      <c r="AE4907">
        <v>542</v>
      </c>
      <c r="AF4907">
        <v>39</v>
      </c>
      <c r="AG4907">
        <v>173</v>
      </c>
      <c r="AH4907">
        <v>129</v>
      </c>
      <c r="AI4907">
        <v>7.2</v>
      </c>
      <c r="AJ4907">
        <v>31.92</v>
      </c>
      <c r="AK4907">
        <v>23.8</v>
      </c>
      <c r="AL4907">
        <v>-20.133421549999952</v>
      </c>
      <c r="AM4907">
        <v>-44.890623456009052</v>
      </c>
      <c r="AN4907">
        <v>-20.133421549999952</v>
      </c>
      <c r="AO4907">
        <v>-44.890623456009052</v>
      </c>
      <c r="AP4907">
        <v>-20.133452999999999</v>
      </c>
      <c r="AQ4907">
        <v>-44.890571999999999</v>
      </c>
      <c r="AR4907">
        <v>6.4172139275452773</v>
      </c>
      <c r="AS4907" t="s">
        <v>65</v>
      </c>
      <c r="AT4907">
        <v>1</v>
      </c>
      <c r="AU4907" t="s">
        <v>883</v>
      </c>
      <c r="AV4907" t="s">
        <v>884</v>
      </c>
      <c r="AW4907" t="s">
        <v>60</v>
      </c>
      <c r="AX4907" t="s">
        <v>68</v>
      </c>
      <c r="AY4907" t="s">
        <v>69</v>
      </c>
      <c r="AZ4907" t="b">
        <v>1</v>
      </c>
    </row>
    <row r="4908" spans="1:52" x14ac:dyDescent="0.3">
      <c r="A4908" t="s">
        <v>52</v>
      </c>
      <c r="B4908" t="s">
        <v>53</v>
      </c>
      <c r="C4908" t="s">
        <v>54</v>
      </c>
      <c r="D4908" t="s">
        <v>55</v>
      </c>
      <c r="E4908" t="s">
        <v>2224</v>
      </c>
      <c r="F4908" t="s">
        <v>190</v>
      </c>
      <c r="G4908" t="s">
        <v>1429</v>
      </c>
      <c r="H4908" t="s">
        <v>1430</v>
      </c>
      <c r="I4908" t="s">
        <v>1430</v>
      </c>
      <c r="J4908" t="s">
        <v>60</v>
      </c>
      <c r="K4908" t="s">
        <v>505</v>
      </c>
      <c r="L4908" t="s">
        <v>62</v>
      </c>
      <c r="M4908" t="s">
        <v>505</v>
      </c>
      <c r="N4908" t="s">
        <v>1431</v>
      </c>
      <c r="O4908" t="s">
        <v>1432</v>
      </c>
      <c r="P4908">
        <v>-20.132069000000001</v>
      </c>
      <c r="Q4908">
        <v>-44.891694000000001</v>
      </c>
      <c r="R4908" s="2" t="str">
        <f>HYPERLINK("https://www.google.com/maps?q=-20.1320690,-44.8916940","Abrir no Google Maps")</f>
        <v>Abrir no Google Maps</v>
      </c>
      <c r="S4908">
        <v>3</v>
      </c>
      <c r="T4908">
        <v>463.84477613866852</v>
      </c>
      <c r="U4908">
        <v>3</v>
      </c>
      <c r="V4908">
        <v>0.1397849462365591</v>
      </c>
      <c r="W4908">
        <v>0.85</v>
      </c>
      <c r="X4908">
        <v>0.1188172043010752</v>
      </c>
      <c r="Y4908">
        <v>564</v>
      </c>
      <c r="Z4908">
        <v>349.6044774510159</v>
      </c>
      <c r="AA4908">
        <v>198</v>
      </c>
      <c r="AB4908">
        <v>332</v>
      </c>
      <c r="AC4908">
        <v>536</v>
      </c>
      <c r="AD4908">
        <v>32.42</v>
      </c>
      <c r="AE4908">
        <v>542</v>
      </c>
      <c r="AF4908">
        <v>39</v>
      </c>
      <c r="AG4908">
        <v>173</v>
      </c>
      <c r="AH4908">
        <v>129</v>
      </c>
      <c r="AI4908">
        <v>7.2</v>
      </c>
      <c r="AJ4908">
        <v>31.92</v>
      </c>
      <c r="AK4908">
        <v>23.8</v>
      </c>
      <c r="AL4908">
        <v>-20.131860799999941</v>
      </c>
      <c r="AM4908">
        <v>-44.891643045551348</v>
      </c>
      <c r="AN4908">
        <v>-20.131860799999941</v>
      </c>
      <c r="AO4908">
        <v>-44.891643045551348</v>
      </c>
      <c r="AP4908">
        <v>-20.132069000000001</v>
      </c>
      <c r="AQ4908">
        <v>-44.891694000000001</v>
      </c>
      <c r="AR4908">
        <v>23.780836080569209</v>
      </c>
      <c r="AS4908" t="s">
        <v>65</v>
      </c>
      <c r="AT4908">
        <v>1</v>
      </c>
      <c r="AU4908" t="s">
        <v>1433</v>
      </c>
      <c r="AV4908" t="s">
        <v>1434</v>
      </c>
      <c r="AW4908" t="s">
        <v>60</v>
      </c>
      <c r="AX4908" t="s">
        <v>68</v>
      </c>
      <c r="AY4908" t="s">
        <v>69</v>
      </c>
      <c r="AZ4908" t="b">
        <v>1</v>
      </c>
    </row>
    <row r="4909" spans="1:52" x14ac:dyDescent="0.3">
      <c r="A4909" t="s">
        <v>52</v>
      </c>
      <c r="B4909" t="s">
        <v>53</v>
      </c>
      <c r="C4909" t="s">
        <v>54</v>
      </c>
      <c r="D4909" t="s">
        <v>55</v>
      </c>
      <c r="E4909" t="s">
        <v>2224</v>
      </c>
      <c r="F4909" t="s">
        <v>190</v>
      </c>
      <c r="G4909" t="s">
        <v>473</v>
      </c>
      <c r="H4909" t="s">
        <v>1445</v>
      </c>
      <c r="I4909" t="s">
        <v>1445</v>
      </c>
      <c r="J4909" t="s">
        <v>60</v>
      </c>
      <c r="K4909" t="s">
        <v>892</v>
      </c>
      <c r="L4909" t="s">
        <v>62</v>
      </c>
      <c r="M4909" t="s">
        <v>892</v>
      </c>
      <c r="N4909" t="s">
        <v>406</v>
      </c>
      <c r="O4909" t="s">
        <v>1446</v>
      </c>
      <c r="P4909">
        <v>-20.14941</v>
      </c>
      <c r="Q4909">
        <v>-44.899535</v>
      </c>
      <c r="R4909" s="2" t="str">
        <f>HYPERLINK("https://www.google.com/maps?q=-20.1494100,-44.8995350","Abrir no Google Maps")</f>
        <v>Abrir no Google Maps</v>
      </c>
      <c r="S4909">
        <v>3</v>
      </c>
      <c r="T4909">
        <v>249.83945591849931</v>
      </c>
      <c r="U4909">
        <v>3</v>
      </c>
      <c r="V4909">
        <v>0.13028169014084501</v>
      </c>
      <c r="W4909">
        <v>0.85</v>
      </c>
      <c r="X4909">
        <v>0.1107394366197183</v>
      </c>
      <c r="Y4909">
        <v>556</v>
      </c>
      <c r="Z4909">
        <v>156.62360082488701</v>
      </c>
      <c r="AA4909">
        <v>198</v>
      </c>
      <c r="AB4909">
        <v>332</v>
      </c>
      <c r="AC4909">
        <v>536</v>
      </c>
      <c r="AD4909">
        <v>32.42</v>
      </c>
      <c r="AE4909">
        <v>542</v>
      </c>
      <c r="AF4909">
        <v>39</v>
      </c>
      <c r="AG4909">
        <v>173</v>
      </c>
      <c r="AH4909">
        <v>129</v>
      </c>
      <c r="AI4909">
        <v>7.2</v>
      </c>
      <c r="AJ4909">
        <v>31.92</v>
      </c>
      <c r="AK4909">
        <v>23.8</v>
      </c>
      <c r="AL4909">
        <v>-20.149341899999939</v>
      </c>
      <c r="AM4909">
        <v>-44.899575902083967</v>
      </c>
      <c r="AN4909">
        <v>-20.149341899999939</v>
      </c>
      <c r="AO4909">
        <v>-44.899575902083967</v>
      </c>
      <c r="AP4909">
        <v>-20.14941</v>
      </c>
      <c r="AQ4909">
        <v>-44.899535</v>
      </c>
      <c r="AR4909">
        <v>8.7029725999778709</v>
      </c>
      <c r="AS4909" t="s">
        <v>65</v>
      </c>
      <c r="AT4909">
        <v>1</v>
      </c>
      <c r="AU4909" t="s">
        <v>1447</v>
      </c>
      <c r="AV4909" t="s">
        <v>1448</v>
      </c>
      <c r="AW4909" t="s">
        <v>60</v>
      </c>
      <c r="AX4909" t="s">
        <v>68</v>
      </c>
      <c r="AY4909" t="s">
        <v>69</v>
      </c>
      <c r="AZ4909" t="b">
        <v>1</v>
      </c>
    </row>
    <row r="4910" spans="1:52" x14ac:dyDescent="0.3">
      <c r="A4910" t="s">
        <v>52</v>
      </c>
      <c r="B4910" t="s">
        <v>53</v>
      </c>
      <c r="C4910" t="s">
        <v>54</v>
      </c>
      <c r="D4910" t="s">
        <v>55</v>
      </c>
      <c r="E4910" t="s">
        <v>2224</v>
      </c>
      <c r="F4910" t="s">
        <v>190</v>
      </c>
      <c r="G4910" t="s">
        <v>890</v>
      </c>
      <c r="H4910" t="s">
        <v>891</v>
      </c>
      <c r="I4910" t="s">
        <v>891</v>
      </c>
      <c r="J4910" t="s">
        <v>60</v>
      </c>
      <c r="K4910" t="s">
        <v>892</v>
      </c>
      <c r="L4910" t="s">
        <v>62</v>
      </c>
      <c r="M4910" t="s">
        <v>892</v>
      </c>
      <c r="N4910" t="s">
        <v>893</v>
      </c>
      <c r="O4910" t="s">
        <v>894</v>
      </c>
      <c r="P4910">
        <v>-20.152519000000002</v>
      </c>
      <c r="Q4910">
        <v>-44.899177000000002</v>
      </c>
      <c r="R4910" s="2" t="str">
        <f>HYPERLINK("https://www.google.com/maps?q=-20.1525190,-44.8991770","Abrir no Google Maps")</f>
        <v>Abrir no Google Maps</v>
      </c>
      <c r="S4910">
        <v>3</v>
      </c>
      <c r="T4910">
        <v>211.80188552994721</v>
      </c>
      <c r="U4910">
        <v>3</v>
      </c>
      <c r="V4910">
        <v>0.1138059701492537</v>
      </c>
      <c r="W4910">
        <v>1</v>
      </c>
      <c r="X4910">
        <v>0.1138059701492537</v>
      </c>
      <c r="Y4910">
        <v>556</v>
      </c>
      <c r="Z4910">
        <v>290.34804137107091</v>
      </c>
      <c r="AA4910">
        <v>198</v>
      </c>
      <c r="AB4910">
        <v>332</v>
      </c>
      <c r="AC4910">
        <v>536</v>
      </c>
      <c r="AD4910">
        <v>32.42</v>
      </c>
      <c r="AE4910">
        <v>542</v>
      </c>
      <c r="AF4910">
        <v>39</v>
      </c>
      <c r="AG4910">
        <v>173</v>
      </c>
      <c r="AH4910">
        <v>129</v>
      </c>
      <c r="AI4910">
        <v>7.2</v>
      </c>
      <c r="AJ4910">
        <v>31.92</v>
      </c>
      <c r="AK4910">
        <v>23.8</v>
      </c>
      <c r="AL4910">
        <v>-20.152516249999959</v>
      </c>
      <c r="AM4910">
        <v>-44.899310431333959</v>
      </c>
      <c r="AN4910">
        <v>-20.152516249999959</v>
      </c>
      <c r="AO4910">
        <v>-44.899310431333959</v>
      </c>
      <c r="AP4910">
        <v>-20.152519000000002</v>
      </c>
      <c r="AQ4910">
        <v>-44.899177000000002</v>
      </c>
      <c r="AR4910">
        <v>13.947583284957719</v>
      </c>
      <c r="AS4910" t="s">
        <v>65</v>
      </c>
      <c r="AT4910">
        <v>1</v>
      </c>
      <c r="AU4910" t="s">
        <v>895</v>
      </c>
      <c r="AV4910" t="s">
        <v>896</v>
      </c>
      <c r="AW4910" t="s">
        <v>60</v>
      </c>
      <c r="AX4910" t="s">
        <v>68</v>
      </c>
      <c r="AY4910" t="s">
        <v>69</v>
      </c>
      <c r="AZ4910" t="b">
        <v>1</v>
      </c>
    </row>
    <row r="4911" spans="1:52" x14ac:dyDescent="0.3">
      <c r="A4911" t="s">
        <v>52</v>
      </c>
      <c r="B4911" t="s">
        <v>53</v>
      </c>
      <c r="C4911" t="s">
        <v>54</v>
      </c>
      <c r="D4911" t="s">
        <v>55</v>
      </c>
      <c r="E4911" t="s">
        <v>2224</v>
      </c>
      <c r="F4911" t="s">
        <v>190</v>
      </c>
      <c r="G4911" t="s">
        <v>398</v>
      </c>
      <c r="H4911" t="s">
        <v>541</v>
      </c>
      <c r="I4911" t="s">
        <v>541</v>
      </c>
      <c r="J4911" t="s">
        <v>60</v>
      </c>
      <c r="K4911" t="s">
        <v>388</v>
      </c>
      <c r="L4911" t="s">
        <v>62</v>
      </c>
      <c r="M4911" t="s">
        <v>388</v>
      </c>
      <c r="N4911" t="s">
        <v>400</v>
      </c>
      <c r="O4911" t="s">
        <v>542</v>
      </c>
      <c r="P4911">
        <v>-20.151335</v>
      </c>
      <c r="Q4911">
        <v>-44.901041999999997</v>
      </c>
      <c r="R4911" s="2" t="str">
        <f>HYPERLINK("https://www.google.com/maps?q=-20.1513350,-44.9010420","Abrir no Google Maps")</f>
        <v>Abrir no Google Maps</v>
      </c>
      <c r="S4911">
        <v>3</v>
      </c>
      <c r="T4911">
        <v>0</v>
      </c>
      <c r="U4911">
        <v>3</v>
      </c>
      <c r="V4911">
        <v>0.1210526315789473</v>
      </c>
      <c r="W4911">
        <v>1</v>
      </c>
      <c r="X4911">
        <v>0.1210526315789473</v>
      </c>
      <c r="Y4911">
        <v>556</v>
      </c>
      <c r="Z4911">
        <v>137.71609036908939</v>
      </c>
      <c r="AA4911">
        <v>198</v>
      </c>
      <c r="AB4911">
        <v>332</v>
      </c>
      <c r="AC4911">
        <v>536</v>
      </c>
      <c r="AD4911">
        <v>32.42</v>
      </c>
      <c r="AE4911">
        <v>542</v>
      </c>
      <c r="AF4911">
        <v>39</v>
      </c>
      <c r="AG4911">
        <v>173</v>
      </c>
      <c r="AH4911">
        <v>129</v>
      </c>
      <c r="AI4911">
        <v>7.2</v>
      </c>
      <c r="AJ4911">
        <v>31.92</v>
      </c>
      <c r="AK4911">
        <v>23.8</v>
      </c>
      <c r="AL4911">
        <v>-20.15125899999995</v>
      </c>
      <c r="AM4911">
        <v>-44.900838557594433</v>
      </c>
      <c r="AN4911">
        <v>-20.15125899999995</v>
      </c>
      <c r="AO4911">
        <v>-44.900838557594433</v>
      </c>
      <c r="AP4911">
        <v>-20.151335</v>
      </c>
      <c r="AQ4911">
        <v>-44.901041999999997</v>
      </c>
      <c r="AR4911">
        <v>22.882363139483491</v>
      </c>
      <c r="AS4911" t="s">
        <v>65</v>
      </c>
      <c r="AT4911">
        <v>1</v>
      </c>
      <c r="AU4911" t="s">
        <v>543</v>
      </c>
      <c r="AV4911" t="s">
        <v>544</v>
      </c>
      <c r="AW4911" t="s">
        <v>60</v>
      </c>
      <c r="AX4911" t="s">
        <v>68</v>
      </c>
      <c r="AY4911" t="s">
        <v>69</v>
      </c>
      <c r="AZ4911" t="b">
        <v>1</v>
      </c>
    </row>
    <row r="4912" spans="1:52" x14ac:dyDescent="0.3">
      <c r="A4912" t="s">
        <v>52</v>
      </c>
      <c r="B4912" t="s">
        <v>53</v>
      </c>
      <c r="C4912" t="s">
        <v>54</v>
      </c>
      <c r="D4912" t="s">
        <v>55</v>
      </c>
      <c r="E4912" t="s">
        <v>2224</v>
      </c>
      <c r="F4912" t="s">
        <v>190</v>
      </c>
      <c r="G4912" t="s">
        <v>551</v>
      </c>
      <c r="H4912" t="s">
        <v>552</v>
      </c>
      <c r="I4912" t="s">
        <v>552</v>
      </c>
      <c r="J4912" t="s">
        <v>60</v>
      </c>
      <c r="K4912" t="s">
        <v>388</v>
      </c>
      <c r="L4912" t="s">
        <v>62</v>
      </c>
      <c r="M4912" t="s">
        <v>388</v>
      </c>
      <c r="N4912" t="s">
        <v>553</v>
      </c>
      <c r="O4912" t="s">
        <v>315</v>
      </c>
      <c r="P4912">
        <v>-20.153086999999999</v>
      </c>
      <c r="Q4912">
        <v>-44.905451999999997</v>
      </c>
      <c r="R4912" s="2" t="str">
        <f>HYPERLINK("https://www.google.com/maps?q=-20.1530870,-44.9054520","Abrir no Google Maps")</f>
        <v>Abrir no Google Maps</v>
      </c>
      <c r="S4912">
        <v>3</v>
      </c>
      <c r="T4912">
        <v>313.69387682409018</v>
      </c>
      <c r="U4912">
        <v>3</v>
      </c>
      <c r="V4912">
        <v>0.1148325358851674</v>
      </c>
      <c r="W4912">
        <v>1</v>
      </c>
      <c r="X4912">
        <v>0.1148325358851674</v>
      </c>
      <c r="Y4912">
        <v>548</v>
      </c>
      <c r="Z4912">
        <v>319.51605309906859</v>
      </c>
      <c r="AA4912">
        <v>198</v>
      </c>
      <c r="AB4912">
        <v>332</v>
      </c>
      <c r="AC4912">
        <v>536</v>
      </c>
      <c r="AD4912">
        <v>32.42</v>
      </c>
      <c r="AE4912">
        <v>542</v>
      </c>
      <c r="AF4912">
        <v>39</v>
      </c>
      <c r="AG4912">
        <v>173</v>
      </c>
      <c r="AH4912">
        <v>129</v>
      </c>
      <c r="AI4912">
        <v>7.2</v>
      </c>
      <c r="AJ4912">
        <v>31.92</v>
      </c>
      <c r="AK4912">
        <v>23.8</v>
      </c>
      <c r="AL4912">
        <v>-20.153043049999951</v>
      </c>
      <c r="AM4912">
        <v>-44.905348275899513</v>
      </c>
      <c r="AN4912">
        <v>-20.153043049999951</v>
      </c>
      <c r="AO4912">
        <v>-44.905348275899513</v>
      </c>
      <c r="AP4912">
        <v>-20.153086999999999</v>
      </c>
      <c r="AQ4912">
        <v>-44.905451999999997</v>
      </c>
      <c r="AR4912">
        <v>11.892619975648341</v>
      </c>
      <c r="AS4912" t="s">
        <v>65</v>
      </c>
      <c r="AT4912">
        <v>1</v>
      </c>
      <c r="AU4912" t="s">
        <v>554</v>
      </c>
      <c r="AV4912" t="s">
        <v>555</v>
      </c>
      <c r="AW4912" t="s">
        <v>60</v>
      </c>
      <c r="AX4912" t="s">
        <v>68</v>
      </c>
      <c r="AY4912" t="s">
        <v>69</v>
      </c>
      <c r="AZ4912" t="b">
        <v>1</v>
      </c>
    </row>
    <row r="4913" spans="1:52" x14ac:dyDescent="0.3">
      <c r="A4913" t="s">
        <v>52</v>
      </c>
      <c r="B4913" t="s">
        <v>53</v>
      </c>
      <c r="C4913" t="s">
        <v>54</v>
      </c>
      <c r="D4913" t="s">
        <v>55</v>
      </c>
      <c r="E4913" t="s">
        <v>2224</v>
      </c>
      <c r="F4913" t="s">
        <v>190</v>
      </c>
      <c r="G4913" t="s">
        <v>903</v>
      </c>
      <c r="H4913" t="s">
        <v>904</v>
      </c>
      <c r="I4913" t="s">
        <v>904</v>
      </c>
      <c r="J4913" t="s">
        <v>60</v>
      </c>
      <c r="K4913" t="s">
        <v>905</v>
      </c>
      <c r="L4913" t="s">
        <v>62</v>
      </c>
      <c r="M4913" t="s">
        <v>905</v>
      </c>
      <c r="N4913" t="s">
        <v>906</v>
      </c>
      <c r="O4913" t="s">
        <v>907</v>
      </c>
      <c r="P4913">
        <v>-20.112969</v>
      </c>
      <c r="Q4913">
        <v>-44.891264</v>
      </c>
      <c r="R4913" s="2" t="str">
        <f>HYPERLINK("https://www.google.com/maps?q=-20.1129690,-44.8912640","Abrir no Google Maps")</f>
        <v>Abrir no Google Maps</v>
      </c>
      <c r="S4913">
        <v>3</v>
      </c>
      <c r="T4913">
        <v>760.33197426397032</v>
      </c>
      <c r="U4913">
        <v>3</v>
      </c>
      <c r="V4913">
        <v>0.119047619047619</v>
      </c>
      <c r="W4913">
        <v>1</v>
      </c>
      <c r="X4913">
        <v>0.119047619047619</v>
      </c>
      <c r="Y4913">
        <v>536</v>
      </c>
      <c r="Z4913">
        <v>755.3791742519096</v>
      </c>
      <c r="AA4913">
        <v>198</v>
      </c>
      <c r="AB4913">
        <v>332</v>
      </c>
      <c r="AC4913">
        <v>536</v>
      </c>
      <c r="AD4913">
        <v>32.42</v>
      </c>
      <c r="AE4913">
        <v>542</v>
      </c>
      <c r="AF4913">
        <v>39</v>
      </c>
      <c r="AG4913">
        <v>173</v>
      </c>
      <c r="AH4913">
        <v>129</v>
      </c>
      <c r="AI4913">
        <v>7.2</v>
      </c>
      <c r="AJ4913">
        <v>31.92</v>
      </c>
      <c r="AK4913">
        <v>23.8</v>
      </c>
      <c r="AL4913">
        <v>-20.11260604999995</v>
      </c>
      <c r="AM4913">
        <v>-44.891480970454502</v>
      </c>
      <c r="AN4913">
        <v>-20.11260604999995</v>
      </c>
      <c r="AO4913">
        <v>-44.891480970454502</v>
      </c>
      <c r="AP4913">
        <v>-20.112969</v>
      </c>
      <c r="AQ4913">
        <v>-44.891264</v>
      </c>
      <c r="AR4913">
        <v>46.334053708506183</v>
      </c>
      <c r="AS4913" t="s">
        <v>65</v>
      </c>
      <c r="AT4913">
        <v>1</v>
      </c>
      <c r="AU4913" t="s">
        <v>908</v>
      </c>
      <c r="AV4913" t="s">
        <v>909</v>
      </c>
      <c r="AW4913" t="s">
        <v>60</v>
      </c>
      <c r="AX4913" t="s">
        <v>68</v>
      </c>
      <c r="AY4913" t="s">
        <v>69</v>
      </c>
      <c r="AZ4913" t="b">
        <v>1</v>
      </c>
    </row>
    <row r="4914" spans="1:52" x14ac:dyDescent="0.3">
      <c r="A4914" t="s">
        <v>52</v>
      </c>
      <c r="B4914" t="s">
        <v>53</v>
      </c>
      <c r="C4914" t="s">
        <v>54</v>
      </c>
      <c r="D4914" t="s">
        <v>55</v>
      </c>
      <c r="E4914" t="s">
        <v>2224</v>
      </c>
      <c r="F4914" t="s">
        <v>190</v>
      </c>
      <c r="G4914" t="s">
        <v>910</v>
      </c>
      <c r="H4914" t="s">
        <v>911</v>
      </c>
      <c r="I4914" t="s">
        <v>911</v>
      </c>
      <c r="J4914" t="s">
        <v>60</v>
      </c>
      <c r="K4914" t="s">
        <v>207</v>
      </c>
      <c r="L4914" t="s">
        <v>62</v>
      </c>
      <c r="M4914" t="s">
        <v>207</v>
      </c>
      <c r="N4914" t="s">
        <v>912</v>
      </c>
      <c r="O4914" t="s">
        <v>548</v>
      </c>
      <c r="P4914">
        <v>-20.116987000000002</v>
      </c>
      <c r="Q4914">
        <v>-44.885240000000003</v>
      </c>
      <c r="R4914" s="2" t="str">
        <f>HYPERLINK("https://www.google.com/maps?q=-20.1169870,-44.8852400","Abrir no Google Maps")</f>
        <v>Abrir no Google Maps</v>
      </c>
      <c r="S4914">
        <v>3</v>
      </c>
      <c r="T4914">
        <v>283.94804862214067</v>
      </c>
      <c r="U4914">
        <v>3</v>
      </c>
      <c r="V4914">
        <v>0.125</v>
      </c>
      <c r="W4914">
        <v>1</v>
      </c>
      <c r="X4914">
        <v>0.125</v>
      </c>
      <c r="Y4914">
        <v>536</v>
      </c>
      <c r="Z4914">
        <v>297.39410031170689</v>
      </c>
      <c r="AA4914">
        <v>198</v>
      </c>
      <c r="AB4914">
        <v>332</v>
      </c>
      <c r="AC4914">
        <v>536</v>
      </c>
      <c r="AD4914">
        <v>32.42</v>
      </c>
      <c r="AE4914">
        <v>542</v>
      </c>
      <c r="AF4914">
        <v>39</v>
      </c>
      <c r="AG4914">
        <v>173</v>
      </c>
      <c r="AH4914">
        <v>129</v>
      </c>
      <c r="AI4914">
        <v>7.2</v>
      </c>
      <c r="AJ4914">
        <v>31.92</v>
      </c>
      <c r="AK4914">
        <v>23.8</v>
      </c>
      <c r="AL4914">
        <v>-20.116999599999961</v>
      </c>
      <c r="AM4914">
        <v>-44.885197873315192</v>
      </c>
      <c r="AN4914">
        <v>-20.116999599999961</v>
      </c>
      <c r="AO4914">
        <v>-44.885197873315192</v>
      </c>
      <c r="AP4914">
        <v>-20.116987000000002</v>
      </c>
      <c r="AQ4914">
        <v>-44.885240000000003</v>
      </c>
      <c r="AR4914">
        <v>4.6214387870334246</v>
      </c>
      <c r="AS4914" t="s">
        <v>65</v>
      </c>
      <c r="AT4914">
        <v>1</v>
      </c>
      <c r="AU4914" t="s">
        <v>913</v>
      </c>
      <c r="AV4914" t="s">
        <v>914</v>
      </c>
      <c r="AW4914" t="s">
        <v>60</v>
      </c>
      <c r="AX4914" t="s">
        <v>68</v>
      </c>
      <c r="AY4914" t="s">
        <v>69</v>
      </c>
      <c r="AZ4914" t="b">
        <v>1</v>
      </c>
    </row>
    <row r="4915" spans="1:52" x14ac:dyDescent="0.3">
      <c r="A4915" t="s">
        <v>52</v>
      </c>
      <c r="B4915" t="s">
        <v>53</v>
      </c>
      <c r="C4915" t="s">
        <v>54</v>
      </c>
      <c r="D4915" t="s">
        <v>55</v>
      </c>
      <c r="E4915" t="s">
        <v>2224</v>
      </c>
      <c r="F4915" t="s">
        <v>190</v>
      </c>
      <c r="G4915" t="s">
        <v>620</v>
      </c>
      <c r="H4915" t="s">
        <v>621</v>
      </c>
      <c r="I4915" t="s">
        <v>621</v>
      </c>
      <c r="J4915" t="s">
        <v>60</v>
      </c>
      <c r="K4915" t="s">
        <v>207</v>
      </c>
      <c r="L4915" t="s">
        <v>62</v>
      </c>
      <c r="M4915" t="s">
        <v>207</v>
      </c>
      <c r="N4915" t="s">
        <v>622</v>
      </c>
      <c r="O4915" t="s">
        <v>623</v>
      </c>
      <c r="P4915">
        <v>-20.120775999999999</v>
      </c>
      <c r="Q4915">
        <v>-44.885562999999998</v>
      </c>
      <c r="R4915" s="2" t="str">
        <f>HYPERLINK("https://www.google.com/maps?q=-20.1207760,-44.8855630","Abrir no Google Maps")</f>
        <v>Abrir no Google Maps</v>
      </c>
      <c r="S4915">
        <v>3</v>
      </c>
      <c r="T4915">
        <v>332.24231777761912</v>
      </c>
      <c r="U4915">
        <v>3</v>
      </c>
      <c r="V4915">
        <v>0.1222707423580786</v>
      </c>
      <c r="W4915">
        <v>1</v>
      </c>
      <c r="X4915">
        <v>0.1222707423580786</v>
      </c>
      <c r="Y4915">
        <v>536</v>
      </c>
      <c r="Z4915">
        <v>255.48165096313261</v>
      </c>
      <c r="AA4915">
        <v>198</v>
      </c>
      <c r="AB4915">
        <v>332</v>
      </c>
      <c r="AC4915">
        <v>536</v>
      </c>
      <c r="AD4915">
        <v>32.42</v>
      </c>
      <c r="AE4915">
        <v>542</v>
      </c>
      <c r="AF4915">
        <v>39</v>
      </c>
      <c r="AG4915">
        <v>173</v>
      </c>
      <c r="AH4915">
        <v>129</v>
      </c>
      <c r="AI4915">
        <v>7.2</v>
      </c>
      <c r="AJ4915">
        <v>31.92</v>
      </c>
      <c r="AK4915">
        <v>23.8</v>
      </c>
      <c r="AL4915">
        <v>-20.120783799999941</v>
      </c>
      <c r="AM4915">
        <v>-44.885629603396453</v>
      </c>
      <c r="AN4915">
        <v>-20.120783799999941</v>
      </c>
      <c r="AO4915">
        <v>-44.885629603396453</v>
      </c>
      <c r="AP4915">
        <v>-20.120775999999999</v>
      </c>
      <c r="AQ4915">
        <v>-44.885562999999998</v>
      </c>
      <c r="AR4915">
        <v>7.0157317818911196</v>
      </c>
      <c r="AS4915" t="s">
        <v>65</v>
      </c>
      <c r="AT4915">
        <v>1</v>
      </c>
      <c r="AU4915" t="s">
        <v>624</v>
      </c>
      <c r="AV4915" t="s">
        <v>619</v>
      </c>
      <c r="AW4915" t="s">
        <v>60</v>
      </c>
      <c r="AX4915" t="s">
        <v>68</v>
      </c>
      <c r="AY4915" t="s">
        <v>69</v>
      </c>
      <c r="AZ4915" t="b">
        <v>1</v>
      </c>
    </row>
    <row r="4916" spans="1:52" x14ac:dyDescent="0.3">
      <c r="A4916" t="s">
        <v>52</v>
      </c>
      <c r="B4916" t="s">
        <v>53</v>
      </c>
      <c r="C4916" t="s">
        <v>54</v>
      </c>
      <c r="D4916" t="s">
        <v>55</v>
      </c>
      <c r="E4916" t="s">
        <v>2224</v>
      </c>
      <c r="F4916" t="s">
        <v>190</v>
      </c>
      <c r="G4916" t="s">
        <v>941</v>
      </c>
      <c r="H4916" t="s">
        <v>942</v>
      </c>
      <c r="I4916" t="s">
        <v>942</v>
      </c>
      <c r="J4916" t="s">
        <v>60</v>
      </c>
      <c r="K4916" t="s">
        <v>193</v>
      </c>
      <c r="L4916" t="s">
        <v>62</v>
      </c>
      <c r="M4916" t="s">
        <v>193</v>
      </c>
      <c r="N4916" t="s">
        <v>943</v>
      </c>
      <c r="O4916" t="s">
        <v>257</v>
      </c>
      <c r="P4916">
        <v>-20.142042</v>
      </c>
      <c r="Q4916">
        <v>-44.917906000000002</v>
      </c>
      <c r="R4916" s="2" t="str">
        <f>HYPERLINK("https://www.google.com/maps?q=-20.1420420,-44.9179060","Abrir no Google Maps")</f>
        <v>Abrir no Google Maps</v>
      </c>
      <c r="S4916">
        <v>3</v>
      </c>
      <c r="T4916">
        <v>373.14048213045743</v>
      </c>
      <c r="U4916">
        <v>3</v>
      </c>
      <c r="V4916">
        <v>0.1183510638297872</v>
      </c>
      <c r="W4916">
        <v>1</v>
      </c>
      <c r="X4916">
        <v>0.1183510638297872</v>
      </c>
      <c r="Y4916">
        <v>508</v>
      </c>
      <c r="Z4916">
        <v>271.52693841106122</v>
      </c>
      <c r="AA4916">
        <v>198</v>
      </c>
      <c r="AB4916">
        <v>332</v>
      </c>
      <c r="AC4916">
        <v>536</v>
      </c>
      <c r="AD4916">
        <v>32.42</v>
      </c>
      <c r="AE4916">
        <v>542</v>
      </c>
      <c r="AF4916">
        <v>39</v>
      </c>
      <c r="AG4916">
        <v>173</v>
      </c>
      <c r="AH4916">
        <v>129</v>
      </c>
      <c r="AI4916">
        <v>7.2</v>
      </c>
      <c r="AJ4916">
        <v>31.92</v>
      </c>
      <c r="AK4916">
        <v>23.8</v>
      </c>
      <c r="AL4916">
        <v>-20.14198914999994</v>
      </c>
      <c r="AM4916">
        <v>-44.918192618397512</v>
      </c>
      <c r="AN4916">
        <v>-20.14198914999994</v>
      </c>
      <c r="AO4916">
        <v>-44.918192618397512</v>
      </c>
      <c r="AP4916">
        <v>-20.142042</v>
      </c>
      <c r="AQ4916">
        <v>-44.917906000000002</v>
      </c>
      <c r="AR4916">
        <v>30.527314493281139</v>
      </c>
      <c r="AS4916" t="s">
        <v>65</v>
      </c>
      <c r="AT4916">
        <v>1</v>
      </c>
      <c r="AU4916" t="s">
        <v>944</v>
      </c>
      <c r="AV4916" t="s">
        <v>945</v>
      </c>
      <c r="AW4916" t="s">
        <v>60</v>
      </c>
      <c r="AX4916" t="s">
        <v>68</v>
      </c>
      <c r="AY4916" t="s">
        <v>69</v>
      </c>
      <c r="AZ4916" t="b">
        <v>1</v>
      </c>
    </row>
    <row r="4917" spans="1:52" x14ac:dyDescent="0.3">
      <c r="A4917" t="s">
        <v>52</v>
      </c>
      <c r="B4917" t="s">
        <v>53</v>
      </c>
      <c r="C4917" t="s">
        <v>54</v>
      </c>
      <c r="D4917" t="s">
        <v>55</v>
      </c>
      <c r="E4917" t="s">
        <v>2224</v>
      </c>
      <c r="F4917" t="s">
        <v>190</v>
      </c>
      <c r="G4917" t="s">
        <v>625</v>
      </c>
      <c r="H4917" t="s">
        <v>626</v>
      </c>
      <c r="I4917" t="s">
        <v>626</v>
      </c>
      <c r="J4917" t="s">
        <v>60</v>
      </c>
      <c r="K4917" t="s">
        <v>193</v>
      </c>
      <c r="L4917" t="s">
        <v>62</v>
      </c>
      <c r="M4917" t="s">
        <v>193</v>
      </c>
      <c r="N4917" t="s">
        <v>627</v>
      </c>
      <c r="O4917" t="s">
        <v>628</v>
      </c>
      <c r="P4917">
        <v>-20.145171999999999</v>
      </c>
      <c r="Q4917">
        <v>-44.916764000000001</v>
      </c>
      <c r="R4917" s="2" t="str">
        <f>HYPERLINK("https://www.google.com/maps?q=-20.1451720,-44.9167640","Abrir no Google Maps")</f>
        <v>Abrir no Google Maps</v>
      </c>
      <c r="S4917">
        <v>3</v>
      </c>
      <c r="T4917">
        <v>0</v>
      </c>
      <c r="U4917">
        <v>3</v>
      </c>
      <c r="V4917">
        <v>0.1257396449704142</v>
      </c>
      <c r="W4917">
        <v>1</v>
      </c>
      <c r="X4917">
        <v>0.1257396449704142</v>
      </c>
      <c r="Y4917">
        <v>508</v>
      </c>
      <c r="Z4917">
        <v>79.403393114466795</v>
      </c>
      <c r="AA4917">
        <v>198</v>
      </c>
      <c r="AB4917">
        <v>332</v>
      </c>
      <c r="AC4917">
        <v>536</v>
      </c>
      <c r="AD4917">
        <v>32.42</v>
      </c>
      <c r="AE4917">
        <v>542</v>
      </c>
      <c r="AF4917">
        <v>39</v>
      </c>
      <c r="AG4917">
        <v>173</v>
      </c>
      <c r="AH4917">
        <v>129</v>
      </c>
      <c r="AI4917">
        <v>7.2</v>
      </c>
      <c r="AJ4917">
        <v>31.92</v>
      </c>
      <c r="AK4917">
        <v>23.8</v>
      </c>
      <c r="AL4917">
        <v>-20.145089199999969</v>
      </c>
      <c r="AM4917">
        <v>-44.916788127791321</v>
      </c>
      <c r="AN4917">
        <v>-20.145089199999969</v>
      </c>
      <c r="AO4917">
        <v>-44.916788127791321</v>
      </c>
      <c r="AP4917">
        <v>-20.145171999999999</v>
      </c>
      <c r="AQ4917">
        <v>-44.916764000000001</v>
      </c>
      <c r="AR4917">
        <v>9.555991267747272</v>
      </c>
      <c r="AS4917" t="s">
        <v>65</v>
      </c>
      <c r="AT4917">
        <v>1</v>
      </c>
      <c r="AU4917" t="s">
        <v>629</v>
      </c>
      <c r="AV4917" t="s">
        <v>630</v>
      </c>
      <c r="AW4917" t="s">
        <v>60</v>
      </c>
      <c r="AX4917" t="s">
        <v>68</v>
      </c>
      <c r="AY4917" t="s">
        <v>69</v>
      </c>
      <c r="AZ4917" t="b">
        <v>1</v>
      </c>
    </row>
    <row r="4918" spans="1:52" x14ac:dyDescent="0.3">
      <c r="A4918" t="s">
        <v>52</v>
      </c>
      <c r="B4918" t="s">
        <v>53</v>
      </c>
      <c r="C4918" t="s">
        <v>54</v>
      </c>
      <c r="D4918" t="s">
        <v>55</v>
      </c>
      <c r="E4918" t="s">
        <v>2224</v>
      </c>
      <c r="F4918" t="s">
        <v>190</v>
      </c>
      <c r="G4918" t="s">
        <v>957</v>
      </c>
      <c r="H4918" t="s">
        <v>958</v>
      </c>
      <c r="I4918" t="s">
        <v>958</v>
      </c>
      <c r="J4918" t="s">
        <v>60</v>
      </c>
      <c r="K4918" t="s">
        <v>262</v>
      </c>
      <c r="L4918" t="s">
        <v>62</v>
      </c>
      <c r="M4918" t="s">
        <v>262</v>
      </c>
      <c r="N4918" t="s">
        <v>959</v>
      </c>
      <c r="O4918" t="s">
        <v>960</v>
      </c>
      <c r="P4918">
        <v>-20.165469999999999</v>
      </c>
      <c r="Q4918">
        <v>-44.854308000000003</v>
      </c>
      <c r="R4918" s="2" t="str">
        <f>HYPERLINK("https://www.google.com/maps?q=-20.1654700,-44.8543080","Abrir no Google Maps")</f>
        <v>Abrir no Google Maps</v>
      </c>
      <c r="S4918">
        <v>3</v>
      </c>
      <c r="T4918">
        <v>555.06043712641599</v>
      </c>
      <c r="U4918">
        <v>3</v>
      </c>
      <c r="V4918">
        <v>0.126953125</v>
      </c>
      <c r="W4918">
        <v>1</v>
      </c>
      <c r="X4918">
        <v>0.126953125</v>
      </c>
      <c r="Y4918">
        <v>491</v>
      </c>
      <c r="Z4918">
        <v>423.16855805320131</v>
      </c>
      <c r="AA4918">
        <v>198</v>
      </c>
      <c r="AB4918">
        <v>332</v>
      </c>
      <c r="AC4918">
        <v>536</v>
      </c>
      <c r="AD4918">
        <v>32.42</v>
      </c>
      <c r="AE4918">
        <v>542</v>
      </c>
      <c r="AF4918">
        <v>39</v>
      </c>
      <c r="AG4918">
        <v>173</v>
      </c>
      <c r="AH4918">
        <v>129</v>
      </c>
      <c r="AI4918">
        <v>7.2</v>
      </c>
      <c r="AJ4918">
        <v>31.92</v>
      </c>
      <c r="AK4918">
        <v>23.8</v>
      </c>
      <c r="AL4918">
        <v>-20.165538449999961</v>
      </c>
      <c r="AM4918">
        <v>-44.854274624633042</v>
      </c>
      <c r="AN4918">
        <v>-20.165538449999961</v>
      </c>
      <c r="AO4918">
        <v>-44.854274624633042</v>
      </c>
      <c r="AP4918">
        <v>-20.165469999999999</v>
      </c>
      <c r="AQ4918">
        <v>-44.854308000000003</v>
      </c>
      <c r="AR4918">
        <v>8.3800661572970956</v>
      </c>
      <c r="AS4918" t="s">
        <v>65</v>
      </c>
      <c r="AT4918">
        <v>1</v>
      </c>
      <c r="AU4918" t="s">
        <v>961</v>
      </c>
      <c r="AV4918" t="s">
        <v>962</v>
      </c>
      <c r="AW4918" t="s">
        <v>60</v>
      </c>
      <c r="AX4918" t="s">
        <v>68</v>
      </c>
      <c r="AY4918" t="s">
        <v>69</v>
      </c>
      <c r="AZ4918" t="b">
        <v>1</v>
      </c>
    </row>
    <row r="4919" spans="1:52" x14ac:dyDescent="0.3">
      <c r="A4919" t="s">
        <v>52</v>
      </c>
      <c r="B4919" t="s">
        <v>53</v>
      </c>
      <c r="C4919" t="s">
        <v>54</v>
      </c>
      <c r="D4919" t="s">
        <v>55</v>
      </c>
      <c r="E4919" t="s">
        <v>2224</v>
      </c>
      <c r="F4919" t="s">
        <v>190</v>
      </c>
      <c r="G4919" t="s">
        <v>957</v>
      </c>
      <c r="H4919" t="s">
        <v>1750</v>
      </c>
      <c r="I4919" t="s">
        <v>1750</v>
      </c>
      <c r="J4919" t="s">
        <v>60</v>
      </c>
      <c r="K4919" t="s">
        <v>982</v>
      </c>
      <c r="L4919" t="s">
        <v>62</v>
      </c>
      <c r="M4919" t="s">
        <v>982</v>
      </c>
      <c r="N4919" t="s">
        <v>959</v>
      </c>
      <c r="O4919" t="s">
        <v>1751</v>
      </c>
      <c r="P4919">
        <v>-20.164285</v>
      </c>
      <c r="Q4919">
        <v>-44.857562000000001</v>
      </c>
      <c r="R4919" s="2" t="str">
        <f>HYPERLINK("https://www.google.com/maps?q=-20.1642850,-44.8575620","Abrir no Google Maps")</f>
        <v>Abrir no Google Maps</v>
      </c>
      <c r="S4919">
        <v>3</v>
      </c>
      <c r="T4919">
        <v>275.89108588842112</v>
      </c>
      <c r="U4919">
        <v>3</v>
      </c>
      <c r="V4919">
        <v>0.1236263736263736</v>
      </c>
      <c r="W4919">
        <v>1</v>
      </c>
      <c r="X4919">
        <v>0.1236263736263736</v>
      </c>
      <c r="Y4919">
        <v>491</v>
      </c>
      <c r="Z4919">
        <v>150.50906778215881</v>
      </c>
      <c r="AA4919">
        <v>198</v>
      </c>
      <c r="AB4919">
        <v>332</v>
      </c>
      <c r="AC4919">
        <v>536</v>
      </c>
      <c r="AD4919">
        <v>32.42</v>
      </c>
      <c r="AE4919">
        <v>542</v>
      </c>
      <c r="AF4919">
        <v>39</v>
      </c>
      <c r="AG4919">
        <v>173</v>
      </c>
      <c r="AH4919">
        <v>129</v>
      </c>
      <c r="AI4919">
        <v>7.2</v>
      </c>
      <c r="AJ4919">
        <v>31.92</v>
      </c>
      <c r="AK4919">
        <v>23.8</v>
      </c>
      <c r="AL4919">
        <v>-20.164333749999969</v>
      </c>
      <c r="AM4919">
        <v>-44.857568319333943</v>
      </c>
      <c r="AN4919">
        <v>-20.164333749999969</v>
      </c>
      <c r="AO4919">
        <v>-44.857568319333943</v>
      </c>
      <c r="AP4919">
        <v>-20.164285</v>
      </c>
      <c r="AQ4919">
        <v>-44.857562000000001</v>
      </c>
      <c r="AR4919">
        <v>5.4668788625524281</v>
      </c>
      <c r="AS4919" t="s">
        <v>65</v>
      </c>
      <c r="AT4919">
        <v>1</v>
      </c>
      <c r="AU4919" t="s">
        <v>1752</v>
      </c>
      <c r="AV4919" t="s">
        <v>1753</v>
      </c>
      <c r="AW4919" t="s">
        <v>60</v>
      </c>
      <c r="AX4919" t="s">
        <v>68</v>
      </c>
      <c r="AY4919" t="s">
        <v>69</v>
      </c>
      <c r="AZ4919" t="b">
        <v>1</v>
      </c>
    </row>
    <row r="4920" spans="1:52" x14ac:dyDescent="0.3">
      <c r="A4920" t="s">
        <v>52</v>
      </c>
      <c r="B4920" t="s">
        <v>53</v>
      </c>
      <c r="C4920" t="s">
        <v>54</v>
      </c>
      <c r="D4920" t="s">
        <v>55</v>
      </c>
      <c r="E4920" t="s">
        <v>2224</v>
      </c>
      <c r="F4920" t="s">
        <v>190</v>
      </c>
      <c r="G4920" t="s">
        <v>963</v>
      </c>
      <c r="H4920" t="s">
        <v>964</v>
      </c>
      <c r="I4920" t="s">
        <v>964</v>
      </c>
      <c r="J4920" t="s">
        <v>60</v>
      </c>
      <c r="K4920" t="s">
        <v>702</v>
      </c>
      <c r="L4920" t="s">
        <v>62</v>
      </c>
      <c r="M4920" t="s">
        <v>702</v>
      </c>
      <c r="N4920" t="s">
        <v>965</v>
      </c>
      <c r="O4920" t="s">
        <v>960</v>
      </c>
      <c r="P4920">
        <v>-20.164622000000001</v>
      </c>
      <c r="Q4920">
        <v>-44.860289999999999</v>
      </c>
      <c r="R4920" s="2" t="str">
        <f>HYPERLINK("https://www.google.com/maps?q=-20.1646220,-44.8602900","Abrir no Google Maps")</f>
        <v>Abrir no Google Maps</v>
      </c>
      <c r="S4920">
        <v>3</v>
      </c>
      <c r="T4920">
        <v>393.43725605569188</v>
      </c>
      <c r="U4920">
        <v>3</v>
      </c>
      <c r="V4920">
        <v>0.12562189054726369</v>
      </c>
      <c r="W4920">
        <v>1</v>
      </c>
      <c r="X4920">
        <v>0.12562189054726369</v>
      </c>
      <c r="Y4920">
        <v>491</v>
      </c>
      <c r="Z4920">
        <v>358.96336458076678</v>
      </c>
      <c r="AA4920">
        <v>198</v>
      </c>
      <c r="AB4920">
        <v>332</v>
      </c>
      <c r="AC4920">
        <v>536</v>
      </c>
      <c r="AD4920">
        <v>32.42</v>
      </c>
      <c r="AE4920">
        <v>542</v>
      </c>
      <c r="AF4920">
        <v>39</v>
      </c>
      <c r="AG4920">
        <v>173</v>
      </c>
      <c r="AH4920">
        <v>129</v>
      </c>
      <c r="AI4920">
        <v>7.2</v>
      </c>
      <c r="AJ4920">
        <v>31.92</v>
      </c>
      <c r="AK4920">
        <v>23.8</v>
      </c>
      <c r="AL4920">
        <v>-20.164560849999951</v>
      </c>
      <c r="AM4920">
        <v>-44.860330680844072</v>
      </c>
      <c r="AN4920">
        <v>-20.164560849999951</v>
      </c>
      <c r="AO4920">
        <v>-44.860330680844072</v>
      </c>
      <c r="AP4920">
        <v>-20.164622000000001</v>
      </c>
      <c r="AQ4920">
        <v>-44.860289999999999</v>
      </c>
      <c r="AR4920">
        <v>8.0255448908437454</v>
      </c>
      <c r="AS4920" t="s">
        <v>65</v>
      </c>
      <c r="AT4920">
        <v>1</v>
      </c>
      <c r="AU4920" t="s">
        <v>966</v>
      </c>
      <c r="AV4920" t="s">
        <v>967</v>
      </c>
      <c r="AW4920" t="s">
        <v>60</v>
      </c>
      <c r="AX4920" t="s">
        <v>68</v>
      </c>
      <c r="AY4920" t="s">
        <v>69</v>
      </c>
      <c r="AZ4920" t="b">
        <v>1</v>
      </c>
    </row>
    <row r="4921" spans="1:52" x14ac:dyDescent="0.3">
      <c r="A4921" t="s">
        <v>52</v>
      </c>
      <c r="B4921" t="s">
        <v>53</v>
      </c>
      <c r="C4921" t="s">
        <v>54</v>
      </c>
      <c r="D4921" t="s">
        <v>55</v>
      </c>
      <c r="E4921" t="s">
        <v>2224</v>
      </c>
      <c r="F4921" t="s">
        <v>190</v>
      </c>
      <c r="G4921" t="s">
        <v>1856</v>
      </c>
      <c r="H4921" t="s">
        <v>1862</v>
      </c>
      <c r="I4921" t="s">
        <v>1862</v>
      </c>
      <c r="J4921" t="s">
        <v>60</v>
      </c>
      <c r="K4921" t="s">
        <v>982</v>
      </c>
      <c r="L4921" t="s">
        <v>62</v>
      </c>
      <c r="M4921" t="s">
        <v>982</v>
      </c>
      <c r="N4921" t="s">
        <v>1858</v>
      </c>
      <c r="O4921" t="s">
        <v>1863</v>
      </c>
      <c r="P4921">
        <v>-20.167763000000001</v>
      </c>
      <c r="Q4921">
        <v>-44.855682000000002</v>
      </c>
      <c r="R4921" s="2" t="str">
        <f>HYPERLINK("https://www.google.com/maps?q=-20.1677630,-44.8556820","Abrir no Google Maps")</f>
        <v>Abrir no Google Maps</v>
      </c>
      <c r="S4921">
        <v>3</v>
      </c>
      <c r="T4921">
        <v>695.0286862160923</v>
      </c>
      <c r="U4921">
        <v>3</v>
      </c>
      <c r="V4921">
        <v>0.1411290322580645</v>
      </c>
      <c r="W4921">
        <v>0.85</v>
      </c>
      <c r="X4921">
        <v>0.1199596774193548</v>
      </c>
      <c r="Y4921">
        <v>491</v>
      </c>
      <c r="Z4921">
        <v>586.96149177670804</v>
      </c>
      <c r="AA4921">
        <v>198</v>
      </c>
      <c r="AB4921">
        <v>332</v>
      </c>
      <c r="AC4921">
        <v>536</v>
      </c>
      <c r="AD4921">
        <v>32.42</v>
      </c>
      <c r="AE4921">
        <v>542</v>
      </c>
      <c r="AF4921">
        <v>39</v>
      </c>
      <c r="AG4921">
        <v>173</v>
      </c>
      <c r="AH4921">
        <v>129</v>
      </c>
      <c r="AI4921">
        <v>7.2</v>
      </c>
      <c r="AJ4921">
        <v>31.92</v>
      </c>
      <c r="AK4921">
        <v>23.8</v>
      </c>
      <c r="AL4921">
        <v>-20.16777439999996</v>
      </c>
      <c r="AM4921">
        <v>-44.855650314695723</v>
      </c>
      <c r="AN4921">
        <v>-20.16777439999996</v>
      </c>
      <c r="AO4921">
        <v>-44.855650314695723</v>
      </c>
      <c r="AP4921">
        <v>-20.167763000000001</v>
      </c>
      <c r="AQ4921">
        <v>-44.855682000000002</v>
      </c>
      <c r="AR4921">
        <v>3.5458197041869921</v>
      </c>
      <c r="AS4921" t="s">
        <v>65</v>
      </c>
      <c r="AT4921">
        <v>1</v>
      </c>
      <c r="AU4921" t="s">
        <v>1864</v>
      </c>
      <c r="AV4921" t="s">
        <v>1861</v>
      </c>
      <c r="AW4921" t="s">
        <v>60</v>
      </c>
      <c r="AX4921" t="s">
        <v>68</v>
      </c>
      <c r="AY4921" t="s">
        <v>69</v>
      </c>
      <c r="AZ4921" t="b">
        <v>1</v>
      </c>
    </row>
    <row r="4922" spans="1:52" x14ac:dyDescent="0.3">
      <c r="A4922" t="s">
        <v>52</v>
      </c>
      <c r="B4922" t="s">
        <v>53</v>
      </c>
      <c r="C4922" t="s">
        <v>54</v>
      </c>
      <c r="D4922" t="s">
        <v>55</v>
      </c>
      <c r="E4922" t="s">
        <v>2224</v>
      </c>
      <c r="F4922" t="s">
        <v>190</v>
      </c>
      <c r="G4922" t="s">
        <v>2241</v>
      </c>
      <c r="H4922" t="s">
        <v>2242</v>
      </c>
      <c r="I4922" t="s">
        <v>2242</v>
      </c>
      <c r="J4922" t="s">
        <v>60</v>
      </c>
      <c r="K4922" t="s">
        <v>437</v>
      </c>
      <c r="L4922" t="s">
        <v>62</v>
      </c>
      <c r="M4922" t="s">
        <v>437</v>
      </c>
      <c r="N4922" t="s">
        <v>2243</v>
      </c>
      <c r="O4922" t="s">
        <v>2244</v>
      </c>
      <c r="P4922">
        <v>-20.151775000000001</v>
      </c>
      <c r="Q4922">
        <v>-44.888402999999997</v>
      </c>
      <c r="R4922" s="2" t="str">
        <f>HYPERLINK("https://www.google.com/maps?q=-20.1517750,-44.8884030","Abrir no Google Maps")</f>
        <v>Abrir no Google Maps</v>
      </c>
      <c r="S4922">
        <v>3</v>
      </c>
      <c r="T4922">
        <v>261.71979049841048</v>
      </c>
      <c r="U4922">
        <v>3</v>
      </c>
      <c r="V4922">
        <v>0.13868613138686131</v>
      </c>
      <c r="W4922">
        <v>0.85</v>
      </c>
      <c r="X4922">
        <v>0.1178832116788321</v>
      </c>
      <c r="Y4922">
        <v>480</v>
      </c>
      <c r="Z4922">
        <v>313.0121183250086</v>
      </c>
      <c r="AA4922">
        <v>198</v>
      </c>
      <c r="AB4922">
        <v>332</v>
      </c>
      <c r="AC4922">
        <v>536</v>
      </c>
      <c r="AD4922">
        <v>32.42</v>
      </c>
      <c r="AE4922">
        <v>542</v>
      </c>
      <c r="AF4922">
        <v>39</v>
      </c>
      <c r="AG4922">
        <v>173</v>
      </c>
      <c r="AH4922">
        <v>129</v>
      </c>
      <c r="AI4922">
        <v>7.2</v>
      </c>
      <c r="AJ4922">
        <v>31.92</v>
      </c>
      <c r="AK4922">
        <v>23.8</v>
      </c>
      <c r="AL4922">
        <v>-20.151784049999971</v>
      </c>
      <c r="AM4922">
        <v>-44.88826072813751</v>
      </c>
      <c r="AN4922">
        <v>-20.151784049999971</v>
      </c>
      <c r="AO4922">
        <v>-44.88826072813751</v>
      </c>
      <c r="AP4922">
        <v>-20.151775000000001</v>
      </c>
      <c r="AQ4922">
        <v>-44.888402999999997</v>
      </c>
      <c r="AR4922">
        <v>14.9022637328369</v>
      </c>
      <c r="AS4922" t="s">
        <v>65</v>
      </c>
      <c r="AT4922">
        <v>1</v>
      </c>
      <c r="AU4922" t="s">
        <v>2245</v>
      </c>
      <c r="AV4922" t="s">
        <v>2246</v>
      </c>
      <c r="AW4922" t="s">
        <v>60</v>
      </c>
      <c r="AX4922" t="s">
        <v>68</v>
      </c>
      <c r="AY4922" t="s">
        <v>69</v>
      </c>
      <c r="AZ4922" t="b">
        <v>1</v>
      </c>
    </row>
    <row r="4923" spans="1:52" x14ac:dyDescent="0.3">
      <c r="A4923" t="s">
        <v>52</v>
      </c>
      <c r="B4923" t="s">
        <v>53</v>
      </c>
      <c r="C4923" t="s">
        <v>54</v>
      </c>
      <c r="D4923" t="s">
        <v>55</v>
      </c>
      <c r="E4923" t="s">
        <v>2224</v>
      </c>
      <c r="F4923" t="s">
        <v>190</v>
      </c>
      <c r="G4923" t="s">
        <v>2247</v>
      </c>
      <c r="H4923" t="s">
        <v>2248</v>
      </c>
      <c r="I4923" t="s">
        <v>2248</v>
      </c>
      <c r="J4923" t="s">
        <v>60</v>
      </c>
      <c r="K4923" t="s">
        <v>437</v>
      </c>
      <c r="L4923" t="s">
        <v>62</v>
      </c>
      <c r="M4923" t="s">
        <v>437</v>
      </c>
      <c r="N4923" t="s">
        <v>2249</v>
      </c>
      <c r="O4923" t="s">
        <v>2250</v>
      </c>
      <c r="P4923">
        <v>-20.144544</v>
      </c>
      <c r="Q4923">
        <v>-44.880499</v>
      </c>
      <c r="R4923" s="2" t="str">
        <f>HYPERLINK("https://www.google.com/maps?q=-20.1445440,-44.8804990","Abrir no Google Maps")</f>
        <v>Abrir no Google Maps</v>
      </c>
      <c r="S4923">
        <v>3</v>
      </c>
      <c r="T4923">
        <v>391.45883415166003</v>
      </c>
      <c r="U4923">
        <v>3</v>
      </c>
      <c r="V4923">
        <v>0.13297872340425529</v>
      </c>
      <c r="W4923">
        <v>0.85</v>
      </c>
      <c r="X4923">
        <v>0.113031914893617</v>
      </c>
      <c r="Y4923">
        <v>465</v>
      </c>
      <c r="Z4923">
        <v>396.24591629148568</v>
      </c>
      <c r="AA4923">
        <v>198</v>
      </c>
      <c r="AB4923">
        <v>332</v>
      </c>
      <c r="AC4923">
        <v>536</v>
      </c>
      <c r="AD4923">
        <v>32.42</v>
      </c>
      <c r="AE4923">
        <v>542</v>
      </c>
      <c r="AF4923">
        <v>39</v>
      </c>
      <c r="AG4923">
        <v>173</v>
      </c>
      <c r="AH4923">
        <v>129</v>
      </c>
      <c r="AI4923">
        <v>7.2</v>
      </c>
      <c r="AJ4923">
        <v>31.92</v>
      </c>
      <c r="AK4923">
        <v>23.8</v>
      </c>
      <c r="AL4923">
        <v>-20.144544899999939</v>
      </c>
      <c r="AM4923">
        <v>-44.880256760231603</v>
      </c>
      <c r="AN4923">
        <v>-20.144544899999939</v>
      </c>
      <c r="AO4923">
        <v>-44.880256760231603</v>
      </c>
      <c r="AP4923">
        <v>-20.144544</v>
      </c>
      <c r="AQ4923">
        <v>-44.880499</v>
      </c>
      <c r="AR4923">
        <v>25.31672441853587</v>
      </c>
      <c r="AS4923" t="s">
        <v>65</v>
      </c>
      <c r="AT4923">
        <v>1</v>
      </c>
      <c r="AU4923" t="s">
        <v>2251</v>
      </c>
      <c r="AV4923" t="s">
        <v>2252</v>
      </c>
      <c r="AW4923" t="s">
        <v>60</v>
      </c>
      <c r="AX4923" t="s">
        <v>68</v>
      </c>
      <c r="AY4923" t="s">
        <v>69</v>
      </c>
      <c r="AZ4923" t="b">
        <v>1</v>
      </c>
    </row>
    <row r="4924" spans="1:52" x14ac:dyDescent="0.3">
      <c r="A4924" t="s">
        <v>52</v>
      </c>
      <c r="B4924" t="s">
        <v>53</v>
      </c>
      <c r="C4924" t="s">
        <v>54</v>
      </c>
      <c r="D4924" t="s">
        <v>55</v>
      </c>
      <c r="E4924" t="s">
        <v>2224</v>
      </c>
      <c r="F4924" t="s">
        <v>190</v>
      </c>
      <c r="G4924" t="s">
        <v>1871</v>
      </c>
      <c r="H4924" t="s">
        <v>1872</v>
      </c>
      <c r="I4924" t="s">
        <v>1872</v>
      </c>
      <c r="J4924" t="s">
        <v>60</v>
      </c>
      <c r="K4924" t="s">
        <v>1873</v>
      </c>
      <c r="L4924" t="s">
        <v>62</v>
      </c>
      <c r="M4924" t="s">
        <v>1873</v>
      </c>
      <c r="N4924" t="s">
        <v>1874</v>
      </c>
      <c r="O4924" t="s">
        <v>1777</v>
      </c>
      <c r="P4924">
        <v>-20.174001000000001</v>
      </c>
      <c r="Q4924">
        <v>-44.858052999999998</v>
      </c>
      <c r="R4924" s="2" t="str">
        <f>HYPERLINK("https://www.google.com/maps?q=-20.1740010,-44.8580530","Abrir no Google Maps")</f>
        <v>Abrir no Google Maps</v>
      </c>
      <c r="S4924">
        <v>3</v>
      </c>
      <c r="T4924">
        <v>781.46073891498543</v>
      </c>
      <c r="U4924">
        <v>3</v>
      </c>
      <c r="V4924">
        <v>0.1306306306306306</v>
      </c>
      <c r="W4924">
        <v>0.85</v>
      </c>
      <c r="X4924">
        <v>0.111036036036036</v>
      </c>
      <c r="Y4924">
        <v>422</v>
      </c>
      <c r="Z4924">
        <v>952.0433747489468</v>
      </c>
      <c r="AA4924">
        <v>198</v>
      </c>
      <c r="AB4924">
        <v>332</v>
      </c>
      <c r="AC4924">
        <v>536</v>
      </c>
      <c r="AD4924">
        <v>32.42</v>
      </c>
      <c r="AE4924">
        <v>542</v>
      </c>
      <c r="AF4924">
        <v>39</v>
      </c>
      <c r="AG4924">
        <v>173</v>
      </c>
      <c r="AH4924">
        <v>129</v>
      </c>
      <c r="AI4924">
        <v>7.2</v>
      </c>
      <c r="AJ4924">
        <v>31.92</v>
      </c>
      <c r="AK4924">
        <v>23.8</v>
      </c>
      <c r="AL4924">
        <v>-20.173775449999969</v>
      </c>
      <c r="AM4924">
        <v>-44.858085656466983</v>
      </c>
      <c r="AN4924">
        <v>-20.173775449999969</v>
      </c>
      <c r="AO4924">
        <v>-44.858085656466983</v>
      </c>
      <c r="AP4924">
        <v>-20.174001000000001</v>
      </c>
      <c r="AQ4924">
        <v>-44.858052999999998</v>
      </c>
      <c r="AR4924">
        <v>25.339036445914079</v>
      </c>
      <c r="AS4924" t="s">
        <v>65</v>
      </c>
      <c r="AT4924">
        <v>1</v>
      </c>
      <c r="AU4924" t="s">
        <v>1875</v>
      </c>
      <c r="AV4924" t="s">
        <v>1876</v>
      </c>
      <c r="AW4924" t="s">
        <v>60</v>
      </c>
      <c r="AX4924" t="s">
        <v>68</v>
      </c>
      <c r="AY4924" t="s">
        <v>69</v>
      </c>
      <c r="AZ4924" t="b">
        <v>1</v>
      </c>
    </row>
    <row r="4925" spans="1:52" x14ac:dyDescent="0.3">
      <c r="A4925" t="s">
        <v>52</v>
      </c>
      <c r="B4925" t="s">
        <v>53</v>
      </c>
      <c r="C4925" t="s">
        <v>54</v>
      </c>
      <c r="D4925" t="s">
        <v>55</v>
      </c>
      <c r="E4925" t="s">
        <v>2224</v>
      </c>
      <c r="F4925" t="s">
        <v>190</v>
      </c>
      <c r="G4925" t="s">
        <v>1877</v>
      </c>
      <c r="H4925" t="s">
        <v>1878</v>
      </c>
      <c r="I4925" t="s">
        <v>1878</v>
      </c>
      <c r="J4925" t="s">
        <v>60</v>
      </c>
      <c r="K4925" t="s">
        <v>1023</v>
      </c>
      <c r="L4925" t="s">
        <v>62</v>
      </c>
      <c r="M4925" t="s">
        <v>1023</v>
      </c>
      <c r="N4925" t="s">
        <v>1879</v>
      </c>
      <c r="O4925" t="s">
        <v>1880</v>
      </c>
      <c r="P4925">
        <v>-20.174357000000001</v>
      </c>
      <c r="Q4925">
        <v>-44.866101</v>
      </c>
      <c r="R4925" s="2" t="str">
        <f>HYPERLINK("https://www.google.com/maps?q=-20.1743570,-44.8661010","Abrir no Google Maps")</f>
        <v>Abrir no Google Maps</v>
      </c>
      <c r="S4925">
        <v>3</v>
      </c>
      <c r="T4925">
        <v>238.56176556684929</v>
      </c>
      <c r="U4925">
        <v>3</v>
      </c>
      <c r="V4925">
        <v>0.13825757575757569</v>
      </c>
      <c r="W4925">
        <v>0.85</v>
      </c>
      <c r="X4925">
        <v>0.1175189393939393</v>
      </c>
      <c r="Y4925">
        <v>422</v>
      </c>
      <c r="Z4925">
        <v>225.29948026941889</v>
      </c>
      <c r="AA4925">
        <v>198</v>
      </c>
      <c r="AB4925">
        <v>332</v>
      </c>
      <c r="AC4925">
        <v>536</v>
      </c>
      <c r="AD4925">
        <v>32.42</v>
      </c>
      <c r="AE4925">
        <v>542</v>
      </c>
      <c r="AF4925">
        <v>39</v>
      </c>
      <c r="AG4925">
        <v>173</v>
      </c>
      <c r="AH4925">
        <v>129</v>
      </c>
      <c r="AI4925">
        <v>7.2</v>
      </c>
      <c r="AJ4925">
        <v>31.92</v>
      </c>
      <c r="AK4925">
        <v>23.8</v>
      </c>
      <c r="AL4925">
        <v>-20.17434419999995</v>
      </c>
      <c r="AM4925">
        <v>-44.866107665675429</v>
      </c>
      <c r="AN4925">
        <v>-20.17434419999995</v>
      </c>
      <c r="AO4925">
        <v>-44.866107665675429</v>
      </c>
      <c r="AP4925">
        <v>-20.174357000000001</v>
      </c>
      <c r="AQ4925">
        <v>-44.866101</v>
      </c>
      <c r="AR4925">
        <v>1.586013294508726</v>
      </c>
      <c r="AS4925" t="s">
        <v>65</v>
      </c>
      <c r="AT4925">
        <v>1</v>
      </c>
      <c r="AU4925" t="s">
        <v>1881</v>
      </c>
      <c r="AV4925" t="s">
        <v>1043</v>
      </c>
      <c r="AW4925" t="s">
        <v>60</v>
      </c>
      <c r="AX4925" t="s">
        <v>68</v>
      </c>
      <c r="AY4925" t="s">
        <v>69</v>
      </c>
      <c r="AZ4925" t="b">
        <v>1</v>
      </c>
    </row>
    <row r="4926" spans="1:52" x14ac:dyDescent="0.3">
      <c r="A4926" t="s">
        <v>52</v>
      </c>
      <c r="B4926" t="s">
        <v>53</v>
      </c>
      <c r="C4926" t="s">
        <v>54</v>
      </c>
      <c r="D4926" t="s">
        <v>55</v>
      </c>
      <c r="E4926" t="s">
        <v>2224</v>
      </c>
      <c r="F4926" t="s">
        <v>190</v>
      </c>
      <c r="G4926" t="s">
        <v>1044</v>
      </c>
      <c r="H4926" t="s">
        <v>1045</v>
      </c>
      <c r="I4926" t="s">
        <v>1045</v>
      </c>
      <c r="J4926" t="s">
        <v>60</v>
      </c>
      <c r="K4926" t="s">
        <v>702</v>
      </c>
      <c r="L4926" t="s">
        <v>62</v>
      </c>
      <c r="M4926" t="s">
        <v>702</v>
      </c>
      <c r="N4926" t="s">
        <v>983</v>
      </c>
      <c r="O4926" t="s">
        <v>1046</v>
      </c>
      <c r="P4926">
        <v>-20.172056000000001</v>
      </c>
      <c r="Q4926">
        <v>-44.861556999999998</v>
      </c>
      <c r="R4926" s="2" t="str">
        <f>HYPERLINK("https://www.google.com/maps?q=-20.1720560,-44.8615570","Abrir no Google Maps")</f>
        <v>Abrir no Google Maps</v>
      </c>
      <c r="S4926">
        <v>3</v>
      </c>
      <c r="T4926">
        <v>387.50881633442719</v>
      </c>
      <c r="U4926">
        <v>3</v>
      </c>
      <c r="V4926">
        <v>0.12195121951219511</v>
      </c>
      <c r="W4926">
        <v>1</v>
      </c>
      <c r="X4926">
        <v>0.12195121951219511</v>
      </c>
      <c r="Y4926">
        <v>422</v>
      </c>
      <c r="Z4926">
        <v>592.01060063884404</v>
      </c>
      <c r="AA4926">
        <v>198</v>
      </c>
      <c r="AB4926">
        <v>332</v>
      </c>
      <c r="AC4926">
        <v>536</v>
      </c>
      <c r="AD4926">
        <v>32.42</v>
      </c>
      <c r="AE4926">
        <v>542</v>
      </c>
      <c r="AF4926">
        <v>39</v>
      </c>
      <c r="AG4926">
        <v>173</v>
      </c>
      <c r="AH4926">
        <v>129</v>
      </c>
      <c r="AI4926">
        <v>7.2</v>
      </c>
      <c r="AJ4926">
        <v>31.92</v>
      </c>
      <c r="AK4926">
        <v>23.8</v>
      </c>
      <c r="AL4926">
        <v>-20.171880149999961</v>
      </c>
      <c r="AM4926">
        <v>-44.861715860253369</v>
      </c>
      <c r="AN4926">
        <v>-20.171880149999961</v>
      </c>
      <c r="AO4926">
        <v>-44.861715860253369</v>
      </c>
      <c r="AP4926">
        <v>-20.172056000000001</v>
      </c>
      <c r="AQ4926">
        <v>-44.861556999999998</v>
      </c>
      <c r="AR4926">
        <v>25.66616443825145</v>
      </c>
      <c r="AS4926" t="s">
        <v>65</v>
      </c>
      <c r="AT4926">
        <v>1</v>
      </c>
      <c r="AU4926" t="s">
        <v>1047</v>
      </c>
      <c r="AV4926" t="s">
        <v>705</v>
      </c>
      <c r="AW4926" t="s">
        <v>60</v>
      </c>
      <c r="AX4926" t="s">
        <v>68</v>
      </c>
      <c r="AY4926" t="s">
        <v>69</v>
      </c>
      <c r="AZ4926" t="b">
        <v>1</v>
      </c>
    </row>
    <row r="4927" spans="1:52" x14ac:dyDescent="0.3">
      <c r="A4927" t="s">
        <v>52</v>
      </c>
      <c r="B4927" t="s">
        <v>53</v>
      </c>
      <c r="C4927" t="s">
        <v>54</v>
      </c>
      <c r="D4927" t="s">
        <v>55</v>
      </c>
      <c r="E4927" t="s">
        <v>2224</v>
      </c>
      <c r="F4927" t="s">
        <v>190</v>
      </c>
      <c r="G4927" t="s">
        <v>1048</v>
      </c>
      <c r="H4927" t="s">
        <v>1049</v>
      </c>
      <c r="I4927" t="s">
        <v>1049</v>
      </c>
      <c r="J4927" t="s">
        <v>60</v>
      </c>
      <c r="K4927" t="s">
        <v>708</v>
      </c>
      <c r="L4927" t="s">
        <v>62</v>
      </c>
      <c r="M4927" t="s">
        <v>708</v>
      </c>
      <c r="N4927" t="s">
        <v>1050</v>
      </c>
      <c r="O4927" t="s">
        <v>1051</v>
      </c>
      <c r="P4927">
        <v>-20.128316000000002</v>
      </c>
      <c r="Q4927">
        <v>-44.878137000000002</v>
      </c>
      <c r="R4927" s="2" t="str">
        <f>HYPERLINK("https://www.google.com/maps?q=-20.1283160,-44.8781370","Abrir no Google Maps")</f>
        <v>Abrir no Google Maps</v>
      </c>
      <c r="S4927">
        <v>3</v>
      </c>
      <c r="T4927">
        <v>513.28053815499243</v>
      </c>
      <c r="U4927">
        <v>3</v>
      </c>
      <c r="V4927">
        <v>0.1164215686274509</v>
      </c>
      <c r="W4927">
        <v>1</v>
      </c>
      <c r="X4927">
        <v>0.1164215686274509</v>
      </c>
      <c r="Y4927">
        <v>387</v>
      </c>
      <c r="Z4927">
        <v>385.74604528561741</v>
      </c>
      <c r="AA4927">
        <v>198</v>
      </c>
      <c r="AB4927">
        <v>332</v>
      </c>
      <c r="AC4927">
        <v>536</v>
      </c>
      <c r="AD4927">
        <v>32.42</v>
      </c>
      <c r="AE4927">
        <v>542</v>
      </c>
      <c r="AF4927">
        <v>39</v>
      </c>
      <c r="AG4927">
        <v>173</v>
      </c>
      <c r="AH4927">
        <v>129</v>
      </c>
      <c r="AI4927">
        <v>7.2</v>
      </c>
      <c r="AJ4927">
        <v>31.92</v>
      </c>
      <c r="AK4927">
        <v>23.8</v>
      </c>
      <c r="AL4927">
        <v>-20.128308349999969</v>
      </c>
      <c r="AM4927">
        <v>-44.878115052779357</v>
      </c>
      <c r="AN4927">
        <v>-20.128308349999969</v>
      </c>
      <c r="AO4927">
        <v>-44.878115052779357</v>
      </c>
      <c r="AP4927">
        <v>-20.128316000000002</v>
      </c>
      <c r="AQ4927">
        <v>-44.878137000000002</v>
      </c>
      <c r="AR4927">
        <v>2.4469186172207671</v>
      </c>
      <c r="AS4927" t="s">
        <v>65</v>
      </c>
      <c r="AT4927">
        <v>1</v>
      </c>
      <c r="AU4927" t="s">
        <v>1052</v>
      </c>
      <c r="AV4927" t="s">
        <v>1053</v>
      </c>
      <c r="AW4927" t="s">
        <v>60</v>
      </c>
      <c r="AX4927" t="s">
        <v>68</v>
      </c>
      <c r="AY4927" t="s">
        <v>69</v>
      </c>
      <c r="AZ4927" t="b">
        <v>1</v>
      </c>
    </row>
    <row r="4928" spans="1:52" x14ac:dyDescent="0.3">
      <c r="A4928" t="s">
        <v>52</v>
      </c>
      <c r="B4928" t="s">
        <v>53</v>
      </c>
      <c r="C4928" t="s">
        <v>54</v>
      </c>
      <c r="D4928" t="s">
        <v>55</v>
      </c>
      <c r="E4928" t="s">
        <v>2224</v>
      </c>
      <c r="F4928" t="s">
        <v>190</v>
      </c>
      <c r="G4928" t="s">
        <v>706</v>
      </c>
      <c r="H4928" t="s">
        <v>707</v>
      </c>
      <c r="I4928" t="s">
        <v>707</v>
      </c>
      <c r="J4928" t="s">
        <v>60</v>
      </c>
      <c r="K4928" t="s">
        <v>708</v>
      </c>
      <c r="L4928" t="s">
        <v>62</v>
      </c>
      <c r="M4928" t="s">
        <v>708</v>
      </c>
      <c r="N4928" t="s">
        <v>709</v>
      </c>
      <c r="O4928" t="s">
        <v>710</v>
      </c>
      <c r="P4928">
        <v>-20.127054999999999</v>
      </c>
      <c r="Q4928">
        <v>-44.872073</v>
      </c>
      <c r="R4928" s="2" t="str">
        <f>HYPERLINK("https://www.google.com/maps?q=-20.1270550,-44.8720730","Abrir no Google Maps")</f>
        <v>Abrir no Google Maps</v>
      </c>
      <c r="S4928">
        <v>3</v>
      </c>
      <c r="T4928">
        <v>395.91108553086929</v>
      </c>
      <c r="U4928">
        <v>3</v>
      </c>
      <c r="V4928">
        <v>0.1186046511627907</v>
      </c>
      <c r="W4928">
        <v>1</v>
      </c>
      <c r="X4928">
        <v>0.1186046511627907</v>
      </c>
      <c r="Y4928">
        <v>387</v>
      </c>
      <c r="Z4928">
        <v>518.31496622382247</v>
      </c>
      <c r="AA4928">
        <v>198</v>
      </c>
      <c r="AB4928">
        <v>332</v>
      </c>
      <c r="AC4928">
        <v>536</v>
      </c>
      <c r="AD4928">
        <v>32.42</v>
      </c>
      <c r="AE4928">
        <v>542</v>
      </c>
      <c r="AF4928">
        <v>39</v>
      </c>
      <c r="AG4928">
        <v>173</v>
      </c>
      <c r="AH4928">
        <v>129</v>
      </c>
      <c r="AI4928">
        <v>7.2</v>
      </c>
      <c r="AJ4928">
        <v>31.92</v>
      </c>
      <c r="AK4928">
        <v>23.8</v>
      </c>
      <c r="AL4928">
        <v>-20.126854749999978</v>
      </c>
      <c r="AM4928">
        <v>-44.871712455027861</v>
      </c>
      <c r="AN4928">
        <v>-20.126854749999978</v>
      </c>
      <c r="AO4928">
        <v>-44.871712455027861</v>
      </c>
      <c r="AP4928">
        <v>-20.127054999999999</v>
      </c>
      <c r="AQ4928">
        <v>-44.872073</v>
      </c>
      <c r="AR4928">
        <v>43.784435535392717</v>
      </c>
      <c r="AS4928" t="s">
        <v>65</v>
      </c>
      <c r="AT4928">
        <v>1</v>
      </c>
      <c r="AU4928" t="s">
        <v>711</v>
      </c>
      <c r="AV4928" t="s">
        <v>712</v>
      </c>
      <c r="AW4928" t="s">
        <v>60</v>
      </c>
      <c r="AX4928" t="s">
        <v>68</v>
      </c>
      <c r="AY4928" t="s">
        <v>69</v>
      </c>
      <c r="AZ4928" t="b">
        <v>1</v>
      </c>
    </row>
    <row r="4929" spans="1:52" x14ac:dyDescent="0.3">
      <c r="A4929" t="s">
        <v>52</v>
      </c>
      <c r="B4929" t="s">
        <v>53</v>
      </c>
      <c r="C4929" t="s">
        <v>54</v>
      </c>
      <c r="D4929" t="s">
        <v>55</v>
      </c>
      <c r="E4929" t="s">
        <v>2224</v>
      </c>
      <c r="F4929" t="s">
        <v>190</v>
      </c>
      <c r="G4929" t="s">
        <v>1193</v>
      </c>
      <c r="H4929" t="s">
        <v>1882</v>
      </c>
      <c r="I4929" t="s">
        <v>1882</v>
      </c>
      <c r="J4929" t="s">
        <v>60</v>
      </c>
      <c r="K4929" t="s">
        <v>1883</v>
      </c>
      <c r="L4929" t="s">
        <v>62</v>
      </c>
      <c r="M4929" t="s">
        <v>1883</v>
      </c>
      <c r="N4929" t="s">
        <v>1884</v>
      </c>
      <c r="O4929" t="s">
        <v>1160</v>
      </c>
      <c r="P4929">
        <v>-20.107638999999999</v>
      </c>
      <c r="Q4929">
        <v>-44.977660999999998</v>
      </c>
      <c r="R4929" s="2" t="str">
        <f>HYPERLINK("https://www.google.com/maps?q=-20.1076390,-44.9776610","Abrir no Google Maps")</f>
        <v>Abrir no Google Maps</v>
      </c>
      <c r="S4929">
        <v>3</v>
      </c>
      <c r="T4929">
        <v>608.39572210639471</v>
      </c>
      <c r="U4929">
        <v>3</v>
      </c>
      <c r="V4929">
        <v>0.13492063492063491</v>
      </c>
      <c r="W4929">
        <v>0.85</v>
      </c>
      <c r="X4929">
        <v>0.11468253968253971</v>
      </c>
      <c r="Y4929">
        <v>385</v>
      </c>
      <c r="Z4929">
        <v>530.9352253690181</v>
      </c>
      <c r="AA4929">
        <v>198</v>
      </c>
      <c r="AB4929">
        <v>332</v>
      </c>
      <c r="AC4929">
        <v>536</v>
      </c>
      <c r="AD4929">
        <v>32.42</v>
      </c>
      <c r="AE4929">
        <v>542</v>
      </c>
      <c r="AF4929">
        <v>39</v>
      </c>
      <c r="AG4929">
        <v>173</v>
      </c>
      <c r="AH4929">
        <v>129</v>
      </c>
      <c r="AI4929">
        <v>7.2</v>
      </c>
      <c r="AJ4929">
        <v>31.92</v>
      </c>
      <c r="AK4929">
        <v>23.8</v>
      </c>
      <c r="AL4929">
        <v>-20.108160549999951</v>
      </c>
      <c r="AM4929">
        <v>-44.977460928547927</v>
      </c>
      <c r="AN4929">
        <v>-20.108160549999951</v>
      </c>
      <c r="AO4929">
        <v>-44.977460928547927</v>
      </c>
      <c r="AP4929">
        <v>-20.107638999999999</v>
      </c>
      <c r="AQ4929">
        <v>-44.977660999999998</v>
      </c>
      <c r="AR4929">
        <v>61.711038202914558</v>
      </c>
      <c r="AS4929" t="s">
        <v>65</v>
      </c>
      <c r="AT4929">
        <v>1</v>
      </c>
      <c r="AU4929" t="s">
        <v>1885</v>
      </c>
      <c r="AV4929" t="s">
        <v>1886</v>
      </c>
      <c r="AW4929" t="s">
        <v>60</v>
      </c>
      <c r="AX4929" t="s">
        <v>68</v>
      </c>
      <c r="AY4929" t="s">
        <v>69</v>
      </c>
      <c r="AZ4929" t="b">
        <v>1</v>
      </c>
    </row>
    <row r="4930" spans="1:52" x14ac:dyDescent="0.3">
      <c r="A4930" t="s">
        <v>52</v>
      </c>
      <c r="B4930" t="s">
        <v>53</v>
      </c>
      <c r="C4930" t="s">
        <v>54</v>
      </c>
      <c r="D4930" t="s">
        <v>55</v>
      </c>
      <c r="E4930" t="s">
        <v>2224</v>
      </c>
      <c r="F4930" t="s">
        <v>190</v>
      </c>
      <c r="G4930" t="s">
        <v>734</v>
      </c>
      <c r="H4930" t="s">
        <v>2253</v>
      </c>
      <c r="I4930" t="s">
        <v>2253</v>
      </c>
      <c r="J4930" t="s">
        <v>60</v>
      </c>
      <c r="K4930" t="s">
        <v>1883</v>
      </c>
      <c r="L4930" t="s">
        <v>62</v>
      </c>
      <c r="M4930" t="s">
        <v>1883</v>
      </c>
      <c r="N4930" t="s">
        <v>2254</v>
      </c>
      <c r="O4930" t="s">
        <v>2255</v>
      </c>
      <c r="P4930">
        <v>-20.104223000000001</v>
      </c>
      <c r="Q4930">
        <v>-44.978788000000002</v>
      </c>
      <c r="R4930" s="2" t="str">
        <f>HYPERLINK("https://www.google.com/maps?q=-20.1042230,-44.9787880","Abrir no Google Maps")</f>
        <v>Abrir no Google Maps</v>
      </c>
      <c r="S4930">
        <v>3</v>
      </c>
      <c r="T4930">
        <v>636.01472314441003</v>
      </c>
      <c r="U4930">
        <v>3</v>
      </c>
      <c r="V4930">
        <v>0.14583333333333329</v>
      </c>
      <c r="W4930">
        <v>0.85</v>
      </c>
      <c r="X4930">
        <v>0.1239583333333333</v>
      </c>
      <c r="Y4930">
        <v>385</v>
      </c>
      <c r="Z4930">
        <v>642.35382582108969</v>
      </c>
      <c r="AA4930">
        <v>198</v>
      </c>
      <c r="AB4930">
        <v>332</v>
      </c>
      <c r="AC4930">
        <v>536</v>
      </c>
      <c r="AD4930">
        <v>32.42</v>
      </c>
      <c r="AE4930">
        <v>542</v>
      </c>
      <c r="AF4930">
        <v>39</v>
      </c>
      <c r="AG4930">
        <v>173</v>
      </c>
      <c r="AH4930">
        <v>129</v>
      </c>
      <c r="AI4930">
        <v>7.2</v>
      </c>
      <c r="AJ4930">
        <v>31.92</v>
      </c>
      <c r="AK4930">
        <v>23.8</v>
      </c>
      <c r="AL4930">
        <v>-20.103376249999961</v>
      </c>
      <c r="AM4930">
        <v>-44.978925423401478</v>
      </c>
      <c r="AN4930">
        <v>-20.103376249999961</v>
      </c>
      <c r="AO4930">
        <v>-44.978925423401478</v>
      </c>
      <c r="AP4930">
        <v>-20.104223000000001</v>
      </c>
      <c r="AQ4930">
        <v>-44.978788000000002</v>
      </c>
      <c r="AR4930">
        <v>95.348660707076903</v>
      </c>
      <c r="AS4930" t="s">
        <v>65</v>
      </c>
      <c r="AT4930">
        <v>1</v>
      </c>
      <c r="AU4930" t="s">
        <v>2256</v>
      </c>
      <c r="AV4930" t="s">
        <v>2257</v>
      </c>
      <c r="AW4930" t="s">
        <v>60</v>
      </c>
      <c r="AX4930" t="s">
        <v>68</v>
      </c>
      <c r="AY4930" t="s">
        <v>69</v>
      </c>
      <c r="AZ4930" t="b">
        <v>1</v>
      </c>
    </row>
    <row r="4931" spans="1:52" x14ac:dyDescent="0.3">
      <c r="A4931" t="s">
        <v>52</v>
      </c>
      <c r="B4931" t="s">
        <v>53</v>
      </c>
      <c r="C4931" t="s">
        <v>54</v>
      </c>
      <c r="D4931" t="s">
        <v>55</v>
      </c>
      <c r="E4931" t="s">
        <v>2224</v>
      </c>
      <c r="F4931" t="s">
        <v>190</v>
      </c>
      <c r="G4931" t="s">
        <v>734</v>
      </c>
      <c r="H4931" t="s">
        <v>1892</v>
      </c>
      <c r="I4931" t="s">
        <v>1892</v>
      </c>
      <c r="J4931" t="s">
        <v>60</v>
      </c>
      <c r="K4931" t="s">
        <v>1888</v>
      </c>
      <c r="L4931" t="s">
        <v>62</v>
      </c>
      <c r="M4931" t="s">
        <v>1888</v>
      </c>
      <c r="N4931" t="s">
        <v>1893</v>
      </c>
      <c r="O4931" t="s">
        <v>836</v>
      </c>
      <c r="P4931">
        <v>-20.116758999999998</v>
      </c>
      <c r="Q4931">
        <v>-44.964924000000003</v>
      </c>
      <c r="R4931" s="2" t="str">
        <f>HYPERLINK("https://www.google.com/maps?q=-20.1167590,-44.9649240","Abrir no Google Maps")</f>
        <v>Abrir no Google Maps</v>
      </c>
      <c r="S4931">
        <v>3</v>
      </c>
      <c r="T4931">
        <v>1587.478175445583</v>
      </c>
      <c r="U4931">
        <v>3</v>
      </c>
      <c r="V4931">
        <v>0.1403061224489795</v>
      </c>
      <c r="W4931">
        <v>0.85</v>
      </c>
      <c r="X4931">
        <v>0.1192602040816326</v>
      </c>
      <c r="Y4931">
        <v>385</v>
      </c>
      <c r="Z4931">
        <v>1600.9110023765641</v>
      </c>
      <c r="AA4931">
        <v>198</v>
      </c>
      <c r="AB4931">
        <v>332</v>
      </c>
      <c r="AC4931">
        <v>536</v>
      </c>
      <c r="AD4931">
        <v>32.42</v>
      </c>
      <c r="AE4931">
        <v>542</v>
      </c>
      <c r="AF4931">
        <v>39</v>
      </c>
      <c r="AG4931">
        <v>173</v>
      </c>
      <c r="AH4931">
        <v>129</v>
      </c>
      <c r="AI4931">
        <v>7.2</v>
      </c>
      <c r="AJ4931">
        <v>31.92</v>
      </c>
      <c r="AK4931">
        <v>23.8</v>
      </c>
      <c r="AL4931">
        <v>-20.11684084999996</v>
      </c>
      <c r="AM4931">
        <v>-44.965001971169677</v>
      </c>
      <c r="AN4931">
        <v>-20.11684084999996</v>
      </c>
      <c r="AO4931">
        <v>-44.965001971169677</v>
      </c>
      <c r="AP4931">
        <v>-20.116758999999998</v>
      </c>
      <c r="AQ4931">
        <v>-44.964924000000003</v>
      </c>
      <c r="AR4931">
        <v>12.224826970318571</v>
      </c>
      <c r="AS4931" t="s">
        <v>65</v>
      </c>
      <c r="AT4931">
        <v>1</v>
      </c>
      <c r="AU4931" t="s">
        <v>1894</v>
      </c>
      <c r="AV4931" t="s">
        <v>1895</v>
      </c>
      <c r="AW4931" t="s">
        <v>60</v>
      </c>
      <c r="AX4931" t="s">
        <v>68</v>
      </c>
      <c r="AY4931" t="s">
        <v>69</v>
      </c>
      <c r="AZ4931" t="b">
        <v>1</v>
      </c>
    </row>
    <row r="4932" spans="1:52" x14ac:dyDescent="0.3">
      <c r="A4932" t="s">
        <v>52</v>
      </c>
      <c r="B4932" t="s">
        <v>53</v>
      </c>
      <c r="C4932" t="s">
        <v>54</v>
      </c>
      <c r="D4932" t="s">
        <v>55</v>
      </c>
      <c r="E4932" t="s">
        <v>2224</v>
      </c>
      <c r="F4932" t="s">
        <v>190</v>
      </c>
      <c r="G4932" t="s">
        <v>2258</v>
      </c>
      <c r="H4932" t="s">
        <v>2259</v>
      </c>
      <c r="I4932" t="s">
        <v>2259</v>
      </c>
      <c r="J4932" t="s">
        <v>60</v>
      </c>
      <c r="K4932" t="s">
        <v>2260</v>
      </c>
      <c r="L4932" t="s">
        <v>62</v>
      </c>
      <c r="M4932" t="s">
        <v>2260</v>
      </c>
      <c r="N4932" t="s">
        <v>2261</v>
      </c>
      <c r="O4932" t="s">
        <v>2262</v>
      </c>
      <c r="P4932">
        <v>-20.134322999999998</v>
      </c>
      <c r="Q4932">
        <v>-45.004497999999998</v>
      </c>
      <c r="R4932" s="2" t="str">
        <f>HYPERLINK("https://www.google.com/maps?q=-20.1343230,-45.0044980","Abrir no Google Maps")</f>
        <v>Abrir no Google Maps</v>
      </c>
      <c r="S4932">
        <v>3</v>
      </c>
      <c r="T4932">
        <v>4608.4847806626212</v>
      </c>
      <c r="U4932">
        <v>3</v>
      </c>
      <c r="V4932">
        <v>0.140625</v>
      </c>
      <c r="W4932">
        <v>0.85</v>
      </c>
      <c r="X4932">
        <v>0.11953125000000001</v>
      </c>
      <c r="Y4932">
        <v>385</v>
      </c>
      <c r="Z4932">
        <v>5460.0531152030944</v>
      </c>
      <c r="AA4932">
        <v>198</v>
      </c>
      <c r="AB4932">
        <v>332</v>
      </c>
      <c r="AC4932">
        <v>536</v>
      </c>
      <c r="AD4932">
        <v>32.42</v>
      </c>
      <c r="AE4932">
        <v>542</v>
      </c>
      <c r="AF4932">
        <v>39</v>
      </c>
      <c r="AG4932">
        <v>173</v>
      </c>
      <c r="AH4932">
        <v>129</v>
      </c>
      <c r="AI4932">
        <v>7.2</v>
      </c>
      <c r="AJ4932">
        <v>31.92</v>
      </c>
      <c r="AK4932">
        <v>23.8</v>
      </c>
      <c r="AL4932">
        <v>-20.136254449999971</v>
      </c>
      <c r="AM4932">
        <v>-45.001689768835291</v>
      </c>
      <c r="AN4932">
        <v>-20.136254449999971</v>
      </c>
      <c r="AO4932">
        <v>-45.001689768835291</v>
      </c>
      <c r="AP4932">
        <v>-20.134322999999998</v>
      </c>
      <c r="AQ4932">
        <v>-45.004497999999998</v>
      </c>
      <c r="AR4932">
        <v>363.83195491738093</v>
      </c>
      <c r="AS4932" t="s">
        <v>65</v>
      </c>
      <c r="AT4932">
        <v>1</v>
      </c>
      <c r="AU4932" t="s">
        <v>2263</v>
      </c>
      <c r="AV4932" t="s">
        <v>2264</v>
      </c>
      <c r="AW4932" t="s">
        <v>60</v>
      </c>
      <c r="AX4932" t="s">
        <v>68</v>
      </c>
      <c r="AY4932" t="s">
        <v>69</v>
      </c>
      <c r="AZ4932" t="b">
        <v>1</v>
      </c>
    </row>
    <row r="4933" spans="1:52" x14ac:dyDescent="0.3">
      <c r="A4933" t="s">
        <v>52</v>
      </c>
      <c r="B4933" t="s">
        <v>53</v>
      </c>
      <c r="C4933" t="s">
        <v>54</v>
      </c>
      <c r="D4933" t="s">
        <v>55</v>
      </c>
      <c r="E4933" t="s">
        <v>2224</v>
      </c>
      <c r="F4933" t="s">
        <v>190</v>
      </c>
      <c r="G4933" t="s">
        <v>2173</v>
      </c>
      <c r="H4933" t="s">
        <v>2265</v>
      </c>
      <c r="I4933" t="s">
        <v>2265</v>
      </c>
      <c r="J4933" t="s">
        <v>60</v>
      </c>
      <c r="K4933" t="s">
        <v>2266</v>
      </c>
      <c r="L4933" t="s">
        <v>62</v>
      </c>
      <c r="M4933" t="s">
        <v>2266</v>
      </c>
      <c r="N4933" t="s">
        <v>2267</v>
      </c>
      <c r="O4933" t="s">
        <v>1932</v>
      </c>
      <c r="P4933">
        <v>-20.148741999999999</v>
      </c>
      <c r="Q4933">
        <v>-44.979306000000001</v>
      </c>
      <c r="R4933" s="2" t="str">
        <f>HYPERLINK("https://www.google.com/maps?q=-20.1487420,-44.9793060","Abrir no Google Maps")</f>
        <v>Abrir no Google Maps</v>
      </c>
      <c r="S4933">
        <v>3</v>
      </c>
      <c r="T4933">
        <v>4711.9812205568824</v>
      </c>
      <c r="U4933">
        <v>3</v>
      </c>
      <c r="V4933">
        <v>0.13203124999999999</v>
      </c>
      <c r="W4933">
        <v>0.85</v>
      </c>
      <c r="X4933">
        <v>0.1122265625</v>
      </c>
      <c r="Y4933">
        <v>385</v>
      </c>
      <c r="Z4933">
        <v>4791.2891385380444</v>
      </c>
      <c r="AA4933">
        <v>198</v>
      </c>
      <c r="AB4933">
        <v>332</v>
      </c>
      <c r="AC4933">
        <v>536</v>
      </c>
      <c r="AD4933">
        <v>32.42</v>
      </c>
      <c r="AE4933">
        <v>542</v>
      </c>
      <c r="AF4933">
        <v>39</v>
      </c>
      <c r="AG4933">
        <v>173</v>
      </c>
      <c r="AH4933">
        <v>129</v>
      </c>
      <c r="AI4933">
        <v>7.2</v>
      </c>
      <c r="AJ4933">
        <v>31.92</v>
      </c>
      <c r="AK4933">
        <v>23.8</v>
      </c>
      <c r="AL4933">
        <v>-20.146675049999949</v>
      </c>
      <c r="AM4933">
        <v>-44.980183262959301</v>
      </c>
      <c r="AN4933">
        <v>-20.146675049999949</v>
      </c>
      <c r="AO4933">
        <v>-44.980183262959301</v>
      </c>
      <c r="AP4933">
        <v>-20.148741999999999</v>
      </c>
      <c r="AQ4933">
        <v>-44.979306000000001</v>
      </c>
      <c r="AR4933">
        <v>247.6858095162975</v>
      </c>
      <c r="AS4933" t="s">
        <v>65</v>
      </c>
      <c r="AT4933">
        <v>1</v>
      </c>
      <c r="AU4933" t="s">
        <v>2268</v>
      </c>
      <c r="AV4933" t="s">
        <v>2269</v>
      </c>
      <c r="AW4933" t="s">
        <v>60</v>
      </c>
      <c r="AX4933" t="s">
        <v>68</v>
      </c>
      <c r="AY4933" t="s">
        <v>69</v>
      </c>
      <c r="AZ4933" t="b">
        <v>1</v>
      </c>
    </row>
    <row r="4934" spans="1:52" x14ac:dyDescent="0.3">
      <c r="A4934" t="s">
        <v>52</v>
      </c>
      <c r="B4934" t="s">
        <v>53</v>
      </c>
      <c r="C4934" t="s">
        <v>54</v>
      </c>
      <c r="D4934" t="s">
        <v>55</v>
      </c>
      <c r="E4934" t="s">
        <v>2224</v>
      </c>
      <c r="F4934" t="s">
        <v>190</v>
      </c>
      <c r="G4934" t="s">
        <v>1077</v>
      </c>
      <c r="H4934" t="s">
        <v>2219</v>
      </c>
      <c r="I4934" t="s">
        <v>2219</v>
      </c>
      <c r="J4934" t="s">
        <v>60</v>
      </c>
      <c r="K4934" t="s">
        <v>761</v>
      </c>
      <c r="L4934" t="s">
        <v>62</v>
      </c>
      <c r="M4934" t="s">
        <v>761</v>
      </c>
      <c r="N4934" t="s">
        <v>1079</v>
      </c>
      <c r="O4934" t="s">
        <v>2220</v>
      </c>
      <c r="P4934">
        <v>-20.121144999999999</v>
      </c>
      <c r="Q4934">
        <v>-44.851453999999997</v>
      </c>
      <c r="R4934" s="2" t="str">
        <f>HYPERLINK("https://www.google.com/maps?q=-20.1211450,-44.8514540","Abrir no Google Maps")</f>
        <v>Abrir no Google Maps</v>
      </c>
      <c r="S4934">
        <v>3</v>
      </c>
      <c r="T4934">
        <v>578.73267975801093</v>
      </c>
      <c r="U4934">
        <v>3</v>
      </c>
      <c r="V4934">
        <v>0.13909774436090219</v>
      </c>
      <c r="W4934">
        <v>0.85</v>
      </c>
      <c r="X4934">
        <v>0.1182330827067669</v>
      </c>
      <c r="Y4934">
        <v>350</v>
      </c>
      <c r="Z4934">
        <v>213.3195465810166</v>
      </c>
      <c r="AA4934">
        <v>198</v>
      </c>
      <c r="AB4934">
        <v>332</v>
      </c>
      <c r="AC4934">
        <v>536</v>
      </c>
      <c r="AD4934">
        <v>32.42</v>
      </c>
      <c r="AE4934">
        <v>542</v>
      </c>
      <c r="AF4934">
        <v>39</v>
      </c>
      <c r="AG4934">
        <v>173</v>
      </c>
      <c r="AH4934">
        <v>129</v>
      </c>
      <c r="AI4934">
        <v>7.2</v>
      </c>
      <c r="AJ4934">
        <v>31.92</v>
      </c>
      <c r="AK4934">
        <v>23.8</v>
      </c>
      <c r="AL4934">
        <v>-20.121127199999961</v>
      </c>
      <c r="AM4934">
        <v>-44.851440578985603</v>
      </c>
      <c r="AN4934">
        <v>-20.121127199999961</v>
      </c>
      <c r="AO4934">
        <v>-44.851440578985603</v>
      </c>
      <c r="AP4934">
        <v>-20.121144999999999</v>
      </c>
      <c r="AQ4934">
        <v>-44.851453999999997</v>
      </c>
      <c r="AR4934">
        <v>2.4278169290048641</v>
      </c>
      <c r="AS4934" t="s">
        <v>65</v>
      </c>
      <c r="AT4934">
        <v>1</v>
      </c>
      <c r="AU4934" t="s">
        <v>2221</v>
      </c>
      <c r="AV4934" t="s">
        <v>765</v>
      </c>
      <c r="AW4934" t="s">
        <v>60</v>
      </c>
      <c r="AX4934" t="s">
        <v>68</v>
      </c>
      <c r="AY4934" t="s">
        <v>69</v>
      </c>
      <c r="AZ4934" t="b">
        <v>1</v>
      </c>
    </row>
    <row r="4935" spans="1:52" x14ac:dyDescent="0.3">
      <c r="A4935" t="s">
        <v>52</v>
      </c>
      <c r="B4935" t="s">
        <v>53</v>
      </c>
      <c r="C4935" t="s">
        <v>54</v>
      </c>
      <c r="D4935" t="s">
        <v>55</v>
      </c>
      <c r="E4935" t="s">
        <v>2224</v>
      </c>
      <c r="F4935" t="s">
        <v>190</v>
      </c>
      <c r="G4935" t="s">
        <v>773</v>
      </c>
      <c r="H4935" t="s">
        <v>774</v>
      </c>
      <c r="I4935" t="s">
        <v>774</v>
      </c>
      <c r="J4935" t="s">
        <v>60</v>
      </c>
      <c r="K4935" t="s">
        <v>775</v>
      </c>
      <c r="L4935" t="s">
        <v>62</v>
      </c>
      <c r="M4935" t="s">
        <v>775</v>
      </c>
      <c r="N4935" t="s">
        <v>776</v>
      </c>
      <c r="O4935" t="s">
        <v>250</v>
      </c>
      <c r="P4935">
        <v>-20.135413</v>
      </c>
      <c r="Q4935">
        <v>-44.868969999999997</v>
      </c>
      <c r="R4935" s="2" t="str">
        <f>HYPERLINK("https://www.google.com/maps?q=-20.1354130,-44.8689700","Abrir no Google Maps")</f>
        <v>Abrir no Google Maps</v>
      </c>
      <c r="S4935">
        <v>3</v>
      </c>
      <c r="T4935">
        <v>403.5118397372845</v>
      </c>
      <c r="U4935">
        <v>3</v>
      </c>
      <c r="V4935">
        <v>0.1118951612903225</v>
      </c>
      <c r="W4935">
        <v>1</v>
      </c>
      <c r="X4935">
        <v>0.1118951612903225</v>
      </c>
      <c r="Y4935">
        <v>332</v>
      </c>
      <c r="Z4935">
        <v>455.74614750795899</v>
      </c>
      <c r="AA4935">
        <v>198</v>
      </c>
      <c r="AB4935">
        <v>332</v>
      </c>
      <c r="AC4935">
        <v>536</v>
      </c>
      <c r="AD4935">
        <v>32.42</v>
      </c>
      <c r="AE4935">
        <v>542</v>
      </c>
      <c r="AF4935">
        <v>39</v>
      </c>
      <c r="AG4935">
        <v>173</v>
      </c>
      <c r="AH4935">
        <v>129</v>
      </c>
      <c r="AI4935">
        <v>7.2</v>
      </c>
      <c r="AJ4935">
        <v>31.92</v>
      </c>
      <c r="AK4935">
        <v>23.8</v>
      </c>
      <c r="AL4935">
        <v>-20.13561149999995</v>
      </c>
      <c r="AM4935">
        <v>-44.868817260088647</v>
      </c>
      <c r="AN4935">
        <v>-20.13561149999995</v>
      </c>
      <c r="AO4935">
        <v>-44.868817260088647</v>
      </c>
      <c r="AP4935">
        <v>-20.135413</v>
      </c>
      <c r="AQ4935">
        <v>-44.868969999999997</v>
      </c>
      <c r="AR4935">
        <v>27.26024434808955</v>
      </c>
      <c r="AS4935" t="s">
        <v>65</v>
      </c>
      <c r="AT4935">
        <v>1</v>
      </c>
      <c r="AU4935" t="s">
        <v>777</v>
      </c>
      <c r="AV4935" t="s">
        <v>778</v>
      </c>
      <c r="AW4935" t="s">
        <v>60</v>
      </c>
      <c r="AX4935" t="s">
        <v>68</v>
      </c>
      <c r="AY4935" t="s">
        <v>69</v>
      </c>
      <c r="AZ4935" t="b">
        <v>1</v>
      </c>
    </row>
    <row r="4936" spans="1:52" x14ac:dyDescent="0.3">
      <c r="A4936" t="s">
        <v>52</v>
      </c>
      <c r="B4936" t="s">
        <v>53</v>
      </c>
      <c r="C4936" t="s">
        <v>54</v>
      </c>
      <c r="D4936" t="s">
        <v>55</v>
      </c>
      <c r="E4936" t="s">
        <v>2224</v>
      </c>
      <c r="F4936" t="s">
        <v>190</v>
      </c>
      <c r="G4936" t="s">
        <v>779</v>
      </c>
      <c r="H4936" t="s">
        <v>780</v>
      </c>
      <c r="I4936" t="s">
        <v>780</v>
      </c>
      <c r="J4936" t="s">
        <v>60</v>
      </c>
      <c r="K4936" t="s">
        <v>781</v>
      </c>
      <c r="L4936" t="s">
        <v>62</v>
      </c>
      <c r="M4936" t="s">
        <v>781</v>
      </c>
      <c r="N4936" t="s">
        <v>782</v>
      </c>
      <c r="O4936" t="s">
        <v>783</v>
      </c>
      <c r="P4936">
        <v>-20.137938999999999</v>
      </c>
      <c r="Q4936">
        <v>-44.865873000000001</v>
      </c>
      <c r="R4936" s="2" t="str">
        <f>HYPERLINK("https://www.google.com/maps?q=-20.1379390,-44.8658730","Abrir no Google Maps")</f>
        <v>Abrir no Google Maps</v>
      </c>
      <c r="S4936">
        <v>3</v>
      </c>
      <c r="T4936">
        <v>663.24596349877265</v>
      </c>
      <c r="U4936">
        <v>3</v>
      </c>
      <c r="V4936">
        <v>0.1137440758293838</v>
      </c>
      <c r="W4936">
        <v>1</v>
      </c>
      <c r="X4936">
        <v>0.1137440758293838</v>
      </c>
      <c r="Y4936">
        <v>332</v>
      </c>
      <c r="Z4936">
        <v>724.72470227972997</v>
      </c>
      <c r="AA4936">
        <v>198</v>
      </c>
      <c r="AB4936">
        <v>332</v>
      </c>
      <c r="AC4936">
        <v>536</v>
      </c>
      <c r="AD4936">
        <v>32.42</v>
      </c>
      <c r="AE4936">
        <v>542</v>
      </c>
      <c r="AF4936">
        <v>39</v>
      </c>
      <c r="AG4936">
        <v>173</v>
      </c>
      <c r="AH4936">
        <v>129</v>
      </c>
      <c r="AI4936">
        <v>7.2</v>
      </c>
      <c r="AJ4936">
        <v>31.92</v>
      </c>
      <c r="AK4936">
        <v>23.8</v>
      </c>
      <c r="AL4936">
        <v>-20.137865449999961</v>
      </c>
      <c r="AM4936">
        <v>-44.866141027847057</v>
      </c>
      <c r="AN4936">
        <v>-20.137865449999961</v>
      </c>
      <c r="AO4936">
        <v>-44.866141027847057</v>
      </c>
      <c r="AP4936">
        <v>-20.137938999999999</v>
      </c>
      <c r="AQ4936">
        <v>-44.865873000000001</v>
      </c>
      <c r="AR4936">
        <v>29.184856191831059</v>
      </c>
      <c r="AS4936" t="s">
        <v>65</v>
      </c>
      <c r="AT4936">
        <v>1</v>
      </c>
      <c r="AU4936" t="s">
        <v>784</v>
      </c>
      <c r="AV4936" t="s">
        <v>785</v>
      </c>
      <c r="AW4936" t="s">
        <v>60</v>
      </c>
      <c r="AX4936" t="s">
        <v>68</v>
      </c>
      <c r="AY4936" t="s">
        <v>69</v>
      </c>
      <c r="AZ4936" t="b">
        <v>1</v>
      </c>
    </row>
    <row r="4937" spans="1:52" x14ac:dyDescent="0.3">
      <c r="A4937" t="s">
        <v>52</v>
      </c>
      <c r="B4937" t="s">
        <v>53</v>
      </c>
      <c r="C4937" t="s">
        <v>54</v>
      </c>
      <c r="D4937" t="s">
        <v>55</v>
      </c>
      <c r="E4937" t="s">
        <v>2224</v>
      </c>
      <c r="F4937" t="s">
        <v>190</v>
      </c>
      <c r="G4937" t="s">
        <v>1104</v>
      </c>
      <c r="H4937" t="s">
        <v>1105</v>
      </c>
      <c r="I4937" t="s">
        <v>1105</v>
      </c>
      <c r="J4937" t="s">
        <v>60</v>
      </c>
      <c r="K4937" t="s">
        <v>781</v>
      </c>
      <c r="L4937" t="s">
        <v>62</v>
      </c>
      <c r="M4937" t="s">
        <v>781</v>
      </c>
      <c r="N4937" t="s">
        <v>1106</v>
      </c>
      <c r="O4937" t="s">
        <v>1080</v>
      </c>
      <c r="P4937">
        <v>-20.138683</v>
      </c>
      <c r="Q4937">
        <v>-44.868507999999999</v>
      </c>
      <c r="R4937" s="2" t="str">
        <f>HYPERLINK("https://www.google.com/maps?q=-20.1386830,-44.8685080","Abrir no Google Maps")</f>
        <v>Abrir no Google Maps</v>
      </c>
      <c r="S4937">
        <v>3</v>
      </c>
      <c r="T4937">
        <v>450.88210098833099</v>
      </c>
      <c r="U4937">
        <v>3</v>
      </c>
      <c r="V4937">
        <v>0.1232993197278911</v>
      </c>
      <c r="W4937">
        <v>1</v>
      </c>
      <c r="X4937">
        <v>0.1232993197278911</v>
      </c>
      <c r="Y4937">
        <v>332</v>
      </c>
      <c r="Z4937">
        <v>601.27669048153166</v>
      </c>
      <c r="AA4937">
        <v>198</v>
      </c>
      <c r="AB4937">
        <v>332</v>
      </c>
      <c r="AC4937">
        <v>536</v>
      </c>
      <c r="AD4937">
        <v>32.42</v>
      </c>
      <c r="AE4937">
        <v>542</v>
      </c>
      <c r="AF4937">
        <v>39</v>
      </c>
      <c r="AG4937">
        <v>173</v>
      </c>
      <c r="AH4937">
        <v>129</v>
      </c>
      <c r="AI4937">
        <v>7.2</v>
      </c>
      <c r="AJ4937">
        <v>31.92</v>
      </c>
      <c r="AK4937">
        <v>23.8</v>
      </c>
      <c r="AL4937">
        <v>-20.13870544999995</v>
      </c>
      <c r="AM4937">
        <v>-44.868521774012208</v>
      </c>
      <c r="AN4937">
        <v>-20.138705449999939</v>
      </c>
      <c r="AO4937">
        <v>-44.868521774012208</v>
      </c>
      <c r="AP4937">
        <v>-20.138683</v>
      </c>
      <c r="AQ4937">
        <v>-44.868507999999999</v>
      </c>
      <c r="AR4937">
        <v>2.8841042175322271</v>
      </c>
      <c r="AS4937" t="s">
        <v>65</v>
      </c>
      <c r="AT4937">
        <v>1</v>
      </c>
      <c r="AU4937" t="s">
        <v>1107</v>
      </c>
      <c r="AV4937" t="s">
        <v>1108</v>
      </c>
      <c r="AW4937" t="s">
        <v>60</v>
      </c>
      <c r="AX4937" t="s">
        <v>68</v>
      </c>
      <c r="AY4937" t="s">
        <v>69</v>
      </c>
      <c r="AZ4937" t="b">
        <v>1</v>
      </c>
    </row>
    <row r="4938" spans="1:52" x14ac:dyDescent="0.3">
      <c r="A4938" t="s">
        <v>52</v>
      </c>
      <c r="B4938" t="s">
        <v>53</v>
      </c>
      <c r="C4938" t="s">
        <v>54</v>
      </c>
      <c r="D4938" t="s">
        <v>55</v>
      </c>
      <c r="E4938" t="s">
        <v>2224</v>
      </c>
      <c r="F4938" t="s">
        <v>190</v>
      </c>
      <c r="G4938" t="s">
        <v>1906</v>
      </c>
      <c r="H4938" t="s">
        <v>1907</v>
      </c>
      <c r="I4938" t="s">
        <v>1907</v>
      </c>
      <c r="J4938" t="s">
        <v>60</v>
      </c>
      <c r="K4938" t="s">
        <v>362</v>
      </c>
      <c r="L4938" t="s">
        <v>62</v>
      </c>
      <c r="M4938" t="s">
        <v>362</v>
      </c>
      <c r="N4938" t="s">
        <v>1908</v>
      </c>
      <c r="O4938" t="s">
        <v>1909</v>
      </c>
      <c r="P4938">
        <v>-20.138714</v>
      </c>
      <c r="Q4938">
        <v>-44.872736000000003</v>
      </c>
      <c r="R4938" s="2" t="str">
        <f>HYPERLINK("https://www.google.com/maps?q=-20.1387140,-44.8727360","Abrir no Google Maps")</f>
        <v>Abrir no Google Maps</v>
      </c>
      <c r="S4938">
        <v>3</v>
      </c>
      <c r="T4938">
        <v>204.03161929799671</v>
      </c>
      <c r="U4938">
        <v>3</v>
      </c>
      <c r="V4938">
        <v>0.14008620689655171</v>
      </c>
      <c r="W4938">
        <v>0.85</v>
      </c>
      <c r="X4938">
        <v>0.11907327586206901</v>
      </c>
      <c r="Y4938">
        <v>332</v>
      </c>
      <c r="Z4938">
        <v>318.98956929839972</v>
      </c>
      <c r="AA4938">
        <v>198</v>
      </c>
      <c r="AB4938">
        <v>332</v>
      </c>
      <c r="AC4938">
        <v>536</v>
      </c>
      <c r="AD4938">
        <v>32.42</v>
      </c>
      <c r="AE4938">
        <v>542</v>
      </c>
      <c r="AF4938">
        <v>39</v>
      </c>
      <c r="AG4938">
        <v>173</v>
      </c>
      <c r="AH4938">
        <v>129</v>
      </c>
      <c r="AI4938">
        <v>7.2</v>
      </c>
      <c r="AJ4938">
        <v>31.92</v>
      </c>
      <c r="AK4938">
        <v>23.8</v>
      </c>
      <c r="AL4938">
        <v>-20.138752749999949</v>
      </c>
      <c r="AM4938">
        <v>-44.872785060765217</v>
      </c>
      <c r="AN4938">
        <v>-20.138752749999949</v>
      </c>
      <c r="AO4938">
        <v>-44.872785060765217</v>
      </c>
      <c r="AP4938">
        <v>-20.138714</v>
      </c>
      <c r="AQ4938">
        <v>-44.872736000000003</v>
      </c>
      <c r="AR4938">
        <v>6.7006900304588592</v>
      </c>
      <c r="AS4938" t="s">
        <v>65</v>
      </c>
      <c r="AT4938">
        <v>1</v>
      </c>
      <c r="AU4938" t="s">
        <v>1910</v>
      </c>
      <c r="AV4938" t="s">
        <v>1911</v>
      </c>
      <c r="AW4938" t="s">
        <v>60</v>
      </c>
      <c r="AX4938" t="s">
        <v>68</v>
      </c>
      <c r="AY4938" t="s">
        <v>69</v>
      </c>
      <c r="AZ4938" t="b">
        <v>1</v>
      </c>
    </row>
    <row r="4939" spans="1:52" x14ac:dyDescent="0.3">
      <c r="A4939" t="s">
        <v>52</v>
      </c>
      <c r="B4939" t="s">
        <v>53</v>
      </c>
      <c r="C4939" t="s">
        <v>54</v>
      </c>
      <c r="D4939" t="s">
        <v>55</v>
      </c>
      <c r="E4939" t="s">
        <v>2224</v>
      </c>
      <c r="F4939" t="s">
        <v>190</v>
      </c>
      <c r="G4939" t="s">
        <v>1912</v>
      </c>
      <c r="H4939" t="s">
        <v>1913</v>
      </c>
      <c r="I4939" t="s">
        <v>1913</v>
      </c>
      <c r="J4939" t="s">
        <v>60</v>
      </c>
      <c r="K4939" t="s">
        <v>362</v>
      </c>
      <c r="L4939" t="s">
        <v>62</v>
      </c>
      <c r="M4939" t="s">
        <v>362</v>
      </c>
      <c r="N4939" t="s">
        <v>1914</v>
      </c>
      <c r="O4939" t="s">
        <v>1915</v>
      </c>
      <c r="P4939">
        <v>-20.140284999999999</v>
      </c>
      <c r="Q4939">
        <v>-44.870319000000002</v>
      </c>
      <c r="R4939" s="2" t="str">
        <f>HYPERLINK("https://www.google.com/maps?q=-20.1402850,-44.8703190","Abrir no Google Maps")</f>
        <v>Abrir no Google Maps</v>
      </c>
      <c r="S4939">
        <v>3</v>
      </c>
      <c r="T4939">
        <v>434.44452831439162</v>
      </c>
      <c r="U4939">
        <v>3</v>
      </c>
      <c r="V4939">
        <v>0.13425925925925919</v>
      </c>
      <c r="W4939">
        <v>0.85</v>
      </c>
      <c r="X4939">
        <v>0.1141203703703703</v>
      </c>
      <c r="Y4939">
        <v>332</v>
      </c>
      <c r="Z4939">
        <v>530.54012138211078</v>
      </c>
      <c r="AA4939">
        <v>198</v>
      </c>
      <c r="AB4939">
        <v>332</v>
      </c>
      <c r="AC4939">
        <v>536</v>
      </c>
      <c r="AD4939">
        <v>32.42</v>
      </c>
      <c r="AE4939">
        <v>542</v>
      </c>
      <c r="AF4939">
        <v>39</v>
      </c>
      <c r="AG4939">
        <v>173</v>
      </c>
      <c r="AH4939">
        <v>129</v>
      </c>
      <c r="AI4939">
        <v>7.2</v>
      </c>
      <c r="AJ4939">
        <v>31.92</v>
      </c>
      <c r="AK4939">
        <v>23.8</v>
      </c>
      <c r="AL4939">
        <v>-20.140318649999951</v>
      </c>
      <c r="AM4939">
        <v>-44.870288960878582</v>
      </c>
      <c r="AN4939">
        <v>-20.140318649999951</v>
      </c>
      <c r="AO4939">
        <v>-44.870288960878582</v>
      </c>
      <c r="AP4939">
        <v>-20.140284999999999</v>
      </c>
      <c r="AQ4939">
        <v>-44.870319000000002</v>
      </c>
      <c r="AR4939">
        <v>4.8875589971016922</v>
      </c>
      <c r="AS4939" t="s">
        <v>65</v>
      </c>
      <c r="AT4939">
        <v>1</v>
      </c>
      <c r="AU4939" t="s">
        <v>1916</v>
      </c>
      <c r="AV4939" t="s">
        <v>1917</v>
      </c>
      <c r="AW4939" t="s">
        <v>60</v>
      </c>
      <c r="AX4939" t="s">
        <v>68</v>
      </c>
      <c r="AY4939" t="s">
        <v>69</v>
      </c>
      <c r="AZ4939" t="b">
        <v>1</v>
      </c>
    </row>
    <row r="4940" spans="1:52" x14ac:dyDescent="0.3">
      <c r="A4940" t="s">
        <v>52</v>
      </c>
      <c r="B4940" t="s">
        <v>53</v>
      </c>
      <c r="C4940" t="s">
        <v>54</v>
      </c>
      <c r="D4940" t="s">
        <v>55</v>
      </c>
      <c r="E4940" t="s">
        <v>2224</v>
      </c>
      <c r="F4940" t="s">
        <v>190</v>
      </c>
      <c r="G4940" t="s">
        <v>1138</v>
      </c>
      <c r="H4940" t="s">
        <v>1139</v>
      </c>
      <c r="I4940" t="s">
        <v>1139</v>
      </c>
      <c r="J4940" t="s">
        <v>60</v>
      </c>
      <c r="K4940" t="s">
        <v>1140</v>
      </c>
      <c r="L4940" t="s">
        <v>62</v>
      </c>
      <c r="M4940" t="s">
        <v>1140</v>
      </c>
      <c r="N4940" t="s">
        <v>1141</v>
      </c>
      <c r="O4940" t="s">
        <v>293</v>
      </c>
      <c r="P4940">
        <v>-20.103041999999999</v>
      </c>
      <c r="Q4940">
        <v>-44.882694999999998</v>
      </c>
      <c r="R4940" s="2" t="str">
        <f>HYPERLINK("https://www.google.com/maps?q=-20.1030420,-44.8826950","Abrir no Google Maps")</f>
        <v>Abrir no Google Maps</v>
      </c>
      <c r="S4940">
        <v>3</v>
      </c>
      <c r="T4940">
        <v>764.07293048598467</v>
      </c>
      <c r="U4940">
        <v>3</v>
      </c>
      <c r="V4940">
        <v>0.13018433179723499</v>
      </c>
      <c r="W4940">
        <v>1</v>
      </c>
      <c r="X4940">
        <v>0.13018433179723499</v>
      </c>
      <c r="Y4940">
        <v>314</v>
      </c>
      <c r="Z4940">
        <v>696.03268335706969</v>
      </c>
      <c r="AA4940">
        <v>198</v>
      </c>
      <c r="AB4940">
        <v>332</v>
      </c>
      <c r="AC4940">
        <v>536</v>
      </c>
      <c r="AD4940">
        <v>32.42</v>
      </c>
      <c r="AE4940">
        <v>542</v>
      </c>
      <c r="AF4940">
        <v>39</v>
      </c>
      <c r="AG4940">
        <v>173</v>
      </c>
      <c r="AH4940">
        <v>129</v>
      </c>
      <c r="AI4940">
        <v>7.2</v>
      </c>
      <c r="AJ4940">
        <v>31.92</v>
      </c>
      <c r="AK4940">
        <v>23.8</v>
      </c>
      <c r="AL4940">
        <v>-20.10298734999995</v>
      </c>
      <c r="AM4940">
        <v>-44.882802925792483</v>
      </c>
      <c r="AN4940">
        <v>-20.10298734999995</v>
      </c>
      <c r="AO4940">
        <v>-44.882802925792483</v>
      </c>
      <c r="AP4940">
        <v>-20.103041999999999</v>
      </c>
      <c r="AQ4940">
        <v>-44.882694999999998</v>
      </c>
      <c r="AR4940">
        <v>12.8180317775525</v>
      </c>
      <c r="AS4940" t="s">
        <v>65</v>
      </c>
      <c r="AT4940">
        <v>1</v>
      </c>
      <c r="AU4940" t="s">
        <v>1142</v>
      </c>
      <c r="AV4940" t="s">
        <v>1143</v>
      </c>
      <c r="AW4940" t="s">
        <v>60</v>
      </c>
      <c r="AX4940" t="s">
        <v>68</v>
      </c>
      <c r="AY4940" t="s">
        <v>69</v>
      </c>
      <c r="AZ4940" t="b">
        <v>1</v>
      </c>
    </row>
    <row r="4941" spans="1:52" x14ac:dyDescent="0.3">
      <c r="A4941" t="s">
        <v>52</v>
      </c>
      <c r="B4941" t="s">
        <v>53</v>
      </c>
      <c r="C4941" t="s">
        <v>54</v>
      </c>
      <c r="D4941" t="s">
        <v>55</v>
      </c>
      <c r="E4941" t="s">
        <v>2224</v>
      </c>
      <c r="F4941" t="s">
        <v>190</v>
      </c>
      <c r="G4941" t="s">
        <v>2114</v>
      </c>
      <c r="H4941" t="s">
        <v>2115</v>
      </c>
      <c r="I4941" t="s">
        <v>2115</v>
      </c>
      <c r="J4941" t="s">
        <v>60</v>
      </c>
      <c r="K4941" t="s">
        <v>1123</v>
      </c>
      <c r="L4941" t="s">
        <v>62</v>
      </c>
      <c r="M4941" t="s">
        <v>1123</v>
      </c>
      <c r="N4941" t="s">
        <v>2116</v>
      </c>
      <c r="O4941" t="s">
        <v>2117</v>
      </c>
      <c r="P4941">
        <v>-20.102357000000001</v>
      </c>
      <c r="Q4941">
        <v>-44.876989000000002</v>
      </c>
      <c r="R4941" s="2" t="str">
        <f>HYPERLINK("https://www.google.com/maps?q=-20.1023570,-44.8769890","Abrir no Google Maps")</f>
        <v>Abrir no Google Maps</v>
      </c>
      <c r="S4941">
        <v>3</v>
      </c>
      <c r="T4941">
        <v>454.11282395638511</v>
      </c>
      <c r="U4941">
        <v>3</v>
      </c>
      <c r="V4941">
        <v>0.1316666666666666</v>
      </c>
      <c r="W4941">
        <v>0.85</v>
      </c>
      <c r="X4941">
        <v>0.11191666666666659</v>
      </c>
      <c r="Y4941">
        <v>314</v>
      </c>
      <c r="Z4941">
        <v>352.26842550518722</v>
      </c>
      <c r="AA4941">
        <v>198</v>
      </c>
      <c r="AB4941">
        <v>332</v>
      </c>
      <c r="AC4941">
        <v>536</v>
      </c>
      <c r="AD4941">
        <v>32.42</v>
      </c>
      <c r="AE4941">
        <v>542</v>
      </c>
      <c r="AF4941">
        <v>39</v>
      </c>
      <c r="AG4941">
        <v>173</v>
      </c>
      <c r="AH4941">
        <v>129</v>
      </c>
      <c r="AI4941">
        <v>7.2</v>
      </c>
      <c r="AJ4941">
        <v>31.92</v>
      </c>
      <c r="AK4941">
        <v>23.8</v>
      </c>
      <c r="AL4941">
        <v>-20.10213364999996</v>
      </c>
      <c r="AM4941">
        <v>-44.876983461947091</v>
      </c>
      <c r="AN4941">
        <v>-20.10213364999996</v>
      </c>
      <c r="AO4941">
        <v>-44.876983461947091</v>
      </c>
      <c r="AP4941">
        <v>-20.102357000000001</v>
      </c>
      <c r="AQ4941">
        <v>-44.876989000000002</v>
      </c>
      <c r="AR4941">
        <v>24.870061372191081</v>
      </c>
      <c r="AS4941" t="s">
        <v>65</v>
      </c>
      <c r="AT4941">
        <v>1</v>
      </c>
      <c r="AU4941" t="s">
        <v>2118</v>
      </c>
      <c r="AV4941" t="s">
        <v>1146</v>
      </c>
      <c r="AW4941" t="s">
        <v>60</v>
      </c>
      <c r="AX4941" t="s">
        <v>68</v>
      </c>
      <c r="AY4941" t="s">
        <v>69</v>
      </c>
      <c r="AZ4941" t="b">
        <v>1</v>
      </c>
    </row>
    <row r="4942" spans="1:52" x14ac:dyDescent="0.3">
      <c r="A4942" t="s">
        <v>52</v>
      </c>
      <c r="B4942" t="s">
        <v>53</v>
      </c>
      <c r="C4942" t="s">
        <v>54</v>
      </c>
      <c r="D4942" t="s">
        <v>55</v>
      </c>
      <c r="E4942" t="s">
        <v>2224</v>
      </c>
      <c r="F4942" t="s">
        <v>190</v>
      </c>
      <c r="G4942" t="s">
        <v>1918</v>
      </c>
      <c r="H4942" t="s">
        <v>1919</v>
      </c>
      <c r="I4942" t="s">
        <v>1919</v>
      </c>
      <c r="J4942" t="s">
        <v>60</v>
      </c>
      <c r="K4942" t="s">
        <v>1123</v>
      </c>
      <c r="L4942" t="s">
        <v>62</v>
      </c>
      <c r="M4942" t="s">
        <v>1123</v>
      </c>
      <c r="N4942" t="s">
        <v>1920</v>
      </c>
      <c r="O4942" t="s">
        <v>488</v>
      </c>
      <c r="P4942">
        <v>-20.101592</v>
      </c>
      <c r="Q4942">
        <v>-44.873168</v>
      </c>
      <c r="R4942" s="2" t="str">
        <f>HYPERLINK("https://www.google.com/maps?q=-20.1015920,-44.8731680","Abrir no Google Maps")</f>
        <v>Abrir no Google Maps</v>
      </c>
      <c r="S4942">
        <v>3</v>
      </c>
      <c r="T4942">
        <v>645.78864758037298</v>
      </c>
      <c r="U4942">
        <v>3</v>
      </c>
      <c r="V4942">
        <v>0.15127388535031841</v>
      </c>
      <c r="W4942">
        <v>0.85</v>
      </c>
      <c r="X4942">
        <v>0.12858280254777071</v>
      </c>
      <c r="Y4942">
        <v>314</v>
      </c>
      <c r="Z4942">
        <v>638.12677452007381</v>
      </c>
      <c r="AA4942">
        <v>198</v>
      </c>
      <c r="AB4942">
        <v>332</v>
      </c>
      <c r="AC4942">
        <v>536</v>
      </c>
      <c r="AD4942">
        <v>32.42</v>
      </c>
      <c r="AE4942">
        <v>542</v>
      </c>
      <c r="AF4942">
        <v>39</v>
      </c>
      <c r="AG4942">
        <v>173</v>
      </c>
      <c r="AH4942">
        <v>129</v>
      </c>
      <c r="AI4942">
        <v>7.2</v>
      </c>
      <c r="AJ4942">
        <v>31.92</v>
      </c>
      <c r="AK4942">
        <v>23.8</v>
      </c>
      <c r="AL4942">
        <v>-20.10147439999994</v>
      </c>
      <c r="AM4942">
        <v>-44.872688858759382</v>
      </c>
      <c r="AN4942">
        <v>-20.10147439999994</v>
      </c>
      <c r="AO4942">
        <v>-44.872688858759382</v>
      </c>
      <c r="AP4942">
        <v>-20.101592</v>
      </c>
      <c r="AQ4942">
        <v>-44.873168</v>
      </c>
      <c r="AR4942">
        <v>51.771442800867931</v>
      </c>
      <c r="AS4942" t="s">
        <v>65</v>
      </c>
      <c r="AT4942">
        <v>1</v>
      </c>
      <c r="AU4942" t="s">
        <v>1921</v>
      </c>
      <c r="AV4942" t="s">
        <v>1922</v>
      </c>
      <c r="AW4942" t="s">
        <v>60</v>
      </c>
      <c r="AX4942" t="s">
        <v>68</v>
      </c>
      <c r="AY4942" t="s">
        <v>69</v>
      </c>
      <c r="AZ4942" t="b">
        <v>1</v>
      </c>
    </row>
    <row r="4943" spans="1:52" x14ac:dyDescent="0.3">
      <c r="A4943" t="s">
        <v>52</v>
      </c>
      <c r="B4943" t="s">
        <v>53</v>
      </c>
      <c r="C4943" t="s">
        <v>54</v>
      </c>
      <c r="D4943" t="s">
        <v>55</v>
      </c>
      <c r="E4943" t="s">
        <v>2224</v>
      </c>
      <c r="F4943" t="s">
        <v>190</v>
      </c>
      <c r="G4943" t="s">
        <v>789</v>
      </c>
      <c r="H4943" t="s">
        <v>790</v>
      </c>
      <c r="I4943" t="s">
        <v>790</v>
      </c>
      <c r="J4943" t="s">
        <v>60</v>
      </c>
      <c r="K4943" t="s">
        <v>791</v>
      </c>
      <c r="L4943" t="s">
        <v>62</v>
      </c>
      <c r="M4943" t="s">
        <v>791</v>
      </c>
      <c r="N4943" t="s">
        <v>792</v>
      </c>
      <c r="O4943" t="s">
        <v>793</v>
      </c>
      <c r="P4943">
        <v>-20.114263000000001</v>
      </c>
      <c r="Q4943">
        <v>-44.910150000000002</v>
      </c>
      <c r="R4943" s="2" t="str">
        <f>HYPERLINK("https://www.google.com/maps?q=-20.1142630,-44.9101500","Abrir no Google Maps")</f>
        <v>Abrir no Google Maps</v>
      </c>
      <c r="S4943">
        <v>3</v>
      </c>
      <c r="T4943">
        <v>1039.6249825628629</v>
      </c>
      <c r="U4943">
        <v>3</v>
      </c>
      <c r="V4943">
        <v>0.128698224852071</v>
      </c>
      <c r="W4943">
        <v>1</v>
      </c>
      <c r="X4943">
        <v>0.128698224852071</v>
      </c>
      <c r="Y4943">
        <v>300</v>
      </c>
      <c r="Z4943">
        <v>1156.8405524690361</v>
      </c>
      <c r="AA4943">
        <v>198</v>
      </c>
      <c r="AB4943">
        <v>332</v>
      </c>
      <c r="AC4943">
        <v>536</v>
      </c>
      <c r="AD4943">
        <v>32.42</v>
      </c>
      <c r="AE4943">
        <v>542</v>
      </c>
      <c r="AF4943">
        <v>39</v>
      </c>
      <c r="AG4943">
        <v>173</v>
      </c>
      <c r="AH4943">
        <v>129</v>
      </c>
      <c r="AI4943">
        <v>7.2</v>
      </c>
      <c r="AJ4943">
        <v>31.92</v>
      </c>
      <c r="AK4943">
        <v>23.8</v>
      </c>
      <c r="AL4943">
        <v>-20.113823899999939</v>
      </c>
      <c r="AM4943">
        <v>-44.910704705968108</v>
      </c>
      <c r="AN4943">
        <v>-20.113823899999939</v>
      </c>
      <c r="AO4943">
        <v>-44.910704705968108</v>
      </c>
      <c r="AP4943">
        <v>-20.114263000000001</v>
      </c>
      <c r="AQ4943">
        <v>-44.910150000000002</v>
      </c>
      <c r="AR4943">
        <v>75.838236800419978</v>
      </c>
      <c r="AS4943" t="s">
        <v>65</v>
      </c>
      <c r="AT4943">
        <v>1</v>
      </c>
      <c r="AU4943" t="s">
        <v>794</v>
      </c>
      <c r="AV4943" t="s">
        <v>795</v>
      </c>
      <c r="AW4943" t="s">
        <v>60</v>
      </c>
      <c r="AX4943" t="s">
        <v>68</v>
      </c>
      <c r="AY4943" t="s">
        <v>69</v>
      </c>
      <c r="AZ4943" t="b">
        <v>1</v>
      </c>
    </row>
    <row r="4944" spans="1:52" x14ac:dyDescent="0.3">
      <c r="A4944" t="s">
        <v>52</v>
      </c>
      <c r="B4944" t="s">
        <v>53</v>
      </c>
      <c r="C4944" t="s">
        <v>54</v>
      </c>
      <c r="D4944" t="s">
        <v>55</v>
      </c>
      <c r="E4944" t="s">
        <v>2224</v>
      </c>
      <c r="F4944" t="s">
        <v>190</v>
      </c>
      <c r="G4944" t="s">
        <v>1769</v>
      </c>
      <c r="H4944" t="s">
        <v>1770</v>
      </c>
      <c r="I4944" t="s">
        <v>1770</v>
      </c>
      <c r="J4944" t="s">
        <v>60</v>
      </c>
      <c r="K4944" t="s">
        <v>791</v>
      </c>
      <c r="L4944" t="s">
        <v>62</v>
      </c>
      <c r="M4944" t="s">
        <v>791</v>
      </c>
      <c r="N4944" t="s">
        <v>1771</v>
      </c>
      <c r="O4944" t="s">
        <v>494</v>
      </c>
      <c r="P4944">
        <v>-20.108464999999999</v>
      </c>
      <c r="Q4944">
        <v>-44.902169000000001</v>
      </c>
      <c r="R4944" s="2" t="str">
        <f>HYPERLINK("https://www.google.com/maps?q=-20.1084650,-44.9021690","Abrir no Google Maps")</f>
        <v>Abrir no Google Maps</v>
      </c>
      <c r="S4944">
        <v>3</v>
      </c>
      <c r="T4944">
        <v>332.55452480320798</v>
      </c>
      <c r="U4944">
        <v>3</v>
      </c>
      <c r="V4944">
        <v>0.13145539906103279</v>
      </c>
      <c r="W4944">
        <v>1</v>
      </c>
      <c r="X4944">
        <v>0.13145539906103279</v>
      </c>
      <c r="Y4944">
        <v>300</v>
      </c>
      <c r="Z4944">
        <v>139.01495543278119</v>
      </c>
      <c r="AA4944">
        <v>198</v>
      </c>
      <c r="AB4944">
        <v>332</v>
      </c>
      <c r="AC4944">
        <v>536</v>
      </c>
      <c r="AD4944">
        <v>32.42</v>
      </c>
      <c r="AE4944">
        <v>542</v>
      </c>
      <c r="AF4944">
        <v>39</v>
      </c>
      <c r="AG4944">
        <v>173</v>
      </c>
      <c r="AH4944">
        <v>129</v>
      </c>
      <c r="AI4944">
        <v>7.2</v>
      </c>
      <c r="AJ4944">
        <v>31.92</v>
      </c>
      <c r="AK4944">
        <v>23.8</v>
      </c>
      <c r="AL4944">
        <v>-20.108420149999969</v>
      </c>
      <c r="AM4944">
        <v>-44.90164352007664</v>
      </c>
      <c r="AN4944">
        <v>-20.108420149999969</v>
      </c>
      <c r="AO4944">
        <v>-44.90164352007664</v>
      </c>
      <c r="AP4944">
        <v>-20.108464999999999</v>
      </c>
      <c r="AQ4944">
        <v>-44.902169000000001</v>
      </c>
      <c r="AR4944">
        <v>55.157130612493773</v>
      </c>
      <c r="AS4944" t="s">
        <v>65</v>
      </c>
      <c r="AT4944">
        <v>1</v>
      </c>
      <c r="AU4944" t="s">
        <v>1772</v>
      </c>
      <c r="AV4944" t="s">
        <v>1773</v>
      </c>
      <c r="AW4944" t="s">
        <v>60</v>
      </c>
      <c r="AX4944" t="s">
        <v>68</v>
      </c>
      <c r="AY4944" t="s">
        <v>69</v>
      </c>
      <c r="AZ4944" t="b">
        <v>1</v>
      </c>
    </row>
    <row r="4945" spans="1:52" x14ac:dyDescent="0.3">
      <c r="A4945" t="s">
        <v>52</v>
      </c>
      <c r="B4945" t="s">
        <v>53</v>
      </c>
      <c r="C4945" t="s">
        <v>54</v>
      </c>
      <c r="D4945" t="s">
        <v>55</v>
      </c>
      <c r="E4945" t="s">
        <v>2224</v>
      </c>
      <c r="F4945" t="s">
        <v>190</v>
      </c>
      <c r="G4945" t="s">
        <v>1935</v>
      </c>
      <c r="H4945" t="s">
        <v>1936</v>
      </c>
      <c r="I4945" t="s">
        <v>1936</v>
      </c>
      <c r="J4945" t="s">
        <v>60</v>
      </c>
      <c r="K4945" t="s">
        <v>1265</v>
      </c>
      <c r="L4945" t="s">
        <v>62</v>
      </c>
      <c r="M4945" t="s">
        <v>1265</v>
      </c>
      <c r="N4945" t="s">
        <v>1937</v>
      </c>
      <c r="O4945" t="s">
        <v>738</v>
      </c>
      <c r="P4945">
        <v>-20.112497999999999</v>
      </c>
      <c r="Q4945">
        <v>-44.907307000000003</v>
      </c>
      <c r="R4945" s="2" t="str">
        <f>HYPERLINK("https://www.google.com/maps?q=-20.1124980,-44.9073070","Abrir no Google Maps")</f>
        <v>Abrir no Google Maps</v>
      </c>
      <c r="S4945">
        <v>3</v>
      </c>
      <c r="T4945">
        <v>682.46188175859595</v>
      </c>
      <c r="U4945">
        <v>3</v>
      </c>
      <c r="V4945">
        <v>0.1441605839416058</v>
      </c>
      <c r="W4945">
        <v>0.85</v>
      </c>
      <c r="X4945">
        <v>0.1225364963503649</v>
      </c>
      <c r="Y4945">
        <v>300</v>
      </c>
      <c r="Z4945">
        <v>693.47964384474699</v>
      </c>
      <c r="AA4945">
        <v>198</v>
      </c>
      <c r="AB4945">
        <v>332</v>
      </c>
      <c r="AC4945">
        <v>536</v>
      </c>
      <c r="AD4945">
        <v>32.42</v>
      </c>
      <c r="AE4945">
        <v>542</v>
      </c>
      <c r="AF4945">
        <v>39</v>
      </c>
      <c r="AG4945">
        <v>173</v>
      </c>
      <c r="AH4945">
        <v>129</v>
      </c>
      <c r="AI4945">
        <v>7.2</v>
      </c>
      <c r="AJ4945">
        <v>31.92</v>
      </c>
      <c r="AK4945">
        <v>23.8</v>
      </c>
      <c r="AL4945">
        <v>-20.112429099999961</v>
      </c>
      <c r="AM4945">
        <v>-44.907534975307001</v>
      </c>
      <c r="AN4945">
        <v>-20.112429099999961</v>
      </c>
      <c r="AO4945">
        <v>-44.907534975307001</v>
      </c>
      <c r="AP4945">
        <v>-20.112497999999999</v>
      </c>
      <c r="AQ4945">
        <v>-44.907307000000003</v>
      </c>
      <c r="AR4945">
        <v>25.034526020325121</v>
      </c>
      <c r="AS4945" t="s">
        <v>65</v>
      </c>
      <c r="AT4945">
        <v>1</v>
      </c>
      <c r="AU4945" t="s">
        <v>1938</v>
      </c>
      <c r="AV4945" t="s">
        <v>1939</v>
      </c>
      <c r="AW4945" t="s">
        <v>60</v>
      </c>
      <c r="AX4945" t="s">
        <v>68</v>
      </c>
      <c r="AY4945" t="s">
        <v>69</v>
      </c>
      <c r="AZ4945" t="b">
        <v>1</v>
      </c>
    </row>
    <row r="4946" spans="1:52" x14ac:dyDescent="0.3">
      <c r="A4946" t="s">
        <v>52</v>
      </c>
      <c r="B4946" t="s">
        <v>53</v>
      </c>
      <c r="C4946" t="s">
        <v>54</v>
      </c>
      <c r="D4946" t="s">
        <v>55</v>
      </c>
      <c r="E4946" t="s">
        <v>2224</v>
      </c>
      <c r="F4946" t="s">
        <v>190</v>
      </c>
      <c r="G4946" t="s">
        <v>1774</v>
      </c>
      <c r="H4946" t="s">
        <v>1775</v>
      </c>
      <c r="I4946" t="s">
        <v>1775</v>
      </c>
      <c r="J4946" t="s">
        <v>60</v>
      </c>
      <c r="K4946" t="s">
        <v>791</v>
      </c>
      <c r="L4946" t="s">
        <v>62</v>
      </c>
      <c r="M4946" t="s">
        <v>791</v>
      </c>
      <c r="N4946" t="s">
        <v>1776</v>
      </c>
      <c r="O4946" t="s">
        <v>1777</v>
      </c>
      <c r="P4946">
        <v>-20.108148</v>
      </c>
      <c r="Q4946">
        <v>-44.909519000000003</v>
      </c>
      <c r="R4946" s="2" t="str">
        <f>HYPERLINK("https://www.google.com/maps?q=-20.1081480,-44.9095190","Abrir no Google Maps")</f>
        <v>Abrir no Google Maps</v>
      </c>
      <c r="S4946">
        <v>3</v>
      </c>
      <c r="T4946">
        <v>960.99382263787027</v>
      </c>
      <c r="U4946">
        <v>3</v>
      </c>
      <c r="V4946">
        <v>0.1549586776859504</v>
      </c>
      <c r="W4946">
        <v>0.85</v>
      </c>
      <c r="X4946">
        <v>0.13171487603305779</v>
      </c>
      <c r="Y4946">
        <v>300</v>
      </c>
      <c r="Z4946">
        <v>830.02784879078899</v>
      </c>
      <c r="AA4946">
        <v>198</v>
      </c>
      <c r="AB4946">
        <v>332</v>
      </c>
      <c r="AC4946">
        <v>536</v>
      </c>
      <c r="AD4946">
        <v>32.42</v>
      </c>
      <c r="AE4946">
        <v>542</v>
      </c>
      <c r="AF4946">
        <v>39</v>
      </c>
      <c r="AG4946">
        <v>173</v>
      </c>
      <c r="AH4946">
        <v>129</v>
      </c>
      <c r="AI4946">
        <v>7.2</v>
      </c>
      <c r="AJ4946">
        <v>31.92</v>
      </c>
      <c r="AK4946">
        <v>23.8</v>
      </c>
      <c r="AL4946">
        <v>-20.10824884999996</v>
      </c>
      <c r="AM4946">
        <v>-44.909675442736678</v>
      </c>
      <c r="AN4946">
        <v>-20.10824884999996</v>
      </c>
      <c r="AO4946">
        <v>-44.909675442736678</v>
      </c>
      <c r="AP4946">
        <v>-20.108148</v>
      </c>
      <c r="AQ4946">
        <v>-44.909519000000003</v>
      </c>
      <c r="AR4946">
        <v>19.8363090254621</v>
      </c>
      <c r="AS4946" t="s">
        <v>65</v>
      </c>
      <c r="AT4946">
        <v>1</v>
      </c>
      <c r="AU4946" t="s">
        <v>1778</v>
      </c>
      <c r="AV4946" t="s">
        <v>1779</v>
      </c>
      <c r="AW4946" t="s">
        <v>60</v>
      </c>
      <c r="AX4946" t="s">
        <v>68</v>
      </c>
      <c r="AY4946" t="s">
        <v>69</v>
      </c>
      <c r="AZ4946" t="b">
        <v>1</v>
      </c>
    </row>
    <row r="4947" spans="1:52" x14ac:dyDescent="0.3">
      <c r="A4947" t="s">
        <v>52</v>
      </c>
      <c r="B4947" t="s">
        <v>53</v>
      </c>
      <c r="C4947" t="s">
        <v>54</v>
      </c>
      <c r="D4947" t="s">
        <v>55</v>
      </c>
      <c r="E4947" t="s">
        <v>2224</v>
      </c>
      <c r="F4947" t="s">
        <v>190</v>
      </c>
      <c r="G4947" t="s">
        <v>1946</v>
      </c>
      <c r="H4947" t="s">
        <v>1947</v>
      </c>
      <c r="I4947" t="s">
        <v>1947</v>
      </c>
      <c r="J4947" t="s">
        <v>60</v>
      </c>
      <c r="K4947" t="s">
        <v>1710</v>
      </c>
      <c r="L4947" t="s">
        <v>62</v>
      </c>
      <c r="M4947" t="s">
        <v>1710</v>
      </c>
      <c r="N4947" t="s">
        <v>1948</v>
      </c>
      <c r="O4947" t="s">
        <v>98</v>
      </c>
      <c r="P4947">
        <v>-20.148572000000001</v>
      </c>
      <c r="Q4947">
        <v>-44.844358</v>
      </c>
      <c r="R4947" s="2" t="str">
        <f>HYPERLINK("https://www.google.com/maps?q=-20.1485720,-44.8443580","Abrir no Google Maps")</f>
        <v>Abrir no Google Maps</v>
      </c>
      <c r="S4947">
        <v>3</v>
      </c>
      <c r="T4947">
        <v>1659.680029693056</v>
      </c>
      <c r="U4947">
        <v>3</v>
      </c>
      <c r="V4947">
        <v>0.1419753086419753</v>
      </c>
      <c r="W4947">
        <v>0.85</v>
      </c>
      <c r="X4947">
        <v>0.120679012345679</v>
      </c>
      <c r="Y4947">
        <v>292</v>
      </c>
      <c r="Z4947">
        <v>2031.793037782372</v>
      </c>
      <c r="AA4947">
        <v>198</v>
      </c>
      <c r="AB4947">
        <v>332</v>
      </c>
      <c r="AC4947">
        <v>536</v>
      </c>
      <c r="AD4947">
        <v>32.42</v>
      </c>
      <c r="AE4947">
        <v>542</v>
      </c>
      <c r="AF4947">
        <v>39</v>
      </c>
      <c r="AG4947">
        <v>173</v>
      </c>
      <c r="AH4947">
        <v>129</v>
      </c>
      <c r="AI4947">
        <v>7.2</v>
      </c>
      <c r="AJ4947">
        <v>31.92</v>
      </c>
      <c r="AK4947">
        <v>23.8</v>
      </c>
      <c r="AL4947">
        <v>-20.14798144999995</v>
      </c>
      <c r="AM4947">
        <v>-44.844440972238857</v>
      </c>
      <c r="AN4947">
        <v>-20.147981449999939</v>
      </c>
      <c r="AO4947">
        <v>-44.844440972238857</v>
      </c>
      <c r="AP4947">
        <v>-20.148572000000001</v>
      </c>
      <c r="AQ4947">
        <v>-44.844358</v>
      </c>
      <c r="AR4947">
        <v>66.309438774786855</v>
      </c>
      <c r="AS4947" t="s">
        <v>65</v>
      </c>
      <c r="AT4947">
        <v>1</v>
      </c>
      <c r="AU4947" t="s">
        <v>1949</v>
      </c>
      <c r="AV4947" t="s">
        <v>1950</v>
      </c>
      <c r="AW4947" t="s">
        <v>60</v>
      </c>
      <c r="AX4947" t="s">
        <v>68</v>
      </c>
      <c r="AY4947" t="s">
        <v>69</v>
      </c>
      <c r="AZ4947" t="b">
        <v>1</v>
      </c>
    </row>
    <row r="4948" spans="1:52" x14ac:dyDescent="0.3">
      <c r="A4948" t="s">
        <v>52</v>
      </c>
      <c r="B4948" t="s">
        <v>53</v>
      </c>
      <c r="C4948" t="s">
        <v>54</v>
      </c>
      <c r="D4948" t="s">
        <v>55</v>
      </c>
      <c r="E4948" t="s">
        <v>2224</v>
      </c>
      <c r="F4948" t="s">
        <v>190</v>
      </c>
      <c r="G4948" t="s">
        <v>1163</v>
      </c>
      <c r="H4948" t="s">
        <v>1164</v>
      </c>
      <c r="I4948" t="s">
        <v>1164</v>
      </c>
      <c r="J4948" t="s">
        <v>60</v>
      </c>
      <c r="K4948" t="s">
        <v>1165</v>
      </c>
      <c r="L4948" t="s">
        <v>62</v>
      </c>
      <c r="M4948" t="s">
        <v>1165</v>
      </c>
      <c r="N4948" t="s">
        <v>1166</v>
      </c>
      <c r="O4948" t="s">
        <v>1167</v>
      </c>
      <c r="P4948">
        <v>-20.155543000000002</v>
      </c>
      <c r="Q4948">
        <v>-44.863444000000001</v>
      </c>
      <c r="R4948" s="2" t="str">
        <f>HYPERLINK("https://www.google.com/maps?q=-20.1555430,-44.8634440","Abrir no Google Maps")</f>
        <v>Abrir no Google Maps</v>
      </c>
      <c r="S4948">
        <v>3</v>
      </c>
      <c r="T4948">
        <v>314.02353400254742</v>
      </c>
      <c r="U4948">
        <v>3</v>
      </c>
      <c r="V4948">
        <v>0.12692307692307689</v>
      </c>
      <c r="W4948">
        <v>1</v>
      </c>
      <c r="X4948">
        <v>0.12692307692307689</v>
      </c>
      <c r="Y4948">
        <v>264</v>
      </c>
      <c r="Z4948">
        <v>282.65065866463459</v>
      </c>
      <c r="AA4948">
        <v>198</v>
      </c>
      <c r="AB4948">
        <v>332</v>
      </c>
      <c r="AC4948">
        <v>536</v>
      </c>
      <c r="AD4948">
        <v>32.42</v>
      </c>
      <c r="AE4948">
        <v>542</v>
      </c>
      <c r="AF4948">
        <v>39</v>
      </c>
      <c r="AG4948">
        <v>173</v>
      </c>
      <c r="AH4948">
        <v>129</v>
      </c>
      <c r="AI4948">
        <v>7.2</v>
      </c>
      <c r="AJ4948">
        <v>31.92</v>
      </c>
      <c r="AK4948">
        <v>23.8</v>
      </c>
      <c r="AL4948">
        <v>-20.155436449999939</v>
      </c>
      <c r="AM4948">
        <v>-44.863557722691183</v>
      </c>
      <c r="AN4948">
        <v>-20.155436449999939</v>
      </c>
      <c r="AO4948">
        <v>-44.863557722691183</v>
      </c>
      <c r="AP4948">
        <v>-20.155543000000002</v>
      </c>
      <c r="AQ4948">
        <v>-44.863444000000001</v>
      </c>
      <c r="AR4948">
        <v>16.790610674079979</v>
      </c>
      <c r="AS4948" t="s">
        <v>65</v>
      </c>
      <c r="AT4948">
        <v>1</v>
      </c>
      <c r="AU4948" t="s">
        <v>1168</v>
      </c>
      <c r="AV4948" t="s">
        <v>1169</v>
      </c>
      <c r="AW4948" t="s">
        <v>60</v>
      </c>
      <c r="AX4948" t="s">
        <v>68</v>
      </c>
      <c r="AY4948" t="s">
        <v>69</v>
      </c>
      <c r="AZ4948" t="b">
        <v>1</v>
      </c>
    </row>
    <row r="4949" spans="1:52" x14ac:dyDescent="0.3">
      <c r="A4949" t="s">
        <v>52</v>
      </c>
      <c r="B4949" t="s">
        <v>53</v>
      </c>
      <c r="C4949" t="s">
        <v>54</v>
      </c>
      <c r="D4949" t="s">
        <v>55</v>
      </c>
      <c r="E4949" t="s">
        <v>2224</v>
      </c>
      <c r="F4949" t="s">
        <v>190</v>
      </c>
      <c r="G4949" t="s">
        <v>1951</v>
      </c>
      <c r="H4949" t="s">
        <v>1952</v>
      </c>
      <c r="I4949" t="s">
        <v>1952</v>
      </c>
      <c r="J4949" t="s">
        <v>60</v>
      </c>
      <c r="K4949" t="s">
        <v>1177</v>
      </c>
      <c r="L4949" t="s">
        <v>62</v>
      </c>
      <c r="M4949" t="s">
        <v>1177</v>
      </c>
      <c r="N4949" t="s">
        <v>1953</v>
      </c>
      <c r="O4949" t="s">
        <v>1297</v>
      </c>
      <c r="P4949">
        <v>-20.151040999999999</v>
      </c>
      <c r="Q4949">
        <v>-44.866993999999998</v>
      </c>
      <c r="R4949" s="2" t="str">
        <f>HYPERLINK("https://www.google.com/maps?q=-20.1510410,-44.8669940","Abrir no Google Maps")</f>
        <v>Abrir no Google Maps</v>
      </c>
      <c r="S4949">
        <v>3</v>
      </c>
      <c r="T4949">
        <v>283.36618500961418</v>
      </c>
      <c r="U4949">
        <v>3</v>
      </c>
      <c r="V4949">
        <v>0.13775510204081631</v>
      </c>
      <c r="W4949">
        <v>0.85</v>
      </c>
      <c r="X4949">
        <v>0.11709183673469389</v>
      </c>
      <c r="Y4949">
        <v>264</v>
      </c>
      <c r="Z4949">
        <v>359.76740081296248</v>
      </c>
      <c r="AA4949">
        <v>198</v>
      </c>
      <c r="AB4949">
        <v>332</v>
      </c>
      <c r="AC4949">
        <v>536</v>
      </c>
      <c r="AD4949">
        <v>32.42</v>
      </c>
      <c r="AE4949">
        <v>542</v>
      </c>
      <c r="AF4949">
        <v>39</v>
      </c>
      <c r="AG4949">
        <v>173</v>
      </c>
      <c r="AH4949">
        <v>129</v>
      </c>
      <c r="AI4949">
        <v>7.2</v>
      </c>
      <c r="AJ4949">
        <v>31.92</v>
      </c>
      <c r="AK4949">
        <v>23.8</v>
      </c>
      <c r="AL4949">
        <v>-20.151039049999959</v>
      </c>
      <c r="AM4949">
        <v>-44.866745260785819</v>
      </c>
      <c r="AN4949">
        <v>-20.151039049999959</v>
      </c>
      <c r="AO4949">
        <v>-44.866745260785819</v>
      </c>
      <c r="AP4949">
        <v>-20.151040999999999</v>
      </c>
      <c r="AQ4949">
        <v>-44.866993999999998</v>
      </c>
      <c r="AR4949">
        <v>25.99560986527592</v>
      </c>
      <c r="AS4949" t="s">
        <v>65</v>
      </c>
      <c r="AT4949">
        <v>1</v>
      </c>
      <c r="AU4949" t="s">
        <v>1954</v>
      </c>
      <c r="AV4949" t="s">
        <v>1955</v>
      </c>
      <c r="AW4949" t="s">
        <v>60</v>
      </c>
      <c r="AX4949" t="s">
        <v>68</v>
      </c>
      <c r="AY4949" t="s">
        <v>69</v>
      </c>
      <c r="AZ4949" t="b">
        <v>1</v>
      </c>
    </row>
    <row r="4950" spans="1:52" x14ac:dyDescent="0.3">
      <c r="A4950" t="s">
        <v>52</v>
      </c>
      <c r="B4950" t="s">
        <v>53</v>
      </c>
      <c r="C4950" t="s">
        <v>54</v>
      </c>
      <c r="D4950" t="s">
        <v>55</v>
      </c>
      <c r="E4950" t="s">
        <v>2224</v>
      </c>
      <c r="F4950" t="s">
        <v>190</v>
      </c>
      <c r="G4950" t="s">
        <v>1170</v>
      </c>
      <c r="H4950" t="s">
        <v>1171</v>
      </c>
      <c r="I4950" t="s">
        <v>1171</v>
      </c>
      <c r="J4950" t="s">
        <v>60</v>
      </c>
      <c r="K4950" t="s">
        <v>1165</v>
      </c>
      <c r="L4950" t="s">
        <v>62</v>
      </c>
      <c r="M4950" t="s">
        <v>1165</v>
      </c>
      <c r="N4950" t="s">
        <v>1172</v>
      </c>
      <c r="O4950" t="s">
        <v>1160</v>
      </c>
      <c r="P4950">
        <v>-20.158208999999999</v>
      </c>
      <c r="Q4950">
        <v>-44.865242000000002</v>
      </c>
      <c r="R4950" s="2" t="str">
        <f>HYPERLINK("https://www.google.com/maps?q=-20.1582090,-44.8652420","Abrir no Google Maps")</f>
        <v>Abrir no Google Maps</v>
      </c>
      <c r="S4950">
        <v>3</v>
      </c>
      <c r="T4950">
        <v>529.55269054560301</v>
      </c>
      <c r="U4950">
        <v>3</v>
      </c>
      <c r="V4950">
        <v>0.13043478260869559</v>
      </c>
      <c r="W4950">
        <v>1</v>
      </c>
      <c r="X4950">
        <v>0.13043478260869559</v>
      </c>
      <c r="Y4950">
        <v>264</v>
      </c>
      <c r="Z4950">
        <v>576.82525833351326</v>
      </c>
      <c r="AA4950">
        <v>198</v>
      </c>
      <c r="AB4950">
        <v>332</v>
      </c>
      <c r="AC4950">
        <v>536</v>
      </c>
      <c r="AD4950">
        <v>32.42</v>
      </c>
      <c r="AE4950">
        <v>542</v>
      </c>
      <c r="AF4950">
        <v>39</v>
      </c>
      <c r="AG4950">
        <v>173</v>
      </c>
      <c r="AH4950">
        <v>129</v>
      </c>
      <c r="AI4950">
        <v>7.2</v>
      </c>
      <c r="AJ4950">
        <v>31.92</v>
      </c>
      <c r="AK4950">
        <v>23.8</v>
      </c>
      <c r="AL4950">
        <v>-20.15813384999996</v>
      </c>
      <c r="AM4950">
        <v>-44.865189279062598</v>
      </c>
      <c r="AN4950">
        <v>-20.15813384999996</v>
      </c>
      <c r="AO4950">
        <v>-44.865189279062598</v>
      </c>
      <c r="AP4950">
        <v>-20.158208999999999</v>
      </c>
      <c r="AQ4950">
        <v>-44.865242000000002</v>
      </c>
      <c r="AR4950">
        <v>10.01690313145691</v>
      </c>
      <c r="AS4950" t="s">
        <v>65</v>
      </c>
      <c r="AT4950">
        <v>1</v>
      </c>
      <c r="AU4950" t="s">
        <v>1173</v>
      </c>
      <c r="AV4950" t="s">
        <v>1174</v>
      </c>
      <c r="AW4950" t="s">
        <v>60</v>
      </c>
      <c r="AX4950" t="s">
        <v>68</v>
      </c>
      <c r="AY4950" t="s">
        <v>69</v>
      </c>
      <c r="AZ4950" t="b">
        <v>1</v>
      </c>
    </row>
    <row r="4951" spans="1:52" x14ac:dyDescent="0.3">
      <c r="A4951" t="s">
        <v>52</v>
      </c>
      <c r="B4951" t="s">
        <v>53</v>
      </c>
      <c r="C4951" t="s">
        <v>54</v>
      </c>
      <c r="D4951" t="s">
        <v>55</v>
      </c>
      <c r="E4951" t="s">
        <v>2224</v>
      </c>
      <c r="F4951" t="s">
        <v>190</v>
      </c>
      <c r="G4951" t="s">
        <v>1187</v>
      </c>
      <c r="H4951" t="s">
        <v>1188</v>
      </c>
      <c r="I4951" t="s">
        <v>1188</v>
      </c>
      <c r="J4951" t="s">
        <v>60</v>
      </c>
      <c r="K4951" t="s">
        <v>1177</v>
      </c>
      <c r="L4951" t="s">
        <v>62</v>
      </c>
      <c r="M4951" t="s">
        <v>1177</v>
      </c>
      <c r="N4951" t="s">
        <v>1189</v>
      </c>
      <c r="O4951" t="s">
        <v>1190</v>
      </c>
      <c r="P4951">
        <v>-20.151606999999998</v>
      </c>
      <c r="Q4951">
        <v>-44.870784999999998</v>
      </c>
      <c r="R4951" s="2" t="str">
        <f>HYPERLINK("https://www.google.com/maps?q=-20.1516070,-44.8707850","Abrir no Google Maps")</f>
        <v>Abrir no Google Maps</v>
      </c>
      <c r="S4951">
        <v>3</v>
      </c>
      <c r="T4951">
        <v>592.7601508996878</v>
      </c>
      <c r="U4951">
        <v>3</v>
      </c>
      <c r="V4951">
        <v>0.12158469945355189</v>
      </c>
      <c r="W4951">
        <v>1</v>
      </c>
      <c r="X4951">
        <v>0.12158469945355189</v>
      </c>
      <c r="Y4951">
        <v>198</v>
      </c>
      <c r="Z4951">
        <v>605.75141653963317</v>
      </c>
      <c r="AA4951">
        <v>198</v>
      </c>
      <c r="AB4951">
        <v>332</v>
      </c>
      <c r="AC4951">
        <v>536</v>
      </c>
      <c r="AD4951">
        <v>32.42</v>
      </c>
      <c r="AE4951">
        <v>542</v>
      </c>
      <c r="AF4951">
        <v>39</v>
      </c>
      <c r="AG4951">
        <v>173</v>
      </c>
      <c r="AH4951">
        <v>129</v>
      </c>
      <c r="AI4951">
        <v>7.2</v>
      </c>
      <c r="AJ4951">
        <v>31.92</v>
      </c>
      <c r="AK4951">
        <v>23.8</v>
      </c>
      <c r="AL4951">
        <v>-20.151457849999961</v>
      </c>
      <c r="AM4951">
        <v>-44.870912038726253</v>
      </c>
      <c r="AN4951">
        <v>-20.151457849999961</v>
      </c>
      <c r="AO4951">
        <v>-44.870912038726253</v>
      </c>
      <c r="AP4951">
        <v>-20.151606999999998</v>
      </c>
      <c r="AQ4951">
        <v>-44.870784999999998</v>
      </c>
      <c r="AR4951">
        <v>21.258671186047941</v>
      </c>
      <c r="AS4951" t="s">
        <v>65</v>
      </c>
      <c r="AT4951">
        <v>1</v>
      </c>
      <c r="AU4951" t="s">
        <v>1191</v>
      </c>
      <c r="AV4951" t="s">
        <v>1192</v>
      </c>
      <c r="AW4951" t="s">
        <v>60</v>
      </c>
      <c r="AX4951" t="s">
        <v>68</v>
      </c>
      <c r="AY4951" t="s">
        <v>69</v>
      </c>
      <c r="AZ4951" t="b">
        <v>1</v>
      </c>
    </row>
    <row r="4952" spans="1:52" x14ac:dyDescent="0.3">
      <c r="A4952" t="s">
        <v>52</v>
      </c>
      <c r="B4952" t="s">
        <v>53</v>
      </c>
      <c r="C4952" t="s">
        <v>54</v>
      </c>
      <c r="D4952" t="s">
        <v>55</v>
      </c>
      <c r="E4952" t="s">
        <v>2224</v>
      </c>
      <c r="F4952" t="s">
        <v>190</v>
      </c>
      <c r="G4952" t="s">
        <v>734</v>
      </c>
      <c r="H4952" t="s">
        <v>1956</v>
      </c>
      <c r="I4952" t="s">
        <v>1956</v>
      </c>
      <c r="J4952" t="s">
        <v>60</v>
      </c>
      <c r="K4952" t="s">
        <v>736</v>
      </c>
      <c r="L4952" t="s">
        <v>62</v>
      </c>
      <c r="M4952" t="s">
        <v>736</v>
      </c>
      <c r="N4952" t="s">
        <v>1957</v>
      </c>
      <c r="O4952" t="s">
        <v>98</v>
      </c>
      <c r="P4952">
        <v>-20.102477</v>
      </c>
      <c r="Q4952">
        <v>-44.96687</v>
      </c>
      <c r="R4952" s="2" t="str">
        <f>HYPERLINK("https://www.google.com/maps?q=-20.1024770,-44.9668700","Abrir no Google Maps")</f>
        <v>Abrir no Google Maps</v>
      </c>
      <c r="S4952">
        <v>3</v>
      </c>
      <c r="T4952">
        <v>707.66831236770724</v>
      </c>
      <c r="U4952">
        <v>3</v>
      </c>
      <c r="V4952">
        <v>0.14166666666666661</v>
      </c>
      <c r="W4952">
        <v>0.85</v>
      </c>
      <c r="X4952">
        <v>0.1204166666666666</v>
      </c>
      <c r="Y4952">
        <v>187</v>
      </c>
      <c r="Z4952">
        <v>501.32994199953549</v>
      </c>
      <c r="AA4952">
        <v>198</v>
      </c>
      <c r="AB4952">
        <v>332</v>
      </c>
      <c r="AC4952">
        <v>536</v>
      </c>
      <c r="AD4952">
        <v>32.42</v>
      </c>
      <c r="AE4952">
        <v>542</v>
      </c>
      <c r="AF4952">
        <v>39</v>
      </c>
      <c r="AG4952">
        <v>173</v>
      </c>
      <c r="AH4952">
        <v>129</v>
      </c>
      <c r="AI4952">
        <v>7.2</v>
      </c>
      <c r="AJ4952">
        <v>31.92</v>
      </c>
      <c r="AK4952">
        <v>23.8</v>
      </c>
      <c r="AL4952">
        <v>-20.102224349999972</v>
      </c>
      <c r="AM4952">
        <v>-44.966722474833823</v>
      </c>
      <c r="AN4952">
        <v>-20.102224349999972</v>
      </c>
      <c r="AO4952">
        <v>-44.966722474833823</v>
      </c>
      <c r="AP4952">
        <v>-20.102477</v>
      </c>
      <c r="AQ4952">
        <v>-44.96687</v>
      </c>
      <c r="AR4952">
        <v>32.075775513591331</v>
      </c>
      <c r="AS4952" t="s">
        <v>65</v>
      </c>
      <c r="AT4952">
        <v>1</v>
      </c>
      <c r="AU4952" t="s">
        <v>1958</v>
      </c>
      <c r="AV4952" t="s">
        <v>1959</v>
      </c>
      <c r="AW4952" t="s">
        <v>60</v>
      </c>
      <c r="AX4952" t="s">
        <v>68</v>
      </c>
      <c r="AY4952" t="s">
        <v>69</v>
      </c>
      <c r="AZ4952" t="b">
        <v>1</v>
      </c>
    </row>
    <row r="4953" spans="1:52" x14ac:dyDescent="0.3">
      <c r="A4953" t="s">
        <v>52</v>
      </c>
      <c r="B4953" t="s">
        <v>53</v>
      </c>
      <c r="C4953" t="s">
        <v>54</v>
      </c>
      <c r="D4953" t="s">
        <v>55</v>
      </c>
      <c r="E4953" t="s">
        <v>2224</v>
      </c>
      <c r="F4953" t="s">
        <v>190</v>
      </c>
      <c r="G4953" t="s">
        <v>1193</v>
      </c>
      <c r="H4953" t="s">
        <v>1194</v>
      </c>
      <c r="I4953" t="s">
        <v>1194</v>
      </c>
      <c r="J4953" t="s">
        <v>60</v>
      </c>
      <c r="K4953" t="s">
        <v>1195</v>
      </c>
      <c r="L4953" t="s">
        <v>62</v>
      </c>
      <c r="M4953" t="s">
        <v>1195</v>
      </c>
      <c r="N4953" t="s">
        <v>1196</v>
      </c>
      <c r="O4953" t="s">
        <v>1197</v>
      </c>
      <c r="P4953">
        <v>-20.105342</v>
      </c>
      <c r="Q4953">
        <v>-44.964716000000003</v>
      </c>
      <c r="R4953" s="2" t="str">
        <f>HYPERLINK("https://www.google.com/maps?q=-20.1053420,-44.9647160","Abrir no Google Maps")</f>
        <v>Abrir no Google Maps</v>
      </c>
      <c r="S4953">
        <v>3</v>
      </c>
      <c r="T4953">
        <v>893.28710125086457</v>
      </c>
      <c r="U4953">
        <v>3</v>
      </c>
      <c r="V4953">
        <v>0.1255980861244019</v>
      </c>
      <c r="W4953">
        <v>1</v>
      </c>
      <c r="X4953">
        <v>0.1255980861244019</v>
      </c>
      <c r="Y4953">
        <v>187</v>
      </c>
      <c r="Z4953">
        <v>592.18957175243293</v>
      </c>
      <c r="AA4953">
        <v>198</v>
      </c>
      <c r="AB4953">
        <v>332</v>
      </c>
      <c r="AC4953">
        <v>536</v>
      </c>
      <c r="AD4953">
        <v>32.42</v>
      </c>
      <c r="AE4953">
        <v>542</v>
      </c>
      <c r="AF4953">
        <v>39</v>
      </c>
      <c r="AG4953">
        <v>173</v>
      </c>
      <c r="AH4953">
        <v>129</v>
      </c>
      <c r="AI4953">
        <v>7.2</v>
      </c>
      <c r="AJ4953">
        <v>31.92</v>
      </c>
      <c r="AK4953">
        <v>23.8</v>
      </c>
      <c r="AL4953">
        <v>-20.105505699999949</v>
      </c>
      <c r="AM4953">
        <v>-44.964494228377532</v>
      </c>
      <c r="AN4953">
        <v>-20.105505699999949</v>
      </c>
      <c r="AO4953">
        <v>-44.964494228377532</v>
      </c>
      <c r="AP4953">
        <v>-20.105342</v>
      </c>
      <c r="AQ4953">
        <v>-44.964716000000003</v>
      </c>
      <c r="AR4953">
        <v>29.48797728637869</v>
      </c>
      <c r="AS4953" t="s">
        <v>65</v>
      </c>
      <c r="AT4953">
        <v>1</v>
      </c>
      <c r="AU4953" t="s">
        <v>1198</v>
      </c>
      <c r="AV4953" t="s">
        <v>1199</v>
      </c>
      <c r="AW4953" t="s">
        <v>60</v>
      </c>
      <c r="AX4953" t="s">
        <v>68</v>
      </c>
      <c r="AY4953" t="s">
        <v>69</v>
      </c>
      <c r="AZ4953" t="b">
        <v>1</v>
      </c>
    </row>
    <row r="4954" spans="1:52" x14ac:dyDescent="0.3">
      <c r="A4954" t="s">
        <v>52</v>
      </c>
      <c r="B4954" t="s">
        <v>53</v>
      </c>
      <c r="C4954" t="s">
        <v>54</v>
      </c>
      <c r="D4954" t="s">
        <v>55</v>
      </c>
      <c r="E4954" t="s">
        <v>2224</v>
      </c>
      <c r="F4954" t="s">
        <v>190</v>
      </c>
      <c r="G4954" t="s">
        <v>1960</v>
      </c>
      <c r="H4954" t="s">
        <v>1961</v>
      </c>
      <c r="I4954" t="s">
        <v>1961</v>
      </c>
      <c r="J4954" t="s">
        <v>60</v>
      </c>
      <c r="K4954" t="s">
        <v>1962</v>
      </c>
      <c r="L4954" t="s">
        <v>62</v>
      </c>
      <c r="M4954" t="s">
        <v>1962</v>
      </c>
      <c r="N4954" t="s">
        <v>1963</v>
      </c>
      <c r="O4954" t="s">
        <v>836</v>
      </c>
      <c r="P4954">
        <v>-20.102920999999998</v>
      </c>
      <c r="Q4954">
        <v>-44.865403999999998</v>
      </c>
      <c r="R4954" s="2" t="str">
        <f>HYPERLINK("https://www.google.com/maps?q=-20.1029210,-44.8654040","Abrir no Google Maps")</f>
        <v>Abrir no Google Maps</v>
      </c>
      <c r="S4954">
        <v>3</v>
      </c>
      <c r="T4954">
        <v>1191.6677440546839</v>
      </c>
      <c r="U4954">
        <v>3</v>
      </c>
      <c r="V4954">
        <v>0.13802083333333329</v>
      </c>
      <c r="W4954">
        <v>0.85</v>
      </c>
      <c r="X4954">
        <v>0.1173177083333333</v>
      </c>
      <c r="Y4954">
        <v>154</v>
      </c>
      <c r="Z4954">
        <v>991.44725347027099</v>
      </c>
      <c r="AA4954">
        <v>198</v>
      </c>
      <c r="AB4954">
        <v>332</v>
      </c>
      <c r="AC4954">
        <v>536</v>
      </c>
      <c r="AD4954">
        <v>32.42</v>
      </c>
      <c r="AE4954">
        <v>542</v>
      </c>
      <c r="AF4954">
        <v>39</v>
      </c>
      <c r="AG4954">
        <v>173</v>
      </c>
      <c r="AH4954">
        <v>129</v>
      </c>
      <c r="AI4954">
        <v>7.2</v>
      </c>
      <c r="AJ4954">
        <v>31.92</v>
      </c>
      <c r="AK4954">
        <v>23.8</v>
      </c>
      <c r="AL4954">
        <v>-20.102962049999949</v>
      </c>
      <c r="AM4954">
        <v>-44.86545245652048</v>
      </c>
      <c r="AN4954">
        <v>-20.102962049999949</v>
      </c>
      <c r="AO4954">
        <v>-44.86545245652048</v>
      </c>
      <c r="AP4954">
        <v>-20.102920999999998</v>
      </c>
      <c r="AQ4954">
        <v>-44.865403999999998</v>
      </c>
      <c r="AR4954">
        <v>6.8221551690023201</v>
      </c>
      <c r="AS4954" t="s">
        <v>65</v>
      </c>
      <c r="AT4954">
        <v>1</v>
      </c>
      <c r="AU4954" t="s">
        <v>1964</v>
      </c>
      <c r="AV4954" t="s">
        <v>1965</v>
      </c>
      <c r="AW4954" t="s">
        <v>60</v>
      </c>
      <c r="AX4954" t="s">
        <v>68</v>
      </c>
      <c r="AY4954" t="s">
        <v>69</v>
      </c>
      <c r="AZ4954" t="b">
        <v>1</v>
      </c>
    </row>
    <row r="4955" spans="1:52" x14ac:dyDescent="0.3">
      <c r="A4955" t="s">
        <v>52</v>
      </c>
      <c r="B4955" t="s">
        <v>53</v>
      </c>
      <c r="C4955" t="s">
        <v>54</v>
      </c>
      <c r="D4955" t="s">
        <v>55</v>
      </c>
      <c r="E4955" t="s">
        <v>2224</v>
      </c>
      <c r="F4955" t="s">
        <v>190</v>
      </c>
      <c r="G4955" t="s">
        <v>1972</v>
      </c>
      <c r="H4955" t="s">
        <v>1973</v>
      </c>
      <c r="I4955" t="s">
        <v>1973</v>
      </c>
      <c r="J4955" t="s">
        <v>60</v>
      </c>
      <c r="K4955" t="s">
        <v>1974</v>
      </c>
      <c r="L4955" t="s">
        <v>62</v>
      </c>
      <c r="M4955" t="s">
        <v>1974</v>
      </c>
      <c r="N4955" t="s">
        <v>1975</v>
      </c>
      <c r="O4955" t="s">
        <v>112</v>
      </c>
      <c r="P4955">
        <v>-20.190601000000001</v>
      </c>
      <c r="Q4955">
        <v>-44.915455000000001</v>
      </c>
      <c r="R4955" s="2" t="str">
        <f>HYPERLINK("https://www.google.com/maps?q=-20.1906010,-44.9154550","Abrir no Google Maps")</f>
        <v>Abrir no Google Maps</v>
      </c>
      <c r="S4955">
        <v>3</v>
      </c>
      <c r="T4955">
        <v>789.59047047105469</v>
      </c>
      <c r="U4955">
        <v>3</v>
      </c>
      <c r="V4955">
        <v>0.15322580645161291</v>
      </c>
      <c r="W4955">
        <v>0.85</v>
      </c>
      <c r="X4955">
        <v>0.130241935483871</v>
      </c>
      <c r="Y4955">
        <v>135</v>
      </c>
      <c r="Z4955">
        <v>1165.508260311045</v>
      </c>
      <c r="AA4955">
        <v>198</v>
      </c>
      <c r="AB4955">
        <v>332</v>
      </c>
      <c r="AC4955">
        <v>536</v>
      </c>
      <c r="AD4955">
        <v>32.42</v>
      </c>
      <c r="AE4955">
        <v>542</v>
      </c>
      <c r="AF4955">
        <v>39</v>
      </c>
      <c r="AG4955">
        <v>173</v>
      </c>
      <c r="AH4955">
        <v>129</v>
      </c>
      <c r="AI4955">
        <v>7.2</v>
      </c>
      <c r="AJ4955">
        <v>31.92</v>
      </c>
      <c r="AK4955">
        <v>23.8</v>
      </c>
      <c r="AL4955">
        <v>-20.19048524999997</v>
      </c>
      <c r="AM4955">
        <v>-44.916155008672732</v>
      </c>
      <c r="AN4955">
        <v>-20.19048524999997</v>
      </c>
      <c r="AO4955">
        <v>-44.916155008672732</v>
      </c>
      <c r="AP4955">
        <v>-20.190601000000001</v>
      </c>
      <c r="AQ4955">
        <v>-44.915455000000001</v>
      </c>
      <c r="AR4955">
        <v>74.262903738444592</v>
      </c>
      <c r="AS4955" t="s">
        <v>65</v>
      </c>
      <c r="AT4955">
        <v>1</v>
      </c>
      <c r="AU4955" t="s">
        <v>1976</v>
      </c>
      <c r="AV4955" t="s">
        <v>1977</v>
      </c>
      <c r="AW4955" t="s">
        <v>60</v>
      </c>
      <c r="AX4955" t="s">
        <v>68</v>
      </c>
      <c r="AY4955" t="s">
        <v>69</v>
      </c>
      <c r="AZ4955" t="b">
        <v>1</v>
      </c>
    </row>
    <row r="4956" spans="1:52" x14ac:dyDescent="0.3">
      <c r="A4956" t="s">
        <v>52</v>
      </c>
      <c r="B4956" t="s">
        <v>53</v>
      </c>
      <c r="C4956" t="s">
        <v>54</v>
      </c>
      <c r="D4956" t="s">
        <v>55</v>
      </c>
      <c r="E4956" t="s">
        <v>2224</v>
      </c>
      <c r="F4956" t="s">
        <v>190</v>
      </c>
      <c r="G4956" t="s">
        <v>1200</v>
      </c>
      <c r="H4956" t="s">
        <v>2139</v>
      </c>
      <c r="I4956" t="s">
        <v>2139</v>
      </c>
      <c r="J4956" t="s">
        <v>60</v>
      </c>
      <c r="K4956" t="s">
        <v>822</v>
      </c>
      <c r="L4956" t="s">
        <v>62</v>
      </c>
      <c r="M4956" t="s">
        <v>822</v>
      </c>
      <c r="N4956" t="s">
        <v>1203</v>
      </c>
      <c r="O4956" t="s">
        <v>1438</v>
      </c>
      <c r="P4956">
        <v>-20.184719999999999</v>
      </c>
      <c r="Q4956">
        <v>-44.906370000000003</v>
      </c>
      <c r="R4956" s="2" t="str">
        <f>HYPERLINK("https://www.google.com/maps?q=-20.1847200,-44.9063700","Abrir no Google Maps")</f>
        <v>Abrir no Google Maps</v>
      </c>
      <c r="S4956">
        <v>3</v>
      </c>
      <c r="T4956">
        <v>449.57787654629061</v>
      </c>
      <c r="U4956">
        <v>3</v>
      </c>
      <c r="V4956">
        <v>0.14728682170542631</v>
      </c>
      <c r="W4956">
        <v>0.85</v>
      </c>
      <c r="X4956">
        <v>0.1251937984496124</v>
      </c>
      <c r="Y4956">
        <v>135</v>
      </c>
      <c r="Z4956">
        <v>137.4655678931708</v>
      </c>
      <c r="AA4956">
        <v>198</v>
      </c>
      <c r="AB4956">
        <v>332</v>
      </c>
      <c r="AC4956">
        <v>536</v>
      </c>
      <c r="AD4956">
        <v>32.42</v>
      </c>
      <c r="AE4956">
        <v>542</v>
      </c>
      <c r="AF4956">
        <v>39</v>
      </c>
      <c r="AG4956">
        <v>173</v>
      </c>
      <c r="AH4956">
        <v>129</v>
      </c>
      <c r="AI4956">
        <v>7.2</v>
      </c>
      <c r="AJ4956">
        <v>31.92</v>
      </c>
      <c r="AK4956">
        <v>23.8</v>
      </c>
      <c r="AL4956">
        <v>-20.184714349999979</v>
      </c>
      <c r="AM4956">
        <v>-44.906364103234253</v>
      </c>
      <c r="AN4956">
        <v>-20.184714349999979</v>
      </c>
      <c r="AO4956">
        <v>-44.906364103234253</v>
      </c>
      <c r="AP4956">
        <v>-20.184719999999999</v>
      </c>
      <c r="AQ4956">
        <v>-44.906370000000003</v>
      </c>
      <c r="AR4956">
        <v>0.88044535780078881</v>
      </c>
      <c r="AS4956" t="s">
        <v>65</v>
      </c>
      <c r="AT4956">
        <v>1</v>
      </c>
      <c r="AU4956" t="s">
        <v>2140</v>
      </c>
      <c r="AV4956" t="s">
        <v>2141</v>
      </c>
      <c r="AW4956" t="s">
        <v>60</v>
      </c>
      <c r="AX4956" t="s">
        <v>68</v>
      </c>
      <c r="AY4956" t="s">
        <v>69</v>
      </c>
      <c r="AZ4956" t="b">
        <v>1</v>
      </c>
    </row>
    <row r="4957" spans="1:52" x14ac:dyDescent="0.3">
      <c r="A4957" t="s">
        <v>52</v>
      </c>
      <c r="B4957" t="s">
        <v>53</v>
      </c>
      <c r="C4957" t="s">
        <v>54</v>
      </c>
      <c r="D4957" t="s">
        <v>55</v>
      </c>
      <c r="E4957" t="s">
        <v>2224</v>
      </c>
      <c r="F4957" t="s">
        <v>190</v>
      </c>
      <c r="G4957" t="s">
        <v>1990</v>
      </c>
      <c r="H4957" t="s">
        <v>1991</v>
      </c>
      <c r="I4957" t="s">
        <v>1991</v>
      </c>
      <c r="J4957" t="s">
        <v>60</v>
      </c>
      <c r="K4957" t="s">
        <v>822</v>
      </c>
      <c r="L4957" t="s">
        <v>62</v>
      </c>
      <c r="M4957" t="s">
        <v>822</v>
      </c>
      <c r="N4957" t="s">
        <v>1992</v>
      </c>
      <c r="O4957" t="s">
        <v>1993</v>
      </c>
      <c r="P4957">
        <v>-20.185697000000001</v>
      </c>
      <c r="Q4957">
        <v>-44.910505999999998</v>
      </c>
      <c r="R4957" s="2" t="str">
        <f>HYPERLINK("https://www.google.com/maps?q=-20.1856970,-44.9105060","Abrir no Google Maps")</f>
        <v>Abrir no Google Maps</v>
      </c>
      <c r="S4957">
        <v>3</v>
      </c>
      <c r="T4957">
        <v>0</v>
      </c>
      <c r="U4957">
        <v>3</v>
      </c>
      <c r="V4957">
        <v>0.14130434782608689</v>
      </c>
      <c r="W4957">
        <v>0.85</v>
      </c>
      <c r="X4957">
        <v>0.1201086956521739</v>
      </c>
      <c r="Y4957">
        <v>135</v>
      </c>
      <c r="Z4957">
        <v>343.69681053463609</v>
      </c>
      <c r="AA4957">
        <v>198</v>
      </c>
      <c r="AB4957">
        <v>332</v>
      </c>
      <c r="AC4957">
        <v>536</v>
      </c>
      <c r="AD4957">
        <v>32.42</v>
      </c>
      <c r="AE4957">
        <v>542</v>
      </c>
      <c r="AF4957">
        <v>39</v>
      </c>
      <c r="AG4957">
        <v>173</v>
      </c>
      <c r="AH4957">
        <v>129</v>
      </c>
      <c r="AI4957">
        <v>7.2</v>
      </c>
      <c r="AJ4957">
        <v>31.92</v>
      </c>
      <c r="AK4957">
        <v>23.8</v>
      </c>
      <c r="AL4957">
        <v>-20.185715749999961</v>
      </c>
      <c r="AM4957">
        <v>-44.910534239471573</v>
      </c>
      <c r="AN4957">
        <v>-20.185715749999961</v>
      </c>
      <c r="AO4957">
        <v>-44.910534239471573</v>
      </c>
      <c r="AP4957">
        <v>-20.185697000000001</v>
      </c>
      <c r="AQ4957">
        <v>-44.910505999999998</v>
      </c>
      <c r="AR4957">
        <v>3.6141753980162412</v>
      </c>
      <c r="AS4957" t="s">
        <v>65</v>
      </c>
      <c r="AT4957">
        <v>1</v>
      </c>
      <c r="AU4957" t="s">
        <v>1994</v>
      </c>
      <c r="AV4957" t="s">
        <v>1995</v>
      </c>
      <c r="AW4957" t="s">
        <v>60</v>
      </c>
      <c r="AX4957" t="s">
        <v>68</v>
      </c>
      <c r="AY4957" t="s">
        <v>69</v>
      </c>
      <c r="AZ4957" t="b">
        <v>1</v>
      </c>
    </row>
    <row r="4958" spans="1:52" x14ac:dyDescent="0.3">
      <c r="A4958" t="s">
        <v>52</v>
      </c>
      <c r="B4958" t="s">
        <v>53</v>
      </c>
      <c r="C4958" t="s">
        <v>54</v>
      </c>
      <c r="D4958" t="s">
        <v>55</v>
      </c>
      <c r="E4958" t="s">
        <v>2224</v>
      </c>
      <c r="F4958" t="s">
        <v>190</v>
      </c>
      <c r="G4958" t="s">
        <v>422</v>
      </c>
      <c r="H4958" t="s">
        <v>2001</v>
      </c>
      <c r="I4958" t="s">
        <v>2001</v>
      </c>
      <c r="J4958" t="s">
        <v>60</v>
      </c>
      <c r="K4958" t="s">
        <v>475</v>
      </c>
      <c r="L4958" t="s">
        <v>62</v>
      </c>
      <c r="M4958" t="s">
        <v>475</v>
      </c>
      <c r="N4958" t="s">
        <v>425</v>
      </c>
      <c r="O4958" t="s">
        <v>1663</v>
      </c>
      <c r="P4958">
        <v>-20.180004</v>
      </c>
      <c r="Q4958">
        <v>-44.911242999999999</v>
      </c>
      <c r="R4958" s="2" t="str">
        <f>HYPERLINK("https://www.google.com/maps?q=-20.1800040,-44.9112430","Abrir no Google Maps")</f>
        <v>Abrir no Google Maps</v>
      </c>
      <c r="S4958">
        <v>3</v>
      </c>
      <c r="T4958">
        <v>529.77473531196472</v>
      </c>
      <c r="U4958">
        <v>3</v>
      </c>
      <c r="V4958">
        <v>0.1310344827586207</v>
      </c>
      <c r="W4958">
        <v>0.85</v>
      </c>
      <c r="X4958">
        <v>0.11137931034482761</v>
      </c>
      <c r="Y4958">
        <v>135</v>
      </c>
      <c r="Z4958">
        <v>464.21721188606858</v>
      </c>
      <c r="AA4958">
        <v>198</v>
      </c>
      <c r="AB4958">
        <v>332</v>
      </c>
      <c r="AC4958">
        <v>536</v>
      </c>
      <c r="AD4958">
        <v>32.42</v>
      </c>
      <c r="AE4958">
        <v>542</v>
      </c>
      <c r="AF4958">
        <v>39</v>
      </c>
      <c r="AG4958">
        <v>173</v>
      </c>
      <c r="AH4958">
        <v>129</v>
      </c>
      <c r="AI4958">
        <v>7.2</v>
      </c>
      <c r="AJ4958">
        <v>31.92</v>
      </c>
      <c r="AK4958">
        <v>23.8</v>
      </c>
      <c r="AL4958">
        <v>-20.180959999999949</v>
      </c>
      <c r="AM4958">
        <v>-44.911115442322981</v>
      </c>
      <c r="AN4958">
        <v>-20.180959999999949</v>
      </c>
      <c r="AO4958">
        <v>-44.911115442322981</v>
      </c>
      <c r="AP4958">
        <v>-20.180004</v>
      </c>
      <c r="AQ4958">
        <v>-44.911242999999999</v>
      </c>
      <c r="AR4958">
        <v>107.2532506205936</v>
      </c>
      <c r="AS4958" t="s">
        <v>65</v>
      </c>
      <c r="AT4958">
        <v>1</v>
      </c>
      <c r="AU4958" t="s">
        <v>2002</v>
      </c>
      <c r="AV4958" t="s">
        <v>1211</v>
      </c>
      <c r="AW4958" t="s">
        <v>60</v>
      </c>
      <c r="AX4958" t="s">
        <v>68</v>
      </c>
      <c r="AY4958" t="s">
        <v>69</v>
      </c>
      <c r="AZ4958" t="b">
        <v>1</v>
      </c>
    </row>
    <row r="4959" spans="1:52" x14ac:dyDescent="0.3">
      <c r="A4959" t="s">
        <v>52</v>
      </c>
      <c r="B4959" t="s">
        <v>53</v>
      </c>
      <c r="C4959" t="s">
        <v>54</v>
      </c>
      <c r="D4959" t="s">
        <v>55</v>
      </c>
      <c r="E4959" t="s">
        <v>2224</v>
      </c>
      <c r="F4959" t="s">
        <v>190</v>
      </c>
      <c r="G4959" t="s">
        <v>820</v>
      </c>
      <c r="H4959" t="s">
        <v>821</v>
      </c>
      <c r="I4959" t="s">
        <v>821</v>
      </c>
      <c r="J4959" t="s">
        <v>60</v>
      </c>
      <c r="K4959" t="s">
        <v>822</v>
      </c>
      <c r="L4959" t="s">
        <v>62</v>
      </c>
      <c r="M4959" t="s">
        <v>822</v>
      </c>
      <c r="N4959" t="s">
        <v>823</v>
      </c>
      <c r="O4959" t="s">
        <v>187</v>
      </c>
      <c r="P4959">
        <v>-20.182960999999999</v>
      </c>
      <c r="Q4959">
        <v>-44.902512999999999</v>
      </c>
      <c r="R4959" s="2" t="str">
        <f>HYPERLINK("https://www.google.com/maps?q=-20.1829610,-44.9025130","Abrir no Google Maps")</f>
        <v>Abrir no Google Maps</v>
      </c>
      <c r="S4959">
        <v>3</v>
      </c>
      <c r="T4959">
        <v>908.09917748271926</v>
      </c>
      <c r="U4959">
        <v>3</v>
      </c>
      <c r="V4959">
        <v>0.111963190184049</v>
      </c>
      <c r="W4959">
        <v>1</v>
      </c>
      <c r="X4959">
        <v>0.111963190184049</v>
      </c>
      <c r="Y4959">
        <v>135</v>
      </c>
      <c r="Z4959">
        <v>562.42494356837676</v>
      </c>
      <c r="AA4959">
        <v>198</v>
      </c>
      <c r="AB4959">
        <v>332</v>
      </c>
      <c r="AC4959">
        <v>536</v>
      </c>
      <c r="AD4959">
        <v>32.42</v>
      </c>
      <c r="AE4959">
        <v>542</v>
      </c>
      <c r="AF4959">
        <v>39</v>
      </c>
      <c r="AG4959">
        <v>173</v>
      </c>
      <c r="AH4959">
        <v>129</v>
      </c>
      <c r="AI4959">
        <v>7.2</v>
      </c>
      <c r="AJ4959">
        <v>31.92</v>
      </c>
      <c r="AK4959">
        <v>23.8</v>
      </c>
      <c r="AL4959">
        <v>-20.18277184999997</v>
      </c>
      <c r="AM4959">
        <v>-44.902421436048833</v>
      </c>
      <c r="AN4959">
        <v>-20.18277184999997</v>
      </c>
      <c r="AO4959">
        <v>-44.902421436048833</v>
      </c>
      <c r="AP4959">
        <v>-20.182960999999999</v>
      </c>
      <c r="AQ4959">
        <v>-44.902512999999999</v>
      </c>
      <c r="AR4959">
        <v>23.127700959037089</v>
      </c>
      <c r="AS4959" t="s">
        <v>65</v>
      </c>
      <c r="AT4959">
        <v>1</v>
      </c>
      <c r="AU4959" t="s">
        <v>824</v>
      </c>
      <c r="AV4959" t="s">
        <v>825</v>
      </c>
      <c r="AW4959" t="s">
        <v>60</v>
      </c>
      <c r="AX4959" t="s">
        <v>68</v>
      </c>
      <c r="AY4959" t="s">
        <v>69</v>
      </c>
      <c r="AZ4959" t="b">
        <v>1</v>
      </c>
    </row>
    <row r="4960" spans="1:52" x14ac:dyDescent="0.3">
      <c r="A4960" t="s">
        <v>52</v>
      </c>
      <c r="B4960" t="s">
        <v>53</v>
      </c>
      <c r="C4960" t="s">
        <v>54</v>
      </c>
      <c r="D4960" t="s">
        <v>55</v>
      </c>
      <c r="E4960" t="s">
        <v>2224</v>
      </c>
      <c r="F4960" t="s">
        <v>190</v>
      </c>
      <c r="G4960" t="s">
        <v>2003</v>
      </c>
      <c r="H4960" t="s">
        <v>2004</v>
      </c>
      <c r="I4960" t="s">
        <v>2004</v>
      </c>
      <c r="J4960" t="s">
        <v>60</v>
      </c>
      <c r="K4960" t="s">
        <v>437</v>
      </c>
      <c r="L4960" t="s">
        <v>62</v>
      </c>
      <c r="M4960" t="s">
        <v>437</v>
      </c>
      <c r="N4960" t="s">
        <v>2005</v>
      </c>
      <c r="O4960" t="s">
        <v>848</v>
      </c>
      <c r="P4960">
        <v>-20.151282999999999</v>
      </c>
      <c r="Q4960">
        <v>-44.878397</v>
      </c>
      <c r="R4960" s="2" t="str">
        <f>HYPERLINK("https://www.google.com/maps?q=-20.1512830,-44.8783970","Abrir no Google Maps")</f>
        <v>Abrir no Google Maps</v>
      </c>
      <c r="S4960">
        <v>3</v>
      </c>
      <c r="T4960">
        <v>545.72865549073447</v>
      </c>
      <c r="U4960">
        <v>3</v>
      </c>
      <c r="V4960">
        <v>0.15116279069767441</v>
      </c>
      <c r="W4960">
        <v>0.85</v>
      </c>
      <c r="X4960">
        <v>0.12848837209302319</v>
      </c>
      <c r="Y4960">
        <v>120</v>
      </c>
      <c r="Z4960">
        <v>435.31127212865022</v>
      </c>
      <c r="AA4960">
        <v>198</v>
      </c>
      <c r="AB4960">
        <v>332</v>
      </c>
      <c r="AC4960">
        <v>536</v>
      </c>
      <c r="AD4960">
        <v>32.42</v>
      </c>
      <c r="AE4960">
        <v>542</v>
      </c>
      <c r="AF4960">
        <v>39</v>
      </c>
      <c r="AG4960">
        <v>173</v>
      </c>
      <c r="AH4960">
        <v>129</v>
      </c>
      <c r="AI4960">
        <v>7.2</v>
      </c>
      <c r="AJ4960">
        <v>31.92</v>
      </c>
      <c r="AK4960">
        <v>23.8</v>
      </c>
      <c r="AL4960">
        <v>-20.151758949999959</v>
      </c>
      <c r="AM4960">
        <v>-44.877545001789308</v>
      </c>
      <c r="AN4960">
        <v>-20.151758949999959</v>
      </c>
      <c r="AO4960">
        <v>-44.877545001789308</v>
      </c>
      <c r="AP4960">
        <v>-20.151282999999999</v>
      </c>
      <c r="AQ4960">
        <v>-44.878397</v>
      </c>
      <c r="AR4960">
        <v>103.60987807859161</v>
      </c>
      <c r="AS4960" t="s">
        <v>65</v>
      </c>
      <c r="AT4960">
        <v>1</v>
      </c>
      <c r="AU4960" t="s">
        <v>2006</v>
      </c>
      <c r="AV4960" t="s">
        <v>2007</v>
      </c>
      <c r="AW4960" t="s">
        <v>60</v>
      </c>
      <c r="AX4960" t="s">
        <v>68</v>
      </c>
      <c r="AY4960" t="s">
        <v>69</v>
      </c>
      <c r="AZ4960" t="b">
        <v>1</v>
      </c>
    </row>
    <row r="4961" spans="1:52" x14ac:dyDescent="0.3">
      <c r="A4961" t="s">
        <v>52</v>
      </c>
      <c r="B4961" t="s">
        <v>53</v>
      </c>
      <c r="C4961" t="s">
        <v>54</v>
      </c>
      <c r="D4961" t="s">
        <v>55</v>
      </c>
      <c r="E4961" t="s">
        <v>2224</v>
      </c>
      <c r="F4961" t="s">
        <v>190</v>
      </c>
      <c r="G4961" t="s">
        <v>1224</v>
      </c>
      <c r="H4961" t="s">
        <v>1225</v>
      </c>
      <c r="I4961" t="s">
        <v>1225</v>
      </c>
      <c r="J4961" t="s">
        <v>60</v>
      </c>
      <c r="K4961" t="s">
        <v>828</v>
      </c>
      <c r="L4961" t="s">
        <v>62</v>
      </c>
      <c r="M4961" t="s">
        <v>828</v>
      </c>
      <c r="N4961" t="s">
        <v>1226</v>
      </c>
      <c r="O4961" t="s">
        <v>1227</v>
      </c>
      <c r="P4961">
        <v>-20.135355000000001</v>
      </c>
      <c r="Q4961">
        <v>-44.835469000000003</v>
      </c>
      <c r="R4961" s="2" t="str">
        <f>HYPERLINK("https://www.google.com/maps?q=-20.1353550,-44.8354690","Abrir no Google Maps")</f>
        <v>Abrir no Google Maps</v>
      </c>
      <c r="S4961">
        <v>3</v>
      </c>
      <c r="T4961">
        <v>751.16107206095137</v>
      </c>
      <c r="U4961">
        <v>3</v>
      </c>
      <c r="V4961">
        <v>0.15416666666666659</v>
      </c>
      <c r="W4961">
        <v>0.85</v>
      </c>
      <c r="X4961">
        <v>0.13104166666666661</v>
      </c>
      <c r="Y4961">
        <v>118</v>
      </c>
      <c r="Z4961">
        <v>677.63401865784431</v>
      </c>
      <c r="AA4961">
        <v>198</v>
      </c>
      <c r="AB4961">
        <v>332</v>
      </c>
      <c r="AC4961">
        <v>536</v>
      </c>
      <c r="AD4961">
        <v>32.42</v>
      </c>
      <c r="AE4961">
        <v>542</v>
      </c>
      <c r="AF4961">
        <v>39</v>
      </c>
      <c r="AG4961">
        <v>173</v>
      </c>
      <c r="AH4961">
        <v>129</v>
      </c>
      <c r="AI4961">
        <v>7.2</v>
      </c>
      <c r="AJ4961">
        <v>31.92</v>
      </c>
      <c r="AK4961">
        <v>23.8</v>
      </c>
      <c r="AL4961">
        <v>-20.134961199999939</v>
      </c>
      <c r="AM4961">
        <v>-44.835020399356488</v>
      </c>
      <c r="AN4961">
        <v>-20.134961199999939</v>
      </c>
      <c r="AO4961">
        <v>-44.835020399356488</v>
      </c>
      <c r="AP4961">
        <v>-20.135355000000001</v>
      </c>
      <c r="AQ4961">
        <v>-44.835469000000003</v>
      </c>
      <c r="AR4961">
        <v>64.187783608237439</v>
      </c>
      <c r="AS4961" t="s">
        <v>65</v>
      </c>
      <c r="AT4961">
        <v>1</v>
      </c>
      <c r="AU4961" t="s">
        <v>1228</v>
      </c>
      <c r="AV4961" t="s">
        <v>1229</v>
      </c>
      <c r="AW4961" t="s">
        <v>60</v>
      </c>
      <c r="AX4961" t="s">
        <v>68</v>
      </c>
      <c r="AY4961" t="s">
        <v>69</v>
      </c>
      <c r="AZ4961" t="b">
        <v>1</v>
      </c>
    </row>
    <row r="4962" spans="1:52" x14ac:dyDescent="0.3">
      <c r="A4962" t="s">
        <v>52</v>
      </c>
      <c r="B4962" t="s">
        <v>53</v>
      </c>
      <c r="C4962" t="s">
        <v>54</v>
      </c>
      <c r="D4962" t="s">
        <v>55</v>
      </c>
      <c r="E4962" t="s">
        <v>2224</v>
      </c>
      <c r="F4962" t="s">
        <v>190</v>
      </c>
      <c r="G4962" t="s">
        <v>1193</v>
      </c>
      <c r="H4962" t="s">
        <v>2270</v>
      </c>
      <c r="I4962" t="s">
        <v>2270</v>
      </c>
      <c r="J4962" t="s">
        <v>60</v>
      </c>
      <c r="K4962" t="s">
        <v>2048</v>
      </c>
      <c r="L4962" t="s">
        <v>62</v>
      </c>
      <c r="M4962" t="s">
        <v>2048</v>
      </c>
      <c r="N4962" t="s">
        <v>2271</v>
      </c>
      <c r="O4962" t="s">
        <v>315</v>
      </c>
      <c r="P4962">
        <v>-20.196982999999999</v>
      </c>
      <c r="Q4962">
        <v>-44.957531000000003</v>
      </c>
      <c r="R4962" s="2" t="str">
        <f>HYPERLINK("https://www.google.com/maps?q=-20.1969830,-44.9575310","Abrir no Google Maps")</f>
        <v>Abrir no Google Maps</v>
      </c>
      <c r="S4962">
        <v>3</v>
      </c>
      <c r="T4962">
        <v>2081.5340148087098</v>
      </c>
      <c r="U4962">
        <v>3</v>
      </c>
      <c r="V4962">
        <v>0.1333333333333333</v>
      </c>
      <c r="W4962">
        <v>0.85</v>
      </c>
      <c r="X4962">
        <v>0.1133333333333333</v>
      </c>
      <c r="Y4962">
        <v>113</v>
      </c>
      <c r="Z4962">
        <v>1752.2311110009109</v>
      </c>
      <c r="AA4962">
        <v>198</v>
      </c>
      <c r="AB4962">
        <v>332</v>
      </c>
      <c r="AC4962">
        <v>536</v>
      </c>
      <c r="AD4962">
        <v>32.42</v>
      </c>
      <c r="AE4962">
        <v>542</v>
      </c>
      <c r="AF4962">
        <v>39</v>
      </c>
      <c r="AG4962">
        <v>173</v>
      </c>
      <c r="AH4962">
        <v>129</v>
      </c>
      <c r="AI4962">
        <v>7.2</v>
      </c>
      <c r="AJ4962">
        <v>31.92</v>
      </c>
      <c r="AK4962">
        <v>23.8</v>
      </c>
      <c r="AL4962">
        <v>-20.199864899999969</v>
      </c>
      <c r="AM4962">
        <v>-44.956270051403209</v>
      </c>
      <c r="AN4962">
        <v>-20.199864899999969</v>
      </c>
      <c r="AO4962">
        <v>-44.956270051403209</v>
      </c>
      <c r="AP4962">
        <v>-20.196982999999999</v>
      </c>
      <c r="AQ4962">
        <v>-44.957531000000003</v>
      </c>
      <c r="AR4962">
        <v>346.80718963774962</v>
      </c>
      <c r="AS4962" t="s">
        <v>65</v>
      </c>
      <c r="AT4962">
        <v>1</v>
      </c>
      <c r="AU4962" t="s">
        <v>2272</v>
      </c>
      <c r="AV4962" t="s">
        <v>2273</v>
      </c>
      <c r="AW4962" t="s">
        <v>60</v>
      </c>
      <c r="AX4962" t="s">
        <v>68</v>
      </c>
      <c r="AY4962" t="s">
        <v>69</v>
      </c>
      <c r="AZ4962" t="b">
        <v>1</v>
      </c>
    </row>
    <row r="4963" spans="1:52" x14ac:dyDescent="0.3">
      <c r="A4963" t="s">
        <v>52</v>
      </c>
      <c r="B4963" t="s">
        <v>53</v>
      </c>
      <c r="C4963" t="s">
        <v>54</v>
      </c>
      <c r="D4963" t="s">
        <v>55</v>
      </c>
      <c r="E4963" t="s">
        <v>2224</v>
      </c>
      <c r="F4963" t="s">
        <v>190</v>
      </c>
      <c r="G4963" t="s">
        <v>2041</v>
      </c>
      <c r="H4963" t="s">
        <v>2042</v>
      </c>
      <c r="I4963" t="s">
        <v>2042</v>
      </c>
      <c r="J4963" t="s">
        <v>60</v>
      </c>
      <c r="K4963" t="s">
        <v>2043</v>
      </c>
      <c r="L4963" t="s">
        <v>62</v>
      </c>
      <c r="M4963" t="s">
        <v>2043</v>
      </c>
      <c r="N4963" t="s">
        <v>2044</v>
      </c>
      <c r="O4963" t="s">
        <v>315</v>
      </c>
      <c r="P4963">
        <v>-20.188009999999998</v>
      </c>
      <c r="Q4963">
        <v>-44.977105999999999</v>
      </c>
      <c r="R4963" s="2" t="str">
        <f>HYPERLINK("https://www.google.com/maps?q=-20.1880100,-44.9771060","Abrir no Google Maps")</f>
        <v>Abrir no Google Maps</v>
      </c>
      <c r="S4963">
        <v>3</v>
      </c>
      <c r="T4963">
        <v>4071.843125038275</v>
      </c>
      <c r="U4963">
        <v>3</v>
      </c>
      <c r="V4963">
        <v>0.14655172413793099</v>
      </c>
      <c r="W4963">
        <v>0.85</v>
      </c>
      <c r="X4963">
        <v>0.1245689655172413</v>
      </c>
      <c r="Y4963">
        <v>113</v>
      </c>
      <c r="Z4963">
        <v>3944.416275976987</v>
      </c>
      <c r="AA4963">
        <v>198</v>
      </c>
      <c r="AB4963">
        <v>332</v>
      </c>
      <c r="AC4963">
        <v>536</v>
      </c>
      <c r="AD4963">
        <v>32.42</v>
      </c>
      <c r="AE4963">
        <v>542</v>
      </c>
      <c r="AF4963">
        <v>39</v>
      </c>
      <c r="AG4963">
        <v>173</v>
      </c>
      <c r="AH4963">
        <v>129</v>
      </c>
      <c r="AI4963">
        <v>7.2</v>
      </c>
      <c r="AJ4963">
        <v>31.92</v>
      </c>
      <c r="AK4963">
        <v>23.8</v>
      </c>
      <c r="AL4963">
        <v>-20.18816804999997</v>
      </c>
      <c r="AM4963">
        <v>-44.976912393565307</v>
      </c>
      <c r="AN4963">
        <v>-20.18816804999997</v>
      </c>
      <c r="AO4963">
        <v>-44.976912393565307</v>
      </c>
      <c r="AP4963">
        <v>-20.188009999999998</v>
      </c>
      <c r="AQ4963">
        <v>-44.977105999999999</v>
      </c>
      <c r="AR4963">
        <v>26.809194929544319</v>
      </c>
      <c r="AS4963" t="s">
        <v>65</v>
      </c>
      <c r="AT4963">
        <v>1</v>
      </c>
      <c r="AU4963" t="s">
        <v>2045</v>
      </c>
      <c r="AV4963" t="s">
        <v>2046</v>
      </c>
      <c r="AW4963" t="s">
        <v>60</v>
      </c>
      <c r="AX4963" t="s">
        <v>68</v>
      </c>
      <c r="AY4963" t="s">
        <v>69</v>
      </c>
      <c r="AZ4963" t="b">
        <v>1</v>
      </c>
    </row>
    <row r="4964" spans="1:52" x14ac:dyDescent="0.3">
      <c r="A4964" t="s">
        <v>52</v>
      </c>
      <c r="B4964" t="s">
        <v>53</v>
      </c>
      <c r="C4964" t="s">
        <v>54</v>
      </c>
      <c r="D4964" t="s">
        <v>55</v>
      </c>
      <c r="E4964" t="s">
        <v>2224</v>
      </c>
      <c r="F4964" t="s">
        <v>190</v>
      </c>
      <c r="G4964" t="s">
        <v>2051</v>
      </c>
      <c r="H4964" t="s">
        <v>2052</v>
      </c>
      <c r="I4964" t="s">
        <v>2052</v>
      </c>
      <c r="J4964" t="s">
        <v>60</v>
      </c>
      <c r="K4964" t="s">
        <v>2053</v>
      </c>
      <c r="L4964" t="s">
        <v>62</v>
      </c>
      <c r="M4964" t="s">
        <v>2053</v>
      </c>
      <c r="N4964" t="s">
        <v>2054</v>
      </c>
      <c r="O4964" t="s">
        <v>1373</v>
      </c>
      <c r="P4964">
        <v>-20.199961999999999</v>
      </c>
      <c r="Q4964">
        <v>-44.924002999999999</v>
      </c>
      <c r="R4964" s="2" t="str">
        <f>HYPERLINK("https://www.google.com/maps?q=-20.1999620,-44.9240030","Abrir no Google Maps")</f>
        <v>Abrir no Google Maps</v>
      </c>
      <c r="S4964">
        <v>3</v>
      </c>
      <c r="T4964">
        <v>1745.0796238990249</v>
      </c>
      <c r="U4964">
        <v>3</v>
      </c>
      <c r="V4964">
        <v>0.15230582524271841</v>
      </c>
      <c r="W4964">
        <v>0.85</v>
      </c>
      <c r="X4964">
        <v>0.12945995145631059</v>
      </c>
      <c r="Y4964">
        <v>113</v>
      </c>
      <c r="Z4964">
        <v>1847.2276352920239</v>
      </c>
      <c r="AA4964">
        <v>198</v>
      </c>
      <c r="AB4964">
        <v>332</v>
      </c>
      <c r="AC4964">
        <v>536</v>
      </c>
      <c r="AD4964">
        <v>32.42</v>
      </c>
      <c r="AE4964">
        <v>542</v>
      </c>
      <c r="AF4964">
        <v>39</v>
      </c>
      <c r="AG4964">
        <v>173</v>
      </c>
      <c r="AH4964">
        <v>129</v>
      </c>
      <c r="AI4964">
        <v>7.2</v>
      </c>
      <c r="AJ4964">
        <v>31.92</v>
      </c>
      <c r="AK4964">
        <v>23.8</v>
      </c>
      <c r="AL4964">
        <v>-20.20027129999994</v>
      </c>
      <c r="AM4964">
        <v>-44.923912195320469</v>
      </c>
      <c r="AN4964">
        <v>-20.20027129999994</v>
      </c>
      <c r="AO4964">
        <v>-44.923912195320469</v>
      </c>
      <c r="AP4964">
        <v>-20.199961999999999</v>
      </c>
      <c r="AQ4964">
        <v>-44.924002999999999</v>
      </c>
      <c r="AR4964">
        <v>35.714266260335641</v>
      </c>
      <c r="AS4964" t="s">
        <v>65</v>
      </c>
      <c r="AT4964">
        <v>1</v>
      </c>
      <c r="AU4964" t="s">
        <v>2055</v>
      </c>
      <c r="AV4964" t="s">
        <v>2056</v>
      </c>
      <c r="AW4964" t="s">
        <v>60</v>
      </c>
      <c r="AX4964" t="s">
        <v>68</v>
      </c>
      <c r="AY4964" t="s">
        <v>69</v>
      </c>
      <c r="AZ4964" t="b">
        <v>1</v>
      </c>
    </row>
    <row r="4965" spans="1:52" x14ac:dyDescent="0.3">
      <c r="A4965" t="s">
        <v>52</v>
      </c>
      <c r="B4965" t="s">
        <v>53</v>
      </c>
      <c r="C4965" t="s">
        <v>54</v>
      </c>
      <c r="D4965" t="s">
        <v>55</v>
      </c>
      <c r="E4965" t="s">
        <v>2224</v>
      </c>
      <c r="F4965" t="s">
        <v>190</v>
      </c>
      <c r="G4965" t="s">
        <v>2062</v>
      </c>
      <c r="H4965" t="s">
        <v>2063</v>
      </c>
      <c r="I4965" t="s">
        <v>2063</v>
      </c>
      <c r="J4965" t="s">
        <v>60</v>
      </c>
      <c r="K4965" t="s">
        <v>1237</v>
      </c>
      <c r="L4965" t="s">
        <v>62</v>
      </c>
      <c r="M4965" t="s">
        <v>1237</v>
      </c>
      <c r="N4965" t="s">
        <v>2064</v>
      </c>
      <c r="O4965" t="s">
        <v>2065</v>
      </c>
      <c r="P4965">
        <v>-20.199923999999999</v>
      </c>
      <c r="Q4965">
        <v>-44.945999999999998</v>
      </c>
      <c r="R4965" s="2" t="str">
        <f>HYPERLINK("https://www.google.com/maps?q=-20.1999240,-44.9460000","Abrir no Google Maps")</f>
        <v>Abrir no Google Maps</v>
      </c>
      <c r="S4965">
        <v>3</v>
      </c>
      <c r="T4965">
        <v>1216.1967888086051</v>
      </c>
      <c r="U4965">
        <v>3</v>
      </c>
      <c r="V4965">
        <v>0.1517857142857143</v>
      </c>
      <c r="W4965">
        <v>0.85</v>
      </c>
      <c r="X4965">
        <v>0.12901785714285721</v>
      </c>
      <c r="Y4965">
        <v>113</v>
      </c>
      <c r="Z4965">
        <v>968.58538409204391</v>
      </c>
      <c r="AA4965">
        <v>198</v>
      </c>
      <c r="AB4965">
        <v>332</v>
      </c>
      <c r="AC4965">
        <v>536</v>
      </c>
      <c r="AD4965">
        <v>32.42</v>
      </c>
      <c r="AE4965">
        <v>542</v>
      </c>
      <c r="AF4965">
        <v>39</v>
      </c>
      <c r="AG4965">
        <v>173</v>
      </c>
      <c r="AH4965">
        <v>129</v>
      </c>
      <c r="AI4965">
        <v>7.2</v>
      </c>
      <c r="AJ4965">
        <v>31.92</v>
      </c>
      <c r="AK4965">
        <v>23.8</v>
      </c>
      <c r="AL4965">
        <v>-20.199893249999949</v>
      </c>
      <c r="AM4965">
        <v>-44.946291931421001</v>
      </c>
      <c r="AN4965">
        <v>-20.199893249999949</v>
      </c>
      <c r="AO4965">
        <v>-44.946291931421001</v>
      </c>
      <c r="AP4965">
        <v>-20.199923999999999</v>
      </c>
      <c r="AQ4965">
        <v>-44.945999999999998</v>
      </c>
      <c r="AR4965">
        <v>30.690481010373571</v>
      </c>
      <c r="AS4965" t="s">
        <v>65</v>
      </c>
      <c r="AT4965">
        <v>1</v>
      </c>
      <c r="AU4965" t="s">
        <v>2066</v>
      </c>
      <c r="AV4965" t="s">
        <v>2067</v>
      </c>
      <c r="AW4965" t="s">
        <v>60</v>
      </c>
      <c r="AX4965" t="s">
        <v>68</v>
      </c>
      <c r="AY4965" t="s">
        <v>69</v>
      </c>
      <c r="AZ4965" t="b">
        <v>1</v>
      </c>
    </row>
    <row r="4966" spans="1:52" x14ac:dyDescent="0.3">
      <c r="A4966" t="s">
        <v>52</v>
      </c>
      <c r="B4966" t="s">
        <v>53</v>
      </c>
      <c r="C4966" t="s">
        <v>54</v>
      </c>
      <c r="D4966" t="s">
        <v>55</v>
      </c>
      <c r="E4966" t="s">
        <v>2224</v>
      </c>
      <c r="F4966" t="s">
        <v>190</v>
      </c>
      <c r="G4966" t="s">
        <v>2074</v>
      </c>
      <c r="H4966" t="s">
        <v>2075</v>
      </c>
      <c r="I4966" t="s">
        <v>2075</v>
      </c>
      <c r="J4966" t="s">
        <v>60</v>
      </c>
      <c r="K4966" t="s">
        <v>1314</v>
      </c>
      <c r="L4966" t="s">
        <v>62</v>
      </c>
      <c r="M4966" t="s">
        <v>1314</v>
      </c>
      <c r="N4966" t="s">
        <v>2076</v>
      </c>
      <c r="O4966" t="s">
        <v>2077</v>
      </c>
      <c r="P4966">
        <v>-20.176835000000001</v>
      </c>
      <c r="Q4966">
        <v>-44.930950000000003</v>
      </c>
      <c r="R4966" s="2" t="str">
        <f>HYPERLINK("https://www.google.com/maps?q=-20.1768350,-44.9309500","Abrir no Google Maps")</f>
        <v>Abrir no Google Maps</v>
      </c>
      <c r="S4966">
        <v>3</v>
      </c>
      <c r="T4966">
        <v>1806.8580939436499</v>
      </c>
      <c r="U4966">
        <v>3</v>
      </c>
      <c r="V4966">
        <v>0.15032679738562091</v>
      </c>
      <c r="W4966">
        <v>0.85</v>
      </c>
      <c r="X4966">
        <v>0.1277777777777778</v>
      </c>
      <c r="Y4966">
        <v>113</v>
      </c>
      <c r="Z4966">
        <v>1921.313394530237</v>
      </c>
      <c r="AA4966">
        <v>198</v>
      </c>
      <c r="AB4966">
        <v>332</v>
      </c>
      <c r="AC4966">
        <v>536</v>
      </c>
      <c r="AD4966">
        <v>32.42</v>
      </c>
      <c r="AE4966">
        <v>542</v>
      </c>
      <c r="AF4966">
        <v>39</v>
      </c>
      <c r="AG4966">
        <v>173</v>
      </c>
      <c r="AH4966">
        <v>129</v>
      </c>
      <c r="AI4966">
        <v>7.2</v>
      </c>
      <c r="AJ4966">
        <v>31.92</v>
      </c>
      <c r="AK4966">
        <v>23.8</v>
      </c>
      <c r="AL4966">
        <v>-20.17717879999995</v>
      </c>
      <c r="AM4966">
        <v>-44.930977454083752</v>
      </c>
      <c r="AN4966">
        <v>-20.17717879999995</v>
      </c>
      <c r="AO4966">
        <v>-44.930977454083752</v>
      </c>
      <c r="AP4966">
        <v>-20.176835000000001</v>
      </c>
      <c r="AQ4966">
        <v>-44.930950000000003</v>
      </c>
      <c r="AR4966">
        <v>38.379173360223952</v>
      </c>
      <c r="AS4966" t="s">
        <v>65</v>
      </c>
      <c r="AT4966">
        <v>1</v>
      </c>
      <c r="AU4966" t="s">
        <v>2078</v>
      </c>
      <c r="AV4966" t="s">
        <v>1553</v>
      </c>
      <c r="AW4966" t="s">
        <v>60</v>
      </c>
      <c r="AX4966" t="s">
        <v>68</v>
      </c>
      <c r="AY4966" t="s">
        <v>69</v>
      </c>
      <c r="AZ4966" t="b">
        <v>1</v>
      </c>
    </row>
    <row r="4967" spans="1:52" x14ac:dyDescent="0.3">
      <c r="A4967" t="s">
        <v>52</v>
      </c>
      <c r="B4967" t="s">
        <v>53</v>
      </c>
      <c r="C4967" t="s">
        <v>54</v>
      </c>
      <c r="D4967" t="s">
        <v>55</v>
      </c>
      <c r="E4967" t="s">
        <v>2224</v>
      </c>
      <c r="F4967" t="s">
        <v>190</v>
      </c>
      <c r="G4967" t="s">
        <v>2079</v>
      </c>
      <c r="H4967" t="s">
        <v>2080</v>
      </c>
      <c r="I4967" t="s">
        <v>2080</v>
      </c>
      <c r="J4967" t="s">
        <v>60</v>
      </c>
      <c r="K4967" t="s">
        <v>1243</v>
      </c>
      <c r="L4967" t="s">
        <v>62</v>
      </c>
      <c r="M4967" t="s">
        <v>1243</v>
      </c>
      <c r="N4967" t="s">
        <v>2081</v>
      </c>
      <c r="O4967" t="s">
        <v>2082</v>
      </c>
      <c r="P4967">
        <v>-20.192271000000002</v>
      </c>
      <c r="Q4967">
        <v>-44.938338999999999</v>
      </c>
      <c r="R4967" s="2" t="str">
        <f>HYPERLINK("https://www.google.com/maps?q=-20.1922710,-44.9383390","Abrir no Google Maps")</f>
        <v>Abrir no Google Maps</v>
      </c>
      <c r="S4967">
        <v>3</v>
      </c>
      <c r="T4967">
        <v>0</v>
      </c>
      <c r="U4967">
        <v>3</v>
      </c>
      <c r="V4967">
        <v>0.1468253968253968</v>
      </c>
      <c r="W4967">
        <v>0.85</v>
      </c>
      <c r="X4967">
        <v>0.1248015873015873</v>
      </c>
      <c r="Y4967">
        <v>113</v>
      </c>
      <c r="Z4967">
        <v>189.74224055455261</v>
      </c>
      <c r="AA4967">
        <v>198</v>
      </c>
      <c r="AB4967">
        <v>332</v>
      </c>
      <c r="AC4967">
        <v>536</v>
      </c>
      <c r="AD4967">
        <v>32.42</v>
      </c>
      <c r="AE4967">
        <v>542</v>
      </c>
      <c r="AF4967">
        <v>39</v>
      </c>
      <c r="AG4967">
        <v>173</v>
      </c>
      <c r="AH4967">
        <v>129</v>
      </c>
      <c r="AI4967">
        <v>7.2</v>
      </c>
      <c r="AJ4967">
        <v>31.92</v>
      </c>
      <c r="AK4967">
        <v>23.8</v>
      </c>
      <c r="AL4967">
        <v>-20.19203359999997</v>
      </c>
      <c r="AM4967">
        <v>-44.938155258198137</v>
      </c>
      <c r="AN4967">
        <v>-20.192033599999981</v>
      </c>
      <c r="AO4967">
        <v>-44.938155258198137</v>
      </c>
      <c r="AP4967">
        <v>-20.192271000000002</v>
      </c>
      <c r="AQ4967">
        <v>-44.938338999999999</v>
      </c>
      <c r="AR4967">
        <v>32.663931097584417</v>
      </c>
      <c r="AS4967" t="s">
        <v>65</v>
      </c>
      <c r="AT4967">
        <v>1</v>
      </c>
      <c r="AU4967" t="s">
        <v>2083</v>
      </c>
      <c r="AV4967" t="s">
        <v>1849</v>
      </c>
      <c r="AW4967" t="s">
        <v>60</v>
      </c>
      <c r="AX4967" t="s">
        <v>68</v>
      </c>
      <c r="AY4967" t="s">
        <v>69</v>
      </c>
      <c r="AZ4967" t="b">
        <v>1</v>
      </c>
    </row>
    <row r="4968" spans="1:52" x14ac:dyDescent="0.3">
      <c r="A4968" t="s">
        <v>52</v>
      </c>
      <c r="B4968" t="s">
        <v>53</v>
      </c>
      <c r="C4968" t="s">
        <v>54</v>
      </c>
      <c r="D4968" t="s">
        <v>55</v>
      </c>
      <c r="E4968" t="s">
        <v>2224</v>
      </c>
      <c r="F4968" t="s">
        <v>190</v>
      </c>
      <c r="G4968" t="s">
        <v>1193</v>
      </c>
      <c r="H4968" t="s">
        <v>2274</v>
      </c>
      <c r="I4968" t="s">
        <v>2274</v>
      </c>
      <c r="J4968" t="s">
        <v>60</v>
      </c>
      <c r="K4968" t="s">
        <v>2275</v>
      </c>
      <c r="L4968" t="s">
        <v>62</v>
      </c>
      <c r="M4968" t="s">
        <v>2275</v>
      </c>
      <c r="N4968" t="s">
        <v>1561</v>
      </c>
      <c r="O4968" t="s">
        <v>315</v>
      </c>
      <c r="P4968">
        <v>-20.177581</v>
      </c>
      <c r="Q4968">
        <v>-44.944012999999998</v>
      </c>
      <c r="R4968" s="2" t="str">
        <f>HYPERLINK("https://www.google.com/maps?q=-20.1775810,-44.9440130","Abrir no Google Maps")</f>
        <v>Abrir no Google Maps</v>
      </c>
      <c r="S4968">
        <v>3</v>
      </c>
      <c r="T4968">
        <v>1675.061407808998</v>
      </c>
      <c r="U4968">
        <v>3</v>
      </c>
      <c r="V4968">
        <v>0.1354166666666666</v>
      </c>
      <c r="W4968">
        <v>0.85</v>
      </c>
      <c r="X4968">
        <v>0.1151041666666666</v>
      </c>
      <c r="Y4968">
        <v>113</v>
      </c>
      <c r="Z4968">
        <v>1720.95294554256</v>
      </c>
      <c r="AA4968">
        <v>198</v>
      </c>
      <c r="AB4968">
        <v>332</v>
      </c>
      <c r="AC4968">
        <v>536</v>
      </c>
      <c r="AD4968">
        <v>32.42</v>
      </c>
      <c r="AE4968">
        <v>542</v>
      </c>
      <c r="AF4968">
        <v>39</v>
      </c>
      <c r="AG4968">
        <v>173</v>
      </c>
      <c r="AH4968">
        <v>129</v>
      </c>
      <c r="AI4968">
        <v>7.2</v>
      </c>
      <c r="AJ4968">
        <v>31.92</v>
      </c>
      <c r="AK4968">
        <v>23.8</v>
      </c>
      <c r="AL4968">
        <v>-20.177110449999962</v>
      </c>
      <c r="AM4968">
        <v>-44.940838638991053</v>
      </c>
      <c r="AN4968">
        <v>-20.177110449999962</v>
      </c>
      <c r="AO4968">
        <v>-44.940838638991053</v>
      </c>
      <c r="AP4968">
        <v>-20.177581</v>
      </c>
      <c r="AQ4968">
        <v>-44.944012999999998</v>
      </c>
      <c r="AR4968">
        <v>335.79462087315159</v>
      </c>
      <c r="AS4968" t="s">
        <v>65</v>
      </c>
      <c r="AT4968">
        <v>1</v>
      </c>
      <c r="AU4968" t="s">
        <v>2276</v>
      </c>
      <c r="AV4968" t="s">
        <v>2277</v>
      </c>
      <c r="AW4968" t="s">
        <v>60</v>
      </c>
      <c r="AX4968" t="s">
        <v>68</v>
      </c>
      <c r="AY4968" t="s">
        <v>69</v>
      </c>
      <c r="AZ4968" t="b">
        <v>1</v>
      </c>
    </row>
    <row r="4969" spans="1:52" x14ac:dyDescent="0.3">
      <c r="A4969" t="s">
        <v>52</v>
      </c>
      <c r="B4969" t="s">
        <v>53</v>
      </c>
      <c r="C4969" t="s">
        <v>54</v>
      </c>
      <c r="D4969" t="s">
        <v>55</v>
      </c>
      <c r="E4969" t="s">
        <v>2224</v>
      </c>
      <c r="F4969" t="s">
        <v>190</v>
      </c>
      <c r="G4969" t="s">
        <v>2084</v>
      </c>
      <c r="H4969" t="s">
        <v>2085</v>
      </c>
      <c r="I4969" t="s">
        <v>2085</v>
      </c>
      <c r="J4969" t="s">
        <v>60</v>
      </c>
      <c r="K4969" t="s">
        <v>2048</v>
      </c>
      <c r="L4969" t="s">
        <v>62</v>
      </c>
      <c r="M4969" t="s">
        <v>2048</v>
      </c>
      <c r="N4969" t="s">
        <v>2086</v>
      </c>
      <c r="O4969" t="s">
        <v>315</v>
      </c>
      <c r="P4969">
        <v>-20.174719</v>
      </c>
      <c r="Q4969">
        <v>-44.966092000000003</v>
      </c>
      <c r="R4969" s="2" t="str">
        <f>HYPERLINK("https://www.google.com/maps?q=-20.1747190,-44.9660920","Abrir no Google Maps")</f>
        <v>Abrir no Google Maps</v>
      </c>
      <c r="S4969">
        <v>3</v>
      </c>
      <c r="T4969">
        <v>3390.3546378461851</v>
      </c>
      <c r="U4969">
        <v>3</v>
      </c>
      <c r="V4969">
        <v>0.13621794871794871</v>
      </c>
      <c r="W4969">
        <v>0.85</v>
      </c>
      <c r="X4969">
        <v>0.1157852564102564</v>
      </c>
      <c r="Y4969">
        <v>113</v>
      </c>
      <c r="Z4969">
        <v>3325.822614168892</v>
      </c>
      <c r="AA4969">
        <v>198</v>
      </c>
      <c r="AB4969">
        <v>332</v>
      </c>
      <c r="AC4969">
        <v>536</v>
      </c>
      <c r="AD4969">
        <v>32.42</v>
      </c>
      <c r="AE4969">
        <v>542</v>
      </c>
      <c r="AF4969">
        <v>39</v>
      </c>
      <c r="AG4969">
        <v>173</v>
      </c>
      <c r="AH4969">
        <v>129</v>
      </c>
      <c r="AI4969">
        <v>7.2</v>
      </c>
      <c r="AJ4969">
        <v>31.92</v>
      </c>
      <c r="AK4969">
        <v>23.8</v>
      </c>
      <c r="AL4969">
        <v>-20.175172949999929</v>
      </c>
      <c r="AM4969">
        <v>-44.965248074069883</v>
      </c>
      <c r="AN4969">
        <v>-20.175172949999929</v>
      </c>
      <c r="AO4969">
        <v>-44.965248074069869</v>
      </c>
      <c r="AP4969">
        <v>-20.174719</v>
      </c>
      <c r="AQ4969">
        <v>-44.966092000000003</v>
      </c>
      <c r="AR4969">
        <v>101.6348536939478</v>
      </c>
      <c r="AS4969" t="s">
        <v>65</v>
      </c>
      <c r="AT4969">
        <v>1</v>
      </c>
      <c r="AU4969" t="s">
        <v>2087</v>
      </c>
      <c r="AV4969" t="s">
        <v>2088</v>
      </c>
      <c r="AW4969" t="s">
        <v>60</v>
      </c>
      <c r="AX4969" t="s">
        <v>68</v>
      </c>
      <c r="AY4969" t="s">
        <v>69</v>
      </c>
      <c r="AZ4969" t="b">
        <v>1</v>
      </c>
    </row>
    <row r="4970" spans="1:52" x14ac:dyDescent="0.3">
      <c r="A4970" t="s">
        <v>52</v>
      </c>
      <c r="B4970" t="s">
        <v>53</v>
      </c>
      <c r="C4970" t="s">
        <v>54</v>
      </c>
      <c r="D4970" t="s">
        <v>55</v>
      </c>
      <c r="E4970" t="s">
        <v>2224</v>
      </c>
      <c r="F4970" t="s">
        <v>1247</v>
      </c>
      <c r="G4970" t="s">
        <v>1127</v>
      </c>
      <c r="H4970" t="s">
        <v>1270</v>
      </c>
      <c r="I4970" t="s">
        <v>1270</v>
      </c>
      <c r="J4970" t="s">
        <v>60</v>
      </c>
      <c r="K4970" t="s">
        <v>200</v>
      </c>
      <c r="L4970" t="s">
        <v>62</v>
      </c>
      <c r="M4970" t="s">
        <v>200</v>
      </c>
      <c r="N4970" t="s">
        <v>1271</v>
      </c>
      <c r="O4970" t="s">
        <v>315</v>
      </c>
      <c r="P4970">
        <v>-20.123483</v>
      </c>
      <c r="Q4970">
        <v>-44.904159</v>
      </c>
      <c r="R4970" s="2" t="str">
        <f>HYPERLINK("https://www.google.com/maps?q=-20.1234830,-44.9041590","Abrir no Google Maps")</f>
        <v>Abrir no Google Maps</v>
      </c>
      <c r="S4970">
        <v>4</v>
      </c>
      <c r="T4970">
        <v>1046.2792913459141</v>
      </c>
      <c r="U4970">
        <v>4</v>
      </c>
      <c r="V4970">
        <v>0.1875</v>
      </c>
      <c r="W4970">
        <v>0.85</v>
      </c>
      <c r="X4970">
        <v>0.15937499999999999</v>
      </c>
      <c r="Y4970">
        <v>567</v>
      </c>
      <c r="Z4970">
        <v>1072.1273144328541</v>
      </c>
      <c r="AA4970">
        <v>198</v>
      </c>
      <c r="AB4970">
        <v>332</v>
      </c>
      <c r="AC4970">
        <v>536</v>
      </c>
      <c r="AD4970">
        <v>32.42</v>
      </c>
      <c r="AE4970">
        <v>542</v>
      </c>
      <c r="AF4970">
        <v>39</v>
      </c>
      <c r="AG4970">
        <v>173</v>
      </c>
      <c r="AH4970">
        <v>129</v>
      </c>
      <c r="AI4970">
        <v>7.2</v>
      </c>
      <c r="AJ4970">
        <v>31.92</v>
      </c>
      <c r="AK4970">
        <v>23.8</v>
      </c>
      <c r="AL4970">
        <v>-20.12548399999994</v>
      </c>
      <c r="AM4970">
        <v>-44.903913990586467</v>
      </c>
      <c r="AN4970">
        <v>-20.12548399999994</v>
      </c>
      <c r="AO4970">
        <v>-44.903913990586467</v>
      </c>
      <c r="AP4970">
        <v>-20.123483</v>
      </c>
      <c r="AQ4970">
        <v>-44.904159</v>
      </c>
      <c r="AR4970">
        <v>224.218591682908</v>
      </c>
      <c r="AS4970" t="s">
        <v>65</v>
      </c>
      <c r="AT4970">
        <v>1</v>
      </c>
      <c r="AU4970" t="s">
        <v>1272</v>
      </c>
      <c r="AV4970" t="s">
        <v>1273</v>
      </c>
      <c r="AW4970" t="s">
        <v>60</v>
      </c>
      <c r="AX4970" t="s">
        <v>68</v>
      </c>
      <c r="AY4970" t="s">
        <v>69</v>
      </c>
      <c r="AZ4970" t="b">
        <v>1</v>
      </c>
    </row>
    <row r="4971" spans="1:52" x14ac:dyDescent="0.3">
      <c r="A4971" t="s">
        <v>52</v>
      </c>
      <c r="B4971" t="s">
        <v>53</v>
      </c>
      <c r="C4971" t="s">
        <v>54</v>
      </c>
      <c r="D4971" t="s">
        <v>55</v>
      </c>
      <c r="E4971" t="s">
        <v>2224</v>
      </c>
      <c r="F4971" t="s">
        <v>1247</v>
      </c>
      <c r="G4971" t="s">
        <v>1248</v>
      </c>
      <c r="H4971" t="s">
        <v>1249</v>
      </c>
      <c r="I4971" t="s">
        <v>1249</v>
      </c>
      <c r="J4971" t="s">
        <v>60</v>
      </c>
      <c r="K4971" t="s">
        <v>61</v>
      </c>
      <c r="L4971" t="s">
        <v>62</v>
      </c>
      <c r="M4971" t="s">
        <v>61</v>
      </c>
      <c r="N4971" t="s">
        <v>1250</v>
      </c>
      <c r="O4971" t="s">
        <v>202</v>
      </c>
      <c r="P4971">
        <v>-20.145337999999999</v>
      </c>
      <c r="Q4971">
        <v>-44.906260000000003</v>
      </c>
      <c r="R4971" s="2" t="str">
        <f>HYPERLINK("https://www.google.com/maps?q=-20.1453380,-44.9062600","Abrir no Google Maps")</f>
        <v>Abrir no Google Maps</v>
      </c>
      <c r="S4971">
        <v>4</v>
      </c>
      <c r="T4971">
        <v>231.8105263092443</v>
      </c>
      <c r="U4971">
        <v>3</v>
      </c>
      <c r="V4971">
        <v>0.1326530612244898</v>
      </c>
      <c r="W4971">
        <v>0.85</v>
      </c>
      <c r="X4971">
        <v>0.1127551020408163</v>
      </c>
      <c r="Y4971">
        <v>747</v>
      </c>
      <c r="Z4971">
        <v>210.09098260239841</v>
      </c>
      <c r="AA4971">
        <v>198</v>
      </c>
      <c r="AB4971">
        <v>332</v>
      </c>
      <c r="AC4971">
        <v>536</v>
      </c>
      <c r="AD4971">
        <v>32.42</v>
      </c>
      <c r="AE4971">
        <v>542</v>
      </c>
      <c r="AF4971">
        <v>39</v>
      </c>
      <c r="AG4971">
        <v>173</v>
      </c>
      <c r="AH4971">
        <v>129</v>
      </c>
      <c r="AI4971">
        <v>7.2</v>
      </c>
      <c r="AJ4971">
        <v>31.92</v>
      </c>
      <c r="AK4971">
        <v>23.8</v>
      </c>
      <c r="AL4971">
        <v>-20.14545934999995</v>
      </c>
      <c r="AM4971">
        <v>-44.906243174283489</v>
      </c>
      <c r="AN4971">
        <v>-20.14545934999995</v>
      </c>
      <c r="AO4971">
        <v>-44.906243174283489</v>
      </c>
      <c r="AP4971">
        <v>-20.145337999999999</v>
      </c>
      <c r="AQ4971">
        <v>-44.906260000000003</v>
      </c>
      <c r="AR4971">
        <v>13.622651392262521</v>
      </c>
      <c r="AS4971" t="s">
        <v>65</v>
      </c>
      <c r="AT4971">
        <v>1</v>
      </c>
      <c r="AU4971" t="s">
        <v>1251</v>
      </c>
      <c r="AV4971" t="s">
        <v>1252</v>
      </c>
      <c r="AW4971" t="s">
        <v>60</v>
      </c>
      <c r="AX4971" t="s">
        <v>68</v>
      </c>
      <c r="AY4971" t="s">
        <v>69</v>
      </c>
      <c r="AZ4971" t="b">
        <v>1</v>
      </c>
    </row>
    <row r="4972" spans="1:52" x14ac:dyDescent="0.3">
      <c r="A4972" t="s">
        <v>52</v>
      </c>
      <c r="B4972" t="s">
        <v>53</v>
      </c>
      <c r="C4972" t="s">
        <v>54</v>
      </c>
      <c r="D4972" t="s">
        <v>55</v>
      </c>
      <c r="E4972" t="s">
        <v>2224</v>
      </c>
      <c r="F4972" t="s">
        <v>1247</v>
      </c>
      <c r="G4972" t="s">
        <v>100</v>
      </c>
      <c r="H4972" t="s">
        <v>101</v>
      </c>
      <c r="I4972" t="s">
        <v>101</v>
      </c>
      <c r="J4972" t="s">
        <v>60</v>
      </c>
      <c r="K4972" t="s">
        <v>61</v>
      </c>
      <c r="L4972" t="s">
        <v>62</v>
      </c>
      <c r="M4972" t="s">
        <v>61</v>
      </c>
      <c r="N4972" t="s">
        <v>102</v>
      </c>
      <c r="O4972" t="s">
        <v>103</v>
      </c>
      <c r="P4972">
        <v>-20.151098999999999</v>
      </c>
      <c r="Q4972">
        <v>-44.909699000000003</v>
      </c>
      <c r="R4972" s="2" t="str">
        <f>HYPERLINK("https://www.google.com/maps?q=-20.1510990,-44.9096990","Abrir no Google Maps")</f>
        <v>Abrir no Google Maps</v>
      </c>
      <c r="S4972">
        <v>4</v>
      </c>
      <c r="T4972">
        <v>628.5023128813533</v>
      </c>
      <c r="U4972">
        <v>3</v>
      </c>
      <c r="V4972">
        <v>0.12109375</v>
      </c>
      <c r="W4972">
        <v>1</v>
      </c>
      <c r="X4972">
        <v>0.12109375</v>
      </c>
      <c r="Y4972">
        <v>747</v>
      </c>
      <c r="Z4972">
        <v>563.16456625265948</v>
      </c>
      <c r="AA4972">
        <v>198</v>
      </c>
      <c r="AB4972">
        <v>332</v>
      </c>
      <c r="AC4972">
        <v>536</v>
      </c>
      <c r="AD4972">
        <v>32.42</v>
      </c>
      <c r="AE4972">
        <v>542</v>
      </c>
      <c r="AF4972">
        <v>39</v>
      </c>
      <c r="AG4972">
        <v>173</v>
      </c>
      <c r="AH4972">
        <v>129</v>
      </c>
      <c r="AI4972">
        <v>7.2</v>
      </c>
      <c r="AJ4972">
        <v>31.92</v>
      </c>
      <c r="AK4972">
        <v>23.8</v>
      </c>
      <c r="AL4972">
        <v>-20.151307349999971</v>
      </c>
      <c r="AM4972">
        <v>-44.909772836123523</v>
      </c>
      <c r="AN4972">
        <v>-20.151307349999971</v>
      </c>
      <c r="AO4972">
        <v>-44.909772836123523</v>
      </c>
      <c r="AP4972">
        <v>-20.151098999999999</v>
      </c>
      <c r="AQ4972">
        <v>-44.909699000000003</v>
      </c>
      <c r="AR4972">
        <v>24.443417349564811</v>
      </c>
      <c r="AS4972" t="s">
        <v>65</v>
      </c>
      <c r="AT4972">
        <v>1</v>
      </c>
      <c r="AU4972" t="s">
        <v>104</v>
      </c>
      <c r="AV4972" t="s">
        <v>105</v>
      </c>
      <c r="AW4972" t="s">
        <v>60</v>
      </c>
      <c r="AX4972" t="s">
        <v>68</v>
      </c>
      <c r="AY4972" t="s">
        <v>69</v>
      </c>
      <c r="AZ4972" t="b">
        <v>1</v>
      </c>
    </row>
    <row r="4973" spans="1:52" x14ac:dyDescent="0.3">
      <c r="A4973" t="s">
        <v>52</v>
      </c>
      <c r="B4973" t="s">
        <v>53</v>
      </c>
      <c r="C4973" t="s">
        <v>54</v>
      </c>
      <c r="D4973" t="s">
        <v>55</v>
      </c>
      <c r="E4973" t="s">
        <v>2224</v>
      </c>
      <c r="F4973" t="s">
        <v>1247</v>
      </c>
      <c r="G4973" t="s">
        <v>191</v>
      </c>
      <c r="H4973" t="s">
        <v>192</v>
      </c>
      <c r="I4973" t="s">
        <v>192</v>
      </c>
      <c r="J4973" t="s">
        <v>60</v>
      </c>
      <c r="K4973" t="s">
        <v>193</v>
      </c>
      <c r="L4973" t="s">
        <v>62</v>
      </c>
      <c r="M4973" t="s">
        <v>193</v>
      </c>
      <c r="N4973" t="s">
        <v>194</v>
      </c>
      <c r="O4973" t="s">
        <v>195</v>
      </c>
      <c r="P4973">
        <v>-20.143266000000001</v>
      </c>
      <c r="Q4973">
        <v>-44.912075000000002</v>
      </c>
      <c r="R4973" s="2" t="str">
        <f>HYPERLINK("https://www.google.com/maps?q=-20.1432660,-44.9120750","Abrir no Google Maps")</f>
        <v>Abrir no Google Maps</v>
      </c>
      <c r="S4973">
        <v>4</v>
      </c>
      <c r="T4973">
        <v>467.04339396175408</v>
      </c>
      <c r="U4973">
        <v>2</v>
      </c>
      <c r="V4973">
        <v>0.10847107438016521</v>
      </c>
      <c r="W4973">
        <v>1</v>
      </c>
      <c r="X4973">
        <v>0.10847107438016521</v>
      </c>
      <c r="Y4973">
        <v>747</v>
      </c>
      <c r="Z4973">
        <v>585.1742452866996</v>
      </c>
      <c r="AA4973">
        <v>198</v>
      </c>
      <c r="AB4973">
        <v>332</v>
      </c>
      <c r="AC4973">
        <v>536</v>
      </c>
      <c r="AD4973">
        <v>32.42</v>
      </c>
      <c r="AE4973">
        <v>542</v>
      </c>
      <c r="AF4973">
        <v>39</v>
      </c>
      <c r="AG4973">
        <v>173</v>
      </c>
      <c r="AH4973">
        <v>129</v>
      </c>
      <c r="AI4973">
        <v>7.2</v>
      </c>
      <c r="AJ4973">
        <v>31.92</v>
      </c>
      <c r="AK4973">
        <v>23.8</v>
      </c>
      <c r="AL4973">
        <v>-20.143307949999951</v>
      </c>
      <c r="AM4973">
        <v>-44.912066629431067</v>
      </c>
      <c r="AN4973">
        <v>-20.143307949999951</v>
      </c>
      <c r="AO4973">
        <v>-44.912066629431067</v>
      </c>
      <c r="AP4973">
        <v>-20.143266000000001</v>
      </c>
      <c r="AQ4973">
        <v>-44.912075000000002</v>
      </c>
      <c r="AR4973">
        <v>4.751108024498329</v>
      </c>
      <c r="AS4973" t="s">
        <v>65</v>
      </c>
      <c r="AT4973">
        <v>1</v>
      </c>
      <c r="AU4973" t="s">
        <v>196</v>
      </c>
      <c r="AV4973" t="s">
        <v>197</v>
      </c>
      <c r="AW4973" t="s">
        <v>60</v>
      </c>
      <c r="AX4973" t="s">
        <v>68</v>
      </c>
      <c r="AY4973" t="s">
        <v>69</v>
      </c>
      <c r="AZ4973" t="b">
        <v>1</v>
      </c>
    </row>
    <row r="4974" spans="1:52" x14ac:dyDescent="0.3">
      <c r="A4974" t="s">
        <v>52</v>
      </c>
      <c r="B4974" t="s">
        <v>53</v>
      </c>
      <c r="C4974" t="s">
        <v>54</v>
      </c>
      <c r="D4974" t="s">
        <v>55</v>
      </c>
      <c r="E4974" t="s">
        <v>2224</v>
      </c>
      <c r="F4974" t="s">
        <v>1247</v>
      </c>
      <c r="G4974" t="s">
        <v>70</v>
      </c>
      <c r="H4974" t="s">
        <v>71</v>
      </c>
      <c r="I4974" t="s">
        <v>71</v>
      </c>
      <c r="J4974" t="s">
        <v>60</v>
      </c>
      <c r="K4974" t="s">
        <v>72</v>
      </c>
      <c r="L4974" t="s">
        <v>62</v>
      </c>
      <c r="M4974" t="s">
        <v>72</v>
      </c>
      <c r="N4974" t="s">
        <v>73</v>
      </c>
      <c r="O4974" t="s">
        <v>74</v>
      </c>
      <c r="P4974">
        <v>-20.149349000000001</v>
      </c>
      <c r="Q4974">
        <v>-44.910784</v>
      </c>
      <c r="R4974" s="2" t="str">
        <f>HYPERLINK("https://www.google.com/maps?q=-20.1493490,-44.9107840","Abrir no Google Maps")</f>
        <v>Abrir no Google Maps</v>
      </c>
      <c r="S4974">
        <v>4</v>
      </c>
      <c r="T4974">
        <v>472.43876549769578</v>
      </c>
      <c r="U4974">
        <v>2</v>
      </c>
      <c r="V4974">
        <v>9.7383720930232495E-2</v>
      </c>
      <c r="W4974">
        <v>1</v>
      </c>
      <c r="X4974">
        <v>9.7383720930232495E-2</v>
      </c>
      <c r="Y4974">
        <v>747</v>
      </c>
      <c r="Z4974">
        <v>441.03921887407779</v>
      </c>
      <c r="AA4974">
        <v>198</v>
      </c>
      <c r="AB4974">
        <v>332</v>
      </c>
      <c r="AC4974">
        <v>536</v>
      </c>
      <c r="AD4974">
        <v>32.42</v>
      </c>
      <c r="AE4974">
        <v>542</v>
      </c>
      <c r="AF4974">
        <v>39</v>
      </c>
      <c r="AG4974">
        <v>173</v>
      </c>
      <c r="AH4974">
        <v>129</v>
      </c>
      <c r="AI4974">
        <v>7.2</v>
      </c>
      <c r="AJ4974">
        <v>31.92</v>
      </c>
      <c r="AK4974">
        <v>23.8</v>
      </c>
      <c r="AL4974">
        <v>-20.149403999999951</v>
      </c>
      <c r="AM4974">
        <v>-44.91080895147438</v>
      </c>
      <c r="AN4974">
        <v>-20.149403999999951</v>
      </c>
      <c r="AO4974">
        <v>-44.91080895147438</v>
      </c>
      <c r="AP4974">
        <v>-20.149349000000001</v>
      </c>
      <c r="AQ4974">
        <v>-44.910784</v>
      </c>
      <c r="AR4974">
        <v>6.6547592699416382</v>
      </c>
      <c r="AS4974" t="s">
        <v>65</v>
      </c>
      <c r="AT4974">
        <v>1</v>
      </c>
      <c r="AU4974" t="s">
        <v>75</v>
      </c>
      <c r="AV4974" t="s">
        <v>76</v>
      </c>
      <c r="AW4974" t="s">
        <v>60</v>
      </c>
      <c r="AX4974" t="s">
        <v>68</v>
      </c>
      <c r="AY4974" t="s">
        <v>69</v>
      </c>
      <c r="AZ4974" t="b">
        <v>1</v>
      </c>
    </row>
    <row r="4975" spans="1:52" x14ac:dyDescent="0.3">
      <c r="A4975" t="s">
        <v>52</v>
      </c>
      <c r="B4975" t="s">
        <v>53</v>
      </c>
      <c r="C4975" t="s">
        <v>54</v>
      </c>
      <c r="D4975" t="s">
        <v>55</v>
      </c>
      <c r="E4975" t="s">
        <v>2224</v>
      </c>
      <c r="F4975" t="s">
        <v>1247</v>
      </c>
      <c r="G4975" t="s">
        <v>77</v>
      </c>
      <c r="H4975" t="s">
        <v>78</v>
      </c>
      <c r="I4975" t="s">
        <v>78</v>
      </c>
      <c r="J4975" t="s">
        <v>60</v>
      </c>
      <c r="K4975" t="s">
        <v>72</v>
      </c>
      <c r="L4975" t="s">
        <v>62</v>
      </c>
      <c r="M4975" t="s">
        <v>72</v>
      </c>
      <c r="N4975" t="s">
        <v>79</v>
      </c>
      <c r="O4975" t="s">
        <v>80</v>
      </c>
      <c r="P4975">
        <v>-20.147821</v>
      </c>
      <c r="Q4975">
        <v>-44.908887</v>
      </c>
      <c r="R4975" s="2" t="str">
        <f>HYPERLINK("https://www.google.com/maps?q=-20.1478210,-44.9088870","Abrir no Google Maps")</f>
        <v>Abrir no Google Maps</v>
      </c>
      <c r="S4975">
        <v>4</v>
      </c>
      <c r="T4975">
        <v>232.2893841532152</v>
      </c>
      <c r="U4975">
        <v>2</v>
      </c>
      <c r="V4975">
        <v>8.9595375722543294E-2</v>
      </c>
      <c r="W4975">
        <v>1</v>
      </c>
      <c r="X4975">
        <v>8.9595375722543294E-2</v>
      </c>
      <c r="Y4975">
        <v>747</v>
      </c>
      <c r="Z4975">
        <v>195.3668648953757</v>
      </c>
      <c r="AA4975">
        <v>198</v>
      </c>
      <c r="AB4975">
        <v>332</v>
      </c>
      <c r="AC4975">
        <v>536</v>
      </c>
      <c r="AD4975">
        <v>32.42</v>
      </c>
      <c r="AE4975">
        <v>542</v>
      </c>
      <c r="AF4975">
        <v>39</v>
      </c>
      <c r="AG4975">
        <v>173</v>
      </c>
      <c r="AH4975">
        <v>129</v>
      </c>
      <c r="AI4975">
        <v>7.2</v>
      </c>
      <c r="AJ4975">
        <v>31.92</v>
      </c>
      <c r="AK4975">
        <v>23.8</v>
      </c>
      <c r="AL4975">
        <v>-20.147802849999952</v>
      </c>
      <c r="AM4975">
        <v>-44.908989919229477</v>
      </c>
      <c r="AN4975">
        <v>-20.147802849999952</v>
      </c>
      <c r="AO4975">
        <v>-44.908989919229491</v>
      </c>
      <c r="AP4975">
        <v>-20.147821</v>
      </c>
      <c r="AQ4975">
        <v>-44.908887</v>
      </c>
      <c r="AR4975">
        <v>10.944007761262529</v>
      </c>
      <c r="AS4975" t="s">
        <v>65</v>
      </c>
      <c r="AT4975">
        <v>1</v>
      </c>
      <c r="AU4975" t="s">
        <v>81</v>
      </c>
      <c r="AV4975" t="s">
        <v>82</v>
      </c>
      <c r="AW4975" t="s">
        <v>60</v>
      </c>
      <c r="AX4975" t="s">
        <v>68</v>
      </c>
      <c r="AY4975" t="s">
        <v>69</v>
      </c>
      <c r="AZ4975" t="b">
        <v>1</v>
      </c>
    </row>
    <row r="4976" spans="1:52" x14ac:dyDescent="0.3">
      <c r="A4976" t="s">
        <v>52</v>
      </c>
      <c r="B4976" t="s">
        <v>53</v>
      </c>
      <c r="C4976" t="s">
        <v>54</v>
      </c>
      <c r="D4976" t="s">
        <v>55</v>
      </c>
      <c r="E4976" t="s">
        <v>2224</v>
      </c>
      <c r="F4976" t="s">
        <v>1247</v>
      </c>
      <c r="G4976" t="s">
        <v>89</v>
      </c>
      <c r="H4976" t="s">
        <v>90</v>
      </c>
      <c r="I4976" t="s">
        <v>90</v>
      </c>
      <c r="J4976" t="s">
        <v>60</v>
      </c>
      <c r="K4976" t="s">
        <v>72</v>
      </c>
      <c r="L4976" t="s">
        <v>62</v>
      </c>
      <c r="M4976" t="s">
        <v>72</v>
      </c>
      <c r="N4976" t="s">
        <v>91</v>
      </c>
      <c r="O4976" t="s">
        <v>92</v>
      </c>
      <c r="P4976">
        <v>-20.145848999999998</v>
      </c>
      <c r="Q4976">
        <v>-44.908419000000002</v>
      </c>
      <c r="R4976" s="2" t="str">
        <f>HYPERLINK("https://www.google.com/maps?q=-20.1458490,-44.9084190","Abrir no Google Maps")</f>
        <v>Abrir no Google Maps</v>
      </c>
      <c r="S4976">
        <v>4</v>
      </c>
      <c r="T4976">
        <v>0</v>
      </c>
      <c r="U4976">
        <v>2</v>
      </c>
      <c r="V4976">
        <v>0.1005434782608695</v>
      </c>
      <c r="W4976">
        <v>1</v>
      </c>
      <c r="X4976">
        <v>0.1005434782608695</v>
      </c>
      <c r="Y4976">
        <v>747</v>
      </c>
      <c r="Z4976">
        <v>136.08168502765241</v>
      </c>
      <c r="AA4976">
        <v>198</v>
      </c>
      <c r="AB4976">
        <v>332</v>
      </c>
      <c r="AC4976">
        <v>536</v>
      </c>
      <c r="AD4976">
        <v>32.42</v>
      </c>
      <c r="AE4976">
        <v>542</v>
      </c>
      <c r="AF4976">
        <v>39</v>
      </c>
      <c r="AG4976">
        <v>173</v>
      </c>
      <c r="AH4976">
        <v>129</v>
      </c>
      <c r="AI4976">
        <v>7.2</v>
      </c>
      <c r="AJ4976">
        <v>31.92</v>
      </c>
      <c r="AK4976">
        <v>23.8</v>
      </c>
      <c r="AL4976">
        <v>-20.14576979999995</v>
      </c>
      <c r="AM4976">
        <v>-44.908436775053183</v>
      </c>
      <c r="AN4976">
        <v>-20.14576979999995</v>
      </c>
      <c r="AO4976">
        <v>-44.908436775053183</v>
      </c>
      <c r="AP4976">
        <v>-20.145848999999998</v>
      </c>
      <c r="AQ4976">
        <v>-44.908419000000002</v>
      </c>
      <c r="AR4976">
        <v>9.0101247482327356</v>
      </c>
      <c r="AS4976" t="s">
        <v>65</v>
      </c>
      <c r="AT4976">
        <v>1</v>
      </c>
      <c r="AU4976" t="s">
        <v>93</v>
      </c>
      <c r="AV4976" t="s">
        <v>94</v>
      </c>
      <c r="AW4976" t="s">
        <v>60</v>
      </c>
      <c r="AX4976" t="s">
        <v>68</v>
      </c>
      <c r="AY4976" t="s">
        <v>69</v>
      </c>
      <c r="AZ4976" t="b">
        <v>1</v>
      </c>
    </row>
    <row r="4977" spans="1:52" x14ac:dyDescent="0.3">
      <c r="A4977" t="s">
        <v>52</v>
      </c>
      <c r="B4977" t="s">
        <v>53</v>
      </c>
      <c r="C4977" t="s">
        <v>54</v>
      </c>
      <c r="D4977" t="s">
        <v>55</v>
      </c>
      <c r="E4977" t="s">
        <v>2224</v>
      </c>
      <c r="F4977" t="s">
        <v>1247</v>
      </c>
      <c r="G4977" t="s">
        <v>95</v>
      </c>
      <c r="H4977" t="s">
        <v>96</v>
      </c>
      <c r="I4977" t="s">
        <v>96</v>
      </c>
      <c r="J4977" t="s">
        <v>60</v>
      </c>
      <c r="K4977" t="s">
        <v>72</v>
      </c>
      <c r="L4977" t="s">
        <v>62</v>
      </c>
      <c r="M4977" t="s">
        <v>72</v>
      </c>
      <c r="N4977" t="s">
        <v>97</v>
      </c>
      <c r="O4977" t="s">
        <v>98</v>
      </c>
      <c r="P4977">
        <v>-20.144062999999999</v>
      </c>
      <c r="Q4977">
        <v>-44.909627999999998</v>
      </c>
      <c r="R4977" s="2" t="str">
        <f>HYPERLINK("https://www.google.com/maps?q=-20.1440630,-44.9096280","Abrir no Google Maps")</f>
        <v>Abrir no Google Maps</v>
      </c>
      <c r="S4977">
        <v>4</v>
      </c>
      <c r="T4977">
        <v>205.27083326529291</v>
      </c>
      <c r="U4977">
        <v>2</v>
      </c>
      <c r="V4977">
        <v>9.5588235294117599E-2</v>
      </c>
      <c r="W4977">
        <v>1</v>
      </c>
      <c r="X4977">
        <v>9.5588235294117599E-2</v>
      </c>
      <c r="Y4977">
        <v>747</v>
      </c>
      <c r="Z4977">
        <v>336.75785483480968</v>
      </c>
      <c r="AA4977">
        <v>198</v>
      </c>
      <c r="AB4977">
        <v>332</v>
      </c>
      <c r="AC4977">
        <v>536</v>
      </c>
      <c r="AD4977">
        <v>32.42</v>
      </c>
      <c r="AE4977">
        <v>542</v>
      </c>
      <c r="AF4977">
        <v>39</v>
      </c>
      <c r="AG4977">
        <v>173</v>
      </c>
      <c r="AH4977">
        <v>129</v>
      </c>
      <c r="AI4977">
        <v>7.2</v>
      </c>
      <c r="AJ4977">
        <v>31.92</v>
      </c>
      <c r="AK4977">
        <v>23.8</v>
      </c>
      <c r="AL4977">
        <v>-20.144164099999951</v>
      </c>
      <c r="AM4977">
        <v>-44.909420167767642</v>
      </c>
      <c r="AN4977">
        <v>-20.144164099999951</v>
      </c>
      <c r="AO4977">
        <v>-44.909420167767642</v>
      </c>
      <c r="AP4977">
        <v>-20.144062999999999</v>
      </c>
      <c r="AQ4977">
        <v>-44.909627999999998</v>
      </c>
      <c r="AR4977">
        <v>24.46321571724976</v>
      </c>
      <c r="AS4977" t="s">
        <v>65</v>
      </c>
      <c r="AT4977">
        <v>1</v>
      </c>
      <c r="AU4977" t="s">
        <v>99</v>
      </c>
      <c r="AV4977" t="s">
        <v>94</v>
      </c>
      <c r="AW4977" t="s">
        <v>60</v>
      </c>
      <c r="AX4977" t="s">
        <v>68</v>
      </c>
      <c r="AY4977" t="s">
        <v>69</v>
      </c>
      <c r="AZ4977" t="b">
        <v>1</v>
      </c>
    </row>
    <row r="4978" spans="1:52" x14ac:dyDescent="0.3">
      <c r="A4978" t="s">
        <v>52</v>
      </c>
      <c r="B4978" t="s">
        <v>53</v>
      </c>
      <c r="C4978" t="s">
        <v>54</v>
      </c>
      <c r="D4978" t="s">
        <v>55</v>
      </c>
      <c r="E4978" t="s">
        <v>2224</v>
      </c>
      <c r="F4978" t="s">
        <v>1247</v>
      </c>
      <c r="G4978" t="s">
        <v>1258</v>
      </c>
      <c r="H4978" t="s">
        <v>1259</v>
      </c>
      <c r="I4978" t="s">
        <v>1259</v>
      </c>
      <c r="J4978" t="s">
        <v>60</v>
      </c>
      <c r="K4978" t="s">
        <v>905</v>
      </c>
      <c r="L4978" t="s">
        <v>62</v>
      </c>
      <c r="M4978" t="s">
        <v>905</v>
      </c>
      <c r="N4978" t="s">
        <v>1260</v>
      </c>
      <c r="O4978" t="s">
        <v>628</v>
      </c>
      <c r="P4978">
        <v>-20.113569999999999</v>
      </c>
      <c r="Q4978">
        <v>-44.897216</v>
      </c>
      <c r="R4978" s="2" t="str">
        <f>HYPERLINK("https://www.google.com/maps?q=-20.1135700,-44.8972160","Abrir no Google Maps")</f>
        <v>Abrir no Google Maps</v>
      </c>
      <c r="S4978">
        <v>4</v>
      </c>
      <c r="T4978">
        <v>418.54368277643368</v>
      </c>
      <c r="U4978">
        <v>2</v>
      </c>
      <c r="V4978">
        <v>0.1160130718954248</v>
      </c>
      <c r="W4978">
        <v>0.85</v>
      </c>
      <c r="X4978">
        <v>9.861111111111108E-2</v>
      </c>
      <c r="Y4978">
        <v>567</v>
      </c>
      <c r="Z4978">
        <v>315.02989622191018</v>
      </c>
      <c r="AA4978">
        <v>198</v>
      </c>
      <c r="AB4978">
        <v>332</v>
      </c>
      <c r="AC4978">
        <v>536</v>
      </c>
      <c r="AD4978">
        <v>32.42</v>
      </c>
      <c r="AE4978">
        <v>542</v>
      </c>
      <c r="AF4978">
        <v>39</v>
      </c>
      <c r="AG4978">
        <v>173</v>
      </c>
      <c r="AH4978">
        <v>129</v>
      </c>
      <c r="AI4978">
        <v>7.2</v>
      </c>
      <c r="AJ4978">
        <v>31.92</v>
      </c>
      <c r="AK4978">
        <v>23.8</v>
      </c>
      <c r="AL4978">
        <v>-20.113750149999959</v>
      </c>
      <c r="AM4978">
        <v>-44.897427949999937</v>
      </c>
      <c r="AN4978">
        <v>-20.113750149999959</v>
      </c>
      <c r="AO4978">
        <v>-44.897427949999937</v>
      </c>
      <c r="AP4978">
        <v>-20.113569999999999</v>
      </c>
      <c r="AQ4978">
        <v>-44.897216</v>
      </c>
      <c r="AR4978">
        <v>29.883644534822711</v>
      </c>
      <c r="AS4978" t="s">
        <v>65</v>
      </c>
      <c r="AT4978">
        <v>1</v>
      </c>
      <c r="AU4978" t="s">
        <v>1261</v>
      </c>
      <c r="AV4978" t="s">
        <v>1262</v>
      </c>
      <c r="AW4978" t="s">
        <v>60</v>
      </c>
      <c r="AX4978" t="s">
        <v>68</v>
      </c>
      <c r="AY4978" t="s">
        <v>69</v>
      </c>
      <c r="AZ4978" t="b">
        <v>1</v>
      </c>
    </row>
    <row r="4979" spans="1:52" x14ac:dyDescent="0.3">
      <c r="A4979" t="s">
        <v>52</v>
      </c>
      <c r="B4979" t="s">
        <v>53</v>
      </c>
      <c r="C4979" t="s">
        <v>54</v>
      </c>
      <c r="D4979" t="s">
        <v>55</v>
      </c>
      <c r="E4979" t="s">
        <v>2224</v>
      </c>
      <c r="F4979" t="s">
        <v>1247</v>
      </c>
      <c r="G4979" t="s">
        <v>58</v>
      </c>
      <c r="H4979" t="s">
        <v>59</v>
      </c>
      <c r="I4979" t="s">
        <v>59</v>
      </c>
      <c r="J4979" t="s">
        <v>60</v>
      </c>
      <c r="K4979" t="s">
        <v>61</v>
      </c>
      <c r="L4979" t="s">
        <v>62</v>
      </c>
      <c r="M4979" t="s">
        <v>61</v>
      </c>
      <c r="N4979" t="s">
        <v>63</v>
      </c>
      <c r="O4979" t="s">
        <v>64</v>
      </c>
      <c r="P4979">
        <v>-20.147940999999999</v>
      </c>
      <c r="Q4979">
        <v>-44.906514000000001</v>
      </c>
      <c r="R4979" s="2" t="str">
        <f>HYPERLINK("https://www.google.com/maps?q=-20.1479410,-44.9065140","Abrir no Google Maps")</f>
        <v>Abrir no Google Maps</v>
      </c>
      <c r="S4979">
        <v>4</v>
      </c>
      <c r="T4979">
        <v>308.67004994113421</v>
      </c>
      <c r="U4979">
        <v>1</v>
      </c>
      <c r="V4979">
        <v>8.2364341085271298E-2</v>
      </c>
      <c r="W4979">
        <v>1</v>
      </c>
      <c r="X4979">
        <v>8.2364341085271298E-2</v>
      </c>
      <c r="Y4979">
        <v>747</v>
      </c>
      <c r="Z4979">
        <v>274.71440454502522</v>
      </c>
      <c r="AA4979">
        <v>198</v>
      </c>
      <c r="AB4979">
        <v>332</v>
      </c>
      <c r="AC4979">
        <v>536</v>
      </c>
      <c r="AD4979">
        <v>32.42</v>
      </c>
      <c r="AE4979">
        <v>542</v>
      </c>
      <c r="AF4979">
        <v>39</v>
      </c>
      <c r="AG4979">
        <v>173</v>
      </c>
      <c r="AH4979">
        <v>129</v>
      </c>
      <c r="AI4979">
        <v>7.2</v>
      </c>
      <c r="AJ4979">
        <v>31.92</v>
      </c>
      <c r="AK4979">
        <v>23.8</v>
      </c>
      <c r="AL4979">
        <v>-20.147947799999969</v>
      </c>
      <c r="AM4979">
        <v>-44.906591596129203</v>
      </c>
      <c r="AN4979">
        <v>-20.147947799999969</v>
      </c>
      <c r="AO4979">
        <v>-44.906591596129203</v>
      </c>
      <c r="AP4979">
        <v>-20.147940999999999</v>
      </c>
      <c r="AQ4979">
        <v>-44.906514000000001</v>
      </c>
      <c r="AR4979">
        <v>8.1446636170570326</v>
      </c>
      <c r="AS4979" t="s">
        <v>65</v>
      </c>
      <c r="AT4979">
        <v>1</v>
      </c>
      <c r="AU4979" t="s">
        <v>66</v>
      </c>
      <c r="AV4979" t="s">
        <v>67</v>
      </c>
      <c r="AW4979" t="s">
        <v>60</v>
      </c>
      <c r="AX4979" t="s">
        <v>68</v>
      </c>
      <c r="AY4979" t="s">
        <v>69</v>
      </c>
      <c r="AZ4979" t="b">
        <v>1</v>
      </c>
    </row>
    <row r="4980" spans="1:52" x14ac:dyDescent="0.3">
      <c r="A4980" t="s">
        <v>52</v>
      </c>
      <c r="B4980" t="s">
        <v>53</v>
      </c>
      <c r="C4980" t="s">
        <v>54</v>
      </c>
      <c r="D4980" t="s">
        <v>55</v>
      </c>
      <c r="E4980" t="s">
        <v>2224</v>
      </c>
      <c r="F4980" t="s">
        <v>1247</v>
      </c>
      <c r="G4980" t="s">
        <v>83</v>
      </c>
      <c r="H4980" t="s">
        <v>1253</v>
      </c>
      <c r="I4980" t="s">
        <v>1253</v>
      </c>
      <c r="J4980" t="s">
        <v>60</v>
      </c>
      <c r="K4980" t="s">
        <v>72</v>
      </c>
      <c r="L4980" t="s">
        <v>62</v>
      </c>
      <c r="M4980" t="s">
        <v>72</v>
      </c>
      <c r="N4980" t="s">
        <v>1254</v>
      </c>
      <c r="O4980" t="s">
        <v>1255</v>
      </c>
      <c r="P4980">
        <v>-20.147164</v>
      </c>
      <c r="Q4980">
        <v>-44.905259000000001</v>
      </c>
      <c r="R4980" s="2" t="str">
        <f>HYPERLINK("https://www.google.com/maps?q=-20.1471640,-44.9052590","Abrir no Google Maps")</f>
        <v>Abrir no Google Maps</v>
      </c>
      <c r="S4980">
        <v>4</v>
      </c>
      <c r="T4980">
        <v>364.08569180502712</v>
      </c>
      <c r="U4980">
        <v>1</v>
      </c>
      <c r="V4980">
        <v>8.4782608695652101E-2</v>
      </c>
      <c r="W4980">
        <v>0.85</v>
      </c>
      <c r="X4980">
        <v>7.2065217391304282E-2</v>
      </c>
      <c r="Y4980">
        <v>747</v>
      </c>
      <c r="Z4980">
        <v>309.89238988435022</v>
      </c>
      <c r="AA4980">
        <v>198</v>
      </c>
      <c r="AB4980">
        <v>332</v>
      </c>
      <c r="AC4980">
        <v>536</v>
      </c>
      <c r="AD4980">
        <v>32.42</v>
      </c>
      <c r="AE4980">
        <v>542</v>
      </c>
      <c r="AF4980">
        <v>39</v>
      </c>
      <c r="AG4980">
        <v>173</v>
      </c>
      <c r="AH4980">
        <v>129</v>
      </c>
      <c r="AI4980">
        <v>7.2</v>
      </c>
      <c r="AJ4980">
        <v>31.92</v>
      </c>
      <c r="AK4980">
        <v>23.8</v>
      </c>
      <c r="AL4980">
        <v>-20.14718674999995</v>
      </c>
      <c r="AM4980">
        <v>-44.905292621565764</v>
      </c>
      <c r="AN4980">
        <v>-20.147186749999939</v>
      </c>
      <c r="AO4980">
        <v>-44.905292621565764</v>
      </c>
      <c r="AP4980">
        <v>-20.147164</v>
      </c>
      <c r="AQ4980">
        <v>-44.905259000000001</v>
      </c>
      <c r="AR4980">
        <v>4.3312880650984971</v>
      </c>
      <c r="AS4980" t="s">
        <v>65</v>
      </c>
      <c r="AT4980">
        <v>1</v>
      </c>
      <c r="AU4980" t="s">
        <v>1256</v>
      </c>
      <c r="AV4980" t="s">
        <v>1257</v>
      </c>
      <c r="AW4980" t="s">
        <v>60</v>
      </c>
      <c r="AX4980" t="s">
        <v>68</v>
      </c>
      <c r="AY4980" t="s">
        <v>69</v>
      </c>
      <c r="AZ4980" t="b">
        <v>1</v>
      </c>
    </row>
    <row r="4981" spans="1:52" x14ac:dyDescent="0.3">
      <c r="A4981" t="s">
        <v>52</v>
      </c>
      <c r="B4981" t="s">
        <v>53</v>
      </c>
      <c r="C4981" t="s">
        <v>54</v>
      </c>
      <c r="D4981" t="s">
        <v>55</v>
      </c>
      <c r="E4981" t="s">
        <v>2224</v>
      </c>
      <c r="F4981" t="s">
        <v>1247</v>
      </c>
      <c r="G4981" t="s">
        <v>83</v>
      </c>
      <c r="H4981" t="s">
        <v>84</v>
      </c>
      <c r="I4981" t="s">
        <v>84</v>
      </c>
      <c r="J4981" t="s">
        <v>60</v>
      </c>
      <c r="K4981" t="s">
        <v>61</v>
      </c>
      <c r="L4981" t="s">
        <v>62</v>
      </c>
      <c r="M4981" t="s">
        <v>61</v>
      </c>
      <c r="N4981" t="s">
        <v>85</v>
      </c>
      <c r="O4981" t="s">
        <v>86</v>
      </c>
      <c r="P4981">
        <v>-20.149799000000002</v>
      </c>
      <c r="Q4981">
        <v>-44.906517000000001</v>
      </c>
      <c r="R4981" s="2" t="str">
        <f>HYPERLINK("https://www.google.com/maps?q=-20.1497990,-44.9065170","Abrir no Google Maps")</f>
        <v>Abrir no Google Maps</v>
      </c>
      <c r="S4981">
        <v>4</v>
      </c>
      <c r="T4981">
        <v>487.90051105537998</v>
      </c>
      <c r="U4981">
        <v>1</v>
      </c>
      <c r="V4981">
        <v>7.9881656804733706E-2</v>
      </c>
      <c r="W4981">
        <v>1</v>
      </c>
      <c r="X4981">
        <v>7.9881656804733706E-2</v>
      </c>
      <c r="Y4981">
        <v>747</v>
      </c>
      <c r="Z4981">
        <v>365.93785960107078</v>
      </c>
      <c r="AA4981">
        <v>198</v>
      </c>
      <c r="AB4981">
        <v>332</v>
      </c>
      <c r="AC4981">
        <v>536</v>
      </c>
      <c r="AD4981">
        <v>32.42</v>
      </c>
      <c r="AE4981">
        <v>542</v>
      </c>
      <c r="AF4981">
        <v>39</v>
      </c>
      <c r="AG4981">
        <v>173</v>
      </c>
      <c r="AH4981">
        <v>129</v>
      </c>
      <c r="AI4981">
        <v>7.2</v>
      </c>
      <c r="AJ4981">
        <v>31.92</v>
      </c>
      <c r="AK4981">
        <v>23.8</v>
      </c>
      <c r="AL4981">
        <v>-20.149879599999959</v>
      </c>
      <c r="AM4981">
        <v>-44.906746466068469</v>
      </c>
      <c r="AN4981">
        <v>-20.149879599999959</v>
      </c>
      <c r="AO4981">
        <v>-44.906746466068469</v>
      </c>
      <c r="AP4981">
        <v>-20.149799000000002</v>
      </c>
      <c r="AQ4981">
        <v>-44.906517000000001</v>
      </c>
      <c r="AR4981">
        <v>25.604276856970429</v>
      </c>
      <c r="AS4981" t="s">
        <v>65</v>
      </c>
      <c r="AT4981">
        <v>1</v>
      </c>
      <c r="AU4981" t="s">
        <v>87</v>
      </c>
      <c r="AV4981" t="s">
        <v>88</v>
      </c>
      <c r="AW4981" t="s">
        <v>60</v>
      </c>
      <c r="AX4981" t="s">
        <v>68</v>
      </c>
      <c r="AY4981" t="s">
        <v>69</v>
      </c>
      <c r="AZ4981" t="b">
        <v>1</v>
      </c>
    </row>
    <row r="4982" spans="1:52" x14ac:dyDescent="0.3">
      <c r="A4982" t="s">
        <v>52</v>
      </c>
      <c r="B4982" t="s">
        <v>53</v>
      </c>
      <c r="C4982" t="s">
        <v>54</v>
      </c>
      <c r="D4982" t="s">
        <v>55</v>
      </c>
      <c r="E4982" t="s">
        <v>2224</v>
      </c>
      <c r="F4982" t="s">
        <v>1247</v>
      </c>
      <c r="G4982" t="s">
        <v>100</v>
      </c>
      <c r="H4982" t="s">
        <v>106</v>
      </c>
      <c r="I4982" t="s">
        <v>106</v>
      </c>
      <c r="J4982" t="s">
        <v>60</v>
      </c>
      <c r="K4982" t="s">
        <v>61</v>
      </c>
      <c r="L4982" t="s">
        <v>62</v>
      </c>
      <c r="M4982" t="s">
        <v>61</v>
      </c>
      <c r="N4982" t="s">
        <v>102</v>
      </c>
      <c r="O4982" t="s">
        <v>103</v>
      </c>
      <c r="P4982">
        <v>-20.151107</v>
      </c>
      <c r="Q4982">
        <v>-44.908918</v>
      </c>
      <c r="R4982" s="2" t="str">
        <f>HYPERLINK("https://www.google.com/maps?q=-20.1511070,-44.9089180","Abrir no Google Maps")</f>
        <v>Abrir no Google Maps</v>
      </c>
      <c r="S4982">
        <v>4</v>
      </c>
      <c r="T4982">
        <v>615.86400245321579</v>
      </c>
      <c r="U4982">
        <v>1</v>
      </c>
      <c r="V4982">
        <v>8.9820359281437098E-2</v>
      </c>
      <c r="W4982">
        <v>0.85</v>
      </c>
      <c r="X4982">
        <v>7.6347305389221534E-2</v>
      </c>
      <c r="Y4982">
        <v>747</v>
      </c>
      <c r="Z4982">
        <v>535.34543763764702</v>
      </c>
      <c r="AA4982">
        <v>198</v>
      </c>
      <c r="AB4982">
        <v>332</v>
      </c>
      <c r="AC4982">
        <v>536</v>
      </c>
      <c r="AD4982">
        <v>32.42</v>
      </c>
      <c r="AE4982">
        <v>542</v>
      </c>
      <c r="AF4982">
        <v>39</v>
      </c>
      <c r="AG4982">
        <v>173</v>
      </c>
      <c r="AH4982">
        <v>129</v>
      </c>
      <c r="AI4982">
        <v>7.2</v>
      </c>
      <c r="AJ4982">
        <v>31.92</v>
      </c>
      <c r="AK4982">
        <v>23.8</v>
      </c>
      <c r="AL4982">
        <v>-20.151307349999971</v>
      </c>
      <c r="AM4982">
        <v>-44.909024234051429</v>
      </c>
      <c r="AN4982">
        <v>-20.151307349999971</v>
      </c>
      <c r="AO4982">
        <v>-44.909024234051429</v>
      </c>
      <c r="AP4982">
        <v>-20.151107</v>
      </c>
      <c r="AQ4982">
        <v>-44.908918</v>
      </c>
      <c r="AR4982">
        <v>24.91340747371116</v>
      </c>
      <c r="AS4982" t="s">
        <v>65</v>
      </c>
      <c r="AT4982">
        <v>1</v>
      </c>
      <c r="AU4982" t="s">
        <v>107</v>
      </c>
      <c r="AV4982" t="s">
        <v>105</v>
      </c>
      <c r="AW4982" t="s">
        <v>60</v>
      </c>
      <c r="AX4982" t="s">
        <v>68</v>
      </c>
      <c r="AY4982" t="s">
        <v>69</v>
      </c>
      <c r="AZ4982" t="b">
        <v>1</v>
      </c>
    </row>
    <row r="4983" spans="1:52" x14ac:dyDescent="0.3">
      <c r="A4983" t="s">
        <v>52</v>
      </c>
      <c r="B4983" t="s">
        <v>53</v>
      </c>
      <c r="C4983" t="s">
        <v>54</v>
      </c>
      <c r="D4983" t="s">
        <v>55</v>
      </c>
      <c r="E4983" t="s">
        <v>2224</v>
      </c>
      <c r="F4983" t="s">
        <v>1247</v>
      </c>
      <c r="G4983" t="s">
        <v>108</v>
      </c>
      <c r="H4983" t="s">
        <v>109</v>
      </c>
      <c r="I4983" t="s">
        <v>109</v>
      </c>
      <c r="J4983" t="s">
        <v>60</v>
      </c>
      <c r="K4983" t="s">
        <v>110</v>
      </c>
      <c r="L4983" t="s">
        <v>62</v>
      </c>
      <c r="M4983" t="s">
        <v>110</v>
      </c>
      <c r="N4983" t="s">
        <v>111</v>
      </c>
      <c r="O4983" t="s">
        <v>112</v>
      </c>
      <c r="P4983">
        <v>-20.122233999999999</v>
      </c>
      <c r="Q4983">
        <v>-44.909194999999997</v>
      </c>
      <c r="R4983" s="2" t="str">
        <f>HYPERLINK("https://www.google.com/maps?q=-20.1222340,-44.9091950","Abrir no Google Maps")</f>
        <v>Abrir no Google Maps</v>
      </c>
      <c r="S4983">
        <v>4</v>
      </c>
      <c r="T4983">
        <v>1171.396020763932</v>
      </c>
      <c r="U4983">
        <v>1</v>
      </c>
      <c r="V4983">
        <v>8.5416666666666599E-2</v>
      </c>
      <c r="W4983">
        <v>0.85</v>
      </c>
      <c r="X4983">
        <v>7.2604166666666609E-2</v>
      </c>
      <c r="Y4983">
        <v>567</v>
      </c>
      <c r="Z4983">
        <v>1238.711234283244</v>
      </c>
      <c r="AA4983">
        <v>198</v>
      </c>
      <c r="AB4983">
        <v>332</v>
      </c>
      <c r="AC4983">
        <v>536</v>
      </c>
      <c r="AD4983">
        <v>32.42</v>
      </c>
      <c r="AE4983">
        <v>542</v>
      </c>
      <c r="AF4983">
        <v>39</v>
      </c>
      <c r="AG4983">
        <v>173</v>
      </c>
      <c r="AH4983">
        <v>129</v>
      </c>
      <c r="AI4983">
        <v>7.2</v>
      </c>
      <c r="AJ4983">
        <v>31.92</v>
      </c>
      <c r="AK4983">
        <v>23.8</v>
      </c>
      <c r="AL4983">
        <v>-20.121881249999941</v>
      </c>
      <c r="AM4983">
        <v>-44.909273766094323</v>
      </c>
      <c r="AN4983">
        <v>-20.121881249999941</v>
      </c>
      <c r="AO4983">
        <v>-44.909273766094323</v>
      </c>
      <c r="AP4983">
        <v>-20.122233999999999</v>
      </c>
      <c r="AQ4983">
        <v>-44.909194999999997</v>
      </c>
      <c r="AR4983">
        <v>40.12192930593006</v>
      </c>
      <c r="AS4983" t="s">
        <v>65</v>
      </c>
      <c r="AT4983">
        <v>1</v>
      </c>
      <c r="AU4983" t="s">
        <v>113</v>
      </c>
      <c r="AV4983" t="s">
        <v>114</v>
      </c>
      <c r="AW4983" t="s">
        <v>60</v>
      </c>
      <c r="AX4983" t="s">
        <v>68</v>
      </c>
      <c r="AY4983" t="s">
        <v>69</v>
      </c>
      <c r="AZ4983" t="b">
        <v>1</v>
      </c>
    </row>
    <row r="4984" spans="1:52" x14ac:dyDescent="0.3">
      <c r="A4984" t="s">
        <v>52</v>
      </c>
      <c r="B4984" t="s">
        <v>53</v>
      </c>
      <c r="C4984" t="s">
        <v>54</v>
      </c>
      <c r="D4984" t="s">
        <v>55</v>
      </c>
      <c r="E4984" t="s">
        <v>2224</v>
      </c>
      <c r="F4984" t="s">
        <v>1247</v>
      </c>
      <c r="G4984" t="s">
        <v>198</v>
      </c>
      <c r="H4984" t="s">
        <v>199</v>
      </c>
      <c r="I4984" t="s">
        <v>199</v>
      </c>
      <c r="J4984" t="s">
        <v>60</v>
      </c>
      <c r="K4984" t="s">
        <v>200</v>
      </c>
      <c r="L4984" t="s">
        <v>62</v>
      </c>
      <c r="M4984" t="s">
        <v>200</v>
      </c>
      <c r="N4984" t="s">
        <v>201</v>
      </c>
      <c r="O4984" t="s">
        <v>202</v>
      </c>
      <c r="P4984">
        <v>-20.122433000000001</v>
      </c>
      <c r="Q4984">
        <v>-44.897013999999999</v>
      </c>
      <c r="R4984" s="2" t="str">
        <f>HYPERLINK("https://www.google.com/maps?q=-20.1224330,-44.8970140","Abrir no Google Maps")</f>
        <v>Abrir no Google Maps</v>
      </c>
      <c r="S4984">
        <v>4</v>
      </c>
      <c r="T4984">
        <v>616.04759279207849</v>
      </c>
      <c r="U4984">
        <v>1</v>
      </c>
      <c r="V4984">
        <v>5.4577464788732301E-2</v>
      </c>
      <c r="W4984">
        <v>0.85</v>
      </c>
      <c r="X4984">
        <v>4.6390845070422453E-2</v>
      </c>
      <c r="Y4984">
        <v>567</v>
      </c>
      <c r="Z4984">
        <v>655.51024138861465</v>
      </c>
      <c r="AA4984">
        <v>198</v>
      </c>
      <c r="AB4984">
        <v>332</v>
      </c>
      <c r="AC4984">
        <v>536</v>
      </c>
      <c r="AD4984">
        <v>32.42</v>
      </c>
      <c r="AE4984">
        <v>542</v>
      </c>
      <c r="AF4984">
        <v>39</v>
      </c>
      <c r="AG4984">
        <v>173</v>
      </c>
      <c r="AH4984">
        <v>129</v>
      </c>
      <c r="AI4984">
        <v>7.2</v>
      </c>
      <c r="AJ4984">
        <v>31.92</v>
      </c>
      <c r="AK4984">
        <v>23.8</v>
      </c>
      <c r="AL4984">
        <v>-20.122144949999949</v>
      </c>
      <c r="AM4984">
        <v>-44.896761973125983</v>
      </c>
      <c r="AN4984">
        <v>-20.122144949999949</v>
      </c>
      <c r="AO4984">
        <v>-44.896761973125983</v>
      </c>
      <c r="AP4984">
        <v>-20.122433000000001</v>
      </c>
      <c r="AQ4984">
        <v>-44.897013999999999</v>
      </c>
      <c r="AR4984">
        <v>41.499066772735389</v>
      </c>
      <c r="AS4984" t="s">
        <v>65</v>
      </c>
      <c r="AT4984">
        <v>1</v>
      </c>
      <c r="AU4984" t="s">
        <v>203</v>
      </c>
      <c r="AV4984" t="s">
        <v>204</v>
      </c>
      <c r="AW4984" t="s">
        <v>60</v>
      </c>
      <c r="AX4984" t="s">
        <v>68</v>
      </c>
      <c r="AY4984" t="s">
        <v>69</v>
      </c>
      <c r="AZ4984" t="b">
        <v>1</v>
      </c>
    </row>
    <row r="4985" spans="1:52" x14ac:dyDescent="0.3">
      <c r="A4985" t="s">
        <v>52</v>
      </c>
      <c r="B4985" t="s">
        <v>53</v>
      </c>
      <c r="C4985" t="s">
        <v>54</v>
      </c>
      <c r="D4985" t="s">
        <v>55</v>
      </c>
      <c r="E4985" t="s">
        <v>2224</v>
      </c>
      <c r="F4985" t="s">
        <v>1247</v>
      </c>
      <c r="G4985" t="s">
        <v>1263</v>
      </c>
      <c r="H4985" t="s">
        <v>1264</v>
      </c>
      <c r="I4985" t="s">
        <v>1264</v>
      </c>
      <c r="J4985" t="s">
        <v>60</v>
      </c>
      <c r="K4985" t="s">
        <v>1265</v>
      </c>
      <c r="L4985" t="s">
        <v>62</v>
      </c>
      <c r="M4985" t="s">
        <v>1265</v>
      </c>
      <c r="N4985" t="s">
        <v>1266</v>
      </c>
      <c r="O4985" t="s">
        <v>1267</v>
      </c>
      <c r="P4985">
        <v>-20.116924000000001</v>
      </c>
      <c r="Q4985">
        <v>-44.906587000000002</v>
      </c>
      <c r="R4985" s="2" t="str">
        <f>HYPERLINK("https://www.google.com/maps?q=-20.1169240,-44.9065870","Abrir no Google Maps")</f>
        <v>Abrir no Google Maps</v>
      </c>
      <c r="S4985">
        <v>4</v>
      </c>
      <c r="T4985">
        <v>745.10453961787857</v>
      </c>
      <c r="U4985">
        <v>1</v>
      </c>
      <c r="V4985">
        <v>6.4814814814814797E-2</v>
      </c>
      <c r="W4985">
        <v>0.85</v>
      </c>
      <c r="X4985">
        <v>5.5092592592592568E-2</v>
      </c>
      <c r="Y4985">
        <v>567</v>
      </c>
      <c r="Z4985">
        <v>816.44456345071217</v>
      </c>
      <c r="AA4985">
        <v>198</v>
      </c>
      <c r="AB4985">
        <v>332</v>
      </c>
      <c r="AC4985">
        <v>536</v>
      </c>
      <c r="AD4985">
        <v>32.42</v>
      </c>
      <c r="AE4985">
        <v>542</v>
      </c>
      <c r="AF4985">
        <v>39</v>
      </c>
      <c r="AG4985">
        <v>173</v>
      </c>
      <c r="AH4985">
        <v>129</v>
      </c>
      <c r="AI4985">
        <v>7.2</v>
      </c>
      <c r="AJ4985">
        <v>31.92</v>
      </c>
      <c r="AK4985">
        <v>23.8</v>
      </c>
      <c r="AL4985">
        <v>-20.117279149999941</v>
      </c>
      <c r="AM4985">
        <v>-44.906397211815133</v>
      </c>
      <c r="AN4985">
        <v>-20.117279149999941</v>
      </c>
      <c r="AO4985">
        <v>-44.906397211815133</v>
      </c>
      <c r="AP4985">
        <v>-20.116924000000001</v>
      </c>
      <c r="AQ4985">
        <v>-44.906587000000002</v>
      </c>
      <c r="AR4985">
        <v>44.233430660980403</v>
      </c>
      <c r="AS4985" t="s">
        <v>65</v>
      </c>
      <c r="AT4985">
        <v>1</v>
      </c>
      <c r="AU4985" t="s">
        <v>1268</v>
      </c>
      <c r="AV4985" t="s">
        <v>1269</v>
      </c>
      <c r="AW4985" t="s">
        <v>60</v>
      </c>
      <c r="AX4985" t="s">
        <v>68</v>
      </c>
      <c r="AY4985" t="s">
        <v>69</v>
      </c>
      <c r="AZ4985" t="b">
        <v>1</v>
      </c>
    </row>
    <row r="4986" spans="1:52" x14ac:dyDescent="0.3">
      <c r="A4986" t="s">
        <v>52</v>
      </c>
      <c r="B4986" t="s">
        <v>53</v>
      </c>
      <c r="C4986" t="s">
        <v>54</v>
      </c>
      <c r="D4986" t="s">
        <v>55</v>
      </c>
      <c r="E4986" t="s">
        <v>2224</v>
      </c>
      <c r="F4986" t="s">
        <v>1247</v>
      </c>
      <c r="G4986" t="s">
        <v>205</v>
      </c>
      <c r="H4986" t="s">
        <v>206</v>
      </c>
      <c r="I4986" t="s">
        <v>206</v>
      </c>
      <c r="J4986" t="s">
        <v>60</v>
      </c>
      <c r="K4986" t="s">
        <v>207</v>
      </c>
      <c r="L4986" t="s">
        <v>62</v>
      </c>
      <c r="M4986" t="s">
        <v>207</v>
      </c>
      <c r="N4986" t="s">
        <v>208</v>
      </c>
      <c r="O4986" t="s">
        <v>209</v>
      </c>
      <c r="P4986">
        <v>-20.117533999999999</v>
      </c>
      <c r="Q4986">
        <v>-44.892943000000002</v>
      </c>
      <c r="R4986" s="2" t="str">
        <f>HYPERLINK("https://www.google.com/maps?q=-20.1175340,-44.8929430","Abrir no Google Maps")</f>
        <v>Abrir no Google Maps</v>
      </c>
      <c r="S4986">
        <v>4</v>
      </c>
      <c r="T4986">
        <v>601.98486688021592</v>
      </c>
      <c r="U4986">
        <v>1</v>
      </c>
      <c r="V4986">
        <v>7.0652173913043403E-2</v>
      </c>
      <c r="W4986">
        <v>0.85</v>
      </c>
      <c r="X4986">
        <v>6.0054347826086887E-2</v>
      </c>
      <c r="Y4986">
        <v>567</v>
      </c>
      <c r="Z4986">
        <v>574.59225706016446</v>
      </c>
      <c r="AA4986">
        <v>198</v>
      </c>
      <c r="AB4986">
        <v>332</v>
      </c>
      <c r="AC4986">
        <v>536</v>
      </c>
      <c r="AD4986">
        <v>32.42</v>
      </c>
      <c r="AE4986">
        <v>542</v>
      </c>
      <c r="AF4986">
        <v>39</v>
      </c>
      <c r="AG4986">
        <v>173</v>
      </c>
      <c r="AH4986">
        <v>129</v>
      </c>
      <c r="AI4986">
        <v>7.2</v>
      </c>
      <c r="AJ4986">
        <v>31.92</v>
      </c>
      <c r="AK4986">
        <v>23.8</v>
      </c>
      <c r="AL4986">
        <v>-20.11671494999996</v>
      </c>
      <c r="AM4986">
        <v>-44.89352717833448</v>
      </c>
      <c r="AN4986">
        <v>-20.11671494999996</v>
      </c>
      <c r="AO4986">
        <v>-44.89352717833448</v>
      </c>
      <c r="AP4986">
        <v>-20.117533999999999</v>
      </c>
      <c r="AQ4986">
        <v>-44.892943000000002</v>
      </c>
      <c r="AR4986">
        <v>109.7357164799156</v>
      </c>
      <c r="AS4986" t="s">
        <v>65</v>
      </c>
      <c r="AT4986">
        <v>1</v>
      </c>
      <c r="AU4986" t="s">
        <v>210</v>
      </c>
      <c r="AV4986" t="s">
        <v>211</v>
      </c>
      <c r="AW4986" t="s">
        <v>60</v>
      </c>
      <c r="AX4986" t="s">
        <v>68</v>
      </c>
      <c r="AY4986" t="s">
        <v>69</v>
      </c>
      <c r="AZ4986" t="b">
        <v>1</v>
      </c>
    </row>
    <row r="4987" spans="1:52" x14ac:dyDescent="0.3">
      <c r="A4987" t="s">
        <v>52</v>
      </c>
      <c r="B4987" t="s">
        <v>53</v>
      </c>
      <c r="C4987" t="s">
        <v>54</v>
      </c>
      <c r="D4987" t="s">
        <v>55</v>
      </c>
      <c r="E4987" t="s">
        <v>2224</v>
      </c>
      <c r="F4987" t="s">
        <v>1247</v>
      </c>
      <c r="G4987" t="s">
        <v>115</v>
      </c>
      <c r="H4987" t="s">
        <v>116</v>
      </c>
      <c r="I4987" t="s">
        <v>116</v>
      </c>
      <c r="J4987" t="s">
        <v>60</v>
      </c>
      <c r="K4987" t="s">
        <v>117</v>
      </c>
      <c r="L4987" t="s">
        <v>62</v>
      </c>
      <c r="M4987" t="s">
        <v>117</v>
      </c>
      <c r="N4987" t="s">
        <v>118</v>
      </c>
      <c r="O4987" t="s">
        <v>119</v>
      </c>
      <c r="P4987">
        <v>-20.116992</v>
      </c>
      <c r="Q4987">
        <v>-44.899355</v>
      </c>
      <c r="R4987" s="2" t="str">
        <f>HYPERLINK("https://www.google.com/maps?q=-20.1169920,-44.8993550","Abrir no Google Maps")</f>
        <v>Abrir no Google Maps</v>
      </c>
      <c r="S4987">
        <v>4</v>
      </c>
      <c r="T4987">
        <v>0</v>
      </c>
      <c r="U4987">
        <v>1</v>
      </c>
      <c r="V4987">
        <v>7.0855614973261996E-2</v>
      </c>
      <c r="W4987">
        <v>1</v>
      </c>
      <c r="X4987">
        <v>7.0855614973261996E-2</v>
      </c>
      <c r="Y4987">
        <v>567</v>
      </c>
      <c r="Z4987">
        <v>54.913678078353321</v>
      </c>
      <c r="AA4987">
        <v>198</v>
      </c>
      <c r="AB4987">
        <v>332</v>
      </c>
      <c r="AC4987">
        <v>536</v>
      </c>
      <c r="AD4987">
        <v>32.42</v>
      </c>
      <c r="AE4987">
        <v>542</v>
      </c>
      <c r="AF4987">
        <v>39</v>
      </c>
      <c r="AG4987">
        <v>173</v>
      </c>
      <c r="AH4987">
        <v>129</v>
      </c>
      <c r="AI4987">
        <v>7.2</v>
      </c>
      <c r="AJ4987">
        <v>31.92</v>
      </c>
      <c r="AK4987">
        <v>23.8</v>
      </c>
      <c r="AL4987">
        <v>-20.117107749999949</v>
      </c>
      <c r="AM4987">
        <v>-44.899271226243108</v>
      </c>
      <c r="AN4987">
        <v>-20.117107749999949</v>
      </c>
      <c r="AO4987">
        <v>-44.899271226243108</v>
      </c>
      <c r="AP4987">
        <v>-20.116992</v>
      </c>
      <c r="AQ4987">
        <v>-44.899355</v>
      </c>
      <c r="AR4987">
        <v>15.579196044083419</v>
      </c>
      <c r="AS4987" t="s">
        <v>65</v>
      </c>
      <c r="AT4987">
        <v>1</v>
      </c>
      <c r="AU4987" t="s">
        <v>120</v>
      </c>
      <c r="AV4987" t="s">
        <v>121</v>
      </c>
      <c r="AW4987" t="s">
        <v>60</v>
      </c>
      <c r="AX4987" t="s">
        <v>68</v>
      </c>
      <c r="AY4987" t="s">
        <v>69</v>
      </c>
      <c r="AZ4987" t="b">
        <v>1</v>
      </c>
    </row>
    <row r="4988" spans="1:52" x14ac:dyDescent="0.3">
      <c r="A4988" t="s">
        <v>52</v>
      </c>
      <c r="B4988" t="s">
        <v>53</v>
      </c>
      <c r="C4988" t="s">
        <v>54</v>
      </c>
      <c r="D4988" t="s">
        <v>55</v>
      </c>
      <c r="E4988" t="s">
        <v>2224</v>
      </c>
      <c r="F4988" t="s">
        <v>1247</v>
      </c>
      <c r="G4988" t="s">
        <v>122</v>
      </c>
      <c r="H4988" t="s">
        <v>123</v>
      </c>
      <c r="I4988" t="s">
        <v>123</v>
      </c>
      <c r="J4988" t="s">
        <v>60</v>
      </c>
      <c r="K4988" t="s">
        <v>117</v>
      </c>
      <c r="L4988" t="s">
        <v>62</v>
      </c>
      <c r="M4988" t="s">
        <v>117</v>
      </c>
      <c r="N4988" t="s">
        <v>124</v>
      </c>
      <c r="O4988" t="s">
        <v>125</v>
      </c>
      <c r="P4988">
        <v>-20.11853</v>
      </c>
      <c r="Q4988">
        <v>-44.896925000000003</v>
      </c>
      <c r="R4988" s="2" t="str">
        <f>HYPERLINK("https://www.google.com/maps?q=-20.1185300,-44.8969250","Abrir no Google Maps")</f>
        <v>Abrir no Google Maps</v>
      </c>
      <c r="S4988">
        <v>4</v>
      </c>
      <c r="T4988">
        <v>325.32255721093247</v>
      </c>
      <c r="U4988">
        <v>1</v>
      </c>
      <c r="V4988">
        <v>7.4074074074074001E-2</v>
      </c>
      <c r="W4988">
        <v>1</v>
      </c>
      <c r="X4988">
        <v>7.4074074074074001E-2</v>
      </c>
      <c r="Y4988">
        <v>567</v>
      </c>
      <c r="Z4988">
        <v>306.04423478678871</v>
      </c>
      <c r="AA4988">
        <v>198</v>
      </c>
      <c r="AB4988">
        <v>332</v>
      </c>
      <c r="AC4988">
        <v>536</v>
      </c>
      <c r="AD4988">
        <v>32.42</v>
      </c>
      <c r="AE4988">
        <v>542</v>
      </c>
      <c r="AF4988">
        <v>39</v>
      </c>
      <c r="AG4988">
        <v>173</v>
      </c>
      <c r="AH4988">
        <v>129</v>
      </c>
      <c r="AI4988">
        <v>7.2</v>
      </c>
      <c r="AJ4988">
        <v>31.92</v>
      </c>
      <c r="AK4988">
        <v>23.8</v>
      </c>
      <c r="AL4988">
        <v>-20.118682499999949</v>
      </c>
      <c r="AM4988">
        <v>-44.896643089287927</v>
      </c>
      <c r="AN4988">
        <v>-20.118682499999949</v>
      </c>
      <c r="AO4988">
        <v>-44.896643089287927</v>
      </c>
      <c r="AP4988">
        <v>-20.11853</v>
      </c>
      <c r="AQ4988">
        <v>-44.896925000000003</v>
      </c>
      <c r="AR4988">
        <v>34.007698996886518</v>
      </c>
      <c r="AS4988" t="s">
        <v>65</v>
      </c>
      <c r="AT4988">
        <v>1</v>
      </c>
      <c r="AU4988" t="s">
        <v>126</v>
      </c>
      <c r="AV4988" t="s">
        <v>121</v>
      </c>
      <c r="AW4988" t="s">
        <v>60</v>
      </c>
      <c r="AX4988" t="s">
        <v>68</v>
      </c>
      <c r="AY4988" t="s">
        <v>69</v>
      </c>
      <c r="AZ4988" t="b">
        <v>1</v>
      </c>
    </row>
    <row r="4989" spans="1:52" x14ac:dyDescent="0.3">
      <c r="A4989" t="s">
        <v>52</v>
      </c>
      <c r="B4989" t="s">
        <v>53</v>
      </c>
      <c r="C4989" t="s">
        <v>54</v>
      </c>
      <c r="D4989" t="s">
        <v>55</v>
      </c>
      <c r="E4989" t="s">
        <v>2224</v>
      </c>
      <c r="F4989" t="s">
        <v>1247</v>
      </c>
      <c r="G4989" t="s">
        <v>870</v>
      </c>
      <c r="H4989" t="s">
        <v>871</v>
      </c>
      <c r="I4989" t="s">
        <v>871</v>
      </c>
      <c r="J4989" t="s">
        <v>60</v>
      </c>
      <c r="K4989" t="s">
        <v>475</v>
      </c>
      <c r="L4989" t="s">
        <v>62</v>
      </c>
      <c r="M4989" t="s">
        <v>475</v>
      </c>
      <c r="N4989" t="s">
        <v>872</v>
      </c>
      <c r="O4989" t="s">
        <v>507</v>
      </c>
      <c r="P4989">
        <v>-20.176269999999999</v>
      </c>
      <c r="Q4989">
        <v>-44.909323999999998</v>
      </c>
      <c r="R4989" s="2" t="str">
        <f>HYPERLINK("https://www.google.com/maps?q=-20.1762700,-44.9093240","Abrir no Google Maps")</f>
        <v>Abrir no Google Maps</v>
      </c>
      <c r="S4989">
        <v>3</v>
      </c>
      <c r="T4989">
        <v>472.42731136821368</v>
      </c>
      <c r="U4989">
        <v>4</v>
      </c>
      <c r="V4989">
        <v>0.13555555555555551</v>
      </c>
      <c r="W4989">
        <v>1</v>
      </c>
      <c r="X4989">
        <v>0.13555555555555551</v>
      </c>
      <c r="Y4989">
        <v>578</v>
      </c>
      <c r="Z4989">
        <v>495.19726726344601</v>
      </c>
      <c r="AA4989">
        <v>198</v>
      </c>
      <c r="AB4989">
        <v>332</v>
      </c>
      <c r="AC4989">
        <v>536</v>
      </c>
      <c r="AD4989">
        <v>32.42</v>
      </c>
      <c r="AE4989">
        <v>542</v>
      </c>
      <c r="AF4989">
        <v>39</v>
      </c>
      <c r="AG4989">
        <v>173</v>
      </c>
      <c r="AH4989">
        <v>129</v>
      </c>
      <c r="AI4989">
        <v>7.2</v>
      </c>
      <c r="AJ4989">
        <v>31.92</v>
      </c>
      <c r="AK4989">
        <v>23.8</v>
      </c>
      <c r="AL4989">
        <v>-20.17630284999996</v>
      </c>
      <c r="AM4989">
        <v>-44.909199064318948</v>
      </c>
      <c r="AN4989">
        <v>-20.17630284999996</v>
      </c>
      <c r="AO4989">
        <v>-44.909199064318948</v>
      </c>
      <c r="AP4989">
        <v>-20.176269999999999</v>
      </c>
      <c r="AQ4989">
        <v>-44.909323999999998</v>
      </c>
      <c r="AR4989">
        <v>13.55691308737447</v>
      </c>
      <c r="AS4989" t="s">
        <v>65</v>
      </c>
      <c r="AT4989">
        <v>1</v>
      </c>
      <c r="AU4989" t="s">
        <v>873</v>
      </c>
      <c r="AV4989" t="s">
        <v>874</v>
      </c>
      <c r="AW4989" t="s">
        <v>60</v>
      </c>
      <c r="AX4989" t="s">
        <v>68</v>
      </c>
      <c r="AY4989" t="s">
        <v>69</v>
      </c>
      <c r="AZ4989" t="b">
        <v>1</v>
      </c>
    </row>
    <row r="4990" spans="1:52" x14ac:dyDescent="0.3">
      <c r="A4990" t="s">
        <v>52</v>
      </c>
      <c r="B4990" t="s">
        <v>53</v>
      </c>
      <c r="C4990" t="s">
        <v>54</v>
      </c>
      <c r="D4990" t="s">
        <v>55</v>
      </c>
      <c r="E4990" t="s">
        <v>2224</v>
      </c>
      <c r="F4990" t="s">
        <v>1247</v>
      </c>
      <c r="G4990" t="s">
        <v>1435</v>
      </c>
      <c r="H4990" t="s">
        <v>1436</v>
      </c>
      <c r="I4990" t="s">
        <v>1436</v>
      </c>
      <c r="J4990" t="s">
        <v>60</v>
      </c>
      <c r="K4990" t="s">
        <v>886</v>
      </c>
      <c r="L4990" t="s">
        <v>62</v>
      </c>
      <c r="M4990" t="s">
        <v>886</v>
      </c>
      <c r="N4990" t="s">
        <v>1437</v>
      </c>
      <c r="O4990" t="s">
        <v>1438</v>
      </c>
      <c r="P4990">
        <v>-20.131108000000001</v>
      </c>
      <c r="Q4990">
        <v>-44.893228000000001</v>
      </c>
      <c r="R4990" s="2" t="str">
        <f>HYPERLINK("https://www.google.com/maps?q=-20.1311080,-44.8932280","Abrir no Google Maps")</f>
        <v>Abrir no Google Maps</v>
      </c>
      <c r="S4990">
        <v>3</v>
      </c>
      <c r="T4990">
        <v>548.07497919430136</v>
      </c>
      <c r="U4990">
        <v>4</v>
      </c>
      <c r="V4990">
        <v>0.15801886792452829</v>
      </c>
      <c r="W4990">
        <v>0.85</v>
      </c>
      <c r="X4990">
        <v>0.13431603773584899</v>
      </c>
      <c r="Y4990">
        <v>564</v>
      </c>
      <c r="Z4990">
        <v>369.17139216388432</v>
      </c>
      <c r="AA4990">
        <v>198</v>
      </c>
      <c r="AB4990">
        <v>332</v>
      </c>
      <c r="AC4990">
        <v>536</v>
      </c>
      <c r="AD4990">
        <v>32.42</v>
      </c>
      <c r="AE4990">
        <v>542</v>
      </c>
      <c r="AF4990">
        <v>39</v>
      </c>
      <c r="AG4990">
        <v>173</v>
      </c>
      <c r="AH4990">
        <v>129</v>
      </c>
      <c r="AI4990">
        <v>7.2</v>
      </c>
      <c r="AJ4990">
        <v>31.92</v>
      </c>
      <c r="AK4990">
        <v>23.8</v>
      </c>
      <c r="AL4990">
        <v>-20.13103294999997</v>
      </c>
      <c r="AM4990">
        <v>-44.89318457893738</v>
      </c>
      <c r="AN4990">
        <v>-20.13103294999997</v>
      </c>
      <c r="AO4990">
        <v>-44.89318457893738</v>
      </c>
      <c r="AP4990">
        <v>-20.131108000000001</v>
      </c>
      <c r="AQ4990">
        <v>-44.893228000000001</v>
      </c>
      <c r="AR4990">
        <v>9.5076426885244203</v>
      </c>
      <c r="AS4990" t="s">
        <v>65</v>
      </c>
      <c r="AT4990">
        <v>1</v>
      </c>
      <c r="AU4990" t="s">
        <v>1439</v>
      </c>
      <c r="AV4990" t="s">
        <v>1440</v>
      </c>
      <c r="AW4990" t="s">
        <v>60</v>
      </c>
      <c r="AX4990" t="s">
        <v>68</v>
      </c>
      <c r="AY4990" t="s">
        <v>69</v>
      </c>
      <c r="AZ4990" t="b">
        <v>1</v>
      </c>
    </row>
    <row r="4991" spans="1:52" x14ac:dyDescent="0.3">
      <c r="A4991" t="s">
        <v>52</v>
      </c>
      <c r="B4991" t="s">
        <v>53</v>
      </c>
      <c r="C4991" t="s">
        <v>54</v>
      </c>
      <c r="D4991" t="s">
        <v>55</v>
      </c>
      <c r="E4991" t="s">
        <v>2224</v>
      </c>
      <c r="F4991" t="s">
        <v>1247</v>
      </c>
      <c r="G4991" t="s">
        <v>1278</v>
      </c>
      <c r="H4991" t="s">
        <v>1279</v>
      </c>
      <c r="I4991" t="s">
        <v>1279</v>
      </c>
      <c r="J4991" t="s">
        <v>60</v>
      </c>
      <c r="K4991" t="s">
        <v>388</v>
      </c>
      <c r="L4991" t="s">
        <v>62</v>
      </c>
      <c r="M4991" t="s">
        <v>388</v>
      </c>
      <c r="N4991" t="s">
        <v>1280</v>
      </c>
      <c r="O4991" t="s">
        <v>216</v>
      </c>
      <c r="P4991">
        <v>-20.15681</v>
      </c>
      <c r="Q4991">
        <v>-44.899290999999998</v>
      </c>
      <c r="R4991" s="2" t="str">
        <f>HYPERLINK("https://www.google.com/maps?q=-20.1568100,-44.8992910","Abrir no Google Maps")</f>
        <v>Abrir no Google Maps</v>
      </c>
      <c r="S4991">
        <v>3</v>
      </c>
      <c r="T4991">
        <v>180.10162979749811</v>
      </c>
      <c r="U4991">
        <v>3</v>
      </c>
      <c r="V4991">
        <v>0.13750000000000001</v>
      </c>
      <c r="W4991">
        <v>0.85</v>
      </c>
      <c r="X4991">
        <v>0.11687500000000001</v>
      </c>
      <c r="Y4991">
        <v>729</v>
      </c>
      <c r="Z4991">
        <v>368.06065118133841</v>
      </c>
      <c r="AA4991">
        <v>198</v>
      </c>
      <c r="AB4991">
        <v>332</v>
      </c>
      <c r="AC4991">
        <v>536</v>
      </c>
      <c r="AD4991">
        <v>32.42</v>
      </c>
      <c r="AE4991">
        <v>542</v>
      </c>
      <c r="AF4991">
        <v>39</v>
      </c>
      <c r="AG4991">
        <v>173</v>
      </c>
      <c r="AH4991">
        <v>129</v>
      </c>
      <c r="AI4991">
        <v>7.2</v>
      </c>
      <c r="AJ4991">
        <v>31.92</v>
      </c>
      <c r="AK4991">
        <v>23.8</v>
      </c>
      <c r="AL4991">
        <v>-20.156785649999961</v>
      </c>
      <c r="AM4991">
        <v>-44.899254812291332</v>
      </c>
      <c r="AN4991">
        <v>-20.156785649999961</v>
      </c>
      <c r="AO4991">
        <v>-44.899254812291332</v>
      </c>
      <c r="AP4991">
        <v>-20.15681</v>
      </c>
      <c r="AQ4991">
        <v>-44.899290999999998</v>
      </c>
      <c r="AR4991">
        <v>4.6528211992813118</v>
      </c>
      <c r="AS4991" t="s">
        <v>65</v>
      </c>
      <c r="AT4991">
        <v>1</v>
      </c>
      <c r="AU4991" t="s">
        <v>1281</v>
      </c>
      <c r="AV4991" t="s">
        <v>1282</v>
      </c>
      <c r="AW4991" t="s">
        <v>60</v>
      </c>
      <c r="AX4991" t="s">
        <v>68</v>
      </c>
      <c r="AY4991" t="s">
        <v>69</v>
      </c>
      <c r="AZ4991" t="b">
        <v>1</v>
      </c>
    </row>
    <row r="4992" spans="1:52" x14ac:dyDescent="0.3">
      <c r="A4992" t="s">
        <v>52</v>
      </c>
      <c r="B4992" t="s">
        <v>53</v>
      </c>
      <c r="C4992" t="s">
        <v>54</v>
      </c>
      <c r="D4992" t="s">
        <v>55</v>
      </c>
      <c r="E4992" t="s">
        <v>2224</v>
      </c>
      <c r="F4992" t="s">
        <v>1247</v>
      </c>
      <c r="G4992" t="s">
        <v>1417</v>
      </c>
      <c r="H4992" t="s">
        <v>1418</v>
      </c>
      <c r="I4992" t="s">
        <v>1418</v>
      </c>
      <c r="J4992" t="s">
        <v>60</v>
      </c>
      <c r="K4992" t="s">
        <v>1419</v>
      </c>
      <c r="L4992" t="s">
        <v>62</v>
      </c>
      <c r="M4992" t="s">
        <v>1419</v>
      </c>
      <c r="N4992" t="s">
        <v>1420</v>
      </c>
      <c r="O4992" t="s">
        <v>1421</v>
      </c>
      <c r="P4992">
        <v>-20.159427000000001</v>
      </c>
      <c r="Q4992">
        <v>-44.897143</v>
      </c>
      <c r="R4992" s="2" t="str">
        <f>HYPERLINK("https://www.google.com/maps?q=-20.1594270,-44.8971430","Abrir no Google Maps")</f>
        <v>Abrir no Google Maps</v>
      </c>
      <c r="S4992">
        <v>3</v>
      </c>
      <c r="T4992">
        <v>392.64349875646298</v>
      </c>
      <c r="U4992">
        <v>3</v>
      </c>
      <c r="V4992">
        <v>0.1436170212765957</v>
      </c>
      <c r="W4992">
        <v>0.85</v>
      </c>
      <c r="X4992">
        <v>0.1220744680851063</v>
      </c>
      <c r="Y4992">
        <v>729</v>
      </c>
      <c r="Z4992">
        <v>550.20062797366995</v>
      </c>
      <c r="AA4992">
        <v>198</v>
      </c>
      <c r="AB4992">
        <v>332</v>
      </c>
      <c r="AC4992">
        <v>536</v>
      </c>
      <c r="AD4992">
        <v>32.42</v>
      </c>
      <c r="AE4992">
        <v>542</v>
      </c>
      <c r="AF4992">
        <v>39</v>
      </c>
      <c r="AG4992">
        <v>173</v>
      </c>
      <c r="AH4992">
        <v>129</v>
      </c>
      <c r="AI4992">
        <v>7.2</v>
      </c>
      <c r="AJ4992">
        <v>31.92</v>
      </c>
      <c r="AK4992">
        <v>23.8</v>
      </c>
      <c r="AL4992">
        <v>-20.15946549999995</v>
      </c>
      <c r="AM4992">
        <v>-44.89709959354267</v>
      </c>
      <c r="AN4992">
        <v>-20.15946549999995</v>
      </c>
      <c r="AO4992">
        <v>-44.89709959354267</v>
      </c>
      <c r="AP4992">
        <v>-20.159427000000001</v>
      </c>
      <c r="AQ4992">
        <v>-44.897143</v>
      </c>
      <c r="AR4992">
        <v>6.2404649979039286</v>
      </c>
      <c r="AS4992" t="s">
        <v>65</v>
      </c>
      <c r="AT4992">
        <v>1</v>
      </c>
      <c r="AU4992" t="s">
        <v>1422</v>
      </c>
      <c r="AV4992" t="s">
        <v>1423</v>
      </c>
      <c r="AW4992" t="s">
        <v>60</v>
      </c>
      <c r="AX4992" t="s">
        <v>68</v>
      </c>
      <c r="AY4992" t="s">
        <v>69</v>
      </c>
      <c r="AZ4992" t="b">
        <v>1</v>
      </c>
    </row>
    <row r="4993" spans="1:52" x14ac:dyDescent="0.3">
      <c r="A4993" t="s">
        <v>52</v>
      </c>
      <c r="B4993" t="s">
        <v>53</v>
      </c>
      <c r="C4993" t="s">
        <v>54</v>
      </c>
      <c r="D4993" t="s">
        <v>55</v>
      </c>
      <c r="E4993" t="s">
        <v>2224</v>
      </c>
      <c r="F4993" t="s">
        <v>1247</v>
      </c>
      <c r="G4993" t="s">
        <v>422</v>
      </c>
      <c r="H4993" t="s">
        <v>423</v>
      </c>
      <c r="I4993" t="s">
        <v>423</v>
      </c>
      <c r="J4993" t="s">
        <v>60</v>
      </c>
      <c r="K4993" t="s">
        <v>424</v>
      </c>
      <c r="L4993" t="s">
        <v>62</v>
      </c>
      <c r="M4993" t="s">
        <v>424</v>
      </c>
      <c r="N4993" t="s">
        <v>425</v>
      </c>
      <c r="O4993" t="s">
        <v>426</v>
      </c>
      <c r="P4993">
        <v>-20.177748000000001</v>
      </c>
      <c r="Q4993">
        <v>-44.912475000000001</v>
      </c>
      <c r="R4993" s="2" t="str">
        <f>HYPERLINK("https://www.google.com/maps?q=-20.1777480,-44.9124750","Abrir no Google Maps")</f>
        <v>Abrir no Google Maps</v>
      </c>
      <c r="S4993">
        <v>3</v>
      </c>
      <c r="T4993">
        <v>657.07560140436533</v>
      </c>
      <c r="U4993">
        <v>3</v>
      </c>
      <c r="V4993">
        <v>0.1200440528634361</v>
      </c>
      <c r="W4993">
        <v>1</v>
      </c>
      <c r="X4993">
        <v>0.1200440528634361</v>
      </c>
      <c r="Y4993">
        <v>723</v>
      </c>
      <c r="Z4993">
        <v>796.94198000561175</v>
      </c>
      <c r="AA4993">
        <v>198</v>
      </c>
      <c r="AB4993">
        <v>332</v>
      </c>
      <c r="AC4993">
        <v>536</v>
      </c>
      <c r="AD4993">
        <v>32.42</v>
      </c>
      <c r="AE4993">
        <v>542</v>
      </c>
      <c r="AF4993">
        <v>39</v>
      </c>
      <c r="AG4993">
        <v>173</v>
      </c>
      <c r="AH4993">
        <v>129</v>
      </c>
      <c r="AI4993">
        <v>7.2</v>
      </c>
      <c r="AJ4993">
        <v>31.92</v>
      </c>
      <c r="AK4993">
        <v>23.8</v>
      </c>
      <c r="AL4993">
        <v>-20.177761749999949</v>
      </c>
      <c r="AM4993">
        <v>-44.91263311624418</v>
      </c>
      <c r="AN4993">
        <v>-20.177761749999949</v>
      </c>
      <c r="AO4993">
        <v>-44.91263311624418</v>
      </c>
      <c r="AP4993">
        <v>-20.177748000000001</v>
      </c>
      <c r="AQ4993">
        <v>-44.912475000000001</v>
      </c>
      <c r="AR4993">
        <v>16.591996803075372</v>
      </c>
      <c r="AS4993" t="s">
        <v>65</v>
      </c>
      <c r="AT4993">
        <v>1</v>
      </c>
      <c r="AU4993" t="s">
        <v>427</v>
      </c>
      <c r="AV4993" t="s">
        <v>428</v>
      </c>
      <c r="AW4993" t="s">
        <v>60</v>
      </c>
      <c r="AX4993" t="s">
        <v>68</v>
      </c>
      <c r="AY4993" t="s">
        <v>69</v>
      </c>
      <c r="AZ4993" t="b">
        <v>1</v>
      </c>
    </row>
    <row r="4994" spans="1:52" x14ac:dyDescent="0.3">
      <c r="A4994" t="s">
        <v>52</v>
      </c>
      <c r="B4994" t="s">
        <v>53</v>
      </c>
      <c r="C4994" t="s">
        <v>54</v>
      </c>
      <c r="D4994" t="s">
        <v>55</v>
      </c>
      <c r="E4994" t="s">
        <v>2224</v>
      </c>
      <c r="F4994" t="s">
        <v>1247</v>
      </c>
      <c r="G4994" t="s">
        <v>429</v>
      </c>
      <c r="H4994" t="s">
        <v>430</v>
      </c>
      <c r="I4994" t="s">
        <v>430</v>
      </c>
      <c r="J4994" t="s">
        <v>60</v>
      </c>
      <c r="K4994" t="s">
        <v>431</v>
      </c>
      <c r="L4994" t="s">
        <v>62</v>
      </c>
      <c r="M4994" t="s">
        <v>431</v>
      </c>
      <c r="N4994" t="s">
        <v>432</v>
      </c>
      <c r="O4994" t="s">
        <v>315</v>
      </c>
      <c r="P4994">
        <v>-20.172698</v>
      </c>
      <c r="Q4994">
        <v>-44.923842</v>
      </c>
      <c r="R4994" s="2" t="str">
        <f>HYPERLINK("https://www.google.com/maps?q=-20.1726980,-44.9238420","Abrir no Google Maps")</f>
        <v>Abrir no Google Maps</v>
      </c>
      <c r="S4994">
        <v>3</v>
      </c>
      <c r="T4994">
        <v>1376.1843173402931</v>
      </c>
      <c r="U4994">
        <v>3</v>
      </c>
      <c r="V4994">
        <v>0.13300492610837439</v>
      </c>
      <c r="W4994">
        <v>0.85</v>
      </c>
      <c r="X4994">
        <v>0.1130541871921182</v>
      </c>
      <c r="Y4994">
        <v>723</v>
      </c>
      <c r="Z4994">
        <v>1101.340635002096</v>
      </c>
      <c r="AA4994">
        <v>198</v>
      </c>
      <c r="AB4994">
        <v>332</v>
      </c>
      <c r="AC4994">
        <v>536</v>
      </c>
      <c r="AD4994">
        <v>32.42</v>
      </c>
      <c r="AE4994">
        <v>542</v>
      </c>
      <c r="AF4994">
        <v>39</v>
      </c>
      <c r="AG4994">
        <v>173</v>
      </c>
      <c r="AH4994">
        <v>129</v>
      </c>
      <c r="AI4994">
        <v>7.2</v>
      </c>
      <c r="AJ4994">
        <v>31.92</v>
      </c>
      <c r="AK4994">
        <v>23.8</v>
      </c>
      <c r="AL4994">
        <v>-20.172942799999959</v>
      </c>
      <c r="AM4994">
        <v>-44.923585372665762</v>
      </c>
      <c r="AN4994">
        <v>-20.172942799999959</v>
      </c>
      <c r="AO4994">
        <v>-44.923585372665762</v>
      </c>
      <c r="AP4994">
        <v>-20.172698</v>
      </c>
      <c r="AQ4994">
        <v>-44.923842</v>
      </c>
      <c r="AR4994">
        <v>38.231981408478958</v>
      </c>
      <c r="AS4994" t="s">
        <v>65</v>
      </c>
      <c r="AT4994">
        <v>1</v>
      </c>
      <c r="AU4994" t="s">
        <v>433</v>
      </c>
      <c r="AV4994" t="s">
        <v>434</v>
      </c>
      <c r="AW4994" t="s">
        <v>60</v>
      </c>
      <c r="AX4994" t="s">
        <v>68</v>
      </c>
      <c r="AY4994" t="s">
        <v>69</v>
      </c>
      <c r="AZ4994" t="b">
        <v>1</v>
      </c>
    </row>
    <row r="4995" spans="1:52" x14ac:dyDescent="0.3">
      <c r="A4995" t="s">
        <v>52</v>
      </c>
      <c r="B4995" t="s">
        <v>53</v>
      </c>
      <c r="C4995" t="s">
        <v>54</v>
      </c>
      <c r="D4995" t="s">
        <v>55</v>
      </c>
      <c r="E4995" t="s">
        <v>2224</v>
      </c>
      <c r="F4995" t="s">
        <v>1247</v>
      </c>
      <c r="G4995" t="s">
        <v>1318</v>
      </c>
      <c r="H4995" t="s">
        <v>1319</v>
      </c>
      <c r="I4995" t="s">
        <v>1319</v>
      </c>
      <c r="J4995" t="s">
        <v>60</v>
      </c>
      <c r="K4995" t="s">
        <v>1314</v>
      </c>
      <c r="L4995" t="s">
        <v>62</v>
      </c>
      <c r="M4995" t="s">
        <v>1314</v>
      </c>
      <c r="N4995" t="s">
        <v>1320</v>
      </c>
      <c r="O4995" t="s">
        <v>1321</v>
      </c>
      <c r="P4995">
        <v>-20.178615000000001</v>
      </c>
      <c r="Q4995">
        <v>-44.924697999999999</v>
      </c>
      <c r="R4995" s="2" t="str">
        <f>HYPERLINK("https://www.google.com/maps?q=-20.1786150,-44.9246980","Abrir no Google Maps")</f>
        <v>Abrir no Google Maps</v>
      </c>
      <c r="S4995">
        <v>3</v>
      </c>
      <c r="T4995">
        <v>1583.462557226148</v>
      </c>
      <c r="U4995">
        <v>3</v>
      </c>
      <c r="V4995">
        <v>0.13513513513513509</v>
      </c>
      <c r="W4995">
        <v>0.85</v>
      </c>
      <c r="X4995">
        <v>0.1148648648648648</v>
      </c>
      <c r="Y4995">
        <v>723</v>
      </c>
      <c r="Z4995">
        <v>1414.1542726995031</v>
      </c>
      <c r="AA4995">
        <v>198</v>
      </c>
      <c r="AB4995">
        <v>332</v>
      </c>
      <c r="AC4995">
        <v>536</v>
      </c>
      <c r="AD4995">
        <v>32.42</v>
      </c>
      <c r="AE4995">
        <v>542</v>
      </c>
      <c r="AF4995">
        <v>39</v>
      </c>
      <c r="AG4995">
        <v>173</v>
      </c>
      <c r="AH4995">
        <v>129</v>
      </c>
      <c r="AI4995">
        <v>7.2</v>
      </c>
      <c r="AJ4995">
        <v>31.92</v>
      </c>
      <c r="AK4995">
        <v>23.8</v>
      </c>
      <c r="AL4995">
        <v>-20.17821329999995</v>
      </c>
      <c r="AM4995">
        <v>-44.924188563452951</v>
      </c>
      <c r="AN4995">
        <v>-20.17821329999995</v>
      </c>
      <c r="AO4995">
        <v>-44.924188563452951</v>
      </c>
      <c r="AP4995">
        <v>-20.178615000000001</v>
      </c>
      <c r="AQ4995">
        <v>-44.924697999999999</v>
      </c>
      <c r="AR4995">
        <v>69.520116290580319</v>
      </c>
      <c r="AS4995" t="s">
        <v>65</v>
      </c>
      <c r="AT4995">
        <v>1</v>
      </c>
      <c r="AU4995" t="s">
        <v>1322</v>
      </c>
      <c r="AV4995" t="s">
        <v>1317</v>
      </c>
      <c r="AW4995" t="s">
        <v>60</v>
      </c>
      <c r="AX4995" t="s">
        <v>68</v>
      </c>
      <c r="AY4995" t="s">
        <v>69</v>
      </c>
      <c r="AZ4995" t="b">
        <v>1</v>
      </c>
    </row>
    <row r="4996" spans="1:52" x14ac:dyDescent="0.3">
      <c r="A4996" t="s">
        <v>52</v>
      </c>
      <c r="B4996" t="s">
        <v>53</v>
      </c>
      <c r="C4996" t="s">
        <v>54</v>
      </c>
      <c r="D4996" t="s">
        <v>55</v>
      </c>
      <c r="E4996" t="s">
        <v>2224</v>
      </c>
      <c r="F4996" t="s">
        <v>1247</v>
      </c>
      <c r="G4996" t="s">
        <v>473</v>
      </c>
      <c r="H4996" t="s">
        <v>474</v>
      </c>
      <c r="I4996" t="s">
        <v>474</v>
      </c>
      <c r="J4996" t="s">
        <v>60</v>
      </c>
      <c r="K4996" t="s">
        <v>475</v>
      </c>
      <c r="L4996" t="s">
        <v>62</v>
      </c>
      <c r="M4996" t="s">
        <v>475</v>
      </c>
      <c r="N4996" t="s">
        <v>406</v>
      </c>
      <c r="O4996" t="s">
        <v>476</v>
      </c>
      <c r="P4996">
        <v>-20.177902</v>
      </c>
      <c r="Q4996">
        <v>-44.908504000000001</v>
      </c>
      <c r="R4996" s="2" t="str">
        <f>HYPERLINK("https://www.google.com/maps?q=-20.1779020,-44.9085040","Abrir no Google Maps")</f>
        <v>Abrir no Google Maps</v>
      </c>
      <c r="S4996">
        <v>3</v>
      </c>
      <c r="T4996">
        <v>656.92307673247149</v>
      </c>
      <c r="U4996">
        <v>3</v>
      </c>
      <c r="V4996">
        <v>0.11940298507462679</v>
      </c>
      <c r="W4996">
        <v>1</v>
      </c>
      <c r="X4996">
        <v>0.11940298507462679</v>
      </c>
      <c r="Y4996">
        <v>578</v>
      </c>
      <c r="Z4996">
        <v>635.01982153722327</v>
      </c>
      <c r="AA4996">
        <v>198</v>
      </c>
      <c r="AB4996">
        <v>332</v>
      </c>
      <c r="AC4996">
        <v>536</v>
      </c>
      <c r="AD4996">
        <v>32.42</v>
      </c>
      <c r="AE4996">
        <v>542</v>
      </c>
      <c r="AF4996">
        <v>39</v>
      </c>
      <c r="AG4996">
        <v>173</v>
      </c>
      <c r="AH4996">
        <v>129</v>
      </c>
      <c r="AI4996">
        <v>7.2</v>
      </c>
      <c r="AJ4996">
        <v>31.92</v>
      </c>
      <c r="AK4996">
        <v>23.8</v>
      </c>
      <c r="AL4996">
        <v>-20.177800399999938</v>
      </c>
      <c r="AM4996">
        <v>-44.908361879701268</v>
      </c>
      <c r="AN4996">
        <v>-20.177800399999938</v>
      </c>
      <c r="AO4996">
        <v>-44.908361879701268</v>
      </c>
      <c r="AP4996">
        <v>-20.177902</v>
      </c>
      <c r="AQ4996">
        <v>-44.908504000000001</v>
      </c>
      <c r="AR4996">
        <v>18.666463141775541</v>
      </c>
      <c r="AS4996" t="s">
        <v>65</v>
      </c>
      <c r="AT4996">
        <v>1</v>
      </c>
      <c r="AU4996" t="s">
        <v>477</v>
      </c>
      <c r="AV4996" t="s">
        <v>478</v>
      </c>
      <c r="AW4996" t="s">
        <v>60</v>
      </c>
      <c r="AX4996" t="s">
        <v>68</v>
      </c>
      <c r="AY4996" t="s">
        <v>69</v>
      </c>
      <c r="AZ4996" t="b">
        <v>1</v>
      </c>
    </row>
    <row r="4997" spans="1:52" x14ac:dyDescent="0.3">
      <c r="A4997" t="s">
        <v>52</v>
      </c>
      <c r="B4997" t="s">
        <v>53</v>
      </c>
      <c r="C4997" t="s">
        <v>54</v>
      </c>
      <c r="D4997" t="s">
        <v>55</v>
      </c>
      <c r="E4997" t="s">
        <v>2224</v>
      </c>
      <c r="F4997" t="s">
        <v>1247</v>
      </c>
      <c r="G4997" t="s">
        <v>479</v>
      </c>
      <c r="H4997" t="s">
        <v>480</v>
      </c>
      <c r="I4997" t="s">
        <v>480</v>
      </c>
      <c r="J4997" t="s">
        <v>60</v>
      </c>
      <c r="K4997" t="s">
        <v>388</v>
      </c>
      <c r="L4997" t="s">
        <v>62</v>
      </c>
      <c r="M4997" t="s">
        <v>388</v>
      </c>
      <c r="N4997" t="s">
        <v>481</v>
      </c>
      <c r="O4997" t="s">
        <v>315</v>
      </c>
      <c r="P4997">
        <v>-20.166903999999999</v>
      </c>
      <c r="Q4997">
        <v>-44.903492</v>
      </c>
      <c r="R4997" s="2" t="str">
        <f>HYPERLINK("https://www.google.com/maps?q=-20.1669040,-44.9034920","Abrir no Google Maps")</f>
        <v>Abrir no Google Maps</v>
      </c>
      <c r="S4997">
        <v>3</v>
      </c>
      <c r="T4997">
        <v>517.12253532511602</v>
      </c>
      <c r="U4997">
        <v>3</v>
      </c>
      <c r="V4997">
        <v>0.1122754491017964</v>
      </c>
      <c r="W4997">
        <v>1</v>
      </c>
      <c r="X4997">
        <v>0.1122754491017964</v>
      </c>
      <c r="Y4997">
        <v>578</v>
      </c>
      <c r="Z4997">
        <v>721.79551240050432</v>
      </c>
      <c r="AA4997">
        <v>198</v>
      </c>
      <c r="AB4997">
        <v>332</v>
      </c>
      <c r="AC4997">
        <v>536</v>
      </c>
      <c r="AD4997">
        <v>32.42</v>
      </c>
      <c r="AE4997">
        <v>542</v>
      </c>
      <c r="AF4997">
        <v>39</v>
      </c>
      <c r="AG4997">
        <v>173</v>
      </c>
      <c r="AH4997">
        <v>129</v>
      </c>
      <c r="AI4997">
        <v>7.2</v>
      </c>
      <c r="AJ4997">
        <v>31.92</v>
      </c>
      <c r="AK4997">
        <v>23.8</v>
      </c>
      <c r="AL4997">
        <v>-20.166610649999971</v>
      </c>
      <c r="AM4997">
        <v>-44.903452988928308</v>
      </c>
      <c r="AN4997">
        <v>-20.166610649999971</v>
      </c>
      <c r="AO4997">
        <v>-44.903452988928308</v>
      </c>
      <c r="AP4997">
        <v>-20.166903999999999</v>
      </c>
      <c r="AQ4997">
        <v>-44.903492</v>
      </c>
      <c r="AR4997">
        <v>32.909175876856217</v>
      </c>
      <c r="AS4997" t="s">
        <v>65</v>
      </c>
      <c r="AT4997">
        <v>1</v>
      </c>
      <c r="AU4997" t="s">
        <v>482</v>
      </c>
      <c r="AV4997" t="s">
        <v>483</v>
      </c>
      <c r="AW4997" t="s">
        <v>60</v>
      </c>
      <c r="AX4997" t="s">
        <v>68</v>
      </c>
      <c r="AY4997" t="s">
        <v>69</v>
      </c>
      <c r="AZ4997" t="b">
        <v>1</v>
      </c>
    </row>
    <row r="4998" spans="1:52" x14ac:dyDescent="0.3">
      <c r="A4998" t="s">
        <v>52</v>
      </c>
      <c r="B4998" t="s">
        <v>53</v>
      </c>
      <c r="C4998" t="s">
        <v>54</v>
      </c>
      <c r="D4998" t="s">
        <v>55</v>
      </c>
      <c r="E4998" t="s">
        <v>2224</v>
      </c>
      <c r="F4998" t="s">
        <v>1247</v>
      </c>
      <c r="G4998" t="s">
        <v>484</v>
      </c>
      <c r="H4998" t="s">
        <v>485</v>
      </c>
      <c r="I4998" t="s">
        <v>485</v>
      </c>
      <c r="J4998" t="s">
        <v>60</v>
      </c>
      <c r="K4998" t="s">
        <v>486</v>
      </c>
      <c r="L4998" t="s">
        <v>62</v>
      </c>
      <c r="M4998" t="s">
        <v>486</v>
      </c>
      <c r="N4998" t="s">
        <v>487</v>
      </c>
      <c r="O4998" t="s">
        <v>488</v>
      </c>
      <c r="P4998">
        <v>-20.173000999999999</v>
      </c>
      <c r="Q4998">
        <v>-44.901876999999999</v>
      </c>
      <c r="R4998" s="2" t="str">
        <f>HYPERLINK("https://www.google.com/maps?q=-20.1730010,-44.9018770","Abrir no Google Maps")</f>
        <v>Abrir no Google Maps</v>
      </c>
      <c r="S4998">
        <v>3</v>
      </c>
      <c r="T4998">
        <v>437.59695450783011</v>
      </c>
      <c r="U4998">
        <v>3</v>
      </c>
      <c r="V4998">
        <v>0.1171171171171171</v>
      </c>
      <c r="W4998">
        <v>1</v>
      </c>
      <c r="X4998">
        <v>0.1171171171171171</v>
      </c>
      <c r="Y4998">
        <v>578</v>
      </c>
      <c r="Z4998">
        <v>440.53629183653243</v>
      </c>
      <c r="AA4998">
        <v>198</v>
      </c>
      <c r="AB4998">
        <v>332</v>
      </c>
      <c r="AC4998">
        <v>536</v>
      </c>
      <c r="AD4998">
        <v>32.42</v>
      </c>
      <c r="AE4998">
        <v>542</v>
      </c>
      <c r="AF4998">
        <v>39</v>
      </c>
      <c r="AG4998">
        <v>173</v>
      </c>
      <c r="AH4998">
        <v>129</v>
      </c>
      <c r="AI4998">
        <v>7.2</v>
      </c>
      <c r="AJ4998">
        <v>31.92</v>
      </c>
      <c r="AK4998">
        <v>23.8</v>
      </c>
      <c r="AL4998">
        <v>-20.173065299999969</v>
      </c>
      <c r="AM4998">
        <v>-44.902052686008687</v>
      </c>
      <c r="AN4998">
        <v>-20.173065299999969</v>
      </c>
      <c r="AO4998">
        <v>-44.902052686008687</v>
      </c>
      <c r="AP4998">
        <v>-20.173000999999999</v>
      </c>
      <c r="AQ4998">
        <v>-44.901876999999999</v>
      </c>
      <c r="AR4998">
        <v>19.703745070768829</v>
      </c>
      <c r="AS4998" t="s">
        <v>65</v>
      </c>
      <c r="AT4998">
        <v>1</v>
      </c>
      <c r="AU4998" t="s">
        <v>489</v>
      </c>
      <c r="AV4998" t="s">
        <v>490</v>
      </c>
      <c r="AW4998" t="s">
        <v>60</v>
      </c>
      <c r="AX4998" t="s">
        <v>68</v>
      </c>
      <c r="AY4998" t="s">
        <v>69</v>
      </c>
      <c r="AZ4998" t="b">
        <v>1</v>
      </c>
    </row>
    <row r="4999" spans="1:52" x14ac:dyDescent="0.3">
      <c r="A4999" t="s">
        <v>52</v>
      </c>
      <c r="B4999" t="s">
        <v>53</v>
      </c>
      <c r="C4999" t="s">
        <v>54</v>
      </c>
      <c r="D4999" t="s">
        <v>55</v>
      </c>
      <c r="E4999" t="s">
        <v>2224</v>
      </c>
      <c r="F4999" t="s">
        <v>1247</v>
      </c>
      <c r="G4999" t="s">
        <v>491</v>
      </c>
      <c r="H4999" t="s">
        <v>492</v>
      </c>
      <c r="I4999" t="s">
        <v>492</v>
      </c>
      <c r="J4999" t="s">
        <v>60</v>
      </c>
      <c r="K4999" t="s">
        <v>475</v>
      </c>
      <c r="L4999" t="s">
        <v>62</v>
      </c>
      <c r="M4999" t="s">
        <v>475</v>
      </c>
      <c r="N4999" t="s">
        <v>493</v>
      </c>
      <c r="O4999" t="s">
        <v>494</v>
      </c>
      <c r="P4999">
        <v>-20.175250999999999</v>
      </c>
      <c r="Q4999">
        <v>-44.897357</v>
      </c>
      <c r="R4999" s="2" t="str">
        <f>HYPERLINK("https://www.google.com/maps?q=-20.1752510,-44.8973570","Abrir no Google Maps")</f>
        <v>Abrir no Google Maps</v>
      </c>
      <c r="S4999">
        <v>3</v>
      </c>
      <c r="T4999">
        <v>992.29631678149951</v>
      </c>
      <c r="U4999">
        <v>3</v>
      </c>
      <c r="V4999">
        <v>0.11326530612244889</v>
      </c>
      <c r="W4999">
        <v>1</v>
      </c>
      <c r="X4999">
        <v>0.11326530612244889</v>
      </c>
      <c r="Y4999">
        <v>578</v>
      </c>
      <c r="Z4999">
        <v>1008.5871064168319</v>
      </c>
      <c r="AA4999">
        <v>198</v>
      </c>
      <c r="AB4999">
        <v>332</v>
      </c>
      <c r="AC4999">
        <v>536</v>
      </c>
      <c r="AD4999">
        <v>32.42</v>
      </c>
      <c r="AE4999">
        <v>542</v>
      </c>
      <c r="AF4999">
        <v>39</v>
      </c>
      <c r="AG4999">
        <v>173</v>
      </c>
      <c r="AH4999">
        <v>129</v>
      </c>
      <c r="AI4999">
        <v>7.2</v>
      </c>
      <c r="AJ4999">
        <v>31.92</v>
      </c>
      <c r="AK4999">
        <v>23.8</v>
      </c>
      <c r="AL4999">
        <v>-20.175290599999951</v>
      </c>
      <c r="AM4999">
        <v>-44.897271931010721</v>
      </c>
      <c r="AN4999">
        <v>-20.175290599999951</v>
      </c>
      <c r="AO4999">
        <v>-44.897271931010721</v>
      </c>
      <c r="AP4999">
        <v>-20.175250999999999</v>
      </c>
      <c r="AQ4999">
        <v>-44.897357</v>
      </c>
      <c r="AR4999">
        <v>9.921899108467926</v>
      </c>
      <c r="AS4999" t="s">
        <v>65</v>
      </c>
      <c r="AT4999">
        <v>1</v>
      </c>
      <c r="AU4999" t="s">
        <v>495</v>
      </c>
      <c r="AV4999" t="s">
        <v>496</v>
      </c>
      <c r="AW4999" t="s">
        <v>60</v>
      </c>
      <c r="AX4999" t="s">
        <v>68</v>
      </c>
      <c r="AY4999" t="s">
        <v>69</v>
      </c>
      <c r="AZ4999" t="b">
        <v>1</v>
      </c>
    </row>
    <row r="5000" spans="1:52" x14ac:dyDescent="0.3">
      <c r="A5000" t="s">
        <v>52</v>
      </c>
      <c r="B5000" t="s">
        <v>53</v>
      </c>
      <c r="C5000" t="s">
        <v>54</v>
      </c>
      <c r="D5000" t="s">
        <v>55</v>
      </c>
      <c r="E5000" t="s">
        <v>2224</v>
      </c>
      <c r="F5000" t="s">
        <v>1247</v>
      </c>
      <c r="G5000" t="s">
        <v>497</v>
      </c>
      <c r="H5000" t="s">
        <v>498</v>
      </c>
      <c r="I5000" t="s">
        <v>498</v>
      </c>
      <c r="J5000" t="s">
        <v>60</v>
      </c>
      <c r="K5000" t="s">
        <v>475</v>
      </c>
      <c r="L5000" t="s">
        <v>62</v>
      </c>
      <c r="M5000" t="s">
        <v>475</v>
      </c>
      <c r="N5000" t="s">
        <v>499</v>
      </c>
      <c r="O5000" t="s">
        <v>500</v>
      </c>
      <c r="P5000">
        <v>-20.175492999999999</v>
      </c>
      <c r="Q5000">
        <v>-44.900759000000001</v>
      </c>
      <c r="R5000" s="2" t="str">
        <f>HYPERLINK("https://www.google.com/maps?q=-20.1754930,-44.9007590","Abrir no Google Maps")</f>
        <v>Abrir no Google Maps</v>
      </c>
      <c r="S5000">
        <v>3</v>
      </c>
      <c r="T5000">
        <v>753.30732354720431</v>
      </c>
      <c r="U5000">
        <v>3</v>
      </c>
      <c r="V5000">
        <v>0.1109550561797752</v>
      </c>
      <c r="W5000">
        <v>1</v>
      </c>
      <c r="X5000">
        <v>0.1109550561797752</v>
      </c>
      <c r="Y5000">
        <v>578</v>
      </c>
      <c r="Z5000">
        <v>695.28903655431702</v>
      </c>
      <c r="AA5000">
        <v>198</v>
      </c>
      <c r="AB5000">
        <v>332</v>
      </c>
      <c r="AC5000">
        <v>536</v>
      </c>
      <c r="AD5000">
        <v>32.42</v>
      </c>
      <c r="AE5000">
        <v>542</v>
      </c>
      <c r="AF5000">
        <v>39</v>
      </c>
      <c r="AG5000">
        <v>173</v>
      </c>
      <c r="AH5000">
        <v>129</v>
      </c>
      <c r="AI5000">
        <v>7.2</v>
      </c>
      <c r="AJ5000">
        <v>31.92</v>
      </c>
      <c r="AK5000">
        <v>23.8</v>
      </c>
      <c r="AL5000">
        <v>-20.175825999999969</v>
      </c>
      <c r="AM5000">
        <v>-44.900600234646973</v>
      </c>
      <c r="AN5000">
        <v>-20.175825999999969</v>
      </c>
      <c r="AO5000">
        <v>-44.900600234646973</v>
      </c>
      <c r="AP5000">
        <v>-20.175492999999999</v>
      </c>
      <c r="AQ5000">
        <v>-44.900759000000001</v>
      </c>
      <c r="AR5000">
        <v>40.612267304645073</v>
      </c>
      <c r="AS5000" t="s">
        <v>65</v>
      </c>
      <c r="AT5000">
        <v>1</v>
      </c>
      <c r="AU5000" t="s">
        <v>501</v>
      </c>
      <c r="AV5000" t="s">
        <v>502</v>
      </c>
      <c r="AW5000" t="s">
        <v>60</v>
      </c>
      <c r="AX5000" t="s">
        <v>68</v>
      </c>
      <c r="AY5000" t="s">
        <v>69</v>
      </c>
      <c r="AZ5000" t="b">
        <v>1</v>
      </c>
    </row>
    <row r="5001" spans="1:52" x14ac:dyDescent="0.3">
      <c r="A5001" t="s">
        <v>52</v>
      </c>
      <c r="B5001" t="s">
        <v>53</v>
      </c>
      <c r="C5001" t="s">
        <v>54</v>
      </c>
      <c r="D5001" t="s">
        <v>55</v>
      </c>
      <c r="E5001" t="s">
        <v>2224</v>
      </c>
      <c r="F5001" t="s">
        <v>1247</v>
      </c>
      <c r="G5001" t="s">
        <v>879</v>
      </c>
      <c r="H5001" t="s">
        <v>880</v>
      </c>
      <c r="I5001" t="s">
        <v>880</v>
      </c>
      <c r="J5001" t="s">
        <v>60</v>
      </c>
      <c r="K5001" t="s">
        <v>505</v>
      </c>
      <c r="L5001" t="s">
        <v>62</v>
      </c>
      <c r="M5001" t="s">
        <v>505</v>
      </c>
      <c r="N5001" t="s">
        <v>881</v>
      </c>
      <c r="O5001" t="s">
        <v>882</v>
      </c>
      <c r="P5001">
        <v>-20.133452999999999</v>
      </c>
      <c r="Q5001">
        <v>-44.890571999999999</v>
      </c>
      <c r="R5001" s="2" t="str">
        <f>HYPERLINK("https://www.google.com/maps?q=-20.1334530,-44.8905720","Abrir no Google Maps")</f>
        <v>Abrir no Google Maps</v>
      </c>
      <c r="S5001">
        <v>3</v>
      </c>
      <c r="T5001">
        <v>373.51332104809921</v>
      </c>
      <c r="U5001">
        <v>3</v>
      </c>
      <c r="V5001">
        <v>0.12564102564102561</v>
      </c>
      <c r="W5001">
        <v>1</v>
      </c>
      <c r="X5001">
        <v>0.12564102564102561</v>
      </c>
      <c r="Y5001">
        <v>564</v>
      </c>
      <c r="Z5001">
        <v>422.34693311930448</v>
      </c>
      <c r="AA5001">
        <v>198</v>
      </c>
      <c r="AB5001">
        <v>332</v>
      </c>
      <c r="AC5001">
        <v>536</v>
      </c>
      <c r="AD5001">
        <v>32.42</v>
      </c>
      <c r="AE5001">
        <v>542</v>
      </c>
      <c r="AF5001">
        <v>39</v>
      </c>
      <c r="AG5001">
        <v>173</v>
      </c>
      <c r="AH5001">
        <v>129</v>
      </c>
      <c r="AI5001">
        <v>7.2</v>
      </c>
      <c r="AJ5001">
        <v>31.92</v>
      </c>
      <c r="AK5001">
        <v>23.8</v>
      </c>
      <c r="AL5001">
        <v>-20.133421549999952</v>
      </c>
      <c r="AM5001">
        <v>-44.890623456009052</v>
      </c>
      <c r="AN5001">
        <v>-20.133421549999952</v>
      </c>
      <c r="AO5001">
        <v>-44.890623456009052</v>
      </c>
      <c r="AP5001">
        <v>-20.133452999999999</v>
      </c>
      <c r="AQ5001">
        <v>-44.890571999999999</v>
      </c>
      <c r="AR5001">
        <v>6.4172139275452773</v>
      </c>
      <c r="AS5001" t="s">
        <v>65</v>
      </c>
      <c r="AT5001">
        <v>1</v>
      </c>
      <c r="AU5001" t="s">
        <v>883</v>
      </c>
      <c r="AV5001" t="s">
        <v>884</v>
      </c>
      <c r="AW5001" t="s">
        <v>60</v>
      </c>
      <c r="AX5001" t="s">
        <v>68</v>
      </c>
      <c r="AY5001" t="s">
        <v>69</v>
      </c>
      <c r="AZ5001" t="b">
        <v>1</v>
      </c>
    </row>
    <row r="5002" spans="1:52" x14ac:dyDescent="0.3">
      <c r="A5002" t="s">
        <v>52</v>
      </c>
      <c r="B5002" t="s">
        <v>53</v>
      </c>
      <c r="C5002" t="s">
        <v>54</v>
      </c>
      <c r="D5002" t="s">
        <v>55</v>
      </c>
      <c r="E5002" t="s">
        <v>2224</v>
      </c>
      <c r="F5002" t="s">
        <v>1247</v>
      </c>
      <c r="G5002" t="s">
        <v>1429</v>
      </c>
      <c r="H5002" t="s">
        <v>1430</v>
      </c>
      <c r="I5002" t="s">
        <v>1430</v>
      </c>
      <c r="J5002" t="s">
        <v>60</v>
      </c>
      <c r="K5002" t="s">
        <v>505</v>
      </c>
      <c r="L5002" t="s">
        <v>62</v>
      </c>
      <c r="M5002" t="s">
        <v>505</v>
      </c>
      <c r="N5002" t="s">
        <v>1431</v>
      </c>
      <c r="O5002" t="s">
        <v>1432</v>
      </c>
      <c r="P5002">
        <v>-20.132069000000001</v>
      </c>
      <c r="Q5002">
        <v>-44.891694000000001</v>
      </c>
      <c r="R5002" s="2" t="str">
        <f>HYPERLINK("https://www.google.com/maps?q=-20.1320690,-44.8916940","Abrir no Google Maps")</f>
        <v>Abrir no Google Maps</v>
      </c>
      <c r="S5002">
        <v>3</v>
      </c>
      <c r="T5002">
        <v>463.84477613866852</v>
      </c>
      <c r="U5002">
        <v>3</v>
      </c>
      <c r="V5002">
        <v>0.1397849462365591</v>
      </c>
      <c r="W5002">
        <v>0.85</v>
      </c>
      <c r="X5002">
        <v>0.1188172043010752</v>
      </c>
      <c r="Y5002">
        <v>564</v>
      </c>
      <c r="Z5002">
        <v>349.6044774510159</v>
      </c>
      <c r="AA5002">
        <v>198</v>
      </c>
      <c r="AB5002">
        <v>332</v>
      </c>
      <c r="AC5002">
        <v>536</v>
      </c>
      <c r="AD5002">
        <v>32.42</v>
      </c>
      <c r="AE5002">
        <v>542</v>
      </c>
      <c r="AF5002">
        <v>39</v>
      </c>
      <c r="AG5002">
        <v>173</v>
      </c>
      <c r="AH5002">
        <v>129</v>
      </c>
      <c r="AI5002">
        <v>7.2</v>
      </c>
      <c r="AJ5002">
        <v>31.92</v>
      </c>
      <c r="AK5002">
        <v>23.8</v>
      </c>
      <c r="AL5002">
        <v>-20.131860799999941</v>
      </c>
      <c r="AM5002">
        <v>-44.891643045551348</v>
      </c>
      <c r="AN5002">
        <v>-20.131860799999941</v>
      </c>
      <c r="AO5002">
        <v>-44.891643045551348</v>
      </c>
      <c r="AP5002">
        <v>-20.132069000000001</v>
      </c>
      <c r="AQ5002">
        <v>-44.891694000000001</v>
      </c>
      <c r="AR5002">
        <v>23.780836080569209</v>
      </c>
      <c r="AS5002" t="s">
        <v>65</v>
      </c>
      <c r="AT5002">
        <v>1</v>
      </c>
      <c r="AU5002" t="s">
        <v>1433</v>
      </c>
      <c r="AV5002" t="s">
        <v>1434</v>
      </c>
      <c r="AW5002" t="s">
        <v>60</v>
      </c>
      <c r="AX5002" t="s">
        <v>68</v>
      </c>
      <c r="AY5002" t="s">
        <v>69</v>
      </c>
      <c r="AZ5002" t="b">
        <v>1</v>
      </c>
    </row>
    <row r="5003" spans="1:52" x14ac:dyDescent="0.3">
      <c r="A5003" t="s">
        <v>52</v>
      </c>
      <c r="B5003" t="s">
        <v>53</v>
      </c>
      <c r="C5003" t="s">
        <v>54</v>
      </c>
      <c r="D5003" t="s">
        <v>55</v>
      </c>
      <c r="E5003" t="s">
        <v>2224</v>
      </c>
      <c r="F5003" t="s">
        <v>1247</v>
      </c>
      <c r="G5003" t="s">
        <v>473</v>
      </c>
      <c r="H5003" t="s">
        <v>1445</v>
      </c>
      <c r="I5003" t="s">
        <v>1445</v>
      </c>
      <c r="J5003" t="s">
        <v>60</v>
      </c>
      <c r="K5003" t="s">
        <v>892</v>
      </c>
      <c r="L5003" t="s">
        <v>62</v>
      </c>
      <c r="M5003" t="s">
        <v>892</v>
      </c>
      <c r="N5003" t="s">
        <v>406</v>
      </c>
      <c r="O5003" t="s">
        <v>1446</v>
      </c>
      <c r="P5003">
        <v>-20.14941</v>
      </c>
      <c r="Q5003">
        <v>-44.899535</v>
      </c>
      <c r="R5003" s="2" t="str">
        <f>HYPERLINK("https://www.google.com/maps?q=-20.1494100,-44.8995350","Abrir no Google Maps")</f>
        <v>Abrir no Google Maps</v>
      </c>
      <c r="S5003">
        <v>3</v>
      </c>
      <c r="T5003">
        <v>249.83945591849931</v>
      </c>
      <c r="U5003">
        <v>3</v>
      </c>
      <c r="V5003">
        <v>0.13028169014084501</v>
      </c>
      <c r="W5003">
        <v>0.85</v>
      </c>
      <c r="X5003">
        <v>0.1107394366197183</v>
      </c>
      <c r="Y5003">
        <v>556</v>
      </c>
      <c r="Z5003">
        <v>156.62360082488701</v>
      </c>
      <c r="AA5003">
        <v>198</v>
      </c>
      <c r="AB5003">
        <v>332</v>
      </c>
      <c r="AC5003">
        <v>536</v>
      </c>
      <c r="AD5003">
        <v>32.42</v>
      </c>
      <c r="AE5003">
        <v>542</v>
      </c>
      <c r="AF5003">
        <v>39</v>
      </c>
      <c r="AG5003">
        <v>173</v>
      </c>
      <c r="AH5003">
        <v>129</v>
      </c>
      <c r="AI5003">
        <v>7.2</v>
      </c>
      <c r="AJ5003">
        <v>31.92</v>
      </c>
      <c r="AK5003">
        <v>23.8</v>
      </c>
      <c r="AL5003">
        <v>-20.149341899999939</v>
      </c>
      <c r="AM5003">
        <v>-44.899575902083967</v>
      </c>
      <c r="AN5003">
        <v>-20.149341899999939</v>
      </c>
      <c r="AO5003">
        <v>-44.899575902083967</v>
      </c>
      <c r="AP5003">
        <v>-20.14941</v>
      </c>
      <c r="AQ5003">
        <v>-44.899535</v>
      </c>
      <c r="AR5003">
        <v>8.7029725999778709</v>
      </c>
      <c r="AS5003" t="s">
        <v>65</v>
      </c>
      <c r="AT5003">
        <v>1</v>
      </c>
      <c r="AU5003" t="s">
        <v>1447</v>
      </c>
      <c r="AV5003" t="s">
        <v>1448</v>
      </c>
      <c r="AW5003" t="s">
        <v>60</v>
      </c>
      <c r="AX5003" t="s">
        <v>68</v>
      </c>
      <c r="AY5003" t="s">
        <v>69</v>
      </c>
      <c r="AZ5003" t="b">
        <v>1</v>
      </c>
    </row>
    <row r="5004" spans="1:52" x14ac:dyDescent="0.3">
      <c r="A5004" t="s">
        <v>52</v>
      </c>
      <c r="B5004" t="s">
        <v>53</v>
      </c>
      <c r="C5004" t="s">
        <v>54</v>
      </c>
      <c r="D5004" t="s">
        <v>55</v>
      </c>
      <c r="E5004" t="s">
        <v>2224</v>
      </c>
      <c r="F5004" t="s">
        <v>1247</v>
      </c>
      <c r="G5004" t="s">
        <v>890</v>
      </c>
      <c r="H5004" t="s">
        <v>891</v>
      </c>
      <c r="I5004" t="s">
        <v>891</v>
      </c>
      <c r="J5004" t="s">
        <v>60</v>
      </c>
      <c r="K5004" t="s">
        <v>892</v>
      </c>
      <c r="L5004" t="s">
        <v>62</v>
      </c>
      <c r="M5004" t="s">
        <v>892</v>
      </c>
      <c r="N5004" t="s">
        <v>893</v>
      </c>
      <c r="O5004" t="s">
        <v>894</v>
      </c>
      <c r="P5004">
        <v>-20.152519000000002</v>
      </c>
      <c r="Q5004">
        <v>-44.899177000000002</v>
      </c>
      <c r="R5004" s="2" t="str">
        <f>HYPERLINK("https://www.google.com/maps?q=-20.1525190,-44.8991770","Abrir no Google Maps")</f>
        <v>Abrir no Google Maps</v>
      </c>
      <c r="S5004">
        <v>3</v>
      </c>
      <c r="T5004">
        <v>211.80188552994721</v>
      </c>
      <c r="U5004">
        <v>3</v>
      </c>
      <c r="V5004">
        <v>0.1138059701492537</v>
      </c>
      <c r="W5004">
        <v>1</v>
      </c>
      <c r="X5004">
        <v>0.1138059701492537</v>
      </c>
      <c r="Y5004">
        <v>556</v>
      </c>
      <c r="Z5004">
        <v>290.34804137107091</v>
      </c>
      <c r="AA5004">
        <v>198</v>
      </c>
      <c r="AB5004">
        <v>332</v>
      </c>
      <c r="AC5004">
        <v>536</v>
      </c>
      <c r="AD5004">
        <v>32.42</v>
      </c>
      <c r="AE5004">
        <v>542</v>
      </c>
      <c r="AF5004">
        <v>39</v>
      </c>
      <c r="AG5004">
        <v>173</v>
      </c>
      <c r="AH5004">
        <v>129</v>
      </c>
      <c r="AI5004">
        <v>7.2</v>
      </c>
      <c r="AJ5004">
        <v>31.92</v>
      </c>
      <c r="AK5004">
        <v>23.8</v>
      </c>
      <c r="AL5004">
        <v>-20.152516249999959</v>
      </c>
      <c r="AM5004">
        <v>-44.899310431333959</v>
      </c>
      <c r="AN5004">
        <v>-20.152516249999959</v>
      </c>
      <c r="AO5004">
        <v>-44.899310431333959</v>
      </c>
      <c r="AP5004">
        <v>-20.152519000000002</v>
      </c>
      <c r="AQ5004">
        <v>-44.899177000000002</v>
      </c>
      <c r="AR5004">
        <v>13.947583284957719</v>
      </c>
      <c r="AS5004" t="s">
        <v>65</v>
      </c>
      <c r="AT5004">
        <v>1</v>
      </c>
      <c r="AU5004" t="s">
        <v>895</v>
      </c>
      <c r="AV5004" t="s">
        <v>896</v>
      </c>
      <c r="AW5004" t="s">
        <v>60</v>
      </c>
      <c r="AX5004" t="s">
        <v>68</v>
      </c>
      <c r="AY5004" t="s">
        <v>69</v>
      </c>
      <c r="AZ5004" t="b">
        <v>1</v>
      </c>
    </row>
    <row r="5005" spans="1:52" x14ac:dyDescent="0.3">
      <c r="A5005" t="s">
        <v>52</v>
      </c>
      <c r="B5005" t="s">
        <v>53</v>
      </c>
      <c r="C5005" t="s">
        <v>54</v>
      </c>
      <c r="D5005" t="s">
        <v>55</v>
      </c>
      <c r="E5005" t="s">
        <v>2224</v>
      </c>
      <c r="F5005" t="s">
        <v>1247</v>
      </c>
      <c r="G5005" t="s">
        <v>398</v>
      </c>
      <c r="H5005" t="s">
        <v>541</v>
      </c>
      <c r="I5005" t="s">
        <v>541</v>
      </c>
      <c r="J5005" t="s">
        <v>60</v>
      </c>
      <c r="K5005" t="s">
        <v>388</v>
      </c>
      <c r="L5005" t="s">
        <v>62</v>
      </c>
      <c r="M5005" t="s">
        <v>388</v>
      </c>
      <c r="N5005" t="s">
        <v>400</v>
      </c>
      <c r="O5005" t="s">
        <v>542</v>
      </c>
      <c r="P5005">
        <v>-20.151335</v>
      </c>
      <c r="Q5005">
        <v>-44.901041999999997</v>
      </c>
      <c r="R5005" s="2" t="str">
        <f>HYPERLINK("https://www.google.com/maps?q=-20.1513350,-44.9010420","Abrir no Google Maps")</f>
        <v>Abrir no Google Maps</v>
      </c>
      <c r="S5005">
        <v>3</v>
      </c>
      <c r="T5005">
        <v>0</v>
      </c>
      <c r="U5005">
        <v>3</v>
      </c>
      <c r="V5005">
        <v>0.1210526315789473</v>
      </c>
      <c r="W5005">
        <v>1</v>
      </c>
      <c r="X5005">
        <v>0.1210526315789473</v>
      </c>
      <c r="Y5005">
        <v>556</v>
      </c>
      <c r="Z5005">
        <v>137.71609036908939</v>
      </c>
      <c r="AA5005">
        <v>198</v>
      </c>
      <c r="AB5005">
        <v>332</v>
      </c>
      <c r="AC5005">
        <v>536</v>
      </c>
      <c r="AD5005">
        <v>32.42</v>
      </c>
      <c r="AE5005">
        <v>542</v>
      </c>
      <c r="AF5005">
        <v>39</v>
      </c>
      <c r="AG5005">
        <v>173</v>
      </c>
      <c r="AH5005">
        <v>129</v>
      </c>
      <c r="AI5005">
        <v>7.2</v>
      </c>
      <c r="AJ5005">
        <v>31.92</v>
      </c>
      <c r="AK5005">
        <v>23.8</v>
      </c>
      <c r="AL5005">
        <v>-20.15125899999995</v>
      </c>
      <c r="AM5005">
        <v>-44.900838557594433</v>
      </c>
      <c r="AN5005">
        <v>-20.15125899999995</v>
      </c>
      <c r="AO5005">
        <v>-44.900838557594433</v>
      </c>
      <c r="AP5005">
        <v>-20.151335</v>
      </c>
      <c r="AQ5005">
        <v>-44.901041999999997</v>
      </c>
      <c r="AR5005">
        <v>22.882363139483491</v>
      </c>
      <c r="AS5005" t="s">
        <v>65</v>
      </c>
      <c r="AT5005">
        <v>1</v>
      </c>
      <c r="AU5005" t="s">
        <v>543</v>
      </c>
      <c r="AV5005" t="s">
        <v>544</v>
      </c>
      <c r="AW5005" t="s">
        <v>60</v>
      </c>
      <c r="AX5005" t="s">
        <v>68</v>
      </c>
      <c r="AY5005" t="s">
        <v>69</v>
      </c>
      <c r="AZ5005" t="b">
        <v>1</v>
      </c>
    </row>
    <row r="5006" spans="1:52" x14ac:dyDescent="0.3">
      <c r="A5006" t="s">
        <v>52</v>
      </c>
      <c r="B5006" t="s">
        <v>53</v>
      </c>
      <c r="C5006" t="s">
        <v>54</v>
      </c>
      <c r="D5006" t="s">
        <v>55</v>
      </c>
      <c r="E5006" t="s">
        <v>2224</v>
      </c>
      <c r="F5006" t="s">
        <v>1247</v>
      </c>
      <c r="G5006" t="s">
        <v>551</v>
      </c>
      <c r="H5006" t="s">
        <v>552</v>
      </c>
      <c r="I5006" t="s">
        <v>552</v>
      </c>
      <c r="J5006" t="s">
        <v>60</v>
      </c>
      <c r="K5006" t="s">
        <v>388</v>
      </c>
      <c r="L5006" t="s">
        <v>62</v>
      </c>
      <c r="M5006" t="s">
        <v>388</v>
      </c>
      <c r="N5006" t="s">
        <v>553</v>
      </c>
      <c r="O5006" t="s">
        <v>315</v>
      </c>
      <c r="P5006">
        <v>-20.153086999999999</v>
      </c>
      <c r="Q5006">
        <v>-44.905451999999997</v>
      </c>
      <c r="R5006" s="2" t="str">
        <f>HYPERLINK("https://www.google.com/maps?q=-20.1530870,-44.9054520","Abrir no Google Maps")</f>
        <v>Abrir no Google Maps</v>
      </c>
      <c r="S5006">
        <v>3</v>
      </c>
      <c r="T5006">
        <v>313.69387682409018</v>
      </c>
      <c r="U5006">
        <v>3</v>
      </c>
      <c r="V5006">
        <v>0.1148325358851674</v>
      </c>
      <c r="W5006">
        <v>1</v>
      </c>
      <c r="X5006">
        <v>0.1148325358851674</v>
      </c>
      <c r="Y5006">
        <v>548</v>
      </c>
      <c r="Z5006">
        <v>319.51605309906859</v>
      </c>
      <c r="AA5006">
        <v>198</v>
      </c>
      <c r="AB5006">
        <v>332</v>
      </c>
      <c r="AC5006">
        <v>536</v>
      </c>
      <c r="AD5006">
        <v>32.42</v>
      </c>
      <c r="AE5006">
        <v>542</v>
      </c>
      <c r="AF5006">
        <v>39</v>
      </c>
      <c r="AG5006">
        <v>173</v>
      </c>
      <c r="AH5006">
        <v>129</v>
      </c>
      <c r="AI5006">
        <v>7.2</v>
      </c>
      <c r="AJ5006">
        <v>31.92</v>
      </c>
      <c r="AK5006">
        <v>23.8</v>
      </c>
      <c r="AL5006">
        <v>-20.153043049999951</v>
      </c>
      <c r="AM5006">
        <v>-44.905348275899513</v>
      </c>
      <c r="AN5006">
        <v>-20.153043049999951</v>
      </c>
      <c r="AO5006">
        <v>-44.905348275899513</v>
      </c>
      <c r="AP5006">
        <v>-20.153086999999999</v>
      </c>
      <c r="AQ5006">
        <v>-44.905451999999997</v>
      </c>
      <c r="AR5006">
        <v>11.892619975648341</v>
      </c>
      <c r="AS5006" t="s">
        <v>65</v>
      </c>
      <c r="AT5006">
        <v>1</v>
      </c>
      <c r="AU5006" t="s">
        <v>554</v>
      </c>
      <c r="AV5006" t="s">
        <v>555</v>
      </c>
      <c r="AW5006" t="s">
        <v>60</v>
      </c>
      <c r="AX5006" t="s">
        <v>68</v>
      </c>
      <c r="AY5006" t="s">
        <v>69</v>
      </c>
      <c r="AZ5006" t="b">
        <v>1</v>
      </c>
    </row>
    <row r="5007" spans="1:52" x14ac:dyDescent="0.3">
      <c r="A5007" t="s">
        <v>52</v>
      </c>
      <c r="B5007" t="s">
        <v>53</v>
      </c>
      <c r="C5007" t="s">
        <v>54</v>
      </c>
      <c r="D5007" t="s">
        <v>55</v>
      </c>
      <c r="E5007" t="s">
        <v>2224</v>
      </c>
      <c r="F5007" t="s">
        <v>1247</v>
      </c>
      <c r="G5007" t="s">
        <v>380</v>
      </c>
      <c r="H5007" t="s">
        <v>381</v>
      </c>
      <c r="I5007" t="s">
        <v>381</v>
      </c>
      <c r="J5007" t="s">
        <v>60</v>
      </c>
      <c r="K5007" t="s">
        <v>72</v>
      </c>
      <c r="L5007" t="s">
        <v>62</v>
      </c>
      <c r="M5007" t="s">
        <v>72</v>
      </c>
      <c r="N5007" t="s">
        <v>382</v>
      </c>
      <c r="O5007" t="s">
        <v>383</v>
      </c>
      <c r="P5007">
        <v>-20.147182000000001</v>
      </c>
      <c r="Q5007">
        <v>-44.912728999999999</v>
      </c>
      <c r="R5007" s="2" t="str">
        <f>HYPERLINK("https://www.google.com/maps?q=-20.1471820,-44.9127290","Abrir no Google Maps")</f>
        <v>Abrir no Google Maps</v>
      </c>
      <c r="S5007">
        <v>3</v>
      </c>
      <c r="T5007">
        <v>478.0141981540923</v>
      </c>
      <c r="U5007">
        <v>2</v>
      </c>
      <c r="V5007">
        <v>0.1091417910447761</v>
      </c>
      <c r="W5007">
        <v>1</v>
      </c>
      <c r="X5007">
        <v>0.1091417910447761</v>
      </c>
      <c r="Y5007">
        <v>747</v>
      </c>
      <c r="Z5007">
        <v>494.0254290673729</v>
      </c>
      <c r="AA5007">
        <v>198</v>
      </c>
      <c r="AB5007">
        <v>332</v>
      </c>
      <c r="AC5007">
        <v>536</v>
      </c>
      <c r="AD5007">
        <v>32.42</v>
      </c>
      <c r="AE5007">
        <v>542</v>
      </c>
      <c r="AF5007">
        <v>39</v>
      </c>
      <c r="AG5007">
        <v>173</v>
      </c>
      <c r="AH5007">
        <v>129</v>
      </c>
      <c r="AI5007">
        <v>7.2</v>
      </c>
      <c r="AJ5007">
        <v>31.92</v>
      </c>
      <c r="AK5007">
        <v>23.8</v>
      </c>
      <c r="AL5007">
        <v>-20.147375599999979</v>
      </c>
      <c r="AM5007">
        <v>-44.912907472879468</v>
      </c>
      <c r="AN5007">
        <v>-20.147375599999979</v>
      </c>
      <c r="AO5007">
        <v>-44.912907472879468</v>
      </c>
      <c r="AP5007">
        <v>-20.147182000000001</v>
      </c>
      <c r="AQ5007">
        <v>-44.912728999999999</v>
      </c>
      <c r="AR5007">
        <v>28.50197694184326</v>
      </c>
      <c r="AS5007" t="s">
        <v>65</v>
      </c>
      <c r="AT5007">
        <v>1</v>
      </c>
      <c r="AU5007" t="s">
        <v>384</v>
      </c>
      <c r="AV5007" t="s">
        <v>385</v>
      </c>
      <c r="AW5007" t="s">
        <v>60</v>
      </c>
      <c r="AX5007" t="s">
        <v>68</v>
      </c>
      <c r="AY5007" t="s">
        <v>69</v>
      </c>
      <c r="AZ5007" t="b">
        <v>1</v>
      </c>
    </row>
    <row r="5008" spans="1:52" x14ac:dyDescent="0.3">
      <c r="A5008" t="s">
        <v>52</v>
      </c>
      <c r="B5008" t="s">
        <v>53</v>
      </c>
      <c r="C5008" t="s">
        <v>54</v>
      </c>
      <c r="D5008" t="s">
        <v>55</v>
      </c>
      <c r="E5008" t="s">
        <v>2224</v>
      </c>
      <c r="F5008" t="s">
        <v>1247</v>
      </c>
      <c r="G5008" t="s">
        <v>833</v>
      </c>
      <c r="H5008" t="s">
        <v>834</v>
      </c>
      <c r="I5008" t="s">
        <v>834</v>
      </c>
      <c r="J5008" t="s">
        <v>60</v>
      </c>
      <c r="K5008" t="s">
        <v>388</v>
      </c>
      <c r="L5008" t="s">
        <v>62</v>
      </c>
      <c r="M5008" t="s">
        <v>388</v>
      </c>
      <c r="N5008" t="s">
        <v>835</v>
      </c>
      <c r="O5008" t="s">
        <v>836</v>
      </c>
      <c r="P5008">
        <v>-20.157906000000001</v>
      </c>
      <c r="Q5008">
        <v>-44.900458999999998</v>
      </c>
      <c r="R5008" s="2" t="str">
        <f>HYPERLINK("https://www.google.com/maps?q=-20.1579060,-44.9004590","Abrir no Google Maps")</f>
        <v>Abrir no Google Maps</v>
      </c>
      <c r="S5008">
        <v>3</v>
      </c>
      <c r="T5008">
        <v>0</v>
      </c>
      <c r="U5008">
        <v>2</v>
      </c>
      <c r="V5008">
        <v>0.1066810344827586</v>
      </c>
      <c r="W5008">
        <v>1</v>
      </c>
      <c r="X5008">
        <v>0.1066810344827586</v>
      </c>
      <c r="Y5008">
        <v>729</v>
      </c>
      <c r="Z5008">
        <v>203.63168486652771</v>
      </c>
      <c r="AA5008">
        <v>198</v>
      </c>
      <c r="AB5008">
        <v>332</v>
      </c>
      <c r="AC5008">
        <v>536</v>
      </c>
      <c r="AD5008">
        <v>32.42</v>
      </c>
      <c r="AE5008">
        <v>542</v>
      </c>
      <c r="AF5008">
        <v>39</v>
      </c>
      <c r="AG5008">
        <v>173</v>
      </c>
      <c r="AH5008">
        <v>129</v>
      </c>
      <c r="AI5008">
        <v>7.2</v>
      </c>
      <c r="AJ5008">
        <v>31.92</v>
      </c>
      <c r="AK5008">
        <v>23.8</v>
      </c>
      <c r="AL5008">
        <v>-20.157925749999951</v>
      </c>
      <c r="AM5008">
        <v>-44.900484707799812</v>
      </c>
      <c r="AN5008">
        <v>-20.157925749999951</v>
      </c>
      <c r="AO5008">
        <v>-44.900484707799812</v>
      </c>
      <c r="AP5008">
        <v>-20.157906000000001</v>
      </c>
      <c r="AQ5008">
        <v>-44.900458999999998</v>
      </c>
      <c r="AR5008">
        <v>3.4714515960382508</v>
      </c>
      <c r="AS5008" t="s">
        <v>65</v>
      </c>
      <c r="AT5008">
        <v>1</v>
      </c>
      <c r="AU5008" t="s">
        <v>837</v>
      </c>
      <c r="AV5008" t="s">
        <v>838</v>
      </c>
      <c r="AW5008" t="s">
        <v>60</v>
      </c>
      <c r="AX5008" t="s">
        <v>68</v>
      </c>
      <c r="AY5008" t="s">
        <v>69</v>
      </c>
      <c r="AZ5008" t="b">
        <v>1</v>
      </c>
    </row>
    <row r="5009" spans="1:52" x14ac:dyDescent="0.3">
      <c r="A5009" t="s">
        <v>52</v>
      </c>
      <c r="B5009" t="s">
        <v>53</v>
      </c>
      <c r="C5009" t="s">
        <v>54</v>
      </c>
      <c r="D5009" t="s">
        <v>55</v>
      </c>
      <c r="E5009" t="s">
        <v>2224</v>
      </c>
      <c r="F5009" t="s">
        <v>1247</v>
      </c>
      <c r="G5009" t="s">
        <v>839</v>
      </c>
      <c r="H5009" t="s">
        <v>840</v>
      </c>
      <c r="I5009" t="s">
        <v>840</v>
      </c>
      <c r="J5009" t="s">
        <v>60</v>
      </c>
      <c r="K5009" t="s">
        <v>388</v>
      </c>
      <c r="L5009" t="s">
        <v>62</v>
      </c>
      <c r="M5009" t="s">
        <v>388</v>
      </c>
      <c r="N5009" t="s">
        <v>841</v>
      </c>
      <c r="O5009" t="s">
        <v>842</v>
      </c>
      <c r="P5009">
        <v>-20.159977999999999</v>
      </c>
      <c r="Q5009">
        <v>-44.900207000000002</v>
      </c>
      <c r="R5009" s="2" t="str">
        <f>HYPERLINK("https://www.google.com/maps?q=-20.1599780,-44.9002070","Abrir no Google Maps")</f>
        <v>Abrir no Google Maps</v>
      </c>
      <c r="S5009">
        <v>3</v>
      </c>
      <c r="T5009">
        <v>213.24333517300789</v>
      </c>
      <c r="U5009">
        <v>2</v>
      </c>
      <c r="V5009">
        <v>0.103021978021978</v>
      </c>
      <c r="W5009">
        <v>1</v>
      </c>
      <c r="X5009">
        <v>0.103021978021978</v>
      </c>
      <c r="Y5009">
        <v>729</v>
      </c>
      <c r="Z5009">
        <v>315.47173727880028</v>
      </c>
      <c r="AA5009">
        <v>198</v>
      </c>
      <c r="AB5009">
        <v>332</v>
      </c>
      <c r="AC5009">
        <v>536</v>
      </c>
      <c r="AD5009">
        <v>32.42</v>
      </c>
      <c r="AE5009">
        <v>542</v>
      </c>
      <c r="AF5009">
        <v>39</v>
      </c>
      <c r="AG5009">
        <v>173</v>
      </c>
      <c r="AH5009">
        <v>129</v>
      </c>
      <c r="AI5009">
        <v>7.2</v>
      </c>
      <c r="AJ5009">
        <v>31.92</v>
      </c>
      <c r="AK5009">
        <v>23.8</v>
      </c>
      <c r="AL5009">
        <v>-20.159825649999959</v>
      </c>
      <c r="AM5009">
        <v>-44.900143828909613</v>
      </c>
      <c r="AN5009">
        <v>-20.159825649999959</v>
      </c>
      <c r="AO5009">
        <v>-44.900143828909613</v>
      </c>
      <c r="AP5009">
        <v>-20.159977999999999</v>
      </c>
      <c r="AQ5009">
        <v>-44.900207000000002</v>
      </c>
      <c r="AR5009">
        <v>18.199073573580371</v>
      </c>
      <c r="AS5009" t="s">
        <v>65</v>
      </c>
      <c r="AT5009">
        <v>1</v>
      </c>
      <c r="AU5009" t="s">
        <v>843</v>
      </c>
      <c r="AV5009" t="s">
        <v>844</v>
      </c>
      <c r="AW5009" t="s">
        <v>60</v>
      </c>
      <c r="AX5009" t="s">
        <v>68</v>
      </c>
      <c r="AY5009" t="s">
        <v>69</v>
      </c>
      <c r="AZ5009" t="b">
        <v>1</v>
      </c>
    </row>
    <row r="5010" spans="1:52" x14ac:dyDescent="0.3">
      <c r="A5010" t="s">
        <v>52</v>
      </c>
      <c r="B5010" t="s">
        <v>53</v>
      </c>
      <c r="C5010" t="s">
        <v>54</v>
      </c>
      <c r="D5010" t="s">
        <v>55</v>
      </c>
      <c r="E5010" t="s">
        <v>2224</v>
      </c>
      <c r="F5010" t="s">
        <v>1247</v>
      </c>
      <c r="G5010" t="s">
        <v>386</v>
      </c>
      <c r="H5010" t="s">
        <v>387</v>
      </c>
      <c r="I5010" t="s">
        <v>387</v>
      </c>
      <c r="J5010" t="s">
        <v>60</v>
      </c>
      <c r="K5010" t="s">
        <v>388</v>
      </c>
      <c r="L5010" t="s">
        <v>62</v>
      </c>
      <c r="M5010" t="s">
        <v>388</v>
      </c>
      <c r="N5010" t="s">
        <v>389</v>
      </c>
      <c r="O5010" t="s">
        <v>357</v>
      </c>
      <c r="P5010">
        <v>-20.161041999999998</v>
      </c>
      <c r="Q5010">
        <v>-44.901242000000003</v>
      </c>
      <c r="R5010" s="2" t="str">
        <f>HYPERLINK("https://www.google.com/maps?q=-20.1610420,-44.9012420","Abrir no Google Maps")</f>
        <v>Abrir no Google Maps</v>
      </c>
      <c r="S5010">
        <v>3</v>
      </c>
      <c r="T5010">
        <v>440.22183232279212</v>
      </c>
      <c r="U5010">
        <v>2</v>
      </c>
      <c r="V5010">
        <v>0.1054054054054054</v>
      </c>
      <c r="W5010">
        <v>1</v>
      </c>
      <c r="X5010">
        <v>0.1054054054054054</v>
      </c>
      <c r="Y5010">
        <v>729</v>
      </c>
      <c r="Z5010">
        <v>398.48306829302379</v>
      </c>
      <c r="AA5010">
        <v>198</v>
      </c>
      <c r="AB5010">
        <v>332</v>
      </c>
      <c r="AC5010">
        <v>536</v>
      </c>
      <c r="AD5010">
        <v>32.42</v>
      </c>
      <c r="AE5010">
        <v>542</v>
      </c>
      <c r="AF5010">
        <v>39</v>
      </c>
      <c r="AG5010">
        <v>173</v>
      </c>
      <c r="AH5010">
        <v>129</v>
      </c>
      <c r="AI5010">
        <v>7.2</v>
      </c>
      <c r="AJ5010">
        <v>31.92</v>
      </c>
      <c r="AK5010">
        <v>23.8</v>
      </c>
      <c r="AL5010">
        <v>-20.16176629999995</v>
      </c>
      <c r="AM5010">
        <v>-44.901582787827898</v>
      </c>
      <c r="AN5010">
        <v>-20.16176629999995</v>
      </c>
      <c r="AO5010">
        <v>-44.901582787827898</v>
      </c>
      <c r="AP5010">
        <v>-20.161041999999998</v>
      </c>
      <c r="AQ5010">
        <v>-44.901242000000003</v>
      </c>
      <c r="AR5010">
        <v>88.143369157892835</v>
      </c>
      <c r="AS5010" t="s">
        <v>65</v>
      </c>
      <c r="AT5010">
        <v>1</v>
      </c>
      <c r="AU5010" t="s">
        <v>390</v>
      </c>
      <c r="AV5010" t="s">
        <v>391</v>
      </c>
      <c r="AW5010" t="s">
        <v>60</v>
      </c>
      <c r="AX5010" t="s">
        <v>68</v>
      </c>
      <c r="AY5010" t="s">
        <v>69</v>
      </c>
      <c r="AZ5010" t="b">
        <v>1</v>
      </c>
    </row>
    <row r="5011" spans="1:52" x14ac:dyDescent="0.3">
      <c r="A5011" t="s">
        <v>52</v>
      </c>
      <c r="B5011" t="s">
        <v>53</v>
      </c>
      <c r="C5011" t="s">
        <v>54</v>
      </c>
      <c r="D5011" t="s">
        <v>55</v>
      </c>
      <c r="E5011" t="s">
        <v>2224</v>
      </c>
      <c r="F5011" t="s">
        <v>1247</v>
      </c>
      <c r="G5011" t="s">
        <v>839</v>
      </c>
      <c r="H5011" t="s">
        <v>1274</v>
      </c>
      <c r="I5011" t="s">
        <v>1274</v>
      </c>
      <c r="J5011" t="s">
        <v>60</v>
      </c>
      <c r="K5011" t="s">
        <v>388</v>
      </c>
      <c r="L5011" t="s">
        <v>62</v>
      </c>
      <c r="M5011" t="s">
        <v>388</v>
      </c>
      <c r="N5011" t="s">
        <v>841</v>
      </c>
      <c r="O5011" t="s">
        <v>1275</v>
      </c>
      <c r="P5011">
        <v>-20.157979999999998</v>
      </c>
      <c r="Q5011">
        <v>-44.906365999999998</v>
      </c>
      <c r="R5011" s="2" t="str">
        <f>HYPERLINK("https://www.google.com/maps?q=-20.1579800,-44.9063660","Abrir no Google Maps")</f>
        <v>Abrir no Google Maps</v>
      </c>
      <c r="S5011">
        <v>3</v>
      </c>
      <c r="T5011">
        <v>519.48953004348823</v>
      </c>
      <c r="U5011">
        <v>2</v>
      </c>
      <c r="V5011">
        <v>0.11538461538461529</v>
      </c>
      <c r="W5011">
        <v>0.85</v>
      </c>
      <c r="X5011">
        <v>9.8076923076922992E-2</v>
      </c>
      <c r="Y5011">
        <v>729</v>
      </c>
      <c r="Z5011">
        <v>393.22938248316768</v>
      </c>
      <c r="AA5011">
        <v>198</v>
      </c>
      <c r="AB5011">
        <v>332</v>
      </c>
      <c r="AC5011">
        <v>536</v>
      </c>
      <c r="AD5011">
        <v>32.42</v>
      </c>
      <c r="AE5011">
        <v>542</v>
      </c>
      <c r="AF5011">
        <v>39</v>
      </c>
      <c r="AG5011">
        <v>173</v>
      </c>
      <c r="AH5011">
        <v>129</v>
      </c>
      <c r="AI5011">
        <v>7.2</v>
      </c>
      <c r="AJ5011">
        <v>31.92</v>
      </c>
      <c r="AK5011">
        <v>23.8</v>
      </c>
      <c r="AL5011">
        <v>-20.157977799999941</v>
      </c>
      <c r="AM5011">
        <v>-44.906429896327573</v>
      </c>
      <c r="AN5011">
        <v>-20.157977799999941</v>
      </c>
      <c r="AO5011">
        <v>-44.906429896327573</v>
      </c>
      <c r="AP5011">
        <v>-20.157979999999998</v>
      </c>
      <c r="AQ5011">
        <v>-44.906365999999998</v>
      </c>
      <c r="AR5011">
        <v>6.6817330699236734</v>
      </c>
      <c r="AS5011" t="s">
        <v>65</v>
      </c>
      <c r="AT5011">
        <v>1</v>
      </c>
      <c r="AU5011" t="s">
        <v>1276</v>
      </c>
      <c r="AV5011" t="s">
        <v>1277</v>
      </c>
      <c r="AW5011" t="s">
        <v>60</v>
      </c>
      <c r="AX5011" t="s">
        <v>68</v>
      </c>
      <c r="AY5011" t="s">
        <v>69</v>
      </c>
      <c r="AZ5011" t="b">
        <v>1</v>
      </c>
    </row>
    <row r="5012" spans="1:52" x14ac:dyDescent="0.3">
      <c r="A5012" t="s">
        <v>52</v>
      </c>
      <c r="B5012" t="s">
        <v>53</v>
      </c>
      <c r="C5012" t="s">
        <v>54</v>
      </c>
      <c r="D5012" t="s">
        <v>55</v>
      </c>
      <c r="E5012" t="s">
        <v>2224</v>
      </c>
      <c r="F5012" t="s">
        <v>1247</v>
      </c>
      <c r="G5012" t="s">
        <v>404</v>
      </c>
      <c r="H5012" t="s">
        <v>405</v>
      </c>
      <c r="I5012" t="s">
        <v>405</v>
      </c>
      <c r="J5012" t="s">
        <v>60</v>
      </c>
      <c r="K5012" t="s">
        <v>388</v>
      </c>
      <c r="L5012" t="s">
        <v>62</v>
      </c>
      <c r="M5012" t="s">
        <v>388</v>
      </c>
      <c r="N5012" t="s">
        <v>406</v>
      </c>
      <c r="O5012" t="s">
        <v>407</v>
      </c>
      <c r="P5012">
        <v>-20.162780999999999</v>
      </c>
      <c r="Q5012">
        <v>-44.904437999999999</v>
      </c>
      <c r="R5012" s="2" t="str">
        <f>HYPERLINK("https://www.google.com/maps?q=-20.1627810,-44.9044380","Abrir no Google Maps")</f>
        <v>Abrir no Google Maps</v>
      </c>
      <c r="S5012">
        <v>3</v>
      </c>
      <c r="T5012">
        <v>681.0891377731482</v>
      </c>
      <c r="U5012">
        <v>2</v>
      </c>
      <c r="V5012">
        <v>9.0643274853801095E-2</v>
      </c>
      <c r="W5012">
        <v>1</v>
      </c>
      <c r="X5012">
        <v>9.0643274853801095E-2</v>
      </c>
      <c r="Y5012">
        <v>729</v>
      </c>
      <c r="Z5012">
        <v>564.17713687218622</v>
      </c>
      <c r="AA5012">
        <v>198</v>
      </c>
      <c r="AB5012">
        <v>332</v>
      </c>
      <c r="AC5012">
        <v>536</v>
      </c>
      <c r="AD5012">
        <v>32.42</v>
      </c>
      <c r="AE5012">
        <v>542</v>
      </c>
      <c r="AF5012">
        <v>39</v>
      </c>
      <c r="AG5012">
        <v>173</v>
      </c>
      <c r="AH5012">
        <v>129</v>
      </c>
      <c r="AI5012">
        <v>7.2</v>
      </c>
      <c r="AJ5012">
        <v>31.92</v>
      </c>
      <c r="AK5012">
        <v>23.8</v>
      </c>
      <c r="AL5012">
        <v>-20.16295434999995</v>
      </c>
      <c r="AM5012">
        <v>-44.904242686956152</v>
      </c>
      <c r="AN5012">
        <v>-20.16295434999995</v>
      </c>
      <c r="AO5012">
        <v>-44.904242686956152</v>
      </c>
      <c r="AP5012">
        <v>-20.162780999999999</v>
      </c>
      <c r="AQ5012">
        <v>-44.904437999999999</v>
      </c>
      <c r="AR5012">
        <v>28.088191280523411</v>
      </c>
      <c r="AS5012" t="s">
        <v>65</v>
      </c>
      <c r="AT5012">
        <v>1</v>
      </c>
      <c r="AU5012" t="s">
        <v>408</v>
      </c>
      <c r="AV5012" t="s">
        <v>409</v>
      </c>
      <c r="AW5012" t="s">
        <v>60</v>
      </c>
      <c r="AX5012" t="s">
        <v>68</v>
      </c>
      <c r="AY5012" t="s">
        <v>69</v>
      </c>
      <c r="AZ5012" t="b">
        <v>1</v>
      </c>
    </row>
    <row r="5013" spans="1:52" x14ac:dyDescent="0.3">
      <c r="A5013" t="s">
        <v>52</v>
      </c>
      <c r="B5013" t="s">
        <v>53</v>
      </c>
      <c r="C5013" t="s">
        <v>54</v>
      </c>
      <c r="D5013" t="s">
        <v>55</v>
      </c>
      <c r="E5013" t="s">
        <v>2224</v>
      </c>
      <c r="F5013" t="s">
        <v>1247</v>
      </c>
      <c r="G5013" t="s">
        <v>410</v>
      </c>
      <c r="H5013" t="s">
        <v>411</v>
      </c>
      <c r="I5013" t="s">
        <v>411</v>
      </c>
      <c r="J5013" t="s">
        <v>60</v>
      </c>
      <c r="K5013" t="s">
        <v>388</v>
      </c>
      <c r="L5013" t="s">
        <v>62</v>
      </c>
      <c r="M5013" t="s">
        <v>388</v>
      </c>
      <c r="N5013" t="s">
        <v>412</v>
      </c>
      <c r="O5013" t="s">
        <v>413</v>
      </c>
      <c r="P5013">
        <v>-20.161394000000001</v>
      </c>
      <c r="Q5013">
        <v>-44.906725999999999</v>
      </c>
      <c r="R5013" s="2" t="str">
        <f>HYPERLINK("https://www.google.com/maps?q=-20.1613940,-44.9067260","Abrir no Google Maps")</f>
        <v>Abrir no Google Maps</v>
      </c>
      <c r="S5013">
        <v>3</v>
      </c>
      <c r="T5013">
        <v>763.68157548493457</v>
      </c>
      <c r="U5013">
        <v>2</v>
      </c>
      <c r="V5013">
        <v>9.27734375E-2</v>
      </c>
      <c r="W5013">
        <v>1</v>
      </c>
      <c r="X5013">
        <v>9.27734375E-2</v>
      </c>
      <c r="Y5013">
        <v>729</v>
      </c>
      <c r="Z5013">
        <v>551.70379325948545</v>
      </c>
      <c r="AA5013">
        <v>198</v>
      </c>
      <c r="AB5013">
        <v>332</v>
      </c>
      <c r="AC5013">
        <v>536</v>
      </c>
      <c r="AD5013">
        <v>32.42</v>
      </c>
      <c r="AE5013">
        <v>542</v>
      </c>
      <c r="AF5013">
        <v>39</v>
      </c>
      <c r="AG5013">
        <v>173</v>
      </c>
      <c r="AH5013">
        <v>129</v>
      </c>
      <c r="AI5013">
        <v>7.2</v>
      </c>
      <c r="AJ5013">
        <v>31.92</v>
      </c>
      <c r="AK5013">
        <v>23.8</v>
      </c>
      <c r="AL5013">
        <v>-20.161371049999929</v>
      </c>
      <c r="AM5013">
        <v>-44.906816797310228</v>
      </c>
      <c r="AN5013">
        <v>-20.161371049999929</v>
      </c>
      <c r="AO5013">
        <v>-44.906816797310228</v>
      </c>
      <c r="AP5013">
        <v>-20.161394000000001</v>
      </c>
      <c r="AQ5013">
        <v>-44.906725999999999</v>
      </c>
      <c r="AR5013">
        <v>9.8261555662022495</v>
      </c>
      <c r="AS5013" t="s">
        <v>65</v>
      </c>
      <c r="AT5013">
        <v>1</v>
      </c>
      <c r="AU5013" t="s">
        <v>414</v>
      </c>
      <c r="AV5013" t="s">
        <v>415</v>
      </c>
      <c r="AW5013" t="s">
        <v>60</v>
      </c>
      <c r="AX5013" t="s">
        <v>68</v>
      </c>
      <c r="AY5013" t="s">
        <v>69</v>
      </c>
      <c r="AZ5013" t="b">
        <v>1</v>
      </c>
    </row>
    <row r="5014" spans="1:52" x14ac:dyDescent="0.3">
      <c r="A5014" t="s">
        <v>52</v>
      </c>
      <c r="B5014" t="s">
        <v>53</v>
      </c>
      <c r="C5014" t="s">
        <v>54</v>
      </c>
      <c r="D5014" t="s">
        <v>55</v>
      </c>
      <c r="E5014" t="s">
        <v>2224</v>
      </c>
      <c r="F5014" t="s">
        <v>1247</v>
      </c>
      <c r="G5014" t="s">
        <v>1283</v>
      </c>
      <c r="H5014" t="s">
        <v>1284</v>
      </c>
      <c r="I5014" t="s">
        <v>1284</v>
      </c>
      <c r="J5014" t="s">
        <v>60</v>
      </c>
      <c r="K5014" t="s">
        <v>388</v>
      </c>
      <c r="L5014" t="s">
        <v>62</v>
      </c>
      <c r="M5014" t="s">
        <v>388</v>
      </c>
      <c r="N5014" t="s">
        <v>400</v>
      </c>
      <c r="O5014" t="s">
        <v>1285</v>
      </c>
      <c r="P5014">
        <v>-20.156977999999999</v>
      </c>
      <c r="Q5014">
        <v>-44.90325</v>
      </c>
      <c r="R5014" s="2" t="str">
        <f>HYPERLINK("https://www.google.com/maps?q=-20.1569780,-44.9032500","Abrir no Google Maps")</f>
        <v>Abrir no Google Maps</v>
      </c>
      <c r="S5014">
        <v>3</v>
      </c>
      <c r="T5014">
        <v>256.05633739092571</v>
      </c>
      <c r="U5014">
        <v>2</v>
      </c>
      <c r="V5014">
        <v>0.1258278145695364</v>
      </c>
      <c r="W5014">
        <v>0.85</v>
      </c>
      <c r="X5014">
        <v>0.1069536423841059</v>
      </c>
      <c r="Y5014">
        <v>729</v>
      </c>
      <c r="Z5014">
        <v>162.99447055889971</v>
      </c>
      <c r="AA5014">
        <v>198</v>
      </c>
      <c r="AB5014">
        <v>332</v>
      </c>
      <c r="AC5014">
        <v>536</v>
      </c>
      <c r="AD5014">
        <v>32.42</v>
      </c>
      <c r="AE5014">
        <v>542</v>
      </c>
      <c r="AF5014">
        <v>39</v>
      </c>
      <c r="AG5014">
        <v>173</v>
      </c>
      <c r="AH5014">
        <v>129</v>
      </c>
      <c r="AI5014">
        <v>7.2</v>
      </c>
      <c r="AJ5014">
        <v>31.92</v>
      </c>
      <c r="AK5014">
        <v>23.8</v>
      </c>
      <c r="AL5014">
        <v>-20.15696524999996</v>
      </c>
      <c r="AM5014">
        <v>-44.903258102626708</v>
      </c>
      <c r="AN5014">
        <v>-20.15696524999996</v>
      </c>
      <c r="AO5014">
        <v>-44.903258102626708</v>
      </c>
      <c r="AP5014">
        <v>-20.156977999999999</v>
      </c>
      <c r="AQ5014">
        <v>-44.90325</v>
      </c>
      <c r="AR5014">
        <v>1.6527147033629741</v>
      </c>
      <c r="AS5014" t="s">
        <v>65</v>
      </c>
      <c r="AT5014">
        <v>1</v>
      </c>
      <c r="AU5014" t="s">
        <v>1286</v>
      </c>
      <c r="AV5014" t="s">
        <v>1287</v>
      </c>
      <c r="AW5014" t="s">
        <v>60</v>
      </c>
      <c r="AX5014" t="s">
        <v>68</v>
      </c>
      <c r="AY5014" t="s">
        <v>69</v>
      </c>
      <c r="AZ5014" t="b">
        <v>1</v>
      </c>
    </row>
    <row r="5015" spans="1:52" x14ac:dyDescent="0.3">
      <c r="A5015" t="s">
        <v>52</v>
      </c>
      <c r="B5015" t="s">
        <v>53</v>
      </c>
      <c r="C5015" t="s">
        <v>54</v>
      </c>
      <c r="D5015" t="s">
        <v>55</v>
      </c>
      <c r="E5015" t="s">
        <v>2224</v>
      </c>
      <c r="F5015" t="s">
        <v>1247</v>
      </c>
      <c r="G5015" t="s">
        <v>416</v>
      </c>
      <c r="H5015" t="s">
        <v>417</v>
      </c>
      <c r="I5015" t="s">
        <v>417</v>
      </c>
      <c r="J5015" t="s">
        <v>60</v>
      </c>
      <c r="K5015" t="s">
        <v>418</v>
      </c>
      <c r="L5015" t="s">
        <v>62</v>
      </c>
      <c r="M5015" t="s">
        <v>418</v>
      </c>
      <c r="N5015" t="s">
        <v>419</v>
      </c>
      <c r="O5015" t="s">
        <v>202</v>
      </c>
      <c r="P5015">
        <v>-20.169886000000002</v>
      </c>
      <c r="Q5015">
        <v>-44.913288000000001</v>
      </c>
      <c r="R5015" s="2" t="str">
        <f>HYPERLINK("https://www.google.com/maps?q=-20.1698860,-44.9132880","Abrir no Google Maps")</f>
        <v>Abrir no Google Maps</v>
      </c>
      <c r="S5015">
        <v>3</v>
      </c>
      <c r="T5015">
        <v>422.88733632898152</v>
      </c>
      <c r="U5015">
        <v>2</v>
      </c>
      <c r="V5015">
        <v>9.7290640394088607E-2</v>
      </c>
      <c r="W5015">
        <v>1</v>
      </c>
      <c r="X5015">
        <v>9.7290640394088607E-2</v>
      </c>
      <c r="Y5015">
        <v>723</v>
      </c>
      <c r="Z5015">
        <v>128.65003864232261</v>
      </c>
      <c r="AA5015">
        <v>198</v>
      </c>
      <c r="AB5015">
        <v>332</v>
      </c>
      <c r="AC5015">
        <v>536</v>
      </c>
      <c r="AD5015">
        <v>32.42</v>
      </c>
      <c r="AE5015">
        <v>542</v>
      </c>
      <c r="AF5015">
        <v>39</v>
      </c>
      <c r="AG5015">
        <v>173</v>
      </c>
      <c r="AH5015">
        <v>129</v>
      </c>
      <c r="AI5015">
        <v>7.2</v>
      </c>
      <c r="AJ5015">
        <v>31.92</v>
      </c>
      <c r="AK5015">
        <v>23.8</v>
      </c>
      <c r="AL5015">
        <v>-20.16970024999998</v>
      </c>
      <c r="AM5015">
        <v>-44.913502201257437</v>
      </c>
      <c r="AN5015">
        <v>-20.16970024999998</v>
      </c>
      <c r="AO5015">
        <v>-44.913502201257437</v>
      </c>
      <c r="AP5015">
        <v>-20.169886000000002</v>
      </c>
      <c r="AQ5015">
        <v>-44.913288000000001</v>
      </c>
      <c r="AR5015">
        <v>30.47208587597606</v>
      </c>
      <c r="AS5015" t="s">
        <v>65</v>
      </c>
      <c r="AT5015">
        <v>1</v>
      </c>
      <c r="AU5015" t="s">
        <v>420</v>
      </c>
      <c r="AV5015" t="s">
        <v>421</v>
      </c>
      <c r="AW5015" t="s">
        <v>60</v>
      </c>
      <c r="AX5015" t="s">
        <v>68</v>
      </c>
      <c r="AY5015" t="s">
        <v>69</v>
      </c>
      <c r="AZ5015" t="b">
        <v>1</v>
      </c>
    </row>
    <row r="5016" spans="1:52" x14ac:dyDescent="0.3">
      <c r="A5016" t="s">
        <v>52</v>
      </c>
      <c r="B5016" t="s">
        <v>53</v>
      </c>
      <c r="C5016" t="s">
        <v>54</v>
      </c>
      <c r="D5016" t="s">
        <v>55</v>
      </c>
      <c r="E5016" t="s">
        <v>2224</v>
      </c>
      <c r="F5016" t="s">
        <v>1247</v>
      </c>
      <c r="G5016" t="s">
        <v>1288</v>
      </c>
      <c r="H5016" t="s">
        <v>1289</v>
      </c>
      <c r="I5016" t="s">
        <v>1289</v>
      </c>
      <c r="J5016" t="s">
        <v>60</v>
      </c>
      <c r="K5016" t="s">
        <v>1290</v>
      </c>
      <c r="L5016" t="s">
        <v>62</v>
      </c>
      <c r="M5016" t="s">
        <v>1290</v>
      </c>
      <c r="N5016" t="s">
        <v>1291</v>
      </c>
      <c r="O5016" t="s">
        <v>315</v>
      </c>
      <c r="P5016">
        <v>-20.171008</v>
      </c>
      <c r="Q5016">
        <v>-44.918908999999999</v>
      </c>
      <c r="R5016" s="2" t="str">
        <f>HYPERLINK("https://www.google.com/maps?q=-20.1710080,-44.9189090","Abrir no Google Maps")</f>
        <v>Abrir no Google Maps</v>
      </c>
      <c r="S5016">
        <v>3</v>
      </c>
      <c r="T5016">
        <v>972.86786700299888</v>
      </c>
      <c r="U5016">
        <v>2</v>
      </c>
      <c r="V5016">
        <v>0.1029411764705882</v>
      </c>
      <c r="W5016">
        <v>0.85</v>
      </c>
      <c r="X5016">
        <v>8.7499999999999967E-2</v>
      </c>
      <c r="Y5016">
        <v>723</v>
      </c>
      <c r="Z5016">
        <v>690.55600110253613</v>
      </c>
      <c r="AA5016">
        <v>198</v>
      </c>
      <c r="AB5016">
        <v>332</v>
      </c>
      <c r="AC5016">
        <v>536</v>
      </c>
      <c r="AD5016">
        <v>32.42</v>
      </c>
      <c r="AE5016">
        <v>542</v>
      </c>
      <c r="AF5016">
        <v>39</v>
      </c>
      <c r="AG5016">
        <v>173</v>
      </c>
      <c r="AH5016">
        <v>129</v>
      </c>
      <c r="AI5016">
        <v>7.2</v>
      </c>
      <c r="AJ5016">
        <v>31.92</v>
      </c>
      <c r="AK5016">
        <v>23.8</v>
      </c>
      <c r="AL5016">
        <v>-20.171738249999979</v>
      </c>
      <c r="AM5016">
        <v>-44.919736490382917</v>
      </c>
      <c r="AN5016">
        <v>-20.171738249999979</v>
      </c>
      <c r="AO5016">
        <v>-44.919736490382931</v>
      </c>
      <c r="AP5016">
        <v>-20.171008</v>
      </c>
      <c r="AQ5016">
        <v>-44.918908999999999</v>
      </c>
      <c r="AR5016">
        <v>118.678920061485</v>
      </c>
      <c r="AS5016" t="s">
        <v>65</v>
      </c>
      <c r="AT5016">
        <v>1</v>
      </c>
      <c r="AU5016" t="s">
        <v>1292</v>
      </c>
      <c r="AV5016" t="s">
        <v>1293</v>
      </c>
      <c r="AW5016" t="s">
        <v>60</v>
      </c>
      <c r="AX5016" t="s">
        <v>68</v>
      </c>
      <c r="AY5016" t="s">
        <v>69</v>
      </c>
      <c r="AZ5016" t="b">
        <v>1</v>
      </c>
    </row>
    <row r="5017" spans="1:52" x14ac:dyDescent="0.3">
      <c r="A5017" t="s">
        <v>52</v>
      </c>
      <c r="B5017" t="s">
        <v>53</v>
      </c>
      <c r="C5017" t="s">
        <v>54</v>
      </c>
      <c r="D5017" t="s">
        <v>55</v>
      </c>
      <c r="E5017" t="s">
        <v>2224</v>
      </c>
      <c r="F5017" t="s">
        <v>1247</v>
      </c>
      <c r="G5017" t="s">
        <v>1300</v>
      </c>
      <c r="H5017" t="s">
        <v>1301</v>
      </c>
      <c r="I5017" t="s">
        <v>1301</v>
      </c>
      <c r="J5017" t="s">
        <v>60</v>
      </c>
      <c r="K5017" t="s">
        <v>1302</v>
      </c>
      <c r="L5017" t="s">
        <v>62</v>
      </c>
      <c r="M5017" t="s">
        <v>1302</v>
      </c>
      <c r="N5017" t="s">
        <v>1303</v>
      </c>
      <c r="O5017" t="s">
        <v>1304</v>
      </c>
      <c r="P5017">
        <v>-20.166618</v>
      </c>
      <c r="Q5017">
        <v>-44.912920999999997</v>
      </c>
      <c r="R5017" s="2" t="str">
        <f>HYPERLINK("https://www.google.com/maps?q=-20.1666180,-44.9129210","Abrir no Google Maps")</f>
        <v>Abrir no Google Maps</v>
      </c>
      <c r="S5017">
        <v>3</v>
      </c>
      <c r="T5017">
        <v>636.32880156364706</v>
      </c>
      <c r="U5017">
        <v>2</v>
      </c>
      <c r="V5017">
        <v>0.1045751633986928</v>
      </c>
      <c r="W5017">
        <v>0.85</v>
      </c>
      <c r="X5017">
        <v>8.8888888888888878E-2</v>
      </c>
      <c r="Y5017">
        <v>723</v>
      </c>
      <c r="Z5017">
        <v>407.62145176971592</v>
      </c>
      <c r="AA5017">
        <v>198</v>
      </c>
      <c r="AB5017">
        <v>332</v>
      </c>
      <c r="AC5017">
        <v>536</v>
      </c>
      <c r="AD5017">
        <v>32.42</v>
      </c>
      <c r="AE5017">
        <v>542</v>
      </c>
      <c r="AF5017">
        <v>39</v>
      </c>
      <c r="AG5017">
        <v>173</v>
      </c>
      <c r="AH5017">
        <v>129</v>
      </c>
      <c r="AI5017">
        <v>7.2</v>
      </c>
      <c r="AJ5017">
        <v>31.92</v>
      </c>
      <c r="AK5017">
        <v>23.8</v>
      </c>
      <c r="AL5017">
        <v>-20.166924799999951</v>
      </c>
      <c r="AM5017">
        <v>-44.912868681724092</v>
      </c>
      <c r="AN5017">
        <v>-20.166924799999951</v>
      </c>
      <c r="AO5017">
        <v>-44.912868681724092</v>
      </c>
      <c r="AP5017">
        <v>-20.166618</v>
      </c>
      <c r="AQ5017">
        <v>-44.912920999999997</v>
      </c>
      <c r="AR5017">
        <v>34.587771860198139</v>
      </c>
      <c r="AS5017" t="s">
        <v>65</v>
      </c>
      <c r="AT5017">
        <v>1</v>
      </c>
      <c r="AU5017" t="s">
        <v>1305</v>
      </c>
      <c r="AV5017" t="s">
        <v>1306</v>
      </c>
      <c r="AW5017" t="s">
        <v>60</v>
      </c>
      <c r="AX5017" t="s">
        <v>68</v>
      </c>
      <c r="AY5017" t="s">
        <v>69</v>
      </c>
      <c r="AZ5017" t="b">
        <v>1</v>
      </c>
    </row>
    <row r="5018" spans="1:52" x14ac:dyDescent="0.3">
      <c r="A5018" t="s">
        <v>52</v>
      </c>
      <c r="B5018" t="s">
        <v>53</v>
      </c>
      <c r="C5018" t="s">
        <v>54</v>
      </c>
      <c r="D5018" t="s">
        <v>55</v>
      </c>
      <c r="E5018" t="s">
        <v>2224</v>
      </c>
      <c r="F5018" t="s">
        <v>1247</v>
      </c>
      <c r="G5018" t="s">
        <v>1312</v>
      </c>
      <c r="H5018" t="s">
        <v>1313</v>
      </c>
      <c r="I5018" t="s">
        <v>1313</v>
      </c>
      <c r="J5018" t="s">
        <v>60</v>
      </c>
      <c r="K5018" t="s">
        <v>1314</v>
      </c>
      <c r="L5018" t="s">
        <v>62</v>
      </c>
      <c r="M5018" t="s">
        <v>1314</v>
      </c>
      <c r="N5018" t="s">
        <v>1315</v>
      </c>
      <c r="O5018" t="s">
        <v>315</v>
      </c>
      <c r="P5018">
        <v>-20.179649999999999</v>
      </c>
      <c r="Q5018">
        <v>-44.927177</v>
      </c>
      <c r="R5018" s="2" t="str">
        <f>HYPERLINK("https://www.google.com/maps?q=-20.1796500,-44.9271770","Abrir no Google Maps")</f>
        <v>Abrir no Google Maps</v>
      </c>
      <c r="S5018">
        <v>3</v>
      </c>
      <c r="T5018">
        <v>1742.181438658615</v>
      </c>
      <c r="U5018">
        <v>2</v>
      </c>
      <c r="V5018">
        <v>0.12328767123287671</v>
      </c>
      <c r="W5018">
        <v>0.85</v>
      </c>
      <c r="X5018">
        <v>0.10479452054794521</v>
      </c>
      <c r="Y5018">
        <v>723</v>
      </c>
      <c r="Z5018">
        <v>1801.262037027635</v>
      </c>
      <c r="AA5018">
        <v>198</v>
      </c>
      <c r="AB5018">
        <v>332</v>
      </c>
      <c r="AC5018">
        <v>536</v>
      </c>
      <c r="AD5018">
        <v>32.42</v>
      </c>
      <c r="AE5018">
        <v>542</v>
      </c>
      <c r="AF5018">
        <v>39</v>
      </c>
      <c r="AG5018">
        <v>173</v>
      </c>
      <c r="AH5018">
        <v>129</v>
      </c>
      <c r="AI5018">
        <v>7.2</v>
      </c>
      <c r="AJ5018">
        <v>31.92</v>
      </c>
      <c r="AK5018">
        <v>23.8</v>
      </c>
      <c r="AL5018">
        <v>-20.18058599999998</v>
      </c>
      <c r="AM5018">
        <v>-44.926708474999977</v>
      </c>
      <c r="AN5018">
        <v>-20.18058599999998</v>
      </c>
      <c r="AO5018">
        <v>-44.926708474999977</v>
      </c>
      <c r="AP5018">
        <v>-20.179649999999999</v>
      </c>
      <c r="AQ5018">
        <v>-44.927177</v>
      </c>
      <c r="AR5018">
        <v>115.1226868075416</v>
      </c>
      <c r="AS5018" t="s">
        <v>65</v>
      </c>
      <c r="AT5018">
        <v>1</v>
      </c>
      <c r="AU5018" t="s">
        <v>1316</v>
      </c>
      <c r="AV5018" t="s">
        <v>1317</v>
      </c>
      <c r="AW5018" t="s">
        <v>60</v>
      </c>
      <c r="AX5018" t="s">
        <v>68</v>
      </c>
      <c r="AY5018" t="s">
        <v>69</v>
      </c>
      <c r="AZ5018" t="b">
        <v>1</v>
      </c>
    </row>
    <row r="5019" spans="1:52" x14ac:dyDescent="0.3">
      <c r="A5019" t="s">
        <v>52</v>
      </c>
      <c r="B5019" t="s">
        <v>53</v>
      </c>
      <c r="C5019" t="s">
        <v>54</v>
      </c>
      <c r="D5019" t="s">
        <v>55</v>
      </c>
      <c r="E5019" t="s">
        <v>2224</v>
      </c>
      <c r="F5019" t="s">
        <v>1247</v>
      </c>
      <c r="G5019" t="s">
        <v>422</v>
      </c>
      <c r="H5019" t="s">
        <v>1323</v>
      </c>
      <c r="I5019" t="s">
        <v>1323</v>
      </c>
      <c r="J5019" t="s">
        <v>60</v>
      </c>
      <c r="K5019" t="s">
        <v>1324</v>
      </c>
      <c r="L5019" t="s">
        <v>62</v>
      </c>
      <c r="M5019" t="s">
        <v>1324</v>
      </c>
      <c r="N5019" t="s">
        <v>425</v>
      </c>
      <c r="O5019" t="s">
        <v>1325</v>
      </c>
      <c r="P5019">
        <v>-20.175142000000001</v>
      </c>
      <c r="Q5019">
        <v>-44.913783000000002</v>
      </c>
      <c r="R5019" s="2" t="str">
        <f>HYPERLINK("https://www.google.com/maps?q=-20.1751420,-44.9137830","Abrir no Google Maps")</f>
        <v>Abrir no Google Maps</v>
      </c>
      <c r="S5019">
        <v>3</v>
      </c>
      <c r="T5019">
        <v>495.73888273066677</v>
      </c>
      <c r="U5019">
        <v>2</v>
      </c>
      <c r="V5019">
        <v>0.10365853658536579</v>
      </c>
      <c r="W5019">
        <v>0.85</v>
      </c>
      <c r="X5019">
        <v>8.8109756097560915E-2</v>
      </c>
      <c r="Y5019">
        <v>723</v>
      </c>
      <c r="Z5019">
        <v>488.51574748236328</v>
      </c>
      <c r="AA5019">
        <v>198</v>
      </c>
      <c r="AB5019">
        <v>332</v>
      </c>
      <c r="AC5019">
        <v>536</v>
      </c>
      <c r="AD5019">
        <v>32.42</v>
      </c>
      <c r="AE5019">
        <v>542</v>
      </c>
      <c r="AF5019">
        <v>39</v>
      </c>
      <c r="AG5019">
        <v>173</v>
      </c>
      <c r="AH5019">
        <v>129</v>
      </c>
      <c r="AI5019">
        <v>7.2</v>
      </c>
      <c r="AJ5019">
        <v>31.92</v>
      </c>
      <c r="AK5019">
        <v>23.8</v>
      </c>
      <c r="AL5019">
        <v>-20.175195199999958</v>
      </c>
      <c r="AM5019">
        <v>-44.913964122548052</v>
      </c>
      <c r="AN5019">
        <v>-20.175195199999958</v>
      </c>
      <c r="AO5019">
        <v>-44.913964122548052</v>
      </c>
      <c r="AP5019">
        <v>-20.175142000000001</v>
      </c>
      <c r="AQ5019">
        <v>-44.913783000000002</v>
      </c>
      <c r="AR5019">
        <v>19.830402633152101</v>
      </c>
      <c r="AS5019" t="s">
        <v>65</v>
      </c>
      <c r="AT5019">
        <v>1</v>
      </c>
      <c r="AU5019" t="s">
        <v>1326</v>
      </c>
      <c r="AV5019" t="s">
        <v>1327</v>
      </c>
      <c r="AW5019" t="s">
        <v>60</v>
      </c>
      <c r="AX5019" t="s">
        <v>68</v>
      </c>
      <c r="AY5019" t="s">
        <v>69</v>
      </c>
      <c r="AZ5019" t="b">
        <v>1</v>
      </c>
    </row>
    <row r="5020" spans="1:52" x14ac:dyDescent="0.3">
      <c r="A5020" t="s">
        <v>52</v>
      </c>
      <c r="B5020" t="s">
        <v>53</v>
      </c>
      <c r="C5020" t="s">
        <v>54</v>
      </c>
      <c r="D5020" t="s">
        <v>55</v>
      </c>
      <c r="E5020" t="s">
        <v>2224</v>
      </c>
      <c r="F5020" t="s">
        <v>1247</v>
      </c>
      <c r="G5020" t="s">
        <v>442</v>
      </c>
      <c r="H5020" t="s">
        <v>443</v>
      </c>
      <c r="I5020" t="s">
        <v>443</v>
      </c>
      <c r="J5020" t="s">
        <v>60</v>
      </c>
      <c r="K5020" t="s">
        <v>437</v>
      </c>
      <c r="L5020" t="s">
        <v>62</v>
      </c>
      <c r="M5020" t="s">
        <v>437</v>
      </c>
      <c r="N5020" t="s">
        <v>444</v>
      </c>
      <c r="O5020" t="s">
        <v>445</v>
      </c>
      <c r="P5020">
        <v>-20.149744999999999</v>
      </c>
      <c r="Q5020">
        <v>-44.881385000000002</v>
      </c>
      <c r="R5020" s="2" t="str">
        <f>HYPERLINK("https://www.google.com/maps?q=-20.1497450,-44.8813850","Abrir no Google Maps")</f>
        <v>Abrir no Google Maps</v>
      </c>
      <c r="S5020">
        <v>3</v>
      </c>
      <c r="T5020">
        <v>188.80690546111239</v>
      </c>
      <c r="U5020">
        <v>2</v>
      </c>
      <c r="V5020">
        <v>9.9190283400809695E-2</v>
      </c>
      <c r="W5020">
        <v>1</v>
      </c>
      <c r="X5020">
        <v>9.9190283400809695E-2</v>
      </c>
      <c r="Y5020">
        <v>653</v>
      </c>
      <c r="Z5020">
        <v>86.575080390731017</v>
      </c>
      <c r="AA5020">
        <v>198</v>
      </c>
      <c r="AB5020">
        <v>332</v>
      </c>
      <c r="AC5020">
        <v>536</v>
      </c>
      <c r="AD5020">
        <v>32.42</v>
      </c>
      <c r="AE5020">
        <v>542</v>
      </c>
      <c r="AF5020">
        <v>39</v>
      </c>
      <c r="AG5020">
        <v>173</v>
      </c>
      <c r="AH5020">
        <v>129</v>
      </c>
      <c r="AI5020">
        <v>7.2</v>
      </c>
      <c r="AJ5020">
        <v>31.92</v>
      </c>
      <c r="AK5020">
        <v>23.8</v>
      </c>
      <c r="AL5020">
        <v>-20.149645149999941</v>
      </c>
      <c r="AM5020">
        <v>-44.881504585149607</v>
      </c>
      <c r="AN5020">
        <v>-20.149645149999941</v>
      </c>
      <c r="AO5020">
        <v>-44.881504585149607</v>
      </c>
      <c r="AP5020">
        <v>-20.149744999999999</v>
      </c>
      <c r="AQ5020">
        <v>-44.881385000000002</v>
      </c>
      <c r="AR5020">
        <v>16.725323110840389</v>
      </c>
      <c r="AS5020" t="s">
        <v>65</v>
      </c>
      <c r="AT5020">
        <v>1</v>
      </c>
      <c r="AU5020" t="s">
        <v>446</v>
      </c>
      <c r="AV5020" t="s">
        <v>447</v>
      </c>
      <c r="AW5020" t="s">
        <v>60</v>
      </c>
      <c r="AX5020" t="s">
        <v>68</v>
      </c>
      <c r="AY5020" t="s">
        <v>69</v>
      </c>
      <c r="AZ5020" t="b">
        <v>1</v>
      </c>
    </row>
    <row r="5021" spans="1:52" x14ac:dyDescent="0.3">
      <c r="A5021" t="s">
        <v>52</v>
      </c>
      <c r="B5021" t="s">
        <v>53</v>
      </c>
      <c r="C5021" t="s">
        <v>54</v>
      </c>
      <c r="D5021" t="s">
        <v>55</v>
      </c>
      <c r="E5021" t="s">
        <v>2224</v>
      </c>
      <c r="F5021" t="s">
        <v>1247</v>
      </c>
      <c r="G5021" t="s">
        <v>460</v>
      </c>
      <c r="H5021" t="s">
        <v>461</v>
      </c>
      <c r="I5021" t="s">
        <v>461</v>
      </c>
      <c r="J5021" t="s">
        <v>60</v>
      </c>
      <c r="K5021" t="s">
        <v>462</v>
      </c>
      <c r="L5021" t="s">
        <v>62</v>
      </c>
      <c r="M5021" t="s">
        <v>462</v>
      </c>
      <c r="N5021" t="s">
        <v>463</v>
      </c>
      <c r="O5021" t="s">
        <v>464</v>
      </c>
      <c r="P5021">
        <v>-20.137919</v>
      </c>
      <c r="Q5021">
        <v>-44.905591000000001</v>
      </c>
      <c r="R5021" s="2" t="str">
        <f>HYPERLINK("https://www.google.com/maps?q=-20.1379190,-44.9055910","Abrir no Google Maps")</f>
        <v>Abrir no Google Maps</v>
      </c>
      <c r="S5021">
        <v>3</v>
      </c>
      <c r="T5021">
        <v>262.01115919461103</v>
      </c>
      <c r="U5021">
        <v>2</v>
      </c>
      <c r="V5021">
        <v>8.8576158940397304E-2</v>
      </c>
      <c r="W5021">
        <v>1</v>
      </c>
      <c r="X5021">
        <v>8.8576158940397304E-2</v>
      </c>
      <c r="Y5021">
        <v>581</v>
      </c>
      <c r="Z5021">
        <v>318.63337303219271</v>
      </c>
      <c r="AA5021">
        <v>198</v>
      </c>
      <c r="AB5021">
        <v>332</v>
      </c>
      <c r="AC5021">
        <v>536</v>
      </c>
      <c r="AD5021">
        <v>32.42</v>
      </c>
      <c r="AE5021">
        <v>542</v>
      </c>
      <c r="AF5021">
        <v>39</v>
      </c>
      <c r="AG5021">
        <v>173</v>
      </c>
      <c r="AH5021">
        <v>129</v>
      </c>
      <c r="AI5021">
        <v>7.2</v>
      </c>
      <c r="AJ5021">
        <v>31.92</v>
      </c>
      <c r="AK5021">
        <v>23.8</v>
      </c>
      <c r="AL5021">
        <v>-20.13789079999998</v>
      </c>
      <c r="AM5021">
        <v>-44.90548593520333</v>
      </c>
      <c r="AN5021">
        <v>-20.13789079999998</v>
      </c>
      <c r="AO5021">
        <v>-44.90548593520333</v>
      </c>
      <c r="AP5021">
        <v>-20.137919</v>
      </c>
      <c r="AQ5021">
        <v>-44.905591000000001</v>
      </c>
      <c r="AR5021">
        <v>11.42072348298178</v>
      </c>
      <c r="AS5021" t="s">
        <v>65</v>
      </c>
      <c r="AT5021">
        <v>1</v>
      </c>
      <c r="AU5021" t="s">
        <v>465</v>
      </c>
      <c r="AV5021" t="s">
        <v>466</v>
      </c>
      <c r="AW5021" t="s">
        <v>60</v>
      </c>
      <c r="AX5021" t="s">
        <v>68</v>
      </c>
      <c r="AY5021" t="s">
        <v>69</v>
      </c>
      <c r="AZ5021" t="b">
        <v>1</v>
      </c>
    </row>
    <row r="5022" spans="1:52" x14ac:dyDescent="0.3">
      <c r="A5022" t="s">
        <v>52</v>
      </c>
      <c r="B5022" t="s">
        <v>53</v>
      </c>
      <c r="C5022" t="s">
        <v>54</v>
      </c>
      <c r="D5022" t="s">
        <v>55</v>
      </c>
      <c r="E5022" t="s">
        <v>2224</v>
      </c>
      <c r="F5022" t="s">
        <v>1247</v>
      </c>
      <c r="G5022" t="s">
        <v>467</v>
      </c>
      <c r="H5022" t="s">
        <v>468</v>
      </c>
      <c r="I5022" t="s">
        <v>468</v>
      </c>
      <c r="J5022" t="s">
        <v>60</v>
      </c>
      <c r="K5022" t="s">
        <v>462</v>
      </c>
      <c r="L5022" t="s">
        <v>62</v>
      </c>
      <c r="M5022" t="s">
        <v>462</v>
      </c>
      <c r="N5022" t="s">
        <v>469</v>
      </c>
      <c r="O5022" t="s">
        <v>470</v>
      </c>
      <c r="P5022">
        <v>-20.138233</v>
      </c>
      <c r="Q5022">
        <v>-44.908200000000001</v>
      </c>
      <c r="R5022" s="2" t="str">
        <f>HYPERLINK("https://www.google.com/maps?q=-20.1382330,-44.9082000","Abrir no Google Maps")</f>
        <v>Abrir no Google Maps</v>
      </c>
      <c r="S5022">
        <v>3</v>
      </c>
      <c r="T5022">
        <v>0</v>
      </c>
      <c r="U5022">
        <v>2</v>
      </c>
      <c r="V5022">
        <v>9.9038461538461506E-2</v>
      </c>
      <c r="W5022">
        <v>1</v>
      </c>
      <c r="X5022">
        <v>9.9038461538461506E-2</v>
      </c>
      <c r="Y5022">
        <v>581</v>
      </c>
      <c r="Z5022">
        <v>153.18688302958171</v>
      </c>
      <c r="AA5022">
        <v>198</v>
      </c>
      <c r="AB5022">
        <v>332</v>
      </c>
      <c r="AC5022">
        <v>536</v>
      </c>
      <c r="AD5022">
        <v>32.42</v>
      </c>
      <c r="AE5022">
        <v>542</v>
      </c>
      <c r="AF5022">
        <v>39</v>
      </c>
      <c r="AG5022">
        <v>173</v>
      </c>
      <c r="AH5022">
        <v>129</v>
      </c>
      <c r="AI5022">
        <v>7.2</v>
      </c>
      <c r="AJ5022">
        <v>31.92</v>
      </c>
      <c r="AK5022">
        <v>23.8</v>
      </c>
      <c r="AL5022">
        <v>-20.138364899999971</v>
      </c>
      <c r="AM5022">
        <v>-44.907942114873997</v>
      </c>
      <c r="AN5022">
        <v>-20.138364899999971</v>
      </c>
      <c r="AO5022">
        <v>-44.907942114873997</v>
      </c>
      <c r="AP5022">
        <v>-20.138233</v>
      </c>
      <c r="AQ5022">
        <v>-44.908200000000001</v>
      </c>
      <c r="AR5022">
        <v>30.692690617986941</v>
      </c>
      <c r="AS5022" t="s">
        <v>65</v>
      </c>
      <c r="AT5022">
        <v>1</v>
      </c>
      <c r="AU5022" t="s">
        <v>471</v>
      </c>
      <c r="AV5022" t="s">
        <v>472</v>
      </c>
      <c r="AW5022" t="s">
        <v>60</v>
      </c>
      <c r="AX5022" t="s">
        <v>68</v>
      </c>
      <c r="AY5022" t="s">
        <v>69</v>
      </c>
      <c r="AZ5022" t="b">
        <v>1</v>
      </c>
    </row>
    <row r="5023" spans="1:52" x14ac:dyDescent="0.3">
      <c r="A5023" t="s">
        <v>52</v>
      </c>
      <c r="B5023" t="s">
        <v>53</v>
      </c>
      <c r="C5023" t="s">
        <v>54</v>
      </c>
      <c r="D5023" t="s">
        <v>55</v>
      </c>
      <c r="E5023" t="s">
        <v>2224</v>
      </c>
      <c r="F5023" t="s">
        <v>1247</v>
      </c>
      <c r="G5023" t="s">
        <v>851</v>
      </c>
      <c r="H5023" t="s">
        <v>852</v>
      </c>
      <c r="I5023" t="s">
        <v>852</v>
      </c>
      <c r="J5023" t="s">
        <v>60</v>
      </c>
      <c r="K5023" t="s">
        <v>853</v>
      </c>
      <c r="L5023" t="s">
        <v>62</v>
      </c>
      <c r="M5023" t="s">
        <v>853</v>
      </c>
      <c r="N5023" t="s">
        <v>854</v>
      </c>
      <c r="O5023" t="s">
        <v>855</v>
      </c>
      <c r="P5023">
        <v>-20.127835000000001</v>
      </c>
      <c r="Q5023">
        <v>-44.909329</v>
      </c>
      <c r="R5023" s="2" t="str">
        <f>HYPERLINK("https://www.google.com/maps?q=-20.1278350,-44.9093290","Abrir no Google Maps")</f>
        <v>Abrir no Google Maps</v>
      </c>
      <c r="S5023">
        <v>3</v>
      </c>
      <c r="T5023">
        <v>1173.033690896357</v>
      </c>
      <c r="U5023">
        <v>2</v>
      </c>
      <c r="V5023">
        <v>0.1020942408376963</v>
      </c>
      <c r="W5023">
        <v>1</v>
      </c>
      <c r="X5023">
        <v>0.1020942408376963</v>
      </c>
      <c r="Y5023">
        <v>581</v>
      </c>
      <c r="Z5023">
        <v>1296.5011565926129</v>
      </c>
      <c r="AA5023">
        <v>198</v>
      </c>
      <c r="AB5023">
        <v>332</v>
      </c>
      <c r="AC5023">
        <v>536</v>
      </c>
      <c r="AD5023">
        <v>32.42</v>
      </c>
      <c r="AE5023">
        <v>542</v>
      </c>
      <c r="AF5023">
        <v>39</v>
      </c>
      <c r="AG5023">
        <v>173</v>
      </c>
      <c r="AH5023">
        <v>129</v>
      </c>
      <c r="AI5023">
        <v>7.2</v>
      </c>
      <c r="AJ5023">
        <v>31.92</v>
      </c>
      <c r="AK5023">
        <v>23.8</v>
      </c>
      <c r="AL5023">
        <v>-20.127852899999969</v>
      </c>
      <c r="AM5023">
        <v>-44.909386667699948</v>
      </c>
      <c r="AN5023">
        <v>-20.127852899999969</v>
      </c>
      <c r="AO5023">
        <v>-44.909386667699948</v>
      </c>
      <c r="AP5023">
        <v>-20.127835000000001</v>
      </c>
      <c r="AQ5023">
        <v>-44.909329</v>
      </c>
      <c r="AR5023">
        <v>6.3483385067119924</v>
      </c>
      <c r="AS5023" t="s">
        <v>65</v>
      </c>
      <c r="AT5023">
        <v>1</v>
      </c>
      <c r="AU5023" t="s">
        <v>856</v>
      </c>
      <c r="AV5023" t="s">
        <v>857</v>
      </c>
      <c r="AW5023" t="s">
        <v>60</v>
      </c>
      <c r="AX5023" t="s">
        <v>68</v>
      </c>
      <c r="AY5023" t="s">
        <v>69</v>
      </c>
      <c r="AZ5023" t="b">
        <v>1</v>
      </c>
    </row>
    <row r="5024" spans="1:52" x14ac:dyDescent="0.3">
      <c r="A5024" t="s">
        <v>52</v>
      </c>
      <c r="B5024" t="s">
        <v>53</v>
      </c>
      <c r="C5024" t="s">
        <v>54</v>
      </c>
      <c r="D5024" t="s">
        <v>55</v>
      </c>
      <c r="E5024" t="s">
        <v>2224</v>
      </c>
      <c r="F5024" t="s">
        <v>1247</v>
      </c>
      <c r="G5024" t="s">
        <v>1354</v>
      </c>
      <c r="H5024" t="s">
        <v>1355</v>
      </c>
      <c r="I5024" t="s">
        <v>1355</v>
      </c>
      <c r="J5024" t="s">
        <v>60</v>
      </c>
      <c r="K5024" t="s">
        <v>1356</v>
      </c>
      <c r="L5024" t="s">
        <v>62</v>
      </c>
      <c r="M5024" t="s">
        <v>1356</v>
      </c>
      <c r="N5024" t="s">
        <v>1357</v>
      </c>
      <c r="O5024" t="s">
        <v>315</v>
      </c>
      <c r="P5024">
        <v>-20.132080999999999</v>
      </c>
      <c r="Q5024">
        <v>-44.908614</v>
      </c>
      <c r="R5024" s="2" t="str">
        <f>HYPERLINK("https://www.google.com/maps?q=-20.1320810,-44.9086140","Abrir no Google Maps")</f>
        <v>Abrir no Google Maps</v>
      </c>
      <c r="S5024">
        <v>3</v>
      </c>
      <c r="T5024">
        <v>701.02570959373259</v>
      </c>
      <c r="U5024">
        <v>2</v>
      </c>
      <c r="V5024">
        <v>0.1096774193548387</v>
      </c>
      <c r="W5024">
        <v>0.85</v>
      </c>
      <c r="X5024">
        <v>9.3225806451612894E-2</v>
      </c>
      <c r="Y5024">
        <v>581</v>
      </c>
      <c r="Z5024">
        <v>811.38061352229215</v>
      </c>
      <c r="AA5024">
        <v>198</v>
      </c>
      <c r="AB5024">
        <v>332</v>
      </c>
      <c r="AC5024">
        <v>536</v>
      </c>
      <c r="AD5024">
        <v>32.42</v>
      </c>
      <c r="AE5024">
        <v>542</v>
      </c>
      <c r="AF5024">
        <v>39</v>
      </c>
      <c r="AG5024">
        <v>173</v>
      </c>
      <c r="AH5024">
        <v>129</v>
      </c>
      <c r="AI5024">
        <v>7.2</v>
      </c>
      <c r="AJ5024">
        <v>31.92</v>
      </c>
      <c r="AK5024">
        <v>23.8</v>
      </c>
      <c r="AL5024">
        <v>-20.132063499999951</v>
      </c>
      <c r="AM5024">
        <v>-44.908630454878519</v>
      </c>
      <c r="AN5024">
        <v>-20.132063499999951</v>
      </c>
      <c r="AO5024">
        <v>-44.908630454878519</v>
      </c>
      <c r="AP5024">
        <v>-20.132080999999999</v>
      </c>
      <c r="AQ5024">
        <v>-44.908614</v>
      </c>
      <c r="AR5024">
        <v>2.5986425761911551</v>
      </c>
      <c r="AS5024" t="s">
        <v>65</v>
      </c>
      <c r="AT5024">
        <v>1</v>
      </c>
      <c r="AU5024" t="s">
        <v>1358</v>
      </c>
      <c r="AV5024" t="s">
        <v>1359</v>
      </c>
      <c r="AW5024" t="s">
        <v>60</v>
      </c>
      <c r="AX5024" t="s">
        <v>68</v>
      </c>
      <c r="AY5024" t="s">
        <v>69</v>
      </c>
      <c r="AZ5024" t="b">
        <v>1</v>
      </c>
    </row>
    <row r="5025" spans="1:52" x14ac:dyDescent="0.3">
      <c r="A5025" t="s">
        <v>52</v>
      </c>
      <c r="B5025" t="s">
        <v>53</v>
      </c>
      <c r="C5025" t="s">
        <v>54</v>
      </c>
      <c r="D5025" t="s">
        <v>55</v>
      </c>
      <c r="E5025" t="s">
        <v>2224</v>
      </c>
      <c r="F5025" t="s">
        <v>1247</v>
      </c>
      <c r="G5025" t="s">
        <v>864</v>
      </c>
      <c r="H5025" t="s">
        <v>865</v>
      </c>
      <c r="I5025" t="s">
        <v>865</v>
      </c>
      <c r="J5025" t="s">
        <v>60</v>
      </c>
      <c r="K5025" t="s">
        <v>486</v>
      </c>
      <c r="L5025" t="s">
        <v>62</v>
      </c>
      <c r="M5025" t="s">
        <v>486</v>
      </c>
      <c r="N5025" t="s">
        <v>866</v>
      </c>
      <c r="O5025" t="s">
        <v>867</v>
      </c>
      <c r="P5025">
        <v>-20.170919000000001</v>
      </c>
      <c r="Q5025">
        <v>-44.905451999999997</v>
      </c>
      <c r="R5025" s="2" t="str">
        <f>HYPERLINK("https://www.google.com/maps?q=-20.1709190,-44.9054520","Abrir no Google Maps")</f>
        <v>Abrir no Google Maps</v>
      </c>
      <c r="S5025">
        <v>3</v>
      </c>
      <c r="T5025">
        <v>0</v>
      </c>
      <c r="U5025">
        <v>2</v>
      </c>
      <c r="V5025">
        <v>0.1032818532818532</v>
      </c>
      <c r="W5025">
        <v>1</v>
      </c>
      <c r="X5025">
        <v>0.1032818532818532</v>
      </c>
      <c r="Y5025">
        <v>578</v>
      </c>
      <c r="Z5025">
        <v>205.34598855748419</v>
      </c>
      <c r="AA5025">
        <v>198</v>
      </c>
      <c r="AB5025">
        <v>332</v>
      </c>
      <c r="AC5025">
        <v>536</v>
      </c>
      <c r="AD5025">
        <v>32.42</v>
      </c>
      <c r="AE5025">
        <v>542</v>
      </c>
      <c r="AF5025">
        <v>39</v>
      </c>
      <c r="AG5025">
        <v>173</v>
      </c>
      <c r="AH5025">
        <v>129</v>
      </c>
      <c r="AI5025">
        <v>7.2</v>
      </c>
      <c r="AJ5025">
        <v>31.92</v>
      </c>
      <c r="AK5025">
        <v>23.8</v>
      </c>
      <c r="AL5025">
        <v>-20.170854399999939</v>
      </c>
      <c r="AM5025">
        <v>-44.905524839633358</v>
      </c>
      <c r="AN5025">
        <v>-20.170854399999939</v>
      </c>
      <c r="AO5025">
        <v>-44.905524839633358</v>
      </c>
      <c r="AP5025">
        <v>-20.170919000000001</v>
      </c>
      <c r="AQ5025">
        <v>-44.905451999999997</v>
      </c>
      <c r="AR5025">
        <v>10.471140355179269</v>
      </c>
      <c r="AS5025" t="s">
        <v>65</v>
      </c>
      <c r="AT5025">
        <v>1</v>
      </c>
      <c r="AU5025" t="s">
        <v>868</v>
      </c>
      <c r="AV5025" t="s">
        <v>869</v>
      </c>
      <c r="AW5025" t="s">
        <v>60</v>
      </c>
      <c r="AX5025" t="s">
        <v>68</v>
      </c>
      <c r="AY5025" t="s">
        <v>69</v>
      </c>
      <c r="AZ5025" t="b">
        <v>1</v>
      </c>
    </row>
    <row r="5026" spans="1:52" x14ac:dyDescent="0.3">
      <c r="A5026" t="s">
        <v>52</v>
      </c>
      <c r="B5026" t="s">
        <v>53</v>
      </c>
      <c r="C5026" t="s">
        <v>54</v>
      </c>
      <c r="D5026" t="s">
        <v>55</v>
      </c>
      <c r="E5026" t="s">
        <v>2224</v>
      </c>
      <c r="F5026" t="s">
        <v>1247</v>
      </c>
      <c r="G5026" t="s">
        <v>1376</v>
      </c>
      <c r="H5026" t="s">
        <v>1377</v>
      </c>
      <c r="I5026" t="s">
        <v>1377</v>
      </c>
      <c r="J5026" t="s">
        <v>60</v>
      </c>
      <c r="K5026" t="s">
        <v>475</v>
      </c>
      <c r="L5026" t="s">
        <v>62</v>
      </c>
      <c r="M5026" t="s">
        <v>475</v>
      </c>
      <c r="N5026" t="s">
        <v>1378</v>
      </c>
      <c r="O5026" t="s">
        <v>1379</v>
      </c>
      <c r="P5026">
        <v>-20.175298000000002</v>
      </c>
      <c r="Q5026">
        <v>-44.904794000000003</v>
      </c>
      <c r="R5026" s="2" t="str">
        <f>HYPERLINK("https://www.google.com/maps?q=-20.1752980,-44.9047940","Abrir no Google Maps")</f>
        <v>Abrir no Google Maps</v>
      </c>
      <c r="S5026">
        <v>3</v>
      </c>
      <c r="T5026">
        <v>497.7557906927301</v>
      </c>
      <c r="U5026">
        <v>2</v>
      </c>
      <c r="V5026">
        <v>0.12209302325581391</v>
      </c>
      <c r="W5026">
        <v>0.85</v>
      </c>
      <c r="X5026">
        <v>0.10377906976744181</v>
      </c>
      <c r="Y5026">
        <v>578</v>
      </c>
      <c r="Z5026">
        <v>363.80816567363502</v>
      </c>
      <c r="AA5026">
        <v>198</v>
      </c>
      <c r="AB5026">
        <v>332</v>
      </c>
      <c r="AC5026">
        <v>536</v>
      </c>
      <c r="AD5026">
        <v>32.42</v>
      </c>
      <c r="AE5026">
        <v>542</v>
      </c>
      <c r="AF5026">
        <v>39</v>
      </c>
      <c r="AG5026">
        <v>173</v>
      </c>
      <c r="AH5026">
        <v>129</v>
      </c>
      <c r="AI5026">
        <v>7.2</v>
      </c>
      <c r="AJ5026">
        <v>31.92</v>
      </c>
      <c r="AK5026">
        <v>23.8</v>
      </c>
      <c r="AL5026">
        <v>-20.17530484999995</v>
      </c>
      <c r="AM5026">
        <v>-44.904834224351781</v>
      </c>
      <c r="AN5026">
        <v>-20.17530484999995</v>
      </c>
      <c r="AO5026">
        <v>-44.904834224351781</v>
      </c>
      <c r="AP5026">
        <v>-20.175298000000002</v>
      </c>
      <c r="AQ5026">
        <v>-44.904794000000003</v>
      </c>
      <c r="AR5026">
        <v>4.2716392411563806</v>
      </c>
      <c r="AS5026" t="s">
        <v>65</v>
      </c>
      <c r="AT5026">
        <v>1</v>
      </c>
      <c r="AU5026" t="s">
        <v>1380</v>
      </c>
      <c r="AV5026" t="s">
        <v>1381</v>
      </c>
      <c r="AW5026" t="s">
        <v>60</v>
      </c>
      <c r="AX5026" t="s">
        <v>68</v>
      </c>
      <c r="AY5026" t="s">
        <v>69</v>
      </c>
      <c r="AZ5026" t="b">
        <v>1</v>
      </c>
    </row>
    <row r="5027" spans="1:52" x14ac:dyDescent="0.3">
      <c r="A5027" t="s">
        <v>52</v>
      </c>
      <c r="B5027" t="s">
        <v>53</v>
      </c>
      <c r="C5027" t="s">
        <v>54</v>
      </c>
      <c r="D5027" t="s">
        <v>55</v>
      </c>
      <c r="E5027" t="s">
        <v>2224</v>
      </c>
      <c r="F5027" t="s">
        <v>1247</v>
      </c>
      <c r="G5027" t="s">
        <v>1382</v>
      </c>
      <c r="H5027" t="s">
        <v>1383</v>
      </c>
      <c r="I5027" t="s">
        <v>1383</v>
      </c>
      <c r="J5027" t="s">
        <v>60</v>
      </c>
      <c r="K5027" t="s">
        <v>1384</v>
      </c>
      <c r="L5027" t="s">
        <v>62</v>
      </c>
      <c r="M5027" t="s">
        <v>1384</v>
      </c>
      <c r="N5027" t="s">
        <v>1385</v>
      </c>
      <c r="O5027" t="s">
        <v>1379</v>
      </c>
      <c r="P5027">
        <v>-20.168914999999998</v>
      </c>
      <c r="Q5027">
        <v>-44.897015000000003</v>
      </c>
      <c r="R5027" s="2" t="str">
        <f>HYPERLINK("https://www.google.com/maps?q=-20.1689150,-44.8970150","Abrir no Google Maps")</f>
        <v>Abrir no Google Maps</v>
      </c>
      <c r="S5027">
        <v>3</v>
      </c>
      <c r="T5027">
        <v>1082.4313448281291</v>
      </c>
      <c r="U5027">
        <v>2</v>
      </c>
      <c r="V5027">
        <v>0.1141304347826087</v>
      </c>
      <c r="W5027">
        <v>0.85</v>
      </c>
      <c r="X5027">
        <v>9.70108695652174E-2</v>
      </c>
      <c r="Y5027">
        <v>578</v>
      </c>
      <c r="Z5027">
        <v>1085.6751638476369</v>
      </c>
      <c r="AA5027">
        <v>198</v>
      </c>
      <c r="AB5027">
        <v>332</v>
      </c>
      <c r="AC5027">
        <v>536</v>
      </c>
      <c r="AD5027">
        <v>32.42</v>
      </c>
      <c r="AE5027">
        <v>542</v>
      </c>
      <c r="AF5027">
        <v>39</v>
      </c>
      <c r="AG5027">
        <v>173</v>
      </c>
      <c r="AH5027">
        <v>129</v>
      </c>
      <c r="AI5027">
        <v>7.2</v>
      </c>
      <c r="AJ5027">
        <v>31.92</v>
      </c>
      <c r="AK5027">
        <v>23.8</v>
      </c>
      <c r="AL5027">
        <v>-20.168195549999979</v>
      </c>
      <c r="AM5027">
        <v>-44.895555997240763</v>
      </c>
      <c r="AN5027">
        <v>-20.168195549999979</v>
      </c>
      <c r="AO5027">
        <v>-44.895555997240763</v>
      </c>
      <c r="AP5027">
        <v>-20.168914999999998</v>
      </c>
      <c r="AQ5027">
        <v>-44.897015000000003</v>
      </c>
      <c r="AR5027">
        <v>172.21377736735809</v>
      </c>
      <c r="AS5027" t="s">
        <v>65</v>
      </c>
      <c r="AT5027">
        <v>1</v>
      </c>
      <c r="AU5027" t="s">
        <v>1386</v>
      </c>
      <c r="AV5027" t="s">
        <v>1387</v>
      </c>
      <c r="AW5027" t="s">
        <v>60</v>
      </c>
      <c r="AX5027" t="s">
        <v>68</v>
      </c>
      <c r="AY5027" t="s">
        <v>69</v>
      </c>
      <c r="AZ5027" t="b">
        <v>1</v>
      </c>
    </row>
    <row r="5028" spans="1:52" x14ac:dyDescent="0.3">
      <c r="A5028" t="s">
        <v>52</v>
      </c>
      <c r="B5028" t="s">
        <v>53</v>
      </c>
      <c r="C5028" t="s">
        <v>54</v>
      </c>
      <c r="D5028" t="s">
        <v>55</v>
      </c>
      <c r="E5028" t="s">
        <v>2224</v>
      </c>
      <c r="F5028" t="s">
        <v>1247</v>
      </c>
      <c r="G5028" t="s">
        <v>1388</v>
      </c>
      <c r="H5028" t="s">
        <v>1389</v>
      </c>
      <c r="I5028" t="s">
        <v>1389</v>
      </c>
      <c r="J5028" t="s">
        <v>60</v>
      </c>
      <c r="K5028" t="s">
        <v>475</v>
      </c>
      <c r="L5028" t="s">
        <v>62</v>
      </c>
      <c r="M5028" t="s">
        <v>475</v>
      </c>
      <c r="N5028" t="s">
        <v>1390</v>
      </c>
      <c r="O5028" t="s">
        <v>855</v>
      </c>
      <c r="P5028">
        <v>-20.173748</v>
      </c>
      <c r="Q5028">
        <v>-44.894596999999997</v>
      </c>
      <c r="R5028" s="2" t="str">
        <f>HYPERLINK("https://www.google.com/maps?q=-20.1737480,-44.8945970","Abrir no Google Maps")</f>
        <v>Abrir no Google Maps</v>
      </c>
      <c r="S5028">
        <v>3</v>
      </c>
      <c r="T5028">
        <v>1217.388518792701</v>
      </c>
      <c r="U5028">
        <v>2</v>
      </c>
      <c r="V5028">
        <v>0.1151960784313725</v>
      </c>
      <c r="W5028">
        <v>0.85</v>
      </c>
      <c r="X5028">
        <v>9.7916666666666624E-2</v>
      </c>
      <c r="Y5028">
        <v>578</v>
      </c>
      <c r="Z5028">
        <v>1268.0048337091989</v>
      </c>
      <c r="AA5028">
        <v>198</v>
      </c>
      <c r="AB5028">
        <v>332</v>
      </c>
      <c r="AC5028">
        <v>536</v>
      </c>
      <c r="AD5028">
        <v>32.42</v>
      </c>
      <c r="AE5028">
        <v>542</v>
      </c>
      <c r="AF5028">
        <v>39</v>
      </c>
      <c r="AG5028">
        <v>173</v>
      </c>
      <c r="AH5028">
        <v>129</v>
      </c>
      <c r="AI5028">
        <v>7.2</v>
      </c>
      <c r="AJ5028">
        <v>31.92</v>
      </c>
      <c r="AK5028">
        <v>23.8</v>
      </c>
      <c r="AL5028">
        <v>-20.173821999999941</v>
      </c>
      <c r="AM5028">
        <v>-44.894306105833543</v>
      </c>
      <c r="AN5028">
        <v>-20.173821999999941</v>
      </c>
      <c r="AO5028">
        <v>-44.894306105833543</v>
      </c>
      <c r="AP5028">
        <v>-20.173748</v>
      </c>
      <c r="AQ5028">
        <v>-44.894596999999997</v>
      </c>
      <c r="AR5028">
        <v>31.492193006406161</v>
      </c>
      <c r="AS5028" t="s">
        <v>65</v>
      </c>
      <c r="AT5028">
        <v>1</v>
      </c>
      <c r="AU5028" t="s">
        <v>1391</v>
      </c>
      <c r="AV5028" t="s">
        <v>1392</v>
      </c>
      <c r="AW5028" t="s">
        <v>60</v>
      </c>
      <c r="AX5028" t="s">
        <v>68</v>
      </c>
      <c r="AY5028" t="s">
        <v>69</v>
      </c>
      <c r="AZ5028" t="b">
        <v>1</v>
      </c>
    </row>
    <row r="5029" spans="1:52" x14ac:dyDescent="0.3">
      <c r="A5029" t="s">
        <v>52</v>
      </c>
      <c r="B5029" t="s">
        <v>53</v>
      </c>
      <c r="C5029" t="s">
        <v>54</v>
      </c>
      <c r="D5029" t="s">
        <v>55</v>
      </c>
      <c r="E5029" t="s">
        <v>2224</v>
      </c>
      <c r="F5029" t="s">
        <v>1247</v>
      </c>
      <c r="G5029" t="s">
        <v>497</v>
      </c>
      <c r="H5029" t="s">
        <v>875</v>
      </c>
      <c r="I5029" t="s">
        <v>875</v>
      </c>
      <c r="J5029" t="s">
        <v>60</v>
      </c>
      <c r="K5029" t="s">
        <v>475</v>
      </c>
      <c r="L5029" t="s">
        <v>62</v>
      </c>
      <c r="M5029" t="s">
        <v>475</v>
      </c>
      <c r="N5029" t="s">
        <v>499</v>
      </c>
      <c r="O5029" t="s">
        <v>876</v>
      </c>
      <c r="P5029">
        <v>-20.177212999999998</v>
      </c>
      <c r="Q5029">
        <v>-44.904026999999999</v>
      </c>
      <c r="R5029" s="2" t="str">
        <f>HYPERLINK("https://www.google.com/maps?q=-20.1772130,-44.9040270","Abrir no Google Maps")</f>
        <v>Abrir no Google Maps</v>
      </c>
      <c r="S5029">
        <v>3</v>
      </c>
      <c r="T5029">
        <v>706.4159561113795</v>
      </c>
      <c r="U5029">
        <v>2</v>
      </c>
      <c r="V5029">
        <v>0.1062874251497006</v>
      </c>
      <c r="W5029">
        <v>1</v>
      </c>
      <c r="X5029">
        <v>0.1062874251497006</v>
      </c>
      <c r="Y5029">
        <v>578</v>
      </c>
      <c r="Z5029">
        <v>588.7160518608398</v>
      </c>
      <c r="AA5029">
        <v>198</v>
      </c>
      <c r="AB5029">
        <v>332</v>
      </c>
      <c r="AC5029">
        <v>536</v>
      </c>
      <c r="AD5029">
        <v>32.42</v>
      </c>
      <c r="AE5029">
        <v>542</v>
      </c>
      <c r="AF5029">
        <v>39</v>
      </c>
      <c r="AG5029">
        <v>173</v>
      </c>
      <c r="AH5029">
        <v>129</v>
      </c>
      <c r="AI5029">
        <v>7.2</v>
      </c>
      <c r="AJ5029">
        <v>31.92</v>
      </c>
      <c r="AK5029">
        <v>23.8</v>
      </c>
      <c r="AL5029">
        <v>-20.177090199999949</v>
      </c>
      <c r="AM5029">
        <v>-44.904078820930181</v>
      </c>
      <c r="AN5029">
        <v>-20.177090199999949</v>
      </c>
      <c r="AO5029">
        <v>-44.904078820930181</v>
      </c>
      <c r="AP5029">
        <v>-20.177212999999998</v>
      </c>
      <c r="AQ5029">
        <v>-44.904026999999999</v>
      </c>
      <c r="AR5029">
        <v>14.7034129632295</v>
      </c>
      <c r="AS5029" t="s">
        <v>65</v>
      </c>
      <c r="AT5029">
        <v>1</v>
      </c>
      <c r="AU5029" t="s">
        <v>877</v>
      </c>
      <c r="AV5029" t="s">
        <v>878</v>
      </c>
      <c r="AW5029" t="s">
        <v>60</v>
      </c>
      <c r="AX5029" t="s">
        <v>68</v>
      </c>
      <c r="AY5029" t="s">
        <v>69</v>
      </c>
      <c r="AZ5029" t="b">
        <v>1</v>
      </c>
    </row>
    <row r="5030" spans="1:52" x14ac:dyDescent="0.3">
      <c r="A5030" t="s">
        <v>52</v>
      </c>
      <c r="B5030" t="s">
        <v>53</v>
      </c>
      <c r="C5030" t="s">
        <v>54</v>
      </c>
      <c r="D5030" t="s">
        <v>55</v>
      </c>
      <c r="E5030" t="s">
        <v>2224</v>
      </c>
      <c r="F5030" t="s">
        <v>1247</v>
      </c>
      <c r="G5030" t="s">
        <v>1399</v>
      </c>
      <c r="H5030" t="s">
        <v>1400</v>
      </c>
      <c r="I5030" t="s">
        <v>1400</v>
      </c>
      <c r="J5030" t="s">
        <v>60</v>
      </c>
      <c r="K5030" t="s">
        <v>475</v>
      </c>
      <c r="L5030" t="s">
        <v>62</v>
      </c>
      <c r="M5030" t="s">
        <v>475</v>
      </c>
      <c r="N5030" t="s">
        <v>1401</v>
      </c>
      <c r="O5030" t="s">
        <v>1080</v>
      </c>
      <c r="P5030">
        <v>-20.178809000000001</v>
      </c>
      <c r="Q5030">
        <v>-44.900204000000002</v>
      </c>
      <c r="R5030" s="2" t="str">
        <f>HYPERLINK("https://www.google.com/maps?q=-20.1788090,-44.9002040","Abrir no Google Maps")</f>
        <v>Abrir no Google Maps</v>
      </c>
      <c r="S5030">
        <v>3</v>
      </c>
      <c r="T5030">
        <v>1015.86498565614</v>
      </c>
      <c r="U5030">
        <v>2</v>
      </c>
      <c r="V5030">
        <v>0.12204724409448819</v>
      </c>
      <c r="W5030">
        <v>0.85</v>
      </c>
      <c r="X5030">
        <v>0.103740157480315</v>
      </c>
      <c r="Y5030">
        <v>578</v>
      </c>
      <c r="Z5030">
        <v>954.77111474428102</v>
      </c>
      <c r="AA5030">
        <v>198</v>
      </c>
      <c r="AB5030">
        <v>332</v>
      </c>
      <c r="AC5030">
        <v>536</v>
      </c>
      <c r="AD5030">
        <v>32.42</v>
      </c>
      <c r="AE5030">
        <v>542</v>
      </c>
      <c r="AF5030">
        <v>39</v>
      </c>
      <c r="AG5030">
        <v>173</v>
      </c>
      <c r="AH5030">
        <v>129</v>
      </c>
      <c r="AI5030">
        <v>7.2</v>
      </c>
      <c r="AJ5030">
        <v>31.92</v>
      </c>
      <c r="AK5030">
        <v>23.8</v>
      </c>
      <c r="AL5030">
        <v>-20.178590099999951</v>
      </c>
      <c r="AM5030">
        <v>-44.90029029928732</v>
      </c>
      <c r="AN5030">
        <v>-20.178590099999951</v>
      </c>
      <c r="AO5030">
        <v>-44.90029029928732</v>
      </c>
      <c r="AP5030">
        <v>-20.178809000000001</v>
      </c>
      <c r="AQ5030">
        <v>-44.900204000000002</v>
      </c>
      <c r="AR5030">
        <v>25.982812999798391</v>
      </c>
      <c r="AS5030" t="s">
        <v>65</v>
      </c>
      <c r="AT5030">
        <v>1</v>
      </c>
      <c r="AU5030" t="s">
        <v>1402</v>
      </c>
      <c r="AV5030" t="s">
        <v>1403</v>
      </c>
      <c r="AW5030" t="s">
        <v>60</v>
      </c>
      <c r="AX5030" t="s">
        <v>68</v>
      </c>
      <c r="AY5030" t="s">
        <v>69</v>
      </c>
      <c r="AZ5030" t="b">
        <v>1</v>
      </c>
    </row>
    <row r="5031" spans="1:52" x14ac:dyDescent="0.3">
      <c r="A5031" t="s">
        <v>52</v>
      </c>
      <c r="B5031" t="s">
        <v>53</v>
      </c>
      <c r="C5031" t="s">
        <v>54</v>
      </c>
      <c r="D5031" t="s">
        <v>55</v>
      </c>
      <c r="E5031" t="s">
        <v>2224</v>
      </c>
      <c r="F5031" t="s">
        <v>1247</v>
      </c>
      <c r="G5031" t="s">
        <v>503</v>
      </c>
      <c r="H5031" t="s">
        <v>504</v>
      </c>
      <c r="I5031" t="s">
        <v>504</v>
      </c>
      <c r="J5031" t="s">
        <v>60</v>
      </c>
      <c r="K5031" t="s">
        <v>505</v>
      </c>
      <c r="L5031" t="s">
        <v>62</v>
      </c>
      <c r="M5031" t="s">
        <v>505</v>
      </c>
      <c r="N5031" t="s">
        <v>506</v>
      </c>
      <c r="O5031" t="s">
        <v>507</v>
      </c>
      <c r="P5031">
        <v>-20.131428</v>
      </c>
      <c r="Q5031">
        <v>-44.888921000000003</v>
      </c>
      <c r="R5031" s="2" t="str">
        <f>HYPERLINK("https://www.google.com/maps?q=-20.1314280,-44.8889210","Abrir no Google Maps")</f>
        <v>Abrir no Google Maps</v>
      </c>
      <c r="S5031">
        <v>3</v>
      </c>
      <c r="T5031">
        <v>250.64150698244501</v>
      </c>
      <c r="U5031">
        <v>2</v>
      </c>
      <c r="V5031">
        <v>9.4008264462809896E-2</v>
      </c>
      <c r="W5031">
        <v>1</v>
      </c>
      <c r="X5031">
        <v>9.4008264462809896E-2</v>
      </c>
      <c r="Y5031">
        <v>564</v>
      </c>
      <c r="Z5031">
        <v>189.93933888952441</v>
      </c>
      <c r="AA5031">
        <v>198</v>
      </c>
      <c r="AB5031">
        <v>332</v>
      </c>
      <c r="AC5031">
        <v>536</v>
      </c>
      <c r="AD5031">
        <v>32.42</v>
      </c>
      <c r="AE5031">
        <v>542</v>
      </c>
      <c r="AF5031">
        <v>39</v>
      </c>
      <c r="AG5031">
        <v>173</v>
      </c>
      <c r="AH5031">
        <v>129</v>
      </c>
      <c r="AI5031">
        <v>7.2</v>
      </c>
      <c r="AJ5031">
        <v>31.92</v>
      </c>
      <c r="AK5031">
        <v>23.8</v>
      </c>
      <c r="AL5031">
        <v>-20.13123589999995</v>
      </c>
      <c r="AM5031">
        <v>-44.888742396501762</v>
      </c>
      <c r="AN5031">
        <v>-20.13123589999995</v>
      </c>
      <c r="AO5031">
        <v>-44.888742396501762</v>
      </c>
      <c r="AP5031">
        <v>-20.131428</v>
      </c>
      <c r="AQ5031">
        <v>-44.888921000000003</v>
      </c>
      <c r="AR5031">
        <v>28.386169462917032</v>
      </c>
      <c r="AS5031" t="s">
        <v>65</v>
      </c>
      <c r="AT5031">
        <v>1</v>
      </c>
      <c r="AU5031" t="s">
        <v>508</v>
      </c>
      <c r="AV5031" t="s">
        <v>509</v>
      </c>
      <c r="AW5031" t="s">
        <v>60</v>
      </c>
      <c r="AX5031" t="s">
        <v>68</v>
      </c>
      <c r="AY5031" t="s">
        <v>69</v>
      </c>
      <c r="AZ5031" t="b">
        <v>1</v>
      </c>
    </row>
    <row r="5032" spans="1:52" x14ac:dyDescent="0.3">
      <c r="A5032" t="s">
        <v>52</v>
      </c>
      <c r="B5032" t="s">
        <v>53</v>
      </c>
      <c r="C5032" t="s">
        <v>54</v>
      </c>
      <c r="D5032" t="s">
        <v>55</v>
      </c>
      <c r="E5032" t="s">
        <v>2224</v>
      </c>
      <c r="F5032" t="s">
        <v>1247</v>
      </c>
      <c r="G5032" t="s">
        <v>510</v>
      </c>
      <c r="H5032" t="s">
        <v>511</v>
      </c>
      <c r="I5032" t="s">
        <v>511</v>
      </c>
      <c r="J5032" t="s">
        <v>60</v>
      </c>
      <c r="K5032" t="s">
        <v>512</v>
      </c>
      <c r="L5032" t="s">
        <v>62</v>
      </c>
      <c r="M5032" t="s">
        <v>512</v>
      </c>
      <c r="N5032" t="s">
        <v>406</v>
      </c>
      <c r="O5032" t="s">
        <v>513</v>
      </c>
      <c r="P5032">
        <v>-20.127853000000002</v>
      </c>
      <c r="Q5032">
        <v>-44.891415000000002</v>
      </c>
      <c r="R5032" s="2" t="str">
        <f>HYPERLINK("https://www.google.com/maps?q=-20.1278530,-44.8914150","Abrir no Google Maps")</f>
        <v>Abrir no Google Maps</v>
      </c>
      <c r="S5032">
        <v>3</v>
      </c>
      <c r="T5032">
        <v>340.86994528233612</v>
      </c>
      <c r="U5032">
        <v>2</v>
      </c>
      <c r="V5032">
        <v>9.3406593406593394E-2</v>
      </c>
      <c r="W5032">
        <v>1</v>
      </c>
      <c r="X5032">
        <v>9.3406593406593394E-2</v>
      </c>
      <c r="Y5032">
        <v>564</v>
      </c>
      <c r="Z5032">
        <v>294.18108015916812</v>
      </c>
      <c r="AA5032">
        <v>198</v>
      </c>
      <c r="AB5032">
        <v>332</v>
      </c>
      <c r="AC5032">
        <v>536</v>
      </c>
      <c r="AD5032">
        <v>32.42</v>
      </c>
      <c r="AE5032">
        <v>542</v>
      </c>
      <c r="AF5032">
        <v>39</v>
      </c>
      <c r="AG5032">
        <v>173</v>
      </c>
      <c r="AH5032">
        <v>129</v>
      </c>
      <c r="AI5032">
        <v>7.2</v>
      </c>
      <c r="AJ5032">
        <v>31.92</v>
      </c>
      <c r="AK5032">
        <v>23.8</v>
      </c>
      <c r="AL5032">
        <v>-20.12777399999996</v>
      </c>
      <c r="AM5032">
        <v>-44.891400975758501</v>
      </c>
      <c r="AN5032">
        <v>-20.12777399999996</v>
      </c>
      <c r="AO5032">
        <v>-44.891400975758501</v>
      </c>
      <c r="AP5032">
        <v>-20.127853000000002</v>
      </c>
      <c r="AQ5032">
        <v>-44.891415000000002</v>
      </c>
      <c r="AR5032">
        <v>8.9156059162975616</v>
      </c>
      <c r="AS5032" t="s">
        <v>65</v>
      </c>
      <c r="AT5032">
        <v>1</v>
      </c>
      <c r="AU5032" t="s">
        <v>514</v>
      </c>
      <c r="AV5032" t="s">
        <v>515</v>
      </c>
      <c r="AW5032" t="s">
        <v>60</v>
      </c>
      <c r="AX5032" t="s">
        <v>68</v>
      </c>
      <c r="AY5032" t="s">
        <v>69</v>
      </c>
      <c r="AZ5032" t="b">
        <v>1</v>
      </c>
    </row>
    <row r="5033" spans="1:52" x14ac:dyDescent="0.3">
      <c r="A5033" t="s">
        <v>52</v>
      </c>
      <c r="B5033" t="s">
        <v>53</v>
      </c>
      <c r="C5033" t="s">
        <v>54</v>
      </c>
      <c r="D5033" t="s">
        <v>55</v>
      </c>
      <c r="E5033" t="s">
        <v>2224</v>
      </c>
      <c r="F5033" t="s">
        <v>1247</v>
      </c>
      <c r="G5033" t="s">
        <v>516</v>
      </c>
      <c r="H5033" t="s">
        <v>517</v>
      </c>
      <c r="I5033" t="s">
        <v>517</v>
      </c>
      <c r="J5033" t="s">
        <v>60</v>
      </c>
      <c r="K5033" t="s">
        <v>518</v>
      </c>
      <c r="L5033" t="s">
        <v>62</v>
      </c>
      <c r="M5033" t="s">
        <v>518</v>
      </c>
      <c r="N5033" t="s">
        <v>519</v>
      </c>
      <c r="O5033" t="s">
        <v>520</v>
      </c>
      <c r="P5033">
        <v>-20.124502</v>
      </c>
      <c r="Q5033">
        <v>-44.888424000000001</v>
      </c>
      <c r="R5033" s="2" t="str">
        <f>HYPERLINK("https://www.google.com/maps?q=-20.1245020,-44.8884240","Abrir no Google Maps")</f>
        <v>Abrir no Google Maps</v>
      </c>
      <c r="S5033">
        <v>3</v>
      </c>
      <c r="T5033">
        <v>483.42298121929559</v>
      </c>
      <c r="U5033">
        <v>2</v>
      </c>
      <c r="V5033">
        <v>9.3237704918032793E-2</v>
      </c>
      <c r="W5033">
        <v>1</v>
      </c>
      <c r="X5033">
        <v>9.3237704918032793E-2</v>
      </c>
      <c r="Y5033">
        <v>564</v>
      </c>
      <c r="Z5033">
        <v>565.43074237076587</v>
      </c>
      <c r="AA5033">
        <v>198</v>
      </c>
      <c r="AB5033">
        <v>332</v>
      </c>
      <c r="AC5033">
        <v>536</v>
      </c>
      <c r="AD5033">
        <v>32.42</v>
      </c>
      <c r="AE5033">
        <v>542</v>
      </c>
      <c r="AF5033">
        <v>39</v>
      </c>
      <c r="AG5033">
        <v>173</v>
      </c>
      <c r="AH5033">
        <v>129</v>
      </c>
      <c r="AI5033">
        <v>7.2</v>
      </c>
      <c r="AJ5033">
        <v>31.92</v>
      </c>
      <c r="AK5033">
        <v>23.8</v>
      </c>
      <c r="AL5033">
        <v>-20.124624949999941</v>
      </c>
      <c r="AM5033">
        <v>-44.888432821777258</v>
      </c>
      <c r="AN5033">
        <v>-20.124624949999941</v>
      </c>
      <c r="AO5033">
        <v>-44.888432821777258</v>
      </c>
      <c r="AP5033">
        <v>-20.124502</v>
      </c>
      <c r="AQ5033">
        <v>-44.888424000000001</v>
      </c>
      <c r="AR5033">
        <v>13.717819333897451</v>
      </c>
      <c r="AS5033" t="s">
        <v>65</v>
      </c>
      <c r="AT5033">
        <v>1</v>
      </c>
      <c r="AU5033" t="s">
        <v>521</v>
      </c>
      <c r="AV5033" t="s">
        <v>522</v>
      </c>
      <c r="AW5033" t="s">
        <v>60</v>
      </c>
      <c r="AX5033" t="s">
        <v>68</v>
      </c>
      <c r="AY5033" t="s">
        <v>69</v>
      </c>
      <c r="AZ5033" t="b">
        <v>1</v>
      </c>
    </row>
    <row r="5034" spans="1:52" x14ac:dyDescent="0.3">
      <c r="A5034" t="s">
        <v>52</v>
      </c>
      <c r="B5034" t="s">
        <v>53</v>
      </c>
      <c r="C5034" t="s">
        <v>54</v>
      </c>
      <c r="D5034" t="s">
        <v>55</v>
      </c>
      <c r="E5034" t="s">
        <v>2224</v>
      </c>
      <c r="F5034" t="s">
        <v>1247</v>
      </c>
      <c r="G5034" t="s">
        <v>523</v>
      </c>
      <c r="H5034" t="s">
        <v>524</v>
      </c>
      <c r="I5034" t="s">
        <v>524</v>
      </c>
      <c r="J5034" t="s">
        <v>60</v>
      </c>
      <c r="K5034" t="s">
        <v>518</v>
      </c>
      <c r="L5034" t="s">
        <v>62</v>
      </c>
      <c r="M5034" t="s">
        <v>518</v>
      </c>
      <c r="N5034" t="s">
        <v>525</v>
      </c>
      <c r="O5034" t="s">
        <v>331</v>
      </c>
      <c r="P5034">
        <v>-20.126553000000001</v>
      </c>
      <c r="Q5034">
        <v>-44.888599999999997</v>
      </c>
      <c r="R5034" s="2" t="str">
        <f>HYPERLINK("https://www.google.com/maps?q=-20.1265530,-44.8886000","Abrir no Google Maps")</f>
        <v>Abrir no Google Maps</v>
      </c>
      <c r="S5034">
        <v>3</v>
      </c>
      <c r="T5034">
        <v>256.34043440603853</v>
      </c>
      <c r="U5034">
        <v>2</v>
      </c>
      <c r="V5034">
        <v>0.1039603960396039</v>
      </c>
      <c r="W5034">
        <v>1</v>
      </c>
      <c r="X5034">
        <v>0.1039603960396039</v>
      </c>
      <c r="Y5034">
        <v>564</v>
      </c>
      <c r="Z5034">
        <v>325.4404273055876</v>
      </c>
      <c r="AA5034">
        <v>198</v>
      </c>
      <c r="AB5034">
        <v>332</v>
      </c>
      <c r="AC5034">
        <v>536</v>
      </c>
      <c r="AD5034">
        <v>32.42</v>
      </c>
      <c r="AE5034">
        <v>542</v>
      </c>
      <c r="AF5034">
        <v>39</v>
      </c>
      <c r="AG5034">
        <v>173</v>
      </c>
      <c r="AH5034">
        <v>129</v>
      </c>
      <c r="AI5034">
        <v>7.2</v>
      </c>
      <c r="AJ5034">
        <v>31.92</v>
      </c>
      <c r="AK5034">
        <v>23.8</v>
      </c>
      <c r="AL5034">
        <v>-20.12669049999997</v>
      </c>
      <c r="AM5034">
        <v>-44.888671289876577</v>
      </c>
      <c r="AN5034">
        <v>-20.12669049999997</v>
      </c>
      <c r="AO5034">
        <v>-44.888671289876577</v>
      </c>
      <c r="AP5034">
        <v>-20.126553000000001</v>
      </c>
      <c r="AQ5034">
        <v>-44.888599999999997</v>
      </c>
      <c r="AR5034">
        <v>17.023861591720589</v>
      </c>
      <c r="AS5034" t="s">
        <v>65</v>
      </c>
      <c r="AT5034">
        <v>1</v>
      </c>
      <c r="AU5034" t="s">
        <v>526</v>
      </c>
      <c r="AV5034" t="s">
        <v>527</v>
      </c>
      <c r="AW5034" t="s">
        <v>60</v>
      </c>
      <c r="AX5034" t="s">
        <v>68</v>
      </c>
      <c r="AY5034" t="s">
        <v>69</v>
      </c>
      <c r="AZ5034" t="b">
        <v>1</v>
      </c>
    </row>
    <row r="5035" spans="1:52" x14ac:dyDescent="0.3">
      <c r="A5035" t="s">
        <v>52</v>
      </c>
      <c r="B5035" t="s">
        <v>53</v>
      </c>
      <c r="C5035" t="s">
        <v>54</v>
      </c>
      <c r="D5035" t="s">
        <v>55</v>
      </c>
      <c r="E5035" t="s">
        <v>2224</v>
      </c>
      <c r="F5035" t="s">
        <v>1247</v>
      </c>
      <c r="G5035" t="s">
        <v>649</v>
      </c>
      <c r="H5035" t="s">
        <v>885</v>
      </c>
      <c r="I5035" t="s">
        <v>885</v>
      </c>
      <c r="J5035" t="s">
        <v>60</v>
      </c>
      <c r="K5035" t="s">
        <v>886</v>
      </c>
      <c r="L5035" t="s">
        <v>62</v>
      </c>
      <c r="M5035" t="s">
        <v>886</v>
      </c>
      <c r="N5035" t="s">
        <v>652</v>
      </c>
      <c r="O5035" t="s">
        <v>887</v>
      </c>
      <c r="P5035">
        <v>-20.132252000000001</v>
      </c>
      <c r="Q5035">
        <v>-44.894159000000002</v>
      </c>
      <c r="R5035" s="2" t="str">
        <f>HYPERLINK("https://www.google.com/maps?q=-20.1322520,-44.8941590","Abrir no Google Maps")</f>
        <v>Abrir no Google Maps</v>
      </c>
      <c r="S5035">
        <v>3</v>
      </c>
      <c r="T5035">
        <v>699.5004749448899</v>
      </c>
      <c r="U5035">
        <v>2</v>
      </c>
      <c r="V5035">
        <v>0.10625</v>
      </c>
      <c r="W5035">
        <v>0.85</v>
      </c>
      <c r="X5035">
        <v>9.031249999999999E-2</v>
      </c>
      <c r="Y5035">
        <v>564</v>
      </c>
      <c r="Z5035">
        <v>522.21103586457991</v>
      </c>
      <c r="AA5035">
        <v>198</v>
      </c>
      <c r="AB5035">
        <v>332</v>
      </c>
      <c r="AC5035">
        <v>536</v>
      </c>
      <c r="AD5035">
        <v>32.42</v>
      </c>
      <c r="AE5035">
        <v>542</v>
      </c>
      <c r="AF5035">
        <v>39</v>
      </c>
      <c r="AG5035">
        <v>173</v>
      </c>
      <c r="AH5035">
        <v>129</v>
      </c>
      <c r="AI5035">
        <v>7.2</v>
      </c>
      <c r="AJ5035">
        <v>31.92</v>
      </c>
      <c r="AK5035">
        <v>23.8</v>
      </c>
      <c r="AL5035">
        <v>-20.132285999999969</v>
      </c>
      <c r="AM5035">
        <v>-44.894119001288672</v>
      </c>
      <c r="AN5035">
        <v>-20.132285999999969</v>
      </c>
      <c r="AO5035">
        <v>-44.894119001288672</v>
      </c>
      <c r="AP5035">
        <v>-20.132252000000001</v>
      </c>
      <c r="AQ5035">
        <v>-44.894159000000002</v>
      </c>
      <c r="AR5035">
        <v>5.6393921063261629</v>
      </c>
      <c r="AS5035" t="s">
        <v>65</v>
      </c>
      <c r="AT5035">
        <v>1</v>
      </c>
      <c r="AU5035" t="s">
        <v>888</v>
      </c>
      <c r="AV5035" t="s">
        <v>889</v>
      </c>
      <c r="AW5035" t="s">
        <v>60</v>
      </c>
      <c r="AX5035" t="s">
        <v>68</v>
      </c>
      <c r="AY5035" t="s">
        <v>69</v>
      </c>
      <c r="AZ5035" t="b">
        <v>1</v>
      </c>
    </row>
    <row r="5036" spans="1:52" x14ac:dyDescent="0.3">
      <c r="A5036" t="s">
        <v>52</v>
      </c>
      <c r="B5036" t="s">
        <v>53</v>
      </c>
      <c r="C5036" t="s">
        <v>54</v>
      </c>
      <c r="D5036" t="s">
        <v>55</v>
      </c>
      <c r="E5036" t="s">
        <v>2224</v>
      </c>
      <c r="F5036" t="s">
        <v>1247</v>
      </c>
      <c r="G5036" t="s">
        <v>535</v>
      </c>
      <c r="H5036" t="s">
        <v>536</v>
      </c>
      <c r="I5036" t="s">
        <v>536</v>
      </c>
      <c r="J5036" t="s">
        <v>60</v>
      </c>
      <c r="K5036" t="s">
        <v>388</v>
      </c>
      <c r="L5036" t="s">
        <v>62</v>
      </c>
      <c r="M5036" t="s">
        <v>388</v>
      </c>
      <c r="N5036" t="s">
        <v>537</v>
      </c>
      <c r="O5036" t="s">
        <v>538</v>
      </c>
      <c r="P5036">
        <v>-20.150061999999998</v>
      </c>
      <c r="Q5036">
        <v>-44.903379000000001</v>
      </c>
      <c r="R5036" s="2" t="str">
        <f>HYPERLINK("https://www.google.com/maps?q=-20.1500620,-44.9033790","Abrir no Google Maps")</f>
        <v>Abrir no Google Maps</v>
      </c>
      <c r="S5036">
        <v>3</v>
      </c>
      <c r="T5036">
        <v>286.20313674219977</v>
      </c>
      <c r="U5036">
        <v>2</v>
      </c>
      <c r="V5036">
        <v>9.8870056497175104E-2</v>
      </c>
      <c r="W5036">
        <v>1</v>
      </c>
      <c r="X5036">
        <v>9.8870056497175104E-2</v>
      </c>
      <c r="Y5036">
        <v>556</v>
      </c>
      <c r="Z5036">
        <v>315.81851898667401</v>
      </c>
      <c r="AA5036">
        <v>198</v>
      </c>
      <c r="AB5036">
        <v>332</v>
      </c>
      <c r="AC5036">
        <v>536</v>
      </c>
      <c r="AD5036">
        <v>32.42</v>
      </c>
      <c r="AE5036">
        <v>542</v>
      </c>
      <c r="AF5036">
        <v>39</v>
      </c>
      <c r="AG5036">
        <v>173</v>
      </c>
      <c r="AH5036">
        <v>129</v>
      </c>
      <c r="AI5036">
        <v>7.2</v>
      </c>
      <c r="AJ5036">
        <v>31.92</v>
      </c>
      <c r="AK5036">
        <v>23.8</v>
      </c>
      <c r="AL5036">
        <v>-20.150084299999971</v>
      </c>
      <c r="AM5036">
        <v>-44.903278407568479</v>
      </c>
      <c r="AN5036">
        <v>-20.150084299999971</v>
      </c>
      <c r="AO5036">
        <v>-44.903278407568479</v>
      </c>
      <c r="AP5036">
        <v>-20.150061999999998</v>
      </c>
      <c r="AQ5036">
        <v>-44.903379000000001</v>
      </c>
      <c r="AR5036">
        <v>10.801687336134639</v>
      </c>
      <c r="AS5036" t="s">
        <v>65</v>
      </c>
      <c r="AT5036">
        <v>1</v>
      </c>
      <c r="AU5036" t="s">
        <v>539</v>
      </c>
      <c r="AV5036" t="s">
        <v>540</v>
      </c>
      <c r="AW5036" t="s">
        <v>60</v>
      </c>
      <c r="AX5036" t="s">
        <v>68</v>
      </c>
      <c r="AY5036" t="s">
        <v>69</v>
      </c>
      <c r="AZ5036" t="b">
        <v>1</v>
      </c>
    </row>
    <row r="5037" spans="1:52" x14ac:dyDescent="0.3">
      <c r="A5037" t="s">
        <v>52</v>
      </c>
      <c r="B5037" t="s">
        <v>53</v>
      </c>
      <c r="C5037" t="s">
        <v>54</v>
      </c>
      <c r="D5037" t="s">
        <v>55</v>
      </c>
      <c r="E5037" t="s">
        <v>2224</v>
      </c>
      <c r="F5037" t="s">
        <v>1247</v>
      </c>
      <c r="G5037" t="s">
        <v>1412</v>
      </c>
      <c r="H5037" t="s">
        <v>1413</v>
      </c>
      <c r="I5037" t="s">
        <v>1413</v>
      </c>
      <c r="J5037" t="s">
        <v>60</v>
      </c>
      <c r="K5037" t="s">
        <v>892</v>
      </c>
      <c r="L5037" t="s">
        <v>62</v>
      </c>
      <c r="M5037" t="s">
        <v>892</v>
      </c>
      <c r="N5037" t="s">
        <v>1414</v>
      </c>
      <c r="O5037" t="s">
        <v>293</v>
      </c>
      <c r="P5037">
        <v>-20.150780999999998</v>
      </c>
      <c r="Q5037">
        <v>-44.897972000000003</v>
      </c>
      <c r="R5037" s="2" t="str">
        <f>HYPERLINK("https://www.google.com/maps?q=-20.1507810,-44.8979720","Abrir no Google Maps")</f>
        <v>Abrir no Google Maps</v>
      </c>
      <c r="S5037">
        <v>3</v>
      </c>
      <c r="T5037">
        <v>306.36394634674508</v>
      </c>
      <c r="U5037">
        <v>2</v>
      </c>
      <c r="V5037">
        <v>0.1236559139784946</v>
      </c>
      <c r="W5037">
        <v>0.85</v>
      </c>
      <c r="X5037">
        <v>0.1051075268817204</v>
      </c>
      <c r="Y5037">
        <v>556</v>
      </c>
      <c r="Z5037">
        <v>233.85692443628571</v>
      </c>
      <c r="AA5037">
        <v>198</v>
      </c>
      <c r="AB5037">
        <v>332</v>
      </c>
      <c r="AC5037">
        <v>536</v>
      </c>
      <c r="AD5037">
        <v>32.42</v>
      </c>
      <c r="AE5037">
        <v>542</v>
      </c>
      <c r="AF5037">
        <v>39</v>
      </c>
      <c r="AG5037">
        <v>173</v>
      </c>
      <c r="AH5037">
        <v>129</v>
      </c>
      <c r="AI5037">
        <v>7.2</v>
      </c>
      <c r="AJ5037">
        <v>31.92</v>
      </c>
      <c r="AK5037">
        <v>23.8</v>
      </c>
      <c r="AL5037">
        <v>-20.15074609999996</v>
      </c>
      <c r="AM5037">
        <v>-44.89795774234689</v>
      </c>
      <c r="AN5037">
        <v>-20.15074609999996</v>
      </c>
      <c r="AO5037">
        <v>-44.89795774234689</v>
      </c>
      <c r="AP5037">
        <v>-20.150780999999998</v>
      </c>
      <c r="AQ5037">
        <v>-44.897972000000003</v>
      </c>
      <c r="AR5037">
        <v>4.160995809097348</v>
      </c>
      <c r="AS5037" t="s">
        <v>65</v>
      </c>
      <c r="AT5037">
        <v>1</v>
      </c>
      <c r="AU5037" t="s">
        <v>1415</v>
      </c>
      <c r="AV5037" t="s">
        <v>1416</v>
      </c>
      <c r="AW5037" t="s">
        <v>60</v>
      </c>
      <c r="AX5037" t="s">
        <v>68</v>
      </c>
      <c r="AY5037" t="s">
        <v>69</v>
      </c>
      <c r="AZ5037" t="b">
        <v>1</v>
      </c>
    </row>
    <row r="5038" spans="1:52" x14ac:dyDescent="0.3">
      <c r="A5038" t="s">
        <v>52</v>
      </c>
      <c r="B5038" t="s">
        <v>53</v>
      </c>
      <c r="C5038" t="s">
        <v>54</v>
      </c>
      <c r="D5038" t="s">
        <v>55</v>
      </c>
      <c r="E5038" t="s">
        <v>2224</v>
      </c>
      <c r="F5038" t="s">
        <v>1247</v>
      </c>
      <c r="G5038" t="s">
        <v>1127</v>
      </c>
      <c r="H5038" t="s">
        <v>1449</v>
      </c>
      <c r="I5038" t="s">
        <v>1449</v>
      </c>
      <c r="J5038" t="s">
        <v>60</v>
      </c>
      <c r="K5038" t="s">
        <v>1450</v>
      </c>
      <c r="L5038" t="s">
        <v>62</v>
      </c>
      <c r="M5038" t="s">
        <v>1450</v>
      </c>
      <c r="N5038" t="s">
        <v>1451</v>
      </c>
      <c r="O5038" t="s">
        <v>1452</v>
      </c>
      <c r="P5038">
        <v>-20.152612000000001</v>
      </c>
      <c r="Q5038">
        <v>-44.897098</v>
      </c>
      <c r="R5038" s="2" t="str">
        <f>HYPERLINK("https://www.google.com/maps?q=-20.1526120,-44.8970980","Abrir no Google Maps")</f>
        <v>Abrir no Google Maps</v>
      </c>
      <c r="S5038">
        <v>3</v>
      </c>
      <c r="T5038">
        <v>418.6283592063233</v>
      </c>
      <c r="U5038">
        <v>2</v>
      </c>
      <c r="V5038">
        <v>0.1059782608695652</v>
      </c>
      <c r="W5038">
        <v>0.85</v>
      </c>
      <c r="X5038">
        <v>9.0081521739130421E-2</v>
      </c>
      <c r="Y5038">
        <v>556</v>
      </c>
      <c r="Z5038">
        <v>387.16462225830952</v>
      </c>
      <c r="AA5038">
        <v>198</v>
      </c>
      <c r="AB5038">
        <v>332</v>
      </c>
      <c r="AC5038">
        <v>536</v>
      </c>
      <c r="AD5038">
        <v>32.42</v>
      </c>
      <c r="AE5038">
        <v>542</v>
      </c>
      <c r="AF5038">
        <v>39</v>
      </c>
      <c r="AG5038">
        <v>173</v>
      </c>
      <c r="AH5038">
        <v>129</v>
      </c>
      <c r="AI5038">
        <v>7.2</v>
      </c>
      <c r="AJ5038">
        <v>31.92</v>
      </c>
      <c r="AK5038">
        <v>23.8</v>
      </c>
      <c r="AL5038">
        <v>-20.15253669999996</v>
      </c>
      <c r="AM5038">
        <v>-44.897068126936119</v>
      </c>
      <c r="AN5038">
        <v>-20.15253669999996</v>
      </c>
      <c r="AO5038">
        <v>-44.897068126936119</v>
      </c>
      <c r="AP5038">
        <v>-20.152612000000001</v>
      </c>
      <c r="AQ5038">
        <v>-44.897098</v>
      </c>
      <c r="AR5038">
        <v>8.9448699164987104</v>
      </c>
      <c r="AS5038" t="s">
        <v>65</v>
      </c>
      <c r="AT5038">
        <v>1</v>
      </c>
      <c r="AU5038" t="s">
        <v>1453</v>
      </c>
      <c r="AV5038" t="s">
        <v>1454</v>
      </c>
      <c r="AW5038" t="s">
        <v>60</v>
      </c>
      <c r="AX5038" t="s">
        <v>68</v>
      </c>
      <c r="AY5038" t="s">
        <v>69</v>
      </c>
      <c r="AZ5038" t="b">
        <v>1</v>
      </c>
    </row>
    <row r="5039" spans="1:52" x14ac:dyDescent="0.3">
      <c r="A5039" t="s">
        <v>52</v>
      </c>
      <c r="B5039" t="s">
        <v>53</v>
      </c>
      <c r="C5039" t="s">
        <v>54</v>
      </c>
      <c r="D5039" t="s">
        <v>55</v>
      </c>
      <c r="E5039" t="s">
        <v>2224</v>
      </c>
      <c r="F5039" t="s">
        <v>1247</v>
      </c>
      <c r="G5039" t="s">
        <v>897</v>
      </c>
      <c r="H5039" t="s">
        <v>898</v>
      </c>
      <c r="I5039" t="s">
        <v>898</v>
      </c>
      <c r="J5039" t="s">
        <v>60</v>
      </c>
      <c r="K5039" t="s">
        <v>892</v>
      </c>
      <c r="L5039" t="s">
        <v>62</v>
      </c>
      <c r="M5039" t="s">
        <v>892</v>
      </c>
      <c r="N5039" t="s">
        <v>899</v>
      </c>
      <c r="O5039" t="s">
        <v>900</v>
      </c>
      <c r="P5039">
        <v>-20.154885</v>
      </c>
      <c r="Q5039">
        <v>-44.899890999999997</v>
      </c>
      <c r="R5039" s="2" t="str">
        <f>HYPERLINK("https://www.google.com/maps?q=-20.1548850,-44.8998910","Abrir no Google Maps")</f>
        <v>Abrir no Google Maps</v>
      </c>
      <c r="S5039">
        <v>3</v>
      </c>
      <c r="T5039">
        <v>314.66339661014308</v>
      </c>
      <c r="U5039">
        <v>2</v>
      </c>
      <c r="V5039">
        <v>8.9139344262295001E-2</v>
      </c>
      <c r="W5039">
        <v>1</v>
      </c>
      <c r="X5039">
        <v>8.9139344262295001E-2</v>
      </c>
      <c r="Y5039">
        <v>548</v>
      </c>
      <c r="Z5039">
        <v>319.02252584834253</v>
      </c>
      <c r="AA5039">
        <v>198</v>
      </c>
      <c r="AB5039">
        <v>332</v>
      </c>
      <c r="AC5039">
        <v>536</v>
      </c>
      <c r="AD5039">
        <v>32.42</v>
      </c>
      <c r="AE5039">
        <v>542</v>
      </c>
      <c r="AF5039">
        <v>39</v>
      </c>
      <c r="AG5039">
        <v>173</v>
      </c>
      <c r="AH5039">
        <v>129</v>
      </c>
      <c r="AI5039">
        <v>7.2</v>
      </c>
      <c r="AJ5039">
        <v>31.92</v>
      </c>
      <c r="AK5039">
        <v>23.8</v>
      </c>
      <c r="AL5039">
        <v>-20.154906649999951</v>
      </c>
      <c r="AM5039">
        <v>-44.899894072543653</v>
      </c>
      <c r="AN5039">
        <v>-20.154906649999951</v>
      </c>
      <c r="AO5039">
        <v>-44.899894072543653</v>
      </c>
      <c r="AP5039">
        <v>-20.154885</v>
      </c>
      <c r="AQ5039">
        <v>-44.899890999999997</v>
      </c>
      <c r="AR5039">
        <v>2.431373123904943</v>
      </c>
      <c r="AS5039" t="s">
        <v>65</v>
      </c>
      <c r="AT5039">
        <v>1</v>
      </c>
      <c r="AU5039" t="s">
        <v>901</v>
      </c>
      <c r="AV5039" t="s">
        <v>902</v>
      </c>
      <c r="AW5039" t="s">
        <v>60</v>
      </c>
      <c r="AX5039" t="s">
        <v>68</v>
      </c>
      <c r="AY5039" t="s">
        <v>69</v>
      </c>
      <c r="AZ5039" t="b">
        <v>1</v>
      </c>
    </row>
    <row r="5040" spans="1:52" x14ac:dyDescent="0.3">
      <c r="A5040" t="s">
        <v>52</v>
      </c>
      <c r="B5040" t="s">
        <v>53</v>
      </c>
      <c r="C5040" t="s">
        <v>54</v>
      </c>
      <c r="D5040" t="s">
        <v>55</v>
      </c>
      <c r="E5040" t="s">
        <v>2224</v>
      </c>
      <c r="F5040" t="s">
        <v>1247</v>
      </c>
      <c r="G5040" t="s">
        <v>562</v>
      </c>
      <c r="H5040" t="s">
        <v>563</v>
      </c>
      <c r="I5040" t="s">
        <v>563</v>
      </c>
      <c r="J5040" t="s">
        <v>60</v>
      </c>
      <c r="K5040" t="s">
        <v>388</v>
      </c>
      <c r="L5040" t="s">
        <v>62</v>
      </c>
      <c r="M5040" t="s">
        <v>388</v>
      </c>
      <c r="N5040" t="s">
        <v>564</v>
      </c>
      <c r="O5040" t="s">
        <v>565</v>
      </c>
      <c r="P5040">
        <v>-20.154432</v>
      </c>
      <c r="Q5040">
        <v>-44.902977999999997</v>
      </c>
      <c r="R5040" s="2" t="str">
        <f>HYPERLINK("https://www.google.com/maps?q=-20.1544320,-44.9029780","Abrir no Google Maps")</f>
        <v>Abrir no Google Maps</v>
      </c>
      <c r="S5040">
        <v>3</v>
      </c>
      <c r="T5040">
        <v>0</v>
      </c>
      <c r="U5040">
        <v>2</v>
      </c>
      <c r="V5040">
        <v>9.2672413793103398E-2</v>
      </c>
      <c r="W5040">
        <v>1</v>
      </c>
      <c r="X5040">
        <v>9.2672413793103398E-2</v>
      </c>
      <c r="Y5040">
        <v>548</v>
      </c>
      <c r="Z5040">
        <v>29.424211042533759</v>
      </c>
      <c r="AA5040">
        <v>198</v>
      </c>
      <c r="AB5040">
        <v>332</v>
      </c>
      <c r="AC5040">
        <v>536</v>
      </c>
      <c r="AD5040">
        <v>32.42</v>
      </c>
      <c r="AE5040">
        <v>542</v>
      </c>
      <c r="AF5040">
        <v>39</v>
      </c>
      <c r="AG5040">
        <v>173</v>
      </c>
      <c r="AH5040">
        <v>129</v>
      </c>
      <c r="AI5040">
        <v>7.2</v>
      </c>
      <c r="AJ5040">
        <v>31.92</v>
      </c>
      <c r="AK5040">
        <v>23.8</v>
      </c>
      <c r="AL5040">
        <v>-20.15467689999997</v>
      </c>
      <c r="AM5040">
        <v>-44.902895281771222</v>
      </c>
      <c r="AN5040">
        <v>-20.15467689999997</v>
      </c>
      <c r="AO5040">
        <v>-44.902895281771222</v>
      </c>
      <c r="AP5040">
        <v>-20.154432</v>
      </c>
      <c r="AQ5040">
        <v>-44.902977999999997</v>
      </c>
      <c r="AR5040">
        <v>28.5999270636025</v>
      </c>
      <c r="AS5040" t="s">
        <v>65</v>
      </c>
      <c r="AT5040">
        <v>1</v>
      </c>
      <c r="AU5040" t="s">
        <v>566</v>
      </c>
      <c r="AV5040" t="s">
        <v>567</v>
      </c>
      <c r="AW5040" t="s">
        <v>60</v>
      </c>
      <c r="AX5040" t="s">
        <v>68</v>
      </c>
      <c r="AY5040" t="s">
        <v>69</v>
      </c>
      <c r="AZ5040" t="b">
        <v>1</v>
      </c>
    </row>
    <row r="5041" spans="1:52" x14ac:dyDescent="0.3">
      <c r="A5041" t="s">
        <v>52</v>
      </c>
      <c r="B5041" t="s">
        <v>53</v>
      </c>
      <c r="C5041" t="s">
        <v>54</v>
      </c>
      <c r="D5041" t="s">
        <v>55</v>
      </c>
      <c r="E5041" t="s">
        <v>2224</v>
      </c>
      <c r="F5041" t="s">
        <v>1247</v>
      </c>
      <c r="G5041" t="s">
        <v>568</v>
      </c>
      <c r="H5041" t="s">
        <v>569</v>
      </c>
      <c r="I5041" t="s">
        <v>569</v>
      </c>
      <c r="J5041" t="s">
        <v>60</v>
      </c>
      <c r="K5041" t="s">
        <v>61</v>
      </c>
      <c r="L5041" t="s">
        <v>62</v>
      </c>
      <c r="M5041" t="s">
        <v>61</v>
      </c>
      <c r="N5041" t="s">
        <v>570</v>
      </c>
      <c r="O5041" t="s">
        <v>548</v>
      </c>
      <c r="P5041">
        <v>-20.151508</v>
      </c>
      <c r="Q5041">
        <v>-44.907826</v>
      </c>
      <c r="R5041" s="2" t="str">
        <f>HYPERLINK("https://www.google.com/maps?q=-20.1515080,-44.9078260","Abrir no Google Maps")</f>
        <v>Abrir no Google Maps</v>
      </c>
      <c r="S5041">
        <v>3</v>
      </c>
      <c r="T5041">
        <v>567.15905416240514</v>
      </c>
      <c r="U5041">
        <v>2</v>
      </c>
      <c r="V5041">
        <v>0.1224747474747474</v>
      </c>
      <c r="W5041">
        <v>0.85</v>
      </c>
      <c r="X5041">
        <v>0.1041035353535353</v>
      </c>
      <c r="Y5041">
        <v>548</v>
      </c>
      <c r="Z5041">
        <v>560.49158010771464</v>
      </c>
      <c r="AA5041">
        <v>198</v>
      </c>
      <c r="AB5041">
        <v>332</v>
      </c>
      <c r="AC5041">
        <v>536</v>
      </c>
      <c r="AD5041">
        <v>32.42</v>
      </c>
      <c r="AE5041">
        <v>542</v>
      </c>
      <c r="AF5041">
        <v>39</v>
      </c>
      <c r="AG5041">
        <v>173</v>
      </c>
      <c r="AH5041">
        <v>129</v>
      </c>
      <c r="AI5041">
        <v>7.2</v>
      </c>
      <c r="AJ5041">
        <v>31.92</v>
      </c>
      <c r="AK5041">
        <v>23.8</v>
      </c>
      <c r="AL5041">
        <v>-20.15211779999996</v>
      </c>
      <c r="AM5041">
        <v>-44.907597469593128</v>
      </c>
      <c r="AN5041">
        <v>-20.15211779999996</v>
      </c>
      <c r="AO5041">
        <v>-44.907597469593128</v>
      </c>
      <c r="AP5041">
        <v>-20.151508</v>
      </c>
      <c r="AQ5041">
        <v>-44.907826</v>
      </c>
      <c r="AR5041">
        <v>71.961597929314735</v>
      </c>
      <c r="AS5041" t="s">
        <v>65</v>
      </c>
      <c r="AT5041">
        <v>1</v>
      </c>
      <c r="AU5041" t="s">
        <v>571</v>
      </c>
      <c r="AV5041" t="s">
        <v>572</v>
      </c>
      <c r="AW5041" t="s">
        <v>60</v>
      </c>
      <c r="AX5041" t="s">
        <v>68</v>
      </c>
      <c r="AY5041" t="s">
        <v>69</v>
      </c>
      <c r="AZ5041" t="b">
        <v>1</v>
      </c>
    </row>
    <row r="5042" spans="1:52" x14ac:dyDescent="0.3">
      <c r="A5042" t="s">
        <v>52</v>
      </c>
      <c r="B5042" t="s">
        <v>53</v>
      </c>
      <c r="C5042" t="s">
        <v>54</v>
      </c>
      <c r="D5042" t="s">
        <v>55</v>
      </c>
      <c r="E5042" t="s">
        <v>2224</v>
      </c>
      <c r="F5042" t="s">
        <v>1247</v>
      </c>
      <c r="G5042" t="s">
        <v>392</v>
      </c>
      <c r="H5042" t="s">
        <v>393</v>
      </c>
      <c r="I5042" t="s">
        <v>393</v>
      </c>
      <c r="J5042" t="s">
        <v>60</v>
      </c>
      <c r="K5042" t="s">
        <v>388</v>
      </c>
      <c r="L5042" t="s">
        <v>62</v>
      </c>
      <c r="M5042" t="s">
        <v>388</v>
      </c>
      <c r="N5042" t="s">
        <v>394</v>
      </c>
      <c r="O5042" t="s">
        <v>395</v>
      </c>
      <c r="P5042">
        <v>-20.158066999999999</v>
      </c>
      <c r="Q5042">
        <v>-44.908164999999997</v>
      </c>
      <c r="R5042" s="2" t="str">
        <f>HYPERLINK("https://www.google.com/maps?q=-20.1580670,-44.9081650","Abrir no Google Maps")</f>
        <v>Abrir no Google Maps</v>
      </c>
      <c r="S5042">
        <v>3</v>
      </c>
      <c r="T5042">
        <v>666.74434317993041</v>
      </c>
      <c r="U5042">
        <v>1</v>
      </c>
      <c r="V5042">
        <v>7.4712643678160898E-2</v>
      </c>
      <c r="W5042">
        <v>1</v>
      </c>
      <c r="X5042">
        <v>7.4712643678160898E-2</v>
      </c>
      <c r="Y5042">
        <v>729</v>
      </c>
      <c r="Z5042">
        <v>612.4323328215396</v>
      </c>
      <c r="AA5042">
        <v>198</v>
      </c>
      <c r="AB5042">
        <v>332</v>
      </c>
      <c r="AC5042">
        <v>536</v>
      </c>
      <c r="AD5042">
        <v>32.42</v>
      </c>
      <c r="AE5042">
        <v>542</v>
      </c>
      <c r="AF5042">
        <v>39</v>
      </c>
      <c r="AG5042">
        <v>173</v>
      </c>
      <c r="AH5042">
        <v>129</v>
      </c>
      <c r="AI5042">
        <v>7.2</v>
      </c>
      <c r="AJ5042">
        <v>31.92</v>
      </c>
      <c r="AK5042">
        <v>23.8</v>
      </c>
      <c r="AL5042">
        <v>-20.158151449999959</v>
      </c>
      <c r="AM5042">
        <v>-44.908107718360938</v>
      </c>
      <c r="AN5042">
        <v>-20.158151449999959</v>
      </c>
      <c r="AO5042">
        <v>-44.908107718360938</v>
      </c>
      <c r="AP5042">
        <v>-20.158066999999999</v>
      </c>
      <c r="AQ5042">
        <v>-44.908164999999997</v>
      </c>
      <c r="AR5042">
        <v>11.14497345894574</v>
      </c>
      <c r="AS5042" t="s">
        <v>65</v>
      </c>
      <c r="AT5042">
        <v>1</v>
      </c>
      <c r="AU5042" t="s">
        <v>396</v>
      </c>
      <c r="AV5042" t="s">
        <v>397</v>
      </c>
      <c r="AW5042" t="s">
        <v>60</v>
      </c>
      <c r="AX5042" t="s">
        <v>68</v>
      </c>
      <c r="AY5042" t="s">
        <v>69</v>
      </c>
      <c r="AZ5042" t="b">
        <v>1</v>
      </c>
    </row>
    <row r="5043" spans="1:52" x14ac:dyDescent="0.3">
      <c r="A5043" t="s">
        <v>52</v>
      </c>
      <c r="B5043" t="s">
        <v>53</v>
      </c>
      <c r="C5043" t="s">
        <v>54</v>
      </c>
      <c r="D5043" t="s">
        <v>55</v>
      </c>
      <c r="E5043" t="s">
        <v>2224</v>
      </c>
      <c r="F5043" t="s">
        <v>1247</v>
      </c>
      <c r="G5043" t="s">
        <v>398</v>
      </c>
      <c r="H5043" t="s">
        <v>399</v>
      </c>
      <c r="I5043" t="s">
        <v>399</v>
      </c>
      <c r="J5043" t="s">
        <v>60</v>
      </c>
      <c r="K5043" t="s">
        <v>388</v>
      </c>
      <c r="L5043" t="s">
        <v>62</v>
      </c>
      <c r="M5043" t="s">
        <v>388</v>
      </c>
      <c r="N5043" t="s">
        <v>400</v>
      </c>
      <c r="O5043" t="s">
        <v>401</v>
      </c>
      <c r="P5043">
        <v>-20.160157000000002</v>
      </c>
      <c r="Q5043">
        <v>-44.904347999999999</v>
      </c>
      <c r="R5043" s="2" t="str">
        <f>HYPERLINK("https://www.google.com/maps?q=-20.1601570,-44.9043480","Abrir no Google Maps")</f>
        <v>Abrir no Google Maps</v>
      </c>
      <c r="S5043">
        <v>3</v>
      </c>
      <c r="T5043">
        <v>469.26088527154809</v>
      </c>
      <c r="U5043">
        <v>1</v>
      </c>
      <c r="V5043">
        <v>7.2742474916387898E-2</v>
      </c>
      <c r="W5043">
        <v>1</v>
      </c>
      <c r="X5043">
        <v>7.2742474916387898E-2</v>
      </c>
      <c r="Y5043">
        <v>729</v>
      </c>
      <c r="Z5043">
        <v>253.57832452309071</v>
      </c>
      <c r="AA5043">
        <v>198</v>
      </c>
      <c r="AB5043">
        <v>332</v>
      </c>
      <c r="AC5043">
        <v>536</v>
      </c>
      <c r="AD5043">
        <v>32.42</v>
      </c>
      <c r="AE5043">
        <v>542</v>
      </c>
      <c r="AF5043">
        <v>39</v>
      </c>
      <c r="AG5043">
        <v>173</v>
      </c>
      <c r="AH5043">
        <v>129</v>
      </c>
      <c r="AI5043">
        <v>7.2</v>
      </c>
      <c r="AJ5043">
        <v>31.92</v>
      </c>
      <c r="AK5043">
        <v>23.8</v>
      </c>
      <c r="AL5043">
        <v>-20.160007949999969</v>
      </c>
      <c r="AM5043">
        <v>-44.904396608560482</v>
      </c>
      <c r="AN5043">
        <v>-20.160007949999969</v>
      </c>
      <c r="AO5043">
        <v>-44.904396608560482</v>
      </c>
      <c r="AP5043">
        <v>-20.160157000000002</v>
      </c>
      <c r="AQ5043">
        <v>-44.904347999999999</v>
      </c>
      <c r="AR5043">
        <v>17.35237255387942</v>
      </c>
      <c r="AS5043" t="s">
        <v>65</v>
      </c>
      <c r="AT5043">
        <v>1</v>
      </c>
      <c r="AU5043" t="s">
        <v>402</v>
      </c>
      <c r="AV5043" t="s">
        <v>403</v>
      </c>
      <c r="AW5043" t="s">
        <v>60</v>
      </c>
      <c r="AX5043" t="s">
        <v>68</v>
      </c>
      <c r="AY5043" t="s">
        <v>69</v>
      </c>
      <c r="AZ5043" t="b">
        <v>1</v>
      </c>
    </row>
    <row r="5044" spans="1:52" x14ac:dyDescent="0.3">
      <c r="A5044" t="s">
        <v>52</v>
      </c>
      <c r="B5044" t="s">
        <v>53</v>
      </c>
      <c r="C5044" t="s">
        <v>54</v>
      </c>
      <c r="D5044" t="s">
        <v>55</v>
      </c>
      <c r="E5044" t="s">
        <v>2224</v>
      </c>
      <c r="F5044" t="s">
        <v>1247</v>
      </c>
      <c r="G5044" t="s">
        <v>1294</v>
      </c>
      <c r="H5044" t="s">
        <v>1295</v>
      </c>
      <c r="I5044" t="s">
        <v>1295</v>
      </c>
      <c r="J5044" t="s">
        <v>60</v>
      </c>
      <c r="K5044" t="s">
        <v>418</v>
      </c>
      <c r="L5044" t="s">
        <v>62</v>
      </c>
      <c r="M5044" t="s">
        <v>418</v>
      </c>
      <c r="N5044" t="s">
        <v>1296</v>
      </c>
      <c r="O5044" t="s">
        <v>1297</v>
      </c>
      <c r="P5044">
        <v>-20.169899999999998</v>
      </c>
      <c r="Q5044">
        <v>-44.916176999999998</v>
      </c>
      <c r="R5044" s="2" t="str">
        <f>HYPERLINK("https://www.google.com/maps?q=-20.1699000,-44.9161770","Abrir no Google Maps")</f>
        <v>Abrir no Google Maps</v>
      </c>
      <c r="S5044">
        <v>3</v>
      </c>
      <c r="T5044">
        <v>658.15251036568407</v>
      </c>
      <c r="U5044">
        <v>1</v>
      </c>
      <c r="V5044">
        <v>9.7517730496453903E-2</v>
      </c>
      <c r="W5044">
        <v>0.85</v>
      </c>
      <c r="X5044">
        <v>8.2890070921985817E-2</v>
      </c>
      <c r="Y5044">
        <v>723</v>
      </c>
      <c r="Z5044">
        <v>400.39092274559039</v>
      </c>
      <c r="AA5044">
        <v>198</v>
      </c>
      <c r="AB5044">
        <v>332</v>
      </c>
      <c r="AC5044">
        <v>536</v>
      </c>
      <c r="AD5044">
        <v>32.42</v>
      </c>
      <c r="AE5044">
        <v>542</v>
      </c>
      <c r="AF5044">
        <v>39</v>
      </c>
      <c r="AG5044">
        <v>173</v>
      </c>
      <c r="AH5044">
        <v>129</v>
      </c>
      <c r="AI5044">
        <v>7.2</v>
      </c>
      <c r="AJ5044">
        <v>31.92</v>
      </c>
      <c r="AK5044">
        <v>23.8</v>
      </c>
      <c r="AL5044">
        <v>-20.169898399999941</v>
      </c>
      <c r="AM5044">
        <v>-44.916247682868359</v>
      </c>
      <c r="AN5044">
        <v>-20.169898399999941</v>
      </c>
      <c r="AO5044">
        <v>-44.916247682868359</v>
      </c>
      <c r="AP5044">
        <v>-20.169899999999998</v>
      </c>
      <c r="AQ5044">
        <v>-44.916176999999998</v>
      </c>
      <c r="AR5044">
        <v>7.388028048308902</v>
      </c>
      <c r="AS5044" t="s">
        <v>65</v>
      </c>
      <c r="AT5044">
        <v>1</v>
      </c>
      <c r="AU5044" t="s">
        <v>1298</v>
      </c>
      <c r="AV5044" t="s">
        <v>1299</v>
      </c>
      <c r="AW5044" t="s">
        <v>60</v>
      </c>
      <c r="AX5044" t="s">
        <v>68</v>
      </c>
      <c r="AY5044" t="s">
        <v>69</v>
      </c>
      <c r="AZ5044" t="b">
        <v>1</v>
      </c>
    </row>
    <row r="5045" spans="1:52" x14ac:dyDescent="0.3">
      <c r="A5045" t="s">
        <v>52</v>
      </c>
      <c r="B5045" t="s">
        <v>53</v>
      </c>
      <c r="C5045" t="s">
        <v>54</v>
      </c>
      <c r="D5045" t="s">
        <v>55</v>
      </c>
      <c r="E5045" t="s">
        <v>2224</v>
      </c>
      <c r="F5045" t="s">
        <v>1247</v>
      </c>
      <c r="G5045" t="s">
        <v>1307</v>
      </c>
      <c r="H5045" t="s">
        <v>1308</v>
      </c>
      <c r="I5045" t="s">
        <v>1308</v>
      </c>
      <c r="J5045" t="s">
        <v>60</v>
      </c>
      <c r="K5045" t="s">
        <v>1302</v>
      </c>
      <c r="L5045" t="s">
        <v>62</v>
      </c>
      <c r="M5045" t="s">
        <v>1302</v>
      </c>
      <c r="N5045" t="s">
        <v>558</v>
      </c>
      <c r="O5045" t="s">
        <v>1309</v>
      </c>
      <c r="P5045">
        <v>-20.169051</v>
      </c>
      <c r="Q5045">
        <v>-44.910093000000003</v>
      </c>
      <c r="R5045" s="2" t="str">
        <f>HYPERLINK("https://www.google.com/maps?q=-20.1690510,-44.9100930","Abrir no Google Maps")</f>
        <v>Abrir no Google Maps</v>
      </c>
      <c r="S5045">
        <v>3</v>
      </c>
      <c r="T5045">
        <v>375.90504489887479</v>
      </c>
      <c r="U5045">
        <v>1</v>
      </c>
      <c r="V5045">
        <v>7.3529411764705802E-2</v>
      </c>
      <c r="W5045">
        <v>0.85</v>
      </c>
      <c r="X5045">
        <v>6.2499999999999931E-2</v>
      </c>
      <c r="Y5045">
        <v>723</v>
      </c>
      <c r="Z5045">
        <v>456.19893675176831</v>
      </c>
      <c r="AA5045">
        <v>198</v>
      </c>
      <c r="AB5045">
        <v>332</v>
      </c>
      <c r="AC5045">
        <v>536</v>
      </c>
      <c r="AD5045">
        <v>32.42</v>
      </c>
      <c r="AE5045">
        <v>542</v>
      </c>
      <c r="AF5045">
        <v>39</v>
      </c>
      <c r="AG5045">
        <v>173</v>
      </c>
      <c r="AH5045">
        <v>129</v>
      </c>
      <c r="AI5045">
        <v>7.2</v>
      </c>
      <c r="AJ5045">
        <v>31.92</v>
      </c>
      <c r="AK5045">
        <v>23.8</v>
      </c>
      <c r="AL5045">
        <v>-20.168810949999941</v>
      </c>
      <c r="AM5045">
        <v>-44.910156475447927</v>
      </c>
      <c r="AN5045">
        <v>-20.168810949999941</v>
      </c>
      <c r="AO5045">
        <v>-44.910156475447927</v>
      </c>
      <c r="AP5045">
        <v>-20.169051</v>
      </c>
      <c r="AQ5045">
        <v>-44.910093000000003</v>
      </c>
      <c r="AR5045">
        <v>27.533232396417059</v>
      </c>
      <c r="AS5045" t="s">
        <v>65</v>
      </c>
      <c r="AT5045">
        <v>1</v>
      </c>
      <c r="AU5045" t="s">
        <v>1310</v>
      </c>
      <c r="AV5045" t="s">
        <v>1311</v>
      </c>
      <c r="AW5045" t="s">
        <v>60</v>
      </c>
      <c r="AX5045" t="s">
        <v>68</v>
      </c>
      <c r="AY5045" t="s">
        <v>69</v>
      </c>
      <c r="AZ5045" t="b">
        <v>1</v>
      </c>
    </row>
    <row r="5046" spans="1:52" x14ac:dyDescent="0.3">
      <c r="A5046" t="s">
        <v>52</v>
      </c>
      <c r="B5046" t="s">
        <v>53</v>
      </c>
      <c r="C5046" t="s">
        <v>54</v>
      </c>
      <c r="D5046" t="s">
        <v>55</v>
      </c>
      <c r="E5046" t="s">
        <v>2224</v>
      </c>
      <c r="F5046" t="s">
        <v>1247</v>
      </c>
      <c r="G5046" t="s">
        <v>845</v>
      </c>
      <c r="H5046" t="s">
        <v>846</v>
      </c>
      <c r="I5046" t="s">
        <v>846</v>
      </c>
      <c r="J5046" t="s">
        <v>60</v>
      </c>
      <c r="K5046" t="s">
        <v>424</v>
      </c>
      <c r="L5046" t="s">
        <v>62</v>
      </c>
      <c r="M5046" t="s">
        <v>424</v>
      </c>
      <c r="N5046" t="s">
        <v>847</v>
      </c>
      <c r="O5046" t="s">
        <v>848</v>
      </c>
      <c r="P5046">
        <v>-20.175523999999999</v>
      </c>
      <c r="Q5046">
        <v>-44.918016999999999</v>
      </c>
      <c r="R5046" s="2" t="str">
        <f>HYPERLINK("https://www.google.com/maps?q=-20.1755240,-44.9180170","Abrir no Google Maps")</f>
        <v>Abrir no Google Maps</v>
      </c>
      <c r="S5046">
        <v>3</v>
      </c>
      <c r="T5046">
        <v>833.59191671824021</v>
      </c>
      <c r="U5046">
        <v>1</v>
      </c>
      <c r="V5046">
        <v>9.9206349206349201E-2</v>
      </c>
      <c r="W5046">
        <v>0.85</v>
      </c>
      <c r="X5046">
        <v>8.4325396825396817E-2</v>
      </c>
      <c r="Y5046">
        <v>723</v>
      </c>
      <c r="Z5046">
        <v>701.05790658871581</v>
      </c>
      <c r="AA5046">
        <v>198</v>
      </c>
      <c r="AB5046">
        <v>332</v>
      </c>
      <c r="AC5046">
        <v>536</v>
      </c>
      <c r="AD5046">
        <v>32.42</v>
      </c>
      <c r="AE5046">
        <v>542</v>
      </c>
      <c r="AF5046">
        <v>39</v>
      </c>
      <c r="AG5046">
        <v>173</v>
      </c>
      <c r="AH5046">
        <v>129</v>
      </c>
      <c r="AI5046">
        <v>7.2</v>
      </c>
      <c r="AJ5046">
        <v>31.92</v>
      </c>
      <c r="AK5046">
        <v>23.8</v>
      </c>
      <c r="AL5046">
        <v>-20.17533859999995</v>
      </c>
      <c r="AM5046">
        <v>-44.917689627873088</v>
      </c>
      <c r="AN5046">
        <v>-20.17533859999995</v>
      </c>
      <c r="AO5046">
        <v>-44.917689627873088</v>
      </c>
      <c r="AP5046">
        <v>-20.175523999999999</v>
      </c>
      <c r="AQ5046">
        <v>-44.918016999999999</v>
      </c>
      <c r="AR5046">
        <v>39.950898228213873</v>
      </c>
      <c r="AS5046" t="s">
        <v>65</v>
      </c>
      <c r="AT5046">
        <v>1</v>
      </c>
      <c r="AU5046" t="s">
        <v>849</v>
      </c>
      <c r="AV5046" t="s">
        <v>850</v>
      </c>
      <c r="AW5046" t="s">
        <v>60</v>
      </c>
      <c r="AX5046" t="s">
        <v>68</v>
      </c>
      <c r="AY5046" t="s">
        <v>69</v>
      </c>
      <c r="AZ5046" t="b">
        <v>1</v>
      </c>
    </row>
    <row r="5047" spans="1:52" x14ac:dyDescent="0.3">
      <c r="A5047" t="s">
        <v>52</v>
      </c>
      <c r="B5047" t="s">
        <v>53</v>
      </c>
      <c r="C5047" t="s">
        <v>54</v>
      </c>
      <c r="D5047" t="s">
        <v>55</v>
      </c>
      <c r="E5047" t="s">
        <v>2224</v>
      </c>
      <c r="F5047" t="s">
        <v>1247</v>
      </c>
      <c r="G5047" t="s">
        <v>1328</v>
      </c>
      <c r="H5047" t="s">
        <v>1329</v>
      </c>
      <c r="I5047" t="s">
        <v>1329</v>
      </c>
      <c r="J5047" t="s">
        <v>60</v>
      </c>
      <c r="K5047" t="s">
        <v>1324</v>
      </c>
      <c r="L5047" t="s">
        <v>62</v>
      </c>
      <c r="M5047" t="s">
        <v>1324</v>
      </c>
      <c r="N5047" t="s">
        <v>1330</v>
      </c>
      <c r="O5047" t="s">
        <v>1331</v>
      </c>
      <c r="P5047">
        <v>-20.172984</v>
      </c>
      <c r="Q5047">
        <v>-44.915225999999997</v>
      </c>
      <c r="R5047" s="2" t="str">
        <f>HYPERLINK("https://www.google.com/maps?q=-20.1729840,-44.9152260","Abrir no Google Maps")</f>
        <v>Abrir no Google Maps</v>
      </c>
      <c r="S5047">
        <v>3</v>
      </c>
      <c r="T5047">
        <v>498.21203543103741</v>
      </c>
      <c r="U5047">
        <v>1</v>
      </c>
      <c r="V5047">
        <v>9.4907407407407399E-2</v>
      </c>
      <c r="W5047">
        <v>0.85</v>
      </c>
      <c r="X5047">
        <v>8.0671296296296283E-2</v>
      </c>
      <c r="Y5047">
        <v>723</v>
      </c>
      <c r="Z5047">
        <v>297.36167326949931</v>
      </c>
      <c r="AA5047">
        <v>198</v>
      </c>
      <c r="AB5047">
        <v>332</v>
      </c>
      <c r="AC5047">
        <v>536</v>
      </c>
      <c r="AD5047">
        <v>32.42</v>
      </c>
      <c r="AE5047">
        <v>542</v>
      </c>
      <c r="AF5047">
        <v>39</v>
      </c>
      <c r="AG5047">
        <v>173</v>
      </c>
      <c r="AH5047">
        <v>129</v>
      </c>
      <c r="AI5047">
        <v>7.2</v>
      </c>
      <c r="AJ5047">
        <v>31.92</v>
      </c>
      <c r="AK5047">
        <v>23.8</v>
      </c>
      <c r="AL5047">
        <v>-20.172838899999959</v>
      </c>
      <c r="AM5047">
        <v>-44.915158011603552</v>
      </c>
      <c r="AN5047">
        <v>-20.172838899999959</v>
      </c>
      <c r="AO5047">
        <v>-44.915158011603552</v>
      </c>
      <c r="AP5047">
        <v>-20.172984</v>
      </c>
      <c r="AQ5047">
        <v>-44.915225999999997</v>
      </c>
      <c r="AR5047">
        <v>17.645788305942119</v>
      </c>
      <c r="AS5047" t="s">
        <v>65</v>
      </c>
      <c r="AT5047">
        <v>1</v>
      </c>
      <c r="AU5047" t="s">
        <v>1332</v>
      </c>
      <c r="AV5047" t="s">
        <v>1327</v>
      </c>
      <c r="AW5047" t="s">
        <v>60</v>
      </c>
      <c r="AX5047" t="s">
        <v>68</v>
      </c>
      <c r="AY5047" t="s">
        <v>69</v>
      </c>
      <c r="AZ5047" t="b">
        <v>1</v>
      </c>
    </row>
    <row r="5048" spans="1:52" x14ac:dyDescent="0.3">
      <c r="A5048" t="s">
        <v>52</v>
      </c>
      <c r="B5048" t="s">
        <v>53</v>
      </c>
      <c r="C5048" t="s">
        <v>54</v>
      </c>
      <c r="D5048" t="s">
        <v>55</v>
      </c>
      <c r="E5048" t="s">
        <v>2224</v>
      </c>
      <c r="F5048" t="s">
        <v>1247</v>
      </c>
      <c r="G5048" t="s">
        <v>435</v>
      </c>
      <c r="H5048" t="s">
        <v>436</v>
      </c>
      <c r="I5048" t="s">
        <v>436</v>
      </c>
      <c r="J5048" t="s">
        <v>60</v>
      </c>
      <c r="K5048" t="s">
        <v>437</v>
      </c>
      <c r="L5048" t="s">
        <v>62</v>
      </c>
      <c r="M5048" t="s">
        <v>437</v>
      </c>
      <c r="N5048" t="s">
        <v>438</v>
      </c>
      <c r="O5048" t="s">
        <v>439</v>
      </c>
      <c r="P5048">
        <v>-20.145613000000001</v>
      </c>
      <c r="Q5048">
        <v>-44.882375000000003</v>
      </c>
      <c r="R5048" s="2" t="str">
        <f>HYPERLINK("https://www.google.com/maps?q=-20.1456130,-44.8823750","Abrir no Google Maps")</f>
        <v>Abrir no Google Maps</v>
      </c>
      <c r="S5048">
        <v>3</v>
      </c>
      <c r="T5048">
        <v>305.65092112314198</v>
      </c>
      <c r="U5048">
        <v>1</v>
      </c>
      <c r="V5048">
        <v>8.5903083700440502E-2</v>
      </c>
      <c r="W5048">
        <v>1</v>
      </c>
      <c r="X5048">
        <v>8.5903083700440502E-2</v>
      </c>
      <c r="Y5048">
        <v>653</v>
      </c>
      <c r="Z5048">
        <v>349.55297035282501</v>
      </c>
      <c r="AA5048">
        <v>198</v>
      </c>
      <c r="AB5048">
        <v>332</v>
      </c>
      <c r="AC5048">
        <v>536</v>
      </c>
      <c r="AD5048">
        <v>32.42</v>
      </c>
      <c r="AE5048">
        <v>542</v>
      </c>
      <c r="AF5048">
        <v>39</v>
      </c>
      <c r="AG5048">
        <v>173</v>
      </c>
      <c r="AH5048">
        <v>129</v>
      </c>
      <c r="AI5048">
        <v>7.2</v>
      </c>
      <c r="AJ5048">
        <v>31.92</v>
      </c>
      <c r="AK5048">
        <v>23.8</v>
      </c>
      <c r="AL5048">
        <v>-20.14550464999996</v>
      </c>
      <c r="AM5048">
        <v>-44.882157007077737</v>
      </c>
      <c r="AN5048">
        <v>-20.14550464999996</v>
      </c>
      <c r="AO5048">
        <v>-44.882157007077737</v>
      </c>
      <c r="AP5048">
        <v>-20.145613000000001</v>
      </c>
      <c r="AQ5048">
        <v>-44.882375000000003</v>
      </c>
      <c r="AR5048">
        <v>25.77819791856259</v>
      </c>
      <c r="AS5048" t="s">
        <v>65</v>
      </c>
      <c r="AT5048">
        <v>1</v>
      </c>
      <c r="AU5048" t="s">
        <v>440</v>
      </c>
      <c r="AV5048" t="s">
        <v>441</v>
      </c>
      <c r="AW5048" t="s">
        <v>60</v>
      </c>
      <c r="AX5048" t="s">
        <v>68</v>
      </c>
      <c r="AY5048" t="s">
        <v>69</v>
      </c>
      <c r="AZ5048" t="b">
        <v>1</v>
      </c>
    </row>
    <row r="5049" spans="1:52" x14ac:dyDescent="0.3">
      <c r="A5049" t="s">
        <v>52</v>
      </c>
      <c r="B5049" t="s">
        <v>53</v>
      </c>
      <c r="C5049" t="s">
        <v>54</v>
      </c>
      <c r="D5049" t="s">
        <v>55</v>
      </c>
      <c r="E5049" t="s">
        <v>2224</v>
      </c>
      <c r="F5049" t="s">
        <v>1247</v>
      </c>
      <c r="G5049" t="s">
        <v>1333</v>
      </c>
      <c r="H5049" t="s">
        <v>1334</v>
      </c>
      <c r="I5049" t="s">
        <v>1334</v>
      </c>
      <c r="J5049" t="s">
        <v>60</v>
      </c>
      <c r="K5049" t="s">
        <v>437</v>
      </c>
      <c r="L5049" t="s">
        <v>62</v>
      </c>
      <c r="M5049" t="s">
        <v>437</v>
      </c>
      <c r="N5049" t="s">
        <v>1335</v>
      </c>
      <c r="O5049" t="s">
        <v>807</v>
      </c>
      <c r="P5049">
        <v>-20.148</v>
      </c>
      <c r="Q5049">
        <v>-44.880944999999997</v>
      </c>
      <c r="R5049" s="2" t="str">
        <f>HYPERLINK("https://www.google.com/maps?q=-20.1480000,-44.8809450","Abrir no Google Maps")</f>
        <v>Abrir no Google Maps</v>
      </c>
      <c r="S5049">
        <v>3</v>
      </c>
      <c r="T5049">
        <v>0</v>
      </c>
      <c r="U5049">
        <v>1</v>
      </c>
      <c r="V5049">
        <v>8.1491712707182307E-2</v>
      </c>
      <c r="W5049">
        <v>0.85</v>
      </c>
      <c r="X5049">
        <v>6.9267955801104952E-2</v>
      </c>
      <c r="Y5049">
        <v>653</v>
      </c>
      <c r="Z5049">
        <v>108.2792411420544</v>
      </c>
      <c r="AA5049">
        <v>198</v>
      </c>
      <c r="AB5049">
        <v>332</v>
      </c>
      <c r="AC5049">
        <v>536</v>
      </c>
      <c r="AD5049">
        <v>32.42</v>
      </c>
      <c r="AE5049">
        <v>542</v>
      </c>
      <c r="AF5049">
        <v>39</v>
      </c>
      <c r="AG5049">
        <v>173</v>
      </c>
      <c r="AH5049">
        <v>129</v>
      </c>
      <c r="AI5049">
        <v>7.2</v>
      </c>
      <c r="AJ5049">
        <v>31.92</v>
      </c>
      <c r="AK5049">
        <v>23.8</v>
      </c>
      <c r="AL5049">
        <v>-20.14802099999994</v>
      </c>
      <c r="AM5049">
        <v>-44.880951206225959</v>
      </c>
      <c r="AN5049">
        <v>-20.14802099999994</v>
      </c>
      <c r="AO5049">
        <v>-44.880951206225959</v>
      </c>
      <c r="AP5049">
        <v>-20.148</v>
      </c>
      <c r="AQ5049">
        <v>-44.880944999999997</v>
      </c>
      <c r="AR5049">
        <v>2.4260288619737169</v>
      </c>
      <c r="AS5049" t="s">
        <v>65</v>
      </c>
      <c r="AT5049">
        <v>1</v>
      </c>
      <c r="AU5049" t="s">
        <v>1336</v>
      </c>
      <c r="AV5049" t="s">
        <v>1337</v>
      </c>
      <c r="AW5049" t="s">
        <v>60</v>
      </c>
      <c r="AX5049" t="s">
        <v>68</v>
      </c>
      <c r="AY5049" t="s">
        <v>69</v>
      </c>
      <c r="AZ5049" t="b">
        <v>1</v>
      </c>
    </row>
    <row r="5050" spans="1:52" x14ac:dyDescent="0.3">
      <c r="A5050" t="s">
        <v>52</v>
      </c>
      <c r="B5050" t="s">
        <v>53</v>
      </c>
      <c r="C5050" t="s">
        <v>54</v>
      </c>
      <c r="D5050" t="s">
        <v>55</v>
      </c>
      <c r="E5050" t="s">
        <v>2224</v>
      </c>
      <c r="F5050" t="s">
        <v>1247</v>
      </c>
      <c r="G5050" t="s">
        <v>448</v>
      </c>
      <c r="H5050" t="s">
        <v>449</v>
      </c>
      <c r="I5050" t="s">
        <v>449</v>
      </c>
      <c r="J5050" t="s">
        <v>60</v>
      </c>
      <c r="K5050" t="s">
        <v>388</v>
      </c>
      <c r="L5050" t="s">
        <v>62</v>
      </c>
      <c r="M5050" t="s">
        <v>388</v>
      </c>
      <c r="N5050" t="s">
        <v>450</v>
      </c>
      <c r="O5050" t="s">
        <v>451</v>
      </c>
      <c r="P5050">
        <v>-20.163981</v>
      </c>
      <c r="Q5050">
        <v>-44.907128999999998</v>
      </c>
      <c r="R5050" s="2" t="str">
        <f>HYPERLINK("https://www.google.com/maps?q=-20.1639810,-44.9071290","Abrir no Google Maps")</f>
        <v>Abrir no Google Maps</v>
      </c>
      <c r="S5050">
        <v>3</v>
      </c>
      <c r="T5050">
        <v>782.50730806588319</v>
      </c>
      <c r="U5050">
        <v>1</v>
      </c>
      <c r="V5050">
        <v>8.6864406779660994E-2</v>
      </c>
      <c r="W5050">
        <v>1</v>
      </c>
      <c r="X5050">
        <v>8.6864406779660994E-2</v>
      </c>
      <c r="Y5050">
        <v>639</v>
      </c>
      <c r="Z5050">
        <v>710.90621453796166</v>
      </c>
      <c r="AA5050">
        <v>198</v>
      </c>
      <c r="AB5050">
        <v>332</v>
      </c>
      <c r="AC5050">
        <v>536</v>
      </c>
      <c r="AD5050">
        <v>32.42</v>
      </c>
      <c r="AE5050">
        <v>542</v>
      </c>
      <c r="AF5050">
        <v>39</v>
      </c>
      <c r="AG5050">
        <v>173</v>
      </c>
      <c r="AH5050">
        <v>129</v>
      </c>
      <c r="AI5050">
        <v>7.2</v>
      </c>
      <c r="AJ5050">
        <v>31.92</v>
      </c>
      <c r="AK5050">
        <v>23.8</v>
      </c>
      <c r="AL5050">
        <v>-20.163958349999969</v>
      </c>
      <c r="AM5050">
        <v>-44.907180923930973</v>
      </c>
      <c r="AN5050">
        <v>-20.163958349999969</v>
      </c>
      <c r="AO5050">
        <v>-44.907180923930973</v>
      </c>
      <c r="AP5050">
        <v>-20.163981</v>
      </c>
      <c r="AQ5050">
        <v>-44.907128999999998</v>
      </c>
      <c r="AR5050">
        <v>5.9831345092457884</v>
      </c>
      <c r="AS5050" t="s">
        <v>65</v>
      </c>
      <c r="AT5050">
        <v>1</v>
      </c>
      <c r="AU5050" t="s">
        <v>452</v>
      </c>
      <c r="AV5050" t="s">
        <v>453</v>
      </c>
      <c r="AW5050" t="s">
        <v>60</v>
      </c>
      <c r="AX5050" t="s">
        <v>68</v>
      </c>
      <c r="AY5050" t="s">
        <v>69</v>
      </c>
      <c r="AZ5050" t="b">
        <v>1</v>
      </c>
    </row>
    <row r="5051" spans="1:52" x14ac:dyDescent="0.3">
      <c r="A5051" t="s">
        <v>52</v>
      </c>
      <c r="B5051" t="s">
        <v>53</v>
      </c>
      <c r="C5051" t="s">
        <v>54</v>
      </c>
      <c r="D5051" t="s">
        <v>55</v>
      </c>
      <c r="E5051" t="s">
        <v>2224</v>
      </c>
      <c r="F5051" t="s">
        <v>1247</v>
      </c>
      <c r="G5051" t="s">
        <v>479</v>
      </c>
      <c r="H5051" t="s">
        <v>1338</v>
      </c>
      <c r="I5051" t="s">
        <v>1338</v>
      </c>
      <c r="J5051" t="s">
        <v>60</v>
      </c>
      <c r="K5051" t="s">
        <v>1302</v>
      </c>
      <c r="L5051" t="s">
        <v>62</v>
      </c>
      <c r="M5051" t="s">
        <v>1302</v>
      </c>
      <c r="N5051" t="s">
        <v>481</v>
      </c>
      <c r="O5051" t="s">
        <v>1339</v>
      </c>
      <c r="P5051">
        <v>-20.165590000000002</v>
      </c>
      <c r="Q5051">
        <v>-44.907876000000002</v>
      </c>
      <c r="R5051" s="2" t="str">
        <f>HYPERLINK("https://www.google.com/maps?q=-20.1655900,-44.9078760","Abrir no Google Maps")</f>
        <v>Abrir no Google Maps</v>
      </c>
      <c r="S5051">
        <v>3</v>
      </c>
      <c r="T5051">
        <v>626.07643944893005</v>
      </c>
      <c r="U5051">
        <v>1</v>
      </c>
      <c r="V5051">
        <v>5.0438596491227998E-2</v>
      </c>
      <c r="W5051">
        <v>0.85</v>
      </c>
      <c r="X5051">
        <v>4.2872807017543799E-2</v>
      </c>
      <c r="Y5051">
        <v>639</v>
      </c>
      <c r="Z5051">
        <v>723.2656461789519</v>
      </c>
      <c r="AA5051">
        <v>198</v>
      </c>
      <c r="AB5051">
        <v>332</v>
      </c>
      <c r="AC5051">
        <v>536</v>
      </c>
      <c r="AD5051">
        <v>32.42</v>
      </c>
      <c r="AE5051">
        <v>542</v>
      </c>
      <c r="AF5051">
        <v>39</v>
      </c>
      <c r="AG5051">
        <v>173</v>
      </c>
      <c r="AH5051">
        <v>129</v>
      </c>
      <c r="AI5051">
        <v>7.2</v>
      </c>
      <c r="AJ5051">
        <v>31.92</v>
      </c>
      <c r="AK5051">
        <v>23.8</v>
      </c>
      <c r="AL5051">
        <v>-20.16561419999994</v>
      </c>
      <c r="AM5051">
        <v>-44.907783360572083</v>
      </c>
      <c r="AN5051">
        <v>-20.16561419999994</v>
      </c>
      <c r="AO5051">
        <v>-44.907783360572083</v>
      </c>
      <c r="AP5051">
        <v>-20.165590000000002</v>
      </c>
      <c r="AQ5051">
        <v>-44.907876000000002</v>
      </c>
      <c r="AR5051">
        <v>10.04831364257741</v>
      </c>
      <c r="AS5051" t="s">
        <v>65</v>
      </c>
      <c r="AT5051">
        <v>1</v>
      </c>
      <c r="AU5051" t="s">
        <v>1340</v>
      </c>
      <c r="AV5051" t="s">
        <v>1341</v>
      </c>
      <c r="AW5051" t="s">
        <v>60</v>
      </c>
      <c r="AX5051" t="s">
        <v>68</v>
      </c>
      <c r="AY5051" t="s">
        <v>69</v>
      </c>
      <c r="AZ5051" t="b">
        <v>1</v>
      </c>
    </row>
    <row r="5052" spans="1:52" x14ac:dyDescent="0.3">
      <c r="A5052" t="s">
        <v>52</v>
      </c>
      <c r="B5052" t="s">
        <v>53</v>
      </c>
      <c r="C5052" t="s">
        <v>54</v>
      </c>
      <c r="D5052" t="s">
        <v>55</v>
      </c>
      <c r="E5052" t="s">
        <v>2224</v>
      </c>
      <c r="F5052" t="s">
        <v>1247</v>
      </c>
      <c r="G5052" t="s">
        <v>454</v>
      </c>
      <c r="H5052" t="s">
        <v>455</v>
      </c>
      <c r="I5052" t="s">
        <v>455</v>
      </c>
      <c r="J5052" t="s">
        <v>60</v>
      </c>
      <c r="K5052" t="s">
        <v>456</v>
      </c>
      <c r="L5052" t="s">
        <v>62</v>
      </c>
      <c r="M5052" t="s">
        <v>456</v>
      </c>
      <c r="N5052" t="s">
        <v>102</v>
      </c>
      <c r="O5052" t="s">
        <v>457</v>
      </c>
      <c r="P5052">
        <v>-20.138373999999999</v>
      </c>
      <c r="Q5052">
        <v>-44.903756999999999</v>
      </c>
      <c r="R5052" s="2" t="str">
        <f>HYPERLINK("https://www.google.com/maps?q=-20.1383740,-44.9037570","Abrir no Google Maps")</f>
        <v>Abrir no Google Maps</v>
      </c>
      <c r="S5052">
        <v>3</v>
      </c>
      <c r="T5052">
        <v>357.59466273594461</v>
      </c>
      <c r="U5052">
        <v>1</v>
      </c>
      <c r="V5052">
        <v>8.1018518518518504E-2</v>
      </c>
      <c r="W5052">
        <v>1</v>
      </c>
      <c r="X5052">
        <v>8.1018518518518504E-2</v>
      </c>
      <c r="Y5052">
        <v>581</v>
      </c>
      <c r="Z5052">
        <v>406.92482694505992</v>
      </c>
      <c r="AA5052">
        <v>198</v>
      </c>
      <c r="AB5052">
        <v>332</v>
      </c>
      <c r="AC5052">
        <v>536</v>
      </c>
      <c r="AD5052">
        <v>32.42</v>
      </c>
      <c r="AE5052">
        <v>542</v>
      </c>
      <c r="AF5052">
        <v>39</v>
      </c>
      <c r="AG5052">
        <v>173</v>
      </c>
      <c r="AH5052">
        <v>129</v>
      </c>
      <c r="AI5052">
        <v>7.2</v>
      </c>
      <c r="AJ5052">
        <v>31.92</v>
      </c>
      <c r="AK5052">
        <v>23.8</v>
      </c>
      <c r="AL5052">
        <v>-20.138338199999961</v>
      </c>
      <c r="AM5052">
        <v>-44.903768618976301</v>
      </c>
      <c r="AN5052">
        <v>-20.138338199999961</v>
      </c>
      <c r="AO5052">
        <v>-44.903768618976301</v>
      </c>
      <c r="AP5052">
        <v>-20.138373999999999</v>
      </c>
      <c r="AQ5052">
        <v>-44.903756999999999</v>
      </c>
      <c r="AR5052">
        <v>4.1661625938922704</v>
      </c>
      <c r="AS5052" t="s">
        <v>65</v>
      </c>
      <c r="AT5052">
        <v>1</v>
      </c>
      <c r="AU5052" t="s">
        <v>458</v>
      </c>
      <c r="AV5052" t="s">
        <v>459</v>
      </c>
      <c r="AW5052" t="s">
        <v>60</v>
      </c>
      <c r="AX5052" t="s">
        <v>68</v>
      </c>
      <c r="AY5052" t="s">
        <v>69</v>
      </c>
      <c r="AZ5052" t="b">
        <v>1</v>
      </c>
    </row>
    <row r="5053" spans="1:52" x14ac:dyDescent="0.3">
      <c r="A5053" t="s">
        <v>52</v>
      </c>
      <c r="B5053" t="s">
        <v>53</v>
      </c>
      <c r="C5053" t="s">
        <v>54</v>
      </c>
      <c r="D5053" t="s">
        <v>55</v>
      </c>
      <c r="E5053" t="s">
        <v>2224</v>
      </c>
      <c r="F5053" t="s">
        <v>1247</v>
      </c>
      <c r="G5053" t="s">
        <v>1342</v>
      </c>
      <c r="H5053" t="s">
        <v>1343</v>
      </c>
      <c r="I5053" t="s">
        <v>1343</v>
      </c>
      <c r="J5053" t="s">
        <v>60</v>
      </c>
      <c r="K5053" t="s">
        <v>462</v>
      </c>
      <c r="L5053" t="s">
        <v>62</v>
      </c>
      <c r="M5053" t="s">
        <v>462</v>
      </c>
      <c r="N5053" t="s">
        <v>921</v>
      </c>
      <c r="O5053" t="s">
        <v>1344</v>
      </c>
      <c r="P5053">
        <v>-20.137526000000001</v>
      </c>
      <c r="Q5053">
        <v>-44.912452999999999</v>
      </c>
      <c r="R5053" s="2" t="str">
        <f>HYPERLINK("https://www.google.com/maps?q=-20.1375260,-44.9124530","Abrir no Google Maps")</f>
        <v>Abrir no Google Maps</v>
      </c>
      <c r="S5053">
        <v>3</v>
      </c>
      <c r="T5053">
        <v>446.95091416730708</v>
      </c>
      <c r="U5053">
        <v>1</v>
      </c>
      <c r="V5053">
        <v>9.8765432098765399E-2</v>
      </c>
      <c r="W5053">
        <v>0.85</v>
      </c>
      <c r="X5053">
        <v>8.395061728395059E-2</v>
      </c>
      <c r="Y5053">
        <v>581</v>
      </c>
      <c r="Z5053">
        <v>507.4747778269288</v>
      </c>
      <c r="AA5053">
        <v>198</v>
      </c>
      <c r="AB5053">
        <v>332</v>
      </c>
      <c r="AC5053">
        <v>536</v>
      </c>
      <c r="AD5053">
        <v>32.42</v>
      </c>
      <c r="AE5053">
        <v>542</v>
      </c>
      <c r="AF5053">
        <v>39</v>
      </c>
      <c r="AG5053">
        <v>173</v>
      </c>
      <c r="AH5053">
        <v>129</v>
      </c>
      <c r="AI5053">
        <v>7.2</v>
      </c>
      <c r="AJ5053">
        <v>31.92</v>
      </c>
      <c r="AK5053">
        <v>23.8</v>
      </c>
      <c r="AL5053">
        <v>-20.136672649999959</v>
      </c>
      <c r="AM5053">
        <v>-44.911825104396357</v>
      </c>
      <c r="AN5053">
        <v>-20.136672649999959</v>
      </c>
      <c r="AO5053">
        <v>-44.911825104396357</v>
      </c>
      <c r="AP5053">
        <v>-20.137526000000001</v>
      </c>
      <c r="AQ5053">
        <v>-44.912452999999999</v>
      </c>
      <c r="AR5053">
        <v>115.45843265992529</v>
      </c>
      <c r="AS5053" t="s">
        <v>65</v>
      </c>
      <c r="AT5053">
        <v>1</v>
      </c>
      <c r="AU5053" t="s">
        <v>1345</v>
      </c>
      <c r="AV5053" t="s">
        <v>1346</v>
      </c>
      <c r="AW5053" t="s">
        <v>60</v>
      </c>
      <c r="AX5053" t="s">
        <v>68</v>
      </c>
      <c r="AY5053" t="s">
        <v>69</v>
      </c>
      <c r="AZ5053" t="b">
        <v>1</v>
      </c>
    </row>
    <row r="5054" spans="1:52" x14ac:dyDescent="0.3">
      <c r="A5054" t="s">
        <v>52</v>
      </c>
      <c r="B5054" t="s">
        <v>53</v>
      </c>
      <c r="C5054" t="s">
        <v>54</v>
      </c>
      <c r="D5054" t="s">
        <v>55</v>
      </c>
      <c r="E5054" t="s">
        <v>2224</v>
      </c>
      <c r="F5054" t="s">
        <v>1247</v>
      </c>
      <c r="G5054" t="s">
        <v>1347</v>
      </c>
      <c r="H5054" t="s">
        <v>1348</v>
      </c>
      <c r="I5054" t="s">
        <v>1348</v>
      </c>
      <c r="J5054" t="s">
        <v>60</v>
      </c>
      <c r="K5054" t="s">
        <v>1349</v>
      </c>
      <c r="L5054" t="s">
        <v>62</v>
      </c>
      <c r="M5054" t="s">
        <v>1349</v>
      </c>
      <c r="N5054" t="s">
        <v>1350</v>
      </c>
      <c r="O5054" t="s">
        <v>1351</v>
      </c>
      <c r="P5054">
        <v>-20.140426999999999</v>
      </c>
      <c r="Q5054">
        <v>-44.905327999999997</v>
      </c>
      <c r="R5054" s="2" t="str">
        <f>HYPERLINK("https://www.google.com/maps?q=-20.1404270,-44.9053280","Abrir no Google Maps")</f>
        <v>Abrir no Google Maps</v>
      </c>
      <c r="S5054">
        <v>3</v>
      </c>
      <c r="T5054">
        <v>359.5810968231857</v>
      </c>
      <c r="U5054">
        <v>1</v>
      </c>
      <c r="V5054">
        <v>8.7837837837837801E-2</v>
      </c>
      <c r="W5054">
        <v>0.85</v>
      </c>
      <c r="X5054">
        <v>7.4662162162162135E-2</v>
      </c>
      <c r="Y5054">
        <v>581</v>
      </c>
      <c r="Z5054">
        <v>292.370097058873</v>
      </c>
      <c r="AA5054">
        <v>198</v>
      </c>
      <c r="AB5054">
        <v>332</v>
      </c>
      <c r="AC5054">
        <v>536</v>
      </c>
      <c r="AD5054">
        <v>32.42</v>
      </c>
      <c r="AE5054">
        <v>542</v>
      </c>
      <c r="AF5054">
        <v>39</v>
      </c>
      <c r="AG5054">
        <v>173</v>
      </c>
      <c r="AH5054">
        <v>129</v>
      </c>
      <c r="AI5054">
        <v>7.2</v>
      </c>
      <c r="AJ5054">
        <v>31.92</v>
      </c>
      <c r="AK5054">
        <v>23.8</v>
      </c>
      <c r="AL5054">
        <v>-20.140465449999969</v>
      </c>
      <c r="AM5054">
        <v>-44.905317129037229</v>
      </c>
      <c r="AN5054">
        <v>-20.140465449999969</v>
      </c>
      <c r="AO5054">
        <v>-44.905317129037229</v>
      </c>
      <c r="AP5054">
        <v>-20.140426999999999</v>
      </c>
      <c r="AQ5054">
        <v>-44.905327999999997</v>
      </c>
      <c r="AR5054">
        <v>4.4284788644958706</v>
      </c>
      <c r="AS5054" t="s">
        <v>65</v>
      </c>
      <c r="AT5054">
        <v>1</v>
      </c>
      <c r="AU5054" t="s">
        <v>1352</v>
      </c>
      <c r="AV5054" t="s">
        <v>1353</v>
      </c>
      <c r="AW5054" t="s">
        <v>60</v>
      </c>
      <c r="AX5054" t="s">
        <v>68</v>
      </c>
      <c r="AY5054" t="s">
        <v>69</v>
      </c>
      <c r="AZ5054" t="b">
        <v>1</v>
      </c>
    </row>
    <row r="5055" spans="1:52" x14ac:dyDescent="0.3">
      <c r="A5055" t="s">
        <v>52</v>
      </c>
      <c r="B5055" t="s">
        <v>53</v>
      </c>
      <c r="C5055" t="s">
        <v>54</v>
      </c>
      <c r="D5055" t="s">
        <v>55</v>
      </c>
      <c r="E5055" t="s">
        <v>2224</v>
      </c>
      <c r="F5055" t="s">
        <v>1247</v>
      </c>
      <c r="G5055" t="s">
        <v>858</v>
      </c>
      <c r="H5055" t="s">
        <v>1360</v>
      </c>
      <c r="I5055" t="s">
        <v>1360</v>
      </c>
      <c r="J5055" t="s">
        <v>60</v>
      </c>
      <c r="K5055" t="s">
        <v>1356</v>
      </c>
      <c r="L5055" t="s">
        <v>62</v>
      </c>
      <c r="M5055" t="s">
        <v>1356</v>
      </c>
      <c r="N5055" t="s">
        <v>860</v>
      </c>
      <c r="O5055" t="s">
        <v>1361</v>
      </c>
      <c r="P5055">
        <v>-20.134969000000002</v>
      </c>
      <c r="Q5055">
        <v>-44.909384000000003</v>
      </c>
      <c r="R5055" s="2" t="str">
        <f>HYPERLINK("https://www.google.com/maps?q=-20.1349690,-44.9093840","Abrir no Google Maps")</f>
        <v>Abrir no Google Maps</v>
      </c>
      <c r="S5055">
        <v>3</v>
      </c>
      <c r="T5055">
        <v>413.6655911675532</v>
      </c>
      <c r="U5055">
        <v>1</v>
      </c>
      <c r="V5055">
        <v>9.8159509202453907E-2</v>
      </c>
      <c r="W5055">
        <v>0.85</v>
      </c>
      <c r="X5055">
        <v>8.3435582822085824E-2</v>
      </c>
      <c r="Y5055">
        <v>581</v>
      </c>
      <c r="Z5055">
        <v>555.30228470489919</v>
      </c>
      <c r="AA5055">
        <v>198</v>
      </c>
      <c r="AB5055">
        <v>332</v>
      </c>
      <c r="AC5055">
        <v>536</v>
      </c>
      <c r="AD5055">
        <v>32.42</v>
      </c>
      <c r="AE5055">
        <v>542</v>
      </c>
      <c r="AF5055">
        <v>39</v>
      </c>
      <c r="AG5055">
        <v>173</v>
      </c>
      <c r="AH5055">
        <v>129</v>
      </c>
      <c r="AI5055">
        <v>7.2</v>
      </c>
      <c r="AJ5055">
        <v>31.92</v>
      </c>
      <c r="AK5055">
        <v>23.8</v>
      </c>
      <c r="AL5055">
        <v>-20.134922099999951</v>
      </c>
      <c r="AM5055">
        <v>-44.909483975879112</v>
      </c>
      <c r="AN5055">
        <v>-20.134922099999951</v>
      </c>
      <c r="AO5055">
        <v>-44.909483975879112</v>
      </c>
      <c r="AP5055">
        <v>-20.134969000000002</v>
      </c>
      <c r="AQ5055">
        <v>-44.909384000000003</v>
      </c>
      <c r="AR5055">
        <v>11.68085867639515</v>
      </c>
      <c r="AS5055" t="s">
        <v>65</v>
      </c>
      <c r="AT5055">
        <v>1</v>
      </c>
      <c r="AU5055" t="s">
        <v>1362</v>
      </c>
      <c r="AV5055" t="s">
        <v>1363</v>
      </c>
      <c r="AW5055" t="s">
        <v>60</v>
      </c>
      <c r="AX5055" t="s">
        <v>68</v>
      </c>
      <c r="AY5055" t="s">
        <v>69</v>
      </c>
      <c r="AZ5055" t="b">
        <v>1</v>
      </c>
    </row>
    <row r="5056" spans="1:52" x14ac:dyDescent="0.3">
      <c r="A5056" t="s">
        <v>52</v>
      </c>
      <c r="B5056" t="s">
        <v>53</v>
      </c>
      <c r="C5056" t="s">
        <v>54</v>
      </c>
      <c r="D5056" t="s">
        <v>55</v>
      </c>
      <c r="E5056" t="s">
        <v>2224</v>
      </c>
      <c r="F5056" t="s">
        <v>1247</v>
      </c>
      <c r="G5056" t="s">
        <v>1364</v>
      </c>
      <c r="H5056" t="s">
        <v>1365</v>
      </c>
      <c r="I5056" t="s">
        <v>1365</v>
      </c>
      <c r="J5056" t="s">
        <v>60</v>
      </c>
      <c r="K5056" t="s">
        <v>1356</v>
      </c>
      <c r="L5056" t="s">
        <v>62</v>
      </c>
      <c r="M5056" t="s">
        <v>1356</v>
      </c>
      <c r="N5056" t="s">
        <v>1366</v>
      </c>
      <c r="O5056" t="s">
        <v>548</v>
      </c>
      <c r="P5056">
        <v>-20.131240999999999</v>
      </c>
      <c r="Q5056">
        <v>-44.910567999999998</v>
      </c>
      <c r="R5056" s="2" t="str">
        <f>HYPERLINK("https://www.google.com/maps?q=-20.1312410,-44.9105680","Abrir no Google Maps")</f>
        <v>Abrir no Google Maps</v>
      </c>
      <c r="S5056">
        <v>3</v>
      </c>
      <c r="T5056">
        <v>822.61354861726704</v>
      </c>
      <c r="U5056">
        <v>1</v>
      </c>
      <c r="V5056">
        <v>9.6774193548387094E-2</v>
      </c>
      <c r="W5056">
        <v>0.85</v>
      </c>
      <c r="X5056">
        <v>8.2258064516129034E-2</v>
      </c>
      <c r="Y5056">
        <v>581</v>
      </c>
      <c r="Z5056">
        <v>982.3990834787046</v>
      </c>
      <c r="AA5056">
        <v>198</v>
      </c>
      <c r="AB5056">
        <v>332</v>
      </c>
      <c r="AC5056">
        <v>536</v>
      </c>
      <c r="AD5056">
        <v>32.42</v>
      </c>
      <c r="AE5056">
        <v>542</v>
      </c>
      <c r="AF5056">
        <v>39</v>
      </c>
      <c r="AG5056">
        <v>173</v>
      </c>
      <c r="AH5056">
        <v>129</v>
      </c>
      <c r="AI5056">
        <v>7.2</v>
      </c>
      <c r="AJ5056">
        <v>31.92</v>
      </c>
      <c r="AK5056">
        <v>23.8</v>
      </c>
      <c r="AL5056">
        <v>-20.131367099999981</v>
      </c>
      <c r="AM5056">
        <v>-44.910597350758543</v>
      </c>
      <c r="AN5056">
        <v>-20.131367099999981</v>
      </c>
      <c r="AO5056">
        <v>-44.910597350758543</v>
      </c>
      <c r="AP5056">
        <v>-20.131240999999999</v>
      </c>
      <c r="AQ5056">
        <v>-44.910567999999998</v>
      </c>
      <c r="AR5056">
        <v>14.36874794070623</v>
      </c>
      <c r="AS5056" t="s">
        <v>65</v>
      </c>
      <c r="AT5056">
        <v>1</v>
      </c>
      <c r="AU5056" t="s">
        <v>1367</v>
      </c>
      <c r="AV5056" t="s">
        <v>1368</v>
      </c>
      <c r="AW5056" t="s">
        <v>60</v>
      </c>
      <c r="AX5056" t="s">
        <v>68</v>
      </c>
      <c r="AY5056" t="s">
        <v>69</v>
      </c>
      <c r="AZ5056" t="b">
        <v>1</v>
      </c>
    </row>
    <row r="5057" spans="1:52" x14ac:dyDescent="0.3">
      <c r="A5057" t="s">
        <v>52</v>
      </c>
      <c r="B5057" t="s">
        <v>53</v>
      </c>
      <c r="C5057" t="s">
        <v>54</v>
      </c>
      <c r="D5057" t="s">
        <v>55</v>
      </c>
      <c r="E5057" t="s">
        <v>2224</v>
      </c>
      <c r="F5057" t="s">
        <v>1247</v>
      </c>
      <c r="G5057" t="s">
        <v>1364</v>
      </c>
      <c r="H5057" t="s">
        <v>1369</v>
      </c>
      <c r="I5057" t="s">
        <v>1369</v>
      </c>
      <c r="J5057" t="s">
        <v>60</v>
      </c>
      <c r="K5057" t="s">
        <v>1370</v>
      </c>
      <c r="L5057" t="s">
        <v>62</v>
      </c>
      <c r="M5057" t="s">
        <v>1370</v>
      </c>
      <c r="N5057" t="s">
        <v>1366</v>
      </c>
      <c r="O5057" t="s">
        <v>989</v>
      </c>
      <c r="P5057">
        <v>-20.141185</v>
      </c>
      <c r="Q5057">
        <v>-44.914200999999998</v>
      </c>
      <c r="R5057" s="2" t="str">
        <f>HYPERLINK("https://www.google.com/maps?q=-20.1411850,-44.9142010","Abrir no Google Maps")</f>
        <v>Abrir no Google Maps</v>
      </c>
      <c r="S5057">
        <v>3</v>
      </c>
      <c r="T5057">
        <v>512.52588459346453</v>
      </c>
      <c r="U5057">
        <v>1</v>
      </c>
      <c r="V5057">
        <v>9.0740740740740705E-2</v>
      </c>
      <c r="W5057">
        <v>0.85</v>
      </c>
      <c r="X5057">
        <v>7.7129629629629604E-2</v>
      </c>
      <c r="Y5057">
        <v>581</v>
      </c>
      <c r="Z5057">
        <v>473.10673043319349</v>
      </c>
      <c r="AA5057">
        <v>198</v>
      </c>
      <c r="AB5057">
        <v>332</v>
      </c>
      <c r="AC5057">
        <v>536</v>
      </c>
      <c r="AD5057">
        <v>32.42</v>
      </c>
      <c r="AE5057">
        <v>542</v>
      </c>
      <c r="AF5057">
        <v>39</v>
      </c>
      <c r="AG5057">
        <v>173</v>
      </c>
      <c r="AH5057">
        <v>129</v>
      </c>
      <c r="AI5057">
        <v>7.2</v>
      </c>
      <c r="AJ5057">
        <v>31.92</v>
      </c>
      <c r="AK5057">
        <v>23.8</v>
      </c>
      <c r="AL5057">
        <v>-20.14133909999995</v>
      </c>
      <c r="AM5057">
        <v>-44.913910219286038</v>
      </c>
      <c r="AN5057">
        <v>-20.14133909999995</v>
      </c>
      <c r="AO5057">
        <v>-44.913910219286038</v>
      </c>
      <c r="AP5057">
        <v>-20.141185</v>
      </c>
      <c r="AQ5057">
        <v>-44.914200999999998</v>
      </c>
      <c r="AR5057">
        <v>34.897514361429593</v>
      </c>
      <c r="AS5057" t="s">
        <v>65</v>
      </c>
      <c r="AT5057">
        <v>1</v>
      </c>
      <c r="AU5057" t="s">
        <v>1371</v>
      </c>
      <c r="AV5057" t="s">
        <v>863</v>
      </c>
      <c r="AW5057" t="s">
        <v>60</v>
      </c>
      <c r="AX5057" t="s">
        <v>68</v>
      </c>
      <c r="AY5057" t="s">
        <v>69</v>
      </c>
      <c r="AZ5057" t="b">
        <v>1</v>
      </c>
    </row>
    <row r="5058" spans="1:52" x14ac:dyDescent="0.3">
      <c r="A5058" t="s">
        <v>52</v>
      </c>
      <c r="B5058" t="s">
        <v>53</v>
      </c>
      <c r="C5058" t="s">
        <v>54</v>
      </c>
      <c r="D5058" t="s">
        <v>55</v>
      </c>
      <c r="E5058" t="s">
        <v>2224</v>
      </c>
      <c r="F5058" t="s">
        <v>1247</v>
      </c>
      <c r="G5058" t="s">
        <v>858</v>
      </c>
      <c r="H5058" t="s">
        <v>859</v>
      </c>
      <c r="I5058" t="s">
        <v>859</v>
      </c>
      <c r="J5058" t="s">
        <v>60</v>
      </c>
      <c r="K5058" t="s">
        <v>462</v>
      </c>
      <c r="L5058" t="s">
        <v>62</v>
      </c>
      <c r="M5058" t="s">
        <v>462</v>
      </c>
      <c r="N5058" t="s">
        <v>860</v>
      </c>
      <c r="O5058" t="s">
        <v>861</v>
      </c>
      <c r="P5058">
        <v>-20.139693999999999</v>
      </c>
      <c r="Q5058">
        <v>-44.911256000000002</v>
      </c>
      <c r="R5058" s="2" t="str">
        <f>HYPERLINK("https://www.google.com/maps?q=-20.1396940,-44.9112560","Abrir no Google Maps")</f>
        <v>Abrir no Google Maps</v>
      </c>
      <c r="S5058">
        <v>3</v>
      </c>
      <c r="T5058">
        <v>380.48036838042862</v>
      </c>
      <c r="U5058">
        <v>1</v>
      </c>
      <c r="V5058">
        <v>7.3008849557522099E-2</v>
      </c>
      <c r="W5058">
        <v>0.85</v>
      </c>
      <c r="X5058">
        <v>6.2057522123893781E-2</v>
      </c>
      <c r="Y5058">
        <v>581</v>
      </c>
      <c r="Z5058">
        <v>374.61146000000178</v>
      </c>
      <c r="AA5058">
        <v>198</v>
      </c>
      <c r="AB5058">
        <v>332</v>
      </c>
      <c r="AC5058">
        <v>536</v>
      </c>
      <c r="AD5058">
        <v>32.42</v>
      </c>
      <c r="AE5058">
        <v>542</v>
      </c>
      <c r="AF5058">
        <v>39</v>
      </c>
      <c r="AG5058">
        <v>173</v>
      </c>
      <c r="AH5058">
        <v>129</v>
      </c>
      <c r="AI5058">
        <v>7.2</v>
      </c>
      <c r="AJ5058">
        <v>31.92</v>
      </c>
      <c r="AK5058">
        <v>23.8</v>
      </c>
      <c r="AL5058">
        <v>-20.139768699999959</v>
      </c>
      <c r="AM5058">
        <v>-44.911265351587588</v>
      </c>
      <c r="AN5058">
        <v>-20.139768699999959</v>
      </c>
      <c r="AO5058">
        <v>-44.911265351587588</v>
      </c>
      <c r="AP5058">
        <v>-20.139693999999999</v>
      </c>
      <c r="AQ5058">
        <v>-44.911256000000002</v>
      </c>
      <c r="AR5058">
        <v>8.3728438666521061</v>
      </c>
      <c r="AS5058" t="s">
        <v>65</v>
      </c>
      <c r="AT5058">
        <v>1</v>
      </c>
      <c r="AU5058" t="s">
        <v>862</v>
      </c>
      <c r="AV5058" t="s">
        <v>863</v>
      </c>
      <c r="AW5058" t="s">
        <v>60</v>
      </c>
      <c r="AX5058" t="s">
        <v>68</v>
      </c>
      <c r="AY5058" t="s">
        <v>69</v>
      </c>
      <c r="AZ5058" t="b">
        <v>1</v>
      </c>
    </row>
    <row r="5059" spans="1:52" x14ac:dyDescent="0.3">
      <c r="A5059" t="s">
        <v>52</v>
      </c>
      <c r="B5059" t="s">
        <v>53</v>
      </c>
      <c r="C5059" t="s">
        <v>54</v>
      </c>
      <c r="D5059" t="s">
        <v>55</v>
      </c>
      <c r="E5059" t="s">
        <v>2224</v>
      </c>
      <c r="F5059" t="s">
        <v>1247</v>
      </c>
      <c r="G5059" t="s">
        <v>1300</v>
      </c>
      <c r="H5059" t="s">
        <v>1372</v>
      </c>
      <c r="I5059" t="s">
        <v>1372</v>
      </c>
      <c r="J5059" t="s">
        <v>60</v>
      </c>
      <c r="K5059" t="s">
        <v>486</v>
      </c>
      <c r="L5059" t="s">
        <v>62</v>
      </c>
      <c r="M5059" t="s">
        <v>486</v>
      </c>
      <c r="N5059" t="s">
        <v>1303</v>
      </c>
      <c r="O5059" t="s">
        <v>1373</v>
      </c>
      <c r="P5059">
        <v>-20.170458</v>
      </c>
      <c r="Q5059">
        <v>-44.900936000000002</v>
      </c>
      <c r="R5059" s="2" t="str">
        <f>HYPERLINK("https://www.google.com/maps?q=-20.1704580,-44.9009360","Abrir no Google Maps")</f>
        <v>Abrir no Google Maps</v>
      </c>
      <c r="S5059">
        <v>3</v>
      </c>
      <c r="T5059">
        <v>470.55793133653339</v>
      </c>
      <c r="U5059">
        <v>1</v>
      </c>
      <c r="V5059">
        <v>8.3916083916083906E-2</v>
      </c>
      <c r="W5059">
        <v>0.85</v>
      </c>
      <c r="X5059">
        <v>7.1328671328671323E-2</v>
      </c>
      <c r="Y5059">
        <v>578</v>
      </c>
      <c r="Z5059">
        <v>645.48909402437766</v>
      </c>
      <c r="AA5059">
        <v>198</v>
      </c>
      <c r="AB5059">
        <v>332</v>
      </c>
      <c r="AC5059">
        <v>536</v>
      </c>
      <c r="AD5059">
        <v>32.42</v>
      </c>
      <c r="AE5059">
        <v>542</v>
      </c>
      <c r="AF5059">
        <v>39</v>
      </c>
      <c r="AG5059">
        <v>173</v>
      </c>
      <c r="AH5059">
        <v>129</v>
      </c>
      <c r="AI5059">
        <v>7.2</v>
      </c>
      <c r="AJ5059">
        <v>31.92</v>
      </c>
      <c r="AK5059">
        <v>23.8</v>
      </c>
      <c r="AL5059">
        <v>-20.17025029999996</v>
      </c>
      <c r="AM5059">
        <v>-44.901067235372473</v>
      </c>
      <c r="AN5059">
        <v>-20.17025029999996</v>
      </c>
      <c r="AO5059">
        <v>-44.901067235372473</v>
      </c>
      <c r="AP5059">
        <v>-20.170458</v>
      </c>
      <c r="AQ5059">
        <v>-44.900936000000002</v>
      </c>
      <c r="AR5059">
        <v>26.88195352459519</v>
      </c>
      <c r="AS5059" t="s">
        <v>65</v>
      </c>
      <c r="AT5059">
        <v>1</v>
      </c>
      <c r="AU5059" t="s">
        <v>1374</v>
      </c>
      <c r="AV5059" t="s">
        <v>1375</v>
      </c>
      <c r="AW5059" t="s">
        <v>60</v>
      </c>
      <c r="AX5059" t="s">
        <v>68</v>
      </c>
      <c r="AY5059" t="s">
        <v>69</v>
      </c>
      <c r="AZ5059" t="b">
        <v>1</v>
      </c>
    </row>
    <row r="5060" spans="1:52" x14ac:dyDescent="0.3">
      <c r="A5060" t="s">
        <v>52</v>
      </c>
      <c r="B5060" t="s">
        <v>53</v>
      </c>
      <c r="C5060" t="s">
        <v>54</v>
      </c>
      <c r="D5060" t="s">
        <v>55</v>
      </c>
      <c r="E5060" t="s">
        <v>2224</v>
      </c>
      <c r="F5060" t="s">
        <v>1247</v>
      </c>
      <c r="G5060" t="s">
        <v>1424</v>
      </c>
      <c r="H5060" t="s">
        <v>1425</v>
      </c>
      <c r="I5060" t="s">
        <v>1425</v>
      </c>
      <c r="J5060" t="s">
        <v>60</v>
      </c>
      <c r="K5060" t="s">
        <v>1324</v>
      </c>
      <c r="L5060" t="s">
        <v>62</v>
      </c>
      <c r="M5060" t="s">
        <v>1324</v>
      </c>
      <c r="N5060" t="s">
        <v>1426</v>
      </c>
      <c r="O5060" t="s">
        <v>938</v>
      </c>
      <c r="P5060">
        <v>-20.172844999999999</v>
      </c>
      <c r="Q5060">
        <v>-44.909215000000003</v>
      </c>
      <c r="R5060" s="2" t="str">
        <f>HYPERLINK("https://www.google.com/maps?q=-20.1728450,-44.9092150","Abrir no Google Maps")</f>
        <v>Abrir no Google Maps</v>
      </c>
      <c r="S5060">
        <v>3</v>
      </c>
      <c r="T5060">
        <v>0</v>
      </c>
      <c r="U5060">
        <v>1</v>
      </c>
      <c r="V5060">
        <v>7.4999999999999997E-2</v>
      </c>
      <c r="W5060">
        <v>0.85</v>
      </c>
      <c r="X5060">
        <v>6.3750000000000001E-2</v>
      </c>
      <c r="Y5060">
        <v>578</v>
      </c>
      <c r="Z5060">
        <v>365.56549317689053</v>
      </c>
      <c r="AA5060">
        <v>198</v>
      </c>
      <c r="AB5060">
        <v>332</v>
      </c>
      <c r="AC5060">
        <v>536</v>
      </c>
      <c r="AD5060">
        <v>32.42</v>
      </c>
      <c r="AE5060">
        <v>542</v>
      </c>
      <c r="AF5060">
        <v>39</v>
      </c>
      <c r="AG5060">
        <v>173</v>
      </c>
      <c r="AH5060">
        <v>129</v>
      </c>
      <c r="AI5060">
        <v>7.2</v>
      </c>
      <c r="AJ5060">
        <v>31.92</v>
      </c>
      <c r="AK5060">
        <v>23.8</v>
      </c>
      <c r="AL5060">
        <v>-20.172197349999941</v>
      </c>
      <c r="AM5060">
        <v>-44.910438675762883</v>
      </c>
      <c r="AN5060">
        <v>-20.172197349999941</v>
      </c>
      <c r="AO5060">
        <v>-44.910438675762883</v>
      </c>
      <c r="AP5060">
        <v>-20.172844999999999</v>
      </c>
      <c r="AQ5060">
        <v>-44.909215000000003</v>
      </c>
      <c r="AR5060">
        <v>146.78922919749749</v>
      </c>
      <c r="AS5060" t="s">
        <v>65</v>
      </c>
      <c r="AT5060">
        <v>1</v>
      </c>
      <c r="AU5060" t="s">
        <v>1427</v>
      </c>
      <c r="AV5060" t="s">
        <v>1428</v>
      </c>
      <c r="AW5060" t="s">
        <v>60</v>
      </c>
      <c r="AX5060" t="s">
        <v>68</v>
      </c>
      <c r="AY5060" t="s">
        <v>69</v>
      </c>
      <c r="AZ5060" t="b">
        <v>1</v>
      </c>
    </row>
    <row r="5061" spans="1:52" x14ac:dyDescent="0.3">
      <c r="A5061" t="s">
        <v>52</v>
      </c>
      <c r="B5061" t="s">
        <v>53</v>
      </c>
      <c r="C5061" t="s">
        <v>54</v>
      </c>
      <c r="D5061" t="s">
        <v>55</v>
      </c>
      <c r="E5061" t="s">
        <v>2224</v>
      </c>
      <c r="F5061" t="s">
        <v>1247</v>
      </c>
      <c r="G5061" t="s">
        <v>1393</v>
      </c>
      <c r="H5061" t="s">
        <v>1394</v>
      </c>
      <c r="I5061" t="s">
        <v>1394</v>
      </c>
      <c r="J5061" t="s">
        <v>60</v>
      </c>
      <c r="K5061" t="s">
        <v>388</v>
      </c>
      <c r="L5061" t="s">
        <v>62</v>
      </c>
      <c r="M5061" t="s">
        <v>388</v>
      </c>
      <c r="N5061" t="s">
        <v>1395</v>
      </c>
      <c r="O5061" t="s">
        <v>1396</v>
      </c>
      <c r="P5061">
        <v>-20.167425000000001</v>
      </c>
      <c r="Q5061">
        <v>-44.907733999999998</v>
      </c>
      <c r="R5061" s="2" t="str">
        <f>HYPERLINK("https://www.google.com/maps?q=-20.1674250,-44.9077340","Abrir no Google Maps")</f>
        <v>Abrir no Google Maps</v>
      </c>
      <c r="S5061">
        <v>3</v>
      </c>
      <c r="T5061">
        <v>424.62372109792739</v>
      </c>
      <c r="U5061">
        <v>1</v>
      </c>
      <c r="V5061">
        <v>8.6448598130841103E-2</v>
      </c>
      <c r="W5061">
        <v>0.85</v>
      </c>
      <c r="X5061">
        <v>7.3481308411214932E-2</v>
      </c>
      <c r="Y5061">
        <v>578</v>
      </c>
      <c r="Z5061">
        <v>559.08337206965382</v>
      </c>
      <c r="AA5061">
        <v>198</v>
      </c>
      <c r="AB5061">
        <v>332</v>
      </c>
      <c r="AC5061">
        <v>536</v>
      </c>
      <c r="AD5061">
        <v>32.42</v>
      </c>
      <c r="AE5061">
        <v>542</v>
      </c>
      <c r="AF5061">
        <v>39</v>
      </c>
      <c r="AG5061">
        <v>173</v>
      </c>
      <c r="AH5061">
        <v>129</v>
      </c>
      <c r="AI5061">
        <v>7.2</v>
      </c>
      <c r="AJ5061">
        <v>31.92</v>
      </c>
      <c r="AK5061">
        <v>23.8</v>
      </c>
      <c r="AL5061">
        <v>-20.167592099999951</v>
      </c>
      <c r="AM5061">
        <v>-44.907664214502859</v>
      </c>
      <c r="AN5061">
        <v>-20.167592099999951</v>
      </c>
      <c r="AO5061">
        <v>-44.907664214502859</v>
      </c>
      <c r="AP5061">
        <v>-20.167425000000001</v>
      </c>
      <c r="AQ5061">
        <v>-44.907733999999998</v>
      </c>
      <c r="AR5061">
        <v>19.979863459652229</v>
      </c>
      <c r="AS5061" t="s">
        <v>65</v>
      </c>
      <c r="AT5061">
        <v>1</v>
      </c>
      <c r="AU5061" t="s">
        <v>1397</v>
      </c>
      <c r="AV5061" t="s">
        <v>1398</v>
      </c>
      <c r="AW5061" t="s">
        <v>60</v>
      </c>
      <c r="AX5061" t="s">
        <v>68</v>
      </c>
      <c r="AY5061" t="s">
        <v>69</v>
      </c>
      <c r="AZ5061" t="b">
        <v>1</v>
      </c>
    </row>
    <row r="5062" spans="1:52" x14ac:dyDescent="0.3">
      <c r="A5062" t="s">
        <v>52</v>
      </c>
      <c r="B5062" t="s">
        <v>53</v>
      </c>
      <c r="C5062" t="s">
        <v>54</v>
      </c>
      <c r="D5062" t="s">
        <v>55</v>
      </c>
      <c r="E5062" t="s">
        <v>2224</v>
      </c>
      <c r="F5062" t="s">
        <v>1247</v>
      </c>
      <c r="G5062" t="s">
        <v>815</v>
      </c>
      <c r="H5062" t="s">
        <v>1404</v>
      </c>
      <c r="I5062" t="s">
        <v>1404</v>
      </c>
      <c r="J5062" t="s">
        <v>60</v>
      </c>
      <c r="K5062" t="s">
        <v>512</v>
      </c>
      <c r="L5062" t="s">
        <v>62</v>
      </c>
      <c r="M5062" t="s">
        <v>512</v>
      </c>
      <c r="N5062" t="s">
        <v>817</v>
      </c>
      <c r="O5062" t="s">
        <v>1405</v>
      </c>
      <c r="P5062">
        <v>-20.129069999999999</v>
      </c>
      <c r="Q5062">
        <v>-44.888452000000001</v>
      </c>
      <c r="R5062" s="2" t="str">
        <f>HYPERLINK("https://www.google.com/maps?q=-20.1290700,-44.8884520","Abrir no Google Maps")</f>
        <v>Abrir no Google Maps</v>
      </c>
      <c r="S5062">
        <v>3</v>
      </c>
      <c r="T5062">
        <v>0</v>
      </c>
      <c r="U5062">
        <v>1</v>
      </c>
      <c r="V5062">
        <v>0.1</v>
      </c>
      <c r="W5062">
        <v>0.85</v>
      </c>
      <c r="X5062">
        <v>8.5000000000000006E-2</v>
      </c>
      <c r="Y5062">
        <v>564</v>
      </c>
      <c r="Z5062">
        <v>95.870354837220688</v>
      </c>
      <c r="AA5062">
        <v>198</v>
      </c>
      <c r="AB5062">
        <v>332</v>
      </c>
      <c r="AC5062">
        <v>536</v>
      </c>
      <c r="AD5062">
        <v>32.42</v>
      </c>
      <c r="AE5062">
        <v>542</v>
      </c>
      <c r="AF5062">
        <v>39</v>
      </c>
      <c r="AG5062">
        <v>173</v>
      </c>
      <c r="AH5062">
        <v>129</v>
      </c>
      <c r="AI5062">
        <v>7.2</v>
      </c>
      <c r="AJ5062">
        <v>31.92</v>
      </c>
      <c r="AK5062">
        <v>23.8</v>
      </c>
      <c r="AL5062">
        <v>-20.12899334999997</v>
      </c>
      <c r="AM5062">
        <v>-44.888406102471222</v>
      </c>
      <c r="AN5062">
        <v>-20.12899334999997</v>
      </c>
      <c r="AO5062">
        <v>-44.888406102471222</v>
      </c>
      <c r="AP5062">
        <v>-20.129069999999999</v>
      </c>
      <c r="AQ5062">
        <v>-44.888452000000001</v>
      </c>
      <c r="AR5062">
        <v>9.7887731150376265</v>
      </c>
      <c r="AS5062" t="s">
        <v>65</v>
      </c>
      <c r="AT5062">
        <v>1</v>
      </c>
      <c r="AU5062" t="s">
        <v>1406</v>
      </c>
      <c r="AV5062" t="s">
        <v>1407</v>
      </c>
      <c r="AW5062" t="s">
        <v>60</v>
      </c>
      <c r="AX5062" t="s">
        <v>68</v>
      </c>
      <c r="AY5062" t="s">
        <v>69</v>
      </c>
      <c r="AZ5062" t="b">
        <v>1</v>
      </c>
    </row>
    <row r="5063" spans="1:52" x14ac:dyDescent="0.3">
      <c r="A5063" t="s">
        <v>52</v>
      </c>
      <c r="B5063" t="s">
        <v>53</v>
      </c>
      <c r="C5063" t="s">
        <v>54</v>
      </c>
      <c r="D5063" t="s">
        <v>55</v>
      </c>
      <c r="E5063" t="s">
        <v>2224</v>
      </c>
      <c r="F5063" t="s">
        <v>1247</v>
      </c>
      <c r="G5063" t="s">
        <v>503</v>
      </c>
      <c r="H5063" t="s">
        <v>1441</v>
      </c>
      <c r="I5063" t="s">
        <v>1441</v>
      </c>
      <c r="J5063" t="s">
        <v>60</v>
      </c>
      <c r="K5063" t="s">
        <v>512</v>
      </c>
      <c r="L5063" t="s">
        <v>62</v>
      </c>
      <c r="M5063" t="s">
        <v>512</v>
      </c>
      <c r="N5063" t="s">
        <v>506</v>
      </c>
      <c r="O5063" t="s">
        <v>1442</v>
      </c>
      <c r="P5063">
        <v>-20.13036</v>
      </c>
      <c r="Q5063">
        <v>-44.891019</v>
      </c>
      <c r="R5063" s="2" t="str">
        <f>HYPERLINK("https://www.google.com/maps?q=-20.1303600,-44.8910190","Abrir no Google Maps")</f>
        <v>Abrir no Google Maps</v>
      </c>
      <c r="S5063">
        <v>3</v>
      </c>
      <c r="T5063">
        <v>313.17410616307359</v>
      </c>
      <c r="U5063">
        <v>1</v>
      </c>
      <c r="V5063">
        <v>9.8425196850393706E-2</v>
      </c>
      <c r="W5063">
        <v>0.85</v>
      </c>
      <c r="X5063">
        <v>8.366141732283465E-2</v>
      </c>
      <c r="Y5063">
        <v>564</v>
      </c>
      <c r="Z5063">
        <v>208.43159293494489</v>
      </c>
      <c r="AA5063">
        <v>198</v>
      </c>
      <c r="AB5063">
        <v>332</v>
      </c>
      <c r="AC5063">
        <v>536</v>
      </c>
      <c r="AD5063">
        <v>32.42</v>
      </c>
      <c r="AE5063">
        <v>542</v>
      </c>
      <c r="AF5063">
        <v>39</v>
      </c>
      <c r="AG5063">
        <v>173</v>
      </c>
      <c r="AH5063">
        <v>129</v>
      </c>
      <c r="AI5063">
        <v>7.2</v>
      </c>
      <c r="AJ5063">
        <v>31.92</v>
      </c>
      <c r="AK5063">
        <v>23.8</v>
      </c>
      <c r="AL5063">
        <v>-20.130100449999961</v>
      </c>
      <c r="AM5063">
        <v>-44.891163633475301</v>
      </c>
      <c r="AN5063">
        <v>-20.130100449999961</v>
      </c>
      <c r="AO5063">
        <v>-44.891163633475301</v>
      </c>
      <c r="AP5063">
        <v>-20.13036</v>
      </c>
      <c r="AQ5063">
        <v>-44.891019</v>
      </c>
      <c r="AR5063">
        <v>32.608854575381159</v>
      </c>
      <c r="AS5063" t="s">
        <v>65</v>
      </c>
      <c r="AT5063">
        <v>1</v>
      </c>
      <c r="AU5063" t="s">
        <v>1443</v>
      </c>
      <c r="AV5063" t="s">
        <v>1444</v>
      </c>
      <c r="AW5063" t="s">
        <v>60</v>
      </c>
      <c r="AX5063" t="s">
        <v>68</v>
      </c>
      <c r="AY5063" t="s">
        <v>69</v>
      </c>
      <c r="AZ5063" t="b">
        <v>1</v>
      </c>
    </row>
    <row r="5064" spans="1:52" x14ac:dyDescent="0.3">
      <c r="A5064" t="s">
        <v>52</v>
      </c>
      <c r="B5064" t="s">
        <v>53</v>
      </c>
      <c r="C5064" t="s">
        <v>54</v>
      </c>
      <c r="D5064" t="s">
        <v>55</v>
      </c>
      <c r="E5064" t="s">
        <v>2224</v>
      </c>
      <c r="F5064" t="s">
        <v>1247</v>
      </c>
      <c r="G5064" t="s">
        <v>1408</v>
      </c>
      <c r="H5064" t="s">
        <v>1409</v>
      </c>
      <c r="I5064" t="s">
        <v>1409</v>
      </c>
      <c r="J5064" t="s">
        <v>60</v>
      </c>
      <c r="K5064" t="s">
        <v>200</v>
      </c>
      <c r="L5064" t="s">
        <v>62</v>
      </c>
      <c r="M5064" t="s">
        <v>200</v>
      </c>
      <c r="N5064" t="s">
        <v>1410</v>
      </c>
      <c r="O5064" t="s">
        <v>1001</v>
      </c>
      <c r="P5064">
        <v>-20.126062999999998</v>
      </c>
      <c r="Q5064">
        <v>-44.894936999999999</v>
      </c>
      <c r="R5064" s="2" t="str">
        <f>HYPERLINK("https://www.google.com/maps?q=-20.1260630,-44.8949370","Abrir no Google Maps")</f>
        <v>Abrir no Google Maps</v>
      </c>
      <c r="S5064">
        <v>3</v>
      </c>
      <c r="T5064">
        <v>747.3122077966558</v>
      </c>
      <c r="U5064">
        <v>1</v>
      </c>
      <c r="V5064">
        <v>7.0945945945945901E-2</v>
      </c>
      <c r="W5064">
        <v>0.85</v>
      </c>
      <c r="X5064">
        <v>6.0304054054054007E-2</v>
      </c>
      <c r="Y5064">
        <v>564</v>
      </c>
      <c r="Z5064">
        <v>693.80888866206885</v>
      </c>
      <c r="AA5064">
        <v>198</v>
      </c>
      <c r="AB5064">
        <v>332</v>
      </c>
      <c r="AC5064">
        <v>536</v>
      </c>
      <c r="AD5064">
        <v>32.42</v>
      </c>
      <c r="AE5064">
        <v>542</v>
      </c>
      <c r="AF5064">
        <v>39</v>
      </c>
      <c r="AG5064">
        <v>173</v>
      </c>
      <c r="AH5064">
        <v>129</v>
      </c>
      <c r="AI5064">
        <v>7.2</v>
      </c>
      <c r="AJ5064">
        <v>31.92</v>
      </c>
      <c r="AK5064">
        <v>23.8</v>
      </c>
      <c r="AL5064">
        <v>-20.126099149999959</v>
      </c>
      <c r="AM5064">
        <v>-44.894866076436763</v>
      </c>
      <c r="AN5064">
        <v>-20.126099149999959</v>
      </c>
      <c r="AO5064">
        <v>-44.894866076436749</v>
      </c>
      <c r="AP5064">
        <v>-20.126062999999998</v>
      </c>
      <c r="AQ5064">
        <v>-44.894936999999999</v>
      </c>
      <c r="AR5064">
        <v>8.4349593682699737</v>
      </c>
      <c r="AS5064" t="s">
        <v>65</v>
      </c>
      <c r="AT5064">
        <v>1</v>
      </c>
      <c r="AU5064" t="s">
        <v>1411</v>
      </c>
      <c r="AV5064" t="s">
        <v>1003</v>
      </c>
      <c r="AW5064" t="s">
        <v>60</v>
      </c>
      <c r="AX5064" t="s">
        <v>68</v>
      </c>
      <c r="AY5064" t="s">
        <v>69</v>
      </c>
      <c r="AZ5064" t="b">
        <v>1</v>
      </c>
    </row>
    <row r="5065" spans="1:52" x14ac:dyDescent="0.3">
      <c r="A5065" t="s">
        <v>52</v>
      </c>
      <c r="B5065" t="s">
        <v>53</v>
      </c>
      <c r="C5065" t="s">
        <v>54</v>
      </c>
      <c r="D5065" t="s">
        <v>55</v>
      </c>
      <c r="E5065" t="s">
        <v>2224</v>
      </c>
      <c r="F5065" t="s">
        <v>1247</v>
      </c>
      <c r="G5065" t="s">
        <v>528</v>
      </c>
      <c r="H5065" t="s">
        <v>529</v>
      </c>
      <c r="I5065" t="s">
        <v>529</v>
      </c>
      <c r="J5065" t="s">
        <v>60</v>
      </c>
      <c r="K5065" t="s">
        <v>530</v>
      </c>
      <c r="L5065" t="s">
        <v>62</v>
      </c>
      <c r="M5065" t="s">
        <v>530</v>
      </c>
      <c r="N5065" t="s">
        <v>531</v>
      </c>
      <c r="O5065" t="s">
        <v>532</v>
      </c>
      <c r="P5065">
        <v>-20.142457</v>
      </c>
      <c r="Q5065">
        <v>-44.891688000000002</v>
      </c>
      <c r="R5065" s="2" t="str">
        <f>HYPERLINK("https://www.google.com/maps?q=-20.1424570,-44.8916880","Abrir no Google Maps")</f>
        <v>Abrir no Google Maps</v>
      </c>
      <c r="S5065">
        <v>3</v>
      </c>
      <c r="T5065">
        <v>0</v>
      </c>
      <c r="U5065">
        <v>1</v>
      </c>
      <c r="V5065">
        <v>4.2808219178082099E-2</v>
      </c>
      <c r="W5065">
        <v>1</v>
      </c>
      <c r="X5065">
        <v>4.2808219178082099E-2</v>
      </c>
      <c r="Y5065">
        <v>557</v>
      </c>
      <c r="Z5065">
        <v>42.611952255679803</v>
      </c>
      <c r="AA5065">
        <v>198</v>
      </c>
      <c r="AB5065">
        <v>332</v>
      </c>
      <c r="AC5065">
        <v>536</v>
      </c>
      <c r="AD5065">
        <v>32.42</v>
      </c>
      <c r="AE5065">
        <v>542</v>
      </c>
      <c r="AF5065">
        <v>39</v>
      </c>
      <c r="AG5065">
        <v>173</v>
      </c>
      <c r="AH5065">
        <v>129</v>
      </c>
      <c r="AI5065">
        <v>7.2</v>
      </c>
      <c r="AJ5065">
        <v>31.92</v>
      </c>
      <c r="AK5065">
        <v>23.8</v>
      </c>
      <c r="AL5065">
        <v>-20.142523099999948</v>
      </c>
      <c r="AM5065">
        <v>-44.891523817588819</v>
      </c>
      <c r="AN5065">
        <v>-20.142523099999948</v>
      </c>
      <c r="AO5065">
        <v>-44.891523817588819</v>
      </c>
      <c r="AP5065">
        <v>-20.142457</v>
      </c>
      <c r="AQ5065">
        <v>-44.891688000000002</v>
      </c>
      <c r="AR5065">
        <v>18.670129248632971</v>
      </c>
      <c r="AS5065" t="s">
        <v>65</v>
      </c>
      <c r="AT5065">
        <v>1</v>
      </c>
      <c r="AU5065" t="s">
        <v>533</v>
      </c>
      <c r="AV5065" t="s">
        <v>534</v>
      </c>
      <c r="AW5065" t="s">
        <v>60</v>
      </c>
      <c r="AX5065" t="s">
        <v>68</v>
      </c>
      <c r="AY5065" t="s">
        <v>69</v>
      </c>
      <c r="AZ5065" t="b">
        <v>1</v>
      </c>
    </row>
    <row r="5066" spans="1:52" x14ac:dyDescent="0.3">
      <c r="A5066" t="s">
        <v>52</v>
      </c>
      <c r="B5066" t="s">
        <v>53</v>
      </c>
      <c r="C5066" t="s">
        <v>54</v>
      </c>
      <c r="D5066" t="s">
        <v>55</v>
      </c>
      <c r="E5066" t="s">
        <v>2224</v>
      </c>
      <c r="F5066" t="s">
        <v>1247</v>
      </c>
      <c r="G5066" t="s">
        <v>545</v>
      </c>
      <c r="H5066" t="s">
        <v>546</v>
      </c>
      <c r="I5066" t="s">
        <v>546</v>
      </c>
      <c r="J5066" t="s">
        <v>60</v>
      </c>
      <c r="K5066" t="s">
        <v>388</v>
      </c>
      <c r="L5066" t="s">
        <v>62</v>
      </c>
      <c r="M5066" t="s">
        <v>388</v>
      </c>
      <c r="N5066" t="s">
        <v>547</v>
      </c>
      <c r="O5066" t="s">
        <v>548</v>
      </c>
      <c r="P5066">
        <v>-20.155839</v>
      </c>
      <c r="Q5066">
        <v>-44.905655000000003</v>
      </c>
      <c r="R5066" s="2" t="str">
        <f>HYPERLINK("https://www.google.com/maps?q=-20.1558390,-44.9056550","Abrir no Google Maps")</f>
        <v>Abrir no Google Maps</v>
      </c>
      <c r="S5066">
        <v>3</v>
      </c>
      <c r="T5066">
        <v>309.7643089121122</v>
      </c>
      <c r="U5066">
        <v>1</v>
      </c>
      <c r="V5066">
        <v>6.7045454545454505E-2</v>
      </c>
      <c r="W5066">
        <v>1</v>
      </c>
      <c r="X5066">
        <v>6.7045454545454505E-2</v>
      </c>
      <c r="Y5066">
        <v>548</v>
      </c>
      <c r="Z5066">
        <v>284.24281731793161</v>
      </c>
      <c r="AA5066">
        <v>198</v>
      </c>
      <c r="AB5066">
        <v>332</v>
      </c>
      <c r="AC5066">
        <v>536</v>
      </c>
      <c r="AD5066">
        <v>32.42</v>
      </c>
      <c r="AE5066">
        <v>542</v>
      </c>
      <c r="AF5066">
        <v>39</v>
      </c>
      <c r="AG5066">
        <v>173</v>
      </c>
      <c r="AH5066">
        <v>129</v>
      </c>
      <c r="AI5066">
        <v>7.2</v>
      </c>
      <c r="AJ5066">
        <v>31.92</v>
      </c>
      <c r="AK5066">
        <v>23.8</v>
      </c>
      <c r="AL5066">
        <v>-20.155913549999951</v>
      </c>
      <c r="AM5066">
        <v>-44.905554508392683</v>
      </c>
      <c r="AN5066">
        <v>-20.155913549999951</v>
      </c>
      <c r="AO5066">
        <v>-44.905554508392669</v>
      </c>
      <c r="AP5066">
        <v>-20.155839</v>
      </c>
      <c r="AQ5066">
        <v>-44.905655000000003</v>
      </c>
      <c r="AR5066">
        <v>13.384922093797449</v>
      </c>
      <c r="AS5066" t="s">
        <v>65</v>
      </c>
      <c r="AT5066">
        <v>1</v>
      </c>
      <c r="AU5066" t="s">
        <v>549</v>
      </c>
      <c r="AV5066" t="s">
        <v>550</v>
      </c>
      <c r="AW5066" t="s">
        <v>60</v>
      </c>
      <c r="AX5066" t="s">
        <v>68</v>
      </c>
      <c r="AY5066" t="s">
        <v>69</v>
      </c>
      <c r="AZ5066" t="b">
        <v>1</v>
      </c>
    </row>
    <row r="5067" spans="1:52" x14ac:dyDescent="0.3">
      <c r="A5067" t="s">
        <v>52</v>
      </c>
      <c r="B5067" t="s">
        <v>53</v>
      </c>
      <c r="C5067" t="s">
        <v>54</v>
      </c>
      <c r="D5067" t="s">
        <v>55</v>
      </c>
      <c r="E5067" t="s">
        <v>2224</v>
      </c>
      <c r="F5067" t="s">
        <v>1247</v>
      </c>
      <c r="G5067" t="s">
        <v>556</v>
      </c>
      <c r="H5067" t="s">
        <v>557</v>
      </c>
      <c r="I5067" t="s">
        <v>557</v>
      </c>
      <c r="J5067" t="s">
        <v>60</v>
      </c>
      <c r="K5067" t="s">
        <v>388</v>
      </c>
      <c r="L5067" t="s">
        <v>62</v>
      </c>
      <c r="M5067" t="s">
        <v>388</v>
      </c>
      <c r="N5067" t="s">
        <v>558</v>
      </c>
      <c r="O5067" t="s">
        <v>559</v>
      </c>
      <c r="P5067">
        <v>-20.152670000000001</v>
      </c>
      <c r="Q5067">
        <v>-44.902557999999999</v>
      </c>
      <c r="R5067" s="2" t="str">
        <f>HYPERLINK("https://www.google.com/maps?q=-20.1526700,-44.9025580","Abrir no Google Maps")</f>
        <v>Abrir no Google Maps</v>
      </c>
      <c r="S5067">
        <v>3</v>
      </c>
      <c r="T5067">
        <v>228.56195217678911</v>
      </c>
      <c r="U5067">
        <v>1</v>
      </c>
      <c r="V5067">
        <v>4.6703296703296697E-2</v>
      </c>
      <c r="W5067">
        <v>1</v>
      </c>
      <c r="X5067">
        <v>4.6703296703296697E-2</v>
      </c>
      <c r="Y5067">
        <v>548</v>
      </c>
      <c r="Z5067">
        <v>250.63133895224919</v>
      </c>
      <c r="AA5067">
        <v>198</v>
      </c>
      <c r="AB5067">
        <v>332</v>
      </c>
      <c r="AC5067">
        <v>536</v>
      </c>
      <c r="AD5067">
        <v>32.42</v>
      </c>
      <c r="AE5067">
        <v>542</v>
      </c>
      <c r="AF5067">
        <v>39</v>
      </c>
      <c r="AG5067">
        <v>173</v>
      </c>
      <c r="AH5067">
        <v>129</v>
      </c>
      <c r="AI5067">
        <v>7.2</v>
      </c>
      <c r="AJ5067">
        <v>31.92</v>
      </c>
      <c r="AK5067">
        <v>23.8</v>
      </c>
      <c r="AL5067">
        <v>-20.152629799999939</v>
      </c>
      <c r="AM5067">
        <v>-44.902604744705201</v>
      </c>
      <c r="AN5067">
        <v>-20.152629799999939</v>
      </c>
      <c r="AO5067">
        <v>-44.902604744705201</v>
      </c>
      <c r="AP5067">
        <v>-20.152670000000001</v>
      </c>
      <c r="AQ5067">
        <v>-44.902557999999999</v>
      </c>
      <c r="AR5067">
        <v>6.6249428037111509</v>
      </c>
      <c r="AS5067" t="s">
        <v>65</v>
      </c>
      <c r="AT5067">
        <v>1</v>
      </c>
      <c r="AU5067" t="s">
        <v>560</v>
      </c>
      <c r="AV5067" t="s">
        <v>561</v>
      </c>
      <c r="AW5067" t="s">
        <v>60</v>
      </c>
      <c r="AX5067" t="s">
        <v>68</v>
      </c>
      <c r="AY5067" t="s">
        <v>69</v>
      </c>
      <c r="AZ5067" t="b">
        <v>1</v>
      </c>
    </row>
    <row r="5068" spans="1:52" x14ac:dyDescent="0.3">
      <c r="A5068" t="s">
        <v>52</v>
      </c>
      <c r="B5068" t="s">
        <v>53</v>
      </c>
      <c r="C5068" t="s">
        <v>54</v>
      </c>
      <c r="D5068" t="s">
        <v>55</v>
      </c>
      <c r="E5068" t="s">
        <v>2224</v>
      </c>
      <c r="F5068" t="s">
        <v>1247</v>
      </c>
      <c r="G5068" t="s">
        <v>1547</v>
      </c>
      <c r="H5068" t="s">
        <v>1548</v>
      </c>
      <c r="I5068" t="s">
        <v>1548</v>
      </c>
      <c r="J5068" t="s">
        <v>60</v>
      </c>
      <c r="K5068" t="s">
        <v>1549</v>
      </c>
      <c r="L5068" t="s">
        <v>62</v>
      </c>
      <c r="M5068" t="s">
        <v>1549</v>
      </c>
      <c r="N5068" t="s">
        <v>1550</v>
      </c>
      <c r="O5068" t="s">
        <v>1551</v>
      </c>
      <c r="P5068">
        <v>-20.173258000000001</v>
      </c>
      <c r="Q5068">
        <v>-44.930354000000001</v>
      </c>
      <c r="R5068" s="2" t="str">
        <f>HYPERLINK("https://www.google.com/maps?q=-20.1732580,-44.9303540","Abrir no Google Maps")</f>
        <v>Abrir no Google Maps</v>
      </c>
      <c r="S5068">
        <v>2</v>
      </c>
      <c r="T5068">
        <v>2023.802197028052</v>
      </c>
      <c r="U5068">
        <v>4</v>
      </c>
      <c r="V5068">
        <v>0.15925925925925921</v>
      </c>
      <c r="W5068">
        <v>0.85</v>
      </c>
      <c r="X5068">
        <v>0.13537037037037031</v>
      </c>
      <c r="Y5068">
        <v>723</v>
      </c>
      <c r="Z5068">
        <v>1727.7445576555911</v>
      </c>
      <c r="AA5068">
        <v>198</v>
      </c>
      <c r="AB5068">
        <v>332</v>
      </c>
      <c r="AC5068">
        <v>536</v>
      </c>
      <c r="AD5068">
        <v>32.42</v>
      </c>
      <c r="AE5068">
        <v>542</v>
      </c>
      <c r="AF5068">
        <v>39</v>
      </c>
      <c r="AG5068">
        <v>173</v>
      </c>
      <c r="AH5068">
        <v>129</v>
      </c>
      <c r="AI5068">
        <v>7.2</v>
      </c>
      <c r="AJ5068">
        <v>31.92</v>
      </c>
      <c r="AK5068">
        <v>23.8</v>
      </c>
      <c r="AL5068">
        <v>-20.172996449999939</v>
      </c>
      <c r="AM5068">
        <v>-44.930058436825973</v>
      </c>
      <c r="AN5068">
        <v>-20.172996449999939</v>
      </c>
      <c r="AO5068">
        <v>-44.930058436825973</v>
      </c>
      <c r="AP5068">
        <v>-20.173258000000001</v>
      </c>
      <c r="AQ5068">
        <v>-44.930354000000001</v>
      </c>
      <c r="AR5068">
        <v>42.444455141884362</v>
      </c>
      <c r="AS5068" t="s">
        <v>65</v>
      </c>
      <c r="AT5068">
        <v>1</v>
      </c>
      <c r="AU5068" t="s">
        <v>1552</v>
      </c>
      <c r="AV5068" t="s">
        <v>1553</v>
      </c>
      <c r="AW5068" t="s">
        <v>60</v>
      </c>
      <c r="AX5068" t="s">
        <v>68</v>
      </c>
      <c r="AY5068" t="s">
        <v>69</v>
      </c>
      <c r="AZ5068" t="b">
        <v>1</v>
      </c>
    </row>
    <row r="5069" spans="1:52" x14ac:dyDescent="0.3">
      <c r="A5069" t="s">
        <v>52</v>
      </c>
      <c r="B5069" t="s">
        <v>53</v>
      </c>
      <c r="C5069" t="s">
        <v>54</v>
      </c>
      <c r="D5069" t="s">
        <v>55</v>
      </c>
      <c r="E5069" t="s">
        <v>2224</v>
      </c>
      <c r="F5069" t="s">
        <v>1247</v>
      </c>
      <c r="G5069" t="s">
        <v>1464</v>
      </c>
      <c r="H5069" t="s">
        <v>1485</v>
      </c>
      <c r="I5069" t="s">
        <v>1485</v>
      </c>
      <c r="J5069" t="s">
        <v>60</v>
      </c>
      <c r="K5069" t="s">
        <v>1486</v>
      </c>
      <c r="L5069" t="s">
        <v>62</v>
      </c>
      <c r="M5069" t="s">
        <v>1486</v>
      </c>
      <c r="N5069" t="s">
        <v>1467</v>
      </c>
      <c r="O5069" t="s">
        <v>1487</v>
      </c>
      <c r="P5069">
        <v>-20.162842000000001</v>
      </c>
      <c r="Q5069">
        <v>-44.883769999999998</v>
      </c>
      <c r="R5069" s="2" t="str">
        <f>HYPERLINK("https://www.google.com/maps?q=-20.1628420,-44.8837700","Abrir no Google Maps")</f>
        <v>Abrir no Google Maps</v>
      </c>
      <c r="S5069">
        <v>2</v>
      </c>
      <c r="T5069">
        <v>659.67909450906006</v>
      </c>
      <c r="U5069">
        <v>3</v>
      </c>
      <c r="V5069">
        <v>0.1313364055299539</v>
      </c>
      <c r="W5069">
        <v>1</v>
      </c>
      <c r="X5069">
        <v>0.1313364055299539</v>
      </c>
      <c r="Y5069">
        <v>671</v>
      </c>
      <c r="Z5069">
        <v>566.23107864368092</v>
      </c>
      <c r="AA5069">
        <v>198</v>
      </c>
      <c r="AB5069">
        <v>332</v>
      </c>
      <c r="AC5069">
        <v>536</v>
      </c>
      <c r="AD5069">
        <v>32.42</v>
      </c>
      <c r="AE5069">
        <v>542</v>
      </c>
      <c r="AF5069">
        <v>39</v>
      </c>
      <c r="AG5069">
        <v>173</v>
      </c>
      <c r="AH5069">
        <v>129</v>
      </c>
      <c r="AI5069">
        <v>7.2</v>
      </c>
      <c r="AJ5069">
        <v>31.92</v>
      </c>
      <c r="AK5069">
        <v>23.8</v>
      </c>
      <c r="AL5069">
        <v>-20.162791299999949</v>
      </c>
      <c r="AM5069">
        <v>-44.883966852092939</v>
      </c>
      <c r="AN5069">
        <v>-20.162791299999949</v>
      </c>
      <c r="AO5069">
        <v>-44.883966852092939</v>
      </c>
      <c r="AP5069">
        <v>-20.162842000000001</v>
      </c>
      <c r="AQ5069">
        <v>-44.883769999999998</v>
      </c>
      <c r="AR5069">
        <v>21.33085532825611</v>
      </c>
      <c r="AS5069" t="s">
        <v>65</v>
      </c>
      <c r="AT5069">
        <v>1</v>
      </c>
      <c r="AU5069" t="s">
        <v>1488</v>
      </c>
      <c r="AV5069" t="s">
        <v>1489</v>
      </c>
      <c r="AW5069" t="s">
        <v>60</v>
      </c>
      <c r="AX5069" t="s">
        <v>68</v>
      </c>
      <c r="AY5069" t="s">
        <v>69</v>
      </c>
      <c r="AZ5069" t="b">
        <v>1</v>
      </c>
    </row>
    <row r="5070" spans="1:52" x14ac:dyDescent="0.3">
      <c r="A5070" t="s">
        <v>52</v>
      </c>
      <c r="B5070" t="s">
        <v>53</v>
      </c>
      <c r="C5070" t="s">
        <v>54</v>
      </c>
      <c r="D5070" t="s">
        <v>55</v>
      </c>
      <c r="E5070" t="s">
        <v>2224</v>
      </c>
      <c r="F5070" t="s">
        <v>1247</v>
      </c>
      <c r="G5070" t="s">
        <v>1464</v>
      </c>
      <c r="H5070" t="s">
        <v>1465</v>
      </c>
      <c r="I5070" t="s">
        <v>1465</v>
      </c>
      <c r="J5070" t="s">
        <v>60</v>
      </c>
      <c r="K5070" t="s">
        <v>1466</v>
      </c>
      <c r="L5070" t="s">
        <v>62</v>
      </c>
      <c r="M5070" t="s">
        <v>1466</v>
      </c>
      <c r="N5070" t="s">
        <v>1467</v>
      </c>
      <c r="O5070" t="s">
        <v>145</v>
      </c>
      <c r="P5070">
        <v>-20.160509999999999</v>
      </c>
      <c r="Q5070">
        <v>-44.884123000000002</v>
      </c>
      <c r="R5070" s="2" t="str">
        <f>HYPERLINK("https://www.google.com/maps?q=-20.1605100,-44.8841230","Abrir no Google Maps")</f>
        <v>Abrir no Google Maps</v>
      </c>
      <c r="S5070">
        <v>2</v>
      </c>
      <c r="T5070">
        <v>650.04961276595373</v>
      </c>
      <c r="U5070">
        <v>3</v>
      </c>
      <c r="V5070">
        <v>0.11693548387096769</v>
      </c>
      <c r="W5070">
        <v>1</v>
      </c>
      <c r="X5070">
        <v>0.11693548387096769</v>
      </c>
      <c r="Y5070">
        <v>671</v>
      </c>
      <c r="Z5070">
        <v>591.49066685698506</v>
      </c>
      <c r="AA5070">
        <v>198</v>
      </c>
      <c r="AB5070">
        <v>332</v>
      </c>
      <c r="AC5070">
        <v>536</v>
      </c>
      <c r="AD5070">
        <v>32.42</v>
      </c>
      <c r="AE5070">
        <v>542</v>
      </c>
      <c r="AF5070">
        <v>39</v>
      </c>
      <c r="AG5070">
        <v>173</v>
      </c>
      <c r="AH5070">
        <v>129</v>
      </c>
      <c r="AI5070">
        <v>7.2</v>
      </c>
      <c r="AJ5070">
        <v>31.92</v>
      </c>
      <c r="AK5070">
        <v>23.8</v>
      </c>
      <c r="AL5070">
        <v>-20.16056479999995</v>
      </c>
      <c r="AM5070">
        <v>-44.88424978393428</v>
      </c>
      <c r="AN5070">
        <v>-20.160564799999939</v>
      </c>
      <c r="AO5070">
        <v>-44.88424978393428</v>
      </c>
      <c r="AP5070">
        <v>-20.160509999999999</v>
      </c>
      <c r="AQ5070">
        <v>-44.884123000000002</v>
      </c>
      <c r="AR5070">
        <v>14.585823463739541</v>
      </c>
      <c r="AS5070" t="s">
        <v>65</v>
      </c>
      <c r="AT5070">
        <v>1</v>
      </c>
      <c r="AU5070" t="s">
        <v>1468</v>
      </c>
      <c r="AV5070" t="s">
        <v>1469</v>
      </c>
      <c r="AW5070" t="s">
        <v>60</v>
      </c>
      <c r="AX5070" t="s">
        <v>68</v>
      </c>
      <c r="AY5070" t="s">
        <v>69</v>
      </c>
      <c r="AZ5070" t="b">
        <v>1</v>
      </c>
    </row>
    <row r="5071" spans="1:52" x14ac:dyDescent="0.3">
      <c r="A5071" t="s">
        <v>52</v>
      </c>
      <c r="B5071" t="s">
        <v>53</v>
      </c>
      <c r="C5071" t="s">
        <v>54</v>
      </c>
      <c r="D5071" t="s">
        <v>55</v>
      </c>
      <c r="E5071" t="s">
        <v>2224</v>
      </c>
      <c r="F5071" t="s">
        <v>1247</v>
      </c>
      <c r="G5071" t="s">
        <v>1490</v>
      </c>
      <c r="H5071" t="s">
        <v>1491</v>
      </c>
      <c r="I5071" t="s">
        <v>1491</v>
      </c>
      <c r="J5071" t="s">
        <v>60</v>
      </c>
      <c r="K5071" t="s">
        <v>336</v>
      </c>
      <c r="L5071" t="s">
        <v>62</v>
      </c>
      <c r="M5071" t="s">
        <v>336</v>
      </c>
      <c r="N5071" t="s">
        <v>1492</v>
      </c>
      <c r="O5071" t="s">
        <v>842</v>
      </c>
      <c r="P5071">
        <v>-20.164228999999999</v>
      </c>
      <c r="Q5071">
        <v>-44.876455999999997</v>
      </c>
      <c r="R5071" s="2" t="str">
        <f>HYPERLINK("https://www.google.com/maps?q=-20.1642290,-44.8764560","Abrir no Google Maps")</f>
        <v>Abrir no Google Maps</v>
      </c>
      <c r="S5071">
        <v>2</v>
      </c>
      <c r="T5071">
        <v>420.00990411628987</v>
      </c>
      <c r="U5071">
        <v>3</v>
      </c>
      <c r="V5071">
        <v>0.1294642857142857</v>
      </c>
      <c r="W5071">
        <v>1</v>
      </c>
      <c r="X5071">
        <v>0.1294642857142857</v>
      </c>
      <c r="Y5071">
        <v>671</v>
      </c>
      <c r="Z5071">
        <v>375.90194920648611</v>
      </c>
      <c r="AA5071">
        <v>198</v>
      </c>
      <c r="AB5071">
        <v>332</v>
      </c>
      <c r="AC5071">
        <v>536</v>
      </c>
      <c r="AD5071">
        <v>32.42</v>
      </c>
      <c r="AE5071">
        <v>542</v>
      </c>
      <c r="AF5071">
        <v>39</v>
      </c>
      <c r="AG5071">
        <v>173</v>
      </c>
      <c r="AH5071">
        <v>129</v>
      </c>
      <c r="AI5071">
        <v>7.2</v>
      </c>
      <c r="AJ5071">
        <v>31.92</v>
      </c>
      <c r="AK5071">
        <v>23.8</v>
      </c>
      <c r="AL5071">
        <v>-20.164255749999938</v>
      </c>
      <c r="AM5071">
        <v>-44.876471676086922</v>
      </c>
      <c r="AN5071">
        <v>-20.164255749999938</v>
      </c>
      <c r="AO5071">
        <v>-44.876471676086922</v>
      </c>
      <c r="AP5071">
        <v>-20.164228999999999</v>
      </c>
      <c r="AQ5071">
        <v>-44.876455999999997</v>
      </c>
      <c r="AR5071">
        <v>3.3986375813953771</v>
      </c>
      <c r="AS5071" t="s">
        <v>65</v>
      </c>
      <c r="AT5071">
        <v>1</v>
      </c>
      <c r="AU5071" t="s">
        <v>1493</v>
      </c>
      <c r="AV5071" t="s">
        <v>1494</v>
      </c>
      <c r="AW5071" t="s">
        <v>60</v>
      </c>
      <c r="AX5071" t="s">
        <v>68</v>
      </c>
      <c r="AY5071" t="s">
        <v>69</v>
      </c>
      <c r="AZ5071" t="b">
        <v>1</v>
      </c>
    </row>
    <row r="5072" spans="1:52" x14ac:dyDescent="0.3">
      <c r="A5072" t="s">
        <v>52</v>
      </c>
      <c r="B5072" t="s">
        <v>53</v>
      </c>
      <c r="C5072" t="s">
        <v>54</v>
      </c>
      <c r="D5072" t="s">
        <v>55</v>
      </c>
      <c r="E5072" t="s">
        <v>2224</v>
      </c>
      <c r="F5072" t="s">
        <v>1247</v>
      </c>
      <c r="G5072" t="s">
        <v>1495</v>
      </c>
      <c r="H5072" t="s">
        <v>1496</v>
      </c>
      <c r="I5072" t="s">
        <v>1496</v>
      </c>
      <c r="J5072" t="s">
        <v>60</v>
      </c>
      <c r="K5072" t="s">
        <v>1466</v>
      </c>
      <c r="L5072" t="s">
        <v>62</v>
      </c>
      <c r="M5072" t="s">
        <v>1466</v>
      </c>
      <c r="N5072" t="s">
        <v>1497</v>
      </c>
      <c r="O5072" t="s">
        <v>1498</v>
      </c>
      <c r="P5072">
        <v>-20.163160999999999</v>
      </c>
      <c r="Q5072">
        <v>-44.880460999999997</v>
      </c>
      <c r="R5072" s="2" t="str">
        <f>HYPERLINK("https://www.google.com/maps?q=-20.1631610,-44.8804610","Abrir no Google Maps")</f>
        <v>Abrir no Google Maps</v>
      </c>
      <c r="S5072">
        <v>2</v>
      </c>
      <c r="T5072">
        <v>372.63783804650222</v>
      </c>
      <c r="U5072">
        <v>3</v>
      </c>
      <c r="V5072">
        <v>0.1235294117647058</v>
      </c>
      <c r="W5072">
        <v>1</v>
      </c>
      <c r="X5072">
        <v>0.1235294117647058</v>
      </c>
      <c r="Y5072">
        <v>671</v>
      </c>
      <c r="Z5072">
        <v>250.43144487082299</v>
      </c>
      <c r="AA5072">
        <v>198</v>
      </c>
      <c r="AB5072">
        <v>332</v>
      </c>
      <c r="AC5072">
        <v>536</v>
      </c>
      <c r="AD5072">
        <v>32.42</v>
      </c>
      <c r="AE5072">
        <v>542</v>
      </c>
      <c r="AF5072">
        <v>39</v>
      </c>
      <c r="AG5072">
        <v>173</v>
      </c>
      <c r="AH5072">
        <v>129</v>
      </c>
      <c r="AI5072">
        <v>7.2</v>
      </c>
      <c r="AJ5072">
        <v>31.92</v>
      </c>
      <c r="AK5072">
        <v>23.8</v>
      </c>
      <c r="AL5072">
        <v>-20.163296749999969</v>
      </c>
      <c r="AM5072">
        <v>-44.88037544059182</v>
      </c>
      <c r="AN5072">
        <v>-20.163296749999969</v>
      </c>
      <c r="AO5072">
        <v>-44.88037544059182</v>
      </c>
      <c r="AP5072">
        <v>-20.163160999999999</v>
      </c>
      <c r="AQ5072">
        <v>-44.880460999999997</v>
      </c>
      <c r="AR5072">
        <v>17.558482416121191</v>
      </c>
      <c r="AS5072" t="s">
        <v>65</v>
      </c>
      <c r="AT5072">
        <v>1</v>
      </c>
      <c r="AU5072" t="s">
        <v>1499</v>
      </c>
      <c r="AV5072" t="s">
        <v>1500</v>
      </c>
      <c r="AW5072" t="s">
        <v>60</v>
      </c>
      <c r="AX5072" t="s">
        <v>68</v>
      </c>
      <c r="AY5072" t="s">
        <v>69</v>
      </c>
      <c r="AZ5072" t="b">
        <v>1</v>
      </c>
    </row>
    <row r="5073" spans="1:52" x14ac:dyDescent="0.3">
      <c r="A5073" t="s">
        <v>52</v>
      </c>
      <c r="B5073" t="s">
        <v>53</v>
      </c>
      <c r="C5073" t="s">
        <v>54</v>
      </c>
      <c r="D5073" t="s">
        <v>55</v>
      </c>
      <c r="E5073" t="s">
        <v>2224</v>
      </c>
      <c r="F5073" t="s">
        <v>1247</v>
      </c>
      <c r="G5073" t="s">
        <v>1501</v>
      </c>
      <c r="H5073" t="s">
        <v>1502</v>
      </c>
      <c r="I5073" t="s">
        <v>1502</v>
      </c>
      <c r="J5073" t="s">
        <v>60</v>
      </c>
      <c r="K5073" t="s">
        <v>1466</v>
      </c>
      <c r="L5073" t="s">
        <v>62</v>
      </c>
      <c r="M5073" t="s">
        <v>1466</v>
      </c>
      <c r="N5073" t="s">
        <v>1503</v>
      </c>
      <c r="O5073" t="s">
        <v>1504</v>
      </c>
      <c r="P5073">
        <v>-20.159618999999999</v>
      </c>
      <c r="Q5073">
        <v>-44.880065000000002</v>
      </c>
      <c r="R5073" s="2" t="str">
        <f>HYPERLINK("https://www.google.com/maps?q=-20.1596190,-44.8800650","Abrir no Google Maps")</f>
        <v>Abrir no Google Maps</v>
      </c>
      <c r="S5073">
        <v>2</v>
      </c>
      <c r="T5073">
        <v>243.9950282285559</v>
      </c>
      <c r="U5073">
        <v>3</v>
      </c>
      <c r="V5073">
        <v>0.13169642857142849</v>
      </c>
      <c r="W5073">
        <v>1</v>
      </c>
      <c r="X5073">
        <v>0.13169642857142849</v>
      </c>
      <c r="Y5073">
        <v>671</v>
      </c>
      <c r="Z5073">
        <v>265.31354384517681</v>
      </c>
      <c r="AA5073">
        <v>198</v>
      </c>
      <c r="AB5073">
        <v>332</v>
      </c>
      <c r="AC5073">
        <v>536</v>
      </c>
      <c r="AD5073">
        <v>32.42</v>
      </c>
      <c r="AE5073">
        <v>542</v>
      </c>
      <c r="AF5073">
        <v>39</v>
      </c>
      <c r="AG5073">
        <v>173</v>
      </c>
      <c r="AH5073">
        <v>129</v>
      </c>
      <c r="AI5073">
        <v>7.2</v>
      </c>
      <c r="AJ5073">
        <v>31.92</v>
      </c>
      <c r="AK5073">
        <v>23.8</v>
      </c>
      <c r="AL5073">
        <v>-20.159689949999969</v>
      </c>
      <c r="AM5073">
        <v>-44.880075072344489</v>
      </c>
      <c r="AN5073">
        <v>-20.159689949999969</v>
      </c>
      <c r="AO5073">
        <v>-44.880075072344489</v>
      </c>
      <c r="AP5073">
        <v>-20.159618999999999</v>
      </c>
      <c r="AQ5073">
        <v>-44.880065000000002</v>
      </c>
      <c r="AR5073">
        <v>7.9679809486040876</v>
      </c>
      <c r="AS5073" t="s">
        <v>65</v>
      </c>
      <c r="AT5073">
        <v>1</v>
      </c>
      <c r="AU5073" t="s">
        <v>1505</v>
      </c>
      <c r="AV5073" t="s">
        <v>1506</v>
      </c>
      <c r="AW5073" t="s">
        <v>60</v>
      </c>
      <c r="AX5073" t="s">
        <v>68</v>
      </c>
      <c r="AY5073" t="s">
        <v>69</v>
      </c>
      <c r="AZ5073" t="b">
        <v>1</v>
      </c>
    </row>
    <row r="5074" spans="1:52" x14ac:dyDescent="0.3">
      <c r="A5074" t="s">
        <v>52</v>
      </c>
      <c r="B5074" t="s">
        <v>53</v>
      </c>
      <c r="C5074" t="s">
        <v>54</v>
      </c>
      <c r="D5074" t="s">
        <v>55</v>
      </c>
      <c r="E5074" t="s">
        <v>2224</v>
      </c>
      <c r="F5074" t="s">
        <v>1247</v>
      </c>
      <c r="G5074" t="s">
        <v>1507</v>
      </c>
      <c r="H5074" t="s">
        <v>1508</v>
      </c>
      <c r="I5074" t="s">
        <v>1508</v>
      </c>
      <c r="J5074" t="s">
        <v>60</v>
      </c>
      <c r="K5074" t="s">
        <v>1466</v>
      </c>
      <c r="L5074" t="s">
        <v>62</v>
      </c>
      <c r="M5074" t="s">
        <v>1466</v>
      </c>
      <c r="N5074" t="s">
        <v>1509</v>
      </c>
      <c r="O5074" t="s">
        <v>270</v>
      </c>
      <c r="P5074">
        <v>-20.164501999999999</v>
      </c>
      <c r="Q5074">
        <v>-44.883226999999998</v>
      </c>
      <c r="R5074" s="2" t="str">
        <f>HYPERLINK("https://www.google.com/maps?q=-20.1645020,-44.8832270","Abrir no Google Maps")</f>
        <v>Abrir no Google Maps</v>
      </c>
      <c r="S5074">
        <v>2</v>
      </c>
      <c r="T5074">
        <v>691.62667420887726</v>
      </c>
      <c r="U5074">
        <v>3</v>
      </c>
      <c r="V5074">
        <v>0.119140625</v>
      </c>
      <c r="W5074">
        <v>1</v>
      </c>
      <c r="X5074">
        <v>0.119140625</v>
      </c>
      <c r="Y5074">
        <v>671</v>
      </c>
      <c r="Z5074">
        <v>591.13935302436732</v>
      </c>
      <c r="AA5074">
        <v>198</v>
      </c>
      <c r="AB5074">
        <v>332</v>
      </c>
      <c r="AC5074">
        <v>536</v>
      </c>
      <c r="AD5074">
        <v>32.42</v>
      </c>
      <c r="AE5074">
        <v>542</v>
      </c>
      <c r="AF5074">
        <v>39</v>
      </c>
      <c r="AG5074">
        <v>173</v>
      </c>
      <c r="AH5074">
        <v>129</v>
      </c>
      <c r="AI5074">
        <v>7.2</v>
      </c>
      <c r="AJ5074">
        <v>31.92</v>
      </c>
      <c r="AK5074">
        <v>23.8</v>
      </c>
      <c r="AL5074">
        <v>-20.164470149999939</v>
      </c>
      <c r="AM5074">
        <v>-44.883357321672527</v>
      </c>
      <c r="AN5074">
        <v>-20.164470149999939</v>
      </c>
      <c r="AO5074">
        <v>-44.883357321672527</v>
      </c>
      <c r="AP5074">
        <v>-20.164501999999999</v>
      </c>
      <c r="AQ5074">
        <v>-44.883226999999998</v>
      </c>
      <c r="AR5074">
        <v>14.072184947340521</v>
      </c>
      <c r="AS5074" t="s">
        <v>65</v>
      </c>
      <c r="AT5074">
        <v>1</v>
      </c>
      <c r="AU5074" t="s">
        <v>1510</v>
      </c>
      <c r="AV5074" t="s">
        <v>1511</v>
      </c>
      <c r="AW5074" t="s">
        <v>60</v>
      </c>
      <c r="AX5074" t="s">
        <v>68</v>
      </c>
      <c r="AY5074" t="s">
        <v>69</v>
      </c>
      <c r="AZ5074" t="b">
        <v>1</v>
      </c>
    </row>
    <row r="5075" spans="1:52" x14ac:dyDescent="0.3">
      <c r="A5075" t="s">
        <v>52</v>
      </c>
      <c r="B5075" t="s">
        <v>53</v>
      </c>
      <c r="C5075" t="s">
        <v>54</v>
      </c>
      <c r="D5075" t="s">
        <v>55</v>
      </c>
      <c r="E5075" t="s">
        <v>2224</v>
      </c>
      <c r="F5075" t="s">
        <v>1247</v>
      </c>
      <c r="G5075" t="s">
        <v>1554</v>
      </c>
      <c r="H5075" t="s">
        <v>1555</v>
      </c>
      <c r="I5075" t="s">
        <v>1555</v>
      </c>
      <c r="J5075" t="s">
        <v>60</v>
      </c>
      <c r="K5075" t="s">
        <v>1466</v>
      </c>
      <c r="L5075" t="s">
        <v>62</v>
      </c>
      <c r="M5075" t="s">
        <v>1466</v>
      </c>
      <c r="N5075" t="s">
        <v>1556</v>
      </c>
      <c r="O5075" t="s">
        <v>989</v>
      </c>
      <c r="P5075">
        <v>-20.160997999999999</v>
      </c>
      <c r="Q5075">
        <v>-44.878385999999999</v>
      </c>
      <c r="R5075" s="2" t="str">
        <f>HYPERLINK("https://www.google.com/maps?q=-20.1609980,-44.8783860","Abrir no Google Maps")</f>
        <v>Abrir no Google Maps</v>
      </c>
      <c r="S5075">
        <v>2</v>
      </c>
      <c r="T5075">
        <v>0</v>
      </c>
      <c r="U5075">
        <v>3</v>
      </c>
      <c r="V5075">
        <v>0.13053097345132739</v>
      </c>
      <c r="W5075">
        <v>0.85</v>
      </c>
      <c r="X5075">
        <v>0.1109513274336283</v>
      </c>
      <c r="Y5075">
        <v>671</v>
      </c>
      <c r="Z5075">
        <v>74.014802531188664</v>
      </c>
      <c r="AA5075">
        <v>198</v>
      </c>
      <c r="AB5075">
        <v>332</v>
      </c>
      <c r="AC5075">
        <v>536</v>
      </c>
      <c r="AD5075">
        <v>32.42</v>
      </c>
      <c r="AE5075">
        <v>542</v>
      </c>
      <c r="AF5075">
        <v>39</v>
      </c>
      <c r="AG5075">
        <v>173</v>
      </c>
      <c r="AH5075">
        <v>129</v>
      </c>
      <c r="AI5075">
        <v>7.2</v>
      </c>
      <c r="AJ5075">
        <v>31.92</v>
      </c>
      <c r="AK5075">
        <v>23.8</v>
      </c>
      <c r="AL5075">
        <v>-20.160758199999979</v>
      </c>
      <c r="AM5075">
        <v>-44.878032519747983</v>
      </c>
      <c r="AN5075">
        <v>-20.160758199999979</v>
      </c>
      <c r="AO5075">
        <v>-44.878032519747983</v>
      </c>
      <c r="AP5075">
        <v>-20.160997999999999</v>
      </c>
      <c r="AQ5075">
        <v>-44.878385999999999</v>
      </c>
      <c r="AR5075">
        <v>45.574638830261883</v>
      </c>
      <c r="AS5075" t="s">
        <v>65</v>
      </c>
      <c r="AT5075">
        <v>1</v>
      </c>
      <c r="AU5075" t="s">
        <v>1557</v>
      </c>
      <c r="AV5075" t="s">
        <v>1558</v>
      </c>
      <c r="AW5075" t="s">
        <v>60</v>
      </c>
      <c r="AX5075" t="s">
        <v>68</v>
      </c>
      <c r="AY5075" t="s">
        <v>69</v>
      </c>
      <c r="AZ5075" t="b">
        <v>1</v>
      </c>
    </row>
    <row r="5076" spans="1:52" x14ac:dyDescent="0.3">
      <c r="A5076" t="s">
        <v>52</v>
      </c>
      <c r="B5076" t="s">
        <v>53</v>
      </c>
      <c r="C5076" t="s">
        <v>54</v>
      </c>
      <c r="D5076" t="s">
        <v>55</v>
      </c>
      <c r="E5076" t="s">
        <v>2224</v>
      </c>
      <c r="F5076" t="s">
        <v>1247</v>
      </c>
      <c r="G5076" t="s">
        <v>1512</v>
      </c>
      <c r="H5076" t="s">
        <v>1513</v>
      </c>
      <c r="I5076" t="s">
        <v>1513</v>
      </c>
      <c r="J5076" t="s">
        <v>60</v>
      </c>
      <c r="K5076" t="s">
        <v>1302</v>
      </c>
      <c r="L5076" t="s">
        <v>62</v>
      </c>
      <c r="M5076" t="s">
        <v>1302</v>
      </c>
      <c r="N5076" t="s">
        <v>1514</v>
      </c>
      <c r="O5076" t="s">
        <v>1515</v>
      </c>
      <c r="P5076">
        <v>-20.163709000000001</v>
      </c>
      <c r="Q5076">
        <v>-44.916074999999999</v>
      </c>
      <c r="R5076" s="2" t="str">
        <f>HYPERLINK("https://www.google.com/maps?q=-20.1637090,-44.9160750","Abrir no Google Maps")</f>
        <v>Abrir no Google Maps</v>
      </c>
      <c r="S5076">
        <v>2</v>
      </c>
      <c r="T5076">
        <v>305.09593452131332</v>
      </c>
      <c r="U5076">
        <v>3</v>
      </c>
      <c r="V5076">
        <v>0.1196969696969697</v>
      </c>
      <c r="W5076">
        <v>1</v>
      </c>
      <c r="X5076">
        <v>0.1196969696969697</v>
      </c>
      <c r="Y5076">
        <v>639</v>
      </c>
      <c r="Z5076">
        <v>289.37841230131949</v>
      </c>
      <c r="AA5076">
        <v>198</v>
      </c>
      <c r="AB5076">
        <v>332</v>
      </c>
      <c r="AC5076">
        <v>536</v>
      </c>
      <c r="AD5076">
        <v>32.42</v>
      </c>
      <c r="AE5076">
        <v>542</v>
      </c>
      <c r="AF5076">
        <v>39</v>
      </c>
      <c r="AG5076">
        <v>173</v>
      </c>
      <c r="AH5076">
        <v>129</v>
      </c>
      <c r="AI5076">
        <v>7.2</v>
      </c>
      <c r="AJ5076">
        <v>31.92</v>
      </c>
      <c r="AK5076">
        <v>23.8</v>
      </c>
      <c r="AL5076">
        <v>-20.163666449999969</v>
      </c>
      <c r="AM5076">
        <v>-44.916102906827042</v>
      </c>
      <c r="AN5076">
        <v>-20.163666449999969</v>
      </c>
      <c r="AO5076">
        <v>-44.916102906827042</v>
      </c>
      <c r="AP5076">
        <v>-20.163709000000001</v>
      </c>
      <c r="AQ5076">
        <v>-44.916074999999999</v>
      </c>
      <c r="AR5076">
        <v>5.5623892025550603</v>
      </c>
      <c r="AS5076" t="s">
        <v>65</v>
      </c>
      <c r="AT5076">
        <v>1</v>
      </c>
      <c r="AU5076" t="s">
        <v>1516</v>
      </c>
      <c r="AV5076" t="s">
        <v>1517</v>
      </c>
      <c r="AW5076" t="s">
        <v>60</v>
      </c>
      <c r="AX5076" t="s">
        <v>68</v>
      </c>
      <c r="AY5076" t="s">
        <v>69</v>
      </c>
      <c r="AZ5076" t="b">
        <v>1</v>
      </c>
    </row>
    <row r="5077" spans="1:52" x14ac:dyDescent="0.3">
      <c r="A5077" t="s">
        <v>52</v>
      </c>
      <c r="B5077" t="s">
        <v>53</v>
      </c>
      <c r="C5077" t="s">
        <v>54</v>
      </c>
      <c r="D5077" t="s">
        <v>55</v>
      </c>
      <c r="E5077" t="s">
        <v>2224</v>
      </c>
      <c r="F5077" t="s">
        <v>1247</v>
      </c>
      <c r="G5077" t="s">
        <v>1127</v>
      </c>
      <c r="H5077" t="s">
        <v>1455</v>
      </c>
      <c r="I5077" t="s">
        <v>1455</v>
      </c>
      <c r="J5077" t="s">
        <v>60</v>
      </c>
      <c r="K5077" t="s">
        <v>431</v>
      </c>
      <c r="L5077" t="s">
        <v>62</v>
      </c>
      <c r="M5077" t="s">
        <v>431</v>
      </c>
      <c r="N5077" t="s">
        <v>1456</v>
      </c>
      <c r="O5077" t="s">
        <v>1001</v>
      </c>
      <c r="P5077">
        <v>-20.168237999999999</v>
      </c>
      <c r="Q5077">
        <v>-44.924250999999998</v>
      </c>
      <c r="R5077" s="2" t="str">
        <f>HYPERLINK("https://www.google.com/maps?q=-20.1682380,-44.9242510","Abrir no Google Maps")</f>
        <v>Abrir no Google Maps</v>
      </c>
      <c r="S5077">
        <v>2</v>
      </c>
      <c r="T5077">
        <v>1220.188820430971</v>
      </c>
      <c r="U5077">
        <v>2</v>
      </c>
      <c r="V5077">
        <v>0.1212121212121212</v>
      </c>
      <c r="W5077">
        <v>0.85</v>
      </c>
      <c r="X5077">
        <v>0.103030303030303</v>
      </c>
      <c r="Y5077">
        <v>723</v>
      </c>
      <c r="Z5077">
        <v>1092.4377883150901</v>
      </c>
      <c r="AA5077">
        <v>198</v>
      </c>
      <c r="AB5077">
        <v>332</v>
      </c>
      <c r="AC5077">
        <v>536</v>
      </c>
      <c r="AD5077">
        <v>32.42</v>
      </c>
      <c r="AE5077">
        <v>542</v>
      </c>
      <c r="AF5077">
        <v>39</v>
      </c>
      <c r="AG5077">
        <v>173</v>
      </c>
      <c r="AH5077">
        <v>129</v>
      </c>
      <c r="AI5077">
        <v>7.2</v>
      </c>
      <c r="AJ5077">
        <v>31.92</v>
      </c>
      <c r="AK5077">
        <v>23.8</v>
      </c>
      <c r="AL5077">
        <v>-20.168394999999951</v>
      </c>
      <c r="AM5077">
        <v>-44.923548168580673</v>
      </c>
      <c r="AN5077">
        <v>-20.168394999999951</v>
      </c>
      <c r="AO5077">
        <v>-44.923548168580673</v>
      </c>
      <c r="AP5077">
        <v>-20.168237999999999</v>
      </c>
      <c r="AQ5077">
        <v>-44.924250999999998</v>
      </c>
      <c r="AR5077">
        <v>75.492755104934275</v>
      </c>
      <c r="AS5077" t="s">
        <v>65</v>
      </c>
      <c r="AT5077">
        <v>1</v>
      </c>
      <c r="AU5077" t="s">
        <v>1457</v>
      </c>
      <c r="AV5077" t="s">
        <v>1458</v>
      </c>
      <c r="AW5077" t="s">
        <v>60</v>
      </c>
      <c r="AX5077" t="s">
        <v>68</v>
      </c>
      <c r="AY5077" t="s">
        <v>69</v>
      </c>
      <c r="AZ5077" t="b">
        <v>1</v>
      </c>
    </row>
    <row r="5078" spans="1:52" x14ac:dyDescent="0.3">
      <c r="A5078" t="s">
        <v>52</v>
      </c>
      <c r="B5078" t="s">
        <v>53</v>
      </c>
      <c r="C5078" t="s">
        <v>54</v>
      </c>
      <c r="D5078" t="s">
        <v>55</v>
      </c>
      <c r="E5078" t="s">
        <v>2224</v>
      </c>
      <c r="F5078" t="s">
        <v>1247</v>
      </c>
      <c r="G5078" t="s">
        <v>1459</v>
      </c>
      <c r="H5078" t="s">
        <v>1460</v>
      </c>
      <c r="I5078" t="s">
        <v>1460</v>
      </c>
      <c r="J5078" t="s">
        <v>60</v>
      </c>
      <c r="K5078" t="s">
        <v>431</v>
      </c>
      <c r="L5078" t="s">
        <v>62</v>
      </c>
      <c r="M5078" t="s">
        <v>431</v>
      </c>
      <c r="N5078" t="s">
        <v>1461</v>
      </c>
      <c r="O5078" t="s">
        <v>1462</v>
      </c>
      <c r="P5078">
        <v>-20.170182</v>
      </c>
      <c r="Q5078">
        <v>-44.922556999999998</v>
      </c>
      <c r="R5078" s="2" t="str">
        <f>HYPERLINK("https://www.google.com/maps?q=-20.1701820,-44.9225570","Abrir no Google Maps")</f>
        <v>Abrir no Google Maps</v>
      </c>
      <c r="S5078">
        <v>2</v>
      </c>
      <c r="T5078">
        <v>1189.3885679843149</v>
      </c>
      <c r="U5078">
        <v>2</v>
      </c>
      <c r="V5078">
        <v>0.1167664670658682</v>
      </c>
      <c r="W5078">
        <v>0.85</v>
      </c>
      <c r="X5078">
        <v>9.9251497005987968E-2</v>
      </c>
      <c r="Y5078">
        <v>723</v>
      </c>
      <c r="Z5078">
        <v>961.89164604479117</v>
      </c>
      <c r="AA5078">
        <v>198</v>
      </c>
      <c r="AB5078">
        <v>332</v>
      </c>
      <c r="AC5078">
        <v>536</v>
      </c>
      <c r="AD5078">
        <v>32.42</v>
      </c>
      <c r="AE5078">
        <v>542</v>
      </c>
      <c r="AF5078">
        <v>39</v>
      </c>
      <c r="AG5078">
        <v>173</v>
      </c>
      <c r="AH5078">
        <v>129</v>
      </c>
      <c r="AI5078">
        <v>7.2</v>
      </c>
      <c r="AJ5078">
        <v>31.92</v>
      </c>
      <c r="AK5078">
        <v>23.8</v>
      </c>
      <c r="AL5078">
        <v>-20.169385449999961</v>
      </c>
      <c r="AM5078">
        <v>-44.922107101898007</v>
      </c>
      <c r="AN5078">
        <v>-20.169385449999961</v>
      </c>
      <c r="AO5078">
        <v>-44.922107101898007</v>
      </c>
      <c r="AP5078">
        <v>-20.170182</v>
      </c>
      <c r="AQ5078">
        <v>-44.922556999999998</v>
      </c>
      <c r="AR5078">
        <v>100.36329580049031</v>
      </c>
      <c r="AS5078" t="s">
        <v>65</v>
      </c>
      <c r="AT5078">
        <v>1</v>
      </c>
      <c r="AU5078" t="s">
        <v>1463</v>
      </c>
      <c r="AV5078" t="s">
        <v>1458</v>
      </c>
      <c r="AW5078" t="s">
        <v>60</v>
      </c>
      <c r="AX5078" t="s">
        <v>68</v>
      </c>
      <c r="AY5078" t="s">
        <v>69</v>
      </c>
      <c r="AZ5078" t="b">
        <v>1</v>
      </c>
    </row>
    <row r="5079" spans="1:52" x14ac:dyDescent="0.3">
      <c r="A5079" t="s">
        <v>52</v>
      </c>
      <c r="B5079" t="s">
        <v>53</v>
      </c>
      <c r="C5079" t="s">
        <v>54</v>
      </c>
      <c r="D5079" t="s">
        <v>55</v>
      </c>
      <c r="E5079" t="s">
        <v>2224</v>
      </c>
      <c r="F5079" t="s">
        <v>1247</v>
      </c>
      <c r="G5079" t="s">
        <v>1529</v>
      </c>
      <c r="H5079" t="s">
        <v>1530</v>
      </c>
      <c r="I5079" t="s">
        <v>1530</v>
      </c>
      <c r="J5079" t="s">
        <v>60</v>
      </c>
      <c r="K5079" t="s">
        <v>1466</v>
      </c>
      <c r="L5079" t="s">
        <v>62</v>
      </c>
      <c r="M5079" t="s">
        <v>1466</v>
      </c>
      <c r="N5079" t="s">
        <v>1531</v>
      </c>
      <c r="O5079" t="s">
        <v>145</v>
      </c>
      <c r="P5079">
        <v>-20.162952000000001</v>
      </c>
      <c r="Q5079">
        <v>-44.877612999999997</v>
      </c>
      <c r="R5079" s="2" t="str">
        <f>HYPERLINK("https://www.google.com/maps?q=-20.1629520,-44.8776130","Abrir no Google Maps")</f>
        <v>Abrir no Google Maps</v>
      </c>
      <c r="S5079">
        <v>2</v>
      </c>
      <c r="T5079">
        <v>229.91388913695721</v>
      </c>
      <c r="U5079">
        <v>2</v>
      </c>
      <c r="V5079">
        <v>0.115530303030303</v>
      </c>
      <c r="W5079">
        <v>0.85</v>
      </c>
      <c r="X5079">
        <v>9.8200757575757538E-2</v>
      </c>
      <c r="Y5079">
        <v>671</v>
      </c>
      <c r="Z5079">
        <v>157.6775523644973</v>
      </c>
      <c r="AA5079">
        <v>198</v>
      </c>
      <c r="AB5079">
        <v>332</v>
      </c>
      <c r="AC5079">
        <v>536</v>
      </c>
      <c r="AD5079">
        <v>32.42</v>
      </c>
      <c r="AE5079">
        <v>542</v>
      </c>
      <c r="AF5079">
        <v>39</v>
      </c>
      <c r="AG5079">
        <v>173</v>
      </c>
      <c r="AH5079">
        <v>129</v>
      </c>
      <c r="AI5079">
        <v>7.2</v>
      </c>
      <c r="AJ5079">
        <v>31.92</v>
      </c>
      <c r="AK5079">
        <v>23.8</v>
      </c>
      <c r="AL5079">
        <v>-20.16278829999996</v>
      </c>
      <c r="AM5079">
        <v>-44.877564655204168</v>
      </c>
      <c r="AN5079">
        <v>-20.16278829999996</v>
      </c>
      <c r="AO5079">
        <v>-44.877564655204168</v>
      </c>
      <c r="AP5079">
        <v>-20.162952000000001</v>
      </c>
      <c r="AQ5079">
        <v>-44.877612999999997</v>
      </c>
      <c r="AR5079">
        <v>18.91038935762678</v>
      </c>
      <c r="AS5079" t="s">
        <v>65</v>
      </c>
      <c r="AT5079">
        <v>1</v>
      </c>
      <c r="AU5079" t="s">
        <v>1532</v>
      </c>
      <c r="AV5079" t="s">
        <v>1533</v>
      </c>
      <c r="AW5079" t="s">
        <v>60</v>
      </c>
      <c r="AX5079" t="s">
        <v>68</v>
      </c>
      <c r="AY5079" t="s">
        <v>69</v>
      </c>
      <c r="AZ5079" t="b">
        <v>1</v>
      </c>
    </row>
    <row r="5080" spans="1:52" x14ac:dyDescent="0.3">
      <c r="A5080" t="s">
        <v>52</v>
      </c>
      <c r="B5080" t="s">
        <v>53</v>
      </c>
      <c r="C5080" t="s">
        <v>54</v>
      </c>
      <c r="D5080" t="s">
        <v>55</v>
      </c>
      <c r="E5080" t="s">
        <v>2224</v>
      </c>
      <c r="F5080" t="s">
        <v>1247</v>
      </c>
      <c r="G5080" t="s">
        <v>1333</v>
      </c>
      <c r="H5080" t="s">
        <v>1470</v>
      </c>
      <c r="I5080" t="s">
        <v>1470</v>
      </c>
      <c r="J5080" t="s">
        <v>60</v>
      </c>
      <c r="K5080" t="s">
        <v>437</v>
      </c>
      <c r="L5080" t="s">
        <v>62</v>
      </c>
      <c r="M5080" t="s">
        <v>437</v>
      </c>
      <c r="N5080" t="s">
        <v>1335</v>
      </c>
      <c r="O5080" t="s">
        <v>900</v>
      </c>
      <c r="P5080">
        <v>-20.147047000000001</v>
      </c>
      <c r="Q5080">
        <v>-44.883921999999998</v>
      </c>
      <c r="R5080" s="2" t="str">
        <f>HYPERLINK("https://www.google.com/maps?q=-20.1470470,-44.8839220","Abrir no Google Maps")</f>
        <v>Abrir no Google Maps</v>
      </c>
      <c r="S5080">
        <v>2</v>
      </c>
      <c r="T5080">
        <v>296.4098018832658</v>
      </c>
      <c r="U5080">
        <v>2</v>
      </c>
      <c r="V5080">
        <v>9.6813725490195998E-2</v>
      </c>
      <c r="W5080">
        <v>1</v>
      </c>
      <c r="X5080">
        <v>9.6813725490195998E-2</v>
      </c>
      <c r="Y5080">
        <v>653</v>
      </c>
      <c r="Z5080">
        <v>299.72271006042178</v>
      </c>
      <c r="AA5080">
        <v>198</v>
      </c>
      <c r="AB5080">
        <v>332</v>
      </c>
      <c r="AC5080">
        <v>536</v>
      </c>
      <c r="AD5080">
        <v>32.42</v>
      </c>
      <c r="AE5080">
        <v>542</v>
      </c>
      <c r="AF5080">
        <v>39</v>
      </c>
      <c r="AG5080">
        <v>173</v>
      </c>
      <c r="AH5080">
        <v>129</v>
      </c>
      <c r="AI5080">
        <v>7.2</v>
      </c>
      <c r="AJ5080">
        <v>31.92</v>
      </c>
      <c r="AK5080">
        <v>23.8</v>
      </c>
      <c r="AL5080">
        <v>-20.147074949999929</v>
      </c>
      <c r="AM5080">
        <v>-44.883796511502347</v>
      </c>
      <c r="AN5080">
        <v>-20.147074949999929</v>
      </c>
      <c r="AO5080">
        <v>-44.883796511502347</v>
      </c>
      <c r="AP5080">
        <v>-20.147047000000001</v>
      </c>
      <c r="AQ5080">
        <v>-44.883921999999998</v>
      </c>
      <c r="AR5080">
        <v>13.47864632994</v>
      </c>
      <c r="AS5080" t="s">
        <v>65</v>
      </c>
      <c r="AT5080">
        <v>1</v>
      </c>
      <c r="AU5080" t="s">
        <v>1471</v>
      </c>
      <c r="AV5080" t="s">
        <v>1472</v>
      </c>
      <c r="AW5080" t="s">
        <v>60</v>
      </c>
      <c r="AX5080" t="s">
        <v>68</v>
      </c>
      <c r="AY5080" t="s">
        <v>69</v>
      </c>
      <c r="AZ5080" t="b">
        <v>1</v>
      </c>
    </row>
    <row r="5081" spans="1:52" x14ac:dyDescent="0.3">
      <c r="A5081" t="s">
        <v>52</v>
      </c>
      <c r="B5081" t="s">
        <v>53</v>
      </c>
      <c r="C5081" t="s">
        <v>54</v>
      </c>
      <c r="D5081" t="s">
        <v>55</v>
      </c>
      <c r="E5081" t="s">
        <v>2224</v>
      </c>
      <c r="F5081" t="s">
        <v>1247</v>
      </c>
      <c r="G5081" t="s">
        <v>1473</v>
      </c>
      <c r="H5081" t="s">
        <v>1474</v>
      </c>
      <c r="I5081" t="s">
        <v>1474</v>
      </c>
      <c r="J5081" t="s">
        <v>60</v>
      </c>
      <c r="K5081" t="s">
        <v>1302</v>
      </c>
      <c r="L5081" t="s">
        <v>62</v>
      </c>
      <c r="M5081" t="s">
        <v>1302</v>
      </c>
      <c r="N5081" t="s">
        <v>1475</v>
      </c>
      <c r="O5081" t="s">
        <v>1476</v>
      </c>
      <c r="P5081">
        <v>-20.161372</v>
      </c>
      <c r="Q5081">
        <v>-44.914636999999999</v>
      </c>
      <c r="R5081" s="2" t="str">
        <f>HYPERLINK("https://www.google.com/maps?q=-20.1613720,-44.9146370","Abrir no Google Maps")</f>
        <v>Abrir no Google Maps</v>
      </c>
      <c r="S5081">
        <v>2</v>
      </c>
      <c r="T5081">
        <v>0</v>
      </c>
      <c r="U5081">
        <v>2</v>
      </c>
      <c r="V5081">
        <v>9.0909090909090898E-2</v>
      </c>
      <c r="W5081">
        <v>1</v>
      </c>
      <c r="X5081">
        <v>9.0909090909090898E-2</v>
      </c>
      <c r="Y5081">
        <v>639</v>
      </c>
      <c r="Z5081">
        <v>81.742669907651447</v>
      </c>
      <c r="AA5081">
        <v>198</v>
      </c>
      <c r="AB5081">
        <v>332</v>
      </c>
      <c r="AC5081">
        <v>536</v>
      </c>
      <c r="AD5081">
        <v>32.42</v>
      </c>
      <c r="AE5081">
        <v>542</v>
      </c>
      <c r="AF5081">
        <v>39</v>
      </c>
      <c r="AG5081">
        <v>173</v>
      </c>
      <c r="AH5081">
        <v>129</v>
      </c>
      <c r="AI5081">
        <v>7.2</v>
      </c>
      <c r="AJ5081">
        <v>31.92</v>
      </c>
      <c r="AK5081">
        <v>23.8</v>
      </c>
      <c r="AL5081">
        <v>-20.161294499999961</v>
      </c>
      <c r="AM5081">
        <v>-44.914614684493202</v>
      </c>
      <c r="AN5081">
        <v>-20.161294499999961</v>
      </c>
      <c r="AO5081">
        <v>-44.914614684493202</v>
      </c>
      <c r="AP5081">
        <v>-20.161372</v>
      </c>
      <c r="AQ5081">
        <v>-44.914636999999999</v>
      </c>
      <c r="AR5081">
        <v>8.9369058443944862</v>
      </c>
      <c r="AS5081" t="s">
        <v>65</v>
      </c>
      <c r="AT5081">
        <v>1</v>
      </c>
      <c r="AU5081" t="s">
        <v>1477</v>
      </c>
      <c r="AV5081" t="s">
        <v>1478</v>
      </c>
      <c r="AW5081" t="s">
        <v>60</v>
      </c>
      <c r="AX5081" t="s">
        <v>68</v>
      </c>
      <c r="AY5081" t="s">
        <v>69</v>
      </c>
      <c r="AZ5081" t="b">
        <v>1</v>
      </c>
    </row>
    <row r="5082" spans="1:52" x14ac:dyDescent="0.3">
      <c r="A5082" t="s">
        <v>52</v>
      </c>
      <c r="B5082" t="s">
        <v>53</v>
      </c>
      <c r="C5082" t="s">
        <v>54</v>
      </c>
      <c r="D5082" t="s">
        <v>55</v>
      </c>
      <c r="E5082" t="s">
        <v>2224</v>
      </c>
      <c r="F5082" t="s">
        <v>1247</v>
      </c>
      <c r="G5082" t="s">
        <v>1534</v>
      </c>
      <c r="H5082" t="s">
        <v>1535</v>
      </c>
      <c r="I5082" t="s">
        <v>1535</v>
      </c>
      <c r="J5082" t="s">
        <v>60</v>
      </c>
      <c r="K5082" t="s">
        <v>1536</v>
      </c>
      <c r="L5082" t="s">
        <v>62</v>
      </c>
      <c r="M5082" t="s">
        <v>1536</v>
      </c>
      <c r="N5082" t="s">
        <v>1537</v>
      </c>
      <c r="O5082" t="s">
        <v>1538</v>
      </c>
      <c r="P5082">
        <v>-20.164618999999998</v>
      </c>
      <c r="Q5082">
        <v>-44.921776999999999</v>
      </c>
      <c r="R5082" s="2" t="str">
        <f>HYPERLINK("https://www.google.com/maps?q=-20.1646190,-44.9217770","Abrir no Google Maps")</f>
        <v>Abrir no Google Maps</v>
      </c>
      <c r="S5082">
        <v>2</v>
      </c>
      <c r="T5082">
        <v>835.70698013544222</v>
      </c>
      <c r="U5082">
        <v>2</v>
      </c>
      <c r="V5082">
        <v>0.1044407894736842</v>
      </c>
      <c r="W5082">
        <v>0.85</v>
      </c>
      <c r="X5082">
        <v>8.8774671052631565E-2</v>
      </c>
      <c r="Y5082">
        <v>639</v>
      </c>
      <c r="Z5082">
        <v>821.59880323911125</v>
      </c>
      <c r="AA5082">
        <v>198</v>
      </c>
      <c r="AB5082">
        <v>332</v>
      </c>
      <c r="AC5082">
        <v>536</v>
      </c>
      <c r="AD5082">
        <v>32.42</v>
      </c>
      <c r="AE5082">
        <v>542</v>
      </c>
      <c r="AF5082">
        <v>39</v>
      </c>
      <c r="AG5082">
        <v>173</v>
      </c>
      <c r="AH5082">
        <v>129</v>
      </c>
      <c r="AI5082">
        <v>7.2</v>
      </c>
      <c r="AJ5082">
        <v>31.92</v>
      </c>
      <c r="AK5082">
        <v>23.8</v>
      </c>
      <c r="AL5082">
        <v>-20.164312499999969</v>
      </c>
      <c r="AM5082">
        <v>-44.921945691824099</v>
      </c>
      <c r="AN5082">
        <v>-20.164312499999969</v>
      </c>
      <c r="AO5082">
        <v>-44.921945691824099</v>
      </c>
      <c r="AP5082">
        <v>-20.164618999999998</v>
      </c>
      <c r="AQ5082">
        <v>-44.921776999999999</v>
      </c>
      <c r="AR5082">
        <v>38.404224975746608</v>
      </c>
      <c r="AS5082" t="s">
        <v>65</v>
      </c>
      <c r="AT5082">
        <v>1</v>
      </c>
      <c r="AU5082" t="s">
        <v>1539</v>
      </c>
      <c r="AV5082" t="s">
        <v>1540</v>
      </c>
      <c r="AW5082" t="s">
        <v>60</v>
      </c>
      <c r="AX5082" t="s">
        <v>68</v>
      </c>
      <c r="AY5082" t="s">
        <v>69</v>
      </c>
      <c r="AZ5082" t="b">
        <v>1</v>
      </c>
    </row>
    <row r="5083" spans="1:52" x14ac:dyDescent="0.3">
      <c r="A5083" t="s">
        <v>52</v>
      </c>
      <c r="B5083" t="s">
        <v>53</v>
      </c>
      <c r="C5083" t="s">
        <v>54</v>
      </c>
      <c r="D5083" t="s">
        <v>55</v>
      </c>
      <c r="E5083" t="s">
        <v>2224</v>
      </c>
      <c r="F5083" t="s">
        <v>1247</v>
      </c>
      <c r="G5083" t="s">
        <v>1479</v>
      </c>
      <c r="H5083" t="s">
        <v>1480</v>
      </c>
      <c r="I5083" t="s">
        <v>1480</v>
      </c>
      <c r="J5083" t="s">
        <v>60</v>
      </c>
      <c r="K5083" t="s">
        <v>1302</v>
      </c>
      <c r="L5083" t="s">
        <v>62</v>
      </c>
      <c r="M5083" t="s">
        <v>1302</v>
      </c>
      <c r="N5083" t="s">
        <v>1481</v>
      </c>
      <c r="O5083" t="s">
        <v>1482</v>
      </c>
      <c r="P5083">
        <v>-20.164655</v>
      </c>
      <c r="Q5083">
        <v>-44.912697000000001</v>
      </c>
      <c r="R5083" s="2" t="str">
        <f>HYPERLINK("https://www.google.com/maps?q=-20.1646550,-44.9126970","Abrir no Google Maps")</f>
        <v>Abrir no Google Maps</v>
      </c>
      <c r="S5083">
        <v>2</v>
      </c>
      <c r="T5083">
        <v>441.50274004930441</v>
      </c>
      <c r="U5083">
        <v>1</v>
      </c>
      <c r="V5083">
        <v>8.6700336700336694E-2</v>
      </c>
      <c r="W5083">
        <v>1</v>
      </c>
      <c r="X5083">
        <v>8.6700336700336694E-2</v>
      </c>
      <c r="Y5083">
        <v>639</v>
      </c>
      <c r="Z5083">
        <v>311.03317029936522</v>
      </c>
      <c r="AA5083">
        <v>198</v>
      </c>
      <c r="AB5083">
        <v>332</v>
      </c>
      <c r="AC5083">
        <v>536</v>
      </c>
      <c r="AD5083">
        <v>32.42</v>
      </c>
      <c r="AE5083">
        <v>542</v>
      </c>
      <c r="AF5083">
        <v>39</v>
      </c>
      <c r="AG5083">
        <v>173</v>
      </c>
      <c r="AH5083">
        <v>129</v>
      </c>
      <c r="AI5083">
        <v>7.2</v>
      </c>
      <c r="AJ5083">
        <v>31.92</v>
      </c>
      <c r="AK5083">
        <v>23.8</v>
      </c>
      <c r="AL5083">
        <v>-20.164702999999971</v>
      </c>
      <c r="AM5083">
        <v>-44.912418857911163</v>
      </c>
      <c r="AN5083">
        <v>-20.164702999999971</v>
      </c>
      <c r="AO5083">
        <v>-44.912418857911163</v>
      </c>
      <c r="AP5083">
        <v>-20.164655</v>
      </c>
      <c r="AQ5083">
        <v>-44.912697000000001</v>
      </c>
      <c r="AR5083">
        <v>29.552017409892429</v>
      </c>
      <c r="AS5083" t="s">
        <v>65</v>
      </c>
      <c r="AT5083">
        <v>1</v>
      </c>
      <c r="AU5083" t="s">
        <v>1483</v>
      </c>
      <c r="AV5083" t="s">
        <v>1484</v>
      </c>
      <c r="AW5083" t="s">
        <v>60</v>
      </c>
      <c r="AX5083" t="s">
        <v>68</v>
      </c>
      <c r="AY5083" t="s">
        <v>69</v>
      </c>
      <c r="AZ5083" t="b">
        <v>1</v>
      </c>
    </row>
    <row r="5084" spans="1:52" x14ac:dyDescent="0.3">
      <c r="A5084" t="s">
        <v>52</v>
      </c>
      <c r="B5084" t="s">
        <v>53</v>
      </c>
      <c r="C5084" t="s">
        <v>54</v>
      </c>
      <c r="D5084" t="s">
        <v>55</v>
      </c>
      <c r="E5084" t="s">
        <v>2224</v>
      </c>
      <c r="F5084" t="s">
        <v>1247</v>
      </c>
      <c r="G5084" t="s">
        <v>1518</v>
      </c>
      <c r="H5084" t="s">
        <v>1519</v>
      </c>
      <c r="I5084" t="s">
        <v>1519</v>
      </c>
      <c r="J5084" t="s">
        <v>60</v>
      </c>
      <c r="K5084" t="s">
        <v>1302</v>
      </c>
      <c r="L5084" t="s">
        <v>62</v>
      </c>
      <c r="M5084" t="s">
        <v>1302</v>
      </c>
      <c r="N5084" t="s">
        <v>1520</v>
      </c>
      <c r="O5084" t="s">
        <v>1521</v>
      </c>
      <c r="P5084">
        <v>-20.16263</v>
      </c>
      <c r="Q5084">
        <v>-44.910342999999997</v>
      </c>
      <c r="R5084" s="2" t="str">
        <f>HYPERLINK("https://www.google.com/maps?q=-20.1626300,-44.9103430","Abrir no Google Maps")</f>
        <v>Abrir no Google Maps</v>
      </c>
      <c r="S5084">
        <v>2</v>
      </c>
      <c r="T5084">
        <v>492.63980270666781</v>
      </c>
      <c r="U5084">
        <v>1</v>
      </c>
      <c r="V5084">
        <v>8.0612244897959096E-2</v>
      </c>
      <c r="W5084">
        <v>1</v>
      </c>
      <c r="X5084">
        <v>8.0612244897959096E-2</v>
      </c>
      <c r="Y5084">
        <v>639</v>
      </c>
      <c r="Z5084">
        <v>412.49960371731271</v>
      </c>
      <c r="AA5084">
        <v>198</v>
      </c>
      <c r="AB5084">
        <v>332</v>
      </c>
      <c r="AC5084">
        <v>536</v>
      </c>
      <c r="AD5084">
        <v>32.42</v>
      </c>
      <c r="AE5084">
        <v>542</v>
      </c>
      <c r="AF5084">
        <v>39</v>
      </c>
      <c r="AG5084">
        <v>173</v>
      </c>
      <c r="AH5084">
        <v>129</v>
      </c>
      <c r="AI5084">
        <v>7.2</v>
      </c>
      <c r="AJ5084">
        <v>31.92</v>
      </c>
      <c r="AK5084">
        <v>23.8</v>
      </c>
      <c r="AL5084">
        <v>-20.162579949999952</v>
      </c>
      <c r="AM5084">
        <v>-44.910101148008863</v>
      </c>
      <c r="AN5084">
        <v>-20.162579949999952</v>
      </c>
      <c r="AO5084">
        <v>-44.910101148008863</v>
      </c>
      <c r="AP5084">
        <v>-20.16263</v>
      </c>
      <c r="AQ5084">
        <v>-44.910342999999997</v>
      </c>
      <c r="AR5084">
        <v>25.879932474893501</v>
      </c>
      <c r="AS5084" t="s">
        <v>65</v>
      </c>
      <c r="AT5084">
        <v>1</v>
      </c>
      <c r="AU5084" t="s">
        <v>1522</v>
      </c>
      <c r="AV5084" t="s">
        <v>1523</v>
      </c>
      <c r="AW5084" t="s">
        <v>60</v>
      </c>
      <c r="AX5084" t="s">
        <v>68</v>
      </c>
      <c r="AY5084" t="s">
        <v>69</v>
      </c>
      <c r="AZ5084" t="b">
        <v>1</v>
      </c>
    </row>
    <row r="5085" spans="1:52" x14ac:dyDescent="0.3">
      <c r="A5085" t="s">
        <v>52</v>
      </c>
      <c r="B5085" t="s">
        <v>53</v>
      </c>
      <c r="C5085" t="s">
        <v>54</v>
      </c>
      <c r="D5085" t="s">
        <v>55</v>
      </c>
      <c r="E5085" t="s">
        <v>2224</v>
      </c>
      <c r="F5085" t="s">
        <v>1247</v>
      </c>
      <c r="G5085" t="s">
        <v>1524</v>
      </c>
      <c r="H5085" t="s">
        <v>1525</v>
      </c>
      <c r="I5085" t="s">
        <v>1525</v>
      </c>
      <c r="J5085" t="s">
        <v>60</v>
      </c>
      <c r="K5085" t="s">
        <v>1302</v>
      </c>
      <c r="L5085" t="s">
        <v>62</v>
      </c>
      <c r="M5085" t="s">
        <v>1302</v>
      </c>
      <c r="N5085" t="s">
        <v>1526</v>
      </c>
      <c r="O5085" t="s">
        <v>303</v>
      </c>
      <c r="P5085">
        <v>-20.159873000000001</v>
      </c>
      <c r="Q5085">
        <v>-44.911431999999998</v>
      </c>
      <c r="R5085" s="2" t="str">
        <f>HYPERLINK("https://www.google.com/maps?q=-20.1598730,-44.9114320","Abrir no Google Maps")</f>
        <v>Abrir no Google Maps</v>
      </c>
      <c r="S5085">
        <v>2</v>
      </c>
      <c r="T5085">
        <v>359.34785817593553</v>
      </c>
      <c r="U5085">
        <v>1</v>
      </c>
      <c r="V5085">
        <v>8.2579185520362003E-2</v>
      </c>
      <c r="W5085">
        <v>1</v>
      </c>
      <c r="X5085">
        <v>8.2579185520362003E-2</v>
      </c>
      <c r="Y5085">
        <v>639</v>
      </c>
      <c r="Z5085">
        <v>388.13505700247691</v>
      </c>
      <c r="AA5085">
        <v>198</v>
      </c>
      <c r="AB5085">
        <v>332</v>
      </c>
      <c r="AC5085">
        <v>536</v>
      </c>
      <c r="AD5085">
        <v>32.42</v>
      </c>
      <c r="AE5085">
        <v>542</v>
      </c>
      <c r="AF5085">
        <v>39</v>
      </c>
      <c r="AG5085">
        <v>173</v>
      </c>
      <c r="AH5085">
        <v>129</v>
      </c>
      <c r="AI5085">
        <v>7.2</v>
      </c>
      <c r="AJ5085">
        <v>31.92</v>
      </c>
      <c r="AK5085">
        <v>23.8</v>
      </c>
      <c r="AL5085">
        <v>-20.159583599999969</v>
      </c>
      <c r="AM5085">
        <v>-44.911691929105316</v>
      </c>
      <c r="AN5085">
        <v>-20.159583599999969</v>
      </c>
      <c r="AO5085">
        <v>-44.911691929105316</v>
      </c>
      <c r="AP5085">
        <v>-20.159873000000001</v>
      </c>
      <c r="AQ5085">
        <v>-44.911431999999998</v>
      </c>
      <c r="AR5085">
        <v>42.138811218570019</v>
      </c>
      <c r="AS5085" t="s">
        <v>65</v>
      </c>
      <c r="AT5085">
        <v>1</v>
      </c>
      <c r="AU5085" t="s">
        <v>1527</v>
      </c>
      <c r="AV5085" t="s">
        <v>1528</v>
      </c>
      <c r="AW5085" t="s">
        <v>60</v>
      </c>
      <c r="AX5085" t="s">
        <v>68</v>
      </c>
      <c r="AY5085" t="s">
        <v>69</v>
      </c>
      <c r="AZ5085" t="b">
        <v>1</v>
      </c>
    </row>
    <row r="5086" spans="1:52" x14ac:dyDescent="0.3">
      <c r="A5086" t="s">
        <v>52</v>
      </c>
      <c r="B5086" t="s">
        <v>53</v>
      </c>
      <c r="C5086" t="s">
        <v>54</v>
      </c>
      <c r="D5086" t="s">
        <v>55</v>
      </c>
      <c r="E5086" t="s">
        <v>2224</v>
      </c>
      <c r="F5086" t="s">
        <v>1247</v>
      </c>
      <c r="G5086" t="s">
        <v>1541</v>
      </c>
      <c r="H5086" t="s">
        <v>1542</v>
      </c>
      <c r="I5086" t="s">
        <v>1542</v>
      </c>
      <c r="J5086" t="s">
        <v>60</v>
      </c>
      <c r="K5086" t="s">
        <v>1302</v>
      </c>
      <c r="L5086" t="s">
        <v>62</v>
      </c>
      <c r="M5086" t="s">
        <v>1302</v>
      </c>
      <c r="N5086" t="s">
        <v>1543</v>
      </c>
      <c r="O5086" t="s">
        <v>1544</v>
      </c>
      <c r="P5086">
        <v>-20.166267999999999</v>
      </c>
      <c r="Q5086">
        <v>-44.916902</v>
      </c>
      <c r="R5086" s="2" t="str">
        <f>HYPERLINK("https://www.google.com/maps?q=-20.1662680,-44.9169020","Abrir no Google Maps")</f>
        <v>Abrir no Google Maps</v>
      </c>
      <c r="S5086">
        <v>2</v>
      </c>
      <c r="T5086">
        <v>580.14556008922216</v>
      </c>
      <c r="U5086">
        <v>1</v>
      </c>
      <c r="V5086">
        <v>7.1705426356589094E-2</v>
      </c>
      <c r="W5086">
        <v>0.85</v>
      </c>
      <c r="X5086">
        <v>6.0949612403100727E-2</v>
      </c>
      <c r="Y5086">
        <v>639</v>
      </c>
      <c r="Z5086">
        <v>590.87477783185614</v>
      </c>
      <c r="AA5086">
        <v>198</v>
      </c>
      <c r="AB5086">
        <v>332</v>
      </c>
      <c r="AC5086">
        <v>536</v>
      </c>
      <c r="AD5086">
        <v>32.42</v>
      </c>
      <c r="AE5086">
        <v>542</v>
      </c>
      <c r="AF5086">
        <v>39</v>
      </c>
      <c r="AG5086">
        <v>173</v>
      </c>
      <c r="AH5086">
        <v>129</v>
      </c>
      <c r="AI5086">
        <v>7.2</v>
      </c>
      <c r="AJ5086">
        <v>31.92</v>
      </c>
      <c r="AK5086">
        <v>23.8</v>
      </c>
      <c r="AL5086">
        <v>-20.165891749999961</v>
      </c>
      <c r="AM5086">
        <v>-44.917283075074913</v>
      </c>
      <c r="AN5086">
        <v>-20.165891749999961</v>
      </c>
      <c r="AO5086">
        <v>-44.917283075074913</v>
      </c>
      <c r="AP5086">
        <v>-20.166267999999999</v>
      </c>
      <c r="AQ5086">
        <v>-44.916902</v>
      </c>
      <c r="AR5086">
        <v>57.792534087281872</v>
      </c>
      <c r="AS5086" t="s">
        <v>65</v>
      </c>
      <c r="AT5086">
        <v>1</v>
      </c>
      <c r="AU5086" t="s">
        <v>1545</v>
      </c>
      <c r="AV5086" t="s">
        <v>1546</v>
      </c>
      <c r="AW5086" t="s">
        <v>60</v>
      </c>
      <c r="AX5086" t="s">
        <v>68</v>
      </c>
      <c r="AY5086" t="s">
        <v>69</v>
      </c>
      <c r="AZ5086" t="b">
        <v>1</v>
      </c>
    </row>
    <row r="5087" spans="1:52" x14ac:dyDescent="0.3">
      <c r="A5087" t="s">
        <v>52</v>
      </c>
      <c r="B5087" t="s">
        <v>53</v>
      </c>
      <c r="C5087" t="s">
        <v>54</v>
      </c>
      <c r="D5087" t="s">
        <v>55</v>
      </c>
      <c r="E5087" t="s">
        <v>2224</v>
      </c>
      <c r="F5087" t="s">
        <v>1247</v>
      </c>
      <c r="G5087" t="s">
        <v>1559</v>
      </c>
      <c r="H5087" t="s">
        <v>1560</v>
      </c>
      <c r="I5087" t="s">
        <v>1560</v>
      </c>
      <c r="J5087" t="s">
        <v>60</v>
      </c>
      <c r="K5087" t="s">
        <v>61</v>
      </c>
      <c r="L5087" t="s">
        <v>62</v>
      </c>
      <c r="M5087" t="s">
        <v>61</v>
      </c>
      <c r="N5087" t="s">
        <v>1561</v>
      </c>
      <c r="O5087" t="s">
        <v>1562</v>
      </c>
      <c r="P5087">
        <v>-20.154959000000002</v>
      </c>
      <c r="Q5087">
        <v>-44.91525</v>
      </c>
      <c r="R5087" s="2" t="str">
        <f>HYPERLINK("https://www.google.com/maps?q=-20.1549590,-44.9152500","Abrir no Google Maps")</f>
        <v>Abrir no Google Maps</v>
      </c>
      <c r="S5087">
        <v>2</v>
      </c>
      <c r="T5087">
        <v>738.36411213380245</v>
      </c>
      <c r="U5087">
        <v>1</v>
      </c>
      <c r="V5087">
        <v>0</v>
      </c>
      <c r="W5087">
        <v>0.85</v>
      </c>
      <c r="X5087">
        <v>0</v>
      </c>
      <c r="Y5087">
        <v>639</v>
      </c>
      <c r="Z5087">
        <v>860.82840850294542</v>
      </c>
      <c r="AA5087">
        <v>198</v>
      </c>
      <c r="AB5087">
        <v>332</v>
      </c>
      <c r="AC5087">
        <v>536</v>
      </c>
      <c r="AD5087">
        <v>32.42</v>
      </c>
      <c r="AE5087">
        <v>542</v>
      </c>
      <c r="AF5087">
        <v>39</v>
      </c>
      <c r="AG5087">
        <v>173</v>
      </c>
      <c r="AH5087">
        <v>129</v>
      </c>
      <c r="AI5087">
        <v>7.2</v>
      </c>
      <c r="AJ5087">
        <v>31.92</v>
      </c>
      <c r="AK5087">
        <v>23.8</v>
      </c>
      <c r="AL5087">
        <v>-20.154629849999939</v>
      </c>
      <c r="AM5087">
        <v>-44.914951620624052</v>
      </c>
      <c r="AN5087">
        <v>-20.154629849999939</v>
      </c>
      <c r="AO5087">
        <v>-44.914951620624052</v>
      </c>
      <c r="AP5087">
        <v>-20.154959000000002</v>
      </c>
      <c r="AQ5087">
        <v>-44.91525</v>
      </c>
      <c r="AR5087">
        <v>48.11297170616912</v>
      </c>
      <c r="AS5087" t="s">
        <v>65</v>
      </c>
      <c r="AT5087">
        <v>1</v>
      </c>
      <c r="AU5087" t="s">
        <v>1563</v>
      </c>
      <c r="AV5087" t="s">
        <v>1564</v>
      </c>
      <c r="AW5087" t="s">
        <v>60</v>
      </c>
      <c r="AX5087" t="s">
        <v>68</v>
      </c>
      <c r="AY5087" t="s">
        <v>69</v>
      </c>
      <c r="AZ5087" t="b">
        <v>1</v>
      </c>
    </row>
    <row r="5088" spans="1:52" x14ac:dyDescent="0.3">
      <c r="A5088" t="s">
        <v>52</v>
      </c>
      <c r="B5088" t="s">
        <v>53</v>
      </c>
      <c r="C5088" t="s">
        <v>54</v>
      </c>
      <c r="D5088" t="s">
        <v>55</v>
      </c>
      <c r="E5088" t="s">
        <v>2224</v>
      </c>
      <c r="F5088" t="s">
        <v>1247</v>
      </c>
      <c r="G5088" t="s">
        <v>1607</v>
      </c>
      <c r="H5088" t="s">
        <v>1608</v>
      </c>
      <c r="I5088" t="s">
        <v>1608</v>
      </c>
      <c r="J5088" t="s">
        <v>60</v>
      </c>
      <c r="K5088" t="s">
        <v>1486</v>
      </c>
      <c r="L5088" t="s">
        <v>62</v>
      </c>
      <c r="M5088" t="s">
        <v>1486</v>
      </c>
      <c r="N5088" t="s">
        <v>1609</v>
      </c>
      <c r="O5088" t="s">
        <v>1255</v>
      </c>
      <c r="P5088">
        <v>-20.157689000000001</v>
      </c>
      <c r="Q5088">
        <v>-44.883887000000001</v>
      </c>
      <c r="R5088" s="2" t="str">
        <f>HYPERLINK("https://www.google.com/maps?q=-20.1576890,-44.8838870","Abrir no Google Maps")</f>
        <v>Abrir no Google Maps</v>
      </c>
      <c r="S5088">
        <v>1</v>
      </c>
      <c r="T5088">
        <v>603.38424821205774</v>
      </c>
      <c r="U5088">
        <v>4</v>
      </c>
      <c r="V5088">
        <v>0.13434163701067611</v>
      </c>
      <c r="W5088">
        <v>1</v>
      </c>
      <c r="X5088">
        <v>0.13434163701067611</v>
      </c>
      <c r="Y5088">
        <v>671</v>
      </c>
      <c r="Z5088">
        <v>682.48636898467089</v>
      </c>
      <c r="AA5088">
        <v>198</v>
      </c>
      <c r="AB5088">
        <v>332</v>
      </c>
      <c r="AC5088">
        <v>536</v>
      </c>
      <c r="AD5088">
        <v>32.42</v>
      </c>
      <c r="AE5088">
        <v>542</v>
      </c>
      <c r="AF5088">
        <v>39</v>
      </c>
      <c r="AG5088">
        <v>173</v>
      </c>
      <c r="AH5088">
        <v>129</v>
      </c>
      <c r="AI5088">
        <v>7.2</v>
      </c>
      <c r="AJ5088">
        <v>31.92</v>
      </c>
      <c r="AK5088">
        <v>23.8</v>
      </c>
      <c r="AL5088">
        <v>-20.157732249999949</v>
      </c>
      <c r="AM5088">
        <v>-44.883829923283272</v>
      </c>
      <c r="AN5088">
        <v>-20.157732249999949</v>
      </c>
      <c r="AO5088">
        <v>-44.883829923283272</v>
      </c>
      <c r="AP5088">
        <v>-20.157689000000001</v>
      </c>
      <c r="AQ5088">
        <v>-44.883887000000001</v>
      </c>
      <c r="AR5088">
        <v>7.6652901074925257</v>
      </c>
      <c r="AS5088" t="s">
        <v>65</v>
      </c>
      <c r="AT5088">
        <v>1</v>
      </c>
      <c r="AU5088" t="s">
        <v>1610</v>
      </c>
      <c r="AV5088" t="s">
        <v>1611</v>
      </c>
      <c r="AW5088" t="s">
        <v>60</v>
      </c>
      <c r="AX5088" t="s">
        <v>68</v>
      </c>
      <c r="AY5088" t="s">
        <v>69</v>
      </c>
      <c r="AZ5088" t="b">
        <v>1</v>
      </c>
    </row>
    <row r="5089" spans="1:52" x14ac:dyDescent="0.3">
      <c r="A5089" t="s">
        <v>52</v>
      </c>
      <c r="B5089" t="s">
        <v>53</v>
      </c>
      <c r="C5089" t="s">
        <v>54</v>
      </c>
      <c r="D5089" t="s">
        <v>55</v>
      </c>
      <c r="E5089" t="s">
        <v>2224</v>
      </c>
      <c r="F5089" t="s">
        <v>1247</v>
      </c>
      <c r="G5089" t="s">
        <v>1342</v>
      </c>
      <c r="H5089" t="s">
        <v>1600</v>
      </c>
      <c r="I5089" t="s">
        <v>1600</v>
      </c>
      <c r="J5089" t="s">
        <v>60</v>
      </c>
      <c r="K5089" t="s">
        <v>462</v>
      </c>
      <c r="L5089" t="s">
        <v>62</v>
      </c>
      <c r="M5089" t="s">
        <v>462</v>
      </c>
      <c r="N5089" t="s">
        <v>921</v>
      </c>
      <c r="O5089" t="s">
        <v>1601</v>
      </c>
      <c r="P5089">
        <v>-20.140741999999999</v>
      </c>
      <c r="Q5089">
        <v>-44.902729000000001</v>
      </c>
      <c r="R5089" s="2" t="str">
        <f>HYPERLINK("https://www.google.com/maps?q=-20.1407420,-44.9027290","Abrir no Google Maps")</f>
        <v>Abrir no Google Maps</v>
      </c>
      <c r="S5089">
        <v>1</v>
      </c>
      <c r="T5089">
        <v>373.97936588503438</v>
      </c>
      <c r="U5089">
        <v>2</v>
      </c>
      <c r="V5089">
        <v>9.5663265306122403E-2</v>
      </c>
      <c r="W5089">
        <v>1</v>
      </c>
      <c r="X5089">
        <v>9.5663265306122403E-2</v>
      </c>
      <c r="Y5089">
        <v>588</v>
      </c>
      <c r="Z5089">
        <v>427.55758539734131</v>
      </c>
      <c r="AA5089">
        <v>198</v>
      </c>
      <c r="AB5089">
        <v>332</v>
      </c>
      <c r="AC5089">
        <v>536</v>
      </c>
      <c r="AD5089">
        <v>32.42</v>
      </c>
      <c r="AE5089">
        <v>542</v>
      </c>
      <c r="AF5089">
        <v>39</v>
      </c>
      <c r="AG5089">
        <v>173</v>
      </c>
      <c r="AH5089">
        <v>129</v>
      </c>
      <c r="AI5089">
        <v>7.2</v>
      </c>
      <c r="AJ5089">
        <v>31.92</v>
      </c>
      <c r="AK5089">
        <v>23.8</v>
      </c>
      <c r="AL5089">
        <v>-20.140729549999971</v>
      </c>
      <c r="AM5089">
        <v>-44.902779454814521</v>
      </c>
      <c r="AN5089">
        <v>-20.140729549999971</v>
      </c>
      <c r="AO5089">
        <v>-44.902779454814521</v>
      </c>
      <c r="AP5089">
        <v>-20.140741999999999</v>
      </c>
      <c r="AQ5089">
        <v>-44.902729000000001</v>
      </c>
      <c r="AR5089">
        <v>5.4522610212697993</v>
      </c>
      <c r="AS5089" t="s">
        <v>65</v>
      </c>
      <c r="AT5089">
        <v>1</v>
      </c>
      <c r="AU5089" t="s">
        <v>1602</v>
      </c>
      <c r="AV5089" t="s">
        <v>1603</v>
      </c>
      <c r="AW5089" t="s">
        <v>60</v>
      </c>
      <c r="AX5089" t="s">
        <v>68</v>
      </c>
      <c r="AY5089" t="s">
        <v>69</v>
      </c>
      <c r="AZ5089" t="b">
        <v>1</v>
      </c>
    </row>
    <row r="5090" spans="1:52" x14ac:dyDescent="0.3">
      <c r="A5090" t="s">
        <v>52</v>
      </c>
      <c r="B5090" t="s">
        <v>53</v>
      </c>
      <c r="C5090" t="s">
        <v>54</v>
      </c>
      <c r="D5090" t="s">
        <v>55</v>
      </c>
      <c r="E5090" t="s">
        <v>2224</v>
      </c>
      <c r="F5090" t="s">
        <v>1247</v>
      </c>
      <c r="G5090" t="s">
        <v>631</v>
      </c>
      <c r="H5090" t="s">
        <v>1565</v>
      </c>
      <c r="I5090" t="s">
        <v>1565</v>
      </c>
      <c r="J5090" t="s">
        <v>60</v>
      </c>
      <c r="K5090" t="s">
        <v>530</v>
      </c>
      <c r="L5090" t="s">
        <v>62</v>
      </c>
      <c r="M5090" t="s">
        <v>530</v>
      </c>
      <c r="N5090" t="s">
        <v>633</v>
      </c>
      <c r="O5090" t="s">
        <v>1566</v>
      </c>
      <c r="P5090">
        <v>-20.143915</v>
      </c>
      <c r="Q5090">
        <v>-44.8947</v>
      </c>
      <c r="R5090" s="2" t="str">
        <f>HYPERLINK("https://www.google.com/maps?q=-20.1439150,-44.8947000","Abrir no Google Maps")</f>
        <v>Abrir no Google Maps</v>
      </c>
      <c r="S5090">
        <v>1</v>
      </c>
      <c r="T5090">
        <v>327.74435325417051</v>
      </c>
      <c r="U5090">
        <v>1</v>
      </c>
      <c r="V5090">
        <v>6.7500000000000004E-2</v>
      </c>
      <c r="W5090">
        <v>1</v>
      </c>
      <c r="X5090">
        <v>6.7500000000000004E-2</v>
      </c>
      <c r="Y5090">
        <v>602</v>
      </c>
      <c r="Z5090">
        <v>236.41345279429891</v>
      </c>
      <c r="AA5090">
        <v>198</v>
      </c>
      <c r="AB5090">
        <v>332</v>
      </c>
      <c r="AC5090">
        <v>536</v>
      </c>
      <c r="AD5090">
        <v>32.42</v>
      </c>
      <c r="AE5090">
        <v>542</v>
      </c>
      <c r="AF5090">
        <v>39</v>
      </c>
      <c r="AG5090">
        <v>173</v>
      </c>
      <c r="AH5090">
        <v>129</v>
      </c>
      <c r="AI5090">
        <v>7.2</v>
      </c>
      <c r="AJ5090">
        <v>31.92</v>
      </c>
      <c r="AK5090">
        <v>23.8</v>
      </c>
      <c r="AL5090">
        <v>-20.143900549999959</v>
      </c>
      <c r="AM5090">
        <v>-44.894835636584318</v>
      </c>
      <c r="AN5090">
        <v>-20.143900549999959</v>
      </c>
      <c r="AO5090">
        <v>-44.894835636584318</v>
      </c>
      <c r="AP5090">
        <v>-20.143915</v>
      </c>
      <c r="AQ5090">
        <v>-44.8947</v>
      </c>
      <c r="AR5090">
        <v>14.266440053785869</v>
      </c>
      <c r="AS5090" t="s">
        <v>65</v>
      </c>
      <c r="AT5090">
        <v>1</v>
      </c>
      <c r="AU5090" t="s">
        <v>1567</v>
      </c>
      <c r="AV5090" t="s">
        <v>1568</v>
      </c>
      <c r="AW5090" t="s">
        <v>60</v>
      </c>
      <c r="AX5090" t="s">
        <v>68</v>
      </c>
      <c r="AY5090" t="s">
        <v>69</v>
      </c>
      <c r="AZ5090" t="b">
        <v>1</v>
      </c>
    </row>
    <row r="5091" spans="1:52" x14ac:dyDescent="0.3">
      <c r="A5091" t="s">
        <v>52</v>
      </c>
      <c r="B5091" t="s">
        <v>53</v>
      </c>
      <c r="C5091" t="s">
        <v>54</v>
      </c>
      <c r="D5091" t="s">
        <v>55</v>
      </c>
      <c r="E5091" t="s">
        <v>2224</v>
      </c>
      <c r="F5091" t="s">
        <v>1247</v>
      </c>
      <c r="G5091" t="s">
        <v>1569</v>
      </c>
      <c r="H5091" t="s">
        <v>1570</v>
      </c>
      <c r="I5091" t="s">
        <v>1570</v>
      </c>
      <c r="J5091" t="s">
        <v>60</v>
      </c>
      <c r="K5091" t="s">
        <v>530</v>
      </c>
      <c r="L5091" t="s">
        <v>62</v>
      </c>
      <c r="M5091" t="s">
        <v>530</v>
      </c>
      <c r="N5091" t="s">
        <v>1571</v>
      </c>
      <c r="O5091" t="s">
        <v>598</v>
      </c>
      <c r="P5091">
        <v>-20.146418000000001</v>
      </c>
      <c r="Q5091">
        <v>-44.893861999999999</v>
      </c>
      <c r="R5091" s="2" t="str">
        <f>HYPERLINK("https://www.google.com/maps?q=-20.1464180,-44.8938620","Abrir no Google Maps")</f>
        <v>Abrir no Google Maps</v>
      </c>
      <c r="S5091">
        <v>1</v>
      </c>
      <c r="T5091">
        <v>0</v>
      </c>
      <c r="U5091">
        <v>1</v>
      </c>
      <c r="V5091">
        <v>7.4534161490683204E-2</v>
      </c>
      <c r="W5091">
        <v>0.85</v>
      </c>
      <c r="X5091">
        <v>6.3354037267080721E-2</v>
      </c>
      <c r="Y5091">
        <v>602</v>
      </c>
      <c r="Z5091">
        <v>124.5475134899211</v>
      </c>
      <c r="AA5091">
        <v>198</v>
      </c>
      <c r="AB5091">
        <v>332</v>
      </c>
      <c r="AC5091">
        <v>536</v>
      </c>
      <c r="AD5091">
        <v>32.42</v>
      </c>
      <c r="AE5091">
        <v>542</v>
      </c>
      <c r="AF5091">
        <v>39</v>
      </c>
      <c r="AG5091">
        <v>173</v>
      </c>
      <c r="AH5091">
        <v>129</v>
      </c>
      <c r="AI5091">
        <v>7.2</v>
      </c>
      <c r="AJ5091">
        <v>31.92</v>
      </c>
      <c r="AK5091">
        <v>23.8</v>
      </c>
      <c r="AL5091">
        <v>-20.146753399999941</v>
      </c>
      <c r="AM5091">
        <v>-44.893993355901941</v>
      </c>
      <c r="AN5091">
        <v>-20.146753399999941</v>
      </c>
      <c r="AO5091">
        <v>-44.893993355901941</v>
      </c>
      <c r="AP5091">
        <v>-20.146418000000001</v>
      </c>
      <c r="AQ5091">
        <v>-44.893861999999999</v>
      </c>
      <c r="AR5091">
        <v>39.780457157851913</v>
      </c>
      <c r="AS5091" t="s">
        <v>65</v>
      </c>
      <c r="AT5091">
        <v>1</v>
      </c>
      <c r="AU5091" t="s">
        <v>1572</v>
      </c>
      <c r="AV5091" t="s">
        <v>1573</v>
      </c>
      <c r="AW5091" t="s">
        <v>60</v>
      </c>
      <c r="AX5091" t="s">
        <v>68</v>
      </c>
      <c r="AY5091" t="s">
        <v>69</v>
      </c>
      <c r="AZ5091" t="b">
        <v>1</v>
      </c>
    </row>
    <row r="5092" spans="1:52" x14ac:dyDescent="0.3">
      <c r="A5092" t="s">
        <v>52</v>
      </c>
      <c r="B5092" t="s">
        <v>53</v>
      </c>
      <c r="C5092" t="s">
        <v>54</v>
      </c>
      <c r="D5092" t="s">
        <v>55</v>
      </c>
      <c r="E5092" t="s">
        <v>2224</v>
      </c>
      <c r="F5092" t="s">
        <v>1247</v>
      </c>
      <c r="G5092" t="s">
        <v>1569</v>
      </c>
      <c r="H5092" t="s">
        <v>1574</v>
      </c>
      <c r="I5092" t="s">
        <v>1574</v>
      </c>
      <c r="J5092" t="s">
        <v>60</v>
      </c>
      <c r="K5092" t="s">
        <v>530</v>
      </c>
      <c r="L5092" t="s">
        <v>62</v>
      </c>
      <c r="M5092" t="s">
        <v>530</v>
      </c>
      <c r="N5092" t="s">
        <v>1571</v>
      </c>
      <c r="O5092" t="s">
        <v>1575</v>
      </c>
      <c r="P5092">
        <v>-20.14554</v>
      </c>
      <c r="Q5092">
        <v>-44.895606000000001</v>
      </c>
      <c r="R5092" s="2" t="str">
        <f>HYPERLINK("https://www.google.com/maps?q=-20.1455400,-44.8956060","Abrir no Google Maps")</f>
        <v>Abrir no Google Maps</v>
      </c>
      <c r="S5092">
        <v>1</v>
      </c>
      <c r="T5092">
        <v>218.66647838959381</v>
      </c>
      <c r="U5092">
        <v>1</v>
      </c>
      <c r="V5092">
        <v>7.69230769230769E-2</v>
      </c>
      <c r="W5092">
        <v>1</v>
      </c>
      <c r="X5092">
        <v>7.69230769230769E-2</v>
      </c>
      <c r="Y5092">
        <v>602</v>
      </c>
      <c r="Z5092">
        <v>263.6501043391637</v>
      </c>
      <c r="AA5092">
        <v>198</v>
      </c>
      <c r="AB5092">
        <v>332</v>
      </c>
      <c r="AC5092">
        <v>536</v>
      </c>
      <c r="AD5092">
        <v>32.42</v>
      </c>
      <c r="AE5092">
        <v>542</v>
      </c>
      <c r="AF5092">
        <v>39</v>
      </c>
      <c r="AG5092">
        <v>173</v>
      </c>
      <c r="AH5092">
        <v>129</v>
      </c>
      <c r="AI5092">
        <v>7.2</v>
      </c>
      <c r="AJ5092">
        <v>31.92</v>
      </c>
      <c r="AK5092">
        <v>23.8</v>
      </c>
      <c r="AL5092">
        <v>-20.145504749999962</v>
      </c>
      <c r="AM5092">
        <v>-44.89561499588882</v>
      </c>
      <c r="AN5092">
        <v>-20.145504749999962</v>
      </c>
      <c r="AO5092">
        <v>-44.89561499588882</v>
      </c>
      <c r="AP5092">
        <v>-20.14554</v>
      </c>
      <c r="AQ5092">
        <v>-44.895606000000001</v>
      </c>
      <c r="AR5092">
        <v>4.0350843151508604</v>
      </c>
      <c r="AS5092" t="s">
        <v>65</v>
      </c>
      <c r="AT5092">
        <v>1</v>
      </c>
      <c r="AU5092" t="s">
        <v>1576</v>
      </c>
      <c r="AV5092" t="s">
        <v>1577</v>
      </c>
      <c r="AW5092" t="s">
        <v>60</v>
      </c>
      <c r="AX5092" t="s">
        <v>68</v>
      </c>
      <c r="AY5092" t="s">
        <v>69</v>
      </c>
      <c r="AZ5092" t="b">
        <v>1</v>
      </c>
    </row>
    <row r="5093" spans="1:52" x14ac:dyDescent="0.3">
      <c r="A5093" t="s">
        <v>52</v>
      </c>
      <c r="B5093" t="s">
        <v>53</v>
      </c>
      <c r="C5093" t="s">
        <v>54</v>
      </c>
      <c r="D5093" t="s">
        <v>55</v>
      </c>
      <c r="E5093" t="s">
        <v>2224</v>
      </c>
      <c r="F5093" t="s">
        <v>1247</v>
      </c>
      <c r="G5093" t="s">
        <v>1578</v>
      </c>
      <c r="H5093" t="s">
        <v>1579</v>
      </c>
      <c r="I5093" t="s">
        <v>1579</v>
      </c>
      <c r="J5093" t="s">
        <v>60</v>
      </c>
      <c r="K5093" t="s">
        <v>530</v>
      </c>
      <c r="L5093" t="s">
        <v>62</v>
      </c>
      <c r="M5093" t="s">
        <v>530</v>
      </c>
      <c r="N5093" t="s">
        <v>1580</v>
      </c>
      <c r="O5093" t="s">
        <v>1581</v>
      </c>
      <c r="P5093">
        <v>-20.143713999999999</v>
      </c>
      <c r="Q5093">
        <v>-44.897387999999999</v>
      </c>
      <c r="R5093" s="2" t="str">
        <f>HYPERLINK("https://www.google.com/maps?q=-20.1437140,-44.8973880","Abrir no Google Maps")</f>
        <v>Abrir no Google Maps</v>
      </c>
      <c r="S5093">
        <v>1</v>
      </c>
      <c r="T5093">
        <v>354.74438118735611</v>
      </c>
      <c r="U5093">
        <v>1</v>
      </c>
      <c r="V5093">
        <v>5.7446808510638298E-2</v>
      </c>
      <c r="W5093">
        <v>1</v>
      </c>
      <c r="X5093">
        <v>5.7446808510638298E-2</v>
      </c>
      <c r="Y5093">
        <v>588</v>
      </c>
      <c r="Z5093">
        <v>336.29881064197872</v>
      </c>
      <c r="AA5093">
        <v>198</v>
      </c>
      <c r="AB5093">
        <v>332</v>
      </c>
      <c r="AC5093">
        <v>536</v>
      </c>
      <c r="AD5093">
        <v>32.42</v>
      </c>
      <c r="AE5093">
        <v>542</v>
      </c>
      <c r="AF5093">
        <v>39</v>
      </c>
      <c r="AG5093">
        <v>173</v>
      </c>
      <c r="AH5093">
        <v>129</v>
      </c>
      <c r="AI5093">
        <v>7.2</v>
      </c>
      <c r="AJ5093">
        <v>31.92</v>
      </c>
      <c r="AK5093">
        <v>23.8</v>
      </c>
      <c r="AL5093">
        <v>-20.14371329999997</v>
      </c>
      <c r="AM5093">
        <v>-44.897384604125257</v>
      </c>
      <c r="AN5093">
        <v>-20.14371329999997</v>
      </c>
      <c r="AO5093">
        <v>-44.897384604125257</v>
      </c>
      <c r="AP5093">
        <v>-20.143713999999999</v>
      </c>
      <c r="AQ5093">
        <v>-44.897387999999999</v>
      </c>
      <c r="AR5093">
        <v>0.36335934693921551</v>
      </c>
      <c r="AS5093" t="s">
        <v>65</v>
      </c>
      <c r="AT5093">
        <v>1</v>
      </c>
      <c r="AU5093" t="s">
        <v>1582</v>
      </c>
      <c r="AV5093" t="s">
        <v>1583</v>
      </c>
      <c r="AW5093" t="s">
        <v>60</v>
      </c>
      <c r="AX5093" t="s">
        <v>68</v>
      </c>
      <c r="AY5093" t="s">
        <v>69</v>
      </c>
      <c r="AZ5093" t="b">
        <v>1</v>
      </c>
    </row>
    <row r="5094" spans="1:52" x14ac:dyDescent="0.3">
      <c r="A5094" t="s">
        <v>52</v>
      </c>
      <c r="B5094" t="s">
        <v>53</v>
      </c>
      <c r="C5094" t="s">
        <v>54</v>
      </c>
      <c r="D5094" t="s">
        <v>55</v>
      </c>
      <c r="E5094" t="s">
        <v>2224</v>
      </c>
      <c r="F5094" t="s">
        <v>1247</v>
      </c>
      <c r="G5094" t="s">
        <v>1584</v>
      </c>
      <c r="H5094" t="s">
        <v>1585</v>
      </c>
      <c r="I5094" t="s">
        <v>1585</v>
      </c>
      <c r="J5094" t="s">
        <v>60</v>
      </c>
      <c r="K5094" t="s">
        <v>530</v>
      </c>
      <c r="L5094" t="s">
        <v>62</v>
      </c>
      <c r="M5094" t="s">
        <v>530</v>
      </c>
      <c r="N5094" t="s">
        <v>406</v>
      </c>
      <c r="O5094" t="s">
        <v>1586</v>
      </c>
      <c r="P5094">
        <v>-20.141316</v>
      </c>
      <c r="Q5094">
        <v>-44.896424000000003</v>
      </c>
      <c r="R5094" s="2" t="str">
        <f>HYPERLINK("https://www.google.com/maps?q=-20.1413160,-44.8964240","Abrir no Google Maps")</f>
        <v>Abrir no Google Maps</v>
      </c>
      <c r="S5094">
        <v>1</v>
      </c>
      <c r="T5094">
        <v>236.6687095166524</v>
      </c>
      <c r="U5094">
        <v>1</v>
      </c>
      <c r="V5094">
        <v>5.62330623306233E-2</v>
      </c>
      <c r="W5094">
        <v>1</v>
      </c>
      <c r="X5094">
        <v>5.62330623306233E-2</v>
      </c>
      <c r="Y5094">
        <v>588</v>
      </c>
      <c r="Z5094">
        <v>255.50729797374251</v>
      </c>
      <c r="AA5094">
        <v>198</v>
      </c>
      <c r="AB5094">
        <v>332</v>
      </c>
      <c r="AC5094">
        <v>536</v>
      </c>
      <c r="AD5094">
        <v>32.42</v>
      </c>
      <c r="AE5094">
        <v>542</v>
      </c>
      <c r="AF5094">
        <v>39</v>
      </c>
      <c r="AG5094">
        <v>173</v>
      </c>
      <c r="AH5094">
        <v>129</v>
      </c>
      <c r="AI5094">
        <v>7.2</v>
      </c>
      <c r="AJ5094">
        <v>31.92</v>
      </c>
      <c r="AK5094">
        <v>23.8</v>
      </c>
      <c r="AL5094">
        <v>-20.141468299999961</v>
      </c>
      <c r="AM5094">
        <v>-44.896566678331098</v>
      </c>
      <c r="AN5094">
        <v>-20.141468299999961</v>
      </c>
      <c r="AO5094">
        <v>-44.896566678331098</v>
      </c>
      <c r="AP5094">
        <v>-20.141316</v>
      </c>
      <c r="AQ5094">
        <v>-44.896424000000003</v>
      </c>
      <c r="AR5094">
        <v>22.578666373759301</v>
      </c>
      <c r="AS5094" t="s">
        <v>65</v>
      </c>
      <c r="AT5094">
        <v>1</v>
      </c>
      <c r="AU5094" t="s">
        <v>1587</v>
      </c>
      <c r="AV5094" t="s">
        <v>1588</v>
      </c>
      <c r="AW5094" t="s">
        <v>60</v>
      </c>
      <c r="AX5094" t="s">
        <v>68</v>
      </c>
      <c r="AY5094" t="s">
        <v>69</v>
      </c>
      <c r="AZ5094" t="b">
        <v>1</v>
      </c>
    </row>
    <row r="5095" spans="1:52" x14ac:dyDescent="0.3">
      <c r="A5095" t="s">
        <v>52</v>
      </c>
      <c r="B5095" t="s">
        <v>53</v>
      </c>
      <c r="C5095" t="s">
        <v>54</v>
      </c>
      <c r="D5095" t="s">
        <v>55</v>
      </c>
      <c r="E5095" t="s">
        <v>2224</v>
      </c>
      <c r="F5095" t="s">
        <v>1247</v>
      </c>
      <c r="G5095" t="s">
        <v>1589</v>
      </c>
      <c r="H5095" t="s">
        <v>1590</v>
      </c>
      <c r="I5095" t="s">
        <v>1590</v>
      </c>
      <c r="J5095" t="s">
        <v>60</v>
      </c>
      <c r="K5095" t="s">
        <v>1591</v>
      </c>
      <c r="L5095" t="s">
        <v>62</v>
      </c>
      <c r="M5095" t="s">
        <v>1591</v>
      </c>
      <c r="N5095" t="s">
        <v>1592</v>
      </c>
      <c r="O5095" t="s">
        <v>659</v>
      </c>
      <c r="P5095">
        <v>-20.140789000000002</v>
      </c>
      <c r="Q5095">
        <v>-44.898631000000002</v>
      </c>
      <c r="R5095" s="2" t="str">
        <f>HYPERLINK("https://www.google.com/maps?q=-20.1407890,-44.8986310","Abrir no Google Maps")</f>
        <v>Abrir no Google Maps</v>
      </c>
      <c r="S5095">
        <v>1</v>
      </c>
      <c r="T5095">
        <v>0</v>
      </c>
      <c r="U5095">
        <v>1</v>
      </c>
      <c r="V5095">
        <v>6.4981949458483707E-2</v>
      </c>
      <c r="W5095">
        <v>1</v>
      </c>
      <c r="X5095">
        <v>6.4981949458483707E-2</v>
      </c>
      <c r="Y5095">
        <v>588</v>
      </c>
      <c r="Z5095">
        <v>51.152636251897107</v>
      </c>
      <c r="AA5095">
        <v>198</v>
      </c>
      <c r="AB5095">
        <v>332</v>
      </c>
      <c r="AC5095">
        <v>536</v>
      </c>
      <c r="AD5095">
        <v>32.42</v>
      </c>
      <c r="AE5095">
        <v>542</v>
      </c>
      <c r="AF5095">
        <v>39</v>
      </c>
      <c r="AG5095">
        <v>173</v>
      </c>
      <c r="AH5095">
        <v>129</v>
      </c>
      <c r="AI5095">
        <v>7.2</v>
      </c>
      <c r="AJ5095">
        <v>31.92</v>
      </c>
      <c r="AK5095">
        <v>23.8</v>
      </c>
      <c r="AL5095">
        <v>-20.140759399999951</v>
      </c>
      <c r="AM5095">
        <v>-44.898703172474903</v>
      </c>
      <c r="AN5095">
        <v>-20.140759399999951</v>
      </c>
      <c r="AO5095">
        <v>-44.898703172474903</v>
      </c>
      <c r="AP5095">
        <v>-20.140789000000002</v>
      </c>
      <c r="AQ5095">
        <v>-44.898631000000002</v>
      </c>
      <c r="AR5095">
        <v>8.2312502179962053</v>
      </c>
      <c r="AS5095" t="s">
        <v>65</v>
      </c>
      <c r="AT5095">
        <v>1</v>
      </c>
      <c r="AU5095" t="s">
        <v>1593</v>
      </c>
      <c r="AV5095" t="s">
        <v>1594</v>
      </c>
      <c r="AW5095" t="s">
        <v>60</v>
      </c>
      <c r="AX5095" t="s">
        <v>68</v>
      </c>
      <c r="AY5095" t="s">
        <v>69</v>
      </c>
      <c r="AZ5095" t="b">
        <v>1</v>
      </c>
    </row>
    <row r="5096" spans="1:52" x14ac:dyDescent="0.3">
      <c r="A5096" t="s">
        <v>52</v>
      </c>
      <c r="B5096" t="s">
        <v>53</v>
      </c>
      <c r="C5096" t="s">
        <v>54</v>
      </c>
      <c r="D5096" t="s">
        <v>55</v>
      </c>
      <c r="E5096" t="s">
        <v>2224</v>
      </c>
      <c r="F5096" t="s">
        <v>1247</v>
      </c>
      <c r="G5096" t="s">
        <v>1595</v>
      </c>
      <c r="H5096" t="s">
        <v>1596</v>
      </c>
      <c r="I5096" t="s">
        <v>1596</v>
      </c>
      <c r="J5096" t="s">
        <v>60</v>
      </c>
      <c r="K5096" t="s">
        <v>530</v>
      </c>
      <c r="L5096" t="s">
        <v>62</v>
      </c>
      <c r="M5096" t="s">
        <v>530</v>
      </c>
      <c r="N5096" t="s">
        <v>1006</v>
      </c>
      <c r="O5096" t="s">
        <v>1597</v>
      </c>
      <c r="P5096">
        <v>-20.139135</v>
      </c>
      <c r="Q5096">
        <v>-44.895907000000001</v>
      </c>
      <c r="R5096" s="2" t="str">
        <f>HYPERLINK("https://www.google.com/maps?q=-20.1391350,-44.8959070","Abrir no Google Maps")</f>
        <v>Abrir no Google Maps</v>
      </c>
      <c r="S5096">
        <v>1</v>
      </c>
      <c r="T5096">
        <v>324.98342996447241</v>
      </c>
      <c r="U5096">
        <v>1</v>
      </c>
      <c r="V5096">
        <v>4.7566371681415899E-2</v>
      </c>
      <c r="W5096">
        <v>1</v>
      </c>
      <c r="X5096">
        <v>4.7566371681415899E-2</v>
      </c>
      <c r="Y5096">
        <v>588</v>
      </c>
      <c r="Z5096">
        <v>411.69998599301618</v>
      </c>
      <c r="AA5096">
        <v>198</v>
      </c>
      <c r="AB5096">
        <v>332</v>
      </c>
      <c r="AC5096">
        <v>536</v>
      </c>
      <c r="AD5096">
        <v>32.42</v>
      </c>
      <c r="AE5096">
        <v>542</v>
      </c>
      <c r="AF5096">
        <v>39</v>
      </c>
      <c r="AG5096">
        <v>173</v>
      </c>
      <c r="AH5096">
        <v>129</v>
      </c>
      <c r="AI5096">
        <v>7.2</v>
      </c>
      <c r="AJ5096">
        <v>31.92</v>
      </c>
      <c r="AK5096">
        <v>23.8</v>
      </c>
      <c r="AL5096">
        <v>-20.139299649999941</v>
      </c>
      <c r="AM5096">
        <v>-44.896005009217312</v>
      </c>
      <c r="AN5096">
        <v>-20.139299649999941</v>
      </c>
      <c r="AO5096">
        <v>-44.896005009217312</v>
      </c>
      <c r="AP5096">
        <v>-20.139135</v>
      </c>
      <c r="AQ5096">
        <v>-44.895907000000001</v>
      </c>
      <c r="AR5096">
        <v>20.996943428875841</v>
      </c>
      <c r="AS5096" t="s">
        <v>65</v>
      </c>
      <c r="AT5096">
        <v>1</v>
      </c>
      <c r="AU5096" t="s">
        <v>1598</v>
      </c>
      <c r="AV5096" t="s">
        <v>1599</v>
      </c>
      <c r="AW5096" t="s">
        <v>60</v>
      </c>
      <c r="AX5096" t="s">
        <v>68</v>
      </c>
      <c r="AY5096" t="s">
        <v>69</v>
      </c>
      <c r="AZ5096" t="b">
        <v>1</v>
      </c>
    </row>
    <row r="5097" spans="1:52" x14ac:dyDescent="0.3">
      <c r="A5097" t="s">
        <v>52</v>
      </c>
      <c r="B5097" t="s">
        <v>53</v>
      </c>
      <c r="C5097" t="s">
        <v>54</v>
      </c>
      <c r="D5097" t="s">
        <v>55</v>
      </c>
      <c r="E5097" t="s">
        <v>2224</v>
      </c>
      <c r="F5097" t="s">
        <v>1247</v>
      </c>
      <c r="G5097" t="s">
        <v>1612</v>
      </c>
      <c r="H5097" t="s">
        <v>1613</v>
      </c>
      <c r="I5097" t="s">
        <v>1613</v>
      </c>
      <c r="J5097" t="s">
        <v>60</v>
      </c>
      <c r="K5097" t="s">
        <v>1349</v>
      </c>
      <c r="L5097" t="s">
        <v>62</v>
      </c>
      <c r="M5097" t="s">
        <v>1349</v>
      </c>
      <c r="N5097" t="s">
        <v>1614</v>
      </c>
      <c r="O5097" t="s">
        <v>710</v>
      </c>
      <c r="P5097">
        <v>-20.141335999999999</v>
      </c>
      <c r="Q5097">
        <v>-44.901133000000002</v>
      </c>
      <c r="R5097" s="2" t="str">
        <f>HYPERLINK("https://www.google.com/maps?q=-20.1413360,-44.9011330","Abrir no Google Maps")</f>
        <v>Abrir no Google Maps</v>
      </c>
      <c r="S5097">
        <v>1</v>
      </c>
      <c r="T5097">
        <v>257.92927430829218</v>
      </c>
      <c r="U5097">
        <v>1</v>
      </c>
      <c r="V5097">
        <v>6.1111111111111102E-2</v>
      </c>
      <c r="W5097">
        <v>0.85</v>
      </c>
      <c r="X5097">
        <v>5.1944444444444439E-2</v>
      </c>
      <c r="Y5097">
        <v>588</v>
      </c>
      <c r="Z5097">
        <v>252.62617475231269</v>
      </c>
      <c r="AA5097">
        <v>198</v>
      </c>
      <c r="AB5097">
        <v>332</v>
      </c>
      <c r="AC5097">
        <v>536</v>
      </c>
      <c r="AD5097">
        <v>32.42</v>
      </c>
      <c r="AE5097">
        <v>542</v>
      </c>
      <c r="AF5097">
        <v>39</v>
      </c>
      <c r="AG5097">
        <v>173</v>
      </c>
      <c r="AH5097">
        <v>129</v>
      </c>
      <c r="AI5097">
        <v>7.2</v>
      </c>
      <c r="AJ5097">
        <v>31.92</v>
      </c>
      <c r="AK5097">
        <v>23.8</v>
      </c>
      <c r="AL5097">
        <v>-20.141297649999959</v>
      </c>
      <c r="AM5097">
        <v>-44.901104406351408</v>
      </c>
      <c r="AN5097">
        <v>-20.141297649999959</v>
      </c>
      <c r="AO5097">
        <v>-44.901104406351408</v>
      </c>
      <c r="AP5097">
        <v>-20.141335999999999</v>
      </c>
      <c r="AQ5097">
        <v>-44.901133000000002</v>
      </c>
      <c r="AR5097">
        <v>5.211130154459668</v>
      </c>
      <c r="AS5097" t="s">
        <v>65</v>
      </c>
      <c r="AT5097">
        <v>1</v>
      </c>
      <c r="AU5097" t="s">
        <v>1615</v>
      </c>
      <c r="AV5097" t="s">
        <v>1616</v>
      </c>
      <c r="AW5097" t="s">
        <v>60</v>
      </c>
      <c r="AX5097" t="s">
        <v>68</v>
      </c>
      <c r="AY5097" t="s">
        <v>69</v>
      </c>
      <c r="AZ5097" t="b">
        <v>1</v>
      </c>
    </row>
    <row r="5098" spans="1:52" x14ac:dyDescent="0.3">
      <c r="A5098" t="s">
        <v>52</v>
      </c>
      <c r="B5098" t="s">
        <v>53</v>
      </c>
      <c r="C5098" t="s">
        <v>54</v>
      </c>
      <c r="D5098" t="s">
        <v>55</v>
      </c>
      <c r="E5098" t="s">
        <v>2224</v>
      </c>
      <c r="F5098" t="s">
        <v>1247</v>
      </c>
      <c r="G5098" t="s">
        <v>1584</v>
      </c>
      <c r="H5098" t="s">
        <v>1604</v>
      </c>
      <c r="I5098" t="s">
        <v>1604</v>
      </c>
      <c r="J5098" t="s">
        <v>60</v>
      </c>
      <c r="K5098" t="s">
        <v>530</v>
      </c>
      <c r="L5098" t="s">
        <v>62</v>
      </c>
      <c r="M5098" t="s">
        <v>530</v>
      </c>
      <c r="N5098" t="s">
        <v>406</v>
      </c>
      <c r="O5098" t="s">
        <v>1267</v>
      </c>
      <c r="P5098">
        <v>-20.147068000000001</v>
      </c>
      <c r="Q5098">
        <v>-44.898629999999997</v>
      </c>
      <c r="R5098" s="2" t="str">
        <f>HYPERLINK("https://www.google.com/maps?q=-20.1470680,-44.8986300","Abrir no Google Maps")</f>
        <v>Abrir no Google Maps</v>
      </c>
      <c r="S5098">
        <v>1</v>
      </c>
      <c r="T5098">
        <v>468.5580266389448</v>
      </c>
      <c r="U5098">
        <v>1</v>
      </c>
      <c r="V5098">
        <v>7.4817518248175105E-2</v>
      </c>
      <c r="W5098">
        <v>1</v>
      </c>
      <c r="X5098">
        <v>7.4817518248175105E-2</v>
      </c>
      <c r="Y5098">
        <v>556</v>
      </c>
      <c r="Z5098">
        <v>447.77738134922419</v>
      </c>
      <c r="AA5098">
        <v>198</v>
      </c>
      <c r="AB5098">
        <v>332</v>
      </c>
      <c r="AC5098">
        <v>536</v>
      </c>
      <c r="AD5098">
        <v>32.42</v>
      </c>
      <c r="AE5098">
        <v>542</v>
      </c>
      <c r="AF5098">
        <v>39</v>
      </c>
      <c r="AG5098">
        <v>173</v>
      </c>
      <c r="AH5098">
        <v>129</v>
      </c>
      <c r="AI5098">
        <v>7.2</v>
      </c>
      <c r="AJ5098">
        <v>31.92</v>
      </c>
      <c r="AK5098">
        <v>23.8</v>
      </c>
      <c r="AL5098">
        <v>-20.14701759999997</v>
      </c>
      <c r="AM5098">
        <v>-44.898633710342303</v>
      </c>
      <c r="AN5098">
        <v>-20.14701759999997</v>
      </c>
      <c r="AO5098">
        <v>-44.898633710342303</v>
      </c>
      <c r="AP5098">
        <v>-20.147068000000001</v>
      </c>
      <c r="AQ5098">
        <v>-44.898629999999997</v>
      </c>
      <c r="AR5098">
        <v>5.6239118246064832</v>
      </c>
      <c r="AS5098" t="s">
        <v>65</v>
      </c>
      <c r="AT5098">
        <v>1</v>
      </c>
      <c r="AU5098" t="s">
        <v>1605</v>
      </c>
      <c r="AV5098" t="s">
        <v>1606</v>
      </c>
      <c r="AW5098" t="s">
        <v>60</v>
      </c>
      <c r="AX5098" t="s">
        <v>68</v>
      </c>
      <c r="AY5098" t="s">
        <v>69</v>
      </c>
      <c r="AZ5098" t="b">
        <v>1</v>
      </c>
    </row>
    <row r="5099" spans="1:52" x14ac:dyDescent="0.3">
      <c r="A5099" t="s">
        <v>52</v>
      </c>
      <c r="B5099" t="s">
        <v>53</v>
      </c>
      <c r="C5099" t="s">
        <v>54</v>
      </c>
      <c r="D5099" t="s">
        <v>55</v>
      </c>
      <c r="E5099" t="s">
        <v>2278</v>
      </c>
      <c r="F5099" t="s">
        <v>57</v>
      </c>
      <c r="G5099" t="s">
        <v>58</v>
      </c>
      <c r="H5099" t="s">
        <v>59</v>
      </c>
      <c r="I5099" t="s">
        <v>59</v>
      </c>
      <c r="J5099" t="s">
        <v>60</v>
      </c>
      <c r="K5099" t="s">
        <v>61</v>
      </c>
      <c r="L5099" t="s">
        <v>62</v>
      </c>
      <c r="M5099" t="s">
        <v>61</v>
      </c>
      <c r="N5099" t="s">
        <v>63</v>
      </c>
      <c r="O5099" t="s">
        <v>64</v>
      </c>
      <c r="P5099">
        <v>-20.147940999999999</v>
      </c>
      <c r="Q5099">
        <v>-44.906514000000001</v>
      </c>
      <c r="R5099" s="2" t="str">
        <f>HYPERLINK("https://www.google.com/maps?q=-20.1479410,-44.9065140","Abrir no Google Maps")</f>
        <v>Abrir no Google Maps</v>
      </c>
      <c r="S5099">
        <v>4</v>
      </c>
      <c r="T5099">
        <v>308.67004994113421</v>
      </c>
      <c r="U5099">
        <v>4</v>
      </c>
      <c r="V5099">
        <v>0.92942506459948315</v>
      </c>
      <c r="W5099">
        <v>1</v>
      </c>
      <c r="X5099">
        <v>0.92942506459948315</v>
      </c>
      <c r="Y5099">
        <v>747</v>
      </c>
      <c r="Z5099">
        <v>274.71440454502522</v>
      </c>
      <c r="AA5099">
        <v>198</v>
      </c>
      <c r="AB5099">
        <v>332</v>
      </c>
      <c r="AC5099">
        <v>536</v>
      </c>
      <c r="AD5099">
        <v>28.15</v>
      </c>
      <c r="AE5099">
        <v>542</v>
      </c>
      <c r="AF5099">
        <v>21</v>
      </c>
      <c r="AG5099">
        <v>176</v>
      </c>
      <c r="AH5099">
        <v>129</v>
      </c>
      <c r="AI5099">
        <v>3.87</v>
      </c>
      <c r="AJ5099">
        <v>32.47</v>
      </c>
      <c r="AK5099">
        <v>23.8</v>
      </c>
      <c r="AL5099">
        <v>-20.147947799999969</v>
      </c>
      <c r="AM5099">
        <v>-44.906591596129203</v>
      </c>
      <c r="AN5099">
        <v>-20.147947799999969</v>
      </c>
      <c r="AO5099">
        <v>-44.906591596129203</v>
      </c>
      <c r="AP5099">
        <v>-20.147940999999999</v>
      </c>
      <c r="AQ5099">
        <v>-44.906514000000001</v>
      </c>
      <c r="AR5099">
        <v>8.1446636170570326</v>
      </c>
      <c r="AS5099" t="s">
        <v>65</v>
      </c>
      <c r="AT5099">
        <v>1</v>
      </c>
      <c r="AU5099" t="s">
        <v>66</v>
      </c>
      <c r="AV5099" t="s">
        <v>67</v>
      </c>
      <c r="AW5099" t="s">
        <v>60</v>
      </c>
      <c r="AX5099" t="s">
        <v>68</v>
      </c>
      <c r="AY5099" t="s">
        <v>69</v>
      </c>
      <c r="AZ5099" t="b">
        <v>1</v>
      </c>
    </row>
    <row r="5100" spans="1:52" x14ac:dyDescent="0.3">
      <c r="A5100" t="s">
        <v>52</v>
      </c>
      <c r="B5100" t="s">
        <v>53</v>
      </c>
      <c r="C5100" t="s">
        <v>54</v>
      </c>
      <c r="D5100" t="s">
        <v>55</v>
      </c>
      <c r="E5100" t="s">
        <v>2278</v>
      </c>
      <c r="F5100" t="s">
        <v>57</v>
      </c>
      <c r="G5100" t="s">
        <v>70</v>
      </c>
      <c r="H5100" t="s">
        <v>71</v>
      </c>
      <c r="I5100" t="s">
        <v>71</v>
      </c>
      <c r="J5100" t="s">
        <v>60</v>
      </c>
      <c r="K5100" t="s">
        <v>72</v>
      </c>
      <c r="L5100" t="s">
        <v>62</v>
      </c>
      <c r="M5100" t="s">
        <v>72</v>
      </c>
      <c r="N5100" t="s">
        <v>73</v>
      </c>
      <c r="O5100" t="s">
        <v>74</v>
      </c>
      <c r="P5100">
        <v>-20.149349000000001</v>
      </c>
      <c r="Q5100">
        <v>-44.910784</v>
      </c>
      <c r="R5100" s="2" t="str">
        <f>HYPERLINK("https://www.google.com/maps?q=-20.1493490,-44.9107840","Abrir no Google Maps")</f>
        <v>Abrir no Google Maps</v>
      </c>
      <c r="S5100">
        <v>4</v>
      </c>
      <c r="T5100">
        <v>472.43876549769578</v>
      </c>
      <c r="U5100">
        <v>4</v>
      </c>
      <c r="V5100">
        <v>0.92466085271317844</v>
      </c>
      <c r="W5100">
        <v>1</v>
      </c>
      <c r="X5100">
        <v>0.92466085271317844</v>
      </c>
      <c r="Y5100">
        <v>747</v>
      </c>
      <c r="Z5100">
        <v>441.03921887407779</v>
      </c>
      <c r="AA5100">
        <v>198</v>
      </c>
      <c r="AB5100">
        <v>332</v>
      </c>
      <c r="AC5100">
        <v>536</v>
      </c>
      <c r="AD5100">
        <v>28.15</v>
      </c>
      <c r="AE5100">
        <v>542</v>
      </c>
      <c r="AF5100">
        <v>21</v>
      </c>
      <c r="AG5100">
        <v>176</v>
      </c>
      <c r="AH5100">
        <v>129</v>
      </c>
      <c r="AI5100">
        <v>3.87</v>
      </c>
      <c r="AJ5100">
        <v>32.47</v>
      </c>
      <c r="AK5100">
        <v>23.8</v>
      </c>
      <c r="AL5100">
        <v>-20.149403999999951</v>
      </c>
      <c r="AM5100">
        <v>-44.91080895147438</v>
      </c>
      <c r="AN5100">
        <v>-20.149403999999951</v>
      </c>
      <c r="AO5100">
        <v>-44.91080895147438</v>
      </c>
      <c r="AP5100">
        <v>-20.149349000000001</v>
      </c>
      <c r="AQ5100">
        <v>-44.910784</v>
      </c>
      <c r="AR5100">
        <v>6.6547592699416382</v>
      </c>
      <c r="AS5100" t="s">
        <v>65</v>
      </c>
      <c r="AT5100">
        <v>1</v>
      </c>
      <c r="AU5100" t="s">
        <v>75</v>
      </c>
      <c r="AV5100" t="s">
        <v>76</v>
      </c>
      <c r="AW5100" t="s">
        <v>60</v>
      </c>
      <c r="AX5100" t="s">
        <v>68</v>
      </c>
      <c r="AY5100" t="s">
        <v>69</v>
      </c>
      <c r="AZ5100" t="b">
        <v>1</v>
      </c>
    </row>
    <row r="5101" spans="1:52" x14ac:dyDescent="0.3">
      <c r="A5101" t="s">
        <v>52</v>
      </c>
      <c r="B5101" t="s">
        <v>53</v>
      </c>
      <c r="C5101" t="s">
        <v>54</v>
      </c>
      <c r="D5101" t="s">
        <v>55</v>
      </c>
      <c r="E5101" t="s">
        <v>2278</v>
      </c>
      <c r="F5101" t="s">
        <v>57</v>
      </c>
      <c r="G5101" t="s">
        <v>77</v>
      </c>
      <c r="H5101" t="s">
        <v>78</v>
      </c>
      <c r="I5101" t="s">
        <v>78</v>
      </c>
      <c r="J5101" t="s">
        <v>60</v>
      </c>
      <c r="K5101" t="s">
        <v>72</v>
      </c>
      <c r="L5101" t="s">
        <v>62</v>
      </c>
      <c r="M5101" t="s">
        <v>72</v>
      </c>
      <c r="N5101" t="s">
        <v>79</v>
      </c>
      <c r="O5101" t="s">
        <v>80</v>
      </c>
      <c r="P5101">
        <v>-20.147821</v>
      </c>
      <c r="Q5101">
        <v>-44.908887</v>
      </c>
      <c r="R5101" s="2" t="str">
        <f>HYPERLINK("https://www.google.com/maps?q=-20.1478210,-44.9088870","Abrir no Google Maps")</f>
        <v>Abrir no Google Maps</v>
      </c>
      <c r="S5101">
        <v>4</v>
      </c>
      <c r="T5101">
        <v>232.2893841532152</v>
      </c>
      <c r="U5101">
        <v>4</v>
      </c>
      <c r="V5101">
        <v>0.95953757225433522</v>
      </c>
      <c r="W5101">
        <v>1</v>
      </c>
      <c r="X5101">
        <v>0.95953757225433522</v>
      </c>
      <c r="Y5101">
        <v>747</v>
      </c>
      <c r="Z5101">
        <v>195.3668648953757</v>
      </c>
      <c r="AA5101">
        <v>198</v>
      </c>
      <c r="AB5101">
        <v>332</v>
      </c>
      <c r="AC5101">
        <v>536</v>
      </c>
      <c r="AD5101">
        <v>28.15</v>
      </c>
      <c r="AE5101">
        <v>542</v>
      </c>
      <c r="AF5101">
        <v>21</v>
      </c>
      <c r="AG5101">
        <v>176</v>
      </c>
      <c r="AH5101">
        <v>129</v>
      </c>
      <c r="AI5101">
        <v>3.87</v>
      </c>
      <c r="AJ5101">
        <v>32.47</v>
      </c>
      <c r="AK5101">
        <v>23.8</v>
      </c>
      <c r="AL5101">
        <v>-20.147802849999952</v>
      </c>
      <c r="AM5101">
        <v>-44.908989919229477</v>
      </c>
      <c r="AN5101">
        <v>-20.147802849999952</v>
      </c>
      <c r="AO5101">
        <v>-44.908989919229491</v>
      </c>
      <c r="AP5101">
        <v>-20.147821</v>
      </c>
      <c r="AQ5101">
        <v>-44.908887</v>
      </c>
      <c r="AR5101">
        <v>10.944007761262529</v>
      </c>
      <c r="AS5101" t="s">
        <v>65</v>
      </c>
      <c r="AT5101">
        <v>1</v>
      </c>
      <c r="AU5101" t="s">
        <v>81</v>
      </c>
      <c r="AV5101" t="s">
        <v>82</v>
      </c>
      <c r="AW5101" t="s">
        <v>60</v>
      </c>
      <c r="AX5101" t="s">
        <v>68</v>
      </c>
      <c r="AY5101" t="s">
        <v>69</v>
      </c>
      <c r="AZ5101" t="b">
        <v>1</v>
      </c>
    </row>
    <row r="5102" spans="1:52" x14ac:dyDescent="0.3">
      <c r="A5102" t="s">
        <v>52</v>
      </c>
      <c r="B5102" t="s">
        <v>53</v>
      </c>
      <c r="C5102" t="s">
        <v>54</v>
      </c>
      <c r="D5102" t="s">
        <v>55</v>
      </c>
      <c r="E5102" t="s">
        <v>2278</v>
      </c>
      <c r="F5102" t="s">
        <v>57</v>
      </c>
      <c r="G5102" t="s">
        <v>83</v>
      </c>
      <c r="H5102" t="s">
        <v>84</v>
      </c>
      <c r="I5102" t="s">
        <v>84</v>
      </c>
      <c r="J5102" t="s">
        <v>60</v>
      </c>
      <c r="K5102" t="s">
        <v>61</v>
      </c>
      <c r="L5102" t="s">
        <v>62</v>
      </c>
      <c r="M5102" t="s">
        <v>61</v>
      </c>
      <c r="N5102" t="s">
        <v>85</v>
      </c>
      <c r="O5102" t="s">
        <v>86</v>
      </c>
      <c r="P5102">
        <v>-20.149799000000002</v>
      </c>
      <c r="Q5102">
        <v>-44.906517000000001</v>
      </c>
      <c r="R5102" s="2" t="str">
        <f>HYPERLINK("https://www.google.com/maps?q=-20.1497990,-44.9065170","Abrir no Google Maps")</f>
        <v>Abrir no Google Maps</v>
      </c>
      <c r="S5102">
        <v>4</v>
      </c>
      <c r="T5102">
        <v>487.90051105537998</v>
      </c>
      <c r="U5102">
        <v>4</v>
      </c>
      <c r="V5102">
        <v>0.89595660749506911</v>
      </c>
      <c r="W5102">
        <v>1</v>
      </c>
      <c r="X5102">
        <v>0.89595660749506911</v>
      </c>
      <c r="Y5102">
        <v>747</v>
      </c>
      <c r="Z5102">
        <v>365.93785960107078</v>
      </c>
      <c r="AA5102">
        <v>198</v>
      </c>
      <c r="AB5102">
        <v>332</v>
      </c>
      <c r="AC5102">
        <v>536</v>
      </c>
      <c r="AD5102">
        <v>28.15</v>
      </c>
      <c r="AE5102">
        <v>542</v>
      </c>
      <c r="AF5102">
        <v>21</v>
      </c>
      <c r="AG5102">
        <v>176</v>
      </c>
      <c r="AH5102">
        <v>129</v>
      </c>
      <c r="AI5102">
        <v>3.87</v>
      </c>
      <c r="AJ5102">
        <v>32.47</v>
      </c>
      <c r="AK5102">
        <v>23.8</v>
      </c>
      <c r="AL5102">
        <v>-20.149879599999959</v>
      </c>
      <c r="AM5102">
        <v>-44.906746466068469</v>
      </c>
      <c r="AN5102">
        <v>-20.149879599999959</v>
      </c>
      <c r="AO5102">
        <v>-44.906746466068469</v>
      </c>
      <c r="AP5102">
        <v>-20.149799000000002</v>
      </c>
      <c r="AQ5102">
        <v>-44.906517000000001</v>
      </c>
      <c r="AR5102">
        <v>25.604276856970429</v>
      </c>
      <c r="AS5102" t="s">
        <v>65</v>
      </c>
      <c r="AT5102">
        <v>1</v>
      </c>
      <c r="AU5102" t="s">
        <v>87</v>
      </c>
      <c r="AV5102" t="s">
        <v>88</v>
      </c>
      <c r="AW5102" t="s">
        <v>60</v>
      </c>
      <c r="AX5102" t="s">
        <v>68</v>
      </c>
      <c r="AY5102" t="s">
        <v>69</v>
      </c>
      <c r="AZ5102" t="b">
        <v>1</v>
      </c>
    </row>
    <row r="5103" spans="1:52" x14ac:dyDescent="0.3">
      <c r="A5103" t="s">
        <v>52</v>
      </c>
      <c r="B5103" t="s">
        <v>53</v>
      </c>
      <c r="C5103" t="s">
        <v>54</v>
      </c>
      <c r="D5103" t="s">
        <v>55</v>
      </c>
      <c r="E5103" t="s">
        <v>2278</v>
      </c>
      <c r="F5103" t="s">
        <v>57</v>
      </c>
      <c r="G5103" t="s">
        <v>89</v>
      </c>
      <c r="H5103" t="s">
        <v>90</v>
      </c>
      <c r="I5103" t="s">
        <v>90</v>
      </c>
      <c r="J5103" t="s">
        <v>60</v>
      </c>
      <c r="K5103" t="s">
        <v>72</v>
      </c>
      <c r="L5103" t="s">
        <v>62</v>
      </c>
      <c r="M5103" t="s">
        <v>72</v>
      </c>
      <c r="N5103" t="s">
        <v>91</v>
      </c>
      <c r="O5103" t="s">
        <v>92</v>
      </c>
      <c r="P5103">
        <v>-20.145848999999998</v>
      </c>
      <c r="Q5103">
        <v>-44.908419000000002</v>
      </c>
      <c r="R5103" s="2" t="str">
        <f>HYPERLINK("https://www.google.com/maps?q=-20.1458490,-44.9084190","Abrir no Google Maps")</f>
        <v>Abrir no Google Maps</v>
      </c>
      <c r="S5103">
        <v>4</v>
      </c>
      <c r="T5103">
        <v>0</v>
      </c>
      <c r="U5103">
        <v>4</v>
      </c>
      <c r="V5103">
        <v>0.92663043478260865</v>
      </c>
      <c r="W5103">
        <v>1</v>
      </c>
      <c r="X5103">
        <v>0.92663043478260865</v>
      </c>
      <c r="Y5103">
        <v>747</v>
      </c>
      <c r="Z5103">
        <v>136.08168502765241</v>
      </c>
      <c r="AA5103">
        <v>198</v>
      </c>
      <c r="AB5103">
        <v>332</v>
      </c>
      <c r="AC5103">
        <v>536</v>
      </c>
      <c r="AD5103">
        <v>28.15</v>
      </c>
      <c r="AE5103">
        <v>542</v>
      </c>
      <c r="AF5103">
        <v>21</v>
      </c>
      <c r="AG5103">
        <v>176</v>
      </c>
      <c r="AH5103">
        <v>129</v>
      </c>
      <c r="AI5103">
        <v>3.87</v>
      </c>
      <c r="AJ5103">
        <v>32.47</v>
      </c>
      <c r="AK5103">
        <v>23.8</v>
      </c>
      <c r="AL5103">
        <v>-20.14576979999995</v>
      </c>
      <c r="AM5103">
        <v>-44.908436775053183</v>
      </c>
      <c r="AN5103">
        <v>-20.14576979999995</v>
      </c>
      <c r="AO5103">
        <v>-44.908436775053183</v>
      </c>
      <c r="AP5103">
        <v>-20.145848999999998</v>
      </c>
      <c r="AQ5103">
        <v>-44.908419000000002</v>
      </c>
      <c r="AR5103">
        <v>9.0101247482327356</v>
      </c>
      <c r="AS5103" t="s">
        <v>65</v>
      </c>
      <c r="AT5103">
        <v>1</v>
      </c>
      <c r="AU5103" t="s">
        <v>93</v>
      </c>
      <c r="AV5103" t="s">
        <v>94</v>
      </c>
      <c r="AW5103" t="s">
        <v>60</v>
      </c>
      <c r="AX5103" t="s">
        <v>68</v>
      </c>
      <c r="AY5103" t="s">
        <v>69</v>
      </c>
      <c r="AZ5103" t="b">
        <v>1</v>
      </c>
    </row>
    <row r="5104" spans="1:52" x14ac:dyDescent="0.3">
      <c r="A5104" t="s">
        <v>52</v>
      </c>
      <c r="B5104" t="s">
        <v>53</v>
      </c>
      <c r="C5104" t="s">
        <v>54</v>
      </c>
      <c r="D5104" t="s">
        <v>55</v>
      </c>
      <c r="E5104" t="s">
        <v>2278</v>
      </c>
      <c r="F5104" t="s">
        <v>57</v>
      </c>
      <c r="G5104" t="s">
        <v>95</v>
      </c>
      <c r="H5104" t="s">
        <v>96</v>
      </c>
      <c r="I5104" t="s">
        <v>96</v>
      </c>
      <c r="J5104" t="s">
        <v>60</v>
      </c>
      <c r="K5104" t="s">
        <v>72</v>
      </c>
      <c r="L5104" t="s">
        <v>62</v>
      </c>
      <c r="M5104" t="s">
        <v>72</v>
      </c>
      <c r="N5104" t="s">
        <v>97</v>
      </c>
      <c r="O5104" t="s">
        <v>98</v>
      </c>
      <c r="P5104">
        <v>-20.144062999999999</v>
      </c>
      <c r="Q5104">
        <v>-44.909627999999998</v>
      </c>
      <c r="R5104" s="2" t="str">
        <f>HYPERLINK("https://www.google.com/maps?q=-20.1440630,-44.9096280","Abrir no Google Maps")</f>
        <v>Abrir no Google Maps</v>
      </c>
      <c r="S5104">
        <v>4</v>
      </c>
      <c r="T5104">
        <v>205.27083326529291</v>
      </c>
      <c r="U5104">
        <v>4</v>
      </c>
      <c r="V5104">
        <v>0.92132352941176476</v>
      </c>
      <c r="W5104">
        <v>1</v>
      </c>
      <c r="X5104">
        <v>0.92132352941176476</v>
      </c>
      <c r="Y5104">
        <v>747</v>
      </c>
      <c r="Z5104">
        <v>336.75785483480968</v>
      </c>
      <c r="AA5104">
        <v>198</v>
      </c>
      <c r="AB5104">
        <v>332</v>
      </c>
      <c r="AC5104">
        <v>536</v>
      </c>
      <c r="AD5104">
        <v>28.15</v>
      </c>
      <c r="AE5104">
        <v>542</v>
      </c>
      <c r="AF5104">
        <v>21</v>
      </c>
      <c r="AG5104">
        <v>176</v>
      </c>
      <c r="AH5104">
        <v>129</v>
      </c>
      <c r="AI5104">
        <v>3.87</v>
      </c>
      <c r="AJ5104">
        <v>32.47</v>
      </c>
      <c r="AK5104">
        <v>23.8</v>
      </c>
      <c r="AL5104">
        <v>-20.144164099999951</v>
      </c>
      <c r="AM5104">
        <v>-44.909420167767642</v>
      </c>
      <c r="AN5104">
        <v>-20.144164099999951</v>
      </c>
      <c r="AO5104">
        <v>-44.909420167767642</v>
      </c>
      <c r="AP5104">
        <v>-20.144062999999999</v>
      </c>
      <c r="AQ5104">
        <v>-44.909627999999998</v>
      </c>
      <c r="AR5104">
        <v>24.46321571724976</v>
      </c>
      <c r="AS5104" t="s">
        <v>65</v>
      </c>
      <c r="AT5104">
        <v>1</v>
      </c>
      <c r="AU5104" t="s">
        <v>99</v>
      </c>
      <c r="AV5104" t="s">
        <v>94</v>
      </c>
      <c r="AW5104" t="s">
        <v>60</v>
      </c>
      <c r="AX5104" t="s">
        <v>68</v>
      </c>
      <c r="AY5104" t="s">
        <v>69</v>
      </c>
      <c r="AZ5104" t="b">
        <v>1</v>
      </c>
    </row>
    <row r="5105" spans="1:52" x14ac:dyDescent="0.3">
      <c r="A5105" t="s">
        <v>52</v>
      </c>
      <c r="B5105" t="s">
        <v>53</v>
      </c>
      <c r="C5105" t="s">
        <v>54</v>
      </c>
      <c r="D5105" t="s">
        <v>55</v>
      </c>
      <c r="E5105" t="s">
        <v>2278</v>
      </c>
      <c r="F5105" t="s">
        <v>57</v>
      </c>
      <c r="G5105" t="s">
        <v>100</v>
      </c>
      <c r="H5105" t="s">
        <v>101</v>
      </c>
      <c r="I5105" t="s">
        <v>101</v>
      </c>
      <c r="J5105" t="s">
        <v>60</v>
      </c>
      <c r="K5105" t="s">
        <v>61</v>
      </c>
      <c r="L5105" t="s">
        <v>62</v>
      </c>
      <c r="M5105" t="s">
        <v>61</v>
      </c>
      <c r="N5105" t="s">
        <v>102</v>
      </c>
      <c r="O5105" t="s">
        <v>103</v>
      </c>
      <c r="P5105">
        <v>-20.151098999999999</v>
      </c>
      <c r="Q5105">
        <v>-44.909699000000003</v>
      </c>
      <c r="R5105" s="2" t="str">
        <f>HYPERLINK("https://www.google.com/maps?q=-20.1510990,-44.9096990","Abrir no Google Maps")</f>
        <v>Abrir no Google Maps</v>
      </c>
      <c r="S5105">
        <v>4</v>
      </c>
      <c r="T5105">
        <v>628.5023128813533</v>
      </c>
      <c r="U5105">
        <v>4</v>
      </c>
      <c r="V5105">
        <v>0.9033203125</v>
      </c>
      <c r="W5105">
        <v>1</v>
      </c>
      <c r="X5105">
        <v>0.9033203125</v>
      </c>
      <c r="Y5105">
        <v>747</v>
      </c>
      <c r="Z5105">
        <v>563.16456625265948</v>
      </c>
      <c r="AA5105">
        <v>198</v>
      </c>
      <c r="AB5105">
        <v>332</v>
      </c>
      <c r="AC5105">
        <v>536</v>
      </c>
      <c r="AD5105">
        <v>28.15</v>
      </c>
      <c r="AE5105">
        <v>542</v>
      </c>
      <c r="AF5105">
        <v>21</v>
      </c>
      <c r="AG5105">
        <v>176</v>
      </c>
      <c r="AH5105">
        <v>129</v>
      </c>
      <c r="AI5105">
        <v>3.87</v>
      </c>
      <c r="AJ5105">
        <v>32.47</v>
      </c>
      <c r="AK5105">
        <v>23.8</v>
      </c>
      <c r="AL5105">
        <v>-20.151307349999971</v>
      </c>
      <c r="AM5105">
        <v>-44.909772836123523</v>
      </c>
      <c r="AN5105">
        <v>-20.151307349999971</v>
      </c>
      <c r="AO5105">
        <v>-44.909772836123523</v>
      </c>
      <c r="AP5105">
        <v>-20.151098999999999</v>
      </c>
      <c r="AQ5105">
        <v>-44.909699000000003</v>
      </c>
      <c r="AR5105">
        <v>24.443417349564811</v>
      </c>
      <c r="AS5105" t="s">
        <v>65</v>
      </c>
      <c r="AT5105">
        <v>1</v>
      </c>
      <c r="AU5105" t="s">
        <v>104</v>
      </c>
      <c r="AV5105" t="s">
        <v>105</v>
      </c>
      <c r="AW5105" t="s">
        <v>60</v>
      </c>
      <c r="AX5105" t="s">
        <v>68</v>
      </c>
      <c r="AY5105" t="s">
        <v>69</v>
      </c>
      <c r="AZ5105" t="b">
        <v>1</v>
      </c>
    </row>
    <row r="5106" spans="1:52" x14ac:dyDescent="0.3">
      <c r="A5106" t="s">
        <v>52</v>
      </c>
      <c r="B5106" t="s">
        <v>53</v>
      </c>
      <c r="C5106" t="s">
        <v>54</v>
      </c>
      <c r="D5106" t="s">
        <v>55</v>
      </c>
      <c r="E5106" t="s">
        <v>2278</v>
      </c>
      <c r="F5106" t="s">
        <v>57</v>
      </c>
      <c r="G5106" t="s">
        <v>115</v>
      </c>
      <c r="H5106" t="s">
        <v>116</v>
      </c>
      <c r="I5106" t="s">
        <v>116</v>
      </c>
      <c r="J5106" t="s">
        <v>60</v>
      </c>
      <c r="K5106" t="s">
        <v>117</v>
      </c>
      <c r="L5106" t="s">
        <v>62</v>
      </c>
      <c r="M5106" t="s">
        <v>117</v>
      </c>
      <c r="N5106" t="s">
        <v>118</v>
      </c>
      <c r="O5106" t="s">
        <v>119</v>
      </c>
      <c r="P5106">
        <v>-20.116992</v>
      </c>
      <c r="Q5106">
        <v>-44.899355</v>
      </c>
      <c r="R5106" s="2" t="str">
        <f>HYPERLINK("https://www.google.com/maps?q=-20.1169920,-44.8993550","Abrir no Google Maps")</f>
        <v>Abrir no Google Maps</v>
      </c>
      <c r="S5106">
        <v>4</v>
      </c>
      <c r="T5106">
        <v>0</v>
      </c>
      <c r="U5106">
        <v>4</v>
      </c>
      <c r="V5106">
        <v>0.89070855614973266</v>
      </c>
      <c r="W5106">
        <v>1</v>
      </c>
      <c r="X5106">
        <v>0.89070855614973266</v>
      </c>
      <c r="Y5106">
        <v>567</v>
      </c>
      <c r="Z5106">
        <v>54.913678078353321</v>
      </c>
      <c r="AA5106">
        <v>198</v>
      </c>
      <c r="AB5106">
        <v>332</v>
      </c>
      <c r="AC5106">
        <v>536</v>
      </c>
      <c r="AD5106">
        <v>28.15</v>
      </c>
      <c r="AE5106">
        <v>542</v>
      </c>
      <c r="AF5106">
        <v>21</v>
      </c>
      <c r="AG5106">
        <v>176</v>
      </c>
      <c r="AH5106">
        <v>129</v>
      </c>
      <c r="AI5106">
        <v>3.87</v>
      </c>
      <c r="AJ5106">
        <v>32.47</v>
      </c>
      <c r="AK5106">
        <v>23.8</v>
      </c>
      <c r="AL5106">
        <v>-20.117107749999949</v>
      </c>
      <c r="AM5106">
        <v>-44.899271226243108</v>
      </c>
      <c r="AN5106">
        <v>-20.117107749999949</v>
      </c>
      <c r="AO5106">
        <v>-44.899271226243108</v>
      </c>
      <c r="AP5106">
        <v>-20.116992</v>
      </c>
      <c r="AQ5106">
        <v>-44.899355</v>
      </c>
      <c r="AR5106">
        <v>15.579196044083419</v>
      </c>
      <c r="AS5106" t="s">
        <v>65</v>
      </c>
      <c r="AT5106">
        <v>1</v>
      </c>
      <c r="AU5106" t="s">
        <v>120</v>
      </c>
      <c r="AV5106" t="s">
        <v>121</v>
      </c>
      <c r="AW5106" t="s">
        <v>60</v>
      </c>
      <c r="AX5106" t="s">
        <v>68</v>
      </c>
      <c r="AY5106" t="s">
        <v>69</v>
      </c>
      <c r="AZ5106" t="b">
        <v>1</v>
      </c>
    </row>
    <row r="5107" spans="1:52" x14ac:dyDescent="0.3">
      <c r="A5107" t="s">
        <v>52</v>
      </c>
      <c r="B5107" t="s">
        <v>53</v>
      </c>
      <c r="C5107" t="s">
        <v>54</v>
      </c>
      <c r="D5107" t="s">
        <v>55</v>
      </c>
      <c r="E5107" t="s">
        <v>2278</v>
      </c>
      <c r="F5107" t="s">
        <v>57</v>
      </c>
      <c r="G5107" t="s">
        <v>122</v>
      </c>
      <c r="H5107" t="s">
        <v>123</v>
      </c>
      <c r="I5107" t="s">
        <v>123</v>
      </c>
      <c r="J5107" t="s">
        <v>60</v>
      </c>
      <c r="K5107" t="s">
        <v>117</v>
      </c>
      <c r="L5107" t="s">
        <v>62</v>
      </c>
      <c r="M5107" t="s">
        <v>117</v>
      </c>
      <c r="N5107" t="s">
        <v>124</v>
      </c>
      <c r="O5107" t="s">
        <v>125</v>
      </c>
      <c r="P5107">
        <v>-20.11853</v>
      </c>
      <c r="Q5107">
        <v>-44.896925000000003</v>
      </c>
      <c r="R5107" s="2" t="str">
        <f>HYPERLINK("https://www.google.com/maps?q=-20.1185300,-44.8969250","Abrir no Google Maps")</f>
        <v>Abrir no Google Maps</v>
      </c>
      <c r="S5107">
        <v>4</v>
      </c>
      <c r="T5107">
        <v>325.32255721093247</v>
      </c>
      <c r="U5107">
        <v>4</v>
      </c>
      <c r="V5107">
        <v>0.90200617283950602</v>
      </c>
      <c r="W5107">
        <v>1</v>
      </c>
      <c r="X5107">
        <v>0.90200617283950602</v>
      </c>
      <c r="Y5107">
        <v>567</v>
      </c>
      <c r="Z5107">
        <v>306.04423478678871</v>
      </c>
      <c r="AA5107">
        <v>198</v>
      </c>
      <c r="AB5107">
        <v>332</v>
      </c>
      <c r="AC5107">
        <v>536</v>
      </c>
      <c r="AD5107">
        <v>28.15</v>
      </c>
      <c r="AE5107">
        <v>542</v>
      </c>
      <c r="AF5107">
        <v>21</v>
      </c>
      <c r="AG5107">
        <v>176</v>
      </c>
      <c r="AH5107">
        <v>129</v>
      </c>
      <c r="AI5107">
        <v>3.87</v>
      </c>
      <c r="AJ5107">
        <v>32.47</v>
      </c>
      <c r="AK5107">
        <v>23.8</v>
      </c>
      <c r="AL5107">
        <v>-20.118682499999949</v>
      </c>
      <c r="AM5107">
        <v>-44.896643089287927</v>
      </c>
      <c r="AN5107">
        <v>-20.118682499999949</v>
      </c>
      <c r="AO5107">
        <v>-44.896643089287927</v>
      </c>
      <c r="AP5107">
        <v>-20.11853</v>
      </c>
      <c r="AQ5107">
        <v>-44.896925000000003</v>
      </c>
      <c r="AR5107">
        <v>34.007698996886518</v>
      </c>
      <c r="AS5107" t="s">
        <v>65</v>
      </c>
      <c r="AT5107">
        <v>1</v>
      </c>
      <c r="AU5107" t="s">
        <v>126</v>
      </c>
      <c r="AV5107" t="s">
        <v>121</v>
      </c>
      <c r="AW5107" t="s">
        <v>60</v>
      </c>
      <c r="AX5107" t="s">
        <v>68</v>
      </c>
      <c r="AY5107" t="s">
        <v>69</v>
      </c>
      <c r="AZ5107" t="b">
        <v>1</v>
      </c>
    </row>
    <row r="5108" spans="1:52" x14ac:dyDescent="0.3">
      <c r="A5108" t="s">
        <v>52</v>
      </c>
      <c r="B5108" t="s">
        <v>53</v>
      </c>
      <c r="C5108" t="s">
        <v>54</v>
      </c>
      <c r="D5108" t="s">
        <v>55</v>
      </c>
      <c r="E5108" t="s">
        <v>2278</v>
      </c>
      <c r="F5108" t="s">
        <v>57</v>
      </c>
      <c r="G5108" t="s">
        <v>212</v>
      </c>
      <c r="H5108" t="s">
        <v>213</v>
      </c>
      <c r="I5108" t="s">
        <v>213</v>
      </c>
      <c r="J5108" t="s">
        <v>60</v>
      </c>
      <c r="K5108" t="s">
        <v>214</v>
      </c>
      <c r="L5108" t="s">
        <v>62</v>
      </c>
      <c r="M5108" t="s">
        <v>214</v>
      </c>
      <c r="N5108" t="s">
        <v>215</v>
      </c>
      <c r="O5108" t="s">
        <v>216</v>
      </c>
      <c r="P5108">
        <v>-20.158149000000002</v>
      </c>
      <c r="Q5108">
        <v>-44.872593000000002</v>
      </c>
      <c r="R5108" s="2" t="str">
        <f>HYPERLINK("https://www.google.com/maps?q=-20.1581490,-44.8725930","Abrir no Google Maps")</f>
        <v>Abrir no Google Maps</v>
      </c>
      <c r="S5108">
        <v>4</v>
      </c>
      <c r="T5108">
        <v>0</v>
      </c>
      <c r="U5108">
        <v>4</v>
      </c>
      <c r="V5108">
        <v>0.88882823871906835</v>
      </c>
      <c r="W5108">
        <v>1</v>
      </c>
      <c r="X5108">
        <v>0.88882823871906835</v>
      </c>
      <c r="Y5108">
        <v>531</v>
      </c>
      <c r="Z5108">
        <v>127.8805352974544</v>
      </c>
      <c r="AA5108">
        <v>198</v>
      </c>
      <c r="AB5108">
        <v>332</v>
      </c>
      <c r="AC5108">
        <v>536</v>
      </c>
      <c r="AD5108">
        <v>28.15</v>
      </c>
      <c r="AE5108">
        <v>542</v>
      </c>
      <c r="AF5108">
        <v>21</v>
      </c>
      <c r="AG5108">
        <v>176</v>
      </c>
      <c r="AH5108">
        <v>129</v>
      </c>
      <c r="AI5108">
        <v>3.87</v>
      </c>
      <c r="AJ5108">
        <v>32.47</v>
      </c>
      <c r="AK5108">
        <v>23.8</v>
      </c>
      <c r="AL5108">
        <v>-20.158114249999951</v>
      </c>
      <c r="AM5108">
        <v>-44.872583123264782</v>
      </c>
      <c r="AN5108">
        <v>-20.158114249999951</v>
      </c>
      <c r="AO5108">
        <v>-44.872583123264782</v>
      </c>
      <c r="AP5108">
        <v>-20.158149000000002</v>
      </c>
      <c r="AQ5108">
        <v>-44.872593000000002</v>
      </c>
      <c r="AR5108">
        <v>4.0036956087599238</v>
      </c>
      <c r="AS5108" t="s">
        <v>65</v>
      </c>
      <c r="AT5108">
        <v>1</v>
      </c>
      <c r="AU5108" t="s">
        <v>217</v>
      </c>
      <c r="AV5108" t="s">
        <v>218</v>
      </c>
      <c r="AW5108" t="s">
        <v>60</v>
      </c>
      <c r="AX5108" t="s">
        <v>68</v>
      </c>
      <c r="AY5108" t="s">
        <v>69</v>
      </c>
      <c r="AZ5108" t="b">
        <v>1</v>
      </c>
    </row>
    <row r="5109" spans="1:52" x14ac:dyDescent="0.3">
      <c r="A5109" t="s">
        <v>52</v>
      </c>
      <c r="B5109" t="s">
        <v>53</v>
      </c>
      <c r="C5109" t="s">
        <v>54</v>
      </c>
      <c r="D5109" t="s">
        <v>55</v>
      </c>
      <c r="E5109" t="s">
        <v>2278</v>
      </c>
      <c r="F5109" t="s">
        <v>57</v>
      </c>
      <c r="G5109" t="s">
        <v>225</v>
      </c>
      <c r="H5109" t="s">
        <v>226</v>
      </c>
      <c r="I5109" t="s">
        <v>226</v>
      </c>
      <c r="J5109" t="s">
        <v>60</v>
      </c>
      <c r="K5109" t="s">
        <v>227</v>
      </c>
      <c r="L5109" t="s">
        <v>62</v>
      </c>
      <c r="M5109" t="s">
        <v>227</v>
      </c>
      <c r="N5109" t="s">
        <v>228</v>
      </c>
      <c r="O5109" t="s">
        <v>229</v>
      </c>
      <c r="P5109">
        <v>-20.156986</v>
      </c>
      <c r="Q5109">
        <v>-44.857474000000003</v>
      </c>
      <c r="R5109" s="2" t="str">
        <f>HYPERLINK("https://www.google.com/maps?q=-20.1569860,-44.8574740","Abrir no Google Maps")</f>
        <v>Abrir no Google Maps</v>
      </c>
      <c r="S5109">
        <v>4</v>
      </c>
      <c r="T5109">
        <v>270.52797591847911</v>
      </c>
      <c r="U5109">
        <v>4</v>
      </c>
      <c r="V5109">
        <v>0.88888888888888884</v>
      </c>
      <c r="W5109">
        <v>1</v>
      </c>
      <c r="X5109">
        <v>0.88888888888888884</v>
      </c>
      <c r="Y5109">
        <v>518</v>
      </c>
      <c r="Z5109">
        <v>441.86584449256071</v>
      </c>
      <c r="AA5109">
        <v>198</v>
      </c>
      <c r="AB5109">
        <v>332</v>
      </c>
      <c r="AC5109">
        <v>536</v>
      </c>
      <c r="AD5109">
        <v>28.15</v>
      </c>
      <c r="AE5109">
        <v>542</v>
      </c>
      <c r="AF5109">
        <v>21</v>
      </c>
      <c r="AG5109">
        <v>176</v>
      </c>
      <c r="AH5109">
        <v>129</v>
      </c>
      <c r="AI5109">
        <v>3.87</v>
      </c>
      <c r="AJ5109">
        <v>32.47</v>
      </c>
      <c r="AK5109">
        <v>23.8</v>
      </c>
      <c r="AL5109">
        <v>-20.156957249999952</v>
      </c>
      <c r="AM5109">
        <v>-44.857396682659299</v>
      </c>
      <c r="AN5109">
        <v>-20.156957249999952</v>
      </c>
      <c r="AO5109">
        <v>-44.857396682659299</v>
      </c>
      <c r="AP5109">
        <v>-20.156986</v>
      </c>
      <c r="AQ5109">
        <v>-44.857474000000003</v>
      </c>
      <c r="AR5109">
        <v>8.6905800579264607</v>
      </c>
      <c r="AS5109" t="s">
        <v>65</v>
      </c>
      <c r="AT5109">
        <v>1</v>
      </c>
      <c r="AU5109" t="s">
        <v>230</v>
      </c>
      <c r="AV5109" t="s">
        <v>231</v>
      </c>
      <c r="AW5109" t="s">
        <v>60</v>
      </c>
      <c r="AX5109" t="s">
        <v>68</v>
      </c>
      <c r="AY5109" t="s">
        <v>69</v>
      </c>
      <c r="AZ5109" t="b">
        <v>1</v>
      </c>
    </row>
    <row r="5110" spans="1:52" x14ac:dyDescent="0.3">
      <c r="A5110" t="s">
        <v>52</v>
      </c>
      <c r="B5110" t="s">
        <v>53</v>
      </c>
      <c r="C5110" t="s">
        <v>54</v>
      </c>
      <c r="D5110" t="s">
        <v>55</v>
      </c>
      <c r="E5110" t="s">
        <v>2278</v>
      </c>
      <c r="F5110" t="s">
        <v>57</v>
      </c>
      <c r="G5110" t="s">
        <v>232</v>
      </c>
      <c r="H5110" t="s">
        <v>233</v>
      </c>
      <c r="I5110" t="s">
        <v>233</v>
      </c>
      <c r="J5110" t="s">
        <v>60</v>
      </c>
      <c r="K5110" t="s">
        <v>227</v>
      </c>
      <c r="L5110" t="s">
        <v>62</v>
      </c>
      <c r="M5110" t="s">
        <v>227</v>
      </c>
      <c r="N5110" t="s">
        <v>234</v>
      </c>
      <c r="O5110" t="s">
        <v>235</v>
      </c>
      <c r="P5110">
        <v>-20.158666</v>
      </c>
      <c r="Q5110">
        <v>-44.861398999999999</v>
      </c>
      <c r="R5110" s="2" t="str">
        <f>HYPERLINK("https://www.google.com/maps?q=-20.1586660,-44.8613990","Abrir no Google Maps")</f>
        <v>Abrir no Google Maps</v>
      </c>
      <c r="S5110">
        <v>4</v>
      </c>
      <c r="T5110">
        <v>330.01505397941582</v>
      </c>
      <c r="U5110">
        <v>4</v>
      </c>
      <c r="V5110">
        <v>0.89109347442680775</v>
      </c>
      <c r="W5110">
        <v>1</v>
      </c>
      <c r="X5110">
        <v>0.89109347442680775</v>
      </c>
      <c r="Y5110">
        <v>518</v>
      </c>
      <c r="Z5110">
        <v>251.8092920281106</v>
      </c>
      <c r="AA5110">
        <v>198</v>
      </c>
      <c r="AB5110">
        <v>332</v>
      </c>
      <c r="AC5110">
        <v>536</v>
      </c>
      <c r="AD5110">
        <v>28.15</v>
      </c>
      <c r="AE5110">
        <v>542</v>
      </c>
      <c r="AF5110">
        <v>21</v>
      </c>
      <c r="AG5110">
        <v>176</v>
      </c>
      <c r="AH5110">
        <v>129</v>
      </c>
      <c r="AI5110">
        <v>3.87</v>
      </c>
      <c r="AJ5110">
        <v>32.47</v>
      </c>
      <c r="AK5110">
        <v>23.8</v>
      </c>
      <c r="AL5110">
        <v>-20.158631449999969</v>
      </c>
      <c r="AM5110">
        <v>-44.861424574758061</v>
      </c>
      <c r="AN5110">
        <v>-20.158631449999969</v>
      </c>
      <c r="AO5110">
        <v>-44.861424574758061</v>
      </c>
      <c r="AP5110">
        <v>-20.158666</v>
      </c>
      <c r="AQ5110">
        <v>-44.861398999999999</v>
      </c>
      <c r="AR5110">
        <v>4.6835056709567411</v>
      </c>
      <c r="AS5110" t="s">
        <v>65</v>
      </c>
      <c r="AT5110">
        <v>1</v>
      </c>
      <c r="AU5110" t="s">
        <v>236</v>
      </c>
      <c r="AV5110" t="s">
        <v>237</v>
      </c>
      <c r="AW5110" t="s">
        <v>60</v>
      </c>
      <c r="AX5110" t="s">
        <v>68</v>
      </c>
      <c r="AY5110" t="s">
        <v>69</v>
      </c>
      <c r="AZ5110" t="b">
        <v>1</v>
      </c>
    </row>
    <row r="5111" spans="1:52" x14ac:dyDescent="0.3">
      <c r="A5111" t="s">
        <v>52</v>
      </c>
      <c r="B5111" t="s">
        <v>53</v>
      </c>
      <c r="C5111" t="s">
        <v>54</v>
      </c>
      <c r="D5111" t="s">
        <v>55</v>
      </c>
      <c r="E5111" t="s">
        <v>2278</v>
      </c>
      <c r="F5111" t="s">
        <v>57</v>
      </c>
      <c r="G5111" t="s">
        <v>238</v>
      </c>
      <c r="H5111" t="s">
        <v>239</v>
      </c>
      <c r="I5111" t="s">
        <v>239</v>
      </c>
      <c r="J5111" t="s">
        <v>60</v>
      </c>
      <c r="K5111" t="s">
        <v>227</v>
      </c>
      <c r="L5111" t="s">
        <v>62</v>
      </c>
      <c r="M5111" t="s">
        <v>227</v>
      </c>
      <c r="N5111" t="s">
        <v>240</v>
      </c>
      <c r="O5111" t="s">
        <v>202</v>
      </c>
      <c r="P5111">
        <v>-20.155833999999999</v>
      </c>
      <c r="Q5111">
        <v>-44.859437999999997</v>
      </c>
      <c r="R5111" s="2" t="str">
        <f>HYPERLINK("https://www.google.com/maps?q=-20.1558340,-44.8594380","Abrir no Google Maps")</f>
        <v>Abrir no Google Maps</v>
      </c>
      <c r="S5111">
        <v>4</v>
      </c>
      <c r="T5111">
        <v>381.00646482339403</v>
      </c>
      <c r="U5111">
        <v>4</v>
      </c>
      <c r="V5111">
        <v>0.88523391812865504</v>
      </c>
      <c r="W5111">
        <v>1</v>
      </c>
      <c r="X5111">
        <v>0.88523391812865504</v>
      </c>
      <c r="Y5111">
        <v>518</v>
      </c>
      <c r="Z5111">
        <v>484.9275363207239</v>
      </c>
      <c r="AA5111">
        <v>198</v>
      </c>
      <c r="AB5111">
        <v>332</v>
      </c>
      <c r="AC5111">
        <v>536</v>
      </c>
      <c r="AD5111">
        <v>28.15</v>
      </c>
      <c r="AE5111">
        <v>542</v>
      </c>
      <c r="AF5111">
        <v>21</v>
      </c>
      <c r="AG5111">
        <v>176</v>
      </c>
      <c r="AH5111">
        <v>129</v>
      </c>
      <c r="AI5111">
        <v>3.87</v>
      </c>
      <c r="AJ5111">
        <v>32.47</v>
      </c>
      <c r="AK5111">
        <v>23.8</v>
      </c>
      <c r="AL5111">
        <v>-20.155935399999979</v>
      </c>
      <c r="AM5111">
        <v>-44.859367525422847</v>
      </c>
      <c r="AN5111">
        <v>-20.155935399999979</v>
      </c>
      <c r="AO5111">
        <v>-44.859367525422847</v>
      </c>
      <c r="AP5111">
        <v>-20.155833999999999</v>
      </c>
      <c r="AQ5111">
        <v>-44.859437999999997</v>
      </c>
      <c r="AR5111">
        <v>13.477960508152201</v>
      </c>
      <c r="AS5111" t="s">
        <v>65</v>
      </c>
      <c r="AT5111">
        <v>1</v>
      </c>
      <c r="AU5111" t="s">
        <v>241</v>
      </c>
      <c r="AV5111" t="s">
        <v>242</v>
      </c>
      <c r="AW5111" t="s">
        <v>60</v>
      </c>
      <c r="AX5111" t="s">
        <v>68</v>
      </c>
      <c r="AY5111" t="s">
        <v>69</v>
      </c>
      <c r="AZ5111" t="b">
        <v>1</v>
      </c>
    </row>
    <row r="5112" spans="1:52" x14ac:dyDescent="0.3">
      <c r="A5112" t="s">
        <v>52</v>
      </c>
      <c r="B5112" t="s">
        <v>53</v>
      </c>
      <c r="C5112" t="s">
        <v>54</v>
      </c>
      <c r="D5112" t="s">
        <v>55</v>
      </c>
      <c r="E5112" t="s">
        <v>2278</v>
      </c>
      <c r="F5112" t="s">
        <v>57</v>
      </c>
      <c r="G5112" t="s">
        <v>243</v>
      </c>
      <c r="H5112" t="s">
        <v>244</v>
      </c>
      <c r="I5112" t="s">
        <v>244</v>
      </c>
      <c r="J5112" t="s">
        <v>60</v>
      </c>
      <c r="K5112" t="s">
        <v>214</v>
      </c>
      <c r="L5112" t="s">
        <v>62</v>
      </c>
      <c r="M5112" t="s">
        <v>214</v>
      </c>
      <c r="N5112" t="s">
        <v>245</v>
      </c>
      <c r="O5112" t="s">
        <v>246</v>
      </c>
      <c r="P5112">
        <v>-20.156296999999999</v>
      </c>
      <c r="Q5112">
        <v>-44.873035999999999</v>
      </c>
      <c r="R5112" s="2" t="str">
        <f>HYPERLINK("https://www.google.com/maps?q=-20.1562970,-44.8730360","Abrir no Google Maps")</f>
        <v>Abrir no Google Maps</v>
      </c>
      <c r="S5112">
        <v>4</v>
      </c>
      <c r="T5112">
        <v>198.04479306725889</v>
      </c>
      <c r="U5112">
        <v>4</v>
      </c>
      <c r="V5112">
        <v>0.89565972222222223</v>
      </c>
      <c r="W5112">
        <v>1</v>
      </c>
      <c r="X5112">
        <v>0.89565972222222223</v>
      </c>
      <c r="Y5112">
        <v>305</v>
      </c>
      <c r="Z5112">
        <v>267.7765515134916</v>
      </c>
      <c r="AA5112">
        <v>198</v>
      </c>
      <c r="AB5112">
        <v>332</v>
      </c>
      <c r="AC5112">
        <v>536</v>
      </c>
      <c r="AD5112">
        <v>28.15</v>
      </c>
      <c r="AE5112">
        <v>542</v>
      </c>
      <c r="AF5112">
        <v>21</v>
      </c>
      <c r="AG5112">
        <v>176</v>
      </c>
      <c r="AH5112">
        <v>129</v>
      </c>
      <c r="AI5112">
        <v>3.87</v>
      </c>
      <c r="AJ5112">
        <v>32.47</v>
      </c>
      <c r="AK5112">
        <v>23.8</v>
      </c>
      <c r="AL5112">
        <v>-20.156361349999941</v>
      </c>
      <c r="AM5112">
        <v>-44.87296512500793</v>
      </c>
      <c r="AN5112">
        <v>-20.156361349999941</v>
      </c>
      <c r="AO5112">
        <v>-44.87296512500793</v>
      </c>
      <c r="AP5112">
        <v>-20.156296999999999</v>
      </c>
      <c r="AQ5112">
        <v>-44.873035999999999</v>
      </c>
      <c r="AR5112">
        <v>10.304009356726979</v>
      </c>
      <c r="AS5112" t="s">
        <v>65</v>
      </c>
      <c r="AT5112">
        <v>1</v>
      </c>
      <c r="AU5112" t="s">
        <v>247</v>
      </c>
      <c r="AV5112" t="s">
        <v>248</v>
      </c>
      <c r="AW5112" t="s">
        <v>60</v>
      </c>
      <c r="AX5112" t="s">
        <v>68</v>
      </c>
      <c r="AY5112" t="s">
        <v>69</v>
      </c>
      <c r="AZ5112" t="b">
        <v>1</v>
      </c>
    </row>
    <row r="5113" spans="1:52" x14ac:dyDescent="0.3">
      <c r="A5113" t="s">
        <v>52</v>
      </c>
      <c r="B5113" t="s">
        <v>53</v>
      </c>
      <c r="C5113" t="s">
        <v>54</v>
      </c>
      <c r="D5113" t="s">
        <v>55</v>
      </c>
      <c r="E5113" t="s">
        <v>2278</v>
      </c>
      <c r="F5113" t="s">
        <v>57</v>
      </c>
      <c r="G5113" t="s">
        <v>212</v>
      </c>
      <c r="H5113" t="s">
        <v>249</v>
      </c>
      <c r="I5113" t="s">
        <v>249</v>
      </c>
      <c r="J5113" t="s">
        <v>60</v>
      </c>
      <c r="K5113" t="s">
        <v>214</v>
      </c>
      <c r="L5113" t="s">
        <v>62</v>
      </c>
      <c r="M5113" t="s">
        <v>214</v>
      </c>
      <c r="N5113" t="s">
        <v>215</v>
      </c>
      <c r="O5113" t="s">
        <v>250</v>
      </c>
      <c r="P5113">
        <v>-20.153901000000001</v>
      </c>
      <c r="Q5113">
        <v>-44.873201000000002</v>
      </c>
      <c r="R5113" s="2" t="str">
        <f>HYPERLINK("https://www.google.com/maps?q=-20.1539010,-44.8732010","Abrir no Google Maps")</f>
        <v>Abrir no Google Maps</v>
      </c>
      <c r="S5113">
        <v>4</v>
      </c>
      <c r="T5113">
        <v>478.23282142593177</v>
      </c>
      <c r="U5113">
        <v>4</v>
      </c>
      <c r="V5113">
        <v>0.88783670033670026</v>
      </c>
      <c r="W5113">
        <v>1</v>
      </c>
      <c r="X5113">
        <v>0.88783670033670026</v>
      </c>
      <c r="Y5113">
        <v>305</v>
      </c>
      <c r="Z5113">
        <v>392.82025973713081</v>
      </c>
      <c r="AA5113">
        <v>198</v>
      </c>
      <c r="AB5113">
        <v>332</v>
      </c>
      <c r="AC5113">
        <v>536</v>
      </c>
      <c r="AD5113">
        <v>28.15</v>
      </c>
      <c r="AE5113">
        <v>542</v>
      </c>
      <c r="AF5113">
        <v>21</v>
      </c>
      <c r="AG5113">
        <v>176</v>
      </c>
      <c r="AH5113">
        <v>129</v>
      </c>
      <c r="AI5113">
        <v>3.87</v>
      </c>
      <c r="AJ5113">
        <v>32.47</v>
      </c>
      <c r="AK5113">
        <v>23.8</v>
      </c>
      <c r="AL5113">
        <v>-20.153814849999971</v>
      </c>
      <c r="AM5113">
        <v>-44.87304592111829</v>
      </c>
      <c r="AN5113">
        <v>-20.153814849999971</v>
      </c>
      <c r="AO5113">
        <v>-44.87304592111829</v>
      </c>
      <c r="AP5113">
        <v>-20.153901000000001</v>
      </c>
      <c r="AQ5113">
        <v>-44.873201000000002</v>
      </c>
      <c r="AR5113">
        <v>18.831316146831309</v>
      </c>
      <c r="AS5113" t="s">
        <v>65</v>
      </c>
      <c r="AT5113">
        <v>1</v>
      </c>
      <c r="AU5113" t="s">
        <v>251</v>
      </c>
      <c r="AV5113" t="s">
        <v>252</v>
      </c>
      <c r="AW5113" t="s">
        <v>60</v>
      </c>
      <c r="AX5113" t="s">
        <v>68</v>
      </c>
      <c r="AY5113" t="s">
        <v>69</v>
      </c>
      <c r="AZ5113" t="b">
        <v>1</v>
      </c>
    </row>
    <row r="5114" spans="1:52" x14ac:dyDescent="0.3">
      <c r="A5114" t="s">
        <v>52</v>
      </c>
      <c r="B5114" t="s">
        <v>53</v>
      </c>
      <c r="C5114" t="s">
        <v>54</v>
      </c>
      <c r="D5114" t="s">
        <v>55</v>
      </c>
      <c r="E5114" t="s">
        <v>2278</v>
      </c>
      <c r="F5114" t="s">
        <v>57</v>
      </c>
      <c r="G5114" t="s">
        <v>260</v>
      </c>
      <c r="H5114" t="s">
        <v>317</v>
      </c>
      <c r="I5114" t="s">
        <v>317</v>
      </c>
      <c r="J5114" t="s">
        <v>60</v>
      </c>
      <c r="K5114" t="s">
        <v>255</v>
      </c>
      <c r="L5114" t="s">
        <v>62</v>
      </c>
      <c r="M5114" t="s">
        <v>255</v>
      </c>
      <c r="N5114" t="s">
        <v>263</v>
      </c>
      <c r="O5114" t="s">
        <v>318</v>
      </c>
      <c r="P5114">
        <v>-20.163532</v>
      </c>
      <c r="Q5114">
        <v>-44.846910999999999</v>
      </c>
      <c r="R5114" s="2" t="str">
        <f>HYPERLINK("https://www.google.com/maps?q=-20.1635320,-44.8469110","Abrir no Google Maps")</f>
        <v>Abrir no Google Maps</v>
      </c>
      <c r="S5114">
        <v>4</v>
      </c>
      <c r="T5114">
        <v>259.92389401636012</v>
      </c>
      <c r="U5114">
        <v>4</v>
      </c>
      <c r="V5114">
        <v>0.88423295454545447</v>
      </c>
      <c r="W5114">
        <v>1</v>
      </c>
      <c r="X5114">
        <v>0.88423295454545447</v>
      </c>
      <c r="Y5114">
        <v>292</v>
      </c>
      <c r="Z5114">
        <v>316.26738966059708</v>
      </c>
      <c r="AA5114">
        <v>198</v>
      </c>
      <c r="AB5114">
        <v>332</v>
      </c>
      <c r="AC5114">
        <v>536</v>
      </c>
      <c r="AD5114">
        <v>28.15</v>
      </c>
      <c r="AE5114">
        <v>542</v>
      </c>
      <c r="AF5114">
        <v>21</v>
      </c>
      <c r="AG5114">
        <v>176</v>
      </c>
      <c r="AH5114">
        <v>129</v>
      </c>
      <c r="AI5114">
        <v>3.87</v>
      </c>
      <c r="AJ5114">
        <v>32.47</v>
      </c>
      <c r="AK5114">
        <v>23.8</v>
      </c>
      <c r="AL5114">
        <v>-20.16343344999996</v>
      </c>
      <c r="AM5114">
        <v>-44.846734659744428</v>
      </c>
      <c r="AN5114">
        <v>-20.16343344999996</v>
      </c>
      <c r="AO5114">
        <v>-44.846734659744428</v>
      </c>
      <c r="AP5114">
        <v>-20.163532</v>
      </c>
      <c r="AQ5114">
        <v>-44.846910999999999</v>
      </c>
      <c r="AR5114">
        <v>21.445575432006599</v>
      </c>
      <c r="AS5114" t="s">
        <v>65</v>
      </c>
      <c r="AT5114">
        <v>1</v>
      </c>
      <c r="AU5114" t="s">
        <v>319</v>
      </c>
      <c r="AV5114" t="s">
        <v>320</v>
      </c>
      <c r="AW5114" t="s">
        <v>60</v>
      </c>
      <c r="AX5114" t="s">
        <v>68</v>
      </c>
      <c r="AY5114" t="s">
        <v>69</v>
      </c>
      <c r="AZ5114" t="b">
        <v>1</v>
      </c>
    </row>
    <row r="5115" spans="1:52" x14ac:dyDescent="0.3">
      <c r="A5115" t="s">
        <v>52</v>
      </c>
      <c r="B5115" t="s">
        <v>53</v>
      </c>
      <c r="C5115" t="s">
        <v>54</v>
      </c>
      <c r="D5115" t="s">
        <v>55</v>
      </c>
      <c r="E5115" t="s">
        <v>2278</v>
      </c>
      <c r="F5115" t="s">
        <v>57</v>
      </c>
      <c r="G5115" t="s">
        <v>353</v>
      </c>
      <c r="H5115" t="s">
        <v>354</v>
      </c>
      <c r="I5115" t="s">
        <v>354</v>
      </c>
      <c r="J5115" t="s">
        <v>60</v>
      </c>
      <c r="K5115" t="s">
        <v>355</v>
      </c>
      <c r="L5115" t="s">
        <v>62</v>
      </c>
      <c r="M5115" t="s">
        <v>355</v>
      </c>
      <c r="N5115" t="s">
        <v>356</v>
      </c>
      <c r="O5115" t="s">
        <v>357</v>
      </c>
      <c r="P5115">
        <v>-20.147373999999999</v>
      </c>
      <c r="Q5115">
        <v>-44.875141999999997</v>
      </c>
      <c r="R5115" s="2" t="str">
        <f>HYPERLINK("https://www.google.com/maps?q=-20.1473740,-44.8751420","Abrir no Google Maps")</f>
        <v>Abrir no Google Maps</v>
      </c>
      <c r="S5115">
        <v>4</v>
      </c>
      <c r="T5115">
        <v>394.29708169591709</v>
      </c>
      <c r="U5115">
        <v>4</v>
      </c>
      <c r="V5115">
        <v>0.89782608695652166</v>
      </c>
      <c r="W5115">
        <v>1</v>
      </c>
      <c r="X5115">
        <v>0.89782608695652166</v>
      </c>
      <c r="Y5115">
        <v>209</v>
      </c>
      <c r="Z5115">
        <v>326.95034461828868</v>
      </c>
      <c r="AA5115">
        <v>198</v>
      </c>
      <c r="AB5115">
        <v>332</v>
      </c>
      <c r="AC5115">
        <v>536</v>
      </c>
      <c r="AD5115">
        <v>28.15</v>
      </c>
      <c r="AE5115">
        <v>542</v>
      </c>
      <c r="AF5115">
        <v>21</v>
      </c>
      <c r="AG5115">
        <v>176</v>
      </c>
      <c r="AH5115">
        <v>129</v>
      </c>
      <c r="AI5115">
        <v>3.87</v>
      </c>
      <c r="AJ5115">
        <v>32.47</v>
      </c>
      <c r="AK5115">
        <v>23.8</v>
      </c>
      <c r="AL5115">
        <v>-20.147207999999949</v>
      </c>
      <c r="AM5115">
        <v>-44.875152120336942</v>
      </c>
      <c r="AN5115">
        <v>-20.147207999999949</v>
      </c>
      <c r="AO5115">
        <v>-44.875152120336942</v>
      </c>
      <c r="AP5115">
        <v>-20.147373999999999</v>
      </c>
      <c r="AQ5115">
        <v>-44.875141999999997</v>
      </c>
      <c r="AR5115">
        <v>18.509363081081169</v>
      </c>
      <c r="AS5115" t="s">
        <v>65</v>
      </c>
      <c r="AT5115">
        <v>1</v>
      </c>
      <c r="AU5115" t="s">
        <v>358</v>
      </c>
      <c r="AV5115" t="s">
        <v>359</v>
      </c>
      <c r="AW5115" t="s">
        <v>60</v>
      </c>
      <c r="AX5115" t="s">
        <v>68</v>
      </c>
      <c r="AY5115" t="s">
        <v>69</v>
      </c>
      <c r="AZ5115" t="b">
        <v>1</v>
      </c>
    </row>
    <row r="5116" spans="1:52" x14ac:dyDescent="0.3">
      <c r="A5116" t="s">
        <v>52</v>
      </c>
      <c r="B5116" t="s">
        <v>53</v>
      </c>
      <c r="C5116" t="s">
        <v>54</v>
      </c>
      <c r="D5116" t="s">
        <v>55</v>
      </c>
      <c r="E5116" t="s">
        <v>2278</v>
      </c>
      <c r="F5116" t="s">
        <v>57</v>
      </c>
      <c r="G5116" t="s">
        <v>360</v>
      </c>
      <c r="H5116" t="s">
        <v>361</v>
      </c>
      <c r="I5116" t="s">
        <v>361</v>
      </c>
      <c r="J5116" t="s">
        <v>60</v>
      </c>
      <c r="K5116" t="s">
        <v>362</v>
      </c>
      <c r="L5116" t="s">
        <v>62</v>
      </c>
      <c r="M5116" t="s">
        <v>362</v>
      </c>
      <c r="N5116" t="s">
        <v>363</v>
      </c>
      <c r="O5116" t="s">
        <v>235</v>
      </c>
      <c r="P5116">
        <v>-20.143716999999999</v>
      </c>
      <c r="Q5116">
        <v>-44.875278000000002</v>
      </c>
      <c r="R5116" s="2" t="str">
        <f>HYPERLINK("https://www.google.com/maps?q=-20.1437170,-44.8752780","Abrir no Google Maps")</f>
        <v>Abrir no Google Maps</v>
      </c>
      <c r="S5116">
        <v>4</v>
      </c>
      <c r="T5116">
        <v>0</v>
      </c>
      <c r="U5116">
        <v>4</v>
      </c>
      <c r="V5116">
        <v>0.89370265151515149</v>
      </c>
      <c r="W5116">
        <v>1</v>
      </c>
      <c r="X5116">
        <v>0.89370265151515149</v>
      </c>
      <c r="Y5116">
        <v>209</v>
      </c>
      <c r="Z5116">
        <v>121.8438559354383</v>
      </c>
      <c r="AA5116">
        <v>198</v>
      </c>
      <c r="AB5116">
        <v>332</v>
      </c>
      <c r="AC5116">
        <v>536</v>
      </c>
      <c r="AD5116">
        <v>28.15</v>
      </c>
      <c r="AE5116">
        <v>542</v>
      </c>
      <c r="AF5116">
        <v>21</v>
      </c>
      <c r="AG5116">
        <v>176</v>
      </c>
      <c r="AH5116">
        <v>129</v>
      </c>
      <c r="AI5116">
        <v>3.87</v>
      </c>
      <c r="AJ5116">
        <v>32.47</v>
      </c>
      <c r="AK5116">
        <v>23.8</v>
      </c>
      <c r="AL5116">
        <v>-20.143665999999961</v>
      </c>
      <c r="AM5116">
        <v>-44.875561853046079</v>
      </c>
      <c r="AN5116">
        <v>-20.143665999999961</v>
      </c>
      <c r="AO5116">
        <v>-44.875561853046079</v>
      </c>
      <c r="AP5116">
        <v>-20.143716999999999</v>
      </c>
      <c r="AQ5116">
        <v>-44.875278000000002</v>
      </c>
      <c r="AR5116">
        <v>30.20407282671313</v>
      </c>
      <c r="AS5116" t="s">
        <v>65</v>
      </c>
      <c r="AT5116">
        <v>1</v>
      </c>
      <c r="AU5116" t="s">
        <v>364</v>
      </c>
      <c r="AV5116" t="s">
        <v>365</v>
      </c>
      <c r="AW5116" t="s">
        <v>60</v>
      </c>
      <c r="AX5116" t="s">
        <v>68</v>
      </c>
      <c r="AY5116" t="s">
        <v>69</v>
      </c>
      <c r="AZ5116" t="b">
        <v>1</v>
      </c>
    </row>
    <row r="5117" spans="1:52" x14ac:dyDescent="0.3">
      <c r="A5117" t="s">
        <v>52</v>
      </c>
      <c r="B5117" t="s">
        <v>53</v>
      </c>
      <c r="C5117" t="s">
        <v>54</v>
      </c>
      <c r="D5117" t="s">
        <v>55</v>
      </c>
      <c r="E5117" t="s">
        <v>2278</v>
      </c>
      <c r="F5117" t="s">
        <v>57</v>
      </c>
      <c r="G5117" t="s">
        <v>366</v>
      </c>
      <c r="H5117" t="s">
        <v>367</v>
      </c>
      <c r="I5117" t="s">
        <v>367</v>
      </c>
      <c r="J5117" t="s">
        <v>60</v>
      </c>
      <c r="K5117" t="s">
        <v>368</v>
      </c>
      <c r="L5117" t="s">
        <v>62</v>
      </c>
      <c r="M5117" t="s">
        <v>368</v>
      </c>
      <c r="N5117" t="s">
        <v>369</v>
      </c>
      <c r="O5117" t="s">
        <v>370</v>
      </c>
      <c r="P5117">
        <v>-20.144553999999999</v>
      </c>
      <c r="Q5117">
        <v>-44.868183000000002</v>
      </c>
      <c r="R5117" s="2" t="str">
        <f>HYPERLINK("https://www.google.com/maps?q=-20.1445540,-44.8681830","Abrir no Google Maps")</f>
        <v>Abrir no Google Maps</v>
      </c>
      <c r="S5117">
        <v>4</v>
      </c>
      <c r="T5117">
        <v>783.87848835431373</v>
      </c>
      <c r="U5117">
        <v>4</v>
      </c>
      <c r="V5117">
        <v>0.89003759398496229</v>
      </c>
      <c r="W5117">
        <v>1</v>
      </c>
      <c r="X5117">
        <v>0.89003759398496229</v>
      </c>
      <c r="Y5117">
        <v>198</v>
      </c>
      <c r="Z5117">
        <v>360.68413994394842</v>
      </c>
      <c r="AA5117">
        <v>198</v>
      </c>
      <c r="AB5117">
        <v>332</v>
      </c>
      <c r="AC5117">
        <v>536</v>
      </c>
      <c r="AD5117">
        <v>28.15</v>
      </c>
      <c r="AE5117">
        <v>542</v>
      </c>
      <c r="AF5117">
        <v>21</v>
      </c>
      <c r="AG5117">
        <v>176</v>
      </c>
      <c r="AH5117">
        <v>129</v>
      </c>
      <c r="AI5117">
        <v>3.87</v>
      </c>
      <c r="AJ5117">
        <v>32.47</v>
      </c>
      <c r="AK5117">
        <v>23.8</v>
      </c>
      <c r="AL5117">
        <v>-20.144487399999949</v>
      </c>
      <c r="AM5117">
        <v>-44.868111936674481</v>
      </c>
      <c r="AN5117">
        <v>-20.144487399999939</v>
      </c>
      <c r="AO5117">
        <v>-44.868111936674481</v>
      </c>
      <c r="AP5117">
        <v>-20.144553999999999</v>
      </c>
      <c r="AQ5117">
        <v>-44.868183000000002</v>
      </c>
      <c r="AR5117">
        <v>10.49400387332288</v>
      </c>
      <c r="AS5117" t="s">
        <v>65</v>
      </c>
      <c r="AT5117">
        <v>1</v>
      </c>
      <c r="AU5117" t="s">
        <v>371</v>
      </c>
      <c r="AV5117" t="s">
        <v>372</v>
      </c>
      <c r="AW5117" t="s">
        <v>60</v>
      </c>
      <c r="AX5117" t="s">
        <v>68</v>
      </c>
      <c r="AY5117" t="s">
        <v>69</v>
      </c>
      <c r="AZ5117" t="b">
        <v>1</v>
      </c>
    </row>
    <row r="5118" spans="1:52" x14ac:dyDescent="0.3">
      <c r="A5118" t="s">
        <v>52</v>
      </c>
      <c r="B5118" t="s">
        <v>53</v>
      </c>
      <c r="C5118" t="s">
        <v>54</v>
      </c>
      <c r="D5118" t="s">
        <v>55</v>
      </c>
      <c r="E5118" t="s">
        <v>2278</v>
      </c>
      <c r="F5118" t="s">
        <v>57</v>
      </c>
      <c r="G5118" t="s">
        <v>1728</v>
      </c>
      <c r="H5118" t="s">
        <v>1729</v>
      </c>
      <c r="I5118" t="s">
        <v>1729</v>
      </c>
      <c r="J5118" t="s">
        <v>60</v>
      </c>
      <c r="K5118" t="s">
        <v>171</v>
      </c>
      <c r="L5118" t="s">
        <v>62</v>
      </c>
      <c r="M5118" t="s">
        <v>171</v>
      </c>
      <c r="N5118" t="s">
        <v>1730</v>
      </c>
      <c r="O5118" t="s">
        <v>1731</v>
      </c>
      <c r="P5118">
        <v>-20.153237000000001</v>
      </c>
      <c r="Q5118">
        <v>-44.893830999999999</v>
      </c>
      <c r="R5118" s="2" t="str">
        <f>HYPERLINK("https://www.google.com/maps?q=-20.1532370,-44.8938310","Abrir no Google Maps")</f>
        <v>Abrir no Google Maps</v>
      </c>
      <c r="S5118">
        <v>4</v>
      </c>
      <c r="T5118">
        <v>413.69072684661631</v>
      </c>
      <c r="U5118">
        <v>4</v>
      </c>
      <c r="V5118">
        <v>0.8956473214285714</v>
      </c>
      <c r="W5118">
        <v>1</v>
      </c>
      <c r="X5118">
        <v>0.8956473214285714</v>
      </c>
      <c r="Y5118">
        <v>129</v>
      </c>
      <c r="Z5118">
        <v>276.95856023076033</v>
      </c>
      <c r="AA5118">
        <v>198</v>
      </c>
      <c r="AB5118">
        <v>332</v>
      </c>
      <c r="AC5118">
        <v>536</v>
      </c>
      <c r="AD5118">
        <v>28.15</v>
      </c>
      <c r="AE5118">
        <v>542</v>
      </c>
      <c r="AF5118">
        <v>21</v>
      </c>
      <c r="AG5118">
        <v>176</v>
      </c>
      <c r="AH5118">
        <v>129</v>
      </c>
      <c r="AI5118">
        <v>3.87</v>
      </c>
      <c r="AJ5118">
        <v>32.47</v>
      </c>
      <c r="AK5118">
        <v>23.8</v>
      </c>
      <c r="AL5118">
        <v>-20.15278304999995</v>
      </c>
      <c r="AM5118">
        <v>-44.894325691070982</v>
      </c>
      <c r="AN5118">
        <v>-20.15278304999995</v>
      </c>
      <c r="AO5118">
        <v>-44.894325691070982</v>
      </c>
      <c r="AP5118">
        <v>-20.153237000000001</v>
      </c>
      <c r="AQ5118">
        <v>-44.893830999999999</v>
      </c>
      <c r="AR5118">
        <v>72.293093135883012</v>
      </c>
      <c r="AS5118" t="s">
        <v>65</v>
      </c>
      <c r="AT5118">
        <v>1</v>
      </c>
      <c r="AU5118" t="s">
        <v>1732</v>
      </c>
      <c r="AV5118" t="s">
        <v>1733</v>
      </c>
      <c r="AW5118" t="s">
        <v>60</v>
      </c>
      <c r="AX5118" t="s">
        <v>68</v>
      </c>
      <c r="AY5118" t="s">
        <v>69</v>
      </c>
      <c r="AZ5118" t="b">
        <v>1</v>
      </c>
    </row>
    <row r="5119" spans="1:52" x14ac:dyDescent="0.3">
      <c r="A5119" t="s">
        <v>52</v>
      </c>
      <c r="B5119" t="s">
        <v>53</v>
      </c>
      <c r="C5119" t="s">
        <v>54</v>
      </c>
      <c r="D5119" t="s">
        <v>55</v>
      </c>
      <c r="E5119" t="s">
        <v>2278</v>
      </c>
      <c r="F5119" t="s">
        <v>57</v>
      </c>
      <c r="G5119" t="s">
        <v>169</v>
      </c>
      <c r="H5119" t="s">
        <v>170</v>
      </c>
      <c r="I5119" t="s">
        <v>170</v>
      </c>
      <c r="J5119" t="s">
        <v>60</v>
      </c>
      <c r="K5119" t="s">
        <v>171</v>
      </c>
      <c r="L5119" t="s">
        <v>62</v>
      </c>
      <c r="M5119" t="s">
        <v>171</v>
      </c>
      <c r="N5119" t="s">
        <v>172</v>
      </c>
      <c r="O5119" t="s">
        <v>173</v>
      </c>
      <c r="P5119">
        <v>-20.15334</v>
      </c>
      <c r="Q5119">
        <v>-44.891691000000002</v>
      </c>
      <c r="R5119" s="2" t="str">
        <f>HYPERLINK("https://www.google.com/maps?q=-20.1533400,-44.8916910","Abrir no Google Maps")</f>
        <v>Abrir no Google Maps</v>
      </c>
      <c r="S5119">
        <v>4</v>
      </c>
      <c r="T5119">
        <v>263.82013116084107</v>
      </c>
      <c r="U5119">
        <v>4</v>
      </c>
      <c r="V5119">
        <v>0.91422764227642284</v>
      </c>
      <c r="W5119">
        <v>1</v>
      </c>
      <c r="X5119">
        <v>0.91422764227642284</v>
      </c>
      <c r="Y5119">
        <v>129</v>
      </c>
      <c r="Z5119">
        <v>72.771047355993247</v>
      </c>
      <c r="AA5119">
        <v>198</v>
      </c>
      <c r="AB5119">
        <v>332</v>
      </c>
      <c r="AC5119">
        <v>536</v>
      </c>
      <c r="AD5119">
        <v>28.15</v>
      </c>
      <c r="AE5119">
        <v>542</v>
      </c>
      <c r="AF5119">
        <v>21</v>
      </c>
      <c r="AG5119">
        <v>176</v>
      </c>
      <c r="AH5119">
        <v>129</v>
      </c>
      <c r="AI5119">
        <v>3.87</v>
      </c>
      <c r="AJ5119">
        <v>32.47</v>
      </c>
      <c r="AK5119">
        <v>23.8</v>
      </c>
      <c r="AL5119">
        <v>-20.153531799999971</v>
      </c>
      <c r="AM5119">
        <v>-44.89196779651779</v>
      </c>
      <c r="AN5119">
        <v>-20.153531799999971</v>
      </c>
      <c r="AO5119">
        <v>-44.89196779651779</v>
      </c>
      <c r="AP5119">
        <v>-20.15334</v>
      </c>
      <c r="AQ5119">
        <v>-44.891691000000002</v>
      </c>
      <c r="AR5119">
        <v>35.952871813310509</v>
      </c>
      <c r="AS5119" t="s">
        <v>65</v>
      </c>
      <c r="AT5119">
        <v>1</v>
      </c>
      <c r="AU5119" t="s">
        <v>174</v>
      </c>
      <c r="AV5119" t="s">
        <v>175</v>
      </c>
      <c r="AW5119" t="s">
        <v>60</v>
      </c>
      <c r="AX5119" t="s">
        <v>68</v>
      </c>
      <c r="AY5119" t="s">
        <v>69</v>
      </c>
      <c r="AZ5119" t="b">
        <v>1</v>
      </c>
    </row>
    <row r="5120" spans="1:52" x14ac:dyDescent="0.3">
      <c r="A5120" t="s">
        <v>52</v>
      </c>
      <c r="B5120" t="s">
        <v>53</v>
      </c>
      <c r="C5120" t="s">
        <v>54</v>
      </c>
      <c r="D5120" t="s">
        <v>55</v>
      </c>
      <c r="E5120" t="s">
        <v>2278</v>
      </c>
      <c r="F5120" t="s">
        <v>190</v>
      </c>
      <c r="G5120" t="s">
        <v>191</v>
      </c>
      <c r="H5120" t="s">
        <v>192</v>
      </c>
      <c r="I5120" t="s">
        <v>192</v>
      </c>
      <c r="J5120" t="s">
        <v>60</v>
      </c>
      <c r="K5120" t="s">
        <v>193</v>
      </c>
      <c r="L5120" t="s">
        <v>62</v>
      </c>
      <c r="M5120" t="s">
        <v>193</v>
      </c>
      <c r="N5120" t="s">
        <v>194</v>
      </c>
      <c r="O5120" t="s">
        <v>195</v>
      </c>
      <c r="P5120">
        <v>-20.143266000000001</v>
      </c>
      <c r="Q5120">
        <v>-44.912075000000002</v>
      </c>
      <c r="R5120" s="2" t="str">
        <f>HYPERLINK("https://www.google.com/maps?q=-20.1432660,-44.9120750","Abrir no Google Maps")</f>
        <v>Abrir no Google Maps</v>
      </c>
      <c r="S5120">
        <v>4</v>
      </c>
      <c r="T5120">
        <v>467.04339396175408</v>
      </c>
      <c r="U5120">
        <v>3</v>
      </c>
      <c r="V5120">
        <v>0.8793044077134986</v>
      </c>
      <c r="W5120">
        <v>1</v>
      </c>
      <c r="X5120">
        <v>0.8793044077134986</v>
      </c>
      <c r="Y5120">
        <v>747</v>
      </c>
      <c r="Z5120">
        <v>585.1742452866996</v>
      </c>
      <c r="AA5120">
        <v>198</v>
      </c>
      <c r="AB5120">
        <v>332</v>
      </c>
      <c r="AC5120">
        <v>536</v>
      </c>
      <c r="AD5120">
        <v>28.15</v>
      </c>
      <c r="AE5120">
        <v>542</v>
      </c>
      <c r="AF5120">
        <v>21</v>
      </c>
      <c r="AG5120">
        <v>176</v>
      </c>
      <c r="AH5120">
        <v>129</v>
      </c>
      <c r="AI5120">
        <v>3.87</v>
      </c>
      <c r="AJ5120">
        <v>32.47</v>
      </c>
      <c r="AK5120">
        <v>23.8</v>
      </c>
      <c r="AL5120">
        <v>-20.143307949999951</v>
      </c>
      <c r="AM5120">
        <v>-44.912066629431067</v>
      </c>
      <c r="AN5120">
        <v>-20.143307949999951</v>
      </c>
      <c r="AO5120">
        <v>-44.912066629431067</v>
      </c>
      <c r="AP5120">
        <v>-20.143266000000001</v>
      </c>
      <c r="AQ5120">
        <v>-44.912075000000002</v>
      </c>
      <c r="AR5120">
        <v>4.751108024498329</v>
      </c>
      <c r="AS5120" t="s">
        <v>65</v>
      </c>
      <c r="AT5120">
        <v>1</v>
      </c>
      <c r="AU5120" t="s">
        <v>196</v>
      </c>
      <c r="AV5120" t="s">
        <v>197</v>
      </c>
      <c r="AW5120" t="s">
        <v>60</v>
      </c>
      <c r="AX5120" t="s">
        <v>68</v>
      </c>
      <c r="AY5120" t="s">
        <v>69</v>
      </c>
      <c r="AZ5120" t="b">
        <v>1</v>
      </c>
    </row>
    <row r="5121" spans="1:52" x14ac:dyDescent="0.3">
      <c r="A5121" t="s">
        <v>52</v>
      </c>
      <c r="B5121" t="s">
        <v>53</v>
      </c>
      <c r="C5121" t="s">
        <v>54</v>
      </c>
      <c r="D5121" t="s">
        <v>55</v>
      </c>
      <c r="E5121" t="s">
        <v>2278</v>
      </c>
      <c r="F5121" t="s">
        <v>190</v>
      </c>
      <c r="G5121" t="s">
        <v>219</v>
      </c>
      <c r="H5121" t="s">
        <v>220</v>
      </c>
      <c r="I5121" t="s">
        <v>220</v>
      </c>
      <c r="J5121" t="s">
        <v>60</v>
      </c>
      <c r="K5121" t="s">
        <v>214</v>
      </c>
      <c r="L5121" t="s">
        <v>62</v>
      </c>
      <c r="M5121" t="s">
        <v>214</v>
      </c>
      <c r="N5121" t="s">
        <v>221</v>
      </c>
      <c r="O5121" t="s">
        <v>222</v>
      </c>
      <c r="P5121">
        <v>-20.158049999999999</v>
      </c>
      <c r="Q5121">
        <v>-44.868823999999996</v>
      </c>
      <c r="R5121" s="2" t="str">
        <f>HYPERLINK("https://www.google.com/maps?q=-20.1580500,-44.8688240","Abrir no Google Maps")</f>
        <v>Abrir no Google Maps</v>
      </c>
      <c r="S5121">
        <v>4</v>
      </c>
      <c r="T5121">
        <v>400.85705002223079</v>
      </c>
      <c r="U5121">
        <v>3</v>
      </c>
      <c r="V5121">
        <v>0.88291796469366568</v>
      </c>
      <c r="W5121">
        <v>1</v>
      </c>
      <c r="X5121">
        <v>0.88291796469366568</v>
      </c>
      <c r="Y5121">
        <v>531</v>
      </c>
      <c r="Z5121">
        <v>493.98501624607121</v>
      </c>
      <c r="AA5121">
        <v>198</v>
      </c>
      <c r="AB5121">
        <v>332</v>
      </c>
      <c r="AC5121">
        <v>536</v>
      </c>
      <c r="AD5121">
        <v>28.15</v>
      </c>
      <c r="AE5121">
        <v>542</v>
      </c>
      <c r="AF5121">
        <v>21</v>
      </c>
      <c r="AG5121">
        <v>176</v>
      </c>
      <c r="AH5121">
        <v>129</v>
      </c>
      <c r="AI5121">
        <v>3.87</v>
      </c>
      <c r="AJ5121">
        <v>32.47</v>
      </c>
      <c r="AK5121">
        <v>23.8</v>
      </c>
      <c r="AL5121">
        <v>-20.158020649999969</v>
      </c>
      <c r="AM5121">
        <v>-44.868748475381317</v>
      </c>
      <c r="AN5121">
        <v>-20.158020649999969</v>
      </c>
      <c r="AO5121">
        <v>-44.868748475381331</v>
      </c>
      <c r="AP5121">
        <v>-20.158049999999999</v>
      </c>
      <c r="AQ5121">
        <v>-44.868823999999996</v>
      </c>
      <c r="AR5121">
        <v>8.5419571471718818</v>
      </c>
      <c r="AS5121" t="s">
        <v>65</v>
      </c>
      <c r="AT5121">
        <v>1</v>
      </c>
      <c r="AU5121" t="s">
        <v>223</v>
      </c>
      <c r="AV5121" t="s">
        <v>224</v>
      </c>
      <c r="AW5121" t="s">
        <v>60</v>
      </c>
      <c r="AX5121" t="s">
        <v>68</v>
      </c>
      <c r="AY5121" t="s">
        <v>69</v>
      </c>
      <c r="AZ5121" t="b">
        <v>1</v>
      </c>
    </row>
    <row r="5122" spans="1:52" x14ac:dyDescent="0.3">
      <c r="A5122" t="s">
        <v>52</v>
      </c>
      <c r="B5122" t="s">
        <v>53</v>
      </c>
      <c r="C5122" t="s">
        <v>54</v>
      </c>
      <c r="D5122" t="s">
        <v>55</v>
      </c>
      <c r="E5122" t="s">
        <v>2278</v>
      </c>
      <c r="F5122" t="s">
        <v>190</v>
      </c>
      <c r="G5122" t="s">
        <v>1618</v>
      </c>
      <c r="H5122" t="s">
        <v>1619</v>
      </c>
      <c r="I5122" t="s">
        <v>1619</v>
      </c>
      <c r="J5122" t="s">
        <v>60</v>
      </c>
      <c r="K5122" t="s">
        <v>227</v>
      </c>
      <c r="L5122" t="s">
        <v>62</v>
      </c>
      <c r="M5122" t="s">
        <v>227</v>
      </c>
      <c r="N5122" t="s">
        <v>228</v>
      </c>
      <c r="O5122" t="s">
        <v>1620</v>
      </c>
      <c r="P5122">
        <v>-20.159497999999999</v>
      </c>
      <c r="Q5122">
        <v>-44.852925999999997</v>
      </c>
      <c r="R5122" s="2" t="str">
        <f>HYPERLINK("https://www.google.com/maps?q=-20.1594980,-44.8529260","Abrir no Google Maps")</f>
        <v>Abrir no Google Maps</v>
      </c>
      <c r="S5122">
        <v>4</v>
      </c>
      <c r="T5122">
        <v>560.11627509727657</v>
      </c>
      <c r="U5122">
        <v>3</v>
      </c>
      <c r="V5122">
        <v>0.86582232011747429</v>
      </c>
      <c r="W5122">
        <v>1</v>
      </c>
      <c r="X5122">
        <v>0.86582232011747429</v>
      </c>
      <c r="Y5122">
        <v>491</v>
      </c>
      <c r="Z5122">
        <v>609.25494989442086</v>
      </c>
      <c r="AA5122">
        <v>198</v>
      </c>
      <c r="AB5122">
        <v>332</v>
      </c>
      <c r="AC5122">
        <v>536</v>
      </c>
      <c r="AD5122">
        <v>28.15</v>
      </c>
      <c r="AE5122">
        <v>542</v>
      </c>
      <c r="AF5122">
        <v>21</v>
      </c>
      <c r="AG5122">
        <v>176</v>
      </c>
      <c r="AH5122">
        <v>129</v>
      </c>
      <c r="AI5122">
        <v>3.87</v>
      </c>
      <c r="AJ5122">
        <v>32.47</v>
      </c>
      <c r="AK5122">
        <v>23.8</v>
      </c>
      <c r="AL5122">
        <v>-20.159495399999969</v>
      </c>
      <c r="AM5122">
        <v>-44.85297928977559</v>
      </c>
      <c r="AN5122">
        <v>-20.159495399999969</v>
      </c>
      <c r="AO5122">
        <v>-44.85297928977559</v>
      </c>
      <c r="AP5122">
        <v>-20.159497999999999</v>
      </c>
      <c r="AQ5122">
        <v>-44.852925999999997</v>
      </c>
      <c r="AR5122">
        <v>5.5763081103260701</v>
      </c>
      <c r="AS5122" t="s">
        <v>65</v>
      </c>
      <c r="AT5122">
        <v>1</v>
      </c>
      <c r="AU5122" t="s">
        <v>1621</v>
      </c>
      <c r="AV5122" t="s">
        <v>1622</v>
      </c>
      <c r="AW5122" t="s">
        <v>60</v>
      </c>
      <c r="AX5122" t="s">
        <v>68</v>
      </c>
      <c r="AY5122" t="s">
        <v>69</v>
      </c>
      <c r="AZ5122" t="b">
        <v>1</v>
      </c>
    </row>
    <row r="5123" spans="1:52" x14ac:dyDescent="0.3">
      <c r="A5123" t="s">
        <v>52</v>
      </c>
      <c r="B5123" t="s">
        <v>53</v>
      </c>
      <c r="C5123" t="s">
        <v>54</v>
      </c>
      <c r="D5123" t="s">
        <v>55</v>
      </c>
      <c r="E5123" t="s">
        <v>2278</v>
      </c>
      <c r="F5123" t="s">
        <v>190</v>
      </c>
      <c r="G5123" t="s">
        <v>127</v>
      </c>
      <c r="H5123" t="s">
        <v>128</v>
      </c>
      <c r="I5123" t="s">
        <v>128</v>
      </c>
      <c r="J5123" t="s">
        <v>60</v>
      </c>
      <c r="K5123" t="s">
        <v>129</v>
      </c>
      <c r="L5123" t="s">
        <v>62</v>
      </c>
      <c r="M5123" t="s">
        <v>129</v>
      </c>
      <c r="N5123" t="s">
        <v>130</v>
      </c>
      <c r="O5123" t="s">
        <v>131</v>
      </c>
      <c r="P5123">
        <v>-20.130752000000001</v>
      </c>
      <c r="Q5123">
        <v>-44.865676999999998</v>
      </c>
      <c r="R5123" s="2" t="str">
        <f>HYPERLINK("https://www.google.com/maps?q=-20.1307520,-44.8656770","Abrir no Google Maps")</f>
        <v>Abrir no Google Maps</v>
      </c>
      <c r="S5123">
        <v>4</v>
      </c>
      <c r="T5123">
        <v>666.25741128624747</v>
      </c>
      <c r="U5123">
        <v>3</v>
      </c>
      <c r="V5123">
        <v>0.88207547169811318</v>
      </c>
      <c r="W5123">
        <v>1</v>
      </c>
      <c r="X5123">
        <v>0.88207547169811318</v>
      </c>
      <c r="Y5123">
        <v>387</v>
      </c>
      <c r="Z5123">
        <v>838.7193965949632</v>
      </c>
      <c r="AA5123">
        <v>198</v>
      </c>
      <c r="AB5123">
        <v>332</v>
      </c>
      <c r="AC5123">
        <v>536</v>
      </c>
      <c r="AD5123">
        <v>28.15</v>
      </c>
      <c r="AE5123">
        <v>542</v>
      </c>
      <c r="AF5123">
        <v>21</v>
      </c>
      <c r="AG5123">
        <v>176</v>
      </c>
      <c r="AH5123">
        <v>129</v>
      </c>
      <c r="AI5123">
        <v>3.87</v>
      </c>
      <c r="AJ5123">
        <v>32.47</v>
      </c>
      <c r="AK5123">
        <v>23.8</v>
      </c>
      <c r="AL5123">
        <v>-20.130734049999969</v>
      </c>
      <c r="AM5123">
        <v>-44.86564904282416</v>
      </c>
      <c r="AN5123">
        <v>-20.130734049999969</v>
      </c>
      <c r="AO5123">
        <v>-44.86564904282416</v>
      </c>
      <c r="AP5123">
        <v>-20.130752000000001</v>
      </c>
      <c r="AQ5123">
        <v>-44.865676999999998</v>
      </c>
      <c r="AR5123">
        <v>3.539952280780454</v>
      </c>
      <c r="AS5123" t="s">
        <v>65</v>
      </c>
      <c r="AT5123">
        <v>1</v>
      </c>
      <c r="AU5123" t="s">
        <v>132</v>
      </c>
      <c r="AV5123" t="s">
        <v>133</v>
      </c>
      <c r="AW5123" t="s">
        <v>60</v>
      </c>
      <c r="AX5123" t="s">
        <v>68</v>
      </c>
      <c r="AY5123" t="s">
        <v>69</v>
      </c>
      <c r="AZ5123" t="b">
        <v>1</v>
      </c>
    </row>
    <row r="5124" spans="1:52" x14ac:dyDescent="0.3">
      <c r="A5124" t="s">
        <v>52</v>
      </c>
      <c r="B5124" t="s">
        <v>53</v>
      </c>
      <c r="C5124" t="s">
        <v>54</v>
      </c>
      <c r="D5124" t="s">
        <v>55</v>
      </c>
      <c r="E5124" t="s">
        <v>2278</v>
      </c>
      <c r="F5124" t="s">
        <v>190</v>
      </c>
      <c r="G5124" t="s">
        <v>253</v>
      </c>
      <c r="H5124" t="s">
        <v>254</v>
      </c>
      <c r="I5124" t="s">
        <v>254</v>
      </c>
      <c r="J5124" t="s">
        <v>60</v>
      </c>
      <c r="K5124" t="s">
        <v>255</v>
      </c>
      <c r="L5124" t="s">
        <v>62</v>
      </c>
      <c r="M5124" t="s">
        <v>255</v>
      </c>
      <c r="N5124" t="s">
        <v>256</v>
      </c>
      <c r="O5124" t="s">
        <v>257</v>
      </c>
      <c r="P5124">
        <v>-20.159638000000001</v>
      </c>
      <c r="Q5124">
        <v>-44.849030999999997</v>
      </c>
      <c r="R5124" s="2" t="str">
        <f>HYPERLINK("https://www.google.com/maps?q=-20.1596380,-44.8490310","Abrir no Google Maps")</f>
        <v>Abrir no Google Maps</v>
      </c>
      <c r="S5124">
        <v>4</v>
      </c>
      <c r="T5124">
        <v>691.81173220845892</v>
      </c>
      <c r="U5124">
        <v>3</v>
      </c>
      <c r="V5124">
        <v>0.86915650406504064</v>
      </c>
      <c r="W5124">
        <v>1</v>
      </c>
      <c r="X5124">
        <v>0.86915650406504064</v>
      </c>
      <c r="Y5124">
        <v>292</v>
      </c>
      <c r="Z5124">
        <v>678.56824923431736</v>
      </c>
      <c r="AA5124">
        <v>198</v>
      </c>
      <c r="AB5124">
        <v>332</v>
      </c>
      <c r="AC5124">
        <v>536</v>
      </c>
      <c r="AD5124">
        <v>28.15</v>
      </c>
      <c r="AE5124">
        <v>542</v>
      </c>
      <c r="AF5124">
        <v>21</v>
      </c>
      <c r="AG5124">
        <v>176</v>
      </c>
      <c r="AH5124">
        <v>129</v>
      </c>
      <c r="AI5124">
        <v>3.87</v>
      </c>
      <c r="AJ5124">
        <v>32.47</v>
      </c>
      <c r="AK5124">
        <v>23.8</v>
      </c>
      <c r="AL5124">
        <v>-20.159590049999959</v>
      </c>
      <c r="AM5124">
        <v>-44.849181856774607</v>
      </c>
      <c r="AN5124">
        <v>-20.159590049999959</v>
      </c>
      <c r="AO5124">
        <v>-44.849181856774607</v>
      </c>
      <c r="AP5124">
        <v>-20.159638000000001</v>
      </c>
      <c r="AQ5124">
        <v>-44.849030999999997</v>
      </c>
      <c r="AR5124">
        <v>16.643712040087191</v>
      </c>
      <c r="AS5124" t="s">
        <v>65</v>
      </c>
      <c r="AT5124">
        <v>1</v>
      </c>
      <c r="AU5124" t="s">
        <v>258</v>
      </c>
      <c r="AV5124" t="s">
        <v>259</v>
      </c>
      <c r="AW5124" t="s">
        <v>60</v>
      </c>
      <c r="AX5124" t="s">
        <v>68</v>
      </c>
      <c r="AY5124" t="s">
        <v>69</v>
      </c>
      <c r="AZ5124" t="b">
        <v>1</v>
      </c>
    </row>
    <row r="5125" spans="1:52" x14ac:dyDescent="0.3">
      <c r="A5125" t="s">
        <v>52</v>
      </c>
      <c r="B5125" t="s">
        <v>53</v>
      </c>
      <c r="C5125" t="s">
        <v>54</v>
      </c>
      <c r="D5125" t="s">
        <v>55</v>
      </c>
      <c r="E5125" t="s">
        <v>2278</v>
      </c>
      <c r="F5125" t="s">
        <v>190</v>
      </c>
      <c r="G5125" t="s">
        <v>1623</v>
      </c>
      <c r="H5125" t="s">
        <v>1624</v>
      </c>
      <c r="I5125" t="s">
        <v>1624</v>
      </c>
      <c r="J5125" t="s">
        <v>60</v>
      </c>
      <c r="K5125" t="s">
        <v>281</v>
      </c>
      <c r="L5125" t="s">
        <v>62</v>
      </c>
      <c r="M5125" t="s">
        <v>281</v>
      </c>
      <c r="N5125" t="s">
        <v>1625</v>
      </c>
      <c r="O5125" t="s">
        <v>1538</v>
      </c>
      <c r="P5125">
        <v>-20.177247000000001</v>
      </c>
      <c r="Q5125">
        <v>-44.848650999999997</v>
      </c>
      <c r="R5125" s="2" t="str">
        <f>HYPERLINK("https://www.google.com/maps?q=-20.1772470,-44.8486510","Abrir no Google Maps")</f>
        <v>Abrir no Google Maps</v>
      </c>
      <c r="S5125">
        <v>4</v>
      </c>
      <c r="T5125">
        <v>1293.074917502197</v>
      </c>
      <c r="U5125">
        <v>3</v>
      </c>
      <c r="V5125">
        <v>0.85069444444444442</v>
      </c>
      <c r="W5125">
        <v>1</v>
      </c>
      <c r="X5125">
        <v>0.85069444444444442</v>
      </c>
      <c r="Y5125">
        <v>292</v>
      </c>
      <c r="Z5125">
        <v>1225.3954943545491</v>
      </c>
      <c r="AA5125">
        <v>198</v>
      </c>
      <c r="AB5125">
        <v>332</v>
      </c>
      <c r="AC5125">
        <v>536</v>
      </c>
      <c r="AD5125">
        <v>28.15</v>
      </c>
      <c r="AE5125">
        <v>542</v>
      </c>
      <c r="AF5125">
        <v>21</v>
      </c>
      <c r="AG5125">
        <v>176</v>
      </c>
      <c r="AH5125">
        <v>129</v>
      </c>
      <c r="AI5125">
        <v>3.87</v>
      </c>
      <c r="AJ5125">
        <v>32.47</v>
      </c>
      <c r="AK5125">
        <v>23.8</v>
      </c>
      <c r="AL5125">
        <v>-20.17729789999996</v>
      </c>
      <c r="AM5125">
        <v>-44.848543982702637</v>
      </c>
      <c r="AN5125">
        <v>-20.17729789999996</v>
      </c>
      <c r="AO5125">
        <v>-44.848543982702637</v>
      </c>
      <c r="AP5125">
        <v>-20.177247000000001</v>
      </c>
      <c r="AQ5125">
        <v>-44.848650999999997</v>
      </c>
      <c r="AR5125">
        <v>12.53570773213052</v>
      </c>
      <c r="AS5125" t="s">
        <v>65</v>
      </c>
      <c r="AT5125">
        <v>1</v>
      </c>
      <c r="AU5125" t="s">
        <v>1626</v>
      </c>
      <c r="AV5125" t="s">
        <v>1627</v>
      </c>
      <c r="AW5125" t="s">
        <v>60</v>
      </c>
      <c r="AX5125" t="s">
        <v>68</v>
      </c>
      <c r="AY5125" t="s">
        <v>69</v>
      </c>
      <c r="AZ5125" t="b">
        <v>1</v>
      </c>
    </row>
    <row r="5126" spans="1:52" x14ac:dyDescent="0.3">
      <c r="A5126" t="s">
        <v>52</v>
      </c>
      <c r="B5126" t="s">
        <v>53</v>
      </c>
      <c r="C5126" t="s">
        <v>54</v>
      </c>
      <c r="D5126" t="s">
        <v>55</v>
      </c>
      <c r="E5126" t="s">
        <v>2278</v>
      </c>
      <c r="F5126" t="s">
        <v>190</v>
      </c>
      <c r="G5126" t="s">
        <v>260</v>
      </c>
      <c r="H5126" t="s">
        <v>261</v>
      </c>
      <c r="I5126" t="s">
        <v>261</v>
      </c>
      <c r="J5126" t="s">
        <v>60</v>
      </c>
      <c r="K5126" t="s">
        <v>262</v>
      </c>
      <c r="L5126" t="s">
        <v>62</v>
      </c>
      <c r="M5126" t="s">
        <v>262</v>
      </c>
      <c r="N5126" t="s">
        <v>263</v>
      </c>
      <c r="O5126" t="s">
        <v>264</v>
      </c>
      <c r="P5126">
        <v>-20.162230000000001</v>
      </c>
      <c r="Q5126">
        <v>-44.850189</v>
      </c>
      <c r="R5126" s="2" t="str">
        <f>HYPERLINK("https://www.google.com/maps?q=-20.1622300,-44.8501890","Abrir no Google Maps")</f>
        <v>Abrir no Google Maps</v>
      </c>
      <c r="S5126">
        <v>4</v>
      </c>
      <c r="T5126">
        <v>485.03737650296068</v>
      </c>
      <c r="U5126">
        <v>3</v>
      </c>
      <c r="V5126">
        <v>0.85760517799352742</v>
      </c>
      <c r="W5126">
        <v>1</v>
      </c>
      <c r="X5126">
        <v>0.85760517799352742</v>
      </c>
      <c r="Y5126">
        <v>292</v>
      </c>
      <c r="Z5126">
        <v>461.03925198673232</v>
      </c>
      <c r="AA5126">
        <v>198</v>
      </c>
      <c r="AB5126">
        <v>332</v>
      </c>
      <c r="AC5126">
        <v>536</v>
      </c>
      <c r="AD5126">
        <v>28.15</v>
      </c>
      <c r="AE5126">
        <v>542</v>
      </c>
      <c r="AF5126">
        <v>21</v>
      </c>
      <c r="AG5126">
        <v>176</v>
      </c>
      <c r="AH5126">
        <v>129</v>
      </c>
      <c r="AI5126">
        <v>3.87</v>
      </c>
      <c r="AJ5126">
        <v>32.47</v>
      </c>
      <c r="AK5126">
        <v>23.8</v>
      </c>
      <c r="AL5126">
        <v>-20.162067849999971</v>
      </c>
      <c r="AM5126">
        <v>-44.850230909322903</v>
      </c>
      <c r="AN5126">
        <v>-20.162067849999971</v>
      </c>
      <c r="AO5126">
        <v>-44.850230909322903</v>
      </c>
      <c r="AP5126">
        <v>-20.162230000000001</v>
      </c>
      <c r="AQ5126">
        <v>-44.850189</v>
      </c>
      <c r="AR5126">
        <v>18.574218491036259</v>
      </c>
      <c r="AS5126" t="s">
        <v>65</v>
      </c>
      <c r="AT5126">
        <v>1</v>
      </c>
      <c r="AU5126" t="s">
        <v>265</v>
      </c>
      <c r="AV5126" t="s">
        <v>266</v>
      </c>
      <c r="AW5126" t="s">
        <v>60</v>
      </c>
      <c r="AX5126" t="s">
        <v>68</v>
      </c>
      <c r="AY5126" t="s">
        <v>69</v>
      </c>
      <c r="AZ5126" t="b">
        <v>1</v>
      </c>
    </row>
    <row r="5127" spans="1:52" x14ac:dyDescent="0.3">
      <c r="A5127" t="s">
        <v>52</v>
      </c>
      <c r="B5127" t="s">
        <v>53</v>
      </c>
      <c r="C5127" t="s">
        <v>54</v>
      </c>
      <c r="D5127" t="s">
        <v>55</v>
      </c>
      <c r="E5127" t="s">
        <v>2278</v>
      </c>
      <c r="F5127" t="s">
        <v>190</v>
      </c>
      <c r="G5127" t="s">
        <v>1628</v>
      </c>
      <c r="H5127" t="s">
        <v>1629</v>
      </c>
      <c r="I5127" t="s">
        <v>1629</v>
      </c>
      <c r="J5127" t="s">
        <v>60</v>
      </c>
      <c r="K5127" t="s">
        <v>136</v>
      </c>
      <c r="L5127" t="s">
        <v>62</v>
      </c>
      <c r="M5127" t="s">
        <v>136</v>
      </c>
      <c r="N5127" t="s">
        <v>1630</v>
      </c>
      <c r="O5127" t="s">
        <v>103</v>
      </c>
      <c r="P5127">
        <v>-20.169488999999999</v>
      </c>
      <c r="Q5127">
        <v>-44.848812000000002</v>
      </c>
      <c r="R5127" s="2" t="str">
        <f>HYPERLINK("https://www.google.com/maps?q=-20.1694890,-44.8488120","Abrir no Google Maps")</f>
        <v>Abrir no Google Maps</v>
      </c>
      <c r="S5127">
        <v>4</v>
      </c>
      <c r="T5127">
        <v>426.92881761579793</v>
      </c>
      <c r="U5127">
        <v>3</v>
      </c>
      <c r="V5127">
        <v>0.8245430607187112</v>
      </c>
      <c r="W5127">
        <v>1</v>
      </c>
      <c r="X5127">
        <v>0.8245430607187112</v>
      </c>
      <c r="Y5127">
        <v>292</v>
      </c>
      <c r="Z5127">
        <v>345.01829288722871</v>
      </c>
      <c r="AA5127">
        <v>198</v>
      </c>
      <c r="AB5127">
        <v>332</v>
      </c>
      <c r="AC5127">
        <v>536</v>
      </c>
      <c r="AD5127">
        <v>28.15</v>
      </c>
      <c r="AE5127">
        <v>542</v>
      </c>
      <c r="AF5127">
        <v>21</v>
      </c>
      <c r="AG5127">
        <v>176</v>
      </c>
      <c r="AH5127">
        <v>129</v>
      </c>
      <c r="AI5127">
        <v>3.87</v>
      </c>
      <c r="AJ5127">
        <v>32.47</v>
      </c>
      <c r="AK5127">
        <v>23.8</v>
      </c>
      <c r="AL5127">
        <v>-20.169293749999959</v>
      </c>
      <c r="AM5127">
        <v>-44.848899945665508</v>
      </c>
      <c r="AN5127">
        <v>-20.169293749999959</v>
      </c>
      <c r="AO5127">
        <v>-44.848899945665508</v>
      </c>
      <c r="AP5127">
        <v>-20.169488999999999</v>
      </c>
      <c r="AQ5127">
        <v>-44.848812000000002</v>
      </c>
      <c r="AR5127">
        <v>23.598134321543789</v>
      </c>
      <c r="AS5127" t="s">
        <v>65</v>
      </c>
      <c r="AT5127">
        <v>1</v>
      </c>
      <c r="AU5127" t="s">
        <v>1631</v>
      </c>
      <c r="AV5127" t="s">
        <v>1632</v>
      </c>
      <c r="AW5127" t="s">
        <v>60</v>
      </c>
      <c r="AX5127" t="s">
        <v>68</v>
      </c>
      <c r="AY5127" t="s">
        <v>69</v>
      </c>
      <c r="AZ5127" t="b">
        <v>1</v>
      </c>
    </row>
    <row r="5128" spans="1:52" x14ac:dyDescent="0.3">
      <c r="A5128" t="s">
        <v>52</v>
      </c>
      <c r="B5128" t="s">
        <v>53</v>
      </c>
      <c r="C5128" t="s">
        <v>54</v>
      </c>
      <c r="D5128" t="s">
        <v>55</v>
      </c>
      <c r="E5128" t="s">
        <v>2278</v>
      </c>
      <c r="F5128" t="s">
        <v>190</v>
      </c>
      <c r="G5128" t="s">
        <v>267</v>
      </c>
      <c r="H5128" t="s">
        <v>268</v>
      </c>
      <c r="I5128" t="s">
        <v>268</v>
      </c>
      <c r="J5128" t="s">
        <v>60</v>
      </c>
      <c r="K5128" t="s">
        <v>150</v>
      </c>
      <c r="L5128" t="s">
        <v>62</v>
      </c>
      <c r="M5128" t="s">
        <v>150</v>
      </c>
      <c r="N5128" t="s">
        <v>269</v>
      </c>
      <c r="O5128" t="s">
        <v>270</v>
      </c>
      <c r="P5128">
        <v>-20.172367999999999</v>
      </c>
      <c r="Q5128">
        <v>-44.848661</v>
      </c>
      <c r="R5128" s="2" t="str">
        <f>HYPERLINK("https://www.google.com/maps?q=-20.1723680,-44.8486610","Abrir no Google Maps")</f>
        <v>Abrir no Google Maps</v>
      </c>
      <c r="S5128">
        <v>4</v>
      </c>
      <c r="T5128">
        <v>759.75892180950234</v>
      </c>
      <c r="U5128">
        <v>3</v>
      </c>
      <c r="V5128">
        <v>0.87405660377358485</v>
      </c>
      <c r="W5128">
        <v>1</v>
      </c>
      <c r="X5128">
        <v>0.87405660377358485</v>
      </c>
      <c r="Y5128">
        <v>292</v>
      </c>
      <c r="Z5128">
        <v>735.80511761487242</v>
      </c>
      <c r="AA5128">
        <v>198</v>
      </c>
      <c r="AB5128">
        <v>332</v>
      </c>
      <c r="AC5128">
        <v>536</v>
      </c>
      <c r="AD5128">
        <v>28.15</v>
      </c>
      <c r="AE5128">
        <v>542</v>
      </c>
      <c r="AF5128">
        <v>21</v>
      </c>
      <c r="AG5128">
        <v>176</v>
      </c>
      <c r="AH5128">
        <v>129</v>
      </c>
      <c r="AI5128">
        <v>3.87</v>
      </c>
      <c r="AJ5128">
        <v>32.47</v>
      </c>
      <c r="AK5128">
        <v>23.8</v>
      </c>
      <c r="AL5128">
        <v>-20.172435999999951</v>
      </c>
      <c r="AM5128">
        <v>-44.84866233556005</v>
      </c>
      <c r="AN5128">
        <v>-20.172435999999951</v>
      </c>
      <c r="AO5128">
        <v>-44.84866233556005</v>
      </c>
      <c r="AP5128">
        <v>-20.172367999999999</v>
      </c>
      <c r="AQ5128">
        <v>-44.848661</v>
      </c>
      <c r="AR5128">
        <v>7.5710462874877198</v>
      </c>
      <c r="AS5128" t="s">
        <v>65</v>
      </c>
      <c r="AT5128">
        <v>1</v>
      </c>
      <c r="AU5128" t="s">
        <v>271</v>
      </c>
      <c r="AV5128" t="s">
        <v>272</v>
      </c>
      <c r="AW5128" t="s">
        <v>60</v>
      </c>
      <c r="AX5128" t="s">
        <v>68</v>
      </c>
      <c r="AY5128" t="s">
        <v>69</v>
      </c>
      <c r="AZ5128" t="b">
        <v>1</v>
      </c>
    </row>
    <row r="5129" spans="1:52" x14ac:dyDescent="0.3">
      <c r="A5129" t="s">
        <v>52</v>
      </c>
      <c r="B5129" t="s">
        <v>53</v>
      </c>
      <c r="C5129" t="s">
        <v>54</v>
      </c>
      <c r="D5129" t="s">
        <v>55</v>
      </c>
      <c r="E5129" t="s">
        <v>2278</v>
      </c>
      <c r="F5129" t="s">
        <v>190</v>
      </c>
      <c r="G5129" t="s">
        <v>273</v>
      </c>
      <c r="H5129" t="s">
        <v>274</v>
      </c>
      <c r="I5129" t="s">
        <v>274</v>
      </c>
      <c r="J5129" t="s">
        <v>60</v>
      </c>
      <c r="K5129" t="s">
        <v>143</v>
      </c>
      <c r="L5129" t="s">
        <v>62</v>
      </c>
      <c r="M5129" t="s">
        <v>143</v>
      </c>
      <c r="N5129" t="s">
        <v>275</v>
      </c>
      <c r="O5129" t="s">
        <v>276</v>
      </c>
      <c r="P5129">
        <v>-20.171367</v>
      </c>
      <c r="Q5129">
        <v>-44.844709999999999</v>
      </c>
      <c r="R5129" s="2" t="str">
        <f>HYPERLINK("https://www.google.com/maps?q=-20.1713670,-44.8447100","Abrir no Google Maps")</f>
        <v>Abrir no Google Maps</v>
      </c>
      <c r="S5129">
        <v>4</v>
      </c>
      <c r="T5129">
        <v>700.36715126879801</v>
      </c>
      <c r="U5129">
        <v>3</v>
      </c>
      <c r="V5129">
        <v>0.85134711779448624</v>
      </c>
      <c r="W5129">
        <v>1</v>
      </c>
      <c r="X5129">
        <v>0.85134711779448624</v>
      </c>
      <c r="Y5129">
        <v>292</v>
      </c>
      <c r="Z5129">
        <v>767.70201658334747</v>
      </c>
      <c r="AA5129">
        <v>198</v>
      </c>
      <c r="AB5129">
        <v>332</v>
      </c>
      <c r="AC5129">
        <v>536</v>
      </c>
      <c r="AD5129">
        <v>28.15</v>
      </c>
      <c r="AE5129">
        <v>542</v>
      </c>
      <c r="AF5129">
        <v>21</v>
      </c>
      <c r="AG5129">
        <v>176</v>
      </c>
      <c r="AH5129">
        <v>129</v>
      </c>
      <c r="AI5129">
        <v>3.87</v>
      </c>
      <c r="AJ5129">
        <v>32.47</v>
      </c>
      <c r="AK5129">
        <v>23.8</v>
      </c>
      <c r="AL5129">
        <v>-20.17140124999997</v>
      </c>
      <c r="AM5129">
        <v>-44.844758486699448</v>
      </c>
      <c r="AN5129">
        <v>-20.171401249999981</v>
      </c>
      <c r="AO5129">
        <v>-44.844758486699448</v>
      </c>
      <c r="AP5129">
        <v>-20.171367</v>
      </c>
      <c r="AQ5129">
        <v>-44.844709999999999</v>
      </c>
      <c r="AR5129">
        <v>6.3408204899540994</v>
      </c>
      <c r="AS5129" t="s">
        <v>65</v>
      </c>
      <c r="AT5129">
        <v>1</v>
      </c>
      <c r="AU5129" t="s">
        <v>277</v>
      </c>
      <c r="AV5129" t="s">
        <v>278</v>
      </c>
      <c r="AW5129" t="s">
        <v>60</v>
      </c>
      <c r="AX5129" t="s">
        <v>68</v>
      </c>
      <c r="AY5129" t="s">
        <v>69</v>
      </c>
      <c r="AZ5129" t="b">
        <v>1</v>
      </c>
    </row>
    <row r="5130" spans="1:52" x14ac:dyDescent="0.3">
      <c r="A5130" t="s">
        <v>52</v>
      </c>
      <c r="B5130" t="s">
        <v>53</v>
      </c>
      <c r="C5130" t="s">
        <v>54</v>
      </c>
      <c r="D5130" t="s">
        <v>55</v>
      </c>
      <c r="E5130" t="s">
        <v>2278</v>
      </c>
      <c r="F5130" t="s">
        <v>190</v>
      </c>
      <c r="G5130" t="s">
        <v>279</v>
      </c>
      <c r="H5130" t="s">
        <v>280</v>
      </c>
      <c r="I5130" t="s">
        <v>280</v>
      </c>
      <c r="J5130" t="s">
        <v>60</v>
      </c>
      <c r="K5130" t="s">
        <v>281</v>
      </c>
      <c r="L5130" t="s">
        <v>62</v>
      </c>
      <c r="M5130" t="s">
        <v>281</v>
      </c>
      <c r="N5130" t="s">
        <v>282</v>
      </c>
      <c r="O5130" t="s">
        <v>283</v>
      </c>
      <c r="P5130">
        <v>-20.175312999999999</v>
      </c>
      <c r="Q5130">
        <v>-44.848562999999999</v>
      </c>
      <c r="R5130" s="2" t="str">
        <f>HYPERLINK("https://www.google.com/maps?q=-20.1753130,-44.8485630","Abrir no Google Maps")</f>
        <v>Abrir no Google Maps</v>
      </c>
      <c r="S5130">
        <v>4</v>
      </c>
      <c r="T5130">
        <v>1076.9164078034139</v>
      </c>
      <c r="U5130">
        <v>3</v>
      </c>
      <c r="V5130">
        <v>0.87452651515151514</v>
      </c>
      <c r="W5130">
        <v>1</v>
      </c>
      <c r="X5130">
        <v>0.87452651515151514</v>
      </c>
      <c r="Y5130">
        <v>292</v>
      </c>
      <c r="Z5130">
        <v>1035.650579259463</v>
      </c>
      <c r="AA5130">
        <v>198</v>
      </c>
      <c r="AB5130">
        <v>332</v>
      </c>
      <c r="AC5130">
        <v>536</v>
      </c>
      <c r="AD5130">
        <v>28.15</v>
      </c>
      <c r="AE5130">
        <v>542</v>
      </c>
      <c r="AF5130">
        <v>21</v>
      </c>
      <c r="AG5130">
        <v>176</v>
      </c>
      <c r="AH5130">
        <v>129</v>
      </c>
      <c r="AI5130">
        <v>3.87</v>
      </c>
      <c r="AJ5130">
        <v>32.47</v>
      </c>
      <c r="AK5130">
        <v>23.8</v>
      </c>
      <c r="AL5130">
        <v>-20.175338949999961</v>
      </c>
      <c r="AM5130">
        <v>-44.848523168324952</v>
      </c>
      <c r="AN5130">
        <v>-20.175338949999961</v>
      </c>
      <c r="AO5130">
        <v>-44.848523168324952</v>
      </c>
      <c r="AP5130">
        <v>-20.175312999999999</v>
      </c>
      <c r="AQ5130">
        <v>-44.848562999999999</v>
      </c>
      <c r="AR5130">
        <v>5.0662709576519056</v>
      </c>
      <c r="AS5130" t="s">
        <v>65</v>
      </c>
      <c r="AT5130">
        <v>1</v>
      </c>
      <c r="AU5130" t="s">
        <v>284</v>
      </c>
      <c r="AV5130" t="s">
        <v>285</v>
      </c>
      <c r="AW5130" t="s">
        <v>60</v>
      </c>
      <c r="AX5130" t="s">
        <v>68</v>
      </c>
      <c r="AY5130" t="s">
        <v>69</v>
      </c>
      <c r="AZ5130" t="b">
        <v>1</v>
      </c>
    </row>
    <row r="5131" spans="1:52" x14ac:dyDescent="0.3">
      <c r="A5131" t="s">
        <v>52</v>
      </c>
      <c r="B5131" t="s">
        <v>53</v>
      </c>
      <c r="C5131" t="s">
        <v>54</v>
      </c>
      <c r="D5131" t="s">
        <v>55</v>
      </c>
      <c r="E5131" t="s">
        <v>2278</v>
      </c>
      <c r="F5131" t="s">
        <v>190</v>
      </c>
      <c r="G5131" t="s">
        <v>134</v>
      </c>
      <c r="H5131" t="s">
        <v>135</v>
      </c>
      <c r="I5131" t="s">
        <v>135</v>
      </c>
      <c r="J5131" t="s">
        <v>60</v>
      </c>
      <c r="K5131" t="s">
        <v>136</v>
      </c>
      <c r="L5131" t="s">
        <v>62</v>
      </c>
      <c r="M5131" t="s">
        <v>136</v>
      </c>
      <c r="N5131" t="s">
        <v>137</v>
      </c>
      <c r="O5131" t="s">
        <v>138</v>
      </c>
      <c r="P5131">
        <v>-20.165773000000002</v>
      </c>
      <c r="Q5131">
        <v>-44.847566999999998</v>
      </c>
      <c r="R5131" s="2" t="str">
        <f>HYPERLINK("https://www.google.com/maps?q=-20.1657730,-44.8475670","Abrir no Google Maps")</f>
        <v>Abrir no Google Maps</v>
      </c>
      <c r="S5131">
        <v>4</v>
      </c>
      <c r="T5131">
        <v>0</v>
      </c>
      <c r="U5131">
        <v>3</v>
      </c>
      <c r="V5131">
        <v>0.88039568345323738</v>
      </c>
      <c r="W5131">
        <v>1</v>
      </c>
      <c r="X5131">
        <v>0.88039568345323738</v>
      </c>
      <c r="Y5131">
        <v>292</v>
      </c>
      <c r="Z5131">
        <v>98.987346341524855</v>
      </c>
      <c r="AA5131">
        <v>198</v>
      </c>
      <c r="AB5131">
        <v>332</v>
      </c>
      <c r="AC5131">
        <v>536</v>
      </c>
      <c r="AD5131">
        <v>28.15</v>
      </c>
      <c r="AE5131">
        <v>542</v>
      </c>
      <c r="AF5131">
        <v>21</v>
      </c>
      <c r="AG5131">
        <v>176</v>
      </c>
      <c r="AH5131">
        <v>129</v>
      </c>
      <c r="AI5131">
        <v>3.87</v>
      </c>
      <c r="AJ5131">
        <v>32.47</v>
      </c>
      <c r="AK5131">
        <v>23.8</v>
      </c>
      <c r="AL5131">
        <v>-20.16565029999995</v>
      </c>
      <c r="AM5131">
        <v>-44.847556627666897</v>
      </c>
      <c r="AN5131">
        <v>-20.16565029999995</v>
      </c>
      <c r="AO5131">
        <v>-44.847556627666897</v>
      </c>
      <c r="AP5131">
        <v>-20.165773000000002</v>
      </c>
      <c r="AQ5131">
        <v>-44.847566999999998</v>
      </c>
      <c r="AR5131">
        <v>13.701900146251189</v>
      </c>
      <c r="AS5131" t="s">
        <v>65</v>
      </c>
      <c r="AT5131">
        <v>1</v>
      </c>
      <c r="AU5131" t="s">
        <v>139</v>
      </c>
      <c r="AV5131" t="s">
        <v>140</v>
      </c>
      <c r="AW5131" t="s">
        <v>60</v>
      </c>
      <c r="AX5131" t="s">
        <v>68</v>
      </c>
      <c r="AY5131" t="s">
        <v>69</v>
      </c>
      <c r="AZ5131" t="b">
        <v>1</v>
      </c>
    </row>
    <row r="5132" spans="1:52" x14ac:dyDescent="0.3">
      <c r="A5132" t="s">
        <v>52</v>
      </c>
      <c r="B5132" t="s">
        <v>53</v>
      </c>
      <c r="C5132" t="s">
        <v>54</v>
      </c>
      <c r="D5132" t="s">
        <v>55</v>
      </c>
      <c r="E5132" t="s">
        <v>2278</v>
      </c>
      <c r="F5132" t="s">
        <v>190</v>
      </c>
      <c r="G5132" t="s">
        <v>253</v>
      </c>
      <c r="H5132" t="s">
        <v>286</v>
      </c>
      <c r="I5132" t="s">
        <v>286</v>
      </c>
      <c r="J5132" t="s">
        <v>60</v>
      </c>
      <c r="K5132" t="s">
        <v>136</v>
      </c>
      <c r="L5132" t="s">
        <v>62</v>
      </c>
      <c r="M5132" t="s">
        <v>136</v>
      </c>
      <c r="N5132" t="s">
        <v>256</v>
      </c>
      <c r="O5132" t="s">
        <v>287</v>
      </c>
      <c r="P5132">
        <v>-20.165067000000001</v>
      </c>
      <c r="Q5132">
        <v>-44.851146999999997</v>
      </c>
      <c r="R5132" s="2" t="str">
        <f>HYPERLINK("https://www.google.com/maps?q=-20.1650670,-44.8511470","Abrir no Google Maps")</f>
        <v>Abrir no Google Maps</v>
      </c>
      <c r="S5132">
        <v>4</v>
      </c>
      <c r="T5132">
        <v>374.14945573570043</v>
      </c>
      <c r="U5132">
        <v>3</v>
      </c>
      <c r="V5132">
        <v>0.87942477876106184</v>
      </c>
      <c r="W5132">
        <v>1</v>
      </c>
      <c r="X5132">
        <v>0.87942477876106184</v>
      </c>
      <c r="Y5132">
        <v>292</v>
      </c>
      <c r="Z5132">
        <v>295.9878686859272</v>
      </c>
      <c r="AA5132">
        <v>198</v>
      </c>
      <c r="AB5132">
        <v>332</v>
      </c>
      <c r="AC5132">
        <v>536</v>
      </c>
      <c r="AD5132">
        <v>28.15</v>
      </c>
      <c r="AE5132">
        <v>542</v>
      </c>
      <c r="AF5132">
        <v>21</v>
      </c>
      <c r="AG5132">
        <v>176</v>
      </c>
      <c r="AH5132">
        <v>129</v>
      </c>
      <c r="AI5132">
        <v>3.87</v>
      </c>
      <c r="AJ5132">
        <v>32.47</v>
      </c>
      <c r="AK5132">
        <v>23.8</v>
      </c>
      <c r="AL5132">
        <v>-20.164961799999961</v>
      </c>
      <c r="AM5132">
        <v>-44.851062119796737</v>
      </c>
      <c r="AN5132">
        <v>-20.164961799999961</v>
      </c>
      <c r="AO5132">
        <v>-44.851062119796737</v>
      </c>
      <c r="AP5132">
        <v>-20.165067000000001</v>
      </c>
      <c r="AQ5132">
        <v>-44.851146999999997</v>
      </c>
      <c r="AR5132">
        <v>14.690666366415</v>
      </c>
      <c r="AS5132" t="s">
        <v>65</v>
      </c>
      <c r="AT5132">
        <v>1</v>
      </c>
      <c r="AU5132" t="s">
        <v>288</v>
      </c>
      <c r="AV5132" t="s">
        <v>289</v>
      </c>
      <c r="AW5132" t="s">
        <v>60</v>
      </c>
      <c r="AX5132" t="s">
        <v>68</v>
      </c>
      <c r="AY5132" t="s">
        <v>69</v>
      </c>
      <c r="AZ5132" t="b">
        <v>1</v>
      </c>
    </row>
    <row r="5133" spans="1:52" x14ac:dyDescent="0.3">
      <c r="A5133" t="s">
        <v>52</v>
      </c>
      <c r="B5133" t="s">
        <v>53</v>
      </c>
      <c r="C5133" t="s">
        <v>54</v>
      </c>
      <c r="D5133" t="s">
        <v>55</v>
      </c>
      <c r="E5133" t="s">
        <v>2278</v>
      </c>
      <c r="F5133" t="s">
        <v>190</v>
      </c>
      <c r="G5133" t="s">
        <v>141</v>
      </c>
      <c r="H5133" t="s">
        <v>142</v>
      </c>
      <c r="I5133" t="s">
        <v>142</v>
      </c>
      <c r="J5133" t="s">
        <v>60</v>
      </c>
      <c r="K5133" t="s">
        <v>143</v>
      </c>
      <c r="L5133" t="s">
        <v>62</v>
      </c>
      <c r="M5133" t="s">
        <v>143</v>
      </c>
      <c r="N5133" t="s">
        <v>144</v>
      </c>
      <c r="O5133" t="s">
        <v>145</v>
      </c>
      <c r="P5133">
        <v>-20.163377000000001</v>
      </c>
      <c r="Q5133">
        <v>-44.843598</v>
      </c>
      <c r="R5133" s="2" t="str">
        <f>HYPERLINK("https://www.google.com/maps?q=-20.1633770,-44.8435980","Abrir no Google Maps")</f>
        <v>Abrir no Google Maps</v>
      </c>
      <c r="S5133">
        <v>4</v>
      </c>
      <c r="T5133">
        <v>481.58374128635978</v>
      </c>
      <c r="U5133">
        <v>3</v>
      </c>
      <c r="V5133">
        <v>0.88142857142857145</v>
      </c>
      <c r="W5133">
        <v>1</v>
      </c>
      <c r="X5133">
        <v>0.88142857142857145</v>
      </c>
      <c r="Y5133">
        <v>292</v>
      </c>
      <c r="Z5133">
        <v>575.44522663909652</v>
      </c>
      <c r="AA5133">
        <v>198</v>
      </c>
      <c r="AB5133">
        <v>332</v>
      </c>
      <c r="AC5133">
        <v>536</v>
      </c>
      <c r="AD5133">
        <v>28.15</v>
      </c>
      <c r="AE5133">
        <v>542</v>
      </c>
      <c r="AF5133">
        <v>21</v>
      </c>
      <c r="AG5133">
        <v>176</v>
      </c>
      <c r="AH5133">
        <v>129</v>
      </c>
      <c r="AI5133">
        <v>3.87</v>
      </c>
      <c r="AJ5133">
        <v>32.47</v>
      </c>
      <c r="AK5133">
        <v>23.8</v>
      </c>
      <c r="AL5133">
        <v>-20.16343344999996</v>
      </c>
      <c r="AM5133">
        <v>-44.843590796247732</v>
      </c>
      <c r="AN5133">
        <v>-20.16343344999996</v>
      </c>
      <c r="AO5133">
        <v>-44.843590796247732</v>
      </c>
      <c r="AP5133">
        <v>-20.163377000000001</v>
      </c>
      <c r="AQ5133">
        <v>-44.843598</v>
      </c>
      <c r="AR5133">
        <v>6.3289415646640057</v>
      </c>
      <c r="AS5133" t="s">
        <v>65</v>
      </c>
      <c r="AT5133">
        <v>1</v>
      </c>
      <c r="AU5133" t="s">
        <v>146</v>
      </c>
      <c r="AV5133" t="s">
        <v>147</v>
      </c>
      <c r="AW5133" t="s">
        <v>60</v>
      </c>
      <c r="AX5133" t="s">
        <v>68</v>
      </c>
      <c r="AY5133" t="s">
        <v>69</v>
      </c>
      <c r="AZ5133" t="b">
        <v>1</v>
      </c>
    </row>
    <row r="5134" spans="1:52" x14ac:dyDescent="0.3">
      <c r="A5134" t="s">
        <v>52</v>
      </c>
      <c r="B5134" t="s">
        <v>53</v>
      </c>
      <c r="C5134" t="s">
        <v>54</v>
      </c>
      <c r="D5134" t="s">
        <v>55</v>
      </c>
      <c r="E5134" t="s">
        <v>2278</v>
      </c>
      <c r="F5134" t="s">
        <v>190</v>
      </c>
      <c r="G5134" t="s">
        <v>290</v>
      </c>
      <c r="H5134" t="s">
        <v>291</v>
      </c>
      <c r="I5134" t="s">
        <v>291</v>
      </c>
      <c r="J5134" t="s">
        <v>60</v>
      </c>
      <c r="K5134" t="s">
        <v>143</v>
      </c>
      <c r="L5134" t="s">
        <v>62</v>
      </c>
      <c r="M5134" t="s">
        <v>143</v>
      </c>
      <c r="N5134" t="s">
        <v>292</v>
      </c>
      <c r="O5134" t="s">
        <v>293</v>
      </c>
      <c r="P5134">
        <v>-20.164380999999999</v>
      </c>
      <c r="Q5134">
        <v>-44.841638000000003</v>
      </c>
      <c r="R5134" s="2" t="str">
        <f>HYPERLINK("https://www.google.com/maps?q=-20.1643810,-44.8416380","Abrir no Google Maps")</f>
        <v>Abrir no Google Maps</v>
      </c>
      <c r="S5134">
        <v>4</v>
      </c>
      <c r="T5134">
        <v>653.87342410001406</v>
      </c>
      <c r="U5134">
        <v>3</v>
      </c>
      <c r="V5134">
        <v>0.8737373737373737</v>
      </c>
      <c r="W5134">
        <v>1</v>
      </c>
      <c r="X5134">
        <v>0.8737373737373737</v>
      </c>
      <c r="Y5134">
        <v>292</v>
      </c>
      <c r="Z5134">
        <v>761.66023684754805</v>
      </c>
      <c r="AA5134">
        <v>198</v>
      </c>
      <c r="AB5134">
        <v>332</v>
      </c>
      <c r="AC5134">
        <v>536</v>
      </c>
      <c r="AD5134">
        <v>28.15</v>
      </c>
      <c r="AE5134">
        <v>542</v>
      </c>
      <c r="AF5134">
        <v>21</v>
      </c>
      <c r="AG5134">
        <v>176</v>
      </c>
      <c r="AH5134">
        <v>129</v>
      </c>
      <c r="AI5134">
        <v>3.87</v>
      </c>
      <c r="AJ5134">
        <v>32.47</v>
      </c>
      <c r="AK5134">
        <v>23.8</v>
      </c>
      <c r="AL5134">
        <v>-20.16420624999995</v>
      </c>
      <c r="AM5134">
        <v>-44.841488984995642</v>
      </c>
      <c r="AN5134">
        <v>-20.16420624999995</v>
      </c>
      <c r="AO5134">
        <v>-44.841488984995642</v>
      </c>
      <c r="AP5134">
        <v>-20.164380999999999</v>
      </c>
      <c r="AQ5134">
        <v>-44.841638000000003</v>
      </c>
      <c r="AR5134">
        <v>24.91789254993785</v>
      </c>
      <c r="AS5134" t="s">
        <v>65</v>
      </c>
      <c r="AT5134">
        <v>1</v>
      </c>
      <c r="AU5134" t="s">
        <v>294</v>
      </c>
      <c r="AV5134" t="s">
        <v>295</v>
      </c>
      <c r="AW5134" t="s">
        <v>60</v>
      </c>
      <c r="AX5134" t="s">
        <v>68</v>
      </c>
      <c r="AY5134" t="s">
        <v>69</v>
      </c>
      <c r="AZ5134" t="b">
        <v>1</v>
      </c>
    </row>
    <row r="5135" spans="1:52" x14ac:dyDescent="0.3">
      <c r="A5135" t="s">
        <v>52</v>
      </c>
      <c r="B5135" t="s">
        <v>53</v>
      </c>
      <c r="C5135" t="s">
        <v>54</v>
      </c>
      <c r="D5135" t="s">
        <v>55</v>
      </c>
      <c r="E5135" t="s">
        <v>2278</v>
      </c>
      <c r="F5135" t="s">
        <v>190</v>
      </c>
      <c r="G5135" t="s">
        <v>253</v>
      </c>
      <c r="H5135" t="s">
        <v>296</v>
      </c>
      <c r="I5135" t="s">
        <v>296</v>
      </c>
      <c r="J5135" t="s">
        <v>60</v>
      </c>
      <c r="K5135" t="s">
        <v>136</v>
      </c>
      <c r="L5135" t="s">
        <v>62</v>
      </c>
      <c r="M5135" t="s">
        <v>136</v>
      </c>
      <c r="N5135" t="s">
        <v>256</v>
      </c>
      <c r="O5135" t="s">
        <v>297</v>
      </c>
      <c r="P5135">
        <v>-20.168476999999999</v>
      </c>
      <c r="Q5135">
        <v>-44.852528</v>
      </c>
      <c r="R5135" s="2" t="str">
        <f>HYPERLINK("https://www.google.com/maps?q=-20.1684770,-44.8525280","Abrir no Google Maps")</f>
        <v>Abrir no Google Maps</v>
      </c>
      <c r="S5135">
        <v>4</v>
      </c>
      <c r="T5135">
        <v>587.16898087421623</v>
      </c>
      <c r="U5135">
        <v>3</v>
      </c>
      <c r="V5135">
        <v>0.87463289280469902</v>
      </c>
      <c r="W5135">
        <v>1</v>
      </c>
      <c r="X5135">
        <v>0.87463289280469902</v>
      </c>
      <c r="Y5135">
        <v>292</v>
      </c>
      <c r="Z5135">
        <v>471.75619463337938</v>
      </c>
      <c r="AA5135">
        <v>198</v>
      </c>
      <c r="AB5135">
        <v>332</v>
      </c>
      <c r="AC5135">
        <v>536</v>
      </c>
      <c r="AD5135">
        <v>28.15</v>
      </c>
      <c r="AE5135">
        <v>542</v>
      </c>
      <c r="AF5135">
        <v>21</v>
      </c>
      <c r="AG5135">
        <v>176</v>
      </c>
      <c r="AH5135">
        <v>129</v>
      </c>
      <c r="AI5135">
        <v>3.87</v>
      </c>
      <c r="AJ5135">
        <v>32.47</v>
      </c>
      <c r="AK5135">
        <v>23.8</v>
      </c>
      <c r="AL5135">
        <v>-20.16846514999995</v>
      </c>
      <c r="AM5135">
        <v>-44.852319844682007</v>
      </c>
      <c r="AN5135">
        <v>-20.168465149999939</v>
      </c>
      <c r="AO5135">
        <v>-44.852319844682007</v>
      </c>
      <c r="AP5135">
        <v>-20.168476999999999</v>
      </c>
      <c r="AQ5135">
        <v>-44.852528</v>
      </c>
      <c r="AR5135">
        <v>21.790984536052999</v>
      </c>
      <c r="AS5135" t="s">
        <v>65</v>
      </c>
      <c r="AT5135">
        <v>1</v>
      </c>
      <c r="AU5135" t="s">
        <v>298</v>
      </c>
      <c r="AV5135" t="s">
        <v>299</v>
      </c>
      <c r="AW5135" t="s">
        <v>60</v>
      </c>
      <c r="AX5135" t="s">
        <v>68</v>
      </c>
      <c r="AY5135" t="s">
        <v>69</v>
      </c>
      <c r="AZ5135" t="b">
        <v>1</v>
      </c>
    </row>
    <row r="5136" spans="1:52" x14ac:dyDescent="0.3">
      <c r="A5136" t="s">
        <v>52</v>
      </c>
      <c r="B5136" t="s">
        <v>53</v>
      </c>
      <c r="C5136" t="s">
        <v>54</v>
      </c>
      <c r="D5136" t="s">
        <v>55</v>
      </c>
      <c r="E5136" t="s">
        <v>2278</v>
      </c>
      <c r="F5136" t="s">
        <v>190</v>
      </c>
      <c r="G5136" t="s">
        <v>253</v>
      </c>
      <c r="H5136" t="s">
        <v>1633</v>
      </c>
      <c r="I5136" t="s">
        <v>1633</v>
      </c>
      <c r="J5136" t="s">
        <v>60</v>
      </c>
      <c r="K5136" t="s">
        <v>982</v>
      </c>
      <c r="L5136" t="s">
        <v>62</v>
      </c>
      <c r="M5136" t="s">
        <v>982</v>
      </c>
      <c r="N5136" t="s">
        <v>256</v>
      </c>
      <c r="O5136" t="s">
        <v>1634</v>
      </c>
      <c r="P5136">
        <v>-20.170407000000001</v>
      </c>
      <c r="Q5136">
        <v>-44.853330999999997</v>
      </c>
      <c r="R5136" s="2" t="str">
        <f>HYPERLINK("https://www.google.com/maps?q=-20.1704070,-44.8533310","Abrir no Google Maps")</f>
        <v>Abrir no Google Maps</v>
      </c>
      <c r="S5136">
        <v>4</v>
      </c>
      <c r="T5136">
        <v>801.41180076523165</v>
      </c>
      <c r="U5136">
        <v>3</v>
      </c>
      <c r="V5136">
        <v>0.87274305555555554</v>
      </c>
      <c r="W5136">
        <v>1</v>
      </c>
      <c r="X5136">
        <v>0.87274305555555554</v>
      </c>
      <c r="Y5136">
        <v>292</v>
      </c>
      <c r="Z5136">
        <v>726.46828777213966</v>
      </c>
      <c r="AA5136">
        <v>198</v>
      </c>
      <c r="AB5136">
        <v>332</v>
      </c>
      <c r="AC5136">
        <v>536</v>
      </c>
      <c r="AD5136">
        <v>28.15</v>
      </c>
      <c r="AE5136">
        <v>542</v>
      </c>
      <c r="AF5136">
        <v>21</v>
      </c>
      <c r="AG5136">
        <v>176</v>
      </c>
      <c r="AH5136">
        <v>129</v>
      </c>
      <c r="AI5136">
        <v>3.87</v>
      </c>
      <c r="AJ5136">
        <v>32.47</v>
      </c>
      <c r="AK5136">
        <v>23.8</v>
      </c>
      <c r="AL5136">
        <v>-20.170412849999959</v>
      </c>
      <c r="AM5136">
        <v>-44.853334311192633</v>
      </c>
      <c r="AN5136">
        <v>-20.170412849999959</v>
      </c>
      <c r="AO5136">
        <v>-44.853334311192633</v>
      </c>
      <c r="AP5136">
        <v>-20.170407000000001</v>
      </c>
      <c r="AQ5136">
        <v>-44.853330999999997</v>
      </c>
      <c r="AR5136">
        <v>0.73743023728700929</v>
      </c>
      <c r="AS5136" t="s">
        <v>65</v>
      </c>
      <c r="AT5136">
        <v>1</v>
      </c>
      <c r="AU5136" t="s">
        <v>1635</v>
      </c>
      <c r="AV5136" t="s">
        <v>1636</v>
      </c>
      <c r="AW5136" t="s">
        <v>60</v>
      </c>
      <c r="AX5136" t="s">
        <v>68</v>
      </c>
      <c r="AY5136" t="s">
        <v>69</v>
      </c>
      <c r="AZ5136" t="b">
        <v>1</v>
      </c>
    </row>
    <row r="5137" spans="1:52" x14ac:dyDescent="0.3">
      <c r="A5137" t="s">
        <v>52</v>
      </c>
      <c r="B5137" t="s">
        <v>53</v>
      </c>
      <c r="C5137" t="s">
        <v>54</v>
      </c>
      <c r="D5137" t="s">
        <v>55</v>
      </c>
      <c r="E5137" t="s">
        <v>2278</v>
      </c>
      <c r="F5137" t="s">
        <v>190</v>
      </c>
      <c r="G5137" t="s">
        <v>148</v>
      </c>
      <c r="H5137" t="s">
        <v>149</v>
      </c>
      <c r="I5137" t="s">
        <v>149</v>
      </c>
      <c r="J5137" t="s">
        <v>60</v>
      </c>
      <c r="K5137" t="s">
        <v>150</v>
      </c>
      <c r="L5137" t="s">
        <v>62</v>
      </c>
      <c r="M5137" t="s">
        <v>150</v>
      </c>
      <c r="N5137" t="s">
        <v>151</v>
      </c>
      <c r="O5137" t="s">
        <v>152</v>
      </c>
      <c r="P5137">
        <v>-20.174192999999999</v>
      </c>
      <c r="Q5137">
        <v>-44.850782000000002</v>
      </c>
      <c r="R5137" s="2" t="str">
        <f>HYPERLINK("https://www.google.com/maps?q=-20.1741930,-44.8507820","Abrir no Google Maps")</f>
        <v>Abrir no Google Maps</v>
      </c>
      <c r="S5137">
        <v>4</v>
      </c>
      <c r="T5137">
        <v>994.93657848632188</v>
      </c>
      <c r="U5137">
        <v>3</v>
      </c>
      <c r="V5137">
        <v>0.87461597542242697</v>
      </c>
      <c r="W5137">
        <v>1</v>
      </c>
      <c r="X5137">
        <v>0.87461597542242697</v>
      </c>
      <c r="Y5137">
        <v>292</v>
      </c>
      <c r="Z5137">
        <v>948.95851793804729</v>
      </c>
      <c r="AA5137">
        <v>198</v>
      </c>
      <c r="AB5137">
        <v>332</v>
      </c>
      <c r="AC5137">
        <v>536</v>
      </c>
      <c r="AD5137">
        <v>28.15</v>
      </c>
      <c r="AE5137">
        <v>542</v>
      </c>
      <c r="AF5137">
        <v>21</v>
      </c>
      <c r="AG5137">
        <v>176</v>
      </c>
      <c r="AH5137">
        <v>129</v>
      </c>
      <c r="AI5137">
        <v>3.87</v>
      </c>
      <c r="AJ5137">
        <v>32.47</v>
      </c>
      <c r="AK5137">
        <v>23.8</v>
      </c>
      <c r="AL5137">
        <v>-20.174122099999941</v>
      </c>
      <c r="AM5137">
        <v>-44.850744657037339</v>
      </c>
      <c r="AN5137">
        <v>-20.174122099999941</v>
      </c>
      <c r="AO5137">
        <v>-44.850744657037339</v>
      </c>
      <c r="AP5137">
        <v>-20.174192999999999</v>
      </c>
      <c r="AQ5137">
        <v>-44.850782000000002</v>
      </c>
      <c r="AR5137">
        <v>8.8044534253701947</v>
      </c>
      <c r="AS5137" t="s">
        <v>65</v>
      </c>
      <c r="AT5137">
        <v>1</v>
      </c>
      <c r="AU5137" t="s">
        <v>153</v>
      </c>
      <c r="AV5137" t="s">
        <v>154</v>
      </c>
      <c r="AW5137" t="s">
        <v>60</v>
      </c>
      <c r="AX5137" t="s">
        <v>68</v>
      </c>
      <c r="AY5137" t="s">
        <v>69</v>
      </c>
      <c r="AZ5137" t="b">
        <v>1</v>
      </c>
    </row>
    <row r="5138" spans="1:52" x14ac:dyDescent="0.3">
      <c r="A5138" t="s">
        <v>52</v>
      </c>
      <c r="B5138" t="s">
        <v>53</v>
      </c>
      <c r="C5138" t="s">
        <v>54</v>
      </c>
      <c r="D5138" t="s">
        <v>55</v>
      </c>
      <c r="E5138" t="s">
        <v>2278</v>
      </c>
      <c r="F5138" t="s">
        <v>190</v>
      </c>
      <c r="G5138" t="s">
        <v>300</v>
      </c>
      <c r="H5138" t="s">
        <v>301</v>
      </c>
      <c r="I5138" t="s">
        <v>301</v>
      </c>
      <c r="J5138" t="s">
        <v>60</v>
      </c>
      <c r="K5138" t="s">
        <v>150</v>
      </c>
      <c r="L5138" t="s">
        <v>62</v>
      </c>
      <c r="M5138" t="s">
        <v>150</v>
      </c>
      <c r="N5138" t="s">
        <v>302</v>
      </c>
      <c r="O5138" t="s">
        <v>303</v>
      </c>
      <c r="P5138">
        <v>-20.172993000000002</v>
      </c>
      <c r="Q5138">
        <v>-44.853588999999999</v>
      </c>
      <c r="R5138" s="2" t="str">
        <f>HYPERLINK("https://www.google.com/maps?q=-20.1729930,-44.8535890","Abrir no Google Maps")</f>
        <v>Abrir no Google Maps</v>
      </c>
      <c r="S5138">
        <v>4</v>
      </c>
      <c r="T5138">
        <v>1041.446216907221</v>
      </c>
      <c r="U5138">
        <v>3</v>
      </c>
      <c r="V5138">
        <v>0.87369791666666663</v>
      </c>
      <c r="W5138">
        <v>1</v>
      </c>
      <c r="X5138">
        <v>0.87369791666666663</v>
      </c>
      <c r="Y5138">
        <v>292</v>
      </c>
      <c r="Z5138">
        <v>978.86270909763937</v>
      </c>
      <c r="AA5138">
        <v>198</v>
      </c>
      <c r="AB5138">
        <v>332</v>
      </c>
      <c r="AC5138">
        <v>536</v>
      </c>
      <c r="AD5138">
        <v>28.15</v>
      </c>
      <c r="AE5138">
        <v>542</v>
      </c>
      <c r="AF5138">
        <v>21</v>
      </c>
      <c r="AG5138">
        <v>176</v>
      </c>
      <c r="AH5138">
        <v>129</v>
      </c>
      <c r="AI5138">
        <v>3.87</v>
      </c>
      <c r="AJ5138">
        <v>32.47</v>
      </c>
      <c r="AK5138">
        <v>23.8</v>
      </c>
      <c r="AL5138">
        <v>-20.173142449999968</v>
      </c>
      <c r="AM5138">
        <v>-44.853588035903172</v>
      </c>
      <c r="AN5138">
        <v>-20.173142449999968</v>
      </c>
      <c r="AO5138">
        <v>-44.853588035903172</v>
      </c>
      <c r="AP5138">
        <v>-20.172993000000002</v>
      </c>
      <c r="AQ5138">
        <v>-44.853588999999999</v>
      </c>
      <c r="AR5138">
        <v>16.637078994259841</v>
      </c>
      <c r="AS5138" t="s">
        <v>65</v>
      </c>
      <c r="AT5138">
        <v>1</v>
      </c>
      <c r="AU5138" t="s">
        <v>304</v>
      </c>
      <c r="AV5138" t="s">
        <v>305</v>
      </c>
      <c r="AW5138" t="s">
        <v>60</v>
      </c>
      <c r="AX5138" t="s">
        <v>68</v>
      </c>
      <c r="AY5138" t="s">
        <v>69</v>
      </c>
      <c r="AZ5138" t="b">
        <v>1</v>
      </c>
    </row>
    <row r="5139" spans="1:52" x14ac:dyDescent="0.3">
      <c r="A5139" t="s">
        <v>52</v>
      </c>
      <c r="B5139" t="s">
        <v>53</v>
      </c>
      <c r="C5139" t="s">
        <v>54</v>
      </c>
      <c r="D5139" t="s">
        <v>55</v>
      </c>
      <c r="E5139" t="s">
        <v>2278</v>
      </c>
      <c r="F5139" t="s">
        <v>190</v>
      </c>
      <c r="G5139" t="s">
        <v>306</v>
      </c>
      <c r="H5139" t="s">
        <v>307</v>
      </c>
      <c r="I5139" t="s">
        <v>307</v>
      </c>
      <c r="J5139" t="s">
        <v>60</v>
      </c>
      <c r="K5139" t="s">
        <v>143</v>
      </c>
      <c r="L5139" t="s">
        <v>62</v>
      </c>
      <c r="M5139" t="s">
        <v>143</v>
      </c>
      <c r="N5139" t="s">
        <v>308</v>
      </c>
      <c r="O5139" t="s">
        <v>309</v>
      </c>
      <c r="P5139">
        <v>-20.167071</v>
      </c>
      <c r="Q5139">
        <v>-44.842730000000003</v>
      </c>
      <c r="R5139" s="2" t="str">
        <f>HYPERLINK("https://www.google.com/maps?q=-20.1670710,-44.8427300","Abrir no Google Maps")</f>
        <v>Abrir no Google Maps</v>
      </c>
      <c r="S5139">
        <v>4</v>
      </c>
      <c r="T5139">
        <v>535.14780070571521</v>
      </c>
      <c r="U5139">
        <v>3</v>
      </c>
      <c r="V5139">
        <v>0.86691176470588238</v>
      </c>
      <c r="W5139">
        <v>1</v>
      </c>
      <c r="X5139">
        <v>0.86691176470588238</v>
      </c>
      <c r="Y5139">
        <v>292</v>
      </c>
      <c r="Z5139">
        <v>582.78942050501109</v>
      </c>
      <c r="AA5139">
        <v>198</v>
      </c>
      <c r="AB5139">
        <v>332</v>
      </c>
      <c r="AC5139">
        <v>536</v>
      </c>
      <c r="AD5139">
        <v>28.15</v>
      </c>
      <c r="AE5139">
        <v>542</v>
      </c>
      <c r="AF5139">
        <v>21</v>
      </c>
      <c r="AG5139">
        <v>176</v>
      </c>
      <c r="AH5139">
        <v>129</v>
      </c>
      <c r="AI5139">
        <v>3.87</v>
      </c>
      <c r="AJ5139">
        <v>32.47</v>
      </c>
      <c r="AK5139">
        <v>23.8</v>
      </c>
      <c r="AL5139">
        <v>-20.167006799999971</v>
      </c>
      <c r="AM5139">
        <v>-44.842640974693197</v>
      </c>
      <c r="AN5139">
        <v>-20.167006799999971</v>
      </c>
      <c r="AO5139">
        <v>-44.842640974693197</v>
      </c>
      <c r="AP5139">
        <v>-20.167071</v>
      </c>
      <c r="AQ5139">
        <v>-44.842730000000003</v>
      </c>
      <c r="AR5139">
        <v>11.73100304278117</v>
      </c>
      <c r="AS5139" t="s">
        <v>65</v>
      </c>
      <c r="AT5139">
        <v>1</v>
      </c>
      <c r="AU5139" t="s">
        <v>310</v>
      </c>
      <c r="AV5139" t="s">
        <v>311</v>
      </c>
      <c r="AW5139" t="s">
        <v>60</v>
      </c>
      <c r="AX5139" t="s">
        <v>68</v>
      </c>
      <c r="AY5139" t="s">
        <v>69</v>
      </c>
      <c r="AZ5139" t="b">
        <v>1</v>
      </c>
    </row>
    <row r="5140" spans="1:52" x14ac:dyDescent="0.3">
      <c r="A5140" t="s">
        <v>52</v>
      </c>
      <c r="B5140" t="s">
        <v>53</v>
      </c>
      <c r="C5140" t="s">
        <v>54</v>
      </c>
      <c r="D5140" t="s">
        <v>55</v>
      </c>
      <c r="E5140" t="s">
        <v>2278</v>
      </c>
      <c r="F5140" t="s">
        <v>190</v>
      </c>
      <c r="G5140" t="s">
        <v>312</v>
      </c>
      <c r="H5140" t="s">
        <v>313</v>
      </c>
      <c r="I5140" t="s">
        <v>313</v>
      </c>
      <c r="J5140" t="s">
        <v>60</v>
      </c>
      <c r="K5140" t="s">
        <v>143</v>
      </c>
      <c r="L5140" t="s">
        <v>62</v>
      </c>
      <c r="M5140" t="s">
        <v>143</v>
      </c>
      <c r="N5140" t="s">
        <v>314</v>
      </c>
      <c r="O5140" t="s">
        <v>315</v>
      </c>
      <c r="P5140">
        <v>-20.168939000000002</v>
      </c>
      <c r="Q5140">
        <v>-44.843286999999997</v>
      </c>
      <c r="R5140" s="2" t="str">
        <f>HYPERLINK("https://www.google.com/maps?q=-20.1689390,-44.8432870","Abrir no Google Maps")</f>
        <v>Abrir no Google Maps</v>
      </c>
      <c r="S5140">
        <v>4</v>
      </c>
      <c r="T5140">
        <v>582.22902758915586</v>
      </c>
      <c r="U5140">
        <v>3</v>
      </c>
      <c r="V5140">
        <v>0.86382681564245811</v>
      </c>
      <c r="W5140">
        <v>1</v>
      </c>
      <c r="X5140">
        <v>0.86382681564245811</v>
      </c>
      <c r="Y5140">
        <v>292</v>
      </c>
      <c r="Z5140">
        <v>628.29035609472794</v>
      </c>
      <c r="AA5140">
        <v>198</v>
      </c>
      <c r="AB5140">
        <v>332</v>
      </c>
      <c r="AC5140">
        <v>536</v>
      </c>
      <c r="AD5140">
        <v>28.15</v>
      </c>
      <c r="AE5140">
        <v>542</v>
      </c>
      <c r="AF5140">
        <v>21</v>
      </c>
      <c r="AG5140">
        <v>176</v>
      </c>
      <c r="AH5140">
        <v>129</v>
      </c>
      <c r="AI5140">
        <v>3.87</v>
      </c>
      <c r="AJ5140">
        <v>32.47</v>
      </c>
      <c r="AK5140">
        <v>23.8</v>
      </c>
      <c r="AL5140">
        <v>-20.16917709999996</v>
      </c>
      <c r="AM5140">
        <v>-44.84342194427667</v>
      </c>
      <c r="AN5140">
        <v>-20.16917709999996</v>
      </c>
      <c r="AO5140">
        <v>-44.84342194427667</v>
      </c>
      <c r="AP5140">
        <v>-20.168939000000002</v>
      </c>
      <c r="AQ5140">
        <v>-44.843286999999997</v>
      </c>
      <c r="AR5140">
        <v>30.02272213565665</v>
      </c>
      <c r="AS5140" t="s">
        <v>65</v>
      </c>
      <c r="AT5140">
        <v>1</v>
      </c>
      <c r="AU5140" t="s">
        <v>316</v>
      </c>
      <c r="AV5140" t="s">
        <v>311</v>
      </c>
      <c r="AW5140" t="s">
        <v>60</v>
      </c>
      <c r="AX5140" t="s">
        <v>68</v>
      </c>
      <c r="AY5140" t="s">
        <v>69</v>
      </c>
      <c r="AZ5140" t="b">
        <v>1</v>
      </c>
    </row>
    <row r="5141" spans="1:52" x14ac:dyDescent="0.3">
      <c r="A5141" t="s">
        <v>52</v>
      </c>
      <c r="B5141" t="s">
        <v>53</v>
      </c>
      <c r="C5141" t="s">
        <v>54</v>
      </c>
      <c r="D5141" t="s">
        <v>55</v>
      </c>
      <c r="E5141" t="s">
        <v>2278</v>
      </c>
      <c r="F5141" t="s">
        <v>190</v>
      </c>
      <c r="G5141" t="s">
        <v>321</v>
      </c>
      <c r="H5141" t="s">
        <v>322</v>
      </c>
      <c r="I5141" t="s">
        <v>322</v>
      </c>
      <c r="J5141" t="s">
        <v>60</v>
      </c>
      <c r="K5141" t="s">
        <v>323</v>
      </c>
      <c r="L5141" t="s">
        <v>62</v>
      </c>
      <c r="M5141" t="s">
        <v>323</v>
      </c>
      <c r="N5141" t="s">
        <v>324</v>
      </c>
      <c r="O5141" t="s">
        <v>325</v>
      </c>
      <c r="P5141">
        <v>-20.151437999999999</v>
      </c>
      <c r="Q5141">
        <v>-44.855761000000001</v>
      </c>
      <c r="R5141" s="2" t="str">
        <f>HYPERLINK("https://www.google.com/maps?q=-20.1514380,-44.8557610","Abrir no Google Maps")</f>
        <v>Abrir no Google Maps</v>
      </c>
      <c r="S5141">
        <v>4</v>
      </c>
      <c r="T5141">
        <v>970.69989262042009</v>
      </c>
      <c r="U5141">
        <v>3</v>
      </c>
      <c r="V5141">
        <v>0.86572052401746724</v>
      </c>
      <c r="W5141">
        <v>1</v>
      </c>
      <c r="X5141">
        <v>0.86572052401746724</v>
      </c>
      <c r="Y5141">
        <v>264</v>
      </c>
      <c r="Z5141">
        <v>1041.0105988261671</v>
      </c>
      <c r="AA5141">
        <v>198</v>
      </c>
      <c r="AB5141">
        <v>332</v>
      </c>
      <c r="AC5141">
        <v>536</v>
      </c>
      <c r="AD5141">
        <v>28.15</v>
      </c>
      <c r="AE5141">
        <v>542</v>
      </c>
      <c r="AF5141">
        <v>21</v>
      </c>
      <c r="AG5141">
        <v>176</v>
      </c>
      <c r="AH5141">
        <v>129</v>
      </c>
      <c r="AI5141">
        <v>3.87</v>
      </c>
      <c r="AJ5141">
        <v>32.47</v>
      </c>
      <c r="AK5141">
        <v>23.8</v>
      </c>
      <c r="AL5141">
        <v>-20.15142824999996</v>
      </c>
      <c r="AM5141">
        <v>-44.854100160898767</v>
      </c>
      <c r="AN5141">
        <v>-20.15142824999996</v>
      </c>
      <c r="AO5141">
        <v>-44.854100160898767</v>
      </c>
      <c r="AP5141">
        <v>-20.151437999999999</v>
      </c>
      <c r="AQ5141">
        <v>-44.855761000000001</v>
      </c>
      <c r="AR5141">
        <v>173.57036632351381</v>
      </c>
      <c r="AS5141" t="s">
        <v>65</v>
      </c>
      <c r="AT5141">
        <v>1</v>
      </c>
      <c r="AU5141" t="s">
        <v>326</v>
      </c>
      <c r="AV5141" t="s">
        <v>327</v>
      </c>
      <c r="AW5141" t="s">
        <v>60</v>
      </c>
      <c r="AX5141" t="s">
        <v>68</v>
      </c>
      <c r="AY5141" t="s">
        <v>69</v>
      </c>
      <c r="AZ5141" t="b">
        <v>1</v>
      </c>
    </row>
    <row r="5142" spans="1:52" x14ac:dyDescent="0.3">
      <c r="A5142" t="s">
        <v>52</v>
      </c>
      <c r="B5142" t="s">
        <v>53</v>
      </c>
      <c r="C5142" t="s">
        <v>54</v>
      </c>
      <c r="D5142" t="s">
        <v>55</v>
      </c>
      <c r="E5142" t="s">
        <v>2278</v>
      </c>
      <c r="F5142" t="s">
        <v>190</v>
      </c>
      <c r="G5142" t="s">
        <v>328</v>
      </c>
      <c r="H5142" t="s">
        <v>329</v>
      </c>
      <c r="I5142" t="s">
        <v>329</v>
      </c>
      <c r="J5142" t="s">
        <v>60</v>
      </c>
      <c r="K5142" t="s">
        <v>157</v>
      </c>
      <c r="L5142" t="s">
        <v>62</v>
      </c>
      <c r="M5142" t="s">
        <v>157</v>
      </c>
      <c r="N5142" t="s">
        <v>330</v>
      </c>
      <c r="O5142" t="s">
        <v>331</v>
      </c>
      <c r="P5142">
        <v>-20.167981999999999</v>
      </c>
      <c r="Q5142">
        <v>-44.885706999999996</v>
      </c>
      <c r="R5142" s="2" t="str">
        <f>HYPERLINK("https://www.google.com/maps?q=-20.1679820,-44.8857070","Abrir no Google Maps")</f>
        <v>Abrir no Google Maps</v>
      </c>
      <c r="S5142">
        <v>4</v>
      </c>
      <c r="T5142">
        <v>594.70112534633722</v>
      </c>
      <c r="U5142">
        <v>3</v>
      </c>
      <c r="V5142">
        <v>0.86760646687697163</v>
      </c>
      <c r="W5142">
        <v>1</v>
      </c>
      <c r="X5142">
        <v>0.86760646687697163</v>
      </c>
      <c r="Y5142">
        <v>232</v>
      </c>
      <c r="Z5142">
        <v>560.38516624860983</v>
      </c>
      <c r="AA5142">
        <v>198</v>
      </c>
      <c r="AB5142">
        <v>332</v>
      </c>
      <c r="AC5142">
        <v>536</v>
      </c>
      <c r="AD5142">
        <v>28.15</v>
      </c>
      <c r="AE5142">
        <v>542</v>
      </c>
      <c r="AF5142">
        <v>21</v>
      </c>
      <c r="AG5142">
        <v>176</v>
      </c>
      <c r="AH5142">
        <v>129</v>
      </c>
      <c r="AI5142">
        <v>3.87</v>
      </c>
      <c r="AJ5142">
        <v>32.47</v>
      </c>
      <c r="AK5142">
        <v>23.8</v>
      </c>
      <c r="AL5142">
        <v>-20.167931149999959</v>
      </c>
      <c r="AM5142">
        <v>-44.885606821741909</v>
      </c>
      <c r="AN5142">
        <v>-20.167931149999959</v>
      </c>
      <c r="AO5142">
        <v>-44.885606821741909</v>
      </c>
      <c r="AP5142">
        <v>-20.167981999999999</v>
      </c>
      <c r="AQ5142">
        <v>-44.885706999999996</v>
      </c>
      <c r="AR5142">
        <v>11.90056149590643</v>
      </c>
      <c r="AS5142" t="s">
        <v>65</v>
      </c>
      <c r="AT5142">
        <v>1</v>
      </c>
      <c r="AU5142" t="s">
        <v>332</v>
      </c>
      <c r="AV5142" t="s">
        <v>333</v>
      </c>
      <c r="AW5142" t="s">
        <v>60</v>
      </c>
      <c r="AX5142" t="s">
        <v>68</v>
      </c>
      <c r="AY5142" t="s">
        <v>69</v>
      </c>
      <c r="AZ5142" t="b">
        <v>1</v>
      </c>
    </row>
    <row r="5143" spans="1:52" x14ac:dyDescent="0.3">
      <c r="A5143" t="s">
        <v>52</v>
      </c>
      <c r="B5143" t="s">
        <v>53</v>
      </c>
      <c r="C5143" t="s">
        <v>54</v>
      </c>
      <c r="D5143" t="s">
        <v>55</v>
      </c>
      <c r="E5143" t="s">
        <v>2278</v>
      </c>
      <c r="F5143" t="s">
        <v>190</v>
      </c>
      <c r="G5143" t="s">
        <v>334</v>
      </c>
      <c r="H5143" t="s">
        <v>335</v>
      </c>
      <c r="I5143" t="s">
        <v>335</v>
      </c>
      <c r="J5143" t="s">
        <v>60</v>
      </c>
      <c r="K5143" t="s">
        <v>336</v>
      </c>
      <c r="L5143" t="s">
        <v>62</v>
      </c>
      <c r="M5143" t="s">
        <v>336</v>
      </c>
      <c r="N5143" t="s">
        <v>337</v>
      </c>
      <c r="O5143" t="s">
        <v>338</v>
      </c>
      <c r="P5143">
        <v>-20.168142</v>
      </c>
      <c r="Q5143">
        <v>-44.875697000000002</v>
      </c>
      <c r="R5143" s="2" t="str">
        <f>HYPERLINK("https://www.google.com/maps?q=-20.1681420,-44.8756970","Abrir no Google Maps")</f>
        <v>Abrir no Google Maps</v>
      </c>
      <c r="S5143">
        <v>4</v>
      </c>
      <c r="T5143">
        <v>678.04878367834192</v>
      </c>
      <c r="U5143">
        <v>3</v>
      </c>
      <c r="V5143">
        <v>0.87731481481481477</v>
      </c>
      <c r="W5143">
        <v>1</v>
      </c>
      <c r="X5143">
        <v>0.87731481481481477</v>
      </c>
      <c r="Y5143">
        <v>232</v>
      </c>
      <c r="Z5143">
        <v>595.98467532792097</v>
      </c>
      <c r="AA5143">
        <v>198</v>
      </c>
      <c r="AB5143">
        <v>332</v>
      </c>
      <c r="AC5143">
        <v>536</v>
      </c>
      <c r="AD5143">
        <v>28.15</v>
      </c>
      <c r="AE5143">
        <v>542</v>
      </c>
      <c r="AF5143">
        <v>21</v>
      </c>
      <c r="AG5143">
        <v>176</v>
      </c>
      <c r="AH5143">
        <v>129</v>
      </c>
      <c r="AI5143">
        <v>3.87</v>
      </c>
      <c r="AJ5143">
        <v>32.47</v>
      </c>
      <c r="AK5143">
        <v>23.8</v>
      </c>
      <c r="AL5143">
        <v>-20.16787839999995</v>
      </c>
      <c r="AM5143">
        <v>-44.875681825945229</v>
      </c>
      <c r="AN5143">
        <v>-20.16787839999995</v>
      </c>
      <c r="AO5143">
        <v>-44.875681825945229</v>
      </c>
      <c r="AP5143">
        <v>-20.168142</v>
      </c>
      <c r="AQ5143">
        <v>-44.875697000000002</v>
      </c>
      <c r="AR5143">
        <v>29.386760063894371</v>
      </c>
      <c r="AS5143" t="s">
        <v>65</v>
      </c>
      <c r="AT5143">
        <v>1</v>
      </c>
      <c r="AU5143" t="s">
        <v>339</v>
      </c>
      <c r="AV5143" t="s">
        <v>340</v>
      </c>
      <c r="AW5143" t="s">
        <v>60</v>
      </c>
      <c r="AX5143" t="s">
        <v>68</v>
      </c>
      <c r="AY5143" t="s">
        <v>69</v>
      </c>
      <c r="AZ5143" t="b">
        <v>1</v>
      </c>
    </row>
    <row r="5144" spans="1:52" x14ac:dyDescent="0.3">
      <c r="A5144" t="s">
        <v>52</v>
      </c>
      <c r="B5144" t="s">
        <v>53</v>
      </c>
      <c r="C5144" t="s">
        <v>54</v>
      </c>
      <c r="D5144" t="s">
        <v>55</v>
      </c>
      <c r="E5144" t="s">
        <v>2278</v>
      </c>
      <c r="F5144" t="s">
        <v>190</v>
      </c>
      <c r="G5144" t="s">
        <v>155</v>
      </c>
      <c r="H5144" t="s">
        <v>156</v>
      </c>
      <c r="I5144" t="s">
        <v>156</v>
      </c>
      <c r="J5144" t="s">
        <v>60</v>
      </c>
      <c r="K5144" t="s">
        <v>157</v>
      </c>
      <c r="L5144" t="s">
        <v>62</v>
      </c>
      <c r="M5144" t="s">
        <v>157</v>
      </c>
      <c r="N5144" t="s">
        <v>158</v>
      </c>
      <c r="O5144" t="s">
        <v>159</v>
      </c>
      <c r="P5144">
        <v>-20.166302999999999</v>
      </c>
      <c r="Q5144">
        <v>-44.880659999999999</v>
      </c>
      <c r="R5144" s="2" t="str">
        <f>HYPERLINK("https://www.google.com/maps?q=-20.1663030,-44.8806600","Abrir no Google Maps")</f>
        <v>Abrir no Google Maps</v>
      </c>
      <c r="S5144">
        <v>4</v>
      </c>
      <c r="T5144">
        <v>504.41812426451338</v>
      </c>
      <c r="U5144">
        <v>3</v>
      </c>
      <c r="V5144">
        <v>0.87043795620437947</v>
      </c>
      <c r="W5144">
        <v>1</v>
      </c>
      <c r="X5144">
        <v>0.87043795620437947</v>
      </c>
      <c r="Y5144">
        <v>232</v>
      </c>
      <c r="Z5144">
        <v>279.57571553948952</v>
      </c>
      <c r="AA5144">
        <v>198</v>
      </c>
      <c r="AB5144">
        <v>332</v>
      </c>
      <c r="AC5144">
        <v>536</v>
      </c>
      <c r="AD5144">
        <v>28.15</v>
      </c>
      <c r="AE5144">
        <v>542</v>
      </c>
      <c r="AF5144">
        <v>21</v>
      </c>
      <c r="AG5144">
        <v>176</v>
      </c>
      <c r="AH5144">
        <v>129</v>
      </c>
      <c r="AI5144">
        <v>3.87</v>
      </c>
      <c r="AJ5144">
        <v>32.47</v>
      </c>
      <c r="AK5144">
        <v>23.8</v>
      </c>
      <c r="AL5144">
        <v>-20.166700449999951</v>
      </c>
      <c r="AM5144">
        <v>-44.880573341714289</v>
      </c>
      <c r="AN5144">
        <v>-20.166700449999951</v>
      </c>
      <c r="AO5144">
        <v>-44.880573341714289</v>
      </c>
      <c r="AP5144">
        <v>-20.166302999999999</v>
      </c>
      <c r="AQ5144">
        <v>-44.880659999999999</v>
      </c>
      <c r="AR5144">
        <v>45.161304979350312</v>
      </c>
      <c r="AS5144" t="s">
        <v>65</v>
      </c>
      <c r="AT5144">
        <v>1</v>
      </c>
      <c r="AU5144" t="s">
        <v>160</v>
      </c>
      <c r="AV5144" t="s">
        <v>161</v>
      </c>
      <c r="AW5144" t="s">
        <v>60</v>
      </c>
      <c r="AX5144" t="s">
        <v>68</v>
      </c>
      <c r="AY5144" t="s">
        <v>69</v>
      </c>
      <c r="AZ5144" t="b">
        <v>1</v>
      </c>
    </row>
    <row r="5145" spans="1:52" x14ac:dyDescent="0.3">
      <c r="A5145" t="s">
        <v>52</v>
      </c>
      <c r="B5145" t="s">
        <v>53</v>
      </c>
      <c r="C5145" t="s">
        <v>54</v>
      </c>
      <c r="D5145" t="s">
        <v>55</v>
      </c>
      <c r="E5145" t="s">
        <v>2278</v>
      </c>
      <c r="F5145" t="s">
        <v>190</v>
      </c>
      <c r="G5145" t="s">
        <v>341</v>
      </c>
      <c r="H5145" t="s">
        <v>342</v>
      </c>
      <c r="I5145" t="s">
        <v>342</v>
      </c>
      <c r="J5145" t="s">
        <v>60</v>
      </c>
      <c r="K5145" t="s">
        <v>164</v>
      </c>
      <c r="L5145" t="s">
        <v>62</v>
      </c>
      <c r="M5145" t="s">
        <v>164</v>
      </c>
      <c r="N5145" t="s">
        <v>343</v>
      </c>
      <c r="O5145" t="s">
        <v>344</v>
      </c>
      <c r="P5145">
        <v>-20.17606</v>
      </c>
      <c r="Q5145">
        <v>-44.880409999999998</v>
      </c>
      <c r="R5145" s="2" t="str">
        <f>HYPERLINK("https://www.google.com/maps?q=-20.1760600,-44.8804100","Abrir no Google Maps")</f>
        <v>Abrir no Google Maps</v>
      </c>
      <c r="S5145">
        <v>4</v>
      </c>
      <c r="T5145">
        <v>556.35468246023754</v>
      </c>
      <c r="U5145">
        <v>3</v>
      </c>
      <c r="V5145">
        <v>0.85588235294117643</v>
      </c>
      <c r="W5145">
        <v>1</v>
      </c>
      <c r="X5145">
        <v>0.85588235294117643</v>
      </c>
      <c r="Y5145">
        <v>232</v>
      </c>
      <c r="Z5145">
        <v>674.22003156100322</v>
      </c>
      <c r="AA5145">
        <v>198</v>
      </c>
      <c r="AB5145">
        <v>332</v>
      </c>
      <c r="AC5145">
        <v>536</v>
      </c>
      <c r="AD5145">
        <v>28.15</v>
      </c>
      <c r="AE5145">
        <v>542</v>
      </c>
      <c r="AF5145">
        <v>21</v>
      </c>
      <c r="AG5145">
        <v>176</v>
      </c>
      <c r="AH5145">
        <v>129</v>
      </c>
      <c r="AI5145">
        <v>3.87</v>
      </c>
      <c r="AJ5145">
        <v>32.47</v>
      </c>
      <c r="AK5145">
        <v>23.8</v>
      </c>
      <c r="AL5145">
        <v>-20.176226899999961</v>
      </c>
      <c r="AM5145">
        <v>-44.880527903427911</v>
      </c>
      <c r="AN5145">
        <v>-20.176226899999961</v>
      </c>
      <c r="AO5145">
        <v>-44.880527903427911</v>
      </c>
      <c r="AP5145">
        <v>-20.17606</v>
      </c>
      <c r="AQ5145">
        <v>-44.880409999999998</v>
      </c>
      <c r="AR5145">
        <v>22.292677247804349</v>
      </c>
      <c r="AS5145" t="s">
        <v>65</v>
      </c>
      <c r="AT5145">
        <v>1</v>
      </c>
      <c r="AU5145" t="s">
        <v>345</v>
      </c>
      <c r="AV5145" t="s">
        <v>346</v>
      </c>
      <c r="AW5145" t="s">
        <v>60</v>
      </c>
      <c r="AX5145" t="s">
        <v>68</v>
      </c>
      <c r="AY5145" t="s">
        <v>69</v>
      </c>
      <c r="AZ5145" t="b">
        <v>1</v>
      </c>
    </row>
    <row r="5146" spans="1:52" x14ac:dyDescent="0.3">
      <c r="A5146" t="s">
        <v>52</v>
      </c>
      <c r="B5146" t="s">
        <v>53</v>
      </c>
      <c r="C5146" t="s">
        <v>54</v>
      </c>
      <c r="D5146" t="s">
        <v>55</v>
      </c>
      <c r="E5146" t="s">
        <v>2278</v>
      </c>
      <c r="F5146" t="s">
        <v>190</v>
      </c>
      <c r="G5146" t="s">
        <v>162</v>
      </c>
      <c r="H5146" t="s">
        <v>163</v>
      </c>
      <c r="I5146" t="s">
        <v>163</v>
      </c>
      <c r="J5146" t="s">
        <v>60</v>
      </c>
      <c r="K5146" t="s">
        <v>164</v>
      </c>
      <c r="L5146" t="s">
        <v>62</v>
      </c>
      <c r="M5146" t="s">
        <v>164</v>
      </c>
      <c r="N5146" t="s">
        <v>165</v>
      </c>
      <c r="O5146" t="s">
        <v>166</v>
      </c>
      <c r="P5146">
        <v>-20.175967</v>
      </c>
      <c r="Q5146">
        <v>-44.876730000000002</v>
      </c>
      <c r="R5146" s="2" t="str">
        <f>HYPERLINK("https://www.google.com/maps?q=-20.1759670,-44.8767300","Abrir no Google Maps")</f>
        <v>Abrir no Google Maps</v>
      </c>
      <c r="S5146">
        <v>4</v>
      </c>
      <c r="T5146">
        <v>692.5753730151132</v>
      </c>
      <c r="U5146">
        <v>3</v>
      </c>
      <c r="V5146">
        <v>0.8757309941520468</v>
      </c>
      <c r="W5146">
        <v>1</v>
      </c>
      <c r="X5146">
        <v>0.8757309941520468</v>
      </c>
      <c r="Y5146">
        <v>232</v>
      </c>
      <c r="Z5146">
        <v>686.15054949166824</v>
      </c>
      <c r="AA5146">
        <v>198</v>
      </c>
      <c r="AB5146">
        <v>332</v>
      </c>
      <c r="AC5146">
        <v>536</v>
      </c>
      <c r="AD5146">
        <v>28.15</v>
      </c>
      <c r="AE5146">
        <v>542</v>
      </c>
      <c r="AF5146">
        <v>21</v>
      </c>
      <c r="AG5146">
        <v>176</v>
      </c>
      <c r="AH5146">
        <v>129</v>
      </c>
      <c r="AI5146">
        <v>3.87</v>
      </c>
      <c r="AJ5146">
        <v>32.47</v>
      </c>
      <c r="AK5146">
        <v>23.8</v>
      </c>
      <c r="AL5146">
        <v>-20.17598664999997</v>
      </c>
      <c r="AM5146">
        <v>-44.876806510253203</v>
      </c>
      <c r="AN5146">
        <v>-20.17598664999997</v>
      </c>
      <c r="AO5146">
        <v>-44.876806510253203</v>
      </c>
      <c r="AP5146">
        <v>-20.175967</v>
      </c>
      <c r="AQ5146">
        <v>-44.876730000000002</v>
      </c>
      <c r="AR5146">
        <v>8.2883514287440097</v>
      </c>
      <c r="AS5146" t="s">
        <v>65</v>
      </c>
      <c r="AT5146">
        <v>1</v>
      </c>
      <c r="AU5146" t="s">
        <v>167</v>
      </c>
      <c r="AV5146" t="s">
        <v>168</v>
      </c>
      <c r="AW5146" t="s">
        <v>60</v>
      </c>
      <c r="AX5146" t="s">
        <v>68</v>
      </c>
      <c r="AY5146" t="s">
        <v>69</v>
      </c>
      <c r="AZ5146" t="b">
        <v>1</v>
      </c>
    </row>
    <row r="5147" spans="1:52" x14ac:dyDescent="0.3">
      <c r="A5147" t="s">
        <v>52</v>
      </c>
      <c r="B5147" t="s">
        <v>53</v>
      </c>
      <c r="C5147" t="s">
        <v>54</v>
      </c>
      <c r="D5147" t="s">
        <v>55</v>
      </c>
      <c r="E5147" t="s">
        <v>2278</v>
      </c>
      <c r="F5147" t="s">
        <v>190</v>
      </c>
      <c r="G5147" t="s">
        <v>347</v>
      </c>
      <c r="H5147" t="s">
        <v>348</v>
      </c>
      <c r="I5147" t="s">
        <v>348</v>
      </c>
      <c r="J5147" t="s">
        <v>60</v>
      </c>
      <c r="K5147" t="s">
        <v>157</v>
      </c>
      <c r="L5147" t="s">
        <v>62</v>
      </c>
      <c r="M5147" t="s">
        <v>157</v>
      </c>
      <c r="N5147" t="s">
        <v>349</v>
      </c>
      <c r="O5147" t="s">
        <v>350</v>
      </c>
      <c r="P5147">
        <v>-20.171206999999999</v>
      </c>
      <c r="Q5147">
        <v>-44.881143999999999</v>
      </c>
      <c r="R5147" s="2" t="str">
        <f>HYPERLINK("https://www.google.com/maps?q=-20.1712070,-44.8811440","Abrir no Google Maps")</f>
        <v>Abrir no Google Maps</v>
      </c>
      <c r="S5147">
        <v>4</v>
      </c>
      <c r="T5147">
        <v>0</v>
      </c>
      <c r="U5147">
        <v>3</v>
      </c>
      <c r="V5147">
        <v>0.87323633156966485</v>
      </c>
      <c r="W5147">
        <v>1</v>
      </c>
      <c r="X5147">
        <v>0.87323633156966485</v>
      </c>
      <c r="Y5147">
        <v>232</v>
      </c>
      <c r="Z5147">
        <v>184.81719774496389</v>
      </c>
      <c r="AA5147">
        <v>198</v>
      </c>
      <c r="AB5147">
        <v>332</v>
      </c>
      <c r="AC5147">
        <v>536</v>
      </c>
      <c r="AD5147">
        <v>28.15</v>
      </c>
      <c r="AE5147">
        <v>542</v>
      </c>
      <c r="AF5147">
        <v>21</v>
      </c>
      <c r="AG5147">
        <v>176</v>
      </c>
      <c r="AH5147">
        <v>129</v>
      </c>
      <c r="AI5147">
        <v>3.87</v>
      </c>
      <c r="AJ5147">
        <v>32.47</v>
      </c>
      <c r="AK5147">
        <v>23.8</v>
      </c>
      <c r="AL5147">
        <v>-20.171229949999969</v>
      </c>
      <c r="AM5147">
        <v>-44.881113944480241</v>
      </c>
      <c r="AN5147">
        <v>-20.171229949999969</v>
      </c>
      <c r="AO5147">
        <v>-44.881113944480241</v>
      </c>
      <c r="AP5147">
        <v>-20.171206999999999</v>
      </c>
      <c r="AQ5147">
        <v>-44.881143999999999</v>
      </c>
      <c r="AR5147">
        <v>4.0484763362859333</v>
      </c>
      <c r="AS5147" t="s">
        <v>65</v>
      </c>
      <c r="AT5147">
        <v>1</v>
      </c>
      <c r="AU5147" t="s">
        <v>351</v>
      </c>
      <c r="AV5147" t="s">
        <v>352</v>
      </c>
      <c r="AW5147" t="s">
        <v>60</v>
      </c>
      <c r="AX5147" t="s">
        <v>68</v>
      </c>
      <c r="AY5147" t="s">
        <v>69</v>
      </c>
      <c r="AZ5147" t="b">
        <v>1</v>
      </c>
    </row>
    <row r="5148" spans="1:52" x14ac:dyDescent="0.3">
      <c r="A5148" t="s">
        <v>52</v>
      </c>
      <c r="B5148" t="s">
        <v>53</v>
      </c>
      <c r="C5148" t="s">
        <v>54</v>
      </c>
      <c r="D5148" t="s">
        <v>55</v>
      </c>
      <c r="E5148" t="s">
        <v>2278</v>
      </c>
      <c r="F5148" t="s">
        <v>190</v>
      </c>
      <c r="G5148" t="s">
        <v>1649</v>
      </c>
      <c r="H5148" t="s">
        <v>1650</v>
      </c>
      <c r="I5148" t="s">
        <v>1650</v>
      </c>
      <c r="J5148" t="s">
        <v>60</v>
      </c>
      <c r="K5148" t="s">
        <v>355</v>
      </c>
      <c r="L5148" t="s">
        <v>62</v>
      </c>
      <c r="M5148" t="s">
        <v>355</v>
      </c>
      <c r="N5148" t="s">
        <v>1651</v>
      </c>
      <c r="O5148" t="s">
        <v>293</v>
      </c>
      <c r="P5148">
        <v>-20.141983</v>
      </c>
      <c r="Q5148">
        <v>-44.871161000000001</v>
      </c>
      <c r="R5148" s="2" t="str">
        <f>HYPERLINK("https://www.google.com/maps?q=-20.1419830,-44.8711610","Abrir no Google Maps")</f>
        <v>Abrir no Google Maps</v>
      </c>
      <c r="S5148">
        <v>4</v>
      </c>
      <c r="T5148">
        <v>492.40092389187612</v>
      </c>
      <c r="U5148">
        <v>3</v>
      </c>
      <c r="V5148">
        <v>0.86571285140562249</v>
      </c>
      <c r="W5148">
        <v>1</v>
      </c>
      <c r="X5148">
        <v>0.86571285140562249</v>
      </c>
      <c r="Y5148">
        <v>209</v>
      </c>
      <c r="Z5148">
        <v>425.51195583014947</v>
      </c>
      <c r="AA5148">
        <v>198</v>
      </c>
      <c r="AB5148">
        <v>332</v>
      </c>
      <c r="AC5148">
        <v>536</v>
      </c>
      <c r="AD5148">
        <v>28.15</v>
      </c>
      <c r="AE5148">
        <v>542</v>
      </c>
      <c r="AF5148">
        <v>21</v>
      </c>
      <c r="AG5148">
        <v>176</v>
      </c>
      <c r="AH5148">
        <v>129</v>
      </c>
      <c r="AI5148">
        <v>3.87</v>
      </c>
      <c r="AJ5148">
        <v>32.47</v>
      </c>
      <c r="AK5148">
        <v>23.8</v>
      </c>
      <c r="AL5148">
        <v>-20.142006349999971</v>
      </c>
      <c r="AM5148">
        <v>-44.871190369486733</v>
      </c>
      <c r="AN5148">
        <v>-20.142006349999981</v>
      </c>
      <c r="AO5148">
        <v>-44.871190369486733</v>
      </c>
      <c r="AP5148">
        <v>-20.141983</v>
      </c>
      <c r="AQ5148">
        <v>-44.871161000000001</v>
      </c>
      <c r="AR5148">
        <v>4.0221964388318616</v>
      </c>
      <c r="AS5148" t="s">
        <v>65</v>
      </c>
      <c r="AT5148">
        <v>1</v>
      </c>
      <c r="AU5148" t="s">
        <v>1652</v>
      </c>
      <c r="AV5148" t="s">
        <v>1653</v>
      </c>
      <c r="AW5148" t="s">
        <v>60</v>
      </c>
      <c r="AX5148" t="s">
        <v>68</v>
      </c>
      <c r="AY5148" t="s">
        <v>69</v>
      </c>
      <c r="AZ5148" t="b">
        <v>1</v>
      </c>
    </row>
    <row r="5149" spans="1:52" x14ac:dyDescent="0.3">
      <c r="A5149" t="s">
        <v>52</v>
      </c>
      <c r="B5149" t="s">
        <v>53</v>
      </c>
      <c r="C5149" t="s">
        <v>54</v>
      </c>
      <c r="D5149" t="s">
        <v>55</v>
      </c>
      <c r="E5149" t="s">
        <v>2278</v>
      </c>
      <c r="F5149" t="s">
        <v>190</v>
      </c>
      <c r="G5149" t="s">
        <v>1654</v>
      </c>
      <c r="H5149" t="s">
        <v>1655</v>
      </c>
      <c r="I5149" t="s">
        <v>1655</v>
      </c>
      <c r="J5149" t="s">
        <v>60</v>
      </c>
      <c r="K5149" t="s">
        <v>368</v>
      </c>
      <c r="L5149" t="s">
        <v>62</v>
      </c>
      <c r="M5149" t="s">
        <v>368</v>
      </c>
      <c r="N5149" t="s">
        <v>1656</v>
      </c>
      <c r="O5149" t="s">
        <v>1657</v>
      </c>
      <c r="P5149">
        <v>-20.143647999999999</v>
      </c>
      <c r="Q5149">
        <v>-44.870466</v>
      </c>
      <c r="R5149" s="2" t="str">
        <f>HYPERLINK("https://www.google.com/maps?q=-20.1436480,-44.8704660","Abrir no Google Maps")</f>
        <v>Abrir no Google Maps</v>
      </c>
      <c r="S5149">
        <v>4</v>
      </c>
      <c r="T5149">
        <v>545.81556277505979</v>
      </c>
      <c r="U5149">
        <v>3</v>
      </c>
      <c r="V5149">
        <v>0.87922705314009664</v>
      </c>
      <c r="W5149">
        <v>1</v>
      </c>
      <c r="X5149">
        <v>0.87922705314009664</v>
      </c>
      <c r="Y5149">
        <v>198</v>
      </c>
      <c r="Z5149">
        <v>258.83396188518708</v>
      </c>
      <c r="AA5149">
        <v>198</v>
      </c>
      <c r="AB5149">
        <v>332</v>
      </c>
      <c r="AC5149">
        <v>536</v>
      </c>
      <c r="AD5149">
        <v>28.15</v>
      </c>
      <c r="AE5149">
        <v>542</v>
      </c>
      <c r="AF5149">
        <v>21</v>
      </c>
      <c r="AG5149">
        <v>176</v>
      </c>
      <c r="AH5149">
        <v>129</v>
      </c>
      <c r="AI5149">
        <v>3.87</v>
      </c>
      <c r="AJ5149">
        <v>32.47</v>
      </c>
      <c r="AK5149">
        <v>23.8</v>
      </c>
      <c r="AL5149">
        <v>-20.143704099999951</v>
      </c>
      <c r="AM5149">
        <v>-44.870339403868741</v>
      </c>
      <c r="AN5149">
        <v>-20.143704099999951</v>
      </c>
      <c r="AO5149">
        <v>-44.870339403868741</v>
      </c>
      <c r="AP5149">
        <v>-20.143647999999999</v>
      </c>
      <c r="AQ5149">
        <v>-44.870466</v>
      </c>
      <c r="AR5149">
        <v>14.63048136060379</v>
      </c>
      <c r="AS5149" t="s">
        <v>65</v>
      </c>
      <c r="AT5149">
        <v>1</v>
      </c>
      <c r="AU5149" t="s">
        <v>1658</v>
      </c>
      <c r="AV5149" t="s">
        <v>1659</v>
      </c>
      <c r="AW5149" t="s">
        <v>60</v>
      </c>
      <c r="AX5149" t="s">
        <v>68</v>
      </c>
      <c r="AY5149" t="s">
        <v>69</v>
      </c>
      <c r="AZ5149" t="b">
        <v>1</v>
      </c>
    </row>
    <row r="5150" spans="1:52" x14ac:dyDescent="0.3">
      <c r="A5150" t="s">
        <v>52</v>
      </c>
      <c r="B5150" t="s">
        <v>53</v>
      </c>
      <c r="C5150" t="s">
        <v>54</v>
      </c>
      <c r="D5150" t="s">
        <v>55</v>
      </c>
      <c r="E5150" t="s">
        <v>2278</v>
      </c>
      <c r="F5150" t="s">
        <v>190</v>
      </c>
      <c r="G5150" t="s">
        <v>373</v>
      </c>
      <c r="H5150" t="s">
        <v>374</v>
      </c>
      <c r="I5150" t="s">
        <v>374</v>
      </c>
      <c r="J5150" t="s">
        <v>60</v>
      </c>
      <c r="K5150" t="s">
        <v>375</v>
      </c>
      <c r="L5150" t="s">
        <v>62</v>
      </c>
      <c r="M5150" t="s">
        <v>375</v>
      </c>
      <c r="N5150" t="s">
        <v>376</v>
      </c>
      <c r="O5150" t="s">
        <v>377</v>
      </c>
      <c r="P5150">
        <v>-20.178172</v>
      </c>
      <c r="Q5150">
        <v>-44.882871999999999</v>
      </c>
      <c r="R5150" s="2" t="str">
        <f>HYPERLINK("https://www.google.com/maps?q=-20.1781720,-44.8828720","Abrir no Google Maps")</f>
        <v>Abrir no Google Maps</v>
      </c>
      <c r="S5150">
        <v>4</v>
      </c>
      <c r="T5150">
        <v>817.23317190190858</v>
      </c>
      <c r="U5150">
        <v>3</v>
      </c>
      <c r="V5150">
        <v>0.8705729166666667</v>
      </c>
      <c r="W5150">
        <v>1</v>
      </c>
      <c r="X5150">
        <v>0.8705729166666667</v>
      </c>
      <c r="Y5150">
        <v>101</v>
      </c>
      <c r="Z5150">
        <v>845.03006728789421</v>
      </c>
      <c r="AA5150">
        <v>198</v>
      </c>
      <c r="AB5150">
        <v>332</v>
      </c>
      <c r="AC5150">
        <v>536</v>
      </c>
      <c r="AD5150">
        <v>28.15</v>
      </c>
      <c r="AE5150">
        <v>542</v>
      </c>
      <c r="AF5150">
        <v>21</v>
      </c>
      <c r="AG5150">
        <v>176</v>
      </c>
      <c r="AH5150">
        <v>129</v>
      </c>
      <c r="AI5150">
        <v>3.87</v>
      </c>
      <c r="AJ5150">
        <v>32.47</v>
      </c>
      <c r="AK5150">
        <v>23.8</v>
      </c>
      <c r="AL5150">
        <v>-20.178380049999959</v>
      </c>
      <c r="AM5150">
        <v>-44.883070555357122</v>
      </c>
      <c r="AN5150">
        <v>-20.178380049999959</v>
      </c>
      <c r="AO5150">
        <v>-44.883070555357122</v>
      </c>
      <c r="AP5150">
        <v>-20.178172</v>
      </c>
      <c r="AQ5150">
        <v>-44.882871999999999</v>
      </c>
      <c r="AR5150">
        <v>31.093588149250511</v>
      </c>
      <c r="AS5150" t="s">
        <v>65</v>
      </c>
      <c r="AT5150">
        <v>1</v>
      </c>
      <c r="AU5150" t="s">
        <v>378</v>
      </c>
      <c r="AV5150" t="s">
        <v>379</v>
      </c>
      <c r="AW5150" t="s">
        <v>60</v>
      </c>
      <c r="AX5150" t="s">
        <v>68</v>
      </c>
      <c r="AY5150" t="s">
        <v>69</v>
      </c>
      <c r="AZ5150" t="b">
        <v>1</v>
      </c>
    </row>
    <row r="5151" spans="1:52" x14ac:dyDescent="0.3">
      <c r="A5151" t="s">
        <v>52</v>
      </c>
      <c r="B5151" t="s">
        <v>53</v>
      </c>
      <c r="C5151" t="s">
        <v>54</v>
      </c>
      <c r="D5151" t="s">
        <v>55</v>
      </c>
      <c r="E5151" t="s">
        <v>2278</v>
      </c>
      <c r="F5151" t="s">
        <v>190</v>
      </c>
      <c r="G5151" t="s">
        <v>1671</v>
      </c>
      <c r="H5151" t="s">
        <v>1672</v>
      </c>
      <c r="I5151" t="s">
        <v>1672</v>
      </c>
      <c r="J5151" t="s">
        <v>60</v>
      </c>
      <c r="K5151" t="s">
        <v>375</v>
      </c>
      <c r="L5151" t="s">
        <v>62</v>
      </c>
      <c r="M5151" t="s">
        <v>375</v>
      </c>
      <c r="N5151" t="s">
        <v>1673</v>
      </c>
      <c r="O5151" t="s">
        <v>370</v>
      </c>
      <c r="P5151">
        <v>-20.180724000000001</v>
      </c>
      <c r="Q5151">
        <v>-44.886913999999997</v>
      </c>
      <c r="R5151" s="2" t="str">
        <f>HYPERLINK("https://www.google.com/maps?q=-20.1807240,-44.8869140","Abrir no Google Maps")</f>
        <v>Abrir no Google Maps</v>
      </c>
      <c r="S5151">
        <v>4</v>
      </c>
      <c r="T5151">
        <v>814.7424073839951</v>
      </c>
      <c r="U5151">
        <v>3</v>
      </c>
      <c r="V5151">
        <v>0.875</v>
      </c>
      <c r="W5151">
        <v>1</v>
      </c>
      <c r="X5151">
        <v>0.875</v>
      </c>
      <c r="Y5151">
        <v>101</v>
      </c>
      <c r="Z5151">
        <v>808.23656795472721</v>
      </c>
      <c r="AA5151">
        <v>198</v>
      </c>
      <c r="AB5151">
        <v>332</v>
      </c>
      <c r="AC5151">
        <v>536</v>
      </c>
      <c r="AD5151">
        <v>28.15</v>
      </c>
      <c r="AE5151">
        <v>542</v>
      </c>
      <c r="AF5151">
        <v>21</v>
      </c>
      <c r="AG5151">
        <v>176</v>
      </c>
      <c r="AH5151">
        <v>129</v>
      </c>
      <c r="AI5151">
        <v>3.87</v>
      </c>
      <c r="AJ5151">
        <v>32.47</v>
      </c>
      <c r="AK5151">
        <v>23.8</v>
      </c>
      <c r="AL5151">
        <v>-20.18071869999994</v>
      </c>
      <c r="AM5151">
        <v>-44.886927989725393</v>
      </c>
      <c r="AN5151">
        <v>-20.18071869999994</v>
      </c>
      <c r="AO5151">
        <v>-44.886927989725393</v>
      </c>
      <c r="AP5151">
        <v>-20.180724000000001</v>
      </c>
      <c r="AQ5151">
        <v>-44.886913999999997</v>
      </c>
      <c r="AR5151">
        <v>1.5763090046691759</v>
      </c>
      <c r="AS5151" t="s">
        <v>65</v>
      </c>
      <c r="AT5151">
        <v>1</v>
      </c>
      <c r="AU5151" t="s">
        <v>1674</v>
      </c>
      <c r="AV5151" t="s">
        <v>1642</v>
      </c>
      <c r="AW5151" t="s">
        <v>60</v>
      </c>
      <c r="AX5151" t="s">
        <v>68</v>
      </c>
      <c r="AY5151" t="s">
        <v>69</v>
      </c>
      <c r="AZ5151" t="b">
        <v>1</v>
      </c>
    </row>
    <row r="5152" spans="1:52" x14ac:dyDescent="0.3">
      <c r="A5152" t="s">
        <v>52</v>
      </c>
      <c r="B5152" t="s">
        <v>53</v>
      </c>
      <c r="C5152" t="s">
        <v>54</v>
      </c>
      <c r="D5152" t="s">
        <v>55</v>
      </c>
      <c r="E5152" t="s">
        <v>2278</v>
      </c>
      <c r="F5152" t="s">
        <v>190</v>
      </c>
      <c r="G5152" t="s">
        <v>176</v>
      </c>
      <c r="H5152" t="s">
        <v>177</v>
      </c>
      <c r="I5152" t="s">
        <v>177</v>
      </c>
      <c r="J5152" t="s">
        <v>60</v>
      </c>
      <c r="K5152" t="s">
        <v>178</v>
      </c>
      <c r="L5152" t="s">
        <v>62</v>
      </c>
      <c r="M5152" t="s">
        <v>178</v>
      </c>
      <c r="N5152" t="s">
        <v>179</v>
      </c>
      <c r="O5152" t="s">
        <v>180</v>
      </c>
      <c r="P5152">
        <v>-20.129152999999999</v>
      </c>
      <c r="Q5152">
        <v>-44.859299</v>
      </c>
      <c r="R5152" s="2" t="str">
        <f>HYPERLINK("https://www.google.com/maps?q=-20.1291530,-44.8592990","Abrir no Google Maps")</f>
        <v>Abrir no Google Maps</v>
      </c>
      <c r="S5152">
        <v>4</v>
      </c>
      <c r="T5152">
        <v>0</v>
      </c>
      <c r="U5152">
        <v>3</v>
      </c>
      <c r="V5152">
        <v>0.849609375</v>
      </c>
      <c r="W5152">
        <v>1</v>
      </c>
      <c r="X5152">
        <v>0.849609375</v>
      </c>
      <c r="Y5152">
        <v>95</v>
      </c>
      <c r="Z5152">
        <v>323.58963420291411</v>
      </c>
      <c r="AA5152">
        <v>198</v>
      </c>
      <c r="AB5152">
        <v>332</v>
      </c>
      <c r="AC5152">
        <v>536</v>
      </c>
      <c r="AD5152">
        <v>28.15</v>
      </c>
      <c r="AE5152">
        <v>542</v>
      </c>
      <c r="AF5152">
        <v>21</v>
      </c>
      <c r="AG5152">
        <v>176</v>
      </c>
      <c r="AH5152">
        <v>129</v>
      </c>
      <c r="AI5152">
        <v>3.87</v>
      </c>
      <c r="AJ5152">
        <v>32.47</v>
      </c>
      <c r="AK5152">
        <v>23.8</v>
      </c>
      <c r="AL5152">
        <v>-20.129260799999969</v>
      </c>
      <c r="AM5152">
        <v>-44.859468344955843</v>
      </c>
      <c r="AN5152">
        <v>-20.129260799999969</v>
      </c>
      <c r="AO5152">
        <v>-44.859468344955843</v>
      </c>
      <c r="AP5152">
        <v>-20.129152999999999</v>
      </c>
      <c r="AQ5152">
        <v>-44.859299</v>
      </c>
      <c r="AR5152">
        <v>21.38451122307773</v>
      </c>
      <c r="AS5152" t="s">
        <v>65</v>
      </c>
      <c r="AT5152">
        <v>1</v>
      </c>
      <c r="AU5152" t="s">
        <v>181</v>
      </c>
      <c r="AV5152" t="s">
        <v>182</v>
      </c>
      <c r="AW5152" t="s">
        <v>60</v>
      </c>
      <c r="AX5152" t="s">
        <v>68</v>
      </c>
      <c r="AY5152" t="s">
        <v>69</v>
      </c>
      <c r="AZ5152" t="b">
        <v>1</v>
      </c>
    </row>
    <row r="5153" spans="1:52" x14ac:dyDescent="0.3">
      <c r="A5153" t="s">
        <v>52</v>
      </c>
      <c r="B5153" t="s">
        <v>53</v>
      </c>
      <c r="C5153" t="s">
        <v>54</v>
      </c>
      <c r="D5153" t="s">
        <v>55</v>
      </c>
      <c r="E5153" t="s">
        <v>2278</v>
      </c>
      <c r="F5153" t="s">
        <v>190</v>
      </c>
      <c r="G5153" t="s">
        <v>183</v>
      </c>
      <c r="H5153" t="s">
        <v>184</v>
      </c>
      <c r="I5153" t="s">
        <v>184</v>
      </c>
      <c r="J5153" t="s">
        <v>60</v>
      </c>
      <c r="K5153" t="s">
        <v>185</v>
      </c>
      <c r="L5153" t="s">
        <v>62</v>
      </c>
      <c r="M5153" t="s">
        <v>185</v>
      </c>
      <c r="N5153" t="s">
        <v>186</v>
      </c>
      <c r="O5153" t="s">
        <v>187</v>
      </c>
      <c r="P5153">
        <v>-20.134855000000002</v>
      </c>
      <c r="Q5153">
        <v>-44.860174000000001</v>
      </c>
      <c r="R5153" s="2" t="str">
        <f>HYPERLINK("https://www.google.com/maps?q=-20.1348550,-44.8601740","Abrir no Google Maps")</f>
        <v>Abrir no Google Maps</v>
      </c>
      <c r="S5153">
        <v>4</v>
      </c>
      <c r="T5153">
        <v>625.96998974571841</v>
      </c>
      <c r="U5153">
        <v>3</v>
      </c>
      <c r="V5153">
        <v>0.84170854271356788</v>
      </c>
      <c r="W5153">
        <v>1</v>
      </c>
      <c r="X5153">
        <v>0.84170854271356788</v>
      </c>
      <c r="Y5153">
        <v>95</v>
      </c>
      <c r="Z5153">
        <v>257.67818504656498</v>
      </c>
      <c r="AA5153">
        <v>198</v>
      </c>
      <c r="AB5153">
        <v>332</v>
      </c>
      <c r="AC5153">
        <v>536</v>
      </c>
      <c r="AD5153">
        <v>28.15</v>
      </c>
      <c r="AE5153">
        <v>542</v>
      </c>
      <c r="AF5153">
        <v>21</v>
      </c>
      <c r="AG5153">
        <v>176</v>
      </c>
      <c r="AH5153">
        <v>129</v>
      </c>
      <c r="AI5153">
        <v>3.87</v>
      </c>
      <c r="AJ5153">
        <v>32.47</v>
      </c>
      <c r="AK5153">
        <v>23.8</v>
      </c>
      <c r="AL5153">
        <v>-20.134903999999981</v>
      </c>
      <c r="AM5153">
        <v>-44.859880285335962</v>
      </c>
      <c r="AN5153">
        <v>-20.134903999999981</v>
      </c>
      <c r="AO5153">
        <v>-44.859880285335962</v>
      </c>
      <c r="AP5153">
        <v>-20.134855000000002</v>
      </c>
      <c r="AQ5153">
        <v>-44.860174000000001</v>
      </c>
      <c r="AR5153">
        <v>31.178921696823132</v>
      </c>
      <c r="AS5153" t="s">
        <v>65</v>
      </c>
      <c r="AT5153">
        <v>1</v>
      </c>
      <c r="AU5153" t="s">
        <v>188</v>
      </c>
      <c r="AV5153" t="s">
        <v>189</v>
      </c>
      <c r="AW5153" t="s">
        <v>60</v>
      </c>
      <c r="AX5153" t="s">
        <v>68</v>
      </c>
      <c r="AY5153" t="s">
        <v>69</v>
      </c>
      <c r="AZ5153" t="b">
        <v>1</v>
      </c>
    </row>
    <row r="5154" spans="1:52" x14ac:dyDescent="0.3">
      <c r="A5154" t="s">
        <v>52</v>
      </c>
      <c r="B5154" t="s">
        <v>53</v>
      </c>
      <c r="C5154" t="s">
        <v>54</v>
      </c>
      <c r="D5154" t="s">
        <v>55</v>
      </c>
      <c r="E5154" t="s">
        <v>2278</v>
      </c>
      <c r="F5154" t="s">
        <v>190</v>
      </c>
      <c r="G5154" t="s">
        <v>380</v>
      </c>
      <c r="H5154" t="s">
        <v>381</v>
      </c>
      <c r="I5154" t="s">
        <v>381</v>
      </c>
      <c r="J5154" t="s">
        <v>60</v>
      </c>
      <c r="K5154" t="s">
        <v>72</v>
      </c>
      <c r="L5154" t="s">
        <v>62</v>
      </c>
      <c r="M5154" t="s">
        <v>72</v>
      </c>
      <c r="N5154" t="s">
        <v>382</v>
      </c>
      <c r="O5154" t="s">
        <v>383</v>
      </c>
      <c r="P5154">
        <v>-20.147182000000001</v>
      </c>
      <c r="Q5154">
        <v>-44.912728999999999</v>
      </c>
      <c r="R5154" s="2" t="str">
        <f>HYPERLINK("https://www.google.com/maps?q=-20.1471820,-44.9127290","Abrir no Google Maps")</f>
        <v>Abrir no Google Maps</v>
      </c>
      <c r="S5154">
        <v>3</v>
      </c>
      <c r="T5154">
        <v>478.0141981540923</v>
      </c>
      <c r="U5154">
        <v>4</v>
      </c>
      <c r="V5154">
        <v>0.88428949004975121</v>
      </c>
      <c r="W5154">
        <v>1</v>
      </c>
      <c r="X5154">
        <v>0.88428949004975121</v>
      </c>
      <c r="Y5154">
        <v>747</v>
      </c>
      <c r="Z5154">
        <v>494.0254290673729</v>
      </c>
      <c r="AA5154">
        <v>198</v>
      </c>
      <c r="AB5154">
        <v>332</v>
      </c>
      <c r="AC5154">
        <v>536</v>
      </c>
      <c r="AD5154">
        <v>28.15</v>
      </c>
      <c r="AE5154">
        <v>542</v>
      </c>
      <c r="AF5154">
        <v>21</v>
      </c>
      <c r="AG5154">
        <v>176</v>
      </c>
      <c r="AH5154">
        <v>129</v>
      </c>
      <c r="AI5154">
        <v>3.87</v>
      </c>
      <c r="AJ5154">
        <v>32.47</v>
      </c>
      <c r="AK5154">
        <v>23.8</v>
      </c>
      <c r="AL5154">
        <v>-20.147375599999979</v>
      </c>
      <c r="AM5154">
        <v>-44.912907472879468</v>
      </c>
      <c r="AN5154">
        <v>-20.147375599999979</v>
      </c>
      <c r="AO5154">
        <v>-44.912907472879468</v>
      </c>
      <c r="AP5154">
        <v>-20.147182000000001</v>
      </c>
      <c r="AQ5154">
        <v>-44.912728999999999</v>
      </c>
      <c r="AR5154">
        <v>28.50197694184326</v>
      </c>
      <c r="AS5154" t="s">
        <v>65</v>
      </c>
      <c r="AT5154">
        <v>1</v>
      </c>
      <c r="AU5154" t="s">
        <v>384</v>
      </c>
      <c r="AV5154" t="s">
        <v>385</v>
      </c>
      <c r="AW5154" t="s">
        <v>60</v>
      </c>
      <c r="AX5154" t="s">
        <v>68</v>
      </c>
      <c r="AY5154" t="s">
        <v>69</v>
      </c>
      <c r="AZ5154" t="b">
        <v>1</v>
      </c>
    </row>
    <row r="5155" spans="1:52" x14ac:dyDescent="0.3">
      <c r="A5155" t="s">
        <v>52</v>
      </c>
      <c r="B5155" t="s">
        <v>53</v>
      </c>
      <c r="C5155" t="s">
        <v>54</v>
      </c>
      <c r="D5155" t="s">
        <v>55</v>
      </c>
      <c r="E5155" t="s">
        <v>2278</v>
      </c>
      <c r="F5155" t="s">
        <v>190</v>
      </c>
      <c r="G5155" t="s">
        <v>839</v>
      </c>
      <c r="H5155" t="s">
        <v>840</v>
      </c>
      <c r="I5155" t="s">
        <v>840</v>
      </c>
      <c r="J5155" t="s">
        <v>60</v>
      </c>
      <c r="K5155" t="s">
        <v>388</v>
      </c>
      <c r="L5155" t="s">
        <v>62</v>
      </c>
      <c r="M5155" t="s">
        <v>388</v>
      </c>
      <c r="N5155" t="s">
        <v>841</v>
      </c>
      <c r="O5155" t="s">
        <v>842</v>
      </c>
      <c r="P5155">
        <v>-20.159977999999999</v>
      </c>
      <c r="Q5155">
        <v>-44.900207000000002</v>
      </c>
      <c r="R5155" s="2" t="str">
        <f>HYPERLINK("https://www.google.com/maps?q=-20.1599780,-44.9002070","Abrir no Google Maps")</f>
        <v>Abrir no Google Maps</v>
      </c>
      <c r="S5155">
        <v>3</v>
      </c>
      <c r="T5155">
        <v>213.24333517300789</v>
      </c>
      <c r="U5155">
        <v>4</v>
      </c>
      <c r="V5155">
        <v>0.89629120879120883</v>
      </c>
      <c r="W5155">
        <v>1</v>
      </c>
      <c r="X5155">
        <v>0.89629120879120883</v>
      </c>
      <c r="Y5155">
        <v>729</v>
      </c>
      <c r="Z5155">
        <v>315.47173727880028</v>
      </c>
      <c r="AA5155">
        <v>198</v>
      </c>
      <c r="AB5155">
        <v>332</v>
      </c>
      <c r="AC5155">
        <v>536</v>
      </c>
      <c r="AD5155">
        <v>28.15</v>
      </c>
      <c r="AE5155">
        <v>542</v>
      </c>
      <c r="AF5155">
        <v>21</v>
      </c>
      <c r="AG5155">
        <v>176</v>
      </c>
      <c r="AH5155">
        <v>129</v>
      </c>
      <c r="AI5155">
        <v>3.87</v>
      </c>
      <c r="AJ5155">
        <v>32.47</v>
      </c>
      <c r="AK5155">
        <v>23.8</v>
      </c>
      <c r="AL5155">
        <v>-20.159825649999959</v>
      </c>
      <c r="AM5155">
        <v>-44.900143828909613</v>
      </c>
      <c r="AN5155">
        <v>-20.159825649999959</v>
      </c>
      <c r="AO5155">
        <v>-44.900143828909613</v>
      </c>
      <c r="AP5155">
        <v>-20.159977999999999</v>
      </c>
      <c r="AQ5155">
        <v>-44.900207000000002</v>
      </c>
      <c r="AR5155">
        <v>18.199073573580371</v>
      </c>
      <c r="AS5155" t="s">
        <v>65</v>
      </c>
      <c r="AT5155">
        <v>1</v>
      </c>
      <c r="AU5155" t="s">
        <v>843</v>
      </c>
      <c r="AV5155" t="s">
        <v>844</v>
      </c>
      <c r="AW5155" t="s">
        <v>60</v>
      </c>
      <c r="AX5155" t="s">
        <v>68</v>
      </c>
      <c r="AY5155" t="s">
        <v>69</v>
      </c>
      <c r="AZ5155" t="b">
        <v>1</v>
      </c>
    </row>
    <row r="5156" spans="1:52" x14ac:dyDescent="0.3">
      <c r="A5156" t="s">
        <v>52</v>
      </c>
      <c r="B5156" t="s">
        <v>53</v>
      </c>
      <c r="C5156" t="s">
        <v>54</v>
      </c>
      <c r="D5156" t="s">
        <v>55</v>
      </c>
      <c r="E5156" t="s">
        <v>2278</v>
      </c>
      <c r="F5156" t="s">
        <v>190</v>
      </c>
      <c r="G5156" t="s">
        <v>386</v>
      </c>
      <c r="H5156" t="s">
        <v>387</v>
      </c>
      <c r="I5156" t="s">
        <v>387</v>
      </c>
      <c r="J5156" t="s">
        <v>60</v>
      </c>
      <c r="K5156" t="s">
        <v>388</v>
      </c>
      <c r="L5156" t="s">
        <v>62</v>
      </c>
      <c r="M5156" t="s">
        <v>388</v>
      </c>
      <c r="N5156" t="s">
        <v>389</v>
      </c>
      <c r="O5156" t="s">
        <v>357</v>
      </c>
      <c r="P5156">
        <v>-20.161041999999998</v>
      </c>
      <c r="Q5156">
        <v>-44.901242000000003</v>
      </c>
      <c r="R5156" s="2" t="str">
        <f>HYPERLINK("https://www.google.com/maps?q=-20.1610420,-44.9012420","Abrir no Google Maps")</f>
        <v>Abrir no Google Maps</v>
      </c>
      <c r="S5156">
        <v>3</v>
      </c>
      <c r="T5156">
        <v>440.22183232279212</v>
      </c>
      <c r="U5156">
        <v>4</v>
      </c>
      <c r="V5156">
        <v>0.89560810810810809</v>
      </c>
      <c r="W5156">
        <v>1</v>
      </c>
      <c r="X5156">
        <v>0.89560810810810809</v>
      </c>
      <c r="Y5156">
        <v>729</v>
      </c>
      <c r="Z5156">
        <v>398.48306829302379</v>
      </c>
      <c r="AA5156">
        <v>198</v>
      </c>
      <c r="AB5156">
        <v>332</v>
      </c>
      <c r="AC5156">
        <v>536</v>
      </c>
      <c r="AD5156">
        <v>28.15</v>
      </c>
      <c r="AE5156">
        <v>542</v>
      </c>
      <c r="AF5156">
        <v>21</v>
      </c>
      <c r="AG5156">
        <v>176</v>
      </c>
      <c r="AH5156">
        <v>129</v>
      </c>
      <c r="AI5156">
        <v>3.87</v>
      </c>
      <c r="AJ5156">
        <v>32.47</v>
      </c>
      <c r="AK5156">
        <v>23.8</v>
      </c>
      <c r="AL5156">
        <v>-20.16176629999995</v>
      </c>
      <c r="AM5156">
        <v>-44.901582787827898</v>
      </c>
      <c r="AN5156">
        <v>-20.16176629999995</v>
      </c>
      <c r="AO5156">
        <v>-44.901582787827898</v>
      </c>
      <c r="AP5156">
        <v>-20.161041999999998</v>
      </c>
      <c r="AQ5156">
        <v>-44.901242000000003</v>
      </c>
      <c r="AR5156">
        <v>88.143369157892835</v>
      </c>
      <c r="AS5156" t="s">
        <v>65</v>
      </c>
      <c r="AT5156">
        <v>1</v>
      </c>
      <c r="AU5156" t="s">
        <v>390</v>
      </c>
      <c r="AV5156" t="s">
        <v>391</v>
      </c>
      <c r="AW5156" t="s">
        <v>60</v>
      </c>
      <c r="AX5156" t="s">
        <v>68</v>
      </c>
      <c r="AY5156" t="s">
        <v>69</v>
      </c>
      <c r="AZ5156" t="b">
        <v>1</v>
      </c>
    </row>
    <row r="5157" spans="1:52" x14ac:dyDescent="0.3">
      <c r="A5157" t="s">
        <v>52</v>
      </c>
      <c r="B5157" t="s">
        <v>53</v>
      </c>
      <c r="C5157" t="s">
        <v>54</v>
      </c>
      <c r="D5157" t="s">
        <v>55</v>
      </c>
      <c r="E5157" t="s">
        <v>2278</v>
      </c>
      <c r="F5157" t="s">
        <v>190</v>
      </c>
      <c r="G5157" t="s">
        <v>398</v>
      </c>
      <c r="H5157" t="s">
        <v>399</v>
      </c>
      <c r="I5157" t="s">
        <v>399</v>
      </c>
      <c r="J5157" t="s">
        <v>60</v>
      </c>
      <c r="K5157" t="s">
        <v>388</v>
      </c>
      <c r="L5157" t="s">
        <v>62</v>
      </c>
      <c r="M5157" t="s">
        <v>388</v>
      </c>
      <c r="N5157" t="s">
        <v>400</v>
      </c>
      <c r="O5157" t="s">
        <v>401</v>
      </c>
      <c r="P5157">
        <v>-20.160157000000002</v>
      </c>
      <c r="Q5157">
        <v>-44.904347999999999</v>
      </c>
      <c r="R5157" s="2" t="str">
        <f>HYPERLINK("https://www.google.com/maps?q=-20.1601570,-44.9043480","Abrir no Google Maps")</f>
        <v>Abrir no Google Maps</v>
      </c>
      <c r="S5157">
        <v>3</v>
      </c>
      <c r="T5157">
        <v>469.26088527154809</v>
      </c>
      <c r="U5157">
        <v>4</v>
      </c>
      <c r="V5157">
        <v>0.9236343366778148</v>
      </c>
      <c r="W5157">
        <v>1</v>
      </c>
      <c r="X5157">
        <v>0.9236343366778148</v>
      </c>
      <c r="Y5157">
        <v>729</v>
      </c>
      <c r="Z5157">
        <v>253.57832452309071</v>
      </c>
      <c r="AA5157">
        <v>198</v>
      </c>
      <c r="AB5157">
        <v>332</v>
      </c>
      <c r="AC5157">
        <v>536</v>
      </c>
      <c r="AD5157">
        <v>28.15</v>
      </c>
      <c r="AE5157">
        <v>542</v>
      </c>
      <c r="AF5157">
        <v>21</v>
      </c>
      <c r="AG5157">
        <v>176</v>
      </c>
      <c r="AH5157">
        <v>129</v>
      </c>
      <c r="AI5157">
        <v>3.87</v>
      </c>
      <c r="AJ5157">
        <v>32.47</v>
      </c>
      <c r="AK5157">
        <v>23.8</v>
      </c>
      <c r="AL5157">
        <v>-20.160007949999969</v>
      </c>
      <c r="AM5157">
        <v>-44.904396608560482</v>
      </c>
      <c r="AN5157">
        <v>-20.160007949999969</v>
      </c>
      <c r="AO5157">
        <v>-44.904396608560482</v>
      </c>
      <c r="AP5157">
        <v>-20.160157000000002</v>
      </c>
      <c r="AQ5157">
        <v>-44.904347999999999</v>
      </c>
      <c r="AR5157">
        <v>17.35237255387942</v>
      </c>
      <c r="AS5157" t="s">
        <v>65</v>
      </c>
      <c r="AT5157">
        <v>1</v>
      </c>
      <c r="AU5157" t="s">
        <v>402</v>
      </c>
      <c r="AV5157" t="s">
        <v>403</v>
      </c>
      <c r="AW5157" t="s">
        <v>60</v>
      </c>
      <c r="AX5157" t="s">
        <v>68</v>
      </c>
      <c r="AY5157" t="s">
        <v>69</v>
      </c>
      <c r="AZ5157" t="b">
        <v>1</v>
      </c>
    </row>
    <row r="5158" spans="1:52" x14ac:dyDescent="0.3">
      <c r="A5158" t="s">
        <v>52</v>
      </c>
      <c r="B5158" t="s">
        <v>53</v>
      </c>
      <c r="C5158" t="s">
        <v>54</v>
      </c>
      <c r="D5158" t="s">
        <v>55</v>
      </c>
      <c r="E5158" t="s">
        <v>2278</v>
      </c>
      <c r="F5158" t="s">
        <v>190</v>
      </c>
      <c r="G5158" t="s">
        <v>404</v>
      </c>
      <c r="H5158" t="s">
        <v>405</v>
      </c>
      <c r="I5158" t="s">
        <v>405</v>
      </c>
      <c r="J5158" t="s">
        <v>60</v>
      </c>
      <c r="K5158" t="s">
        <v>388</v>
      </c>
      <c r="L5158" t="s">
        <v>62</v>
      </c>
      <c r="M5158" t="s">
        <v>388</v>
      </c>
      <c r="N5158" t="s">
        <v>406</v>
      </c>
      <c r="O5158" t="s">
        <v>407</v>
      </c>
      <c r="P5158">
        <v>-20.162780999999999</v>
      </c>
      <c r="Q5158">
        <v>-44.904437999999999</v>
      </c>
      <c r="R5158" s="2" t="str">
        <f>HYPERLINK("https://www.google.com/maps?q=-20.1627810,-44.9044380","Abrir no Google Maps")</f>
        <v>Abrir no Google Maps</v>
      </c>
      <c r="S5158">
        <v>3</v>
      </c>
      <c r="T5158">
        <v>681.0891377731482</v>
      </c>
      <c r="U5158">
        <v>4</v>
      </c>
      <c r="V5158">
        <v>0.925682261208577</v>
      </c>
      <c r="W5158">
        <v>1</v>
      </c>
      <c r="X5158">
        <v>0.925682261208577</v>
      </c>
      <c r="Y5158">
        <v>729</v>
      </c>
      <c r="Z5158">
        <v>564.17713687218622</v>
      </c>
      <c r="AA5158">
        <v>198</v>
      </c>
      <c r="AB5158">
        <v>332</v>
      </c>
      <c r="AC5158">
        <v>536</v>
      </c>
      <c r="AD5158">
        <v>28.15</v>
      </c>
      <c r="AE5158">
        <v>542</v>
      </c>
      <c r="AF5158">
        <v>21</v>
      </c>
      <c r="AG5158">
        <v>176</v>
      </c>
      <c r="AH5158">
        <v>129</v>
      </c>
      <c r="AI5158">
        <v>3.87</v>
      </c>
      <c r="AJ5158">
        <v>32.47</v>
      </c>
      <c r="AK5158">
        <v>23.8</v>
      </c>
      <c r="AL5158">
        <v>-20.16295434999995</v>
      </c>
      <c r="AM5158">
        <v>-44.904242686956152</v>
      </c>
      <c r="AN5158">
        <v>-20.16295434999995</v>
      </c>
      <c r="AO5158">
        <v>-44.904242686956152</v>
      </c>
      <c r="AP5158">
        <v>-20.162780999999999</v>
      </c>
      <c r="AQ5158">
        <v>-44.904437999999999</v>
      </c>
      <c r="AR5158">
        <v>28.088191280523411</v>
      </c>
      <c r="AS5158" t="s">
        <v>65</v>
      </c>
      <c r="AT5158">
        <v>1</v>
      </c>
      <c r="AU5158" t="s">
        <v>408</v>
      </c>
      <c r="AV5158" t="s">
        <v>409</v>
      </c>
      <c r="AW5158" t="s">
        <v>60</v>
      </c>
      <c r="AX5158" t="s">
        <v>68</v>
      </c>
      <c r="AY5158" t="s">
        <v>69</v>
      </c>
      <c r="AZ5158" t="b">
        <v>1</v>
      </c>
    </row>
    <row r="5159" spans="1:52" x14ac:dyDescent="0.3">
      <c r="A5159" t="s">
        <v>52</v>
      </c>
      <c r="B5159" t="s">
        <v>53</v>
      </c>
      <c r="C5159" t="s">
        <v>54</v>
      </c>
      <c r="D5159" t="s">
        <v>55</v>
      </c>
      <c r="E5159" t="s">
        <v>2278</v>
      </c>
      <c r="F5159" t="s">
        <v>190</v>
      </c>
      <c r="G5159" t="s">
        <v>410</v>
      </c>
      <c r="H5159" t="s">
        <v>411</v>
      </c>
      <c r="I5159" t="s">
        <v>411</v>
      </c>
      <c r="J5159" t="s">
        <v>60</v>
      </c>
      <c r="K5159" t="s">
        <v>388</v>
      </c>
      <c r="L5159" t="s">
        <v>62</v>
      </c>
      <c r="M5159" t="s">
        <v>388</v>
      </c>
      <c r="N5159" t="s">
        <v>412</v>
      </c>
      <c r="O5159" t="s">
        <v>413</v>
      </c>
      <c r="P5159">
        <v>-20.161394000000001</v>
      </c>
      <c r="Q5159">
        <v>-44.906725999999999</v>
      </c>
      <c r="R5159" s="2" t="str">
        <f>HYPERLINK("https://www.google.com/maps?q=-20.1613940,-44.9067260","Abrir no Google Maps")</f>
        <v>Abrir no Google Maps</v>
      </c>
      <c r="S5159">
        <v>3</v>
      </c>
      <c r="T5159">
        <v>763.68157548493457</v>
      </c>
      <c r="U5159">
        <v>4</v>
      </c>
      <c r="V5159">
        <v>0.92875162760416663</v>
      </c>
      <c r="W5159">
        <v>1</v>
      </c>
      <c r="X5159">
        <v>0.92875162760416663</v>
      </c>
      <c r="Y5159">
        <v>729</v>
      </c>
      <c r="Z5159">
        <v>551.70379325948545</v>
      </c>
      <c r="AA5159">
        <v>198</v>
      </c>
      <c r="AB5159">
        <v>332</v>
      </c>
      <c r="AC5159">
        <v>536</v>
      </c>
      <c r="AD5159">
        <v>28.15</v>
      </c>
      <c r="AE5159">
        <v>542</v>
      </c>
      <c r="AF5159">
        <v>21</v>
      </c>
      <c r="AG5159">
        <v>176</v>
      </c>
      <c r="AH5159">
        <v>129</v>
      </c>
      <c r="AI5159">
        <v>3.87</v>
      </c>
      <c r="AJ5159">
        <v>32.47</v>
      </c>
      <c r="AK5159">
        <v>23.8</v>
      </c>
      <c r="AL5159">
        <v>-20.161371049999929</v>
      </c>
      <c r="AM5159">
        <v>-44.906816797310228</v>
      </c>
      <c r="AN5159">
        <v>-20.161371049999929</v>
      </c>
      <c r="AO5159">
        <v>-44.906816797310228</v>
      </c>
      <c r="AP5159">
        <v>-20.161394000000001</v>
      </c>
      <c r="AQ5159">
        <v>-44.906725999999999</v>
      </c>
      <c r="AR5159">
        <v>9.8261555662022495</v>
      </c>
      <c r="AS5159" t="s">
        <v>65</v>
      </c>
      <c r="AT5159">
        <v>1</v>
      </c>
      <c r="AU5159" t="s">
        <v>414</v>
      </c>
      <c r="AV5159" t="s">
        <v>415</v>
      </c>
      <c r="AW5159" t="s">
        <v>60</v>
      </c>
      <c r="AX5159" t="s">
        <v>68</v>
      </c>
      <c r="AY5159" t="s">
        <v>69</v>
      </c>
      <c r="AZ5159" t="b">
        <v>1</v>
      </c>
    </row>
    <row r="5160" spans="1:52" x14ac:dyDescent="0.3">
      <c r="A5160" t="s">
        <v>52</v>
      </c>
      <c r="B5160" t="s">
        <v>53</v>
      </c>
      <c r="C5160" t="s">
        <v>54</v>
      </c>
      <c r="D5160" t="s">
        <v>55</v>
      </c>
      <c r="E5160" t="s">
        <v>2278</v>
      </c>
      <c r="F5160" t="s">
        <v>190</v>
      </c>
      <c r="G5160" t="s">
        <v>416</v>
      </c>
      <c r="H5160" t="s">
        <v>417</v>
      </c>
      <c r="I5160" t="s">
        <v>417</v>
      </c>
      <c r="J5160" t="s">
        <v>60</v>
      </c>
      <c r="K5160" t="s">
        <v>418</v>
      </c>
      <c r="L5160" t="s">
        <v>62</v>
      </c>
      <c r="M5160" t="s">
        <v>418</v>
      </c>
      <c r="N5160" t="s">
        <v>419</v>
      </c>
      <c r="O5160" t="s">
        <v>202</v>
      </c>
      <c r="P5160">
        <v>-20.169886000000002</v>
      </c>
      <c r="Q5160">
        <v>-44.913288000000001</v>
      </c>
      <c r="R5160" s="2" t="str">
        <f>HYPERLINK("https://www.google.com/maps?q=-20.1698860,-44.9132880","Abrir no Google Maps")</f>
        <v>Abrir no Google Maps</v>
      </c>
      <c r="S5160">
        <v>3</v>
      </c>
      <c r="T5160">
        <v>422.88733632898152</v>
      </c>
      <c r="U5160">
        <v>4</v>
      </c>
      <c r="V5160">
        <v>0.90640394088669962</v>
      </c>
      <c r="W5160">
        <v>1</v>
      </c>
      <c r="X5160">
        <v>0.90640394088669962</v>
      </c>
      <c r="Y5160">
        <v>723</v>
      </c>
      <c r="Z5160">
        <v>128.65003864232261</v>
      </c>
      <c r="AA5160">
        <v>198</v>
      </c>
      <c r="AB5160">
        <v>332</v>
      </c>
      <c r="AC5160">
        <v>536</v>
      </c>
      <c r="AD5160">
        <v>28.15</v>
      </c>
      <c r="AE5160">
        <v>542</v>
      </c>
      <c r="AF5160">
        <v>21</v>
      </c>
      <c r="AG5160">
        <v>176</v>
      </c>
      <c r="AH5160">
        <v>129</v>
      </c>
      <c r="AI5160">
        <v>3.87</v>
      </c>
      <c r="AJ5160">
        <v>32.47</v>
      </c>
      <c r="AK5160">
        <v>23.8</v>
      </c>
      <c r="AL5160">
        <v>-20.16970024999998</v>
      </c>
      <c r="AM5160">
        <v>-44.913502201257437</v>
      </c>
      <c r="AN5160">
        <v>-20.16970024999998</v>
      </c>
      <c r="AO5160">
        <v>-44.913502201257437</v>
      </c>
      <c r="AP5160">
        <v>-20.169886000000002</v>
      </c>
      <c r="AQ5160">
        <v>-44.913288000000001</v>
      </c>
      <c r="AR5160">
        <v>30.47208587597606</v>
      </c>
      <c r="AS5160" t="s">
        <v>65</v>
      </c>
      <c r="AT5160">
        <v>1</v>
      </c>
      <c r="AU5160" t="s">
        <v>420</v>
      </c>
      <c r="AV5160" t="s">
        <v>421</v>
      </c>
      <c r="AW5160" t="s">
        <v>60</v>
      </c>
      <c r="AX5160" t="s">
        <v>68</v>
      </c>
      <c r="AY5160" t="s">
        <v>69</v>
      </c>
      <c r="AZ5160" t="b">
        <v>1</v>
      </c>
    </row>
    <row r="5161" spans="1:52" x14ac:dyDescent="0.3">
      <c r="A5161" t="s">
        <v>52</v>
      </c>
      <c r="B5161" t="s">
        <v>53</v>
      </c>
      <c r="C5161" t="s">
        <v>54</v>
      </c>
      <c r="D5161" t="s">
        <v>55</v>
      </c>
      <c r="E5161" t="s">
        <v>2278</v>
      </c>
      <c r="F5161" t="s">
        <v>190</v>
      </c>
      <c r="G5161" t="s">
        <v>422</v>
      </c>
      <c r="H5161" t="s">
        <v>423</v>
      </c>
      <c r="I5161" t="s">
        <v>423</v>
      </c>
      <c r="J5161" t="s">
        <v>60</v>
      </c>
      <c r="K5161" t="s">
        <v>424</v>
      </c>
      <c r="L5161" t="s">
        <v>62</v>
      </c>
      <c r="M5161" t="s">
        <v>424</v>
      </c>
      <c r="N5161" t="s">
        <v>425</v>
      </c>
      <c r="O5161" t="s">
        <v>426</v>
      </c>
      <c r="P5161">
        <v>-20.177748000000001</v>
      </c>
      <c r="Q5161">
        <v>-44.912475000000001</v>
      </c>
      <c r="R5161" s="2" t="str">
        <f>HYPERLINK("https://www.google.com/maps?q=-20.1777480,-44.9124750","Abrir no Google Maps")</f>
        <v>Abrir no Google Maps</v>
      </c>
      <c r="S5161">
        <v>3</v>
      </c>
      <c r="T5161">
        <v>657.07560140436533</v>
      </c>
      <c r="U5161">
        <v>4</v>
      </c>
      <c r="V5161">
        <v>0.8909691629955947</v>
      </c>
      <c r="W5161">
        <v>1</v>
      </c>
      <c r="X5161">
        <v>0.8909691629955947</v>
      </c>
      <c r="Y5161">
        <v>723</v>
      </c>
      <c r="Z5161">
        <v>796.94198000561175</v>
      </c>
      <c r="AA5161">
        <v>198</v>
      </c>
      <c r="AB5161">
        <v>332</v>
      </c>
      <c r="AC5161">
        <v>536</v>
      </c>
      <c r="AD5161">
        <v>28.15</v>
      </c>
      <c r="AE5161">
        <v>542</v>
      </c>
      <c r="AF5161">
        <v>21</v>
      </c>
      <c r="AG5161">
        <v>176</v>
      </c>
      <c r="AH5161">
        <v>129</v>
      </c>
      <c r="AI5161">
        <v>3.87</v>
      </c>
      <c r="AJ5161">
        <v>32.47</v>
      </c>
      <c r="AK5161">
        <v>23.8</v>
      </c>
      <c r="AL5161">
        <v>-20.177761749999949</v>
      </c>
      <c r="AM5161">
        <v>-44.91263311624418</v>
      </c>
      <c r="AN5161">
        <v>-20.177761749999949</v>
      </c>
      <c r="AO5161">
        <v>-44.91263311624418</v>
      </c>
      <c r="AP5161">
        <v>-20.177748000000001</v>
      </c>
      <c r="AQ5161">
        <v>-44.912475000000001</v>
      </c>
      <c r="AR5161">
        <v>16.591996803075372</v>
      </c>
      <c r="AS5161" t="s">
        <v>65</v>
      </c>
      <c r="AT5161">
        <v>1</v>
      </c>
      <c r="AU5161" t="s">
        <v>427</v>
      </c>
      <c r="AV5161" t="s">
        <v>428</v>
      </c>
      <c r="AW5161" t="s">
        <v>60</v>
      </c>
      <c r="AX5161" t="s">
        <v>68</v>
      </c>
      <c r="AY5161" t="s">
        <v>69</v>
      </c>
      <c r="AZ5161" t="b">
        <v>1</v>
      </c>
    </row>
    <row r="5162" spans="1:52" x14ac:dyDescent="0.3">
      <c r="A5162" t="s">
        <v>52</v>
      </c>
      <c r="B5162" t="s">
        <v>53</v>
      </c>
      <c r="C5162" t="s">
        <v>54</v>
      </c>
      <c r="D5162" t="s">
        <v>55</v>
      </c>
      <c r="E5162" t="s">
        <v>2278</v>
      </c>
      <c r="F5162" t="s">
        <v>190</v>
      </c>
      <c r="G5162" t="s">
        <v>435</v>
      </c>
      <c r="H5162" t="s">
        <v>436</v>
      </c>
      <c r="I5162" t="s">
        <v>436</v>
      </c>
      <c r="J5162" t="s">
        <v>60</v>
      </c>
      <c r="K5162" t="s">
        <v>437</v>
      </c>
      <c r="L5162" t="s">
        <v>62</v>
      </c>
      <c r="M5162" t="s">
        <v>437</v>
      </c>
      <c r="N5162" t="s">
        <v>438</v>
      </c>
      <c r="O5162" t="s">
        <v>439</v>
      </c>
      <c r="P5162">
        <v>-20.145613000000001</v>
      </c>
      <c r="Q5162">
        <v>-44.882375000000003</v>
      </c>
      <c r="R5162" s="2" t="str">
        <f>HYPERLINK("https://www.google.com/maps?q=-20.1456130,-44.8823750","Abrir no Google Maps")</f>
        <v>Abrir no Google Maps</v>
      </c>
      <c r="S5162">
        <v>3</v>
      </c>
      <c r="T5162">
        <v>305.65092112314198</v>
      </c>
      <c r="U5162">
        <v>4</v>
      </c>
      <c r="V5162">
        <v>0.91354625550660795</v>
      </c>
      <c r="W5162">
        <v>1</v>
      </c>
      <c r="X5162">
        <v>0.91354625550660795</v>
      </c>
      <c r="Y5162">
        <v>653</v>
      </c>
      <c r="Z5162">
        <v>349.55297035282501</v>
      </c>
      <c r="AA5162">
        <v>198</v>
      </c>
      <c r="AB5162">
        <v>332</v>
      </c>
      <c r="AC5162">
        <v>536</v>
      </c>
      <c r="AD5162">
        <v>28.15</v>
      </c>
      <c r="AE5162">
        <v>542</v>
      </c>
      <c r="AF5162">
        <v>21</v>
      </c>
      <c r="AG5162">
        <v>176</v>
      </c>
      <c r="AH5162">
        <v>129</v>
      </c>
      <c r="AI5162">
        <v>3.87</v>
      </c>
      <c r="AJ5162">
        <v>32.47</v>
      </c>
      <c r="AK5162">
        <v>23.8</v>
      </c>
      <c r="AL5162">
        <v>-20.14550464999996</v>
      </c>
      <c r="AM5162">
        <v>-44.882157007077737</v>
      </c>
      <c r="AN5162">
        <v>-20.14550464999996</v>
      </c>
      <c r="AO5162">
        <v>-44.882157007077737</v>
      </c>
      <c r="AP5162">
        <v>-20.145613000000001</v>
      </c>
      <c r="AQ5162">
        <v>-44.882375000000003</v>
      </c>
      <c r="AR5162">
        <v>25.77819791856259</v>
      </c>
      <c r="AS5162" t="s">
        <v>65</v>
      </c>
      <c r="AT5162">
        <v>1</v>
      </c>
      <c r="AU5162" t="s">
        <v>440</v>
      </c>
      <c r="AV5162" t="s">
        <v>441</v>
      </c>
      <c r="AW5162" t="s">
        <v>60</v>
      </c>
      <c r="AX5162" t="s">
        <v>68</v>
      </c>
      <c r="AY5162" t="s">
        <v>69</v>
      </c>
      <c r="AZ5162" t="b">
        <v>1</v>
      </c>
    </row>
    <row r="5163" spans="1:52" x14ac:dyDescent="0.3">
      <c r="A5163" t="s">
        <v>52</v>
      </c>
      <c r="B5163" t="s">
        <v>53</v>
      </c>
      <c r="C5163" t="s">
        <v>54</v>
      </c>
      <c r="D5163" t="s">
        <v>55</v>
      </c>
      <c r="E5163" t="s">
        <v>2278</v>
      </c>
      <c r="F5163" t="s">
        <v>190</v>
      </c>
      <c r="G5163" t="s">
        <v>442</v>
      </c>
      <c r="H5163" t="s">
        <v>443</v>
      </c>
      <c r="I5163" t="s">
        <v>443</v>
      </c>
      <c r="J5163" t="s">
        <v>60</v>
      </c>
      <c r="K5163" t="s">
        <v>437</v>
      </c>
      <c r="L5163" t="s">
        <v>62</v>
      </c>
      <c r="M5163" t="s">
        <v>437</v>
      </c>
      <c r="N5163" t="s">
        <v>444</v>
      </c>
      <c r="O5163" t="s">
        <v>445</v>
      </c>
      <c r="P5163">
        <v>-20.149744999999999</v>
      </c>
      <c r="Q5163">
        <v>-44.881385000000002</v>
      </c>
      <c r="R5163" s="2" t="str">
        <f>HYPERLINK("https://www.google.com/maps?q=-20.1497450,-44.8813850","Abrir no Google Maps")</f>
        <v>Abrir no Google Maps</v>
      </c>
      <c r="S5163">
        <v>3</v>
      </c>
      <c r="T5163">
        <v>188.80690546111239</v>
      </c>
      <c r="U5163">
        <v>4</v>
      </c>
      <c r="V5163">
        <v>0.93893387314439958</v>
      </c>
      <c r="W5163">
        <v>1</v>
      </c>
      <c r="X5163">
        <v>0.93893387314439958</v>
      </c>
      <c r="Y5163">
        <v>653</v>
      </c>
      <c r="Z5163">
        <v>86.575080390731017</v>
      </c>
      <c r="AA5163">
        <v>198</v>
      </c>
      <c r="AB5163">
        <v>332</v>
      </c>
      <c r="AC5163">
        <v>536</v>
      </c>
      <c r="AD5163">
        <v>28.15</v>
      </c>
      <c r="AE5163">
        <v>542</v>
      </c>
      <c r="AF5163">
        <v>21</v>
      </c>
      <c r="AG5163">
        <v>176</v>
      </c>
      <c r="AH5163">
        <v>129</v>
      </c>
      <c r="AI5163">
        <v>3.87</v>
      </c>
      <c r="AJ5163">
        <v>32.47</v>
      </c>
      <c r="AK5163">
        <v>23.8</v>
      </c>
      <c r="AL5163">
        <v>-20.149645149999941</v>
      </c>
      <c r="AM5163">
        <v>-44.881504585149607</v>
      </c>
      <c r="AN5163">
        <v>-20.149645149999941</v>
      </c>
      <c r="AO5163">
        <v>-44.881504585149607</v>
      </c>
      <c r="AP5163">
        <v>-20.149744999999999</v>
      </c>
      <c r="AQ5163">
        <v>-44.881385000000002</v>
      </c>
      <c r="AR5163">
        <v>16.725323110840389</v>
      </c>
      <c r="AS5163" t="s">
        <v>65</v>
      </c>
      <c r="AT5163">
        <v>1</v>
      </c>
      <c r="AU5163" t="s">
        <v>446</v>
      </c>
      <c r="AV5163" t="s">
        <v>447</v>
      </c>
      <c r="AW5163" t="s">
        <v>60</v>
      </c>
      <c r="AX5163" t="s">
        <v>68</v>
      </c>
      <c r="AY5163" t="s">
        <v>69</v>
      </c>
      <c r="AZ5163" t="b">
        <v>1</v>
      </c>
    </row>
    <row r="5164" spans="1:52" x14ac:dyDescent="0.3">
      <c r="A5164" t="s">
        <v>52</v>
      </c>
      <c r="B5164" t="s">
        <v>53</v>
      </c>
      <c r="C5164" t="s">
        <v>54</v>
      </c>
      <c r="D5164" t="s">
        <v>55</v>
      </c>
      <c r="E5164" t="s">
        <v>2278</v>
      </c>
      <c r="F5164" t="s">
        <v>190</v>
      </c>
      <c r="G5164" t="s">
        <v>448</v>
      </c>
      <c r="H5164" t="s">
        <v>449</v>
      </c>
      <c r="I5164" t="s">
        <v>449</v>
      </c>
      <c r="J5164" t="s">
        <v>60</v>
      </c>
      <c r="K5164" t="s">
        <v>388</v>
      </c>
      <c r="L5164" t="s">
        <v>62</v>
      </c>
      <c r="M5164" t="s">
        <v>388</v>
      </c>
      <c r="N5164" t="s">
        <v>450</v>
      </c>
      <c r="O5164" t="s">
        <v>451</v>
      </c>
      <c r="P5164">
        <v>-20.163981</v>
      </c>
      <c r="Q5164">
        <v>-44.907128999999998</v>
      </c>
      <c r="R5164" s="2" t="str">
        <f>HYPERLINK("https://www.google.com/maps?q=-20.1639810,-44.9071290","Abrir no Google Maps")</f>
        <v>Abrir no Google Maps</v>
      </c>
      <c r="S5164">
        <v>3</v>
      </c>
      <c r="T5164">
        <v>782.50730806588319</v>
      </c>
      <c r="U5164">
        <v>4</v>
      </c>
      <c r="V5164">
        <v>0.93273305084745761</v>
      </c>
      <c r="W5164">
        <v>1</v>
      </c>
      <c r="X5164">
        <v>0.93273305084745761</v>
      </c>
      <c r="Y5164">
        <v>639</v>
      </c>
      <c r="Z5164">
        <v>710.90621453796166</v>
      </c>
      <c r="AA5164">
        <v>198</v>
      </c>
      <c r="AB5164">
        <v>332</v>
      </c>
      <c r="AC5164">
        <v>536</v>
      </c>
      <c r="AD5164">
        <v>28.15</v>
      </c>
      <c r="AE5164">
        <v>542</v>
      </c>
      <c r="AF5164">
        <v>21</v>
      </c>
      <c r="AG5164">
        <v>176</v>
      </c>
      <c r="AH5164">
        <v>129</v>
      </c>
      <c r="AI5164">
        <v>3.87</v>
      </c>
      <c r="AJ5164">
        <v>32.47</v>
      </c>
      <c r="AK5164">
        <v>23.8</v>
      </c>
      <c r="AL5164">
        <v>-20.163958349999969</v>
      </c>
      <c r="AM5164">
        <v>-44.907180923930973</v>
      </c>
      <c r="AN5164">
        <v>-20.163958349999969</v>
      </c>
      <c r="AO5164">
        <v>-44.907180923930973</v>
      </c>
      <c r="AP5164">
        <v>-20.163981</v>
      </c>
      <c r="AQ5164">
        <v>-44.907128999999998</v>
      </c>
      <c r="AR5164">
        <v>5.9831345092457884</v>
      </c>
      <c r="AS5164" t="s">
        <v>65</v>
      </c>
      <c r="AT5164">
        <v>1</v>
      </c>
      <c r="AU5164" t="s">
        <v>452</v>
      </c>
      <c r="AV5164" t="s">
        <v>453</v>
      </c>
      <c r="AW5164" t="s">
        <v>60</v>
      </c>
      <c r="AX5164" t="s">
        <v>68</v>
      </c>
      <c r="AY5164" t="s">
        <v>69</v>
      </c>
      <c r="AZ5164" t="b">
        <v>1</v>
      </c>
    </row>
    <row r="5165" spans="1:52" x14ac:dyDescent="0.3">
      <c r="A5165" t="s">
        <v>52</v>
      </c>
      <c r="B5165" t="s">
        <v>53</v>
      </c>
      <c r="C5165" t="s">
        <v>54</v>
      </c>
      <c r="D5165" t="s">
        <v>55</v>
      </c>
      <c r="E5165" t="s">
        <v>2278</v>
      </c>
      <c r="F5165" t="s">
        <v>190</v>
      </c>
      <c r="G5165" t="s">
        <v>454</v>
      </c>
      <c r="H5165" t="s">
        <v>455</v>
      </c>
      <c r="I5165" t="s">
        <v>455</v>
      </c>
      <c r="J5165" t="s">
        <v>60</v>
      </c>
      <c r="K5165" t="s">
        <v>456</v>
      </c>
      <c r="L5165" t="s">
        <v>62</v>
      </c>
      <c r="M5165" t="s">
        <v>456</v>
      </c>
      <c r="N5165" t="s">
        <v>102</v>
      </c>
      <c r="O5165" t="s">
        <v>457</v>
      </c>
      <c r="P5165">
        <v>-20.138373999999999</v>
      </c>
      <c r="Q5165">
        <v>-44.903756999999999</v>
      </c>
      <c r="R5165" s="2" t="str">
        <f>HYPERLINK("https://www.google.com/maps?q=-20.1383740,-44.9037570","Abrir no Google Maps")</f>
        <v>Abrir no Google Maps</v>
      </c>
      <c r="S5165">
        <v>3</v>
      </c>
      <c r="T5165">
        <v>357.59466273594461</v>
      </c>
      <c r="U5165">
        <v>4</v>
      </c>
      <c r="V5165">
        <v>0.9375</v>
      </c>
      <c r="W5165">
        <v>1</v>
      </c>
      <c r="X5165">
        <v>0.9375</v>
      </c>
      <c r="Y5165">
        <v>581</v>
      </c>
      <c r="Z5165">
        <v>406.92482694505992</v>
      </c>
      <c r="AA5165">
        <v>198</v>
      </c>
      <c r="AB5165">
        <v>332</v>
      </c>
      <c r="AC5165">
        <v>536</v>
      </c>
      <c r="AD5165">
        <v>28.15</v>
      </c>
      <c r="AE5165">
        <v>542</v>
      </c>
      <c r="AF5165">
        <v>21</v>
      </c>
      <c r="AG5165">
        <v>176</v>
      </c>
      <c r="AH5165">
        <v>129</v>
      </c>
      <c r="AI5165">
        <v>3.87</v>
      </c>
      <c r="AJ5165">
        <v>32.47</v>
      </c>
      <c r="AK5165">
        <v>23.8</v>
      </c>
      <c r="AL5165">
        <v>-20.138338199999961</v>
      </c>
      <c r="AM5165">
        <v>-44.903768618976301</v>
      </c>
      <c r="AN5165">
        <v>-20.138338199999961</v>
      </c>
      <c r="AO5165">
        <v>-44.903768618976301</v>
      </c>
      <c r="AP5165">
        <v>-20.138373999999999</v>
      </c>
      <c r="AQ5165">
        <v>-44.903756999999999</v>
      </c>
      <c r="AR5165">
        <v>4.1661625938922704</v>
      </c>
      <c r="AS5165" t="s">
        <v>65</v>
      </c>
      <c r="AT5165">
        <v>1</v>
      </c>
      <c r="AU5165" t="s">
        <v>458</v>
      </c>
      <c r="AV5165" t="s">
        <v>459</v>
      </c>
      <c r="AW5165" t="s">
        <v>60</v>
      </c>
      <c r="AX5165" t="s">
        <v>68</v>
      </c>
      <c r="AY5165" t="s">
        <v>69</v>
      </c>
      <c r="AZ5165" t="b">
        <v>1</v>
      </c>
    </row>
    <row r="5166" spans="1:52" x14ac:dyDescent="0.3">
      <c r="A5166" t="s">
        <v>52</v>
      </c>
      <c r="B5166" t="s">
        <v>53</v>
      </c>
      <c r="C5166" t="s">
        <v>54</v>
      </c>
      <c r="D5166" t="s">
        <v>55</v>
      </c>
      <c r="E5166" t="s">
        <v>2278</v>
      </c>
      <c r="F5166" t="s">
        <v>190</v>
      </c>
      <c r="G5166" t="s">
        <v>460</v>
      </c>
      <c r="H5166" t="s">
        <v>461</v>
      </c>
      <c r="I5166" t="s">
        <v>461</v>
      </c>
      <c r="J5166" t="s">
        <v>60</v>
      </c>
      <c r="K5166" t="s">
        <v>462</v>
      </c>
      <c r="L5166" t="s">
        <v>62</v>
      </c>
      <c r="M5166" t="s">
        <v>462</v>
      </c>
      <c r="N5166" t="s">
        <v>463</v>
      </c>
      <c r="O5166" t="s">
        <v>464</v>
      </c>
      <c r="P5166">
        <v>-20.137919</v>
      </c>
      <c r="Q5166">
        <v>-44.905591000000001</v>
      </c>
      <c r="R5166" s="2" t="str">
        <f>HYPERLINK("https://www.google.com/maps?q=-20.1379190,-44.9055910","Abrir no Google Maps")</f>
        <v>Abrir no Google Maps</v>
      </c>
      <c r="S5166">
        <v>3</v>
      </c>
      <c r="T5166">
        <v>262.01115919461103</v>
      </c>
      <c r="U5166">
        <v>4</v>
      </c>
      <c r="V5166">
        <v>0.94370860927152322</v>
      </c>
      <c r="W5166">
        <v>1</v>
      </c>
      <c r="X5166">
        <v>0.94370860927152322</v>
      </c>
      <c r="Y5166">
        <v>581</v>
      </c>
      <c r="Z5166">
        <v>318.63337303219271</v>
      </c>
      <c r="AA5166">
        <v>198</v>
      </c>
      <c r="AB5166">
        <v>332</v>
      </c>
      <c r="AC5166">
        <v>536</v>
      </c>
      <c r="AD5166">
        <v>28.15</v>
      </c>
      <c r="AE5166">
        <v>542</v>
      </c>
      <c r="AF5166">
        <v>21</v>
      </c>
      <c r="AG5166">
        <v>176</v>
      </c>
      <c r="AH5166">
        <v>129</v>
      </c>
      <c r="AI5166">
        <v>3.87</v>
      </c>
      <c r="AJ5166">
        <v>32.47</v>
      </c>
      <c r="AK5166">
        <v>23.8</v>
      </c>
      <c r="AL5166">
        <v>-20.13789079999998</v>
      </c>
      <c r="AM5166">
        <v>-44.90548593520333</v>
      </c>
      <c r="AN5166">
        <v>-20.13789079999998</v>
      </c>
      <c r="AO5166">
        <v>-44.90548593520333</v>
      </c>
      <c r="AP5166">
        <v>-20.137919</v>
      </c>
      <c r="AQ5166">
        <v>-44.905591000000001</v>
      </c>
      <c r="AR5166">
        <v>11.42072348298178</v>
      </c>
      <c r="AS5166" t="s">
        <v>65</v>
      </c>
      <c r="AT5166">
        <v>1</v>
      </c>
      <c r="AU5166" t="s">
        <v>465</v>
      </c>
      <c r="AV5166" t="s">
        <v>466</v>
      </c>
      <c r="AW5166" t="s">
        <v>60</v>
      </c>
      <c r="AX5166" t="s">
        <v>68</v>
      </c>
      <c r="AY5166" t="s">
        <v>69</v>
      </c>
      <c r="AZ5166" t="b">
        <v>1</v>
      </c>
    </row>
    <row r="5167" spans="1:52" x14ac:dyDescent="0.3">
      <c r="A5167" t="s">
        <v>52</v>
      </c>
      <c r="B5167" t="s">
        <v>53</v>
      </c>
      <c r="C5167" t="s">
        <v>54</v>
      </c>
      <c r="D5167" t="s">
        <v>55</v>
      </c>
      <c r="E5167" t="s">
        <v>2278</v>
      </c>
      <c r="F5167" t="s">
        <v>190</v>
      </c>
      <c r="G5167" t="s">
        <v>467</v>
      </c>
      <c r="H5167" t="s">
        <v>468</v>
      </c>
      <c r="I5167" t="s">
        <v>468</v>
      </c>
      <c r="J5167" t="s">
        <v>60</v>
      </c>
      <c r="K5167" t="s">
        <v>462</v>
      </c>
      <c r="L5167" t="s">
        <v>62</v>
      </c>
      <c r="M5167" t="s">
        <v>462</v>
      </c>
      <c r="N5167" t="s">
        <v>469</v>
      </c>
      <c r="O5167" t="s">
        <v>470</v>
      </c>
      <c r="P5167">
        <v>-20.138233</v>
      </c>
      <c r="Q5167">
        <v>-44.908200000000001</v>
      </c>
      <c r="R5167" s="2" t="str">
        <f>HYPERLINK("https://www.google.com/maps?q=-20.1382330,-44.9082000","Abrir no Google Maps")</f>
        <v>Abrir no Google Maps</v>
      </c>
      <c r="S5167">
        <v>3</v>
      </c>
      <c r="T5167">
        <v>0</v>
      </c>
      <c r="U5167">
        <v>4</v>
      </c>
      <c r="V5167">
        <v>0.94182692307692317</v>
      </c>
      <c r="W5167">
        <v>1</v>
      </c>
      <c r="X5167">
        <v>0.94182692307692317</v>
      </c>
      <c r="Y5167">
        <v>581</v>
      </c>
      <c r="Z5167">
        <v>153.18688302958171</v>
      </c>
      <c r="AA5167">
        <v>198</v>
      </c>
      <c r="AB5167">
        <v>332</v>
      </c>
      <c r="AC5167">
        <v>536</v>
      </c>
      <c r="AD5167">
        <v>28.15</v>
      </c>
      <c r="AE5167">
        <v>542</v>
      </c>
      <c r="AF5167">
        <v>21</v>
      </c>
      <c r="AG5167">
        <v>176</v>
      </c>
      <c r="AH5167">
        <v>129</v>
      </c>
      <c r="AI5167">
        <v>3.87</v>
      </c>
      <c r="AJ5167">
        <v>32.47</v>
      </c>
      <c r="AK5167">
        <v>23.8</v>
      </c>
      <c r="AL5167">
        <v>-20.138364899999971</v>
      </c>
      <c r="AM5167">
        <v>-44.907942114873997</v>
      </c>
      <c r="AN5167">
        <v>-20.138364899999971</v>
      </c>
      <c r="AO5167">
        <v>-44.907942114873997</v>
      </c>
      <c r="AP5167">
        <v>-20.138233</v>
      </c>
      <c r="AQ5167">
        <v>-44.908200000000001</v>
      </c>
      <c r="AR5167">
        <v>30.692690617986941</v>
      </c>
      <c r="AS5167" t="s">
        <v>65</v>
      </c>
      <c r="AT5167">
        <v>1</v>
      </c>
      <c r="AU5167" t="s">
        <v>471</v>
      </c>
      <c r="AV5167" t="s">
        <v>472</v>
      </c>
      <c r="AW5167" t="s">
        <v>60</v>
      </c>
      <c r="AX5167" t="s">
        <v>68</v>
      </c>
      <c r="AY5167" t="s">
        <v>69</v>
      </c>
      <c r="AZ5167" t="b">
        <v>1</v>
      </c>
    </row>
    <row r="5168" spans="1:52" x14ac:dyDescent="0.3">
      <c r="A5168" t="s">
        <v>52</v>
      </c>
      <c r="B5168" t="s">
        <v>53</v>
      </c>
      <c r="C5168" t="s">
        <v>54</v>
      </c>
      <c r="D5168" t="s">
        <v>55</v>
      </c>
      <c r="E5168" t="s">
        <v>2278</v>
      </c>
      <c r="F5168" t="s">
        <v>190</v>
      </c>
      <c r="G5168" t="s">
        <v>864</v>
      </c>
      <c r="H5168" t="s">
        <v>865</v>
      </c>
      <c r="I5168" t="s">
        <v>865</v>
      </c>
      <c r="J5168" t="s">
        <v>60</v>
      </c>
      <c r="K5168" t="s">
        <v>486</v>
      </c>
      <c r="L5168" t="s">
        <v>62</v>
      </c>
      <c r="M5168" t="s">
        <v>486</v>
      </c>
      <c r="N5168" t="s">
        <v>866</v>
      </c>
      <c r="O5168" t="s">
        <v>867</v>
      </c>
      <c r="P5168">
        <v>-20.170919000000001</v>
      </c>
      <c r="Q5168">
        <v>-44.905451999999997</v>
      </c>
      <c r="R5168" s="2" t="str">
        <f>HYPERLINK("https://www.google.com/maps?q=-20.1709190,-44.9054520","Abrir no Google Maps")</f>
        <v>Abrir no Google Maps</v>
      </c>
      <c r="S5168">
        <v>3</v>
      </c>
      <c r="T5168">
        <v>0</v>
      </c>
      <c r="U5168">
        <v>4</v>
      </c>
      <c r="V5168">
        <v>0.90057915057915061</v>
      </c>
      <c r="W5168">
        <v>1</v>
      </c>
      <c r="X5168">
        <v>0.90057915057915061</v>
      </c>
      <c r="Y5168">
        <v>578</v>
      </c>
      <c r="Z5168">
        <v>205.34598855748419</v>
      </c>
      <c r="AA5168">
        <v>198</v>
      </c>
      <c r="AB5168">
        <v>332</v>
      </c>
      <c r="AC5168">
        <v>536</v>
      </c>
      <c r="AD5168">
        <v>28.15</v>
      </c>
      <c r="AE5168">
        <v>542</v>
      </c>
      <c r="AF5168">
        <v>21</v>
      </c>
      <c r="AG5168">
        <v>176</v>
      </c>
      <c r="AH5168">
        <v>129</v>
      </c>
      <c r="AI5168">
        <v>3.87</v>
      </c>
      <c r="AJ5168">
        <v>32.47</v>
      </c>
      <c r="AK5168">
        <v>23.8</v>
      </c>
      <c r="AL5168">
        <v>-20.170854399999939</v>
      </c>
      <c r="AM5168">
        <v>-44.905524839633358</v>
      </c>
      <c r="AN5168">
        <v>-20.170854399999939</v>
      </c>
      <c r="AO5168">
        <v>-44.905524839633358</v>
      </c>
      <c r="AP5168">
        <v>-20.170919000000001</v>
      </c>
      <c r="AQ5168">
        <v>-44.905451999999997</v>
      </c>
      <c r="AR5168">
        <v>10.471140355179269</v>
      </c>
      <c r="AS5168" t="s">
        <v>65</v>
      </c>
      <c r="AT5168">
        <v>1</v>
      </c>
      <c r="AU5168" t="s">
        <v>868</v>
      </c>
      <c r="AV5168" t="s">
        <v>869</v>
      </c>
      <c r="AW5168" t="s">
        <v>60</v>
      </c>
      <c r="AX5168" t="s">
        <v>68</v>
      </c>
      <c r="AY5168" t="s">
        <v>69</v>
      </c>
      <c r="AZ5168" t="b">
        <v>1</v>
      </c>
    </row>
    <row r="5169" spans="1:52" x14ac:dyDescent="0.3">
      <c r="A5169" t="s">
        <v>52</v>
      </c>
      <c r="B5169" t="s">
        <v>53</v>
      </c>
      <c r="C5169" t="s">
        <v>54</v>
      </c>
      <c r="D5169" t="s">
        <v>55</v>
      </c>
      <c r="E5169" t="s">
        <v>2278</v>
      </c>
      <c r="F5169" t="s">
        <v>190</v>
      </c>
      <c r="G5169" t="s">
        <v>484</v>
      </c>
      <c r="H5169" t="s">
        <v>485</v>
      </c>
      <c r="I5169" t="s">
        <v>485</v>
      </c>
      <c r="J5169" t="s">
        <v>60</v>
      </c>
      <c r="K5169" t="s">
        <v>486</v>
      </c>
      <c r="L5169" t="s">
        <v>62</v>
      </c>
      <c r="M5169" t="s">
        <v>486</v>
      </c>
      <c r="N5169" t="s">
        <v>487</v>
      </c>
      <c r="O5169" t="s">
        <v>488</v>
      </c>
      <c r="P5169">
        <v>-20.173000999999999</v>
      </c>
      <c r="Q5169">
        <v>-44.901876999999999</v>
      </c>
      <c r="R5169" s="2" t="str">
        <f>HYPERLINK("https://www.google.com/maps?q=-20.1730010,-44.9018770","Abrir no Google Maps")</f>
        <v>Abrir no Google Maps</v>
      </c>
      <c r="S5169">
        <v>3</v>
      </c>
      <c r="T5169">
        <v>437.59695450783011</v>
      </c>
      <c r="U5169">
        <v>4</v>
      </c>
      <c r="V5169">
        <v>0.89245495495495497</v>
      </c>
      <c r="W5169">
        <v>1</v>
      </c>
      <c r="X5169">
        <v>0.89245495495495497</v>
      </c>
      <c r="Y5169">
        <v>578</v>
      </c>
      <c r="Z5169">
        <v>440.53629183653243</v>
      </c>
      <c r="AA5169">
        <v>198</v>
      </c>
      <c r="AB5169">
        <v>332</v>
      </c>
      <c r="AC5169">
        <v>536</v>
      </c>
      <c r="AD5169">
        <v>28.15</v>
      </c>
      <c r="AE5169">
        <v>542</v>
      </c>
      <c r="AF5169">
        <v>21</v>
      </c>
      <c r="AG5169">
        <v>176</v>
      </c>
      <c r="AH5169">
        <v>129</v>
      </c>
      <c r="AI5169">
        <v>3.87</v>
      </c>
      <c r="AJ5169">
        <v>32.47</v>
      </c>
      <c r="AK5169">
        <v>23.8</v>
      </c>
      <c r="AL5169">
        <v>-20.173065299999969</v>
      </c>
      <c r="AM5169">
        <v>-44.902052686008687</v>
      </c>
      <c r="AN5169">
        <v>-20.173065299999969</v>
      </c>
      <c r="AO5169">
        <v>-44.902052686008687</v>
      </c>
      <c r="AP5169">
        <v>-20.173000999999999</v>
      </c>
      <c r="AQ5169">
        <v>-44.901876999999999</v>
      </c>
      <c r="AR5169">
        <v>19.703745070768829</v>
      </c>
      <c r="AS5169" t="s">
        <v>65</v>
      </c>
      <c r="AT5169">
        <v>1</v>
      </c>
      <c r="AU5169" t="s">
        <v>489</v>
      </c>
      <c r="AV5169" t="s">
        <v>490</v>
      </c>
      <c r="AW5169" t="s">
        <v>60</v>
      </c>
      <c r="AX5169" t="s">
        <v>68</v>
      </c>
      <c r="AY5169" t="s">
        <v>69</v>
      </c>
      <c r="AZ5169" t="b">
        <v>1</v>
      </c>
    </row>
    <row r="5170" spans="1:52" x14ac:dyDescent="0.3">
      <c r="A5170" t="s">
        <v>52</v>
      </c>
      <c r="B5170" t="s">
        <v>53</v>
      </c>
      <c r="C5170" t="s">
        <v>54</v>
      </c>
      <c r="D5170" t="s">
        <v>55</v>
      </c>
      <c r="E5170" t="s">
        <v>2278</v>
      </c>
      <c r="F5170" t="s">
        <v>190</v>
      </c>
      <c r="G5170" t="s">
        <v>497</v>
      </c>
      <c r="H5170" t="s">
        <v>498</v>
      </c>
      <c r="I5170" t="s">
        <v>498</v>
      </c>
      <c r="J5170" t="s">
        <v>60</v>
      </c>
      <c r="K5170" t="s">
        <v>475</v>
      </c>
      <c r="L5170" t="s">
        <v>62</v>
      </c>
      <c r="M5170" t="s">
        <v>475</v>
      </c>
      <c r="N5170" t="s">
        <v>499</v>
      </c>
      <c r="O5170" t="s">
        <v>500</v>
      </c>
      <c r="P5170">
        <v>-20.175492999999999</v>
      </c>
      <c r="Q5170">
        <v>-44.900759000000001</v>
      </c>
      <c r="R5170" s="2" t="str">
        <f>HYPERLINK("https://www.google.com/maps?q=-20.1754930,-44.9007590","Abrir no Google Maps")</f>
        <v>Abrir no Google Maps</v>
      </c>
      <c r="S5170">
        <v>3</v>
      </c>
      <c r="T5170">
        <v>753.30732354720431</v>
      </c>
      <c r="U5170">
        <v>4</v>
      </c>
      <c r="V5170">
        <v>0.88834269662921339</v>
      </c>
      <c r="W5170">
        <v>1</v>
      </c>
      <c r="X5170">
        <v>0.88834269662921339</v>
      </c>
      <c r="Y5170">
        <v>578</v>
      </c>
      <c r="Z5170">
        <v>695.28903655431702</v>
      </c>
      <c r="AA5170">
        <v>198</v>
      </c>
      <c r="AB5170">
        <v>332</v>
      </c>
      <c r="AC5170">
        <v>536</v>
      </c>
      <c r="AD5170">
        <v>28.15</v>
      </c>
      <c r="AE5170">
        <v>542</v>
      </c>
      <c r="AF5170">
        <v>21</v>
      </c>
      <c r="AG5170">
        <v>176</v>
      </c>
      <c r="AH5170">
        <v>129</v>
      </c>
      <c r="AI5170">
        <v>3.87</v>
      </c>
      <c r="AJ5170">
        <v>32.47</v>
      </c>
      <c r="AK5170">
        <v>23.8</v>
      </c>
      <c r="AL5170">
        <v>-20.175825999999969</v>
      </c>
      <c r="AM5170">
        <v>-44.900600234646973</v>
      </c>
      <c r="AN5170">
        <v>-20.175825999999969</v>
      </c>
      <c r="AO5170">
        <v>-44.900600234646973</v>
      </c>
      <c r="AP5170">
        <v>-20.175492999999999</v>
      </c>
      <c r="AQ5170">
        <v>-44.900759000000001</v>
      </c>
      <c r="AR5170">
        <v>40.612267304645073</v>
      </c>
      <c r="AS5170" t="s">
        <v>65</v>
      </c>
      <c r="AT5170">
        <v>1</v>
      </c>
      <c r="AU5170" t="s">
        <v>501</v>
      </c>
      <c r="AV5170" t="s">
        <v>502</v>
      </c>
      <c r="AW5170" t="s">
        <v>60</v>
      </c>
      <c r="AX5170" t="s">
        <v>68</v>
      </c>
      <c r="AY5170" t="s">
        <v>69</v>
      </c>
      <c r="AZ5170" t="b">
        <v>1</v>
      </c>
    </row>
    <row r="5171" spans="1:52" x14ac:dyDescent="0.3">
      <c r="A5171" t="s">
        <v>52</v>
      </c>
      <c r="B5171" t="s">
        <v>53</v>
      </c>
      <c r="C5171" t="s">
        <v>54</v>
      </c>
      <c r="D5171" t="s">
        <v>55</v>
      </c>
      <c r="E5171" t="s">
        <v>2278</v>
      </c>
      <c r="F5171" t="s">
        <v>190</v>
      </c>
      <c r="G5171" t="s">
        <v>503</v>
      </c>
      <c r="H5171" t="s">
        <v>504</v>
      </c>
      <c r="I5171" t="s">
        <v>504</v>
      </c>
      <c r="J5171" t="s">
        <v>60</v>
      </c>
      <c r="K5171" t="s">
        <v>505</v>
      </c>
      <c r="L5171" t="s">
        <v>62</v>
      </c>
      <c r="M5171" t="s">
        <v>505</v>
      </c>
      <c r="N5171" t="s">
        <v>506</v>
      </c>
      <c r="O5171" t="s">
        <v>507</v>
      </c>
      <c r="P5171">
        <v>-20.131428</v>
      </c>
      <c r="Q5171">
        <v>-44.888921000000003</v>
      </c>
      <c r="R5171" s="2" t="str">
        <f>HYPERLINK("https://www.google.com/maps?q=-20.1314280,-44.8889210","Abrir no Google Maps")</f>
        <v>Abrir no Google Maps</v>
      </c>
      <c r="S5171">
        <v>3</v>
      </c>
      <c r="T5171">
        <v>250.64150698244501</v>
      </c>
      <c r="U5171">
        <v>4</v>
      </c>
      <c r="V5171">
        <v>0.90650826446280997</v>
      </c>
      <c r="W5171">
        <v>1</v>
      </c>
      <c r="X5171">
        <v>0.90650826446280997</v>
      </c>
      <c r="Y5171">
        <v>564</v>
      </c>
      <c r="Z5171">
        <v>189.93933888952441</v>
      </c>
      <c r="AA5171">
        <v>198</v>
      </c>
      <c r="AB5171">
        <v>332</v>
      </c>
      <c r="AC5171">
        <v>536</v>
      </c>
      <c r="AD5171">
        <v>28.15</v>
      </c>
      <c r="AE5171">
        <v>542</v>
      </c>
      <c r="AF5171">
        <v>21</v>
      </c>
      <c r="AG5171">
        <v>176</v>
      </c>
      <c r="AH5171">
        <v>129</v>
      </c>
      <c r="AI5171">
        <v>3.87</v>
      </c>
      <c r="AJ5171">
        <v>32.47</v>
      </c>
      <c r="AK5171">
        <v>23.8</v>
      </c>
      <c r="AL5171">
        <v>-20.13123589999995</v>
      </c>
      <c r="AM5171">
        <v>-44.888742396501762</v>
      </c>
      <c r="AN5171">
        <v>-20.13123589999995</v>
      </c>
      <c r="AO5171">
        <v>-44.888742396501762</v>
      </c>
      <c r="AP5171">
        <v>-20.131428</v>
      </c>
      <c r="AQ5171">
        <v>-44.888921000000003</v>
      </c>
      <c r="AR5171">
        <v>28.386169462917032</v>
      </c>
      <c r="AS5171" t="s">
        <v>65</v>
      </c>
      <c r="AT5171">
        <v>1</v>
      </c>
      <c r="AU5171" t="s">
        <v>508</v>
      </c>
      <c r="AV5171" t="s">
        <v>509</v>
      </c>
      <c r="AW5171" t="s">
        <v>60</v>
      </c>
      <c r="AX5171" t="s">
        <v>68</v>
      </c>
      <c r="AY5171" t="s">
        <v>69</v>
      </c>
      <c r="AZ5171" t="b">
        <v>1</v>
      </c>
    </row>
    <row r="5172" spans="1:52" x14ac:dyDescent="0.3">
      <c r="A5172" t="s">
        <v>52</v>
      </c>
      <c r="B5172" t="s">
        <v>53</v>
      </c>
      <c r="C5172" t="s">
        <v>54</v>
      </c>
      <c r="D5172" t="s">
        <v>55</v>
      </c>
      <c r="E5172" t="s">
        <v>2278</v>
      </c>
      <c r="F5172" t="s">
        <v>190</v>
      </c>
      <c r="G5172" t="s">
        <v>510</v>
      </c>
      <c r="H5172" t="s">
        <v>511</v>
      </c>
      <c r="I5172" t="s">
        <v>511</v>
      </c>
      <c r="J5172" t="s">
        <v>60</v>
      </c>
      <c r="K5172" t="s">
        <v>512</v>
      </c>
      <c r="L5172" t="s">
        <v>62</v>
      </c>
      <c r="M5172" t="s">
        <v>512</v>
      </c>
      <c r="N5172" t="s">
        <v>406</v>
      </c>
      <c r="O5172" t="s">
        <v>513</v>
      </c>
      <c r="P5172">
        <v>-20.127853000000002</v>
      </c>
      <c r="Q5172">
        <v>-44.891415000000002</v>
      </c>
      <c r="R5172" s="2" t="str">
        <f>HYPERLINK("https://www.google.com/maps?q=-20.1278530,-44.8914150","Abrir no Google Maps")</f>
        <v>Abrir no Google Maps</v>
      </c>
      <c r="S5172">
        <v>3</v>
      </c>
      <c r="T5172">
        <v>340.86994528233612</v>
      </c>
      <c r="U5172">
        <v>4</v>
      </c>
      <c r="V5172">
        <v>0.90567765567765557</v>
      </c>
      <c r="W5172">
        <v>1</v>
      </c>
      <c r="X5172">
        <v>0.90567765567765557</v>
      </c>
      <c r="Y5172">
        <v>564</v>
      </c>
      <c r="Z5172">
        <v>294.18108015916812</v>
      </c>
      <c r="AA5172">
        <v>198</v>
      </c>
      <c r="AB5172">
        <v>332</v>
      </c>
      <c r="AC5172">
        <v>536</v>
      </c>
      <c r="AD5172">
        <v>28.15</v>
      </c>
      <c r="AE5172">
        <v>542</v>
      </c>
      <c r="AF5172">
        <v>21</v>
      </c>
      <c r="AG5172">
        <v>176</v>
      </c>
      <c r="AH5172">
        <v>129</v>
      </c>
      <c r="AI5172">
        <v>3.87</v>
      </c>
      <c r="AJ5172">
        <v>32.47</v>
      </c>
      <c r="AK5172">
        <v>23.8</v>
      </c>
      <c r="AL5172">
        <v>-20.12777399999996</v>
      </c>
      <c r="AM5172">
        <v>-44.891400975758501</v>
      </c>
      <c r="AN5172">
        <v>-20.12777399999996</v>
      </c>
      <c r="AO5172">
        <v>-44.891400975758501</v>
      </c>
      <c r="AP5172">
        <v>-20.127853000000002</v>
      </c>
      <c r="AQ5172">
        <v>-44.891415000000002</v>
      </c>
      <c r="AR5172">
        <v>8.9156059162975616</v>
      </c>
      <c r="AS5172" t="s">
        <v>65</v>
      </c>
      <c r="AT5172">
        <v>1</v>
      </c>
      <c r="AU5172" t="s">
        <v>514</v>
      </c>
      <c r="AV5172" t="s">
        <v>515</v>
      </c>
      <c r="AW5172" t="s">
        <v>60</v>
      </c>
      <c r="AX5172" t="s">
        <v>68</v>
      </c>
      <c r="AY5172" t="s">
        <v>69</v>
      </c>
      <c r="AZ5172" t="b">
        <v>1</v>
      </c>
    </row>
    <row r="5173" spans="1:52" x14ac:dyDescent="0.3">
      <c r="A5173" t="s">
        <v>52</v>
      </c>
      <c r="B5173" t="s">
        <v>53</v>
      </c>
      <c r="C5173" t="s">
        <v>54</v>
      </c>
      <c r="D5173" t="s">
        <v>55</v>
      </c>
      <c r="E5173" t="s">
        <v>2278</v>
      </c>
      <c r="F5173" t="s">
        <v>190</v>
      </c>
      <c r="G5173" t="s">
        <v>516</v>
      </c>
      <c r="H5173" t="s">
        <v>517</v>
      </c>
      <c r="I5173" t="s">
        <v>517</v>
      </c>
      <c r="J5173" t="s">
        <v>60</v>
      </c>
      <c r="K5173" t="s">
        <v>518</v>
      </c>
      <c r="L5173" t="s">
        <v>62</v>
      </c>
      <c r="M5173" t="s">
        <v>518</v>
      </c>
      <c r="N5173" t="s">
        <v>519</v>
      </c>
      <c r="O5173" t="s">
        <v>520</v>
      </c>
      <c r="P5173">
        <v>-20.124502</v>
      </c>
      <c r="Q5173">
        <v>-44.888424000000001</v>
      </c>
      <c r="R5173" s="2" t="str">
        <f>HYPERLINK("https://www.google.com/maps?q=-20.1245020,-44.8884240","Abrir no Google Maps")</f>
        <v>Abrir no Google Maps</v>
      </c>
      <c r="S5173">
        <v>3</v>
      </c>
      <c r="T5173">
        <v>483.42298121929559</v>
      </c>
      <c r="U5173">
        <v>4</v>
      </c>
      <c r="V5173">
        <v>0.94193989071038242</v>
      </c>
      <c r="W5173">
        <v>1</v>
      </c>
      <c r="X5173">
        <v>0.94193989071038242</v>
      </c>
      <c r="Y5173">
        <v>564</v>
      </c>
      <c r="Z5173">
        <v>565.43074237076587</v>
      </c>
      <c r="AA5173">
        <v>198</v>
      </c>
      <c r="AB5173">
        <v>332</v>
      </c>
      <c r="AC5173">
        <v>536</v>
      </c>
      <c r="AD5173">
        <v>28.15</v>
      </c>
      <c r="AE5173">
        <v>542</v>
      </c>
      <c r="AF5173">
        <v>21</v>
      </c>
      <c r="AG5173">
        <v>176</v>
      </c>
      <c r="AH5173">
        <v>129</v>
      </c>
      <c r="AI5173">
        <v>3.87</v>
      </c>
      <c r="AJ5173">
        <v>32.47</v>
      </c>
      <c r="AK5173">
        <v>23.8</v>
      </c>
      <c r="AL5173">
        <v>-20.124624949999941</v>
      </c>
      <c r="AM5173">
        <v>-44.888432821777258</v>
      </c>
      <c r="AN5173">
        <v>-20.124624949999941</v>
      </c>
      <c r="AO5173">
        <v>-44.888432821777258</v>
      </c>
      <c r="AP5173">
        <v>-20.124502</v>
      </c>
      <c r="AQ5173">
        <v>-44.888424000000001</v>
      </c>
      <c r="AR5173">
        <v>13.717819333897451</v>
      </c>
      <c r="AS5173" t="s">
        <v>65</v>
      </c>
      <c r="AT5173">
        <v>1</v>
      </c>
      <c r="AU5173" t="s">
        <v>521</v>
      </c>
      <c r="AV5173" t="s">
        <v>522</v>
      </c>
      <c r="AW5173" t="s">
        <v>60</v>
      </c>
      <c r="AX5173" t="s">
        <v>68</v>
      </c>
      <c r="AY5173" t="s">
        <v>69</v>
      </c>
      <c r="AZ5173" t="b">
        <v>1</v>
      </c>
    </row>
    <row r="5174" spans="1:52" x14ac:dyDescent="0.3">
      <c r="A5174" t="s">
        <v>52</v>
      </c>
      <c r="B5174" t="s">
        <v>53</v>
      </c>
      <c r="C5174" t="s">
        <v>54</v>
      </c>
      <c r="D5174" t="s">
        <v>55</v>
      </c>
      <c r="E5174" t="s">
        <v>2278</v>
      </c>
      <c r="F5174" t="s">
        <v>190</v>
      </c>
      <c r="G5174" t="s">
        <v>879</v>
      </c>
      <c r="H5174" t="s">
        <v>880</v>
      </c>
      <c r="I5174" t="s">
        <v>880</v>
      </c>
      <c r="J5174" t="s">
        <v>60</v>
      </c>
      <c r="K5174" t="s">
        <v>505</v>
      </c>
      <c r="L5174" t="s">
        <v>62</v>
      </c>
      <c r="M5174" t="s">
        <v>505</v>
      </c>
      <c r="N5174" t="s">
        <v>881</v>
      </c>
      <c r="O5174" t="s">
        <v>882</v>
      </c>
      <c r="P5174">
        <v>-20.133452999999999</v>
      </c>
      <c r="Q5174">
        <v>-44.890571999999999</v>
      </c>
      <c r="R5174" s="2" t="str">
        <f>HYPERLINK("https://www.google.com/maps?q=-20.1334530,-44.8905720","Abrir no Google Maps")</f>
        <v>Abrir no Google Maps</v>
      </c>
      <c r="S5174">
        <v>3</v>
      </c>
      <c r="T5174">
        <v>373.51332104809921</v>
      </c>
      <c r="U5174">
        <v>4</v>
      </c>
      <c r="V5174">
        <v>0.91346153846153844</v>
      </c>
      <c r="W5174">
        <v>1</v>
      </c>
      <c r="X5174">
        <v>0.91346153846153844</v>
      </c>
      <c r="Y5174">
        <v>564</v>
      </c>
      <c r="Z5174">
        <v>422.34693311930448</v>
      </c>
      <c r="AA5174">
        <v>198</v>
      </c>
      <c r="AB5174">
        <v>332</v>
      </c>
      <c r="AC5174">
        <v>536</v>
      </c>
      <c r="AD5174">
        <v>28.15</v>
      </c>
      <c r="AE5174">
        <v>542</v>
      </c>
      <c r="AF5174">
        <v>21</v>
      </c>
      <c r="AG5174">
        <v>176</v>
      </c>
      <c r="AH5174">
        <v>129</v>
      </c>
      <c r="AI5174">
        <v>3.87</v>
      </c>
      <c r="AJ5174">
        <v>32.47</v>
      </c>
      <c r="AK5174">
        <v>23.8</v>
      </c>
      <c r="AL5174">
        <v>-20.133421549999952</v>
      </c>
      <c r="AM5174">
        <v>-44.890623456009052</v>
      </c>
      <c r="AN5174">
        <v>-20.133421549999952</v>
      </c>
      <c r="AO5174">
        <v>-44.890623456009052</v>
      </c>
      <c r="AP5174">
        <v>-20.133452999999999</v>
      </c>
      <c r="AQ5174">
        <v>-44.890571999999999</v>
      </c>
      <c r="AR5174">
        <v>6.4172139275452773</v>
      </c>
      <c r="AS5174" t="s">
        <v>65</v>
      </c>
      <c r="AT5174">
        <v>1</v>
      </c>
      <c r="AU5174" t="s">
        <v>883</v>
      </c>
      <c r="AV5174" t="s">
        <v>884</v>
      </c>
      <c r="AW5174" t="s">
        <v>60</v>
      </c>
      <c r="AX5174" t="s">
        <v>68</v>
      </c>
      <c r="AY5174" t="s">
        <v>69</v>
      </c>
      <c r="AZ5174" t="b">
        <v>1</v>
      </c>
    </row>
    <row r="5175" spans="1:52" x14ac:dyDescent="0.3">
      <c r="A5175" t="s">
        <v>52</v>
      </c>
      <c r="B5175" t="s">
        <v>53</v>
      </c>
      <c r="C5175" t="s">
        <v>54</v>
      </c>
      <c r="D5175" t="s">
        <v>55</v>
      </c>
      <c r="E5175" t="s">
        <v>2278</v>
      </c>
      <c r="F5175" t="s">
        <v>190</v>
      </c>
      <c r="G5175" t="s">
        <v>523</v>
      </c>
      <c r="H5175" t="s">
        <v>524</v>
      </c>
      <c r="I5175" t="s">
        <v>524</v>
      </c>
      <c r="J5175" t="s">
        <v>60</v>
      </c>
      <c r="K5175" t="s">
        <v>518</v>
      </c>
      <c r="L5175" t="s">
        <v>62</v>
      </c>
      <c r="M5175" t="s">
        <v>518</v>
      </c>
      <c r="N5175" t="s">
        <v>525</v>
      </c>
      <c r="O5175" t="s">
        <v>331</v>
      </c>
      <c r="P5175">
        <v>-20.126553000000001</v>
      </c>
      <c r="Q5175">
        <v>-44.888599999999997</v>
      </c>
      <c r="R5175" s="2" t="str">
        <f>HYPERLINK("https://www.google.com/maps?q=-20.1265530,-44.8886000","Abrir no Google Maps")</f>
        <v>Abrir no Google Maps</v>
      </c>
      <c r="S5175">
        <v>3</v>
      </c>
      <c r="T5175">
        <v>256.34043440603853</v>
      </c>
      <c r="U5175">
        <v>4</v>
      </c>
      <c r="V5175">
        <v>0.9232673267326732</v>
      </c>
      <c r="W5175">
        <v>1</v>
      </c>
      <c r="X5175">
        <v>0.9232673267326732</v>
      </c>
      <c r="Y5175">
        <v>564</v>
      </c>
      <c r="Z5175">
        <v>325.4404273055876</v>
      </c>
      <c r="AA5175">
        <v>198</v>
      </c>
      <c r="AB5175">
        <v>332</v>
      </c>
      <c r="AC5175">
        <v>536</v>
      </c>
      <c r="AD5175">
        <v>28.15</v>
      </c>
      <c r="AE5175">
        <v>542</v>
      </c>
      <c r="AF5175">
        <v>21</v>
      </c>
      <c r="AG5175">
        <v>176</v>
      </c>
      <c r="AH5175">
        <v>129</v>
      </c>
      <c r="AI5175">
        <v>3.87</v>
      </c>
      <c r="AJ5175">
        <v>32.47</v>
      </c>
      <c r="AK5175">
        <v>23.8</v>
      </c>
      <c r="AL5175">
        <v>-20.12669049999997</v>
      </c>
      <c r="AM5175">
        <v>-44.888671289876577</v>
      </c>
      <c r="AN5175">
        <v>-20.12669049999997</v>
      </c>
      <c r="AO5175">
        <v>-44.888671289876577</v>
      </c>
      <c r="AP5175">
        <v>-20.126553000000001</v>
      </c>
      <c r="AQ5175">
        <v>-44.888599999999997</v>
      </c>
      <c r="AR5175">
        <v>17.023861591720589</v>
      </c>
      <c r="AS5175" t="s">
        <v>65</v>
      </c>
      <c r="AT5175">
        <v>1</v>
      </c>
      <c r="AU5175" t="s">
        <v>526</v>
      </c>
      <c r="AV5175" t="s">
        <v>527</v>
      </c>
      <c r="AW5175" t="s">
        <v>60</v>
      </c>
      <c r="AX5175" t="s">
        <v>68</v>
      </c>
      <c r="AY5175" t="s">
        <v>69</v>
      </c>
      <c r="AZ5175" t="b">
        <v>1</v>
      </c>
    </row>
    <row r="5176" spans="1:52" x14ac:dyDescent="0.3">
      <c r="A5176" t="s">
        <v>52</v>
      </c>
      <c r="B5176" t="s">
        <v>53</v>
      </c>
      <c r="C5176" t="s">
        <v>54</v>
      </c>
      <c r="D5176" t="s">
        <v>55</v>
      </c>
      <c r="E5176" t="s">
        <v>2278</v>
      </c>
      <c r="F5176" t="s">
        <v>190</v>
      </c>
      <c r="G5176" t="s">
        <v>528</v>
      </c>
      <c r="H5176" t="s">
        <v>529</v>
      </c>
      <c r="I5176" t="s">
        <v>529</v>
      </c>
      <c r="J5176" t="s">
        <v>60</v>
      </c>
      <c r="K5176" t="s">
        <v>530</v>
      </c>
      <c r="L5176" t="s">
        <v>62</v>
      </c>
      <c r="M5176" t="s">
        <v>530</v>
      </c>
      <c r="N5176" t="s">
        <v>531</v>
      </c>
      <c r="O5176" t="s">
        <v>532</v>
      </c>
      <c r="P5176">
        <v>-20.142457</v>
      </c>
      <c r="Q5176">
        <v>-44.891688000000002</v>
      </c>
      <c r="R5176" s="2" t="str">
        <f>HYPERLINK("https://www.google.com/maps?q=-20.1424570,-44.8916880","Abrir no Google Maps")</f>
        <v>Abrir no Google Maps</v>
      </c>
      <c r="S5176">
        <v>3</v>
      </c>
      <c r="T5176">
        <v>0</v>
      </c>
      <c r="U5176">
        <v>4</v>
      </c>
      <c r="V5176">
        <v>0.99614726027397282</v>
      </c>
      <c r="W5176">
        <v>1</v>
      </c>
      <c r="X5176">
        <v>0.99614726027397282</v>
      </c>
      <c r="Y5176">
        <v>557</v>
      </c>
      <c r="Z5176">
        <v>42.611952255679803</v>
      </c>
      <c r="AA5176">
        <v>198</v>
      </c>
      <c r="AB5176">
        <v>332</v>
      </c>
      <c r="AC5176">
        <v>536</v>
      </c>
      <c r="AD5176">
        <v>28.15</v>
      </c>
      <c r="AE5176">
        <v>542</v>
      </c>
      <c r="AF5176">
        <v>21</v>
      </c>
      <c r="AG5176">
        <v>176</v>
      </c>
      <c r="AH5176">
        <v>129</v>
      </c>
      <c r="AI5176">
        <v>3.87</v>
      </c>
      <c r="AJ5176">
        <v>32.47</v>
      </c>
      <c r="AK5176">
        <v>23.8</v>
      </c>
      <c r="AL5176">
        <v>-20.142523099999948</v>
      </c>
      <c r="AM5176">
        <v>-44.891523817588819</v>
      </c>
      <c r="AN5176">
        <v>-20.142523099999948</v>
      </c>
      <c r="AO5176">
        <v>-44.891523817588819</v>
      </c>
      <c r="AP5176">
        <v>-20.142457</v>
      </c>
      <c r="AQ5176">
        <v>-44.891688000000002</v>
      </c>
      <c r="AR5176">
        <v>18.670129248632971</v>
      </c>
      <c r="AS5176" t="s">
        <v>65</v>
      </c>
      <c r="AT5176">
        <v>1</v>
      </c>
      <c r="AU5176" t="s">
        <v>533</v>
      </c>
      <c r="AV5176" t="s">
        <v>534</v>
      </c>
      <c r="AW5176" t="s">
        <v>60</v>
      </c>
      <c r="AX5176" t="s">
        <v>68</v>
      </c>
      <c r="AY5176" t="s">
        <v>69</v>
      </c>
      <c r="AZ5176" t="b">
        <v>1</v>
      </c>
    </row>
    <row r="5177" spans="1:52" x14ac:dyDescent="0.3">
      <c r="A5177" t="s">
        <v>52</v>
      </c>
      <c r="B5177" t="s">
        <v>53</v>
      </c>
      <c r="C5177" t="s">
        <v>54</v>
      </c>
      <c r="D5177" t="s">
        <v>55</v>
      </c>
      <c r="E5177" t="s">
        <v>2278</v>
      </c>
      <c r="F5177" t="s">
        <v>190</v>
      </c>
      <c r="G5177" t="s">
        <v>535</v>
      </c>
      <c r="H5177" t="s">
        <v>536</v>
      </c>
      <c r="I5177" t="s">
        <v>536</v>
      </c>
      <c r="J5177" t="s">
        <v>60</v>
      </c>
      <c r="K5177" t="s">
        <v>388</v>
      </c>
      <c r="L5177" t="s">
        <v>62</v>
      </c>
      <c r="M5177" t="s">
        <v>388</v>
      </c>
      <c r="N5177" t="s">
        <v>537</v>
      </c>
      <c r="O5177" t="s">
        <v>538</v>
      </c>
      <c r="P5177">
        <v>-20.150061999999998</v>
      </c>
      <c r="Q5177">
        <v>-44.903379000000001</v>
      </c>
      <c r="R5177" s="2" t="str">
        <f>HYPERLINK("https://www.google.com/maps?q=-20.1500620,-44.9033790","Abrir no Google Maps")</f>
        <v>Abrir no Google Maps</v>
      </c>
      <c r="S5177">
        <v>3</v>
      </c>
      <c r="T5177">
        <v>286.20313674219977</v>
      </c>
      <c r="U5177">
        <v>4</v>
      </c>
      <c r="V5177">
        <v>0.93043785310734439</v>
      </c>
      <c r="W5177">
        <v>1</v>
      </c>
      <c r="X5177">
        <v>0.93043785310734439</v>
      </c>
      <c r="Y5177">
        <v>556</v>
      </c>
      <c r="Z5177">
        <v>315.81851898667401</v>
      </c>
      <c r="AA5177">
        <v>198</v>
      </c>
      <c r="AB5177">
        <v>332</v>
      </c>
      <c r="AC5177">
        <v>536</v>
      </c>
      <c r="AD5177">
        <v>28.15</v>
      </c>
      <c r="AE5177">
        <v>542</v>
      </c>
      <c r="AF5177">
        <v>21</v>
      </c>
      <c r="AG5177">
        <v>176</v>
      </c>
      <c r="AH5177">
        <v>129</v>
      </c>
      <c r="AI5177">
        <v>3.87</v>
      </c>
      <c r="AJ5177">
        <v>32.47</v>
      </c>
      <c r="AK5177">
        <v>23.8</v>
      </c>
      <c r="AL5177">
        <v>-20.150084299999971</v>
      </c>
      <c r="AM5177">
        <v>-44.903278407568479</v>
      </c>
      <c r="AN5177">
        <v>-20.150084299999971</v>
      </c>
      <c r="AO5177">
        <v>-44.903278407568479</v>
      </c>
      <c r="AP5177">
        <v>-20.150061999999998</v>
      </c>
      <c r="AQ5177">
        <v>-44.903379000000001</v>
      </c>
      <c r="AR5177">
        <v>10.801687336134639</v>
      </c>
      <c r="AS5177" t="s">
        <v>65</v>
      </c>
      <c r="AT5177">
        <v>1</v>
      </c>
      <c r="AU5177" t="s">
        <v>539</v>
      </c>
      <c r="AV5177" t="s">
        <v>540</v>
      </c>
      <c r="AW5177" t="s">
        <v>60</v>
      </c>
      <c r="AX5177" t="s">
        <v>68</v>
      </c>
      <c r="AY5177" t="s">
        <v>69</v>
      </c>
      <c r="AZ5177" t="b">
        <v>1</v>
      </c>
    </row>
    <row r="5178" spans="1:52" x14ac:dyDescent="0.3">
      <c r="A5178" t="s">
        <v>52</v>
      </c>
      <c r="B5178" t="s">
        <v>53</v>
      </c>
      <c r="C5178" t="s">
        <v>54</v>
      </c>
      <c r="D5178" t="s">
        <v>55</v>
      </c>
      <c r="E5178" t="s">
        <v>2278</v>
      </c>
      <c r="F5178" t="s">
        <v>190</v>
      </c>
      <c r="G5178" t="s">
        <v>398</v>
      </c>
      <c r="H5178" t="s">
        <v>541</v>
      </c>
      <c r="I5178" t="s">
        <v>541</v>
      </c>
      <c r="J5178" t="s">
        <v>60</v>
      </c>
      <c r="K5178" t="s">
        <v>388</v>
      </c>
      <c r="L5178" t="s">
        <v>62</v>
      </c>
      <c r="M5178" t="s">
        <v>388</v>
      </c>
      <c r="N5178" t="s">
        <v>400</v>
      </c>
      <c r="O5178" t="s">
        <v>542</v>
      </c>
      <c r="P5178">
        <v>-20.151335</v>
      </c>
      <c r="Q5178">
        <v>-44.901041999999997</v>
      </c>
      <c r="R5178" s="2" t="str">
        <f>HYPERLINK("https://www.google.com/maps?q=-20.1513350,-44.9010420","Abrir no Google Maps")</f>
        <v>Abrir no Google Maps</v>
      </c>
      <c r="S5178">
        <v>3</v>
      </c>
      <c r="T5178">
        <v>0</v>
      </c>
      <c r="U5178">
        <v>4</v>
      </c>
      <c r="V5178">
        <v>0.92500000000000004</v>
      </c>
      <c r="W5178">
        <v>1</v>
      </c>
      <c r="X5178">
        <v>0.92500000000000004</v>
      </c>
      <c r="Y5178">
        <v>556</v>
      </c>
      <c r="Z5178">
        <v>137.71609036908939</v>
      </c>
      <c r="AA5178">
        <v>198</v>
      </c>
      <c r="AB5178">
        <v>332</v>
      </c>
      <c r="AC5178">
        <v>536</v>
      </c>
      <c r="AD5178">
        <v>28.15</v>
      </c>
      <c r="AE5178">
        <v>542</v>
      </c>
      <c r="AF5178">
        <v>21</v>
      </c>
      <c r="AG5178">
        <v>176</v>
      </c>
      <c r="AH5178">
        <v>129</v>
      </c>
      <c r="AI5178">
        <v>3.87</v>
      </c>
      <c r="AJ5178">
        <v>32.47</v>
      </c>
      <c r="AK5178">
        <v>23.8</v>
      </c>
      <c r="AL5178">
        <v>-20.15125899999995</v>
      </c>
      <c r="AM5178">
        <v>-44.900838557594433</v>
      </c>
      <c r="AN5178">
        <v>-20.15125899999995</v>
      </c>
      <c r="AO5178">
        <v>-44.900838557594433</v>
      </c>
      <c r="AP5178">
        <v>-20.151335</v>
      </c>
      <c r="AQ5178">
        <v>-44.901041999999997</v>
      </c>
      <c r="AR5178">
        <v>22.882363139483491</v>
      </c>
      <c r="AS5178" t="s">
        <v>65</v>
      </c>
      <c r="AT5178">
        <v>1</v>
      </c>
      <c r="AU5178" t="s">
        <v>543</v>
      </c>
      <c r="AV5178" t="s">
        <v>544</v>
      </c>
      <c r="AW5178" t="s">
        <v>60</v>
      </c>
      <c r="AX5178" t="s">
        <v>68</v>
      </c>
      <c r="AY5178" t="s">
        <v>69</v>
      </c>
      <c r="AZ5178" t="b">
        <v>1</v>
      </c>
    </row>
    <row r="5179" spans="1:52" x14ac:dyDescent="0.3">
      <c r="A5179" t="s">
        <v>52</v>
      </c>
      <c r="B5179" t="s">
        <v>53</v>
      </c>
      <c r="C5179" t="s">
        <v>54</v>
      </c>
      <c r="D5179" t="s">
        <v>55</v>
      </c>
      <c r="E5179" t="s">
        <v>2278</v>
      </c>
      <c r="F5179" t="s">
        <v>190</v>
      </c>
      <c r="G5179" t="s">
        <v>897</v>
      </c>
      <c r="H5179" t="s">
        <v>898</v>
      </c>
      <c r="I5179" t="s">
        <v>898</v>
      </c>
      <c r="J5179" t="s">
        <v>60</v>
      </c>
      <c r="K5179" t="s">
        <v>892</v>
      </c>
      <c r="L5179" t="s">
        <v>62</v>
      </c>
      <c r="M5179" t="s">
        <v>892</v>
      </c>
      <c r="N5179" t="s">
        <v>899</v>
      </c>
      <c r="O5179" t="s">
        <v>900</v>
      </c>
      <c r="P5179">
        <v>-20.154885</v>
      </c>
      <c r="Q5179">
        <v>-44.899890999999997</v>
      </c>
      <c r="R5179" s="2" t="str">
        <f>HYPERLINK("https://www.google.com/maps?q=-20.1548850,-44.8998910","Abrir no Google Maps")</f>
        <v>Abrir no Google Maps</v>
      </c>
      <c r="S5179">
        <v>3</v>
      </c>
      <c r="T5179">
        <v>314.66339661014308</v>
      </c>
      <c r="U5179">
        <v>4</v>
      </c>
      <c r="V5179">
        <v>0.88985655737704916</v>
      </c>
      <c r="W5179">
        <v>1</v>
      </c>
      <c r="X5179">
        <v>0.88985655737704916</v>
      </c>
      <c r="Y5179">
        <v>548</v>
      </c>
      <c r="Z5179">
        <v>319.02252584834253</v>
      </c>
      <c r="AA5179">
        <v>198</v>
      </c>
      <c r="AB5179">
        <v>332</v>
      </c>
      <c r="AC5179">
        <v>536</v>
      </c>
      <c r="AD5179">
        <v>28.15</v>
      </c>
      <c r="AE5179">
        <v>542</v>
      </c>
      <c r="AF5179">
        <v>21</v>
      </c>
      <c r="AG5179">
        <v>176</v>
      </c>
      <c r="AH5179">
        <v>129</v>
      </c>
      <c r="AI5179">
        <v>3.87</v>
      </c>
      <c r="AJ5179">
        <v>32.47</v>
      </c>
      <c r="AK5179">
        <v>23.8</v>
      </c>
      <c r="AL5179">
        <v>-20.154906649999951</v>
      </c>
      <c r="AM5179">
        <v>-44.899894072543653</v>
      </c>
      <c r="AN5179">
        <v>-20.154906649999951</v>
      </c>
      <c r="AO5179">
        <v>-44.899894072543653</v>
      </c>
      <c r="AP5179">
        <v>-20.154885</v>
      </c>
      <c r="AQ5179">
        <v>-44.899890999999997</v>
      </c>
      <c r="AR5179">
        <v>2.431373123904943</v>
      </c>
      <c r="AS5179" t="s">
        <v>65</v>
      </c>
      <c r="AT5179">
        <v>1</v>
      </c>
      <c r="AU5179" t="s">
        <v>901</v>
      </c>
      <c r="AV5179" t="s">
        <v>902</v>
      </c>
      <c r="AW5179" t="s">
        <v>60</v>
      </c>
      <c r="AX5179" t="s">
        <v>68</v>
      </c>
      <c r="AY5179" t="s">
        <v>69</v>
      </c>
      <c r="AZ5179" t="b">
        <v>1</v>
      </c>
    </row>
    <row r="5180" spans="1:52" x14ac:dyDescent="0.3">
      <c r="A5180" t="s">
        <v>52</v>
      </c>
      <c r="B5180" t="s">
        <v>53</v>
      </c>
      <c r="C5180" t="s">
        <v>54</v>
      </c>
      <c r="D5180" t="s">
        <v>55</v>
      </c>
      <c r="E5180" t="s">
        <v>2278</v>
      </c>
      <c r="F5180" t="s">
        <v>190</v>
      </c>
      <c r="G5180" t="s">
        <v>545</v>
      </c>
      <c r="H5180" t="s">
        <v>546</v>
      </c>
      <c r="I5180" t="s">
        <v>546</v>
      </c>
      <c r="J5180" t="s">
        <v>60</v>
      </c>
      <c r="K5180" t="s">
        <v>388</v>
      </c>
      <c r="L5180" t="s">
        <v>62</v>
      </c>
      <c r="M5180" t="s">
        <v>388</v>
      </c>
      <c r="N5180" t="s">
        <v>547</v>
      </c>
      <c r="O5180" t="s">
        <v>548</v>
      </c>
      <c r="P5180">
        <v>-20.155839</v>
      </c>
      <c r="Q5180">
        <v>-44.905655000000003</v>
      </c>
      <c r="R5180" s="2" t="str">
        <f>HYPERLINK("https://www.google.com/maps?q=-20.1558390,-44.9056550","Abrir no Google Maps")</f>
        <v>Abrir no Google Maps</v>
      </c>
      <c r="S5180">
        <v>3</v>
      </c>
      <c r="T5180">
        <v>309.7643089121122</v>
      </c>
      <c r="U5180">
        <v>4</v>
      </c>
      <c r="V5180">
        <v>0.91216856060606055</v>
      </c>
      <c r="W5180">
        <v>1</v>
      </c>
      <c r="X5180">
        <v>0.91216856060606055</v>
      </c>
      <c r="Y5180">
        <v>548</v>
      </c>
      <c r="Z5180">
        <v>284.24281731793161</v>
      </c>
      <c r="AA5180">
        <v>198</v>
      </c>
      <c r="AB5180">
        <v>332</v>
      </c>
      <c r="AC5180">
        <v>536</v>
      </c>
      <c r="AD5180">
        <v>28.15</v>
      </c>
      <c r="AE5180">
        <v>542</v>
      </c>
      <c r="AF5180">
        <v>21</v>
      </c>
      <c r="AG5180">
        <v>176</v>
      </c>
      <c r="AH5180">
        <v>129</v>
      </c>
      <c r="AI5180">
        <v>3.87</v>
      </c>
      <c r="AJ5180">
        <v>32.47</v>
      </c>
      <c r="AK5180">
        <v>23.8</v>
      </c>
      <c r="AL5180">
        <v>-20.155913549999951</v>
      </c>
      <c r="AM5180">
        <v>-44.905554508392683</v>
      </c>
      <c r="AN5180">
        <v>-20.155913549999951</v>
      </c>
      <c r="AO5180">
        <v>-44.905554508392669</v>
      </c>
      <c r="AP5180">
        <v>-20.155839</v>
      </c>
      <c r="AQ5180">
        <v>-44.905655000000003</v>
      </c>
      <c r="AR5180">
        <v>13.384922093797449</v>
      </c>
      <c r="AS5180" t="s">
        <v>65</v>
      </c>
      <c r="AT5180">
        <v>1</v>
      </c>
      <c r="AU5180" t="s">
        <v>549</v>
      </c>
      <c r="AV5180" t="s">
        <v>550</v>
      </c>
      <c r="AW5180" t="s">
        <v>60</v>
      </c>
      <c r="AX5180" t="s">
        <v>68</v>
      </c>
      <c r="AY5180" t="s">
        <v>69</v>
      </c>
      <c r="AZ5180" t="b">
        <v>1</v>
      </c>
    </row>
    <row r="5181" spans="1:52" x14ac:dyDescent="0.3">
      <c r="A5181" t="s">
        <v>52</v>
      </c>
      <c r="B5181" t="s">
        <v>53</v>
      </c>
      <c r="C5181" t="s">
        <v>54</v>
      </c>
      <c r="D5181" t="s">
        <v>55</v>
      </c>
      <c r="E5181" t="s">
        <v>2278</v>
      </c>
      <c r="F5181" t="s">
        <v>190</v>
      </c>
      <c r="G5181" t="s">
        <v>551</v>
      </c>
      <c r="H5181" t="s">
        <v>552</v>
      </c>
      <c r="I5181" t="s">
        <v>552</v>
      </c>
      <c r="J5181" t="s">
        <v>60</v>
      </c>
      <c r="K5181" t="s">
        <v>388</v>
      </c>
      <c r="L5181" t="s">
        <v>62</v>
      </c>
      <c r="M5181" t="s">
        <v>388</v>
      </c>
      <c r="N5181" t="s">
        <v>553</v>
      </c>
      <c r="O5181" t="s">
        <v>315</v>
      </c>
      <c r="P5181">
        <v>-20.153086999999999</v>
      </c>
      <c r="Q5181">
        <v>-44.905451999999997</v>
      </c>
      <c r="R5181" s="2" t="str">
        <f>HYPERLINK("https://www.google.com/maps?q=-20.1530870,-44.9054520","Abrir no Google Maps")</f>
        <v>Abrir no Google Maps</v>
      </c>
      <c r="S5181">
        <v>3</v>
      </c>
      <c r="T5181">
        <v>313.69387682409018</v>
      </c>
      <c r="U5181">
        <v>4</v>
      </c>
      <c r="V5181">
        <v>0.90071770334928225</v>
      </c>
      <c r="W5181">
        <v>1</v>
      </c>
      <c r="X5181">
        <v>0.90071770334928225</v>
      </c>
      <c r="Y5181">
        <v>548</v>
      </c>
      <c r="Z5181">
        <v>319.51605309906859</v>
      </c>
      <c r="AA5181">
        <v>198</v>
      </c>
      <c r="AB5181">
        <v>332</v>
      </c>
      <c r="AC5181">
        <v>536</v>
      </c>
      <c r="AD5181">
        <v>28.15</v>
      </c>
      <c r="AE5181">
        <v>542</v>
      </c>
      <c r="AF5181">
        <v>21</v>
      </c>
      <c r="AG5181">
        <v>176</v>
      </c>
      <c r="AH5181">
        <v>129</v>
      </c>
      <c r="AI5181">
        <v>3.87</v>
      </c>
      <c r="AJ5181">
        <v>32.47</v>
      </c>
      <c r="AK5181">
        <v>23.8</v>
      </c>
      <c r="AL5181">
        <v>-20.153043049999951</v>
      </c>
      <c r="AM5181">
        <v>-44.905348275899513</v>
      </c>
      <c r="AN5181">
        <v>-20.153043049999951</v>
      </c>
      <c r="AO5181">
        <v>-44.905348275899513</v>
      </c>
      <c r="AP5181">
        <v>-20.153086999999999</v>
      </c>
      <c r="AQ5181">
        <v>-44.905451999999997</v>
      </c>
      <c r="AR5181">
        <v>11.892619975648341</v>
      </c>
      <c r="AS5181" t="s">
        <v>65</v>
      </c>
      <c r="AT5181">
        <v>1</v>
      </c>
      <c r="AU5181" t="s">
        <v>554</v>
      </c>
      <c r="AV5181" t="s">
        <v>555</v>
      </c>
      <c r="AW5181" t="s">
        <v>60</v>
      </c>
      <c r="AX5181" t="s">
        <v>68</v>
      </c>
      <c r="AY5181" t="s">
        <v>69</v>
      </c>
      <c r="AZ5181" t="b">
        <v>1</v>
      </c>
    </row>
    <row r="5182" spans="1:52" x14ac:dyDescent="0.3">
      <c r="A5182" t="s">
        <v>52</v>
      </c>
      <c r="B5182" t="s">
        <v>53</v>
      </c>
      <c r="C5182" t="s">
        <v>54</v>
      </c>
      <c r="D5182" t="s">
        <v>55</v>
      </c>
      <c r="E5182" t="s">
        <v>2278</v>
      </c>
      <c r="F5182" t="s">
        <v>190</v>
      </c>
      <c r="G5182" t="s">
        <v>556</v>
      </c>
      <c r="H5182" t="s">
        <v>557</v>
      </c>
      <c r="I5182" t="s">
        <v>557</v>
      </c>
      <c r="J5182" t="s">
        <v>60</v>
      </c>
      <c r="K5182" t="s">
        <v>388</v>
      </c>
      <c r="L5182" t="s">
        <v>62</v>
      </c>
      <c r="M5182" t="s">
        <v>388</v>
      </c>
      <c r="N5182" t="s">
        <v>558</v>
      </c>
      <c r="O5182" t="s">
        <v>559</v>
      </c>
      <c r="P5182">
        <v>-20.152670000000001</v>
      </c>
      <c r="Q5182">
        <v>-44.902557999999999</v>
      </c>
      <c r="R5182" s="2" t="str">
        <f>HYPERLINK("https://www.google.com/maps?q=-20.1526700,-44.9025580","Abrir no Google Maps")</f>
        <v>Abrir no Google Maps</v>
      </c>
      <c r="S5182">
        <v>3</v>
      </c>
      <c r="T5182">
        <v>228.56195217678911</v>
      </c>
      <c r="U5182">
        <v>4</v>
      </c>
      <c r="V5182">
        <v>0.91437728937728924</v>
      </c>
      <c r="W5182">
        <v>1</v>
      </c>
      <c r="X5182">
        <v>0.91437728937728924</v>
      </c>
      <c r="Y5182">
        <v>548</v>
      </c>
      <c r="Z5182">
        <v>250.63133895224919</v>
      </c>
      <c r="AA5182">
        <v>198</v>
      </c>
      <c r="AB5182">
        <v>332</v>
      </c>
      <c r="AC5182">
        <v>536</v>
      </c>
      <c r="AD5182">
        <v>28.15</v>
      </c>
      <c r="AE5182">
        <v>542</v>
      </c>
      <c r="AF5182">
        <v>21</v>
      </c>
      <c r="AG5182">
        <v>176</v>
      </c>
      <c r="AH5182">
        <v>129</v>
      </c>
      <c r="AI5182">
        <v>3.87</v>
      </c>
      <c r="AJ5182">
        <v>32.47</v>
      </c>
      <c r="AK5182">
        <v>23.8</v>
      </c>
      <c r="AL5182">
        <v>-20.152629799999939</v>
      </c>
      <c r="AM5182">
        <v>-44.902604744705201</v>
      </c>
      <c r="AN5182">
        <v>-20.152629799999939</v>
      </c>
      <c r="AO5182">
        <v>-44.902604744705201</v>
      </c>
      <c r="AP5182">
        <v>-20.152670000000001</v>
      </c>
      <c r="AQ5182">
        <v>-44.902557999999999</v>
      </c>
      <c r="AR5182">
        <v>6.6249428037111509</v>
      </c>
      <c r="AS5182" t="s">
        <v>65</v>
      </c>
      <c r="AT5182">
        <v>1</v>
      </c>
      <c r="AU5182" t="s">
        <v>560</v>
      </c>
      <c r="AV5182" t="s">
        <v>561</v>
      </c>
      <c r="AW5182" t="s">
        <v>60</v>
      </c>
      <c r="AX5182" t="s">
        <v>68</v>
      </c>
      <c r="AY5182" t="s">
        <v>69</v>
      </c>
      <c r="AZ5182" t="b">
        <v>1</v>
      </c>
    </row>
    <row r="5183" spans="1:52" x14ac:dyDescent="0.3">
      <c r="A5183" t="s">
        <v>52</v>
      </c>
      <c r="B5183" t="s">
        <v>53</v>
      </c>
      <c r="C5183" t="s">
        <v>54</v>
      </c>
      <c r="D5183" t="s">
        <v>55</v>
      </c>
      <c r="E5183" t="s">
        <v>2278</v>
      </c>
      <c r="F5183" t="s">
        <v>190</v>
      </c>
      <c r="G5183" t="s">
        <v>562</v>
      </c>
      <c r="H5183" t="s">
        <v>563</v>
      </c>
      <c r="I5183" t="s">
        <v>563</v>
      </c>
      <c r="J5183" t="s">
        <v>60</v>
      </c>
      <c r="K5183" t="s">
        <v>388</v>
      </c>
      <c r="L5183" t="s">
        <v>62</v>
      </c>
      <c r="M5183" t="s">
        <v>388</v>
      </c>
      <c r="N5183" t="s">
        <v>564</v>
      </c>
      <c r="O5183" t="s">
        <v>565</v>
      </c>
      <c r="P5183">
        <v>-20.154432</v>
      </c>
      <c r="Q5183">
        <v>-44.902977999999997</v>
      </c>
      <c r="R5183" s="2" t="str">
        <f>HYPERLINK("https://www.google.com/maps?q=-20.1544320,-44.9029780","Abrir no Google Maps")</f>
        <v>Abrir no Google Maps</v>
      </c>
      <c r="S5183">
        <v>3</v>
      </c>
      <c r="T5183">
        <v>0</v>
      </c>
      <c r="U5183">
        <v>4</v>
      </c>
      <c r="V5183">
        <v>0.93372844827586199</v>
      </c>
      <c r="W5183">
        <v>1</v>
      </c>
      <c r="X5183">
        <v>0.93372844827586199</v>
      </c>
      <c r="Y5183">
        <v>548</v>
      </c>
      <c r="Z5183">
        <v>29.424211042533759</v>
      </c>
      <c r="AA5183">
        <v>198</v>
      </c>
      <c r="AB5183">
        <v>332</v>
      </c>
      <c r="AC5183">
        <v>536</v>
      </c>
      <c r="AD5183">
        <v>28.15</v>
      </c>
      <c r="AE5183">
        <v>542</v>
      </c>
      <c r="AF5183">
        <v>21</v>
      </c>
      <c r="AG5183">
        <v>176</v>
      </c>
      <c r="AH5183">
        <v>129</v>
      </c>
      <c r="AI5183">
        <v>3.87</v>
      </c>
      <c r="AJ5183">
        <v>32.47</v>
      </c>
      <c r="AK5183">
        <v>23.8</v>
      </c>
      <c r="AL5183">
        <v>-20.15467689999997</v>
      </c>
      <c r="AM5183">
        <v>-44.902895281771222</v>
      </c>
      <c r="AN5183">
        <v>-20.15467689999997</v>
      </c>
      <c r="AO5183">
        <v>-44.902895281771222</v>
      </c>
      <c r="AP5183">
        <v>-20.154432</v>
      </c>
      <c r="AQ5183">
        <v>-44.902977999999997</v>
      </c>
      <c r="AR5183">
        <v>28.5999270636025</v>
      </c>
      <c r="AS5183" t="s">
        <v>65</v>
      </c>
      <c r="AT5183">
        <v>1</v>
      </c>
      <c r="AU5183" t="s">
        <v>566</v>
      </c>
      <c r="AV5183" t="s">
        <v>567</v>
      </c>
      <c r="AW5183" t="s">
        <v>60</v>
      </c>
      <c r="AX5183" t="s">
        <v>68</v>
      </c>
      <c r="AY5183" t="s">
        <v>69</v>
      </c>
      <c r="AZ5183" t="b">
        <v>1</v>
      </c>
    </row>
    <row r="5184" spans="1:52" x14ac:dyDescent="0.3">
      <c r="A5184" t="s">
        <v>52</v>
      </c>
      <c r="B5184" t="s">
        <v>53</v>
      </c>
      <c r="C5184" t="s">
        <v>54</v>
      </c>
      <c r="D5184" t="s">
        <v>55</v>
      </c>
      <c r="E5184" t="s">
        <v>2278</v>
      </c>
      <c r="F5184" t="s">
        <v>190</v>
      </c>
      <c r="G5184" t="s">
        <v>573</v>
      </c>
      <c r="H5184" t="s">
        <v>574</v>
      </c>
      <c r="I5184" t="s">
        <v>574</v>
      </c>
      <c r="J5184" t="s">
        <v>60</v>
      </c>
      <c r="K5184" t="s">
        <v>207</v>
      </c>
      <c r="L5184" t="s">
        <v>62</v>
      </c>
      <c r="M5184" t="s">
        <v>207</v>
      </c>
      <c r="N5184" t="s">
        <v>575</v>
      </c>
      <c r="O5184" t="s">
        <v>576</v>
      </c>
      <c r="P5184">
        <v>-20.121252999999999</v>
      </c>
      <c r="Q5184">
        <v>-44.887988999999997</v>
      </c>
      <c r="R5184" s="2" t="str">
        <f>HYPERLINK("https://www.google.com/maps?q=-20.1212530,-44.8879890","Abrir no Google Maps")</f>
        <v>Abrir no Google Maps</v>
      </c>
      <c r="S5184">
        <v>3</v>
      </c>
      <c r="T5184">
        <v>310.5511884274041</v>
      </c>
      <c r="U5184">
        <v>4</v>
      </c>
      <c r="V5184">
        <v>0.93928571428571439</v>
      </c>
      <c r="W5184">
        <v>1</v>
      </c>
      <c r="X5184">
        <v>0.93928571428571439</v>
      </c>
      <c r="Y5184">
        <v>536</v>
      </c>
      <c r="Z5184">
        <v>292.13362593122162</v>
      </c>
      <c r="AA5184">
        <v>198</v>
      </c>
      <c r="AB5184">
        <v>332</v>
      </c>
      <c r="AC5184">
        <v>536</v>
      </c>
      <c r="AD5184">
        <v>28.15</v>
      </c>
      <c r="AE5184">
        <v>542</v>
      </c>
      <c r="AF5184">
        <v>21</v>
      </c>
      <c r="AG5184">
        <v>176</v>
      </c>
      <c r="AH5184">
        <v>129</v>
      </c>
      <c r="AI5184">
        <v>3.87</v>
      </c>
      <c r="AJ5184">
        <v>32.47</v>
      </c>
      <c r="AK5184">
        <v>23.8</v>
      </c>
      <c r="AL5184">
        <v>-20.121103699999939</v>
      </c>
      <c r="AM5184">
        <v>-44.888116617806723</v>
      </c>
      <c r="AN5184">
        <v>-20.121103699999939</v>
      </c>
      <c r="AO5184">
        <v>-44.888116617806723</v>
      </c>
      <c r="AP5184">
        <v>-20.121252999999999</v>
      </c>
      <c r="AQ5184">
        <v>-44.887988999999997</v>
      </c>
      <c r="AR5184">
        <v>21.311159673382519</v>
      </c>
      <c r="AS5184" t="s">
        <v>65</v>
      </c>
      <c r="AT5184">
        <v>1</v>
      </c>
      <c r="AU5184" t="s">
        <v>577</v>
      </c>
      <c r="AV5184" t="s">
        <v>578</v>
      </c>
      <c r="AW5184" t="s">
        <v>60</v>
      </c>
      <c r="AX5184" t="s">
        <v>68</v>
      </c>
      <c r="AY5184" t="s">
        <v>69</v>
      </c>
      <c r="AZ5184" t="b">
        <v>1</v>
      </c>
    </row>
    <row r="5185" spans="1:52" x14ac:dyDescent="0.3">
      <c r="A5185" t="s">
        <v>52</v>
      </c>
      <c r="B5185" t="s">
        <v>53</v>
      </c>
      <c r="C5185" t="s">
        <v>54</v>
      </c>
      <c r="D5185" t="s">
        <v>55</v>
      </c>
      <c r="E5185" t="s">
        <v>2278</v>
      </c>
      <c r="F5185" t="s">
        <v>190</v>
      </c>
      <c r="G5185" t="s">
        <v>579</v>
      </c>
      <c r="H5185" t="s">
        <v>580</v>
      </c>
      <c r="I5185" t="s">
        <v>580</v>
      </c>
      <c r="J5185" t="s">
        <v>60</v>
      </c>
      <c r="K5185" t="s">
        <v>117</v>
      </c>
      <c r="L5185" t="s">
        <v>62</v>
      </c>
      <c r="M5185" t="s">
        <v>117</v>
      </c>
      <c r="N5185" t="s">
        <v>581</v>
      </c>
      <c r="O5185" t="s">
        <v>338</v>
      </c>
      <c r="P5185">
        <v>-20.119333000000001</v>
      </c>
      <c r="Q5185">
        <v>-44.892454999999998</v>
      </c>
      <c r="R5185" s="2" t="str">
        <f>HYPERLINK("https://www.google.com/maps?q=-20.1193330,-44.8924550","Abrir no Google Maps")</f>
        <v>Abrir no Google Maps</v>
      </c>
      <c r="S5185">
        <v>3</v>
      </c>
      <c r="T5185">
        <v>545.06582215852734</v>
      </c>
      <c r="U5185">
        <v>4</v>
      </c>
      <c r="V5185">
        <v>0.89575812274368227</v>
      </c>
      <c r="W5185">
        <v>1</v>
      </c>
      <c r="X5185">
        <v>0.89575812274368227</v>
      </c>
      <c r="Y5185">
        <v>536</v>
      </c>
      <c r="Z5185">
        <v>583.72689769042404</v>
      </c>
      <c r="AA5185">
        <v>198</v>
      </c>
      <c r="AB5185">
        <v>332</v>
      </c>
      <c r="AC5185">
        <v>536</v>
      </c>
      <c r="AD5185">
        <v>28.15</v>
      </c>
      <c r="AE5185">
        <v>542</v>
      </c>
      <c r="AF5185">
        <v>21</v>
      </c>
      <c r="AG5185">
        <v>176</v>
      </c>
      <c r="AH5185">
        <v>129</v>
      </c>
      <c r="AI5185">
        <v>3.87</v>
      </c>
      <c r="AJ5185">
        <v>32.47</v>
      </c>
      <c r="AK5185">
        <v>23.8</v>
      </c>
      <c r="AL5185">
        <v>-20.11966729999995</v>
      </c>
      <c r="AM5185">
        <v>-44.892529474102908</v>
      </c>
      <c r="AN5185">
        <v>-20.119667299999939</v>
      </c>
      <c r="AO5185">
        <v>-44.892529474102908</v>
      </c>
      <c r="AP5185">
        <v>-20.119333000000001</v>
      </c>
      <c r="AQ5185">
        <v>-44.892454999999998</v>
      </c>
      <c r="AR5185">
        <v>38.019750592693072</v>
      </c>
      <c r="AS5185" t="s">
        <v>65</v>
      </c>
      <c r="AT5185">
        <v>1</v>
      </c>
      <c r="AU5185" t="s">
        <v>582</v>
      </c>
      <c r="AV5185" t="s">
        <v>583</v>
      </c>
      <c r="AW5185" t="s">
        <v>60</v>
      </c>
      <c r="AX5185" t="s">
        <v>68</v>
      </c>
      <c r="AY5185" t="s">
        <v>69</v>
      </c>
      <c r="AZ5185" t="b">
        <v>1</v>
      </c>
    </row>
    <row r="5186" spans="1:52" x14ac:dyDescent="0.3">
      <c r="A5186" t="s">
        <v>52</v>
      </c>
      <c r="B5186" t="s">
        <v>53</v>
      </c>
      <c r="C5186" t="s">
        <v>54</v>
      </c>
      <c r="D5186" t="s">
        <v>55</v>
      </c>
      <c r="E5186" t="s">
        <v>2278</v>
      </c>
      <c r="F5186" t="s">
        <v>190</v>
      </c>
      <c r="G5186" t="s">
        <v>910</v>
      </c>
      <c r="H5186" t="s">
        <v>911</v>
      </c>
      <c r="I5186" t="s">
        <v>911</v>
      </c>
      <c r="J5186" t="s">
        <v>60</v>
      </c>
      <c r="K5186" t="s">
        <v>207</v>
      </c>
      <c r="L5186" t="s">
        <v>62</v>
      </c>
      <c r="M5186" t="s">
        <v>207</v>
      </c>
      <c r="N5186" t="s">
        <v>912</v>
      </c>
      <c r="O5186" t="s">
        <v>548</v>
      </c>
      <c r="P5186">
        <v>-20.116987000000002</v>
      </c>
      <c r="Q5186">
        <v>-44.885240000000003</v>
      </c>
      <c r="R5186" s="2" t="str">
        <f>HYPERLINK("https://www.google.com/maps?q=-20.1169870,-44.8852400","Abrir no Google Maps")</f>
        <v>Abrir no Google Maps</v>
      </c>
      <c r="S5186">
        <v>3</v>
      </c>
      <c r="T5186">
        <v>283.94804862214067</v>
      </c>
      <c r="U5186">
        <v>4</v>
      </c>
      <c r="V5186">
        <v>0.89460784313725494</v>
      </c>
      <c r="W5186">
        <v>1</v>
      </c>
      <c r="X5186">
        <v>0.89460784313725494</v>
      </c>
      <c r="Y5186">
        <v>536</v>
      </c>
      <c r="Z5186">
        <v>297.39410031170689</v>
      </c>
      <c r="AA5186">
        <v>198</v>
      </c>
      <c r="AB5186">
        <v>332</v>
      </c>
      <c r="AC5186">
        <v>536</v>
      </c>
      <c r="AD5186">
        <v>28.15</v>
      </c>
      <c r="AE5186">
        <v>542</v>
      </c>
      <c r="AF5186">
        <v>21</v>
      </c>
      <c r="AG5186">
        <v>176</v>
      </c>
      <c r="AH5186">
        <v>129</v>
      </c>
      <c r="AI5186">
        <v>3.87</v>
      </c>
      <c r="AJ5186">
        <v>32.47</v>
      </c>
      <c r="AK5186">
        <v>23.8</v>
      </c>
      <c r="AL5186">
        <v>-20.116999599999961</v>
      </c>
      <c r="AM5186">
        <v>-44.885197873315192</v>
      </c>
      <c r="AN5186">
        <v>-20.116999599999961</v>
      </c>
      <c r="AO5186">
        <v>-44.885197873315192</v>
      </c>
      <c r="AP5186">
        <v>-20.116987000000002</v>
      </c>
      <c r="AQ5186">
        <v>-44.885240000000003</v>
      </c>
      <c r="AR5186">
        <v>4.6214387870334246</v>
      </c>
      <c r="AS5186" t="s">
        <v>65</v>
      </c>
      <c r="AT5186">
        <v>1</v>
      </c>
      <c r="AU5186" t="s">
        <v>913</v>
      </c>
      <c r="AV5186" t="s">
        <v>914</v>
      </c>
      <c r="AW5186" t="s">
        <v>60</v>
      </c>
      <c r="AX5186" t="s">
        <v>68</v>
      </c>
      <c r="AY5186" t="s">
        <v>69</v>
      </c>
      <c r="AZ5186" t="b">
        <v>1</v>
      </c>
    </row>
    <row r="5187" spans="1:52" x14ac:dyDescent="0.3">
      <c r="A5187" t="s">
        <v>52</v>
      </c>
      <c r="B5187" t="s">
        <v>53</v>
      </c>
      <c r="C5187" t="s">
        <v>54</v>
      </c>
      <c r="D5187" t="s">
        <v>55</v>
      </c>
      <c r="E5187" t="s">
        <v>2278</v>
      </c>
      <c r="F5187" t="s">
        <v>190</v>
      </c>
      <c r="G5187" t="s">
        <v>584</v>
      </c>
      <c r="H5187" t="s">
        <v>585</v>
      </c>
      <c r="I5187" t="s">
        <v>585</v>
      </c>
      <c r="J5187" t="s">
        <v>60</v>
      </c>
      <c r="K5187" t="s">
        <v>207</v>
      </c>
      <c r="L5187" t="s">
        <v>62</v>
      </c>
      <c r="M5187" t="s">
        <v>207</v>
      </c>
      <c r="N5187" t="s">
        <v>586</v>
      </c>
      <c r="O5187" t="s">
        <v>587</v>
      </c>
      <c r="P5187">
        <v>-20.122596999999999</v>
      </c>
      <c r="Q5187">
        <v>-44.889994999999999</v>
      </c>
      <c r="R5187" s="2" t="str">
        <f>HYPERLINK("https://www.google.com/maps?q=-20.1225970,-44.8899950","Abrir no Google Maps")</f>
        <v>Abrir no Google Maps</v>
      </c>
      <c r="S5187">
        <v>3</v>
      </c>
      <c r="T5187">
        <v>548.23336486960989</v>
      </c>
      <c r="U5187">
        <v>4</v>
      </c>
      <c r="V5187">
        <v>0.90928659286592883</v>
      </c>
      <c r="W5187">
        <v>1</v>
      </c>
      <c r="X5187">
        <v>0.90928659286592883</v>
      </c>
      <c r="Y5187">
        <v>536</v>
      </c>
      <c r="Z5187">
        <v>547.28307523929982</v>
      </c>
      <c r="AA5187">
        <v>198</v>
      </c>
      <c r="AB5187">
        <v>332</v>
      </c>
      <c r="AC5187">
        <v>536</v>
      </c>
      <c r="AD5187">
        <v>28.15</v>
      </c>
      <c r="AE5187">
        <v>542</v>
      </c>
      <c r="AF5187">
        <v>21</v>
      </c>
      <c r="AG5187">
        <v>176</v>
      </c>
      <c r="AH5187">
        <v>129</v>
      </c>
      <c r="AI5187">
        <v>3.87</v>
      </c>
      <c r="AJ5187">
        <v>32.47</v>
      </c>
      <c r="AK5187">
        <v>23.8</v>
      </c>
      <c r="AL5187">
        <v>-20.122693899999941</v>
      </c>
      <c r="AM5187">
        <v>-44.890039706276887</v>
      </c>
      <c r="AN5187">
        <v>-20.122693899999941</v>
      </c>
      <c r="AO5187">
        <v>-44.890039706276887</v>
      </c>
      <c r="AP5187">
        <v>-20.122596999999999</v>
      </c>
      <c r="AQ5187">
        <v>-44.889994999999999</v>
      </c>
      <c r="AR5187">
        <v>11.75557400261394</v>
      </c>
      <c r="AS5187" t="s">
        <v>65</v>
      </c>
      <c r="AT5187">
        <v>1</v>
      </c>
      <c r="AU5187" t="s">
        <v>588</v>
      </c>
      <c r="AV5187" t="s">
        <v>589</v>
      </c>
      <c r="AW5187" t="s">
        <v>60</v>
      </c>
      <c r="AX5187" t="s">
        <v>68</v>
      </c>
      <c r="AY5187" t="s">
        <v>69</v>
      </c>
      <c r="AZ5187" t="b">
        <v>1</v>
      </c>
    </row>
    <row r="5188" spans="1:52" x14ac:dyDescent="0.3">
      <c r="A5188" t="s">
        <v>52</v>
      </c>
      <c r="B5188" t="s">
        <v>53</v>
      </c>
      <c r="C5188" t="s">
        <v>54</v>
      </c>
      <c r="D5188" t="s">
        <v>55</v>
      </c>
      <c r="E5188" t="s">
        <v>2278</v>
      </c>
      <c r="F5188" t="s">
        <v>190</v>
      </c>
      <c r="G5188" t="s">
        <v>590</v>
      </c>
      <c r="H5188" t="s">
        <v>591</v>
      </c>
      <c r="I5188" t="s">
        <v>591</v>
      </c>
      <c r="J5188" t="s">
        <v>60</v>
      </c>
      <c r="K5188" t="s">
        <v>207</v>
      </c>
      <c r="L5188" t="s">
        <v>62</v>
      </c>
      <c r="M5188" t="s">
        <v>207</v>
      </c>
      <c r="N5188" t="s">
        <v>592</v>
      </c>
      <c r="O5188" t="s">
        <v>565</v>
      </c>
      <c r="P5188">
        <v>-20.118652000000001</v>
      </c>
      <c r="Q5188">
        <v>-44.890574999999998</v>
      </c>
      <c r="R5188" s="2" t="str">
        <f>HYPERLINK("https://www.google.com/maps?q=-20.1186520,-44.8905750","Abrir no Google Maps")</f>
        <v>Abrir no Google Maps</v>
      </c>
      <c r="S5188">
        <v>3</v>
      </c>
      <c r="T5188">
        <v>305.97870753615422</v>
      </c>
      <c r="U5188">
        <v>4</v>
      </c>
      <c r="V5188">
        <v>0.90775109170305679</v>
      </c>
      <c r="W5188">
        <v>1</v>
      </c>
      <c r="X5188">
        <v>0.90775109170305679</v>
      </c>
      <c r="Y5188">
        <v>536</v>
      </c>
      <c r="Z5188">
        <v>368.07356795447242</v>
      </c>
      <c r="AA5188">
        <v>198</v>
      </c>
      <c r="AB5188">
        <v>332</v>
      </c>
      <c r="AC5188">
        <v>536</v>
      </c>
      <c r="AD5188">
        <v>28.15</v>
      </c>
      <c r="AE5188">
        <v>542</v>
      </c>
      <c r="AF5188">
        <v>21</v>
      </c>
      <c r="AG5188">
        <v>176</v>
      </c>
      <c r="AH5188">
        <v>129</v>
      </c>
      <c r="AI5188">
        <v>3.87</v>
      </c>
      <c r="AJ5188">
        <v>32.47</v>
      </c>
      <c r="AK5188">
        <v>23.8</v>
      </c>
      <c r="AL5188">
        <v>-20.118589699999941</v>
      </c>
      <c r="AM5188">
        <v>-44.890419442196389</v>
      </c>
      <c r="AN5188">
        <v>-20.118589699999941</v>
      </c>
      <c r="AO5188">
        <v>-44.890419442196389</v>
      </c>
      <c r="AP5188">
        <v>-20.118652000000001</v>
      </c>
      <c r="AQ5188">
        <v>-44.890574999999998</v>
      </c>
      <c r="AR5188">
        <v>17.67731866347437</v>
      </c>
      <c r="AS5188" t="s">
        <v>65</v>
      </c>
      <c r="AT5188">
        <v>1</v>
      </c>
      <c r="AU5188" t="s">
        <v>593</v>
      </c>
      <c r="AV5188" t="s">
        <v>594</v>
      </c>
      <c r="AW5188" t="s">
        <v>60</v>
      </c>
      <c r="AX5188" t="s">
        <v>68</v>
      </c>
      <c r="AY5188" t="s">
        <v>69</v>
      </c>
      <c r="AZ5188" t="b">
        <v>1</v>
      </c>
    </row>
    <row r="5189" spans="1:52" x14ac:dyDescent="0.3">
      <c r="A5189" t="s">
        <v>52</v>
      </c>
      <c r="B5189" t="s">
        <v>53</v>
      </c>
      <c r="C5189" t="s">
        <v>54</v>
      </c>
      <c r="D5189" t="s">
        <v>55</v>
      </c>
      <c r="E5189" t="s">
        <v>2278</v>
      </c>
      <c r="F5189" t="s">
        <v>190</v>
      </c>
      <c r="G5189" t="s">
        <v>595</v>
      </c>
      <c r="H5189" t="s">
        <v>596</v>
      </c>
      <c r="I5189" t="s">
        <v>596</v>
      </c>
      <c r="J5189" t="s">
        <v>60</v>
      </c>
      <c r="K5189" t="s">
        <v>207</v>
      </c>
      <c r="L5189" t="s">
        <v>62</v>
      </c>
      <c r="M5189" t="s">
        <v>207</v>
      </c>
      <c r="N5189" t="s">
        <v>597</v>
      </c>
      <c r="O5189" t="s">
        <v>598</v>
      </c>
      <c r="P5189">
        <v>-20.118335999999999</v>
      </c>
      <c r="Q5189">
        <v>-44.887441000000003</v>
      </c>
      <c r="R5189" s="2" t="str">
        <f>HYPERLINK("https://www.google.com/maps?q=-20.1183360,-44.8874410","Abrir no Google Maps")</f>
        <v>Abrir no Google Maps</v>
      </c>
      <c r="S5189">
        <v>3</v>
      </c>
      <c r="T5189">
        <v>0</v>
      </c>
      <c r="U5189">
        <v>4</v>
      </c>
      <c r="V5189">
        <v>0.91627543035993764</v>
      </c>
      <c r="W5189">
        <v>1</v>
      </c>
      <c r="X5189">
        <v>0.91627543035993764</v>
      </c>
      <c r="Y5189">
        <v>536</v>
      </c>
      <c r="Z5189">
        <v>70.729031566967279</v>
      </c>
      <c r="AA5189">
        <v>198</v>
      </c>
      <c r="AB5189">
        <v>332</v>
      </c>
      <c r="AC5189">
        <v>536</v>
      </c>
      <c r="AD5189">
        <v>28.15</v>
      </c>
      <c r="AE5189">
        <v>542</v>
      </c>
      <c r="AF5189">
        <v>21</v>
      </c>
      <c r="AG5189">
        <v>176</v>
      </c>
      <c r="AH5189">
        <v>129</v>
      </c>
      <c r="AI5189">
        <v>3.87</v>
      </c>
      <c r="AJ5189">
        <v>32.47</v>
      </c>
      <c r="AK5189">
        <v>23.8</v>
      </c>
      <c r="AL5189">
        <v>-20.118357999999969</v>
      </c>
      <c r="AM5189">
        <v>-44.88750246616479</v>
      </c>
      <c r="AN5189">
        <v>-20.118357999999969</v>
      </c>
      <c r="AO5189">
        <v>-44.88750246616479</v>
      </c>
      <c r="AP5189">
        <v>-20.118335999999999</v>
      </c>
      <c r="AQ5189">
        <v>-44.887441000000003</v>
      </c>
      <c r="AR5189">
        <v>6.875853437004074</v>
      </c>
      <c r="AS5189" t="s">
        <v>65</v>
      </c>
      <c r="AT5189">
        <v>1</v>
      </c>
      <c r="AU5189" t="s">
        <v>599</v>
      </c>
      <c r="AV5189" t="s">
        <v>600</v>
      </c>
      <c r="AW5189" t="s">
        <v>60</v>
      </c>
      <c r="AX5189" t="s">
        <v>68</v>
      </c>
      <c r="AY5189" t="s">
        <v>69</v>
      </c>
      <c r="AZ5189" t="b">
        <v>1</v>
      </c>
    </row>
    <row r="5190" spans="1:52" x14ac:dyDescent="0.3">
      <c r="A5190" t="s">
        <v>52</v>
      </c>
      <c r="B5190" t="s">
        <v>53</v>
      </c>
      <c r="C5190" t="s">
        <v>54</v>
      </c>
      <c r="D5190" t="s">
        <v>55</v>
      </c>
      <c r="E5190" t="s">
        <v>2278</v>
      </c>
      <c r="F5190" t="s">
        <v>190</v>
      </c>
      <c r="G5190" t="s">
        <v>601</v>
      </c>
      <c r="H5190" t="s">
        <v>602</v>
      </c>
      <c r="I5190" t="s">
        <v>602</v>
      </c>
      <c r="J5190" t="s">
        <v>60</v>
      </c>
      <c r="K5190" t="s">
        <v>117</v>
      </c>
      <c r="L5190" t="s">
        <v>62</v>
      </c>
      <c r="M5190" t="s">
        <v>117</v>
      </c>
      <c r="N5190" t="s">
        <v>603</v>
      </c>
      <c r="O5190" t="s">
        <v>604</v>
      </c>
      <c r="P5190">
        <v>-20.122198999999998</v>
      </c>
      <c r="Q5190">
        <v>-44.893118999999999</v>
      </c>
      <c r="R5190" s="2" t="str">
        <f>HYPERLINK("https://www.google.com/maps?q=-20.1221990,-44.8931190","Abrir no Google Maps")</f>
        <v>Abrir no Google Maps</v>
      </c>
      <c r="S5190">
        <v>3</v>
      </c>
      <c r="T5190">
        <v>737.41475740297403</v>
      </c>
      <c r="U5190">
        <v>4</v>
      </c>
      <c r="V5190">
        <v>0.90414110429447836</v>
      </c>
      <c r="W5190">
        <v>1</v>
      </c>
      <c r="X5190">
        <v>0.90414110429447836</v>
      </c>
      <c r="Y5190">
        <v>536</v>
      </c>
      <c r="Z5190">
        <v>753.81321098979549</v>
      </c>
      <c r="AA5190">
        <v>198</v>
      </c>
      <c r="AB5190">
        <v>332</v>
      </c>
      <c r="AC5190">
        <v>536</v>
      </c>
      <c r="AD5190">
        <v>28.15</v>
      </c>
      <c r="AE5190">
        <v>542</v>
      </c>
      <c r="AF5190">
        <v>21</v>
      </c>
      <c r="AG5190">
        <v>176</v>
      </c>
      <c r="AH5190">
        <v>129</v>
      </c>
      <c r="AI5190">
        <v>3.87</v>
      </c>
      <c r="AJ5190">
        <v>32.47</v>
      </c>
      <c r="AK5190">
        <v>23.8</v>
      </c>
      <c r="AL5190">
        <v>-20.122192249999959</v>
      </c>
      <c r="AM5190">
        <v>-44.893272469204263</v>
      </c>
      <c r="AN5190">
        <v>-20.122192249999959</v>
      </c>
      <c r="AO5190">
        <v>-44.893272469204263</v>
      </c>
      <c r="AP5190">
        <v>-20.122198999999998</v>
      </c>
      <c r="AQ5190">
        <v>-44.893118999999999</v>
      </c>
      <c r="AR5190">
        <v>16.058980187178161</v>
      </c>
      <c r="AS5190" t="s">
        <v>65</v>
      </c>
      <c r="AT5190">
        <v>1</v>
      </c>
      <c r="AU5190" t="s">
        <v>605</v>
      </c>
      <c r="AV5190" t="s">
        <v>606</v>
      </c>
      <c r="AW5190" t="s">
        <v>60</v>
      </c>
      <c r="AX5190" t="s">
        <v>68</v>
      </c>
      <c r="AY5190" t="s">
        <v>69</v>
      </c>
      <c r="AZ5190" t="b">
        <v>1</v>
      </c>
    </row>
    <row r="5191" spans="1:52" x14ac:dyDescent="0.3">
      <c r="A5191" t="s">
        <v>52</v>
      </c>
      <c r="B5191" t="s">
        <v>53</v>
      </c>
      <c r="C5191" t="s">
        <v>54</v>
      </c>
      <c r="D5191" t="s">
        <v>55</v>
      </c>
      <c r="E5191" t="s">
        <v>2278</v>
      </c>
      <c r="F5191" t="s">
        <v>190</v>
      </c>
      <c r="G5191" t="s">
        <v>614</v>
      </c>
      <c r="H5191" t="s">
        <v>615</v>
      </c>
      <c r="I5191" t="s">
        <v>615</v>
      </c>
      <c r="J5191" t="s">
        <v>60</v>
      </c>
      <c r="K5191" t="s">
        <v>207</v>
      </c>
      <c r="L5191" t="s">
        <v>62</v>
      </c>
      <c r="M5191" t="s">
        <v>207</v>
      </c>
      <c r="N5191" t="s">
        <v>616</v>
      </c>
      <c r="O5191" t="s">
        <v>617</v>
      </c>
      <c r="P5191">
        <v>-20.123118999999999</v>
      </c>
      <c r="Q5191">
        <v>-44.886259000000003</v>
      </c>
      <c r="R5191" s="2" t="str">
        <f>HYPERLINK("https://www.google.com/maps?q=-20.1231190,-44.8862590","Abrir no Google Maps")</f>
        <v>Abrir no Google Maps</v>
      </c>
      <c r="S5191">
        <v>3</v>
      </c>
      <c r="T5191">
        <v>534.91642326845545</v>
      </c>
      <c r="U5191">
        <v>4</v>
      </c>
      <c r="V5191">
        <v>0.93975225225225223</v>
      </c>
      <c r="W5191">
        <v>1</v>
      </c>
      <c r="X5191">
        <v>0.93975225225225223</v>
      </c>
      <c r="Y5191">
        <v>536</v>
      </c>
      <c r="Z5191">
        <v>478.9192959851456</v>
      </c>
      <c r="AA5191">
        <v>198</v>
      </c>
      <c r="AB5191">
        <v>332</v>
      </c>
      <c r="AC5191">
        <v>536</v>
      </c>
      <c r="AD5191">
        <v>28.15</v>
      </c>
      <c r="AE5191">
        <v>542</v>
      </c>
      <c r="AF5191">
        <v>21</v>
      </c>
      <c r="AG5191">
        <v>176</v>
      </c>
      <c r="AH5191">
        <v>129</v>
      </c>
      <c r="AI5191">
        <v>3.87</v>
      </c>
      <c r="AJ5191">
        <v>32.47</v>
      </c>
      <c r="AK5191">
        <v>23.8</v>
      </c>
      <c r="AL5191">
        <v>-20.12305974999995</v>
      </c>
      <c r="AM5191">
        <v>-44.886314469108633</v>
      </c>
      <c r="AN5191">
        <v>-20.12305974999995</v>
      </c>
      <c r="AO5191">
        <v>-44.886314469108633</v>
      </c>
      <c r="AP5191">
        <v>-20.123118999999999</v>
      </c>
      <c r="AQ5191">
        <v>-44.886259000000003</v>
      </c>
      <c r="AR5191">
        <v>8.7817342078334093</v>
      </c>
      <c r="AS5191" t="s">
        <v>65</v>
      </c>
      <c r="AT5191">
        <v>1</v>
      </c>
      <c r="AU5191" t="s">
        <v>618</v>
      </c>
      <c r="AV5191" t="s">
        <v>619</v>
      </c>
      <c r="AW5191" t="s">
        <v>60</v>
      </c>
      <c r="AX5191" t="s">
        <v>68</v>
      </c>
      <c r="AY5191" t="s">
        <v>69</v>
      </c>
      <c r="AZ5191" t="b">
        <v>1</v>
      </c>
    </row>
    <row r="5192" spans="1:52" x14ac:dyDescent="0.3">
      <c r="A5192" t="s">
        <v>52</v>
      </c>
      <c r="B5192" t="s">
        <v>53</v>
      </c>
      <c r="C5192" t="s">
        <v>54</v>
      </c>
      <c r="D5192" t="s">
        <v>55</v>
      </c>
      <c r="E5192" t="s">
        <v>2278</v>
      </c>
      <c r="F5192" t="s">
        <v>190</v>
      </c>
      <c r="G5192" t="s">
        <v>620</v>
      </c>
      <c r="H5192" t="s">
        <v>621</v>
      </c>
      <c r="I5192" t="s">
        <v>621</v>
      </c>
      <c r="J5192" t="s">
        <v>60</v>
      </c>
      <c r="K5192" t="s">
        <v>207</v>
      </c>
      <c r="L5192" t="s">
        <v>62</v>
      </c>
      <c r="M5192" t="s">
        <v>207</v>
      </c>
      <c r="N5192" t="s">
        <v>622</v>
      </c>
      <c r="O5192" t="s">
        <v>623</v>
      </c>
      <c r="P5192">
        <v>-20.120775999999999</v>
      </c>
      <c r="Q5192">
        <v>-44.885562999999998</v>
      </c>
      <c r="R5192" s="2" t="str">
        <f>HYPERLINK("https://www.google.com/maps?q=-20.1207760,-44.8855630","Abrir no Google Maps")</f>
        <v>Abrir no Google Maps</v>
      </c>
      <c r="S5192">
        <v>3</v>
      </c>
      <c r="T5192">
        <v>332.24231777761912</v>
      </c>
      <c r="U5192">
        <v>4</v>
      </c>
      <c r="V5192">
        <v>0.92958515283842802</v>
      </c>
      <c r="W5192">
        <v>1</v>
      </c>
      <c r="X5192">
        <v>0.92958515283842802</v>
      </c>
      <c r="Y5192">
        <v>536</v>
      </c>
      <c r="Z5192">
        <v>255.48165096313261</v>
      </c>
      <c r="AA5192">
        <v>198</v>
      </c>
      <c r="AB5192">
        <v>332</v>
      </c>
      <c r="AC5192">
        <v>536</v>
      </c>
      <c r="AD5192">
        <v>28.15</v>
      </c>
      <c r="AE5192">
        <v>542</v>
      </c>
      <c r="AF5192">
        <v>21</v>
      </c>
      <c r="AG5192">
        <v>176</v>
      </c>
      <c r="AH5192">
        <v>129</v>
      </c>
      <c r="AI5192">
        <v>3.87</v>
      </c>
      <c r="AJ5192">
        <v>32.47</v>
      </c>
      <c r="AK5192">
        <v>23.8</v>
      </c>
      <c r="AL5192">
        <v>-20.120783799999941</v>
      </c>
      <c r="AM5192">
        <v>-44.885629603396453</v>
      </c>
      <c r="AN5192">
        <v>-20.120783799999941</v>
      </c>
      <c r="AO5192">
        <v>-44.885629603396453</v>
      </c>
      <c r="AP5192">
        <v>-20.120775999999999</v>
      </c>
      <c r="AQ5192">
        <v>-44.885562999999998</v>
      </c>
      <c r="AR5192">
        <v>7.0157317818911196</v>
      </c>
      <c r="AS5192" t="s">
        <v>65</v>
      </c>
      <c r="AT5192">
        <v>1</v>
      </c>
      <c r="AU5192" t="s">
        <v>624</v>
      </c>
      <c r="AV5192" t="s">
        <v>619</v>
      </c>
      <c r="AW5192" t="s">
        <v>60</v>
      </c>
      <c r="AX5192" t="s">
        <v>68</v>
      </c>
      <c r="AY5192" t="s">
        <v>69</v>
      </c>
      <c r="AZ5192" t="b">
        <v>1</v>
      </c>
    </row>
    <row r="5193" spans="1:52" x14ac:dyDescent="0.3">
      <c r="A5193" t="s">
        <v>52</v>
      </c>
      <c r="B5193" t="s">
        <v>53</v>
      </c>
      <c r="C5193" t="s">
        <v>54</v>
      </c>
      <c r="D5193" t="s">
        <v>55</v>
      </c>
      <c r="E5193" t="s">
        <v>2278</v>
      </c>
      <c r="F5193" t="s">
        <v>190</v>
      </c>
      <c r="G5193" t="s">
        <v>929</v>
      </c>
      <c r="H5193" t="s">
        <v>930</v>
      </c>
      <c r="I5193" t="s">
        <v>930</v>
      </c>
      <c r="J5193" t="s">
        <v>60</v>
      </c>
      <c r="K5193" t="s">
        <v>72</v>
      </c>
      <c r="L5193" t="s">
        <v>62</v>
      </c>
      <c r="M5193" t="s">
        <v>72</v>
      </c>
      <c r="N5193" t="s">
        <v>931</v>
      </c>
      <c r="O5193" t="s">
        <v>932</v>
      </c>
      <c r="P5193">
        <v>-20.144780999999998</v>
      </c>
      <c r="Q5193">
        <v>-44.914259000000001</v>
      </c>
      <c r="R5193" s="2" t="str">
        <f>HYPERLINK("https://www.google.com/maps?q=-20.1447810,-44.9142590","Abrir no Google Maps")</f>
        <v>Abrir no Google Maps</v>
      </c>
      <c r="S5193">
        <v>3</v>
      </c>
      <c r="T5193">
        <v>256.09363485874093</v>
      </c>
      <c r="U5193">
        <v>4</v>
      </c>
      <c r="V5193">
        <v>0.88490099009900991</v>
      </c>
      <c r="W5193">
        <v>1</v>
      </c>
      <c r="X5193">
        <v>0.88490099009900991</v>
      </c>
      <c r="Y5193">
        <v>508</v>
      </c>
      <c r="Z5193">
        <v>318.29766547935321</v>
      </c>
      <c r="AA5193">
        <v>198</v>
      </c>
      <c r="AB5193">
        <v>332</v>
      </c>
      <c r="AC5193">
        <v>536</v>
      </c>
      <c r="AD5193">
        <v>28.15</v>
      </c>
      <c r="AE5193">
        <v>542</v>
      </c>
      <c r="AF5193">
        <v>21</v>
      </c>
      <c r="AG5193">
        <v>176</v>
      </c>
      <c r="AH5193">
        <v>129</v>
      </c>
      <c r="AI5193">
        <v>3.87</v>
      </c>
      <c r="AJ5193">
        <v>32.47</v>
      </c>
      <c r="AK5193">
        <v>23.8</v>
      </c>
      <c r="AL5193">
        <v>-20.144721899999951</v>
      </c>
      <c r="AM5193">
        <v>-44.914368749511411</v>
      </c>
      <c r="AN5193">
        <v>-20.144721899999951</v>
      </c>
      <c r="AO5193">
        <v>-44.914368749511411</v>
      </c>
      <c r="AP5193">
        <v>-20.144780999999998</v>
      </c>
      <c r="AQ5193">
        <v>-44.914259000000001</v>
      </c>
      <c r="AR5193">
        <v>13.22280973360979</v>
      </c>
      <c r="AS5193" t="s">
        <v>65</v>
      </c>
      <c r="AT5193">
        <v>1</v>
      </c>
      <c r="AU5193" t="s">
        <v>933</v>
      </c>
      <c r="AV5193" t="s">
        <v>934</v>
      </c>
      <c r="AW5193" t="s">
        <v>60</v>
      </c>
      <c r="AX5193" t="s">
        <v>68</v>
      </c>
      <c r="AY5193" t="s">
        <v>69</v>
      </c>
      <c r="AZ5193" t="b">
        <v>1</v>
      </c>
    </row>
    <row r="5194" spans="1:52" x14ac:dyDescent="0.3">
      <c r="A5194" t="s">
        <v>52</v>
      </c>
      <c r="B5194" t="s">
        <v>53</v>
      </c>
      <c r="C5194" t="s">
        <v>54</v>
      </c>
      <c r="D5194" t="s">
        <v>55</v>
      </c>
      <c r="E5194" t="s">
        <v>2278</v>
      </c>
      <c r="F5194" t="s">
        <v>190</v>
      </c>
      <c r="G5194" t="s">
        <v>935</v>
      </c>
      <c r="H5194" t="s">
        <v>936</v>
      </c>
      <c r="I5194" t="s">
        <v>936</v>
      </c>
      <c r="J5194" t="s">
        <v>60</v>
      </c>
      <c r="K5194" t="s">
        <v>193</v>
      </c>
      <c r="L5194" t="s">
        <v>62</v>
      </c>
      <c r="M5194" t="s">
        <v>193</v>
      </c>
      <c r="N5194" t="s">
        <v>937</v>
      </c>
      <c r="O5194" t="s">
        <v>938</v>
      </c>
      <c r="P5194">
        <v>-20.144727</v>
      </c>
      <c r="Q5194">
        <v>-44.919978999999998</v>
      </c>
      <c r="R5194" s="2" t="str">
        <f>HYPERLINK("https://www.google.com/maps?q=-20.1447270,-44.9199790","Abrir no Google Maps")</f>
        <v>Abrir no Google Maps</v>
      </c>
      <c r="S5194">
        <v>3</v>
      </c>
      <c r="T5194">
        <v>341.13992759662477</v>
      </c>
      <c r="U5194">
        <v>4</v>
      </c>
      <c r="V5194">
        <v>0.88934426229508201</v>
      </c>
      <c r="W5194">
        <v>1</v>
      </c>
      <c r="X5194">
        <v>0.88934426229508201</v>
      </c>
      <c r="Y5194">
        <v>508</v>
      </c>
      <c r="Z5194">
        <v>274.58151985101409</v>
      </c>
      <c r="AA5194">
        <v>198</v>
      </c>
      <c r="AB5194">
        <v>332</v>
      </c>
      <c r="AC5194">
        <v>536</v>
      </c>
      <c r="AD5194">
        <v>28.15</v>
      </c>
      <c r="AE5194">
        <v>542</v>
      </c>
      <c r="AF5194">
        <v>21</v>
      </c>
      <c r="AG5194">
        <v>176</v>
      </c>
      <c r="AH5194">
        <v>129</v>
      </c>
      <c r="AI5194">
        <v>3.87</v>
      </c>
      <c r="AJ5194">
        <v>32.47</v>
      </c>
      <c r="AK5194">
        <v>23.8</v>
      </c>
      <c r="AL5194">
        <v>-20.144771099999961</v>
      </c>
      <c r="AM5194">
        <v>-44.92003491095209</v>
      </c>
      <c r="AN5194">
        <v>-20.144771099999961</v>
      </c>
      <c r="AO5194">
        <v>-44.92003491095209</v>
      </c>
      <c r="AP5194">
        <v>-20.144727</v>
      </c>
      <c r="AQ5194">
        <v>-44.919978999999998</v>
      </c>
      <c r="AR5194">
        <v>7.6317760459664177</v>
      </c>
      <c r="AS5194" t="s">
        <v>65</v>
      </c>
      <c r="AT5194">
        <v>1</v>
      </c>
      <c r="AU5194" t="s">
        <v>939</v>
      </c>
      <c r="AV5194" t="s">
        <v>940</v>
      </c>
      <c r="AW5194" t="s">
        <v>60</v>
      </c>
      <c r="AX5194" t="s">
        <v>68</v>
      </c>
      <c r="AY5194" t="s">
        <v>69</v>
      </c>
      <c r="AZ5194" t="b">
        <v>1</v>
      </c>
    </row>
    <row r="5195" spans="1:52" x14ac:dyDescent="0.3">
      <c r="A5195" t="s">
        <v>52</v>
      </c>
      <c r="B5195" t="s">
        <v>53</v>
      </c>
      <c r="C5195" t="s">
        <v>54</v>
      </c>
      <c r="D5195" t="s">
        <v>55</v>
      </c>
      <c r="E5195" t="s">
        <v>2278</v>
      </c>
      <c r="F5195" t="s">
        <v>190</v>
      </c>
      <c r="G5195" t="s">
        <v>625</v>
      </c>
      <c r="H5195" t="s">
        <v>626</v>
      </c>
      <c r="I5195" t="s">
        <v>626</v>
      </c>
      <c r="J5195" t="s">
        <v>60</v>
      </c>
      <c r="K5195" t="s">
        <v>193</v>
      </c>
      <c r="L5195" t="s">
        <v>62</v>
      </c>
      <c r="M5195" t="s">
        <v>193</v>
      </c>
      <c r="N5195" t="s">
        <v>627</v>
      </c>
      <c r="O5195" t="s">
        <v>628</v>
      </c>
      <c r="P5195">
        <v>-20.145171999999999</v>
      </c>
      <c r="Q5195">
        <v>-44.916764000000001</v>
      </c>
      <c r="R5195" s="2" t="str">
        <f>HYPERLINK("https://www.google.com/maps?q=-20.1451720,-44.9167640","Abrir no Google Maps")</f>
        <v>Abrir no Google Maps</v>
      </c>
      <c r="S5195">
        <v>3</v>
      </c>
      <c r="T5195">
        <v>0</v>
      </c>
      <c r="U5195">
        <v>4</v>
      </c>
      <c r="V5195">
        <v>0.89423076923076927</v>
      </c>
      <c r="W5195">
        <v>1</v>
      </c>
      <c r="X5195">
        <v>0.89423076923076927</v>
      </c>
      <c r="Y5195">
        <v>508</v>
      </c>
      <c r="Z5195">
        <v>79.403393114466795</v>
      </c>
      <c r="AA5195">
        <v>198</v>
      </c>
      <c r="AB5195">
        <v>332</v>
      </c>
      <c r="AC5195">
        <v>536</v>
      </c>
      <c r="AD5195">
        <v>28.15</v>
      </c>
      <c r="AE5195">
        <v>542</v>
      </c>
      <c r="AF5195">
        <v>21</v>
      </c>
      <c r="AG5195">
        <v>176</v>
      </c>
      <c r="AH5195">
        <v>129</v>
      </c>
      <c r="AI5195">
        <v>3.87</v>
      </c>
      <c r="AJ5195">
        <v>32.47</v>
      </c>
      <c r="AK5195">
        <v>23.8</v>
      </c>
      <c r="AL5195">
        <v>-20.145089199999969</v>
      </c>
      <c r="AM5195">
        <v>-44.916788127791321</v>
      </c>
      <c r="AN5195">
        <v>-20.145089199999969</v>
      </c>
      <c r="AO5195">
        <v>-44.916788127791321</v>
      </c>
      <c r="AP5195">
        <v>-20.145171999999999</v>
      </c>
      <c r="AQ5195">
        <v>-44.916764000000001</v>
      </c>
      <c r="AR5195">
        <v>9.555991267747272</v>
      </c>
      <c r="AS5195" t="s">
        <v>65</v>
      </c>
      <c r="AT5195">
        <v>1</v>
      </c>
      <c r="AU5195" t="s">
        <v>629</v>
      </c>
      <c r="AV5195" t="s">
        <v>630</v>
      </c>
      <c r="AW5195" t="s">
        <v>60</v>
      </c>
      <c r="AX5195" t="s">
        <v>68</v>
      </c>
      <c r="AY5195" t="s">
        <v>69</v>
      </c>
      <c r="AZ5195" t="b">
        <v>1</v>
      </c>
    </row>
    <row r="5196" spans="1:52" x14ac:dyDescent="0.3">
      <c r="A5196" t="s">
        <v>52</v>
      </c>
      <c r="B5196" t="s">
        <v>53</v>
      </c>
      <c r="C5196" t="s">
        <v>54</v>
      </c>
      <c r="D5196" t="s">
        <v>55</v>
      </c>
      <c r="E5196" t="s">
        <v>2278</v>
      </c>
      <c r="F5196" t="s">
        <v>190</v>
      </c>
      <c r="G5196" t="s">
        <v>631</v>
      </c>
      <c r="H5196" t="s">
        <v>632</v>
      </c>
      <c r="I5196" t="s">
        <v>632</v>
      </c>
      <c r="J5196" t="s">
        <v>60</v>
      </c>
      <c r="K5196" t="s">
        <v>530</v>
      </c>
      <c r="L5196" t="s">
        <v>62</v>
      </c>
      <c r="M5196" t="s">
        <v>530</v>
      </c>
      <c r="N5196" t="s">
        <v>633</v>
      </c>
      <c r="O5196" t="s">
        <v>634</v>
      </c>
      <c r="P5196">
        <v>-20.142136000000001</v>
      </c>
      <c r="Q5196">
        <v>-44.893895999999998</v>
      </c>
      <c r="R5196" s="2" t="str">
        <f>HYPERLINK("https://www.google.com/maps?q=-20.1421360,-44.8938960","Abrir no Google Maps")</f>
        <v>Abrir no Google Maps</v>
      </c>
      <c r="S5196">
        <v>3</v>
      </c>
      <c r="T5196">
        <v>252.77776243958951</v>
      </c>
      <c r="U5196">
        <v>4</v>
      </c>
      <c r="V5196">
        <v>0.98737785016286639</v>
      </c>
      <c r="W5196">
        <v>1</v>
      </c>
      <c r="X5196">
        <v>0.98737785016286639</v>
      </c>
      <c r="Y5196">
        <v>505</v>
      </c>
      <c r="Z5196">
        <v>331.79497003706751</v>
      </c>
      <c r="AA5196">
        <v>198</v>
      </c>
      <c r="AB5196">
        <v>332</v>
      </c>
      <c r="AC5196">
        <v>536</v>
      </c>
      <c r="AD5196">
        <v>28.15</v>
      </c>
      <c r="AE5196">
        <v>542</v>
      </c>
      <c r="AF5196">
        <v>21</v>
      </c>
      <c r="AG5196">
        <v>176</v>
      </c>
      <c r="AH5196">
        <v>129</v>
      </c>
      <c r="AI5196">
        <v>3.87</v>
      </c>
      <c r="AJ5196">
        <v>32.47</v>
      </c>
      <c r="AK5196">
        <v>23.8</v>
      </c>
      <c r="AL5196">
        <v>-20.142209999999949</v>
      </c>
      <c r="AM5196">
        <v>-44.893919659400702</v>
      </c>
      <c r="AN5196">
        <v>-20.142209999999949</v>
      </c>
      <c r="AO5196">
        <v>-44.893919659400702</v>
      </c>
      <c r="AP5196">
        <v>-20.142136000000001</v>
      </c>
      <c r="AQ5196">
        <v>-44.893895999999998</v>
      </c>
      <c r="AR5196">
        <v>8.6007875127343159</v>
      </c>
      <c r="AS5196" t="s">
        <v>65</v>
      </c>
      <c r="AT5196">
        <v>1</v>
      </c>
      <c r="AU5196" t="s">
        <v>635</v>
      </c>
      <c r="AV5196" t="s">
        <v>636</v>
      </c>
      <c r="AW5196" t="s">
        <v>60</v>
      </c>
      <c r="AX5196" t="s">
        <v>68</v>
      </c>
      <c r="AY5196" t="s">
        <v>69</v>
      </c>
      <c r="AZ5196" t="b">
        <v>1</v>
      </c>
    </row>
    <row r="5197" spans="1:52" x14ac:dyDescent="0.3">
      <c r="A5197" t="s">
        <v>52</v>
      </c>
      <c r="B5197" t="s">
        <v>53</v>
      </c>
      <c r="C5197" t="s">
        <v>54</v>
      </c>
      <c r="D5197" t="s">
        <v>55</v>
      </c>
      <c r="E5197" t="s">
        <v>2278</v>
      </c>
      <c r="F5197" t="s">
        <v>190</v>
      </c>
      <c r="G5197" t="s">
        <v>968</v>
      </c>
      <c r="H5197" t="s">
        <v>969</v>
      </c>
      <c r="I5197" t="s">
        <v>969</v>
      </c>
      <c r="J5197" t="s">
        <v>60</v>
      </c>
      <c r="K5197" t="s">
        <v>262</v>
      </c>
      <c r="L5197" t="s">
        <v>62</v>
      </c>
      <c r="M5197" t="s">
        <v>262</v>
      </c>
      <c r="N5197" t="s">
        <v>970</v>
      </c>
      <c r="O5197" t="s">
        <v>971</v>
      </c>
      <c r="P5197">
        <v>-20.163060999999999</v>
      </c>
      <c r="Q5197">
        <v>-44.854047000000001</v>
      </c>
      <c r="R5197" s="2" t="str">
        <f>HYPERLINK("https://www.google.com/maps?q=-20.1630610,-44.8540470","Abrir no Google Maps")</f>
        <v>Abrir no Google Maps</v>
      </c>
      <c r="S5197">
        <v>3</v>
      </c>
      <c r="T5197">
        <v>418.63868463200271</v>
      </c>
      <c r="U5197">
        <v>4</v>
      </c>
      <c r="V5197">
        <v>0.88329475308641969</v>
      </c>
      <c r="W5197">
        <v>1</v>
      </c>
      <c r="X5197">
        <v>0.88329475308641969</v>
      </c>
      <c r="Y5197">
        <v>491</v>
      </c>
      <c r="Z5197">
        <v>339.19068595447408</v>
      </c>
      <c r="AA5197">
        <v>198</v>
      </c>
      <c r="AB5197">
        <v>332</v>
      </c>
      <c r="AC5197">
        <v>536</v>
      </c>
      <c r="AD5197">
        <v>28.15</v>
      </c>
      <c r="AE5197">
        <v>542</v>
      </c>
      <c r="AF5197">
        <v>21</v>
      </c>
      <c r="AG5197">
        <v>176</v>
      </c>
      <c r="AH5197">
        <v>129</v>
      </c>
      <c r="AI5197">
        <v>3.87</v>
      </c>
      <c r="AJ5197">
        <v>32.47</v>
      </c>
      <c r="AK5197">
        <v>23.8</v>
      </c>
      <c r="AL5197">
        <v>-20.163118949999959</v>
      </c>
      <c r="AM5197">
        <v>-44.854106723889032</v>
      </c>
      <c r="AN5197">
        <v>-20.163118949999959</v>
      </c>
      <c r="AO5197">
        <v>-44.854106723889032</v>
      </c>
      <c r="AP5197">
        <v>-20.163060999999999</v>
      </c>
      <c r="AQ5197">
        <v>-44.854047000000001</v>
      </c>
      <c r="AR5197">
        <v>8.9758322935491428</v>
      </c>
      <c r="AS5197" t="s">
        <v>65</v>
      </c>
      <c r="AT5197">
        <v>1</v>
      </c>
      <c r="AU5197" t="s">
        <v>972</v>
      </c>
      <c r="AV5197" t="s">
        <v>973</v>
      </c>
      <c r="AW5197" t="s">
        <v>60</v>
      </c>
      <c r="AX5197" t="s">
        <v>68</v>
      </c>
      <c r="AY5197" t="s">
        <v>69</v>
      </c>
      <c r="AZ5197" t="b">
        <v>1</v>
      </c>
    </row>
    <row r="5198" spans="1:52" x14ac:dyDescent="0.3">
      <c r="A5198" t="s">
        <v>52</v>
      </c>
      <c r="B5198" t="s">
        <v>53</v>
      </c>
      <c r="C5198" t="s">
        <v>54</v>
      </c>
      <c r="D5198" t="s">
        <v>55</v>
      </c>
      <c r="E5198" t="s">
        <v>2278</v>
      </c>
      <c r="F5198" t="s">
        <v>190</v>
      </c>
      <c r="G5198" t="s">
        <v>637</v>
      </c>
      <c r="H5198" t="s">
        <v>638</v>
      </c>
      <c r="I5198" t="s">
        <v>638</v>
      </c>
      <c r="J5198" t="s">
        <v>60</v>
      </c>
      <c r="K5198" t="s">
        <v>530</v>
      </c>
      <c r="L5198" t="s">
        <v>62</v>
      </c>
      <c r="M5198" t="s">
        <v>530</v>
      </c>
      <c r="N5198" t="s">
        <v>639</v>
      </c>
      <c r="O5198" t="s">
        <v>640</v>
      </c>
      <c r="P5198">
        <v>-20.143090000000001</v>
      </c>
      <c r="Q5198">
        <v>-44.888948999999997</v>
      </c>
      <c r="R5198" s="2" t="str">
        <f>HYPERLINK("https://www.google.com/maps?q=-20.1430900,-44.8889490","Abrir no Google Maps")</f>
        <v>Abrir no Google Maps</v>
      </c>
      <c r="S5198">
        <v>3</v>
      </c>
      <c r="T5198">
        <v>264.88903234377068</v>
      </c>
      <c r="U5198">
        <v>4</v>
      </c>
      <c r="V5198">
        <v>0.98717948717948723</v>
      </c>
      <c r="W5198">
        <v>1</v>
      </c>
      <c r="X5198">
        <v>0.98717948717948723</v>
      </c>
      <c r="Y5198">
        <v>478</v>
      </c>
      <c r="Z5198">
        <v>216.60886577490871</v>
      </c>
      <c r="AA5198">
        <v>198</v>
      </c>
      <c r="AB5198">
        <v>332</v>
      </c>
      <c r="AC5198">
        <v>536</v>
      </c>
      <c r="AD5198">
        <v>28.15</v>
      </c>
      <c r="AE5198">
        <v>542</v>
      </c>
      <c r="AF5198">
        <v>21</v>
      </c>
      <c r="AG5198">
        <v>176</v>
      </c>
      <c r="AH5198">
        <v>129</v>
      </c>
      <c r="AI5198">
        <v>3.87</v>
      </c>
      <c r="AJ5198">
        <v>32.47</v>
      </c>
      <c r="AK5198">
        <v>23.8</v>
      </c>
      <c r="AL5198">
        <v>-20.14306029999997</v>
      </c>
      <c r="AM5198">
        <v>-44.889053908028878</v>
      </c>
      <c r="AN5198">
        <v>-20.14306029999997</v>
      </c>
      <c r="AO5198">
        <v>-44.889053908028878</v>
      </c>
      <c r="AP5198">
        <v>-20.143090000000001</v>
      </c>
      <c r="AQ5198">
        <v>-44.888948999999997</v>
      </c>
      <c r="AR5198">
        <v>11.451710102611671</v>
      </c>
      <c r="AS5198" t="s">
        <v>65</v>
      </c>
      <c r="AT5198">
        <v>1</v>
      </c>
      <c r="AU5198" t="s">
        <v>641</v>
      </c>
      <c r="AV5198" t="s">
        <v>642</v>
      </c>
      <c r="AW5198" t="s">
        <v>60</v>
      </c>
      <c r="AX5198" t="s">
        <v>68</v>
      </c>
      <c r="AY5198" t="s">
        <v>69</v>
      </c>
      <c r="AZ5198" t="b">
        <v>1</v>
      </c>
    </row>
    <row r="5199" spans="1:52" x14ac:dyDescent="0.3">
      <c r="A5199" t="s">
        <v>52</v>
      </c>
      <c r="B5199" t="s">
        <v>53</v>
      </c>
      <c r="C5199" t="s">
        <v>54</v>
      </c>
      <c r="D5199" t="s">
        <v>55</v>
      </c>
      <c r="E5199" t="s">
        <v>2278</v>
      </c>
      <c r="F5199" t="s">
        <v>190</v>
      </c>
      <c r="G5199" t="s">
        <v>643</v>
      </c>
      <c r="H5199" t="s">
        <v>644</v>
      </c>
      <c r="I5199" t="s">
        <v>644</v>
      </c>
      <c r="J5199" t="s">
        <v>60</v>
      </c>
      <c r="K5199" t="s">
        <v>462</v>
      </c>
      <c r="L5199" t="s">
        <v>62</v>
      </c>
      <c r="M5199" t="s">
        <v>462</v>
      </c>
      <c r="N5199" t="s">
        <v>645</v>
      </c>
      <c r="O5199" t="s">
        <v>646</v>
      </c>
      <c r="P5199">
        <v>-20.138680000000001</v>
      </c>
      <c r="Q5199">
        <v>-44.901313000000002</v>
      </c>
      <c r="R5199" s="2" t="str">
        <f>HYPERLINK("https://www.google.com/maps?q=-20.1386800,-44.9013130","Abrir no Google Maps")</f>
        <v>Abrir no Google Maps</v>
      </c>
      <c r="S5199">
        <v>3</v>
      </c>
      <c r="T5199">
        <v>322.91859681380862</v>
      </c>
      <c r="U5199">
        <v>4</v>
      </c>
      <c r="V5199">
        <v>0.94417134831460681</v>
      </c>
      <c r="W5199">
        <v>1</v>
      </c>
      <c r="X5199">
        <v>0.94417134831460681</v>
      </c>
      <c r="Y5199">
        <v>435</v>
      </c>
      <c r="Z5199">
        <v>299.891766434874</v>
      </c>
      <c r="AA5199">
        <v>198</v>
      </c>
      <c r="AB5199">
        <v>332</v>
      </c>
      <c r="AC5199">
        <v>536</v>
      </c>
      <c r="AD5199">
        <v>28.15</v>
      </c>
      <c r="AE5199">
        <v>542</v>
      </c>
      <c r="AF5199">
        <v>21</v>
      </c>
      <c r="AG5199">
        <v>176</v>
      </c>
      <c r="AH5199">
        <v>129</v>
      </c>
      <c r="AI5199">
        <v>3.87</v>
      </c>
      <c r="AJ5199">
        <v>32.47</v>
      </c>
      <c r="AK5199">
        <v>23.8</v>
      </c>
      <c r="AL5199">
        <v>-20.13865734999996</v>
      </c>
      <c r="AM5199">
        <v>-44.901255803238627</v>
      </c>
      <c r="AN5199">
        <v>-20.13865734999996</v>
      </c>
      <c r="AO5199">
        <v>-44.901255803238627</v>
      </c>
      <c r="AP5199">
        <v>-20.138680000000001</v>
      </c>
      <c r="AQ5199">
        <v>-44.901313000000002</v>
      </c>
      <c r="AR5199">
        <v>6.4878640135702481</v>
      </c>
      <c r="AS5199" t="s">
        <v>65</v>
      </c>
      <c r="AT5199">
        <v>1</v>
      </c>
      <c r="AU5199" t="s">
        <v>647</v>
      </c>
      <c r="AV5199" t="s">
        <v>648</v>
      </c>
      <c r="AW5199" t="s">
        <v>60</v>
      </c>
      <c r="AX5199" t="s">
        <v>68</v>
      </c>
      <c r="AY5199" t="s">
        <v>69</v>
      </c>
      <c r="AZ5199" t="b">
        <v>1</v>
      </c>
    </row>
    <row r="5200" spans="1:52" x14ac:dyDescent="0.3">
      <c r="A5200" t="s">
        <v>52</v>
      </c>
      <c r="B5200" t="s">
        <v>53</v>
      </c>
      <c r="C5200" t="s">
        <v>54</v>
      </c>
      <c r="D5200" t="s">
        <v>55</v>
      </c>
      <c r="E5200" t="s">
        <v>2278</v>
      </c>
      <c r="F5200" t="s">
        <v>190</v>
      </c>
      <c r="G5200" t="s">
        <v>649</v>
      </c>
      <c r="H5200" t="s">
        <v>650</v>
      </c>
      <c r="I5200" t="s">
        <v>650</v>
      </c>
      <c r="J5200" t="s">
        <v>60</v>
      </c>
      <c r="K5200" t="s">
        <v>651</v>
      </c>
      <c r="L5200" t="s">
        <v>62</v>
      </c>
      <c r="M5200" t="s">
        <v>651</v>
      </c>
      <c r="N5200" t="s">
        <v>652</v>
      </c>
      <c r="O5200" t="s">
        <v>653</v>
      </c>
      <c r="P5200">
        <v>-20.134566</v>
      </c>
      <c r="Q5200">
        <v>-44.894970999999998</v>
      </c>
      <c r="R5200" s="2" t="str">
        <f>HYPERLINK("https://www.google.com/maps?q=-20.1345660,-44.8949710","Abrir no Google Maps")</f>
        <v>Abrir no Google Maps</v>
      </c>
      <c r="S5200">
        <v>3</v>
      </c>
      <c r="T5200">
        <v>722.088947634291</v>
      </c>
      <c r="U5200">
        <v>4</v>
      </c>
      <c r="V5200">
        <v>0.95388888888888879</v>
      </c>
      <c r="W5200">
        <v>1</v>
      </c>
      <c r="X5200">
        <v>0.95388888888888879</v>
      </c>
      <c r="Y5200">
        <v>435</v>
      </c>
      <c r="Z5200">
        <v>510.93480096112631</v>
      </c>
      <c r="AA5200">
        <v>198</v>
      </c>
      <c r="AB5200">
        <v>332</v>
      </c>
      <c r="AC5200">
        <v>536</v>
      </c>
      <c r="AD5200">
        <v>28.15</v>
      </c>
      <c r="AE5200">
        <v>542</v>
      </c>
      <c r="AF5200">
        <v>21</v>
      </c>
      <c r="AG5200">
        <v>176</v>
      </c>
      <c r="AH5200">
        <v>129</v>
      </c>
      <c r="AI5200">
        <v>3.87</v>
      </c>
      <c r="AJ5200">
        <v>32.47</v>
      </c>
      <c r="AK5200">
        <v>23.8</v>
      </c>
      <c r="AL5200">
        <v>-20.134477649999951</v>
      </c>
      <c r="AM5200">
        <v>-44.894921468906077</v>
      </c>
      <c r="AN5200">
        <v>-20.134477649999951</v>
      </c>
      <c r="AO5200">
        <v>-44.894921468906077</v>
      </c>
      <c r="AP5200">
        <v>-20.134566</v>
      </c>
      <c r="AQ5200">
        <v>-44.894970999999998</v>
      </c>
      <c r="AR5200">
        <v>11.114372522967921</v>
      </c>
      <c r="AS5200" t="s">
        <v>65</v>
      </c>
      <c r="AT5200">
        <v>1</v>
      </c>
      <c r="AU5200" t="s">
        <v>654</v>
      </c>
      <c r="AV5200" t="s">
        <v>655</v>
      </c>
      <c r="AW5200" t="s">
        <v>60</v>
      </c>
      <c r="AX5200" t="s">
        <v>68</v>
      </c>
      <c r="AY5200" t="s">
        <v>69</v>
      </c>
      <c r="AZ5200" t="b">
        <v>1</v>
      </c>
    </row>
    <row r="5201" spans="1:52" x14ac:dyDescent="0.3">
      <c r="A5201" t="s">
        <v>52</v>
      </c>
      <c r="B5201" t="s">
        <v>53</v>
      </c>
      <c r="C5201" t="s">
        <v>54</v>
      </c>
      <c r="D5201" t="s">
        <v>55</v>
      </c>
      <c r="E5201" t="s">
        <v>2278</v>
      </c>
      <c r="F5201" t="s">
        <v>190</v>
      </c>
      <c r="G5201" t="s">
        <v>656</v>
      </c>
      <c r="H5201" t="s">
        <v>657</v>
      </c>
      <c r="I5201" t="s">
        <v>657</v>
      </c>
      <c r="J5201" t="s">
        <v>60</v>
      </c>
      <c r="K5201" t="s">
        <v>651</v>
      </c>
      <c r="L5201" t="s">
        <v>62</v>
      </c>
      <c r="M5201" t="s">
        <v>651</v>
      </c>
      <c r="N5201" t="s">
        <v>658</v>
      </c>
      <c r="O5201" t="s">
        <v>659</v>
      </c>
      <c r="P5201">
        <v>-20.134922</v>
      </c>
      <c r="Q5201">
        <v>-44.893098000000002</v>
      </c>
      <c r="R5201" s="2" t="str">
        <f>HYPERLINK("https://www.google.com/maps?q=-20.1349220,-44.8930980","Abrir no Google Maps")</f>
        <v>Abrir no Google Maps</v>
      </c>
      <c r="S5201">
        <v>3</v>
      </c>
      <c r="T5201">
        <v>589.83980259734562</v>
      </c>
      <c r="U5201">
        <v>4</v>
      </c>
      <c r="V5201">
        <v>0.97001888574126516</v>
      </c>
      <c r="W5201">
        <v>1</v>
      </c>
      <c r="X5201">
        <v>0.97001888574126516</v>
      </c>
      <c r="Y5201">
        <v>435</v>
      </c>
      <c r="Z5201">
        <v>663.80986080131709</v>
      </c>
      <c r="AA5201">
        <v>198</v>
      </c>
      <c r="AB5201">
        <v>332</v>
      </c>
      <c r="AC5201">
        <v>536</v>
      </c>
      <c r="AD5201">
        <v>28.15</v>
      </c>
      <c r="AE5201">
        <v>542</v>
      </c>
      <c r="AF5201">
        <v>21</v>
      </c>
      <c r="AG5201">
        <v>176</v>
      </c>
      <c r="AH5201">
        <v>129</v>
      </c>
      <c r="AI5201">
        <v>3.87</v>
      </c>
      <c r="AJ5201">
        <v>32.47</v>
      </c>
      <c r="AK5201">
        <v>23.8</v>
      </c>
      <c r="AL5201">
        <v>-20.135021049999949</v>
      </c>
      <c r="AM5201">
        <v>-44.893227478208203</v>
      </c>
      <c r="AN5201">
        <v>-20.135021049999949</v>
      </c>
      <c r="AO5201">
        <v>-44.893227478208203</v>
      </c>
      <c r="AP5201">
        <v>-20.134922</v>
      </c>
      <c r="AQ5201">
        <v>-44.893098000000002</v>
      </c>
      <c r="AR5201">
        <v>17.455940349902249</v>
      </c>
      <c r="AS5201" t="s">
        <v>65</v>
      </c>
      <c r="AT5201">
        <v>1</v>
      </c>
      <c r="AU5201" t="s">
        <v>660</v>
      </c>
      <c r="AV5201" t="s">
        <v>661</v>
      </c>
      <c r="AW5201" t="s">
        <v>60</v>
      </c>
      <c r="AX5201" t="s">
        <v>68</v>
      </c>
      <c r="AY5201" t="s">
        <v>69</v>
      </c>
      <c r="AZ5201" t="b">
        <v>1</v>
      </c>
    </row>
    <row r="5202" spans="1:52" x14ac:dyDescent="0.3">
      <c r="A5202" t="s">
        <v>52</v>
      </c>
      <c r="B5202" t="s">
        <v>53</v>
      </c>
      <c r="C5202" t="s">
        <v>54</v>
      </c>
      <c r="D5202" t="s">
        <v>55</v>
      </c>
      <c r="E5202" t="s">
        <v>2278</v>
      </c>
      <c r="F5202" t="s">
        <v>190</v>
      </c>
      <c r="G5202" t="s">
        <v>669</v>
      </c>
      <c r="H5202" t="s">
        <v>670</v>
      </c>
      <c r="I5202" t="s">
        <v>670</v>
      </c>
      <c r="J5202" t="s">
        <v>60</v>
      </c>
      <c r="K5202" t="s">
        <v>530</v>
      </c>
      <c r="L5202" t="s">
        <v>62</v>
      </c>
      <c r="M5202" t="s">
        <v>530</v>
      </c>
      <c r="N5202" t="s">
        <v>671</v>
      </c>
      <c r="O5202" t="s">
        <v>672</v>
      </c>
      <c r="P5202">
        <v>-20.139036999999998</v>
      </c>
      <c r="Q5202">
        <v>-44.889187</v>
      </c>
      <c r="R5202" s="2" t="str">
        <f>HYPERLINK("https://www.google.com/maps?q=-20.1390370,-44.8891870","Abrir no Google Maps")</f>
        <v>Abrir no Google Maps</v>
      </c>
      <c r="S5202">
        <v>3</v>
      </c>
      <c r="T5202">
        <v>162.03713995333371</v>
      </c>
      <c r="U5202">
        <v>4</v>
      </c>
      <c r="V5202">
        <v>0.9765625</v>
      </c>
      <c r="W5202">
        <v>1</v>
      </c>
      <c r="X5202">
        <v>0.9765625</v>
      </c>
      <c r="Y5202">
        <v>428</v>
      </c>
      <c r="Z5202">
        <v>126.21352118044651</v>
      </c>
      <c r="AA5202">
        <v>198</v>
      </c>
      <c r="AB5202">
        <v>332</v>
      </c>
      <c r="AC5202">
        <v>536</v>
      </c>
      <c r="AD5202">
        <v>28.15</v>
      </c>
      <c r="AE5202">
        <v>542</v>
      </c>
      <c r="AF5202">
        <v>21</v>
      </c>
      <c r="AG5202">
        <v>176</v>
      </c>
      <c r="AH5202">
        <v>129</v>
      </c>
      <c r="AI5202">
        <v>3.87</v>
      </c>
      <c r="AJ5202">
        <v>32.47</v>
      </c>
      <c r="AK5202">
        <v>23.8</v>
      </c>
      <c r="AL5202">
        <v>-20.13900394999996</v>
      </c>
      <c r="AM5202">
        <v>-44.889298503583859</v>
      </c>
      <c r="AN5202">
        <v>-20.13900394999996</v>
      </c>
      <c r="AO5202">
        <v>-44.889298503583859</v>
      </c>
      <c r="AP5202">
        <v>-20.139036999999998</v>
      </c>
      <c r="AQ5202">
        <v>-44.889187</v>
      </c>
      <c r="AR5202">
        <v>12.220642731957311</v>
      </c>
      <c r="AS5202" t="s">
        <v>65</v>
      </c>
      <c r="AT5202">
        <v>1</v>
      </c>
      <c r="AU5202" t="s">
        <v>673</v>
      </c>
      <c r="AV5202" t="s">
        <v>674</v>
      </c>
      <c r="AW5202" t="s">
        <v>60</v>
      </c>
      <c r="AX5202" t="s">
        <v>68</v>
      </c>
      <c r="AY5202" t="s">
        <v>69</v>
      </c>
      <c r="AZ5202" t="b">
        <v>1</v>
      </c>
    </row>
    <row r="5203" spans="1:52" x14ac:dyDescent="0.3">
      <c r="A5203" t="s">
        <v>52</v>
      </c>
      <c r="B5203" t="s">
        <v>53</v>
      </c>
      <c r="C5203" t="s">
        <v>54</v>
      </c>
      <c r="D5203" t="s">
        <v>55</v>
      </c>
      <c r="E5203" t="s">
        <v>2278</v>
      </c>
      <c r="F5203" t="s">
        <v>190</v>
      </c>
      <c r="G5203" t="s">
        <v>675</v>
      </c>
      <c r="H5203" t="s">
        <v>676</v>
      </c>
      <c r="I5203" t="s">
        <v>676</v>
      </c>
      <c r="J5203" t="s">
        <v>60</v>
      </c>
      <c r="K5203" t="s">
        <v>530</v>
      </c>
      <c r="L5203" t="s">
        <v>62</v>
      </c>
      <c r="M5203" t="s">
        <v>530</v>
      </c>
      <c r="N5203" t="s">
        <v>677</v>
      </c>
      <c r="O5203" t="s">
        <v>678</v>
      </c>
      <c r="P5203">
        <v>-20.140103</v>
      </c>
      <c r="Q5203">
        <v>-44.887059999999998</v>
      </c>
      <c r="R5203" s="2" t="str">
        <f>HYPERLINK("https://www.google.com/maps?q=-20.1401030,-44.8870600","Abrir no Google Maps")</f>
        <v>Abrir no Google Maps</v>
      </c>
      <c r="S5203">
        <v>3</v>
      </c>
      <c r="T5203">
        <v>202.19329492684349</v>
      </c>
      <c r="U5203">
        <v>4</v>
      </c>
      <c r="V5203">
        <v>0.99070631970260237</v>
      </c>
      <c r="W5203">
        <v>1</v>
      </c>
      <c r="X5203">
        <v>0.99070631970260237</v>
      </c>
      <c r="Y5203">
        <v>428</v>
      </c>
      <c r="Z5203">
        <v>144.95603883960419</v>
      </c>
      <c r="AA5203">
        <v>198</v>
      </c>
      <c r="AB5203">
        <v>332</v>
      </c>
      <c r="AC5203">
        <v>536</v>
      </c>
      <c r="AD5203">
        <v>28.15</v>
      </c>
      <c r="AE5203">
        <v>542</v>
      </c>
      <c r="AF5203">
        <v>21</v>
      </c>
      <c r="AG5203">
        <v>176</v>
      </c>
      <c r="AH5203">
        <v>129</v>
      </c>
      <c r="AI5203">
        <v>3.87</v>
      </c>
      <c r="AJ5203">
        <v>32.47</v>
      </c>
      <c r="AK5203">
        <v>23.8</v>
      </c>
      <c r="AL5203">
        <v>-20.13997164999995</v>
      </c>
      <c r="AM5203">
        <v>-44.887075246455773</v>
      </c>
      <c r="AN5203">
        <v>-20.13997164999995</v>
      </c>
      <c r="AO5203">
        <v>-44.887075246455773</v>
      </c>
      <c r="AP5203">
        <v>-20.140103</v>
      </c>
      <c r="AQ5203">
        <v>-44.887059999999998</v>
      </c>
      <c r="AR5203">
        <v>14.7084512385181</v>
      </c>
      <c r="AS5203" t="s">
        <v>65</v>
      </c>
      <c r="AT5203">
        <v>1</v>
      </c>
      <c r="AU5203" t="s">
        <v>679</v>
      </c>
      <c r="AV5203" t="s">
        <v>680</v>
      </c>
      <c r="AW5203" t="s">
        <v>60</v>
      </c>
      <c r="AX5203" t="s">
        <v>68</v>
      </c>
      <c r="AY5203" t="s">
        <v>69</v>
      </c>
      <c r="AZ5203" t="b">
        <v>1</v>
      </c>
    </row>
    <row r="5204" spans="1:52" x14ac:dyDescent="0.3">
      <c r="A5204" t="s">
        <v>52</v>
      </c>
      <c r="B5204" t="s">
        <v>53</v>
      </c>
      <c r="C5204" t="s">
        <v>54</v>
      </c>
      <c r="D5204" t="s">
        <v>55</v>
      </c>
      <c r="E5204" t="s">
        <v>2278</v>
      </c>
      <c r="F5204" t="s">
        <v>190</v>
      </c>
      <c r="G5204" t="s">
        <v>681</v>
      </c>
      <c r="H5204" t="s">
        <v>682</v>
      </c>
      <c r="I5204" t="s">
        <v>682</v>
      </c>
      <c r="J5204" t="s">
        <v>60</v>
      </c>
      <c r="K5204" t="s">
        <v>530</v>
      </c>
      <c r="L5204" t="s">
        <v>62</v>
      </c>
      <c r="M5204" t="s">
        <v>530</v>
      </c>
      <c r="N5204" t="s">
        <v>683</v>
      </c>
      <c r="O5204" t="s">
        <v>173</v>
      </c>
      <c r="P5204">
        <v>-20.138342999999999</v>
      </c>
      <c r="Q5204">
        <v>-44.887732</v>
      </c>
      <c r="R5204" s="2" t="str">
        <f>HYPERLINK("https://www.google.com/maps?q=-20.1383430,-44.8877320","Abrir no Google Maps")</f>
        <v>Abrir no Google Maps</v>
      </c>
      <c r="S5204">
        <v>3</v>
      </c>
      <c r="T5204">
        <v>0</v>
      </c>
      <c r="U5204">
        <v>4</v>
      </c>
      <c r="V5204">
        <v>0.97728587962962965</v>
      </c>
      <c r="W5204">
        <v>1</v>
      </c>
      <c r="X5204">
        <v>0.97728587962962965</v>
      </c>
      <c r="Y5204">
        <v>428</v>
      </c>
      <c r="Z5204">
        <v>82.685534812530861</v>
      </c>
      <c r="AA5204">
        <v>198</v>
      </c>
      <c r="AB5204">
        <v>332</v>
      </c>
      <c r="AC5204">
        <v>536</v>
      </c>
      <c r="AD5204">
        <v>28.15</v>
      </c>
      <c r="AE5204">
        <v>542</v>
      </c>
      <c r="AF5204">
        <v>21</v>
      </c>
      <c r="AG5204">
        <v>176</v>
      </c>
      <c r="AH5204">
        <v>129</v>
      </c>
      <c r="AI5204">
        <v>3.87</v>
      </c>
      <c r="AJ5204">
        <v>32.47</v>
      </c>
      <c r="AK5204">
        <v>23.8</v>
      </c>
      <c r="AL5204">
        <v>-20.138329099999961</v>
      </c>
      <c r="AM5204">
        <v>-44.887922589375549</v>
      </c>
      <c r="AN5204">
        <v>-20.138329099999961</v>
      </c>
      <c r="AO5204">
        <v>-44.887922589375549</v>
      </c>
      <c r="AP5204">
        <v>-20.138342999999999</v>
      </c>
      <c r="AQ5204">
        <v>-44.887732</v>
      </c>
      <c r="AR5204">
        <v>19.979335127307191</v>
      </c>
      <c r="AS5204" t="s">
        <v>65</v>
      </c>
      <c r="AT5204">
        <v>1</v>
      </c>
      <c r="AU5204" t="s">
        <v>684</v>
      </c>
      <c r="AV5204" t="s">
        <v>685</v>
      </c>
      <c r="AW5204" t="s">
        <v>60</v>
      </c>
      <c r="AX5204" t="s">
        <v>68</v>
      </c>
      <c r="AY5204" t="s">
        <v>69</v>
      </c>
      <c r="AZ5204" t="b">
        <v>1</v>
      </c>
    </row>
    <row r="5205" spans="1:52" x14ac:dyDescent="0.3">
      <c r="A5205" t="s">
        <v>52</v>
      </c>
      <c r="B5205" t="s">
        <v>53</v>
      </c>
      <c r="C5205" t="s">
        <v>54</v>
      </c>
      <c r="D5205" t="s">
        <v>55</v>
      </c>
      <c r="E5205" t="s">
        <v>2278</v>
      </c>
      <c r="F5205" t="s">
        <v>190</v>
      </c>
      <c r="G5205" t="s">
        <v>686</v>
      </c>
      <c r="H5205" t="s">
        <v>687</v>
      </c>
      <c r="I5205" t="s">
        <v>687</v>
      </c>
      <c r="J5205" t="s">
        <v>60</v>
      </c>
      <c r="K5205" t="s">
        <v>688</v>
      </c>
      <c r="L5205" t="s">
        <v>62</v>
      </c>
      <c r="M5205" t="s">
        <v>688</v>
      </c>
      <c r="N5205" t="s">
        <v>689</v>
      </c>
      <c r="O5205" t="s">
        <v>690</v>
      </c>
      <c r="P5205">
        <v>-20.136451999999998</v>
      </c>
      <c r="Q5205">
        <v>-44.891254000000004</v>
      </c>
      <c r="R5205" s="2" t="str">
        <f>HYPERLINK("https://www.google.com/maps?q=-20.1364520,-44.8912540","Abrir no Google Maps")</f>
        <v>Abrir no Google Maps</v>
      </c>
      <c r="S5205">
        <v>3</v>
      </c>
      <c r="T5205">
        <v>397.58661308638909</v>
      </c>
      <c r="U5205">
        <v>4</v>
      </c>
      <c r="V5205">
        <v>0.97757633587786241</v>
      </c>
      <c r="W5205">
        <v>1</v>
      </c>
      <c r="X5205">
        <v>0.97757633587786241</v>
      </c>
      <c r="Y5205">
        <v>428</v>
      </c>
      <c r="Z5205">
        <v>449.62002896840892</v>
      </c>
      <c r="AA5205">
        <v>198</v>
      </c>
      <c r="AB5205">
        <v>332</v>
      </c>
      <c r="AC5205">
        <v>536</v>
      </c>
      <c r="AD5205">
        <v>28.15</v>
      </c>
      <c r="AE5205">
        <v>542</v>
      </c>
      <c r="AF5205">
        <v>21</v>
      </c>
      <c r="AG5205">
        <v>176</v>
      </c>
      <c r="AH5205">
        <v>129</v>
      </c>
      <c r="AI5205">
        <v>3.87</v>
      </c>
      <c r="AJ5205">
        <v>32.47</v>
      </c>
      <c r="AK5205">
        <v>23.8</v>
      </c>
      <c r="AL5205">
        <v>-20.136400499999951</v>
      </c>
      <c r="AM5205">
        <v>-44.891173264034883</v>
      </c>
      <c r="AN5205">
        <v>-20.136400499999951</v>
      </c>
      <c r="AO5205">
        <v>-44.891173264034883</v>
      </c>
      <c r="AP5205">
        <v>-20.136451999999998</v>
      </c>
      <c r="AQ5205">
        <v>-44.891254000000004</v>
      </c>
      <c r="AR5205">
        <v>10.20146066113916</v>
      </c>
      <c r="AS5205" t="s">
        <v>65</v>
      </c>
      <c r="AT5205">
        <v>1</v>
      </c>
      <c r="AU5205" t="s">
        <v>691</v>
      </c>
      <c r="AV5205" t="s">
        <v>692</v>
      </c>
      <c r="AW5205" t="s">
        <v>60</v>
      </c>
      <c r="AX5205" t="s">
        <v>68</v>
      </c>
      <c r="AY5205" t="s">
        <v>69</v>
      </c>
      <c r="AZ5205" t="b">
        <v>1</v>
      </c>
    </row>
    <row r="5206" spans="1:52" x14ac:dyDescent="0.3">
      <c r="A5206" t="s">
        <v>52</v>
      </c>
      <c r="B5206" t="s">
        <v>53</v>
      </c>
      <c r="C5206" t="s">
        <v>54</v>
      </c>
      <c r="D5206" t="s">
        <v>55</v>
      </c>
      <c r="E5206" t="s">
        <v>2278</v>
      </c>
      <c r="F5206" t="s">
        <v>190</v>
      </c>
      <c r="G5206" t="s">
        <v>1044</v>
      </c>
      <c r="H5206" t="s">
        <v>1045</v>
      </c>
      <c r="I5206" t="s">
        <v>1045</v>
      </c>
      <c r="J5206" t="s">
        <v>60</v>
      </c>
      <c r="K5206" t="s">
        <v>702</v>
      </c>
      <c r="L5206" t="s">
        <v>62</v>
      </c>
      <c r="M5206" t="s">
        <v>702</v>
      </c>
      <c r="N5206" t="s">
        <v>983</v>
      </c>
      <c r="O5206" t="s">
        <v>1046</v>
      </c>
      <c r="P5206">
        <v>-20.172056000000001</v>
      </c>
      <c r="Q5206">
        <v>-44.861556999999998</v>
      </c>
      <c r="R5206" s="2" t="str">
        <f>HYPERLINK("https://www.google.com/maps?q=-20.1720560,-44.8615570","Abrir no Google Maps")</f>
        <v>Abrir no Google Maps</v>
      </c>
      <c r="S5206">
        <v>3</v>
      </c>
      <c r="T5206">
        <v>387.50881633442719</v>
      </c>
      <c r="U5206">
        <v>4</v>
      </c>
      <c r="V5206">
        <v>0.88475609756097562</v>
      </c>
      <c r="W5206">
        <v>1</v>
      </c>
      <c r="X5206">
        <v>0.88475609756097562</v>
      </c>
      <c r="Y5206">
        <v>422</v>
      </c>
      <c r="Z5206">
        <v>592.01060063884404</v>
      </c>
      <c r="AA5206">
        <v>198</v>
      </c>
      <c r="AB5206">
        <v>332</v>
      </c>
      <c r="AC5206">
        <v>536</v>
      </c>
      <c r="AD5206">
        <v>28.15</v>
      </c>
      <c r="AE5206">
        <v>542</v>
      </c>
      <c r="AF5206">
        <v>21</v>
      </c>
      <c r="AG5206">
        <v>176</v>
      </c>
      <c r="AH5206">
        <v>129</v>
      </c>
      <c r="AI5206">
        <v>3.87</v>
      </c>
      <c r="AJ5206">
        <v>32.47</v>
      </c>
      <c r="AK5206">
        <v>23.8</v>
      </c>
      <c r="AL5206">
        <v>-20.171880149999961</v>
      </c>
      <c r="AM5206">
        <v>-44.861715860253369</v>
      </c>
      <c r="AN5206">
        <v>-20.171880149999961</v>
      </c>
      <c r="AO5206">
        <v>-44.861715860253369</v>
      </c>
      <c r="AP5206">
        <v>-20.172056000000001</v>
      </c>
      <c r="AQ5206">
        <v>-44.861556999999998</v>
      </c>
      <c r="AR5206">
        <v>25.66616443825145</v>
      </c>
      <c r="AS5206" t="s">
        <v>65</v>
      </c>
      <c r="AT5206">
        <v>1</v>
      </c>
      <c r="AU5206" t="s">
        <v>1047</v>
      </c>
      <c r="AV5206" t="s">
        <v>705</v>
      </c>
      <c r="AW5206" t="s">
        <v>60</v>
      </c>
      <c r="AX5206" t="s">
        <v>68</v>
      </c>
      <c r="AY5206" t="s">
        <v>69</v>
      </c>
      <c r="AZ5206" t="b">
        <v>1</v>
      </c>
    </row>
    <row r="5207" spans="1:52" x14ac:dyDescent="0.3">
      <c r="A5207" t="s">
        <v>52</v>
      </c>
      <c r="B5207" t="s">
        <v>53</v>
      </c>
      <c r="C5207" t="s">
        <v>54</v>
      </c>
      <c r="D5207" t="s">
        <v>55</v>
      </c>
      <c r="E5207" t="s">
        <v>2278</v>
      </c>
      <c r="F5207" t="s">
        <v>190</v>
      </c>
      <c r="G5207" t="s">
        <v>1048</v>
      </c>
      <c r="H5207" t="s">
        <v>1049</v>
      </c>
      <c r="I5207" t="s">
        <v>1049</v>
      </c>
      <c r="J5207" t="s">
        <v>60</v>
      </c>
      <c r="K5207" t="s">
        <v>708</v>
      </c>
      <c r="L5207" t="s">
        <v>62</v>
      </c>
      <c r="M5207" t="s">
        <v>708</v>
      </c>
      <c r="N5207" t="s">
        <v>1050</v>
      </c>
      <c r="O5207" t="s">
        <v>1051</v>
      </c>
      <c r="P5207">
        <v>-20.128316000000002</v>
      </c>
      <c r="Q5207">
        <v>-44.878137000000002</v>
      </c>
      <c r="R5207" s="2" t="str">
        <f>HYPERLINK("https://www.google.com/maps?q=-20.1283160,-44.8781370","Abrir no Google Maps")</f>
        <v>Abrir no Google Maps</v>
      </c>
      <c r="S5207">
        <v>3</v>
      </c>
      <c r="T5207">
        <v>513.28053815499243</v>
      </c>
      <c r="U5207">
        <v>4</v>
      </c>
      <c r="V5207">
        <v>0.89093137254901955</v>
      </c>
      <c r="W5207">
        <v>1</v>
      </c>
      <c r="X5207">
        <v>0.89093137254901955</v>
      </c>
      <c r="Y5207">
        <v>387</v>
      </c>
      <c r="Z5207">
        <v>385.74604528561741</v>
      </c>
      <c r="AA5207">
        <v>198</v>
      </c>
      <c r="AB5207">
        <v>332</v>
      </c>
      <c r="AC5207">
        <v>536</v>
      </c>
      <c r="AD5207">
        <v>28.15</v>
      </c>
      <c r="AE5207">
        <v>542</v>
      </c>
      <c r="AF5207">
        <v>21</v>
      </c>
      <c r="AG5207">
        <v>176</v>
      </c>
      <c r="AH5207">
        <v>129</v>
      </c>
      <c r="AI5207">
        <v>3.87</v>
      </c>
      <c r="AJ5207">
        <v>32.47</v>
      </c>
      <c r="AK5207">
        <v>23.8</v>
      </c>
      <c r="AL5207">
        <v>-20.128308349999969</v>
      </c>
      <c r="AM5207">
        <v>-44.878115052779357</v>
      </c>
      <c r="AN5207">
        <v>-20.128308349999969</v>
      </c>
      <c r="AO5207">
        <v>-44.878115052779357</v>
      </c>
      <c r="AP5207">
        <v>-20.128316000000002</v>
      </c>
      <c r="AQ5207">
        <v>-44.878137000000002</v>
      </c>
      <c r="AR5207">
        <v>2.4469186172207671</v>
      </c>
      <c r="AS5207" t="s">
        <v>65</v>
      </c>
      <c r="AT5207">
        <v>1</v>
      </c>
      <c r="AU5207" t="s">
        <v>1052</v>
      </c>
      <c r="AV5207" t="s">
        <v>1053</v>
      </c>
      <c r="AW5207" t="s">
        <v>60</v>
      </c>
      <c r="AX5207" t="s">
        <v>68</v>
      </c>
      <c r="AY5207" t="s">
        <v>69</v>
      </c>
      <c r="AZ5207" t="b">
        <v>1</v>
      </c>
    </row>
    <row r="5208" spans="1:52" x14ac:dyDescent="0.3">
      <c r="A5208" t="s">
        <v>52</v>
      </c>
      <c r="B5208" t="s">
        <v>53</v>
      </c>
      <c r="C5208" t="s">
        <v>54</v>
      </c>
      <c r="D5208" t="s">
        <v>55</v>
      </c>
      <c r="E5208" t="s">
        <v>2278</v>
      </c>
      <c r="F5208" t="s">
        <v>190</v>
      </c>
      <c r="G5208" t="s">
        <v>706</v>
      </c>
      <c r="H5208" t="s">
        <v>707</v>
      </c>
      <c r="I5208" t="s">
        <v>707</v>
      </c>
      <c r="J5208" t="s">
        <v>60</v>
      </c>
      <c r="K5208" t="s">
        <v>708</v>
      </c>
      <c r="L5208" t="s">
        <v>62</v>
      </c>
      <c r="M5208" t="s">
        <v>708</v>
      </c>
      <c r="N5208" t="s">
        <v>709</v>
      </c>
      <c r="O5208" t="s">
        <v>710</v>
      </c>
      <c r="P5208">
        <v>-20.127054999999999</v>
      </c>
      <c r="Q5208">
        <v>-44.872073</v>
      </c>
      <c r="R5208" s="2" t="str">
        <f>HYPERLINK("https://www.google.com/maps?q=-20.1270550,-44.8720730","Abrir no Google Maps")</f>
        <v>Abrir no Google Maps</v>
      </c>
      <c r="S5208">
        <v>3</v>
      </c>
      <c r="T5208">
        <v>395.91108553086929</v>
      </c>
      <c r="U5208">
        <v>4</v>
      </c>
      <c r="V5208">
        <v>0.91279069767441878</v>
      </c>
      <c r="W5208">
        <v>1</v>
      </c>
      <c r="X5208">
        <v>0.91279069767441878</v>
      </c>
      <c r="Y5208">
        <v>387</v>
      </c>
      <c r="Z5208">
        <v>518.31496622382247</v>
      </c>
      <c r="AA5208">
        <v>198</v>
      </c>
      <c r="AB5208">
        <v>332</v>
      </c>
      <c r="AC5208">
        <v>536</v>
      </c>
      <c r="AD5208">
        <v>28.15</v>
      </c>
      <c r="AE5208">
        <v>542</v>
      </c>
      <c r="AF5208">
        <v>21</v>
      </c>
      <c r="AG5208">
        <v>176</v>
      </c>
      <c r="AH5208">
        <v>129</v>
      </c>
      <c r="AI5208">
        <v>3.87</v>
      </c>
      <c r="AJ5208">
        <v>32.47</v>
      </c>
      <c r="AK5208">
        <v>23.8</v>
      </c>
      <c r="AL5208">
        <v>-20.126854749999978</v>
      </c>
      <c r="AM5208">
        <v>-44.871712455027861</v>
      </c>
      <c r="AN5208">
        <v>-20.126854749999978</v>
      </c>
      <c r="AO5208">
        <v>-44.871712455027861</v>
      </c>
      <c r="AP5208">
        <v>-20.127054999999999</v>
      </c>
      <c r="AQ5208">
        <v>-44.872073</v>
      </c>
      <c r="AR5208">
        <v>43.784435535392717</v>
      </c>
      <c r="AS5208" t="s">
        <v>65</v>
      </c>
      <c r="AT5208">
        <v>1</v>
      </c>
      <c r="AU5208" t="s">
        <v>711</v>
      </c>
      <c r="AV5208" t="s">
        <v>712</v>
      </c>
      <c r="AW5208" t="s">
        <v>60</v>
      </c>
      <c r="AX5208" t="s">
        <v>68</v>
      </c>
      <c r="AY5208" t="s">
        <v>69</v>
      </c>
      <c r="AZ5208" t="b">
        <v>1</v>
      </c>
    </row>
    <row r="5209" spans="1:52" x14ac:dyDescent="0.3">
      <c r="A5209" t="s">
        <v>52</v>
      </c>
      <c r="B5209" t="s">
        <v>53</v>
      </c>
      <c r="C5209" t="s">
        <v>54</v>
      </c>
      <c r="D5209" t="s">
        <v>55</v>
      </c>
      <c r="E5209" t="s">
        <v>2278</v>
      </c>
      <c r="F5209" t="s">
        <v>190</v>
      </c>
      <c r="G5209" t="s">
        <v>713</v>
      </c>
      <c r="H5209" t="s">
        <v>714</v>
      </c>
      <c r="I5209" t="s">
        <v>714</v>
      </c>
      <c r="J5209" t="s">
        <v>60</v>
      </c>
      <c r="K5209" t="s">
        <v>708</v>
      </c>
      <c r="L5209" t="s">
        <v>62</v>
      </c>
      <c r="M5209" t="s">
        <v>708</v>
      </c>
      <c r="N5209" t="s">
        <v>715</v>
      </c>
      <c r="O5209" t="s">
        <v>604</v>
      </c>
      <c r="P5209">
        <v>-20.133372000000001</v>
      </c>
      <c r="Q5209">
        <v>-44.878864</v>
      </c>
      <c r="R5209" s="2" t="str">
        <f>HYPERLINK("https://www.google.com/maps?q=-20.1333720,-44.8788640","Abrir no Google Maps")</f>
        <v>Abrir no Google Maps</v>
      </c>
      <c r="S5209">
        <v>3</v>
      </c>
      <c r="T5209">
        <v>719.22842848296966</v>
      </c>
      <c r="U5209">
        <v>4</v>
      </c>
      <c r="V5209">
        <v>0.93067685589519655</v>
      </c>
      <c r="W5209">
        <v>1</v>
      </c>
      <c r="X5209">
        <v>0.93067685589519655</v>
      </c>
      <c r="Y5209">
        <v>387</v>
      </c>
      <c r="Z5209">
        <v>630.8628365125652</v>
      </c>
      <c r="AA5209">
        <v>198</v>
      </c>
      <c r="AB5209">
        <v>332</v>
      </c>
      <c r="AC5209">
        <v>536</v>
      </c>
      <c r="AD5209">
        <v>28.15</v>
      </c>
      <c r="AE5209">
        <v>542</v>
      </c>
      <c r="AF5209">
        <v>21</v>
      </c>
      <c r="AG5209">
        <v>176</v>
      </c>
      <c r="AH5209">
        <v>129</v>
      </c>
      <c r="AI5209">
        <v>3.87</v>
      </c>
      <c r="AJ5209">
        <v>32.47</v>
      </c>
      <c r="AK5209">
        <v>23.8</v>
      </c>
      <c r="AL5209">
        <v>-20.133312349999951</v>
      </c>
      <c r="AM5209">
        <v>-44.879452111094892</v>
      </c>
      <c r="AN5209">
        <v>-20.133312349999951</v>
      </c>
      <c r="AO5209">
        <v>-44.879452111094892</v>
      </c>
      <c r="AP5209">
        <v>-20.133372000000001</v>
      </c>
      <c r="AQ5209">
        <v>-44.878864</v>
      </c>
      <c r="AR5209">
        <v>61.825649864116713</v>
      </c>
      <c r="AS5209" t="s">
        <v>65</v>
      </c>
      <c r="AT5209">
        <v>1</v>
      </c>
      <c r="AU5209" t="s">
        <v>716</v>
      </c>
      <c r="AV5209" t="s">
        <v>717</v>
      </c>
      <c r="AW5209" t="s">
        <v>60</v>
      </c>
      <c r="AX5209" t="s">
        <v>68</v>
      </c>
      <c r="AY5209" t="s">
        <v>69</v>
      </c>
      <c r="AZ5209" t="b">
        <v>1</v>
      </c>
    </row>
    <row r="5210" spans="1:52" x14ac:dyDescent="0.3">
      <c r="A5210" t="s">
        <v>52</v>
      </c>
      <c r="B5210" t="s">
        <v>53</v>
      </c>
      <c r="C5210" t="s">
        <v>54</v>
      </c>
      <c r="D5210" t="s">
        <v>55</v>
      </c>
      <c r="E5210" t="s">
        <v>2278</v>
      </c>
      <c r="F5210" t="s">
        <v>190</v>
      </c>
      <c r="G5210" t="s">
        <v>718</v>
      </c>
      <c r="H5210" t="s">
        <v>719</v>
      </c>
      <c r="I5210" t="s">
        <v>719</v>
      </c>
      <c r="J5210" t="s">
        <v>60</v>
      </c>
      <c r="K5210" t="s">
        <v>708</v>
      </c>
      <c r="L5210" t="s">
        <v>62</v>
      </c>
      <c r="M5210" t="s">
        <v>708</v>
      </c>
      <c r="N5210" t="s">
        <v>720</v>
      </c>
      <c r="O5210" t="s">
        <v>721</v>
      </c>
      <c r="P5210">
        <v>-20.130344000000001</v>
      </c>
      <c r="Q5210">
        <v>-44.878869000000002</v>
      </c>
      <c r="R5210" s="2" t="str">
        <f>HYPERLINK("https://www.google.com/maps?q=-20.1303440,-44.8788690","Abrir no Google Maps")</f>
        <v>Abrir no Google Maps</v>
      </c>
      <c r="S5210">
        <v>3</v>
      </c>
      <c r="T5210">
        <v>556.14753541089829</v>
      </c>
      <c r="U5210">
        <v>4</v>
      </c>
      <c r="V5210">
        <v>0.95610119047619035</v>
      </c>
      <c r="W5210">
        <v>1</v>
      </c>
      <c r="X5210">
        <v>0.95610119047619035</v>
      </c>
      <c r="Y5210">
        <v>387</v>
      </c>
      <c r="Z5210">
        <v>521.53850378132177</v>
      </c>
      <c r="AA5210">
        <v>198</v>
      </c>
      <c r="AB5210">
        <v>332</v>
      </c>
      <c r="AC5210">
        <v>536</v>
      </c>
      <c r="AD5210">
        <v>28.15</v>
      </c>
      <c r="AE5210">
        <v>542</v>
      </c>
      <c r="AF5210">
        <v>21</v>
      </c>
      <c r="AG5210">
        <v>176</v>
      </c>
      <c r="AH5210">
        <v>129</v>
      </c>
      <c r="AI5210">
        <v>3.87</v>
      </c>
      <c r="AJ5210">
        <v>32.47</v>
      </c>
      <c r="AK5210">
        <v>23.8</v>
      </c>
      <c r="AL5210">
        <v>-20.13050289999995</v>
      </c>
      <c r="AM5210">
        <v>-44.878831282856943</v>
      </c>
      <c r="AN5210">
        <v>-20.13050289999995</v>
      </c>
      <c r="AO5210">
        <v>-44.878831282856943</v>
      </c>
      <c r="AP5210">
        <v>-20.130344000000001</v>
      </c>
      <c r="AQ5210">
        <v>-44.878869000000002</v>
      </c>
      <c r="AR5210">
        <v>18.122709277240279</v>
      </c>
      <c r="AS5210" t="s">
        <v>65</v>
      </c>
      <c r="AT5210">
        <v>1</v>
      </c>
      <c r="AU5210" t="s">
        <v>722</v>
      </c>
      <c r="AV5210" t="s">
        <v>723</v>
      </c>
      <c r="AW5210" t="s">
        <v>60</v>
      </c>
      <c r="AX5210" t="s">
        <v>68</v>
      </c>
      <c r="AY5210" t="s">
        <v>69</v>
      </c>
      <c r="AZ5210" t="b">
        <v>1</v>
      </c>
    </row>
    <row r="5211" spans="1:52" x14ac:dyDescent="0.3">
      <c r="A5211" t="s">
        <v>52</v>
      </c>
      <c r="B5211" t="s">
        <v>53</v>
      </c>
      <c r="C5211" t="s">
        <v>54</v>
      </c>
      <c r="D5211" t="s">
        <v>55</v>
      </c>
      <c r="E5211" t="s">
        <v>2278</v>
      </c>
      <c r="F5211" t="s">
        <v>190</v>
      </c>
      <c r="G5211" t="s">
        <v>724</v>
      </c>
      <c r="H5211" t="s">
        <v>725</v>
      </c>
      <c r="I5211" t="s">
        <v>725</v>
      </c>
      <c r="J5211" t="s">
        <v>60</v>
      </c>
      <c r="K5211" t="s">
        <v>708</v>
      </c>
      <c r="L5211" t="s">
        <v>62</v>
      </c>
      <c r="M5211" t="s">
        <v>708</v>
      </c>
      <c r="N5211" t="s">
        <v>726</v>
      </c>
      <c r="O5211" t="s">
        <v>727</v>
      </c>
      <c r="P5211">
        <v>-20.131702000000001</v>
      </c>
      <c r="Q5211">
        <v>-44.873930999999999</v>
      </c>
      <c r="R5211" s="2" t="str">
        <f>HYPERLINK("https://www.google.com/maps?q=-20.1317020,-44.8739310","Abrir no Google Maps")</f>
        <v>Abrir no Google Maps</v>
      </c>
      <c r="S5211">
        <v>3</v>
      </c>
      <c r="T5211">
        <v>207.9085436463628</v>
      </c>
      <c r="U5211">
        <v>4</v>
      </c>
      <c r="V5211">
        <v>0.89997044917257685</v>
      </c>
      <c r="W5211">
        <v>1</v>
      </c>
      <c r="X5211">
        <v>0.89997044917257685</v>
      </c>
      <c r="Y5211">
        <v>387</v>
      </c>
      <c r="Z5211">
        <v>213.98086855276571</v>
      </c>
      <c r="AA5211">
        <v>198</v>
      </c>
      <c r="AB5211">
        <v>332</v>
      </c>
      <c r="AC5211">
        <v>536</v>
      </c>
      <c r="AD5211">
        <v>28.15</v>
      </c>
      <c r="AE5211">
        <v>542</v>
      </c>
      <c r="AF5211">
        <v>21</v>
      </c>
      <c r="AG5211">
        <v>176</v>
      </c>
      <c r="AH5211">
        <v>129</v>
      </c>
      <c r="AI5211">
        <v>3.87</v>
      </c>
      <c r="AJ5211">
        <v>32.47</v>
      </c>
      <c r="AK5211">
        <v>23.8</v>
      </c>
      <c r="AL5211">
        <v>-20.131807549999959</v>
      </c>
      <c r="AM5211">
        <v>-44.874039553784442</v>
      </c>
      <c r="AN5211">
        <v>-20.131807549999959</v>
      </c>
      <c r="AO5211">
        <v>-44.874039553784442</v>
      </c>
      <c r="AP5211">
        <v>-20.131702000000001</v>
      </c>
      <c r="AQ5211">
        <v>-44.873930999999999</v>
      </c>
      <c r="AR5211">
        <v>16.333643574998401</v>
      </c>
      <c r="AS5211" t="s">
        <v>65</v>
      </c>
      <c r="AT5211">
        <v>1</v>
      </c>
      <c r="AU5211" t="s">
        <v>728</v>
      </c>
      <c r="AV5211" t="s">
        <v>729</v>
      </c>
      <c r="AW5211" t="s">
        <v>60</v>
      </c>
      <c r="AX5211" t="s">
        <v>68</v>
      </c>
      <c r="AY5211" t="s">
        <v>69</v>
      </c>
      <c r="AZ5211" t="b">
        <v>1</v>
      </c>
    </row>
    <row r="5212" spans="1:52" x14ac:dyDescent="0.3">
      <c r="A5212" t="s">
        <v>52</v>
      </c>
      <c r="B5212" t="s">
        <v>53</v>
      </c>
      <c r="C5212" t="s">
        <v>54</v>
      </c>
      <c r="D5212" t="s">
        <v>55</v>
      </c>
      <c r="E5212" t="s">
        <v>2278</v>
      </c>
      <c r="F5212" t="s">
        <v>190</v>
      </c>
      <c r="G5212" t="s">
        <v>706</v>
      </c>
      <c r="H5212" t="s">
        <v>730</v>
      </c>
      <c r="I5212" t="s">
        <v>730</v>
      </c>
      <c r="J5212" t="s">
        <v>60</v>
      </c>
      <c r="K5212" t="s">
        <v>708</v>
      </c>
      <c r="L5212" t="s">
        <v>62</v>
      </c>
      <c r="M5212" t="s">
        <v>708</v>
      </c>
      <c r="N5212" t="s">
        <v>709</v>
      </c>
      <c r="O5212" t="s">
        <v>731</v>
      </c>
      <c r="P5212">
        <v>-20.130037999999999</v>
      </c>
      <c r="Q5212">
        <v>-44.873514</v>
      </c>
      <c r="R5212" s="2" t="str">
        <f>HYPERLINK("https://www.google.com/maps?q=-20.1300380,-44.8735140","Abrir no Google Maps")</f>
        <v>Abrir no Google Maps</v>
      </c>
      <c r="S5212">
        <v>3</v>
      </c>
      <c r="T5212">
        <v>0</v>
      </c>
      <c r="U5212">
        <v>4</v>
      </c>
      <c r="V5212">
        <v>0.92665289256198358</v>
      </c>
      <c r="W5212">
        <v>1</v>
      </c>
      <c r="X5212">
        <v>0.92665289256198358</v>
      </c>
      <c r="Y5212">
        <v>387</v>
      </c>
      <c r="Z5212">
        <v>108.0014931591698</v>
      </c>
      <c r="AA5212">
        <v>198</v>
      </c>
      <c r="AB5212">
        <v>332</v>
      </c>
      <c r="AC5212">
        <v>536</v>
      </c>
      <c r="AD5212">
        <v>28.15</v>
      </c>
      <c r="AE5212">
        <v>542</v>
      </c>
      <c r="AF5212">
        <v>21</v>
      </c>
      <c r="AG5212">
        <v>176</v>
      </c>
      <c r="AH5212">
        <v>129</v>
      </c>
      <c r="AI5212">
        <v>3.87</v>
      </c>
      <c r="AJ5212">
        <v>32.47</v>
      </c>
      <c r="AK5212">
        <v>23.8</v>
      </c>
      <c r="AL5212">
        <v>-20.12998944999995</v>
      </c>
      <c r="AM5212">
        <v>-44.873538114227337</v>
      </c>
      <c r="AN5212">
        <v>-20.12998944999995</v>
      </c>
      <c r="AO5212">
        <v>-44.873538114227337</v>
      </c>
      <c r="AP5212">
        <v>-20.130037999999999</v>
      </c>
      <c r="AQ5212">
        <v>-44.873514</v>
      </c>
      <c r="AR5212">
        <v>5.9633928268280867</v>
      </c>
      <c r="AS5212" t="s">
        <v>65</v>
      </c>
      <c r="AT5212">
        <v>1</v>
      </c>
      <c r="AU5212" t="s">
        <v>732</v>
      </c>
      <c r="AV5212" t="s">
        <v>733</v>
      </c>
      <c r="AW5212" t="s">
        <v>60</v>
      </c>
      <c r="AX5212" t="s">
        <v>68</v>
      </c>
      <c r="AY5212" t="s">
        <v>69</v>
      </c>
      <c r="AZ5212" t="b">
        <v>1</v>
      </c>
    </row>
    <row r="5213" spans="1:52" x14ac:dyDescent="0.3">
      <c r="A5213" t="s">
        <v>52</v>
      </c>
      <c r="B5213" t="s">
        <v>53</v>
      </c>
      <c r="C5213" t="s">
        <v>54</v>
      </c>
      <c r="D5213" t="s">
        <v>55</v>
      </c>
      <c r="E5213" t="s">
        <v>2278</v>
      </c>
      <c r="F5213" t="s">
        <v>190</v>
      </c>
      <c r="G5213" t="s">
        <v>734</v>
      </c>
      <c r="H5213" t="s">
        <v>1059</v>
      </c>
      <c r="I5213" t="s">
        <v>1059</v>
      </c>
      <c r="J5213" t="s">
        <v>60</v>
      </c>
      <c r="K5213" t="s">
        <v>736</v>
      </c>
      <c r="L5213" t="s">
        <v>62</v>
      </c>
      <c r="M5213" t="s">
        <v>736</v>
      </c>
      <c r="N5213" t="s">
        <v>1060</v>
      </c>
      <c r="O5213" t="s">
        <v>1061</v>
      </c>
      <c r="P5213">
        <v>-20.104700000000001</v>
      </c>
      <c r="Q5213">
        <v>-44.972988000000001</v>
      </c>
      <c r="R5213" s="2" t="str">
        <f>HYPERLINK("https://www.google.com/maps?q=-20.1047000,-44.9729880","Abrir no Google Maps")</f>
        <v>Abrir no Google Maps</v>
      </c>
      <c r="S5213">
        <v>3</v>
      </c>
      <c r="T5213">
        <v>0</v>
      </c>
      <c r="U5213">
        <v>4</v>
      </c>
      <c r="V5213">
        <v>0.8970588235294118</v>
      </c>
      <c r="W5213">
        <v>1</v>
      </c>
      <c r="X5213">
        <v>0.8970588235294118</v>
      </c>
      <c r="Y5213">
        <v>385</v>
      </c>
      <c r="Z5213">
        <v>130.87424695814411</v>
      </c>
      <c r="AA5213">
        <v>198</v>
      </c>
      <c r="AB5213">
        <v>332</v>
      </c>
      <c r="AC5213">
        <v>536</v>
      </c>
      <c r="AD5213">
        <v>28.15</v>
      </c>
      <c r="AE5213">
        <v>542</v>
      </c>
      <c r="AF5213">
        <v>21</v>
      </c>
      <c r="AG5213">
        <v>176</v>
      </c>
      <c r="AH5213">
        <v>129</v>
      </c>
      <c r="AI5213">
        <v>3.87</v>
      </c>
      <c r="AJ5213">
        <v>32.47</v>
      </c>
      <c r="AK5213">
        <v>23.8</v>
      </c>
      <c r="AL5213">
        <v>-20.104640449999948</v>
      </c>
      <c r="AM5213">
        <v>-44.972990283032523</v>
      </c>
      <c r="AN5213">
        <v>-20.104640449999948</v>
      </c>
      <c r="AO5213">
        <v>-44.972990283032509</v>
      </c>
      <c r="AP5213">
        <v>-20.104700000000001</v>
      </c>
      <c r="AQ5213">
        <v>-44.972988000000001</v>
      </c>
      <c r="AR5213">
        <v>6.6334007529191332</v>
      </c>
      <c r="AS5213" t="s">
        <v>65</v>
      </c>
      <c r="AT5213">
        <v>1</v>
      </c>
      <c r="AU5213" t="s">
        <v>1062</v>
      </c>
      <c r="AV5213" t="s">
        <v>1063</v>
      </c>
      <c r="AW5213" t="s">
        <v>60</v>
      </c>
      <c r="AX5213" t="s">
        <v>68</v>
      </c>
      <c r="AY5213" t="s">
        <v>69</v>
      </c>
      <c r="AZ5213" t="b">
        <v>1</v>
      </c>
    </row>
    <row r="5214" spans="1:52" x14ac:dyDescent="0.3">
      <c r="A5214" t="s">
        <v>52</v>
      </c>
      <c r="B5214" t="s">
        <v>53</v>
      </c>
      <c r="C5214" t="s">
        <v>54</v>
      </c>
      <c r="D5214" t="s">
        <v>55</v>
      </c>
      <c r="E5214" t="s">
        <v>2278</v>
      </c>
      <c r="F5214" t="s">
        <v>190</v>
      </c>
      <c r="G5214" t="s">
        <v>741</v>
      </c>
      <c r="H5214" t="s">
        <v>742</v>
      </c>
      <c r="I5214" t="s">
        <v>742</v>
      </c>
      <c r="J5214" t="s">
        <v>60</v>
      </c>
      <c r="K5214" t="s">
        <v>688</v>
      </c>
      <c r="L5214" t="s">
        <v>62</v>
      </c>
      <c r="M5214" t="s">
        <v>688</v>
      </c>
      <c r="N5214" t="s">
        <v>743</v>
      </c>
      <c r="O5214" t="s">
        <v>744</v>
      </c>
      <c r="P5214">
        <v>-20.136733</v>
      </c>
      <c r="Q5214">
        <v>-44.888140999999997</v>
      </c>
      <c r="R5214" s="2" t="str">
        <f>HYPERLINK("https://www.google.com/maps?q=-20.1367330,-44.8881410","Abrir no Google Maps")</f>
        <v>Abrir no Google Maps</v>
      </c>
      <c r="S5214">
        <v>3</v>
      </c>
      <c r="T5214">
        <v>175.84339996559589</v>
      </c>
      <c r="U5214">
        <v>4</v>
      </c>
      <c r="V5214">
        <v>0.94857357357357364</v>
      </c>
      <c r="W5214">
        <v>1</v>
      </c>
      <c r="X5214">
        <v>0.94857357357357364</v>
      </c>
      <c r="Y5214">
        <v>350</v>
      </c>
      <c r="Z5214">
        <v>171.90575296051961</v>
      </c>
      <c r="AA5214">
        <v>198</v>
      </c>
      <c r="AB5214">
        <v>332</v>
      </c>
      <c r="AC5214">
        <v>536</v>
      </c>
      <c r="AD5214">
        <v>28.15</v>
      </c>
      <c r="AE5214">
        <v>542</v>
      </c>
      <c r="AF5214">
        <v>21</v>
      </c>
      <c r="AG5214">
        <v>176</v>
      </c>
      <c r="AH5214">
        <v>129</v>
      </c>
      <c r="AI5214">
        <v>3.87</v>
      </c>
      <c r="AJ5214">
        <v>32.47</v>
      </c>
      <c r="AK5214">
        <v>23.8</v>
      </c>
      <c r="AL5214">
        <v>-20.136726099999979</v>
      </c>
      <c r="AM5214">
        <v>-44.888062077766982</v>
      </c>
      <c r="AN5214">
        <v>-20.136726099999979</v>
      </c>
      <c r="AO5214">
        <v>-44.888062077766982</v>
      </c>
      <c r="AP5214">
        <v>-20.136733</v>
      </c>
      <c r="AQ5214">
        <v>-44.888140999999997</v>
      </c>
      <c r="AR5214">
        <v>8.2842769013797852</v>
      </c>
      <c r="AS5214" t="s">
        <v>65</v>
      </c>
      <c r="AT5214">
        <v>1</v>
      </c>
      <c r="AU5214" t="s">
        <v>745</v>
      </c>
      <c r="AV5214" t="s">
        <v>746</v>
      </c>
      <c r="AW5214" t="s">
        <v>60</v>
      </c>
      <c r="AX5214" t="s">
        <v>68</v>
      </c>
      <c r="AY5214" t="s">
        <v>69</v>
      </c>
      <c r="AZ5214" t="b">
        <v>1</v>
      </c>
    </row>
    <row r="5215" spans="1:52" x14ac:dyDescent="0.3">
      <c r="A5215" t="s">
        <v>52</v>
      </c>
      <c r="B5215" t="s">
        <v>53</v>
      </c>
      <c r="C5215" t="s">
        <v>54</v>
      </c>
      <c r="D5215" t="s">
        <v>55</v>
      </c>
      <c r="E5215" t="s">
        <v>2278</v>
      </c>
      <c r="F5215" t="s">
        <v>190</v>
      </c>
      <c r="G5215" t="s">
        <v>747</v>
      </c>
      <c r="H5215" t="s">
        <v>748</v>
      </c>
      <c r="I5215" t="s">
        <v>748</v>
      </c>
      <c r="J5215" t="s">
        <v>60</v>
      </c>
      <c r="K5215" t="s">
        <v>505</v>
      </c>
      <c r="L5215" t="s">
        <v>62</v>
      </c>
      <c r="M5215" t="s">
        <v>505</v>
      </c>
      <c r="N5215" t="s">
        <v>749</v>
      </c>
      <c r="O5215" t="s">
        <v>750</v>
      </c>
      <c r="P5215">
        <v>-20.135107000000001</v>
      </c>
      <c r="Q5215">
        <v>-44.887521</v>
      </c>
      <c r="R5215" s="2" t="str">
        <f>HYPERLINK("https://www.google.com/maps?q=-20.1351070,-44.8875210","Abrir no Google Maps")</f>
        <v>Abrir no Google Maps</v>
      </c>
      <c r="S5215">
        <v>3</v>
      </c>
      <c r="T5215">
        <v>0</v>
      </c>
      <c r="U5215">
        <v>4</v>
      </c>
      <c r="V5215">
        <v>0.91564542483660116</v>
      </c>
      <c r="W5215">
        <v>1</v>
      </c>
      <c r="X5215">
        <v>0.91564542483660116</v>
      </c>
      <c r="Y5215">
        <v>350</v>
      </c>
      <c r="Z5215">
        <v>162.3716242776689</v>
      </c>
      <c r="AA5215">
        <v>198</v>
      </c>
      <c r="AB5215">
        <v>332</v>
      </c>
      <c r="AC5215">
        <v>536</v>
      </c>
      <c r="AD5215">
        <v>28.15</v>
      </c>
      <c r="AE5215">
        <v>542</v>
      </c>
      <c r="AF5215">
        <v>21</v>
      </c>
      <c r="AG5215">
        <v>176</v>
      </c>
      <c r="AH5215">
        <v>129</v>
      </c>
      <c r="AI5215">
        <v>3.87</v>
      </c>
      <c r="AJ5215">
        <v>32.47</v>
      </c>
      <c r="AK5215">
        <v>23.8</v>
      </c>
      <c r="AL5215">
        <v>-20.13520169999995</v>
      </c>
      <c r="AM5215">
        <v>-44.887587176802917</v>
      </c>
      <c r="AN5215">
        <v>-20.13520169999995</v>
      </c>
      <c r="AO5215">
        <v>-44.887587176802931</v>
      </c>
      <c r="AP5215">
        <v>-20.135107000000001</v>
      </c>
      <c r="AQ5215">
        <v>-44.887521</v>
      </c>
      <c r="AR5215">
        <v>12.608438103029821</v>
      </c>
      <c r="AS5215" t="s">
        <v>65</v>
      </c>
      <c r="AT5215">
        <v>1</v>
      </c>
      <c r="AU5215" t="s">
        <v>751</v>
      </c>
      <c r="AV5215" t="s">
        <v>752</v>
      </c>
      <c r="AW5215" t="s">
        <v>60</v>
      </c>
      <c r="AX5215" t="s">
        <v>68</v>
      </c>
      <c r="AY5215" t="s">
        <v>69</v>
      </c>
      <c r="AZ5215" t="b">
        <v>1</v>
      </c>
    </row>
    <row r="5216" spans="1:52" x14ac:dyDescent="0.3">
      <c r="A5216" t="s">
        <v>52</v>
      </c>
      <c r="B5216" t="s">
        <v>53</v>
      </c>
      <c r="C5216" t="s">
        <v>54</v>
      </c>
      <c r="D5216" t="s">
        <v>55</v>
      </c>
      <c r="E5216" t="s">
        <v>2278</v>
      </c>
      <c r="F5216" t="s">
        <v>190</v>
      </c>
      <c r="G5216" t="s">
        <v>753</v>
      </c>
      <c r="H5216" t="s">
        <v>754</v>
      </c>
      <c r="I5216" t="s">
        <v>754</v>
      </c>
      <c r="J5216" t="s">
        <v>60</v>
      </c>
      <c r="K5216" t="s">
        <v>688</v>
      </c>
      <c r="L5216" t="s">
        <v>62</v>
      </c>
      <c r="M5216" t="s">
        <v>688</v>
      </c>
      <c r="N5216" t="s">
        <v>755</v>
      </c>
      <c r="O5216" t="s">
        <v>756</v>
      </c>
      <c r="P5216">
        <v>-20.135238000000001</v>
      </c>
      <c r="Q5216">
        <v>-44.890405999999999</v>
      </c>
      <c r="R5216" s="2" t="str">
        <f>HYPERLINK("https://www.google.com/maps?q=-20.1352380,-44.8904060","Abrir no Google Maps")</f>
        <v>Abrir no Google Maps</v>
      </c>
      <c r="S5216">
        <v>3</v>
      </c>
      <c r="T5216">
        <v>314.49904475975598</v>
      </c>
      <c r="U5216">
        <v>4</v>
      </c>
      <c r="V5216">
        <v>0.93998015873015883</v>
      </c>
      <c r="W5216">
        <v>1</v>
      </c>
      <c r="X5216">
        <v>0.93998015873015883</v>
      </c>
      <c r="Y5216">
        <v>350</v>
      </c>
      <c r="Z5216">
        <v>443.96798796176353</v>
      </c>
      <c r="AA5216">
        <v>198</v>
      </c>
      <c r="AB5216">
        <v>332</v>
      </c>
      <c r="AC5216">
        <v>536</v>
      </c>
      <c r="AD5216">
        <v>28.15</v>
      </c>
      <c r="AE5216">
        <v>542</v>
      </c>
      <c r="AF5216">
        <v>21</v>
      </c>
      <c r="AG5216">
        <v>176</v>
      </c>
      <c r="AH5216">
        <v>129</v>
      </c>
      <c r="AI5216">
        <v>3.87</v>
      </c>
      <c r="AJ5216">
        <v>32.47</v>
      </c>
      <c r="AK5216">
        <v>23.8</v>
      </c>
      <c r="AL5216">
        <v>-20.134851099999931</v>
      </c>
      <c r="AM5216">
        <v>-44.890573293408117</v>
      </c>
      <c r="AN5216">
        <v>-20.134851099999931</v>
      </c>
      <c r="AO5216">
        <v>-44.890573293408131</v>
      </c>
      <c r="AP5216">
        <v>-20.135238000000001</v>
      </c>
      <c r="AQ5216">
        <v>-44.890405999999999</v>
      </c>
      <c r="AR5216">
        <v>46.483580940434933</v>
      </c>
      <c r="AS5216" t="s">
        <v>65</v>
      </c>
      <c r="AT5216">
        <v>1</v>
      </c>
      <c r="AU5216" t="s">
        <v>757</v>
      </c>
      <c r="AV5216" t="s">
        <v>758</v>
      </c>
      <c r="AW5216" t="s">
        <v>60</v>
      </c>
      <c r="AX5216" t="s">
        <v>68</v>
      </c>
      <c r="AY5216" t="s">
        <v>69</v>
      </c>
      <c r="AZ5216" t="b">
        <v>1</v>
      </c>
    </row>
    <row r="5217" spans="1:52" x14ac:dyDescent="0.3">
      <c r="A5217" t="s">
        <v>52</v>
      </c>
      <c r="B5217" t="s">
        <v>53</v>
      </c>
      <c r="C5217" t="s">
        <v>54</v>
      </c>
      <c r="D5217" t="s">
        <v>55</v>
      </c>
      <c r="E5217" t="s">
        <v>2278</v>
      </c>
      <c r="F5217" t="s">
        <v>190</v>
      </c>
      <c r="G5217" t="s">
        <v>759</v>
      </c>
      <c r="H5217" t="s">
        <v>760</v>
      </c>
      <c r="I5217" t="s">
        <v>760</v>
      </c>
      <c r="J5217" t="s">
        <v>60</v>
      </c>
      <c r="K5217" t="s">
        <v>761</v>
      </c>
      <c r="L5217" t="s">
        <v>62</v>
      </c>
      <c r="M5217" t="s">
        <v>761</v>
      </c>
      <c r="N5217" t="s">
        <v>762</v>
      </c>
      <c r="O5217" t="s">
        <v>763</v>
      </c>
      <c r="P5217">
        <v>-20.118755</v>
      </c>
      <c r="Q5217">
        <v>-44.850627000000003</v>
      </c>
      <c r="R5217" s="2" t="str">
        <f>HYPERLINK("https://www.google.com/maps?q=-20.1187550,-44.8506270","Abrir no Google Maps")</f>
        <v>Abrir no Google Maps</v>
      </c>
      <c r="S5217">
        <v>3</v>
      </c>
      <c r="T5217">
        <v>848.81670834514034</v>
      </c>
      <c r="U5217">
        <v>4</v>
      </c>
      <c r="V5217">
        <v>0.88375000000000004</v>
      </c>
      <c r="W5217">
        <v>1</v>
      </c>
      <c r="X5217">
        <v>0.88375000000000004</v>
      </c>
      <c r="Y5217">
        <v>350</v>
      </c>
      <c r="Z5217">
        <v>443.51354125420028</v>
      </c>
      <c r="AA5217">
        <v>198</v>
      </c>
      <c r="AB5217">
        <v>332</v>
      </c>
      <c r="AC5217">
        <v>536</v>
      </c>
      <c r="AD5217">
        <v>28.15</v>
      </c>
      <c r="AE5217">
        <v>542</v>
      </c>
      <c r="AF5217">
        <v>21</v>
      </c>
      <c r="AG5217">
        <v>176</v>
      </c>
      <c r="AH5217">
        <v>129</v>
      </c>
      <c r="AI5217">
        <v>3.87</v>
      </c>
      <c r="AJ5217">
        <v>32.47</v>
      </c>
      <c r="AK5217">
        <v>23.8</v>
      </c>
      <c r="AL5217">
        <v>-20.11882464999994</v>
      </c>
      <c r="AM5217">
        <v>-44.850497004056017</v>
      </c>
      <c r="AN5217">
        <v>-20.11882464999994</v>
      </c>
      <c r="AO5217">
        <v>-44.850497004056017</v>
      </c>
      <c r="AP5217">
        <v>-20.118755</v>
      </c>
      <c r="AQ5217">
        <v>-44.850627000000003</v>
      </c>
      <c r="AR5217">
        <v>15.6445928866994</v>
      </c>
      <c r="AS5217" t="s">
        <v>65</v>
      </c>
      <c r="AT5217">
        <v>1</v>
      </c>
      <c r="AU5217" t="s">
        <v>764</v>
      </c>
      <c r="AV5217" t="s">
        <v>765</v>
      </c>
      <c r="AW5217" t="s">
        <v>60</v>
      </c>
      <c r="AX5217" t="s">
        <v>68</v>
      </c>
      <c r="AY5217" t="s">
        <v>69</v>
      </c>
      <c r="AZ5217" t="b">
        <v>1</v>
      </c>
    </row>
    <row r="5218" spans="1:52" x14ac:dyDescent="0.3">
      <c r="A5218" t="s">
        <v>52</v>
      </c>
      <c r="B5218" t="s">
        <v>53</v>
      </c>
      <c r="C5218" t="s">
        <v>54</v>
      </c>
      <c r="D5218" t="s">
        <v>55</v>
      </c>
      <c r="E5218" t="s">
        <v>2278</v>
      </c>
      <c r="F5218" t="s">
        <v>190</v>
      </c>
      <c r="G5218" t="s">
        <v>766</v>
      </c>
      <c r="H5218" t="s">
        <v>767</v>
      </c>
      <c r="I5218" t="s">
        <v>767</v>
      </c>
      <c r="J5218" t="s">
        <v>60</v>
      </c>
      <c r="K5218" t="s">
        <v>768</v>
      </c>
      <c r="L5218" t="s">
        <v>62</v>
      </c>
      <c r="M5218" t="s">
        <v>768</v>
      </c>
      <c r="N5218" t="s">
        <v>769</v>
      </c>
      <c r="O5218" t="s">
        <v>770</v>
      </c>
      <c r="P5218">
        <v>-20.135211000000002</v>
      </c>
      <c r="Q5218">
        <v>-44.875359000000003</v>
      </c>
      <c r="R5218" s="2" t="str">
        <f>HYPERLINK("https://www.google.com/maps?q=-20.1352110,-44.8753590","Abrir no Google Maps")</f>
        <v>Abrir no Google Maps</v>
      </c>
      <c r="S5218">
        <v>3</v>
      </c>
      <c r="T5218">
        <v>383.44405482521267</v>
      </c>
      <c r="U5218">
        <v>4</v>
      </c>
      <c r="V5218">
        <v>0.92070578231292521</v>
      </c>
      <c r="W5218">
        <v>1</v>
      </c>
      <c r="X5218">
        <v>0.92070578231292521</v>
      </c>
      <c r="Y5218">
        <v>332</v>
      </c>
      <c r="Z5218">
        <v>219.0766044611764</v>
      </c>
      <c r="AA5218">
        <v>198</v>
      </c>
      <c r="AB5218">
        <v>332</v>
      </c>
      <c r="AC5218">
        <v>536</v>
      </c>
      <c r="AD5218">
        <v>28.15</v>
      </c>
      <c r="AE5218">
        <v>542</v>
      </c>
      <c r="AF5218">
        <v>21</v>
      </c>
      <c r="AG5218">
        <v>176</v>
      </c>
      <c r="AH5218">
        <v>129</v>
      </c>
      <c r="AI5218">
        <v>3.87</v>
      </c>
      <c r="AJ5218">
        <v>32.47</v>
      </c>
      <c r="AK5218">
        <v>23.8</v>
      </c>
      <c r="AL5218">
        <v>-20.135125549999941</v>
      </c>
      <c r="AM5218">
        <v>-44.875534947489427</v>
      </c>
      <c r="AN5218">
        <v>-20.135125549999941</v>
      </c>
      <c r="AO5218">
        <v>-44.875534947489427</v>
      </c>
      <c r="AP5218">
        <v>-20.135211000000002</v>
      </c>
      <c r="AQ5218">
        <v>-44.875359000000003</v>
      </c>
      <c r="AR5218">
        <v>20.703969313709418</v>
      </c>
      <c r="AS5218" t="s">
        <v>65</v>
      </c>
      <c r="AT5218">
        <v>1</v>
      </c>
      <c r="AU5218" t="s">
        <v>771</v>
      </c>
      <c r="AV5218" t="s">
        <v>772</v>
      </c>
      <c r="AW5218" t="s">
        <v>60</v>
      </c>
      <c r="AX5218" t="s">
        <v>68</v>
      </c>
      <c r="AY5218" t="s">
        <v>69</v>
      </c>
      <c r="AZ5218" t="b">
        <v>1</v>
      </c>
    </row>
    <row r="5219" spans="1:52" x14ac:dyDescent="0.3">
      <c r="A5219" t="s">
        <v>52</v>
      </c>
      <c r="B5219" t="s">
        <v>53</v>
      </c>
      <c r="C5219" t="s">
        <v>54</v>
      </c>
      <c r="D5219" t="s">
        <v>55</v>
      </c>
      <c r="E5219" t="s">
        <v>2278</v>
      </c>
      <c r="F5219" t="s">
        <v>190</v>
      </c>
      <c r="G5219" t="s">
        <v>773</v>
      </c>
      <c r="H5219" t="s">
        <v>774</v>
      </c>
      <c r="I5219" t="s">
        <v>774</v>
      </c>
      <c r="J5219" t="s">
        <v>60</v>
      </c>
      <c r="K5219" t="s">
        <v>775</v>
      </c>
      <c r="L5219" t="s">
        <v>62</v>
      </c>
      <c r="M5219" t="s">
        <v>775</v>
      </c>
      <c r="N5219" t="s">
        <v>776</v>
      </c>
      <c r="O5219" t="s">
        <v>250</v>
      </c>
      <c r="P5219">
        <v>-20.135413</v>
      </c>
      <c r="Q5219">
        <v>-44.868969999999997</v>
      </c>
      <c r="R5219" s="2" t="str">
        <f>HYPERLINK("https://www.google.com/maps?q=-20.1354130,-44.8689700","Abrir no Google Maps")</f>
        <v>Abrir no Google Maps</v>
      </c>
      <c r="S5219">
        <v>3</v>
      </c>
      <c r="T5219">
        <v>403.5118397372845</v>
      </c>
      <c r="U5219">
        <v>4</v>
      </c>
      <c r="V5219">
        <v>0.89919354838709675</v>
      </c>
      <c r="W5219">
        <v>1</v>
      </c>
      <c r="X5219">
        <v>0.89919354838709675</v>
      </c>
      <c r="Y5219">
        <v>332</v>
      </c>
      <c r="Z5219">
        <v>455.74614750795899</v>
      </c>
      <c r="AA5219">
        <v>198</v>
      </c>
      <c r="AB5219">
        <v>332</v>
      </c>
      <c r="AC5219">
        <v>536</v>
      </c>
      <c r="AD5219">
        <v>28.15</v>
      </c>
      <c r="AE5219">
        <v>542</v>
      </c>
      <c r="AF5219">
        <v>21</v>
      </c>
      <c r="AG5219">
        <v>176</v>
      </c>
      <c r="AH5219">
        <v>129</v>
      </c>
      <c r="AI5219">
        <v>3.87</v>
      </c>
      <c r="AJ5219">
        <v>32.47</v>
      </c>
      <c r="AK5219">
        <v>23.8</v>
      </c>
      <c r="AL5219">
        <v>-20.13561149999995</v>
      </c>
      <c r="AM5219">
        <v>-44.868817260088647</v>
      </c>
      <c r="AN5219">
        <v>-20.13561149999995</v>
      </c>
      <c r="AO5219">
        <v>-44.868817260088647</v>
      </c>
      <c r="AP5219">
        <v>-20.135413</v>
      </c>
      <c r="AQ5219">
        <v>-44.868969999999997</v>
      </c>
      <c r="AR5219">
        <v>27.26024434808955</v>
      </c>
      <c r="AS5219" t="s">
        <v>65</v>
      </c>
      <c r="AT5219">
        <v>1</v>
      </c>
      <c r="AU5219" t="s">
        <v>777</v>
      </c>
      <c r="AV5219" t="s">
        <v>778</v>
      </c>
      <c r="AW5219" t="s">
        <v>60</v>
      </c>
      <c r="AX5219" t="s">
        <v>68</v>
      </c>
      <c r="AY5219" t="s">
        <v>69</v>
      </c>
      <c r="AZ5219" t="b">
        <v>1</v>
      </c>
    </row>
    <row r="5220" spans="1:52" x14ac:dyDescent="0.3">
      <c r="A5220" t="s">
        <v>52</v>
      </c>
      <c r="B5220" t="s">
        <v>53</v>
      </c>
      <c r="C5220" t="s">
        <v>54</v>
      </c>
      <c r="D5220" t="s">
        <v>55</v>
      </c>
      <c r="E5220" t="s">
        <v>2278</v>
      </c>
      <c r="F5220" t="s">
        <v>190</v>
      </c>
      <c r="G5220" t="s">
        <v>1099</v>
      </c>
      <c r="H5220" t="s">
        <v>1100</v>
      </c>
      <c r="I5220" t="s">
        <v>1100</v>
      </c>
      <c r="J5220" t="s">
        <v>60</v>
      </c>
      <c r="K5220" t="s">
        <v>781</v>
      </c>
      <c r="L5220" t="s">
        <v>62</v>
      </c>
      <c r="M5220" t="s">
        <v>781</v>
      </c>
      <c r="N5220" t="s">
        <v>1101</v>
      </c>
      <c r="O5220" t="s">
        <v>235</v>
      </c>
      <c r="P5220">
        <v>-20.136811999999999</v>
      </c>
      <c r="Q5220">
        <v>-44.872388000000001</v>
      </c>
      <c r="R5220" s="2" t="str">
        <f>HYPERLINK("https://www.google.com/maps?q=-20.1368120,-44.8723880","Abrir no Google Maps")</f>
        <v>Abrir no Google Maps</v>
      </c>
      <c r="S5220">
        <v>3</v>
      </c>
      <c r="T5220">
        <v>0</v>
      </c>
      <c r="U5220">
        <v>4</v>
      </c>
      <c r="V5220">
        <v>0.91054613935969875</v>
      </c>
      <c r="W5220">
        <v>1</v>
      </c>
      <c r="X5220">
        <v>0.91054613935969875</v>
      </c>
      <c r="Y5220">
        <v>332</v>
      </c>
      <c r="Z5220">
        <v>121.0319884418894</v>
      </c>
      <c r="AA5220">
        <v>198</v>
      </c>
      <c r="AB5220">
        <v>332</v>
      </c>
      <c r="AC5220">
        <v>536</v>
      </c>
      <c r="AD5220">
        <v>28.15</v>
      </c>
      <c r="AE5220">
        <v>542</v>
      </c>
      <c r="AF5220">
        <v>21</v>
      </c>
      <c r="AG5220">
        <v>176</v>
      </c>
      <c r="AH5220">
        <v>129</v>
      </c>
      <c r="AI5220">
        <v>3.87</v>
      </c>
      <c r="AJ5220">
        <v>32.47</v>
      </c>
      <c r="AK5220">
        <v>23.8</v>
      </c>
      <c r="AL5220">
        <v>-20.136943099999939</v>
      </c>
      <c r="AM5220">
        <v>-44.872411407897907</v>
      </c>
      <c r="AN5220">
        <v>-20.136943099999939</v>
      </c>
      <c r="AO5220">
        <v>-44.872411407897907</v>
      </c>
      <c r="AP5220">
        <v>-20.136811999999999</v>
      </c>
      <c r="AQ5220">
        <v>-44.872388000000001</v>
      </c>
      <c r="AR5220">
        <v>14.79769012694347</v>
      </c>
      <c r="AS5220" t="s">
        <v>65</v>
      </c>
      <c r="AT5220">
        <v>1</v>
      </c>
      <c r="AU5220" t="s">
        <v>1102</v>
      </c>
      <c r="AV5220" t="s">
        <v>1103</v>
      </c>
      <c r="AW5220" t="s">
        <v>60</v>
      </c>
      <c r="AX5220" t="s">
        <v>68</v>
      </c>
      <c r="AY5220" t="s">
        <v>69</v>
      </c>
      <c r="AZ5220" t="b">
        <v>1</v>
      </c>
    </row>
    <row r="5221" spans="1:52" x14ac:dyDescent="0.3">
      <c r="A5221" t="s">
        <v>52</v>
      </c>
      <c r="B5221" t="s">
        <v>53</v>
      </c>
      <c r="C5221" t="s">
        <v>54</v>
      </c>
      <c r="D5221" t="s">
        <v>55</v>
      </c>
      <c r="E5221" t="s">
        <v>2278</v>
      </c>
      <c r="F5221" t="s">
        <v>190</v>
      </c>
      <c r="G5221" t="s">
        <v>779</v>
      </c>
      <c r="H5221" t="s">
        <v>780</v>
      </c>
      <c r="I5221" t="s">
        <v>780</v>
      </c>
      <c r="J5221" t="s">
        <v>60</v>
      </c>
      <c r="K5221" t="s">
        <v>781</v>
      </c>
      <c r="L5221" t="s">
        <v>62</v>
      </c>
      <c r="M5221" t="s">
        <v>781</v>
      </c>
      <c r="N5221" t="s">
        <v>782</v>
      </c>
      <c r="O5221" t="s">
        <v>783</v>
      </c>
      <c r="P5221">
        <v>-20.137938999999999</v>
      </c>
      <c r="Q5221">
        <v>-44.865873000000001</v>
      </c>
      <c r="R5221" s="2" t="str">
        <f>HYPERLINK("https://www.google.com/maps?q=-20.1379390,-44.8658730","Abrir no Google Maps")</f>
        <v>Abrir no Google Maps</v>
      </c>
      <c r="S5221">
        <v>3</v>
      </c>
      <c r="T5221">
        <v>663.24596349877265</v>
      </c>
      <c r="U5221">
        <v>4</v>
      </c>
      <c r="V5221">
        <v>0.88551540284360186</v>
      </c>
      <c r="W5221">
        <v>1</v>
      </c>
      <c r="X5221">
        <v>0.88551540284360186</v>
      </c>
      <c r="Y5221">
        <v>332</v>
      </c>
      <c r="Z5221">
        <v>724.72470227972997</v>
      </c>
      <c r="AA5221">
        <v>198</v>
      </c>
      <c r="AB5221">
        <v>332</v>
      </c>
      <c r="AC5221">
        <v>536</v>
      </c>
      <c r="AD5221">
        <v>28.15</v>
      </c>
      <c r="AE5221">
        <v>542</v>
      </c>
      <c r="AF5221">
        <v>21</v>
      </c>
      <c r="AG5221">
        <v>176</v>
      </c>
      <c r="AH5221">
        <v>129</v>
      </c>
      <c r="AI5221">
        <v>3.87</v>
      </c>
      <c r="AJ5221">
        <v>32.47</v>
      </c>
      <c r="AK5221">
        <v>23.8</v>
      </c>
      <c r="AL5221">
        <v>-20.137865449999961</v>
      </c>
      <c r="AM5221">
        <v>-44.866141027847057</v>
      </c>
      <c r="AN5221">
        <v>-20.137865449999961</v>
      </c>
      <c r="AO5221">
        <v>-44.866141027847057</v>
      </c>
      <c r="AP5221">
        <v>-20.137938999999999</v>
      </c>
      <c r="AQ5221">
        <v>-44.865873000000001</v>
      </c>
      <c r="AR5221">
        <v>29.184856191831059</v>
      </c>
      <c r="AS5221" t="s">
        <v>65</v>
      </c>
      <c r="AT5221">
        <v>1</v>
      </c>
      <c r="AU5221" t="s">
        <v>784</v>
      </c>
      <c r="AV5221" t="s">
        <v>785</v>
      </c>
      <c r="AW5221" t="s">
        <v>60</v>
      </c>
      <c r="AX5221" t="s">
        <v>68</v>
      </c>
      <c r="AY5221" t="s">
        <v>69</v>
      </c>
      <c r="AZ5221" t="b">
        <v>1</v>
      </c>
    </row>
    <row r="5222" spans="1:52" x14ac:dyDescent="0.3">
      <c r="A5222" t="s">
        <v>52</v>
      </c>
      <c r="B5222" t="s">
        <v>53</v>
      </c>
      <c r="C5222" t="s">
        <v>54</v>
      </c>
      <c r="D5222" t="s">
        <v>55</v>
      </c>
      <c r="E5222" t="s">
        <v>2278</v>
      </c>
      <c r="F5222" t="s">
        <v>190</v>
      </c>
      <c r="G5222" t="s">
        <v>1104</v>
      </c>
      <c r="H5222" t="s">
        <v>1105</v>
      </c>
      <c r="I5222" t="s">
        <v>1105</v>
      </c>
      <c r="J5222" t="s">
        <v>60</v>
      </c>
      <c r="K5222" t="s">
        <v>781</v>
      </c>
      <c r="L5222" t="s">
        <v>62</v>
      </c>
      <c r="M5222" t="s">
        <v>781</v>
      </c>
      <c r="N5222" t="s">
        <v>1106</v>
      </c>
      <c r="O5222" t="s">
        <v>1080</v>
      </c>
      <c r="P5222">
        <v>-20.138683</v>
      </c>
      <c r="Q5222">
        <v>-44.868507999999999</v>
      </c>
      <c r="R5222" s="2" t="str">
        <f>HYPERLINK("https://www.google.com/maps?q=-20.1386830,-44.8685080","Abrir no Google Maps")</f>
        <v>Abrir no Google Maps</v>
      </c>
      <c r="S5222">
        <v>3</v>
      </c>
      <c r="T5222">
        <v>450.88210098833099</v>
      </c>
      <c r="U5222">
        <v>4</v>
      </c>
      <c r="V5222">
        <v>0.88407029478458043</v>
      </c>
      <c r="W5222">
        <v>1</v>
      </c>
      <c r="X5222">
        <v>0.88407029478458043</v>
      </c>
      <c r="Y5222">
        <v>332</v>
      </c>
      <c r="Z5222">
        <v>601.27669048153166</v>
      </c>
      <c r="AA5222">
        <v>198</v>
      </c>
      <c r="AB5222">
        <v>332</v>
      </c>
      <c r="AC5222">
        <v>536</v>
      </c>
      <c r="AD5222">
        <v>28.15</v>
      </c>
      <c r="AE5222">
        <v>542</v>
      </c>
      <c r="AF5222">
        <v>21</v>
      </c>
      <c r="AG5222">
        <v>176</v>
      </c>
      <c r="AH5222">
        <v>129</v>
      </c>
      <c r="AI5222">
        <v>3.87</v>
      </c>
      <c r="AJ5222">
        <v>32.47</v>
      </c>
      <c r="AK5222">
        <v>23.8</v>
      </c>
      <c r="AL5222">
        <v>-20.13870544999995</v>
      </c>
      <c r="AM5222">
        <v>-44.868521774012208</v>
      </c>
      <c r="AN5222">
        <v>-20.138705449999939</v>
      </c>
      <c r="AO5222">
        <v>-44.868521774012208</v>
      </c>
      <c r="AP5222">
        <v>-20.138683</v>
      </c>
      <c r="AQ5222">
        <v>-44.868507999999999</v>
      </c>
      <c r="AR5222">
        <v>2.8841042175322271</v>
      </c>
      <c r="AS5222" t="s">
        <v>65</v>
      </c>
      <c r="AT5222">
        <v>1</v>
      </c>
      <c r="AU5222" t="s">
        <v>1107</v>
      </c>
      <c r="AV5222" t="s">
        <v>1108</v>
      </c>
      <c r="AW5222" t="s">
        <v>60</v>
      </c>
      <c r="AX5222" t="s">
        <v>68</v>
      </c>
      <c r="AY5222" t="s">
        <v>69</v>
      </c>
      <c r="AZ5222" t="b">
        <v>1</v>
      </c>
    </row>
    <row r="5223" spans="1:52" x14ac:dyDescent="0.3">
      <c r="A5223" t="s">
        <v>52</v>
      </c>
      <c r="B5223" t="s">
        <v>53</v>
      </c>
      <c r="C5223" t="s">
        <v>54</v>
      </c>
      <c r="D5223" t="s">
        <v>55</v>
      </c>
      <c r="E5223" t="s">
        <v>2278</v>
      </c>
      <c r="F5223" t="s">
        <v>190</v>
      </c>
      <c r="G5223" t="s">
        <v>1109</v>
      </c>
      <c r="H5223" t="s">
        <v>1110</v>
      </c>
      <c r="I5223" t="s">
        <v>1110</v>
      </c>
      <c r="J5223" t="s">
        <v>60</v>
      </c>
      <c r="K5223" t="s">
        <v>768</v>
      </c>
      <c r="L5223" t="s">
        <v>62</v>
      </c>
      <c r="M5223" t="s">
        <v>768</v>
      </c>
      <c r="N5223" t="s">
        <v>1111</v>
      </c>
      <c r="O5223" t="s">
        <v>1112</v>
      </c>
      <c r="P5223">
        <v>-20.135508000000002</v>
      </c>
      <c r="Q5223">
        <v>-44.871786999999998</v>
      </c>
      <c r="R5223" s="2" t="str">
        <f>HYPERLINK("https://www.google.com/maps?q=-20.1355080,-44.8717870","Abrir no Google Maps")</f>
        <v>Abrir no Google Maps</v>
      </c>
      <c r="S5223">
        <v>3</v>
      </c>
      <c r="T5223">
        <v>167.5382405548801</v>
      </c>
      <c r="U5223">
        <v>4</v>
      </c>
      <c r="V5223">
        <v>0.88730158730158726</v>
      </c>
      <c r="W5223">
        <v>1</v>
      </c>
      <c r="X5223">
        <v>0.88730158730158726</v>
      </c>
      <c r="Y5223">
        <v>332</v>
      </c>
      <c r="Z5223">
        <v>179.76671916562941</v>
      </c>
      <c r="AA5223">
        <v>198</v>
      </c>
      <c r="AB5223">
        <v>332</v>
      </c>
      <c r="AC5223">
        <v>536</v>
      </c>
      <c r="AD5223">
        <v>28.15</v>
      </c>
      <c r="AE5223">
        <v>542</v>
      </c>
      <c r="AF5223">
        <v>21</v>
      </c>
      <c r="AG5223">
        <v>176</v>
      </c>
      <c r="AH5223">
        <v>129</v>
      </c>
      <c r="AI5223">
        <v>3.87</v>
      </c>
      <c r="AJ5223">
        <v>32.47</v>
      </c>
      <c r="AK5223">
        <v>23.8</v>
      </c>
      <c r="AL5223">
        <v>-20.135532899999959</v>
      </c>
      <c r="AM5223">
        <v>-44.871828172735903</v>
      </c>
      <c r="AN5223">
        <v>-20.135532899999959</v>
      </c>
      <c r="AO5223">
        <v>-44.871828172735903</v>
      </c>
      <c r="AP5223">
        <v>-20.135508000000002</v>
      </c>
      <c r="AQ5223">
        <v>-44.871786999999998</v>
      </c>
      <c r="AR5223">
        <v>5.1186859635787858</v>
      </c>
      <c r="AS5223" t="s">
        <v>65</v>
      </c>
      <c r="AT5223">
        <v>1</v>
      </c>
      <c r="AU5223" t="s">
        <v>1113</v>
      </c>
      <c r="AV5223" t="s">
        <v>1114</v>
      </c>
      <c r="AW5223" t="s">
        <v>60</v>
      </c>
      <c r="AX5223" t="s">
        <v>68</v>
      </c>
      <c r="AY5223" t="s">
        <v>69</v>
      </c>
      <c r="AZ5223" t="b">
        <v>1</v>
      </c>
    </row>
    <row r="5224" spans="1:52" x14ac:dyDescent="0.3">
      <c r="A5224" t="s">
        <v>52</v>
      </c>
      <c r="B5224" t="s">
        <v>53</v>
      </c>
      <c r="C5224" t="s">
        <v>54</v>
      </c>
      <c r="D5224" t="s">
        <v>55</v>
      </c>
      <c r="E5224" t="s">
        <v>2278</v>
      </c>
      <c r="F5224" t="s">
        <v>190</v>
      </c>
      <c r="G5224" t="s">
        <v>803</v>
      </c>
      <c r="H5224" t="s">
        <v>804</v>
      </c>
      <c r="I5224" t="s">
        <v>804</v>
      </c>
      <c r="J5224" t="s">
        <v>60</v>
      </c>
      <c r="K5224" t="s">
        <v>805</v>
      </c>
      <c r="L5224" t="s">
        <v>62</v>
      </c>
      <c r="M5224" t="s">
        <v>805</v>
      </c>
      <c r="N5224" t="s">
        <v>806</v>
      </c>
      <c r="O5224" t="s">
        <v>807</v>
      </c>
      <c r="P5224">
        <v>-20.133293999999999</v>
      </c>
      <c r="Q5224">
        <v>-44.886302000000001</v>
      </c>
      <c r="R5224" s="2" t="str">
        <f>HYPERLINK("https://www.google.com/maps?q=-20.1332940,-44.8863020","Abrir no Google Maps")</f>
        <v>Abrir no Google Maps</v>
      </c>
      <c r="S5224">
        <v>3</v>
      </c>
      <c r="T5224">
        <v>0</v>
      </c>
      <c r="U5224">
        <v>4</v>
      </c>
      <c r="V5224">
        <v>0.9213141025641024</v>
      </c>
      <c r="W5224">
        <v>1</v>
      </c>
      <c r="X5224">
        <v>0.9213141025641024</v>
      </c>
      <c r="Y5224">
        <v>259</v>
      </c>
      <c r="Z5224">
        <v>76.358812960729097</v>
      </c>
      <c r="AA5224">
        <v>198</v>
      </c>
      <c r="AB5224">
        <v>332</v>
      </c>
      <c r="AC5224">
        <v>536</v>
      </c>
      <c r="AD5224">
        <v>28.15</v>
      </c>
      <c r="AE5224">
        <v>542</v>
      </c>
      <c r="AF5224">
        <v>21</v>
      </c>
      <c r="AG5224">
        <v>176</v>
      </c>
      <c r="AH5224">
        <v>129</v>
      </c>
      <c r="AI5224">
        <v>3.87</v>
      </c>
      <c r="AJ5224">
        <v>32.47</v>
      </c>
      <c r="AK5224">
        <v>23.8</v>
      </c>
      <c r="AL5224">
        <v>-20.133281749999949</v>
      </c>
      <c r="AM5224">
        <v>-44.886395047959027</v>
      </c>
      <c r="AN5224">
        <v>-20.133281749999949</v>
      </c>
      <c r="AO5224">
        <v>-44.886395047959027</v>
      </c>
      <c r="AP5224">
        <v>-20.133293999999999</v>
      </c>
      <c r="AQ5224">
        <v>-44.886302000000001</v>
      </c>
      <c r="AR5224">
        <v>9.8203037443031231</v>
      </c>
      <c r="AS5224" t="s">
        <v>65</v>
      </c>
      <c r="AT5224">
        <v>1</v>
      </c>
      <c r="AU5224" t="s">
        <v>808</v>
      </c>
      <c r="AV5224" t="s">
        <v>809</v>
      </c>
      <c r="AW5224" t="s">
        <v>60</v>
      </c>
      <c r="AX5224" t="s">
        <v>68</v>
      </c>
      <c r="AY5224" t="s">
        <v>69</v>
      </c>
      <c r="AZ5224" t="b">
        <v>1</v>
      </c>
    </row>
    <row r="5225" spans="1:52" x14ac:dyDescent="0.3">
      <c r="A5225" t="s">
        <v>52</v>
      </c>
      <c r="B5225" t="s">
        <v>53</v>
      </c>
      <c r="C5225" t="s">
        <v>54</v>
      </c>
      <c r="D5225" t="s">
        <v>55</v>
      </c>
      <c r="E5225" t="s">
        <v>2278</v>
      </c>
      <c r="F5225" t="s">
        <v>190</v>
      </c>
      <c r="G5225" t="s">
        <v>810</v>
      </c>
      <c r="H5225" t="s">
        <v>811</v>
      </c>
      <c r="I5225" t="s">
        <v>811</v>
      </c>
      <c r="J5225" t="s">
        <v>60</v>
      </c>
      <c r="K5225" t="s">
        <v>805</v>
      </c>
      <c r="L5225" t="s">
        <v>62</v>
      </c>
      <c r="M5225" t="s">
        <v>805</v>
      </c>
      <c r="N5225" t="s">
        <v>812</v>
      </c>
      <c r="O5225" t="s">
        <v>309</v>
      </c>
      <c r="P5225">
        <v>-20.129868999999999</v>
      </c>
      <c r="Q5225">
        <v>-44.884247999999999</v>
      </c>
      <c r="R5225" s="2" t="str">
        <f>HYPERLINK("https://www.google.com/maps?q=-20.1298690,-44.8842480","Abrir no Google Maps")</f>
        <v>Abrir no Google Maps</v>
      </c>
      <c r="S5225">
        <v>3</v>
      </c>
      <c r="T5225">
        <v>434.82198084080329</v>
      </c>
      <c r="U5225">
        <v>4</v>
      </c>
      <c r="V5225">
        <v>0.95608108108108125</v>
      </c>
      <c r="W5225">
        <v>1</v>
      </c>
      <c r="X5225">
        <v>0.95608108108108125</v>
      </c>
      <c r="Y5225">
        <v>259</v>
      </c>
      <c r="Z5225">
        <v>281.76247768049842</v>
      </c>
      <c r="AA5225">
        <v>198</v>
      </c>
      <c r="AB5225">
        <v>332</v>
      </c>
      <c r="AC5225">
        <v>536</v>
      </c>
      <c r="AD5225">
        <v>28.15</v>
      </c>
      <c r="AE5225">
        <v>542</v>
      </c>
      <c r="AF5225">
        <v>21</v>
      </c>
      <c r="AG5225">
        <v>176</v>
      </c>
      <c r="AH5225">
        <v>129</v>
      </c>
      <c r="AI5225">
        <v>3.87</v>
      </c>
      <c r="AJ5225">
        <v>32.47</v>
      </c>
      <c r="AK5225">
        <v>23.8</v>
      </c>
      <c r="AL5225">
        <v>-20.129927549999959</v>
      </c>
      <c r="AM5225">
        <v>-44.884228133573217</v>
      </c>
      <c r="AN5225">
        <v>-20.129927549999959</v>
      </c>
      <c r="AO5225">
        <v>-44.884228133573217</v>
      </c>
      <c r="AP5225">
        <v>-20.129868999999999</v>
      </c>
      <c r="AQ5225">
        <v>-44.884247999999999</v>
      </c>
      <c r="AR5225">
        <v>6.8405504803478081</v>
      </c>
      <c r="AS5225" t="s">
        <v>65</v>
      </c>
      <c r="AT5225">
        <v>1</v>
      </c>
      <c r="AU5225" t="s">
        <v>813</v>
      </c>
      <c r="AV5225" t="s">
        <v>814</v>
      </c>
      <c r="AW5225" t="s">
        <v>60</v>
      </c>
      <c r="AX5225" t="s">
        <v>68</v>
      </c>
      <c r="AY5225" t="s">
        <v>69</v>
      </c>
      <c r="AZ5225" t="b">
        <v>1</v>
      </c>
    </row>
    <row r="5226" spans="1:52" x14ac:dyDescent="0.3">
      <c r="A5226" t="s">
        <v>52</v>
      </c>
      <c r="B5226" t="s">
        <v>53</v>
      </c>
      <c r="C5226" t="s">
        <v>54</v>
      </c>
      <c r="D5226" t="s">
        <v>55</v>
      </c>
      <c r="E5226" t="s">
        <v>2278</v>
      </c>
      <c r="F5226" t="s">
        <v>190</v>
      </c>
      <c r="G5226" t="s">
        <v>815</v>
      </c>
      <c r="H5226" t="s">
        <v>816</v>
      </c>
      <c r="I5226" t="s">
        <v>816</v>
      </c>
      <c r="J5226" t="s">
        <v>60</v>
      </c>
      <c r="K5226" t="s">
        <v>805</v>
      </c>
      <c r="L5226" t="s">
        <v>62</v>
      </c>
      <c r="M5226" t="s">
        <v>805</v>
      </c>
      <c r="N5226" t="s">
        <v>817</v>
      </c>
      <c r="O5226" t="s">
        <v>818</v>
      </c>
      <c r="P5226">
        <v>-20.129894</v>
      </c>
      <c r="Q5226">
        <v>-44.886285000000001</v>
      </c>
      <c r="R5226" s="2" t="str">
        <f>HYPERLINK("https://www.google.com/maps?q=-20.1298940,-44.8862850","Abrir no Google Maps")</f>
        <v>Abrir no Google Maps</v>
      </c>
      <c r="S5226">
        <v>3</v>
      </c>
      <c r="T5226">
        <v>245.88570896460399</v>
      </c>
      <c r="U5226">
        <v>4</v>
      </c>
      <c r="V5226">
        <v>0.93330536912751683</v>
      </c>
      <c r="W5226">
        <v>1</v>
      </c>
      <c r="X5226">
        <v>0.93330536912751683</v>
      </c>
      <c r="Y5226">
        <v>259</v>
      </c>
      <c r="Z5226">
        <v>274.53833463725539</v>
      </c>
      <c r="AA5226">
        <v>198</v>
      </c>
      <c r="AB5226">
        <v>332</v>
      </c>
      <c r="AC5226">
        <v>536</v>
      </c>
      <c r="AD5226">
        <v>28.15</v>
      </c>
      <c r="AE5226">
        <v>542</v>
      </c>
      <c r="AF5226">
        <v>21</v>
      </c>
      <c r="AG5226">
        <v>176</v>
      </c>
      <c r="AH5226">
        <v>129</v>
      </c>
      <c r="AI5226">
        <v>3.87</v>
      </c>
      <c r="AJ5226">
        <v>32.47</v>
      </c>
      <c r="AK5226">
        <v>23.8</v>
      </c>
      <c r="AL5226">
        <v>-20.129900749999969</v>
      </c>
      <c r="AM5226">
        <v>-44.886258682425179</v>
      </c>
      <c r="AN5226">
        <v>-20.129900749999969</v>
      </c>
      <c r="AO5226">
        <v>-44.886258682425179</v>
      </c>
      <c r="AP5226">
        <v>-20.129894</v>
      </c>
      <c r="AQ5226">
        <v>-44.886285000000001</v>
      </c>
      <c r="AR5226">
        <v>2.851497427576585</v>
      </c>
      <c r="AS5226" t="s">
        <v>65</v>
      </c>
      <c r="AT5226">
        <v>1</v>
      </c>
      <c r="AU5226" t="s">
        <v>819</v>
      </c>
      <c r="AV5226" t="s">
        <v>814</v>
      </c>
      <c r="AW5226" t="s">
        <v>60</v>
      </c>
      <c r="AX5226" t="s">
        <v>68</v>
      </c>
      <c r="AY5226" t="s">
        <v>69</v>
      </c>
      <c r="AZ5226" t="b">
        <v>1</v>
      </c>
    </row>
    <row r="5227" spans="1:52" x14ac:dyDescent="0.3">
      <c r="A5227" t="s">
        <v>52</v>
      </c>
      <c r="B5227" t="s">
        <v>53</v>
      </c>
      <c r="C5227" t="s">
        <v>54</v>
      </c>
      <c r="D5227" t="s">
        <v>55</v>
      </c>
      <c r="E5227" t="s">
        <v>2278</v>
      </c>
      <c r="F5227" t="s">
        <v>190</v>
      </c>
      <c r="G5227" t="s">
        <v>1212</v>
      </c>
      <c r="H5227" t="s">
        <v>1213</v>
      </c>
      <c r="I5227" t="s">
        <v>1213</v>
      </c>
      <c r="J5227" t="s">
        <v>60</v>
      </c>
      <c r="K5227" t="s">
        <v>171</v>
      </c>
      <c r="L5227" t="s">
        <v>62</v>
      </c>
      <c r="M5227" t="s">
        <v>171</v>
      </c>
      <c r="N5227" t="s">
        <v>1214</v>
      </c>
      <c r="O5227" t="s">
        <v>1215</v>
      </c>
      <c r="P5227">
        <v>-20.152812999999998</v>
      </c>
      <c r="Q5227">
        <v>-44.889853000000002</v>
      </c>
      <c r="R5227" s="2" t="str">
        <f>HYPERLINK("https://www.google.com/maps?q=-20.1528130,-44.8898530","Abrir no Google Maps")</f>
        <v>Abrir no Google Maps</v>
      </c>
      <c r="S5227">
        <v>3</v>
      </c>
      <c r="T5227">
        <v>404.11054739579231</v>
      </c>
      <c r="U5227">
        <v>4</v>
      </c>
      <c r="V5227">
        <v>0.89199255121042831</v>
      </c>
      <c r="W5227">
        <v>1</v>
      </c>
      <c r="X5227">
        <v>0.89199255121042831</v>
      </c>
      <c r="Y5227">
        <v>129</v>
      </c>
      <c r="Z5227">
        <v>222.94297160630171</v>
      </c>
      <c r="AA5227">
        <v>198</v>
      </c>
      <c r="AB5227">
        <v>332</v>
      </c>
      <c r="AC5227">
        <v>536</v>
      </c>
      <c r="AD5227">
        <v>28.15</v>
      </c>
      <c r="AE5227">
        <v>542</v>
      </c>
      <c r="AF5227">
        <v>21</v>
      </c>
      <c r="AG5227">
        <v>176</v>
      </c>
      <c r="AH5227">
        <v>129</v>
      </c>
      <c r="AI5227">
        <v>3.87</v>
      </c>
      <c r="AJ5227">
        <v>32.47</v>
      </c>
      <c r="AK5227">
        <v>23.8</v>
      </c>
      <c r="AL5227">
        <v>-20.152851999999971</v>
      </c>
      <c r="AM5227">
        <v>-44.889864659228088</v>
      </c>
      <c r="AN5227">
        <v>-20.152851999999971</v>
      </c>
      <c r="AO5227">
        <v>-44.889864659228088</v>
      </c>
      <c r="AP5227">
        <v>-20.152812999999998</v>
      </c>
      <c r="AQ5227">
        <v>-44.889853000000002</v>
      </c>
      <c r="AR5227">
        <v>4.5092186597325066</v>
      </c>
      <c r="AS5227" t="s">
        <v>65</v>
      </c>
      <c r="AT5227">
        <v>1</v>
      </c>
      <c r="AU5227" t="s">
        <v>1216</v>
      </c>
      <c r="AV5227" t="s">
        <v>1217</v>
      </c>
      <c r="AW5227" t="s">
        <v>60</v>
      </c>
      <c r="AX5227" t="s">
        <v>68</v>
      </c>
      <c r="AY5227" t="s">
        <v>69</v>
      </c>
      <c r="AZ5227" t="b">
        <v>1</v>
      </c>
    </row>
    <row r="5228" spans="1:52" x14ac:dyDescent="0.3">
      <c r="A5228" t="s">
        <v>52</v>
      </c>
      <c r="B5228" t="s">
        <v>53</v>
      </c>
      <c r="C5228" t="s">
        <v>54</v>
      </c>
      <c r="D5228" t="s">
        <v>55</v>
      </c>
      <c r="E5228" t="s">
        <v>2278</v>
      </c>
      <c r="F5228" t="s">
        <v>190</v>
      </c>
      <c r="G5228" t="s">
        <v>833</v>
      </c>
      <c r="H5228" t="s">
        <v>834</v>
      </c>
      <c r="I5228" t="s">
        <v>834</v>
      </c>
      <c r="J5228" t="s">
        <v>60</v>
      </c>
      <c r="K5228" t="s">
        <v>388</v>
      </c>
      <c r="L5228" t="s">
        <v>62</v>
      </c>
      <c r="M5228" t="s">
        <v>388</v>
      </c>
      <c r="N5228" t="s">
        <v>835</v>
      </c>
      <c r="O5228" t="s">
        <v>836</v>
      </c>
      <c r="P5228">
        <v>-20.157906000000001</v>
      </c>
      <c r="Q5228">
        <v>-44.900458999999998</v>
      </c>
      <c r="R5228" s="2" t="str">
        <f>HYPERLINK("https://www.google.com/maps?q=-20.1579060,-44.9004590","Abrir no Google Maps")</f>
        <v>Abrir no Google Maps</v>
      </c>
      <c r="S5228">
        <v>3</v>
      </c>
      <c r="T5228">
        <v>0</v>
      </c>
      <c r="U5228">
        <v>3</v>
      </c>
      <c r="V5228">
        <v>0.88110632183908044</v>
      </c>
      <c r="W5228">
        <v>1</v>
      </c>
      <c r="X5228">
        <v>0.88110632183908044</v>
      </c>
      <c r="Y5228">
        <v>729</v>
      </c>
      <c r="Z5228">
        <v>203.63168486652771</v>
      </c>
      <c r="AA5228">
        <v>198</v>
      </c>
      <c r="AB5228">
        <v>332</v>
      </c>
      <c r="AC5228">
        <v>536</v>
      </c>
      <c r="AD5228">
        <v>28.15</v>
      </c>
      <c r="AE5228">
        <v>542</v>
      </c>
      <c r="AF5228">
        <v>21</v>
      </c>
      <c r="AG5228">
        <v>176</v>
      </c>
      <c r="AH5228">
        <v>129</v>
      </c>
      <c r="AI5228">
        <v>3.87</v>
      </c>
      <c r="AJ5228">
        <v>32.47</v>
      </c>
      <c r="AK5228">
        <v>23.8</v>
      </c>
      <c r="AL5228">
        <v>-20.157925749999951</v>
      </c>
      <c r="AM5228">
        <v>-44.900484707799812</v>
      </c>
      <c r="AN5228">
        <v>-20.157925749999951</v>
      </c>
      <c r="AO5228">
        <v>-44.900484707799812</v>
      </c>
      <c r="AP5228">
        <v>-20.157906000000001</v>
      </c>
      <c r="AQ5228">
        <v>-44.900458999999998</v>
      </c>
      <c r="AR5228">
        <v>3.4714515960382508</v>
      </c>
      <c r="AS5228" t="s">
        <v>65</v>
      </c>
      <c r="AT5228">
        <v>1</v>
      </c>
      <c r="AU5228" t="s">
        <v>837</v>
      </c>
      <c r="AV5228" t="s">
        <v>838</v>
      </c>
      <c r="AW5228" t="s">
        <v>60</v>
      </c>
      <c r="AX5228" t="s">
        <v>68</v>
      </c>
      <c r="AY5228" t="s">
        <v>69</v>
      </c>
      <c r="AZ5228" t="b">
        <v>1</v>
      </c>
    </row>
    <row r="5229" spans="1:52" x14ac:dyDescent="0.3">
      <c r="A5229" t="s">
        <v>52</v>
      </c>
      <c r="B5229" t="s">
        <v>53</v>
      </c>
      <c r="C5229" t="s">
        <v>54</v>
      </c>
      <c r="D5229" t="s">
        <v>55</v>
      </c>
      <c r="E5229" t="s">
        <v>2278</v>
      </c>
      <c r="F5229" t="s">
        <v>190</v>
      </c>
      <c r="G5229" t="s">
        <v>392</v>
      </c>
      <c r="H5229" t="s">
        <v>393</v>
      </c>
      <c r="I5229" t="s">
        <v>393</v>
      </c>
      <c r="J5229" t="s">
        <v>60</v>
      </c>
      <c r="K5229" t="s">
        <v>388</v>
      </c>
      <c r="L5229" t="s">
        <v>62</v>
      </c>
      <c r="M5229" t="s">
        <v>388</v>
      </c>
      <c r="N5229" t="s">
        <v>394</v>
      </c>
      <c r="O5229" t="s">
        <v>395</v>
      </c>
      <c r="P5229">
        <v>-20.158066999999999</v>
      </c>
      <c r="Q5229">
        <v>-44.908164999999997</v>
      </c>
      <c r="R5229" s="2" t="str">
        <f>HYPERLINK("https://www.google.com/maps?q=-20.1580670,-44.9081650","Abrir no Google Maps")</f>
        <v>Abrir no Google Maps</v>
      </c>
      <c r="S5229">
        <v>3</v>
      </c>
      <c r="T5229">
        <v>666.74434317993041</v>
      </c>
      <c r="U5229">
        <v>3</v>
      </c>
      <c r="V5229">
        <v>0.88174489144316726</v>
      </c>
      <c r="W5229">
        <v>1</v>
      </c>
      <c r="X5229">
        <v>0.88174489144316726</v>
      </c>
      <c r="Y5229">
        <v>729</v>
      </c>
      <c r="Z5229">
        <v>612.4323328215396</v>
      </c>
      <c r="AA5229">
        <v>198</v>
      </c>
      <c r="AB5229">
        <v>332</v>
      </c>
      <c r="AC5229">
        <v>536</v>
      </c>
      <c r="AD5229">
        <v>28.15</v>
      </c>
      <c r="AE5229">
        <v>542</v>
      </c>
      <c r="AF5229">
        <v>21</v>
      </c>
      <c r="AG5229">
        <v>176</v>
      </c>
      <c r="AH5229">
        <v>129</v>
      </c>
      <c r="AI5229">
        <v>3.87</v>
      </c>
      <c r="AJ5229">
        <v>32.47</v>
      </c>
      <c r="AK5229">
        <v>23.8</v>
      </c>
      <c r="AL5229">
        <v>-20.158151449999959</v>
      </c>
      <c r="AM5229">
        <v>-44.908107718360938</v>
      </c>
      <c r="AN5229">
        <v>-20.158151449999959</v>
      </c>
      <c r="AO5229">
        <v>-44.908107718360938</v>
      </c>
      <c r="AP5229">
        <v>-20.158066999999999</v>
      </c>
      <c r="AQ5229">
        <v>-44.908164999999997</v>
      </c>
      <c r="AR5229">
        <v>11.14497345894574</v>
      </c>
      <c r="AS5229" t="s">
        <v>65</v>
      </c>
      <c r="AT5229">
        <v>1</v>
      </c>
      <c r="AU5229" t="s">
        <v>396</v>
      </c>
      <c r="AV5229" t="s">
        <v>397</v>
      </c>
      <c r="AW5229" t="s">
        <v>60</v>
      </c>
      <c r="AX5229" t="s">
        <v>68</v>
      </c>
      <c r="AY5229" t="s">
        <v>69</v>
      </c>
      <c r="AZ5229" t="b">
        <v>1</v>
      </c>
    </row>
    <row r="5230" spans="1:52" x14ac:dyDescent="0.3">
      <c r="A5230" t="s">
        <v>52</v>
      </c>
      <c r="B5230" t="s">
        <v>53</v>
      </c>
      <c r="C5230" t="s">
        <v>54</v>
      </c>
      <c r="D5230" t="s">
        <v>55</v>
      </c>
      <c r="E5230" t="s">
        <v>2278</v>
      </c>
      <c r="F5230" t="s">
        <v>190</v>
      </c>
      <c r="G5230" t="s">
        <v>851</v>
      </c>
      <c r="H5230" t="s">
        <v>852</v>
      </c>
      <c r="I5230" t="s">
        <v>852</v>
      </c>
      <c r="J5230" t="s">
        <v>60</v>
      </c>
      <c r="K5230" t="s">
        <v>853</v>
      </c>
      <c r="L5230" t="s">
        <v>62</v>
      </c>
      <c r="M5230" t="s">
        <v>853</v>
      </c>
      <c r="N5230" t="s">
        <v>854</v>
      </c>
      <c r="O5230" t="s">
        <v>855</v>
      </c>
      <c r="P5230">
        <v>-20.127835000000001</v>
      </c>
      <c r="Q5230">
        <v>-44.909329</v>
      </c>
      <c r="R5230" s="2" t="str">
        <f>HYPERLINK("https://www.google.com/maps?q=-20.1278350,-44.9093290","Abrir no Google Maps")</f>
        <v>Abrir no Google Maps</v>
      </c>
      <c r="S5230">
        <v>3</v>
      </c>
      <c r="T5230">
        <v>1173.033690896357</v>
      </c>
      <c r="U5230">
        <v>3</v>
      </c>
      <c r="V5230">
        <v>0.87434554973821987</v>
      </c>
      <c r="W5230">
        <v>1</v>
      </c>
      <c r="X5230">
        <v>0.87434554973821987</v>
      </c>
      <c r="Y5230">
        <v>581</v>
      </c>
      <c r="Z5230">
        <v>1296.5011565926129</v>
      </c>
      <c r="AA5230">
        <v>198</v>
      </c>
      <c r="AB5230">
        <v>332</v>
      </c>
      <c r="AC5230">
        <v>536</v>
      </c>
      <c r="AD5230">
        <v>28.15</v>
      </c>
      <c r="AE5230">
        <v>542</v>
      </c>
      <c r="AF5230">
        <v>21</v>
      </c>
      <c r="AG5230">
        <v>176</v>
      </c>
      <c r="AH5230">
        <v>129</v>
      </c>
      <c r="AI5230">
        <v>3.87</v>
      </c>
      <c r="AJ5230">
        <v>32.47</v>
      </c>
      <c r="AK5230">
        <v>23.8</v>
      </c>
      <c r="AL5230">
        <v>-20.127852899999969</v>
      </c>
      <c r="AM5230">
        <v>-44.909386667699948</v>
      </c>
      <c r="AN5230">
        <v>-20.127852899999969</v>
      </c>
      <c r="AO5230">
        <v>-44.909386667699948</v>
      </c>
      <c r="AP5230">
        <v>-20.127835000000001</v>
      </c>
      <c r="AQ5230">
        <v>-44.909329</v>
      </c>
      <c r="AR5230">
        <v>6.3483385067119924</v>
      </c>
      <c r="AS5230" t="s">
        <v>65</v>
      </c>
      <c r="AT5230">
        <v>1</v>
      </c>
      <c r="AU5230" t="s">
        <v>856</v>
      </c>
      <c r="AV5230" t="s">
        <v>857</v>
      </c>
      <c r="AW5230" t="s">
        <v>60</v>
      </c>
      <c r="AX5230" t="s">
        <v>68</v>
      </c>
      <c r="AY5230" t="s">
        <v>69</v>
      </c>
      <c r="AZ5230" t="b">
        <v>1</v>
      </c>
    </row>
    <row r="5231" spans="1:52" x14ac:dyDescent="0.3">
      <c r="A5231" t="s">
        <v>52</v>
      </c>
      <c r="B5231" t="s">
        <v>53</v>
      </c>
      <c r="C5231" t="s">
        <v>54</v>
      </c>
      <c r="D5231" t="s">
        <v>55</v>
      </c>
      <c r="E5231" t="s">
        <v>2278</v>
      </c>
      <c r="F5231" t="s">
        <v>190</v>
      </c>
      <c r="G5231" t="s">
        <v>858</v>
      </c>
      <c r="H5231" t="s">
        <v>859</v>
      </c>
      <c r="I5231" t="s">
        <v>859</v>
      </c>
      <c r="J5231" t="s">
        <v>60</v>
      </c>
      <c r="K5231" t="s">
        <v>462</v>
      </c>
      <c r="L5231" t="s">
        <v>62</v>
      </c>
      <c r="M5231" t="s">
        <v>462</v>
      </c>
      <c r="N5231" t="s">
        <v>860</v>
      </c>
      <c r="O5231" t="s">
        <v>861</v>
      </c>
      <c r="P5231">
        <v>-20.139693999999999</v>
      </c>
      <c r="Q5231">
        <v>-44.911256000000002</v>
      </c>
      <c r="R5231" s="2" t="str">
        <f>HYPERLINK("https://www.google.com/maps?q=-20.1396940,-44.9112560","Abrir no Google Maps")</f>
        <v>Abrir no Google Maps</v>
      </c>
      <c r="S5231">
        <v>3</v>
      </c>
      <c r="T5231">
        <v>380.48036838042862</v>
      </c>
      <c r="U5231">
        <v>3</v>
      </c>
      <c r="V5231">
        <v>0.96570796460177</v>
      </c>
      <c r="W5231">
        <v>0.85</v>
      </c>
      <c r="X5231">
        <v>0.82085176991150444</v>
      </c>
      <c r="Y5231">
        <v>581</v>
      </c>
      <c r="Z5231">
        <v>374.61146000000178</v>
      </c>
      <c r="AA5231">
        <v>198</v>
      </c>
      <c r="AB5231">
        <v>332</v>
      </c>
      <c r="AC5231">
        <v>536</v>
      </c>
      <c r="AD5231">
        <v>28.15</v>
      </c>
      <c r="AE5231">
        <v>542</v>
      </c>
      <c r="AF5231">
        <v>21</v>
      </c>
      <c r="AG5231">
        <v>176</v>
      </c>
      <c r="AH5231">
        <v>129</v>
      </c>
      <c r="AI5231">
        <v>3.87</v>
      </c>
      <c r="AJ5231">
        <v>32.47</v>
      </c>
      <c r="AK5231">
        <v>23.8</v>
      </c>
      <c r="AL5231">
        <v>-20.139768699999959</v>
      </c>
      <c r="AM5231">
        <v>-44.911265351587588</v>
      </c>
      <c r="AN5231">
        <v>-20.139768699999959</v>
      </c>
      <c r="AO5231">
        <v>-44.911265351587588</v>
      </c>
      <c r="AP5231">
        <v>-20.139693999999999</v>
      </c>
      <c r="AQ5231">
        <v>-44.911256000000002</v>
      </c>
      <c r="AR5231">
        <v>8.3728438666521061</v>
      </c>
      <c r="AS5231" t="s">
        <v>65</v>
      </c>
      <c r="AT5231">
        <v>1</v>
      </c>
      <c r="AU5231" t="s">
        <v>862</v>
      </c>
      <c r="AV5231" t="s">
        <v>863</v>
      </c>
      <c r="AW5231" t="s">
        <v>60</v>
      </c>
      <c r="AX5231" t="s">
        <v>68</v>
      </c>
      <c r="AY5231" t="s">
        <v>69</v>
      </c>
      <c r="AZ5231" t="b">
        <v>1</v>
      </c>
    </row>
    <row r="5232" spans="1:52" x14ac:dyDescent="0.3">
      <c r="A5232" t="s">
        <v>52</v>
      </c>
      <c r="B5232" t="s">
        <v>53</v>
      </c>
      <c r="C5232" t="s">
        <v>54</v>
      </c>
      <c r="D5232" t="s">
        <v>55</v>
      </c>
      <c r="E5232" t="s">
        <v>2278</v>
      </c>
      <c r="F5232" t="s">
        <v>190</v>
      </c>
      <c r="G5232" t="s">
        <v>870</v>
      </c>
      <c r="H5232" t="s">
        <v>871</v>
      </c>
      <c r="I5232" t="s">
        <v>871</v>
      </c>
      <c r="J5232" t="s">
        <v>60</v>
      </c>
      <c r="K5232" t="s">
        <v>475</v>
      </c>
      <c r="L5232" t="s">
        <v>62</v>
      </c>
      <c r="M5232" t="s">
        <v>475</v>
      </c>
      <c r="N5232" t="s">
        <v>872</v>
      </c>
      <c r="O5232" t="s">
        <v>507</v>
      </c>
      <c r="P5232">
        <v>-20.176269999999999</v>
      </c>
      <c r="Q5232">
        <v>-44.909323999999998</v>
      </c>
      <c r="R5232" s="2" t="str">
        <f>HYPERLINK("https://www.google.com/maps?q=-20.1762700,-44.9093240","Abrir no Google Maps")</f>
        <v>Abrir no Google Maps</v>
      </c>
      <c r="S5232">
        <v>3</v>
      </c>
      <c r="T5232">
        <v>472.42731136821368</v>
      </c>
      <c r="U5232">
        <v>3</v>
      </c>
      <c r="V5232">
        <v>0.87592592592592589</v>
      </c>
      <c r="W5232">
        <v>1</v>
      </c>
      <c r="X5232">
        <v>0.87592592592592589</v>
      </c>
      <c r="Y5232">
        <v>578</v>
      </c>
      <c r="Z5232">
        <v>495.19726726344601</v>
      </c>
      <c r="AA5232">
        <v>198</v>
      </c>
      <c r="AB5232">
        <v>332</v>
      </c>
      <c r="AC5232">
        <v>536</v>
      </c>
      <c r="AD5232">
        <v>28.15</v>
      </c>
      <c r="AE5232">
        <v>542</v>
      </c>
      <c r="AF5232">
        <v>21</v>
      </c>
      <c r="AG5232">
        <v>176</v>
      </c>
      <c r="AH5232">
        <v>129</v>
      </c>
      <c r="AI5232">
        <v>3.87</v>
      </c>
      <c r="AJ5232">
        <v>32.47</v>
      </c>
      <c r="AK5232">
        <v>23.8</v>
      </c>
      <c r="AL5232">
        <v>-20.17630284999996</v>
      </c>
      <c r="AM5232">
        <v>-44.909199064318948</v>
      </c>
      <c r="AN5232">
        <v>-20.17630284999996</v>
      </c>
      <c r="AO5232">
        <v>-44.909199064318948</v>
      </c>
      <c r="AP5232">
        <v>-20.176269999999999</v>
      </c>
      <c r="AQ5232">
        <v>-44.909323999999998</v>
      </c>
      <c r="AR5232">
        <v>13.55691308737447</v>
      </c>
      <c r="AS5232" t="s">
        <v>65</v>
      </c>
      <c r="AT5232">
        <v>1</v>
      </c>
      <c r="AU5232" t="s">
        <v>873</v>
      </c>
      <c r="AV5232" t="s">
        <v>874</v>
      </c>
      <c r="AW5232" t="s">
        <v>60</v>
      </c>
      <c r="AX5232" t="s">
        <v>68</v>
      </c>
      <c r="AY5232" t="s">
        <v>69</v>
      </c>
      <c r="AZ5232" t="b">
        <v>1</v>
      </c>
    </row>
    <row r="5233" spans="1:52" x14ac:dyDescent="0.3">
      <c r="A5233" t="s">
        <v>52</v>
      </c>
      <c r="B5233" t="s">
        <v>53</v>
      </c>
      <c r="C5233" t="s">
        <v>54</v>
      </c>
      <c r="D5233" t="s">
        <v>55</v>
      </c>
      <c r="E5233" t="s">
        <v>2278</v>
      </c>
      <c r="F5233" t="s">
        <v>190</v>
      </c>
      <c r="G5233" t="s">
        <v>473</v>
      </c>
      <c r="H5233" t="s">
        <v>474</v>
      </c>
      <c r="I5233" t="s">
        <v>474</v>
      </c>
      <c r="J5233" t="s">
        <v>60</v>
      </c>
      <c r="K5233" t="s">
        <v>475</v>
      </c>
      <c r="L5233" t="s">
        <v>62</v>
      </c>
      <c r="M5233" t="s">
        <v>475</v>
      </c>
      <c r="N5233" t="s">
        <v>406</v>
      </c>
      <c r="O5233" t="s">
        <v>476</v>
      </c>
      <c r="P5233">
        <v>-20.177902</v>
      </c>
      <c r="Q5233">
        <v>-44.908504000000001</v>
      </c>
      <c r="R5233" s="2" t="str">
        <f>HYPERLINK("https://www.google.com/maps?q=-20.1779020,-44.9085040","Abrir no Google Maps")</f>
        <v>Abrir no Google Maps</v>
      </c>
      <c r="S5233">
        <v>3</v>
      </c>
      <c r="T5233">
        <v>656.92307673247149</v>
      </c>
      <c r="U5233">
        <v>3</v>
      </c>
      <c r="V5233">
        <v>0.88308457711442789</v>
      </c>
      <c r="W5233">
        <v>1</v>
      </c>
      <c r="X5233">
        <v>0.88308457711442789</v>
      </c>
      <c r="Y5233">
        <v>578</v>
      </c>
      <c r="Z5233">
        <v>635.01982153722327</v>
      </c>
      <c r="AA5233">
        <v>198</v>
      </c>
      <c r="AB5233">
        <v>332</v>
      </c>
      <c r="AC5233">
        <v>536</v>
      </c>
      <c r="AD5233">
        <v>28.15</v>
      </c>
      <c r="AE5233">
        <v>542</v>
      </c>
      <c r="AF5233">
        <v>21</v>
      </c>
      <c r="AG5233">
        <v>176</v>
      </c>
      <c r="AH5233">
        <v>129</v>
      </c>
      <c r="AI5233">
        <v>3.87</v>
      </c>
      <c r="AJ5233">
        <v>32.47</v>
      </c>
      <c r="AK5233">
        <v>23.8</v>
      </c>
      <c r="AL5233">
        <v>-20.177800399999938</v>
      </c>
      <c r="AM5233">
        <v>-44.908361879701268</v>
      </c>
      <c r="AN5233">
        <v>-20.177800399999938</v>
      </c>
      <c r="AO5233">
        <v>-44.908361879701268</v>
      </c>
      <c r="AP5233">
        <v>-20.177902</v>
      </c>
      <c r="AQ5233">
        <v>-44.908504000000001</v>
      </c>
      <c r="AR5233">
        <v>18.666463141775541</v>
      </c>
      <c r="AS5233" t="s">
        <v>65</v>
      </c>
      <c r="AT5233">
        <v>1</v>
      </c>
      <c r="AU5233" t="s">
        <v>477</v>
      </c>
      <c r="AV5233" t="s">
        <v>478</v>
      </c>
      <c r="AW5233" t="s">
        <v>60</v>
      </c>
      <c r="AX5233" t="s">
        <v>68</v>
      </c>
      <c r="AY5233" t="s">
        <v>69</v>
      </c>
      <c r="AZ5233" t="b">
        <v>1</v>
      </c>
    </row>
    <row r="5234" spans="1:52" x14ac:dyDescent="0.3">
      <c r="A5234" t="s">
        <v>52</v>
      </c>
      <c r="B5234" t="s">
        <v>53</v>
      </c>
      <c r="C5234" t="s">
        <v>54</v>
      </c>
      <c r="D5234" t="s">
        <v>55</v>
      </c>
      <c r="E5234" t="s">
        <v>2278</v>
      </c>
      <c r="F5234" t="s">
        <v>190</v>
      </c>
      <c r="G5234" t="s">
        <v>479</v>
      </c>
      <c r="H5234" t="s">
        <v>480</v>
      </c>
      <c r="I5234" t="s">
        <v>480</v>
      </c>
      <c r="J5234" t="s">
        <v>60</v>
      </c>
      <c r="K5234" t="s">
        <v>388</v>
      </c>
      <c r="L5234" t="s">
        <v>62</v>
      </c>
      <c r="M5234" t="s">
        <v>388</v>
      </c>
      <c r="N5234" t="s">
        <v>481</v>
      </c>
      <c r="O5234" t="s">
        <v>315</v>
      </c>
      <c r="P5234">
        <v>-20.166903999999999</v>
      </c>
      <c r="Q5234">
        <v>-44.903492</v>
      </c>
      <c r="R5234" s="2" t="str">
        <f>HYPERLINK("https://www.google.com/maps?q=-20.1669040,-44.9034920","Abrir no Google Maps")</f>
        <v>Abrir no Google Maps</v>
      </c>
      <c r="S5234">
        <v>3</v>
      </c>
      <c r="T5234">
        <v>517.12253532511602</v>
      </c>
      <c r="U5234">
        <v>3</v>
      </c>
      <c r="V5234">
        <v>0.88023952095808389</v>
      </c>
      <c r="W5234">
        <v>1</v>
      </c>
      <c r="X5234">
        <v>0.88023952095808389</v>
      </c>
      <c r="Y5234">
        <v>578</v>
      </c>
      <c r="Z5234">
        <v>721.79551240050432</v>
      </c>
      <c r="AA5234">
        <v>198</v>
      </c>
      <c r="AB5234">
        <v>332</v>
      </c>
      <c r="AC5234">
        <v>536</v>
      </c>
      <c r="AD5234">
        <v>28.15</v>
      </c>
      <c r="AE5234">
        <v>542</v>
      </c>
      <c r="AF5234">
        <v>21</v>
      </c>
      <c r="AG5234">
        <v>176</v>
      </c>
      <c r="AH5234">
        <v>129</v>
      </c>
      <c r="AI5234">
        <v>3.87</v>
      </c>
      <c r="AJ5234">
        <v>32.47</v>
      </c>
      <c r="AK5234">
        <v>23.8</v>
      </c>
      <c r="AL5234">
        <v>-20.166610649999971</v>
      </c>
      <c r="AM5234">
        <v>-44.903452988928308</v>
      </c>
      <c r="AN5234">
        <v>-20.166610649999971</v>
      </c>
      <c r="AO5234">
        <v>-44.903452988928308</v>
      </c>
      <c r="AP5234">
        <v>-20.166903999999999</v>
      </c>
      <c r="AQ5234">
        <v>-44.903492</v>
      </c>
      <c r="AR5234">
        <v>32.909175876856217</v>
      </c>
      <c r="AS5234" t="s">
        <v>65</v>
      </c>
      <c r="AT5234">
        <v>1</v>
      </c>
      <c r="AU5234" t="s">
        <v>482</v>
      </c>
      <c r="AV5234" t="s">
        <v>483</v>
      </c>
      <c r="AW5234" t="s">
        <v>60</v>
      </c>
      <c r="AX5234" t="s">
        <v>68</v>
      </c>
      <c r="AY5234" t="s">
        <v>69</v>
      </c>
      <c r="AZ5234" t="b">
        <v>1</v>
      </c>
    </row>
    <row r="5235" spans="1:52" x14ac:dyDescent="0.3">
      <c r="A5235" t="s">
        <v>52</v>
      </c>
      <c r="B5235" t="s">
        <v>53</v>
      </c>
      <c r="C5235" t="s">
        <v>54</v>
      </c>
      <c r="D5235" t="s">
        <v>55</v>
      </c>
      <c r="E5235" t="s">
        <v>2278</v>
      </c>
      <c r="F5235" t="s">
        <v>190</v>
      </c>
      <c r="G5235" t="s">
        <v>491</v>
      </c>
      <c r="H5235" t="s">
        <v>492</v>
      </c>
      <c r="I5235" t="s">
        <v>492</v>
      </c>
      <c r="J5235" t="s">
        <v>60</v>
      </c>
      <c r="K5235" t="s">
        <v>475</v>
      </c>
      <c r="L5235" t="s">
        <v>62</v>
      </c>
      <c r="M5235" t="s">
        <v>475</v>
      </c>
      <c r="N5235" t="s">
        <v>493</v>
      </c>
      <c r="O5235" t="s">
        <v>494</v>
      </c>
      <c r="P5235">
        <v>-20.175250999999999</v>
      </c>
      <c r="Q5235">
        <v>-44.897357</v>
      </c>
      <c r="R5235" s="2" t="str">
        <f>HYPERLINK("https://www.google.com/maps?q=-20.1752510,-44.8973570","Abrir no Google Maps")</f>
        <v>Abrir no Google Maps</v>
      </c>
      <c r="S5235">
        <v>3</v>
      </c>
      <c r="T5235">
        <v>992.29631678149951</v>
      </c>
      <c r="U5235">
        <v>3</v>
      </c>
      <c r="V5235">
        <v>0.88078231292517006</v>
      </c>
      <c r="W5235">
        <v>1</v>
      </c>
      <c r="X5235">
        <v>0.88078231292517006</v>
      </c>
      <c r="Y5235">
        <v>578</v>
      </c>
      <c r="Z5235">
        <v>1008.5871064168319</v>
      </c>
      <c r="AA5235">
        <v>198</v>
      </c>
      <c r="AB5235">
        <v>332</v>
      </c>
      <c r="AC5235">
        <v>536</v>
      </c>
      <c r="AD5235">
        <v>28.15</v>
      </c>
      <c r="AE5235">
        <v>542</v>
      </c>
      <c r="AF5235">
        <v>21</v>
      </c>
      <c r="AG5235">
        <v>176</v>
      </c>
      <c r="AH5235">
        <v>129</v>
      </c>
      <c r="AI5235">
        <v>3.87</v>
      </c>
      <c r="AJ5235">
        <v>32.47</v>
      </c>
      <c r="AK5235">
        <v>23.8</v>
      </c>
      <c r="AL5235">
        <v>-20.175290599999951</v>
      </c>
      <c r="AM5235">
        <v>-44.897271931010721</v>
      </c>
      <c r="AN5235">
        <v>-20.175290599999951</v>
      </c>
      <c r="AO5235">
        <v>-44.897271931010721</v>
      </c>
      <c r="AP5235">
        <v>-20.175250999999999</v>
      </c>
      <c r="AQ5235">
        <v>-44.897357</v>
      </c>
      <c r="AR5235">
        <v>9.921899108467926</v>
      </c>
      <c r="AS5235" t="s">
        <v>65</v>
      </c>
      <c r="AT5235">
        <v>1</v>
      </c>
      <c r="AU5235" t="s">
        <v>495</v>
      </c>
      <c r="AV5235" t="s">
        <v>496</v>
      </c>
      <c r="AW5235" t="s">
        <v>60</v>
      </c>
      <c r="AX5235" t="s">
        <v>68</v>
      </c>
      <c r="AY5235" t="s">
        <v>69</v>
      </c>
      <c r="AZ5235" t="b">
        <v>1</v>
      </c>
    </row>
    <row r="5236" spans="1:52" x14ac:dyDescent="0.3">
      <c r="A5236" t="s">
        <v>52</v>
      </c>
      <c r="B5236" t="s">
        <v>53</v>
      </c>
      <c r="C5236" t="s">
        <v>54</v>
      </c>
      <c r="D5236" t="s">
        <v>55</v>
      </c>
      <c r="E5236" t="s">
        <v>2278</v>
      </c>
      <c r="F5236" t="s">
        <v>190</v>
      </c>
      <c r="G5236" t="s">
        <v>497</v>
      </c>
      <c r="H5236" t="s">
        <v>875</v>
      </c>
      <c r="I5236" t="s">
        <v>875</v>
      </c>
      <c r="J5236" t="s">
        <v>60</v>
      </c>
      <c r="K5236" t="s">
        <v>475</v>
      </c>
      <c r="L5236" t="s">
        <v>62</v>
      </c>
      <c r="M5236" t="s">
        <v>475</v>
      </c>
      <c r="N5236" t="s">
        <v>499</v>
      </c>
      <c r="O5236" t="s">
        <v>876</v>
      </c>
      <c r="P5236">
        <v>-20.177212999999998</v>
      </c>
      <c r="Q5236">
        <v>-44.904026999999999</v>
      </c>
      <c r="R5236" s="2" t="str">
        <f>HYPERLINK("https://www.google.com/maps?q=-20.1772130,-44.9040270","Abrir no Google Maps")</f>
        <v>Abrir no Google Maps</v>
      </c>
      <c r="S5236">
        <v>3</v>
      </c>
      <c r="T5236">
        <v>706.4159561113795</v>
      </c>
      <c r="U5236">
        <v>3</v>
      </c>
      <c r="V5236">
        <v>0.875</v>
      </c>
      <c r="W5236">
        <v>1</v>
      </c>
      <c r="X5236">
        <v>0.875</v>
      </c>
      <c r="Y5236">
        <v>578</v>
      </c>
      <c r="Z5236">
        <v>588.7160518608398</v>
      </c>
      <c r="AA5236">
        <v>198</v>
      </c>
      <c r="AB5236">
        <v>332</v>
      </c>
      <c r="AC5236">
        <v>536</v>
      </c>
      <c r="AD5236">
        <v>28.15</v>
      </c>
      <c r="AE5236">
        <v>542</v>
      </c>
      <c r="AF5236">
        <v>21</v>
      </c>
      <c r="AG5236">
        <v>176</v>
      </c>
      <c r="AH5236">
        <v>129</v>
      </c>
      <c r="AI5236">
        <v>3.87</v>
      </c>
      <c r="AJ5236">
        <v>32.47</v>
      </c>
      <c r="AK5236">
        <v>23.8</v>
      </c>
      <c r="AL5236">
        <v>-20.177090199999949</v>
      </c>
      <c r="AM5236">
        <v>-44.904078820930181</v>
      </c>
      <c r="AN5236">
        <v>-20.177090199999949</v>
      </c>
      <c r="AO5236">
        <v>-44.904078820930181</v>
      </c>
      <c r="AP5236">
        <v>-20.177212999999998</v>
      </c>
      <c r="AQ5236">
        <v>-44.904026999999999</v>
      </c>
      <c r="AR5236">
        <v>14.7034129632295</v>
      </c>
      <c r="AS5236" t="s">
        <v>65</v>
      </c>
      <c r="AT5236">
        <v>1</v>
      </c>
      <c r="AU5236" t="s">
        <v>877</v>
      </c>
      <c r="AV5236" t="s">
        <v>878</v>
      </c>
      <c r="AW5236" t="s">
        <v>60</v>
      </c>
      <c r="AX5236" t="s">
        <v>68</v>
      </c>
      <c r="AY5236" t="s">
        <v>69</v>
      </c>
      <c r="AZ5236" t="b">
        <v>1</v>
      </c>
    </row>
    <row r="5237" spans="1:52" x14ac:dyDescent="0.3">
      <c r="A5237" t="s">
        <v>52</v>
      </c>
      <c r="B5237" t="s">
        <v>53</v>
      </c>
      <c r="C5237" t="s">
        <v>54</v>
      </c>
      <c r="D5237" t="s">
        <v>55</v>
      </c>
      <c r="E5237" t="s">
        <v>2278</v>
      </c>
      <c r="F5237" t="s">
        <v>190</v>
      </c>
      <c r="G5237" t="s">
        <v>890</v>
      </c>
      <c r="H5237" t="s">
        <v>891</v>
      </c>
      <c r="I5237" t="s">
        <v>891</v>
      </c>
      <c r="J5237" t="s">
        <v>60</v>
      </c>
      <c r="K5237" t="s">
        <v>892</v>
      </c>
      <c r="L5237" t="s">
        <v>62</v>
      </c>
      <c r="M5237" t="s">
        <v>892</v>
      </c>
      <c r="N5237" t="s">
        <v>893</v>
      </c>
      <c r="O5237" t="s">
        <v>894</v>
      </c>
      <c r="P5237">
        <v>-20.152519000000002</v>
      </c>
      <c r="Q5237">
        <v>-44.899177000000002</v>
      </c>
      <c r="R5237" s="2" t="str">
        <f>HYPERLINK("https://www.google.com/maps?q=-20.1525190,-44.8991770","Abrir no Google Maps")</f>
        <v>Abrir no Google Maps</v>
      </c>
      <c r="S5237">
        <v>3</v>
      </c>
      <c r="T5237">
        <v>211.80188552994721</v>
      </c>
      <c r="U5237">
        <v>3</v>
      </c>
      <c r="V5237">
        <v>0.86508861940298509</v>
      </c>
      <c r="W5237">
        <v>1</v>
      </c>
      <c r="X5237">
        <v>0.86508861940298509</v>
      </c>
      <c r="Y5237">
        <v>556</v>
      </c>
      <c r="Z5237">
        <v>290.34804137107091</v>
      </c>
      <c r="AA5237">
        <v>198</v>
      </c>
      <c r="AB5237">
        <v>332</v>
      </c>
      <c r="AC5237">
        <v>536</v>
      </c>
      <c r="AD5237">
        <v>28.15</v>
      </c>
      <c r="AE5237">
        <v>542</v>
      </c>
      <c r="AF5237">
        <v>21</v>
      </c>
      <c r="AG5237">
        <v>176</v>
      </c>
      <c r="AH5237">
        <v>129</v>
      </c>
      <c r="AI5237">
        <v>3.87</v>
      </c>
      <c r="AJ5237">
        <v>32.47</v>
      </c>
      <c r="AK5237">
        <v>23.8</v>
      </c>
      <c r="AL5237">
        <v>-20.152516249999959</v>
      </c>
      <c r="AM5237">
        <v>-44.899310431333959</v>
      </c>
      <c r="AN5237">
        <v>-20.152516249999959</v>
      </c>
      <c r="AO5237">
        <v>-44.899310431333959</v>
      </c>
      <c r="AP5237">
        <v>-20.152519000000002</v>
      </c>
      <c r="AQ5237">
        <v>-44.899177000000002</v>
      </c>
      <c r="AR5237">
        <v>13.947583284957719</v>
      </c>
      <c r="AS5237" t="s">
        <v>65</v>
      </c>
      <c r="AT5237">
        <v>1</v>
      </c>
      <c r="AU5237" t="s">
        <v>895</v>
      </c>
      <c r="AV5237" t="s">
        <v>896</v>
      </c>
      <c r="AW5237" t="s">
        <v>60</v>
      </c>
      <c r="AX5237" t="s">
        <v>68</v>
      </c>
      <c r="AY5237" t="s">
        <v>69</v>
      </c>
      <c r="AZ5237" t="b">
        <v>1</v>
      </c>
    </row>
    <row r="5238" spans="1:52" x14ac:dyDescent="0.3">
      <c r="A5238" t="s">
        <v>52</v>
      </c>
      <c r="B5238" t="s">
        <v>53</v>
      </c>
      <c r="C5238" t="s">
        <v>54</v>
      </c>
      <c r="D5238" t="s">
        <v>55</v>
      </c>
      <c r="E5238" t="s">
        <v>2278</v>
      </c>
      <c r="F5238" t="s">
        <v>190</v>
      </c>
      <c r="G5238" t="s">
        <v>568</v>
      </c>
      <c r="H5238" t="s">
        <v>569</v>
      </c>
      <c r="I5238" t="s">
        <v>569</v>
      </c>
      <c r="J5238" t="s">
        <v>60</v>
      </c>
      <c r="K5238" t="s">
        <v>61</v>
      </c>
      <c r="L5238" t="s">
        <v>62</v>
      </c>
      <c r="M5238" t="s">
        <v>61</v>
      </c>
      <c r="N5238" t="s">
        <v>570</v>
      </c>
      <c r="O5238" t="s">
        <v>548</v>
      </c>
      <c r="P5238">
        <v>-20.151508</v>
      </c>
      <c r="Q5238">
        <v>-44.907826</v>
      </c>
      <c r="R5238" s="2" t="str">
        <f>HYPERLINK("https://www.google.com/maps?q=-20.1515080,-44.9078260","Abrir no Google Maps")</f>
        <v>Abrir no Google Maps</v>
      </c>
      <c r="S5238">
        <v>3</v>
      </c>
      <c r="T5238">
        <v>567.15905416240514</v>
      </c>
      <c r="U5238">
        <v>3</v>
      </c>
      <c r="V5238">
        <v>0.99116161616161602</v>
      </c>
      <c r="W5238">
        <v>0.85</v>
      </c>
      <c r="X5238">
        <v>0.84248737373737359</v>
      </c>
      <c r="Y5238">
        <v>548</v>
      </c>
      <c r="Z5238">
        <v>560.49158010771464</v>
      </c>
      <c r="AA5238">
        <v>198</v>
      </c>
      <c r="AB5238">
        <v>332</v>
      </c>
      <c r="AC5238">
        <v>536</v>
      </c>
      <c r="AD5238">
        <v>28.15</v>
      </c>
      <c r="AE5238">
        <v>542</v>
      </c>
      <c r="AF5238">
        <v>21</v>
      </c>
      <c r="AG5238">
        <v>176</v>
      </c>
      <c r="AH5238">
        <v>129</v>
      </c>
      <c r="AI5238">
        <v>3.87</v>
      </c>
      <c r="AJ5238">
        <v>32.47</v>
      </c>
      <c r="AK5238">
        <v>23.8</v>
      </c>
      <c r="AL5238">
        <v>-20.15211779999996</v>
      </c>
      <c r="AM5238">
        <v>-44.907597469593128</v>
      </c>
      <c r="AN5238">
        <v>-20.15211779999996</v>
      </c>
      <c r="AO5238">
        <v>-44.907597469593128</v>
      </c>
      <c r="AP5238">
        <v>-20.151508</v>
      </c>
      <c r="AQ5238">
        <v>-44.907826</v>
      </c>
      <c r="AR5238">
        <v>71.961597929314735</v>
      </c>
      <c r="AS5238" t="s">
        <v>65</v>
      </c>
      <c r="AT5238">
        <v>1</v>
      </c>
      <c r="AU5238" t="s">
        <v>571</v>
      </c>
      <c r="AV5238" t="s">
        <v>572</v>
      </c>
      <c r="AW5238" t="s">
        <v>60</v>
      </c>
      <c r="AX5238" t="s">
        <v>68</v>
      </c>
      <c r="AY5238" t="s">
        <v>69</v>
      </c>
      <c r="AZ5238" t="b">
        <v>1</v>
      </c>
    </row>
    <row r="5239" spans="1:52" x14ac:dyDescent="0.3">
      <c r="A5239" t="s">
        <v>52</v>
      </c>
      <c r="B5239" t="s">
        <v>53</v>
      </c>
      <c r="C5239" t="s">
        <v>54</v>
      </c>
      <c r="D5239" t="s">
        <v>55</v>
      </c>
      <c r="E5239" t="s">
        <v>2278</v>
      </c>
      <c r="F5239" t="s">
        <v>190</v>
      </c>
      <c r="G5239" t="s">
        <v>903</v>
      </c>
      <c r="H5239" t="s">
        <v>904</v>
      </c>
      <c r="I5239" t="s">
        <v>904</v>
      </c>
      <c r="J5239" t="s">
        <v>60</v>
      </c>
      <c r="K5239" t="s">
        <v>905</v>
      </c>
      <c r="L5239" t="s">
        <v>62</v>
      </c>
      <c r="M5239" t="s">
        <v>905</v>
      </c>
      <c r="N5239" t="s">
        <v>906</v>
      </c>
      <c r="O5239" t="s">
        <v>907</v>
      </c>
      <c r="P5239">
        <v>-20.112969</v>
      </c>
      <c r="Q5239">
        <v>-44.891264</v>
      </c>
      <c r="R5239" s="2" t="str">
        <f>HYPERLINK("https://www.google.com/maps?q=-20.1129690,-44.8912640","Abrir no Google Maps")</f>
        <v>Abrir no Google Maps</v>
      </c>
      <c r="S5239">
        <v>3</v>
      </c>
      <c r="T5239">
        <v>760.33197426397032</v>
      </c>
      <c r="U5239">
        <v>3</v>
      </c>
      <c r="V5239">
        <v>0.86889880952380949</v>
      </c>
      <c r="W5239">
        <v>1</v>
      </c>
      <c r="X5239">
        <v>0.86889880952380949</v>
      </c>
      <c r="Y5239">
        <v>536</v>
      </c>
      <c r="Z5239">
        <v>755.3791742519096</v>
      </c>
      <c r="AA5239">
        <v>198</v>
      </c>
      <c r="AB5239">
        <v>332</v>
      </c>
      <c r="AC5239">
        <v>536</v>
      </c>
      <c r="AD5239">
        <v>28.15</v>
      </c>
      <c r="AE5239">
        <v>542</v>
      </c>
      <c r="AF5239">
        <v>21</v>
      </c>
      <c r="AG5239">
        <v>176</v>
      </c>
      <c r="AH5239">
        <v>129</v>
      </c>
      <c r="AI5239">
        <v>3.87</v>
      </c>
      <c r="AJ5239">
        <v>32.47</v>
      </c>
      <c r="AK5239">
        <v>23.8</v>
      </c>
      <c r="AL5239">
        <v>-20.11260604999995</v>
      </c>
      <c r="AM5239">
        <v>-44.891480970454502</v>
      </c>
      <c r="AN5239">
        <v>-20.11260604999995</v>
      </c>
      <c r="AO5239">
        <v>-44.891480970454502</v>
      </c>
      <c r="AP5239">
        <v>-20.112969</v>
      </c>
      <c r="AQ5239">
        <v>-44.891264</v>
      </c>
      <c r="AR5239">
        <v>46.334053708506183</v>
      </c>
      <c r="AS5239" t="s">
        <v>65</v>
      </c>
      <c r="AT5239">
        <v>1</v>
      </c>
      <c r="AU5239" t="s">
        <v>908</v>
      </c>
      <c r="AV5239" t="s">
        <v>909</v>
      </c>
      <c r="AW5239" t="s">
        <v>60</v>
      </c>
      <c r="AX5239" t="s">
        <v>68</v>
      </c>
      <c r="AY5239" t="s">
        <v>69</v>
      </c>
      <c r="AZ5239" t="b">
        <v>1</v>
      </c>
    </row>
    <row r="5240" spans="1:52" x14ac:dyDescent="0.3">
      <c r="A5240" t="s">
        <v>52</v>
      </c>
      <c r="B5240" t="s">
        <v>53</v>
      </c>
      <c r="C5240" t="s">
        <v>54</v>
      </c>
      <c r="D5240" t="s">
        <v>55</v>
      </c>
      <c r="E5240" t="s">
        <v>2278</v>
      </c>
      <c r="F5240" t="s">
        <v>190</v>
      </c>
      <c r="G5240" t="s">
        <v>607</v>
      </c>
      <c r="H5240" t="s">
        <v>608</v>
      </c>
      <c r="I5240" t="s">
        <v>608</v>
      </c>
      <c r="J5240" t="s">
        <v>60</v>
      </c>
      <c r="K5240" t="s">
        <v>609</v>
      </c>
      <c r="L5240" t="s">
        <v>62</v>
      </c>
      <c r="M5240" t="s">
        <v>609</v>
      </c>
      <c r="N5240" t="s">
        <v>610</v>
      </c>
      <c r="O5240" t="s">
        <v>611</v>
      </c>
      <c r="P5240">
        <v>-20.110476999999999</v>
      </c>
      <c r="Q5240">
        <v>-44.887531000000003</v>
      </c>
      <c r="R5240" s="2" t="str">
        <f>HYPERLINK("https://www.google.com/maps?q=-20.1104770,-44.8875310","Abrir no Google Maps")</f>
        <v>Abrir no Google Maps</v>
      </c>
      <c r="S5240">
        <v>3</v>
      </c>
      <c r="T5240">
        <v>862.67854008986569</v>
      </c>
      <c r="U5240">
        <v>3</v>
      </c>
      <c r="V5240">
        <v>0.88249063670411987</v>
      </c>
      <c r="W5240">
        <v>1</v>
      </c>
      <c r="X5240">
        <v>0.88249063670411987</v>
      </c>
      <c r="Y5240">
        <v>536</v>
      </c>
      <c r="Z5240">
        <v>797.51469292431113</v>
      </c>
      <c r="AA5240">
        <v>198</v>
      </c>
      <c r="AB5240">
        <v>332</v>
      </c>
      <c r="AC5240">
        <v>536</v>
      </c>
      <c r="AD5240">
        <v>28.15</v>
      </c>
      <c r="AE5240">
        <v>542</v>
      </c>
      <c r="AF5240">
        <v>21</v>
      </c>
      <c r="AG5240">
        <v>176</v>
      </c>
      <c r="AH5240">
        <v>129</v>
      </c>
      <c r="AI5240">
        <v>3.87</v>
      </c>
      <c r="AJ5240">
        <v>32.47</v>
      </c>
      <c r="AK5240">
        <v>23.8</v>
      </c>
      <c r="AL5240">
        <v>-20.11057859999994</v>
      </c>
      <c r="AM5240">
        <v>-44.888034950185293</v>
      </c>
      <c r="AN5240">
        <v>-20.11057859999994</v>
      </c>
      <c r="AO5240">
        <v>-44.888034950185293</v>
      </c>
      <c r="AP5240">
        <v>-20.110476999999999</v>
      </c>
      <c r="AQ5240">
        <v>-44.887531000000003</v>
      </c>
      <c r="AR5240">
        <v>53.879824494602957</v>
      </c>
      <c r="AS5240" t="s">
        <v>65</v>
      </c>
      <c r="AT5240">
        <v>1</v>
      </c>
      <c r="AU5240" t="s">
        <v>612</v>
      </c>
      <c r="AV5240" t="s">
        <v>613</v>
      </c>
      <c r="AW5240" t="s">
        <v>60</v>
      </c>
      <c r="AX5240" t="s">
        <v>68</v>
      </c>
      <c r="AY5240" t="s">
        <v>69</v>
      </c>
      <c r="AZ5240" t="b">
        <v>1</v>
      </c>
    </row>
    <row r="5241" spans="1:52" x14ac:dyDescent="0.3">
      <c r="A5241" t="s">
        <v>52</v>
      </c>
      <c r="B5241" t="s">
        <v>53</v>
      </c>
      <c r="C5241" t="s">
        <v>54</v>
      </c>
      <c r="D5241" t="s">
        <v>55</v>
      </c>
      <c r="E5241" t="s">
        <v>2278</v>
      </c>
      <c r="F5241" t="s">
        <v>190</v>
      </c>
      <c r="G5241" t="s">
        <v>637</v>
      </c>
      <c r="H5241" t="s">
        <v>915</v>
      </c>
      <c r="I5241" t="s">
        <v>915</v>
      </c>
      <c r="J5241" t="s">
        <v>60</v>
      </c>
      <c r="K5241" t="s">
        <v>530</v>
      </c>
      <c r="L5241" t="s">
        <v>62</v>
      </c>
      <c r="M5241" t="s">
        <v>530</v>
      </c>
      <c r="N5241" t="s">
        <v>639</v>
      </c>
      <c r="O5241" t="s">
        <v>916</v>
      </c>
      <c r="P5241">
        <v>-20.144821</v>
      </c>
      <c r="Q5241">
        <v>-44.88937</v>
      </c>
      <c r="R5241" s="2" t="str">
        <f>HYPERLINK("https://www.google.com/maps?q=-20.1448210,-44.8893700","Abrir no Google Maps")</f>
        <v>Abrir no Google Maps</v>
      </c>
      <c r="S5241">
        <v>3</v>
      </c>
      <c r="T5241">
        <v>256.58219197259177</v>
      </c>
      <c r="U5241">
        <v>3</v>
      </c>
      <c r="V5241">
        <v>0.98059006211180122</v>
      </c>
      <c r="W5241">
        <v>0.85</v>
      </c>
      <c r="X5241">
        <v>0.83350155279503102</v>
      </c>
      <c r="Y5241">
        <v>527</v>
      </c>
      <c r="Z5241">
        <v>177.1895281295705</v>
      </c>
      <c r="AA5241">
        <v>198</v>
      </c>
      <c r="AB5241">
        <v>332</v>
      </c>
      <c r="AC5241">
        <v>536</v>
      </c>
      <c r="AD5241">
        <v>28.15</v>
      </c>
      <c r="AE5241">
        <v>542</v>
      </c>
      <c r="AF5241">
        <v>21</v>
      </c>
      <c r="AG5241">
        <v>176</v>
      </c>
      <c r="AH5241">
        <v>129</v>
      </c>
      <c r="AI5241">
        <v>3.87</v>
      </c>
      <c r="AJ5241">
        <v>32.47</v>
      </c>
      <c r="AK5241">
        <v>23.8</v>
      </c>
      <c r="AL5241">
        <v>-20.144812799999951</v>
      </c>
      <c r="AM5241">
        <v>-44.8892780390361</v>
      </c>
      <c r="AN5241">
        <v>-20.144812799999951</v>
      </c>
      <c r="AO5241">
        <v>-44.8892780390361</v>
      </c>
      <c r="AP5241">
        <v>-20.144821</v>
      </c>
      <c r="AQ5241">
        <v>-44.88937</v>
      </c>
      <c r="AR5241">
        <v>9.6540941010892158</v>
      </c>
      <c r="AS5241" t="s">
        <v>65</v>
      </c>
      <c r="AT5241">
        <v>1</v>
      </c>
      <c r="AU5241" t="s">
        <v>917</v>
      </c>
      <c r="AV5241" t="s">
        <v>918</v>
      </c>
      <c r="AW5241" t="s">
        <v>60</v>
      </c>
      <c r="AX5241" t="s">
        <v>68</v>
      </c>
      <c r="AY5241" t="s">
        <v>69</v>
      </c>
      <c r="AZ5241" t="b">
        <v>1</v>
      </c>
    </row>
    <row r="5242" spans="1:52" x14ac:dyDescent="0.3">
      <c r="A5242" t="s">
        <v>52</v>
      </c>
      <c r="B5242" t="s">
        <v>53</v>
      </c>
      <c r="C5242" t="s">
        <v>54</v>
      </c>
      <c r="D5242" t="s">
        <v>55</v>
      </c>
      <c r="E5242" t="s">
        <v>2278</v>
      </c>
      <c r="F5242" t="s">
        <v>190</v>
      </c>
      <c r="G5242" t="s">
        <v>919</v>
      </c>
      <c r="H5242" t="s">
        <v>920</v>
      </c>
      <c r="I5242" t="s">
        <v>920</v>
      </c>
      <c r="J5242" t="s">
        <v>60</v>
      </c>
      <c r="K5242" t="s">
        <v>530</v>
      </c>
      <c r="L5242" t="s">
        <v>62</v>
      </c>
      <c r="M5242" t="s">
        <v>530</v>
      </c>
      <c r="N5242" t="s">
        <v>921</v>
      </c>
      <c r="O5242" t="s">
        <v>922</v>
      </c>
      <c r="P5242">
        <v>-20.144537</v>
      </c>
      <c r="Q5242">
        <v>-44.891530000000003</v>
      </c>
      <c r="R5242" s="2" t="str">
        <f>HYPERLINK("https://www.google.com/maps?q=-20.1445370,-44.8915300","Abrir no Google Maps")</f>
        <v>Abrir no Google Maps</v>
      </c>
      <c r="S5242">
        <v>3</v>
      </c>
      <c r="T5242">
        <v>0</v>
      </c>
      <c r="U5242">
        <v>3</v>
      </c>
      <c r="V5242">
        <v>0.97756410256410242</v>
      </c>
      <c r="W5242">
        <v>0.85</v>
      </c>
      <c r="X5242">
        <v>0.830929487179487</v>
      </c>
      <c r="Y5242">
        <v>527</v>
      </c>
      <c r="Z5242">
        <v>80.350679251421383</v>
      </c>
      <c r="AA5242">
        <v>198</v>
      </c>
      <c r="AB5242">
        <v>332</v>
      </c>
      <c r="AC5242">
        <v>536</v>
      </c>
      <c r="AD5242">
        <v>28.15</v>
      </c>
      <c r="AE5242">
        <v>542</v>
      </c>
      <c r="AF5242">
        <v>21</v>
      </c>
      <c r="AG5242">
        <v>176</v>
      </c>
      <c r="AH5242">
        <v>129</v>
      </c>
      <c r="AI5242">
        <v>3.87</v>
      </c>
      <c r="AJ5242">
        <v>32.47</v>
      </c>
      <c r="AK5242">
        <v>23.8</v>
      </c>
      <c r="AL5242">
        <v>-20.144700699999959</v>
      </c>
      <c r="AM5242">
        <v>-44.891730278075883</v>
      </c>
      <c r="AN5242">
        <v>-20.144700699999959</v>
      </c>
      <c r="AO5242">
        <v>-44.891730278075883</v>
      </c>
      <c r="AP5242">
        <v>-20.144537</v>
      </c>
      <c r="AQ5242">
        <v>-44.891530000000003</v>
      </c>
      <c r="AR5242">
        <v>27.752313800143739</v>
      </c>
      <c r="AS5242" t="s">
        <v>65</v>
      </c>
      <c r="AT5242">
        <v>1</v>
      </c>
      <c r="AU5242" t="s">
        <v>923</v>
      </c>
      <c r="AV5242" t="s">
        <v>924</v>
      </c>
      <c r="AW5242" t="s">
        <v>60</v>
      </c>
      <c r="AX5242" t="s">
        <v>68</v>
      </c>
      <c r="AY5242" t="s">
        <v>69</v>
      </c>
      <c r="AZ5242" t="b">
        <v>1</v>
      </c>
    </row>
    <row r="5243" spans="1:52" x14ac:dyDescent="0.3">
      <c r="A5243" t="s">
        <v>52</v>
      </c>
      <c r="B5243" t="s">
        <v>53</v>
      </c>
      <c r="C5243" t="s">
        <v>54</v>
      </c>
      <c r="D5243" t="s">
        <v>55</v>
      </c>
      <c r="E5243" t="s">
        <v>2278</v>
      </c>
      <c r="F5243" t="s">
        <v>190</v>
      </c>
      <c r="G5243" t="s">
        <v>232</v>
      </c>
      <c r="H5243" t="s">
        <v>925</v>
      </c>
      <c r="I5243" t="s">
        <v>925</v>
      </c>
      <c r="J5243" t="s">
        <v>60</v>
      </c>
      <c r="K5243" t="s">
        <v>702</v>
      </c>
      <c r="L5243" t="s">
        <v>62</v>
      </c>
      <c r="M5243" t="s">
        <v>702</v>
      </c>
      <c r="N5243" t="s">
        <v>234</v>
      </c>
      <c r="O5243" t="s">
        <v>926</v>
      </c>
      <c r="P5243">
        <v>-20.165887999999999</v>
      </c>
      <c r="Q5243">
        <v>-44.865220000000001</v>
      </c>
      <c r="R5243" s="2" t="str">
        <f>HYPERLINK("https://www.google.com/maps?q=-20.1658880,-44.8652200","Abrir no Google Maps")</f>
        <v>Abrir no Google Maps</v>
      </c>
      <c r="S5243">
        <v>3</v>
      </c>
      <c r="T5243">
        <v>711.71706763776342</v>
      </c>
      <c r="U5243">
        <v>3</v>
      </c>
      <c r="V5243">
        <v>0.84778368794326231</v>
      </c>
      <c r="W5243">
        <v>1</v>
      </c>
      <c r="X5243">
        <v>0.84778368794326231</v>
      </c>
      <c r="Y5243">
        <v>518</v>
      </c>
      <c r="Z5243">
        <v>801.45781285603209</v>
      </c>
      <c r="AA5243">
        <v>198</v>
      </c>
      <c r="AB5243">
        <v>332</v>
      </c>
      <c r="AC5243">
        <v>536</v>
      </c>
      <c r="AD5243">
        <v>28.15</v>
      </c>
      <c r="AE5243">
        <v>542</v>
      </c>
      <c r="AF5243">
        <v>21</v>
      </c>
      <c r="AG5243">
        <v>176</v>
      </c>
      <c r="AH5243">
        <v>129</v>
      </c>
      <c r="AI5243">
        <v>3.87</v>
      </c>
      <c r="AJ5243">
        <v>32.47</v>
      </c>
      <c r="AK5243">
        <v>23.8</v>
      </c>
      <c r="AL5243">
        <v>-20.165865449999959</v>
      </c>
      <c r="AM5243">
        <v>-44.865240434761468</v>
      </c>
      <c r="AN5243">
        <v>-20.165865449999959</v>
      </c>
      <c r="AO5243">
        <v>-44.865240434761468</v>
      </c>
      <c r="AP5243">
        <v>-20.165887999999999</v>
      </c>
      <c r="AQ5243">
        <v>-44.865220000000001</v>
      </c>
      <c r="AR5243">
        <v>3.2956262004279409</v>
      </c>
      <c r="AS5243" t="s">
        <v>65</v>
      </c>
      <c r="AT5243">
        <v>1</v>
      </c>
      <c r="AU5243" t="s">
        <v>927</v>
      </c>
      <c r="AV5243" t="s">
        <v>928</v>
      </c>
      <c r="AW5243" t="s">
        <v>60</v>
      </c>
      <c r="AX5243" t="s">
        <v>68</v>
      </c>
      <c r="AY5243" t="s">
        <v>69</v>
      </c>
      <c r="AZ5243" t="b">
        <v>1</v>
      </c>
    </row>
    <row r="5244" spans="1:52" x14ac:dyDescent="0.3">
      <c r="A5244" t="s">
        <v>52</v>
      </c>
      <c r="B5244" t="s">
        <v>53</v>
      </c>
      <c r="C5244" t="s">
        <v>54</v>
      </c>
      <c r="D5244" t="s">
        <v>55</v>
      </c>
      <c r="E5244" t="s">
        <v>2278</v>
      </c>
      <c r="F5244" t="s">
        <v>190</v>
      </c>
      <c r="G5244" t="s">
        <v>941</v>
      </c>
      <c r="H5244" t="s">
        <v>942</v>
      </c>
      <c r="I5244" t="s">
        <v>942</v>
      </c>
      <c r="J5244" t="s">
        <v>60</v>
      </c>
      <c r="K5244" t="s">
        <v>193</v>
      </c>
      <c r="L5244" t="s">
        <v>62</v>
      </c>
      <c r="M5244" t="s">
        <v>193</v>
      </c>
      <c r="N5244" t="s">
        <v>943</v>
      </c>
      <c r="O5244" t="s">
        <v>257</v>
      </c>
      <c r="P5244">
        <v>-20.142042</v>
      </c>
      <c r="Q5244">
        <v>-44.917906000000002</v>
      </c>
      <c r="R5244" s="2" t="str">
        <f>HYPERLINK("https://www.google.com/maps?q=-20.1420420,-44.9179060","Abrir no Google Maps")</f>
        <v>Abrir no Google Maps</v>
      </c>
      <c r="S5244">
        <v>3</v>
      </c>
      <c r="T5244">
        <v>373.14048213045743</v>
      </c>
      <c r="U5244">
        <v>3</v>
      </c>
      <c r="V5244">
        <v>0.87001329787234039</v>
      </c>
      <c r="W5244">
        <v>1</v>
      </c>
      <c r="X5244">
        <v>0.87001329787234039</v>
      </c>
      <c r="Y5244">
        <v>508</v>
      </c>
      <c r="Z5244">
        <v>271.52693841106122</v>
      </c>
      <c r="AA5244">
        <v>198</v>
      </c>
      <c r="AB5244">
        <v>332</v>
      </c>
      <c r="AC5244">
        <v>536</v>
      </c>
      <c r="AD5244">
        <v>28.15</v>
      </c>
      <c r="AE5244">
        <v>542</v>
      </c>
      <c r="AF5244">
        <v>21</v>
      </c>
      <c r="AG5244">
        <v>176</v>
      </c>
      <c r="AH5244">
        <v>129</v>
      </c>
      <c r="AI5244">
        <v>3.87</v>
      </c>
      <c r="AJ5244">
        <v>32.47</v>
      </c>
      <c r="AK5244">
        <v>23.8</v>
      </c>
      <c r="AL5244">
        <v>-20.14198914999994</v>
      </c>
      <c r="AM5244">
        <v>-44.918192618397512</v>
      </c>
      <c r="AN5244">
        <v>-20.14198914999994</v>
      </c>
      <c r="AO5244">
        <v>-44.918192618397512</v>
      </c>
      <c r="AP5244">
        <v>-20.142042</v>
      </c>
      <c r="AQ5244">
        <v>-44.917906000000002</v>
      </c>
      <c r="AR5244">
        <v>30.527314493281139</v>
      </c>
      <c r="AS5244" t="s">
        <v>65</v>
      </c>
      <c r="AT5244">
        <v>1</v>
      </c>
      <c r="AU5244" t="s">
        <v>944</v>
      </c>
      <c r="AV5244" t="s">
        <v>945</v>
      </c>
      <c r="AW5244" t="s">
        <v>60</v>
      </c>
      <c r="AX5244" t="s">
        <v>68</v>
      </c>
      <c r="AY5244" t="s">
        <v>69</v>
      </c>
      <c r="AZ5244" t="b">
        <v>1</v>
      </c>
    </row>
    <row r="5245" spans="1:52" x14ac:dyDescent="0.3">
      <c r="A5245" t="s">
        <v>52</v>
      </c>
      <c r="B5245" t="s">
        <v>53</v>
      </c>
      <c r="C5245" t="s">
        <v>54</v>
      </c>
      <c r="D5245" t="s">
        <v>55</v>
      </c>
      <c r="E5245" t="s">
        <v>2278</v>
      </c>
      <c r="F5245" t="s">
        <v>190</v>
      </c>
      <c r="G5245" t="s">
        <v>946</v>
      </c>
      <c r="H5245" t="s">
        <v>947</v>
      </c>
      <c r="I5245" t="s">
        <v>947</v>
      </c>
      <c r="J5245" t="s">
        <v>60</v>
      </c>
      <c r="K5245" t="s">
        <v>193</v>
      </c>
      <c r="L5245" t="s">
        <v>62</v>
      </c>
      <c r="M5245" t="s">
        <v>193</v>
      </c>
      <c r="N5245" t="s">
        <v>948</v>
      </c>
      <c r="O5245" t="s">
        <v>949</v>
      </c>
      <c r="P5245">
        <v>-20.141646000000001</v>
      </c>
      <c r="Q5245">
        <v>-44.920682999999997</v>
      </c>
      <c r="R5245" s="2" t="str">
        <f>HYPERLINK("https://www.google.com/maps?q=-20.1416460,-44.9206830","Abrir no Google Maps")</f>
        <v>Abrir no Google Maps</v>
      </c>
      <c r="S5245">
        <v>3</v>
      </c>
      <c r="T5245">
        <v>538.41742581974165</v>
      </c>
      <c r="U5245">
        <v>3</v>
      </c>
      <c r="V5245">
        <v>0.87799145299145298</v>
      </c>
      <c r="W5245">
        <v>1</v>
      </c>
      <c r="X5245">
        <v>0.87799145299145298</v>
      </c>
      <c r="Y5245">
        <v>508</v>
      </c>
      <c r="Z5245">
        <v>459.99626097363068</v>
      </c>
      <c r="AA5245">
        <v>198</v>
      </c>
      <c r="AB5245">
        <v>332</v>
      </c>
      <c r="AC5245">
        <v>536</v>
      </c>
      <c r="AD5245">
        <v>28.15</v>
      </c>
      <c r="AE5245">
        <v>542</v>
      </c>
      <c r="AF5245">
        <v>21</v>
      </c>
      <c r="AG5245">
        <v>176</v>
      </c>
      <c r="AH5245">
        <v>129</v>
      </c>
      <c r="AI5245">
        <v>3.87</v>
      </c>
      <c r="AJ5245">
        <v>32.47</v>
      </c>
      <c r="AK5245">
        <v>23.8</v>
      </c>
      <c r="AL5245">
        <v>-20.141877549999979</v>
      </c>
      <c r="AM5245">
        <v>-44.920658074778594</v>
      </c>
      <c r="AN5245">
        <v>-20.141877549999979</v>
      </c>
      <c r="AO5245">
        <v>-44.920658074778594</v>
      </c>
      <c r="AP5245">
        <v>-20.141646000000001</v>
      </c>
      <c r="AQ5245">
        <v>-44.920682999999997</v>
      </c>
      <c r="AR5245">
        <v>25.907443828287509</v>
      </c>
      <c r="AS5245" t="s">
        <v>65</v>
      </c>
      <c r="AT5245">
        <v>1</v>
      </c>
      <c r="AU5245" t="s">
        <v>950</v>
      </c>
      <c r="AV5245" t="s">
        <v>951</v>
      </c>
      <c r="AW5245" t="s">
        <v>60</v>
      </c>
      <c r="AX5245" t="s">
        <v>68</v>
      </c>
      <c r="AY5245" t="s">
        <v>69</v>
      </c>
      <c r="AZ5245" t="b">
        <v>1</v>
      </c>
    </row>
    <row r="5246" spans="1:52" x14ac:dyDescent="0.3">
      <c r="A5246" t="s">
        <v>52</v>
      </c>
      <c r="B5246" t="s">
        <v>53</v>
      </c>
      <c r="C5246" t="s">
        <v>54</v>
      </c>
      <c r="D5246" t="s">
        <v>55</v>
      </c>
      <c r="E5246" t="s">
        <v>2278</v>
      </c>
      <c r="F5246" t="s">
        <v>190</v>
      </c>
      <c r="G5246" t="s">
        <v>957</v>
      </c>
      <c r="H5246" t="s">
        <v>958</v>
      </c>
      <c r="I5246" t="s">
        <v>958</v>
      </c>
      <c r="J5246" t="s">
        <v>60</v>
      </c>
      <c r="K5246" t="s">
        <v>262</v>
      </c>
      <c r="L5246" t="s">
        <v>62</v>
      </c>
      <c r="M5246" t="s">
        <v>262</v>
      </c>
      <c r="N5246" t="s">
        <v>959</v>
      </c>
      <c r="O5246" t="s">
        <v>960</v>
      </c>
      <c r="P5246">
        <v>-20.165469999999999</v>
      </c>
      <c r="Q5246">
        <v>-44.854308000000003</v>
      </c>
      <c r="R5246" s="2" t="str">
        <f>HYPERLINK("https://www.google.com/maps?q=-20.1654700,-44.8543080","Abrir no Google Maps")</f>
        <v>Abrir no Google Maps</v>
      </c>
      <c r="S5246">
        <v>3</v>
      </c>
      <c r="T5246">
        <v>555.06043712641599</v>
      </c>
      <c r="U5246">
        <v>3</v>
      </c>
      <c r="V5246">
        <v>0.87548828125</v>
      </c>
      <c r="W5246">
        <v>1</v>
      </c>
      <c r="X5246">
        <v>0.87548828125</v>
      </c>
      <c r="Y5246">
        <v>491</v>
      </c>
      <c r="Z5246">
        <v>423.16855805320131</v>
      </c>
      <c r="AA5246">
        <v>198</v>
      </c>
      <c r="AB5246">
        <v>332</v>
      </c>
      <c r="AC5246">
        <v>536</v>
      </c>
      <c r="AD5246">
        <v>28.15</v>
      </c>
      <c r="AE5246">
        <v>542</v>
      </c>
      <c r="AF5246">
        <v>21</v>
      </c>
      <c r="AG5246">
        <v>176</v>
      </c>
      <c r="AH5246">
        <v>129</v>
      </c>
      <c r="AI5246">
        <v>3.87</v>
      </c>
      <c r="AJ5246">
        <v>32.47</v>
      </c>
      <c r="AK5246">
        <v>23.8</v>
      </c>
      <c r="AL5246">
        <v>-20.165538449999961</v>
      </c>
      <c r="AM5246">
        <v>-44.854274624633042</v>
      </c>
      <c r="AN5246">
        <v>-20.165538449999961</v>
      </c>
      <c r="AO5246">
        <v>-44.854274624633042</v>
      </c>
      <c r="AP5246">
        <v>-20.165469999999999</v>
      </c>
      <c r="AQ5246">
        <v>-44.854308000000003</v>
      </c>
      <c r="AR5246">
        <v>8.3800661572970956</v>
      </c>
      <c r="AS5246" t="s">
        <v>65</v>
      </c>
      <c r="AT5246">
        <v>1</v>
      </c>
      <c r="AU5246" t="s">
        <v>961</v>
      </c>
      <c r="AV5246" t="s">
        <v>962</v>
      </c>
      <c r="AW5246" t="s">
        <v>60</v>
      </c>
      <c r="AX5246" t="s">
        <v>68</v>
      </c>
      <c r="AY5246" t="s">
        <v>69</v>
      </c>
      <c r="AZ5246" t="b">
        <v>1</v>
      </c>
    </row>
    <row r="5247" spans="1:52" x14ac:dyDescent="0.3">
      <c r="A5247" t="s">
        <v>52</v>
      </c>
      <c r="B5247" t="s">
        <v>53</v>
      </c>
      <c r="C5247" t="s">
        <v>54</v>
      </c>
      <c r="D5247" t="s">
        <v>55</v>
      </c>
      <c r="E5247" t="s">
        <v>2278</v>
      </c>
      <c r="F5247" t="s">
        <v>190</v>
      </c>
      <c r="G5247" t="s">
        <v>957</v>
      </c>
      <c r="H5247" t="s">
        <v>1750</v>
      </c>
      <c r="I5247" t="s">
        <v>1750</v>
      </c>
      <c r="J5247" t="s">
        <v>60</v>
      </c>
      <c r="K5247" t="s">
        <v>982</v>
      </c>
      <c r="L5247" t="s">
        <v>62</v>
      </c>
      <c r="M5247" t="s">
        <v>982</v>
      </c>
      <c r="N5247" t="s">
        <v>959</v>
      </c>
      <c r="O5247" t="s">
        <v>1751</v>
      </c>
      <c r="P5247">
        <v>-20.164285</v>
      </c>
      <c r="Q5247">
        <v>-44.857562000000001</v>
      </c>
      <c r="R5247" s="2" t="str">
        <f>HYPERLINK("https://www.google.com/maps?q=-20.1642850,-44.8575620","Abrir no Google Maps")</f>
        <v>Abrir no Google Maps</v>
      </c>
      <c r="S5247">
        <v>3</v>
      </c>
      <c r="T5247">
        <v>275.89108588842112</v>
      </c>
      <c r="U5247">
        <v>3</v>
      </c>
      <c r="V5247">
        <v>0.87477106227106227</v>
      </c>
      <c r="W5247">
        <v>1</v>
      </c>
      <c r="X5247">
        <v>0.87477106227106227</v>
      </c>
      <c r="Y5247">
        <v>491</v>
      </c>
      <c r="Z5247">
        <v>150.50906778215881</v>
      </c>
      <c r="AA5247">
        <v>198</v>
      </c>
      <c r="AB5247">
        <v>332</v>
      </c>
      <c r="AC5247">
        <v>536</v>
      </c>
      <c r="AD5247">
        <v>28.15</v>
      </c>
      <c r="AE5247">
        <v>542</v>
      </c>
      <c r="AF5247">
        <v>21</v>
      </c>
      <c r="AG5247">
        <v>176</v>
      </c>
      <c r="AH5247">
        <v>129</v>
      </c>
      <c r="AI5247">
        <v>3.87</v>
      </c>
      <c r="AJ5247">
        <v>32.47</v>
      </c>
      <c r="AK5247">
        <v>23.8</v>
      </c>
      <c r="AL5247">
        <v>-20.164333749999969</v>
      </c>
      <c r="AM5247">
        <v>-44.857568319333943</v>
      </c>
      <c r="AN5247">
        <v>-20.164333749999969</v>
      </c>
      <c r="AO5247">
        <v>-44.857568319333943</v>
      </c>
      <c r="AP5247">
        <v>-20.164285</v>
      </c>
      <c r="AQ5247">
        <v>-44.857562000000001</v>
      </c>
      <c r="AR5247">
        <v>5.4668788625524281</v>
      </c>
      <c r="AS5247" t="s">
        <v>65</v>
      </c>
      <c r="AT5247">
        <v>1</v>
      </c>
      <c r="AU5247" t="s">
        <v>1752</v>
      </c>
      <c r="AV5247" t="s">
        <v>1753</v>
      </c>
      <c r="AW5247" t="s">
        <v>60</v>
      </c>
      <c r="AX5247" t="s">
        <v>68</v>
      </c>
      <c r="AY5247" t="s">
        <v>69</v>
      </c>
      <c r="AZ5247" t="b">
        <v>1</v>
      </c>
    </row>
    <row r="5248" spans="1:52" x14ac:dyDescent="0.3">
      <c r="A5248" t="s">
        <v>52</v>
      </c>
      <c r="B5248" t="s">
        <v>53</v>
      </c>
      <c r="C5248" t="s">
        <v>54</v>
      </c>
      <c r="D5248" t="s">
        <v>55</v>
      </c>
      <c r="E5248" t="s">
        <v>2278</v>
      </c>
      <c r="F5248" t="s">
        <v>190</v>
      </c>
      <c r="G5248" t="s">
        <v>963</v>
      </c>
      <c r="H5248" t="s">
        <v>964</v>
      </c>
      <c r="I5248" t="s">
        <v>964</v>
      </c>
      <c r="J5248" t="s">
        <v>60</v>
      </c>
      <c r="K5248" t="s">
        <v>702</v>
      </c>
      <c r="L5248" t="s">
        <v>62</v>
      </c>
      <c r="M5248" t="s">
        <v>702</v>
      </c>
      <c r="N5248" t="s">
        <v>965</v>
      </c>
      <c r="O5248" t="s">
        <v>960</v>
      </c>
      <c r="P5248">
        <v>-20.164622000000001</v>
      </c>
      <c r="Q5248">
        <v>-44.860289999999999</v>
      </c>
      <c r="R5248" s="2" t="str">
        <f>HYPERLINK("https://www.google.com/maps?q=-20.1646220,-44.8602900","Abrir no Google Maps")</f>
        <v>Abrir no Google Maps</v>
      </c>
      <c r="S5248">
        <v>3</v>
      </c>
      <c r="T5248">
        <v>393.43725605569188</v>
      </c>
      <c r="U5248">
        <v>3</v>
      </c>
      <c r="V5248">
        <v>0.87919776119402993</v>
      </c>
      <c r="W5248">
        <v>1</v>
      </c>
      <c r="X5248">
        <v>0.87919776119402993</v>
      </c>
      <c r="Y5248">
        <v>491</v>
      </c>
      <c r="Z5248">
        <v>358.96336458076678</v>
      </c>
      <c r="AA5248">
        <v>198</v>
      </c>
      <c r="AB5248">
        <v>332</v>
      </c>
      <c r="AC5248">
        <v>536</v>
      </c>
      <c r="AD5248">
        <v>28.15</v>
      </c>
      <c r="AE5248">
        <v>542</v>
      </c>
      <c r="AF5248">
        <v>21</v>
      </c>
      <c r="AG5248">
        <v>176</v>
      </c>
      <c r="AH5248">
        <v>129</v>
      </c>
      <c r="AI5248">
        <v>3.87</v>
      </c>
      <c r="AJ5248">
        <v>32.47</v>
      </c>
      <c r="AK5248">
        <v>23.8</v>
      </c>
      <c r="AL5248">
        <v>-20.164560849999951</v>
      </c>
      <c r="AM5248">
        <v>-44.860330680844072</v>
      </c>
      <c r="AN5248">
        <v>-20.164560849999951</v>
      </c>
      <c r="AO5248">
        <v>-44.860330680844072</v>
      </c>
      <c r="AP5248">
        <v>-20.164622000000001</v>
      </c>
      <c r="AQ5248">
        <v>-44.860289999999999</v>
      </c>
      <c r="AR5248">
        <v>8.0255448908437454</v>
      </c>
      <c r="AS5248" t="s">
        <v>65</v>
      </c>
      <c r="AT5248">
        <v>1</v>
      </c>
      <c r="AU5248" t="s">
        <v>966</v>
      </c>
      <c r="AV5248" t="s">
        <v>967</v>
      </c>
      <c r="AW5248" t="s">
        <v>60</v>
      </c>
      <c r="AX5248" t="s">
        <v>68</v>
      </c>
      <c r="AY5248" t="s">
        <v>69</v>
      </c>
      <c r="AZ5248" t="b">
        <v>1</v>
      </c>
    </row>
    <row r="5249" spans="1:52" x14ac:dyDescent="0.3">
      <c r="A5249" t="s">
        <v>52</v>
      </c>
      <c r="B5249" t="s">
        <v>53</v>
      </c>
      <c r="C5249" t="s">
        <v>54</v>
      </c>
      <c r="D5249" t="s">
        <v>55</v>
      </c>
      <c r="E5249" t="s">
        <v>2278</v>
      </c>
      <c r="F5249" t="s">
        <v>190</v>
      </c>
      <c r="G5249" t="s">
        <v>974</v>
      </c>
      <c r="H5249" t="s">
        <v>975</v>
      </c>
      <c r="I5249" t="s">
        <v>975</v>
      </c>
      <c r="J5249" t="s">
        <v>60</v>
      </c>
      <c r="K5249" t="s">
        <v>702</v>
      </c>
      <c r="L5249" t="s">
        <v>62</v>
      </c>
      <c r="M5249" t="s">
        <v>702</v>
      </c>
      <c r="N5249" t="s">
        <v>976</v>
      </c>
      <c r="O5249" t="s">
        <v>977</v>
      </c>
      <c r="P5249">
        <v>-20.167021999999999</v>
      </c>
      <c r="Q5249">
        <v>-44.863095000000001</v>
      </c>
      <c r="R5249" s="2" t="str">
        <f>HYPERLINK("https://www.google.com/maps?q=-20.1670220,-44.8630950","Abrir no Google Maps")</f>
        <v>Abrir no Google Maps</v>
      </c>
      <c r="S5249">
        <v>3</v>
      </c>
      <c r="T5249">
        <v>629.02897442495839</v>
      </c>
      <c r="U5249">
        <v>3</v>
      </c>
      <c r="V5249">
        <v>0.87709306853582558</v>
      </c>
      <c r="W5249">
        <v>1</v>
      </c>
      <c r="X5249">
        <v>0.87709306853582558</v>
      </c>
      <c r="Y5249">
        <v>491</v>
      </c>
      <c r="Z5249">
        <v>693.48000708961661</v>
      </c>
      <c r="AA5249">
        <v>198</v>
      </c>
      <c r="AB5249">
        <v>332</v>
      </c>
      <c r="AC5249">
        <v>536</v>
      </c>
      <c r="AD5249">
        <v>28.15</v>
      </c>
      <c r="AE5249">
        <v>542</v>
      </c>
      <c r="AF5249">
        <v>21</v>
      </c>
      <c r="AG5249">
        <v>176</v>
      </c>
      <c r="AH5249">
        <v>129</v>
      </c>
      <c r="AI5249">
        <v>3.87</v>
      </c>
      <c r="AJ5249">
        <v>32.47</v>
      </c>
      <c r="AK5249">
        <v>23.8</v>
      </c>
      <c r="AL5249">
        <v>-20.167032199999941</v>
      </c>
      <c r="AM5249">
        <v>-44.863123980291967</v>
      </c>
      <c r="AN5249">
        <v>-20.167032199999941</v>
      </c>
      <c r="AO5249">
        <v>-44.863123980291967</v>
      </c>
      <c r="AP5249">
        <v>-20.167021999999999</v>
      </c>
      <c r="AQ5249">
        <v>-44.863095000000001</v>
      </c>
      <c r="AR5249">
        <v>3.2341734571542871</v>
      </c>
      <c r="AS5249" t="s">
        <v>65</v>
      </c>
      <c r="AT5249">
        <v>1</v>
      </c>
      <c r="AU5249" t="s">
        <v>978</v>
      </c>
      <c r="AV5249" t="s">
        <v>979</v>
      </c>
      <c r="AW5249" t="s">
        <v>60</v>
      </c>
      <c r="AX5249" t="s">
        <v>68</v>
      </c>
      <c r="AY5249" t="s">
        <v>69</v>
      </c>
      <c r="AZ5249" t="b">
        <v>1</v>
      </c>
    </row>
    <row r="5250" spans="1:52" x14ac:dyDescent="0.3">
      <c r="A5250" t="s">
        <v>52</v>
      </c>
      <c r="B5250" t="s">
        <v>53</v>
      </c>
      <c r="C5250" t="s">
        <v>54</v>
      </c>
      <c r="D5250" t="s">
        <v>55</v>
      </c>
      <c r="E5250" t="s">
        <v>2278</v>
      </c>
      <c r="F5250" t="s">
        <v>190</v>
      </c>
      <c r="G5250" t="s">
        <v>968</v>
      </c>
      <c r="H5250" t="s">
        <v>1754</v>
      </c>
      <c r="I5250" t="s">
        <v>1754</v>
      </c>
      <c r="J5250" t="s">
        <v>60</v>
      </c>
      <c r="K5250" t="s">
        <v>262</v>
      </c>
      <c r="L5250" t="s">
        <v>62</v>
      </c>
      <c r="M5250" t="s">
        <v>262</v>
      </c>
      <c r="N5250" t="s">
        <v>970</v>
      </c>
      <c r="O5250" t="s">
        <v>1331</v>
      </c>
      <c r="P5250">
        <v>-20.161989999999999</v>
      </c>
      <c r="Q5250">
        <v>-44.857933000000003</v>
      </c>
      <c r="R5250" s="2" t="str">
        <f>HYPERLINK("https://www.google.com/maps?q=-20.1619900,-44.8579330","Abrir no Google Maps")</f>
        <v>Abrir no Google Maps</v>
      </c>
      <c r="S5250">
        <v>3</v>
      </c>
      <c r="T5250">
        <v>0</v>
      </c>
      <c r="U5250">
        <v>3</v>
      </c>
      <c r="V5250">
        <v>0.86373873873873874</v>
      </c>
      <c r="W5250">
        <v>1</v>
      </c>
      <c r="X5250">
        <v>0.86373873873873874</v>
      </c>
      <c r="Y5250">
        <v>491</v>
      </c>
      <c r="Z5250">
        <v>131.1697533741382</v>
      </c>
      <c r="AA5250">
        <v>198</v>
      </c>
      <c r="AB5250">
        <v>332</v>
      </c>
      <c r="AC5250">
        <v>536</v>
      </c>
      <c r="AD5250">
        <v>28.15</v>
      </c>
      <c r="AE5250">
        <v>542</v>
      </c>
      <c r="AF5250">
        <v>21</v>
      </c>
      <c r="AG5250">
        <v>176</v>
      </c>
      <c r="AH5250">
        <v>129</v>
      </c>
      <c r="AI5250">
        <v>3.87</v>
      </c>
      <c r="AJ5250">
        <v>32.47</v>
      </c>
      <c r="AK5250">
        <v>23.8</v>
      </c>
      <c r="AL5250">
        <v>-20.161858549999948</v>
      </c>
      <c r="AM5250">
        <v>-44.857884031071968</v>
      </c>
      <c r="AN5250">
        <v>-20.161858549999948</v>
      </c>
      <c r="AO5250">
        <v>-44.857884031071968</v>
      </c>
      <c r="AP5250">
        <v>-20.161989999999999</v>
      </c>
      <c r="AQ5250">
        <v>-44.857933000000003</v>
      </c>
      <c r="AR5250">
        <v>15.501957281614381</v>
      </c>
      <c r="AS5250" t="s">
        <v>65</v>
      </c>
      <c r="AT5250">
        <v>1</v>
      </c>
      <c r="AU5250" t="s">
        <v>1755</v>
      </c>
      <c r="AV5250" t="s">
        <v>1756</v>
      </c>
      <c r="AW5250" t="s">
        <v>60</v>
      </c>
      <c r="AX5250" t="s">
        <v>68</v>
      </c>
      <c r="AY5250" t="s">
        <v>69</v>
      </c>
      <c r="AZ5250" t="b">
        <v>1</v>
      </c>
    </row>
    <row r="5251" spans="1:52" x14ac:dyDescent="0.3">
      <c r="A5251" t="s">
        <v>52</v>
      </c>
      <c r="B5251" t="s">
        <v>53</v>
      </c>
      <c r="C5251" t="s">
        <v>54</v>
      </c>
      <c r="D5251" t="s">
        <v>55</v>
      </c>
      <c r="E5251" t="s">
        <v>2278</v>
      </c>
      <c r="F5251" t="s">
        <v>190</v>
      </c>
      <c r="G5251" t="s">
        <v>980</v>
      </c>
      <c r="H5251" t="s">
        <v>981</v>
      </c>
      <c r="I5251" t="s">
        <v>981</v>
      </c>
      <c r="J5251" t="s">
        <v>60</v>
      </c>
      <c r="K5251" t="s">
        <v>982</v>
      </c>
      <c r="L5251" t="s">
        <v>62</v>
      </c>
      <c r="M5251" t="s">
        <v>982</v>
      </c>
      <c r="N5251" t="s">
        <v>983</v>
      </c>
      <c r="O5251" t="s">
        <v>264</v>
      </c>
      <c r="P5251">
        <v>-20.166967</v>
      </c>
      <c r="Q5251">
        <v>-44.859355000000001</v>
      </c>
      <c r="R5251" s="2" t="str">
        <f>HYPERLINK("https://www.google.com/maps?q=-20.1669670,-44.8593550","Abrir no Google Maps")</f>
        <v>Abrir no Google Maps</v>
      </c>
      <c r="S5251">
        <v>3</v>
      </c>
      <c r="T5251">
        <v>577.54934865824521</v>
      </c>
      <c r="U5251">
        <v>3</v>
      </c>
      <c r="V5251">
        <v>0.87141148325358853</v>
      </c>
      <c r="W5251">
        <v>1</v>
      </c>
      <c r="X5251">
        <v>0.87141148325358853</v>
      </c>
      <c r="Y5251">
        <v>491</v>
      </c>
      <c r="Z5251">
        <v>433.59782149216659</v>
      </c>
      <c r="AA5251">
        <v>198</v>
      </c>
      <c r="AB5251">
        <v>332</v>
      </c>
      <c r="AC5251">
        <v>536</v>
      </c>
      <c r="AD5251">
        <v>28.15</v>
      </c>
      <c r="AE5251">
        <v>542</v>
      </c>
      <c r="AF5251">
        <v>21</v>
      </c>
      <c r="AG5251">
        <v>176</v>
      </c>
      <c r="AH5251">
        <v>129</v>
      </c>
      <c r="AI5251">
        <v>3.87</v>
      </c>
      <c r="AJ5251">
        <v>32.47</v>
      </c>
      <c r="AK5251">
        <v>23.8</v>
      </c>
      <c r="AL5251">
        <v>-20.16694954999997</v>
      </c>
      <c r="AM5251">
        <v>-44.859100695938046</v>
      </c>
      <c r="AN5251">
        <v>-20.16694954999997</v>
      </c>
      <c r="AO5251">
        <v>-44.859100695938046</v>
      </c>
      <c r="AP5251">
        <v>-20.166967</v>
      </c>
      <c r="AQ5251">
        <v>-44.859355000000001</v>
      </c>
      <c r="AR5251">
        <v>26.644458793923111</v>
      </c>
      <c r="AS5251" t="s">
        <v>65</v>
      </c>
      <c r="AT5251">
        <v>1</v>
      </c>
      <c r="AU5251" t="s">
        <v>984</v>
      </c>
      <c r="AV5251" t="s">
        <v>985</v>
      </c>
      <c r="AW5251" t="s">
        <v>60</v>
      </c>
      <c r="AX5251" t="s">
        <v>68</v>
      </c>
      <c r="AY5251" t="s">
        <v>69</v>
      </c>
      <c r="AZ5251" t="b">
        <v>1</v>
      </c>
    </row>
    <row r="5252" spans="1:52" x14ac:dyDescent="0.3">
      <c r="A5252" t="s">
        <v>52</v>
      </c>
      <c r="B5252" t="s">
        <v>53</v>
      </c>
      <c r="C5252" t="s">
        <v>54</v>
      </c>
      <c r="D5252" t="s">
        <v>55</v>
      </c>
      <c r="E5252" t="s">
        <v>2278</v>
      </c>
      <c r="F5252" t="s">
        <v>190</v>
      </c>
      <c r="G5252" t="s">
        <v>986</v>
      </c>
      <c r="H5252" t="s">
        <v>987</v>
      </c>
      <c r="I5252" t="s">
        <v>987</v>
      </c>
      <c r="J5252" t="s">
        <v>60</v>
      </c>
      <c r="K5252" t="s">
        <v>702</v>
      </c>
      <c r="L5252" t="s">
        <v>62</v>
      </c>
      <c r="M5252" t="s">
        <v>702</v>
      </c>
      <c r="N5252" t="s">
        <v>988</v>
      </c>
      <c r="O5252" t="s">
        <v>989</v>
      </c>
      <c r="P5252">
        <v>-20.1691</v>
      </c>
      <c r="Q5252">
        <v>-44.860813999999998</v>
      </c>
      <c r="R5252" s="2" t="str">
        <f>HYPERLINK("https://www.google.com/maps?q=-20.1691000,-44.8608140","Abrir no Google Maps")</f>
        <v>Abrir no Google Maps</v>
      </c>
      <c r="S5252">
        <v>3</v>
      </c>
      <c r="T5252">
        <v>596.11124105675003</v>
      </c>
      <c r="U5252">
        <v>3</v>
      </c>
      <c r="V5252">
        <v>0.87344236760124605</v>
      </c>
      <c r="W5252">
        <v>1</v>
      </c>
      <c r="X5252">
        <v>0.87344236760124605</v>
      </c>
      <c r="Y5252">
        <v>491</v>
      </c>
      <c r="Z5252">
        <v>741.65354053819078</v>
      </c>
      <c r="AA5252">
        <v>198</v>
      </c>
      <c r="AB5252">
        <v>332</v>
      </c>
      <c r="AC5252">
        <v>536</v>
      </c>
      <c r="AD5252">
        <v>28.15</v>
      </c>
      <c r="AE5252">
        <v>542</v>
      </c>
      <c r="AF5252">
        <v>21</v>
      </c>
      <c r="AG5252">
        <v>176</v>
      </c>
      <c r="AH5252">
        <v>129</v>
      </c>
      <c r="AI5252">
        <v>3.87</v>
      </c>
      <c r="AJ5252">
        <v>32.47</v>
      </c>
      <c r="AK5252">
        <v>23.8</v>
      </c>
      <c r="AL5252">
        <v>-20.168995449999951</v>
      </c>
      <c r="AM5252">
        <v>-44.86088900357106</v>
      </c>
      <c r="AN5252">
        <v>-20.168995449999951</v>
      </c>
      <c r="AO5252">
        <v>-44.86088900357106</v>
      </c>
      <c r="AP5252">
        <v>-20.1691</v>
      </c>
      <c r="AQ5252">
        <v>-44.860813999999998</v>
      </c>
      <c r="AR5252">
        <v>14.03138702725616</v>
      </c>
      <c r="AS5252" t="s">
        <v>65</v>
      </c>
      <c r="AT5252">
        <v>1</v>
      </c>
      <c r="AU5252" t="s">
        <v>990</v>
      </c>
      <c r="AV5252" t="s">
        <v>991</v>
      </c>
      <c r="AW5252" t="s">
        <v>60</v>
      </c>
      <c r="AX5252" t="s">
        <v>68</v>
      </c>
      <c r="AY5252" t="s">
        <v>69</v>
      </c>
      <c r="AZ5252" t="b">
        <v>1</v>
      </c>
    </row>
    <row r="5253" spans="1:52" x14ac:dyDescent="0.3">
      <c r="A5253" t="s">
        <v>52</v>
      </c>
      <c r="B5253" t="s">
        <v>53</v>
      </c>
      <c r="C5253" t="s">
        <v>54</v>
      </c>
      <c r="D5253" t="s">
        <v>55</v>
      </c>
      <c r="E5253" t="s">
        <v>2278</v>
      </c>
      <c r="F5253" t="s">
        <v>190</v>
      </c>
      <c r="G5253" t="s">
        <v>662</v>
      </c>
      <c r="H5253" t="s">
        <v>663</v>
      </c>
      <c r="I5253" t="s">
        <v>663</v>
      </c>
      <c r="J5253" t="s">
        <v>60</v>
      </c>
      <c r="K5253" t="s">
        <v>664</v>
      </c>
      <c r="L5253" t="s">
        <v>62</v>
      </c>
      <c r="M5253" t="s">
        <v>664</v>
      </c>
      <c r="N5253" t="s">
        <v>665</v>
      </c>
      <c r="O5253" t="s">
        <v>666</v>
      </c>
      <c r="P5253">
        <v>-20.13401</v>
      </c>
      <c r="Q5253">
        <v>-44.896515999999998</v>
      </c>
      <c r="R5253" s="2" t="str">
        <f>HYPERLINK("https://www.google.com/maps?q=-20.1340100,-44.8965160","Abrir no Google Maps")</f>
        <v>Abrir no Google Maps</v>
      </c>
      <c r="S5253">
        <v>3</v>
      </c>
      <c r="T5253">
        <v>577.93085469739992</v>
      </c>
      <c r="U5253">
        <v>3</v>
      </c>
      <c r="V5253">
        <v>0.97135416666666663</v>
      </c>
      <c r="W5253">
        <v>0.85</v>
      </c>
      <c r="X5253">
        <v>0.82565104166666659</v>
      </c>
      <c r="Y5253">
        <v>435</v>
      </c>
      <c r="Z5253">
        <v>334.84976208093428</v>
      </c>
      <c r="AA5253">
        <v>198</v>
      </c>
      <c r="AB5253">
        <v>332</v>
      </c>
      <c r="AC5253">
        <v>536</v>
      </c>
      <c r="AD5253">
        <v>28.15</v>
      </c>
      <c r="AE5253">
        <v>542</v>
      </c>
      <c r="AF5253">
        <v>21</v>
      </c>
      <c r="AG5253">
        <v>176</v>
      </c>
      <c r="AH5253">
        <v>129</v>
      </c>
      <c r="AI5253">
        <v>3.87</v>
      </c>
      <c r="AJ5253">
        <v>32.47</v>
      </c>
      <c r="AK5253">
        <v>23.8</v>
      </c>
      <c r="AL5253">
        <v>-20.134194999999949</v>
      </c>
      <c r="AM5253">
        <v>-44.896421210298939</v>
      </c>
      <c r="AN5253">
        <v>-20.134194999999949</v>
      </c>
      <c r="AO5253">
        <v>-44.896421210298939</v>
      </c>
      <c r="AP5253">
        <v>-20.13401</v>
      </c>
      <c r="AQ5253">
        <v>-44.896515999999998</v>
      </c>
      <c r="AR5253">
        <v>22.853284872316269</v>
      </c>
      <c r="AS5253" t="s">
        <v>65</v>
      </c>
      <c r="AT5253">
        <v>1</v>
      </c>
      <c r="AU5253" t="s">
        <v>667</v>
      </c>
      <c r="AV5253" t="s">
        <v>668</v>
      </c>
      <c r="AW5253" t="s">
        <v>60</v>
      </c>
      <c r="AX5253" t="s">
        <v>68</v>
      </c>
      <c r="AY5253" t="s">
        <v>69</v>
      </c>
      <c r="AZ5253" t="b">
        <v>1</v>
      </c>
    </row>
    <row r="5254" spans="1:52" x14ac:dyDescent="0.3">
      <c r="A5254" t="s">
        <v>52</v>
      </c>
      <c r="B5254" t="s">
        <v>53</v>
      </c>
      <c r="C5254" t="s">
        <v>54</v>
      </c>
      <c r="D5254" t="s">
        <v>55</v>
      </c>
      <c r="E5254" t="s">
        <v>2278</v>
      </c>
      <c r="F5254" t="s">
        <v>190</v>
      </c>
      <c r="G5254" t="s">
        <v>1009</v>
      </c>
      <c r="H5254" t="s">
        <v>1010</v>
      </c>
      <c r="I5254" t="s">
        <v>1010</v>
      </c>
      <c r="J5254" t="s">
        <v>60</v>
      </c>
      <c r="K5254" t="s">
        <v>530</v>
      </c>
      <c r="L5254" t="s">
        <v>62</v>
      </c>
      <c r="M5254" t="s">
        <v>530</v>
      </c>
      <c r="N5254" t="s">
        <v>1011</v>
      </c>
      <c r="O5254" t="s">
        <v>315</v>
      </c>
      <c r="P5254">
        <v>-20.141300999999999</v>
      </c>
      <c r="Q5254">
        <v>-44.887509999999999</v>
      </c>
      <c r="R5254" s="2" t="str">
        <f>HYPERLINK("https://www.google.com/maps?q=-20.1413010,-44.8875100","Abrir no Google Maps")</f>
        <v>Abrir no Google Maps</v>
      </c>
      <c r="S5254">
        <v>3</v>
      </c>
      <c r="T5254">
        <v>351.30731383872319</v>
      </c>
      <c r="U5254">
        <v>3</v>
      </c>
      <c r="V5254">
        <v>0.98724489795918358</v>
      </c>
      <c r="W5254">
        <v>0.85</v>
      </c>
      <c r="X5254">
        <v>0.83915816326530601</v>
      </c>
      <c r="Y5254">
        <v>428</v>
      </c>
      <c r="Z5254">
        <v>285.79917278216982</v>
      </c>
      <c r="AA5254">
        <v>198</v>
      </c>
      <c r="AB5254">
        <v>332</v>
      </c>
      <c r="AC5254">
        <v>536</v>
      </c>
      <c r="AD5254">
        <v>28.15</v>
      </c>
      <c r="AE5254">
        <v>542</v>
      </c>
      <c r="AF5254">
        <v>21</v>
      </c>
      <c r="AG5254">
        <v>176</v>
      </c>
      <c r="AH5254">
        <v>129</v>
      </c>
      <c r="AI5254">
        <v>3.87</v>
      </c>
      <c r="AJ5254">
        <v>32.47</v>
      </c>
      <c r="AK5254">
        <v>23.8</v>
      </c>
      <c r="AL5254">
        <v>-20.141454249999949</v>
      </c>
      <c r="AM5254">
        <v>-44.887331612944081</v>
      </c>
      <c r="AN5254">
        <v>-20.141454249999949</v>
      </c>
      <c r="AO5254">
        <v>-44.887331612944081</v>
      </c>
      <c r="AP5254">
        <v>-20.141300999999999</v>
      </c>
      <c r="AQ5254">
        <v>-44.887509999999999</v>
      </c>
      <c r="AR5254">
        <v>25.270963110561588</v>
      </c>
      <c r="AS5254" t="s">
        <v>65</v>
      </c>
      <c r="AT5254">
        <v>1</v>
      </c>
      <c r="AU5254" t="s">
        <v>1012</v>
      </c>
      <c r="AV5254" t="s">
        <v>1013</v>
      </c>
      <c r="AW5254" t="s">
        <v>60</v>
      </c>
      <c r="AX5254" t="s">
        <v>68</v>
      </c>
      <c r="AY5254" t="s">
        <v>69</v>
      </c>
      <c r="AZ5254" t="b">
        <v>1</v>
      </c>
    </row>
    <row r="5255" spans="1:52" x14ac:dyDescent="0.3">
      <c r="A5255" t="s">
        <v>52</v>
      </c>
      <c r="B5255" t="s">
        <v>53</v>
      </c>
      <c r="C5255" t="s">
        <v>54</v>
      </c>
      <c r="D5255" t="s">
        <v>55</v>
      </c>
      <c r="E5255" t="s">
        <v>2278</v>
      </c>
      <c r="F5255" t="s">
        <v>190</v>
      </c>
      <c r="G5255" t="s">
        <v>1014</v>
      </c>
      <c r="H5255" t="s">
        <v>1015</v>
      </c>
      <c r="I5255" t="s">
        <v>1015</v>
      </c>
      <c r="J5255" t="s">
        <v>60</v>
      </c>
      <c r="K5255" t="s">
        <v>1016</v>
      </c>
      <c r="L5255" t="s">
        <v>62</v>
      </c>
      <c r="M5255" t="s">
        <v>1016</v>
      </c>
      <c r="N5255" t="s">
        <v>1017</v>
      </c>
      <c r="O5255" t="s">
        <v>1018</v>
      </c>
      <c r="P5255">
        <v>-20.174461000000001</v>
      </c>
      <c r="Q5255">
        <v>-44.868710999999998</v>
      </c>
      <c r="R5255" s="2" t="str">
        <f>HYPERLINK("https://www.google.com/maps?q=-20.1744610,-44.8687110","Abrir no Google Maps")</f>
        <v>Abrir no Google Maps</v>
      </c>
      <c r="S5255">
        <v>3</v>
      </c>
      <c r="T5255">
        <v>435.39504742850158</v>
      </c>
      <c r="U5255">
        <v>3</v>
      </c>
      <c r="V5255">
        <v>0.87468314321926488</v>
      </c>
      <c r="W5255">
        <v>1</v>
      </c>
      <c r="X5255">
        <v>0.87468314321926488</v>
      </c>
      <c r="Y5255">
        <v>422</v>
      </c>
      <c r="Z5255">
        <v>264.99958639233438</v>
      </c>
      <c r="AA5255">
        <v>198</v>
      </c>
      <c r="AB5255">
        <v>332</v>
      </c>
      <c r="AC5255">
        <v>536</v>
      </c>
      <c r="AD5255">
        <v>28.15</v>
      </c>
      <c r="AE5255">
        <v>542</v>
      </c>
      <c r="AF5255">
        <v>21</v>
      </c>
      <c r="AG5255">
        <v>176</v>
      </c>
      <c r="AH5255">
        <v>129</v>
      </c>
      <c r="AI5255">
        <v>3.87</v>
      </c>
      <c r="AJ5255">
        <v>32.47</v>
      </c>
      <c r="AK5255">
        <v>23.8</v>
      </c>
      <c r="AL5255">
        <v>-20.174459749999951</v>
      </c>
      <c r="AM5255">
        <v>-44.868877789186897</v>
      </c>
      <c r="AN5255">
        <v>-20.174459749999951</v>
      </c>
      <c r="AO5255">
        <v>-44.868877789186897</v>
      </c>
      <c r="AP5255">
        <v>-20.174461000000001</v>
      </c>
      <c r="AQ5255">
        <v>-44.868710999999998</v>
      </c>
      <c r="AR5255">
        <v>17.42838555603738</v>
      </c>
      <c r="AS5255" t="s">
        <v>65</v>
      </c>
      <c r="AT5255">
        <v>1</v>
      </c>
      <c r="AU5255" t="s">
        <v>1019</v>
      </c>
      <c r="AV5255" t="s">
        <v>1020</v>
      </c>
      <c r="AW5255" t="s">
        <v>60</v>
      </c>
      <c r="AX5255" t="s">
        <v>68</v>
      </c>
      <c r="AY5255" t="s">
        <v>69</v>
      </c>
      <c r="AZ5255" t="b">
        <v>1</v>
      </c>
    </row>
    <row r="5256" spans="1:52" x14ac:dyDescent="0.3">
      <c r="A5256" t="s">
        <v>52</v>
      </c>
      <c r="B5256" t="s">
        <v>53</v>
      </c>
      <c r="C5256" t="s">
        <v>54</v>
      </c>
      <c r="D5256" t="s">
        <v>55</v>
      </c>
      <c r="E5256" t="s">
        <v>2278</v>
      </c>
      <c r="F5256" t="s">
        <v>190</v>
      </c>
      <c r="G5256" t="s">
        <v>1021</v>
      </c>
      <c r="H5256" t="s">
        <v>1022</v>
      </c>
      <c r="I5256" t="s">
        <v>1022</v>
      </c>
      <c r="J5256" t="s">
        <v>60</v>
      </c>
      <c r="K5256" t="s">
        <v>1023</v>
      </c>
      <c r="L5256" t="s">
        <v>62</v>
      </c>
      <c r="M5256" t="s">
        <v>1023</v>
      </c>
      <c r="N5256" t="s">
        <v>1024</v>
      </c>
      <c r="O5256" t="s">
        <v>1025</v>
      </c>
      <c r="P5256">
        <v>-20.169588999999998</v>
      </c>
      <c r="Q5256">
        <v>-44.866636</v>
      </c>
      <c r="R5256" s="2" t="str">
        <f>HYPERLINK("https://www.google.com/maps?q=-20.1695890,-44.8666360","Abrir no Google Maps")</f>
        <v>Abrir no Google Maps</v>
      </c>
      <c r="S5256">
        <v>3</v>
      </c>
      <c r="T5256">
        <v>326.02709617860302</v>
      </c>
      <c r="U5256">
        <v>3</v>
      </c>
      <c r="V5256">
        <v>0.87092833876221498</v>
      </c>
      <c r="W5256">
        <v>1</v>
      </c>
      <c r="X5256">
        <v>0.87092833876221498</v>
      </c>
      <c r="Y5256">
        <v>422</v>
      </c>
      <c r="Z5256">
        <v>333.05362278862168</v>
      </c>
      <c r="AA5256">
        <v>198</v>
      </c>
      <c r="AB5256">
        <v>332</v>
      </c>
      <c r="AC5256">
        <v>536</v>
      </c>
      <c r="AD5256">
        <v>28.15</v>
      </c>
      <c r="AE5256">
        <v>542</v>
      </c>
      <c r="AF5256">
        <v>21</v>
      </c>
      <c r="AG5256">
        <v>176</v>
      </c>
      <c r="AH5256">
        <v>129</v>
      </c>
      <c r="AI5256">
        <v>3.87</v>
      </c>
      <c r="AJ5256">
        <v>32.47</v>
      </c>
      <c r="AK5256">
        <v>23.8</v>
      </c>
      <c r="AL5256">
        <v>-20.16956104999997</v>
      </c>
      <c r="AM5256">
        <v>-44.866560528183591</v>
      </c>
      <c r="AN5256">
        <v>-20.16956104999997</v>
      </c>
      <c r="AO5256">
        <v>-44.866560528183591</v>
      </c>
      <c r="AP5256">
        <v>-20.169588999999998</v>
      </c>
      <c r="AQ5256">
        <v>-44.866636</v>
      </c>
      <c r="AR5256">
        <v>8.4778927137831293</v>
      </c>
      <c r="AS5256" t="s">
        <v>65</v>
      </c>
      <c r="AT5256">
        <v>1</v>
      </c>
      <c r="AU5256" t="s">
        <v>1026</v>
      </c>
      <c r="AV5256" t="s">
        <v>1027</v>
      </c>
      <c r="AW5256" t="s">
        <v>60</v>
      </c>
      <c r="AX5256" t="s">
        <v>68</v>
      </c>
      <c r="AY5256" t="s">
        <v>69</v>
      </c>
      <c r="AZ5256" t="b">
        <v>1</v>
      </c>
    </row>
    <row r="5257" spans="1:52" x14ac:dyDescent="0.3">
      <c r="A5257" t="s">
        <v>52</v>
      </c>
      <c r="B5257" t="s">
        <v>53</v>
      </c>
      <c r="C5257" t="s">
        <v>54</v>
      </c>
      <c r="D5257" t="s">
        <v>55</v>
      </c>
      <c r="E5257" t="s">
        <v>2278</v>
      </c>
      <c r="F5257" t="s">
        <v>190</v>
      </c>
      <c r="G5257" t="s">
        <v>1028</v>
      </c>
      <c r="H5257" t="s">
        <v>1029</v>
      </c>
      <c r="I5257" t="s">
        <v>1029</v>
      </c>
      <c r="J5257" t="s">
        <v>60</v>
      </c>
      <c r="K5257" t="s">
        <v>1016</v>
      </c>
      <c r="L5257" t="s">
        <v>62</v>
      </c>
      <c r="M5257" t="s">
        <v>1016</v>
      </c>
      <c r="N5257" t="s">
        <v>1030</v>
      </c>
      <c r="O5257" t="s">
        <v>855</v>
      </c>
      <c r="P5257">
        <v>-20.169778000000001</v>
      </c>
      <c r="Q5257">
        <v>-44.871940000000002</v>
      </c>
      <c r="R5257" s="2" t="str">
        <f>HYPERLINK("https://www.google.com/maps?q=-20.1697780,-44.8719400","Abrir no Google Maps")</f>
        <v>Abrir no Google Maps</v>
      </c>
      <c r="S5257">
        <v>3</v>
      </c>
      <c r="T5257">
        <v>730.45462447863167</v>
      </c>
      <c r="U5257">
        <v>3</v>
      </c>
      <c r="V5257">
        <v>0.88148148148148153</v>
      </c>
      <c r="W5257">
        <v>1</v>
      </c>
      <c r="X5257">
        <v>0.88148148148148153</v>
      </c>
      <c r="Y5257">
        <v>422</v>
      </c>
      <c r="Z5257">
        <v>600.74952959765801</v>
      </c>
      <c r="AA5257">
        <v>198</v>
      </c>
      <c r="AB5257">
        <v>332</v>
      </c>
      <c r="AC5257">
        <v>536</v>
      </c>
      <c r="AD5257">
        <v>28.15</v>
      </c>
      <c r="AE5257">
        <v>542</v>
      </c>
      <c r="AF5257">
        <v>21</v>
      </c>
      <c r="AG5257">
        <v>176</v>
      </c>
      <c r="AH5257">
        <v>129</v>
      </c>
      <c r="AI5257">
        <v>3.87</v>
      </c>
      <c r="AJ5257">
        <v>32.47</v>
      </c>
      <c r="AK5257">
        <v>23.8</v>
      </c>
      <c r="AL5257">
        <v>-20.169770599999961</v>
      </c>
      <c r="AM5257">
        <v>-44.871857291666629</v>
      </c>
      <c r="AN5257">
        <v>-20.169770599999961</v>
      </c>
      <c r="AO5257">
        <v>-44.871857291666629</v>
      </c>
      <c r="AP5257">
        <v>-20.169778000000001</v>
      </c>
      <c r="AQ5257">
        <v>-44.871940000000002</v>
      </c>
      <c r="AR5257">
        <v>8.6816379320830315</v>
      </c>
      <c r="AS5257" t="s">
        <v>65</v>
      </c>
      <c r="AT5257">
        <v>1</v>
      </c>
      <c r="AU5257" t="s">
        <v>1031</v>
      </c>
      <c r="AV5257" t="s">
        <v>1032</v>
      </c>
      <c r="AW5257" t="s">
        <v>60</v>
      </c>
      <c r="AX5257" t="s">
        <v>68</v>
      </c>
      <c r="AY5257" t="s">
        <v>69</v>
      </c>
      <c r="AZ5257" t="b">
        <v>1</v>
      </c>
    </row>
    <row r="5258" spans="1:52" x14ac:dyDescent="0.3">
      <c r="A5258" t="s">
        <v>52</v>
      </c>
      <c r="B5258" t="s">
        <v>53</v>
      </c>
      <c r="C5258" t="s">
        <v>54</v>
      </c>
      <c r="D5258" t="s">
        <v>55</v>
      </c>
      <c r="E5258" t="s">
        <v>2278</v>
      </c>
      <c r="F5258" t="s">
        <v>190</v>
      </c>
      <c r="G5258" t="s">
        <v>1033</v>
      </c>
      <c r="H5258" t="s">
        <v>1034</v>
      </c>
      <c r="I5258" t="s">
        <v>1034</v>
      </c>
      <c r="J5258" t="s">
        <v>60</v>
      </c>
      <c r="K5258" t="s">
        <v>1016</v>
      </c>
      <c r="L5258" t="s">
        <v>62</v>
      </c>
      <c r="M5258" t="s">
        <v>1016</v>
      </c>
      <c r="N5258" t="s">
        <v>1035</v>
      </c>
      <c r="O5258" t="s">
        <v>1036</v>
      </c>
      <c r="P5258">
        <v>-20.176404999999999</v>
      </c>
      <c r="Q5258">
        <v>-44.871102</v>
      </c>
      <c r="R5258" s="2" t="str">
        <f>HYPERLINK("https://www.google.com/maps?q=-20.1764050,-44.8711020","Abrir no Google Maps")</f>
        <v>Abrir no Google Maps</v>
      </c>
      <c r="S5258">
        <v>3</v>
      </c>
      <c r="T5258">
        <v>746.17794449655105</v>
      </c>
      <c r="U5258">
        <v>3</v>
      </c>
      <c r="V5258">
        <v>0.87720189701897022</v>
      </c>
      <c r="W5258">
        <v>1</v>
      </c>
      <c r="X5258">
        <v>0.87720189701897022</v>
      </c>
      <c r="Y5258">
        <v>422</v>
      </c>
      <c r="Z5258">
        <v>532.61564453099913</v>
      </c>
      <c r="AA5258">
        <v>198</v>
      </c>
      <c r="AB5258">
        <v>332</v>
      </c>
      <c r="AC5258">
        <v>536</v>
      </c>
      <c r="AD5258">
        <v>28.15</v>
      </c>
      <c r="AE5258">
        <v>542</v>
      </c>
      <c r="AF5258">
        <v>21</v>
      </c>
      <c r="AG5258">
        <v>176</v>
      </c>
      <c r="AH5258">
        <v>129</v>
      </c>
      <c r="AI5258">
        <v>3.87</v>
      </c>
      <c r="AJ5258">
        <v>32.47</v>
      </c>
      <c r="AK5258">
        <v>23.8</v>
      </c>
      <c r="AL5258">
        <v>-20.176464949999971</v>
      </c>
      <c r="AM5258">
        <v>-44.871010194676387</v>
      </c>
      <c r="AN5258">
        <v>-20.176464949999971</v>
      </c>
      <c r="AO5258">
        <v>-44.871010194676387</v>
      </c>
      <c r="AP5258">
        <v>-20.176404999999999</v>
      </c>
      <c r="AQ5258">
        <v>-44.871102</v>
      </c>
      <c r="AR5258">
        <v>11.68571547850415</v>
      </c>
      <c r="AS5258" t="s">
        <v>65</v>
      </c>
      <c r="AT5258">
        <v>1</v>
      </c>
      <c r="AU5258" t="s">
        <v>1037</v>
      </c>
      <c r="AV5258" t="s">
        <v>1038</v>
      </c>
      <c r="AW5258" t="s">
        <v>60</v>
      </c>
      <c r="AX5258" t="s">
        <v>68</v>
      </c>
      <c r="AY5258" t="s">
        <v>69</v>
      </c>
      <c r="AZ5258" t="b">
        <v>1</v>
      </c>
    </row>
    <row r="5259" spans="1:52" x14ac:dyDescent="0.3">
      <c r="A5259" t="s">
        <v>52</v>
      </c>
      <c r="B5259" t="s">
        <v>53</v>
      </c>
      <c r="C5259" t="s">
        <v>54</v>
      </c>
      <c r="D5259" t="s">
        <v>55</v>
      </c>
      <c r="E5259" t="s">
        <v>2278</v>
      </c>
      <c r="F5259" t="s">
        <v>190</v>
      </c>
      <c r="G5259" t="s">
        <v>693</v>
      </c>
      <c r="H5259" t="s">
        <v>694</v>
      </c>
      <c r="I5259" t="s">
        <v>694</v>
      </c>
      <c r="J5259" t="s">
        <v>60</v>
      </c>
      <c r="K5259" t="s">
        <v>695</v>
      </c>
      <c r="L5259" t="s">
        <v>62</v>
      </c>
      <c r="M5259" t="s">
        <v>695</v>
      </c>
      <c r="N5259" t="s">
        <v>696</v>
      </c>
      <c r="O5259" t="s">
        <v>697</v>
      </c>
      <c r="P5259">
        <v>-20.174917000000001</v>
      </c>
      <c r="Q5259">
        <v>-44.857677000000002</v>
      </c>
      <c r="R5259" s="2" t="str">
        <f>HYPERLINK("https://www.google.com/maps?q=-20.1749170,-44.8576770","Abrir no Google Maps")</f>
        <v>Abrir no Google Maps</v>
      </c>
      <c r="S5259">
        <v>3</v>
      </c>
      <c r="T5259">
        <v>850.52349144267646</v>
      </c>
      <c r="U5259">
        <v>3</v>
      </c>
      <c r="V5259">
        <v>0.8725609756097561</v>
      </c>
      <c r="W5259">
        <v>1</v>
      </c>
      <c r="X5259">
        <v>0.8725609756097561</v>
      </c>
      <c r="Y5259">
        <v>422</v>
      </c>
      <c r="Z5259">
        <v>1042.4685698911451</v>
      </c>
      <c r="AA5259">
        <v>198</v>
      </c>
      <c r="AB5259">
        <v>332</v>
      </c>
      <c r="AC5259">
        <v>536</v>
      </c>
      <c r="AD5259">
        <v>28.15</v>
      </c>
      <c r="AE5259">
        <v>542</v>
      </c>
      <c r="AF5259">
        <v>21</v>
      </c>
      <c r="AG5259">
        <v>176</v>
      </c>
      <c r="AH5259">
        <v>129</v>
      </c>
      <c r="AI5259">
        <v>3.87</v>
      </c>
      <c r="AJ5259">
        <v>32.47</v>
      </c>
      <c r="AK5259">
        <v>23.8</v>
      </c>
      <c r="AL5259">
        <v>-20.17483459999994</v>
      </c>
      <c r="AM5259">
        <v>-44.857715667542379</v>
      </c>
      <c r="AN5259">
        <v>-20.17483459999994</v>
      </c>
      <c r="AO5259">
        <v>-44.857715667542379</v>
      </c>
      <c r="AP5259">
        <v>-20.174917000000001</v>
      </c>
      <c r="AQ5259">
        <v>-44.857677000000002</v>
      </c>
      <c r="AR5259">
        <v>10.02318555136439</v>
      </c>
      <c r="AS5259" t="s">
        <v>65</v>
      </c>
      <c r="AT5259">
        <v>1</v>
      </c>
      <c r="AU5259" t="s">
        <v>698</v>
      </c>
      <c r="AV5259" t="s">
        <v>699</v>
      </c>
      <c r="AW5259" t="s">
        <v>60</v>
      </c>
      <c r="AX5259" t="s">
        <v>68</v>
      </c>
      <c r="AY5259" t="s">
        <v>69</v>
      </c>
      <c r="AZ5259" t="b">
        <v>1</v>
      </c>
    </row>
    <row r="5260" spans="1:52" x14ac:dyDescent="0.3">
      <c r="A5260" t="s">
        <v>52</v>
      </c>
      <c r="B5260" t="s">
        <v>53</v>
      </c>
      <c r="C5260" t="s">
        <v>54</v>
      </c>
      <c r="D5260" t="s">
        <v>55</v>
      </c>
      <c r="E5260" t="s">
        <v>2278</v>
      </c>
      <c r="F5260" t="s">
        <v>190</v>
      </c>
      <c r="G5260" t="s">
        <v>1039</v>
      </c>
      <c r="H5260" t="s">
        <v>1040</v>
      </c>
      <c r="I5260" t="s">
        <v>1040</v>
      </c>
      <c r="J5260" t="s">
        <v>60</v>
      </c>
      <c r="K5260" t="s">
        <v>1023</v>
      </c>
      <c r="L5260" t="s">
        <v>62</v>
      </c>
      <c r="M5260" t="s">
        <v>1023</v>
      </c>
      <c r="N5260" t="s">
        <v>1041</v>
      </c>
      <c r="O5260" t="s">
        <v>738</v>
      </c>
      <c r="P5260">
        <v>-20.172284000000001</v>
      </c>
      <c r="Q5260">
        <v>-44.865392999999997</v>
      </c>
      <c r="R5260" s="2" t="str">
        <f>HYPERLINK("https://www.google.com/maps?q=-20.1722840,-44.8653930","Abrir no Google Maps")</f>
        <v>Abrir no Google Maps</v>
      </c>
      <c r="S5260">
        <v>3</v>
      </c>
      <c r="T5260">
        <v>0</v>
      </c>
      <c r="U5260">
        <v>3</v>
      </c>
      <c r="V5260">
        <v>0.87893081761006286</v>
      </c>
      <c r="W5260">
        <v>1</v>
      </c>
      <c r="X5260">
        <v>0.87893081761006286</v>
      </c>
      <c r="Y5260">
        <v>422</v>
      </c>
      <c r="Z5260">
        <v>202.96804500763591</v>
      </c>
      <c r="AA5260">
        <v>198</v>
      </c>
      <c r="AB5260">
        <v>332</v>
      </c>
      <c r="AC5260">
        <v>536</v>
      </c>
      <c r="AD5260">
        <v>28.15</v>
      </c>
      <c r="AE5260">
        <v>542</v>
      </c>
      <c r="AF5260">
        <v>21</v>
      </c>
      <c r="AG5260">
        <v>176</v>
      </c>
      <c r="AH5260">
        <v>129</v>
      </c>
      <c r="AI5260">
        <v>3.87</v>
      </c>
      <c r="AJ5260">
        <v>32.47</v>
      </c>
      <c r="AK5260">
        <v>23.8</v>
      </c>
      <c r="AL5260">
        <v>-20.17229514999994</v>
      </c>
      <c r="AM5260">
        <v>-44.865398249858011</v>
      </c>
      <c r="AN5260">
        <v>-20.17229514999994</v>
      </c>
      <c r="AO5260">
        <v>-44.865398249858011</v>
      </c>
      <c r="AP5260">
        <v>-20.172284000000001</v>
      </c>
      <c r="AQ5260">
        <v>-44.865392999999997</v>
      </c>
      <c r="AR5260">
        <v>1.357036084497409</v>
      </c>
      <c r="AS5260" t="s">
        <v>65</v>
      </c>
      <c r="AT5260">
        <v>1</v>
      </c>
      <c r="AU5260" t="s">
        <v>1042</v>
      </c>
      <c r="AV5260" t="s">
        <v>1043</v>
      </c>
      <c r="AW5260" t="s">
        <v>60</v>
      </c>
      <c r="AX5260" t="s">
        <v>68</v>
      </c>
      <c r="AY5260" t="s">
        <v>69</v>
      </c>
      <c r="AZ5260" t="b">
        <v>1</v>
      </c>
    </row>
    <row r="5261" spans="1:52" x14ac:dyDescent="0.3">
      <c r="A5261" t="s">
        <v>52</v>
      </c>
      <c r="B5261" t="s">
        <v>53</v>
      </c>
      <c r="C5261" t="s">
        <v>54</v>
      </c>
      <c r="D5261" t="s">
        <v>55</v>
      </c>
      <c r="E5261" t="s">
        <v>2278</v>
      </c>
      <c r="F5261" t="s">
        <v>190</v>
      </c>
      <c r="G5261" t="s">
        <v>700</v>
      </c>
      <c r="H5261" t="s">
        <v>701</v>
      </c>
      <c r="I5261" t="s">
        <v>701</v>
      </c>
      <c r="J5261" t="s">
        <v>60</v>
      </c>
      <c r="K5261" t="s">
        <v>702</v>
      </c>
      <c r="L5261" t="s">
        <v>62</v>
      </c>
      <c r="M5261" t="s">
        <v>702</v>
      </c>
      <c r="N5261" t="s">
        <v>703</v>
      </c>
      <c r="O5261" t="s">
        <v>315</v>
      </c>
      <c r="P5261">
        <v>-20.172599000000002</v>
      </c>
      <c r="Q5261">
        <v>-44.85915</v>
      </c>
      <c r="R5261" s="2" t="str">
        <f>HYPERLINK("https://www.google.com/maps?q=-20.1725990,-44.8591500","Abrir no Google Maps")</f>
        <v>Abrir no Google Maps</v>
      </c>
      <c r="S5261">
        <v>3</v>
      </c>
      <c r="T5261">
        <v>665.1003223445598</v>
      </c>
      <c r="U5261">
        <v>3</v>
      </c>
      <c r="V5261">
        <v>0.87548169556840072</v>
      </c>
      <c r="W5261">
        <v>1</v>
      </c>
      <c r="X5261">
        <v>0.87548169556840072</v>
      </c>
      <c r="Y5261">
        <v>422</v>
      </c>
      <c r="Z5261">
        <v>843.09189615634341</v>
      </c>
      <c r="AA5261">
        <v>198</v>
      </c>
      <c r="AB5261">
        <v>332</v>
      </c>
      <c r="AC5261">
        <v>536</v>
      </c>
      <c r="AD5261">
        <v>28.15</v>
      </c>
      <c r="AE5261">
        <v>542</v>
      </c>
      <c r="AF5261">
        <v>21</v>
      </c>
      <c r="AG5261">
        <v>176</v>
      </c>
      <c r="AH5261">
        <v>129</v>
      </c>
      <c r="AI5261">
        <v>3.87</v>
      </c>
      <c r="AJ5261">
        <v>32.47</v>
      </c>
      <c r="AK5261">
        <v>23.8</v>
      </c>
      <c r="AL5261">
        <v>-20.172576899999971</v>
      </c>
      <c r="AM5261">
        <v>-44.859040110359317</v>
      </c>
      <c r="AN5261">
        <v>-20.172576899999971</v>
      </c>
      <c r="AO5261">
        <v>-44.859040110359317</v>
      </c>
      <c r="AP5261">
        <v>-20.172599000000002</v>
      </c>
      <c r="AQ5261">
        <v>-44.85915</v>
      </c>
      <c r="AR5261">
        <v>11.743118835828479</v>
      </c>
      <c r="AS5261" t="s">
        <v>65</v>
      </c>
      <c r="AT5261">
        <v>1</v>
      </c>
      <c r="AU5261" t="s">
        <v>704</v>
      </c>
      <c r="AV5261" t="s">
        <v>705</v>
      </c>
      <c r="AW5261" t="s">
        <v>60</v>
      </c>
      <c r="AX5261" t="s">
        <v>68</v>
      </c>
      <c r="AY5261" t="s">
        <v>69</v>
      </c>
      <c r="AZ5261" t="b">
        <v>1</v>
      </c>
    </row>
    <row r="5262" spans="1:52" x14ac:dyDescent="0.3">
      <c r="A5262" t="s">
        <v>52</v>
      </c>
      <c r="B5262" t="s">
        <v>53</v>
      </c>
      <c r="C5262" t="s">
        <v>54</v>
      </c>
      <c r="D5262" t="s">
        <v>55</v>
      </c>
      <c r="E5262" t="s">
        <v>2278</v>
      </c>
      <c r="F5262" t="s">
        <v>190</v>
      </c>
      <c r="G5262" t="s">
        <v>734</v>
      </c>
      <c r="H5262" t="s">
        <v>1064</v>
      </c>
      <c r="I5262" t="s">
        <v>1064</v>
      </c>
      <c r="J5262" t="s">
        <v>60</v>
      </c>
      <c r="K5262" t="s">
        <v>530</v>
      </c>
      <c r="L5262" t="s">
        <v>62</v>
      </c>
      <c r="M5262" t="s">
        <v>530</v>
      </c>
      <c r="N5262" t="s">
        <v>1060</v>
      </c>
      <c r="O5262" t="s">
        <v>1065</v>
      </c>
      <c r="P5262">
        <v>-20.102878</v>
      </c>
      <c r="Q5262">
        <v>-44.974297</v>
      </c>
      <c r="R5262" s="2" t="str">
        <f>HYPERLINK("https://www.google.com/maps?q=-20.1028780,-44.9742970","Abrir no Google Maps")</f>
        <v>Abrir no Google Maps</v>
      </c>
      <c r="S5262">
        <v>3</v>
      </c>
      <c r="T5262">
        <v>261.64376156647683</v>
      </c>
      <c r="U5262">
        <v>3</v>
      </c>
      <c r="V5262">
        <v>0.86355706075533667</v>
      </c>
      <c r="W5262">
        <v>1</v>
      </c>
      <c r="X5262">
        <v>0.86355706075533667</v>
      </c>
      <c r="Y5262">
        <v>385</v>
      </c>
      <c r="Z5262">
        <v>272.78931550338098</v>
      </c>
      <c r="AA5262">
        <v>198</v>
      </c>
      <c r="AB5262">
        <v>332</v>
      </c>
      <c r="AC5262">
        <v>536</v>
      </c>
      <c r="AD5262">
        <v>28.15</v>
      </c>
      <c r="AE5262">
        <v>542</v>
      </c>
      <c r="AF5262">
        <v>21</v>
      </c>
      <c r="AG5262">
        <v>176</v>
      </c>
      <c r="AH5262">
        <v>129</v>
      </c>
      <c r="AI5262">
        <v>3.87</v>
      </c>
      <c r="AJ5262">
        <v>32.47</v>
      </c>
      <c r="AK5262">
        <v>23.8</v>
      </c>
      <c r="AL5262">
        <v>-20.102914199999962</v>
      </c>
      <c r="AM5262">
        <v>-44.974700580584418</v>
      </c>
      <c r="AN5262">
        <v>-20.102914199999962</v>
      </c>
      <c r="AO5262">
        <v>-44.974700580584418</v>
      </c>
      <c r="AP5262">
        <v>-20.102878</v>
      </c>
      <c r="AQ5262">
        <v>-44.974297</v>
      </c>
      <c r="AR5262">
        <v>42.381535645626968</v>
      </c>
      <c r="AS5262" t="s">
        <v>65</v>
      </c>
      <c r="AT5262">
        <v>1</v>
      </c>
      <c r="AU5262" t="s">
        <v>1066</v>
      </c>
      <c r="AV5262" t="s">
        <v>1067</v>
      </c>
      <c r="AW5262" t="s">
        <v>60</v>
      </c>
      <c r="AX5262" t="s">
        <v>68</v>
      </c>
      <c r="AY5262" t="s">
        <v>69</v>
      </c>
      <c r="AZ5262" t="b">
        <v>1</v>
      </c>
    </row>
    <row r="5263" spans="1:52" x14ac:dyDescent="0.3">
      <c r="A5263" t="s">
        <v>52</v>
      </c>
      <c r="B5263" t="s">
        <v>53</v>
      </c>
      <c r="C5263" t="s">
        <v>54</v>
      </c>
      <c r="D5263" t="s">
        <v>55</v>
      </c>
      <c r="E5263" t="s">
        <v>2278</v>
      </c>
      <c r="F5263" t="s">
        <v>190</v>
      </c>
      <c r="G5263" t="s">
        <v>734</v>
      </c>
      <c r="H5263" t="s">
        <v>735</v>
      </c>
      <c r="I5263" t="s">
        <v>735</v>
      </c>
      <c r="J5263" t="s">
        <v>60</v>
      </c>
      <c r="K5263" t="s">
        <v>736</v>
      </c>
      <c r="L5263" t="s">
        <v>62</v>
      </c>
      <c r="M5263" t="s">
        <v>736</v>
      </c>
      <c r="N5263" t="s">
        <v>737</v>
      </c>
      <c r="O5263" t="s">
        <v>738</v>
      </c>
      <c r="P5263">
        <v>-20.113050000000001</v>
      </c>
      <c r="Q5263">
        <v>-44.977640999999998</v>
      </c>
      <c r="R5263" s="2" t="str">
        <f>HYPERLINK("https://www.google.com/maps?q=-20.1130500,-44.9776410","Abrir no Google Maps")</f>
        <v>Abrir no Google Maps</v>
      </c>
      <c r="S5263">
        <v>3</v>
      </c>
      <c r="T5263">
        <v>1057.751631532733</v>
      </c>
      <c r="U5263">
        <v>3</v>
      </c>
      <c r="V5263">
        <v>0.86781609195402298</v>
      </c>
      <c r="W5263">
        <v>1</v>
      </c>
      <c r="X5263">
        <v>0.86781609195402298</v>
      </c>
      <c r="Y5263">
        <v>385</v>
      </c>
      <c r="Z5263">
        <v>1001.029655866156</v>
      </c>
      <c r="AA5263">
        <v>198</v>
      </c>
      <c r="AB5263">
        <v>332</v>
      </c>
      <c r="AC5263">
        <v>536</v>
      </c>
      <c r="AD5263">
        <v>28.15</v>
      </c>
      <c r="AE5263">
        <v>542</v>
      </c>
      <c r="AF5263">
        <v>21</v>
      </c>
      <c r="AG5263">
        <v>176</v>
      </c>
      <c r="AH5263">
        <v>129</v>
      </c>
      <c r="AI5263">
        <v>3.87</v>
      </c>
      <c r="AJ5263">
        <v>32.47</v>
      </c>
      <c r="AK5263">
        <v>23.8</v>
      </c>
      <c r="AL5263">
        <v>-20.112977499999939</v>
      </c>
      <c r="AM5263">
        <v>-44.977939579895221</v>
      </c>
      <c r="AN5263">
        <v>-20.112977499999939</v>
      </c>
      <c r="AO5263">
        <v>-44.977939579895221</v>
      </c>
      <c r="AP5263">
        <v>-20.113050000000001</v>
      </c>
      <c r="AQ5263">
        <v>-44.977640999999998</v>
      </c>
      <c r="AR5263">
        <v>32.23754556505741</v>
      </c>
      <c r="AS5263" t="s">
        <v>65</v>
      </c>
      <c r="AT5263">
        <v>1</v>
      </c>
      <c r="AU5263" t="s">
        <v>739</v>
      </c>
      <c r="AV5263" t="s">
        <v>740</v>
      </c>
      <c r="AW5263" t="s">
        <v>60</v>
      </c>
      <c r="AX5263" t="s">
        <v>68</v>
      </c>
      <c r="AY5263" t="s">
        <v>69</v>
      </c>
      <c r="AZ5263" t="b">
        <v>1</v>
      </c>
    </row>
    <row r="5264" spans="1:52" x14ac:dyDescent="0.3">
      <c r="A5264" t="s">
        <v>52</v>
      </c>
      <c r="B5264" t="s">
        <v>53</v>
      </c>
      <c r="C5264" t="s">
        <v>54</v>
      </c>
      <c r="D5264" t="s">
        <v>55</v>
      </c>
      <c r="E5264" t="s">
        <v>2278</v>
      </c>
      <c r="F5264" t="s">
        <v>190</v>
      </c>
      <c r="G5264" t="s">
        <v>734</v>
      </c>
      <c r="H5264" t="s">
        <v>1068</v>
      </c>
      <c r="I5264" t="s">
        <v>1068</v>
      </c>
      <c r="J5264" t="s">
        <v>60</v>
      </c>
      <c r="K5264" t="s">
        <v>736</v>
      </c>
      <c r="L5264" t="s">
        <v>62</v>
      </c>
      <c r="M5264" t="s">
        <v>736</v>
      </c>
      <c r="N5264" t="s">
        <v>1069</v>
      </c>
      <c r="O5264" t="s">
        <v>1070</v>
      </c>
      <c r="P5264">
        <v>-20.110289999999999</v>
      </c>
      <c r="Q5264">
        <v>-44.981574000000002</v>
      </c>
      <c r="R5264" s="2" t="str">
        <f>HYPERLINK("https://www.google.com/maps?q=-20.1102900,-44.9815740","Abrir no Google Maps")</f>
        <v>Abrir no Google Maps</v>
      </c>
      <c r="S5264">
        <v>3</v>
      </c>
      <c r="T5264">
        <v>1081.8012210194311</v>
      </c>
      <c r="U5264">
        <v>3</v>
      </c>
      <c r="V5264">
        <v>0.85785322359396432</v>
      </c>
      <c r="W5264">
        <v>1</v>
      </c>
      <c r="X5264">
        <v>0.85785322359396432</v>
      </c>
      <c r="Y5264">
        <v>385</v>
      </c>
      <c r="Z5264">
        <v>1009.915869278438</v>
      </c>
      <c r="AA5264">
        <v>198</v>
      </c>
      <c r="AB5264">
        <v>332</v>
      </c>
      <c r="AC5264">
        <v>536</v>
      </c>
      <c r="AD5264">
        <v>28.15</v>
      </c>
      <c r="AE5264">
        <v>542</v>
      </c>
      <c r="AF5264">
        <v>21</v>
      </c>
      <c r="AG5264">
        <v>176</v>
      </c>
      <c r="AH5264">
        <v>129</v>
      </c>
      <c r="AI5264">
        <v>3.87</v>
      </c>
      <c r="AJ5264">
        <v>32.47</v>
      </c>
      <c r="AK5264">
        <v>23.8</v>
      </c>
      <c r="AL5264">
        <v>-20.110281699999941</v>
      </c>
      <c r="AM5264">
        <v>-44.98144213076452</v>
      </c>
      <c r="AN5264">
        <v>-20.110281699999941</v>
      </c>
      <c r="AO5264">
        <v>-44.98144213076452</v>
      </c>
      <c r="AP5264">
        <v>-20.110289999999999</v>
      </c>
      <c r="AQ5264">
        <v>-44.981574000000002</v>
      </c>
      <c r="AR5264">
        <v>13.815631287504781</v>
      </c>
      <c r="AS5264" t="s">
        <v>65</v>
      </c>
      <c r="AT5264">
        <v>1</v>
      </c>
      <c r="AU5264" t="s">
        <v>1071</v>
      </c>
      <c r="AV5264" t="s">
        <v>1072</v>
      </c>
      <c r="AW5264" t="s">
        <v>60</v>
      </c>
      <c r="AX5264" t="s">
        <v>68</v>
      </c>
      <c r="AY5264" t="s">
        <v>69</v>
      </c>
      <c r="AZ5264" t="b">
        <v>1</v>
      </c>
    </row>
    <row r="5265" spans="1:52" x14ac:dyDescent="0.3">
      <c r="A5265" t="s">
        <v>52</v>
      </c>
      <c r="B5265" t="s">
        <v>53</v>
      </c>
      <c r="C5265" t="s">
        <v>54</v>
      </c>
      <c r="D5265" t="s">
        <v>55</v>
      </c>
      <c r="E5265" t="s">
        <v>2278</v>
      </c>
      <c r="F5265" t="s">
        <v>190</v>
      </c>
      <c r="G5265" t="s">
        <v>1009</v>
      </c>
      <c r="H5265" t="s">
        <v>1073</v>
      </c>
      <c r="I5265" t="s">
        <v>1073</v>
      </c>
      <c r="J5265" t="s">
        <v>60</v>
      </c>
      <c r="K5265" t="s">
        <v>805</v>
      </c>
      <c r="L5265" t="s">
        <v>62</v>
      </c>
      <c r="M5265" t="s">
        <v>805</v>
      </c>
      <c r="N5265" t="s">
        <v>1011</v>
      </c>
      <c r="O5265" t="s">
        <v>1074</v>
      </c>
      <c r="P5265">
        <v>-20.137049000000001</v>
      </c>
      <c r="Q5265">
        <v>-44.885832000000001</v>
      </c>
      <c r="R5265" s="2" t="str">
        <f>HYPERLINK("https://www.google.com/maps?q=-20.1370490,-44.8858320","Abrir no Google Maps")</f>
        <v>Abrir no Google Maps</v>
      </c>
      <c r="S5265">
        <v>3</v>
      </c>
      <c r="T5265">
        <v>255.2207994789398</v>
      </c>
      <c r="U5265">
        <v>3</v>
      </c>
      <c r="V5265">
        <v>0.97202797202797198</v>
      </c>
      <c r="W5265">
        <v>0.85</v>
      </c>
      <c r="X5265">
        <v>0.82622377622377619</v>
      </c>
      <c r="Y5265">
        <v>350</v>
      </c>
      <c r="Z5265">
        <v>122.85075315998721</v>
      </c>
      <c r="AA5265">
        <v>198</v>
      </c>
      <c r="AB5265">
        <v>332</v>
      </c>
      <c r="AC5265">
        <v>536</v>
      </c>
      <c r="AD5265">
        <v>28.15</v>
      </c>
      <c r="AE5265">
        <v>542</v>
      </c>
      <c r="AF5265">
        <v>21</v>
      </c>
      <c r="AG5265">
        <v>176</v>
      </c>
      <c r="AH5265">
        <v>129</v>
      </c>
      <c r="AI5265">
        <v>3.87</v>
      </c>
      <c r="AJ5265">
        <v>32.47</v>
      </c>
      <c r="AK5265">
        <v>23.8</v>
      </c>
      <c r="AL5265">
        <v>-20.136876799999978</v>
      </c>
      <c r="AM5265">
        <v>-44.885908665033703</v>
      </c>
      <c r="AN5265">
        <v>-20.136876799999989</v>
      </c>
      <c r="AO5265">
        <v>-44.885908665033703</v>
      </c>
      <c r="AP5265">
        <v>-20.137049000000001</v>
      </c>
      <c r="AQ5265">
        <v>-44.885832000000001</v>
      </c>
      <c r="AR5265">
        <v>20.776552041735069</v>
      </c>
      <c r="AS5265" t="s">
        <v>65</v>
      </c>
      <c r="AT5265">
        <v>1</v>
      </c>
      <c r="AU5265" t="s">
        <v>1075</v>
      </c>
      <c r="AV5265" t="s">
        <v>1076</v>
      </c>
      <c r="AW5265" t="s">
        <v>60</v>
      </c>
      <c r="AX5265" t="s">
        <v>68</v>
      </c>
      <c r="AY5265" t="s">
        <v>69</v>
      </c>
      <c r="AZ5265" t="b">
        <v>1</v>
      </c>
    </row>
    <row r="5266" spans="1:52" x14ac:dyDescent="0.3">
      <c r="A5266" t="s">
        <v>52</v>
      </c>
      <c r="B5266" t="s">
        <v>53</v>
      </c>
      <c r="C5266" t="s">
        <v>54</v>
      </c>
      <c r="D5266" t="s">
        <v>55</v>
      </c>
      <c r="E5266" t="s">
        <v>2278</v>
      </c>
      <c r="F5266" t="s">
        <v>190</v>
      </c>
      <c r="G5266" t="s">
        <v>1077</v>
      </c>
      <c r="H5266" t="s">
        <v>1078</v>
      </c>
      <c r="I5266" t="s">
        <v>1078</v>
      </c>
      <c r="J5266" t="s">
        <v>60</v>
      </c>
      <c r="K5266" t="s">
        <v>761</v>
      </c>
      <c r="L5266" t="s">
        <v>62</v>
      </c>
      <c r="M5266" t="s">
        <v>761</v>
      </c>
      <c r="N5266" t="s">
        <v>1079</v>
      </c>
      <c r="O5266" t="s">
        <v>1080</v>
      </c>
      <c r="P5266">
        <v>-20.119579999999999</v>
      </c>
      <c r="Q5266">
        <v>-44.855030999999997</v>
      </c>
      <c r="R5266" s="2" t="str">
        <f>HYPERLINK("https://www.google.com/maps?q=-20.1195800,-44.8550310","Abrir no Google Maps")</f>
        <v>Abrir no Google Maps</v>
      </c>
      <c r="S5266">
        <v>3</v>
      </c>
      <c r="T5266">
        <v>800.32085104254202</v>
      </c>
      <c r="U5266">
        <v>3</v>
      </c>
      <c r="V5266">
        <v>0.8421052631578948</v>
      </c>
      <c r="W5266">
        <v>1</v>
      </c>
      <c r="X5266">
        <v>0.8421052631578948</v>
      </c>
      <c r="Y5266">
        <v>350</v>
      </c>
      <c r="Z5266">
        <v>431.56201899267722</v>
      </c>
      <c r="AA5266">
        <v>198</v>
      </c>
      <c r="AB5266">
        <v>332</v>
      </c>
      <c r="AC5266">
        <v>536</v>
      </c>
      <c r="AD5266">
        <v>28.15</v>
      </c>
      <c r="AE5266">
        <v>542</v>
      </c>
      <c r="AF5266">
        <v>21</v>
      </c>
      <c r="AG5266">
        <v>176</v>
      </c>
      <c r="AH5266">
        <v>129</v>
      </c>
      <c r="AI5266">
        <v>3.87</v>
      </c>
      <c r="AJ5266">
        <v>32.47</v>
      </c>
      <c r="AK5266">
        <v>23.8</v>
      </c>
      <c r="AL5266">
        <v>-20.119806999999948</v>
      </c>
      <c r="AM5266">
        <v>-44.855901548391778</v>
      </c>
      <c r="AN5266">
        <v>-20.119806999999948</v>
      </c>
      <c r="AO5266">
        <v>-44.855901548391778</v>
      </c>
      <c r="AP5266">
        <v>-20.119579999999999</v>
      </c>
      <c r="AQ5266">
        <v>-44.855030999999997</v>
      </c>
      <c r="AR5266">
        <v>94.439141250965164</v>
      </c>
      <c r="AS5266" t="s">
        <v>65</v>
      </c>
      <c r="AT5266">
        <v>1</v>
      </c>
      <c r="AU5266" t="s">
        <v>1081</v>
      </c>
      <c r="AV5266" t="s">
        <v>1082</v>
      </c>
      <c r="AW5266" t="s">
        <v>60</v>
      </c>
      <c r="AX5266" t="s">
        <v>68</v>
      </c>
      <c r="AY5266" t="s">
        <v>69</v>
      </c>
      <c r="AZ5266" t="b">
        <v>1</v>
      </c>
    </row>
    <row r="5267" spans="1:52" x14ac:dyDescent="0.3">
      <c r="A5267" t="s">
        <v>52</v>
      </c>
      <c r="B5267" t="s">
        <v>53</v>
      </c>
      <c r="C5267" t="s">
        <v>54</v>
      </c>
      <c r="D5267" t="s">
        <v>55</v>
      </c>
      <c r="E5267" t="s">
        <v>2278</v>
      </c>
      <c r="F5267" t="s">
        <v>190</v>
      </c>
      <c r="G5267" t="s">
        <v>1083</v>
      </c>
      <c r="H5267" t="s">
        <v>1084</v>
      </c>
      <c r="I5267" t="s">
        <v>1084</v>
      </c>
      <c r="J5267" t="s">
        <v>60</v>
      </c>
      <c r="K5267" t="s">
        <v>761</v>
      </c>
      <c r="L5267" t="s">
        <v>62</v>
      </c>
      <c r="M5267" t="s">
        <v>761</v>
      </c>
      <c r="N5267" t="s">
        <v>1085</v>
      </c>
      <c r="O5267" t="s">
        <v>1086</v>
      </c>
      <c r="P5267">
        <v>-20.124312</v>
      </c>
      <c r="Q5267">
        <v>-44.850425000000001</v>
      </c>
      <c r="R5267" s="2" t="str">
        <f>HYPERLINK("https://www.google.com/maps?q=-20.1243120,-44.8504250","Abrir no Google Maps")</f>
        <v>Abrir no Google Maps</v>
      </c>
      <c r="S5267">
        <v>3</v>
      </c>
      <c r="T5267">
        <v>0</v>
      </c>
      <c r="U5267">
        <v>3</v>
      </c>
      <c r="V5267">
        <v>0.86469221835075505</v>
      </c>
      <c r="W5267">
        <v>1</v>
      </c>
      <c r="X5267">
        <v>0.86469221835075505</v>
      </c>
      <c r="Y5267">
        <v>350</v>
      </c>
      <c r="Z5267">
        <v>380.24040721202471</v>
      </c>
      <c r="AA5267">
        <v>198</v>
      </c>
      <c r="AB5267">
        <v>332</v>
      </c>
      <c r="AC5267">
        <v>536</v>
      </c>
      <c r="AD5267">
        <v>28.15</v>
      </c>
      <c r="AE5267">
        <v>542</v>
      </c>
      <c r="AF5267">
        <v>21</v>
      </c>
      <c r="AG5267">
        <v>176</v>
      </c>
      <c r="AH5267">
        <v>129</v>
      </c>
      <c r="AI5267">
        <v>3.87</v>
      </c>
      <c r="AJ5267">
        <v>32.47</v>
      </c>
      <c r="AK5267">
        <v>23.8</v>
      </c>
      <c r="AL5267">
        <v>-20.126267499999951</v>
      </c>
      <c r="AM5267">
        <v>-44.852460192840908</v>
      </c>
      <c r="AN5267">
        <v>-20.126267499999951</v>
      </c>
      <c r="AO5267">
        <v>-44.852460192840908</v>
      </c>
      <c r="AP5267">
        <v>-20.124312</v>
      </c>
      <c r="AQ5267">
        <v>-44.850425000000001</v>
      </c>
      <c r="AR5267">
        <v>304.36574074135672</v>
      </c>
      <c r="AS5267" t="s">
        <v>65</v>
      </c>
      <c r="AT5267">
        <v>1</v>
      </c>
      <c r="AU5267" t="s">
        <v>1087</v>
      </c>
      <c r="AV5267" t="s">
        <v>1088</v>
      </c>
      <c r="AW5267" t="s">
        <v>60</v>
      </c>
      <c r="AX5267" t="s">
        <v>68</v>
      </c>
      <c r="AY5267" t="s">
        <v>69</v>
      </c>
      <c r="AZ5267" t="b">
        <v>1</v>
      </c>
    </row>
    <row r="5268" spans="1:52" x14ac:dyDescent="0.3">
      <c r="A5268" t="s">
        <v>52</v>
      </c>
      <c r="B5268" t="s">
        <v>53</v>
      </c>
      <c r="C5268" t="s">
        <v>54</v>
      </c>
      <c r="D5268" t="s">
        <v>55</v>
      </c>
      <c r="E5268" t="s">
        <v>2278</v>
      </c>
      <c r="F5268" t="s">
        <v>190</v>
      </c>
      <c r="G5268" t="s">
        <v>1089</v>
      </c>
      <c r="H5268" t="s">
        <v>1090</v>
      </c>
      <c r="I5268" t="s">
        <v>1090</v>
      </c>
      <c r="J5268" t="s">
        <v>60</v>
      </c>
      <c r="K5268" t="s">
        <v>761</v>
      </c>
      <c r="L5268" t="s">
        <v>62</v>
      </c>
      <c r="M5268" t="s">
        <v>761</v>
      </c>
      <c r="N5268" t="s">
        <v>1091</v>
      </c>
      <c r="O5268" t="s">
        <v>86</v>
      </c>
      <c r="P5268">
        <v>-20.116182999999999</v>
      </c>
      <c r="Q5268">
        <v>-44.850524</v>
      </c>
      <c r="R5268" s="2" t="str">
        <f>HYPERLINK("https://www.google.com/maps?q=-20.1161830,-44.8505240","Abrir no Google Maps")</f>
        <v>Abrir no Google Maps</v>
      </c>
      <c r="S5268">
        <v>3</v>
      </c>
      <c r="T5268">
        <v>1142.6607426309961</v>
      </c>
      <c r="U5268">
        <v>3</v>
      </c>
      <c r="V5268">
        <v>0.87384259259259267</v>
      </c>
      <c r="W5268">
        <v>1</v>
      </c>
      <c r="X5268">
        <v>0.87384259259259267</v>
      </c>
      <c r="Y5268">
        <v>350</v>
      </c>
      <c r="Z5268">
        <v>723.44841640590141</v>
      </c>
      <c r="AA5268">
        <v>198</v>
      </c>
      <c r="AB5268">
        <v>332</v>
      </c>
      <c r="AC5268">
        <v>536</v>
      </c>
      <c r="AD5268">
        <v>28.15</v>
      </c>
      <c r="AE5268">
        <v>542</v>
      </c>
      <c r="AF5268">
        <v>21</v>
      </c>
      <c r="AG5268">
        <v>176</v>
      </c>
      <c r="AH5268">
        <v>129</v>
      </c>
      <c r="AI5268">
        <v>3.87</v>
      </c>
      <c r="AJ5268">
        <v>32.47</v>
      </c>
      <c r="AK5268">
        <v>23.8</v>
      </c>
      <c r="AL5268">
        <v>-20.11605684999995</v>
      </c>
      <c r="AM5268">
        <v>-44.850832861808193</v>
      </c>
      <c r="AN5268">
        <v>-20.11605684999995</v>
      </c>
      <c r="AO5268">
        <v>-44.850832861808193</v>
      </c>
      <c r="AP5268">
        <v>-20.116182999999999</v>
      </c>
      <c r="AQ5268">
        <v>-44.850524</v>
      </c>
      <c r="AR5268">
        <v>35.207009729928053</v>
      </c>
      <c r="AS5268" t="s">
        <v>65</v>
      </c>
      <c r="AT5268">
        <v>1</v>
      </c>
      <c r="AU5268" t="s">
        <v>1092</v>
      </c>
      <c r="AV5268" t="s">
        <v>1093</v>
      </c>
      <c r="AW5268" t="s">
        <v>60</v>
      </c>
      <c r="AX5268" t="s">
        <v>68</v>
      </c>
      <c r="AY5268" t="s">
        <v>69</v>
      </c>
      <c r="AZ5268" t="b">
        <v>1</v>
      </c>
    </row>
    <row r="5269" spans="1:52" x14ac:dyDescent="0.3">
      <c r="A5269" t="s">
        <v>52</v>
      </c>
      <c r="B5269" t="s">
        <v>53</v>
      </c>
      <c r="C5269" t="s">
        <v>54</v>
      </c>
      <c r="D5269" t="s">
        <v>55</v>
      </c>
      <c r="E5269" t="s">
        <v>2278</v>
      </c>
      <c r="F5269" t="s">
        <v>190</v>
      </c>
      <c r="G5269" t="s">
        <v>1094</v>
      </c>
      <c r="H5269" t="s">
        <v>1095</v>
      </c>
      <c r="I5269" t="s">
        <v>1095</v>
      </c>
      <c r="J5269" t="s">
        <v>60</v>
      </c>
      <c r="K5269" t="s">
        <v>761</v>
      </c>
      <c r="L5269" t="s">
        <v>62</v>
      </c>
      <c r="M5269" t="s">
        <v>761</v>
      </c>
      <c r="N5269" t="s">
        <v>1096</v>
      </c>
      <c r="O5269" t="s">
        <v>1070</v>
      </c>
      <c r="P5269">
        <v>-20.122955999999999</v>
      </c>
      <c r="Q5269">
        <v>-44.847842</v>
      </c>
      <c r="R5269" s="2" t="str">
        <f>HYPERLINK("https://www.google.com/maps?q=-20.1229560,-44.8478420","Abrir no Google Maps")</f>
        <v>Abrir no Google Maps</v>
      </c>
      <c r="S5269">
        <v>3</v>
      </c>
      <c r="T5269">
        <v>611.23533866709147</v>
      </c>
      <c r="U5269">
        <v>3</v>
      </c>
      <c r="V5269">
        <v>0.87559808612440193</v>
      </c>
      <c r="W5269">
        <v>1</v>
      </c>
      <c r="X5269">
        <v>0.87559808612440193</v>
      </c>
      <c r="Y5269">
        <v>350</v>
      </c>
      <c r="Z5269">
        <v>567.3129443637539</v>
      </c>
      <c r="AA5269">
        <v>198</v>
      </c>
      <c r="AB5269">
        <v>332</v>
      </c>
      <c r="AC5269">
        <v>536</v>
      </c>
      <c r="AD5269">
        <v>28.15</v>
      </c>
      <c r="AE5269">
        <v>542</v>
      </c>
      <c r="AF5269">
        <v>21</v>
      </c>
      <c r="AG5269">
        <v>176</v>
      </c>
      <c r="AH5269">
        <v>129</v>
      </c>
      <c r="AI5269">
        <v>3.87</v>
      </c>
      <c r="AJ5269">
        <v>32.47</v>
      </c>
      <c r="AK5269">
        <v>23.8</v>
      </c>
      <c r="AL5269">
        <v>-20.122854299999972</v>
      </c>
      <c r="AM5269">
        <v>-44.847862495675152</v>
      </c>
      <c r="AN5269">
        <v>-20.122854299999972</v>
      </c>
      <c r="AO5269">
        <v>-44.847862495675152</v>
      </c>
      <c r="AP5269">
        <v>-20.122955999999999</v>
      </c>
      <c r="AQ5269">
        <v>-44.847842</v>
      </c>
      <c r="AR5269">
        <v>11.522154044835331</v>
      </c>
      <c r="AS5269" t="s">
        <v>65</v>
      </c>
      <c r="AT5269">
        <v>1</v>
      </c>
      <c r="AU5269" t="s">
        <v>1097</v>
      </c>
      <c r="AV5269" t="s">
        <v>1098</v>
      </c>
      <c r="AW5269" t="s">
        <v>60</v>
      </c>
      <c r="AX5269" t="s">
        <v>68</v>
      </c>
      <c r="AY5269" t="s">
        <v>69</v>
      </c>
      <c r="AZ5269" t="b">
        <v>1</v>
      </c>
    </row>
    <row r="5270" spans="1:52" x14ac:dyDescent="0.3">
      <c r="A5270" t="s">
        <v>52</v>
      </c>
      <c r="B5270" t="s">
        <v>53</v>
      </c>
      <c r="C5270" t="s">
        <v>54</v>
      </c>
      <c r="D5270" t="s">
        <v>55</v>
      </c>
      <c r="E5270" t="s">
        <v>2278</v>
      </c>
      <c r="F5270" t="s">
        <v>190</v>
      </c>
      <c r="G5270" t="s">
        <v>1121</v>
      </c>
      <c r="H5270" t="s">
        <v>1122</v>
      </c>
      <c r="I5270" t="s">
        <v>1122</v>
      </c>
      <c r="J5270" t="s">
        <v>60</v>
      </c>
      <c r="K5270" t="s">
        <v>1123</v>
      </c>
      <c r="L5270" t="s">
        <v>62</v>
      </c>
      <c r="M5270" t="s">
        <v>1123</v>
      </c>
      <c r="N5270" t="s">
        <v>1124</v>
      </c>
      <c r="O5270" t="s">
        <v>74</v>
      </c>
      <c r="P5270">
        <v>-20.105318</v>
      </c>
      <c r="Q5270">
        <v>-44.879216</v>
      </c>
      <c r="R5270" s="2" t="str">
        <f>HYPERLINK("https://www.google.com/maps?q=-20.1053180,-44.8792160","Abrir no Google Maps")</f>
        <v>Abrir no Google Maps</v>
      </c>
      <c r="S5270">
        <v>3</v>
      </c>
      <c r="T5270">
        <v>318.57668516180911</v>
      </c>
      <c r="U5270">
        <v>3</v>
      </c>
      <c r="V5270">
        <v>0.88054435483870974</v>
      </c>
      <c r="W5270">
        <v>1</v>
      </c>
      <c r="X5270">
        <v>0.88054435483870974</v>
      </c>
      <c r="Y5270">
        <v>314</v>
      </c>
      <c r="Z5270">
        <v>207.50829098881519</v>
      </c>
      <c r="AA5270">
        <v>198</v>
      </c>
      <c r="AB5270">
        <v>332</v>
      </c>
      <c r="AC5270">
        <v>536</v>
      </c>
      <c r="AD5270">
        <v>28.15</v>
      </c>
      <c r="AE5270">
        <v>542</v>
      </c>
      <c r="AF5270">
        <v>21</v>
      </c>
      <c r="AG5270">
        <v>176</v>
      </c>
      <c r="AH5270">
        <v>129</v>
      </c>
      <c r="AI5270">
        <v>3.87</v>
      </c>
      <c r="AJ5270">
        <v>32.47</v>
      </c>
      <c r="AK5270">
        <v>23.8</v>
      </c>
      <c r="AL5270">
        <v>-20.105361049999939</v>
      </c>
      <c r="AM5270">
        <v>-44.87924613740698</v>
      </c>
      <c r="AN5270">
        <v>-20.105361049999939</v>
      </c>
      <c r="AO5270">
        <v>-44.87924613740698</v>
      </c>
      <c r="AP5270">
        <v>-20.105318</v>
      </c>
      <c r="AQ5270">
        <v>-44.879216</v>
      </c>
      <c r="AR5270">
        <v>5.7351338374851242</v>
      </c>
      <c r="AS5270" t="s">
        <v>65</v>
      </c>
      <c r="AT5270">
        <v>1</v>
      </c>
      <c r="AU5270" t="s">
        <v>1125</v>
      </c>
      <c r="AV5270" t="s">
        <v>1126</v>
      </c>
      <c r="AW5270" t="s">
        <v>60</v>
      </c>
      <c r="AX5270" t="s">
        <v>68</v>
      </c>
      <c r="AY5270" t="s">
        <v>69</v>
      </c>
      <c r="AZ5270" t="b">
        <v>1</v>
      </c>
    </row>
    <row r="5271" spans="1:52" x14ac:dyDescent="0.3">
      <c r="A5271" t="s">
        <v>52</v>
      </c>
      <c r="B5271" t="s">
        <v>53</v>
      </c>
      <c r="C5271" t="s">
        <v>54</v>
      </c>
      <c r="D5271" t="s">
        <v>55</v>
      </c>
      <c r="E5271" t="s">
        <v>2278</v>
      </c>
      <c r="F5271" t="s">
        <v>190</v>
      </c>
      <c r="G5271" t="s">
        <v>1127</v>
      </c>
      <c r="H5271" t="s">
        <v>1128</v>
      </c>
      <c r="I5271" t="s">
        <v>1128</v>
      </c>
      <c r="J5271" t="s">
        <v>60</v>
      </c>
      <c r="K5271" t="s">
        <v>1129</v>
      </c>
      <c r="L5271" t="s">
        <v>62</v>
      </c>
      <c r="M5271" t="s">
        <v>1129</v>
      </c>
      <c r="N5271" t="s">
        <v>1130</v>
      </c>
      <c r="O5271" t="s">
        <v>357</v>
      </c>
      <c r="P5271">
        <v>-20.106638</v>
      </c>
      <c r="Q5271">
        <v>-44.883538000000001</v>
      </c>
      <c r="R5271" s="2" t="str">
        <f>HYPERLINK("https://www.google.com/maps?q=-20.1066380,-44.8835380","Abrir no Google Maps")</f>
        <v>Abrir no Google Maps</v>
      </c>
      <c r="S5271">
        <v>3</v>
      </c>
      <c r="T5271">
        <v>754.03514396665969</v>
      </c>
      <c r="U5271">
        <v>3</v>
      </c>
      <c r="V5271">
        <v>0.875</v>
      </c>
      <c r="W5271">
        <v>1</v>
      </c>
      <c r="X5271">
        <v>0.875</v>
      </c>
      <c r="Y5271">
        <v>314</v>
      </c>
      <c r="Z5271">
        <v>584.1161650721092</v>
      </c>
      <c r="AA5271">
        <v>198</v>
      </c>
      <c r="AB5271">
        <v>332</v>
      </c>
      <c r="AC5271">
        <v>536</v>
      </c>
      <c r="AD5271">
        <v>28.15</v>
      </c>
      <c r="AE5271">
        <v>542</v>
      </c>
      <c r="AF5271">
        <v>21</v>
      </c>
      <c r="AG5271">
        <v>176</v>
      </c>
      <c r="AH5271">
        <v>129</v>
      </c>
      <c r="AI5271">
        <v>3.87</v>
      </c>
      <c r="AJ5271">
        <v>32.47</v>
      </c>
      <c r="AK5271">
        <v>23.8</v>
      </c>
      <c r="AL5271">
        <v>-20.106599599999949</v>
      </c>
      <c r="AM5271">
        <v>-44.883527947279568</v>
      </c>
      <c r="AN5271">
        <v>-20.106599599999949</v>
      </c>
      <c r="AO5271">
        <v>-44.883527947279568</v>
      </c>
      <c r="AP5271">
        <v>-20.106638</v>
      </c>
      <c r="AQ5271">
        <v>-44.883538000000001</v>
      </c>
      <c r="AR5271">
        <v>4.4019630384815924</v>
      </c>
      <c r="AS5271" t="s">
        <v>65</v>
      </c>
      <c r="AT5271">
        <v>1</v>
      </c>
      <c r="AU5271" t="s">
        <v>1131</v>
      </c>
      <c r="AV5271" t="s">
        <v>1132</v>
      </c>
      <c r="AW5271" t="s">
        <v>60</v>
      </c>
      <c r="AX5271" t="s">
        <v>68</v>
      </c>
      <c r="AY5271" t="s">
        <v>69</v>
      </c>
      <c r="AZ5271" t="b">
        <v>1</v>
      </c>
    </row>
    <row r="5272" spans="1:52" x14ac:dyDescent="0.3">
      <c r="A5272" t="s">
        <v>52</v>
      </c>
      <c r="B5272" t="s">
        <v>53</v>
      </c>
      <c r="C5272" t="s">
        <v>54</v>
      </c>
      <c r="D5272" t="s">
        <v>55</v>
      </c>
      <c r="E5272" t="s">
        <v>2278</v>
      </c>
      <c r="F5272" t="s">
        <v>190</v>
      </c>
      <c r="G5272" t="s">
        <v>1133</v>
      </c>
      <c r="H5272" t="s">
        <v>1134</v>
      </c>
      <c r="I5272" t="s">
        <v>1134</v>
      </c>
      <c r="J5272" t="s">
        <v>60</v>
      </c>
      <c r="K5272" t="s">
        <v>1123</v>
      </c>
      <c r="L5272" t="s">
        <v>62</v>
      </c>
      <c r="M5272" t="s">
        <v>1123</v>
      </c>
      <c r="N5272" t="s">
        <v>1135</v>
      </c>
      <c r="O5272" t="s">
        <v>138</v>
      </c>
      <c r="P5272">
        <v>-20.106113000000001</v>
      </c>
      <c r="Q5272">
        <v>-44.876035999999999</v>
      </c>
      <c r="R5272" s="2" t="str">
        <f>HYPERLINK("https://www.google.com/maps?q=-20.1061130,-44.8760360","Abrir no Google Maps")</f>
        <v>Abrir no Google Maps</v>
      </c>
      <c r="S5272">
        <v>3</v>
      </c>
      <c r="T5272">
        <v>0</v>
      </c>
      <c r="U5272">
        <v>3</v>
      </c>
      <c r="V5272">
        <v>0.88000801282051277</v>
      </c>
      <c r="W5272">
        <v>1</v>
      </c>
      <c r="X5272">
        <v>0.88000801282051277</v>
      </c>
      <c r="Y5272">
        <v>314</v>
      </c>
      <c r="Z5272">
        <v>98.504848991092999</v>
      </c>
      <c r="AA5272">
        <v>198</v>
      </c>
      <c r="AB5272">
        <v>332</v>
      </c>
      <c r="AC5272">
        <v>536</v>
      </c>
      <c r="AD5272">
        <v>28.15</v>
      </c>
      <c r="AE5272">
        <v>542</v>
      </c>
      <c r="AF5272">
        <v>21</v>
      </c>
      <c r="AG5272">
        <v>176</v>
      </c>
      <c r="AH5272">
        <v>129</v>
      </c>
      <c r="AI5272">
        <v>3.87</v>
      </c>
      <c r="AJ5272">
        <v>32.47</v>
      </c>
      <c r="AK5272">
        <v>23.8</v>
      </c>
      <c r="AL5272">
        <v>-20.106190249999941</v>
      </c>
      <c r="AM5272">
        <v>-44.876327742253288</v>
      </c>
      <c r="AN5272">
        <v>-20.106190249999941</v>
      </c>
      <c r="AO5272">
        <v>-44.876327742253288</v>
      </c>
      <c r="AP5272">
        <v>-20.106113000000001</v>
      </c>
      <c r="AQ5272">
        <v>-44.876035999999999</v>
      </c>
      <c r="AR5272">
        <v>31.686742853465731</v>
      </c>
      <c r="AS5272" t="s">
        <v>65</v>
      </c>
      <c r="AT5272">
        <v>1</v>
      </c>
      <c r="AU5272" t="s">
        <v>1136</v>
      </c>
      <c r="AV5272" t="s">
        <v>1137</v>
      </c>
      <c r="AW5272" t="s">
        <v>60</v>
      </c>
      <c r="AX5272" t="s">
        <v>68</v>
      </c>
      <c r="AY5272" t="s">
        <v>69</v>
      </c>
      <c r="AZ5272" t="b">
        <v>1</v>
      </c>
    </row>
    <row r="5273" spans="1:52" x14ac:dyDescent="0.3">
      <c r="A5273" t="s">
        <v>52</v>
      </c>
      <c r="B5273" t="s">
        <v>53</v>
      </c>
      <c r="C5273" t="s">
        <v>54</v>
      </c>
      <c r="D5273" t="s">
        <v>55</v>
      </c>
      <c r="E5273" t="s">
        <v>2278</v>
      </c>
      <c r="F5273" t="s">
        <v>190</v>
      </c>
      <c r="G5273" t="s">
        <v>1138</v>
      </c>
      <c r="H5273" t="s">
        <v>1139</v>
      </c>
      <c r="I5273" t="s">
        <v>1139</v>
      </c>
      <c r="J5273" t="s">
        <v>60</v>
      </c>
      <c r="K5273" t="s">
        <v>1140</v>
      </c>
      <c r="L5273" t="s">
        <v>62</v>
      </c>
      <c r="M5273" t="s">
        <v>1140</v>
      </c>
      <c r="N5273" t="s">
        <v>1141</v>
      </c>
      <c r="O5273" t="s">
        <v>293</v>
      </c>
      <c r="P5273">
        <v>-20.103041999999999</v>
      </c>
      <c r="Q5273">
        <v>-44.882694999999998</v>
      </c>
      <c r="R5273" s="2" t="str">
        <f>HYPERLINK("https://www.google.com/maps?q=-20.1030420,-44.8826950","Abrir no Google Maps")</f>
        <v>Abrir no Google Maps</v>
      </c>
      <c r="S5273">
        <v>3</v>
      </c>
      <c r="T5273">
        <v>764.07293048598467</v>
      </c>
      <c r="U5273">
        <v>3</v>
      </c>
      <c r="V5273">
        <v>0.87403993855606765</v>
      </c>
      <c r="W5273">
        <v>1</v>
      </c>
      <c r="X5273">
        <v>0.87403993855606765</v>
      </c>
      <c r="Y5273">
        <v>314</v>
      </c>
      <c r="Z5273">
        <v>696.03268335706969</v>
      </c>
      <c r="AA5273">
        <v>198</v>
      </c>
      <c r="AB5273">
        <v>332</v>
      </c>
      <c r="AC5273">
        <v>536</v>
      </c>
      <c r="AD5273">
        <v>28.15</v>
      </c>
      <c r="AE5273">
        <v>542</v>
      </c>
      <c r="AF5273">
        <v>21</v>
      </c>
      <c r="AG5273">
        <v>176</v>
      </c>
      <c r="AH5273">
        <v>129</v>
      </c>
      <c r="AI5273">
        <v>3.87</v>
      </c>
      <c r="AJ5273">
        <v>32.47</v>
      </c>
      <c r="AK5273">
        <v>23.8</v>
      </c>
      <c r="AL5273">
        <v>-20.10298734999995</v>
      </c>
      <c r="AM5273">
        <v>-44.882802925792483</v>
      </c>
      <c r="AN5273">
        <v>-20.10298734999995</v>
      </c>
      <c r="AO5273">
        <v>-44.882802925792483</v>
      </c>
      <c r="AP5273">
        <v>-20.103041999999999</v>
      </c>
      <c r="AQ5273">
        <v>-44.882694999999998</v>
      </c>
      <c r="AR5273">
        <v>12.8180317775525</v>
      </c>
      <c r="AS5273" t="s">
        <v>65</v>
      </c>
      <c r="AT5273">
        <v>1</v>
      </c>
      <c r="AU5273" t="s">
        <v>1142</v>
      </c>
      <c r="AV5273" t="s">
        <v>1143</v>
      </c>
      <c r="AW5273" t="s">
        <v>60</v>
      </c>
      <c r="AX5273" t="s">
        <v>68</v>
      </c>
      <c r="AY5273" t="s">
        <v>69</v>
      </c>
      <c r="AZ5273" t="b">
        <v>1</v>
      </c>
    </row>
    <row r="5274" spans="1:52" x14ac:dyDescent="0.3">
      <c r="A5274" t="s">
        <v>52</v>
      </c>
      <c r="B5274" t="s">
        <v>53</v>
      </c>
      <c r="C5274" t="s">
        <v>54</v>
      </c>
      <c r="D5274" t="s">
        <v>55</v>
      </c>
      <c r="E5274" t="s">
        <v>2278</v>
      </c>
      <c r="F5274" t="s">
        <v>190</v>
      </c>
      <c r="G5274" t="s">
        <v>607</v>
      </c>
      <c r="H5274" t="s">
        <v>786</v>
      </c>
      <c r="I5274" t="s">
        <v>786</v>
      </c>
      <c r="J5274" t="s">
        <v>60</v>
      </c>
      <c r="K5274" t="s">
        <v>609</v>
      </c>
      <c r="L5274" t="s">
        <v>62</v>
      </c>
      <c r="M5274" t="s">
        <v>609</v>
      </c>
      <c r="N5274" t="s">
        <v>610</v>
      </c>
      <c r="O5274" t="s">
        <v>315</v>
      </c>
      <c r="P5274">
        <v>-20.108561999999999</v>
      </c>
      <c r="Q5274">
        <v>-44.883811000000001</v>
      </c>
      <c r="R5274" s="2" t="str">
        <f>HYPERLINK("https://www.google.com/maps?q=-20.1085620,-44.8838110","Abrir no Google Maps")</f>
        <v>Abrir no Google Maps</v>
      </c>
      <c r="S5274">
        <v>3</v>
      </c>
      <c r="T5274">
        <v>875.82813532572072</v>
      </c>
      <c r="U5274">
        <v>3</v>
      </c>
      <c r="V5274">
        <v>0.86676646706586835</v>
      </c>
      <c r="W5274">
        <v>1</v>
      </c>
      <c r="X5274">
        <v>0.86676646706586835</v>
      </c>
      <c r="Y5274">
        <v>314</v>
      </c>
      <c r="Z5274">
        <v>824.504668554717</v>
      </c>
      <c r="AA5274">
        <v>198</v>
      </c>
      <c r="AB5274">
        <v>332</v>
      </c>
      <c r="AC5274">
        <v>536</v>
      </c>
      <c r="AD5274">
        <v>28.15</v>
      </c>
      <c r="AE5274">
        <v>542</v>
      </c>
      <c r="AF5274">
        <v>21</v>
      </c>
      <c r="AG5274">
        <v>176</v>
      </c>
      <c r="AH5274">
        <v>129</v>
      </c>
      <c r="AI5274">
        <v>3.87</v>
      </c>
      <c r="AJ5274">
        <v>32.47</v>
      </c>
      <c r="AK5274">
        <v>23.8</v>
      </c>
      <c r="AL5274">
        <v>-20.108622949999951</v>
      </c>
      <c r="AM5274">
        <v>-44.884300516660261</v>
      </c>
      <c r="AN5274">
        <v>-20.108622949999951</v>
      </c>
      <c r="AO5274">
        <v>-44.884300516660261</v>
      </c>
      <c r="AP5274">
        <v>-20.108561999999999</v>
      </c>
      <c r="AQ5274">
        <v>-44.883811000000001</v>
      </c>
      <c r="AR5274">
        <v>51.619098272465493</v>
      </c>
      <c r="AS5274" t="s">
        <v>65</v>
      </c>
      <c r="AT5274">
        <v>1</v>
      </c>
      <c r="AU5274" t="s">
        <v>787</v>
      </c>
      <c r="AV5274" t="s">
        <v>788</v>
      </c>
      <c r="AW5274" t="s">
        <v>60</v>
      </c>
      <c r="AX5274" t="s">
        <v>68</v>
      </c>
      <c r="AY5274" t="s">
        <v>69</v>
      </c>
      <c r="AZ5274" t="b">
        <v>1</v>
      </c>
    </row>
    <row r="5275" spans="1:52" x14ac:dyDescent="0.3">
      <c r="A5275" t="s">
        <v>52</v>
      </c>
      <c r="B5275" t="s">
        <v>53</v>
      </c>
      <c r="C5275" t="s">
        <v>54</v>
      </c>
      <c r="D5275" t="s">
        <v>55</v>
      </c>
      <c r="E5275" t="s">
        <v>2278</v>
      </c>
      <c r="F5275" t="s">
        <v>190</v>
      </c>
      <c r="G5275" t="s">
        <v>1133</v>
      </c>
      <c r="H5275" t="s">
        <v>1144</v>
      </c>
      <c r="I5275" t="s">
        <v>1144</v>
      </c>
      <c r="J5275" t="s">
        <v>60</v>
      </c>
      <c r="K5275" t="s">
        <v>1123</v>
      </c>
      <c r="L5275" t="s">
        <v>62</v>
      </c>
      <c r="M5275" t="s">
        <v>1123</v>
      </c>
      <c r="N5275" t="s">
        <v>1135</v>
      </c>
      <c r="O5275" t="s">
        <v>907</v>
      </c>
      <c r="P5275">
        <v>-20.100351</v>
      </c>
      <c r="Q5275">
        <v>-44.878037999999997</v>
      </c>
      <c r="R5275" s="2" t="str">
        <f>HYPERLINK("https://www.google.com/maps?q=-20.1003510,-44.8780380","Abrir no Google Maps")</f>
        <v>Abrir no Google Maps</v>
      </c>
      <c r="S5275">
        <v>3</v>
      </c>
      <c r="T5275">
        <v>665.56785712469116</v>
      </c>
      <c r="U5275">
        <v>3</v>
      </c>
      <c r="V5275">
        <v>0.88048780487804879</v>
      </c>
      <c r="W5275">
        <v>1</v>
      </c>
      <c r="X5275">
        <v>0.88048780487804879</v>
      </c>
      <c r="Y5275">
        <v>314</v>
      </c>
      <c r="Z5275">
        <v>584.8532299266725</v>
      </c>
      <c r="AA5275">
        <v>198</v>
      </c>
      <c r="AB5275">
        <v>332</v>
      </c>
      <c r="AC5275">
        <v>536</v>
      </c>
      <c r="AD5275">
        <v>28.15</v>
      </c>
      <c r="AE5275">
        <v>542</v>
      </c>
      <c r="AF5275">
        <v>21</v>
      </c>
      <c r="AG5275">
        <v>176</v>
      </c>
      <c r="AH5275">
        <v>129</v>
      </c>
      <c r="AI5275">
        <v>3.87</v>
      </c>
      <c r="AJ5275">
        <v>32.47</v>
      </c>
      <c r="AK5275">
        <v>23.8</v>
      </c>
      <c r="AL5275">
        <v>-20.100420499999959</v>
      </c>
      <c r="AM5275">
        <v>-44.878125332575927</v>
      </c>
      <c r="AN5275">
        <v>-20.100420499999959</v>
      </c>
      <c r="AO5275">
        <v>-44.878125332575927</v>
      </c>
      <c r="AP5275">
        <v>-20.100351</v>
      </c>
      <c r="AQ5275">
        <v>-44.878037999999997</v>
      </c>
      <c r="AR5275">
        <v>11.966993892024719</v>
      </c>
      <c r="AS5275" t="s">
        <v>65</v>
      </c>
      <c r="AT5275">
        <v>1</v>
      </c>
      <c r="AU5275" t="s">
        <v>1145</v>
      </c>
      <c r="AV5275" t="s">
        <v>1146</v>
      </c>
      <c r="AW5275" t="s">
        <v>60</v>
      </c>
      <c r="AX5275" t="s">
        <v>68</v>
      </c>
      <c r="AY5275" t="s">
        <v>69</v>
      </c>
      <c r="AZ5275" t="b">
        <v>1</v>
      </c>
    </row>
    <row r="5276" spans="1:52" x14ac:dyDescent="0.3">
      <c r="A5276" t="s">
        <v>52</v>
      </c>
      <c r="B5276" t="s">
        <v>53</v>
      </c>
      <c r="C5276" t="s">
        <v>54</v>
      </c>
      <c r="D5276" t="s">
        <v>55</v>
      </c>
      <c r="E5276" t="s">
        <v>2278</v>
      </c>
      <c r="F5276" t="s">
        <v>190</v>
      </c>
      <c r="G5276" t="s">
        <v>789</v>
      </c>
      <c r="H5276" t="s">
        <v>790</v>
      </c>
      <c r="I5276" t="s">
        <v>790</v>
      </c>
      <c r="J5276" t="s">
        <v>60</v>
      </c>
      <c r="K5276" t="s">
        <v>791</v>
      </c>
      <c r="L5276" t="s">
        <v>62</v>
      </c>
      <c r="M5276" t="s">
        <v>791</v>
      </c>
      <c r="N5276" t="s">
        <v>792</v>
      </c>
      <c r="O5276" t="s">
        <v>793</v>
      </c>
      <c r="P5276">
        <v>-20.114263000000001</v>
      </c>
      <c r="Q5276">
        <v>-44.910150000000002</v>
      </c>
      <c r="R5276" s="2" t="str">
        <f>HYPERLINK("https://www.google.com/maps?q=-20.1142630,-44.9101500","Abrir no Google Maps")</f>
        <v>Abrir no Google Maps</v>
      </c>
      <c r="S5276">
        <v>3</v>
      </c>
      <c r="T5276">
        <v>1039.6249825628629</v>
      </c>
      <c r="U5276">
        <v>3</v>
      </c>
      <c r="V5276">
        <v>0.86711045364891515</v>
      </c>
      <c r="W5276">
        <v>1</v>
      </c>
      <c r="X5276">
        <v>0.86711045364891515</v>
      </c>
      <c r="Y5276">
        <v>300</v>
      </c>
      <c r="Z5276">
        <v>1156.8405524690361</v>
      </c>
      <c r="AA5276">
        <v>198</v>
      </c>
      <c r="AB5276">
        <v>332</v>
      </c>
      <c r="AC5276">
        <v>536</v>
      </c>
      <c r="AD5276">
        <v>28.15</v>
      </c>
      <c r="AE5276">
        <v>542</v>
      </c>
      <c r="AF5276">
        <v>21</v>
      </c>
      <c r="AG5276">
        <v>176</v>
      </c>
      <c r="AH5276">
        <v>129</v>
      </c>
      <c r="AI5276">
        <v>3.87</v>
      </c>
      <c r="AJ5276">
        <v>32.47</v>
      </c>
      <c r="AK5276">
        <v>23.8</v>
      </c>
      <c r="AL5276">
        <v>-20.113823899999939</v>
      </c>
      <c r="AM5276">
        <v>-44.910704705968108</v>
      </c>
      <c r="AN5276">
        <v>-20.113823899999939</v>
      </c>
      <c r="AO5276">
        <v>-44.910704705968108</v>
      </c>
      <c r="AP5276">
        <v>-20.114263000000001</v>
      </c>
      <c r="AQ5276">
        <v>-44.910150000000002</v>
      </c>
      <c r="AR5276">
        <v>75.838236800419978</v>
      </c>
      <c r="AS5276" t="s">
        <v>65</v>
      </c>
      <c r="AT5276">
        <v>1</v>
      </c>
      <c r="AU5276" t="s">
        <v>794</v>
      </c>
      <c r="AV5276" t="s">
        <v>795</v>
      </c>
      <c r="AW5276" t="s">
        <v>60</v>
      </c>
      <c r="AX5276" t="s">
        <v>68</v>
      </c>
      <c r="AY5276" t="s">
        <v>69</v>
      </c>
      <c r="AZ5276" t="b">
        <v>1</v>
      </c>
    </row>
    <row r="5277" spans="1:52" x14ac:dyDescent="0.3">
      <c r="A5277" t="s">
        <v>52</v>
      </c>
      <c r="B5277" t="s">
        <v>53</v>
      </c>
      <c r="C5277" t="s">
        <v>54</v>
      </c>
      <c r="D5277" t="s">
        <v>55</v>
      </c>
      <c r="E5277" t="s">
        <v>2278</v>
      </c>
      <c r="F5277" t="s">
        <v>190</v>
      </c>
      <c r="G5277" t="s">
        <v>1147</v>
      </c>
      <c r="H5277" t="s">
        <v>1148</v>
      </c>
      <c r="I5277" t="s">
        <v>1148</v>
      </c>
      <c r="J5277" t="s">
        <v>60</v>
      </c>
      <c r="K5277" t="s">
        <v>798</v>
      </c>
      <c r="L5277" t="s">
        <v>62</v>
      </c>
      <c r="M5277" t="s">
        <v>798</v>
      </c>
      <c r="N5277" t="s">
        <v>1149</v>
      </c>
      <c r="O5277" t="s">
        <v>836</v>
      </c>
      <c r="P5277">
        <v>-20.112448000000001</v>
      </c>
      <c r="Q5277">
        <v>-44.904887000000002</v>
      </c>
      <c r="R5277" s="2" t="str">
        <f>HYPERLINK("https://www.google.com/maps?q=-20.1124480,-44.9048870","Abrir no Google Maps")</f>
        <v>Abrir no Google Maps</v>
      </c>
      <c r="S5277">
        <v>3</v>
      </c>
      <c r="T5277">
        <v>404.16588765758058</v>
      </c>
      <c r="U5277">
        <v>3</v>
      </c>
      <c r="V5277">
        <v>0.88167475728155342</v>
      </c>
      <c r="W5277">
        <v>1</v>
      </c>
      <c r="X5277">
        <v>0.88167475728155342</v>
      </c>
      <c r="Y5277">
        <v>300</v>
      </c>
      <c r="Z5277">
        <v>435.21165957304731</v>
      </c>
      <c r="AA5277">
        <v>198</v>
      </c>
      <c r="AB5277">
        <v>332</v>
      </c>
      <c r="AC5277">
        <v>536</v>
      </c>
      <c r="AD5277">
        <v>28.15</v>
      </c>
      <c r="AE5277">
        <v>542</v>
      </c>
      <c r="AF5277">
        <v>21</v>
      </c>
      <c r="AG5277">
        <v>176</v>
      </c>
      <c r="AH5277">
        <v>129</v>
      </c>
      <c r="AI5277">
        <v>3.87</v>
      </c>
      <c r="AJ5277">
        <v>32.47</v>
      </c>
      <c r="AK5277">
        <v>23.8</v>
      </c>
      <c r="AL5277">
        <v>-20.11243479999996</v>
      </c>
      <c r="AM5277">
        <v>-44.904803228053026</v>
      </c>
      <c r="AN5277">
        <v>-20.11243479999996</v>
      </c>
      <c r="AO5277">
        <v>-44.904803228053026</v>
      </c>
      <c r="AP5277">
        <v>-20.112448000000001</v>
      </c>
      <c r="AQ5277">
        <v>-44.904887000000002</v>
      </c>
      <c r="AR5277">
        <v>8.8792525353759544</v>
      </c>
      <c r="AS5277" t="s">
        <v>65</v>
      </c>
      <c r="AT5277">
        <v>1</v>
      </c>
      <c r="AU5277" t="s">
        <v>1150</v>
      </c>
      <c r="AV5277" t="s">
        <v>1151</v>
      </c>
      <c r="AW5277" t="s">
        <v>60</v>
      </c>
      <c r="AX5277" t="s">
        <v>68</v>
      </c>
      <c r="AY5277" t="s">
        <v>69</v>
      </c>
      <c r="AZ5277" t="b">
        <v>1</v>
      </c>
    </row>
    <row r="5278" spans="1:52" x14ac:dyDescent="0.3">
      <c r="A5278" t="s">
        <v>52</v>
      </c>
      <c r="B5278" t="s">
        <v>53</v>
      </c>
      <c r="C5278" t="s">
        <v>54</v>
      </c>
      <c r="D5278" t="s">
        <v>55</v>
      </c>
      <c r="E5278" t="s">
        <v>2278</v>
      </c>
      <c r="F5278" t="s">
        <v>190</v>
      </c>
      <c r="G5278" t="s">
        <v>1763</v>
      </c>
      <c r="H5278" t="s">
        <v>1764</v>
      </c>
      <c r="I5278" t="s">
        <v>1764</v>
      </c>
      <c r="J5278" t="s">
        <v>60</v>
      </c>
      <c r="K5278" t="s">
        <v>798</v>
      </c>
      <c r="L5278" t="s">
        <v>62</v>
      </c>
      <c r="M5278" t="s">
        <v>798</v>
      </c>
      <c r="N5278" t="s">
        <v>1765</v>
      </c>
      <c r="O5278" t="s">
        <v>1766</v>
      </c>
      <c r="P5278">
        <v>-20.111158</v>
      </c>
      <c r="Q5278">
        <v>-44.901231000000003</v>
      </c>
      <c r="R5278" s="2" t="str">
        <f>HYPERLINK("https://www.google.com/maps?q=-20.1111580,-44.9012310","Abrir no Google Maps")</f>
        <v>Abrir no Google Maps</v>
      </c>
      <c r="S5278">
        <v>3</v>
      </c>
      <c r="T5278">
        <v>0</v>
      </c>
      <c r="U5278">
        <v>3</v>
      </c>
      <c r="V5278">
        <v>0.87538940809968846</v>
      </c>
      <c r="W5278">
        <v>1</v>
      </c>
      <c r="X5278">
        <v>0.87538940809968846</v>
      </c>
      <c r="Y5278">
        <v>300</v>
      </c>
      <c r="Z5278">
        <v>159.5707781627477</v>
      </c>
      <c r="AA5278">
        <v>198</v>
      </c>
      <c r="AB5278">
        <v>332</v>
      </c>
      <c r="AC5278">
        <v>536</v>
      </c>
      <c r="AD5278">
        <v>28.15</v>
      </c>
      <c r="AE5278">
        <v>542</v>
      </c>
      <c r="AF5278">
        <v>21</v>
      </c>
      <c r="AG5278">
        <v>176</v>
      </c>
      <c r="AH5278">
        <v>129</v>
      </c>
      <c r="AI5278">
        <v>3.87</v>
      </c>
      <c r="AJ5278">
        <v>32.47</v>
      </c>
      <c r="AK5278">
        <v>23.8</v>
      </c>
      <c r="AL5278">
        <v>-20.111381299999941</v>
      </c>
      <c r="AM5278">
        <v>-44.90110111260114</v>
      </c>
      <c r="AN5278">
        <v>-20.111381299999941</v>
      </c>
      <c r="AO5278">
        <v>-44.90110111260114</v>
      </c>
      <c r="AP5278">
        <v>-20.111158</v>
      </c>
      <c r="AQ5278">
        <v>-44.901231000000003</v>
      </c>
      <c r="AR5278">
        <v>28.32410367036935</v>
      </c>
      <c r="AS5278" t="s">
        <v>65</v>
      </c>
      <c r="AT5278">
        <v>1</v>
      </c>
      <c r="AU5278" t="s">
        <v>1767</v>
      </c>
      <c r="AV5278" t="s">
        <v>1768</v>
      </c>
      <c r="AW5278" t="s">
        <v>60</v>
      </c>
      <c r="AX5278" t="s">
        <v>68</v>
      </c>
      <c r="AY5278" t="s">
        <v>69</v>
      </c>
      <c r="AZ5278" t="b">
        <v>1</v>
      </c>
    </row>
    <row r="5279" spans="1:52" x14ac:dyDescent="0.3">
      <c r="A5279" t="s">
        <v>52</v>
      </c>
      <c r="B5279" t="s">
        <v>53</v>
      </c>
      <c r="C5279" t="s">
        <v>54</v>
      </c>
      <c r="D5279" t="s">
        <v>55</v>
      </c>
      <c r="E5279" t="s">
        <v>2278</v>
      </c>
      <c r="F5279" t="s">
        <v>190</v>
      </c>
      <c r="G5279" t="s">
        <v>1152</v>
      </c>
      <c r="H5279" t="s">
        <v>1153</v>
      </c>
      <c r="I5279" t="s">
        <v>1153</v>
      </c>
      <c r="J5279" t="s">
        <v>60</v>
      </c>
      <c r="K5279" t="s">
        <v>798</v>
      </c>
      <c r="L5279" t="s">
        <v>62</v>
      </c>
      <c r="M5279" t="s">
        <v>798</v>
      </c>
      <c r="N5279" t="s">
        <v>1154</v>
      </c>
      <c r="O5279" t="s">
        <v>293</v>
      </c>
      <c r="P5279">
        <v>-20.112477999999999</v>
      </c>
      <c r="Q5279">
        <v>-44.903066000000003</v>
      </c>
      <c r="R5279" s="2" t="str">
        <f>HYPERLINK("https://www.google.com/maps?q=-20.1124780,-44.9030660","Abrir no Google Maps")</f>
        <v>Abrir no Google Maps</v>
      </c>
      <c r="S5279">
        <v>3</v>
      </c>
      <c r="T5279">
        <v>246.8131690803576</v>
      </c>
      <c r="U5279">
        <v>3</v>
      </c>
      <c r="V5279">
        <v>0.87636932707355253</v>
      </c>
      <c r="W5279">
        <v>1</v>
      </c>
      <c r="X5279">
        <v>0.87636932707355253</v>
      </c>
      <c r="Y5279">
        <v>300</v>
      </c>
      <c r="Z5279">
        <v>335.63974056009812</v>
      </c>
      <c r="AA5279">
        <v>198</v>
      </c>
      <c r="AB5279">
        <v>332</v>
      </c>
      <c r="AC5279">
        <v>536</v>
      </c>
      <c r="AD5279">
        <v>28.15</v>
      </c>
      <c r="AE5279">
        <v>542</v>
      </c>
      <c r="AF5279">
        <v>21</v>
      </c>
      <c r="AG5279">
        <v>176</v>
      </c>
      <c r="AH5279">
        <v>129</v>
      </c>
      <c r="AI5279">
        <v>3.87</v>
      </c>
      <c r="AJ5279">
        <v>32.47</v>
      </c>
      <c r="AK5279">
        <v>23.8</v>
      </c>
      <c r="AL5279">
        <v>-20.112499949999972</v>
      </c>
      <c r="AM5279">
        <v>-44.903143791889391</v>
      </c>
      <c r="AN5279">
        <v>-20.112499949999972</v>
      </c>
      <c r="AO5279">
        <v>-44.903143791889391</v>
      </c>
      <c r="AP5279">
        <v>-20.112477999999999</v>
      </c>
      <c r="AQ5279">
        <v>-44.903066000000003</v>
      </c>
      <c r="AR5279">
        <v>8.4908959019572912</v>
      </c>
      <c r="AS5279" t="s">
        <v>65</v>
      </c>
      <c r="AT5279">
        <v>1</v>
      </c>
      <c r="AU5279" t="s">
        <v>1155</v>
      </c>
      <c r="AV5279" t="s">
        <v>1156</v>
      </c>
      <c r="AW5279" t="s">
        <v>60</v>
      </c>
      <c r="AX5279" t="s">
        <v>68</v>
      </c>
      <c r="AY5279" t="s">
        <v>69</v>
      </c>
      <c r="AZ5279" t="b">
        <v>1</v>
      </c>
    </row>
    <row r="5280" spans="1:52" x14ac:dyDescent="0.3">
      <c r="A5280" t="s">
        <v>52</v>
      </c>
      <c r="B5280" t="s">
        <v>53</v>
      </c>
      <c r="C5280" t="s">
        <v>54</v>
      </c>
      <c r="D5280" t="s">
        <v>55</v>
      </c>
      <c r="E5280" t="s">
        <v>2278</v>
      </c>
      <c r="F5280" t="s">
        <v>190</v>
      </c>
      <c r="G5280" t="s">
        <v>1769</v>
      </c>
      <c r="H5280" t="s">
        <v>1770</v>
      </c>
      <c r="I5280" t="s">
        <v>1770</v>
      </c>
      <c r="J5280" t="s">
        <v>60</v>
      </c>
      <c r="K5280" t="s">
        <v>791</v>
      </c>
      <c r="L5280" t="s">
        <v>62</v>
      </c>
      <c r="M5280" t="s">
        <v>791</v>
      </c>
      <c r="N5280" t="s">
        <v>1771</v>
      </c>
      <c r="O5280" t="s">
        <v>494</v>
      </c>
      <c r="P5280">
        <v>-20.108464999999999</v>
      </c>
      <c r="Q5280">
        <v>-44.902169000000001</v>
      </c>
      <c r="R5280" s="2" t="str">
        <f>HYPERLINK("https://www.google.com/maps?q=-20.1084650,-44.9021690","Abrir no Google Maps")</f>
        <v>Abrir no Google Maps</v>
      </c>
      <c r="S5280">
        <v>3</v>
      </c>
      <c r="T5280">
        <v>332.55452480320798</v>
      </c>
      <c r="U5280">
        <v>3</v>
      </c>
      <c r="V5280">
        <v>0.87377738654147097</v>
      </c>
      <c r="W5280">
        <v>1</v>
      </c>
      <c r="X5280">
        <v>0.87377738654147097</v>
      </c>
      <c r="Y5280">
        <v>300</v>
      </c>
      <c r="Z5280">
        <v>139.01495543278119</v>
      </c>
      <c r="AA5280">
        <v>198</v>
      </c>
      <c r="AB5280">
        <v>332</v>
      </c>
      <c r="AC5280">
        <v>536</v>
      </c>
      <c r="AD5280">
        <v>28.15</v>
      </c>
      <c r="AE5280">
        <v>542</v>
      </c>
      <c r="AF5280">
        <v>21</v>
      </c>
      <c r="AG5280">
        <v>176</v>
      </c>
      <c r="AH5280">
        <v>129</v>
      </c>
      <c r="AI5280">
        <v>3.87</v>
      </c>
      <c r="AJ5280">
        <v>32.47</v>
      </c>
      <c r="AK5280">
        <v>23.8</v>
      </c>
      <c r="AL5280">
        <v>-20.108420149999969</v>
      </c>
      <c r="AM5280">
        <v>-44.90164352007664</v>
      </c>
      <c r="AN5280">
        <v>-20.108420149999969</v>
      </c>
      <c r="AO5280">
        <v>-44.90164352007664</v>
      </c>
      <c r="AP5280">
        <v>-20.108464999999999</v>
      </c>
      <c r="AQ5280">
        <v>-44.902169000000001</v>
      </c>
      <c r="AR5280">
        <v>55.157130612493773</v>
      </c>
      <c r="AS5280" t="s">
        <v>65</v>
      </c>
      <c r="AT5280">
        <v>1</v>
      </c>
      <c r="AU5280" t="s">
        <v>1772</v>
      </c>
      <c r="AV5280" t="s">
        <v>1773</v>
      </c>
      <c r="AW5280" t="s">
        <v>60</v>
      </c>
      <c r="AX5280" t="s">
        <v>68</v>
      </c>
      <c r="AY5280" t="s">
        <v>69</v>
      </c>
      <c r="AZ5280" t="b">
        <v>1</v>
      </c>
    </row>
    <row r="5281" spans="1:52" x14ac:dyDescent="0.3">
      <c r="A5281" t="s">
        <v>52</v>
      </c>
      <c r="B5281" t="s">
        <v>53</v>
      </c>
      <c r="C5281" t="s">
        <v>54</v>
      </c>
      <c r="D5281" t="s">
        <v>55</v>
      </c>
      <c r="E5281" t="s">
        <v>2278</v>
      </c>
      <c r="F5281" t="s">
        <v>190</v>
      </c>
      <c r="G5281" t="s">
        <v>796</v>
      </c>
      <c r="H5281" t="s">
        <v>797</v>
      </c>
      <c r="I5281" t="s">
        <v>797</v>
      </c>
      <c r="J5281" t="s">
        <v>60</v>
      </c>
      <c r="K5281" t="s">
        <v>798</v>
      </c>
      <c r="L5281" t="s">
        <v>62</v>
      </c>
      <c r="M5281" t="s">
        <v>798</v>
      </c>
      <c r="N5281" t="s">
        <v>799</v>
      </c>
      <c r="O5281" t="s">
        <v>800</v>
      </c>
      <c r="P5281">
        <v>-20.105681000000001</v>
      </c>
      <c r="Q5281">
        <v>-44.902771999999999</v>
      </c>
      <c r="R5281" s="2" t="str">
        <f>HYPERLINK("https://www.google.com/maps?q=-20.1056810,-44.9027720","Abrir no Google Maps")</f>
        <v>Abrir no Google Maps</v>
      </c>
      <c r="S5281">
        <v>3</v>
      </c>
      <c r="T5281">
        <v>654.76334876090721</v>
      </c>
      <c r="U5281">
        <v>3</v>
      </c>
      <c r="V5281">
        <v>0.86932707355242567</v>
      </c>
      <c r="W5281">
        <v>1</v>
      </c>
      <c r="X5281">
        <v>0.86932707355242567</v>
      </c>
      <c r="Y5281">
        <v>300</v>
      </c>
      <c r="Z5281">
        <v>473.90209409135377</v>
      </c>
      <c r="AA5281">
        <v>198</v>
      </c>
      <c r="AB5281">
        <v>332</v>
      </c>
      <c r="AC5281">
        <v>536</v>
      </c>
      <c r="AD5281">
        <v>28.15</v>
      </c>
      <c r="AE5281">
        <v>542</v>
      </c>
      <c r="AF5281">
        <v>21</v>
      </c>
      <c r="AG5281">
        <v>176</v>
      </c>
      <c r="AH5281">
        <v>129</v>
      </c>
      <c r="AI5281">
        <v>3.87</v>
      </c>
      <c r="AJ5281">
        <v>32.47</v>
      </c>
      <c r="AK5281">
        <v>23.8</v>
      </c>
      <c r="AL5281">
        <v>-20.105710249999959</v>
      </c>
      <c r="AM5281">
        <v>-44.902887601574513</v>
      </c>
      <c r="AN5281">
        <v>-20.105710249999959</v>
      </c>
      <c r="AO5281">
        <v>-44.902887601574513</v>
      </c>
      <c r="AP5281">
        <v>-20.105681000000001</v>
      </c>
      <c r="AQ5281">
        <v>-44.902771999999999</v>
      </c>
      <c r="AR5281">
        <v>12.5155291382583</v>
      </c>
      <c r="AS5281" t="s">
        <v>65</v>
      </c>
      <c r="AT5281">
        <v>1</v>
      </c>
      <c r="AU5281" t="s">
        <v>801</v>
      </c>
      <c r="AV5281" t="s">
        <v>802</v>
      </c>
      <c r="AW5281" t="s">
        <v>60</v>
      </c>
      <c r="AX5281" t="s">
        <v>68</v>
      </c>
      <c r="AY5281" t="s">
        <v>69</v>
      </c>
      <c r="AZ5281" t="b">
        <v>1</v>
      </c>
    </row>
    <row r="5282" spans="1:52" x14ac:dyDescent="0.3">
      <c r="A5282" t="s">
        <v>52</v>
      </c>
      <c r="B5282" t="s">
        <v>53</v>
      </c>
      <c r="C5282" t="s">
        <v>54</v>
      </c>
      <c r="D5282" t="s">
        <v>55</v>
      </c>
      <c r="E5282" t="s">
        <v>2278</v>
      </c>
      <c r="F5282" t="s">
        <v>190</v>
      </c>
      <c r="G5282" t="s">
        <v>1157</v>
      </c>
      <c r="H5282" t="s">
        <v>1158</v>
      </c>
      <c r="I5282" t="s">
        <v>1158</v>
      </c>
      <c r="J5282" t="s">
        <v>60</v>
      </c>
      <c r="K5282" t="s">
        <v>791</v>
      </c>
      <c r="L5282" t="s">
        <v>62</v>
      </c>
      <c r="M5282" t="s">
        <v>791</v>
      </c>
      <c r="N5282" t="s">
        <v>1159</v>
      </c>
      <c r="O5282" t="s">
        <v>1160</v>
      </c>
      <c r="P5282">
        <v>-20.108114</v>
      </c>
      <c r="Q5282">
        <v>-44.905804000000003</v>
      </c>
      <c r="R5282" s="2" t="str">
        <f>HYPERLINK("https://www.google.com/maps?q=-20.1081140,-44.9058040","Abrir no Google Maps")</f>
        <v>Abrir no Google Maps</v>
      </c>
      <c r="S5282">
        <v>3</v>
      </c>
      <c r="T5282">
        <v>603.1428230097074</v>
      </c>
      <c r="U5282">
        <v>3</v>
      </c>
      <c r="V5282">
        <v>0.87655279503105588</v>
      </c>
      <c r="W5282">
        <v>1</v>
      </c>
      <c r="X5282">
        <v>0.87655279503105588</v>
      </c>
      <c r="Y5282">
        <v>300</v>
      </c>
      <c r="Z5282">
        <v>444.71482981499793</v>
      </c>
      <c r="AA5282">
        <v>198</v>
      </c>
      <c r="AB5282">
        <v>332</v>
      </c>
      <c r="AC5282">
        <v>536</v>
      </c>
      <c r="AD5282">
        <v>28.15</v>
      </c>
      <c r="AE5282">
        <v>542</v>
      </c>
      <c r="AF5282">
        <v>21</v>
      </c>
      <c r="AG5282">
        <v>176</v>
      </c>
      <c r="AH5282">
        <v>129</v>
      </c>
      <c r="AI5282">
        <v>3.87</v>
      </c>
      <c r="AJ5282">
        <v>32.47</v>
      </c>
      <c r="AK5282">
        <v>23.8</v>
      </c>
      <c r="AL5282">
        <v>-20.108146549999962</v>
      </c>
      <c r="AM5282">
        <v>-44.905744943453513</v>
      </c>
      <c r="AN5282">
        <v>-20.108146549999962</v>
      </c>
      <c r="AO5282">
        <v>-44.905744943453513</v>
      </c>
      <c r="AP5282">
        <v>-20.108114</v>
      </c>
      <c r="AQ5282">
        <v>-44.905804000000003</v>
      </c>
      <c r="AR5282">
        <v>7.1582799138071884</v>
      </c>
      <c r="AS5282" t="s">
        <v>65</v>
      </c>
      <c r="AT5282">
        <v>1</v>
      </c>
      <c r="AU5282" t="s">
        <v>1161</v>
      </c>
      <c r="AV5282" t="s">
        <v>1162</v>
      </c>
      <c r="AW5282" t="s">
        <v>60</v>
      </c>
      <c r="AX5282" t="s">
        <v>68</v>
      </c>
      <c r="AY5282" t="s">
        <v>69</v>
      </c>
      <c r="AZ5282" t="b">
        <v>1</v>
      </c>
    </row>
    <row r="5283" spans="1:52" x14ac:dyDescent="0.3">
      <c r="A5283" t="s">
        <v>52</v>
      </c>
      <c r="B5283" t="s">
        <v>53</v>
      </c>
      <c r="C5283" t="s">
        <v>54</v>
      </c>
      <c r="D5283" t="s">
        <v>55</v>
      </c>
      <c r="E5283" t="s">
        <v>2278</v>
      </c>
      <c r="F5283" t="s">
        <v>190</v>
      </c>
      <c r="G5283" t="s">
        <v>1163</v>
      </c>
      <c r="H5283" t="s">
        <v>1164</v>
      </c>
      <c r="I5283" t="s">
        <v>1164</v>
      </c>
      <c r="J5283" t="s">
        <v>60</v>
      </c>
      <c r="K5283" t="s">
        <v>1165</v>
      </c>
      <c r="L5283" t="s">
        <v>62</v>
      </c>
      <c r="M5283" t="s">
        <v>1165</v>
      </c>
      <c r="N5283" t="s">
        <v>1166</v>
      </c>
      <c r="O5283" t="s">
        <v>1167</v>
      </c>
      <c r="P5283">
        <v>-20.155543000000002</v>
      </c>
      <c r="Q5283">
        <v>-44.863444000000001</v>
      </c>
      <c r="R5283" s="2" t="str">
        <f>HYPERLINK("https://www.google.com/maps?q=-20.1555430,-44.8634440","Abrir no Google Maps")</f>
        <v>Abrir no Google Maps</v>
      </c>
      <c r="S5283">
        <v>3</v>
      </c>
      <c r="T5283">
        <v>314.02353400254742</v>
      </c>
      <c r="U5283">
        <v>3</v>
      </c>
      <c r="V5283">
        <v>0.88205128205128203</v>
      </c>
      <c r="W5283">
        <v>1</v>
      </c>
      <c r="X5283">
        <v>0.88205128205128203</v>
      </c>
      <c r="Y5283">
        <v>264</v>
      </c>
      <c r="Z5283">
        <v>282.65065866463459</v>
      </c>
      <c r="AA5283">
        <v>198</v>
      </c>
      <c r="AB5283">
        <v>332</v>
      </c>
      <c r="AC5283">
        <v>536</v>
      </c>
      <c r="AD5283">
        <v>28.15</v>
      </c>
      <c r="AE5283">
        <v>542</v>
      </c>
      <c r="AF5283">
        <v>21</v>
      </c>
      <c r="AG5283">
        <v>176</v>
      </c>
      <c r="AH5283">
        <v>129</v>
      </c>
      <c r="AI5283">
        <v>3.87</v>
      </c>
      <c r="AJ5283">
        <v>32.47</v>
      </c>
      <c r="AK5283">
        <v>23.8</v>
      </c>
      <c r="AL5283">
        <v>-20.155436449999939</v>
      </c>
      <c r="AM5283">
        <v>-44.863557722691183</v>
      </c>
      <c r="AN5283">
        <v>-20.155436449999939</v>
      </c>
      <c r="AO5283">
        <v>-44.863557722691183</v>
      </c>
      <c r="AP5283">
        <v>-20.155543000000002</v>
      </c>
      <c r="AQ5283">
        <v>-44.863444000000001</v>
      </c>
      <c r="AR5283">
        <v>16.790610674079979</v>
      </c>
      <c r="AS5283" t="s">
        <v>65</v>
      </c>
      <c r="AT5283">
        <v>1</v>
      </c>
      <c r="AU5283" t="s">
        <v>1168</v>
      </c>
      <c r="AV5283" t="s">
        <v>1169</v>
      </c>
      <c r="AW5283" t="s">
        <v>60</v>
      </c>
      <c r="AX5283" t="s">
        <v>68</v>
      </c>
      <c r="AY5283" t="s">
        <v>69</v>
      </c>
      <c r="AZ5283" t="b">
        <v>1</v>
      </c>
    </row>
    <row r="5284" spans="1:52" x14ac:dyDescent="0.3">
      <c r="A5284" t="s">
        <v>52</v>
      </c>
      <c r="B5284" t="s">
        <v>53</v>
      </c>
      <c r="C5284" t="s">
        <v>54</v>
      </c>
      <c r="D5284" t="s">
        <v>55</v>
      </c>
      <c r="E5284" t="s">
        <v>2278</v>
      </c>
      <c r="F5284" t="s">
        <v>190</v>
      </c>
      <c r="G5284" t="s">
        <v>1785</v>
      </c>
      <c r="H5284" t="s">
        <v>1786</v>
      </c>
      <c r="I5284" t="s">
        <v>1786</v>
      </c>
      <c r="J5284" t="s">
        <v>60</v>
      </c>
      <c r="K5284" t="s">
        <v>323</v>
      </c>
      <c r="L5284" t="s">
        <v>62</v>
      </c>
      <c r="M5284" t="s">
        <v>323</v>
      </c>
      <c r="N5284" t="s">
        <v>1787</v>
      </c>
      <c r="O5284" t="s">
        <v>166</v>
      </c>
      <c r="P5284">
        <v>-20.150456999999999</v>
      </c>
      <c r="Q5284">
        <v>-44.859959000000003</v>
      </c>
      <c r="R5284" s="2" t="str">
        <f>HYPERLINK("https://www.google.com/maps?q=-20.1504570,-44.8599590","Abrir no Google Maps")</f>
        <v>Abrir no Google Maps</v>
      </c>
      <c r="S5284">
        <v>3</v>
      </c>
      <c r="T5284">
        <v>658.64381182775185</v>
      </c>
      <c r="U5284">
        <v>3</v>
      </c>
      <c r="V5284">
        <v>0.86944444444444446</v>
      </c>
      <c r="W5284">
        <v>1</v>
      </c>
      <c r="X5284">
        <v>0.86944444444444446</v>
      </c>
      <c r="Y5284">
        <v>264</v>
      </c>
      <c r="Z5284">
        <v>516.83560872131818</v>
      </c>
      <c r="AA5284">
        <v>198</v>
      </c>
      <c r="AB5284">
        <v>332</v>
      </c>
      <c r="AC5284">
        <v>536</v>
      </c>
      <c r="AD5284">
        <v>28.15</v>
      </c>
      <c r="AE5284">
        <v>542</v>
      </c>
      <c r="AF5284">
        <v>21</v>
      </c>
      <c r="AG5284">
        <v>176</v>
      </c>
      <c r="AH5284">
        <v>129</v>
      </c>
      <c r="AI5284">
        <v>3.87</v>
      </c>
      <c r="AJ5284">
        <v>32.47</v>
      </c>
      <c r="AK5284">
        <v>23.8</v>
      </c>
      <c r="AL5284">
        <v>-20.150445899999969</v>
      </c>
      <c r="AM5284">
        <v>-44.860119388819953</v>
      </c>
      <c r="AN5284">
        <v>-20.150445899999969</v>
      </c>
      <c r="AO5284">
        <v>-44.860119388819953</v>
      </c>
      <c r="AP5284">
        <v>-20.150456999999999</v>
      </c>
      <c r="AQ5284">
        <v>-44.859959000000003</v>
      </c>
      <c r="AR5284">
        <v>16.807117810283469</v>
      </c>
      <c r="AS5284" t="s">
        <v>65</v>
      </c>
      <c r="AT5284">
        <v>1</v>
      </c>
      <c r="AU5284" t="s">
        <v>1788</v>
      </c>
      <c r="AV5284" t="s">
        <v>1789</v>
      </c>
      <c r="AW5284" t="s">
        <v>60</v>
      </c>
      <c r="AX5284" t="s">
        <v>68</v>
      </c>
      <c r="AY5284" t="s">
        <v>69</v>
      </c>
      <c r="AZ5284" t="b">
        <v>1</v>
      </c>
    </row>
    <row r="5285" spans="1:52" x14ac:dyDescent="0.3">
      <c r="A5285" t="s">
        <v>52</v>
      </c>
      <c r="B5285" t="s">
        <v>53</v>
      </c>
      <c r="C5285" t="s">
        <v>54</v>
      </c>
      <c r="D5285" t="s">
        <v>55</v>
      </c>
      <c r="E5285" t="s">
        <v>2278</v>
      </c>
      <c r="F5285" t="s">
        <v>190</v>
      </c>
      <c r="G5285" t="s">
        <v>1170</v>
      </c>
      <c r="H5285" t="s">
        <v>1171</v>
      </c>
      <c r="I5285" t="s">
        <v>1171</v>
      </c>
      <c r="J5285" t="s">
        <v>60</v>
      </c>
      <c r="K5285" t="s">
        <v>1165</v>
      </c>
      <c r="L5285" t="s">
        <v>62</v>
      </c>
      <c r="M5285" t="s">
        <v>1165</v>
      </c>
      <c r="N5285" t="s">
        <v>1172</v>
      </c>
      <c r="O5285" t="s">
        <v>1160</v>
      </c>
      <c r="P5285">
        <v>-20.158208999999999</v>
      </c>
      <c r="Q5285">
        <v>-44.865242000000002</v>
      </c>
      <c r="R5285" s="2" t="str">
        <f>HYPERLINK("https://www.google.com/maps?q=-20.1582090,-44.8652420","Abrir no Google Maps")</f>
        <v>Abrir no Google Maps</v>
      </c>
      <c r="S5285">
        <v>3</v>
      </c>
      <c r="T5285">
        <v>529.55269054560301</v>
      </c>
      <c r="U5285">
        <v>3</v>
      </c>
      <c r="V5285">
        <v>0.88069358178053836</v>
      </c>
      <c r="W5285">
        <v>1</v>
      </c>
      <c r="X5285">
        <v>0.88069358178053836</v>
      </c>
      <c r="Y5285">
        <v>264</v>
      </c>
      <c r="Z5285">
        <v>576.82525833351326</v>
      </c>
      <c r="AA5285">
        <v>198</v>
      </c>
      <c r="AB5285">
        <v>332</v>
      </c>
      <c r="AC5285">
        <v>536</v>
      </c>
      <c r="AD5285">
        <v>28.15</v>
      </c>
      <c r="AE5285">
        <v>542</v>
      </c>
      <c r="AF5285">
        <v>21</v>
      </c>
      <c r="AG5285">
        <v>176</v>
      </c>
      <c r="AH5285">
        <v>129</v>
      </c>
      <c r="AI5285">
        <v>3.87</v>
      </c>
      <c r="AJ5285">
        <v>32.47</v>
      </c>
      <c r="AK5285">
        <v>23.8</v>
      </c>
      <c r="AL5285">
        <v>-20.15813384999996</v>
      </c>
      <c r="AM5285">
        <v>-44.865189279062598</v>
      </c>
      <c r="AN5285">
        <v>-20.15813384999996</v>
      </c>
      <c r="AO5285">
        <v>-44.865189279062598</v>
      </c>
      <c r="AP5285">
        <v>-20.158208999999999</v>
      </c>
      <c r="AQ5285">
        <v>-44.865242000000002</v>
      </c>
      <c r="AR5285">
        <v>10.01690313145691</v>
      </c>
      <c r="AS5285" t="s">
        <v>65</v>
      </c>
      <c r="AT5285">
        <v>1</v>
      </c>
      <c r="AU5285" t="s">
        <v>1173</v>
      </c>
      <c r="AV5285" t="s">
        <v>1174</v>
      </c>
      <c r="AW5285" t="s">
        <v>60</v>
      </c>
      <c r="AX5285" t="s">
        <v>68</v>
      </c>
      <c r="AY5285" t="s">
        <v>69</v>
      </c>
      <c r="AZ5285" t="b">
        <v>1</v>
      </c>
    </row>
    <row r="5286" spans="1:52" x14ac:dyDescent="0.3">
      <c r="A5286" t="s">
        <v>52</v>
      </c>
      <c r="B5286" t="s">
        <v>53</v>
      </c>
      <c r="C5286" t="s">
        <v>54</v>
      </c>
      <c r="D5286" t="s">
        <v>55</v>
      </c>
      <c r="E5286" t="s">
        <v>2278</v>
      </c>
      <c r="F5286" t="s">
        <v>190</v>
      </c>
      <c r="G5286" t="s">
        <v>1175</v>
      </c>
      <c r="H5286" t="s">
        <v>1176</v>
      </c>
      <c r="I5286" t="s">
        <v>1176</v>
      </c>
      <c r="J5286" t="s">
        <v>60</v>
      </c>
      <c r="K5286" t="s">
        <v>1177</v>
      </c>
      <c r="L5286" t="s">
        <v>62</v>
      </c>
      <c r="M5286" t="s">
        <v>1177</v>
      </c>
      <c r="N5286" t="s">
        <v>1178</v>
      </c>
      <c r="O5286" t="s">
        <v>1179</v>
      </c>
      <c r="P5286">
        <v>-20.153393000000001</v>
      </c>
      <c r="Q5286">
        <v>-44.865701999999999</v>
      </c>
      <c r="R5286" s="2" t="str">
        <f>HYPERLINK("https://www.google.com/maps?q=-20.1533930,-44.8657020","Abrir no Google Maps")</f>
        <v>Abrir no Google Maps</v>
      </c>
      <c r="S5286">
        <v>3</v>
      </c>
      <c r="T5286">
        <v>0</v>
      </c>
      <c r="U5286">
        <v>3</v>
      </c>
      <c r="V5286">
        <v>0.86261013215859028</v>
      </c>
      <c r="W5286">
        <v>1</v>
      </c>
      <c r="X5286">
        <v>0.86261013215859028</v>
      </c>
      <c r="Y5286">
        <v>264</v>
      </c>
      <c r="Z5286">
        <v>187.61117597536</v>
      </c>
      <c r="AA5286">
        <v>198</v>
      </c>
      <c r="AB5286">
        <v>332</v>
      </c>
      <c r="AC5286">
        <v>536</v>
      </c>
      <c r="AD5286">
        <v>28.15</v>
      </c>
      <c r="AE5286">
        <v>542</v>
      </c>
      <c r="AF5286">
        <v>21</v>
      </c>
      <c r="AG5286">
        <v>176</v>
      </c>
      <c r="AH5286">
        <v>129</v>
      </c>
      <c r="AI5286">
        <v>3.87</v>
      </c>
      <c r="AJ5286">
        <v>32.47</v>
      </c>
      <c r="AK5286">
        <v>23.8</v>
      </c>
      <c r="AL5286">
        <v>-20.153365199999971</v>
      </c>
      <c r="AM5286">
        <v>-44.865611713780503</v>
      </c>
      <c r="AN5286">
        <v>-20.153365199999971</v>
      </c>
      <c r="AO5286">
        <v>-44.865611713780503</v>
      </c>
      <c r="AP5286">
        <v>-20.153393000000001</v>
      </c>
      <c r="AQ5286">
        <v>-44.865701999999999</v>
      </c>
      <c r="AR5286">
        <v>9.9298532940923003</v>
      </c>
      <c r="AS5286" t="s">
        <v>65</v>
      </c>
      <c r="AT5286">
        <v>1</v>
      </c>
      <c r="AU5286" t="s">
        <v>1180</v>
      </c>
      <c r="AV5286" t="s">
        <v>1181</v>
      </c>
      <c r="AW5286" t="s">
        <v>60</v>
      </c>
      <c r="AX5286" t="s">
        <v>68</v>
      </c>
      <c r="AY5286" t="s">
        <v>69</v>
      </c>
      <c r="AZ5286" t="b">
        <v>1</v>
      </c>
    </row>
    <row r="5287" spans="1:52" x14ac:dyDescent="0.3">
      <c r="A5287" t="s">
        <v>52</v>
      </c>
      <c r="B5287" t="s">
        <v>53</v>
      </c>
      <c r="C5287" t="s">
        <v>54</v>
      </c>
      <c r="D5287" t="s">
        <v>55</v>
      </c>
      <c r="E5287" t="s">
        <v>2278</v>
      </c>
      <c r="F5287" t="s">
        <v>190</v>
      </c>
      <c r="G5287" t="s">
        <v>1187</v>
      </c>
      <c r="H5287" t="s">
        <v>1188</v>
      </c>
      <c r="I5287" t="s">
        <v>1188</v>
      </c>
      <c r="J5287" t="s">
        <v>60</v>
      </c>
      <c r="K5287" t="s">
        <v>1177</v>
      </c>
      <c r="L5287" t="s">
        <v>62</v>
      </c>
      <c r="M5287" t="s">
        <v>1177</v>
      </c>
      <c r="N5287" t="s">
        <v>1189</v>
      </c>
      <c r="O5287" t="s">
        <v>1190</v>
      </c>
      <c r="P5287">
        <v>-20.151606999999998</v>
      </c>
      <c r="Q5287">
        <v>-44.870784999999998</v>
      </c>
      <c r="R5287" s="2" t="str">
        <f>HYPERLINK("https://www.google.com/maps?q=-20.1516070,-44.8707850","Abrir no Google Maps")</f>
        <v>Abrir no Google Maps</v>
      </c>
      <c r="S5287">
        <v>3</v>
      </c>
      <c r="T5287">
        <v>592.7601508996878</v>
      </c>
      <c r="U5287">
        <v>3</v>
      </c>
      <c r="V5287">
        <v>0.8689093806921675</v>
      </c>
      <c r="W5287">
        <v>1</v>
      </c>
      <c r="X5287">
        <v>0.8689093806921675</v>
      </c>
      <c r="Y5287">
        <v>198</v>
      </c>
      <c r="Z5287">
        <v>605.75141653963317</v>
      </c>
      <c r="AA5287">
        <v>198</v>
      </c>
      <c r="AB5287">
        <v>332</v>
      </c>
      <c r="AC5287">
        <v>536</v>
      </c>
      <c r="AD5287">
        <v>28.15</v>
      </c>
      <c r="AE5287">
        <v>542</v>
      </c>
      <c r="AF5287">
        <v>21</v>
      </c>
      <c r="AG5287">
        <v>176</v>
      </c>
      <c r="AH5287">
        <v>129</v>
      </c>
      <c r="AI5287">
        <v>3.87</v>
      </c>
      <c r="AJ5287">
        <v>32.47</v>
      </c>
      <c r="AK5287">
        <v>23.8</v>
      </c>
      <c r="AL5287">
        <v>-20.151457849999961</v>
      </c>
      <c r="AM5287">
        <v>-44.870912038726253</v>
      </c>
      <c r="AN5287">
        <v>-20.151457849999961</v>
      </c>
      <c r="AO5287">
        <v>-44.870912038726253</v>
      </c>
      <c r="AP5287">
        <v>-20.151606999999998</v>
      </c>
      <c r="AQ5287">
        <v>-44.870784999999998</v>
      </c>
      <c r="AR5287">
        <v>21.258671186047941</v>
      </c>
      <c r="AS5287" t="s">
        <v>65</v>
      </c>
      <c r="AT5287">
        <v>1</v>
      </c>
      <c r="AU5287" t="s">
        <v>1191</v>
      </c>
      <c r="AV5287" t="s">
        <v>1192</v>
      </c>
      <c r="AW5287" t="s">
        <v>60</v>
      </c>
      <c r="AX5287" t="s">
        <v>68</v>
      </c>
      <c r="AY5287" t="s">
        <v>69</v>
      </c>
      <c r="AZ5287" t="b">
        <v>1</v>
      </c>
    </row>
    <row r="5288" spans="1:52" x14ac:dyDescent="0.3">
      <c r="A5288" t="s">
        <v>52</v>
      </c>
      <c r="B5288" t="s">
        <v>53</v>
      </c>
      <c r="C5288" t="s">
        <v>54</v>
      </c>
      <c r="D5288" t="s">
        <v>55</v>
      </c>
      <c r="E5288" t="s">
        <v>2278</v>
      </c>
      <c r="F5288" t="s">
        <v>190</v>
      </c>
      <c r="G5288" t="s">
        <v>1790</v>
      </c>
      <c r="H5288" t="s">
        <v>1791</v>
      </c>
      <c r="I5288" t="s">
        <v>1791</v>
      </c>
      <c r="J5288" t="s">
        <v>60</v>
      </c>
      <c r="K5288" t="s">
        <v>781</v>
      </c>
      <c r="L5288" t="s">
        <v>62</v>
      </c>
      <c r="M5288" t="s">
        <v>781</v>
      </c>
      <c r="N5288" t="s">
        <v>1792</v>
      </c>
      <c r="O5288" t="s">
        <v>1438</v>
      </c>
      <c r="P5288">
        <v>-20.140640999999999</v>
      </c>
      <c r="Q5288">
        <v>-44.865606999999997</v>
      </c>
      <c r="R5288" s="2" t="str">
        <f>HYPERLINK("https://www.google.com/maps?q=-20.1406410,-44.8656070","Abrir no Google Maps")</f>
        <v>Abrir no Google Maps</v>
      </c>
      <c r="S5288">
        <v>3</v>
      </c>
      <c r="T5288">
        <v>718.83674500124857</v>
      </c>
      <c r="U5288">
        <v>3</v>
      </c>
      <c r="V5288">
        <v>0.88151041666666674</v>
      </c>
      <c r="W5288">
        <v>1</v>
      </c>
      <c r="X5288">
        <v>0.88151041666666674</v>
      </c>
      <c r="Y5288">
        <v>198</v>
      </c>
      <c r="Z5288">
        <v>796.27455839490824</v>
      </c>
      <c r="AA5288">
        <v>198</v>
      </c>
      <c r="AB5288">
        <v>332</v>
      </c>
      <c r="AC5288">
        <v>536</v>
      </c>
      <c r="AD5288">
        <v>28.15</v>
      </c>
      <c r="AE5288">
        <v>542</v>
      </c>
      <c r="AF5288">
        <v>21</v>
      </c>
      <c r="AG5288">
        <v>176</v>
      </c>
      <c r="AH5288">
        <v>129</v>
      </c>
      <c r="AI5288">
        <v>3.87</v>
      </c>
      <c r="AJ5288">
        <v>32.47</v>
      </c>
      <c r="AK5288">
        <v>23.8</v>
      </c>
      <c r="AL5288">
        <v>-20.14068544999995</v>
      </c>
      <c r="AM5288">
        <v>-44.865682971258813</v>
      </c>
      <c r="AN5288">
        <v>-20.140685449999939</v>
      </c>
      <c r="AO5288">
        <v>-44.865682971258813</v>
      </c>
      <c r="AP5288">
        <v>-20.140640999999999</v>
      </c>
      <c r="AQ5288">
        <v>-44.865606999999997</v>
      </c>
      <c r="AR5288">
        <v>9.3556137916774258</v>
      </c>
      <c r="AS5288" t="s">
        <v>65</v>
      </c>
      <c r="AT5288">
        <v>1</v>
      </c>
      <c r="AU5288" t="s">
        <v>1793</v>
      </c>
      <c r="AV5288" t="s">
        <v>1794</v>
      </c>
      <c r="AW5288" t="s">
        <v>60</v>
      </c>
      <c r="AX5288" t="s">
        <v>68</v>
      </c>
      <c r="AY5288" t="s">
        <v>69</v>
      </c>
      <c r="AZ5288" t="b">
        <v>1</v>
      </c>
    </row>
    <row r="5289" spans="1:52" x14ac:dyDescent="0.3">
      <c r="A5289" t="s">
        <v>52</v>
      </c>
      <c r="B5289" t="s">
        <v>53</v>
      </c>
      <c r="C5289" t="s">
        <v>54</v>
      </c>
      <c r="D5289" t="s">
        <v>55</v>
      </c>
      <c r="E5289" t="s">
        <v>2278</v>
      </c>
      <c r="F5289" t="s">
        <v>190</v>
      </c>
      <c r="G5289" t="s">
        <v>1193</v>
      </c>
      <c r="H5289" t="s">
        <v>1194</v>
      </c>
      <c r="I5289" t="s">
        <v>1194</v>
      </c>
      <c r="J5289" t="s">
        <v>60</v>
      </c>
      <c r="K5289" t="s">
        <v>1195</v>
      </c>
      <c r="L5289" t="s">
        <v>62</v>
      </c>
      <c r="M5289" t="s">
        <v>1195</v>
      </c>
      <c r="N5289" t="s">
        <v>1196</v>
      </c>
      <c r="O5289" t="s">
        <v>1197</v>
      </c>
      <c r="P5289">
        <v>-20.105342</v>
      </c>
      <c r="Q5289">
        <v>-44.964716000000003</v>
      </c>
      <c r="R5289" s="2" t="str">
        <f>HYPERLINK("https://www.google.com/maps?q=-20.1053420,-44.9647160","Abrir no Google Maps")</f>
        <v>Abrir no Google Maps</v>
      </c>
      <c r="S5289">
        <v>3</v>
      </c>
      <c r="T5289">
        <v>893.28710125086457</v>
      </c>
      <c r="U5289">
        <v>3</v>
      </c>
      <c r="V5289">
        <v>0.83751993620414666</v>
      </c>
      <c r="W5289">
        <v>1</v>
      </c>
      <c r="X5289">
        <v>0.83751993620414666</v>
      </c>
      <c r="Y5289">
        <v>187</v>
      </c>
      <c r="Z5289">
        <v>592.18957175243293</v>
      </c>
      <c r="AA5289">
        <v>198</v>
      </c>
      <c r="AB5289">
        <v>332</v>
      </c>
      <c r="AC5289">
        <v>536</v>
      </c>
      <c r="AD5289">
        <v>28.15</v>
      </c>
      <c r="AE5289">
        <v>542</v>
      </c>
      <c r="AF5289">
        <v>21</v>
      </c>
      <c r="AG5289">
        <v>176</v>
      </c>
      <c r="AH5289">
        <v>129</v>
      </c>
      <c r="AI5289">
        <v>3.87</v>
      </c>
      <c r="AJ5289">
        <v>32.47</v>
      </c>
      <c r="AK5289">
        <v>23.8</v>
      </c>
      <c r="AL5289">
        <v>-20.105505699999949</v>
      </c>
      <c r="AM5289">
        <v>-44.964494228377532</v>
      </c>
      <c r="AN5289">
        <v>-20.105505699999949</v>
      </c>
      <c r="AO5289">
        <v>-44.964494228377532</v>
      </c>
      <c r="AP5289">
        <v>-20.105342</v>
      </c>
      <c r="AQ5289">
        <v>-44.964716000000003</v>
      </c>
      <c r="AR5289">
        <v>29.48797728637869</v>
      </c>
      <c r="AS5289" t="s">
        <v>65</v>
      </c>
      <c r="AT5289">
        <v>1</v>
      </c>
      <c r="AU5289" t="s">
        <v>1198</v>
      </c>
      <c r="AV5289" t="s">
        <v>1199</v>
      </c>
      <c r="AW5289" t="s">
        <v>60</v>
      </c>
      <c r="AX5289" t="s">
        <v>68</v>
      </c>
      <c r="AY5289" t="s">
        <v>69</v>
      </c>
      <c r="AZ5289" t="b">
        <v>1</v>
      </c>
    </row>
    <row r="5290" spans="1:52" x14ac:dyDescent="0.3">
      <c r="A5290" t="s">
        <v>52</v>
      </c>
      <c r="B5290" t="s">
        <v>53</v>
      </c>
      <c r="C5290" t="s">
        <v>54</v>
      </c>
      <c r="D5290" t="s">
        <v>55</v>
      </c>
      <c r="E5290" t="s">
        <v>2278</v>
      </c>
      <c r="F5290" t="s">
        <v>190</v>
      </c>
      <c r="G5290" t="s">
        <v>1206</v>
      </c>
      <c r="H5290" t="s">
        <v>1207</v>
      </c>
      <c r="I5290" t="s">
        <v>1207</v>
      </c>
      <c r="J5290" t="s">
        <v>60</v>
      </c>
      <c r="K5290" t="s">
        <v>475</v>
      </c>
      <c r="L5290" t="s">
        <v>62</v>
      </c>
      <c r="M5290" t="s">
        <v>475</v>
      </c>
      <c r="N5290" t="s">
        <v>1208</v>
      </c>
      <c r="O5290" t="s">
        <v>1209</v>
      </c>
      <c r="P5290">
        <v>-20.180554999999998</v>
      </c>
      <c r="Q5290">
        <v>-44.905642999999998</v>
      </c>
      <c r="R5290" s="2" t="str">
        <f>HYPERLINK("https://www.google.com/maps?q=-20.1805550,-44.9056430","Abrir no Google Maps")</f>
        <v>Abrir no Google Maps</v>
      </c>
      <c r="S5290">
        <v>3</v>
      </c>
      <c r="T5290">
        <v>768.13826761541702</v>
      </c>
      <c r="U5290">
        <v>3</v>
      </c>
      <c r="V5290">
        <v>0.86920103092783507</v>
      </c>
      <c r="W5290">
        <v>1</v>
      </c>
      <c r="X5290">
        <v>0.86920103092783507</v>
      </c>
      <c r="Y5290">
        <v>135</v>
      </c>
      <c r="Z5290">
        <v>442.64437152702573</v>
      </c>
      <c r="AA5290">
        <v>198</v>
      </c>
      <c r="AB5290">
        <v>332</v>
      </c>
      <c r="AC5290">
        <v>536</v>
      </c>
      <c r="AD5290">
        <v>28.15</v>
      </c>
      <c r="AE5290">
        <v>542</v>
      </c>
      <c r="AF5290">
        <v>21</v>
      </c>
      <c r="AG5290">
        <v>176</v>
      </c>
      <c r="AH5290">
        <v>129</v>
      </c>
      <c r="AI5290">
        <v>3.87</v>
      </c>
      <c r="AJ5290">
        <v>32.47</v>
      </c>
      <c r="AK5290">
        <v>23.8</v>
      </c>
      <c r="AL5290">
        <v>-20.180439499999949</v>
      </c>
      <c r="AM5290">
        <v>-44.905757266135502</v>
      </c>
      <c r="AN5290">
        <v>-20.180439499999949</v>
      </c>
      <c r="AO5290">
        <v>-44.905757266135502</v>
      </c>
      <c r="AP5290">
        <v>-20.180554999999998</v>
      </c>
      <c r="AQ5290">
        <v>-44.905642999999998</v>
      </c>
      <c r="AR5290">
        <v>17.545924993698129</v>
      </c>
      <c r="AS5290" t="s">
        <v>65</v>
      </c>
      <c r="AT5290">
        <v>1</v>
      </c>
      <c r="AU5290" t="s">
        <v>1210</v>
      </c>
      <c r="AV5290" t="s">
        <v>1211</v>
      </c>
      <c r="AW5290" t="s">
        <v>60</v>
      </c>
      <c r="AX5290" t="s">
        <v>68</v>
      </c>
      <c r="AY5290" t="s">
        <v>69</v>
      </c>
      <c r="AZ5290" t="b">
        <v>1</v>
      </c>
    </row>
    <row r="5291" spans="1:52" x14ac:dyDescent="0.3">
      <c r="A5291" t="s">
        <v>52</v>
      </c>
      <c r="B5291" t="s">
        <v>53</v>
      </c>
      <c r="C5291" t="s">
        <v>54</v>
      </c>
      <c r="D5291" t="s">
        <v>55</v>
      </c>
      <c r="E5291" t="s">
        <v>2278</v>
      </c>
      <c r="F5291" t="s">
        <v>190</v>
      </c>
      <c r="G5291" t="s">
        <v>820</v>
      </c>
      <c r="H5291" t="s">
        <v>821</v>
      </c>
      <c r="I5291" t="s">
        <v>821</v>
      </c>
      <c r="J5291" t="s">
        <v>60</v>
      </c>
      <c r="K5291" t="s">
        <v>822</v>
      </c>
      <c r="L5291" t="s">
        <v>62</v>
      </c>
      <c r="M5291" t="s">
        <v>822</v>
      </c>
      <c r="N5291" t="s">
        <v>823</v>
      </c>
      <c r="O5291" t="s">
        <v>187</v>
      </c>
      <c r="P5291">
        <v>-20.182960999999999</v>
      </c>
      <c r="Q5291">
        <v>-44.902512999999999</v>
      </c>
      <c r="R5291" s="2" t="str">
        <f>HYPERLINK("https://www.google.com/maps?q=-20.1829610,-44.9025130","Abrir no Google Maps")</f>
        <v>Abrir no Google Maps</v>
      </c>
      <c r="S5291">
        <v>3</v>
      </c>
      <c r="T5291">
        <v>908.09917748271926</v>
      </c>
      <c r="U5291">
        <v>3</v>
      </c>
      <c r="V5291">
        <v>0.87883435582822089</v>
      </c>
      <c r="W5291">
        <v>1</v>
      </c>
      <c r="X5291">
        <v>0.87883435582822089</v>
      </c>
      <c r="Y5291">
        <v>135</v>
      </c>
      <c r="Z5291">
        <v>562.42494356837676</v>
      </c>
      <c r="AA5291">
        <v>198</v>
      </c>
      <c r="AB5291">
        <v>332</v>
      </c>
      <c r="AC5291">
        <v>536</v>
      </c>
      <c r="AD5291">
        <v>28.15</v>
      </c>
      <c r="AE5291">
        <v>542</v>
      </c>
      <c r="AF5291">
        <v>21</v>
      </c>
      <c r="AG5291">
        <v>176</v>
      </c>
      <c r="AH5291">
        <v>129</v>
      </c>
      <c r="AI5291">
        <v>3.87</v>
      </c>
      <c r="AJ5291">
        <v>32.47</v>
      </c>
      <c r="AK5291">
        <v>23.8</v>
      </c>
      <c r="AL5291">
        <v>-20.18277184999997</v>
      </c>
      <c r="AM5291">
        <v>-44.902421436048833</v>
      </c>
      <c r="AN5291">
        <v>-20.18277184999997</v>
      </c>
      <c r="AO5291">
        <v>-44.902421436048833</v>
      </c>
      <c r="AP5291">
        <v>-20.182960999999999</v>
      </c>
      <c r="AQ5291">
        <v>-44.902512999999999</v>
      </c>
      <c r="AR5291">
        <v>23.127700959037089</v>
      </c>
      <c r="AS5291" t="s">
        <v>65</v>
      </c>
      <c r="AT5291">
        <v>1</v>
      </c>
      <c r="AU5291" t="s">
        <v>824</v>
      </c>
      <c r="AV5291" t="s">
        <v>825</v>
      </c>
      <c r="AW5291" t="s">
        <v>60</v>
      </c>
      <c r="AX5291" t="s">
        <v>68</v>
      </c>
      <c r="AY5291" t="s">
        <v>69</v>
      </c>
      <c r="AZ5291" t="b">
        <v>1</v>
      </c>
    </row>
    <row r="5292" spans="1:52" x14ac:dyDescent="0.3">
      <c r="A5292" t="s">
        <v>52</v>
      </c>
      <c r="B5292" t="s">
        <v>53</v>
      </c>
      <c r="C5292" t="s">
        <v>54</v>
      </c>
      <c r="D5292" t="s">
        <v>55</v>
      </c>
      <c r="E5292" t="s">
        <v>2278</v>
      </c>
      <c r="F5292" t="s">
        <v>190</v>
      </c>
      <c r="G5292" t="s">
        <v>1218</v>
      </c>
      <c r="H5292" t="s">
        <v>1219</v>
      </c>
      <c r="I5292" t="s">
        <v>1219</v>
      </c>
      <c r="J5292" t="s">
        <v>60</v>
      </c>
      <c r="K5292" t="s">
        <v>828</v>
      </c>
      <c r="L5292" t="s">
        <v>62</v>
      </c>
      <c r="M5292" t="s">
        <v>828</v>
      </c>
      <c r="N5292" t="s">
        <v>1220</v>
      </c>
      <c r="O5292" t="s">
        <v>1221</v>
      </c>
      <c r="P5292">
        <v>-20.132722000000001</v>
      </c>
      <c r="Q5292">
        <v>-44.843550999999998</v>
      </c>
      <c r="R5292" s="2" t="str">
        <f>HYPERLINK("https://www.google.com/maps?q=-20.1327220,-44.8435510","Abrir no Google Maps")</f>
        <v>Abrir no Google Maps</v>
      </c>
      <c r="S5292">
        <v>3</v>
      </c>
      <c r="T5292">
        <v>846.88659580558431</v>
      </c>
      <c r="U5292">
        <v>3</v>
      </c>
      <c r="V5292">
        <v>0.8208333333333333</v>
      </c>
      <c r="W5292">
        <v>1</v>
      </c>
      <c r="X5292">
        <v>0.8208333333333333</v>
      </c>
      <c r="Y5292">
        <v>118</v>
      </c>
      <c r="Z5292">
        <v>797.91643890712305</v>
      </c>
      <c r="AA5292">
        <v>198</v>
      </c>
      <c r="AB5292">
        <v>332</v>
      </c>
      <c r="AC5292">
        <v>536</v>
      </c>
      <c r="AD5292">
        <v>28.15</v>
      </c>
      <c r="AE5292">
        <v>542</v>
      </c>
      <c r="AF5292">
        <v>21</v>
      </c>
      <c r="AG5292">
        <v>176</v>
      </c>
      <c r="AH5292">
        <v>129</v>
      </c>
      <c r="AI5292">
        <v>3.87</v>
      </c>
      <c r="AJ5292">
        <v>32.47</v>
      </c>
      <c r="AK5292">
        <v>23.8</v>
      </c>
      <c r="AL5292">
        <v>-20.132714949999979</v>
      </c>
      <c r="AM5292">
        <v>-44.843475702545703</v>
      </c>
      <c r="AN5292">
        <v>-20.132714949999979</v>
      </c>
      <c r="AO5292">
        <v>-44.843475702545703</v>
      </c>
      <c r="AP5292">
        <v>-20.132722000000001</v>
      </c>
      <c r="AQ5292">
        <v>-44.843550999999998</v>
      </c>
      <c r="AR5292">
        <v>7.9089820822755481</v>
      </c>
      <c r="AS5292" t="s">
        <v>65</v>
      </c>
      <c r="AT5292">
        <v>1</v>
      </c>
      <c r="AU5292" t="s">
        <v>1222</v>
      </c>
      <c r="AV5292" t="s">
        <v>1223</v>
      </c>
      <c r="AW5292" t="s">
        <v>60</v>
      </c>
      <c r="AX5292" t="s">
        <v>68</v>
      </c>
      <c r="AY5292" t="s">
        <v>69</v>
      </c>
      <c r="AZ5292" t="b">
        <v>1</v>
      </c>
    </row>
    <row r="5293" spans="1:52" x14ac:dyDescent="0.3">
      <c r="A5293" t="s">
        <v>52</v>
      </c>
      <c r="B5293" t="s">
        <v>53</v>
      </c>
      <c r="C5293" t="s">
        <v>54</v>
      </c>
      <c r="D5293" t="s">
        <v>55</v>
      </c>
      <c r="E5293" t="s">
        <v>2278</v>
      </c>
      <c r="F5293" t="s">
        <v>190</v>
      </c>
      <c r="G5293" t="s">
        <v>1801</v>
      </c>
      <c r="H5293" t="s">
        <v>1802</v>
      </c>
      <c r="I5293" t="s">
        <v>1802</v>
      </c>
      <c r="J5293" t="s">
        <v>60</v>
      </c>
      <c r="K5293" t="s">
        <v>1803</v>
      </c>
      <c r="L5293" t="s">
        <v>62</v>
      </c>
      <c r="M5293" t="s">
        <v>1803</v>
      </c>
      <c r="N5293" t="s">
        <v>1804</v>
      </c>
      <c r="O5293" t="s">
        <v>1805</v>
      </c>
      <c r="P5293">
        <v>-20.131599000000001</v>
      </c>
      <c r="Q5293">
        <v>-44.839945</v>
      </c>
      <c r="R5293" s="2" t="str">
        <f>HYPERLINK("https://www.google.com/maps?q=-20.1315990,-44.8399450","Abrir no Google Maps")</f>
        <v>Abrir no Google Maps</v>
      </c>
      <c r="S5293">
        <v>3</v>
      </c>
      <c r="T5293">
        <v>480.67866935083049</v>
      </c>
      <c r="U5293">
        <v>3</v>
      </c>
      <c r="V5293">
        <v>0.84772727272727266</v>
      </c>
      <c r="W5293">
        <v>1</v>
      </c>
      <c r="X5293">
        <v>0.84772727272727266</v>
      </c>
      <c r="Y5293">
        <v>118</v>
      </c>
      <c r="Z5293">
        <v>505.26312452494989</v>
      </c>
      <c r="AA5293">
        <v>198</v>
      </c>
      <c r="AB5293">
        <v>332</v>
      </c>
      <c r="AC5293">
        <v>536</v>
      </c>
      <c r="AD5293">
        <v>28.15</v>
      </c>
      <c r="AE5293">
        <v>542</v>
      </c>
      <c r="AF5293">
        <v>21</v>
      </c>
      <c r="AG5293">
        <v>176</v>
      </c>
      <c r="AH5293">
        <v>129</v>
      </c>
      <c r="AI5293">
        <v>3.87</v>
      </c>
      <c r="AJ5293">
        <v>32.47</v>
      </c>
      <c r="AK5293">
        <v>23.8</v>
      </c>
      <c r="AL5293">
        <v>-20.131561999999949</v>
      </c>
      <c r="AM5293">
        <v>-44.839930272274998</v>
      </c>
      <c r="AN5293">
        <v>-20.131561999999949</v>
      </c>
      <c r="AO5293">
        <v>-44.839930272274998</v>
      </c>
      <c r="AP5293">
        <v>-20.131599000000001</v>
      </c>
      <c r="AQ5293">
        <v>-44.839945</v>
      </c>
      <c r="AR5293">
        <v>4.3970860299791923</v>
      </c>
      <c r="AS5293" t="s">
        <v>65</v>
      </c>
      <c r="AT5293">
        <v>1</v>
      </c>
      <c r="AU5293" t="s">
        <v>1806</v>
      </c>
      <c r="AV5293" t="s">
        <v>1807</v>
      </c>
      <c r="AW5293" t="s">
        <v>60</v>
      </c>
      <c r="AX5293" t="s">
        <v>68</v>
      </c>
      <c r="AY5293" t="s">
        <v>69</v>
      </c>
      <c r="AZ5293" t="b">
        <v>1</v>
      </c>
    </row>
    <row r="5294" spans="1:52" x14ac:dyDescent="0.3">
      <c r="A5294" t="s">
        <v>52</v>
      </c>
      <c r="B5294" t="s">
        <v>53</v>
      </c>
      <c r="C5294" t="s">
        <v>54</v>
      </c>
      <c r="D5294" t="s">
        <v>55</v>
      </c>
      <c r="E5294" t="s">
        <v>2278</v>
      </c>
      <c r="F5294" t="s">
        <v>190</v>
      </c>
      <c r="G5294" t="s">
        <v>1224</v>
      </c>
      <c r="H5294" t="s">
        <v>1230</v>
      </c>
      <c r="I5294" t="s">
        <v>1230</v>
      </c>
      <c r="J5294" t="s">
        <v>60</v>
      </c>
      <c r="K5294" t="s">
        <v>828</v>
      </c>
      <c r="L5294" t="s">
        <v>62</v>
      </c>
      <c r="M5294" t="s">
        <v>828</v>
      </c>
      <c r="N5294" t="s">
        <v>1231</v>
      </c>
      <c r="O5294" t="s">
        <v>1232</v>
      </c>
      <c r="P5294">
        <v>-20.136106000000002</v>
      </c>
      <c r="Q5294">
        <v>-44.838470999999998</v>
      </c>
      <c r="R5294" s="2" t="str">
        <f>HYPERLINK("https://www.google.com/maps?q=-20.1361060,-44.8384710","Abrir no Google Maps")</f>
        <v>Abrir no Google Maps</v>
      </c>
      <c r="S5294">
        <v>3</v>
      </c>
      <c r="T5294">
        <v>910.01690137237858</v>
      </c>
      <c r="U5294">
        <v>3</v>
      </c>
      <c r="V5294">
        <v>0.82021178637200731</v>
      </c>
      <c r="W5294">
        <v>1</v>
      </c>
      <c r="X5294">
        <v>0.82021178637200731</v>
      </c>
      <c r="Y5294">
        <v>118</v>
      </c>
      <c r="Z5294">
        <v>892.76979321439796</v>
      </c>
      <c r="AA5294">
        <v>198</v>
      </c>
      <c r="AB5294">
        <v>332</v>
      </c>
      <c r="AC5294">
        <v>536</v>
      </c>
      <c r="AD5294">
        <v>28.15</v>
      </c>
      <c r="AE5294">
        <v>542</v>
      </c>
      <c r="AF5294">
        <v>21</v>
      </c>
      <c r="AG5294">
        <v>176</v>
      </c>
      <c r="AH5294">
        <v>129</v>
      </c>
      <c r="AI5294">
        <v>3.87</v>
      </c>
      <c r="AJ5294">
        <v>32.47</v>
      </c>
      <c r="AK5294">
        <v>23.8</v>
      </c>
      <c r="AL5294">
        <v>-20.136356149999951</v>
      </c>
      <c r="AM5294">
        <v>-44.838929886373997</v>
      </c>
      <c r="AN5294">
        <v>-20.136356149999951</v>
      </c>
      <c r="AO5294">
        <v>-44.838929886373997</v>
      </c>
      <c r="AP5294">
        <v>-20.136106000000002</v>
      </c>
      <c r="AQ5294">
        <v>-44.838470999999998</v>
      </c>
      <c r="AR5294">
        <v>55.458802856549369</v>
      </c>
      <c r="AS5294" t="s">
        <v>65</v>
      </c>
      <c r="AT5294">
        <v>1</v>
      </c>
      <c r="AU5294" t="s">
        <v>1233</v>
      </c>
      <c r="AV5294" t="s">
        <v>1234</v>
      </c>
      <c r="AW5294" t="s">
        <v>60</v>
      </c>
      <c r="AX5294" t="s">
        <v>68</v>
      </c>
      <c r="AY5294" t="s">
        <v>69</v>
      </c>
      <c r="AZ5294" t="b">
        <v>1</v>
      </c>
    </row>
    <row r="5295" spans="1:52" x14ac:dyDescent="0.3">
      <c r="A5295" t="s">
        <v>52</v>
      </c>
      <c r="B5295" t="s">
        <v>53</v>
      </c>
      <c r="C5295" t="s">
        <v>54</v>
      </c>
      <c r="D5295" t="s">
        <v>55</v>
      </c>
      <c r="E5295" t="s">
        <v>2278</v>
      </c>
      <c r="F5295" t="s">
        <v>190</v>
      </c>
      <c r="G5295" t="s">
        <v>826</v>
      </c>
      <c r="H5295" t="s">
        <v>827</v>
      </c>
      <c r="I5295" t="s">
        <v>827</v>
      </c>
      <c r="J5295" t="s">
        <v>60</v>
      </c>
      <c r="K5295" t="s">
        <v>828</v>
      </c>
      <c r="L5295" t="s">
        <v>62</v>
      </c>
      <c r="M5295" t="s">
        <v>828</v>
      </c>
      <c r="N5295" t="s">
        <v>829</v>
      </c>
      <c r="O5295" t="s">
        <v>830</v>
      </c>
      <c r="P5295">
        <v>-20.128309999999999</v>
      </c>
      <c r="Q5295">
        <v>-44.8367</v>
      </c>
      <c r="R5295" s="2" t="str">
        <f>HYPERLINK("https://www.google.com/maps?q=-20.1283100,-44.8367000","Abrir no Google Maps")</f>
        <v>Abrir no Google Maps</v>
      </c>
      <c r="S5295">
        <v>3</v>
      </c>
      <c r="T5295">
        <v>0</v>
      </c>
      <c r="U5295">
        <v>3</v>
      </c>
      <c r="V5295">
        <v>0.85663841807909602</v>
      </c>
      <c r="W5295">
        <v>1</v>
      </c>
      <c r="X5295">
        <v>0.85663841807909602</v>
      </c>
      <c r="Y5295">
        <v>118</v>
      </c>
      <c r="Z5295">
        <v>65.93296364139367</v>
      </c>
      <c r="AA5295">
        <v>198</v>
      </c>
      <c r="AB5295">
        <v>332</v>
      </c>
      <c r="AC5295">
        <v>536</v>
      </c>
      <c r="AD5295">
        <v>28.15</v>
      </c>
      <c r="AE5295">
        <v>542</v>
      </c>
      <c r="AF5295">
        <v>21</v>
      </c>
      <c r="AG5295">
        <v>176</v>
      </c>
      <c r="AH5295">
        <v>129</v>
      </c>
      <c r="AI5295">
        <v>3.87</v>
      </c>
      <c r="AJ5295">
        <v>32.47</v>
      </c>
      <c r="AK5295">
        <v>23.8</v>
      </c>
      <c r="AL5295">
        <v>-20.128383649999961</v>
      </c>
      <c r="AM5295">
        <v>-44.836795615491283</v>
      </c>
      <c r="AN5295">
        <v>-20.128383649999961</v>
      </c>
      <c r="AO5295">
        <v>-44.836795615491283</v>
      </c>
      <c r="AP5295">
        <v>-20.128309999999999</v>
      </c>
      <c r="AQ5295">
        <v>-44.8367</v>
      </c>
      <c r="AR5295">
        <v>12.92654496723039</v>
      </c>
      <c r="AS5295" t="s">
        <v>65</v>
      </c>
      <c r="AT5295">
        <v>1</v>
      </c>
      <c r="AU5295" t="s">
        <v>831</v>
      </c>
      <c r="AV5295" t="s">
        <v>832</v>
      </c>
      <c r="AW5295" t="s">
        <v>60</v>
      </c>
      <c r="AX5295" t="s">
        <v>68</v>
      </c>
      <c r="AY5295" t="s">
        <v>69</v>
      </c>
      <c r="AZ5295" t="b">
        <v>1</v>
      </c>
    </row>
    <row r="5296" spans="1:52" x14ac:dyDescent="0.3">
      <c r="A5296" t="s">
        <v>52</v>
      </c>
      <c r="B5296" t="s">
        <v>53</v>
      </c>
      <c r="C5296" t="s">
        <v>54</v>
      </c>
      <c r="D5296" t="s">
        <v>55</v>
      </c>
      <c r="E5296" t="s">
        <v>2278</v>
      </c>
      <c r="F5296" t="s">
        <v>1247</v>
      </c>
      <c r="G5296" t="s">
        <v>58</v>
      </c>
      <c r="H5296" t="s">
        <v>59</v>
      </c>
      <c r="I5296" t="s">
        <v>59</v>
      </c>
      <c r="J5296" t="s">
        <v>60</v>
      </c>
      <c r="K5296" t="s">
        <v>61</v>
      </c>
      <c r="L5296" t="s">
        <v>62</v>
      </c>
      <c r="M5296" t="s">
        <v>61</v>
      </c>
      <c r="N5296" t="s">
        <v>63</v>
      </c>
      <c r="O5296" t="s">
        <v>64</v>
      </c>
      <c r="P5296">
        <v>-20.147940999999999</v>
      </c>
      <c r="Q5296">
        <v>-44.906514000000001</v>
      </c>
      <c r="R5296" s="2" t="str">
        <f>HYPERLINK("https://www.google.com/maps?q=-20.1479410,-44.9065140","Abrir no Google Maps")</f>
        <v>Abrir no Google Maps</v>
      </c>
      <c r="S5296">
        <v>4</v>
      </c>
      <c r="T5296">
        <v>308.67004994113421</v>
      </c>
      <c r="U5296">
        <v>4</v>
      </c>
      <c r="V5296">
        <v>0.92942506459948315</v>
      </c>
      <c r="W5296">
        <v>1</v>
      </c>
      <c r="X5296">
        <v>0.92942506459948315</v>
      </c>
      <c r="Y5296">
        <v>747</v>
      </c>
      <c r="Z5296">
        <v>274.71440454502522</v>
      </c>
      <c r="AA5296">
        <v>198</v>
      </c>
      <c r="AB5296">
        <v>332</v>
      </c>
      <c r="AC5296">
        <v>536</v>
      </c>
      <c r="AD5296">
        <v>28.15</v>
      </c>
      <c r="AE5296">
        <v>542</v>
      </c>
      <c r="AF5296">
        <v>21</v>
      </c>
      <c r="AG5296">
        <v>176</v>
      </c>
      <c r="AH5296">
        <v>129</v>
      </c>
      <c r="AI5296">
        <v>3.87</v>
      </c>
      <c r="AJ5296">
        <v>32.47</v>
      </c>
      <c r="AK5296">
        <v>23.8</v>
      </c>
      <c r="AL5296">
        <v>-20.147947799999969</v>
      </c>
      <c r="AM5296">
        <v>-44.906591596129203</v>
      </c>
      <c r="AN5296">
        <v>-20.147947799999969</v>
      </c>
      <c r="AO5296">
        <v>-44.906591596129203</v>
      </c>
      <c r="AP5296">
        <v>-20.147940999999999</v>
      </c>
      <c r="AQ5296">
        <v>-44.906514000000001</v>
      </c>
      <c r="AR5296">
        <v>8.1446636170570326</v>
      </c>
      <c r="AS5296" t="s">
        <v>65</v>
      </c>
      <c r="AT5296">
        <v>1</v>
      </c>
      <c r="AU5296" t="s">
        <v>66</v>
      </c>
      <c r="AV5296" t="s">
        <v>67</v>
      </c>
      <c r="AW5296" t="s">
        <v>60</v>
      </c>
      <c r="AX5296" t="s">
        <v>68</v>
      </c>
      <c r="AY5296" t="s">
        <v>69</v>
      </c>
      <c r="AZ5296" t="b">
        <v>1</v>
      </c>
    </row>
    <row r="5297" spans="1:52" x14ac:dyDescent="0.3">
      <c r="A5297" t="s">
        <v>52</v>
      </c>
      <c r="B5297" t="s">
        <v>53</v>
      </c>
      <c r="C5297" t="s">
        <v>54</v>
      </c>
      <c r="D5297" t="s">
        <v>55</v>
      </c>
      <c r="E5297" t="s">
        <v>2278</v>
      </c>
      <c r="F5297" t="s">
        <v>1247</v>
      </c>
      <c r="G5297" t="s">
        <v>70</v>
      </c>
      <c r="H5297" t="s">
        <v>71</v>
      </c>
      <c r="I5297" t="s">
        <v>71</v>
      </c>
      <c r="J5297" t="s">
        <v>60</v>
      </c>
      <c r="K5297" t="s">
        <v>72</v>
      </c>
      <c r="L5297" t="s">
        <v>62</v>
      </c>
      <c r="M5297" t="s">
        <v>72</v>
      </c>
      <c r="N5297" t="s">
        <v>73</v>
      </c>
      <c r="O5297" t="s">
        <v>74</v>
      </c>
      <c r="P5297">
        <v>-20.149349000000001</v>
      </c>
      <c r="Q5297">
        <v>-44.910784</v>
      </c>
      <c r="R5297" s="2" t="str">
        <f>HYPERLINK("https://www.google.com/maps?q=-20.1493490,-44.9107840","Abrir no Google Maps")</f>
        <v>Abrir no Google Maps</v>
      </c>
      <c r="S5297">
        <v>4</v>
      </c>
      <c r="T5297">
        <v>472.43876549769578</v>
      </c>
      <c r="U5297">
        <v>4</v>
      </c>
      <c r="V5297">
        <v>0.92466085271317844</v>
      </c>
      <c r="W5297">
        <v>1</v>
      </c>
      <c r="X5297">
        <v>0.92466085271317844</v>
      </c>
      <c r="Y5297">
        <v>747</v>
      </c>
      <c r="Z5297">
        <v>441.03921887407779</v>
      </c>
      <c r="AA5297">
        <v>198</v>
      </c>
      <c r="AB5297">
        <v>332</v>
      </c>
      <c r="AC5297">
        <v>536</v>
      </c>
      <c r="AD5297">
        <v>28.15</v>
      </c>
      <c r="AE5297">
        <v>542</v>
      </c>
      <c r="AF5297">
        <v>21</v>
      </c>
      <c r="AG5297">
        <v>176</v>
      </c>
      <c r="AH5297">
        <v>129</v>
      </c>
      <c r="AI5297">
        <v>3.87</v>
      </c>
      <c r="AJ5297">
        <v>32.47</v>
      </c>
      <c r="AK5297">
        <v>23.8</v>
      </c>
      <c r="AL5297">
        <v>-20.149403999999951</v>
      </c>
      <c r="AM5297">
        <v>-44.91080895147438</v>
      </c>
      <c r="AN5297">
        <v>-20.149403999999951</v>
      </c>
      <c r="AO5297">
        <v>-44.91080895147438</v>
      </c>
      <c r="AP5297">
        <v>-20.149349000000001</v>
      </c>
      <c r="AQ5297">
        <v>-44.910784</v>
      </c>
      <c r="AR5297">
        <v>6.6547592699416382</v>
      </c>
      <c r="AS5297" t="s">
        <v>65</v>
      </c>
      <c r="AT5297">
        <v>1</v>
      </c>
      <c r="AU5297" t="s">
        <v>75</v>
      </c>
      <c r="AV5297" t="s">
        <v>76</v>
      </c>
      <c r="AW5297" t="s">
        <v>60</v>
      </c>
      <c r="AX5297" t="s">
        <v>68</v>
      </c>
      <c r="AY5297" t="s">
        <v>69</v>
      </c>
      <c r="AZ5297" t="b">
        <v>1</v>
      </c>
    </row>
    <row r="5298" spans="1:52" x14ac:dyDescent="0.3">
      <c r="A5298" t="s">
        <v>52</v>
      </c>
      <c r="B5298" t="s">
        <v>53</v>
      </c>
      <c r="C5298" t="s">
        <v>54</v>
      </c>
      <c r="D5298" t="s">
        <v>55</v>
      </c>
      <c r="E5298" t="s">
        <v>2278</v>
      </c>
      <c r="F5298" t="s">
        <v>1247</v>
      </c>
      <c r="G5298" t="s">
        <v>77</v>
      </c>
      <c r="H5298" t="s">
        <v>78</v>
      </c>
      <c r="I5298" t="s">
        <v>78</v>
      </c>
      <c r="J5298" t="s">
        <v>60</v>
      </c>
      <c r="K5298" t="s">
        <v>72</v>
      </c>
      <c r="L5298" t="s">
        <v>62</v>
      </c>
      <c r="M5298" t="s">
        <v>72</v>
      </c>
      <c r="N5298" t="s">
        <v>79</v>
      </c>
      <c r="O5298" t="s">
        <v>80</v>
      </c>
      <c r="P5298">
        <v>-20.147821</v>
      </c>
      <c r="Q5298">
        <v>-44.908887</v>
      </c>
      <c r="R5298" s="2" t="str">
        <f>HYPERLINK("https://www.google.com/maps?q=-20.1478210,-44.9088870","Abrir no Google Maps")</f>
        <v>Abrir no Google Maps</v>
      </c>
      <c r="S5298">
        <v>4</v>
      </c>
      <c r="T5298">
        <v>232.2893841532152</v>
      </c>
      <c r="U5298">
        <v>4</v>
      </c>
      <c r="V5298">
        <v>0.95953757225433522</v>
      </c>
      <c r="W5298">
        <v>1</v>
      </c>
      <c r="X5298">
        <v>0.95953757225433522</v>
      </c>
      <c r="Y5298">
        <v>747</v>
      </c>
      <c r="Z5298">
        <v>195.3668648953757</v>
      </c>
      <c r="AA5298">
        <v>198</v>
      </c>
      <c r="AB5298">
        <v>332</v>
      </c>
      <c r="AC5298">
        <v>536</v>
      </c>
      <c r="AD5298">
        <v>28.15</v>
      </c>
      <c r="AE5298">
        <v>542</v>
      </c>
      <c r="AF5298">
        <v>21</v>
      </c>
      <c r="AG5298">
        <v>176</v>
      </c>
      <c r="AH5298">
        <v>129</v>
      </c>
      <c r="AI5298">
        <v>3.87</v>
      </c>
      <c r="AJ5298">
        <v>32.47</v>
      </c>
      <c r="AK5298">
        <v>23.8</v>
      </c>
      <c r="AL5298">
        <v>-20.147802849999952</v>
      </c>
      <c r="AM5298">
        <v>-44.908989919229477</v>
      </c>
      <c r="AN5298">
        <v>-20.147802849999952</v>
      </c>
      <c r="AO5298">
        <v>-44.908989919229491</v>
      </c>
      <c r="AP5298">
        <v>-20.147821</v>
      </c>
      <c r="AQ5298">
        <v>-44.908887</v>
      </c>
      <c r="AR5298">
        <v>10.944007761262529</v>
      </c>
      <c r="AS5298" t="s">
        <v>65</v>
      </c>
      <c r="AT5298">
        <v>1</v>
      </c>
      <c r="AU5298" t="s">
        <v>81</v>
      </c>
      <c r="AV5298" t="s">
        <v>82</v>
      </c>
      <c r="AW5298" t="s">
        <v>60</v>
      </c>
      <c r="AX5298" t="s">
        <v>68</v>
      </c>
      <c r="AY5298" t="s">
        <v>69</v>
      </c>
      <c r="AZ5298" t="b">
        <v>1</v>
      </c>
    </row>
    <row r="5299" spans="1:52" x14ac:dyDescent="0.3">
      <c r="A5299" t="s">
        <v>52</v>
      </c>
      <c r="B5299" t="s">
        <v>53</v>
      </c>
      <c r="C5299" t="s">
        <v>54</v>
      </c>
      <c r="D5299" t="s">
        <v>55</v>
      </c>
      <c r="E5299" t="s">
        <v>2278</v>
      </c>
      <c r="F5299" t="s">
        <v>1247</v>
      </c>
      <c r="G5299" t="s">
        <v>83</v>
      </c>
      <c r="H5299" t="s">
        <v>84</v>
      </c>
      <c r="I5299" t="s">
        <v>84</v>
      </c>
      <c r="J5299" t="s">
        <v>60</v>
      </c>
      <c r="K5299" t="s">
        <v>61</v>
      </c>
      <c r="L5299" t="s">
        <v>62</v>
      </c>
      <c r="M5299" t="s">
        <v>61</v>
      </c>
      <c r="N5299" t="s">
        <v>85</v>
      </c>
      <c r="O5299" t="s">
        <v>86</v>
      </c>
      <c r="P5299">
        <v>-20.149799000000002</v>
      </c>
      <c r="Q5299">
        <v>-44.906517000000001</v>
      </c>
      <c r="R5299" s="2" t="str">
        <f>HYPERLINK("https://www.google.com/maps?q=-20.1497990,-44.9065170","Abrir no Google Maps")</f>
        <v>Abrir no Google Maps</v>
      </c>
      <c r="S5299">
        <v>4</v>
      </c>
      <c r="T5299">
        <v>487.90051105537998</v>
      </c>
      <c r="U5299">
        <v>4</v>
      </c>
      <c r="V5299">
        <v>0.89595660749506911</v>
      </c>
      <c r="W5299">
        <v>1</v>
      </c>
      <c r="X5299">
        <v>0.89595660749506911</v>
      </c>
      <c r="Y5299">
        <v>747</v>
      </c>
      <c r="Z5299">
        <v>365.93785960107078</v>
      </c>
      <c r="AA5299">
        <v>198</v>
      </c>
      <c r="AB5299">
        <v>332</v>
      </c>
      <c r="AC5299">
        <v>536</v>
      </c>
      <c r="AD5299">
        <v>28.15</v>
      </c>
      <c r="AE5299">
        <v>542</v>
      </c>
      <c r="AF5299">
        <v>21</v>
      </c>
      <c r="AG5299">
        <v>176</v>
      </c>
      <c r="AH5299">
        <v>129</v>
      </c>
      <c r="AI5299">
        <v>3.87</v>
      </c>
      <c r="AJ5299">
        <v>32.47</v>
      </c>
      <c r="AK5299">
        <v>23.8</v>
      </c>
      <c r="AL5299">
        <v>-20.149879599999959</v>
      </c>
      <c r="AM5299">
        <v>-44.906746466068469</v>
      </c>
      <c r="AN5299">
        <v>-20.149879599999959</v>
      </c>
      <c r="AO5299">
        <v>-44.906746466068469</v>
      </c>
      <c r="AP5299">
        <v>-20.149799000000002</v>
      </c>
      <c r="AQ5299">
        <v>-44.906517000000001</v>
      </c>
      <c r="AR5299">
        <v>25.604276856970429</v>
      </c>
      <c r="AS5299" t="s">
        <v>65</v>
      </c>
      <c r="AT5299">
        <v>1</v>
      </c>
      <c r="AU5299" t="s">
        <v>87</v>
      </c>
      <c r="AV5299" t="s">
        <v>88</v>
      </c>
      <c r="AW5299" t="s">
        <v>60</v>
      </c>
      <c r="AX5299" t="s">
        <v>68</v>
      </c>
      <c r="AY5299" t="s">
        <v>69</v>
      </c>
      <c r="AZ5299" t="b">
        <v>1</v>
      </c>
    </row>
    <row r="5300" spans="1:52" x14ac:dyDescent="0.3">
      <c r="A5300" t="s">
        <v>52</v>
      </c>
      <c r="B5300" t="s">
        <v>53</v>
      </c>
      <c r="C5300" t="s">
        <v>54</v>
      </c>
      <c r="D5300" t="s">
        <v>55</v>
      </c>
      <c r="E5300" t="s">
        <v>2278</v>
      </c>
      <c r="F5300" t="s">
        <v>1247</v>
      </c>
      <c r="G5300" t="s">
        <v>89</v>
      </c>
      <c r="H5300" t="s">
        <v>90</v>
      </c>
      <c r="I5300" t="s">
        <v>90</v>
      </c>
      <c r="J5300" t="s">
        <v>60</v>
      </c>
      <c r="K5300" t="s">
        <v>72</v>
      </c>
      <c r="L5300" t="s">
        <v>62</v>
      </c>
      <c r="M5300" t="s">
        <v>72</v>
      </c>
      <c r="N5300" t="s">
        <v>91</v>
      </c>
      <c r="O5300" t="s">
        <v>92</v>
      </c>
      <c r="P5300">
        <v>-20.145848999999998</v>
      </c>
      <c r="Q5300">
        <v>-44.908419000000002</v>
      </c>
      <c r="R5300" s="2" t="str">
        <f>HYPERLINK("https://www.google.com/maps?q=-20.1458490,-44.9084190","Abrir no Google Maps")</f>
        <v>Abrir no Google Maps</v>
      </c>
      <c r="S5300">
        <v>4</v>
      </c>
      <c r="T5300">
        <v>0</v>
      </c>
      <c r="U5300">
        <v>4</v>
      </c>
      <c r="V5300">
        <v>0.92663043478260865</v>
      </c>
      <c r="W5300">
        <v>1</v>
      </c>
      <c r="X5300">
        <v>0.92663043478260865</v>
      </c>
      <c r="Y5300">
        <v>747</v>
      </c>
      <c r="Z5300">
        <v>136.08168502765241</v>
      </c>
      <c r="AA5300">
        <v>198</v>
      </c>
      <c r="AB5300">
        <v>332</v>
      </c>
      <c r="AC5300">
        <v>536</v>
      </c>
      <c r="AD5300">
        <v>28.15</v>
      </c>
      <c r="AE5300">
        <v>542</v>
      </c>
      <c r="AF5300">
        <v>21</v>
      </c>
      <c r="AG5300">
        <v>176</v>
      </c>
      <c r="AH5300">
        <v>129</v>
      </c>
      <c r="AI5300">
        <v>3.87</v>
      </c>
      <c r="AJ5300">
        <v>32.47</v>
      </c>
      <c r="AK5300">
        <v>23.8</v>
      </c>
      <c r="AL5300">
        <v>-20.14576979999995</v>
      </c>
      <c r="AM5300">
        <v>-44.908436775053183</v>
      </c>
      <c r="AN5300">
        <v>-20.14576979999995</v>
      </c>
      <c r="AO5300">
        <v>-44.908436775053183</v>
      </c>
      <c r="AP5300">
        <v>-20.145848999999998</v>
      </c>
      <c r="AQ5300">
        <v>-44.908419000000002</v>
      </c>
      <c r="AR5300">
        <v>9.0101247482327356</v>
      </c>
      <c r="AS5300" t="s">
        <v>65</v>
      </c>
      <c r="AT5300">
        <v>1</v>
      </c>
      <c r="AU5300" t="s">
        <v>93</v>
      </c>
      <c r="AV5300" t="s">
        <v>94</v>
      </c>
      <c r="AW5300" t="s">
        <v>60</v>
      </c>
      <c r="AX5300" t="s">
        <v>68</v>
      </c>
      <c r="AY5300" t="s">
        <v>69</v>
      </c>
      <c r="AZ5300" t="b">
        <v>1</v>
      </c>
    </row>
    <row r="5301" spans="1:52" x14ac:dyDescent="0.3">
      <c r="A5301" t="s">
        <v>52</v>
      </c>
      <c r="B5301" t="s">
        <v>53</v>
      </c>
      <c r="C5301" t="s">
        <v>54</v>
      </c>
      <c r="D5301" t="s">
        <v>55</v>
      </c>
      <c r="E5301" t="s">
        <v>2278</v>
      </c>
      <c r="F5301" t="s">
        <v>1247</v>
      </c>
      <c r="G5301" t="s">
        <v>95</v>
      </c>
      <c r="H5301" t="s">
        <v>96</v>
      </c>
      <c r="I5301" t="s">
        <v>96</v>
      </c>
      <c r="J5301" t="s">
        <v>60</v>
      </c>
      <c r="K5301" t="s">
        <v>72</v>
      </c>
      <c r="L5301" t="s">
        <v>62</v>
      </c>
      <c r="M5301" t="s">
        <v>72</v>
      </c>
      <c r="N5301" t="s">
        <v>97</v>
      </c>
      <c r="O5301" t="s">
        <v>98</v>
      </c>
      <c r="P5301">
        <v>-20.144062999999999</v>
      </c>
      <c r="Q5301">
        <v>-44.909627999999998</v>
      </c>
      <c r="R5301" s="2" t="str">
        <f>HYPERLINK("https://www.google.com/maps?q=-20.1440630,-44.9096280","Abrir no Google Maps")</f>
        <v>Abrir no Google Maps</v>
      </c>
      <c r="S5301">
        <v>4</v>
      </c>
      <c r="T5301">
        <v>205.27083326529291</v>
      </c>
      <c r="U5301">
        <v>4</v>
      </c>
      <c r="V5301">
        <v>0.92132352941176476</v>
      </c>
      <c r="W5301">
        <v>1</v>
      </c>
      <c r="X5301">
        <v>0.92132352941176476</v>
      </c>
      <c r="Y5301">
        <v>747</v>
      </c>
      <c r="Z5301">
        <v>336.75785483480968</v>
      </c>
      <c r="AA5301">
        <v>198</v>
      </c>
      <c r="AB5301">
        <v>332</v>
      </c>
      <c r="AC5301">
        <v>536</v>
      </c>
      <c r="AD5301">
        <v>28.15</v>
      </c>
      <c r="AE5301">
        <v>542</v>
      </c>
      <c r="AF5301">
        <v>21</v>
      </c>
      <c r="AG5301">
        <v>176</v>
      </c>
      <c r="AH5301">
        <v>129</v>
      </c>
      <c r="AI5301">
        <v>3.87</v>
      </c>
      <c r="AJ5301">
        <v>32.47</v>
      </c>
      <c r="AK5301">
        <v>23.8</v>
      </c>
      <c r="AL5301">
        <v>-20.144164099999951</v>
      </c>
      <c r="AM5301">
        <v>-44.909420167767642</v>
      </c>
      <c r="AN5301">
        <v>-20.144164099999951</v>
      </c>
      <c r="AO5301">
        <v>-44.909420167767642</v>
      </c>
      <c r="AP5301">
        <v>-20.144062999999999</v>
      </c>
      <c r="AQ5301">
        <v>-44.909627999999998</v>
      </c>
      <c r="AR5301">
        <v>24.46321571724976</v>
      </c>
      <c r="AS5301" t="s">
        <v>65</v>
      </c>
      <c r="AT5301">
        <v>1</v>
      </c>
      <c r="AU5301" t="s">
        <v>99</v>
      </c>
      <c r="AV5301" t="s">
        <v>94</v>
      </c>
      <c r="AW5301" t="s">
        <v>60</v>
      </c>
      <c r="AX5301" t="s">
        <v>68</v>
      </c>
      <c r="AY5301" t="s">
        <v>69</v>
      </c>
      <c r="AZ5301" t="b">
        <v>1</v>
      </c>
    </row>
    <row r="5302" spans="1:52" x14ac:dyDescent="0.3">
      <c r="A5302" t="s">
        <v>52</v>
      </c>
      <c r="B5302" t="s">
        <v>53</v>
      </c>
      <c r="C5302" t="s">
        <v>54</v>
      </c>
      <c r="D5302" t="s">
        <v>55</v>
      </c>
      <c r="E5302" t="s">
        <v>2278</v>
      </c>
      <c r="F5302" t="s">
        <v>1247</v>
      </c>
      <c r="G5302" t="s">
        <v>100</v>
      </c>
      <c r="H5302" t="s">
        <v>101</v>
      </c>
      <c r="I5302" t="s">
        <v>101</v>
      </c>
      <c r="J5302" t="s">
        <v>60</v>
      </c>
      <c r="K5302" t="s">
        <v>61</v>
      </c>
      <c r="L5302" t="s">
        <v>62</v>
      </c>
      <c r="M5302" t="s">
        <v>61</v>
      </c>
      <c r="N5302" t="s">
        <v>102</v>
      </c>
      <c r="O5302" t="s">
        <v>103</v>
      </c>
      <c r="P5302">
        <v>-20.151098999999999</v>
      </c>
      <c r="Q5302">
        <v>-44.909699000000003</v>
      </c>
      <c r="R5302" s="2" t="str">
        <f>HYPERLINK("https://www.google.com/maps?q=-20.1510990,-44.9096990","Abrir no Google Maps")</f>
        <v>Abrir no Google Maps</v>
      </c>
      <c r="S5302">
        <v>4</v>
      </c>
      <c r="T5302">
        <v>628.5023128813533</v>
      </c>
      <c r="U5302">
        <v>4</v>
      </c>
      <c r="V5302">
        <v>0.9033203125</v>
      </c>
      <c r="W5302">
        <v>1</v>
      </c>
      <c r="X5302">
        <v>0.9033203125</v>
      </c>
      <c r="Y5302">
        <v>747</v>
      </c>
      <c r="Z5302">
        <v>563.16456625265948</v>
      </c>
      <c r="AA5302">
        <v>198</v>
      </c>
      <c r="AB5302">
        <v>332</v>
      </c>
      <c r="AC5302">
        <v>536</v>
      </c>
      <c r="AD5302">
        <v>28.15</v>
      </c>
      <c r="AE5302">
        <v>542</v>
      </c>
      <c r="AF5302">
        <v>21</v>
      </c>
      <c r="AG5302">
        <v>176</v>
      </c>
      <c r="AH5302">
        <v>129</v>
      </c>
      <c r="AI5302">
        <v>3.87</v>
      </c>
      <c r="AJ5302">
        <v>32.47</v>
      </c>
      <c r="AK5302">
        <v>23.8</v>
      </c>
      <c r="AL5302">
        <v>-20.151307349999971</v>
      </c>
      <c r="AM5302">
        <v>-44.909772836123523</v>
      </c>
      <c r="AN5302">
        <v>-20.151307349999971</v>
      </c>
      <c r="AO5302">
        <v>-44.909772836123523</v>
      </c>
      <c r="AP5302">
        <v>-20.151098999999999</v>
      </c>
      <c r="AQ5302">
        <v>-44.909699000000003</v>
      </c>
      <c r="AR5302">
        <v>24.443417349564811</v>
      </c>
      <c r="AS5302" t="s">
        <v>65</v>
      </c>
      <c r="AT5302">
        <v>1</v>
      </c>
      <c r="AU5302" t="s">
        <v>104</v>
      </c>
      <c r="AV5302" t="s">
        <v>105</v>
      </c>
      <c r="AW5302" t="s">
        <v>60</v>
      </c>
      <c r="AX5302" t="s">
        <v>68</v>
      </c>
      <c r="AY5302" t="s">
        <v>69</v>
      </c>
      <c r="AZ5302" t="b">
        <v>1</v>
      </c>
    </row>
    <row r="5303" spans="1:52" x14ac:dyDescent="0.3">
      <c r="A5303" t="s">
        <v>52</v>
      </c>
      <c r="B5303" t="s">
        <v>53</v>
      </c>
      <c r="C5303" t="s">
        <v>54</v>
      </c>
      <c r="D5303" t="s">
        <v>55</v>
      </c>
      <c r="E5303" t="s">
        <v>2278</v>
      </c>
      <c r="F5303" t="s">
        <v>1247</v>
      </c>
      <c r="G5303" t="s">
        <v>115</v>
      </c>
      <c r="H5303" t="s">
        <v>116</v>
      </c>
      <c r="I5303" t="s">
        <v>116</v>
      </c>
      <c r="J5303" t="s">
        <v>60</v>
      </c>
      <c r="K5303" t="s">
        <v>117</v>
      </c>
      <c r="L5303" t="s">
        <v>62</v>
      </c>
      <c r="M5303" t="s">
        <v>117</v>
      </c>
      <c r="N5303" t="s">
        <v>118</v>
      </c>
      <c r="O5303" t="s">
        <v>119</v>
      </c>
      <c r="P5303">
        <v>-20.116992</v>
      </c>
      <c r="Q5303">
        <v>-44.899355</v>
      </c>
      <c r="R5303" s="2" t="str">
        <f>HYPERLINK("https://www.google.com/maps?q=-20.1169920,-44.8993550","Abrir no Google Maps")</f>
        <v>Abrir no Google Maps</v>
      </c>
      <c r="S5303">
        <v>4</v>
      </c>
      <c r="T5303">
        <v>0</v>
      </c>
      <c r="U5303">
        <v>4</v>
      </c>
      <c r="V5303">
        <v>0.89070855614973266</v>
      </c>
      <c r="W5303">
        <v>1</v>
      </c>
      <c r="X5303">
        <v>0.89070855614973266</v>
      </c>
      <c r="Y5303">
        <v>567</v>
      </c>
      <c r="Z5303">
        <v>54.913678078353321</v>
      </c>
      <c r="AA5303">
        <v>198</v>
      </c>
      <c r="AB5303">
        <v>332</v>
      </c>
      <c r="AC5303">
        <v>536</v>
      </c>
      <c r="AD5303">
        <v>28.15</v>
      </c>
      <c r="AE5303">
        <v>542</v>
      </c>
      <c r="AF5303">
        <v>21</v>
      </c>
      <c r="AG5303">
        <v>176</v>
      </c>
      <c r="AH5303">
        <v>129</v>
      </c>
      <c r="AI5303">
        <v>3.87</v>
      </c>
      <c r="AJ5303">
        <v>32.47</v>
      </c>
      <c r="AK5303">
        <v>23.8</v>
      </c>
      <c r="AL5303">
        <v>-20.117107749999949</v>
      </c>
      <c r="AM5303">
        <v>-44.899271226243108</v>
      </c>
      <c r="AN5303">
        <v>-20.117107749999949</v>
      </c>
      <c r="AO5303">
        <v>-44.899271226243108</v>
      </c>
      <c r="AP5303">
        <v>-20.116992</v>
      </c>
      <c r="AQ5303">
        <v>-44.899355</v>
      </c>
      <c r="AR5303">
        <v>15.579196044083419</v>
      </c>
      <c r="AS5303" t="s">
        <v>65</v>
      </c>
      <c r="AT5303">
        <v>1</v>
      </c>
      <c r="AU5303" t="s">
        <v>120</v>
      </c>
      <c r="AV5303" t="s">
        <v>121</v>
      </c>
      <c r="AW5303" t="s">
        <v>60</v>
      </c>
      <c r="AX5303" t="s">
        <v>68</v>
      </c>
      <c r="AY5303" t="s">
        <v>69</v>
      </c>
      <c r="AZ5303" t="b">
        <v>1</v>
      </c>
    </row>
    <row r="5304" spans="1:52" x14ac:dyDescent="0.3">
      <c r="A5304" t="s">
        <v>52</v>
      </c>
      <c r="B5304" t="s">
        <v>53</v>
      </c>
      <c r="C5304" t="s">
        <v>54</v>
      </c>
      <c r="D5304" t="s">
        <v>55</v>
      </c>
      <c r="E5304" t="s">
        <v>2278</v>
      </c>
      <c r="F5304" t="s">
        <v>1247</v>
      </c>
      <c r="G5304" t="s">
        <v>122</v>
      </c>
      <c r="H5304" t="s">
        <v>123</v>
      </c>
      <c r="I5304" t="s">
        <v>123</v>
      </c>
      <c r="J5304" t="s">
        <v>60</v>
      </c>
      <c r="K5304" t="s">
        <v>117</v>
      </c>
      <c r="L5304" t="s">
        <v>62</v>
      </c>
      <c r="M5304" t="s">
        <v>117</v>
      </c>
      <c r="N5304" t="s">
        <v>124</v>
      </c>
      <c r="O5304" t="s">
        <v>125</v>
      </c>
      <c r="P5304">
        <v>-20.11853</v>
      </c>
      <c r="Q5304">
        <v>-44.896925000000003</v>
      </c>
      <c r="R5304" s="2" t="str">
        <f>HYPERLINK("https://www.google.com/maps?q=-20.1185300,-44.8969250","Abrir no Google Maps")</f>
        <v>Abrir no Google Maps</v>
      </c>
      <c r="S5304">
        <v>4</v>
      </c>
      <c r="T5304">
        <v>325.32255721093247</v>
      </c>
      <c r="U5304">
        <v>4</v>
      </c>
      <c r="V5304">
        <v>0.90200617283950602</v>
      </c>
      <c r="W5304">
        <v>1</v>
      </c>
      <c r="X5304">
        <v>0.90200617283950602</v>
      </c>
      <c r="Y5304">
        <v>567</v>
      </c>
      <c r="Z5304">
        <v>306.04423478678871</v>
      </c>
      <c r="AA5304">
        <v>198</v>
      </c>
      <c r="AB5304">
        <v>332</v>
      </c>
      <c r="AC5304">
        <v>536</v>
      </c>
      <c r="AD5304">
        <v>28.15</v>
      </c>
      <c r="AE5304">
        <v>542</v>
      </c>
      <c r="AF5304">
        <v>21</v>
      </c>
      <c r="AG5304">
        <v>176</v>
      </c>
      <c r="AH5304">
        <v>129</v>
      </c>
      <c r="AI5304">
        <v>3.87</v>
      </c>
      <c r="AJ5304">
        <v>32.47</v>
      </c>
      <c r="AK5304">
        <v>23.8</v>
      </c>
      <c r="AL5304">
        <v>-20.118682499999949</v>
      </c>
      <c r="AM5304">
        <v>-44.896643089287927</v>
      </c>
      <c r="AN5304">
        <v>-20.118682499999949</v>
      </c>
      <c r="AO5304">
        <v>-44.896643089287927</v>
      </c>
      <c r="AP5304">
        <v>-20.11853</v>
      </c>
      <c r="AQ5304">
        <v>-44.896925000000003</v>
      </c>
      <c r="AR5304">
        <v>34.007698996886518</v>
      </c>
      <c r="AS5304" t="s">
        <v>65</v>
      </c>
      <c r="AT5304">
        <v>1</v>
      </c>
      <c r="AU5304" t="s">
        <v>126</v>
      </c>
      <c r="AV5304" t="s">
        <v>121</v>
      </c>
      <c r="AW5304" t="s">
        <v>60</v>
      </c>
      <c r="AX5304" t="s">
        <v>68</v>
      </c>
      <c r="AY5304" t="s">
        <v>69</v>
      </c>
      <c r="AZ5304" t="b">
        <v>1</v>
      </c>
    </row>
    <row r="5305" spans="1:52" x14ac:dyDescent="0.3">
      <c r="A5305" t="s">
        <v>52</v>
      </c>
      <c r="B5305" t="s">
        <v>53</v>
      </c>
      <c r="C5305" t="s">
        <v>54</v>
      </c>
      <c r="D5305" t="s">
        <v>55</v>
      </c>
      <c r="E5305" t="s">
        <v>2278</v>
      </c>
      <c r="F5305" t="s">
        <v>1247</v>
      </c>
      <c r="G5305" t="s">
        <v>191</v>
      </c>
      <c r="H5305" t="s">
        <v>192</v>
      </c>
      <c r="I5305" t="s">
        <v>192</v>
      </c>
      <c r="J5305" t="s">
        <v>60</v>
      </c>
      <c r="K5305" t="s">
        <v>193</v>
      </c>
      <c r="L5305" t="s">
        <v>62</v>
      </c>
      <c r="M5305" t="s">
        <v>193</v>
      </c>
      <c r="N5305" t="s">
        <v>194</v>
      </c>
      <c r="O5305" t="s">
        <v>195</v>
      </c>
      <c r="P5305">
        <v>-20.143266000000001</v>
      </c>
      <c r="Q5305">
        <v>-44.912075000000002</v>
      </c>
      <c r="R5305" s="2" t="str">
        <f>HYPERLINK("https://www.google.com/maps?q=-20.1432660,-44.9120750","Abrir no Google Maps")</f>
        <v>Abrir no Google Maps</v>
      </c>
      <c r="S5305">
        <v>4</v>
      </c>
      <c r="T5305">
        <v>467.04339396175408</v>
      </c>
      <c r="U5305">
        <v>3</v>
      </c>
      <c r="V5305">
        <v>0.8793044077134986</v>
      </c>
      <c r="W5305">
        <v>1</v>
      </c>
      <c r="X5305">
        <v>0.8793044077134986</v>
      </c>
      <c r="Y5305">
        <v>747</v>
      </c>
      <c r="Z5305">
        <v>585.1742452866996</v>
      </c>
      <c r="AA5305">
        <v>198</v>
      </c>
      <c r="AB5305">
        <v>332</v>
      </c>
      <c r="AC5305">
        <v>536</v>
      </c>
      <c r="AD5305">
        <v>28.15</v>
      </c>
      <c r="AE5305">
        <v>542</v>
      </c>
      <c r="AF5305">
        <v>21</v>
      </c>
      <c r="AG5305">
        <v>176</v>
      </c>
      <c r="AH5305">
        <v>129</v>
      </c>
      <c r="AI5305">
        <v>3.87</v>
      </c>
      <c r="AJ5305">
        <v>32.47</v>
      </c>
      <c r="AK5305">
        <v>23.8</v>
      </c>
      <c r="AL5305">
        <v>-20.143307949999951</v>
      </c>
      <c r="AM5305">
        <v>-44.912066629431067</v>
      </c>
      <c r="AN5305">
        <v>-20.143307949999951</v>
      </c>
      <c r="AO5305">
        <v>-44.912066629431067</v>
      </c>
      <c r="AP5305">
        <v>-20.143266000000001</v>
      </c>
      <c r="AQ5305">
        <v>-44.912075000000002</v>
      </c>
      <c r="AR5305">
        <v>4.751108024498329</v>
      </c>
      <c r="AS5305" t="s">
        <v>65</v>
      </c>
      <c r="AT5305">
        <v>1</v>
      </c>
      <c r="AU5305" t="s">
        <v>196</v>
      </c>
      <c r="AV5305" t="s">
        <v>197</v>
      </c>
      <c r="AW5305" t="s">
        <v>60</v>
      </c>
      <c r="AX5305" t="s">
        <v>68</v>
      </c>
      <c r="AY5305" t="s">
        <v>69</v>
      </c>
      <c r="AZ5305" t="b">
        <v>1</v>
      </c>
    </row>
    <row r="5306" spans="1:52" x14ac:dyDescent="0.3">
      <c r="A5306" t="s">
        <v>52</v>
      </c>
      <c r="B5306" t="s">
        <v>53</v>
      </c>
      <c r="C5306" t="s">
        <v>54</v>
      </c>
      <c r="D5306" t="s">
        <v>55</v>
      </c>
      <c r="E5306" t="s">
        <v>2278</v>
      </c>
      <c r="F5306" t="s">
        <v>1247</v>
      </c>
      <c r="G5306" t="s">
        <v>1248</v>
      </c>
      <c r="H5306" t="s">
        <v>1249</v>
      </c>
      <c r="I5306" t="s">
        <v>1249</v>
      </c>
      <c r="J5306" t="s">
        <v>60</v>
      </c>
      <c r="K5306" t="s">
        <v>61</v>
      </c>
      <c r="L5306" t="s">
        <v>62</v>
      </c>
      <c r="M5306" t="s">
        <v>61</v>
      </c>
      <c r="N5306" t="s">
        <v>1250</v>
      </c>
      <c r="O5306" t="s">
        <v>202</v>
      </c>
      <c r="P5306">
        <v>-20.145337999999999</v>
      </c>
      <c r="Q5306">
        <v>-44.906260000000003</v>
      </c>
      <c r="R5306" s="2" t="str">
        <f>HYPERLINK("https://www.google.com/maps?q=-20.1453380,-44.9062600","Abrir no Google Maps")</f>
        <v>Abrir no Google Maps</v>
      </c>
      <c r="S5306">
        <v>4</v>
      </c>
      <c r="T5306">
        <v>231.8105263092443</v>
      </c>
      <c r="U5306">
        <v>2</v>
      </c>
      <c r="V5306">
        <v>0.8839285714285714</v>
      </c>
      <c r="W5306">
        <v>0.85</v>
      </c>
      <c r="X5306">
        <v>0.75133928571428565</v>
      </c>
      <c r="Y5306">
        <v>747</v>
      </c>
      <c r="Z5306">
        <v>210.09098260239841</v>
      </c>
      <c r="AA5306">
        <v>198</v>
      </c>
      <c r="AB5306">
        <v>332</v>
      </c>
      <c r="AC5306">
        <v>536</v>
      </c>
      <c r="AD5306">
        <v>28.15</v>
      </c>
      <c r="AE5306">
        <v>542</v>
      </c>
      <c r="AF5306">
        <v>21</v>
      </c>
      <c r="AG5306">
        <v>176</v>
      </c>
      <c r="AH5306">
        <v>129</v>
      </c>
      <c r="AI5306">
        <v>3.87</v>
      </c>
      <c r="AJ5306">
        <v>32.47</v>
      </c>
      <c r="AK5306">
        <v>23.8</v>
      </c>
      <c r="AL5306">
        <v>-20.14545934999995</v>
      </c>
      <c r="AM5306">
        <v>-44.906243174283489</v>
      </c>
      <c r="AN5306">
        <v>-20.14545934999995</v>
      </c>
      <c r="AO5306">
        <v>-44.906243174283489</v>
      </c>
      <c r="AP5306">
        <v>-20.145337999999999</v>
      </c>
      <c r="AQ5306">
        <v>-44.906260000000003</v>
      </c>
      <c r="AR5306">
        <v>13.622651392262521</v>
      </c>
      <c r="AS5306" t="s">
        <v>65</v>
      </c>
      <c r="AT5306">
        <v>1</v>
      </c>
      <c r="AU5306" t="s">
        <v>1251</v>
      </c>
      <c r="AV5306" t="s">
        <v>1252</v>
      </c>
      <c r="AW5306" t="s">
        <v>60</v>
      </c>
      <c r="AX5306" t="s">
        <v>68</v>
      </c>
      <c r="AY5306" t="s">
        <v>69</v>
      </c>
      <c r="AZ5306" t="b">
        <v>1</v>
      </c>
    </row>
    <row r="5307" spans="1:52" x14ac:dyDescent="0.3">
      <c r="A5307" t="s">
        <v>52</v>
      </c>
      <c r="B5307" t="s">
        <v>53</v>
      </c>
      <c r="C5307" t="s">
        <v>54</v>
      </c>
      <c r="D5307" t="s">
        <v>55</v>
      </c>
      <c r="E5307" t="s">
        <v>2278</v>
      </c>
      <c r="F5307" t="s">
        <v>1247</v>
      </c>
      <c r="G5307" t="s">
        <v>83</v>
      </c>
      <c r="H5307" t="s">
        <v>1253</v>
      </c>
      <c r="I5307" t="s">
        <v>1253</v>
      </c>
      <c r="J5307" t="s">
        <v>60</v>
      </c>
      <c r="K5307" t="s">
        <v>72</v>
      </c>
      <c r="L5307" t="s">
        <v>62</v>
      </c>
      <c r="M5307" t="s">
        <v>72</v>
      </c>
      <c r="N5307" t="s">
        <v>1254</v>
      </c>
      <c r="O5307" t="s">
        <v>1255</v>
      </c>
      <c r="P5307">
        <v>-20.147164</v>
      </c>
      <c r="Q5307">
        <v>-44.905259000000001</v>
      </c>
      <c r="R5307" s="2" t="str">
        <f>HYPERLINK("https://www.google.com/maps?q=-20.1471640,-44.9052590","Abrir no Google Maps")</f>
        <v>Abrir no Google Maps</v>
      </c>
      <c r="S5307">
        <v>4</v>
      </c>
      <c r="T5307">
        <v>364.08569180502712</v>
      </c>
      <c r="U5307">
        <v>2</v>
      </c>
      <c r="V5307">
        <v>0.88913043478260867</v>
      </c>
      <c r="W5307">
        <v>0.85</v>
      </c>
      <c r="X5307">
        <v>0.75576086956521737</v>
      </c>
      <c r="Y5307">
        <v>747</v>
      </c>
      <c r="Z5307">
        <v>309.89238988435022</v>
      </c>
      <c r="AA5307">
        <v>198</v>
      </c>
      <c r="AB5307">
        <v>332</v>
      </c>
      <c r="AC5307">
        <v>536</v>
      </c>
      <c r="AD5307">
        <v>28.15</v>
      </c>
      <c r="AE5307">
        <v>542</v>
      </c>
      <c r="AF5307">
        <v>21</v>
      </c>
      <c r="AG5307">
        <v>176</v>
      </c>
      <c r="AH5307">
        <v>129</v>
      </c>
      <c r="AI5307">
        <v>3.87</v>
      </c>
      <c r="AJ5307">
        <v>32.47</v>
      </c>
      <c r="AK5307">
        <v>23.8</v>
      </c>
      <c r="AL5307">
        <v>-20.14718674999995</v>
      </c>
      <c r="AM5307">
        <v>-44.905292621565764</v>
      </c>
      <c r="AN5307">
        <v>-20.147186749999939</v>
      </c>
      <c r="AO5307">
        <v>-44.905292621565764</v>
      </c>
      <c r="AP5307">
        <v>-20.147164</v>
      </c>
      <c r="AQ5307">
        <v>-44.905259000000001</v>
      </c>
      <c r="AR5307">
        <v>4.3312880650984971</v>
      </c>
      <c r="AS5307" t="s">
        <v>65</v>
      </c>
      <c r="AT5307">
        <v>1</v>
      </c>
      <c r="AU5307" t="s">
        <v>1256</v>
      </c>
      <c r="AV5307" t="s">
        <v>1257</v>
      </c>
      <c r="AW5307" t="s">
        <v>60</v>
      </c>
      <c r="AX5307" t="s">
        <v>68</v>
      </c>
      <c r="AY5307" t="s">
        <v>69</v>
      </c>
      <c r="AZ5307" t="b">
        <v>1</v>
      </c>
    </row>
    <row r="5308" spans="1:52" x14ac:dyDescent="0.3">
      <c r="A5308" t="s">
        <v>52</v>
      </c>
      <c r="B5308" t="s">
        <v>53</v>
      </c>
      <c r="C5308" t="s">
        <v>54</v>
      </c>
      <c r="D5308" t="s">
        <v>55</v>
      </c>
      <c r="E5308" t="s">
        <v>2278</v>
      </c>
      <c r="F5308" t="s">
        <v>1247</v>
      </c>
      <c r="G5308" t="s">
        <v>100</v>
      </c>
      <c r="H5308" t="s">
        <v>106</v>
      </c>
      <c r="I5308" t="s">
        <v>106</v>
      </c>
      <c r="J5308" t="s">
        <v>60</v>
      </c>
      <c r="K5308" t="s">
        <v>61</v>
      </c>
      <c r="L5308" t="s">
        <v>62</v>
      </c>
      <c r="M5308" t="s">
        <v>61</v>
      </c>
      <c r="N5308" t="s">
        <v>102</v>
      </c>
      <c r="O5308" t="s">
        <v>103</v>
      </c>
      <c r="P5308">
        <v>-20.151107</v>
      </c>
      <c r="Q5308">
        <v>-44.908918</v>
      </c>
      <c r="R5308" s="2" t="str">
        <f>HYPERLINK("https://www.google.com/maps?q=-20.1511070,-44.9089180","Abrir no Google Maps")</f>
        <v>Abrir no Google Maps</v>
      </c>
      <c r="S5308">
        <v>4</v>
      </c>
      <c r="T5308">
        <v>615.86400245321579</v>
      </c>
      <c r="U5308">
        <v>2</v>
      </c>
      <c r="V5308">
        <v>0.90643712574850299</v>
      </c>
      <c r="W5308">
        <v>0.85</v>
      </c>
      <c r="X5308">
        <v>0.77047155688622748</v>
      </c>
      <c r="Y5308">
        <v>747</v>
      </c>
      <c r="Z5308">
        <v>535.34543763764702</v>
      </c>
      <c r="AA5308">
        <v>198</v>
      </c>
      <c r="AB5308">
        <v>332</v>
      </c>
      <c r="AC5308">
        <v>536</v>
      </c>
      <c r="AD5308">
        <v>28.15</v>
      </c>
      <c r="AE5308">
        <v>542</v>
      </c>
      <c r="AF5308">
        <v>21</v>
      </c>
      <c r="AG5308">
        <v>176</v>
      </c>
      <c r="AH5308">
        <v>129</v>
      </c>
      <c r="AI5308">
        <v>3.87</v>
      </c>
      <c r="AJ5308">
        <v>32.47</v>
      </c>
      <c r="AK5308">
        <v>23.8</v>
      </c>
      <c r="AL5308">
        <v>-20.151307349999971</v>
      </c>
      <c r="AM5308">
        <v>-44.909024234051429</v>
      </c>
      <c r="AN5308">
        <v>-20.151307349999971</v>
      </c>
      <c r="AO5308">
        <v>-44.909024234051429</v>
      </c>
      <c r="AP5308">
        <v>-20.151107</v>
      </c>
      <c r="AQ5308">
        <v>-44.908918</v>
      </c>
      <c r="AR5308">
        <v>24.91340747371116</v>
      </c>
      <c r="AS5308" t="s">
        <v>65</v>
      </c>
      <c r="AT5308">
        <v>1</v>
      </c>
      <c r="AU5308" t="s">
        <v>107</v>
      </c>
      <c r="AV5308" t="s">
        <v>105</v>
      </c>
      <c r="AW5308" t="s">
        <v>60</v>
      </c>
      <c r="AX5308" t="s">
        <v>68</v>
      </c>
      <c r="AY5308" t="s">
        <v>69</v>
      </c>
      <c r="AZ5308" t="b">
        <v>1</v>
      </c>
    </row>
    <row r="5309" spans="1:52" x14ac:dyDescent="0.3">
      <c r="A5309" t="s">
        <v>52</v>
      </c>
      <c r="B5309" t="s">
        <v>53</v>
      </c>
      <c r="C5309" t="s">
        <v>54</v>
      </c>
      <c r="D5309" t="s">
        <v>55</v>
      </c>
      <c r="E5309" t="s">
        <v>2278</v>
      </c>
      <c r="F5309" t="s">
        <v>1247</v>
      </c>
      <c r="G5309" t="s">
        <v>108</v>
      </c>
      <c r="H5309" t="s">
        <v>109</v>
      </c>
      <c r="I5309" t="s">
        <v>109</v>
      </c>
      <c r="J5309" t="s">
        <v>60</v>
      </c>
      <c r="K5309" t="s">
        <v>110</v>
      </c>
      <c r="L5309" t="s">
        <v>62</v>
      </c>
      <c r="M5309" t="s">
        <v>110</v>
      </c>
      <c r="N5309" t="s">
        <v>111</v>
      </c>
      <c r="O5309" t="s">
        <v>112</v>
      </c>
      <c r="P5309">
        <v>-20.122233999999999</v>
      </c>
      <c r="Q5309">
        <v>-44.909194999999997</v>
      </c>
      <c r="R5309" s="2" t="str">
        <f>HYPERLINK("https://www.google.com/maps?q=-20.1222340,-44.9091950","Abrir no Google Maps")</f>
        <v>Abrir no Google Maps</v>
      </c>
      <c r="S5309">
        <v>4</v>
      </c>
      <c r="T5309">
        <v>1171.396020763932</v>
      </c>
      <c r="U5309">
        <v>2</v>
      </c>
      <c r="V5309">
        <v>0.92500000000000004</v>
      </c>
      <c r="W5309">
        <v>0.85</v>
      </c>
      <c r="X5309">
        <v>0.78625</v>
      </c>
      <c r="Y5309">
        <v>567</v>
      </c>
      <c r="Z5309">
        <v>1238.711234283244</v>
      </c>
      <c r="AA5309">
        <v>198</v>
      </c>
      <c r="AB5309">
        <v>332</v>
      </c>
      <c r="AC5309">
        <v>536</v>
      </c>
      <c r="AD5309">
        <v>28.15</v>
      </c>
      <c r="AE5309">
        <v>542</v>
      </c>
      <c r="AF5309">
        <v>21</v>
      </c>
      <c r="AG5309">
        <v>176</v>
      </c>
      <c r="AH5309">
        <v>129</v>
      </c>
      <c r="AI5309">
        <v>3.87</v>
      </c>
      <c r="AJ5309">
        <v>32.47</v>
      </c>
      <c r="AK5309">
        <v>23.8</v>
      </c>
      <c r="AL5309">
        <v>-20.121881249999941</v>
      </c>
      <c r="AM5309">
        <v>-44.909273766094323</v>
      </c>
      <c r="AN5309">
        <v>-20.121881249999941</v>
      </c>
      <c r="AO5309">
        <v>-44.909273766094323</v>
      </c>
      <c r="AP5309">
        <v>-20.122233999999999</v>
      </c>
      <c r="AQ5309">
        <v>-44.909194999999997</v>
      </c>
      <c r="AR5309">
        <v>40.12192930593006</v>
      </c>
      <c r="AS5309" t="s">
        <v>65</v>
      </c>
      <c r="AT5309">
        <v>1</v>
      </c>
      <c r="AU5309" t="s">
        <v>113</v>
      </c>
      <c r="AV5309" t="s">
        <v>114</v>
      </c>
      <c r="AW5309" t="s">
        <v>60</v>
      </c>
      <c r="AX5309" t="s">
        <v>68</v>
      </c>
      <c r="AY5309" t="s">
        <v>69</v>
      </c>
      <c r="AZ5309" t="b">
        <v>1</v>
      </c>
    </row>
    <row r="5310" spans="1:52" x14ac:dyDescent="0.3">
      <c r="A5310" t="s">
        <v>52</v>
      </c>
      <c r="B5310" t="s">
        <v>53</v>
      </c>
      <c r="C5310" t="s">
        <v>54</v>
      </c>
      <c r="D5310" t="s">
        <v>55</v>
      </c>
      <c r="E5310" t="s">
        <v>2278</v>
      </c>
      <c r="F5310" t="s">
        <v>1247</v>
      </c>
      <c r="G5310" t="s">
        <v>198</v>
      </c>
      <c r="H5310" t="s">
        <v>199</v>
      </c>
      <c r="I5310" t="s">
        <v>199</v>
      </c>
      <c r="J5310" t="s">
        <v>60</v>
      </c>
      <c r="K5310" t="s">
        <v>200</v>
      </c>
      <c r="L5310" t="s">
        <v>62</v>
      </c>
      <c r="M5310" t="s">
        <v>200</v>
      </c>
      <c r="N5310" t="s">
        <v>201</v>
      </c>
      <c r="O5310" t="s">
        <v>202</v>
      </c>
      <c r="P5310">
        <v>-20.122433000000001</v>
      </c>
      <c r="Q5310">
        <v>-44.897013999999999</v>
      </c>
      <c r="R5310" s="2" t="str">
        <f>HYPERLINK("https://www.google.com/maps?q=-20.1224330,-44.8970140","Abrir no Google Maps")</f>
        <v>Abrir no Google Maps</v>
      </c>
      <c r="S5310">
        <v>4</v>
      </c>
      <c r="T5310">
        <v>616.04759279207849</v>
      </c>
      <c r="U5310">
        <v>2</v>
      </c>
      <c r="V5310">
        <v>0.92693661971830976</v>
      </c>
      <c r="W5310">
        <v>0.85</v>
      </c>
      <c r="X5310">
        <v>0.78789612676056331</v>
      </c>
      <c r="Y5310">
        <v>567</v>
      </c>
      <c r="Z5310">
        <v>655.51024138861465</v>
      </c>
      <c r="AA5310">
        <v>198</v>
      </c>
      <c r="AB5310">
        <v>332</v>
      </c>
      <c r="AC5310">
        <v>536</v>
      </c>
      <c r="AD5310">
        <v>28.15</v>
      </c>
      <c r="AE5310">
        <v>542</v>
      </c>
      <c r="AF5310">
        <v>21</v>
      </c>
      <c r="AG5310">
        <v>176</v>
      </c>
      <c r="AH5310">
        <v>129</v>
      </c>
      <c r="AI5310">
        <v>3.87</v>
      </c>
      <c r="AJ5310">
        <v>32.47</v>
      </c>
      <c r="AK5310">
        <v>23.8</v>
      </c>
      <c r="AL5310">
        <v>-20.122144949999949</v>
      </c>
      <c r="AM5310">
        <v>-44.896761973125983</v>
      </c>
      <c r="AN5310">
        <v>-20.122144949999949</v>
      </c>
      <c r="AO5310">
        <v>-44.896761973125983</v>
      </c>
      <c r="AP5310">
        <v>-20.122433000000001</v>
      </c>
      <c r="AQ5310">
        <v>-44.897013999999999</v>
      </c>
      <c r="AR5310">
        <v>41.499066772735389</v>
      </c>
      <c r="AS5310" t="s">
        <v>65</v>
      </c>
      <c r="AT5310">
        <v>1</v>
      </c>
      <c r="AU5310" t="s">
        <v>203</v>
      </c>
      <c r="AV5310" t="s">
        <v>204</v>
      </c>
      <c r="AW5310" t="s">
        <v>60</v>
      </c>
      <c r="AX5310" t="s">
        <v>68</v>
      </c>
      <c r="AY5310" t="s">
        <v>69</v>
      </c>
      <c r="AZ5310" t="b">
        <v>1</v>
      </c>
    </row>
    <row r="5311" spans="1:52" x14ac:dyDescent="0.3">
      <c r="A5311" t="s">
        <v>52</v>
      </c>
      <c r="B5311" t="s">
        <v>53</v>
      </c>
      <c r="C5311" t="s">
        <v>54</v>
      </c>
      <c r="D5311" t="s">
        <v>55</v>
      </c>
      <c r="E5311" t="s">
        <v>2278</v>
      </c>
      <c r="F5311" t="s">
        <v>1247</v>
      </c>
      <c r="G5311" t="s">
        <v>205</v>
      </c>
      <c r="H5311" t="s">
        <v>206</v>
      </c>
      <c r="I5311" t="s">
        <v>206</v>
      </c>
      <c r="J5311" t="s">
        <v>60</v>
      </c>
      <c r="K5311" t="s">
        <v>207</v>
      </c>
      <c r="L5311" t="s">
        <v>62</v>
      </c>
      <c r="M5311" t="s">
        <v>207</v>
      </c>
      <c r="N5311" t="s">
        <v>208</v>
      </c>
      <c r="O5311" t="s">
        <v>209</v>
      </c>
      <c r="P5311">
        <v>-20.117533999999999</v>
      </c>
      <c r="Q5311">
        <v>-44.892943000000002</v>
      </c>
      <c r="R5311" s="2" t="str">
        <f>HYPERLINK("https://www.google.com/maps?q=-20.1175340,-44.8929430","Abrir no Google Maps")</f>
        <v>Abrir no Google Maps</v>
      </c>
      <c r="S5311">
        <v>4</v>
      </c>
      <c r="T5311">
        <v>601.98486688021592</v>
      </c>
      <c r="U5311">
        <v>2</v>
      </c>
      <c r="V5311">
        <v>0.908967391304348</v>
      </c>
      <c r="W5311">
        <v>0.85</v>
      </c>
      <c r="X5311">
        <v>0.77262228260869581</v>
      </c>
      <c r="Y5311">
        <v>567</v>
      </c>
      <c r="Z5311">
        <v>574.59225706016446</v>
      </c>
      <c r="AA5311">
        <v>198</v>
      </c>
      <c r="AB5311">
        <v>332</v>
      </c>
      <c r="AC5311">
        <v>536</v>
      </c>
      <c r="AD5311">
        <v>28.15</v>
      </c>
      <c r="AE5311">
        <v>542</v>
      </c>
      <c r="AF5311">
        <v>21</v>
      </c>
      <c r="AG5311">
        <v>176</v>
      </c>
      <c r="AH5311">
        <v>129</v>
      </c>
      <c r="AI5311">
        <v>3.87</v>
      </c>
      <c r="AJ5311">
        <v>32.47</v>
      </c>
      <c r="AK5311">
        <v>23.8</v>
      </c>
      <c r="AL5311">
        <v>-20.11671494999996</v>
      </c>
      <c r="AM5311">
        <v>-44.89352717833448</v>
      </c>
      <c r="AN5311">
        <v>-20.11671494999996</v>
      </c>
      <c r="AO5311">
        <v>-44.89352717833448</v>
      </c>
      <c r="AP5311">
        <v>-20.117533999999999</v>
      </c>
      <c r="AQ5311">
        <v>-44.892943000000002</v>
      </c>
      <c r="AR5311">
        <v>109.7357164799156</v>
      </c>
      <c r="AS5311" t="s">
        <v>65</v>
      </c>
      <c r="AT5311">
        <v>1</v>
      </c>
      <c r="AU5311" t="s">
        <v>210</v>
      </c>
      <c r="AV5311" t="s">
        <v>211</v>
      </c>
      <c r="AW5311" t="s">
        <v>60</v>
      </c>
      <c r="AX5311" t="s">
        <v>68</v>
      </c>
      <c r="AY5311" t="s">
        <v>69</v>
      </c>
      <c r="AZ5311" t="b">
        <v>1</v>
      </c>
    </row>
    <row r="5312" spans="1:52" x14ac:dyDescent="0.3">
      <c r="A5312" t="s">
        <v>52</v>
      </c>
      <c r="B5312" t="s">
        <v>53</v>
      </c>
      <c r="C5312" t="s">
        <v>54</v>
      </c>
      <c r="D5312" t="s">
        <v>55</v>
      </c>
      <c r="E5312" t="s">
        <v>2278</v>
      </c>
      <c r="F5312" t="s">
        <v>1247</v>
      </c>
      <c r="G5312" t="s">
        <v>1258</v>
      </c>
      <c r="H5312" t="s">
        <v>1259</v>
      </c>
      <c r="I5312" t="s">
        <v>1259</v>
      </c>
      <c r="J5312" t="s">
        <v>60</v>
      </c>
      <c r="K5312" t="s">
        <v>905</v>
      </c>
      <c r="L5312" t="s">
        <v>62</v>
      </c>
      <c r="M5312" t="s">
        <v>905</v>
      </c>
      <c r="N5312" t="s">
        <v>1260</v>
      </c>
      <c r="O5312" t="s">
        <v>628</v>
      </c>
      <c r="P5312">
        <v>-20.113569999999999</v>
      </c>
      <c r="Q5312">
        <v>-44.897216</v>
      </c>
      <c r="R5312" s="2" t="str">
        <f>HYPERLINK("https://www.google.com/maps?q=-20.1135700,-44.8972160","Abrir no Google Maps")</f>
        <v>Abrir no Google Maps</v>
      </c>
      <c r="S5312">
        <v>4</v>
      </c>
      <c r="T5312">
        <v>418.54368277643368</v>
      </c>
      <c r="U5312">
        <v>1</v>
      </c>
      <c r="V5312">
        <v>0.86410675381263613</v>
      </c>
      <c r="W5312">
        <v>0.85</v>
      </c>
      <c r="X5312">
        <v>0.73449074074074072</v>
      </c>
      <c r="Y5312">
        <v>567</v>
      </c>
      <c r="Z5312">
        <v>315.02989622191018</v>
      </c>
      <c r="AA5312">
        <v>198</v>
      </c>
      <c r="AB5312">
        <v>332</v>
      </c>
      <c r="AC5312">
        <v>536</v>
      </c>
      <c r="AD5312">
        <v>28.15</v>
      </c>
      <c r="AE5312">
        <v>542</v>
      </c>
      <c r="AF5312">
        <v>21</v>
      </c>
      <c r="AG5312">
        <v>176</v>
      </c>
      <c r="AH5312">
        <v>129</v>
      </c>
      <c r="AI5312">
        <v>3.87</v>
      </c>
      <c r="AJ5312">
        <v>32.47</v>
      </c>
      <c r="AK5312">
        <v>23.8</v>
      </c>
      <c r="AL5312">
        <v>-20.113750149999959</v>
      </c>
      <c r="AM5312">
        <v>-44.897427949999937</v>
      </c>
      <c r="AN5312">
        <v>-20.113750149999959</v>
      </c>
      <c r="AO5312">
        <v>-44.897427949999937</v>
      </c>
      <c r="AP5312">
        <v>-20.113569999999999</v>
      </c>
      <c r="AQ5312">
        <v>-44.897216</v>
      </c>
      <c r="AR5312">
        <v>29.883644534822711</v>
      </c>
      <c r="AS5312" t="s">
        <v>65</v>
      </c>
      <c r="AT5312">
        <v>1</v>
      </c>
      <c r="AU5312" t="s">
        <v>1261</v>
      </c>
      <c r="AV5312" t="s">
        <v>1262</v>
      </c>
      <c r="AW5312" t="s">
        <v>60</v>
      </c>
      <c r="AX5312" t="s">
        <v>68</v>
      </c>
      <c r="AY5312" t="s">
        <v>69</v>
      </c>
      <c r="AZ5312" t="b">
        <v>1</v>
      </c>
    </row>
    <row r="5313" spans="1:52" x14ac:dyDescent="0.3">
      <c r="A5313" t="s">
        <v>52</v>
      </c>
      <c r="B5313" t="s">
        <v>53</v>
      </c>
      <c r="C5313" t="s">
        <v>54</v>
      </c>
      <c r="D5313" t="s">
        <v>55</v>
      </c>
      <c r="E5313" t="s">
        <v>2278</v>
      </c>
      <c r="F5313" t="s">
        <v>1247</v>
      </c>
      <c r="G5313" t="s">
        <v>1263</v>
      </c>
      <c r="H5313" t="s">
        <v>1264</v>
      </c>
      <c r="I5313" t="s">
        <v>1264</v>
      </c>
      <c r="J5313" t="s">
        <v>60</v>
      </c>
      <c r="K5313" t="s">
        <v>1265</v>
      </c>
      <c r="L5313" t="s">
        <v>62</v>
      </c>
      <c r="M5313" t="s">
        <v>1265</v>
      </c>
      <c r="N5313" t="s">
        <v>1266</v>
      </c>
      <c r="O5313" t="s">
        <v>1267</v>
      </c>
      <c r="P5313">
        <v>-20.116924000000001</v>
      </c>
      <c r="Q5313">
        <v>-44.906587000000002</v>
      </c>
      <c r="R5313" s="2" t="str">
        <f>HYPERLINK("https://www.google.com/maps?q=-20.1169240,-44.9065870","Abrir no Google Maps")</f>
        <v>Abrir no Google Maps</v>
      </c>
      <c r="S5313">
        <v>4</v>
      </c>
      <c r="T5313">
        <v>745.10453961787857</v>
      </c>
      <c r="U5313">
        <v>1</v>
      </c>
      <c r="V5313">
        <v>0.75810185185185186</v>
      </c>
      <c r="W5313">
        <v>0.85</v>
      </c>
      <c r="X5313">
        <v>0.64438657407407407</v>
      </c>
      <c r="Y5313">
        <v>567</v>
      </c>
      <c r="Z5313">
        <v>816.44456345071217</v>
      </c>
      <c r="AA5313">
        <v>198</v>
      </c>
      <c r="AB5313">
        <v>332</v>
      </c>
      <c r="AC5313">
        <v>536</v>
      </c>
      <c r="AD5313">
        <v>28.15</v>
      </c>
      <c r="AE5313">
        <v>542</v>
      </c>
      <c r="AF5313">
        <v>21</v>
      </c>
      <c r="AG5313">
        <v>176</v>
      </c>
      <c r="AH5313">
        <v>129</v>
      </c>
      <c r="AI5313">
        <v>3.87</v>
      </c>
      <c r="AJ5313">
        <v>32.47</v>
      </c>
      <c r="AK5313">
        <v>23.8</v>
      </c>
      <c r="AL5313">
        <v>-20.117279149999941</v>
      </c>
      <c r="AM5313">
        <v>-44.906397211815133</v>
      </c>
      <c r="AN5313">
        <v>-20.117279149999941</v>
      </c>
      <c r="AO5313">
        <v>-44.906397211815133</v>
      </c>
      <c r="AP5313">
        <v>-20.116924000000001</v>
      </c>
      <c r="AQ5313">
        <v>-44.906587000000002</v>
      </c>
      <c r="AR5313">
        <v>44.233430660980403</v>
      </c>
      <c r="AS5313" t="s">
        <v>65</v>
      </c>
      <c r="AT5313">
        <v>1</v>
      </c>
      <c r="AU5313" t="s">
        <v>1268</v>
      </c>
      <c r="AV5313" t="s">
        <v>1269</v>
      </c>
      <c r="AW5313" t="s">
        <v>60</v>
      </c>
      <c r="AX5313" t="s">
        <v>68</v>
      </c>
      <c r="AY5313" t="s">
        <v>69</v>
      </c>
      <c r="AZ5313" t="b">
        <v>1</v>
      </c>
    </row>
    <row r="5314" spans="1:52" x14ac:dyDescent="0.3">
      <c r="A5314" t="s">
        <v>52</v>
      </c>
      <c r="B5314" t="s">
        <v>53</v>
      </c>
      <c r="C5314" t="s">
        <v>54</v>
      </c>
      <c r="D5314" t="s">
        <v>55</v>
      </c>
      <c r="E5314" t="s">
        <v>2278</v>
      </c>
      <c r="F5314" t="s">
        <v>1247</v>
      </c>
      <c r="G5314" t="s">
        <v>1127</v>
      </c>
      <c r="H5314" t="s">
        <v>1270</v>
      </c>
      <c r="I5314" t="s">
        <v>1270</v>
      </c>
      <c r="J5314" t="s">
        <v>60</v>
      </c>
      <c r="K5314" t="s">
        <v>200</v>
      </c>
      <c r="L5314" t="s">
        <v>62</v>
      </c>
      <c r="M5314" t="s">
        <v>200</v>
      </c>
      <c r="N5314" t="s">
        <v>1271</v>
      </c>
      <c r="O5314" t="s">
        <v>315</v>
      </c>
      <c r="P5314">
        <v>-20.123483</v>
      </c>
      <c r="Q5314">
        <v>-44.904159</v>
      </c>
      <c r="R5314" s="2" t="str">
        <f>HYPERLINK("https://www.google.com/maps?q=-20.1234830,-44.9041590","Abrir no Google Maps")</f>
        <v>Abrir no Google Maps</v>
      </c>
      <c r="S5314">
        <v>4</v>
      </c>
      <c r="T5314">
        <v>1046.2792913459141</v>
      </c>
      <c r="U5314">
        <v>1</v>
      </c>
      <c r="V5314">
        <v>0.57465277777777779</v>
      </c>
      <c r="W5314">
        <v>0.85</v>
      </c>
      <c r="X5314">
        <v>0.48845486111111108</v>
      </c>
      <c r="Y5314">
        <v>567</v>
      </c>
      <c r="Z5314">
        <v>1072.1273144328541</v>
      </c>
      <c r="AA5314">
        <v>198</v>
      </c>
      <c r="AB5314">
        <v>332</v>
      </c>
      <c r="AC5314">
        <v>536</v>
      </c>
      <c r="AD5314">
        <v>28.15</v>
      </c>
      <c r="AE5314">
        <v>542</v>
      </c>
      <c r="AF5314">
        <v>21</v>
      </c>
      <c r="AG5314">
        <v>176</v>
      </c>
      <c r="AH5314">
        <v>129</v>
      </c>
      <c r="AI5314">
        <v>3.87</v>
      </c>
      <c r="AJ5314">
        <v>32.47</v>
      </c>
      <c r="AK5314">
        <v>23.8</v>
      </c>
      <c r="AL5314">
        <v>-20.12548399999994</v>
      </c>
      <c r="AM5314">
        <v>-44.903913990586467</v>
      </c>
      <c r="AN5314">
        <v>-20.12548399999994</v>
      </c>
      <c r="AO5314">
        <v>-44.903913990586467</v>
      </c>
      <c r="AP5314">
        <v>-20.123483</v>
      </c>
      <c r="AQ5314">
        <v>-44.904159</v>
      </c>
      <c r="AR5314">
        <v>224.218591682908</v>
      </c>
      <c r="AS5314" t="s">
        <v>65</v>
      </c>
      <c r="AT5314">
        <v>1</v>
      </c>
      <c r="AU5314" t="s">
        <v>1272</v>
      </c>
      <c r="AV5314" t="s">
        <v>1273</v>
      </c>
      <c r="AW5314" t="s">
        <v>60</v>
      </c>
      <c r="AX5314" t="s">
        <v>68</v>
      </c>
      <c r="AY5314" t="s">
        <v>69</v>
      </c>
      <c r="AZ5314" t="b">
        <v>1</v>
      </c>
    </row>
    <row r="5315" spans="1:52" x14ac:dyDescent="0.3">
      <c r="A5315" t="s">
        <v>52</v>
      </c>
      <c r="B5315" t="s">
        <v>53</v>
      </c>
      <c r="C5315" t="s">
        <v>54</v>
      </c>
      <c r="D5315" t="s">
        <v>55</v>
      </c>
      <c r="E5315" t="s">
        <v>2278</v>
      </c>
      <c r="F5315" t="s">
        <v>1247</v>
      </c>
      <c r="G5315" t="s">
        <v>380</v>
      </c>
      <c r="H5315" t="s">
        <v>381</v>
      </c>
      <c r="I5315" t="s">
        <v>381</v>
      </c>
      <c r="J5315" t="s">
        <v>60</v>
      </c>
      <c r="K5315" t="s">
        <v>72</v>
      </c>
      <c r="L5315" t="s">
        <v>62</v>
      </c>
      <c r="M5315" t="s">
        <v>72</v>
      </c>
      <c r="N5315" t="s">
        <v>382</v>
      </c>
      <c r="O5315" t="s">
        <v>383</v>
      </c>
      <c r="P5315">
        <v>-20.147182000000001</v>
      </c>
      <c r="Q5315">
        <v>-44.912728999999999</v>
      </c>
      <c r="R5315" s="2" t="str">
        <f>HYPERLINK("https://www.google.com/maps?q=-20.1471820,-44.9127290","Abrir no Google Maps")</f>
        <v>Abrir no Google Maps</v>
      </c>
      <c r="S5315">
        <v>3</v>
      </c>
      <c r="T5315">
        <v>478.0141981540923</v>
      </c>
      <c r="U5315">
        <v>4</v>
      </c>
      <c r="V5315">
        <v>0.88428949004975121</v>
      </c>
      <c r="W5315">
        <v>1</v>
      </c>
      <c r="X5315">
        <v>0.88428949004975121</v>
      </c>
      <c r="Y5315">
        <v>747</v>
      </c>
      <c r="Z5315">
        <v>494.0254290673729</v>
      </c>
      <c r="AA5315">
        <v>198</v>
      </c>
      <c r="AB5315">
        <v>332</v>
      </c>
      <c r="AC5315">
        <v>536</v>
      </c>
      <c r="AD5315">
        <v>28.15</v>
      </c>
      <c r="AE5315">
        <v>542</v>
      </c>
      <c r="AF5315">
        <v>21</v>
      </c>
      <c r="AG5315">
        <v>176</v>
      </c>
      <c r="AH5315">
        <v>129</v>
      </c>
      <c r="AI5315">
        <v>3.87</v>
      </c>
      <c r="AJ5315">
        <v>32.47</v>
      </c>
      <c r="AK5315">
        <v>23.8</v>
      </c>
      <c r="AL5315">
        <v>-20.147375599999979</v>
      </c>
      <c r="AM5315">
        <v>-44.912907472879468</v>
      </c>
      <c r="AN5315">
        <v>-20.147375599999979</v>
      </c>
      <c r="AO5315">
        <v>-44.912907472879468</v>
      </c>
      <c r="AP5315">
        <v>-20.147182000000001</v>
      </c>
      <c r="AQ5315">
        <v>-44.912728999999999</v>
      </c>
      <c r="AR5315">
        <v>28.50197694184326</v>
      </c>
      <c r="AS5315" t="s">
        <v>65</v>
      </c>
      <c r="AT5315">
        <v>1</v>
      </c>
      <c r="AU5315" t="s">
        <v>384</v>
      </c>
      <c r="AV5315" t="s">
        <v>385</v>
      </c>
      <c r="AW5315" t="s">
        <v>60</v>
      </c>
      <c r="AX5315" t="s">
        <v>68</v>
      </c>
      <c r="AY5315" t="s">
        <v>69</v>
      </c>
      <c r="AZ5315" t="b">
        <v>1</v>
      </c>
    </row>
    <row r="5316" spans="1:52" x14ac:dyDescent="0.3">
      <c r="A5316" t="s">
        <v>52</v>
      </c>
      <c r="B5316" t="s">
        <v>53</v>
      </c>
      <c r="C5316" t="s">
        <v>54</v>
      </c>
      <c r="D5316" t="s">
        <v>55</v>
      </c>
      <c r="E5316" t="s">
        <v>2278</v>
      </c>
      <c r="F5316" t="s">
        <v>1247</v>
      </c>
      <c r="G5316" t="s">
        <v>839</v>
      </c>
      <c r="H5316" t="s">
        <v>840</v>
      </c>
      <c r="I5316" t="s">
        <v>840</v>
      </c>
      <c r="J5316" t="s">
        <v>60</v>
      </c>
      <c r="K5316" t="s">
        <v>388</v>
      </c>
      <c r="L5316" t="s">
        <v>62</v>
      </c>
      <c r="M5316" t="s">
        <v>388</v>
      </c>
      <c r="N5316" t="s">
        <v>841</v>
      </c>
      <c r="O5316" t="s">
        <v>842</v>
      </c>
      <c r="P5316">
        <v>-20.159977999999999</v>
      </c>
      <c r="Q5316">
        <v>-44.900207000000002</v>
      </c>
      <c r="R5316" s="2" t="str">
        <f>HYPERLINK("https://www.google.com/maps?q=-20.1599780,-44.9002070","Abrir no Google Maps")</f>
        <v>Abrir no Google Maps</v>
      </c>
      <c r="S5316">
        <v>3</v>
      </c>
      <c r="T5316">
        <v>213.24333517300789</v>
      </c>
      <c r="U5316">
        <v>4</v>
      </c>
      <c r="V5316">
        <v>0.89629120879120883</v>
      </c>
      <c r="W5316">
        <v>1</v>
      </c>
      <c r="X5316">
        <v>0.89629120879120883</v>
      </c>
      <c r="Y5316">
        <v>729</v>
      </c>
      <c r="Z5316">
        <v>315.47173727880028</v>
      </c>
      <c r="AA5316">
        <v>198</v>
      </c>
      <c r="AB5316">
        <v>332</v>
      </c>
      <c r="AC5316">
        <v>536</v>
      </c>
      <c r="AD5316">
        <v>28.15</v>
      </c>
      <c r="AE5316">
        <v>542</v>
      </c>
      <c r="AF5316">
        <v>21</v>
      </c>
      <c r="AG5316">
        <v>176</v>
      </c>
      <c r="AH5316">
        <v>129</v>
      </c>
      <c r="AI5316">
        <v>3.87</v>
      </c>
      <c r="AJ5316">
        <v>32.47</v>
      </c>
      <c r="AK5316">
        <v>23.8</v>
      </c>
      <c r="AL5316">
        <v>-20.159825649999959</v>
      </c>
      <c r="AM5316">
        <v>-44.900143828909613</v>
      </c>
      <c r="AN5316">
        <v>-20.159825649999959</v>
      </c>
      <c r="AO5316">
        <v>-44.900143828909613</v>
      </c>
      <c r="AP5316">
        <v>-20.159977999999999</v>
      </c>
      <c r="AQ5316">
        <v>-44.900207000000002</v>
      </c>
      <c r="AR5316">
        <v>18.199073573580371</v>
      </c>
      <c r="AS5316" t="s">
        <v>65</v>
      </c>
      <c r="AT5316">
        <v>1</v>
      </c>
      <c r="AU5316" t="s">
        <v>843</v>
      </c>
      <c r="AV5316" t="s">
        <v>844</v>
      </c>
      <c r="AW5316" t="s">
        <v>60</v>
      </c>
      <c r="AX5316" t="s">
        <v>68</v>
      </c>
      <c r="AY5316" t="s">
        <v>69</v>
      </c>
      <c r="AZ5316" t="b">
        <v>1</v>
      </c>
    </row>
    <row r="5317" spans="1:52" x14ac:dyDescent="0.3">
      <c r="A5317" t="s">
        <v>52</v>
      </c>
      <c r="B5317" t="s">
        <v>53</v>
      </c>
      <c r="C5317" t="s">
        <v>54</v>
      </c>
      <c r="D5317" t="s">
        <v>55</v>
      </c>
      <c r="E5317" t="s">
        <v>2278</v>
      </c>
      <c r="F5317" t="s">
        <v>1247</v>
      </c>
      <c r="G5317" t="s">
        <v>386</v>
      </c>
      <c r="H5317" t="s">
        <v>387</v>
      </c>
      <c r="I5317" t="s">
        <v>387</v>
      </c>
      <c r="J5317" t="s">
        <v>60</v>
      </c>
      <c r="K5317" t="s">
        <v>388</v>
      </c>
      <c r="L5317" t="s">
        <v>62</v>
      </c>
      <c r="M5317" t="s">
        <v>388</v>
      </c>
      <c r="N5317" t="s">
        <v>389</v>
      </c>
      <c r="O5317" t="s">
        <v>357</v>
      </c>
      <c r="P5317">
        <v>-20.161041999999998</v>
      </c>
      <c r="Q5317">
        <v>-44.901242000000003</v>
      </c>
      <c r="R5317" s="2" t="str">
        <f>HYPERLINK("https://www.google.com/maps?q=-20.1610420,-44.9012420","Abrir no Google Maps")</f>
        <v>Abrir no Google Maps</v>
      </c>
      <c r="S5317">
        <v>3</v>
      </c>
      <c r="T5317">
        <v>440.22183232279212</v>
      </c>
      <c r="U5317">
        <v>4</v>
      </c>
      <c r="V5317">
        <v>0.89560810810810809</v>
      </c>
      <c r="W5317">
        <v>1</v>
      </c>
      <c r="X5317">
        <v>0.89560810810810809</v>
      </c>
      <c r="Y5317">
        <v>729</v>
      </c>
      <c r="Z5317">
        <v>398.48306829302379</v>
      </c>
      <c r="AA5317">
        <v>198</v>
      </c>
      <c r="AB5317">
        <v>332</v>
      </c>
      <c r="AC5317">
        <v>536</v>
      </c>
      <c r="AD5317">
        <v>28.15</v>
      </c>
      <c r="AE5317">
        <v>542</v>
      </c>
      <c r="AF5317">
        <v>21</v>
      </c>
      <c r="AG5317">
        <v>176</v>
      </c>
      <c r="AH5317">
        <v>129</v>
      </c>
      <c r="AI5317">
        <v>3.87</v>
      </c>
      <c r="AJ5317">
        <v>32.47</v>
      </c>
      <c r="AK5317">
        <v>23.8</v>
      </c>
      <c r="AL5317">
        <v>-20.16176629999995</v>
      </c>
      <c r="AM5317">
        <v>-44.901582787827898</v>
      </c>
      <c r="AN5317">
        <v>-20.16176629999995</v>
      </c>
      <c r="AO5317">
        <v>-44.901582787827898</v>
      </c>
      <c r="AP5317">
        <v>-20.161041999999998</v>
      </c>
      <c r="AQ5317">
        <v>-44.901242000000003</v>
      </c>
      <c r="AR5317">
        <v>88.143369157892835</v>
      </c>
      <c r="AS5317" t="s">
        <v>65</v>
      </c>
      <c r="AT5317">
        <v>1</v>
      </c>
      <c r="AU5317" t="s">
        <v>390</v>
      </c>
      <c r="AV5317" t="s">
        <v>391</v>
      </c>
      <c r="AW5317" t="s">
        <v>60</v>
      </c>
      <c r="AX5317" t="s">
        <v>68</v>
      </c>
      <c r="AY5317" t="s">
        <v>69</v>
      </c>
      <c r="AZ5317" t="b">
        <v>1</v>
      </c>
    </row>
    <row r="5318" spans="1:52" x14ac:dyDescent="0.3">
      <c r="A5318" t="s">
        <v>52</v>
      </c>
      <c r="B5318" t="s">
        <v>53</v>
      </c>
      <c r="C5318" t="s">
        <v>54</v>
      </c>
      <c r="D5318" t="s">
        <v>55</v>
      </c>
      <c r="E5318" t="s">
        <v>2278</v>
      </c>
      <c r="F5318" t="s">
        <v>1247</v>
      </c>
      <c r="G5318" t="s">
        <v>398</v>
      </c>
      <c r="H5318" t="s">
        <v>399</v>
      </c>
      <c r="I5318" t="s">
        <v>399</v>
      </c>
      <c r="J5318" t="s">
        <v>60</v>
      </c>
      <c r="K5318" t="s">
        <v>388</v>
      </c>
      <c r="L5318" t="s">
        <v>62</v>
      </c>
      <c r="M5318" t="s">
        <v>388</v>
      </c>
      <c r="N5318" t="s">
        <v>400</v>
      </c>
      <c r="O5318" t="s">
        <v>401</v>
      </c>
      <c r="P5318">
        <v>-20.160157000000002</v>
      </c>
      <c r="Q5318">
        <v>-44.904347999999999</v>
      </c>
      <c r="R5318" s="2" t="str">
        <f>HYPERLINK("https://www.google.com/maps?q=-20.1601570,-44.9043480","Abrir no Google Maps")</f>
        <v>Abrir no Google Maps</v>
      </c>
      <c r="S5318">
        <v>3</v>
      </c>
      <c r="T5318">
        <v>469.26088527154809</v>
      </c>
      <c r="U5318">
        <v>4</v>
      </c>
      <c r="V5318">
        <v>0.9236343366778148</v>
      </c>
      <c r="W5318">
        <v>1</v>
      </c>
      <c r="X5318">
        <v>0.9236343366778148</v>
      </c>
      <c r="Y5318">
        <v>729</v>
      </c>
      <c r="Z5318">
        <v>253.57832452309071</v>
      </c>
      <c r="AA5318">
        <v>198</v>
      </c>
      <c r="AB5318">
        <v>332</v>
      </c>
      <c r="AC5318">
        <v>536</v>
      </c>
      <c r="AD5318">
        <v>28.15</v>
      </c>
      <c r="AE5318">
        <v>542</v>
      </c>
      <c r="AF5318">
        <v>21</v>
      </c>
      <c r="AG5318">
        <v>176</v>
      </c>
      <c r="AH5318">
        <v>129</v>
      </c>
      <c r="AI5318">
        <v>3.87</v>
      </c>
      <c r="AJ5318">
        <v>32.47</v>
      </c>
      <c r="AK5318">
        <v>23.8</v>
      </c>
      <c r="AL5318">
        <v>-20.160007949999969</v>
      </c>
      <c r="AM5318">
        <v>-44.904396608560482</v>
      </c>
      <c r="AN5318">
        <v>-20.160007949999969</v>
      </c>
      <c r="AO5318">
        <v>-44.904396608560482</v>
      </c>
      <c r="AP5318">
        <v>-20.160157000000002</v>
      </c>
      <c r="AQ5318">
        <v>-44.904347999999999</v>
      </c>
      <c r="AR5318">
        <v>17.35237255387942</v>
      </c>
      <c r="AS5318" t="s">
        <v>65</v>
      </c>
      <c r="AT5318">
        <v>1</v>
      </c>
      <c r="AU5318" t="s">
        <v>402</v>
      </c>
      <c r="AV5318" t="s">
        <v>403</v>
      </c>
      <c r="AW5318" t="s">
        <v>60</v>
      </c>
      <c r="AX5318" t="s">
        <v>68</v>
      </c>
      <c r="AY5318" t="s">
        <v>69</v>
      </c>
      <c r="AZ5318" t="b">
        <v>1</v>
      </c>
    </row>
    <row r="5319" spans="1:52" x14ac:dyDescent="0.3">
      <c r="A5319" t="s">
        <v>52</v>
      </c>
      <c r="B5319" t="s">
        <v>53</v>
      </c>
      <c r="C5319" t="s">
        <v>54</v>
      </c>
      <c r="D5319" t="s">
        <v>55</v>
      </c>
      <c r="E5319" t="s">
        <v>2278</v>
      </c>
      <c r="F5319" t="s">
        <v>1247</v>
      </c>
      <c r="G5319" t="s">
        <v>404</v>
      </c>
      <c r="H5319" t="s">
        <v>405</v>
      </c>
      <c r="I5319" t="s">
        <v>405</v>
      </c>
      <c r="J5319" t="s">
        <v>60</v>
      </c>
      <c r="K5319" t="s">
        <v>388</v>
      </c>
      <c r="L5319" t="s">
        <v>62</v>
      </c>
      <c r="M5319" t="s">
        <v>388</v>
      </c>
      <c r="N5319" t="s">
        <v>406</v>
      </c>
      <c r="O5319" t="s">
        <v>407</v>
      </c>
      <c r="P5319">
        <v>-20.162780999999999</v>
      </c>
      <c r="Q5319">
        <v>-44.904437999999999</v>
      </c>
      <c r="R5319" s="2" t="str">
        <f>HYPERLINK("https://www.google.com/maps?q=-20.1627810,-44.9044380","Abrir no Google Maps")</f>
        <v>Abrir no Google Maps</v>
      </c>
      <c r="S5319">
        <v>3</v>
      </c>
      <c r="T5319">
        <v>681.0891377731482</v>
      </c>
      <c r="U5319">
        <v>4</v>
      </c>
      <c r="V5319">
        <v>0.925682261208577</v>
      </c>
      <c r="W5319">
        <v>1</v>
      </c>
      <c r="X5319">
        <v>0.925682261208577</v>
      </c>
      <c r="Y5319">
        <v>729</v>
      </c>
      <c r="Z5319">
        <v>564.17713687218622</v>
      </c>
      <c r="AA5319">
        <v>198</v>
      </c>
      <c r="AB5319">
        <v>332</v>
      </c>
      <c r="AC5319">
        <v>536</v>
      </c>
      <c r="AD5319">
        <v>28.15</v>
      </c>
      <c r="AE5319">
        <v>542</v>
      </c>
      <c r="AF5319">
        <v>21</v>
      </c>
      <c r="AG5319">
        <v>176</v>
      </c>
      <c r="AH5319">
        <v>129</v>
      </c>
      <c r="AI5319">
        <v>3.87</v>
      </c>
      <c r="AJ5319">
        <v>32.47</v>
      </c>
      <c r="AK5319">
        <v>23.8</v>
      </c>
      <c r="AL5319">
        <v>-20.16295434999995</v>
      </c>
      <c r="AM5319">
        <v>-44.904242686956152</v>
      </c>
      <c r="AN5319">
        <v>-20.16295434999995</v>
      </c>
      <c r="AO5319">
        <v>-44.904242686956152</v>
      </c>
      <c r="AP5319">
        <v>-20.162780999999999</v>
      </c>
      <c r="AQ5319">
        <v>-44.904437999999999</v>
      </c>
      <c r="AR5319">
        <v>28.088191280523411</v>
      </c>
      <c r="AS5319" t="s">
        <v>65</v>
      </c>
      <c r="AT5319">
        <v>1</v>
      </c>
      <c r="AU5319" t="s">
        <v>408</v>
      </c>
      <c r="AV5319" t="s">
        <v>409</v>
      </c>
      <c r="AW5319" t="s">
        <v>60</v>
      </c>
      <c r="AX5319" t="s">
        <v>68</v>
      </c>
      <c r="AY5319" t="s">
        <v>69</v>
      </c>
      <c r="AZ5319" t="b">
        <v>1</v>
      </c>
    </row>
    <row r="5320" spans="1:52" x14ac:dyDescent="0.3">
      <c r="A5320" t="s">
        <v>52</v>
      </c>
      <c r="B5320" t="s">
        <v>53</v>
      </c>
      <c r="C5320" t="s">
        <v>54</v>
      </c>
      <c r="D5320" t="s">
        <v>55</v>
      </c>
      <c r="E5320" t="s">
        <v>2278</v>
      </c>
      <c r="F5320" t="s">
        <v>1247</v>
      </c>
      <c r="G5320" t="s">
        <v>410</v>
      </c>
      <c r="H5320" t="s">
        <v>411</v>
      </c>
      <c r="I5320" t="s">
        <v>411</v>
      </c>
      <c r="J5320" t="s">
        <v>60</v>
      </c>
      <c r="K5320" t="s">
        <v>388</v>
      </c>
      <c r="L5320" t="s">
        <v>62</v>
      </c>
      <c r="M5320" t="s">
        <v>388</v>
      </c>
      <c r="N5320" t="s">
        <v>412</v>
      </c>
      <c r="O5320" t="s">
        <v>413</v>
      </c>
      <c r="P5320">
        <v>-20.161394000000001</v>
      </c>
      <c r="Q5320">
        <v>-44.906725999999999</v>
      </c>
      <c r="R5320" s="2" t="str">
        <f>HYPERLINK("https://www.google.com/maps?q=-20.1613940,-44.9067260","Abrir no Google Maps")</f>
        <v>Abrir no Google Maps</v>
      </c>
      <c r="S5320">
        <v>3</v>
      </c>
      <c r="T5320">
        <v>763.68157548493457</v>
      </c>
      <c r="U5320">
        <v>4</v>
      </c>
      <c r="V5320">
        <v>0.92875162760416663</v>
      </c>
      <c r="W5320">
        <v>1</v>
      </c>
      <c r="X5320">
        <v>0.92875162760416663</v>
      </c>
      <c r="Y5320">
        <v>729</v>
      </c>
      <c r="Z5320">
        <v>551.70379325948545</v>
      </c>
      <c r="AA5320">
        <v>198</v>
      </c>
      <c r="AB5320">
        <v>332</v>
      </c>
      <c r="AC5320">
        <v>536</v>
      </c>
      <c r="AD5320">
        <v>28.15</v>
      </c>
      <c r="AE5320">
        <v>542</v>
      </c>
      <c r="AF5320">
        <v>21</v>
      </c>
      <c r="AG5320">
        <v>176</v>
      </c>
      <c r="AH5320">
        <v>129</v>
      </c>
      <c r="AI5320">
        <v>3.87</v>
      </c>
      <c r="AJ5320">
        <v>32.47</v>
      </c>
      <c r="AK5320">
        <v>23.8</v>
      </c>
      <c r="AL5320">
        <v>-20.161371049999929</v>
      </c>
      <c r="AM5320">
        <v>-44.906816797310228</v>
      </c>
      <c r="AN5320">
        <v>-20.161371049999929</v>
      </c>
      <c r="AO5320">
        <v>-44.906816797310228</v>
      </c>
      <c r="AP5320">
        <v>-20.161394000000001</v>
      </c>
      <c r="AQ5320">
        <v>-44.906725999999999</v>
      </c>
      <c r="AR5320">
        <v>9.8261555662022495</v>
      </c>
      <c r="AS5320" t="s">
        <v>65</v>
      </c>
      <c r="AT5320">
        <v>1</v>
      </c>
      <c r="AU5320" t="s">
        <v>414</v>
      </c>
      <c r="AV5320" t="s">
        <v>415</v>
      </c>
      <c r="AW5320" t="s">
        <v>60</v>
      </c>
      <c r="AX5320" t="s">
        <v>68</v>
      </c>
      <c r="AY5320" t="s">
        <v>69</v>
      </c>
      <c r="AZ5320" t="b">
        <v>1</v>
      </c>
    </row>
    <row r="5321" spans="1:52" x14ac:dyDescent="0.3">
      <c r="A5321" t="s">
        <v>52</v>
      </c>
      <c r="B5321" t="s">
        <v>53</v>
      </c>
      <c r="C5321" t="s">
        <v>54</v>
      </c>
      <c r="D5321" t="s">
        <v>55</v>
      </c>
      <c r="E5321" t="s">
        <v>2278</v>
      </c>
      <c r="F5321" t="s">
        <v>1247</v>
      </c>
      <c r="G5321" t="s">
        <v>416</v>
      </c>
      <c r="H5321" t="s">
        <v>417</v>
      </c>
      <c r="I5321" t="s">
        <v>417</v>
      </c>
      <c r="J5321" t="s">
        <v>60</v>
      </c>
      <c r="K5321" t="s">
        <v>418</v>
      </c>
      <c r="L5321" t="s">
        <v>62</v>
      </c>
      <c r="M5321" t="s">
        <v>418</v>
      </c>
      <c r="N5321" t="s">
        <v>419</v>
      </c>
      <c r="O5321" t="s">
        <v>202</v>
      </c>
      <c r="P5321">
        <v>-20.169886000000002</v>
      </c>
      <c r="Q5321">
        <v>-44.913288000000001</v>
      </c>
      <c r="R5321" s="2" t="str">
        <f>HYPERLINK("https://www.google.com/maps?q=-20.1698860,-44.9132880","Abrir no Google Maps")</f>
        <v>Abrir no Google Maps</v>
      </c>
      <c r="S5321">
        <v>3</v>
      </c>
      <c r="T5321">
        <v>422.88733632898152</v>
      </c>
      <c r="U5321">
        <v>4</v>
      </c>
      <c r="V5321">
        <v>0.90640394088669962</v>
      </c>
      <c r="W5321">
        <v>1</v>
      </c>
      <c r="X5321">
        <v>0.90640394088669962</v>
      </c>
      <c r="Y5321">
        <v>723</v>
      </c>
      <c r="Z5321">
        <v>128.65003864232261</v>
      </c>
      <c r="AA5321">
        <v>198</v>
      </c>
      <c r="AB5321">
        <v>332</v>
      </c>
      <c r="AC5321">
        <v>536</v>
      </c>
      <c r="AD5321">
        <v>28.15</v>
      </c>
      <c r="AE5321">
        <v>542</v>
      </c>
      <c r="AF5321">
        <v>21</v>
      </c>
      <c r="AG5321">
        <v>176</v>
      </c>
      <c r="AH5321">
        <v>129</v>
      </c>
      <c r="AI5321">
        <v>3.87</v>
      </c>
      <c r="AJ5321">
        <v>32.47</v>
      </c>
      <c r="AK5321">
        <v>23.8</v>
      </c>
      <c r="AL5321">
        <v>-20.16970024999998</v>
      </c>
      <c r="AM5321">
        <v>-44.913502201257437</v>
      </c>
      <c r="AN5321">
        <v>-20.16970024999998</v>
      </c>
      <c r="AO5321">
        <v>-44.913502201257437</v>
      </c>
      <c r="AP5321">
        <v>-20.169886000000002</v>
      </c>
      <c r="AQ5321">
        <v>-44.913288000000001</v>
      </c>
      <c r="AR5321">
        <v>30.47208587597606</v>
      </c>
      <c r="AS5321" t="s">
        <v>65</v>
      </c>
      <c r="AT5321">
        <v>1</v>
      </c>
      <c r="AU5321" t="s">
        <v>420</v>
      </c>
      <c r="AV5321" t="s">
        <v>421</v>
      </c>
      <c r="AW5321" t="s">
        <v>60</v>
      </c>
      <c r="AX5321" t="s">
        <v>68</v>
      </c>
      <c r="AY5321" t="s">
        <v>69</v>
      </c>
      <c r="AZ5321" t="b">
        <v>1</v>
      </c>
    </row>
    <row r="5322" spans="1:52" x14ac:dyDescent="0.3">
      <c r="A5322" t="s">
        <v>52</v>
      </c>
      <c r="B5322" t="s">
        <v>53</v>
      </c>
      <c r="C5322" t="s">
        <v>54</v>
      </c>
      <c r="D5322" t="s">
        <v>55</v>
      </c>
      <c r="E5322" t="s">
        <v>2278</v>
      </c>
      <c r="F5322" t="s">
        <v>1247</v>
      </c>
      <c r="G5322" t="s">
        <v>422</v>
      </c>
      <c r="H5322" t="s">
        <v>423</v>
      </c>
      <c r="I5322" t="s">
        <v>423</v>
      </c>
      <c r="J5322" t="s">
        <v>60</v>
      </c>
      <c r="K5322" t="s">
        <v>424</v>
      </c>
      <c r="L5322" t="s">
        <v>62</v>
      </c>
      <c r="M5322" t="s">
        <v>424</v>
      </c>
      <c r="N5322" t="s">
        <v>425</v>
      </c>
      <c r="O5322" t="s">
        <v>426</v>
      </c>
      <c r="P5322">
        <v>-20.177748000000001</v>
      </c>
      <c r="Q5322">
        <v>-44.912475000000001</v>
      </c>
      <c r="R5322" s="2" t="str">
        <f>HYPERLINK("https://www.google.com/maps?q=-20.1777480,-44.9124750","Abrir no Google Maps")</f>
        <v>Abrir no Google Maps</v>
      </c>
      <c r="S5322">
        <v>3</v>
      </c>
      <c r="T5322">
        <v>657.07560140436533</v>
      </c>
      <c r="U5322">
        <v>4</v>
      </c>
      <c r="V5322">
        <v>0.8909691629955947</v>
      </c>
      <c r="W5322">
        <v>1</v>
      </c>
      <c r="X5322">
        <v>0.8909691629955947</v>
      </c>
      <c r="Y5322">
        <v>723</v>
      </c>
      <c r="Z5322">
        <v>796.94198000561175</v>
      </c>
      <c r="AA5322">
        <v>198</v>
      </c>
      <c r="AB5322">
        <v>332</v>
      </c>
      <c r="AC5322">
        <v>536</v>
      </c>
      <c r="AD5322">
        <v>28.15</v>
      </c>
      <c r="AE5322">
        <v>542</v>
      </c>
      <c r="AF5322">
        <v>21</v>
      </c>
      <c r="AG5322">
        <v>176</v>
      </c>
      <c r="AH5322">
        <v>129</v>
      </c>
      <c r="AI5322">
        <v>3.87</v>
      </c>
      <c r="AJ5322">
        <v>32.47</v>
      </c>
      <c r="AK5322">
        <v>23.8</v>
      </c>
      <c r="AL5322">
        <v>-20.177761749999949</v>
      </c>
      <c r="AM5322">
        <v>-44.91263311624418</v>
      </c>
      <c r="AN5322">
        <v>-20.177761749999949</v>
      </c>
      <c r="AO5322">
        <v>-44.91263311624418</v>
      </c>
      <c r="AP5322">
        <v>-20.177748000000001</v>
      </c>
      <c r="AQ5322">
        <v>-44.912475000000001</v>
      </c>
      <c r="AR5322">
        <v>16.591996803075372</v>
      </c>
      <c r="AS5322" t="s">
        <v>65</v>
      </c>
      <c r="AT5322">
        <v>1</v>
      </c>
      <c r="AU5322" t="s">
        <v>427</v>
      </c>
      <c r="AV5322" t="s">
        <v>428</v>
      </c>
      <c r="AW5322" t="s">
        <v>60</v>
      </c>
      <c r="AX5322" t="s">
        <v>68</v>
      </c>
      <c r="AY5322" t="s">
        <v>69</v>
      </c>
      <c r="AZ5322" t="b">
        <v>1</v>
      </c>
    </row>
    <row r="5323" spans="1:52" x14ac:dyDescent="0.3">
      <c r="A5323" t="s">
        <v>52</v>
      </c>
      <c r="B5323" t="s">
        <v>53</v>
      </c>
      <c r="C5323" t="s">
        <v>54</v>
      </c>
      <c r="D5323" t="s">
        <v>55</v>
      </c>
      <c r="E5323" t="s">
        <v>2278</v>
      </c>
      <c r="F5323" t="s">
        <v>1247</v>
      </c>
      <c r="G5323" t="s">
        <v>435</v>
      </c>
      <c r="H5323" t="s">
        <v>436</v>
      </c>
      <c r="I5323" t="s">
        <v>436</v>
      </c>
      <c r="J5323" t="s">
        <v>60</v>
      </c>
      <c r="K5323" t="s">
        <v>437</v>
      </c>
      <c r="L5323" t="s">
        <v>62</v>
      </c>
      <c r="M5323" t="s">
        <v>437</v>
      </c>
      <c r="N5323" t="s">
        <v>438</v>
      </c>
      <c r="O5323" t="s">
        <v>439</v>
      </c>
      <c r="P5323">
        <v>-20.145613000000001</v>
      </c>
      <c r="Q5323">
        <v>-44.882375000000003</v>
      </c>
      <c r="R5323" s="2" t="str">
        <f>HYPERLINK("https://www.google.com/maps?q=-20.1456130,-44.8823750","Abrir no Google Maps")</f>
        <v>Abrir no Google Maps</v>
      </c>
      <c r="S5323">
        <v>3</v>
      </c>
      <c r="T5323">
        <v>305.65092112314198</v>
      </c>
      <c r="U5323">
        <v>4</v>
      </c>
      <c r="V5323">
        <v>0.91354625550660795</v>
      </c>
      <c r="W5323">
        <v>1</v>
      </c>
      <c r="X5323">
        <v>0.91354625550660795</v>
      </c>
      <c r="Y5323">
        <v>653</v>
      </c>
      <c r="Z5323">
        <v>349.55297035282501</v>
      </c>
      <c r="AA5323">
        <v>198</v>
      </c>
      <c r="AB5323">
        <v>332</v>
      </c>
      <c r="AC5323">
        <v>536</v>
      </c>
      <c r="AD5323">
        <v>28.15</v>
      </c>
      <c r="AE5323">
        <v>542</v>
      </c>
      <c r="AF5323">
        <v>21</v>
      </c>
      <c r="AG5323">
        <v>176</v>
      </c>
      <c r="AH5323">
        <v>129</v>
      </c>
      <c r="AI5323">
        <v>3.87</v>
      </c>
      <c r="AJ5323">
        <v>32.47</v>
      </c>
      <c r="AK5323">
        <v>23.8</v>
      </c>
      <c r="AL5323">
        <v>-20.14550464999996</v>
      </c>
      <c r="AM5323">
        <v>-44.882157007077737</v>
      </c>
      <c r="AN5323">
        <v>-20.14550464999996</v>
      </c>
      <c r="AO5323">
        <v>-44.882157007077737</v>
      </c>
      <c r="AP5323">
        <v>-20.145613000000001</v>
      </c>
      <c r="AQ5323">
        <v>-44.882375000000003</v>
      </c>
      <c r="AR5323">
        <v>25.77819791856259</v>
      </c>
      <c r="AS5323" t="s">
        <v>65</v>
      </c>
      <c r="AT5323">
        <v>1</v>
      </c>
      <c r="AU5323" t="s">
        <v>440</v>
      </c>
      <c r="AV5323" t="s">
        <v>441</v>
      </c>
      <c r="AW5323" t="s">
        <v>60</v>
      </c>
      <c r="AX5323" t="s">
        <v>68</v>
      </c>
      <c r="AY5323" t="s">
        <v>69</v>
      </c>
      <c r="AZ5323" t="b">
        <v>1</v>
      </c>
    </row>
    <row r="5324" spans="1:52" x14ac:dyDescent="0.3">
      <c r="A5324" t="s">
        <v>52</v>
      </c>
      <c r="B5324" t="s">
        <v>53</v>
      </c>
      <c r="C5324" t="s">
        <v>54</v>
      </c>
      <c r="D5324" t="s">
        <v>55</v>
      </c>
      <c r="E5324" t="s">
        <v>2278</v>
      </c>
      <c r="F5324" t="s">
        <v>1247</v>
      </c>
      <c r="G5324" t="s">
        <v>442</v>
      </c>
      <c r="H5324" t="s">
        <v>443</v>
      </c>
      <c r="I5324" t="s">
        <v>443</v>
      </c>
      <c r="J5324" t="s">
        <v>60</v>
      </c>
      <c r="K5324" t="s">
        <v>437</v>
      </c>
      <c r="L5324" t="s">
        <v>62</v>
      </c>
      <c r="M5324" t="s">
        <v>437</v>
      </c>
      <c r="N5324" t="s">
        <v>444</v>
      </c>
      <c r="O5324" t="s">
        <v>445</v>
      </c>
      <c r="P5324">
        <v>-20.149744999999999</v>
      </c>
      <c r="Q5324">
        <v>-44.881385000000002</v>
      </c>
      <c r="R5324" s="2" t="str">
        <f>HYPERLINK("https://www.google.com/maps?q=-20.1497450,-44.8813850","Abrir no Google Maps")</f>
        <v>Abrir no Google Maps</v>
      </c>
      <c r="S5324">
        <v>3</v>
      </c>
      <c r="T5324">
        <v>188.80690546111239</v>
      </c>
      <c r="U5324">
        <v>4</v>
      </c>
      <c r="V5324">
        <v>0.93893387314439958</v>
      </c>
      <c r="W5324">
        <v>1</v>
      </c>
      <c r="X5324">
        <v>0.93893387314439958</v>
      </c>
      <c r="Y5324">
        <v>653</v>
      </c>
      <c r="Z5324">
        <v>86.575080390731017</v>
      </c>
      <c r="AA5324">
        <v>198</v>
      </c>
      <c r="AB5324">
        <v>332</v>
      </c>
      <c r="AC5324">
        <v>536</v>
      </c>
      <c r="AD5324">
        <v>28.15</v>
      </c>
      <c r="AE5324">
        <v>542</v>
      </c>
      <c r="AF5324">
        <v>21</v>
      </c>
      <c r="AG5324">
        <v>176</v>
      </c>
      <c r="AH5324">
        <v>129</v>
      </c>
      <c r="AI5324">
        <v>3.87</v>
      </c>
      <c r="AJ5324">
        <v>32.47</v>
      </c>
      <c r="AK5324">
        <v>23.8</v>
      </c>
      <c r="AL5324">
        <v>-20.149645149999941</v>
      </c>
      <c r="AM5324">
        <v>-44.881504585149607</v>
      </c>
      <c r="AN5324">
        <v>-20.149645149999941</v>
      </c>
      <c r="AO5324">
        <v>-44.881504585149607</v>
      </c>
      <c r="AP5324">
        <v>-20.149744999999999</v>
      </c>
      <c r="AQ5324">
        <v>-44.881385000000002</v>
      </c>
      <c r="AR5324">
        <v>16.725323110840389</v>
      </c>
      <c r="AS5324" t="s">
        <v>65</v>
      </c>
      <c r="AT5324">
        <v>1</v>
      </c>
      <c r="AU5324" t="s">
        <v>446</v>
      </c>
      <c r="AV5324" t="s">
        <v>447</v>
      </c>
      <c r="AW5324" t="s">
        <v>60</v>
      </c>
      <c r="AX5324" t="s">
        <v>68</v>
      </c>
      <c r="AY5324" t="s">
        <v>69</v>
      </c>
      <c r="AZ5324" t="b">
        <v>1</v>
      </c>
    </row>
    <row r="5325" spans="1:52" x14ac:dyDescent="0.3">
      <c r="A5325" t="s">
        <v>52</v>
      </c>
      <c r="B5325" t="s">
        <v>53</v>
      </c>
      <c r="C5325" t="s">
        <v>54</v>
      </c>
      <c r="D5325" t="s">
        <v>55</v>
      </c>
      <c r="E5325" t="s">
        <v>2278</v>
      </c>
      <c r="F5325" t="s">
        <v>1247</v>
      </c>
      <c r="G5325" t="s">
        <v>448</v>
      </c>
      <c r="H5325" t="s">
        <v>449</v>
      </c>
      <c r="I5325" t="s">
        <v>449</v>
      </c>
      <c r="J5325" t="s">
        <v>60</v>
      </c>
      <c r="K5325" t="s">
        <v>388</v>
      </c>
      <c r="L5325" t="s">
        <v>62</v>
      </c>
      <c r="M5325" t="s">
        <v>388</v>
      </c>
      <c r="N5325" t="s">
        <v>450</v>
      </c>
      <c r="O5325" t="s">
        <v>451</v>
      </c>
      <c r="P5325">
        <v>-20.163981</v>
      </c>
      <c r="Q5325">
        <v>-44.907128999999998</v>
      </c>
      <c r="R5325" s="2" t="str">
        <f>HYPERLINK("https://www.google.com/maps?q=-20.1639810,-44.9071290","Abrir no Google Maps")</f>
        <v>Abrir no Google Maps</v>
      </c>
      <c r="S5325">
        <v>3</v>
      </c>
      <c r="T5325">
        <v>782.50730806588319</v>
      </c>
      <c r="U5325">
        <v>4</v>
      </c>
      <c r="V5325">
        <v>0.93273305084745761</v>
      </c>
      <c r="W5325">
        <v>1</v>
      </c>
      <c r="X5325">
        <v>0.93273305084745761</v>
      </c>
      <c r="Y5325">
        <v>639</v>
      </c>
      <c r="Z5325">
        <v>710.90621453796166</v>
      </c>
      <c r="AA5325">
        <v>198</v>
      </c>
      <c r="AB5325">
        <v>332</v>
      </c>
      <c r="AC5325">
        <v>536</v>
      </c>
      <c r="AD5325">
        <v>28.15</v>
      </c>
      <c r="AE5325">
        <v>542</v>
      </c>
      <c r="AF5325">
        <v>21</v>
      </c>
      <c r="AG5325">
        <v>176</v>
      </c>
      <c r="AH5325">
        <v>129</v>
      </c>
      <c r="AI5325">
        <v>3.87</v>
      </c>
      <c r="AJ5325">
        <v>32.47</v>
      </c>
      <c r="AK5325">
        <v>23.8</v>
      </c>
      <c r="AL5325">
        <v>-20.163958349999969</v>
      </c>
      <c r="AM5325">
        <v>-44.907180923930973</v>
      </c>
      <c r="AN5325">
        <v>-20.163958349999969</v>
      </c>
      <c r="AO5325">
        <v>-44.907180923930973</v>
      </c>
      <c r="AP5325">
        <v>-20.163981</v>
      </c>
      <c r="AQ5325">
        <v>-44.907128999999998</v>
      </c>
      <c r="AR5325">
        <v>5.9831345092457884</v>
      </c>
      <c r="AS5325" t="s">
        <v>65</v>
      </c>
      <c r="AT5325">
        <v>1</v>
      </c>
      <c r="AU5325" t="s">
        <v>452</v>
      </c>
      <c r="AV5325" t="s">
        <v>453</v>
      </c>
      <c r="AW5325" t="s">
        <v>60</v>
      </c>
      <c r="AX5325" t="s">
        <v>68</v>
      </c>
      <c r="AY5325" t="s">
        <v>69</v>
      </c>
      <c r="AZ5325" t="b">
        <v>1</v>
      </c>
    </row>
    <row r="5326" spans="1:52" x14ac:dyDescent="0.3">
      <c r="A5326" t="s">
        <v>52</v>
      </c>
      <c r="B5326" t="s">
        <v>53</v>
      </c>
      <c r="C5326" t="s">
        <v>54</v>
      </c>
      <c r="D5326" t="s">
        <v>55</v>
      </c>
      <c r="E5326" t="s">
        <v>2278</v>
      </c>
      <c r="F5326" t="s">
        <v>1247</v>
      </c>
      <c r="G5326" t="s">
        <v>454</v>
      </c>
      <c r="H5326" t="s">
        <v>455</v>
      </c>
      <c r="I5326" t="s">
        <v>455</v>
      </c>
      <c r="J5326" t="s">
        <v>60</v>
      </c>
      <c r="K5326" t="s">
        <v>456</v>
      </c>
      <c r="L5326" t="s">
        <v>62</v>
      </c>
      <c r="M5326" t="s">
        <v>456</v>
      </c>
      <c r="N5326" t="s">
        <v>102</v>
      </c>
      <c r="O5326" t="s">
        <v>457</v>
      </c>
      <c r="P5326">
        <v>-20.138373999999999</v>
      </c>
      <c r="Q5326">
        <v>-44.903756999999999</v>
      </c>
      <c r="R5326" s="2" t="str">
        <f>HYPERLINK("https://www.google.com/maps?q=-20.1383740,-44.9037570","Abrir no Google Maps")</f>
        <v>Abrir no Google Maps</v>
      </c>
      <c r="S5326">
        <v>3</v>
      </c>
      <c r="T5326">
        <v>357.59466273594461</v>
      </c>
      <c r="U5326">
        <v>4</v>
      </c>
      <c r="V5326">
        <v>0.9375</v>
      </c>
      <c r="W5326">
        <v>1</v>
      </c>
      <c r="X5326">
        <v>0.9375</v>
      </c>
      <c r="Y5326">
        <v>581</v>
      </c>
      <c r="Z5326">
        <v>406.92482694505992</v>
      </c>
      <c r="AA5326">
        <v>198</v>
      </c>
      <c r="AB5326">
        <v>332</v>
      </c>
      <c r="AC5326">
        <v>536</v>
      </c>
      <c r="AD5326">
        <v>28.15</v>
      </c>
      <c r="AE5326">
        <v>542</v>
      </c>
      <c r="AF5326">
        <v>21</v>
      </c>
      <c r="AG5326">
        <v>176</v>
      </c>
      <c r="AH5326">
        <v>129</v>
      </c>
      <c r="AI5326">
        <v>3.87</v>
      </c>
      <c r="AJ5326">
        <v>32.47</v>
      </c>
      <c r="AK5326">
        <v>23.8</v>
      </c>
      <c r="AL5326">
        <v>-20.138338199999961</v>
      </c>
      <c r="AM5326">
        <v>-44.903768618976301</v>
      </c>
      <c r="AN5326">
        <v>-20.138338199999961</v>
      </c>
      <c r="AO5326">
        <v>-44.903768618976301</v>
      </c>
      <c r="AP5326">
        <v>-20.138373999999999</v>
      </c>
      <c r="AQ5326">
        <v>-44.903756999999999</v>
      </c>
      <c r="AR5326">
        <v>4.1661625938922704</v>
      </c>
      <c r="AS5326" t="s">
        <v>65</v>
      </c>
      <c r="AT5326">
        <v>1</v>
      </c>
      <c r="AU5326" t="s">
        <v>458</v>
      </c>
      <c r="AV5326" t="s">
        <v>459</v>
      </c>
      <c r="AW5326" t="s">
        <v>60</v>
      </c>
      <c r="AX5326" t="s">
        <v>68</v>
      </c>
      <c r="AY5326" t="s">
        <v>69</v>
      </c>
      <c r="AZ5326" t="b">
        <v>1</v>
      </c>
    </row>
    <row r="5327" spans="1:52" x14ac:dyDescent="0.3">
      <c r="A5327" t="s">
        <v>52</v>
      </c>
      <c r="B5327" t="s">
        <v>53</v>
      </c>
      <c r="C5327" t="s">
        <v>54</v>
      </c>
      <c r="D5327" t="s">
        <v>55</v>
      </c>
      <c r="E5327" t="s">
        <v>2278</v>
      </c>
      <c r="F5327" t="s">
        <v>1247</v>
      </c>
      <c r="G5327" t="s">
        <v>460</v>
      </c>
      <c r="H5327" t="s">
        <v>461</v>
      </c>
      <c r="I5327" t="s">
        <v>461</v>
      </c>
      <c r="J5327" t="s">
        <v>60</v>
      </c>
      <c r="K5327" t="s">
        <v>462</v>
      </c>
      <c r="L5327" t="s">
        <v>62</v>
      </c>
      <c r="M5327" t="s">
        <v>462</v>
      </c>
      <c r="N5327" t="s">
        <v>463</v>
      </c>
      <c r="O5327" t="s">
        <v>464</v>
      </c>
      <c r="P5327">
        <v>-20.137919</v>
      </c>
      <c r="Q5327">
        <v>-44.905591000000001</v>
      </c>
      <c r="R5327" s="2" t="str">
        <f>HYPERLINK("https://www.google.com/maps?q=-20.1379190,-44.9055910","Abrir no Google Maps")</f>
        <v>Abrir no Google Maps</v>
      </c>
      <c r="S5327">
        <v>3</v>
      </c>
      <c r="T5327">
        <v>262.01115919461103</v>
      </c>
      <c r="U5327">
        <v>4</v>
      </c>
      <c r="V5327">
        <v>0.94370860927152322</v>
      </c>
      <c r="W5327">
        <v>1</v>
      </c>
      <c r="X5327">
        <v>0.94370860927152322</v>
      </c>
      <c r="Y5327">
        <v>581</v>
      </c>
      <c r="Z5327">
        <v>318.63337303219271</v>
      </c>
      <c r="AA5327">
        <v>198</v>
      </c>
      <c r="AB5327">
        <v>332</v>
      </c>
      <c r="AC5327">
        <v>536</v>
      </c>
      <c r="AD5327">
        <v>28.15</v>
      </c>
      <c r="AE5327">
        <v>542</v>
      </c>
      <c r="AF5327">
        <v>21</v>
      </c>
      <c r="AG5327">
        <v>176</v>
      </c>
      <c r="AH5327">
        <v>129</v>
      </c>
      <c r="AI5327">
        <v>3.87</v>
      </c>
      <c r="AJ5327">
        <v>32.47</v>
      </c>
      <c r="AK5327">
        <v>23.8</v>
      </c>
      <c r="AL5327">
        <v>-20.13789079999998</v>
      </c>
      <c r="AM5327">
        <v>-44.90548593520333</v>
      </c>
      <c r="AN5327">
        <v>-20.13789079999998</v>
      </c>
      <c r="AO5327">
        <v>-44.90548593520333</v>
      </c>
      <c r="AP5327">
        <v>-20.137919</v>
      </c>
      <c r="AQ5327">
        <v>-44.905591000000001</v>
      </c>
      <c r="AR5327">
        <v>11.42072348298178</v>
      </c>
      <c r="AS5327" t="s">
        <v>65</v>
      </c>
      <c r="AT5327">
        <v>1</v>
      </c>
      <c r="AU5327" t="s">
        <v>465</v>
      </c>
      <c r="AV5327" t="s">
        <v>466</v>
      </c>
      <c r="AW5327" t="s">
        <v>60</v>
      </c>
      <c r="AX5327" t="s">
        <v>68</v>
      </c>
      <c r="AY5327" t="s">
        <v>69</v>
      </c>
      <c r="AZ5327" t="b">
        <v>1</v>
      </c>
    </row>
    <row r="5328" spans="1:52" x14ac:dyDescent="0.3">
      <c r="A5328" t="s">
        <v>52</v>
      </c>
      <c r="B5328" t="s">
        <v>53</v>
      </c>
      <c r="C5328" t="s">
        <v>54</v>
      </c>
      <c r="D5328" t="s">
        <v>55</v>
      </c>
      <c r="E5328" t="s">
        <v>2278</v>
      </c>
      <c r="F5328" t="s">
        <v>1247</v>
      </c>
      <c r="G5328" t="s">
        <v>467</v>
      </c>
      <c r="H5328" t="s">
        <v>468</v>
      </c>
      <c r="I5328" t="s">
        <v>468</v>
      </c>
      <c r="J5328" t="s">
        <v>60</v>
      </c>
      <c r="K5328" t="s">
        <v>462</v>
      </c>
      <c r="L5328" t="s">
        <v>62</v>
      </c>
      <c r="M5328" t="s">
        <v>462</v>
      </c>
      <c r="N5328" t="s">
        <v>469</v>
      </c>
      <c r="O5328" t="s">
        <v>470</v>
      </c>
      <c r="P5328">
        <v>-20.138233</v>
      </c>
      <c r="Q5328">
        <v>-44.908200000000001</v>
      </c>
      <c r="R5328" s="2" t="str">
        <f>HYPERLINK("https://www.google.com/maps?q=-20.1382330,-44.9082000","Abrir no Google Maps")</f>
        <v>Abrir no Google Maps</v>
      </c>
      <c r="S5328">
        <v>3</v>
      </c>
      <c r="T5328">
        <v>0</v>
      </c>
      <c r="U5328">
        <v>4</v>
      </c>
      <c r="V5328">
        <v>0.94182692307692317</v>
      </c>
      <c r="W5328">
        <v>1</v>
      </c>
      <c r="X5328">
        <v>0.94182692307692317</v>
      </c>
      <c r="Y5328">
        <v>581</v>
      </c>
      <c r="Z5328">
        <v>153.18688302958171</v>
      </c>
      <c r="AA5328">
        <v>198</v>
      </c>
      <c r="AB5328">
        <v>332</v>
      </c>
      <c r="AC5328">
        <v>536</v>
      </c>
      <c r="AD5328">
        <v>28.15</v>
      </c>
      <c r="AE5328">
        <v>542</v>
      </c>
      <c r="AF5328">
        <v>21</v>
      </c>
      <c r="AG5328">
        <v>176</v>
      </c>
      <c r="AH5328">
        <v>129</v>
      </c>
      <c r="AI5328">
        <v>3.87</v>
      </c>
      <c r="AJ5328">
        <v>32.47</v>
      </c>
      <c r="AK5328">
        <v>23.8</v>
      </c>
      <c r="AL5328">
        <v>-20.138364899999971</v>
      </c>
      <c r="AM5328">
        <v>-44.907942114873997</v>
      </c>
      <c r="AN5328">
        <v>-20.138364899999971</v>
      </c>
      <c r="AO5328">
        <v>-44.907942114873997</v>
      </c>
      <c r="AP5328">
        <v>-20.138233</v>
      </c>
      <c r="AQ5328">
        <v>-44.908200000000001</v>
      </c>
      <c r="AR5328">
        <v>30.692690617986941</v>
      </c>
      <c r="AS5328" t="s">
        <v>65</v>
      </c>
      <c r="AT5328">
        <v>1</v>
      </c>
      <c r="AU5328" t="s">
        <v>471</v>
      </c>
      <c r="AV5328" t="s">
        <v>472</v>
      </c>
      <c r="AW5328" t="s">
        <v>60</v>
      </c>
      <c r="AX5328" t="s">
        <v>68</v>
      </c>
      <c r="AY5328" t="s">
        <v>69</v>
      </c>
      <c r="AZ5328" t="b">
        <v>1</v>
      </c>
    </row>
    <row r="5329" spans="1:52" x14ac:dyDescent="0.3">
      <c r="A5329" t="s">
        <v>52</v>
      </c>
      <c r="B5329" t="s">
        <v>53</v>
      </c>
      <c r="C5329" t="s">
        <v>54</v>
      </c>
      <c r="D5329" t="s">
        <v>55</v>
      </c>
      <c r="E5329" t="s">
        <v>2278</v>
      </c>
      <c r="F5329" t="s">
        <v>1247</v>
      </c>
      <c r="G5329" t="s">
        <v>864</v>
      </c>
      <c r="H5329" t="s">
        <v>865</v>
      </c>
      <c r="I5329" t="s">
        <v>865</v>
      </c>
      <c r="J5329" t="s">
        <v>60</v>
      </c>
      <c r="K5329" t="s">
        <v>486</v>
      </c>
      <c r="L5329" t="s">
        <v>62</v>
      </c>
      <c r="M5329" t="s">
        <v>486</v>
      </c>
      <c r="N5329" t="s">
        <v>866</v>
      </c>
      <c r="O5329" t="s">
        <v>867</v>
      </c>
      <c r="P5329">
        <v>-20.170919000000001</v>
      </c>
      <c r="Q5329">
        <v>-44.905451999999997</v>
      </c>
      <c r="R5329" s="2" t="str">
        <f>HYPERLINK("https://www.google.com/maps?q=-20.1709190,-44.9054520","Abrir no Google Maps")</f>
        <v>Abrir no Google Maps</v>
      </c>
      <c r="S5329">
        <v>3</v>
      </c>
      <c r="T5329">
        <v>0</v>
      </c>
      <c r="U5329">
        <v>4</v>
      </c>
      <c r="V5329">
        <v>0.90057915057915061</v>
      </c>
      <c r="W5329">
        <v>1</v>
      </c>
      <c r="X5329">
        <v>0.90057915057915061</v>
      </c>
      <c r="Y5329">
        <v>578</v>
      </c>
      <c r="Z5329">
        <v>205.34598855748419</v>
      </c>
      <c r="AA5329">
        <v>198</v>
      </c>
      <c r="AB5329">
        <v>332</v>
      </c>
      <c r="AC5329">
        <v>536</v>
      </c>
      <c r="AD5329">
        <v>28.15</v>
      </c>
      <c r="AE5329">
        <v>542</v>
      </c>
      <c r="AF5329">
        <v>21</v>
      </c>
      <c r="AG5329">
        <v>176</v>
      </c>
      <c r="AH5329">
        <v>129</v>
      </c>
      <c r="AI5329">
        <v>3.87</v>
      </c>
      <c r="AJ5329">
        <v>32.47</v>
      </c>
      <c r="AK5329">
        <v>23.8</v>
      </c>
      <c r="AL5329">
        <v>-20.170854399999939</v>
      </c>
      <c r="AM5329">
        <v>-44.905524839633358</v>
      </c>
      <c r="AN5329">
        <v>-20.170854399999939</v>
      </c>
      <c r="AO5329">
        <v>-44.905524839633358</v>
      </c>
      <c r="AP5329">
        <v>-20.170919000000001</v>
      </c>
      <c r="AQ5329">
        <v>-44.905451999999997</v>
      </c>
      <c r="AR5329">
        <v>10.471140355179269</v>
      </c>
      <c r="AS5329" t="s">
        <v>65</v>
      </c>
      <c r="AT5329">
        <v>1</v>
      </c>
      <c r="AU5329" t="s">
        <v>868</v>
      </c>
      <c r="AV5329" t="s">
        <v>869</v>
      </c>
      <c r="AW5329" t="s">
        <v>60</v>
      </c>
      <c r="AX5329" t="s">
        <v>68</v>
      </c>
      <c r="AY5329" t="s">
        <v>69</v>
      </c>
      <c r="AZ5329" t="b">
        <v>1</v>
      </c>
    </row>
    <row r="5330" spans="1:52" x14ac:dyDescent="0.3">
      <c r="A5330" t="s">
        <v>52</v>
      </c>
      <c r="B5330" t="s">
        <v>53</v>
      </c>
      <c r="C5330" t="s">
        <v>54</v>
      </c>
      <c r="D5330" t="s">
        <v>55</v>
      </c>
      <c r="E5330" t="s">
        <v>2278</v>
      </c>
      <c r="F5330" t="s">
        <v>1247</v>
      </c>
      <c r="G5330" t="s">
        <v>484</v>
      </c>
      <c r="H5330" t="s">
        <v>485</v>
      </c>
      <c r="I5330" t="s">
        <v>485</v>
      </c>
      <c r="J5330" t="s">
        <v>60</v>
      </c>
      <c r="K5330" t="s">
        <v>486</v>
      </c>
      <c r="L5330" t="s">
        <v>62</v>
      </c>
      <c r="M5330" t="s">
        <v>486</v>
      </c>
      <c r="N5330" t="s">
        <v>487</v>
      </c>
      <c r="O5330" t="s">
        <v>488</v>
      </c>
      <c r="P5330">
        <v>-20.173000999999999</v>
      </c>
      <c r="Q5330">
        <v>-44.901876999999999</v>
      </c>
      <c r="R5330" s="2" t="str">
        <f>HYPERLINK("https://www.google.com/maps?q=-20.1730010,-44.9018770","Abrir no Google Maps")</f>
        <v>Abrir no Google Maps</v>
      </c>
      <c r="S5330">
        <v>3</v>
      </c>
      <c r="T5330">
        <v>437.59695450783011</v>
      </c>
      <c r="U5330">
        <v>4</v>
      </c>
      <c r="V5330">
        <v>0.89245495495495497</v>
      </c>
      <c r="W5330">
        <v>1</v>
      </c>
      <c r="X5330">
        <v>0.89245495495495497</v>
      </c>
      <c r="Y5330">
        <v>578</v>
      </c>
      <c r="Z5330">
        <v>440.53629183653243</v>
      </c>
      <c r="AA5330">
        <v>198</v>
      </c>
      <c r="AB5330">
        <v>332</v>
      </c>
      <c r="AC5330">
        <v>536</v>
      </c>
      <c r="AD5330">
        <v>28.15</v>
      </c>
      <c r="AE5330">
        <v>542</v>
      </c>
      <c r="AF5330">
        <v>21</v>
      </c>
      <c r="AG5330">
        <v>176</v>
      </c>
      <c r="AH5330">
        <v>129</v>
      </c>
      <c r="AI5330">
        <v>3.87</v>
      </c>
      <c r="AJ5330">
        <v>32.47</v>
      </c>
      <c r="AK5330">
        <v>23.8</v>
      </c>
      <c r="AL5330">
        <v>-20.173065299999969</v>
      </c>
      <c r="AM5330">
        <v>-44.902052686008687</v>
      </c>
      <c r="AN5330">
        <v>-20.173065299999969</v>
      </c>
      <c r="AO5330">
        <v>-44.902052686008687</v>
      </c>
      <c r="AP5330">
        <v>-20.173000999999999</v>
      </c>
      <c r="AQ5330">
        <v>-44.901876999999999</v>
      </c>
      <c r="AR5330">
        <v>19.703745070768829</v>
      </c>
      <c r="AS5330" t="s">
        <v>65</v>
      </c>
      <c r="AT5330">
        <v>1</v>
      </c>
      <c r="AU5330" t="s">
        <v>489</v>
      </c>
      <c r="AV5330" t="s">
        <v>490</v>
      </c>
      <c r="AW5330" t="s">
        <v>60</v>
      </c>
      <c r="AX5330" t="s">
        <v>68</v>
      </c>
      <c r="AY5330" t="s">
        <v>69</v>
      </c>
      <c r="AZ5330" t="b">
        <v>1</v>
      </c>
    </row>
    <row r="5331" spans="1:52" x14ac:dyDescent="0.3">
      <c r="A5331" t="s">
        <v>52</v>
      </c>
      <c r="B5331" t="s">
        <v>53</v>
      </c>
      <c r="C5331" t="s">
        <v>54</v>
      </c>
      <c r="D5331" t="s">
        <v>55</v>
      </c>
      <c r="E5331" t="s">
        <v>2278</v>
      </c>
      <c r="F5331" t="s">
        <v>1247</v>
      </c>
      <c r="G5331" t="s">
        <v>497</v>
      </c>
      <c r="H5331" t="s">
        <v>498</v>
      </c>
      <c r="I5331" t="s">
        <v>498</v>
      </c>
      <c r="J5331" t="s">
        <v>60</v>
      </c>
      <c r="K5331" t="s">
        <v>475</v>
      </c>
      <c r="L5331" t="s">
        <v>62</v>
      </c>
      <c r="M5331" t="s">
        <v>475</v>
      </c>
      <c r="N5331" t="s">
        <v>499</v>
      </c>
      <c r="O5331" t="s">
        <v>500</v>
      </c>
      <c r="P5331">
        <v>-20.175492999999999</v>
      </c>
      <c r="Q5331">
        <v>-44.900759000000001</v>
      </c>
      <c r="R5331" s="2" t="str">
        <f>HYPERLINK("https://www.google.com/maps?q=-20.1754930,-44.9007590","Abrir no Google Maps")</f>
        <v>Abrir no Google Maps</v>
      </c>
      <c r="S5331">
        <v>3</v>
      </c>
      <c r="T5331">
        <v>753.30732354720431</v>
      </c>
      <c r="U5331">
        <v>4</v>
      </c>
      <c r="V5331">
        <v>0.88834269662921339</v>
      </c>
      <c r="W5331">
        <v>1</v>
      </c>
      <c r="X5331">
        <v>0.88834269662921339</v>
      </c>
      <c r="Y5331">
        <v>578</v>
      </c>
      <c r="Z5331">
        <v>695.28903655431702</v>
      </c>
      <c r="AA5331">
        <v>198</v>
      </c>
      <c r="AB5331">
        <v>332</v>
      </c>
      <c r="AC5331">
        <v>536</v>
      </c>
      <c r="AD5331">
        <v>28.15</v>
      </c>
      <c r="AE5331">
        <v>542</v>
      </c>
      <c r="AF5331">
        <v>21</v>
      </c>
      <c r="AG5331">
        <v>176</v>
      </c>
      <c r="AH5331">
        <v>129</v>
      </c>
      <c r="AI5331">
        <v>3.87</v>
      </c>
      <c r="AJ5331">
        <v>32.47</v>
      </c>
      <c r="AK5331">
        <v>23.8</v>
      </c>
      <c r="AL5331">
        <v>-20.175825999999969</v>
      </c>
      <c r="AM5331">
        <v>-44.900600234646973</v>
      </c>
      <c r="AN5331">
        <v>-20.175825999999969</v>
      </c>
      <c r="AO5331">
        <v>-44.900600234646973</v>
      </c>
      <c r="AP5331">
        <v>-20.175492999999999</v>
      </c>
      <c r="AQ5331">
        <v>-44.900759000000001</v>
      </c>
      <c r="AR5331">
        <v>40.612267304645073</v>
      </c>
      <c r="AS5331" t="s">
        <v>65</v>
      </c>
      <c r="AT5331">
        <v>1</v>
      </c>
      <c r="AU5331" t="s">
        <v>501</v>
      </c>
      <c r="AV5331" t="s">
        <v>502</v>
      </c>
      <c r="AW5331" t="s">
        <v>60</v>
      </c>
      <c r="AX5331" t="s">
        <v>68</v>
      </c>
      <c r="AY5331" t="s">
        <v>69</v>
      </c>
      <c r="AZ5331" t="b">
        <v>1</v>
      </c>
    </row>
    <row r="5332" spans="1:52" x14ac:dyDescent="0.3">
      <c r="A5332" t="s">
        <v>52</v>
      </c>
      <c r="B5332" t="s">
        <v>53</v>
      </c>
      <c r="C5332" t="s">
        <v>54</v>
      </c>
      <c r="D5332" t="s">
        <v>55</v>
      </c>
      <c r="E5332" t="s">
        <v>2278</v>
      </c>
      <c r="F5332" t="s">
        <v>1247</v>
      </c>
      <c r="G5332" t="s">
        <v>503</v>
      </c>
      <c r="H5332" t="s">
        <v>504</v>
      </c>
      <c r="I5332" t="s">
        <v>504</v>
      </c>
      <c r="J5332" t="s">
        <v>60</v>
      </c>
      <c r="K5332" t="s">
        <v>505</v>
      </c>
      <c r="L5332" t="s">
        <v>62</v>
      </c>
      <c r="M5332" t="s">
        <v>505</v>
      </c>
      <c r="N5332" t="s">
        <v>506</v>
      </c>
      <c r="O5332" t="s">
        <v>507</v>
      </c>
      <c r="P5332">
        <v>-20.131428</v>
      </c>
      <c r="Q5332">
        <v>-44.888921000000003</v>
      </c>
      <c r="R5332" s="2" t="str">
        <f>HYPERLINK("https://www.google.com/maps?q=-20.1314280,-44.8889210","Abrir no Google Maps")</f>
        <v>Abrir no Google Maps</v>
      </c>
      <c r="S5332">
        <v>3</v>
      </c>
      <c r="T5332">
        <v>250.64150698244501</v>
      </c>
      <c r="U5332">
        <v>4</v>
      </c>
      <c r="V5332">
        <v>0.90650826446280997</v>
      </c>
      <c r="W5332">
        <v>1</v>
      </c>
      <c r="X5332">
        <v>0.90650826446280997</v>
      </c>
      <c r="Y5332">
        <v>564</v>
      </c>
      <c r="Z5332">
        <v>189.93933888952441</v>
      </c>
      <c r="AA5332">
        <v>198</v>
      </c>
      <c r="AB5332">
        <v>332</v>
      </c>
      <c r="AC5332">
        <v>536</v>
      </c>
      <c r="AD5332">
        <v>28.15</v>
      </c>
      <c r="AE5332">
        <v>542</v>
      </c>
      <c r="AF5332">
        <v>21</v>
      </c>
      <c r="AG5332">
        <v>176</v>
      </c>
      <c r="AH5332">
        <v>129</v>
      </c>
      <c r="AI5332">
        <v>3.87</v>
      </c>
      <c r="AJ5332">
        <v>32.47</v>
      </c>
      <c r="AK5332">
        <v>23.8</v>
      </c>
      <c r="AL5332">
        <v>-20.13123589999995</v>
      </c>
      <c r="AM5332">
        <v>-44.888742396501762</v>
      </c>
      <c r="AN5332">
        <v>-20.13123589999995</v>
      </c>
      <c r="AO5332">
        <v>-44.888742396501762</v>
      </c>
      <c r="AP5332">
        <v>-20.131428</v>
      </c>
      <c r="AQ5332">
        <v>-44.888921000000003</v>
      </c>
      <c r="AR5332">
        <v>28.386169462917032</v>
      </c>
      <c r="AS5332" t="s">
        <v>65</v>
      </c>
      <c r="AT5332">
        <v>1</v>
      </c>
      <c r="AU5332" t="s">
        <v>508</v>
      </c>
      <c r="AV5332" t="s">
        <v>509</v>
      </c>
      <c r="AW5332" t="s">
        <v>60</v>
      </c>
      <c r="AX5332" t="s">
        <v>68</v>
      </c>
      <c r="AY5332" t="s">
        <v>69</v>
      </c>
      <c r="AZ5332" t="b">
        <v>1</v>
      </c>
    </row>
    <row r="5333" spans="1:52" x14ac:dyDescent="0.3">
      <c r="A5333" t="s">
        <v>52</v>
      </c>
      <c r="B5333" t="s">
        <v>53</v>
      </c>
      <c r="C5333" t="s">
        <v>54</v>
      </c>
      <c r="D5333" t="s">
        <v>55</v>
      </c>
      <c r="E5333" t="s">
        <v>2278</v>
      </c>
      <c r="F5333" t="s">
        <v>1247</v>
      </c>
      <c r="G5333" t="s">
        <v>510</v>
      </c>
      <c r="H5333" t="s">
        <v>511</v>
      </c>
      <c r="I5333" t="s">
        <v>511</v>
      </c>
      <c r="J5333" t="s">
        <v>60</v>
      </c>
      <c r="K5333" t="s">
        <v>512</v>
      </c>
      <c r="L5333" t="s">
        <v>62</v>
      </c>
      <c r="M5333" t="s">
        <v>512</v>
      </c>
      <c r="N5333" t="s">
        <v>406</v>
      </c>
      <c r="O5333" t="s">
        <v>513</v>
      </c>
      <c r="P5333">
        <v>-20.127853000000002</v>
      </c>
      <c r="Q5333">
        <v>-44.891415000000002</v>
      </c>
      <c r="R5333" s="2" t="str">
        <f>HYPERLINK("https://www.google.com/maps?q=-20.1278530,-44.8914150","Abrir no Google Maps")</f>
        <v>Abrir no Google Maps</v>
      </c>
      <c r="S5333">
        <v>3</v>
      </c>
      <c r="T5333">
        <v>340.86994528233612</v>
      </c>
      <c r="U5333">
        <v>4</v>
      </c>
      <c r="V5333">
        <v>0.90567765567765557</v>
      </c>
      <c r="W5333">
        <v>1</v>
      </c>
      <c r="X5333">
        <v>0.90567765567765557</v>
      </c>
      <c r="Y5333">
        <v>564</v>
      </c>
      <c r="Z5333">
        <v>294.18108015916812</v>
      </c>
      <c r="AA5333">
        <v>198</v>
      </c>
      <c r="AB5333">
        <v>332</v>
      </c>
      <c r="AC5333">
        <v>536</v>
      </c>
      <c r="AD5333">
        <v>28.15</v>
      </c>
      <c r="AE5333">
        <v>542</v>
      </c>
      <c r="AF5333">
        <v>21</v>
      </c>
      <c r="AG5333">
        <v>176</v>
      </c>
      <c r="AH5333">
        <v>129</v>
      </c>
      <c r="AI5333">
        <v>3.87</v>
      </c>
      <c r="AJ5333">
        <v>32.47</v>
      </c>
      <c r="AK5333">
        <v>23.8</v>
      </c>
      <c r="AL5333">
        <v>-20.12777399999996</v>
      </c>
      <c r="AM5333">
        <v>-44.891400975758501</v>
      </c>
      <c r="AN5333">
        <v>-20.12777399999996</v>
      </c>
      <c r="AO5333">
        <v>-44.891400975758501</v>
      </c>
      <c r="AP5333">
        <v>-20.127853000000002</v>
      </c>
      <c r="AQ5333">
        <v>-44.891415000000002</v>
      </c>
      <c r="AR5333">
        <v>8.9156059162975616</v>
      </c>
      <c r="AS5333" t="s">
        <v>65</v>
      </c>
      <c r="AT5333">
        <v>1</v>
      </c>
      <c r="AU5333" t="s">
        <v>514</v>
      </c>
      <c r="AV5333" t="s">
        <v>515</v>
      </c>
      <c r="AW5333" t="s">
        <v>60</v>
      </c>
      <c r="AX5333" t="s">
        <v>68</v>
      </c>
      <c r="AY5333" t="s">
        <v>69</v>
      </c>
      <c r="AZ5333" t="b">
        <v>1</v>
      </c>
    </row>
    <row r="5334" spans="1:52" x14ac:dyDescent="0.3">
      <c r="A5334" t="s">
        <v>52</v>
      </c>
      <c r="B5334" t="s">
        <v>53</v>
      </c>
      <c r="C5334" t="s">
        <v>54</v>
      </c>
      <c r="D5334" t="s">
        <v>55</v>
      </c>
      <c r="E5334" t="s">
        <v>2278</v>
      </c>
      <c r="F5334" t="s">
        <v>1247</v>
      </c>
      <c r="G5334" t="s">
        <v>516</v>
      </c>
      <c r="H5334" t="s">
        <v>517</v>
      </c>
      <c r="I5334" t="s">
        <v>517</v>
      </c>
      <c r="J5334" t="s">
        <v>60</v>
      </c>
      <c r="K5334" t="s">
        <v>518</v>
      </c>
      <c r="L5334" t="s">
        <v>62</v>
      </c>
      <c r="M5334" t="s">
        <v>518</v>
      </c>
      <c r="N5334" t="s">
        <v>519</v>
      </c>
      <c r="O5334" t="s">
        <v>520</v>
      </c>
      <c r="P5334">
        <v>-20.124502</v>
      </c>
      <c r="Q5334">
        <v>-44.888424000000001</v>
      </c>
      <c r="R5334" s="2" t="str">
        <f>HYPERLINK("https://www.google.com/maps?q=-20.1245020,-44.8884240","Abrir no Google Maps")</f>
        <v>Abrir no Google Maps</v>
      </c>
      <c r="S5334">
        <v>3</v>
      </c>
      <c r="T5334">
        <v>483.42298121929559</v>
      </c>
      <c r="U5334">
        <v>4</v>
      </c>
      <c r="V5334">
        <v>0.94193989071038242</v>
      </c>
      <c r="W5334">
        <v>1</v>
      </c>
      <c r="X5334">
        <v>0.94193989071038242</v>
      </c>
      <c r="Y5334">
        <v>564</v>
      </c>
      <c r="Z5334">
        <v>565.43074237076587</v>
      </c>
      <c r="AA5334">
        <v>198</v>
      </c>
      <c r="AB5334">
        <v>332</v>
      </c>
      <c r="AC5334">
        <v>536</v>
      </c>
      <c r="AD5334">
        <v>28.15</v>
      </c>
      <c r="AE5334">
        <v>542</v>
      </c>
      <c r="AF5334">
        <v>21</v>
      </c>
      <c r="AG5334">
        <v>176</v>
      </c>
      <c r="AH5334">
        <v>129</v>
      </c>
      <c r="AI5334">
        <v>3.87</v>
      </c>
      <c r="AJ5334">
        <v>32.47</v>
      </c>
      <c r="AK5334">
        <v>23.8</v>
      </c>
      <c r="AL5334">
        <v>-20.124624949999941</v>
      </c>
      <c r="AM5334">
        <v>-44.888432821777258</v>
      </c>
      <c r="AN5334">
        <v>-20.124624949999941</v>
      </c>
      <c r="AO5334">
        <v>-44.888432821777258</v>
      </c>
      <c r="AP5334">
        <v>-20.124502</v>
      </c>
      <c r="AQ5334">
        <v>-44.888424000000001</v>
      </c>
      <c r="AR5334">
        <v>13.717819333897451</v>
      </c>
      <c r="AS5334" t="s">
        <v>65</v>
      </c>
      <c r="AT5334">
        <v>1</v>
      </c>
      <c r="AU5334" t="s">
        <v>521</v>
      </c>
      <c r="AV5334" t="s">
        <v>522</v>
      </c>
      <c r="AW5334" t="s">
        <v>60</v>
      </c>
      <c r="AX5334" t="s">
        <v>68</v>
      </c>
      <c r="AY5334" t="s">
        <v>69</v>
      </c>
      <c r="AZ5334" t="b">
        <v>1</v>
      </c>
    </row>
    <row r="5335" spans="1:52" x14ac:dyDescent="0.3">
      <c r="A5335" t="s">
        <v>52</v>
      </c>
      <c r="B5335" t="s">
        <v>53</v>
      </c>
      <c r="C5335" t="s">
        <v>54</v>
      </c>
      <c r="D5335" t="s">
        <v>55</v>
      </c>
      <c r="E5335" t="s">
        <v>2278</v>
      </c>
      <c r="F5335" t="s">
        <v>1247</v>
      </c>
      <c r="G5335" t="s">
        <v>879</v>
      </c>
      <c r="H5335" t="s">
        <v>880</v>
      </c>
      <c r="I5335" t="s">
        <v>880</v>
      </c>
      <c r="J5335" t="s">
        <v>60</v>
      </c>
      <c r="K5335" t="s">
        <v>505</v>
      </c>
      <c r="L5335" t="s">
        <v>62</v>
      </c>
      <c r="M5335" t="s">
        <v>505</v>
      </c>
      <c r="N5335" t="s">
        <v>881</v>
      </c>
      <c r="O5335" t="s">
        <v>882</v>
      </c>
      <c r="P5335">
        <v>-20.133452999999999</v>
      </c>
      <c r="Q5335">
        <v>-44.890571999999999</v>
      </c>
      <c r="R5335" s="2" t="str">
        <f>HYPERLINK("https://www.google.com/maps?q=-20.1334530,-44.8905720","Abrir no Google Maps")</f>
        <v>Abrir no Google Maps</v>
      </c>
      <c r="S5335">
        <v>3</v>
      </c>
      <c r="T5335">
        <v>373.51332104809921</v>
      </c>
      <c r="U5335">
        <v>4</v>
      </c>
      <c r="V5335">
        <v>0.91346153846153844</v>
      </c>
      <c r="W5335">
        <v>1</v>
      </c>
      <c r="X5335">
        <v>0.91346153846153844</v>
      </c>
      <c r="Y5335">
        <v>564</v>
      </c>
      <c r="Z5335">
        <v>422.34693311930448</v>
      </c>
      <c r="AA5335">
        <v>198</v>
      </c>
      <c r="AB5335">
        <v>332</v>
      </c>
      <c r="AC5335">
        <v>536</v>
      </c>
      <c r="AD5335">
        <v>28.15</v>
      </c>
      <c r="AE5335">
        <v>542</v>
      </c>
      <c r="AF5335">
        <v>21</v>
      </c>
      <c r="AG5335">
        <v>176</v>
      </c>
      <c r="AH5335">
        <v>129</v>
      </c>
      <c r="AI5335">
        <v>3.87</v>
      </c>
      <c r="AJ5335">
        <v>32.47</v>
      </c>
      <c r="AK5335">
        <v>23.8</v>
      </c>
      <c r="AL5335">
        <v>-20.133421549999952</v>
      </c>
      <c r="AM5335">
        <v>-44.890623456009052</v>
      </c>
      <c r="AN5335">
        <v>-20.133421549999952</v>
      </c>
      <c r="AO5335">
        <v>-44.890623456009052</v>
      </c>
      <c r="AP5335">
        <v>-20.133452999999999</v>
      </c>
      <c r="AQ5335">
        <v>-44.890571999999999</v>
      </c>
      <c r="AR5335">
        <v>6.4172139275452773</v>
      </c>
      <c r="AS5335" t="s">
        <v>65</v>
      </c>
      <c r="AT5335">
        <v>1</v>
      </c>
      <c r="AU5335" t="s">
        <v>883</v>
      </c>
      <c r="AV5335" t="s">
        <v>884</v>
      </c>
      <c r="AW5335" t="s">
        <v>60</v>
      </c>
      <c r="AX5335" t="s">
        <v>68</v>
      </c>
      <c r="AY5335" t="s">
        <v>69</v>
      </c>
      <c r="AZ5335" t="b">
        <v>1</v>
      </c>
    </row>
    <row r="5336" spans="1:52" x14ac:dyDescent="0.3">
      <c r="A5336" t="s">
        <v>52</v>
      </c>
      <c r="B5336" t="s">
        <v>53</v>
      </c>
      <c r="C5336" t="s">
        <v>54</v>
      </c>
      <c r="D5336" t="s">
        <v>55</v>
      </c>
      <c r="E5336" t="s">
        <v>2278</v>
      </c>
      <c r="F5336" t="s">
        <v>1247</v>
      </c>
      <c r="G5336" t="s">
        <v>523</v>
      </c>
      <c r="H5336" t="s">
        <v>524</v>
      </c>
      <c r="I5336" t="s">
        <v>524</v>
      </c>
      <c r="J5336" t="s">
        <v>60</v>
      </c>
      <c r="K5336" t="s">
        <v>518</v>
      </c>
      <c r="L5336" t="s">
        <v>62</v>
      </c>
      <c r="M5336" t="s">
        <v>518</v>
      </c>
      <c r="N5336" t="s">
        <v>525</v>
      </c>
      <c r="O5336" t="s">
        <v>331</v>
      </c>
      <c r="P5336">
        <v>-20.126553000000001</v>
      </c>
      <c r="Q5336">
        <v>-44.888599999999997</v>
      </c>
      <c r="R5336" s="2" t="str">
        <f>HYPERLINK("https://www.google.com/maps?q=-20.1265530,-44.8886000","Abrir no Google Maps")</f>
        <v>Abrir no Google Maps</v>
      </c>
      <c r="S5336">
        <v>3</v>
      </c>
      <c r="T5336">
        <v>256.34043440603853</v>
      </c>
      <c r="U5336">
        <v>4</v>
      </c>
      <c r="V5336">
        <v>0.9232673267326732</v>
      </c>
      <c r="W5336">
        <v>1</v>
      </c>
      <c r="X5336">
        <v>0.9232673267326732</v>
      </c>
      <c r="Y5336">
        <v>564</v>
      </c>
      <c r="Z5336">
        <v>325.4404273055876</v>
      </c>
      <c r="AA5336">
        <v>198</v>
      </c>
      <c r="AB5336">
        <v>332</v>
      </c>
      <c r="AC5336">
        <v>536</v>
      </c>
      <c r="AD5336">
        <v>28.15</v>
      </c>
      <c r="AE5336">
        <v>542</v>
      </c>
      <c r="AF5336">
        <v>21</v>
      </c>
      <c r="AG5336">
        <v>176</v>
      </c>
      <c r="AH5336">
        <v>129</v>
      </c>
      <c r="AI5336">
        <v>3.87</v>
      </c>
      <c r="AJ5336">
        <v>32.47</v>
      </c>
      <c r="AK5336">
        <v>23.8</v>
      </c>
      <c r="AL5336">
        <v>-20.12669049999997</v>
      </c>
      <c r="AM5336">
        <v>-44.888671289876577</v>
      </c>
      <c r="AN5336">
        <v>-20.12669049999997</v>
      </c>
      <c r="AO5336">
        <v>-44.888671289876577</v>
      </c>
      <c r="AP5336">
        <v>-20.126553000000001</v>
      </c>
      <c r="AQ5336">
        <v>-44.888599999999997</v>
      </c>
      <c r="AR5336">
        <v>17.023861591720589</v>
      </c>
      <c r="AS5336" t="s">
        <v>65</v>
      </c>
      <c r="AT5336">
        <v>1</v>
      </c>
      <c r="AU5336" t="s">
        <v>526</v>
      </c>
      <c r="AV5336" t="s">
        <v>527</v>
      </c>
      <c r="AW5336" t="s">
        <v>60</v>
      </c>
      <c r="AX5336" t="s">
        <v>68</v>
      </c>
      <c r="AY5336" t="s">
        <v>69</v>
      </c>
      <c r="AZ5336" t="b">
        <v>1</v>
      </c>
    </row>
    <row r="5337" spans="1:52" x14ac:dyDescent="0.3">
      <c r="A5337" t="s">
        <v>52</v>
      </c>
      <c r="B5337" t="s">
        <v>53</v>
      </c>
      <c r="C5337" t="s">
        <v>54</v>
      </c>
      <c r="D5337" t="s">
        <v>55</v>
      </c>
      <c r="E5337" t="s">
        <v>2278</v>
      </c>
      <c r="F5337" t="s">
        <v>1247</v>
      </c>
      <c r="G5337" t="s">
        <v>528</v>
      </c>
      <c r="H5337" t="s">
        <v>529</v>
      </c>
      <c r="I5337" t="s">
        <v>529</v>
      </c>
      <c r="J5337" t="s">
        <v>60</v>
      </c>
      <c r="K5337" t="s">
        <v>530</v>
      </c>
      <c r="L5337" t="s">
        <v>62</v>
      </c>
      <c r="M5337" t="s">
        <v>530</v>
      </c>
      <c r="N5337" t="s">
        <v>531</v>
      </c>
      <c r="O5337" t="s">
        <v>532</v>
      </c>
      <c r="P5337">
        <v>-20.142457</v>
      </c>
      <c r="Q5337">
        <v>-44.891688000000002</v>
      </c>
      <c r="R5337" s="2" t="str">
        <f>HYPERLINK("https://www.google.com/maps?q=-20.1424570,-44.8916880","Abrir no Google Maps")</f>
        <v>Abrir no Google Maps</v>
      </c>
      <c r="S5337">
        <v>3</v>
      </c>
      <c r="T5337">
        <v>0</v>
      </c>
      <c r="U5337">
        <v>4</v>
      </c>
      <c r="V5337">
        <v>0.99614726027397282</v>
      </c>
      <c r="W5337">
        <v>1</v>
      </c>
      <c r="X5337">
        <v>0.99614726027397282</v>
      </c>
      <c r="Y5337">
        <v>557</v>
      </c>
      <c r="Z5337">
        <v>42.611952255679803</v>
      </c>
      <c r="AA5337">
        <v>198</v>
      </c>
      <c r="AB5337">
        <v>332</v>
      </c>
      <c r="AC5337">
        <v>536</v>
      </c>
      <c r="AD5337">
        <v>28.15</v>
      </c>
      <c r="AE5337">
        <v>542</v>
      </c>
      <c r="AF5337">
        <v>21</v>
      </c>
      <c r="AG5337">
        <v>176</v>
      </c>
      <c r="AH5337">
        <v>129</v>
      </c>
      <c r="AI5337">
        <v>3.87</v>
      </c>
      <c r="AJ5337">
        <v>32.47</v>
      </c>
      <c r="AK5337">
        <v>23.8</v>
      </c>
      <c r="AL5337">
        <v>-20.142523099999948</v>
      </c>
      <c r="AM5337">
        <v>-44.891523817588819</v>
      </c>
      <c r="AN5337">
        <v>-20.142523099999948</v>
      </c>
      <c r="AO5337">
        <v>-44.891523817588819</v>
      </c>
      <c r="AP5337">
        <v>-20.142457</v>
      </c>
      <c r="AQ5337">
        <v>-44.891688000000002</v>
      </c>
      <c r="AR5337">
        <v>18.670129248632971</v>
      </c>
      <c r="AS5337" t="s">
        <v>65</v>
      </c>
      <c r="AT5337">
        <v>1</v>
      </c>
      <c r="AU5337" t="s">
        <v>533</v>
      </c>
      <c r="AV5337" t="s">
        <v>534</v>
      </c>
      <c r="AW5337" t="s">
        <v>60</v>
      </c>
      <c r="AX5337" t="s">
        <v>68</v>
      </c>
      <c r="AY5337" t="s">
        <v>69</v>
      </c>
      <c r="AZ5337" t="b">
        <v>1</v>
      </c>
    </row>
    <row r="5338" spans="1:52" x14ac:dyDescent="0.3">
      <c r="A5338" t="s">
        <v>52</v>
      </c>
      <c r="B5338" t="s">
        <v>53</v>
      </c>
      <c r="C5338" t="s">
        <v>54</v>
      </c>
      <c r="D5338" t="s">
        <v>55</v>
      </c>
      <c r="E5338" t="s">
        <v>2278</v>
      </c>
      <c r="F5338" t="s">
        <v>1247</v>
      </c>
      <c r="G5338" t="s">
        <v>535</v>
      </c>
      <c r="H5338" t="s">
        <v>536</v>
      </c>
      <c r="I5338" t="s">
        <v>536</v>
      </c>
      <c r="J5338" t="s">
        <v>60</v>
      </c>
      <c r="K5338" t="s">
        <v>388</v>
      </c>
      <c r="L5338" t="s">
        <v>62</v>
      </c>
      <c r="M5338" t="s">
        <v>388</v>
      </c>
      <c r="N5338" t="s">
        <v>537</v>
      </c>
      <c r="O5338" t="s">
        <v>538</v>
      </c>
      <c r="P5338">
        <v>-20.150061999999998</v>
      </c>
      <c r="Q5338">
        <v>-44.903379000000001</v>
      </c>
      <c r="R5338" s="2" t="str">
        <f>HYPERLINK("https://www.google.com/maps?q=-20.1500620,-44.9033790","Abrir no Google Maps")</f>
        <v>Abrir no Google Maps</v>
      </c>
      <c r="S5338">
        <v>3</v>
      </c>
      <c r="T5338">
        <v>286.20313674219977</v>
      </c>
      <c r="U5338">
        <v>4</v>
      </c>
      <c r="V5338">
        <v>0.93043785310734439</v>
      </c>
      <c r="W5338">
        <v>1</v>
      </c>
      <c r="X5338">
        <v>0.93043785310734439</v>
      </c>
      <c r="Y5338">
        <v>556</v>
      </c>
      <c r="Z5338">
        <v>315.81851898667401</v>
      </c>
      <c r="AA5338">
        <v>198</v>
      </c>
      <c r="AB5338">
        <v>332</v>
      </c>
      <c r="AC5338">
        <v>536</v>
      </c>
      <c r="AD5338">
        <v>28.15</v>
      </c>
      <c r="AE5338">
        <v>542</v>
      </c>
      <c r="AF5338">
        <v>21</v>
      </c>
      <c r="AG5338">
        <v>176</v>
      </c>
      <c r="AH5338">
        <v>129</v>
      </c>
      <c r="AI5338">
        <v>3.87</v>
      </c>
      <c r="AJ5338">
        <v>32.47</v>
      </c>
      <c r="AK5338">
        <v>23.8</v>
      </c>
      <c r="AL5338">
        <v>-20.150084299999971</v>
      </c>
      <c r="AM5338">
        <v>-44.903278407568479</v>
      </c>
      <c r="AN5338">
        <v>-20.150084299999971</v>
      </c>
      <c r="AO5338">
        <v>-44.903278407568479</v>
      </c>
      <c r="AP5338">
        <v>-20.150061999999998</v>
      </c>
      <c r="AQ5338">
        <v>-44.903379000000001</v>
      </c>
      <c r="AR5338">
        <v>10.801687336134639</v>
      </c>
      <c r="AS5338" t="s">
        <v>65</v>
      </c>
      <c r="AT5338">
        <v>1</v>
      </c>
      <c r="AU5338" t="s">
        <v>539</v>
      </c>
      <c r="AV5338" t="s">
        <v>540</v>
      </c>
      <c r="AW5338" t="s">
        <v>60</v>
      </c>
      <c r="AX5338" t="s">
        <v>68</v>
      </c>
      <c r="AY5338" t="s">
        <v>69</v>
      </c>
      <c r="AZ5338" t="b">
        <v>1</v>
      </c>
    </row>
    <row r="5339" spans="1:52" x14ac:dyDescent="0.3">
      <c r="A5339" t="s">
        <v>52</v>
      </c>
      <c r="B5339" t="s">
        <v>53</v>
      </c>
      <c r="C5339" t="s">
        <v>54</v>
      </c>
      <c r="D5339" t="s">
        <v>55</v>
      </c>
      <c r="E5339" t="s">
        <v>2278</v>
      </c>
      <c r="F5339" t="s">
        <v>1247</v>
      </c>
      <c r="G5339" t="s">
        <v>398</v>
      </c>
      <c r="H5339" t="s">
        <v>541</v>
      </c>
      <c r="I5339" t="s">
        <v>541</v>
      </c>
      <c r="J5339" t="s">
        <v>60</v>
      </c>
      <c r="K5339" t="s">
        <v>388</v>
      </c>
      <c r="L5339" t="s">
        <v>62</v>
      </c>
      <c r="M5339" t="s">
        <v>388</v>
      </c>
      <c r="N5339" t="s">
        <v>400</v>
      </c>
      <c r="O5339" t="s">
        <v>542</v>
      </c>
      <c r="P5339">
        <v>-20.151335</v>
      </c>
      <c r="Q5339">
        <v>-44.901041999999997</v>
      </c>
      <c r="R5339" s="2" t="str">
        <f>HYPERLINK("https://www.google.com/maps?q=-20.1513350,-44.9010420","Abrir no Google Maps")</f>
        <v>Abrir no Google Maps</v>
      </c>
      <c r="S5339">
        <v>3</v>
      </c>
      <c r="T5339">
        <v>0</v>
      </c>
      <c r="U5339">
        <v>4</v>
      </c>
      <c r="V5339">
        <v>0.92500000000000004</v>
      </c>
      <c r="W5339">
        <v>1</v>
      </c>
      <c r="X5339">
        <v>0.92500000000000004</v>
      </c>
      <c r="Y5339">
        <v>556</v>
      </c>
      <c r="Z5339">
        <v>137.71609036908939</v>
      </c>
      <c r="AA5339">
        <v>198</v>
      </c>
      <c r="AB5339">
        <v>332</v>
      </c>
      <c r="AC5339">
        <v>536</v>
      </c>
      <c r="AD5339">
        <v>28.15</v>
      </c>
      <c r="AE5339">
        <v>542</v>
      </c>
      <c r="AF5339">
        <v>21</v>
      </c>
      <c r="AG5339">
        <v>176</v>
      </c>
      <c r="AH5339">
        <v>129</v>
      </c>
      <c r="AI5339">
        <v>3.87</v>
      </c>
      <c r="AJ5339">
        <v>32.47</v>
      </c>
      <c r="AK5339">
        <v>23.8</v>
      </c>
      <c r="AL5339">
        <v>-20.15125899999995</v>
      </c>
      <c r="AM5339">
        <v>-44.900838557594433</v>
      </c>
      <c r="AN5339">
        <v>-20.15125899999995</v>
      </c>
      <c r="AO5339">
        <v>-44.900838557594433</v>
      </c>
      <c r="AP5339">
        <v>-20.151335</v>
      </c>
      <c r="AQ5339">
        <v>-44.901041999999997</v>
      </c>
      <c r="AR5339">
        <v>22.882363139483491</v>
      </c>
      <c r="AS5339" t="s">
        <v>65</v>
      </c>
      <c r="AT5339">
        <v>1</v>
      </c>
      <c r="AU5339" t="s">
        <v>543</v>
      </c>
      <c r="AV5339" t="s">
        <v>544</v>
      </c>
      <c r="AW5339" t="s">
        <v>60</v>
      </c>
      <c r="AX5339" t="s">
        <v>68</v>
      </c>
      <c r="AY5339" t="s">
        <v>69</v>
      </c>
      <c r="AZ5339" t="b">
        <v>1</v>
      </c>
    </row>
    <row r="5340" spans="1:52" x14ac:dyDescent="0.3">
      <c r="A5340" t="s">
        <v>52</v>
      </c>
      <c r="B5340" t="s">
        <v>53</v>
      </c>
      <c r="C5340" t="s">
        <v>54</v>
      </c>
      <c r="D5340" t="s">
        <v>55</v>
      </c>
      <c r="E5340" t="s">
        <v>2278</v>
      </c>
      <c r="F5340" t="s">
        <v>1247</v>
      </c>
      <c r="G5340" t="s">
        <v>897</v>
      </c>
      <c r="H5340" t="s">
        <v>898</v>
      </c>
      <c r="I5340" t="s">
        <v>898</v>
      </c>
      <c r="J5340" t="s">
        <v>60</v>
      </c>
      <c r="K5340" t="s">
        <v>892</v>
      </c>
      <c r="L5340" t="s">
        <v>62</v>
      </c>
      <c r="M5340" t="s">
        <v>892</v>
      </c>
      <c r="N5340" t="s">
        <v>899</v>
      </c>
      <c r="O5340" t="s">
        <v>900</v>
      </c>
      <c r="P5340">
        <v>-20.154885</v>
      </c>
      <c r="Q5340">
        <v>-44.899890999999997</v>
      </c>
      <c r="R5340" s="2" t="str">
        <f>HYPERLINK("https://www.google.com/maps?q=-20.1548850,-44.8998910","Abrir no Google Maps")</f>
        <v>Abrir no Google Maps</v>
      </c>
      <c r="S5340">
        <v>3</v>
      </c>
      <c r="T5340">
        <v>314.66339661014308</v>
      </c>
      <c r="U5340">
        <v>4</v>
      </c>
      <c r="V5340">
        <v>0.88985655737704916</v>
      </c>
      <c r="W5340">
        <v>1</v>
      </c>
      <c r="X5340">
        <v>0.88985655737704916</v>
      </c>
      <c r="Y5340">
        <v>548</v>
      </c>
      <c r="Z5340">
        <v>319.02252584834253</v>
      </c>
      <c r="AA5340">
        <v>198</v>
      </c>
      <c r="AB5340">
        <v>332</v>
      </c>
      <c r="AC5340">
        <v>536</v>
      </c>
      <c r="AD5340">
        <v>28.15</v>
      </c>
      <c r="AE5340">
        <v>542</v>
      </c>
      <c r="AF5340">
        <v>21</v>
      </c>
      <c r="AG5340">
        <v>176</v>
      </c>
      <c r="AH5340">
        <v>129</v>
      </c>
      <c r="AI5340">
        <v>3.87</v>
      </c>
      <c r="AJ5340">
        <v>32.47</v>
      </c>
      <c r="AK5340">
        <v>23.8</v>
      </c>
      <c r="AL5340">
        <v>-20.154906649999951</v>
      </c>
      <c r="AM5340">
        <v>-44.899894072543653</v>
      </c>
      <c r="AN5340">
        <v>-20.154906649999951</v>
      </c>
      <c r="AO5340">
        <v>-44.899894072543653</v>
      </c>
      <c r="AP5340">
        <v>-20.154885</v>
      </c>
      <c r="AQ5340">
        <v>-44.899890999999997</v>
      </c>
      <c r="AR5340">
        <v>2.431373123904943</v>
      </c>
      <c r="AS5340" t="s">
        <v>65</v>
      </c>
      <c r="AT5340">
        <v>1</v>
      </c>
      <c r="AU5340" t="s">
        <v>901</v>
      </c>
      <c r="AV5340" t="s">
        <v>902</v>
      </c>
      <c r="AW5340" t="s">
        <v>60</v>
      </c>
      <c r="AX5340" t="s">
        <v>68</v>
      </c>
      <c r="AY5340" t="s">
        <v>69</v>
      </c>
      <c r="AZ5340" t="b">
        <v>1</v>
      </c>
    </row>
    <row r="5341" spans="1:52" x14ac:dyDescent="0.3">
      <c r="A5341" t="s">
        <v>52</v>
      </c>
      <c r="B5341" t="s">
        <v>53</v>
      </c>
      <c r="C5341" t="s">
        <v>54</v>
      </c>
      <c r="D5341" t="s">
        <v>55</v>
      </c>
      <c r="E5341" t="s">
        <v>2278</v>
      </c>
      <c r="F5341" t="s">
        <v>1247</v>
      </c>
      <c r="G5341" t="s">
        <v>545</v>
      </c>
      <c r="H5341" t="s">
        <v>546</v>
      </c>
      <c r="I5341" t="s">
        <v>546</v>
      </c>
      <c r="J5341" t="s">
        <v>60</v>
      </c>
      <c r="K5341" t="s">
        <v>388</v>
      </c>
      <c r="L5341" t="s">
        <v>62</v>
      </c>
      <c r="M5341" t="s">
        <v>388</v>
      </c>
      <c r="N5341" t="s">
        <v>547</v>
      </c>
      <c r="O5341" t="s">
        <v>548</v>
      </c>
      <c r="P5341">
        <v>-20.155839</v>
      </c>
      <c r="Q5341">
        <v>-44.905655000000003</v>
      </c>
      <c r="R5341" s="2" t="str">
        <f>HYPERLINK("https://www.google.com/maps?q=-20.1558390,-44.9056550","Abrir no Google Maps")</f>
        <v>Abrir no Google Maps</v>
      </c>
      <c r="S5341">
        <v>3</v>
      </c>
      <c r="T5341">
        <v>309.7643089121122</v>
      </c>
      <c r="U5341">
        <v>4</v>
      </c>
      <c r="V5341">
        <v>0.91216856060606055</v>
      </c>
      <c r="W5341">
        <v>1</v>
      </c>
      <c r="X5341">
        <v>0.91216856060606055</v>
      </c>
      <c r="Y5341">
        <v>548</v>
      </c>
      <c r="Z5341">
        <v>284.24281731793161</v>
      </c>
      <c r="AA5341">
        <v>198</v>
      </c>
      <c r="AB5341">
        <v>332</v>
      </c>
      <c r="AC5341">
        <v>536</v>
      </c>
      <c r="AD5341">
        <v>28.15</v>
      </c>
      <c r="AE5341">
        <v>542</v>
      </c>
      <c r="AF5341">
        <v>21</v>
      </c>
      <c r="AG5341">
        <v>176</v>
      </c>
      <c r="AH5341">
        <v>129</v>
      </c>
      <c r="AI5341">
        <v>3.87</v>
      </c>
      <c r="AJ5341">
        <v>32.47</v>
      </c>
      <c r="AK5341">
        <v>23.8</v>
      </c>
      <c r="AL5341">
        <v>-20.155913549999951</v>
      </c>
      <c r="AM5341">
        <v>-44.905554508392683</v>
      </c>
      <c r="AN5341">
        <v>-20.155913549999951</v>
      </c>
      <c r="AO5341">
        <v>-44.905554508392669</v>
      </c>
      <c r="AP5341">
        <v>-20.155839</v>
      </c>
      <c r="AQ5341">
        <v>-44.905655000000003</v>
      </c>
      <c r="AR5341">
        <v>13.384922093797449</v>
      </c>
      <c r="AS5341" t="s">
        <v>65</v>
      </c>
      <c r="AT5341">
        <v>1</v>
      </c>
      <c r="AU5341" t="s">
        <v>549</v>
      </c>
      <c r="AV5341" t="s">
        <v>550</v>
      </c>
      <c r="AW5341" t="s">
        <v>60</v>
      </c>
      <c r="AX5341" t="s">
        <v>68</v>
      </c>
      <c r="AY5341" t="s">
        <v>69</v>
      </c>
      <c r="AZ5341" t="b">
        <v>1</v>
      </c>
    </row>
    <row r="5342" spans="1:52" x14ac:dyDescent="0.3">
      <c r="A5342" t="s">
        <v>52</v>
      </c>
      <c r="B5342" t="s">
        <v>53</v>
      </c>
      <c r="C5342" t="s">
        <v>54</v>
      </c>
      <c r="D5342" t="s">
        <v>55</v>
      </c>
      <c r="E5342" t="s">
        <v>2278</v>
      </c>
      <c r="F5342" t="s">
        <v>1247</v>
      </c>
      <c r="G5342" t="s">
        <v>551</v>
      </c>
      <c r="H5342" t="s">
        <v>552</v>
      </c>
      <c r="I5342" t="s">
        <v>552</v>
      </c>
      <c r="J5342" t="s">
        <v>60</v>
      </c>
      <c r="K5342" t="s">
        <v>388</v>
      </c>
      <c r="L5342" t="s">
        <v>62</v>
      </c>
      <c r="M5342" t="s">
        <v>388</v>
      </c>
      <c r="N5342" t="s">
        <v>553</v>
      </c>
      <c r="O5342" t="s">
        <v>315</v>
      </c>
      <c r="P5342">
        <v>-20.153086999999999</v>
      </c>
      <c r="Q5342">
        <v>-44.905451999999997</v>
      </c>
      <c r="R5342" s="2" t="str">
        <f>HYPERLINK("https://www.google.com/maps?q=-20.1530870,-44.9054520","Abrir no Google Maps")</f>
        <v>Abrir no Google Maps</v>
      </c>
      <c r="S5342">
        <v>3</v>
      </c>
      <c r="T5342">
        <v>313.69387682409018</v>
      </c>
      <c r="U5342">
        <v>4</v>
      </c>
      <c r="V5342">
        <v>0.90071770334928225</v>
      </c>
      <c r="W5342">
        <v>1</v>
      </c>
      <c r="X5342">
        <v>0.90071770334928225</v>
      </c>
      <c r="Y5342">
        <v>548</v>
      </c>
      <c r="Z5342">
        <v>319.51605309906859</v>
      </c>
      <c r="AA5342">
        <v>198</v>
      </c>
      <c r="AB5342">
        <v>332</v>
      </c>
      <c r="AC5342">
        <v>536</v>
      </c>
      <c r="AD5342">
        <v>28.15</v>
      </c>
      <c r="AE5342">
        <v>542</v>
      </c>
      <c r="AF5342">
        <v>21</v>
      </c>
      <c r="AG5342">
        <v>176</v>
      </c>
      <c r="AH5342">
        <v>129</v>
      </c>
      <c r="AI5342">
        <v>3.87</v>
      </c>
      <c r="AJ5342">
        <v>32.47</v>
      </c>
      <c r="AK5342">
        <v>23.8</v>
      </c>
      <c r="AL5342">
        <v>-20.153043049999951</v>
      </c>
      <c r="AM5342">
        <v>-44.905348275899513</v>
      </c>
      <c r="AN5342">
        <v>-20.153043049999951</v>
      </c>
      <c r="AO5342">
        <v>-44.905348275899513</v>
      </c>
      <c r="AP5342">
        <v>-20.153086999999999</v>
      </c>
      <c r="AQ5342">
        <v>-44.905451999999997</v>
      </c>
      <c r="AR5342">
        <v>11.892619975648341</v>
      </c>
      <c r="AS5342" t="s">
        <v>65</v>
      </c>
      <c r="AT5342">
        <v>1</v>
      </c>
      <c r="AU5342" t="s">
        <v>554</v>
      </c>
      <c r="AV5342" t="s">
        <v>555</v>
      </c>
      <c r="AW5342" t="s">
        <v>60</v>
      </c>
      <c r="AX5342" t="s">
        <v>68</v>
      </c>
      <c r="AY5342" t="s">
        <v>69</v>
      </c>
      <c r="AZ5342" t="b">
        <v>1</v>
      </c>
    </row>
    <row r="5343" spans="1:52" x14ac:dyDescent="0.3">
      <c r="A5343" t="s">
        <v>52</v>
      </c>
      <c r="B5343" t="s">
        <v>53</v>
      </c>
      <c r="C5343" t="s">
        <v>54</v>
      </c>
      <c r="D5343" t="s">
        <v>55</v>
      </c>
      <c r="E5343" t="s">
        <v>2278</v>
      </c>
      <c r="F5343" t="s">
        <v>1247</v>
      </c>
      <c r="G5343" t="s">
        <v>556</v>
      </c>
      <c r="H5343" t="s">
        <v>557</v>
      </c>
      <c r="I5343" t="s">
        <v>557</v>
      </c>
      <c r="J5343" t="s">
        <v>60</v>
      </c>
      <c r="K5343" t="s">
        <v>388</v>
      </c>
      <c r="L5343" t="s">
        <v>62</v>
      </c>
      <c r="M5343" t="s">
        <v>388</v>
      </c>
      <c r="N5343" t="s">
        <v>558</v>
      </c>
      <c r="O5343" t="s">
        <v>559</v>
      </c>
      <c r="P5343">
        <v>-20.152670000000001</v>
      </c>
      <c r="Q5343">
        <v>-44.902557999999999</v>
      </c>
      <c r="R5343" s="2" t="str">
        <f>HYPERLINK("https://www.google.com/maps?q=-20.1526700,-44.9025580","Abrir no Google Maps")</f>
        <v>Abrir no Google Maps</v>
      </c>
      <c r="S5343">
        <v>3</v>
      </c>
      <c r="T5343">
        <v>228.56195217678911</v>
      </c>
      <c r="U5343">
        <v>4</v>
      </c>
      <c r="V5343">
        <v>0.91437728937728924</v>
      </c>
      <c r="W5343">
        <v>1</v>
      </c>
      <c r="X5343">
        <v>0.91437728937728924</v>
      </c>
      <c r="Y5343">
        <v>548</v>
      </c>
      <c r="Z5343">
        <v>250.63133895224919</v>
      </c>
      <c r="AA5343">
        <v>198</v>
      </c>
      <c r="AB5343">
        <v>332</v>
      </c>
      <c r="AC5343">
        <v>536</v>
      </c>
      <c r="AD5343">
        <v>28.15</v>
      </c>
      <c r="AE5343">
        <v>542</v>
      </c>
      <c r="AF5343">
        <v>21</v>
      </c>
      <c r="AG5343">
        <v>176</v>
      </c>
      <c r="AH5343">
        <v>129</v>
      </c>
      <c r="AI5343">
        <v>3.87</v>
      </c>
      <c r="AJ5343">
        <v>32.47</v>
      </c>
      <c r="AK5343">
        <v>23.8</v>
      </c>
      <c r="AL5343">
        <v>-20.152629799999939</v>
      </c>
      <c r="AM5343">
        <v>-44.902604744705201</v>
      </c>
      <c r="AN5343">
        <v>-20.152629799999939</v>
      </c>
      <c r="AO5343">
        <v>-44.902604744705201</v>
      </c>
      <c r="AP5343">
        <v>-20.152670000000001</v>
      </c>
      <c r="AQ5343">
        <v>-44.902557999999999</v>
      </c>
      <c r="AR5343">
        <v>6.6249428037111509</v>
      </c>
      <c r="AS5343" t="s">
        <v>65</v>
      </c>
      <c r="AT5343">
        <v>1</v>
      </c>
      <c r="AU5343" t="s">
        <v>560</v>
      </c>
      <c r="AV5343" t="s">
        <v>561</v>
      </c>
      <c r="AW5343" t="s">
        <v>60</v>
      </c>
      <c r="AX5343" t="s">
        <v>68</v>
      </c>
      <c r="AY5343" t="s">
        <v>69</v>
      </c>
      <c r="AZ5343" t="b">
        <v>1</v>
      </c>
    </row>
    <row r="5344" spans="1:52" x14ac:dyDescent="0.3">
      <c r="A5344" t="s">
        <v>52</v>
      </c>
      <c r="B5344" t="s">
        <v>53</v>
      </c>
      <c r="C5344" t="s">
        <v>54</v>
      </c>
      <c r="D5344" t="s">
        <v>55</v>
      </c>
      <c r="E5344" t="s">
        <v>2278</v>
      </c>
      <c r="F5344" t="s">
        <v>1247</v>
      </c>
      <c r="G5344" t="s">
        <v>562</v>
      </c>
      <c r="H5344" t="s">
        <v>563</v>
      </c>
      <c r="I5344" t="s">
        <v>563</v>
      </c>
      <c r="J5344" t="s">
        <v>60</v>
      </c>
      <c r="K5344" t="s">
        <v>388</v>
      </c>
      <c r="L5344" t="s">
        <v>62</v>
      </c>
      <c r="M5344" t="s">
        <v>388</v>
      </c>
      <c r="N5344" t="s">
        <v>564</v>
      </c>
      <c r="O5344" t="s">
        <v>565</v>
      </c>
      <c r="P5344">
        <v>-20.154432</v>
      </c>
      <c r="Q5344">
        <v>-44.902977999999997</v>
      </c>
      <c r="R5344" s="2" t="str">
        <f>HYPERLINK("https://www.google.com/maps?q=-20.1544320,-44.9029780","Abrir no Google Maps")</f>
        <v>Abrir no Google Maps</v>
      </c>
      <c r="S5344">
        <v>3</v>
      </c>
      <c r="T5344">
        <v>0</v>
      </c>
      <c r="U5344">
        <v>4</v>
      </c>
      <c r="V5344">
        <v>0.93372844827586199</v>
      </c>
      <c r="W5344">
        <v>1</v>
      </c>
      <c r="X5344">
        <v>0.93372844827586199</v>
      </c>
      <c r="Y5344">
        <v>548</v>
      </c>
      <c r="Z5344">
        <v>29.424211042533759</v>
      </c>
      <c r="AA5344">
        <v>198</v>
      </c>
      <c r="AB5344">
        <v>332</v>
      </c>
      <c r="AC5344">
        <v>536</v>
      </c>
      <c r="AD5344">
        <v>28.15</v>
      </c>
      <c r="AE5344">
        <v>542</v>
      </c>
      <c r="AF5344">
        <v>21</v>
      </c>
      <c r="AG5344">
        <v>176</v>
      </c>
      <c r="AH5344">
        <v>129</v>
      </c>
      <c r="AI5344">
        <v>3.87</v>
      </c>
      <c r="AJ5344">
        <v>32.47</v>
      </c>
      <c r="AK5344">
        <v>23.8</v>
      </c>
      <c r="AL5344">
        <v>-20.15467689999997</v>
      </c>
      <c r="AM5344">
        <v>-44.902895281771222</v>
      </c>
      <c r="AN5344">
        <v>-20.15467689999997</v>
      </c>
      <c r="AO5344">
        <v>-44.902895281771222</v>
      </c>
      <c r="AP5344">
        <v>-20.154432</v>
      </c>
      <c r="AQ5344">
        <v>-44.902977999999997</v>
      </c>
      <c r="AR5344">
        <v>28.5999270636025</v>
      </c>
      <c r="AS5344" t="s">
        <v>65</v>
      </c>
      <c r="AT5344">
        <v>1</v>
      </c>
      <c r="AU5344" t="s">
        <v>566</v>
      </c>
      <c r="AV5344" t="s">
        <v>567</v>
      </c>
      <c r="AW5344" t="s">
        <v>60</v>
      </c>
      <c r="AX5344" t="s">
        <v>68</v>
      </c>
      <c r="AY5344" t="s">
        <v>69</v>
      </c>
      <c r="AZ5344" t="b">
        <v>1</v>
      </c>
    </row>
    <row r="5345" spans="1:52" x14ac:dyDescent="0.3">
      <c r="A5345" t="s">
        <v>52</v>
      </c>
      <c r="B5345" t="s">
        <v>53</v>
      </c>
      <c r="C5345" t="s">
        <v>54</v>
      </c>
      <c r="D5345" t="s">
        <v>55</v>
      </c>
      <c r="E5345" t="s">
        <v>2278</v>
      </c>
      <c r="F5345" t="s">
        <v>1247</v>
      </c>
      <c r="G5345" t="s">
        <v>833</v>
      </c>
      <c r="H5345" t="s">
        <v>834</v>
      </c>
      <c r="I5345" t="s">
        <v>834</v>
      </c>
      <c r="J5345" t="s">
        <v>60</v>
      </c>
      <c r="K5345" t="s">
        <v>388</v>
      </c>
      <c r="L5345" t="s">
        <v>62</v>
      </c>
      <c r="M5345" t="s">
        <v>388</v>
      </c>
      <c r="N5345" t="s">
        <v>835</v>
      </c>
      <c r="O5345" t="s">
        <v>836</v>
      </c>
      <c r="P5345">
        <v>-20.157906000000001</v>
      </c>
      <c r="Q5345">
        <v>-44.900458999999998</v>
      </c>
      <c r="R5345" s="2" t="str">
        <f>HYPERLINK("https://www.google.com/maps?q=-20.1579060,-44.9004590","Abrir no Google Maps")</f>
        <v>Abrir no Google Maps</v>
      </c>
      <c r="S5345">
        <v>3</v>
      </c>
      <c r="T5345">
        <v>0</v>
      </c>
      <c r="U5345">
        <v>3</v>
      </c>
      <c r="V5345">
        <v>0.88110632183908044</v>
      </c>
      <c r="W5345">
        <v>1</v>
      </c>
      <c r="X5345">
        <v>0.88110632183908044</v>
      </c>
      <c r="Y5345">
        <v>729</v>
      </c>
      <c r="Z5345">
        <v>203.63168486652771</v>
      </c>
      <c r="AA5345">
        <v>198</v>
      </c>
      <c r="AB5345">
        <v>332</v>
      </c>
      <c r="AC5345">
        <v>536</v>
      </c>
      <c r="AD5345">
        <v>28.15</v>
      </c>
      <c r="AE5345">
        <v>542</v>
      </c>
      <c r="AF5345">
        <v>21</v>
      </c>
      <c r="AG5345">
        <v>176</v>
      </c>
      <c r="AH5345">
        <v>129</v>
      </c>
      <c r="AI5345">
        <v>3.87</v>
      </c>
      <c r="AJ5345">
        <v>32.47</v>
      </c>
      <c r="AK5345">
        <v>23.8</v>
      </c>
      <c r="AL5345">
        <v>-20.157925749999951</v>
      </c>
      <c r="AM5345">
        <v>-44.900484707799812</v>
      </c>
      <c r="AN5345">
        <v>-20.157925749999951</v>
      </c>
      <c r="AO5345">
        <v>-44.900484707799812</v>
      </c>
      <c r="AP5345">
        <v>-20.157906000000001</v>
      </c>
      <c r="AQ5345">
        <v>-44.900458999999998</v>
      </c>
      <c r="AR5345">
        <v>3.4714515960382508</v>
      </c>
      <c r="AS5345" t="s">
        <v>65</v>
      </c>
      <c r="AT5345">
        <v>1</v>
      </c>
      <c r="AU5345" t="s">
        <v>837</v>
      </c>
      <c r="AV5345" t="s">
        <v>838</v>
      </c>
      <c r="AW5345" t="s">
        <v>60</v>
      </c>
      <c r="AX5345" t="s">
        <v>68</v>
      </c>
      <c r="AY5345" t="s">
        <v>69</v>
      </c>
      <c r="AZ5345" t="b">
        <v>1</v>
      </c>
    </row>
    <row r="5346" spans="1:52" x14ac:dyDescent="0.3">
      <c r="A5346" t="s">
        <v>52</v>
      </c>
      <c r="B5346" t="s">
        <v>53</v>
      </c>
      <c r="C5346" t="s">
        <v>54</v>
      </c>
      <c r="D5346" t="s">
        <v>55</v>
      </c>
      <c r="E5346" t="s">
        <v>2278</v>
      </c>
      <c r="F5346" t="s">
        <v>1247</v>
      </c>
      <c r="G5346" t="s">
        <v>392</v>
      </c>
      <c r="H5346" t="s">
        <v>393</v>
      </c>
      <c r="I5346" t="s">
        <v>393</v>
      </c>
      <c r="J5346" t="s">
        <v>60</v>
      </c>
      <c r="K5346" t="s">
        <v>388</v>
      </c>
      <c r="L5346" t="s">
        <v>62</v>
      </c>
      <c r="M5346" t="s">
        <v>388</v>
      </c>
      <c r="N5346" t="s">
        <v>394</v>
      </c>
      <c r="O5346" t="s">
        <v>395</v>
      </c>
      <c r="P5346">
        <v>-20.158066999999999</v>
      </c>
      <c r="Q5346">
        <v>-44.908164999999997</v>
      </c>
      <c r="R5346" s="2" t="str">
        <f>HYPERLINK("https://www.google.com/maps?q=-20.1580670,-44.9081650","Abrir no Google Maps")</f>
        <v>Abrir no Google Maps</v>
      </c>
      <c r="S5346">
        <v>3</v>
      </c>
      <c r="T5346">
        <v>666.74434317993041</v>
      </c>
      <c r="U5346">
        <v>3</v>
      </c>
      <c r="V5346">
        <v>0.88174489144316726</v>
      </c>
      <c r="W5346">
        <v>1</v>
      </c>
      <c r="X5346">
        <v>0.88174489144316726</v>
      </c>
      <c r="Y5346">
        <v>729</v>
      </c>
      <c r="Z5346">
        <v>612.4323328215396</v>
      </c>
      <c r="AA5346">
        <v>198</v>
      </c>
      <c r="AB5346">
        <v>332</v>
      </c>
      <c r="AC5346">
        <v>536</v>
      </c>
      <c r="AD5346">
        <v>28.15</v>
      </c>
      <c r="AE5346">
        <v>542</v>
      </c>
      <c r="AF5346">
        <v>21</v>
      </c>
      <c r="AG5346">
        <v>176</v>
      </c>
      <c r="AH5346">
        <v>129</v>
      </c>
      <c r="AI5346">
        <v>3.87</v>
      </c>
      <c r="AJ5346">
        <v>32.47</v>
      </c>
      <c r="AK5346">
        <v>23.8</v>
      </c>
      <c r="AL5346">
        <v>-20.158151449999959</v>
      </c>
      <c r="AM5346">
        <v>-44.908107718360938</v>
      </c>
      <c r="AN5346">
        <v>-20.158151449999959</v>
      </c>
      <c r="AO5346">
        <v>-44.908107718360938</v>
      </c>
      <c r="AP5346">
        <v>-20.158066999999999</v>
      </c>
      <c r="AQ5346">
        <v>-44.908164999999997</v>
      </c>
      <c r="AR5346">
        <v>11.14497345894574</v>
      </c>
      <c r="AS5346" t="s">
        <v>65</v>
      </c>
      <c r="AT5346">
        <v>1</v>
      </c>
      <c r="AU5346" t="s">
        <v>396</v>
      </c>
      <c r="AV5346" t="s">
        <v>397</v>
      </c>
      <c r="AW5346" t="s">
        <v>60</v>
      </c>
      <c r="AX5346" t="s">
        <v>68</v>
      </c>
      <c r="AY5346" t="s">
        <v>69</v>
      </c>
      <c r="AZ5346" t="b">
        <v>1</v>
      </c>
    </row>
    <row r="5347" spans="1:52" x14ac:dyDescent="0.3">
      <c r="A5347" t="s">
        <v>52</v>
      </c>
      <c r="B5347" t="s">
        <v>53</v>
      </c>
      <c r="C5347" t="s">
        <v>54</v>
      </c>
      <c r="D5347" t="s">
        <v>55</v>
      </c>
      <c r="E5347" t="s">
        <v>2278</v>
      </c>
      <c r="F5347" t="s">
        <v>1247</v>
      </c>
      <c r="G5347" t="s">
        <v>851</v>
      </c>
      <c r="H5347" t="s">
        <v>852</v>
      </c>
      <c r="I5347" t="s">
        <v>852</v>
      </c>
      <c r="J5347" t="s">
        <v>60</v>
      </c>
      <c r="K5347" t="s">
        <v>853</v>
      </c>
      <c r="L5347" t="s">
        <v>62</v>
      </c>
      <c r="M5347" t="s">
        <v>853</v>
      </c>
      <c r="N5347" t="s">
        <v>854</v>
      </c>
      <c r="O5347" t="s">
        <v>855</v>
      </c>
      <c r="P5347">
        <v>-20.127835000000001</v>
      </c>
      <c r="Q5347">
        <v>-44.909329</v>
      </c>
      <c r="R5347" s="2" t="str">
        <f>HYPERLINK("https://www.google.com/maps?q=-20.1278350,-44.9093290","Abrir no Google Maps")</f>
        <v>Abrir no Google Maps</v>
      </c>
      <c r="S5347">
        <v>3</v>
      </c>
      <c r="T5347">
        <v>1173.033690896357</v>
      </c>
      <c r="U5347">
        <v>3</v>
      </c>
      <c r="V5347">
        <v>0.87434554973821987</v>
      </c>
      <c r="W5347">
        <v>1</v>
      </c>
      <c r="X5347">
        <v>0.87434554973821987</v>
      </c>
      <c r="Y5347">
        <v>581</v>
      </c>
      <c r="Z5347">
        <v>1296.5011565926129</v>
      </c>
      <c r="AA5347">
        <v>198</v>
      </c>
      <c r="AB5347">
        <v>332</v>
      </c>
      <c r="AC5347">
        <v>536</v>
      </c>
      <c r="AD5347">
        <v>28.15</v>
      </c>
      <c r="AE5347">
        <v>542</v>
      </c>
      <c r="AF5347">
        <v>21</v>
      </c>
      <c r="AG5347">
        <v>176</v>
      </c>
      <c r="AH5347">
        <v>129</v>
      </c>
      <c r="AI5347">
        <v>3.87</v>
      </c>
      <c r="AJ5347">
        <v>32.47</v>
      </c>
      <c r="AK5347">
        <v>23.8</v>
      </c>
      <c r="AL5347">
        <v>-20.127852899999969</v>
      </c>
      <c r="AM5347">
        <v>-44.909386667699948</v>
      </c>
      <c r="AN5347">
        <v>-20.127852899999969</v>
      </c>
      <c r="AO5347">
        <v>-44.909386667699948</v>
      </c>
      <c r="AP5347">
        <v>-20.127835000000001</v>
      </c>
      <c r="AQ5347">
        <v>-44.909329</v>
      </c>
      <c r="AR5347">
        <v>6.3483385067119924</v>
      </c>
      <c r="AS5347" t="s">
        <v>65</v>
      </c>
      <c r="AT5347">
        <v>1</v>
      </c>
      <c r="AU5347" t="s">
        <v>856</v>
      </c>
      <c r="AV5347" t="s">
        <v>857</v>
      </c>
      <c r="AW5347" t="s">
        <v>60</v>
      </c>
      <c r="AX5347" t="s">
        <v>68</v>
      </c>
      <c r="AY5347" t="s">
        <v>69</v>
      </c>
      <c r="AZ5347" t="b">
        <v>1</v>
      </c>
    </row>
    <row r="5348" spans="1:52" x14ac:dyDescent="0.3">
      <c r="A5348" t="s">
        <v>52</v>
      </c>
      <c r="B5348" t="s">
        <v>53</v>
      </c>
      <c r="C5348" t="s">
        <v>54</v>
      </c>
      <c r="D5348" t="s">
        <v>55</v>
      </c>
      <c r="E5348" t="s">
        <v>2278</v>
      </c>
      <c r="F5348" t="s">
        <v>1247</v>
      </c>
      <c r="G5348" t="s">
        <v>858</v>
      </c>
      <c r="H5348" t="s">
        <v>859</v>
      </c>
      <c r="I5348" t="s">
        <v>859</v>
      </c>
      <c r="J5348" t="s">
        <v>60</v>
      </c>
      <c r="K5348" t="s">
        <v>462</v>
      </c>
      <c r="L5348" t="s">
        <v>62</v>
      </c>
      <c r="M5348" t="s">
        <v>462</v>
      </c>
      <c r="N5348" t="s">
        <v>860</v>
      </c>
      <c r="O5348" t="s">
        <v>861</v>
      </c>
      <c r="P5348">
        <v>-20.139693999999999</v>
      </c>
      <c r="Q5348">
        <v>-44.911256000000002</v>
      </c>
      <c r="R5348" s="2" t="str">
        <f>HYPERLINK("https://www.google.com/maps?q=-20.1396940,-44.9112560","Abrir no Google Maps")</f>
        <v>Abrir no Google Maps</v>
      </c>
      <c r="S5348">
        <v>3</v>
      </c>
      <c r="T5348">
        <v>380.48036838042862</v>
      </c>
      <c r="U5348">
        <v>3</v>
      </c>
      <c r="V5348">
        <v>0.96570796460177</v>
      </c>
      <c r="W5348">
        <v>0.85</v>
      </c>
      <c r="X5348">
        <v>0.82085176991150444</v>
      </c>
      <c r="Y5348">
        <v>581</v>
      </c>
      <c r="Z5348">
        <v>374.61146000000178</v>
      </c>
      <c r="AA5348">
        <v>198</v>
      </c>
      <c r="AB5348">
        <v>332</v>
      </c>
      <c r="AC5348">
        <v>536</v>
      </c>
      <c r="AD5348">
        <v>28.15</v>
      </c>
      <c r="AE5348">
        <v>542</v>
      </c>
      <c r="AF5348">
        <v>21</v>
      </c>
      <c r="AG5348">
        <v>176</v>
      </c>
      <c r="AH5348">
        <v>129</v>
      </c>
      <c r="AI5348">
        <v>3.87</v>
      </c>
      <c r="AJ5348">
        <v>32.47</v>
      </c>
      <c r="AK5348">
        <v>23.8</v>
      </c>
      <c r="AL5348">
        <v>-20.139768699999959</v>
      </c>
      <c r="AM5348">
        <v>-44.911265351587588</v>
      </c>
      <c r="AN5348">
        <v>-20.139768699999959</v>
      </c>
      <c r="AO5348">
        <v>-44.911265351587588</v>
      </c>
      <c r="AP5348">
        <v>-20.139693999999999</v>
      </c>
      <c r="AQ5348">
        <v>-44.911256000000002</v>
      </c>
      <c r="AR5348">
        <v>8.3728438666521061</v>
      </c>
      <c r="AS5348" t="s">
        <v>65</v>
      </c>
      <c r="AT5348">
        <v>1</v>
      </c>
      <c r="AU5348" t="s">
        <v>862</v>
      </c>
      <c r="AV5348" t="s">
        <v>863</v>
      </c>
      <c r="AW5348" t="s">
        <v>60</v>
      </c>
      <c r="AX5348" t="s">
        <v>68</v>
      </c>
      <c r="AY5348" t="s">
        <v>69</v>
      </c>
      <c r="AZ5348" t="b">
        <v>1</v>
      </c>
    </row>
    <row r="5349" spans="1:52" x14ac:dyDescent="0.3">
      <c r="A5349" t="s">
        <v>52</v>
      </c>
      <c r="B5349" t="s">
        <v>53</v>
      </c>
      <c r="C5349" t="s">
        <v>54</v>
      </c>
      <c r="D5349" t="s">
        <v>55</v>
      </c>
      <c r="E5349" t="s">
        <v>2278</v>
      </c>
      <c r="F5349" t="s">
        <v>1247</v>
      </c>
      <c r="G5349" t="s">
        <v>870</v>
      </c>
      <c r="H5349" t="s">
        <v>871</v>
      </c>
      <c r="I5349" t="s">
        <v>871</v>
      </c>
      <c r="J5349" t="s">
        <v>60</v>
      </c>
      <c r="K5349" t="s">
        <v>475</v>
      </c>
      <c r="L5349" t="s">
        <v>62</v>
      </c>
      <c r="M5349" t="s">
        <v>475</v>
      </c>
      <c r="N5349" t="s">
        <v>872</v>
      </c>
      <c r="O5349" t="s">
        <v>507</v>
      </c>
      <c r="P5349">
        <v>-20.176269999999999</v>
      </c>
      <c r="Q5349">
        <v>-44.909323999999998</v>
      </c>
      <c r="R5349" s="2" t="str">
        <f>HYPERLINK("https://www.google.com/maps?q=-20.1762700,-44.9093240","Abrir no Google Maps")</f>
        <v>Abrir no Google Maps</v>
      </c>
      <c r="S5349">
        <v>3</v>
      </c>
      <c r="T5349">
        <v>472.42731136821368</v>
      </c>
      <c r="U5349">
        <v>3</v>
      </c>
      <c r="V5349">
        <v>0.87592592592592589</v>
      </c>
      <c r="W5349">
        <v>1</v>
      </c>
      <c r="X5349">
        <v>0.87592592592592589</v>
      </c>
      <c r="Y5349">
        <v>578</v>
      </c>
      <c r="Z5349">
        <v>495.19726726344601</v>
      </c>
      <c r="AA5349">
        <v>198</v>
      </c>
      <c r="AB5349">
        <v>332</v>
      </c>
      <c r="AC5349">
        <v>536</v>
      </c>
      <c r="AD5349">
        <v>28.15</v>
      </c>
      <c r="AE5349">
        <v>542</v>
      </c>
      <c r="AF5349">
        <v>21</v>
      </c>
      <c r="AG5349">
        <v>176</v>
      </c>
      <c r="AH5349">
        <v>129</v>
      </c>
      <c r="AI5349">
        <v>3.87</v>
      </c>
      <c r="AJ5349">
        <v>32.47</v>
      </c>
      <c r="AK5349">
        <v>23.8</v>
      </c>
      <c r="AL5349">
        <v>-20.17630284999996</v>
      </c>
      <c r="AM5349">
        <v>-44.909199064318948</v>
      </c>
      <c r="AN5349">
        <v>-20.17630284999996</v>
      </c>
      <c r="AO5349">
        <v>-44.909199064318948</v>
      </c>
      <c r="AP5349">
        <v>-20.176269999999999</v>
      </c>
      <c r="AQ5349">
        <v>-44.909323999999998</v>
      </c>
      <c r="AR5349">
        <v>13.55691308737447</v>
      </c>
      <c r="AS5349" t="s">
        <v>65</v>
      </c>
      <c r="AT5349">
        <v>1</v>
      </c>
      <c r="AU5349" t="s">
        <v>873</v>
      </c>
      <c r="AV5349" t="s">
        <v>874</v>
      </c>
      <c r="AW5349" t="s">
        <v>60</v>
      </c>
      <c r="AX5349" t="s">
        <v>68</v>
      </c>
      <c r="AY5349" t="s">
        <v>69</v>
      </c>
      <c r="AZ5349" t="b">
        <v>1</v>
      </c>
    </row>
    <row r="5350" spans="1:52" x14ac:dyDescent="0.3">
      <c r="A5350" t="s">
        <v>52</v>
      </c>
      <c r="B5350" t="s">
        <v>53</v>
      </c>
      <c r="C5350" t="s">
        <v>54</v>
      </c>
      <c r="D5350" t="s">
        <v>55</v>
      </c>
      <c r="E5350" t="s">
        <v>2278</v>
      </c>
      <c r="F5350" t="s">
        <v>1247</v>
      </c>
      <c r="G5350" t="s">
        <v>473</v>
      </c>
      <c r="H5350" t="s">
        <v>474</v>
      </c>
      <c r="I5350" t="s">
        <v>474</v>
      </c>
      <c r="J5350" t="s">
        <v>60</v>
      </c>
      <c r="K5350" t="s">
        <v>475</v>
      </c>
      <c r="L5350" t="s">
        <v>62</v>
      </c>
      <c r="M5350" t="s">
        <v>475</v>
      </c>
      <c r="N5350" t="s">
        <v>406</v>
      </c>
      <c r="O5350" t="s">
        <v>476</v>
      </c>
      <c r="P5350">
        <v>-20.177902</v>
      </c>
      <c r="Q5350">
        <v>-44.908504000000001</v>
      </c>
      <c r="R5350" s="2" t="str">
        <f>HYPERLINK("https://www.google.com/maps?q=-20.1779020,-44.9085040","Abrir no Google Maps")</f>
        <v>Abrir no Google Maps</v>
      </c>
      <c r="S5350">
        <v>3</v>
      </c>
      <c r="T5350">
        <v>656.92307673247149</v>
      </c>
      <c r="U5350">
        <v>3</v>
      </c>
      <c r="V5350">
        <v>0.88308457711442789</v>
      </c>
      <c r="W5350">
        <v>1</v>
      </c>
      <c r="X5350">
        <v>0.88308457711442789</v>
      </c>
      <c r="Y5350">
        <v>578</v>
      </c>
      <c r="Z5350">
        <v>635.01982153722327</v>
      </c>
      <c r="AA5350">
        <v>198</v>
      </c>
      <c r="AB5350">
        <v>332</v>
      </c>
      <c r="AC5350">
        <v>536</v>
      </c>
      <c r="AD5350">
        <v>28.15</v>
      </c>
      <c r="AE5350">
        <v>542</v>
      </c>
      <c r="AF5350">
        <v>21</v>
      </c>
      <c r="AG5350">
        <v>176</v>
      </c>
      <c r="AH5350">
        <v>129</v>
      </c>
      <c r="AI5350">
        <v>3.87</v>
      </c>
      <c r="AJ5350">
        <v>32.47</v>
      </c>
      <c r="AK5350">
        <v>23.8</v>
      </c>
      <c r="AL5350">
        <v>-20.177800399999938</v>
      </c>
      <c r="AM5350">
        <v>-44.908361879701268</v>
      </c>
      <c r="AN5350">
        <v>-20.177800399999938</v>
      </c>
      <c r="AO5350">
        <v>-44.908361879701268</v>
      </c>
      <c r="AP5350">
        <v>-20.177902</v>
      </c>
      <c r="AQ5350">
        <v>-44.908504000000001</v>
      </c>
      <c r="AR5350">
        <v>18.666463141775541</v>
      </c>
      <c r="AS5350" t="s">
        <v>65</v>
      </c>
      <c r="AT5350">
        <v>1</v>
      </c>
      <c r="AU5350" t="s">
        <v>477</v>
      </c>
      <c r="AV5350" t="s">
        <v>478</v>
      </c>
      <c r="AW5350" t="s">
        <v>60</v>
      </c>
      <c r="AX5350" t="s">
        <v>68</v>
      </c>
      <c r="AY5350" t="s">
        <v>69</v>
      </c>
      <c r="AZ5350" t="b">
        <v>1</v>
      </c>
    </row>
    <row r="5351" spans="1:52" x14ac:dyDescent="0.3">
      <c r="A5351" t="s">
        <v>52</v>
      </c>
      <c r="B5351" t="s">
        <v>53</v>
      </c>
      <c r="C5351" t="s">
        <v>54</v>
      </c>
      <c r="D5351" t="s">
        <v>55</v>
      </c>
      <c r="E5351" t="s">
        <v>2278</v>
      </c>
      <c r="F5351" t="s">
        <v>1247</v>
      </c>
      <c r="G5351" t="s">
        <v>479</v>
      </c>
      <c r="H5351" t="s">
        <v>480</v>
      </c>
      <c r="I5351" t="s">
        <v>480</v>
      </c>
      <c r="J5351" t="s">
        <v>60</v>
      </c>
      <c r="K5351" t="s">
        <v>388</v>
      </c>
      <c r="L5351" t="s">
        <v>62</v>
      </c>
      <c r="M5351" t="s">
        <v>388</v>
      </c>
      <c r="N5351" t="s">
        <v>481</v>
      </c>
      <c r="O5351" t="s">
        <v>315</v>
      </c>
      <c r="P5351">
        <v>-20.166903999999999</v>
      </c>
      <c r="Q5351">
        <v>-44.903492</v>
      </c>
      <c r="R5351" s="2" t="str">
        <f>HYPERLINK("https://www.google.com/maps?q=-20.1669040,-44.9034920","Abrir no Google Maps")</f>
        <v>Abrir no Google Maps</v>
      </c>
      <c r="S5351">
        <v>3</v>
      </c>
      <c r="T5351">
        <v>517.12253532511602</v>
      </c>
      <c r="U5351">
        <v>3</v>
      </c>
      <c r="V5351">
        <v>0.88023952095808389</v>
      </c>
      <c r="W5351">
        <v>1</v>
      </c>
      <c r="X5351">
        <v>0.88023952095808389</v>
      </c>
      <c r="Y5351">
        <v>578</v>
      </c>
      <c r="Z5351">
        <v>721.79551240050432</v>
      </c>
      <c r="AA5351">
        <v>198</v>
      </c>
      <c r="AB5351">
        <v>332</v>
      </c>
      <c r="AC5351">
        <v>536</v>
      </c>
      <c r="AD5351">
        <v>28.15</v>
      </c>
      <c r="AE5351">
        <v>542</v>
      </c>
      <c r="AF5351">
        <v>21</v>
      </c>
      <c r="AG5351">
        <v>176</v>
      </c>
      <c r="AH5351">
        <v>129</v>
      </c>
      <c r="AI5351">
        <v>3.87</v>
      </c>
      <c r="AJ5351">
        <v>32.47</v>
      </c>
      <c r="AK5351">
        <v>23.8</v>
      </c>
      <c r="AL5351">
        <v>-20.166610649999971</v>
      </c>
      <c r="AM5351">
        <v>-44.903452988928308</v>
      </c>
      <c r="AN5351">
        <v>-20.166610649999971</v>
      </c>
      <c r="AO5351">
        <v>-44.903452988928308</v>
      </c>
      <c r="AP5351">
        <v>-20.166903999999999</v>
      </c>
      <c r="AQ5351">
        <v>-44.903492</v>
      </c>
      <c r="AR5351">
        <v>32.909175876856217</v>
      </c>
      <c r="AS5351" t="s">
        <v>65</v>
      </c>
      <c r="AT5351">
        <v>1</v>
      </c>
      <c r="AU5351" t="s">
        <v>482</v>
      </c>
      <c r="AV5351" t="s">
        <v>483</v>
      </c>
      <c r="AW5351" t="s">
        <v>60</v>
      </c>
      <c r="AX5351" t="s">
        <v>68</v>
      </c>
      <c r="AY5351" t="s">
        <v>69</v>
      </c>
      <c r="AZ5351" t="b">
        <v>1</v>
      </c>
    </row>
    <row r="5352" spans="1:52" x14ac:dyDescent="0.3">
      <c r="A5352" t="s">
        <v>52</v>
      </c>
      <c r="B5352" t="s">
        <v>53</v>
      </c>
      <c r="C5352" t="s">
        <v>54</v>
      </c>
      <c r="D5352" t="s">
        <v>55</v>
      </c>
      <c r="E5352" t="s">
        <v>2278</v>
      </c>
      <c r="F5352" t="s">
        <v>1247</v>
      </c>
      <c r="G5352" t="s">
        <v>491</v>
      </c>
      <c r="H5352" t="s">
        <v>492</v>
      </c>
      <c r="I5352" t="s">
        <v>492</v>
      </c>
      <c r="J5352" t="s">
        <v>60</v>
      </c>
      <c r="K5352" t="s">
        <v>475</v>
      </c>
      <c r="L5352" t="s">
        <v>62</v>
      </c>
      <c r="M5352" t="s">
        <v>475</v>
      </c>
      <c r="N5352" t="s">
        <v>493</v>
      </c>
      <c r="O5352" t="s">
        <v>494</v>
      </c>
      <c r="P5352">
        <v>-20.175250999999999</v>
      </c>
      <c r="Q5352">
        <v>-44.897357</v>
      </c>
      <c r="R5352" s="2" t="str">
        <f>HYPERLINK("https://www.google.com/maps?q=-20.1752510,-44.8973570","Abrir no Google Maps")</f>
        <v>Abrir no Google Maps</v>
      </c>
      <c r="S5352">
        <v>3</v>
      </c>
      <c r="T5352">
        <v>992.29631678149951</v>
      </c>
      <c r="U5352">
        <v>3</v>
      </c>
      <c r="V5352">
        <v>0.88078231292517006</v>
      </c>
      <c r="W5352">
        <v>1</v>
      </c>
      <c r="X5352">
        <v>0.88078231292517006</v>
      </c>
      <c r="Y5352">
        <v>578</v>
      </c>
      <c r="Z5352">
        <v>1008.5871064168319</v>
      </c>
      <c r="AA5352">
        <v>198</v>
      </c>
      <c r="AB5352">
        <v>332</v>
      </c>
      <c r="AC5352">
        <v>536</v>
      </c>
      <c r="AD5352">
        <v>28.15</v>
      </c>
      <c r="AE5352">
        <v>542</v>
      </c>
      <c r="AF5352">
        <v>21</v>
      </c>
      <c r="AG5352">
        <v>176</v>
      </c>
      <c r="AH5352">
        <v>129</v>
      </c>
      <c r="AI5352">
        <v>3.87</v>
      </c>
      <c r="AJ5352">
        <v>32.47</v>
      </c>
      <c r="AK5352">
        <v>23.8</v>
      </c>
      <c r="AL5352">
        <v>-20.175290599999951</v>
      </c>
      <c r="AM5352">
        <v>-44.897271931010721</v>
      </c>
      <c r="AN5352">
        <v>-20.175290599999951</v>
      </c>
      <c r="AO5352">
        <v>-44.897271931010721</v>
      </c>
      <c r="AP5352">
        <v>-20.175250999999999</v>
      </c>
      <c r="AQ5352">
        <v>-44.897357</v>
      </c>
      <c r="AR5352">
        <v>9.921899108467926</v>
      </c>
      <c r="AS5352" t="s">
        <v>65</v>
      </c>
      <c r="AT5352">
        <v>1</v>
      </c>
      <c r="AU5352" t="s">
        <v>495</v>
      </c>
      <c r="AV5352" t="s">
        <v>496</v>
      </c>
      <c r="AW5352" t="s">
        <v>60</v>
      </c>
      <c r="AX5352" t="s">
        <v>68</v>
      </c>
      <c r="AY5352" t="s">
        <v>69</v>
      </c>
      <c r="AZ5352" t="b">
        <v>1</v>
      </c>
    </row>
    <row r="5353" spans="1:52" x14ac:dyDescent="0.3">
      <c r="A5353" t="s">
        <v>52</v>
      </c>
      <c r="B5353" t="s">
        <v>53</v>
      </c>
      <c r="C5353" t="s">
        <v>54</v>
      </c>
      <c r="D5353" t="s">
        <v>55</v>
      </c>
      <c r="E5353" t="s">
        <v>2278</v>
      </c>
      <c r="F5353" t="s">
        <v>1247</v>
      </c>
      <c r="G5353" t="s">
        <v>497</v>
      </c>
      <c r="H5353" t="s">
        <v>875</v>
      </c>
      <c r="I5353" t="s">
        <v>875</v>
      </c>
      <c r="J5353" t="s">
        <v>60</v>
      </c>
      <c r="K5353" t="s">
        <v>475</v>
      </c>
      <c r="L5353" t="s">
        <v>62</v>
      </c>
      <c r="M5353" t="s">
        <v>475</v>
      </c>
      <c r="N5353" t="s">
        <v>499</v>
      </c>
      <c r="O5353" t="s">
        <v>876</v>
      </c>
      <c r="P5353">
        <v>-20.177212999999998</v>
      </c>
      <c r="Q5353">
        <v>-44.904026999999999</v>
      </c>
      <c r="R5353" s="2" t="str">
        <f>HYPERLINK("https://www.google.com/maps?q=-20.1772130,-44.9040270","Abrir no Google Maps")</f>
        <v>Abrir no Google Maps</v>
      </c>
      <c r="S5353">
        <v>3</v>
      </c>
      <c r="T5353">
        <v>706.4159561113795</v>
      </c>
      <c r="U5353">
        <v>3</v>
      </c>
      <c r="V5353">
        <v>0.875</v>
      </c>
      <c r="W5353">
        <v>1</v>
      </c>
      <c r="X5353">
        <v>0.875</v>
      </c>
      <c r="Y5353">
        <v>578</v>
      </c>
      <c r="Z5353">
        <v>588.7160518608398</v>
      </c>
      <c r="AA5353">
        <v>198</v>
      </c>
      <c r="AB5353">
        <v>332</v>
      </c>
      <c r="AC5353">
        <v>536</v>
      </c>
      <c r="AD5353">
        <v>28.15</v>
      </c>
      <c r="AE5353">
        <v>542</v>
      </c>
      <c r="AF5353">
        <v>21</v>
      </c>
      <c r="AG5353">
        <v>176</v>
      </c>
      <c r="AH5353">
        <v>129</v>
      </c>
      <c r="AI5353">
        <v>3.87</v>
      </c>
      <c r="AJ5353">
        <v>32.47</v>
      </c>
      <c r="AK5353">
        <v>23.8</v>
      </c>
      <c r="AL5353">
        <v>-20.177090199999949</v>
      </c>
      <c r="AM5353">
        <v>-44.904078820930181</v>
      </c>
      <c r="AN5353">
        <v>-20.177090199999949</v>
      </c>
      <c r="AO5353">
        <v>-44.904078820930181</v>
      </c>
      <c r="AP5353">
        <v>-20.177212999999998</v>
      </c>
      <c r="AQ5353">
        <v>-44.904026999999999</v>
      </c>
      <c r="AR5353">
        <v>14.7034129632295</v>
      </c>
      <c r="AS5353" t="s">
        <v>65</v>
      </c>
      <c r="AT5353">
        <v>1</v>
      </c>
      <c r="AU5353" t="s">
        <v>877</v>
      </c>
      <c r="AV5353" t="s">
        <v>878</v>
      </c>
      <c r="AW5353" t="s">
        <v>60</v>
      </c>
      <c r="AX5353" t="s">
        <v>68</v>
      </c>
      <c r="AY5353" t="s">
        <v>69</v>
      </c>
      <c r="AZ5353" t="b">
        <v>1</v>
      </c>
    </row>
    <row r="5354" spans="1:52" x14ac:dyDescent="0.3">
      <c r="A5354" t="s">
        <v>52</v>
      </c>
      <c r="B5354" t="s">
        <v>53</v>
      </c>
      <c r="C5354" t="s">
        <v>54</v>
      </c>
      <c r="D5354" t="s">
        <v>55</v>
      </c>
      <c r="E5354" t="s">
        <v>2278</v>
      </c>
      <c r="F5354" t="s">
        <v>1247</v>
      </c>
      <c r="G5354" t="s">
        <v>890</v>
      </c>
      <c r="H5354" t="s">
        <v>891</v>
      </c>
      <c r="I5354" t="s">
        <v>891</v>
      </c>
      <c r="J5354" t="s">
        <v>60</v>
      </c>
      <c r="K5354" t="s">
        <v>892</v>
      </c>
      <c r="L5354" t="s">
        <v>62</v>
      </c>
      <c r="M5354" t="s">
        <v>892</v>
      </c>
      <c r="N5354" t="s">
        <v>893</v>
      </c>
      <c r="O5354" t="s">
        <v>894</v>
      </c>
      <c r="P5354">
        <v>-20.152519000000002</v>
      </c>
      <c r="Q5354">
        <v>-44.899177000000002</v>
      </c>
      <c r="R5354" s="2" t="str">
        <f>HYPERLINK("https://www.google.com/maps?q=-20.1525190,-44.8991770","Abrir no Google Maps")</f>
        <v>Abrir no Google Maps</v>
      </c>
      <c r="S5354">
        <v>3</v>
      </c>
      <c r="T5354">
        <v>211.80188552994721</v>
      </c>
      <c r="U5354">
        <v>3</v>
      </c>
      <c r="V5354">
        <v>0.86508861940298509</v>
      </c>
      <c r="W5354">
        <v>1</v>
      </c>
      <c r="X5354">
        <v>0.86508861940298509</v>
      </c>
      <c r="Y5354">
        <v>556</v>
      </c>
      <c r="Z5354">
        <v>290.34804137107091</v>
      </c>
      <c r="AA5354">
        <v>198</v>
      </c>
      <c r="AB5354">
        <v>332</v>
      </c>
      <c r="AC5354">
        <v>536</v>
      </c>
      <c r="AD5354">
        <v>28.15</v>
      </c>
      <c r="AE5354">
        <v>542</v>
      </c>
      <c r="AF5354">
        <v>21</v>
      </c>
      <c r="AG5354">
        <v>176</v>
      </c>
      <c r="AH5354">
        <v>129</v>
      </c>
      <c r="AI5354">
        <v>3.87</v>
      </c>
      <c r="AJ5354">
        <v>32.47</v>
      </c>
      <c r="AK5354">
        <v>23.8</v>
      </c>
      <c r="AL5354">
        <v>-20.152516249999959</v>
      </c>
      <c r="AM5354">
        <v>-44.899310431333959</v>
      </c>
      <c r="AN5354">
        <v>-20.152516249999959</v>
      </c>
      <c r="AO5354">
        <v>-44.899310431333959</v>
      </c>
      <c r="AP5354">
        <v>-20.152519000000002</v>
      </c>
      <c r="AQ5354">
        <v>-44.899177000000002</v>
      </c>
      <c r="AR5354">
        <v>13.947583284957719</v>
      </c>
      <c r="AS5354" t="s">
        <v>65</v>
      </c>
      <c r="AT5354">
        <v>1</v>
      </c>
      <c r="AU5354" t="s">
        <v>895</v>
      </c>
      <c r="AV5354" t="s">
        <v>896</v>
      </c>
      <c r="AW5354" t="s">
        <v>60</v>
      </c>
      <c r="AX5354" t="s">
        <v>68</v>
      </c>
      <c r="AY5354" t="s">
        <v>69</v>
      </c>
      <c r="AZ5354" t="b">
        <v>1</v>
      </c>
    </row>
    <row r="5355" spans="1:52" x14ac:dyDescent="0.3">
      <c r="A5355" t="s">
        <v>52</v>
      </c>
      <c r="B5355" t="s">
        <v>53</v>
      </c>
      <c r="C5355" t="s">
        <v>54</v>
      </c>
      <c r="D5355" t="s">
        <v>55</v>
      </c>
      <c r="E5355" t="s">
        <v>2278</v>
      </c>
      <c r="F5355" t="s">
        <v>1247</v>
      </c>
      <c r="G5355" t="s">
        <v>568</v>
      </c>
      <c r="H5355" t="s">
        <v>569</v>
      </c>
      <c r="I5355" t="s">
        <v>569</v>
      </c>
      <c r="J5355" t="s">
        <v>60</v>
      </c>
      <c r="K5355" t="s">
        <v>61</v>
      </c>
      <c r="L5355" t="s">
        <v>62</v>
      </c>
      <c r="M5355" t="s">
        <v>61</v>
      </c>
      <c r="N5355" t="s">
        <v>570</v>
      </c>
      <c r="O5355" t="s">
        <v>548</v>
      </c>
      <c r="P5355">
        <v>-20.151508</v>
      </c>
      <c r="Q5355">
        <v>-44.907826</v>
      </c>
      <c r="R5355" s="2" t="str">
        <f>HYPERLINK("https://www.google.com/maps?q=-20.1515080,-44.9078260","Abrir no Google Maps")</f>
        <v>Abrir no Google Maps</v>
      </c>
      <c r="S5355">
        <v>3</v>
      </c>
      <c r="T5355">
        <v>567.15905416240514</v>
      </c>
      <c r="U5355">
        <v>3</v>
      </c>
      <c r="V5355">
        <v>0.99116161616161602</v>
      </c>
      <c r="W5355">
        <v>0.85</v>
      </c>
      <c r="X5355">
        <v>0.84248737373737359</v>
      </c>
      <c r="Y5355">
        <v>548</v>
      </c>
      <c r="Z5355">
        <v>560.49158010771464</v>
      </c>
      <c r="AA5355">
        <v>198</v>
      </c>
      <c r="AB5355">
        <v>332</v>
      </c>
      <c r="AC5355">
        <v>536</v>
      </c>
      <c r="AD5355">
        <v>28.15</v>
      </c>
      <c r="AE5355">
        <v>542</v>
      </c>
      <c r="AF5355">
        <v>21</v>
      </c>
      <c r="AG5355">
        <v>176</v>
      </c>
      <c r="AH5355">
        <v>129</v>
      </c>
      <c r="AI5355">
        <v>3.87</v>
      </c>
      <c r="AJ5355">
        <v>32.47</v>
      </c>
      <c r="AK5355">
        <v>23.8</v>
      </c>
      <c r="AL5355">
        <v>-20.15211779999996</v>
      </c>
      <c r="AM5355">
        <v>-44.907597469593128</v>
      </c>
      <c r="AN5355">
        <v>-20.15211779999996</v>
      </c>
      <c r="AO5355">
        <v>-44.907597469593128</v>
      </c>
      <c r="AP5355">
        <v>-20.151508</v>
      </c>
      <c r="AQ5355">
        <v>-44.907826</v>
      </c>
      <c r="AR5355">
        <v>71.961597929314735</v>
      </c>
      <c r="AS5355" t="s">
        <v>65</v>
      </c>
      <c r="AT5355">
        <v>1</v>
      </c>
      <c r="AU5355" t="s">
        <v>571</v>
      </c>
      <c r="AV5355" t="s">
        <v>572</v>
      </c>
      <c r="AW5355" t="s">
        <v>60</v>
      </c>
      <c r="AX5355" t="s">
        <v>68</v>
      </c>
      <c r="AY5355" t="s">
        <v>69</v>
      </c>
      <c r="AZ5355" t="b">
        <v>1</v>
      </c>
    </row>
    <row r="5356" spans="1:52" x14ac:dyDescent="0.3">
      <c r="A5356" t="s">
        <v>52</v>
      </c>
      <c r="B5356" t="s">
        <v>53</v>
      </c>
      <c r="C5356" t="s">
        <v>54</v>
      </c>
      <c r="D5356" t="s">
        <v>55</v>
      </c>
      <c r="E5356" t="s">
        <v>2278</v>
      </c>
      <c r="F5356" t="s">
        <v>1247</v>
      </c>
      <c r="G5356" t="s">
        <v>839</v>
      </c>
      <c r="H5356" t="s">
        <v>1274</v>
      </c>
      <c r="I5356" t="s">
        <v>1274</v>
      </c>
      <c r="J5356" t="s">
        <v>60</v>
      </c>
      <c r="K5356" t="s">
        <v>388</v>
      </c>
      <c r="L5356" t="s">
        <v>62</v>
      </c>
      <c r="M5356" t="s">
        <v>388</v>
      </c>
      <c r="N5356" t="s">
        <v>841</v>
      </c>
      <c r="O5356" t="s">
        <v>1275</v>
      </c>
      <c r="P5356">
        <v>-20.157979999999998</v>
      </c>
      <c r="Q5356">
        <v>-44.906365999999998</v>
      </c>
      <c r="R5356" s="2" t="str">
        <f>HYPERLINK("https://www.google.com/maps?q=-20.1579800,-44.9063660","Abrir no Google Maps")</f>
        <v>Abrir no Google Maps</v>
      </c>
      <c r="S5356">
        <v>3</v>
      </c>
      <c r="T5356">
        <v>519.48953004348823</v>
      </c>
      <c r="U5356">
        <v>2</v>
      </c>
      <c r="V5356">
        <v>0.90821678321678323</v>
      </c>
      <c r="W5356">
        <v>0.85</v>
      </c>
      <c r="X5356">
        <v>0.77198426573426571</v>
      </c>
      <c r="Y5356">
        <v>729</v>
      </c>
      <c r="Z5356">
        <v>393.22938248316768</v>
      </c>
      <c r="AA5356">
        <v>198</v>
      </c>
      <c r="AB5356">
        <v>332</v>
      </c>
      <c r="AC5356">
        <v>536</v>
      </c>
      <c r="AD5356">
        <v>28.15</v>
      </c>
      <c r="AE5356">
        <v>542</v>
      </c>
      <c r="AF5356">
        <v>21</v>
      </c>
      <c r="AG5356">
        <v>176</v>
      </c>
      <c r="AH5356">
        <v>129</v>
      </c>
      <c r="AI5356">
        <v>3.87</v>
      </c>
      <c r="AJ5356">
        <v>32.47</v>
      </c>
      <c r="AK5356">
        <v>23.8</v>
      </c>
      <c r="AL5356">
        <v>-20.157977799999941</v>
      </c>
      <c r="AM5356">
        <v>-44.906429896327573</v>
      </c>
      <c r="AN5356">
        <v>-20.157977799999941</v>
      </c>
      <c r="AO5356">
        <v>-44.906429896327573</v>
      </c>
      <c r="AP5356">
        <v>-20.157979999999998</v>
      </c>
      <c r="AQ5356">
        <v>-44.906365999999998</v>
      </c>
      <c r="AR5356">
        <v>6.6817330699236734</v>
      </c>
      <c r="AS5356" t="s">
        <v>65</v>
      </c>
      <c r="AT5356">
        <v>1</v>
      </c>
      <c r="AU5356" t="s">
        <v>1276</v>
      </c>
      <c r="AV5356" t="s">
        <v>1277</v>
      </c>
      <c r="AW5356" t="s">
        <v>60</v>
      </c>
      <c r="AX5356" t="s">
        <v>68</v>
      </c>
      <c r="AY5356" t="s">
        <v>69</v>
      </c>
      <c r="AZ5356" t="b">
        <v>1</v>
      </c>
    </row>
    <row r="5357" spans="1:52" x14ac:dyDescent="0.3">
      <c r="A5357" t="s">
        <v>52</v>
      </c>
      <c r="B5357" t="s">
        <v>53</v>
      </c>
      <c r="C5357" t="s">
        <v>54</v>
      </c>
      <c r="D5357" t="s">
        <v>55</v>
      </c>
      <c r="E5357" t="s">
        <v>2278</v>
      </c>
      <c r="F5357" t="s">
        <v>1247</v>
      </c>
      <c r="G5357" t="s">
        <v>1278</v>
      </c>
      <c r="H5357" t="s">
        <v>1279</v>
      </c>
      <c r="I5357" t="s">
        <v>1279</v>
      </c>
      <c r="J5357" t="s">
        <v>60</v>
      </c>
      <c r="K5357" t="s">
        <v>388</v>
      </c>
      <c r="L5357" t="s">
        <v>62</v>
      </c>
      <c r="M5357" t="s">
        <v>388</v>
      </c>
      <c r="N5357" t="s">
        <v>1280</v>
      </c>
      <c r="O5357" t="s">
        <v>216</v>
      </c>
      <c r="P5357">
        <v>-20.15681</v>
      </c>
      <c r="Q5357">
        <v>-44.899290999999998</v>
      </c>
      <c r="R5357" s="2" t="str">
        <f>HYPERLINK("https://www.google.com/maps?q=-20.1568100,-44.8992910","Abrir no Google Maps")</f>
        <v>Abrir no Google Maps</v>
      </c>
      <c r="S5357">
        <v>3</v>
      </c>
      <c r="T5357">
        <v>180.10162979749811</v>
      </c>
      <c r="U5357">
        <v>2</v>
      </c>
      <c r="V5357">
        <v>0.890625</v>
      </c>
      <c r="W5357">
        <v>0.85</v>
      </c>
      <c r="X5357">
        <v>0.75703124999999993</v>
      </c>
      <c r="Y5357">
        <v>729</v>
      </c>
      <c r="Z5357">
        <v>368.06065118133841</v>
      </c>
      <c r="AA5357">
        <v>198</v>
      </c>
      <c r="AB5357">
        <v>332</v>
      </c>
      <c r="AC5357">
        <v>536</v>
      </c>
      <c r="AD5357">
        <v>28.15</v>
      </c>
      <c r="AE5357">
        <v>542</v>
      </c>
      <c r="AF5357">
        <v>21</v>
      </c>
      <c r="AG5357">
        <v>176</v>
      </c>
      <c r="AH5357">
        <v>129</v>
      </c>
      <c r="AI5357">
        <v>3.87</v>
      </c>
      <c r="AJ5357">
        <v>32.47</v>
      </c>
      <c r="AK5357">
        <v>23.8</v>
      </c>
      <c r="AL5357">
        <v>-20.156785649999961</v>
      </c>
      <c r="AM5357">
        <v>-44.899254812291332</v>
      </c>
      <c r="AN5357">
        <v>-20.156785649999961</v>
      </c>
      <c r="AO5357">
        <v>-44.899254812291332</v>
      </c>
      <c r="AP5357">
        <v>-20.15681</v>
      </c>
      <c r="AQ5357">
        <v>-44.899290999999998</v>
      </c>
      <c r="AR5357">
        <v>4.6528211992813118</v>
      </c>
      <c r="AS5357" t="s">
        <v>65</v>
      </c>
      <c r="AT5357">
        <v>1</v>
      </c>
      <c r="AU5357" t="s">
        <v>1281</v>
      </c>
      <c r="AV5357" t="s">
        <v>1282</v>
      </c>
      <c r="AW5357" t="s">
        <v>60</v>
      </c>
      <c r="AX5357" t="s">
        <v>68</v>
      </c>
      <c r="AY5357" t="s">
        <v>69</v>
      </c>
      <c r="AZ5357" t="b">
        <v>1</v>
      </c>
    </row>
    <row r="5358" spans="1:52" x14ac:dyDescent="0.3">
      <c r="A5358" t="s">
        <v>52</v>
      </c>
      <c r="B5358" t="s">
        <v>53</v>
      </c>
      <c r="C5358" t="s">
        <v>54</v>
      </c>
      <c r="D5358" t="s">
        <v>55</v>
      </c>
      <c r="E5358" t="s">
        <v>2278</v>
      </c>
      <c r="F5358" t="s">
        <v>1247</v>
      </c>
      <c r="G5358" t="s">
        <v>1283</v>
      </c>
      <c r="H5358" t="s">
        <v>1284</v>
      </c>
      <c r="I5358" t="s">
        <v>1284</v>
      </c>
      <c r="J5358" t="s">
        <v>60</v>
      </c>
      <c r="K5358" t="s">
        <v>388</v>
      </c>
      <c r="L5358" t="s">
        <v>62</v>
      </c>
      <c r="M5358" t="s">
        <v>388</v>
      </c>
      <c r="N5358" t="s">
        <v>400</v>
      </c>
      <c r="O5358" t="s">
        <v>1285</v>
      </c>
      <c r="P5358">
        <v>-20.156977999999999</v>
      </c>
      <c r="Q5358">
        <v>-44.90325</v>
      </c>
      <c r="R5358" s="2" t="str">
        <f>HYPERLINK("https://www.google.com/maps?q=-20.1569780,-44.9032500","Abrir no Google Maps")</f>
        <v>Abrir no Google Maps</v>
      </c>
      <c r="S5358">
        <v>3</v>
      </c>
      <c r="T5358">
        <v>256.05633739092571</v>
      </c>
      <c r="U5358">
        <v>2</v>
      </c>
      <c r="V5358">
        <v>0.90480132450331119</v>
      </c>
      <c r="W5358">
        <v>0.85</v>
      </c>
      <c r="X5358">
        <v>0.76908112582781452</v>
      </c>
      <c r="Y5358">
        <v>729</v>
      </c>
      <c r="Z5358">
        <v>162.99447055889971</v>
      </c>
      <c r="AA5358">
        <v>198</v>
      </c>
      <c r="AB5358">
        <v>332</v>
      </c>
      <c r="AC5358">
        <v>536</v>
      </c>
      <c r="AD5358">
        <v>28.15</v>
      </c>
      <c r="AE5358">
        <v>542</v>
      </c>
      <c r="AF5358">
        <v>21</v>
      </c>
      <c r="AG5358">
        <v>176</v>
      </c>
      <c r="AH5358">
        <v>129</v>
      </c>
      <c r="AI5358">
        <v>3.87</v>
      </c>
      <c r="AJ5358">
        <v>32.47</v>
      </c>
      <c r="AK5358">
        <v>23.8</v>
      </c>
      <c r="AL5358">
        <v>-20.15696524999996</v>
      </c>
      <c r="AM5358">
        <v>-44.903258102626708</v>
      </c>
      <c r="AN5358">
        <v>-20.15696524999996</v>
      </c>
      <c r="AO5358">
        <v>-44.903258102626708</v>
      </c>
      <c r="AP5358">
        <v>-20.156977999999999</v>
      </c>
      <c r="AQ5358">
        <v>-44.90325</v>
      </c>
      <c r="AR5358">
        <v>1.6527147033629741</v>
      </c>
      <c r="AS5358" t="s">
        <v>65</v>
      </c>
      <c r="AT5358">
        <v>1</v>
      </c>
      <c r="AU5358" t="s">
        <v>1286</v>
      </c>
      <c r="AV5358" t="s">
        <v>1287</v>
      </c>
      <c r="AW5358" t="s">
        <v>60</v>
      </c>
      <c r="AX5358" t="s">
        <v>68</v>
      </c>
      <c r="AY5358" t="s">
        <v>69</v>
      </c>
      <c r="AZ5358" t="b">
        <v>1</v>
      </c>
    </row>
    <row r="5359" spans="1:52" x14ac:dyDescent="0.3">
      <c r="A5359" t="s">
        <v>52</v>
      </c>
      <c r="B5359" t="s">
        <v>53</v>
      </c>
      <c r="C5359" t="s">
        <v>54</v>
      </c>
      <c r="D5359" t="s">
        <v>55</v>
      </c>
      <c r="E5359" t="s">
        <v>2278</v>
      </c>
      <c r="F5359" t="s">
        <v>1247</v>
      </c>
      <c r="G5359" t="s">
        <v>1417</v>
      </c>
      <c r="H5359" t="s">
        <v>1418</v>
      </c>
      <c r="I5359" t="s">
        <v>1418</v>
      </c>
      <c r="J5359" t="s">
        <v>60</v>
      </c>
      <c r="K5359" t="s">
        <v>1419</v>
      </c>
      <c r="L5359" t="s">
        <v>62</v>
      </c>
      <c r="M5359" t="s">
        <v>1419</v>
      </c>
      <c r="N5359" t="s">
        <v>1420</v>
      </c>
      <c r="O5359" t="s">
        <v>1421</v>
      </c>
      <c r="P5359">
        <v>-20.159427000000001</v>
      </c>
      <c r="Q5359">
        <v>-44.897143</v>
      </c>
      <c r="R5359" s="2" t="str">
        <f>HYPERLINK("https://www.google.com/maps?q=-20.1594270,-44.8971430","Abrir no Google Maps")</f>
        <v>Abrir no Google Maps</v>
      </c>
      <c r="S5359">
        <v>3</v>
      </c>
      <c r="T5359">
        <v>392.64349875646298</v>
      </c>
      <c r="U5359">
        <v>2</v>
      </c>
      <c r="V5359">
        <v>0.87289450354609932</v>
      </c>
      <c r="W5359">
        <v>0.85</v>
      </c>
      <c r="X5359">
        <v>0.74196032801418443</v>
      </c>
      <c r="Y5359">
        <v>729</v>
      </c>
      <c r="Z5359">
        <v>550.20062797366995</v>
      </c>
      <c r="AA5359">
        <v>198</v>
      </c>
      <c r="AB5359">
        <v>332</v>
      </c>
      <c r="AC5359">
        <v>536</v>
      </c>
      <c r="AD5359">
        <v>28.15</v>
      </c>
      <c r="AE5359">
        <v>542</v>
      </c>
      <c r="AF5359">
        <v>21</v>
      </c>
      <c r="AG5359">
        <v>176</v>
      </c>
      <c r="AH5359">
        <v>129</v>
      </c>
      <c r="AI5359">
        <v>3.87</v>
      </c>
      <c r="AJ5359">
        <v>32.47</v>
      </c>
      <c r="AK5359">
        <v>23.8</v>
      </c>
      <c r="AL5359">
        <v>-20.15946549999995</v>
      </c>
      <c r="AM5359">
        <v>-44.89709959354267</v>
      </c>
      <c r="AN5359">
        <v>-20.15946549999995</v>
      </c>
      <c r="AO5359">
        <v>-44.89709959354267</v>
      </c>
      <c r="AP5359">
        <v>-20.159427000000001</v>
      </c>
      <c r="AQ5359">
        <v>-44.897143</v>
      </c>
      <c r="AR5359">
        <v>6.2404649979039286</v>
      </c>
      <c r="AS5359" t="s">
        <v>65</v>
      </c>
      <c r="AT5359">
        <v>1</v>
      </c>
      <c r="AU5359" t="s">
        <v>1422</v>
      </c>
      <c r="AV5359" t="s">
        <v>1423</v>
      </c>
      <c r="AW5359" t="s">
        <v>60</v>
      </c>
      <c r="AX5359" t="s">
        <v>68</v>
      </c>
      <c r="AY5359" t="s">
        <v>69</v>
      </c>
      <c r="AZ5359" t="b">
        <v>1</v>
      </c>
    </row>
    <row r="5360" spans="1:52" x14ac:dyDescent="0.3">
      <c r="A5360" t="s">
        <v>52</v>
      </c>
      <c r="B5360" t="s">
        <v>53</v>
      </c>
      <c r="C5360" t="s">
        <v>54</v>
      </c>
      <c r="D5360" t="s">
        <v>55</v>
      </c>
      <c r="E5360" t="s">
        <v>2278</v>
      </c>
      <c r="F5360" t="s">
        <v>1247</v>
      </c>
      <c r="G5360" t="s">
        <v>1288</v>
      </c>
      <c r="H5360" t="s">
        <v>1289</v>
      </c>
      <c r="I5360" t="s">
        <v>1289</v>
      </c>
      <c r="J5360" t="s">
        <v>60</v>
      </c>
      <c r="K5360" t="s">
        <v>1290</v>
      </c>
      <c r="L5360" t="s">
        <v>62</v>
      </c>
      <c r="M5360" t="s">
        <v>1290</v>
      </c>
      <c r="N5360" t="s">
        <v>1291</v>
      </c>
      <c r="O5360" t="s">
        <v>315</v>
      </c>
      <c r="P5360">
        <v>-20.171008</v>
      </c>
      <c r="Q5360">
        <v>-44.918908999999999</v>
      </c>
      <c r="R5360" s="2" t="str">
        <f>HYPERLINK("https://www.google.com/maps?q=-20.1710080,-44.9189090","Abrir no Google Maps")</f>
        <v>Abrir no Google Maps</v>
      </c>
      <c r="S5360">
        <v>3</v>
      </c>
      <c r="T5360">
        <v>972.86786700299888</v>
      </c>
      <c r="U5360">
        <v>2</v>
      </c>
      <c r="V5360">
        <v>0.88602941176470584</v>
      </c>
      <c r="W5360">
        <v>0.85</v>
      </c>
      <c r="X5360">
        <v>0.75312499999999993</v>
      </c>
      <c r="Y5360">
        <v>723</v>
      </c>
      <c r="Z5360">
        <v>690.55600110253613</v>
      </c>
      <c r="AA5360">
        <v>198</v>
      </c>
      <c r="AB5360">
        <v>332</v>
      </c>
      <c r="AC5360">
        <v>536</v>
      </c>
      <c r="AD5360">
        <v>28.15</v>
      </c>
      <c r="AE5360">
        <v>542</v>
      </c>
      <c r="AF5360">
        <v>21</v>
      </c>
      <c r="AG5360">
        <v>176</v>
      </c>
      <c r="AH5360">
        <v>129</v>
      </c>
      <c r="AI5360">
        <v>3.87</v>
      </c>
      <c r="AJ5360">
        <v>32.47</v>
      </c>
      <c r="AK5360">
        <v>23.8</v>
      </c>
      <c r="AL5360">
        <v>-20.171738249999979</v>
      </c>
      <c r="AM5360">
        <v>-44.919736490382917</v>
      </c>
      <c r="AN5360">
        <v>-20.171738249999979</v>
      </c>
      <c r="AO5360">
        <v>-44.919736490382931</v>
      </c>
      <c r="AP5360">
        <v>-20.171008</v>
      </c>
      <c r="AQ5360">
        <v>-44.918908999999999</v>
      </c>
      <c r="AR5360">
        <v>118.678920061485</v>
      </c>
      <c r="AS5360" t="s">
        <v>65</v>
      </c>
      <c r="AT5360">
        <v>1</v>
      </c>
      <c r="AU5360" t="s">
        <v>1292</v>
      </c>
      <c r="AV5360" t="s">
        <v>1293</v>
      </c>
      <c r="AW5360" t="s">
        <v>60</v>
      </c>
      <c r="AX5360" t="s">
        <v>68</v>
      </c>
      <c r="AY5360" t="s">
        <v>69</v>
      </c>
      <c r="AZ5360" t="b">
        <v>1</v>
      </c>
    </row>
    <row r="5361" spans="1:52" x14ac:dyDescent="0.3">
      <c r="A5361" t="s">
        <v>52</v>
      </c>
      <c r="B5361" t="s">
        <v>53</v>
      </c>
      <c r="C5361" t="s">
        <v>54</v>
      </c>
      <c r="D5361" t="s">
        <v>55</v>
      </c>
      <c r="E5361" t="s">
        <v>2278</v>
      </c>
      <c r="F5361" t="s">
        <v>1247</v>
      </c>
      <c r="G5361" t="s">
        <v>1294</v>
      </c>
      <c r="H5361" t="s">
        <v>1295</v>
      </c>
      <c r="I5361" t="s">
        <v>1295</v>
      </c>
      <c r="J5361" t="s">
        <v>60</v>
      </c>
      <c r="K5361" t="s">
        <v>418</v>
      </c>
      <c r="L5361" t="s">
        <v>62</v>
      </c>
      <c r="M5361" t="s">
        <v>418</v>
      </c>
      <c r="N5361" t="s">
        <v>1296</v>
      </c>
      <c r="O5361" t="s">
        <v>1297</v>
      </c>
      <c r="P5361">
        <v>-20.169899999999998</v>
      </c>
      <c r="Q5361">
        <v>-44.916176999999998</v>
      </c>
      <c r="R5361" s="2" t="str">
        <f>HYPERLINK("https://www.google.com/maps?q=-20.1699000,-44.9161770","Abrir no Google Maps")</f>
        <v>Abrir no Google Maps</v>
      </c>
      <c r="S5361">
        <v>3</v>
      </c>
      <c r="T5361">
        <v>658.15251036568407</v>
      </c>
      <c r="U5361">
        <v>2</v>
      </c>
      <c r="V5361">
        <v>0.89539007092198575</v>
      </c>
      <c r="W5361">
        <v>0.85</v>
      </c>
      <c r="X5361">
        <v>0.7610815602836879</v>
      </c>
      <c r="Y5361">
        <v>723</v>
      </c>
      <c r="Z5361">
        <v>400.39092274559039</v>
      </c>
      <c r="AA5361">
        <v>198</v>
      </c>
      <c r="AB5361">
        <v>332</v>
      </c>
      <c r="AC5361">
        <v>536</v>
      </c>
      <c r="AD5361">
        <v>28.15</v>
      </c>
      <c r="AE5361">
        <v>542</v>
      </c>
      <c r="AF5361">
        <v>21</v>
      </c>
      <c r="AG5361">
        <v>176</v>
      </c>
      <c r="AH5361">
        <v>129</v>
      </c>
      <c r="AI5361">
        <v>3.87</v>
      </c>
      <c r="AJ5361">
        <v>32.47</v>
      </c>
      <c r="AK5361">
        <v>23.8</v>
      </c>
      <c r="AL5361">
        <v>-20.169898399999941</v>
      </c>
      <c r="AM5361">
        <v>-44.916247682868359</v>
      </c>
      <c r="AN5361">
        <v>-20.169898399999941</v>
      </c>
      <c r="AO5361">
        <v>-44.916247682868359</v>
      </c>
      <c r="AP5361">
        <v>-20.169899999999998</v>
      </c>
      <c r="AQ5361">
        <v>-44.916176999999998</v>
      </c>
      <c r="AR5361">
        <v>7.388028048308902</v>
      </c>
      <c r="AS5361" t="s">
        <v>65</v>
      </c>
      <c r="AT5361">
        <v>1</v>
      </c>
      <c r="AU5361" t="s">
        <v>1298</v>
      </c>
      <c r="AV5361" t="s">
        <v>1299</v>
      </c>
      <c r="AW5361" t="s">
        <v>60</v>
      </c>
      <c r="AX5361" t="s">
        <v>68</v>
      </c>
      <c r="AY5361" t="s">
        <v>69</v>
      </c>
      <c r="AZ5361" t="b">
        <v>1</v>
      </c>
    </row>
    <row r="5362" spans="1:52" x14ac:dyDescent="0.3">
      <c r="A5362" t="s">
        <v>52</v>
      </c>
      <c r="B5362" t="s">
        <v>53</v>
      </c>
      <c r="C5362" t="s">
        <v>54</v>
      </c>
      <c r="D5362" t="s">
        <v>55</v>
      </c>
      <c r="E5362" t="s">
        <v>2278</v>
      </c>
      <c r="F5362" t="s">
        <v>1247</v>
      </c>
      <c r="G5362" t="s">
        <v>1300</v>
      </c>
      <c r="H5362" t="s">
        <v>1301</v>
      </c>
      <c r="I5362" t="s">
        <v>1301</v>
      </c>
      <c r="J5362" t="s">
        <v>60</v>
      </c>
      <c r="K5362" t="s">
        <v>1302</v>
      </c>
      <c r="L5362" t="s">
        <v>62</v>
      </c>
      <c r="M5362" t="s">
        <v>1302</v>
      </c>
      <c r="N5362" t="s">
        <v>1303</v>
      </c>
      <c r="O5362" t="s">
        <v>1304</v>
      </c>
      <c r="P5362">
        <v>-20.166618</v>
      </c>
      <c r="Q5362">
        <v>-44.912920999999997</v>
      </c>
      <c r="R5362" s="2" t="str">
        <f>HYPERLINK("https://www.google.com/maps?q=-20.1666180,-44.9129210","Abrir no Google Maps")</f>
        <v>Abrir no Google Maps</v>
      </c>
      <c r="S5362">
        <v>3</v>
      </c>
      <c r="T5362">
        <v>636.32880156364706</v>
      </c>
      <c r="U5362">
        <v>2</v>
      </c>
      <c r="V5362">
        <v>0.87908496732026142</v>
      </c>
      <c r="W5362">
        <v>0.85</v>
      </c>
      <c r="X5362">
        <v>0.74722222222222223</v>
      </c>
      <c r="Y5362">
        <v>723</v>
      </c>
      <c r="Z5362">
        <v>407.62145176971592</v>
      </c>
      <c r="AA5362">
        <v>198</v>
      </c>
      <c r="AB5362">
        <v>332</v>
      </c>
      <c r="AC5362">
        <v>536</v>
      </c>
      <c r="AD5362">
        <v>28.15</v>
      </c>
      <c r="AE5362">
        <v>542</v>
      </c>
      <c r="AF5362">
        <v>21</v>
      </c>
      <c r="AG5362">
        <v>176</v>
      </c>
      <c r="AH5362">
        <v>129</v>
      </c>
      <c r="AI5362">
        <v>3.87</v>
      </c>
      <c r="AJ5362">
        <v>32.47</v>
      </c>
      <c r="AK5362">
        <v>23.8</v>
      </c>
      <c r="AL5362">
        <v>-20.166924799999951</v>
      </c>
      <c r="AM5362">
        <v>-44.912868681724092</v>
      </c>
      <c r="AN5362">
        <v>-20.166924799999951</v>
      </c>
      <c r="AO5362">
        <v>-44.912868681724092</v>
      </c>
      <c r="AP5362">
        <v>-20.166618</v>
      </c>
      <c r="AQ5362">
        <v>-44.912920999999997</v>
      </c>
      <c r="AR5362">
        <v>34.587771860198139</v>
      </c>
      <c r="AS5362" t="s">
        <v>65</v>
      </c>
      <c r="AT5362">
        <v>1</v>
      </c>
      <c r="AU5362" t="s">
        <v>1305</v>
      </c>
      <c r="AV5362" t="s">
        <v>1306</v>
      </c>
      <c r="AW5362" t="s">
        <v>60</v>
      </c>
      <c r="AX5362" t="s">
        <v>68</v>
      </c>
      <c r="AY5362" t="s">
        <v>69</v>
      </c>
      <c r="AZ5362" t="b">
        <v>1</v>
      </c>
    </row>
    <row r="5363" spans="1:52" x14ac:dyDescent="0.3">
      <c r="A5363" t="s">
        <v>52</v>
      </c>
      <c r="B5363" t="s">
        <v>53</v>
      </c>
      <c r="C5363" t="s">
        <v>54</v>
      </c>
      <c r="D5363" t="s">
        <v>55</v>
      </c>
      <c r="E5363" t="s">
        <v>2278</v>
      </c>
      <c r="F5363" t="s">
        <v>1247</v>
      </c>
      <c r="G5363" t="s">
        <v>1307</v>
      </c>
      <c r="H5363" t="s">
        <v>1308</v>
      </c>
      <c r="I5363" t="s">
        <v>1308</v>
      </c>
      <c r="J5363" t="s">
        <v>60</v>
      </c>
      <c r="K5363" t="s">
        <v>1302</v>
      </c>
      <c r="L5363" t="s">
        <v>62</v>
      </c>
      <c r="M5363" t="s">
        <v>1302</v>
      </c>
      <c r="N5363" t="s">
        <v>558</v>
      </c>
      <c r="O5363" t="s">
        <v>1309</v>
      </c>
      <c r="P5363">
        <v>-20.169051</v>
      </c>
      <c r="Q5363">
        <v>-44.910093000000003</v>
      </c>
      <c r="R5363" s="2" t="str">
        <f>HYPERLINK("https://www.google.com/maps?q=-20.1690510,-44.9100930","Abrir no Google Maps")</f>
        <v>Abrir no Google Maps</v>
      </c>
      <c r="S5363">
        <v>3</v>
      </c>
      <c r="T5363">
        <v>375.90504489887479</v>
      </c>
      <c r="U5363">
        <v>2</v>
      </c>
      <c r="V5363">
        <v>0.89530812324929965</v>
      </c>
      <c r="W5363">
        <v>0.85</v>
      </c>
      <c r="X5363">
        <v>0.76101190476190472</v>
      </c>
      <c r="Y5363">
        <v>723</v>
      </c>
      <c r="Z5363">
        <v>456.19893675176831</v>
      </c>
      <c r="AA5363">
        <v>198</v>
      </c>
      <c r="AB5363">
        <v>332</v>
      </c>
      <c r="AC5363">
        <v>536</v>
      </c>
      <c r="AD5363">
        <v>28.15</v>
      </c>
      <c r="AE5363">
        <v>542</v>
      </c>
      <c r="AF5363">
        <v>21</v>
      </c>
      <c r="AG5363">
        <v>176</v>
      </c>
      <c r="AH5363">
        <v>129</v>
      </c>
      <c r="AI5363">
        <v>3.87</v>
      </c>
      <c r="AJ5363">
        <v>32.47</v>
      </c>
      <c r="AK5363">
        <v>23.8</v>
      </c>
      <c r="AL5363">
        <v>-20.168810949999941</v>
      </c>
      <c r="AM5363">
        <v>-44.910156475447927</v>
      </c>
      <c r="AN5363">
        <v>-20.168810949999941</v>
      </c>
      <c r="AO5363">
        <v>-44.910156475447927</v>
      </c>
      <c r="AP5363">
        <v>-20.169051</v>
      </c>
      <c r="AQ5363">
        <v>-44.910093000000003</v>
      </c>
      <c r="AR5363">
        <v>27.533232396417059</v>
      </c>
      <c r="AS5363" t="s">
        <v>65</v>
      </c>
      <c r="AT5363">
        <v>1</v>
      </c>
      <c r="AU5363" t="s">
        <v>1310</v>
      </c>
      <c r="AV5363" t="s">
        <v>1311</v>
      </c>
      <c r="AW5363" t="s">
        <v>60</v>
      </c>
      <c r="AX5363" t="s">
        <v>68</v>
      </c>
      <c r="AY5363" t="s">
        <v>69</v>
      </c>
      <c r="AZ5363" t="b">
        <v>1</v>
      </c>
    </row>
    <row r="5364" spans="1:52" x14ac:dyDescent="0.3">
      <c r="A5364" t="s">
        <v>52</v>
      </c>
      <c r="B5364" t="s">
        <v>53</v>
      </c>
      <c r="C5364" t="s">
        <v>54</v>
      </c>
      <c r="D5364" t="s">
        <v>55</v>
      </c>
      <c r="E5364" t="s">
        <v>2278</v>
      </c>
      <c r="F5364" t="s">
        <v>1247</v>
      </c>
      <c r="G5364" t="s">
        <v>845</v>
      </c>
      <c r="H5364" t="s">
        <v>846</v>
      </c>
      <c r="I5364" t="s">
        <v>846</v>
      </c>
      <c r="J5364" t="s">
        <v>60</v>
      </c>
      <c r="K5364" t="s">
        <v>424</v>
      </c>
      <c r="L5364" t="s">
        <v>62</v>
      </c>
      <c r="M5364" t="s">
        <v>424</v>
      </c>
      <c r="N5364" t="s">
        <v>847</v>
      </c>
      <c r="O5364" t="s">
        <v>848</v>
      </c>
      <c r="P5364">
        <v>-20.175523999999999</v>
      </c>
      <c r="Q5364">
        <v>-44.918016999999999</v>
      </c>
      <c r="R5364" s="2" t="str">
        <f>HYPERLINK("https://www.google.com/maps?q=-20.1755240,-44.9180170","Abrir no Google Maps")</f>
        <v>Abrir no Google Maps</v>
      </c>
      <c r="S5364">
        <v>3</v>
      </c>
      <c r="T5364">
        <v>833.59191671824021</v>
      </c>
      <c r="U5364">
        <v>2</v>
      </c>
      <c r="V5364">
        <v>0.92261904761904756</v>
      </c>
      <c r="W5364">
        <v>0.85</v>
      </c>
      <c r="X5364">
        <v>0.78422619047619035</v>
      </c>
      <c r="Y5364">
        <v>723</v>
      </c>
      <c r="Z5364">
        <v>701.05790658871581</v>
      </c>
      <c r="AA5364">
        <v>198</v>
      </c>
      <c r="AB5364">
        <v>332</v>
      </c>
      <c r="AC5364">
        <v>536</v>
      </c>
      <c r="AD5364">
        <v>28.15</v>
      </c>
      <c r="AE5364">
        <v>542</v>
      </c>
      <c r="AF5364">
        <v>21</v>
      </c>
      <c r="AG5364">
        <v>176</v>
      </c>
      <c r="AH5364">
        <v>129</v>
      </c>
      <c r="AI5364">
        <v>3.87</v>
      </c>
      <c r="AJ5364">
        <v>32.47</v>
      </c>
      <c r="AK5364">
        <v>23.8</v>
      </c>
      <c r="AL5364">
        <v>-20.17533859999995</v>
      </c>
      <c r="AM5364">
        <v>-44.917689627873088</v>
      </c>
      <c r="AN5364">
        <v>-20.17533859999995</v>
      </c>
      <c r="AO5364">
        <v>-44.917689627873088</v>
      </c>
      <c r="AP5364">
        <v>-20.175523999999999</v>
      </c>
      <c r="AQ5364">
        <v>-44.918016999999999</v>
      </c>
      <c r="AR5364">
        <v>39.950898228213873</v>
      </c>
      <c r="AS5364" t="s">
        <v>65</v>
      </c>
      <c r="AT5364">
        <v>1</v>
      </c>
      <c r="AU5364" t="s">
        <v>849</v>
      </c>
      <c r="AV5364" t="s">
        <v>850</v>
      </c>
      <c r="AW5364" t="s">
        <v>60</v>
      </c>
      <c r="AX5364" t="s">
        <v>68</v>
      </c>
      <c r="AY5364" t="s">
        <v>69</v>
      </c>
      <c r="AZ5364" t="b">
        <v>1</v>
      </c>
    </row>
    <row r="5365" spans="1:52" x14ac:dyDescent="0.3">
      <c r="A5365" t="s">
        <v>52</v>
      </c>
      <c r="B5365" t="s">
        <v>53</v>
      </c>
      <c r="C5365" t="s">
        <v>54</v>
      </c>
      <c r="D5365" t="s">
        <v>55</v>
      </c>
      <c r="E5365" t="s">
        <v>2278</v>
      </c>
      <c r="F5365" t="s">
        <v>1247</v>
      </c>
      <c r="G5365" t="s">
        <v>429</v>
      </c>
      <c r="H5365" t="s">
        <v>430</v>
      </c>
      <c r="I5365" t="s">
        <v>430</v>
      </c>
      <c r="J5365" t="s">
        <v>60</v>
      </c>
      <c r="K5365" t="s">
        <v>431</v>
      </c>
      <c r="L5365" t="s">
        <v>62</v>
      </c>
      <c r="M5365" t="s">
        <v>431</v>
      </c>
      <c r="N5365" t="s">
        <v>432</v>
      </c>
      <c r="O5365" t="s">
        <v>315</v>
      </c>
      <c r="P5365">
        <v>-20.172698</v>
      </c>
      <c r="Q5365">
        <v>-44.923842</v>
      </c>
      <c r="R5365" s="2" t="str">
        <f>HYPERLINK("https://www.google.com/maps?q=-20.1726980,-44.9238420","Abrir no Google Maps")</f>
        <v>Abrir no Google Maps</v>
      </c>
      <c r="S5365">
        <v>3</v>
      </c>
      <c r="T5365">
        <v>1376.1843173402931</v>
      </c>
      <c r="U5365">
        <v>2</v>
      </c>
      <c r="V5365">
        <v>0.87746305418719206</v>
      </c>
      <c r="W5365">
        <v>0.85</v>
      </c>
      <c r="X5365">
        <v>0.74584359605911321</v>
      </c>
      <c r="Y5365">
        <v>723</v>
      </c>
      <c r="Z5365">
        <v>1101.340635002096</v>
      </c>
      <c r="AA5365">
        <v>198</v>
      </c>
      <c r="AB5365">
        <v>332</v>
      </c>
      <c r="AC5365">
        <v>536</v>
      </c>
      <c r="AD5365">
        <v>28.15</v>
      </c>
      <c r="AE5365">
        <v>542</v>
      </c>
      <c r="AF5365">
        <v>21</v>
      </c>
      <c r="AG5365">
        <v>176</v>
      </c>
      <c r="AH5365">
        <v>129</v>
      </c>
      <c r="AI5365">
        <v>3.87</v>
      </c>
      <c r="AJ5365">
        <v>32.47</v>
      </c>
      <c r="AK5365">
        <v>23.8</v>
      </c>
      <c r="AL5365">
        <v>-20.172942799999959</v>
      </c>
      <c r="AM5365">
        <v>-44.923585372665762</v>
      </c>
      <c r="AN5365">
        <v>-20.172942799999959</v>
      </c>
      <c r="AO5365">
        <v>-44.923585372665762</v>
      </c>
      <c r="AP5365">
        <v>-20.172698</v>
      </c>
      <c r="AQ5365">
        <v>-44.923842</v>
      </c>
      <c r="AR5365">
        <v>38.231981408478958</v>
      </c>
      <c r="AS5365" t="s">
        <v>65</v>
      </c>
      <c r="AT5365">
        <v>1</v>
      </c>
      <c r="AU5365" t="s">
        <v>433</v>
      </c>
      <c r="AV5365" t="s">
        <v>434</v>
      </c>
      <c r="AW5365" t="s">
        <v>60</v>
      </c>
      <c r="AX5365" t="s">
        <v>68</v>
      </c>
      <c r="AY5365" t="s">
        <v>69</v>
      </c>
      <c r="AZ5365" t="b">
        <v>1</v>
      </c>
    </row>
    <row r="5366" spans="1:52" x14ac:dyDescent="0.3">
      <c r="A5366" t="s">
        <v>52</v>
      </c>
      <c r="B5366" t="s">
        <v>53</v>
      </c>
      <c r="C5366" t="s">
        <v>54</v>
      </c>
      <c r="D5366" t="s">
        <v>55</v>
      </c>
      <c r="E5366" t="s">
        <v>2278</v>
      </c>
      <c r="F5366" t="s">
        <v>1247</v>
      </c>
      <c r="G5366" t="s">
        <v>1318</v>
      </c>
      <c r="H5366" t="s">
        <v>1319</v>
      </c>
      <c r="I5366" t="s">
        <v>1319</v>
      </c>
      <c r="J5366" t="s">
        <v>60</v>
      </c>
      <c r="K5366" t="s">
        <v>1314</v>
      </c>
      <c r="L5366" t="s">
        <v>62</v>
      </c>
      <c r="M5366" t="s">
        <v>1314</v>
      </c>
      <c r="N5366" t="s">
        <v>1320</v>
      </c>
      <c r="O5366" t="s">
        <v>1321</v>
      </c>
      <c r="P5366">
        <v>-20.178615000000001</v>
      </c>
      <c r="Q5366">
        <v>-44.924697999999999</v>
      </c>
      <c r="R5366" s="2" t="str">
        <f>HYPERLINK("https://www.google.com/maps?q=-20.1786150,-44.9246980","Abrir no Google Maps")</f>
        <v>Abrir no Google Maps</v>
      </c>
      <c r="S5366">
        <v>3</v>
      </c>
      <c r="T5366">
        <v>1583.462557226148</v>
      </c>
      <c r="U5366">
        <v>2</v>
      </c>
      <c r="V5366">
        <v>0.87387387387387383</v>
      </c>
      <c r="W5366">
        <v>0.85</v>
      </c>
      <c r="X5366">
        <v>0.74279279279279276</v>
      </c>
      <c r="Y5366">
        <v>723</v>
      </c>
      <c r="Z5366">
        <v>1414.1542726995031</v>
      </c>
      <c r="AA5366">
        <v>198</v>
      </c>
      <c r="AB5366">
        <v>332</v>
      </c>
      <c r="AC5366">
        <v>536</v>
      </c>
      <c r="AD5366">
        <v>28.15</v>
      </c>
      <c r="AE5366">
        <v>542</v>
      </c>
      <c r="AF5366">
        <v>21</v>
      </c>
      <c r="AG5366">
        <v>176</v>
      </c>
      <c r="AH5366">
        <v>129</v>
      </c>
      <c r="AI5366">
        <v>3.87</v>
      </c>
      <c r="AJ5366">
        <v>32.47</v>
      </c>
      <c r="AK5366">
        <v>23.8</v>
      </c>
      <c r="AL5366">
        <v>-20.17821329999995</v>
      </c>
      <c r="AM5366">
        <v>-44.924188563452951</v>
      </c>
      <c r="AN5366">
        <v>-20.17821329999995</v>
      </c>
      <c r="AO5366">
        <v>-44.924188563452951</v>
      </c>
      <c r="AP5366">
        <v>-20.178615000000001</v>
      </c>
      <c r="AQ5366">
        <v>-44.924697999999999</v>
      </c>
      <c r="AR5366">
        <v>69.520116290580319</v>
      </c>
      <c r="AS5366" t="s">
        <v>65</v>
      </c>
      <c r="AT5366">
        <v>1</v>
      </c>
      <c r="AU5366" t="s">
        <v>1322</v>
      </c>
      <c r="AV5366" t="s">
        <v>1317</v>
      </c>
      <c r="AW5366" t="s">
        <v>60</v>
      </c>
      <c r="AX5366" t="s">
        <v>68</v>
      </c>
      <c r="AY5366" t="s">
        <v>69</v>
      </c>
      <c r="AZ5366" t="b">
        <v>1</v>
      </c>
    </row>
    <row r="5367" spans="1:52" x14ac:dyDescent="0.3">
      <c r="A5367" t="s">
        <v>52</v>
      </c>
      <c r="B5367" t="s">
        <v>53</v>
      </c>
      <c r="C5367" t="s">
        <v>54</v>
      </c>
      <c r="D5367" t="s">
        <v>55</v>
      </c>
      <c r="E5367" t="s">
        <v>2278</v>
      </c>
      <c r="F5367" t="s">
        <v>1247</v>
      </c>
      <c r="G5367" t="s">
        <v>422</v>
      </c>
      <c r="H5367" t="s">
        <v>1323</v>
      </c>
      <c r="I5367" t="s">
        <v>1323</v>
      </c>
      <c r="J5367" t="s">
        <v>60</v>
      </c>
      <c r="K5367" t="s">
        <v>1324</v>
      </c>
      <c r="L5367" t="s">
        <v>62</v>
      </c>
      <c r="M5367" t="s">
        <v>1324</v>
      </c>
      <c r="N5367" t="s">
        <v>425</v>
      </c>
      <c r="O5367" t="s">
        <v>1325</v>
      </c>
      <c r="P5367">
        <v>-20.175142000000001</v>
      </c>
      <c r="Q5367">
        <v>-44.913783000000002</v>
      </c>
      <c r="R5367" s="2" t="str">
        <f>HYPERLINK("https://www.google.com/maps?q=-20.1751420,-44.9137830","Abrir no Google Maps")</f>
        <v>Abrir no Google Maps</v>
      </c>
      <c r="S5367">
        <v>3</v>
      </c>
      <c r="T5367">
        <v>495.73888273066677</v>
      </c>
      <c r="U5367">
        <v>2</v>
      </c>
      <c r="V5367">
        <v>0.88871951219512202</v>
      </c>
      <c r="W5367">
        <v>0.85</v>
      </c>
      <c r="X5367">
        <v>0.75541158536585373</v>
      </c>
      <c r="Y5367">
        <v>723</v>
      </c>
      <c r="Z5367">
        <v>488.51574748236328</v>
      </c>
      <c r="AA5367">
        <v>198</v>
      </c>
      <c r="AB5367">
        <v>332</v>
      </c>
      <c r="AC5367">
        <v>536</v>
      </c>
      <c r="AD5367">
        <v>28.15</v>
      </c>
      <c r="AE5367">
        <v>542</v>
      </c>
      <c r="AF5367">
        <v>21</v>
      </c>
      <c r="AG5367">
        <v>176</v>
      </c>
      <c r="AH5367">
        <v>129</v>
      </c>
      <c r="AI5367">
        <v>3.87</v>
      </c>
      <c r="AJ5367">
        <v>32.47</v>
      </c>
      <c r="AK5367">
        <v>23.8</v>
      </c>
      <c r="AL5367">
        <v>-20.175195199999958</v>
      </c>
      <c r="AM5367">
        <v>-44.913964122548052</v>
      </c>
      <c r="AN5367">
        <v>-20.175195199999958</v>
      </c>
      <c r="AO5367">
        <v>-44.913964122548052</v>
      </c>
      <c r="AP5367">
        <v>-20.175142000000001</v>
      </c>
      <c r="AQ5367">
        <v>-44.913783000000002</v>
      </c>
      <c r="AR5367">
        <v>19.830402633152101</v>
      </c>
      <c r="AS5367" t="s">
        <v>65</v>
      </c>
      <c r="AT5367">
        <v>1</v>
      </c>
      <c r="AU5367" t="s">
        <v>1326</v>
      </c>
      <c r="AV5367" t="s">
        <v>1327</v>
      </c>
      <c r="AW5367" t="s">
        <v>60</v>
      </c>
      <c r="AX5367" t="s">
        <v>68</v>
      </c>
      <c r="AY5367" t="s">
        <v>69</v>
      </c>
      <c r="AZ5367" t="b">
        <v>1</v>
      </c>
    </row>
    <row r="5368" spans="1:52" x14ac:dyDescent="0.3">
      <c r="A5368" t="s">
        <v>52</v>
      </c>
      <c r="B5368" t="s">
        <v>53</v>
      </c>
      <c r="C5368" t="s">
        <v>54</v>
      </c>
      <c r="D5368" t="s">
        <v>55</v>
      </c>
      <c r="E5368" t="s">
        <v>2278</v>
      </c>
      <c r="F5368" t="s">
        <v>1247</v>
      </c>
      <c r="G5368" t="s">
        <v>1328</v>
      </c>
      <c r="H5368" t="s">
        <v>1329</v>
      </c>
      <c r="I5368" t="s">
        <v>1329</v>
      </c>
      <c r="J5368" t="s">
        <v>60</v>
      </c>
      <c r="K5368" t="s">
        <v>1324</v>
      </c>
      <c r="L5368" t="s">
        <v>62</v>
      </c>
      <c r="M5368" t="s">
        <v>1324</v>
      </c>
      <c r="N5368" t="s">
        <v>1330</v>
      </c>
      <c r="O5368" t="s">
        <v>1331</v>
      </c>
      <c r="P5368">
        <v>-20.172984</v>
      </c>
      <c r="Q5368">
        <v>-44.915225999999997</v>
      </c>
      <c r="R5368" s="2" t="str">
        <f>HYPERLINK("https://www.google.com/maps?q=-20.1729840,-44.9152260","Abrir no Google Maps")</f>
        <v>Abrir no Google Maps</v>
      </c>
      <c r="S5368">
        <v>3</v>
      </c>
      <c r="T5368">
        <v>498.21203543103741</v>
      </c>
      <c r="U5368">
        <v>2</v>
      </c>
      <c r="V5368">
        <v>0.90740740740740722</v>
      </c>
      <c r="W5368">
        <v>0.85</v>
      </c>
      <c r="X5368">
        <v>0.77129629629629615</v>
      </c>
      <c r="Y5368">
        <v>723</v>
      </c>
      <c r="Z5368">
        <v>297.36167326949931</v>
      </c>
      <c r="AA5368">
        <v>198</v>
      </c>
      <c r="AB5368">
        <v>332</v>
      </c>
      <c r="AC5368">
        <v>536</v>
      </c>
      <c r="AD5368">
        <v>28.15</v>
      </c>
      <c r="AE5368">
        <v>542</v>
      </c>
      <c r="AF5368">
        <v>21</v>
      </c>
      <c r="AG5368">
        <v>176</v>
      </c>
      <c r="AH5368">
        <v>129</v>
      </c>
      <c r="AI5368">
        <v>3.87</v>
      </c>
      <c r="AJ5368">
        <v>32.47</v>
      </c>
      <c r="AK5368">
        <v>23.8</v>
      </c>
      <c r="AL5368">
        <v>-20.172838899999959</v>
      </c>
      <c r="AM5368">
        <v>-44.915158011603552</v>
      </c>
      <c r="AN5368">
        <v>-20.172838899999959</v>
      </c>
      <c r="AO5368">
        <v>-44.915158011603552</v>
      </c>
      <c r="AP5368">
        <v>-20.172984</v>
      </c>
      <c r="AQ5368">
        <v>-44.915225999999997</v>
      </c>
      <c r="AR5368">
        <v>17.645788305942119</v>
      </c>
      <c r="AS5368" t="s">
        <v>65</v>
      </c>
      <c r="AT5368">
        <v>1</v>
      </c>
      <c r="AU5368" t="s">
        <v>1332</v>
      </c>
      <c r="AV5368" t="s">
        <v>1327</v>
      </c>
      <c r="AW5368" t="s">
        <v>60</v>
      </c>
      <c r="AX5368" t="s">
        <v>68</v>
      </c>
      <c r="AY5368" t="s">
        <v>69</v>
      </c>
      <c r="AZ5368" t="b">
        <v>1</v>
      </c>
    </row>
    <row r="5369" spans="1:52" x14ac:dyDescent="0.3">
      <c r="A5369" t="s">
        <v>52</v>
      </c>
      <c r="B5369" t="s">
        <v>53</v>
      </c>
      <c r="C5369" t="s">
        <v>54</v>
      </c>
      <c r="D5369" t="s">
        <v>55</v>
      </c>
      <c r="E5369" t="s">
        <v>2278</v>
      </c>
      <c r="F5369" t="s">
        <v>1247</v>
      </c>
      <c r="G5369" t="s">
        <v>1333</v>
      </c>
      <c r="H5369" t="s">
        <v>1334</v>
      </c>
      <c r="I5369" t="s">
        <v>1334</v>
      </c>
      <c r="J5369" t="s">
        <v>60</v>
      </c>
      <c r="K5369" t="s">
        <v>437</v>
      </c>
      <c r="L5369" t="s">
        <v>62</v>
      </c>
      <c r="M5369" t="s">
        <v>437</v>
      </c>
      <c r="N5369" t="s">
        <v>1335</v>
      </c>
      <c r="O5369" t="s">
        <v>807</v>
      </c>
      <c r="P5369">
        <v>-20.148</v>
      </c>
      <c r="Q5369">
        <v>-44.880944999999997</v>
      </c>
      <c r="R5369" s="2" t="str">
        <f>HYPERLINK("https://www.google.com/maps?q=-20.1480000,-44.8809450","Abrir no Google Maps")</f>
        <v>Abrir no Google Maps</v>
      </c>
      <c r="S5369">
        <v>3</v>
      </c>
      <c r="T5369">
        <v>0</v>
      </c>
      <c r="U5369">
        <v>2</v>
      </c>
      <c r="V5369">
        <v>0.90216390423572757</v>
      </c>
      <c r="W5369">
        <v>0.85</v>
      </c>
      <c r="X5369">
        <v>0.76683931860036836</v>
      </c>
      <c r="Y5369">
        <v>653</v>
      </c>
      <c r="Z5369">
        <v>108.2792411420544</v>
      </c>
      <c r="AA5369">
        <v>198</v>
      </c>
      <c r="AB5369">
        <v>332</v>
      </c>
      <c r="AC5369">
        <v>536</v>
      </c>
      <c r="AD5369">
        <v>28.15</v>
      </c>
      <c r="AE5369">
        <v>542</v>
      </c>
      <c r="AF5369">
        <v>21</v>
      </c>
      <c r="AG5369">
        <v>176</v>
      </c>
      <c r="AH5369">
        <v>129</v>
      </c>
      <c r="AI5369">
        <v>3.87</v>
      </c>
      <c r="AJ5369">
        <v>32.47</v>
      </c>
      <c r="AK5369">
        <v>23.8</v>
      </c>
      <c r="AL5369">
        <v>-20.14802099999994</v>
      </c>
      <c r="AM5369">
        <v>-44.880951206225959</v>
      </c>
      <c r="AN5369">
        <v>-20.14802099999994</v>
      </c>
      <c r="AO5369">
        <v>-44.880951206225959</v>
      </c>
      <c r="AP5369">
        <v>-20.148</v>
      </c>
      <c r="AQ5369">
        <v>-44.880944999999997</v>
      </c>
      <c r="AR5369">
        <v>2.4260288619737169</v>
      </c>
      <c r="AS5369" t="s">
        <v>65</v>
      </c>
      <c r="AT5369">
        <v>1</v>
      </c>
      <c r="AU5369" t="s">
        <v>1336</v>
      </c>
      <c r="AV5369" t="s">
        <v>1337</v>
      </c>
      <c r="AW5369" t="s">
        <v>60</v>
      </c>
      <c r="AX5369" t="s">
        <v>68</v>
      </c>
      <c r="AY5369" t="s">
        <v>69</v>
      </c>
      <c r="AZ5369" t="b">
        <v>1</v>
      </c>
    </row>
    <row r="5370" spans="1:52" x14ac:dyDescent="0.3">
      <c r="A5370" t="s">
        <v>52</v>
      </c>
      <c r="B5370" t="s">
        <v>53</v>
      </c>
      <c r="C5370" t="s">
        <v>54</v>
      </c>
      <c r="D5370" t="s">
        <v>55</v>
      </c>
      <c r="E5370" t="s">
        <v>2278</v>
      </c>
      <c r="F5370" t="s">
        <v>1247</v>
      </c>
      <c r="G5370" t="s">
        <v>479</v>
      </c>
      <c r="H5370" t="s">
        <v>1338</v>
      </c>
      <c r="I5370" t="s">
        <v>1338</v>
      </c>
      <c r="J5370" t="s">
        <v>60</v>
      </c>
      <c r="K5370" t="s">
        <v>1302</v>
      </c>
      <c r="L5370" t="s">
        <v>62</v>
      </c>
      <c r="M5370" t="s">
        <v>1302</v>
      </c>
      <c r="N5370" t="s">
        <v>481</v>
      </c>
      <c r="O5370" t="s">
        <v>1339</v>
      </c>
      <c r="P5370">
        <v>-20.165590000000002</v>
      </c>
      <c r="Q5370">
        <v>-44.907876000000002</v>
      </c>
      <c r="R5370" s="2" t="str">
        <f>HYPERLINK("https://www.google.com/maps?q=-20.1655900,-44.9078760","Abrir no Google Maps")</f>
        <v>Abrir no Google Maps</v>
      </c>
      <c r="S5370">
        <v>3</v>
      </c>
      <c r="T5370">
        <v>626.07643944893005</v>
      </c>
      <c r="U5370">
        <v>2</v>
      </c>
      <c r="V5370">
        <v>0.91118421052631582</v>
      </c>
      <c r="W5370">
        <v>0.85</v>
      </c>
      <c r="X5370">
        <v>0.77450657894736841</v>
      </c>
      <c r="Y5370">
        <v>639</v>
      </c>
      <c r="Z5370">
        <v>723.2656461789519</v>
      </c>
      <c r="AA5370">
        <v>198</v>
      </c>
      <c r="AB5370">
        <v>332</v>
      </c>
      <c r="AC5370">
        <v>536</v>
      </c>
      <c r="AD5370">
        <v>28.15</v>
      </c>
      <c r="AE5370">
        <v>542</v>
      </c>
      <c r="AF5370">
        <v>21</v>
      </c>
      <c r="AG5370">
        <v>176</v>
      </c>
      <c r="AH5370">
        <v>129</v>
      </c>
      <c r="AI5370">
        <v>3.87</v>
      </c>
      <c r="AJ5370">
        <v>32.47</v>
      </c>
      <c r="AK5370">
        <v>23.8</v>
      </c>
      <c r="AL5370">
        <v>-20.16561419999994</v>
      </c>
      <c r="AM5370">
        <v>-44.907783360572083</v>
      </c>
      <c r="AN5370">
        <v>-20.16561419999994</v>
      </c>
      <c r="AO5370">
        <v>-44.907783360572083</v>
      </c>
      <c r="AP5370">
        <v>-20.165590000000002</v>
      </c>
      <c r="AQ5370">
        <v>-44.907876000000002</v>
      </c>
      <c r="AR5370">
        <v>10.04831364257741</v>
      </c>
      <c r="AS5370" t="s">
        <v>65</v>
      </c>
      <c r="AT5370">
        <v>1</v>
      </c>
      <c r="AU5370" t="s">
        <v>1340</v>
      </c>
      <c r="AV5370" t="s">
        <v>1341</v>
      </c>
      <c r="AW5370" t="s">
        <v>60</v>
      </c>
      <c r="AX5370" t="s">
        <v>68</v>
      </c>
      <c r="AY5370" t="s">
        <v>69</v>
      </c>
      <c r="AZ5370" t="b">
        <v>1</v>
      </c>
    </row>
    <row r="5371" spans="1:52" x14ac:dyDescent="0.3">
      <c r="A5371" t="s">
        <v>52</v>
      </c>
      <c r="B5371" t="s">
        <v>53</v>
      </c>
      <c r="C5371" t="s">
        <v>54</v>
      </c>
      <c r="D5371" t="s">
        <v>55</v>
      </c>
      <c r="E5371" t="s">
        <v>2278</v>
      </c>
      <c r="F5371" t="s">
        <v>1247</v>
      </c>
      <c r="G5371" t="s">
        <v>1342</v>
      </c>
      <c r="H5371" t="s">
        <v>1343</v>
      </c>
      <c r="I5371" t="s">
        <v>1343</v>
      </c>
      <c r="J5371" t="s">
        <v>60</v>
      </c>
      <c r="K5371" t="s">
        <v>462</v>
      </c>
      <c r="L5371" t="s">
        <v>62</v>
      </c>
      <c r="M5371" t="s">
        <v>462</v>
      </c>
      <c r="N5371" t="s">
        <v>921</v>
      </c>
      <c r="O5371" t="s">
        <v>1344</v>
      </c>
      <c r="P5371">
        <v>-20.137526000000001</v>
      </c>
      <c r="Q5371">
        <v>-44.912452999999999</v>
      </c>
      <c r="R5371" s="2" t="str">
        <f>HYPERLINK("https://www.google.com/maps?q=-20.1375260,-44.9124530","Abrir no Google Maps")</f>
        <v>Abrir no Google Maps</v>
      </c>
      <c r="S5371">
        <v>3</v>
      </c>
      <c r="T5371">
        <v>446.95091416730708</v>
      </c>
      <c r="U5371">
        <v>2</v>
      </c>
      <c r="V5371">
        <v>0.91460905349794241</v>
      </c>
      <c r="W5371">
        <v>0.85</v>
      </c>
      <c r="X5371">
        <v>0.77741769547325101</v>
      </c>
      <c r="Y5371">
        <v>581</v>
      </c>
      <c r="Z5371">
        <v>507.4747778269288</v>
      </c>
      <c r="AA5371">
        <v>198</v>
      </c>
      <c r="AB5371">
        <v>332</v>
      </c>
      <c r="AC5371">
        <v>536</v>
      </c>
      <c r="AD5371">
        <v>28.15</v>
      </c>
      <c r="AE5371">
        <v>542</v>
      </c>
      <c r="AF5371">
        <v>21</v>
      </c>
      <c r="AG5371">
        <v>176</v>
      </c>
      <c r="AH5371">
        <v>129</v>
      </c>
      <c r="AI5371">
        <v>3.87</v>
      </c>
      <c r="AJ5371">
        <v>32.47</v>
      </c>
      <c r="AK5371">
        <v>23.8</v>
      </c>
      <c r="AL5371">
        <v>-20.136672649999959</v>
      </c>
      <c r="AM5371">
        <v>-44.911825104396357</v>
      </c>
      <c r="AN5371">
        <v>-20.136672649999959</v>
      </c>
      <c r="AO5371">
        <v>-44.911825104396357</v>
      </c>
      <c r="AP5371">
        <v>-20.137526000000001</v>
      </c>
      <c r="AQ5371">
        <v>-44.912452999999999</v>
      </c>
      <c r="AR5371">
        <v>115.45843265992529</v>
      </c>
      <c r="AS5371" t="s">
        <v>65</v>
      </c>
      <c r="AT5371">
        <v>1</v>
      </c>
      <c r="AU5371" t="s">
        <v>1345</v>
      </c>
      <c r="AV5371" t="s">
        <v>1346</v>
      </c>
      <c r="AW5371" t="s">
        <v>60</v>
      </c>
      <c r="AX5371" t="s">
        <v>68</v>
      </c>
      <c r="AY5371" t="s">
        <v>69</v>
      </c>
      <c r="AZ5371" t="b">
        <v>1</v>
      </c>
    </row>
    <row r="5372" spans="1:52" x14ac:dyDescent="0.3">
      <c r="A5372" t="s">
        <v>52</v>
      </c>
      <c r="B5372" t="s">
        <v>53</v>
      </c>
      <c r="C5372" t="s">
        <v>54</v>
      </c>
      <c r="D5372" t="s">
        <v>55</v>
      </c>
      <c r="E5372" t="s">
        <v>2278</v>
      </c>
      <c r="F5372" t="s">
        <v>1247</v>
      </c>
      <c r="G5372" t="s">
        <v>1347</v>
      </c>
      <c r="H5372" t="s">
        <v>1348</v>
      </c>
      <c r="I5372" t="s">
        <v>1348</v>
      </c>
      <c r="J5372" t="s">
        <v>60</v>
      </c>
      <c r="K5372" t="s">
        <v>1349</v>
      </c>
      <c r="L5372" t="s">
        <v>62</v>
      </c>
      <c r="M5372" t="s">
        <v>1349</v>
      </c>
      <c r="N5372" t="s">
        <v>1350</v>
      </c>
      <c r="O5372" t="s">
        <v>1351</v>
      </c>
      <c r="P5372">
        <v>-20.140426999999999</v>
      </c>
      <c r="Q5372">
        <v>-44.905327999999997</v>
      </c>
      <c r="R5372" s="2" t="str">
        <f>HYPERLINK("https://www.google.com/maps?q=-20.1404270,-44.9053280","Abrir no Google Maps")</f>
        <v>Abrir no Google Maps</v>
      </c>
      <c r="S5372">
        <v>3</v>
      </c>
      <c r="T5372">
        <v>359.5810968231857</v>
      </c>
      <c r="U5372">
        <v>2</v>
      </c>
      <c r="V5372">
        <v>0.947072072072072</v>
      </c>
      <c r="W5372">
        <v>0.85</v>
      </c>
      <c r="X5372">
        <v>0.80501126126126121</v>
      </c>
      <c r="Y5372">
        <v>581</v>
      </c>
      <c r="Z5372">
        <v>292.370097058873</v>
      </c>
      <c r="AA5372">
        <v>198</v>
      </c>
      <c r="AB5372">
        <v>332</v>
      </c>
      <c r="AC5372">
        <v>536</v>
      </c>
      <c r="AD5372">
        <v>28.15</v>
      </c>
      <c r="AE5372">
        <v>542</v>
      </c>
      <c r="AF5372">
        <v>21</v>
      </c>
      <c r="AG5372">
        <v>176</v>
      </c>
      <c r="AH5372">
        <v>129</v>
      </c>
      <c r="AI5372">
        <v>3.87</v>
      </c>
      <c r="AJ5372">
        <v>32.47</v>
      </c>
      <c r="AK5372">
        <v>23.8</v>
      </c>
      <c r="AL5372">
        <v>-20.140465449999969</v>
      </c>
      <c r="AM5372">
        <v>-44.905317129037229</v>
      </c>
      <c r="AN5372">
        <v>-20.140465449999969</v>
      </c>
      <c r="AO5372">
        <v>-44.905317129037229</v>
      </c>
      <c r="AP5372">
        <v>-20.140426999999999</v>
      </c>
      <c r="AQ5372">
        <v>-44.905327999999997</v>
      </c>
      <c r="AR5372">
        <v>4.4284788644958706</v>
      </c>
      <c r="AS5372" t="s">
        <v>65</v>
      </c>
      <c r="AT5372">
        <v>1</v>
      </c>
      <c r="AU5372" t="s">
        <v>1352</v>
      </c>
      <c r="AV5372" t="s">
        <v>1353</v>
      </c>
      <c r="AW5372" t="s">
        <v>60</v>
      </c>
      <c r="AX5372" t="s">
        <v>68</v>
      </c>
      <c r="AY5372" t="s">
        <v>69</v>
      </c>
      <c r="AZ5372" t="b">
        <v>1</v>
      </c>
    </row>
    <row r="5373" spans="1:52" x14ac:dyDescent="0.3">
      <c r="A5373" t="s">
        <v>52</v>
      </c>
      <c r="B5373" t="s">
        <v>53</v>
      </c>
      <c r="C5373" t="s">
        <v>54</v>
      </c>
      <c r="D5373" t="s">
        <v>55</v>
      </c>
      <c r="E5373" t="s">
        <v>2278</v>
      </c>
      <c r="F5373" t="s">
        <v>1247</v>
      </c>
      <c r="G5373" t="s">
        <v>1354</v>
      </c>
      <c r="H5373" t="s">
        <v>1355</v>
      </c>
      <c r="I5373" t="s">
        <v>1355</v>
      </c>
      <c r="J5373" t="s">
        <v>60</v>
      </c>
      <c r="K5373" t="s">
        <v>1356</v>
      </c>
      <c r="L5373" t="s">
        <v>62</v>
      </c>
      <c r="M5373" t="s">
        <v>1356</v>
      </c>
      <c r="N5373" t="s">
        <v>1357</v>
      </c>
      <c r="O5373" t="s">
        <v>315</v>
      </c>
      <c r="P5373">
        <v>-20.132080999999999</v>
      </c>
      <c r="Q5373">
        <v>-44.908614</v>
      </c>
      <c r="R5373" s="2" t="str">
        <f>HYPERLINK("https://www.google.com/maps?q=-20.1320810,-44.9086140","Abrir no Google Maps")</f>
        <v>Abrir no Google Maps</v>
      </c>
      <c r="S5373">
        <v>3</v>
      </c>
      <c r="T5373">
        <v>701.02570959373259</v>
      </c>
      <c r="U5373">
        <v>2</v>
      </c>
      <c r="V5373">
        <v>0.87983870967741939</v>
      </c>
      <c r="W5373">
        <v>0.85</v>
      </c>
      <c r="X5373">
        <v>0.74786290322580651</v>
      </c>
      <c r="Y5373">
        <v>581</v>
      </c>
      <c r="Z5373">
        <v>811.38061352229215</v>
      </c>
      <c r="AA5373">
        <v>198</v>
      </c>
      <c r="AB5373">
        <v>332</v>
      </c>
      <c r="AC5373">
        <v>536</v>
      </c>
      <c r="AD5373">
        <v>28.15</v>
      </c>
      <c r="AE5373">
        <v>542</v>
      </c>
      <c r="AF5373">
        <v>21</v>
      </c>
      <c r="AG5373">
        <v>176</v>
      </c>
      <c r="AH5373">
        <v>129</v>
      </c>
      <c r="AI5373">
        <v>3.87</v>
      </c>
      <c r="AJ5373">
        <v>32.47</v>
      </c>
      <c r="AK5373">
        <v>23.8</v>
      </c>
      <c r="AL5373">
        <v>-20.132063499999951</v>
      </c>
      <c r="AM5373">
        <v>-44.908630454878519</v>
      </c>
      <c r="AN5373">
        <v>-20.132063499999951</v>
      </c>
      <c r="AO5373">
        <v>-44.908630454878519</v>
      </c>
      <c r="AP5373">
        <v>-20.132080999999999</v>
      </c>
      <c r="AQ5373">
        <v>-44.908614</v>
      </c>
      <c r="AR5373">
        <v>2.5986425761911551</v>
      </c>
      <c r="AS5373" t="s">
        <v>65</v>
      </c>
      <c r="AT5373">
        <v>1</v>
      </c>
      <c r="AU5373" t="s">
        <v>1358</v>
      </c>
      <c r="AV5373" t="s">
        <v>1359</v>
      </c>
      <c r="AW5373" t="s">
        <v>60</v>
      </c>
      <c r="AX5373" t="s">
        <v>68</v>
      </c>
      <c r="AY5373" t="s">
        <v>69</v>
      </c>
      <c r="AZ5373" t="b">
        <v>1</v>
      </c>
    </row>
    <row r="5374" spans="1:52" x14ac:dyDescent="0.3">
      <c r="A5374" t="s">
        <v>52</v>
      </c>
      <c r="B5374" t="s">
        <v>53</v>
      </c>
      <c r="C5374" t="s">
        <v>54</v>
      </c>
      <c r="D5374" t="s">
        <v>55</v>
      </c>
      <c r="E5374" t="s">
        <v>2278</v>
      </c>
      <c r="F5374" t="s">
        <v>1247</v>
      </c>
      <c r="G5374" t="s">
        <v>858</v>
      </c>
      <c r="H5374" t="s">
        <v>1360</v>
      </c>
      <c r="I5374" t="s">
        <v>1360</v>
      </c>
      <c r="J5374" t="s">
        <v>60</v>
      </c>
      <c r="K5374" t="s">
        <v>1356</v>
      </c>
      <c r="L5374" t="s">
        <v>62</v>
      </c>
      <c r="M5374" t="s">
        <v>1356</v>
      </c>
      <c r="N5374" t="s">
        <v>860</v>
      </c>
      <c r="O5374" t="s">
        <v>1361</v>
      </c>
      <c r="P5374">
        <v>-20.134969000000002</v>
      </c>
      <c r="Q5374">
        <v>-44.909384000000003</v>
      </c>
      <c r="R5374" s="2" t="str">
        <f>HYPERLINK("https://www.google.com/maps?q=-20.1349690,-44.9093840","Abrir no Google Maps")</f>
        <v>Abrir no Google Maps</v>
      </c>
      <c r="S5374">
        <v>3</v>
      </c>
      <c r="T5374">
        <v>413.6655911675532</v>
      </c>
      <c r="U5374">
        <v>2</v>
      </c>
      <c r="V5374">
        <v>0.90950920245398759</v>
      </c>
      <c r="W5374">
        <v>0.85</v>
      </c>
      <c r="X5374">
        <v>0.77308282208588941</v>
      </c>
      <c r="Y5374">
        <v>581</v>
      </c>
      <c r="Z5374">
        <v>555.30228470489919</v>
      </c>
      <c r="AA5374">
        <v>198</v>
      </c>
      <c r="AB5374">
        <v>332</v>
      </c>
      <c r="AC5374">
        <v>536</v>
      </c>
      <c r="AD5374">
        <v>28.15</v>
      </c>
      <c r="AE5374">
        <v>542</v>
      </c>
      <c r="AF5374">
        <v>21</v>
      </c>
      <c r="AG5374">
        <v>176</v>
      </c>
      <c r="AH5374">
        <v>129</v>
      </c>
      <c r="AI5374">
        <v>3.87</v>
      </c>
      <c r="AJ5374">
        <v>32.47</v>
      </c>
      <c r="AK5374">
        <v>23.8</v>
      </c>
      <c r="AL5374">
        <v>-20.134922099999951</v>
      </c>
      <c r="AM5374">
        <v>-44.909483975879112</v>
      </c>
      <c r="AN5374">
        <v>-20.134922099999951</v>
      </c>
      <c r="AO5374">
        <v>-44.909483975879112</v>
      </c>
      <c r="AP5374">
        <v>-20.134969000000002</v>
      </c>
      <c r="AQ5374">
        <v>-44.909384000000003</v>
      </c>
      <c r="AR5374">
        <v>11.68085867639515</v>
      </c>
      <c r="AS5374" t="s">
        <v>65</v>
      </c>
      <c r="AT5374">
        <v>1</v>
      </c>
      <c r="AU5374" t="s">
        <v>1362</v>
      </c>
      <c r="AV5374" t="s">
        <v>1363</v>
      </c>
      <c r="AW5374" t="s">
        <v>60</v>
      </c>
      <c r="AX5374" t="s">
        <v>68</v>
      </c>
      <c r="AY5374" t="s">
        <v>69</v>
      </c>
      <c r="AZ5374" t="b">
        <v>1</v>
      </c>
    </row>
    <row r="5375" spans="1:52" x14ac:dyDescent="0.3">
      <c r="A5375" t="s">
        <v>52</v>
      </c>
      <c r="B5375" t="s">
        <v>53</v>
      </c>
      <c r="C5375" t="s">
        <v>54</v>
      </c>
      <c r="D5375" t="s">
        <v>55</v>
      </c>
      <c r="E5375" t="s">
        <v>2278</v>
      </c>
      <c r="F5375" t="s">
        <v>1247</v>
      </c>
      <c r="G5375" t="s">
        <v>1364</v>
      </c>
      <c r="H5375" t="s">
        <v>1365</v>
      </c>
      <c r="I5375" t="s">
        <v>1365</v>
      </c>
      <c r="J5375" t="s">
        <v>60</v>
      </c>
      <c r="K5375" t="s">
        <v>1356</v>
      </c>
      <c r="L5375" t="s">
        <v>62</v>
      </c>
      <c r="M5375" t="s">
        <v>1356</v>
      </c>
      <c r="N5375" t="s">
        <v>1366</v>
      </c>
      <c r="O5375" t="s">
        <v>548</v>
      </c>
      <c r="P5375">
        <v>-20.131240999999999</v>
      </c>
      <c r="Q5375">
        <v>-44.910567999999998</v>
      </c>
      <c r="R5375" s="2" t="str">
        <f>HYPERLINK("https://www.google.com/maps?q=-20.1312410,-44.9105680","Abrir no Google Maps")</f>
        <v>Abrir no Google Maps</v>
      </c>
      <c r="S5375">
        <v>3</v>
      </c>
      <c r="T5375">
        <v>822.61354861726704</v>
      </c>
      <c r="U5375">
        <v>2</v>
      </c>
      <c r="V5375">
        <v>0.88440860215053763</v>
      </c>
      <c r="W5375">
        <v>0.85</v>
      </c>
      <c r="X5375">
        <v>0.75174731182795695</v>
      </c>
      <c r="Y5375">
        <v>581</v>
      </c>
      <c r="Z5375">
        <v>982.3990834787046</v>
      </c>
      <c r="AA5375">
        <v>198</v>
      </c>
      <c r="AB5375">
        <v>332</v>
      </c>
      <c r="AC5375">
        <v>536</v>
      </c>
      <c r="AD5375">
        <v>28.15</v>
      </c>
      <c r="AE5375">
        <v>542</v>
      </c>
      <c r="AF5375">
        <v>21</v>
      </c>
      <c r="AG5375">
        <v>176</v>
      </c>
      <c r="AH5375">
        <v>129</v>
      </c>
      <c r="AI5375">
        <v>3.87</v>
      </c>
      <c r="AJ5375">
        <v>32.47</v>
      </c>
      <c r="AK5375">
        <v>23.8</v>
      </c>
      <c r="AL5375">
        <v>-20.131367099999981</v>
      </c>
      <c r="AM5375">
        <v>-44.910597350758543</v>
      </c>
      <c r="AN5375">
        <v>-20.131367099999981</v>
      </c>
      <c r="AO5375">
        <v>-44.910597350758543</v>
      </c>
      <c r="AP5375">
        <v>-20.131240999999999</v>
      </c>
      <c r="AQ5375">
        <v>-44.910567999999998</v>
      </c>
      <c r="AR5375">
        <v>14.36874794070623</v>
      </c>
      <c r="AS5375" t="s">
        <v>65</v>
      </c>
      <c r="AT5375">
        <v>1</v>
      </c>
      <c r="AU5375" t="s">
        <v>1367</v>
      </c>
      <c r="AV5375" t="s">
        <v>1368</v>
      </c>
      <c r="AW5375" t="s">
        <v>60</v>
      </c>
      <c r="AX5375" t="s">
        <v>68</v>
      </c>
      <c r="AY5375" t="s">
        <v>69</v>
      </c>
      <c r="AZ5375" t="b">
        <v>1</v>
      </c>
    </row>
    <row r="5376" spans="1:52" x14ac:dyDescent="0.3">
      <c r="A5376" t="s">
        <v>52</v>
      </c>
      <c r="B5376" t="s">
        <v>53</v>
      </c>
      <c r="C5376" t="s">
        <v>54</v>
      </c>
      <c r="D5376" t="s">
        <v>55</v>
      </c>
      <c r="E5376" t="s">
        <v>2278</v>
      </c>
      <c r="F5376" t="s">
        <v>1247</v>
      </c>
      <c r="G5376" t="s">
        <v>1300</v>
      </c>
      <c r="H5376" t="s">
        <v>1372</v>
      </c>
      <c r="I5376" t="s">
        <v>1372</v>
      </c>
      <c r="J5376" t="s">
        <v>60</v>
      </c>
      <c r="K5376" t="s">
        <v>486</v>
      </c>
      <c r="L5376" t="s">
        <v>62</v>
      </c>
      <c r="M5376" t="s">
        <v>486</v>
      </c>
      <c r="N5376" t="s">
        <v>1303</v>
      </c>
      <c r="O5376" t="s">
        <v>1373</v>
      </c>
      <c r="P5376">
        <v>-20.170458</v>
      </c>
      <c r="Q5376">
        <v>-44.900936000000002</v>
      </c>
      <c r="R5376" s="2" t="str">
        <f>HYPERLINK("https://www.google.com/maps?q=-20.1704580,-44.9009360","Abrir no Google Maps")</f>
        <v>Abrir no Google Maps</v>
      </c>
      <c r="S5376">
        <v>3</v>
      </c>
      <c r="T5376">
        <v>470.55793133653339</v>
      </c>
      <c r="U5376">
        <v>2</v>
      </c>
      <c r="V5376">
        <v>0.91433566433566438</v>
      </c>
      <c r="W5376">
        <v>0.85</v>
      </c>
      <c r="X5376">
        <v>0.77718531468531471</v>
      </c>
      <c r="Y5376">
        <v>578</v>
      </c>
      <c r="Z5376">
        <v>645.48909402437766</v>
      </c>
      <c r="AA5376">
        <v>198</v>
      </c>
      <c r="AB5376">
        <v>332</v>
      </c>
      <c r="AC5376">
        <v>536</v>
      </c>
      <c r="AD5376">
        <v>28.15</v>
      </c>
      <c r="AE5376">
        <v>542</v>
      </c>
      <c r="AF5376">
        <v>21</v>
      </c>
      <c r="AG5376">
        <v>176</v>
      </c>
      <c r="AH5376">
        <v>129</v>
      </c>
      <c r="AI5376">
        <v>3.87</v>
      </c>
      <c r="AJ5376">
        <v>32.47</v>
      </c>
      <c r="AK5376">
        <v>23.8</v>
      </c>
      <c r="AL5376">
        <v>-20.17025029999996</v>
      </c>
      <c r="AM5376">
        <v>-44.901067235372473</v>
      </c>
      <c r="AN5376">
        <v>-20.17025029999996</v>
      </c>
      <c r="AO5376">
        <v>-44.901067235372473</v>
      </c>
      <c r="AP5376">
        <v>-20.170458</v>
      </c>
      <c r="AQ5376">
        <v>-44.900936000000002</v>
      </c>
      <c r="AR5376">
        <v>26.88195352459519</v>
      </c>
      <c r="AS5376" t="s">
        <v>65</v>
      </c>
      <c r="AT5376">
        <v>1</v>
      </c>
      <c r="AU5376" t="s">
        <v>1374</v>
      </c>
      <c r="AV5376" t="s">
        <v>1375</v>
      </c>
      <c r="AW5376" t="s">
        <v>60</v>
      </c>
      <c r="AX5376" t="s">
        <v>68</v>
      </c>
      <c r="AY5376" t="s">
        <v>69</v>
      </c>
      <c r="AZ5376" t="b">
        <v>1</v>
      </c>
    </row>
    <row r="5377" spans="1:52" x14ac:dyDescent="0.3">
      <c r="A5377" t="s">
        <v>52</v>
      </c>
      <c r="B5377" t="s">
        <v>53</v>
      </c>
      <c r="C5377" t="s">
        <v>54</v>
      </c>
      <c r="D5377" t="s">
        <v>55</v>
      </c>
      <c r="E5377" t="s">
        <v>2278</v>
      </c>
      <c r="F5377" t="s">
        <v>1247</v>
      </c>
      <c r="G5377" t="s">
        <v>1376</v>
      </c>
      <c r="H5377" t="s">
        <v>1377</v>
      </c>
      <c r="I5377" t="s">
        <v>1377</v>
      </c>
      <c r="J5377" t="s">
        <v>60</v>
      </c>
      <c r="K5377" t="s">
        <v>475</v>
      </c>
      <c r="L5377" t="s">
        <v>62</v>
      </c>
      <c r="M5377" t="s">
        <v>475</v>
      </c>
      <c r="N5377" t="s">
        <v>1378</v>
      </c>
      <c r="O5377" t="s">
        <v>1379</v>
      </c>
      <c r="P5377">
        <v>-20.175298000000002</v>
      </c>
      <c r="Q5377">
        <v>-44.904794000000003</v>
      </c>
      <c r="R5377" s="2" t="str">
        <f>HYPERLINK("https://www.google.com/maps?q=-20.1752980,-44.9047940","Abrir no Google Maps")</f>
        <v>Abrir no Google Maps</v>
      </c>
      <c r="S5377">
        <v>3</v>
      </c>
      <c r="T5377">
        <v>497.7557906927301</v>
      </c>
      <c r="U5377">
        <v>2</v>
      </c>
      <c r="V5377">
        <v>0.8801679586563308</v>
      </c>
      <c r="W5377">
        <v>0.85</v>
      </c>
      <c r="X5377">
        <v>0.74814276485788112</v>
      </c>
      <c r="Y5377">
        <v>578</v>
      </c>
      <c r="Z5377">
        <v>363.80816567363502</v>
      </c>
      <c r="AA5377">
        <v>198</v>
      </c>
      <c r="AB5377">
        <v>332</v>
      </c>
      <c r="AC5377">
        <v>536</v>
      </c>
      <c r="AD5377">
        <v>28.15</v>
      </c>
      <c r="AE5377">
        <v>542</v>
      </c>
      <c r="AF5377">
        <v>21</v>
      </c>
      <c r="AG5377">
        <v>176</v>
      </c>
      <c r="AH5377">
        <v>129</v>
      </c>
      <c r="AI5377">
        <v>3.87</v>
      </c>
      <c r="AJ5377">
        <v>32.47</v>
      </c>
      <c r="AK5377">
        <v>23.8</v>
      </c>
      <c r="AL5377">
        <v>-20.17530484999995</v>
      </c>
      <c r="AM5377">
        <v>-44.904834224351781</v>
      </c>
      <c r="AN5377">
        <v>-20.17530484999995</v>
      </c>
      <c r="AO5377">
        <v>-44.904834224351781</v>
      </c>
      <c r="AP5377">
        <v>-20.175298000000002</v>
      </c>
      <c r="AQ5377">
        <v>-44.904794000000003</v>
      </c>
      <c r="AR5377">
        <v>4.2716392411563806</v>
      </c>
      <c r="AS5377" t="s">
        <v>65</v>
      </c>
      <c r="AT5377">
        <v>1</v>
      </c>
      <c r="AU5377" t="s">
        <v>1380</v>
      </c>
      <c r="AV5377" t="s">
        <v>1381</v>
      </c>
      <c r="AW5377" t="s">
        <v>60</v>
      </c>
      <c r="AX5377" t="s">
        <v>68</v>
      </c>
      <c r="AY5377" t="s">
        <v>69</v>
      </c>
      <c r="AZ5377" t="b">
        <v>1</v>
      </c>
    </row>
    <row r="5378" spans="1:52" x14ac:dyDescent="0.3">
      <c r="A5378" t="s">
        <v>52</v>
      </c>
      <c r="B5378" t="s">
        <v>53</v>
      </c>
      <c r="C5378" t="s">
        <v>54</v>
      </c>
      <c r="D5378" t="s">
        <v>55</v>
      </c>
      <c r="E5378" t="s">
        <v>2278</v>
      </c>
      <c r="F5378" t="s">
        <v>1247</v>
      </c>
      <c r="G5378" t="s">
        <v>1382</v>
      </c>
      <c r="H5378" t="s">
        <v>1383</v>
      </c>
      <c r="I5378" t="s">
        <v>1383</v>
      </c>
      <c r="J5378" t="s">
        <v>60</v>
      </c>
      <c r="K5378" t="s">
        <v>1384</v>
      </c>
      <c r="L5378" t="s">
        <v>62</v>
      </c>
      <c r="M5378" t="s">
        <v>1384</v>
      </c>
      <c r="N5378" t="s">
        <v>1385</v>
      </c>
      <c r="O5378" t="s">
        <v>1379</v>
      </c>
      <c r="P5378">
        <v>-20.168914999999998</v>
      </c>
      <c r="Q5378">
        <v>-44.897015000000003</v>
      </c>
      <c r="R5378" s="2" t="str">
        <f>HYPERLINK("https://www.google.com/maps?q=-20.1689150,-44.8970150","Abrir no Google Maps")</f>
        <v>Abrir no Google Maps</v>
      </c>
      <c r="S5378">
        <v>3</v>
      </c>
      <c r="T5378">
        <v>1082.4313448281291</v>
      </c>
      <c r="U5378">
        <v>2</v>
      </c>
      <c r="V5378">
        <v>0.87318840579710144</v>
      </c>
      <c r="W5378">
        <v>0.85</v>
      </c>
      <c r="X5378">
        <v>0.74221014492753623</v>
      </c>
      <c r="Y5378">
        <v>578</v>
      </c>
      <c r="Z5378">
        <v>1085.6751638476369</v>
      </c>
      <c r="AA5378">
        <v>198</v>
      </c>
      <c r="AB5378">
        <v>332</v>
      </c>
      <c r="AC5378">
        <v>536</v>
      </c>
      <c r="AD5378">
        <v>28.15</v>
      </c>
      <c r="AE5378">
        <v>542</v>
      </c>
      <c r="AF5378">
        <v>21</v>
      </c>
      <c r="AG5378">
        <v>176</v>
      </c>
      <c r="AH5378">
        <v>129</v>
      </c>
      <c r="AI5378">
        <v>3.87</v>
      </c>
      <c r="AJ5378">
        <v>32.47</v>
      </c>
      <c r="AK5378">
        <v>23.8</v>
      </c>
      <c r="AL5378">
        <v>-20.168195549999979</v>
      </c>
      <c r="AM5378">
        <v>-44.895555997240763</v>
      </c>
      <c r="AN5378">
        <v>-20.168195549999979</v>
      </c>
      <c r="AO5378">
        <v>-44.895555997240763</v>
      </c>
      <c r="AP5378">
        <v>-20.168914999999998</v>
      </c>
      <c r="AQ5378">
        <v>-44.897015000000003</v>
      </c>
      <c r="AR5378">
        <v>172.21377736735809</v>
      </c>
      <c r="AS5378" t="s">
        <v>65</v>
      </c>
      <c r="AT5378">
        <v>1</v>
      </c>
      <c r="AU5378" t="s">
        <v>1386</v>
      </c>
      <c r="AV5378" t="s">
        <v>1387</v>
      </c>
      <c r="AW5378" t="s">
        <v>60</v>
      </c>
      <c r="AX5378" t="s">
        <v>68</v>
      </c>
      <c r="AY5378" t="s">
        <v>69</v>
      </c>
      <c r="AZ5378" t="b">
        <v>1</v>
      </c>
    </row>
    <row r="5379" spans="1:52" x14ac:dyDescent="0.3">
      <c r="A5379" t="s">
        <v>52</v>
      </c>
      <c r="B5379" t="s">
        <v>53</v>
      </c>
      <c r="C5379" t="s">
        <v>54</v>
      </c>
      <c r="D5379" t="s">
        <v>55</v>
      </c>
      <c r="E5379" t="s">
        <v>2278</v>
      </c>
      <c r="F5379" t="s">
        <v>1247</v>
      </c>
      <c r="G5379" t="s">
        <v>1393</v>
      </c>
      <c r="H5379" t="s">
        <v>1394</v>
      </c>
      <c r="I5379" t="s">
        <v>1394</v>
      </c>
      <c r="J5379" t="s">
        <v>60</v>
      </c>
      <c r="K5379" t="s">
        <v>388</v>
      </c>
      <c r="L5379" t="s">
        <v>62</v>
      </c>
      <c r="M5379" t="s">
        <v>388</v>
      </c>
      <c r="N5379" t="s">
        <v>1395</v>
      </c>
      <c r="O5379" t="s">
        <v>1396</v>
      </c>
      <c r="P5379">
        <v>-20.167425000000001</v>
      </c>
      <c r="Q5379">
        <v>-44.907733999999998</v>
      </c>
      <c r="R5379" s="2" t="str">
        <f>HYPERLINK("https://www.google.com/maps?q=-20.1674250,-44.9077340","Abrir no Google Maps")</f>
        <v>Abrir no Google Maps</v>
      </c>
      <c r="S5379">
        <v>3</v>
      </c>
      <c r="T5379">
        <v>424.62372109792739</v>
      </c>
      <c r="U5379">
        <v>2</v>
      </c>
      <c r="V5379">
        <v>0.91471962616822444</v>
      </c>
      <c r="W5379">
        <v>0.85</v>
      </c>
      <c r="X5379">
        <v>0.77751168224299072</v>
      </c>
      <c r="Y5379">
        <v>578</v>
      </c>
      <c r="Z5379">
        <v>559.08337206965382</v>
      </c>
      <c r="AA5379">
        <v>198</v>
      </c>
      <c r="AB5379">
        <v>332</v>
      </c>
      <c r="AC5379">
        <v>536</v>
      </c>
      <c r="AD5379">
        <v>28.15</v>
      </c>
      <c r="AE5379">
        <v>542</v>
      </c>
      <c r="AF5379">
        <v>21</v>
      </c>
      <c r="AG5379">
        <v>176</v>
      </c>
      <c r="AH5379">
        <v>129</v>
      </c>
      <c r="AI5379">
        <v>3.87</v>
      </c>
      <c r="AJ5379">
        <v>32.47</v>
      </c>
      <c r="AK5379">
        <v>23.8</v>
      </c>
      <c r="AL5379">
        <v>-20.167592099999951</v>
      </c>
      <c r="AM5379">
        <v>-44.907664214502859</v>
      </c>
      <c r="AN5379">
        <v>-20.167592099999951</v>
      </c>
      <c r="AO5379">
        <v>-44.907664214502859</v>
      </c>
      <c r="AP5379">
        <v>-20.167425000000001</v>
      </c>
      <c r="AQ5379">
        <v>-44.907733999999998</v>
      </c>
      <c r="AR5379">
        <v>19.979863459652229</v>
      </c>
      <c r="AS5379" t="s">
        <v>65</v>
      </c>
      <c r="AT5379">
        <v>1</v>
      </c>
      <c r="AU5379" t="s">
        <v>1397</v>
      </c>
      <c r="AV5379" t="s">
        <v>1398</v>
      </c>
      <c r="AW5379" t="s">
        <v>60</v>
      </c>
      <c r="AX5379" t="s">
        <v>68</v>
      </c>
      <c r="AY5379" t="s">
        <v>69</v>
      </c>
      <c r="AZ5379" t="b">
        <v>1</v>
      </c>
    </row>
    <row r="5380" spans="1:52" x14ac:dyDescent="0.3">
      <c r="A5380" t="s">
        <v>52</v>
      </c>
      <c r="B5380" t="s">
        <v>53</v>
      </c>
      <c r="C5380" t="s">
        <v>54</v>
      </c>
      <c r="D5380" t="s">
        <v>55</v>
      </c>
      <c r="E5380" t="s">
        <v>2278</v>
      </c>
      <c r="F5380" t="s">
        <v>1247</v>
      </c>
      <c r="G5380" t="s">
        <v>815</v>
      </c>
      <c r="H5380" t="s">
        <v>1404</v>
      </c>
      <c r="I5380" t="s">
        <v>1404</v>
      </c>
      <c r="J5380" t="s">
        <v>60</v>
      </c>
      <c r="K5380" t="s">
        <v>512</v>
      </c>
      <c r="L5380" t="s">
        <v>62</v>
      </c>
      <c r="M5380" t="s">
        <v>512</v>
      </c>
      <c r="N5380" t="s">
        <v>817</v>
      </c>
      <c r="O5380" t="s">
        <v>1405</v>
      </c>
      <c r="P5380">
        <v>-20.129069999999999</v>
      </c>
      <c r="Q5380">
        <v>-44.888452000000001</v>
      </c>
      <c r="R5380" s="2" t="str">
        <f>HYPERLINK("https://www.google.com/maps?q=-20.1290700,-44.8884520","Abrir no Google Maps")</f>
        <v>Abrir no Google Maps</v>
      </c>
      <c r="S5380">
        <v>3</v>
      </c>
      <c r="T5380">
        <v>0</v>
      </c>
      <c r="U5380">
        <v>2</v>
      </c>
      <c r="V5380">
        <v>0.92037037037037039</v>
      </c>
      <c r="W5380">
        <v>0.85</v>
      </c>
      <c r="X5380">
        <v>0.7823148148148148</v>
      </c>
      <c r="Y5380">
        <v>564</v>
      </c>
      <c r="Z5380">
        <v>95.870354837220688</v>
      </c>
      <c r="AA5380">
        <v>198</v>
      </c>
      <c r="AB5380">
        <v>332</v>
      </c>
      <c r="AC5380">
        <v>536</v>
      </c>
      <c r="AD5380">
        <v>28.15</v>
      </c>
      <c r="AE5380">
        <v>542</v>
      </c>
      <c r="AF5380">
        <v>21</v>
      </c>
      <c r="AG5380">
        <v>176</v>
      </c>
      <c r="AH5380">
        <v>129</v>
      </c>
      <c r="AI5380">
        <v>3.87</v>
      </c>
      <c r="AJ5380">
        <v>32.47</v>
      </c>
      <c r="AK5380">
        <v>23.8</v>
      </c>
      <c r="AL5380">
        <v>-20.12899334999997</v>
      </c>
      <c r="AM5380">
        <v>-44.888406102471222</v>
      </c>
      <c r="AN5380">
        <v>-20.12899334999997</v>
      </c>
      <c r="AO5380">
        <v>-44.888406102471222</v>
      </c>
      <c r="AP5380">
        <v>-20.129069999999999</v>
      </c>
      <c r="AQ5380">
        <v>-44.888452000000001</v>
      </c>
      <c r="AR5380">
        <v>9.7887731150376265</v>
      </c>
      <c r="AS5380" t="s">
        <v>65</v>
      </c>
      <c r="AT5380">
        <v>1</v>
      </c>
      <c r="AU5380" t="s">
        <v>1406</v>
      </c>
      <c r="AV5380" t="s">
        <v>1407</v>
      </c>
      <c r="AW5380" t="s">
        <v>60</v>
      </c>
      <c r="AX5380" t="s">
        <v>68</v>
      </c>
      <c r="AY5380" t="s">
        <v>69</v>
      </c>
      <c r="AZ5380" t="b">
        <v>1</v>
      </c>
    </row>
    <row r="5381" spans="1:52" x14ac:dyDescent="0.3">
      <c r="A5381" t="s">
        <v>52</v>
      </c>
      <c r="B5381" t="s">
        <v>53</v>
      </c>
      <c r="C5381" t="s">
        <v>54</v>
      </c>
      <c r="D5381" t="s">
        <v>55</v>
      </c>
      <c r="E5381" t="s">
        <v>2278</v>
      </c>
      <c r="F5381" t="s">
        <v>1247</v>
      </c>
      <c r="G5381" t="s">
        <v>1429</v>
      </c>
      <c r="H5381" t="s">
        <v>1430</v>
      </c>
      <c r="I5381" t="s">
        <v>1430</v>
      </c>
      <c r="J5381" t="s">
        <v>60</v>
      </c>
      <c r="K5381" t="s">
        <v>505</v>
      </c>
      <c r="L5381" t="s">
        <v>62</v>
      </c>
      <c r="M5381" t="s">
        <v>505</v>
      </c>
      <c r="N5381" t="s">
        <v>1431</v>
      </c>
      <c r="O5381" t="s">
        <v>1432</v>
      </c>
      <c r="P5381">
        <v>-20.132069000000001</v>
      </c>
      <c r="Q5381">
        <v>-44.891694000000001</v>
      </c>
      <c r="R5381" s="2" t="str">
        <f>HYPERLINK("https://www.google.com/maps?q=-20.1320690,-44.8916940","Abrir no Google Maps")</f>
        <v>Abrir no Google Maps</v>
      </c>
      <c r="S5381">
        <v>3</v>
      </c>
      <c r="T5381">
        <v>463.84477613866852</v>
      </c>
      <c r="U5381">
        <v>2</v>
      </c>
      <c r="V5381">
        <v>0.89381720430107525</v>
      </c>
      <c r="W5381">
        <v>0.85</v>
      </c>
      <c r="X5381">
        <v>0.759744623655914</v>
      </c>
      <c r="Y5381">
        <v>564</v>
      </c>
      <c r="Z5381">
        <v>349.6044774510159</v>
      </c>
      <c r="AA5381">
        <v>198</v>
      </c>
      <c r="AB5381">
        <v>332</v>
      </c>
      <c r="AC5381">
        <v>536</v>
      </c>
      <c r="AD5381">
        <v>28.15</v>
      </c>
      <c r="AE5381">
        <v>542</v>
      </c>
      <c r="AF5381">
        <v>21</v>
      </c>
      <c r="AG5381">
        <v>176</v>
      </c>
      <c r="AH5381">
        <v>129</v>
      </c>
      <c r="AI5381">
        <v>3.87</v>
      </c>
      <c r="AJ5381">
        <v>32.47</v>
      </c>
      <c r="AK5381">
        <v>23.8</v>
      </c>
      <c r="AL5381">
        <v>-20.131860799999941</v>
      </c>
      <c r="AM5381">
        <v>-44.891643045551348</v>
      </c>
      <c r="AN5381">
        <v>-20.131860799999941</v>
      </c>
      <c r="AO5381">
        <v>-44.891643045551348</v>
      </c>
      <c r="AP5381">
        <v>-20.132069000000001</v>
      </c>
      <c r="AQ5381">
        <v>-44.891694000000001</v>
      </c>
      <c r="AR5381">
        <v>23.780836080569209</v>
      </c>
      <c r="AS5381" t="s">
        <v>65</v>
      </c>
      <c r="AT5381">
        <v>1</v>
      </c>
      <c r="AU5381" t="s">
        <v>1433</v>
      </c>
      <c r="AV5381" t="s">
        <v>1434</v>
      </c>
      <c r="AW5381" t="s">
        <v>60</v>
      </c>
      <c r="AX5381" t="s">
        <v>68</v>
      </c>
      <c r="AY5381" t="s">
        <v>69</v>
      </c>
      <c r="AZ5381" t="b">
        <v>1</v>
      </c>
    </row>
    <row r="5382" spans="1:52" x14ac:dyDescent="0.3">
      <c r="A5382" t="s">
        <v>52</v>
      </c>
      <c r="B5382" t="s">
        <v>53</v>
      </c>
      <c r="C5382" t="s">
        <v>54</v>
      </c>
      <c r="D5382" t="s">
        <v>55</v>
      </c>
      <c r="E5382" t="s">
        <v>2278</v>
      </c>
      <c r="F5382" t="s">
        <v>1247</v>
      </c>
      <c r="G5382" t="s">
        <v>649</v>
      </c>
      <c r="H5382" t="s">
        <v>885</v>
      </c>
      <c r="I5382" t="s">
        <v>885</v>
      </c>
      <c r="J5382" t="s">
        <v>60</v>
      </c>
      <c r="K5382" t="s">
        <v>886</v>
      </c>
      <c r="L5382" t="s">
        <v>62</v>
      </c>
      <c r="M5382" t="s">
        <v>886</v>
      </c>
      <c r="N5382" t="s">
        <v>652</v>
      </c>
      <c r="O5382" t="s">
        <v>887</v>
      </c>
      <c r="P5382">
        <v>-20.132252000000001</v>
      </c>
      <c r="Q5382">
        <v>-44.894159000000002</v>
      </c>
      <c r="R5382" s="2" t="str">
        <f>HYPERLINK("https://www.google.com/maps?q=-20.1322520,-44.8941590","Abrir no Google Maps")</f>
        <v>Abrir no Google Maps</v>
      </c>
      <c r="S5382">
        <v>3</v>
      </c>
      <c r="T5382">
        <v>699.5004749448899</v>
      </c>
      <c r="U5382">
        <v>2</v>
      </c>
      <c r="V5382">
        <v>0.94192708333333319</v>
      </c>
      <c r="W5382">
        <v>0.85</v>
      </c>
      <c r="X5382">
        <v>0.80063802083333324</v>
      </c>
      <c r="Y5382">
        <v>564</v>
      </c>
      <c r="Z5382">
        <v>522.21103586457991</v>
      </c>
      <c r="AA5382">
        <v>198</v>
      </c>
      <c r="AB5382">
        <v>332</v>
      </c>
      <c r="AC5382">
        <v>536</v>
      </c>
      <c r="AD5382">
        <v>28.15</v>
      </c>
      <c r="AE5382">
        <v>542</v>
      </c>
      <c r="AF5382">
        <v>21</v>
      </c>
      <c r="AG5382">
        <v>176</v>
      </c>
      <c r="AH5382">
        <v>129</v>
      </c>
      <c r="AI5382">
        <v>3.87</v>
      </c>
      <c r="AJ5382">
        <v>32.47</v>
      </c>
      <c r="AK5382">
        <v>23.8</v>
      </c>
      <c r="AL5382">
        <v>-20.132285999999969</v>
      </c>
      <c r="AM5382">
        <v>-44.894119001288672</v>
      </c>
      <c r="AN5382">
        <v>-20.132285999999969</v>
      </c>
      <c r="AO5382">
        <v>-44.894119001288672</v>
      </c>
      <c r="AP5382">
        <v>-20.132252000000001</v>
      </c>
      <c r="AQ5382">
        <v>-44.894159000000002</v>
      </c>
      <c r="AR5382">
        <v>5.6393921063261629</v>
      </c>
      <c r="AS5382" t="s">
        <v>65</v>
      </c>
      <c r="AT5382">
        <v>1</v>
      </c>
      <c r="AU5382" t="s">
        <v>888</v>
      </c>
      <c r="AV5382" t="s">
        <v>889</v>
      </c>
      <c r="AW5382" t="s">
        <v>60</v>
      </c>
      <c r="AX5382" t="s">
        <v>68</v>
      </c>
      <c r="AY5382" t="s">
        <v>69</v>
      </c>
      <c r="AZ5382" t="b">
        <v>1</v>
      </c>
    </row>
    <row r="5383" spans="1:52" x14ac:dyDescent="0.3">
      <c r="A5383" t="s">
        <v>52</v>
      </c>
      <c r="B5383" t="s">
        <v>53</v>
      </c>
      <c r="C5383" t="s">
        <v>54</v>
      </c>
      <c r="D5383" t="s">
        <v>55</v>
      </c>
      <c r="E5383" t="s">
        <v>2278</v>
      </c>
      <c r="F5383" t="s">
        <v>1247</v>
      </c>
      <c r="G5383" t="s">
        <v>503</v>
      </c>
      <c r="H5383" t="s">
        <v>1441</v>
      </c>
      <c r="I5383" t="s">
        <v>1441</v>
      </c>
      <c r="J5383" t="s">
        <v>60</v>
      </c>
      <c r="K5383" t="s">
        <v>512</v>
      </c>
      <c r="L5383" t="s">
        <v>62</v>
      </c>
      <c r="M5383" t="s">
        <v>512</v>
      </c>
      <c r="N5383" t="s">
        <v>506</v>
      </c>
      <c r="O5383" t="s">
        <v>1442</v>
      </c>
      <c r="P5383">
        <v>-20.13036</v>
      </c>
      <c r="Q5383">
        <v>-44.891019</v>
      </c>
      <c r="R5383" s="2" t="str">
        <f>HYPERLINK("https://www.google.com/maps?q=-20.1303600,-44.8910190","Abrir no Google Maps")</f>
        <v>Abrir no Google Maps</v>
      </c>
      <c r="S5383">
        <v>3</v>
      </c>
      <c r="T5383">
        <v>313.17410616307359</v>
      </c>
      <c r="U5383">
        <v>2</v>
      </c>
      <c r="V5383">
        <v>0.88779527559055116</v>
      </c>
      <c r="W5383">
        <v>0.85</v>
      </c>
      <c r="X5383">
        <v>0.75462598425196847</v>
      </c>
      <c r="Y5383">
        <v>564</v>
      </c>
      <c r="Z5383">
        <v>208.43159293494489</v>
      </c>
      <c r="AA5383">
        <v>198</v>
      </c>
      <c r="AB5383">
        <v>332</v>
      </c>
      <c r="AC5383">
        <v>536</v>
      </c>
      <c r="AD5383">
        <v>28.15</v>
      </c>
      <c r="AE5383">
        <v>542</v>
      </c>
      <c r="AF5383">
        <v>21</v>
      </c>
      <c r="AG5383">
        <v>176</v>
      </c>
      <c r="AH5383">
        <v>129</v>
      </c>
      <c r="AI5383">
        <v>3.87</v>
      </c>
      <c r="AJ5383">
        <v>32.47</v>
      </c>
      <c r="AK5383">
        <v>23.8</v>
      </c>
      <c r="AL5383">
        <v>-20.130100449999961</v>
      </c>
      <c r="AM5383">
        <v>-44.891163633475301</v>
      </c>
      <c r="AN5383">
        <v>-20.130100449999961</v>
      </c>
      <c r="AO5383">
        <v>-44.891163633475301</v>
      </c>
      <c r="AP5383">
        <v>-20.13036</v>
      </c>
      <c r="AQ5383">
        <v>-44.891019</v>
      </c>
      <c r="AR5383">
        <v>32.608854575381159</v>
      </c>
      <c r="AS5383" t="s">
        <v>65</v>
      </c>
      <c r="AT5383">
        <v>1</v>
      </c>
      <c r="AU5383" t="s">
        <v>1443</v>
      </c>
      <c r="AV5383" t="s">
        <v>1444</v>
      </c>
      <c r="AW5383" t="s">
        <v>60</v>
      </c>
      <c r="AX5383" t="s">
        <v>68</v>
      </c>
      <c r="AY5383" t="s">
        <v>69</v>
      </c>
      <c r="AZ5383" t="b">
        <v>1</v>
      </c>
    </row>
    <row r="5384" spans="1:52" x14ac:dyDescent="0.3">
      <c r="A5384" t="s">
        <v>52</v>
      </c>
      <c r="B5384" t="s">
        <v>53</v>
      </c>
      <c r="C5384" t="s">
        <v>54</v>
      </c>
      <c r="D5384" t="s">
        <v>55</v>
      </c>
      <c r="E5384" t="s">
        <v>2278</v>
      </c>
      <c r="F5384" t="s">
        <v>1247</v>
      </c>
      <c r="G5384" t="s">
        <v>1408</v>
      </c>
      <c r="H5384" t="s">
        <v>1409</v>
      </c>
      <c r="I5384" t="s">
        <v>1409</v>
      </c>
      <c r="J5384" t="s">
        <v>60</v>
      </c>
      <c r="K5384" t="s">
        <v>200</v>
      </c>
      <c r="L5384" t="s">
        <v>62</v>
      </c>
      <c r="M5384" t="s">
        <v>200</v>
      </c>
      <c r="N5384" t="s">
        <v>1410</v>
      </c>
      <c r="O5384" t="s">
        <v>1001</v>
      </c>
      <c r="P5384">
        <v>-20.126062999999998</v>
      </c>
      <c r="Q5384">
        <v>-44.894936999999999</v>
      </c>
      <c r="R5384" s="2" t="str">
        <f>HYPERLINK("https://www.google.com/maps?q=-20.1260630,-44.8949370","Abrir no Google Maps")</f>
        <v>Abrir no Google Maps</v>
      </c>
      <c r="S5384">
        <v>3</v>
      </c>
      <c r="T5384">
        <v>747.3122077966558</v>
      </c>
      <c r="U5384">
        <v>2</v>
      </c>
      <c r="V5384">
        <v>0.86739864864864857</v>
      </c>
      <c r="W5384">
        <v>0.85</v>
      </c>
      <c r="X5384">
        <v>0.73728885135135125</v>
      </c>
      <c r="Y5384">
        <v>564</v>
      </c>
      <c r="Z5384">
        <v>693.80888866206885</v>
      </c>
      <c r="AA5384">
        <v>198</v>
      </c>
      <c r="AB5384">
        <v>332</v>
      </c>
      <c r="AC5384">
        <v>536</v>
      </c>
      <c r="AD5384">
        <v>28.15</v>
      </c>
      <c r="AE5384">
        <v>542</v>
      </c>
      <c r="AF5384">
        <v>21</v>
      </c>
      <c r="AG5384">
        <v>176</v>
      </c>
      <c r="AH5384">
        <v>129</v>
      </c>
      <c r="AI5384">
        <v>3.87</v>
      </c>
      <c r="AJ5384">
        <v>32.47</v>
      </c>
      <c r="AK5384">
        <v>23.8</v>
      </c>
      <c r="AL5384">
        <v>-20.126099149999959</v>
      </c>
      <c r="AM5384">
        <v>-44.894866076436763</v>
      </c>
      <c r="AN5384">
        <v>-20.126099149999959</v>
      </c>
      <c r="AO5384">
        <v>-44.894866076436749</v>
      </c>
      <c r="AP5384">
        <v>-20.126062999999998</v>
      </c>
      <c r="AQ5384">
        <v>-44.894936999999999</v>
      </c>
      <c r="AR5384">
        <v>8.4349593682699737</v>
      </c>
      <c r="AS5384" t="s">
        <v>65</v>
      </c>
      <c r="AT5384">
        <v>1</v>
      </c>
      <c r="AU5384" t="s">
        <v>1411</v>
      </c>
      <c r="AV5384" t="s">
        <v>1003</v>
      </c>
      <c r="AW5384" t="s">
        <v>60</v>
      </c>
      <c r="AX5384" t="s">
        <v>68</v>
      </c>
      <c r="AY5384" t="s">
        <v>69</v>
      </c>
      <c r="AZ5384" t="b">
        <v>1</v>
      </c>
    </row>
    <row r="5385" spans="1:52" x14ac:dyDescent="0.3">
      <c r="A5385" t="s">
        <v>52</v>
      </c>
      <c r="B5385" t="s">
        <v>53</v>
      </c>
      <c r="C5385" t="s">
        <v>54</v>
      </c>
      <c r="D5385" t="s">
        <v>55</v>
      </c>
      <c r="E5385" t="s">
        <v>2278</v>
      </c>
      <c r="F5385" t="s">
        <v>1247</v>
      </c>
      <c r="G5385" t="s">
        <v>1412</v>
      </c>
      <c r="H5385" t="s">
        <v>1413</v>
      </c>
      <c r="I5385" t="s">
        <v>1413</v>
      </c>
      <c r="J5385" t="s">
        <v>60</v>
      </c>
      <c r="K5385" t="s">
        <v>892</v>
      </c>
      <c r="L5385" t="s">
        <v>62</v>
      </c>
      <c r="M5385" t="s">
        <v>892</v>
      </c>
      <c r="N5385" t="s">
        <v>1414</v>
      </c>
      <c r="O5385" t="s">
        <v>293</v>
      </c>
      <c r="P5385">
        <v>-20.150780999999998</v>
      </c>
      <c r="Q5385">
        <v>-44.897972000000003</v>
      </c>
      <c r="R5385" s="2" t="str">
        <f>HYPERLINK("https://www.google.com/maps?q=-20.1507810,-44.8979720","Abrir no Google Maps")</f>
        <v>Abrir no Google Maps</v>
      </c>
      <c r="S5385">
        <v>3</v>
      </c>
      <c r="T5385">
        <v>306.36394634674508</v>
      </c>
      <c r="U5385">
        <v>2</v>
      </c>
      <c r="V5385">
        <v>0.87936827956989239</v>
      </c>
      <c r="W5385">
        <v>0.85</v>
      </c>
      <c r="X5385">
        <v>0.74746303763440847</v>
      </c>
      <c r="Y5385">
        <v>556</v>
      </c>
      <c r="Z5385">
        <v>233.85692443628571</v>
      </c>
      <c r="AA5385">
        <v>198</v>
      </c>
      <c r="AB5385">
        <v>332</v>
      </c>
      <c r="AC5385">
        <v>536</v>
      </c>
      <c r="AD5385">
        <v>28.15</v>
      </c>
      <c r="AE5385">
        <v>542</v>
      </c>
      <c r="AF5385">
        <v>21</v>
      </c>
      <c r="AG5385">
        <v>176</v>
      </c>
      <c r="AH5385">
        <v>129</v>
      </c>
      <c r="AI5385">
        <v>3.87</v>
      </c>
      <c r="AJ5385">
        <v>32.47</v>
      </c>
      <c r="AK5385">
        <v>23.8</v>
      </c>
      <c r="AL5385">
        <v>-20.15074609999996</v>
      </c>
      <c r="AM5385">
        <v>-44.89795774234689</v>
      </c>
      <c r="AN5385">
        <v>-20.15074609999996</v>
      </c>
      <c r="AO5385">
        <v>-44.89795774234689</v>
      </c>
      <c r="AP5385">
        <v>-20.150780999999998</v>
      </c>
      <c r="AQ5385">
        <v>-44.897972000000003</v>
      </c>
      <c r="AR5385">
        <v>4.160995809097348</v>
      </c>
      <c r="AS5385" t="s">
        <v>65</v>
      </c>
      <c r="AT5385">
        <v>1</v>
      </c>
      <c r="AU5385" t="s">
        <v>1415</v>
      </c>
      <c r="AV5385" t="s">
        <v>1416</v>
      </c>
      <c r="AW5385" t="s">
        <v>60</v>
      </c>
      <c r="AX5385" t="s">
        <v>68</v>
      </c>
      <c r="AY5385" t="s">
        <v>69</v>
      </c>
      <c r="AZ5385" t="b">
        <v>1</v>
      </c>
    </row>
    <row r="5386" spans="1:52" x14ac:dyDescent="0.3">
      <c r="A5386" t="s">
        <v>52</v>
      </c>
      <c r="B5386" t="s">
        <v>53</v>
      </c>
      <c r="C5386" t="s">
        <v>54</v>
      </c>
      <c r="D5386" t="s">
        <v>55</v>
      </c>
      <c r="E5386" t="s">
        <v>2278</v>
      </c>
      <c r="F5386" t="s">
        <v>1247</v>
      </c>
      <c r="G5386" t="s">
        <v>1127</v>
      </c>
      <c r="H5386" t="s">
        <v>1449</v>
      </c>
      <c r="I5386" t="s">
        <v>1449</v>
      </c>
      <c r="J5386" t="s">
        <v>60</v>
      </c>
      <c r="K5386" t="s">
        <v>1450</v>
      </c>
      <c r="L5386" t="s">
        <v>62</v>
      </c>
      <c r="M5386" t="s">
        <v>1450</v>
      </c>
      <c r="N5386" t="s">
        <v>1451</v>
      </c>
      <c r="O5386" t="s">
        <v>1452</v>
      </c>
      <c r="P5386">
        <v>-20.152612000000001</v>
      </c>
      <c r="Q5386">
        <v>-44.897098</v>
      </c>
      <c r="R5386" s="2" t="str">
        <f>HYPERLINK("https://www.google.com/maps?q=-20.1526120,-44.8970980","Abrir no Google Maps")</f>
        <v>Abrir no Google Maps</v>
      </c>
      <c r="S5386">
        <v>3</v>
      </c>
      <c r="T5386">
        <v>418.6283592063233</v>
      </c>
      <c r="U5386">
        <v>2</v>
      </c>
      <c r="V5386">
        <v>0.88088768115942018</v>
      </c>
      <c r="W5386">
        <v>0.85</v>
      </c>
      <c r="X5386">
        <v>0.7487545289855071</v>
      </c>
      <c r="Y5386">
        <v>556</v>
      </c>
      <c r="Z5386">
        <v>387.16462225830952</v>
      </c>
      <c r="AA5386">
        <v>198</v>
      </c>
      <c r="AB5386">
        <v>332</v>
      </c>
      <c r="AC5386">
        <v>536</v>
      </c>
      <c r="AD5386">
        <v>28.15</v>
      </c>
      <c r="AE5386">
        <v>542</v>
      </c>
      <c r="AF5386">
        <v>21</v>
      </c>
      <c r="AG5386">
        <v>176</v>
      </c>
      <c r="AH5386">
        <v>129</v>
      </c>
      <c r="AI5386">
        <v>3.87</v>
      </c>
      <c r="AJ5386">
        <v>32.47</v>
      </c>
      <c r="AK5386">
        <v>23.8</v>
      </c>
      <c r="AL5386">
        <v>-20.15253669999996</v>
      </c>
      <c r="AM5386">
        <v>-44.897068126936119</v>
      </c>
      <c r="AN5386">
        <v>-20.15253669999996</v>
      </c>
      <c r="AO5386">
        <v>-44.897068126936119</v>
      </c>
      <c r="AP5386">
        <v>-20.152612000000001</v>
      </c>
      <c r="AQ5386">
        <v>-44.897098</v>
      </c>
      <c r="AR5386">
        <v>8.9448699164987104</v>
      </c>
      <c r="AS5386" t="s">
        <v>65</v>
      </c>
      <c r="AT5386">
        <v>1</v>
      </c>
      <c r="AU5386" t="s">
        <v>1453</v>
      </c>
      <c r="AV5386" t="s">
        <v>1454</v>
      </c>
      <c r="AW5386" t="s">
        <v>60</v>
      </c>
      <c r="AX5386" t="s">
        <v>68</v>
      </c>
      <c r="AY5386" t="s">
        <v>69</v>
      </c>
      <c r="AZ5386" t="b">
        <v>1</v>
      </c>
    </row>
    <row r="5387" spans="1:52" x14ac:dyDescent="0.3">
      <c r="A5387" t="s">
        <v>52</v>
      </c>
      <c r="B5387" t="s">
        <v>53</v>
      </c>
      <c r="C5387" t="s">
        <v>54</v>
      </c>
      <c r="D5387" t="s">
        <v>55</v>
      </c>
      <c r="E5387" t="s">
        <v>2278</v>
      </c>
      <c r="F5387" t="s">
        <v>1247</v>
      </c>
      <c r="G5387" t="s">
        <v>1312</v>
      </c>
      <c r="H5387" t="s">
        <v>1313</v>
      </c>
      <c r="I5387" t="s">
        <v>1313</v>
      </c>
      <c r="J5387" t="s">
        <v>60</v>
      </c>
      <c r="K5387" t="s">
        <v>1314</v>
      </c>
      <c r="L5387" t="s">
        <v>62</v>
      </c>
      <c r="M5387" t="s">
        <v>1314</v>
      </c>
      <c r="N5387" t="s">
        <v>1315</v>
      </c>
      <c r="O5387" t="s">
        <v>315</v>
      </c>
      <c r="P5387">
        <v>-20.179649999999999</v>
      </c>
      <c r="Q5387">
        <v>-44.927177</v>
      </c>
      <c r="R5387" s="2" t="str">
        <f>HYPERLINK("https://www.google.com/maps?q=-20.1796500,-44.9271770","Abrir no Google Maps")</f>
        <v>Abrir no Google Maps</v>
      </c>
      <c r="S5387">
        <v>3</v>
      </c>
      <c r="T5387">
        <v>1742.181438658615</v>
      </c>
      <c r="U5387">
        <v>1</v>
      </c>
      <c r="V5387">
        <v>0.86472602739726023</v>
      </c>
      <c r="W5387">
        <v>0.85</v>
      </c>
      <c r="X5387">
        <v>0.73501712328767121</v>
      </c>
      <c r="Y5387">
        <v>723</v>
      </c>
      <c r="Z5387">
        <v>1801.262037027635</v>
      </c>
      <c r="AA5387">
        <v>198</v>
      </c>
      <c r="AB5387">
        <v>332</v>
      </c>
      <c r="AC5387">
        <v>536</v>
      </c>
      <c r="AD5387">
        <v>28.15</v>
      </c>
      <c r="AE5387">
        <v>542</v>
      </c>
      <c r="AF5387">
        <v>21</v>
      </c>
      <c r="AG5387">
        <v>176</v>
      </c>
      <c r="AH5387">
        <v>129</v>
      </c>
      <c r="AI5387">
        <v>3.87</v>
      </c>
      <c r="AJ5387">
        <v>32.47</v>
      </c>
      <c r="AK5387">
        <v>23.8</v>
      </c>
      <c r="AL5387">
        <v>-20.18058599999998</v>
      </c>
      <c r="AM5387">
        <v>-44.926708474999977</v>
      </c>
      <c r="AN5387">
        <v>-20.18058599999998</v>
      </c>
      <c r="AO5387">
        <v>-44.926708474999977</v>
      </c>
      <c r="AP5387">
        <v>-20.179649999999999</v>
      </c>
      <c r="AQ5387">
        <v>-44.927177</v>
      </c>
      <c r="AR5387">
        <v>115.1226868075416</v>
      </c>
      <c r="AS5387" t="s">
        <v>65</v>
      </c>
      <c r="AT5387">
        <v>1</v>
      </c>
      <c r="AU5387" t="s">
        <v>1316</v>
      </c>
      <c r="AV5387" t="s">
        <v>1317</v>
      </c>
      <c r="AW5387" t="s">
        <v>60</v>
      </c>
      <c r="AX5387" t="s">
        <v>68</v>
      </c>
      <c r="AY5387" t="s">
        <v>69</v>
      </c>
      <c r="AZ5387" t="b">
        <v>1</v>
      </c>
    </row>
    <row r="5388" spans="1:52" x14ac:dyDescent="0.3">
      <c r="A5388" t="s">
        <v>52</v>
      </c>
      <c r="B5388" t="s">
        <v>53</v>
      </c>
      <c r="C5388" t="s">
        <v>54</v>
      </c>
      <c r="D5388" t="s">
        <v>55</v>
      </c>
      <c r="E5388" t="s">
        <v>2278</v>
      </c>
      <c r="F5388" t="s">
        <v>1247</v>
      </c>
      <c r="G5388" t="s">
        <v>1364</v>
      </c>
      <c r="H5388" t="s">
        <v>1369</v>
      </c>
      <c r="I5388" t="s">
        <v>1369</v>
      </c>
      <c r="J5388" t="s">
        <v>60</v>
      </c>
      <c r="K5388" t="s">
        <v>1370</v>
      </c>
      <c r="L5388" t="s">
        <v>62</v>
      </c>
      <c r="M5388" t="s">
        <v>1370</v>
      </c>
      <c r="N5388" t="s">
        <v>1366</v>
      </c>
      <c r="O5388" t="s">
        <v>989</v>
      </c>
      <c r="P5388">
        <v>-20.141185</v>
      </c>
      <c r="Q5388">
        <v>-44.914200999999998</v>
      </c>
      <c r="R5388" s="2" t="str">
        <f>HYPERLINK("https://www.google.com/maps?q=-20.1411850,-44.9142010","Abrir no Google Maps")</f>
        <v>Abrir no Google Maps</v>
      </c>
      <c r="S5388">
        <v>3</v>
      </c>
      <c r="T5388">
        <v>512.52588459346453</v>
      </c>
      <c r="U5388">
        <v>1</v>
      </c>
      <c r="V5388">
        <v>0.85655864197530862</v>
      </c>
      <c r="W5388">
        <v>0.85</v>
      </c>
      <c r="X5388">
        <v>0.72807484567901226</v>
      </c>
      <c r="Y5388">
        <v>581</v>
      </c>
      <c r="Z5388">
        <v>473.10673043319349</v>
      </c>
      <c r="AA5388">
        <v>198</v>
      </c>
      <c r="AB5388">
        <v>332</v>
      </c>
      <c r="AC5388">
        <v>536</v>
      </c>
      <c r="AD5388">
        <v>28.15</v>
      </c>
      <c r="AE5388">
        <v>542</v>
      </c>
      <c r="AF5388">
        <v>21</v>
      </c>
      <c r="AG5388">
        <v>176</v>
      </c>
      <c r="AH5388">
        <v>129</v>
      </c>
      <c r="AI5388">
        <v>3.87</v>
      </c>
      <c r="AJ5388">
        <v>32.47</v>
      </c>
      <c r="AK5388">
        <v>23.8</v>
      </c>
      <c r="AL5388">
        <v>-20.14133909999995</v>
      </c>
      <c r="AM5388">
        <v>-44.913910219286038</v>
      </c>
      <c r="AN5388">
        <v>-20.14133909999995</v>
      </c>
      <c r="AO5388">
        <v>-44.913910219286038</v>
      </c>
      <c r="AP5388">
        <v>-20.141185</v>
      </c>
      <c r="AQ5388">
        <v>-44.914200999999998</v>
      </c>
      <c r="AR5388">
        <v>34.897514361429593</v>
      </c>
      <c r="AS5388" t="s">
        <v>65</v>
      </c>
      <c r="AT5388">
        <v>1</v>
      </c>
      <c r="AU5388" t="s">
        <v>1371</v>
      </c>
      <c r="AV5388" t="s">
        <v>863</v>
      </c>
      <c r="AW5388" t="s">
        <v>60</v>
      </c>
      <c r="AX5388" t="s">
        <v>68</v>
      </c>
      <c r="AY5388" t="s">
        <v>69</v>
      </c>
      <c r="AZ5388" t="b">
        <v>1</v>
      </c>
    </row>
    <row r="5389" spans="1:52" x14ac:dyDescent="0.3">
      <c r="A5389" t="s">
        <v>52</v>
      </c>
      <c r="B5389" t="s">
        <v>53</v>
      </c>
      <c r="C5389" t="s">
        <v>54</v>
      </c>
      <c r="D5389" t="s">
        <v>55</v>
      </c>
      <c r="E5389" t="s">
        <v>2278</v>
      </c>
      <c r="F5389" t="s">
        <v>1247</v>
      </c>
      <c r="G5389" t="s">
        <v>1424</v>
      </c>
      <c r="H5389" t="s">
        <v>1425</v>
      </c>
      <c r="I5389" t="s">
        <v>1425</v>
      </c>
      <c r="J5389" t="s">
        <v>60</v>
      </c>
      <c r="K5389" t="s">
        <v>1324</v>
      </c>
      <c r="L5389" t="s">
        <v>62</v>
      </c>
      <c r="M5389" t="s">
        <v>1324</v>
      </c>
      <c r="N5389" t="s">
        <v>1426</v>
      </c>
      <c r="O5389" t="s">
        <v>938</v>
      </c>
      <c r="P5389">
        <v>-20.172844999999999</v>
      </c>
      <c r="Q5389">
        <v>-44.909215000000003</v>
      </c>
      <c r="R5389" s="2" t="str">
        <f>HYPERLINK("https://www.google.com/maps?q=-20.1728450,-44.9092150","Abrir no Google Maps")</f>
        <v>Abrir no Google Maps</v>
      </c>
      <c r="S5389">
        <v>3</v>
      </c>
      <c r="T5389">
        <v>0</v>
      </c>
      <c r="U5389">
        <v>1</v>
      </c>
      <c r="V5389">
        <v>0.84166666666666667</v>
      </c>
      <c r="W5389">
        <v>0.85</v>
      </c>
      <c r="X5389">
        <v>0.7154166666666667</v>
      </c>
      <c r="Y5389">
        <v>578</v>
      </c>
      <c r="Z5389">
        <v>365.56549317689053</v>
      </c>
      <c r="AA5389">
        <v>198</v>
      </c>
      <c r="AB5389">
        <v>332</v>
      </c>
      <c r="AC5389">
        <v>536</v>
      </c>
      <c r="AD5389">
        <v>28.15</v>
      </c>
      <c r="AE5389">
        <v>542</v>
      </c>
      <c r="AF5389">
        <v>21</v>
      </c>
      <c r="AG5389">
        <v>176</v>
      </c>
      <c r="AH5389">
        <v>129</v>
      </c>
      <c r="AI5389">
        <v>3.87</v>
      </c>
      <c r="AJ5389">
        <v>32.47</v>
      </c>
      <c r="AK5389">
        <v>23.8</v>
      </c>
      <c r="AL5389">
        <v>-20.172197349999941</v>
      </c>
      <c r="AM5389">
        <v>-44.910438675762883</v>
      </c>
      <c r="AN5389">
        <v>-20.172197349999941</v>
      </c>
      <c r="AO5389">
        <v>-44.910438675762883</v>
      </c>
      <c r="AP5389">
        <v>-20.172844999999999</v>
      </c>
      <c r="AQ5389">
        <v>-44.909215000000003</v>
      </c>
      <c r="AR5389">
        <v>146.78922919749749</v>
      </c>
      <c r="AS5389" t="s">
        <v>65</v>
      </c>
      <c r="AT5389">
        <v>1</v>
      </c>
      <c r="AU5389" t="s">
        <v>1427</v>
      </c>
      <c r="AV5389" t="s">
        <v>1428</v>
      </c>
      <c r="AW5389" t="s">
        <v>60</v>
      </c>
      <c r="AX5389" t="s">
        <v>68</v>
      </c>
      <c r="AY5389" t="s">
        <v>69</v>
      </c>
      <c r="AZ5389" t="b">
        <v>1</v>
      </c>
    </row>
    <row r="5390" spans="1:52" x14ac:dyDescent="0.3">
      <c r="A5390" t="s">
        <v>52</v>
      </c>
      <c r="B5390" t="s">
        <v>53</v>
      </c>
      <c r="C5390" t="s">
        <v>54</v>
      </c>
      <c r="D5390" t="s">
        <v>55</v>
      </c>
      <c r="E5390" t="s">
        <v>2278</v>
      </c>
      <c r="F5390" t="s">
        <v>1247</v>
      </c>
      <c r="G5390" t="s">
        <v>1388</v>
      </c>
      <c r="H5390" t="s">
        <v>1389</v>
      </c>
      <c r="I5390" t="s">
        <v>1389</v>
      </c>
      <c r="J5390" t="s">
        <v>60</v>
      </c>
      <c r="K5390" t="s">
        <v>475</v>
      </c>
      <c r="L5390" t="s">
        <v>62</v>
      </c>
      <c r="M5390" t="s">
        <v>475</v>
      </c>
      <c r="N5390" t="s">
        <v>1390</v>
      </c>
      <c r="O5390" t="s">
        <v>855</v>
      </c>
      <c r="P5390">
        <v>-20.173748</v>
      </c>
      <c r="Q5390">
        <v>-44.894596999999997</v>
      </c>
      <c r="R5390" s="2" t="str">
        <f>HYPERLINK("https://www.google.com/maps?q=-20.1737480,-44.8945970","Abrir no Google Maps")</f>
        <v>Abrir no Google Maps</v>
      </c>
      <c r="S5390">
        <v>3</v>
      </c>
      <c r="T5390">
        <v>1217.388518792701</v>
      </c>
      <c r="U5390">
        <v>1</v>
      </c>
      <c r="V5390">
        <v>0.84313725490196068</v>
      </c>
      <c r="W5390">
        <v>0.85</v>
      </c>
      <c r="X5390">
        <v>0.71666666666666656</v>
      </c>
      <c r="Y5390">
        <v>578</v>
      </c>
      <c r="Z5390">
        <v>1268.0048337091989</v>
      </c>
      <c r="AA5390">
        <v>198</v>
      </c>
      <c r="AB5390">
        <v>332</v>
      </c>
      <c r="AC5390">
        <v>536</v>
      </c>
      <c r="AD5390">
        <v>28.15</v>
      </c>
      <c r="AE5390">
        <v>542</v>
      </c>
      <c r="AF5390">
        <v>21</v>
      </c>
      <c r="AG5390">
        <v>176</v>
      </c>
      <c r="AH5390">
        <v>129</v>
      </c>
      <c r="AI5390">
        <v>3.87</v>
      </c>
      <c r="AJ5390">
        <v>32.47</v>
      </c>
      <c r="AK5390">
        <v>23.8</v>
      </c>
      <c r="AL5390">
        <v>-20.173821999999941</v>
      </c>
      <c r="AM5390">
        <v>-44.894306105833543</v>
      </c>
      <c r="AN5390">
        <v>-20.173821999999941</v>
      </c>
      <c r="AO5390">
        <v>-44.894306105833543</v>
      </c>
      <c r="AP5390">
        <v>-20.173748</v>
      </c>
      <c r="AQ5390">
        <v>-44.894596999999997</v>
      </c>
      <c r="AR5390">
        <v>31.492193006406161</v>
      </c>
      <c r="AS5390" t="s">
        <v>65</v>
      </c>
      <c r="AT5390">
        <v>1</v>
      </c>
      <c r="AU5390" t="s">
        <v>1391</v>
      </c>
      <c r="AV5390" t="s">
        <v>1392</v>
      </c>
      <c r="AW5390" t="s">
        <v>60</v>
      </c>
      <c r="AX5390" t="s">
        <v>68</v>
      </c>
      <c r="AY5390" t="s">
        <v>69</v>
      </c>
      <c r="AZ5390" t="b">
        <v>1</v>
      </c>
    </row>
    <row r="5391" spans="1:52" x14ac:dyDescent="0.3">
      <c r="A5391" t="s">
        <v>52</v>
      </c>
      <c r="B5391" t="s">
        <v>53</v>
      </c>
      <c r="C5391" t="s">
        <v>54</v>
      </c>
      <c r="D5391" t="s">
        <v>55</v>
      </c>
      <c r="E5391" t="s">
        <v>2278</v>
      </c>
      <c r="F5391" t="s">
        <v>1247</v>
      </c>
      <c r="G5391" t="s">
        <v>1399</v>
      </c>
      <c r="H5391" t="s">
        <v>1400</v>
      </c>
      <c r="I5391" t="s">
        <v>1400</v>
      </c>
      <c r="J5391" t="s">
        <v>60</v>
      </c>
      <c r="K5391" t="s">
        <v>475</v>
      </c>
      <c r="L5391" t="s">
        <v>62</v>
      </c>
      <c r="M5391" t="s">
        <v>475</v>
      </c>
      <c r="N5391" t="s">
        <v>1401</v>
      </c>
      <c r="O5391" t="s">
        <v>1080</v>
      </c>
      <c r="P5391">
        <v>-20.178809000000001</v>
      </c>
      <c r="Q5391">
        <v>-44.900204000000002</v>
      </c>
      <c r="R5391" s="2" t="str">
        <f>HYPERLINK("https://www.google.com/maps?q=-20.1788090,-44.9002040","Abrir no Google Maps")</f>
        <v>Abrir no Google Maps</v>
      </c>
      <c r="S5391">
        <v>3</v>
      </c>
      <c r="T5391">
        <v>1015.86498565614</v>
      </c>
      <c r="U5391">
        <v>1</v>
      </c>
      <c r="V5391">
        <v>0.84219160104986879</v>
      </c>
      <c r="W5391">
        <v>0.85</v>
      </c>
      <c r="X5391">
        <v>0.71586286089238849</v>
      </c>
      <c r="Y5391">
        <v>578</v>
      </c>
      <c r="Z5391">
        <v>954.77111474428102</v>
      </c>
      <c r="AA5391">
        <v>198</v>
      </c>
      <c r="AB5391">
        <v>332</v>
      </c>
      <c r="AC5391">
        <v>536</v>
      </c>
      <c r="AD5391">
        <v>28.15</v>
      </c>
      <c r="AE5391">
        <v>542</v>
      </c>
      <c r="AF5391">
        <v>21</v>
      </c>
      <c r="AG5391">
        <v>176</v>
      </c>
      <c r="AH5391">
        <v>129</v>
      </c>
      <c r="AI5391">
        <v>3.87</v>
      </c>
      <c r="AJ5391">
        <v>32.47</v>
      </c>
      <c r="AK5391">
        <v>23.8</v>
      </c>
      <c r="AL5391">
        <v>-20.178590099999951</v>
      </c>
      <c r="AM5391">
        <v>-44.90029029928732</v>
      </c>
      <c r="AN5391">
        <v>-20.178590099999951</v>
      </c>
      <c r="AO5391">
        <v>-44.90029029928732</v>
      </c>
      <c r="AP5391">
        <v>-20.178809000000001</v>
      </c>
      <c r="AQ5391">
        <v>-44.900204000000002</v>
      </c>
      <c r="AR5391">
        <v>25.982812999798391</v>
      </c>
      <c r="AS5391" t="s">
        <v>65</v>
      </c>
      <c r="AT5391">
        <v>1</v>
      </c>
      <c r="AU5391" t="s">
        <v>1402</v>
      </c>
      <c r="AV5391" t="s">
        <v>1403</v>
      </c>
      <c r="AW5391" t="s">
        <v>60</v>
      </c>
      <c r="AX5391" t="s">
        <v>68</v>
      </c>
      <c r="AY5391" t="s">
        <v>69</v>
      </c>
      <c r="AZ5391" t="b">
        <v>1</v>
      </c>
    </row>
    <row r="5392" spans="1:52" x14ac:dyDescent="0.3">
      <c r="A5392" t="s">
        <v>52</v>
      </c>
      <c r="B5392" t="s">
        <v>53</v>
      </c>
      <c r="C5392" t="s">
        <v>54</v>
      </c>
      <c r="D5392" t="s">
        <v>55</v>
      </c>
      <c r="E5392" t="s">
        <v>2278</v>
      </c>
      <c r="F5392" t="s">
        <v>1247</v>
      </c>
      <c r="G5392" t="s">
        <v>1435</v>
      </c>
      <c r="H5392" t="s">
        <v>1436</v>
      </c>
      <c r="I5392" t="s">
        <v>1436</v>
      </c>
      <c r="J5392" t="s">
        <v>60</v>
      </c>
      <c r="K5392" t="s">
        <v>886</v>
      </c>
      <c r="L5392" t="s">
        <v>62</v>
      </c>
      <c r="M5392" t="s">
        <v>886</v>
      </c>
      <c r="N5392" t="s">
        <v>1437</v>
      </c>
      <c r="O5392" t="s">
        <v>1438</v>
      </c>
      <c r="P5392">
        <v>-20.131108000000001</v>
      </c>
      <c r="Q5392">
        <v>-44.893228000000001</v>
      </c>
      <c r="R5392" s="2" t="str">
        <f>HYPERLINK("https://www.google.com/maps?q=-20.1311080,-44.8932280","Abrir no Google Maps")</f>
        <v>Abrir no Google Maps</v>
      </c>
      <c r="S5392">
        <v>3</v>
      </c>
      <c r="T5392">
        <v>548.07497919430136</v>
      </c>
      <c r="U5392">
        <v>1</v>
      </c>
      <c r="V5392">
        <v>0.86084905660377353</v>
      </c>
      <c r="W5392">
        <v>0.85</v>
      </c>
      <c r="X5392">
        <v>0.73172169811320753</v>
      </c>
      <c r="Y5392">
        <v>564</v>
      </c>
      <c r="Z5392">
        <v>369.17139216388432</v>
      </c>
      <c r="AA5392">
        <v>198</v>
      </c>
      <c r="AB5392">
        <v>332</v>
      </c>
      <c r="AC5392">
        <v>536</v>
      </c>
      <c r="AD5392">
        <v>28.15</v>
      </c>
      <c r="AE5392">
        <v>542</v>
      </c>
      <c r="AF5392">
        <v>21</v>
      </c>
      <c r="AG5392">
        <v>176</v>
      </c>
      <c r="AH5392">
        <v>129</v>
      </c>
      <c r="AI5392">
        <v>3.87</v>
      </c>
      <c r="AJ5392">
        <v>32.47</v>
      </c>
      <c r="AK5392">
        <v>23.8</v>
      </c>
      <c r="AL5392">
        <v>-20.13103294999997</v>
      </c>
      <c r="AM5392">
        <v>-44.89318457893738</v>
      </c>
      <c r="AN5392">
        <v>-20.13103294999997</v>
      </c>
      <c r="AO5392">
        <v>-44.89318457893738</v>
      </c>
      <c r="AP5392">
        <v>-20.131108000000001</v>
      </c>
      <c r="AQ5392">
        <v>-44.893228000000001</v>
      </c>
      <c r="AR5392">
        <v>9.5076426885244203</v>
      </c>
      <c r="AS5392" t="s">
        <v>65</v>
      </c>
      <c r="AT5392">
        <v>1</v>
      </c>
      <c r="AU5392" t="s">
        <v>1439</v>
      </c>
      <c r="AV5392" t="s">
        <v>1440</v>
      </c>
      <c r="AW5392" t="s">
        <v>60</v>
      </c>
      <c r="AX5392" t="s">
        <v>68</v>
      </c>
      <c r="AY5392" t="s">
        <v>69</v>
      </c>
      <c r="AZ5392" t="b">
        <v>1</v>
      </c>
    </row>
    <row r="5393" spans="1:52" x14ac:dyDescent="0.3">
      <c r="A5393" t="s">
        <v>52</v>
      </c>
      <c r="B5393" t="s">
        <v>53</v>
      </c>
      <c r="C5393" t="s">
        <v>54</v>
      </c>
      <c r="D5393" t="s">
        <v>55</v>
      </c>
      <c r="E5393" t="s">
        <v>2278</v>
      </c>
      <c r="F5393" t="s">
        <v>1247</v>
      </c>
      <c r="G5393" t="s">
        <v>473</v>
      </c>
      <c r="H5393" t="s">
        <v>1445</v>
      </c>
      <c r="I5393" t="s">
        <v>1445</v>
      </c>
      <c r="J5393" t="s">
        <v>60</v>
      </c>
      <c r="K5393" t="s">
        <v>892</v>
      </c>
      <c r="L5393" t="s">
        <v>62</v>
      </c>
      <c r="M5393" t="s">
        <v>892</v>
      </c>
      <c r="N5393" t="s">
        <v>406</v>
      </c>
      <c r="O5393" t="s">
        <v>1446</v>
      </c>
      <c r="P5393">
        <v>-20.14941</v>
      </c>
      <c r="Q5393">
        <v>-44.899535</v>
      </c>
      <c r="R5393" s="2" t="str">
        <f>HYPERLINK("https://www.google.com/maps?q=-20.1494100,-44.8995350","Abrir no Google Maps")</f>
        <v>Abrir no Google Maps</v>
      </c>
      <c r="S5393">
        <v>3</v>
      </c>
      <c r="T5393">
        <v>249.83945591849931</v>
      </c>
      <c r="U5393">
        <v>1</v>
      </c>
      <c r="V5393">
        <v>0.8595217136150235</v>
      </c>
      <c r="W5393">
        <v>0.85</v>
      </c>
      <c r="X5393">
        <v>0.73059345657276997</v>
      </c>
      <c r="Y5393">
        <v>556</v>
      </c>
      <c r="Z5393">
        <v>156.62360082488701</v>
      </c>
      <c r="AA5393">
        <v>198</v>
      </c>
      <c r="AB5393">
        <v>332</v>
      </c>
      <c r="AC5393">
        <v>536</v>
      </c>
      <c r="AD5393">
        <v>28.15</v>
      </c>
      <c r="AE5393">
        <v>542</v>
      </c>
      <c r="AF5393">
        <v>21</v>
      </c>
      <c r="AG5393">
        <v>176</v>
      </c>
      <c r="AH5393">
        <v>129</v>
      </c>
      <c r="AI5393">
        <v>3.87</v>
      </c>
      <c r="AJ5393">
        <v>32.47</v>
      </c>
      <c r="AK5393">
        <v>23.8</v>
      </c>
      <c r="AL5393">
        <v>-20.149341899999939</v>
      </c>
      <c r="AM5393">
        <v>-44.899575902083967</v>
      </c>
      <c r="AN5393">
        <v>-20.149341899999939</v>
      </c>
      <c r="AO5393">
        <v>-44.899575902083967</v>
      </c>
      <c r="AP5393">
        <v>-20.14941</v>
      </c>
      <c r="AQ5393">
        <v>-44.899535</v>
      </c>
      <c r="AR5393">
        <v>8.7029725999778709</v>
      </c>
      <c r="AS5393" t="s">
        <v>65</v>
      </c>
      <c r="AT5393">
        <v>1</v>
      </c>
      <c r="AU5393" t="s">
        <v>1447</v>
      </c>
      <c r="AV5393" t="s">
        <v>1448</v>
      </c>
      <c r="AW5393" t="s">
        <v>60</v>
      </c>
      <c r="AX5393" t="s">
        <v>68</v>
      </c>
      <c r="AY5393" t="s">
        <v>69</v>
      </c>
      <c r="AZ5393" t="b">
        <v>1</v>
      </c>
    </row>
    <row r="5394" spans="1:52" x14ac:dyDescent="0.3">
      <c r="A5394" t="s">
        <v>52</v>
      </c>
      <c r="B5394" t="s">
        <v>53</v>
      </c>
      <c r="C5394" t="s">
        <v>54</v>
      </c>
      <c r="D5394" t="s">
        <v>55</v>
      </c>
      <c r="E5394" t="s">
        <v>2278</v>
      </c>
      <c r="F5394" t="s">
        <v>1247</v>
      </c>
      <c r="G5394" t="s">
        <v>1464</v>
      </c>
      <c r="H5394" t="s">
        <v>1485</v>
      </c>
      <c r="I5394" t="s">
        <v>1485</v>
      </c>
      <c r="J5394" t="s">
        <v>60</v>
      </c>
      <c r="K5394" t="s">
        <v>1486</v>
      </c>
      <c r="L5394" t="s">
        <v>62</v>
      </c>
      <c r="M5394" t="s">
        <v>1486</v>
      </c>
      <c r="N5394" t="s">
        <v>1467</v>
      </c>
      <c r="O5394" t="s">
        <v>1487</v>
      </c>
      <c r="P5394">
        <v>-20.162842000000001</v>
      </c>
      <c r="Q5394">
        <v>-44.883769999999998</v>
      </c>
      <c r="R5394" s="2" t="str">
        <f>HYPERLINK("https://www.google.com/maps?q=-20.1628420,-44.8837700","Abrir no Google Maps")</f>
        <v>Abrir no Google Maps</v>
      </c>
      <c r="S5394">
        <v>2</v>
      </c>
      <c r="T5394">
        <v>659.67909450906006</v>
      </c>
      <c r="U5394">
        <v>4</v>
      </c>
      <c r="V5394">
        <v>0.88767281105990792</v>
      </c>
      <c r="W5394">
        <v>1</v>
      </c>
      <c r="X5394">
        <v>0.88767281105990792</v>
      </c>
      <c r="Y5394">
        <v>671</v>
      </c>
      <c r="Z5394">
        <v>566.23107864368092</v>
      </c>
      <c r="AA5394">
        <v>198</v>
      </c>
      <c r="AB5394">
        <v>332</v>
      </c>
      <c r="AC5394">
        <v>536</v>
      </c>
      <c r="AD5394">
        <v>28.15</v>
      </c>
      <c r="AE5394">
        <v>542</v>
      </c>
      <c r="AF5394">
        <v>21</v>
      </c>
      <c r="AG5394">
        <v>176</v>
      </c>
      <c r="AH5394">
        <v>129</v>
      </c>
      <c r="AI5394">
        <v>3.87</v>
      </c>
      <c r="AJ5394">
        <v>32.47</v>
      </c>
      <c r="AK5394">
        <v>23.8</v>
      </c>
      <c r="AL5394">
        <v>-20.162791299999949</v>
      </c>
      <c r="AM5394">
        <v>-44.883966852092939</v>
      </c>
      <c r="AN5394">
        <v>-20.162791299999949</v>
      </c>
      <c r="AO5394">
        <v>-44.883966852092939</v>
      </c>
      <c r="AP5394">
        <v>-20.162842000000001</v>
      </c>
      <c r="AQ5394">
        <v>-44.883769999999998</v>
      </c>
      <c r="AR5394">
        <v>21.33085532825611</v>
      </c>
      <c r="AS5394" t="s">
        <v>65</v>
      </c>
      <c r="AT5394">
        <v>1</v>
      </c>
      <c r="AU5394" t="s">
        <v>1488</v>
      </c>
      <c r="AV5394" t="s">
        <v>1489</v>
      </c>
      <c r="AW5394" t="s">
        <v>60</v>
      </c>
      <c r="AX5394" t="s">
        <v>68</v>
      </c>
      <c r="AY5394" t="s">
        <v>69</v>
      </c>
      <c r="AZ5394" t="b">
        <v>1</v>
      </c>
    </row>
    <row r="5395" spans="1:52" x14ac:dyDescent="0.3">
      <c r="A5395" t="s">
        <v>52</v>
      </c>
      <c r="B5395" t="s">
        <v>53</v>
      </c>
      <c r="C5395" t="s">
        <v>54</v>
      </c>
      <c r="D5395" t="s">
        <v>55</v>
      </c>
      <c r="E5395" t="s">
        <v>2278</v>
      </c>
      <c r="F5395" t="s">
        <v>1247</v>
      </c>
      <c r="G5395" t="s">
        <v>1464</v>
      </c>
      <c r="H5395" t="s">
        <v>1465</v>
      </c>
      <c r="I5395" t="s">
        <v>1465</v>
      </c>
      <c r="J5395" t="s">
        <v>60</v>
      </c>
      <c r="K5395" t="s">
        <v>1466</v>
      </c>
      <c r="L5395" t="s">
        <v>62</v>
      </c>
      <c r="M5395" t="s">
        <v>1466</v>
      </c>
      <c r="N5395" t="s">
        <v>1467</v>
      </c>
      <c r="O5395" t="s">
        <v>145</v>
      </c>
      <c r="P5395">
        <v>-20.160509999999999</v>
      </c>
      <c r="Q5395">
        <v>-44.884123000000002</v>
      </c>
      <c r="R5395" s="2" t="str">
        <f>HYPERLINK("https://www.google.com/maps?q=-20.1605100,-44.8841230","Abrir no Google Maps")</f>
        <v>Abrir no Google Maps</v>
      </c>
      <c r="S5395">
        <v>2</v>
      </c>
      <c r="T5395">
        <v>650.04961276595373</v>
      </c>
      <c r="U5395">
        <v>4</v>
      </c>
      <c r="V5395">
        <v>0.91182795698924723</v>
      </c>
      <c r="W5395">
        <v>1</v>
      </c>
      <c r="X5395">
        <v>0.91182795698924723</v>
      </c>
      <c r="Y5395">
        <v>671</v>
      </c>
      <c r="Z5395">
        <v>591.49066685698506</v>
      </c>
      <c r="AA5395">
        <v>198</v>
      </c>
      <c r="AB5395">
        <v>332</v>
      </c>
      <c r="AC5395">
        <v>536</v>
      </c>
      <c r="AD5395">
        <v>28.15</v>
      </c>
      <c r="AE5395">
        <v>542</v>
      </c>
      <c r="AF5395">
        <v>21</v>
      </c>
      <c r="AG5395">
        <v>176</v>
      </c>
      <c r="AH5395">
        <v>129</v>
      </c>
      <c r="AI5395">
        <v>3.87</v>
      </c>
      <c r="AJ5395">
        <v>32.47</v>
      </c>
      <c r="AK5395">
        <v>23.8</v>
      </c>
      <c r="AL5395">
        <v>-20.16056479999995</v>
      </c>
      <c r="AM5395">
        <v>-44.88424978393428</v>
      </c>
      <c r="AN5395">
        <v>-20.160564799999939</v>
      </c>
      <c r="AO5395">
        <v>-44.88424978393428</v>
      </c>
      <c r="AP5395">
        <v>-20.160509999999999</v>
      </c>
      <c r="AQ5395">
        <v>-44.884123000000002</v>
      </c>
      <c r="AR5395">
        <v>14.585823463739541</v>
      </c>
      <c r="AS5395" t="s">
        <v>65</v>
      </c>
      <c r="AT5395">
        <v>1</v>
      </c>
      <c r="AU5395" t="s">
        <v>1468</v>
      </c>
      <c r="AV5395" t="s">
        <v>1469</v>
      </c>
      <c r="AW5395" t="s">
        <v>60</v>
      </c>
      <c r="AX5395" t="s">
        <v>68</v>
      </c>
      <c r="AY5395" t="s">
        <v>69</v>
      </c>
      <c r="AZ5395" t="b">
        <v>1</v>
      </c>
    </row>
    <row r="5396" spans="1:52" x14ac:dyDescent="0.3">
      <c r="A5396" t="s">
        <v>52</v>
      </c>
      <c r="B5396" t="s">
        <v>53</v>
      </c>
      <c r="C5396" t="s">
        <v>54</v>
      </c>
      <c r="D5396" t="s">
        <v>55</v>
      </c>
      <c r="E5396" t="s">
        <v>2278</v>
      </c>
      <c r="F5396" t="s">
        <v>1247</v>
      </c>
      <c r="G5396" t="s">
        <v>1501</v>
      </c>
      <c r="H5396" t="s">
        <v>1502</v>
      </c>
      <c r="I5396" t="s">
        <v>1502</v>
      </c>
      <c r="J5396" t="s">
        <v>60</v>
      </c>
      <c r="K5396" t="s">
        <v>1466</v>
      </c>
      <c r="L5396" t="s">
        <v>62</v>
      </c>
      <c r="M5396" t="s">
        <v>1466</v>
      </c>
      <c r="N5396" t="s">
        <v>1503</v>
      </c>
      <c r="O5396" t="s">
        <v>1504</v>
      </c>
      <c r="P5396">
        <v>-20.159618999999999</v>
      </c>
      <c r="Q5396">
        <v>-44.880065000000002</v>
      </c>
      <c r="R5396" s="2" t="str">
        <f>HYPERLINK("https://www.google.com/maps?q=-20.1596190,-44.8800650","Abrir no Google Maps")</f>
        <v>Abrir no Google Maps</v>
      </c>
      <c r="S5396">
        <v>2</v>
      </c>
      <c r="T5396">
        <v>243.9950282285559</v>
      </c>
      <c r="U5396">
        <v>4</v>
      </c>
      <c r="V5396">
        <v>0.89378720238095233</v>
      </c>
      <c r="W5396">
        <v>1</v>
      </c>
      <c r="X5396">
        <v>0.89378720238095233</v>
      </c>
      <c r="Y5396">
        <v>671</v>
      </c>
      <c r="Z5396">
        <v>265.31354384517681</v>
      </c>
      <c r="AA5396">
        <v>198</v>
      </c>
      <c r="AB5396">
        <v>332</v>
      </c>
      <c r="AC5396">
        <v>536</v>
      </c>
      <c r="AD5396">
        <v>28.15</v>
      </c>
      <c r="AE5396">
        <v>542</v>
      </c>
      <c r="AF5396">
        <v>21</v>
      </c>
      <c r="AG5396">
        <v>176</v>
      </c>
      <c r="AH5396">
        <v>129</v>
      </c>
      <c r="AI5396">
        <v>3.87</v>
      </c>
      <c r="AJ5396">
        <v>32.47</v>
      </c>
      <c r="AK5396">
        <v>23.8</v>
      </c>
      <c r="AL5396">
        <v>-20.159689949999969</v>
      </c>
      <c r="AM5396">
        <v>-44.880075072344489</v>
      </c>
      <c r="AN5396">
        <v>-20.159689949999969</v>
      </c>
      <c r="AO5396">
        <v>-44.880075072344489</v>
      </c>
      <c r="AP5396">
        <v>-20.159618999999999</v>
      </c>
      <c r="AQ5396">
        <v>-44.880065000000002</v>
      </c>
      <c r="AR5396">
        <v>7.9679809486040876</v>
      </c>
      <c r="AS5396" t="s">
        <v>65</v>
      </c>
      <c r="AT5396">
        <v>1</v>
      </c>
      <c r="AU5396" t="s">
        <v>1505</v>
      </c>
      <c r="AV5396" t="s">
        <v>1506</v>
      </c>
      <c r="AW5396" t="s">
        <v>60</v>
      </c>
      <c r="AX5396" t="s">
        <v>68</v>
      </c>
      <c r="AY5396" t="s">
        <v>69</v>
      </c>
      <c r="AZ5396" t="b">
        <v>1</v>
      </c>
    </row>
    <row r="5397" spans="1:52" x14ac:dyDescent="0.3">
      <c r="A5397" t="s">
        <v>52</v>
      </c>
      <c r="B5397" t="s">
        <v>53</v>
      </c>
      <c r="C5397" t="s">
        <v>54</v>
      </c>
      <c r="D5397" t="s">
        <v>55</v>
      </c>
      <c r="E5397" t="s">
        <v>2278</v>
      </c>
      <c r="F5397" t="s">
        <v>1247</v>
      </c>
      <c r="G5397" t="s">
        <v>1507</v>
      </c>
      <c r="H5397" t="s">
        <v>1508</v>
      </c>
      <c r="I5397" t="s">
        <v>1508</v>
      </c>
      <c r="J5397" t="s">
        <v>60</v>
      </c>
      <c r="K5397" t="s">
        <v>1466</v>
      </c>
      <c r="L5397" t="s">
        <v>62</v>
      </c>
      <c r="M5397" t="s">
        <v>1466</v>
      </c>
      <c r="N5397" t="s">
        <v>1509</v>
      </c>
      <c r="O5397" t="s">
        <v>270</v>
      </c>
      <c r="P5397">
        <v>-20.164501999999999</v>
      </c>
      <c r="Q5397">
        <v>-44.883226999999998</v>
      </c>
      <c r="R5397" s="2" t="str">
        <f>HYPERLINK("https://www.google.com/maps?q=-20.1645020,-44.8832270","Abrir no Google Maps")</f>
        <v>Abrir no Google Maps</v>
      </c>
      <c r="S5397">
        <v>2</v>
      </c>
      <c r="T5397">
        <v>691.62667420887726</v>
      </c>
      <c r="U5397">
        <v>4</v>
      </c>
      <c r="V5397">
        <v>0.888671875</v>
      </c>
      <c r="W5397">
        <v>1</v>
      </c>
      <c r="X5397">
        <v>0.888671875</v>
      </c>
      <c r="Y5397">
        <v>671</v>
      </c>
      <c r="Z5397">
        <v>591.13935302436732</v>
      </c>
      <c r="AA5397">
        <v>198</v>
      </c>
      <c r="AB5397">
        <v>332</v>
      </c>
      <c r="AC5397">
        <v>536</v>
      </c>
      <c r="AD5397">
        <v>28.15</v>
      </c>
      <c r="AE5397">
        <v>542</v>
      </c>
      <c r="AF5397">
        <v>21</v>
      </c>
      <c r="AG5397">
        <v>176</v>
      </c>
      <c r="AH5397">
        <v>129</v>
      </c>
      <c r="AI5397">
        <v>3.87</v>
      </c>
      <c r="AJ5397">
        <v>32.47</v>
      </c>
      <c r="AK5397">
        <v>23.8</v>
      </c>
      <c r="AL5397">
        <v>-20.164470149999939</v>
      </c>
      <c r="AM5397">
        <v>-44.883357321672527</v>
      </c>
      <c r="AN5397">
        <v>-20.164470149999939</v>
      </c>
      <c r="AO5397">
        <v>-44.883357321672527</v>
      </c>
      <c r="AP5397">
        <v>-20.164501999999999</v>
      </c>
      <c r="AQ5397">
        <v>-44.883226999999998</v>
      </c>
      <c r="AR5397">
        <v>14.072184947340521</v>
      </c>
      <c r="AS5397" t="s">
        <v>65</v>
      </c>
      <c r="AT5397">
        <v>1</v>
      </c>
      <c r="AU5397" t="s">
        <v>1510</v>
      </c>
      <c r="AV5397" t="s">
        <v>1511</v>
      </c>
      <c r="AW5397" t="s">
        <v>60</v>
      </c>
      <c r="AX5397" t="s">
        <v>68</v>
      </c>
      <c r="AY5397" t="s">
        <v>69</v>
      </c>
      <c r="AZ5397" t="b">
        <v>1</v>
      </c>
    </row>
    <row r="5398" spans="1:52" x14ac:dyDescent="0.3">
      <c r="A5398" t="s">
        <v>52</v>
      </c>
      <c r="B5398" t="s">
        <v>53</v>
      </c>
      <c r="C5398" t="s">
        <v>54</v>
      </c>
      <c r="D5398" t="s">
        <v>55</v>
      </c>
      <c r="E5398" t="s">
        <v>2278</v>
      </c>
      <c r="F5398" t="s">
        <v>1247</v>
      </c>
      <c r="G5398" t="s">
        <v>1333</v>
      </c>
      <c r="H5398" t="s">
        <v>1470</v>
      </c>
      <c r="I5398" t="s">
        <v>1470</v>
      </c>
      <c r="J5398" t="s">
        <v>60</v>
      </c>
      <c r="K5398" t="s">
        <v>437</v>
      </c>
      <c r="L5398" t="s">
        <v>62</v>
      </c>
      <c r="M5398" t="s">
        <v>437</v>
      </c>
      <c r="N5398" t="s">
        <v>1335</v>
      </c>
      <c r="O5398" t="s">
        <v>900</v>
      </c>
      <c r="P5398">
        <v>-20.147047000000001</v>
      </c>
      <c r="Q5398">
        <v>-44.883921999999998</v>
      </c>
      <c r="R5398" s="2" t="str">
        <f>HYPERLINK("https://www.google.com/maps?q=-20.1470470,-44.8839220","Abrir no Google Maps")</f>
        <v>Abrir no Google Maps</v>
      </c>
      <c r="S5398">
        <v>2</v>
      </c>
      <c r="T5398">
        <v>296.4098018832658</v>
      </c>
      <c r="U5398">
        <v>4</v>
      </c>
      <c r="V5398">
        <v>0.92723651960784315</v>
      </c>
      <c r="W5398">
        <v>1</v>
      </c>
      <c r="X5398">
        <v>0.92723651960784315</v>
      </c>
      <c r="Y5398">
        <v>653</v>
      </c>
      <c r="Z5398">
        <v>299.72271006042178</v>
      </c>
      <c r="AA5398">
        <v>198</v>
      </c>
      <c r="AB5398">
        <v>332</v>
      </c>
      <c r="AC5398">
        <v>536</v>
      </c>
      <c r="AD5398">
        <v>28.15</v>
      </c>
      <c r="AE5398">
        <v>542</v>
      </c>
      <c r="AF5398">
        <v>21</v>
      </c>
      <c r="AG5398">
        <v>176</v>
      </c>
      <c r="AH5398">
        <v>129</v>
      </c>
      <c r="AI5398">
        <v>3.87</v>
      </c>
      <c r="AJ5398">
        <v>32.47</v>
      </c>
      <c r="AK5398">
        <v>23.8</v>
      </c>
      <c r="AL5398">
        <v>-20.147074949999929</v>
      </c>
      <c r="AM5398">
        <v>-44.883796511502347</v>
      </c>
      <c r="AN5398">
        <v>-20.147074949999929</v>
      </c>
      <c r="AO5398">
        <v>-44.883796511502347</v>
      </c>
      <c r="AP5398">
        <v>-20.147047000000001</v>
      </c>
      <c r="AQ5398">
        <v>-44.883921999999998</v>
      </c>
      <c r="AR5398">
        <v>13.47864632994</v>
      </c>
      <c r="AS5398" t="s">
        <v>65</v>
      </c>
      <c r="AT5398">
        <v>1</v>
      </c>
      <c r="AU5398" t="s">
        <v>1471</v>
      </c>
      <c r="AV5398" t="s">
        <v>1472</v>
      </c>
      <c r="AW5398" t="s">
        <v>60</v>
      </c>
      <c r="AX5398" t="s">
        <v>68</v>
      </c>
      <c r="AY5398" t="s">
        <v>69</v>
      </c>
      <c r="AZ5398" t="b">
        <v>1</v>
      </c>
    </row>
    <row r="5399" spans="1:52" x14ac:dyDescent="0.3">
      <c r="A5399" t="s">
        <v>52</v>
      </c>
      <c r="B5399" t="s">
        <v>53</v>
      </c>
      <c r="C5399" t="s">
        <v>54</v>
      </c>
      <c r="D5399" t="s">
        <v>55</v>
      </c>
      <c r="E5399" t="s">
        <v>2278</v>
      </c>
      <c r="F5399" t="s">
        <v>1247</v>
      </c>
      <c r="G5399" t="s">
        <v>1473</v>
      </c>
      <c r="H5399" t="s">
        <v>1474</v>
      </c>
      <c r="I5399" t="s">
        <v>1474</v>
      </c>
      <c r="J5399" t="s">
        <v>60</v>
      </c>
      <c r="K5399" t="s">
        <v>1302</v>
      </c>
      <c r="L5399" t="s">
        <v>62</v>
      </c>
      <c r="M5399" t="s">
        <v>1302</v>
      </c>
      <c r="N5399" t="s">
        <v>1475</v>
      </c>
      <c r="O5399" t="s">
        <v>1476</v>
      </c>
      <c r="P5399">
        <v>-20.161372</v>
      </c>
      <c r="Q5399">
        <v>-44.914636999999999</v>
      </c>
      <c r="R5399" s="2" t="str">
        <f>HYPERLINK("https://www.google.com/maps?q=-20.1613720,-44.9146370","Abrir no Google Maps")</f>
        <v>Abrir no Google Maps</v>
      </c>
      <c r="S5399">
        <v>2</v>
      </c>
      <c r="T5399">
        <v>0</v>
      </c>
      <c r="U5399">
        <v>4</v>
      </c>
      <c r="V5399">
        <v>0.89339114832535882</v>
      </c>
      <c r="W5399">
        <v>1</v>
      </c>
      <c r="X5399">
        <v>0.89339114832535882</v>
      </c>
      <c r="Y5399">
        <v>639</v>
      </c>
      <c r="Z5399">
        <v>81.742669907651447</v>
      </c>
      <c r="AA5399">
        <v>198</v>
      </c>
      <c r="AB5399">
        <v>332</v>
      </c>
      <c r="AC5399">
        <v>536</v>
      </c>
      <c r="AD5399">
        <v>28.15</v>
      </c>
      <c r="AE5399">
        <v>542</v>
      </c>
      <c r="AF5399">
        <v>21</v>
      </c>
      <c r="AG5399">
        <v>176</v>
      </c>
      <c r="AH5399">
        <v>129</v>
      </c>
      <c r="AI5399">
        <v>3.87</v>
      </c>
      <c r="AJ5399">
        <v>32.47</v>
      </c>
      <c r="AK5399">
        <v>23.8</v>
      </c>
      <c r="AL5399">
        <v>-20.161294499999961</v>
      </c>
      <c r="AM5399">
        <v>-44.914614684493202</v>
      </c>
      <c r="AN5399">
        <v>-20.161294499999961</v>
      </c>
      <c r="AO5399">
        <v>-44.914614684493202</v>
      </c>
      <c r="AP5399">
        <v>-20.161372</v>
      </c>
      <c r="AQ5399">
        <v>-44.914636999999999</v>
      </c>
      <c r="AR5399">
        <v>8.9369058443944862</v>
      </c>
      <c r="AS5399" t="s">
        <v>65</v>
      </c>
      <c r="AT5399">
        <v>1</v>
      </c>
      <c r="AU5399" t="s">
        <v>1477</v>
      </c>
      <c r="AV5399" t="s">
        <v>1478</v>
      </c>
      <c r="AW5399" t="s">
        <v>60</v>
      </c>
      <c r="AX5399" t="s">
        <v>68</v>
      </c>
      <c r="AY5399" t="s">
        <v>69</v>
      </c>
      <c r="AZ5399" t="b">
        <v>1</v>
      </c>
    </row>
    <row r="5400" spans="1:52" x14ac:dyDescent="0.3">
      <c r="A5400" t="s">
        <v>52</v>
      </c>
      <c r="B5400" t="s">
        <v>53</v>
      </c>
      <c r="C5400" t="s">
        <v>54</v>
      </c>
      <c r="D5400" t="s">
        <v>55</v>
      </c>
      <c r="E5400" t="s">
        <v>2278</v>
      </c>
      <c r="F5400" t="s">
        <v>1247</v>
      </c>
      <c r="G5400" t="s">
        <v>1479</v>
      </c>
      <c r="H5400" t="s">
        <v>1480</v>
      </c>
      <c r="I5400" t="s">
        <v>1480</v>
      </c>
      <c r="J5400" t="s">
        <v>60</v>
      </c>
      <c r="K5400" t="s">
        <v>1302</v>
      </c>
      <c r="L5400" t="s">
        <v>62</v>
      </c>
      <c r="M5400" t="s">
        <v>1302</v>
      </c>
      <c r="N5400" t="s">
        <v>1481</v>
      </c>
      <c r="O5400" t="s">
        <v>1482</v>
      </c>
      <c r="P5400">
        <v>-20.164655</v>
      </c>
      <c r="Q5400">
        <v>-44.912697000000001</v>
      </c>
      <c r="R5400" s="2" t="str">
        <f>HYPERLINK("https://www.google.com/maps?q=-20.1646550,-44.9126970","Abrir no Google Maps")</f>
        <v>Abrir no Google Maps</v>
      </c>
      <c r="S5400">
        <v>2</v>
      </c>
      <c r="T5400">
        <v>441.50274004930441</v>
      </c>
      <c r="U5400">
        <v>4</v>
      </c>
      <c r="V5400">
        <v>0.90277777777777779</v>
      </c>
      <c r="W5400">
        <v>1</v>
      </c>
      <c r="X5400">
        <v>0.90277777777777779</v>
      </c>
      <c r="Y5400">
        <v>639</v>
      </c>
      <c r="Z5400">
        <v>311.03317029936522</v>
      </c>
      <c r="AA5400">
        <v>198</v>
      </c>
      <c r="AB5400">
        <v>332</v>
      </c>
      <c r="AC5400">
        <v>536</v>
      </c>
      <c r="AD5400">
        <v>28.15</v>
      </c>
      <c r="AE5400">
        <v>542</v>
      </c>
      <c r="AF5400">
        <v>21</v>
      </c>
      <c r="AG5400">
        <v>176</v>
      </c>
      <c r="AH5400">
        <v>129</v>
      </c>
      <c r="AI5400">
        <v>3.87</v>
      </c>
      <c r="AJ5400">
        <v>32.47</v>
      </c>
      <c r="AK5400">
        <v>23.8</v>
      </c>
      <c r="AL5400">
        <v>-20.164702999999971</v>
      </c>
      <c r="AM5400">
        <v>-44.912418857911163</v>
      </c>
      <c r="AN5400">
        <v>-20.164702999999971</v>
      </c>
      <c r="AO5400">
        <v>-44.912418857911163</v>
      </c>
      <c r="AP5400">
        <v>-20.164655</v>
      </c>
      <c r="AQ5400">
        <v>-44.912697000000001</v>
      </c>
      <c r="AR5400">
        <v>29.552017409892429</v>
      </c>
      <c r="AS5400" t="s">
        <v>65</v>
      </c>
      <c r="AT5400">
        <v>1</v>
      </c>
      <c r="AU5400" t="s">
        <v>1483</v>
      </c>
      <c r="AV5400" t="s">
        <v>1484</v>
      </c>
      <c r="AW5400" t="s">
        <v>60</v>
      </c>
      <c r="AX5400" t="s">
        <v>68</v>
      </c>
      <c r="AY5400" t="s">
        <v>69</v>
      </c>
      <c r="AZ5400" t="b">
        <v>1</v>
      </c>
    </row>
    <row r="5401" spans="1:52" x14ac:dyDescent="0.3">
      <c r="A5401" t="s">
        <v>52</v>
      </c>
      <c r="B5401" t="s">
        <v>53</v>
      </c>
      <c r="C5401" t="s">
        <v>54</v>
      </c>
      <c r="D5401" t="s">
        <v>55</v>
      </c>
      <c r="E5401" t="s">
        <v>2278</v>
      </c>
      <c r="F5401" t="s">
        <v>1247</v>
      </c>
      <c r="G5401" t="s">
        <v>1518</v>
      </c>
      <c r="H5401" t="s">
        <v>1519</v>
      </c>
      <c r="I5401" t="s">
        <v>1519</v>
      </c>
      <c r="J5401" t="s">
        <v>60</v>
      </c>
      <c r="K5401" t="s">
        <v>1302</v>
      </c>
      <c r="L5401" t="s">
        <v>62</v>
      </c>
      <c r="M5401" t="s">
        <v>1302</v>
      </c>
      <c r="N5401" t="s">
        <v>1520</v>
      </c>
      <c r="O5401" t="s">
        <v>1521</v>
      </c>
      <c r="P5401">
        <v>-20.16263</v>
      </c>
      <c r="Q5401">
        <v>-44.910342999999997</v>
      </c>
      <c r="R5401" s="2" t="str">
        <f>HYPERLINK("https://www.google.com/maps?q=-20.1626300,-44.9103430","Abrir no Google Maps")</f>
        <v>Abrir no Google Maps</v>
      </c>
      <c r="S5401">
        <v>2</v>
      </c>
      <c r="T5401">
        <v>492.63980270666781</v>
      </c>
      <c r="U5401">
        <v>4</v>
      </c>
      <c r="V5401">
        <v>0.90408163265306118</v>
      </c>
      <c r="W5401">
        <v>1</v>
      </c>
      <c r="X5401">
        <v>0.90408163265306118</v>
      </c>
      <c r="Y5401">
        <v>639</v>
      </c>
      <c r="Z5401">
        <v>412.49960371731271</v>
      </c>
      <c r="AA5401">
        <v>198</v>
      </c>
      <c r="AB5401">
        <v>332</v>
      </c>
      <c r="AC5401">
        <v>536</v>
      </c>
      <c r="AD5401">
        <v>28.15</v>
      </c>
      <c r="AE5401">
        <v>542</v>
      </c>
      <c r="AF5401">
        <v>21</v>
      </c>
      <c r="AG5401">
        <v>176</v>
      </c>
      <c r="AH5401">
        <v>129</v>
      </c>
      <c r="AI5401">
        <v>3.87</v>
      </c>
      <c r="AJ5401">
        <v>32.47</v>
      </c>
      <c r="AK5401">
        <v>23.8</v>
      </c>
      <c r="AL5401">
        <v>-20.162579949999952</v>
      </c>
      <c r="AM5401">
        <v>-44.910101148008863</v>
      </c>
      <c r="AN5401">
        <v>-20.162579949999952</v>
      </c>
      <c r="AO5401">
        <v>-44.910101148008863</v>
      </c>
      <c r="AP5401">
        <v>-20.16263</v>
      </c>
      <c r="AQ5401">
        <v>-44.910342999999997</v>
      </c>
      <c r="AR5401">
        <v>25.879932474893501</v>
      </c>
      <c r="AS5401" t="s">
        <v>65</v>
      </c>
      <c r="AT5401">
        <v>1</v>
      </c>
      <c r="AU5401" t="s">
        <v>1522</v>
      </c>
      <c r="AV5401" t="s">
        <v>1523</v>
      </c>
      <c r="AW5401" t="s">
        <v>60</v>
      </c>
      <c r="AX5401" t="s">
        <v>68</v>
      </c>
      <c r="AY5401" t="s">
        <v>69</v>
      </c>
      <c r="AZ5401" t="b">
        <v>1</v>
      </c>
    </row>
    <row r="5402" spans="1:52" x14ac:dyDescent="0.3">
      <c r="A5402" t="s">
        <v>52</v>
      </c>
      <c r="B5402" t="s">
        <v>53</v>
      </c>
      <c r="C5402" t="s">
        <v>54</v>
      </c>
      <c r="D5402" t="s">
        <v>55</v>
      </c>
      <c r="E5402" t="s">
        <v>2278</v>
      </c>
      <c r="F5402" t="s">
        <v>1247</v>
      </c>
      <c r="G5402" t="s">
        <v>1459</v>
      </c>
      <c r="H5402" t="s">
        <v>1460</v>
      </c>
      <c r="I5402" t="s">
        <v>1460</v>
      </c>
      <c r="J5402" t="s">
        <v>60</v>
      </c>
      <c r="K5402" t="s">
        <v>431</v>
      </c>
      <c r="L5402" t="s">
        <v>62</v>
      </c>
      <c r="M5402" t="s">
        <v>431</v>
      </c>
      <c r="N5402" t="s">
        <v>1461</v>
      </c>
      <c r="O5402" t="s">
        <v>1462</v>
      </c>
      <c r="P5402">
        <v>-20.170182</v>
      </c>
      <c r="Q5402">
        <v>-44.922556999999998</v>
      </c>
      <c r="R5402" s="2" t="str">
        <f>HYPERLINK("https://www.google.com/maps?q=-20.1701820,-44.9225570","Abrir no Google Maps")</f>
        <v>Abrir no Google Maps</v>
      </c>
      <c r="S5402">
        <v>2</v>
      </c>
      <c r="T5402">
        <v>1189.3885679843149</v>
      </c>
      <c r="U5402">
        <v>3</v>
      </c>
      <c r="V5402">
        <v>0.96482035928143717</v>
      </c>
      <c r="W5402">
        <v>0.85</v>
      </c>
      <c r="X5402">
        <v>0.82009730538922154</v>
      </c>
      <c r="Y5402">
        <v>723</v>
      </c>
      <c r="Z5402">
        <v>961.89164604479117</v>
      </c>
      <c r="AA5402">
        <v>198</v>
      </c>
      <c r="AB5402">
        <v>332</v>
      </c>
      <c r="AC5402">
        <v>536</v>
      </c>
      <c r="AD5402">
        <v>28.15</v>
      </c>
      <c r="AE5402">
        <v>542</v>
      </c>
      <c r="AF5402">
        <v>21</v>
      </c>
      <c r="AG5402">
        <v>176</v>
      </c>
      <c r="AH5402">
        <v>129</v>
      </c>
      <c r="AI5402">
        <v>3.87</v>
      </c>
      <c r="AJ5402">
        <v>32.47</v>
      </c>
      <c r="AK5402">
        <v>23.8</v>
      </c>
      <c r="AL5402">
        <v>-20.169385449999961</v>
      </c>
      <c r="AM5402">
        <v>-44.922107101898007</v>
      </c>
      <c r="AN5402">
        <v>-20.169385449999961</v>
      </c>
      <c r="AO5402">
        <v>-44.922107101898007</v>
      </c>
      <c r="AP5402">
        <v>-20.170182</v>
      </c>
      <c r="AQ5402">
        <v>-44.922556999999998</v>
      </c>
      <c r="AR5402">
        <v>100.36329580049031</v>
      </c>
      <c r="AS5402" t="s">
        <v>65</v>
      </c>
      <c r="AT5402">
        <v>1</v>
      </c>
      <c r="AU5402" t="s">
        <v>1463</v>
      </c>
      <c r="AV5402" t="s">
        <v>1458</v>
      </c>
      <c r="AW5402" t="s">
        <v>60</v>
      </c>
      <c r="AX5402" t="s">
        <v>68</v>
      </c>
      <c r="AY5402" t="s">
        <v>69</v>
      </c>
      <c r="AZ5402" t="b">
        <v>1</v>
      </c>
    </row>
    <row r="5403" spans="1:52" x14ac:dyDescent="0.3">
      <c r="A5403" t="s">
        <v>52</v>
      </c>
      <c r="B5403" t="s">
        <v>53</v>
      </c>
      <c r="C5403" t="s">
        <v>54</v>
      </c>
      <c r="D5403" t="s">
        <v>55</v>
      </c>
      <c r="E5403" t="s">
        <v>2278</v>
      </c>
      <c r="F5403" t="s">
        <v>1247</v>
      </c>
      <c r="G5403" t="s">
        <v>1490</v>
      </c>
      <c r="H5403" t="s">
        <v>1491</v>
      </c>
      <c r="I5403" t="s">
        <v>1491</v>
      </c>
      <c r="J5403" t="s">
        <v>60</v>
      </c>
      <c r="K5403" t="s">
        <v>336</v>
      </c>
      <c r="L5403" t="s">
        <v>62</v>
      </c>
      <c r="M5403" t="s">
        <v>336</v>
      </c>
      <c r="N5403" t="s">
        <v>1492</v>
      </c>
      <c r="O5403" t="s">
        <v>842</v>
      </c>
      <c r="P5403">
        <v>-20.164228999999999</v>
      </c>
      <c r="Q5403">
        <v>-44.876455999999997</v>
      </c>
      <c r="R5403" s="2" t="str">
        <f>HYPERLINK("https://www.google.com/maps?q=-20.1642290,-44.8764560","Abrir no Google Maps")</f>
        <v>Abrir no Google Maps</v>
      </c>
      <c r="S5403">
        <v>2</v>
      </c>
      <c r="T5403">
        <v>420.00990411628987</v>
      </c>
      <c r="U5403">
        <v>3</v>
      </c>
      <c r="V5403">
        <v>0.87425595238095244</v>
      </c>
      <c r="W5403">
        <v>1</v>
      </c>
      <c r="X5403">
        <v>0.87425595238095244</v>
      </c>
      <c r="Y5403">
        <v>671</v>
      </c>
      <c r="Z5403">
        <v>375.90194920648611</v>
      </c>
      <c r="AA5403">
        <v>198</v>
      </c>
      <c r="AB5403">
        <v>332</v>
      </c>
      <c r="AC5403">
        <v>536</v>
      </c>
      <c r="AD5403">
        <v>28.15</v>
      </c>
      <c r="AE5403">
        <v>542</v>
      </c>
      <c r="AF5403">
        <v>21</v>
      </c>
      <c r="AG5403">
        <v>176</v>
      </c>
      <c r="AH5403">
        <v>129</v>
      </c>
      <c r="AI5403">
        <v>3.87</v>
      </c>
      <c r="AJ5403">
        <v>32.47</v>
      </c>
      <c r="AK5403">
        <v>23.8</v>
      </c>
      <c r="AL5403">
        <v>-20.164255749999938</v>
      </c>
      <c r="AM5403">
        <v>-44.876471676086922</v>
      </c>
      <c r="AN5403">
        <v>-20.164255749999938</v>
      </c>
      <c r="AO5403">
        <v>-44.876471676086922</v>
      </c>
      <c r="AP5403">
        <v>-20.164228999999999</v>
      </c>
      <c r="AQ5403">
        <v>-44.876455999999997</v>
      </c>
      <c r="AR5403">
        <v>3.3986375813953771</v>
      </c>
      <c r="AS5403" t="s">
        <v>65</v>
      </c>
      <c r="AT5403">
        <v>1</v>
      </c>
      <c r="AU5403" t="s">
        <v>1493</v>
      </c>
      <c r="AV5403" t="s">
        <v>1494</v>
      </c>
      <c r="AW5403" t="s">
        <v>60</v>
      </c>
      <c r="AX5403" t="s">
        <v>68</v>
      </c>
      <c r="AY5403" t="s">
        <v>69</v>
      </c>
      <c r="AZ5403" t="b">
        <v>1</v>
      </c>
    </row>
    <row r="5404" spans="1:52" x14ac:dyDescent="0.3">
      <c r="A5404" t="s">
        <v>52</v>
      </c>
      <c r="B5404" t="s">
        <v>53</v>
      </c>
      <c r="C5404" t="s">
        <v>54</v>
      </c>
      <c r="D5404" t="s">
        <v>55</v>
      </c>
      <c r="E5404" t="s">
        <v>2278</v>
      </c>
      <c r="F5404" t="s">
        <v>1247</v>
      </c>
      <c r="G5404" t="s">
        <v>1495</v>
      </c>
      <c r="H5404" t="s">
        <v>1496</v>
      </c>
      <c r="I5404" t="s">
        <v>1496</v>
      </c>
      <c r="J5404" t="s">
        <v>60</v>
      </c>
      <c r="K5404" t="s">
        <v>1466</v>
      </c>
      <c r="L5404" t="s">
        <v>62</v>
      </c>
      <c r="M5404" t="s">
        <v>1466</v>
      </c>
      <c r="N5404" t="s">
        <v>1497</v>
      </c>
      <c r="O5404" t="s">
        <v>1498</v>
      </c>
      <c r="P5404">
        <v>-20.163160999999999</v>
      </c>
      <c r="Q5404">
        <v>-44.880460999999997</v>
      </c>
      <c r="R5404" s="2" t="str">
        <f>HYPERLINK("https://www.google.com/maps?q=-20.1631610,-44.8804610","Abrir no Google Maps")</f>
        <v>Abrir no Google Maps</v>
      </c>
      <c r="S5404">
        <v>2</v>
      </c>
      <c r="T5404">
        <v>372.63783804650222</v>
      </c>
      <c r="U5404">
        <v>3</v>
      </c>
      <c r="V5404">
        <v>0.87867647058823528</v>
      </c>
      <c r="W5404">
        <v>1</v>
      </c>
      <c r="X5404">
        <v>0.87867647058823528</v>
      </c>
      <c r="Y5404">
        <v>671</v>
      </c>
      <c r="Z5404">
        <v>250.43144487082299</v>
      </c>
      <c r="AA5404">
        <v>198</v>
      </c>
      <c r="AB5404">
        <v>332</v>
      </c>
      <c r="AC5404">
        <v>536</v>
      </c>
      <c r="AD5404">
        <v>28.15</v>
      </c>
      <c r="AE5404">
        <v>542</v>
      </c>
      <c r="AF5404">
        <v>21</v>
      </c>
      <c r="AG5404">
        <v>176</v>
      </c>
      <c r="AH5404">
        <v>129</v>
      </c>
      <c r="AI5404">
        <v>3.87</v>
      </c>
      <c r="AJ5404">
        <v>32.47</v>
      </c>
      <c r="AK5404">
        <v>23.8</v>
      </c>
      <c r="AL5404">
        <v>-20.163296749999969</v>
      </c>
      <c r="AM5404">
        <v>-44.88037544059182</v>
      </c>
      <c r="AN5404">
        <v>-20.163296749999969</v>
      </c>
      <c r="AO5404">
        <v>-44.88037544059182</v>
      </c>
      <c r="AP5404">
        <v>-20.163160999999999</v>
      </c>
      <c r="AQ5404">
        <v>-44.880460999999997</v>
      </c>
      <c r="AR5404">
        <v>17.558482416121191</v>
      </c>
      <c r="AS5404" t="s">
        <v>65</v>
      </c>
      <c r="AT5404">
        <v>1</v>
      </c>
      <c r="AU5404" t="s">
        <v>1499</v>
      </c>
      <c r="AV5404" t="s">
        <v>1500</v>
      </c>
      <c r="AW5404" t="s">
        <v>60</v>
      </c>
      <c r="AX5404" t="s">
        <v>68</v>
      </c>
      <c r="AY5404" t="s">
        <v>69</v>
      </c>
      <c r="AZ5404" t="b">
        <v>1</v>
      </c>
    </row>
    <row r="5405" spans="1:52" x14ac:dyDescent="0.3">
      <c r="A5405" t="s">
        <v>52</v>
      </c>
      <c r="B5405" t="s">
        <v>53</v>
      </c>
      <c r="C5405" t="s">
        <v>54</v>
      </c>
      <c r="D5405" t="s">
        <v>55</v>
      </c>
      <c r="E5405" t="s">
        <v>2278</v>
      </c>
      <c r="F5405" t="s">
        <v>1247</v>
      </c>
      <c r="G5405" t="s">
        <v>1512</v>
      </c>
      <c r="H5405" t="s">
        <v>1513</v>
      </c>
      <c r="I5405" t="s">
        <v>1513</v>
      </c>
      <c r="J5405" t="s">
        <v>60</v>
      </c>
      <c r="K5405" t="s">
        <v>1302</v>
      </c>
      <c r="L5405" t="s">
        <v>62</v>
      </c>
      <c r="M5405" t="s">
        <v>1302</v>
      </c>
      <c r="N5405" t="s">
        <v>1514</v>
      </c>
      <c r="O5405" t="s">
        <v>1515</v>
      </c>
      <c r="P5405">
        <v>-20.163709000000001</v>
      </c>
      <c r="Q5405">
        <v>-44.916074999999999</v>
      </c>
      <c r="R5405" s="2" t="str">
        <f>HYPERLINK("https://www.google.com/maps?q=-20.1637090,-44.9160750","Abrir no Google Maps")</f>
        <v>Abrir no Google Maps</v>
      </c>
      <c r="S5405">
        <v>2</v>
      </c>
      <c r="T5405">
        <v>305.09593452131332</v>
      </c>
      <c r="U5405">
        <v>3</v>
      </c>
      <c r="V5405">
        <v>0.82626262626262614</v>
      </c>
      <c r="W5405">
        <v>1</v>
      </c>
      <c r="X5405">
        <v>0.82626262626262614</v>
      </c>
      <c r="Y5405">
        <v>639</v>
      </c>
      <c r="Z5405">
        <v>289.37841230131949</v>
      </c>
      <c r="AA5405">
        <v>198</v>
      </c>
      <c r="AB5405">
        <v>332</v>
      </c>
      <c r="AC5405">
        <v>536</v>
      </c>
      <c r="AD5405">
        <v>28.15</v>
      </c>
      <c r="AE5405">
        <v>542</v>
      </c>
      <c r="AF5405">
        <v>21</v>
      </c>
      <c r="AG5405">
        <v>176</v>
      </c>
      <c r="AH5405">
        <v>129</v>
      </c>
      <c r="AI5405">
        <v>3.87</v>
      </c>
      <c r="AJ5405">
        <v>32.47</v>
      </c>
      <c r="AK5405">
        <v>23.8</v>
      </c>
      <c r="AL5405">
        <v>-20.163666449999969</v>
      </c>
      <c r="AM5405">
        <v>-44.916102906827042</v>
      </c>
      <c r="AN5405">
        <v>-20.163666449999969</v>
      </c>
      <c r="AO5405">
        <v>-44.916102906827042</v>
      </c>
      <c r="AP5405">
        <v>-20.163709000000001</v>
      </c>
      <c r="AQ5405">
        <v>-44.916074999999999</v>
      </c>
      <c r="AR5405">
        <v>5.5623892025550603</v>
      </c>
      <c r="AS5405" t="s">
        <v>65</v>
      </c>
      <c r="AT5405">
        <v>1</v>
      </c>
      <c r="AU5405" t="s">
        <v>1516</v>
      </c>
      <c r="AV5405" t="s">
        <v>1517</v>
      </c>
      <c r="AW5405" t="s">
        <v>60</v>
      </c>
      <c r="AX5405" t="s">
        <v>68</v>
      </c>
      <c r="AY5405" t="s">
        <v>69</v>
      </c>
      <c r="AZ5405" t="b">
        <v>1</v>
      </c>
    </row>
    <row r="5406" spans="1:52" x14ac:dyDescent="0.3">
      <c r="A5406" t="s">
        <v>52</v>
      </c>
      <c r="B5406" t="s">
        <v>53</v>
      </c>
      <c r="C5406" t="s">
        <v>54</v>
      </c>
      <c r="D5406" t="s">
        <v>55</v>
      </c>
      <c r="E5406" t="s">
        <v>2278</v>
      </c>
      <c r="F5406" t="s">
        <v>1247</v>
      </c>
      <c r="G5406" t="s">
        <v>1524</v>
      </c>
      <c r="H5406" t="s">
        <v>1525</v>
      </c>
      <c r="I5406" t="s">
        <v>1525</v>
      </c>
      <c r="J5406" t="s">
        <v>60</v>
      </c>
      <c r="K5406" t="s">
        <v>1302</v>
      </c>
      <c r="L5406" t="s">
        <v>62</v>
      </c>
      <c r="M5406" t="s">
        <v>1302</v>
      </c>
      <c r="N5406" t="s">
        <v>1526</v>
      </c>
      <c r="O5406" t="s">
        <v>303</v>
      </c>
      <c r="P5406">
        <v>-20.159873000000001</v>
      </c>
      <c r="Q5406">
        <v>-44.911431999999998</v>
      </c>
      <c r="R5406" s="2" t="str">
        <f>HYPERLINK("https://www.google.com/maps?q=-20.1598730,-44.9114320","Abrir no Google Maps")</f>
        <v>Abrir no Google Maps</v>
      </c>
      <c r="S5406">
        <v>2</v>
      </c>
      <c r="T5406">
        <v>359.34785817593553</v>
      </c>
      <c r="U5406">
        <v>3</v>
      </c>
      <c r="V5406">
        <v>0.83361613876319751</v>
      </c>
      <c r="W5406">
        <v>1</v>
      </c>
      <c r="X5406">
        <v>0.83361613876319751</v>
      </c>
      <c r="Y5406">
        <v>639</v>
      </c>
      <c r="Z5406">
        <v>388.13505700247691</v>
      </c>
      <c r="AA5406">
        <v>198</v>
      </c>
      <c r="AB5406">
        <v>332</v>
      </c>
      <c r="AC5406">
        <v>536</v>
      </c>
      <c r="AD5406">
        <v>28.15</v>
      </c>
      <c r="AE5406">
        <v>542</v>
      </c>
      <c r="AF5406">
        <v>21</v>
      </c>
      <c r="AG5406">
        <v>176</v>
      </c>
      <c r="AH5406">
        <v>129</v>
      </c>
      <c r="AI5406">
        <v>3.87</v>
      </c>
      <c r="AJ5406">
        <v>32.47</v>
      </c>
      <c r="AK5406">
        <v>23.8</v>
      </c>
      <c r="AL5406">
        <v>-20.159583599999969</v>
      </c>
      <c r="AM5406">
        <v>-44.911691929105316</v>
      </c>
      <c r="AN5406">
        <v>-20.159583599999969</v>
      </c>
      <c r="AO5406">
        <v>-44.911691929105316</v>
      </c>
      <c r="AP5406">
        <v>-20.159873000000001</v>
      </c>
      <c r="AQ5406">
        <v>-44.911431999999998</v>
      </c>
      <c r="AR5406">
        <v>42.138811218570019</v>
      </c>
      <c r="AS5406" t="s">
        <v>65</v>
      </c>
      <c r="AT5406">
        <v>1</v>
      </c>
      <c r="AU5406" t="s">
        <v>1527</v>
      </c>
      <c r="AV5406" t="s">
        <v>1528</v>
      </c>
      <c r="AW5406" t="s">
        <v>60</v>
      </c>
      <c r="AX5406" t="s">
        <v>68</v>
      </c>
      <c r="AY5406" t="s">
        <v>69</v>
      </c>
      <c r="AZ5406" t="b">
        <v>1</v>
      </c>
    </row>
    <row r="5407" spans="1:52" x14ac:dyDescent="0.3">
      <c r="A5407" t="s">
        <v>52</v>
      </c>
      <c r="B5407" t="s">
        <v>53</v>
      </c>
      <c r="C5407" t="s">
        <v>54</v>
      </c>
      <c r="D5407" t="s">
        <v>55</v>
      </c>
      <c r="E5407" t="s">
        <v>2278</v>
      </c>
      <c r="F5407" t="s">
        <v>1247</v>
      </c>
      <c r="G5407" t="s">
        <v>1127</v>
      </c>
      <c r="H5407" t="s">
        <v>1455</v>
      </c>
      <c r="I5407" t="s">
        <v>1455</v>
      </c>
      <c r="J5407" t="s">
        <v>60</v>
      </c>
      <c r="K5407" t="s">
        <v>431</v>
      </c>
      <c r="L5407" t="s">
        <v>62</v>
      </c>
      <c r="M5407" t="s">
        <v>431</v>
      </c>
      <c r="N5407" t="s">
        <v>1456</v>
      </c>
      <c r="O5407" t="s">
        <v>1001</v>
      </c>
      <c r="P5407">
        <v>-20.168237999999999</v>
      </c>
      <c r="Q5407">
        <v>-44.924250999999998</v>
      </c>
      <c r="R5407" s="2" t="str">
        <f>HYPERLINK("https://www.google.com/maps?q=-20.1682380,-44.9242510","Abrir no Google Maps")</f>
        <v>Abrir no Google Maps</v>
      </c>
      <c r="S5407">
        <v>2</v>
      </c>
      <c r="T5407">
        <v>1220.188820430971</v>
      </c>
      <c r="U5407">
        <v>2</v>
      </c>
      <c r="V5407">
        <v>0.96377840909090917</v>
      </c>
      <c r="W5407">
        <v>0.85</v>
      </c>
      <c r="X5407">
        <v>0.81921164772727273</v>
      </c>
      <c r="Y5407">
        <v>723</v>
      </c>
      <c r="Z5407">
        <v>1092.4377883150901</v>
      </c>
      <c r="AA5407">
        <v>198</v>
      </c>
      <c r="AB5407">
        <v>332</v>
      </c>
      <c r="AC5407">
        <v>536</v>
      </c>
      <c r="AD5407">
        <v>28.15</v>
      </c>
      <c r="AE5407">
        <v>542</v>
      </c>
      <c r="AF5407">
        <v>21</v>
      </c>
      <c r="AG5407">
        <v>176</v>
      </c>
      <c r="AH5407">
        <v>129</v>
      </c>
      <c r="AI5407">
        <v>3.87</v>
      </c>
      <c r="AJ5407">
        <v>32.47</v>
      </c>
      <c r="AK5407">
        <v>23.8</v>
      </c>
      <c r="AL5407">
        <v>-20.168394999999951</v>
      </c>
      <c r="AM5407">
        <v>-44.923548168580673</v>
      </c>
      <c r="AN5407">
        <v>-20.168394999999951</v>
      </c>
      <c r="AO5407">
        <v>-44.923548168580673</v>
      </c>
      <c r="AP5407">
        <v>-20.168237999999999</v>
      </c>
      <c r="AQ5407">
        <v>-44.924250999999998</v>
      </c>
      <c r="AR5407">
        <v>75.492755104934275</v>
      </c>
      <c r="AS5407" t="s">
        <v>65</v>
      </c>
      <c r="AT5407">
        <v>1</v>
      </c>
      <c r="AU5407" t="s">
        <v>1457</v>
      </c>
      <c r="AV5407" t="s">
        <v>1458</v>
      </c>
      <c r="AW5407" t="s">
        <v>60</v>
      </c>
      <c r="AX5407" t="s">
        <v>68</v>
      </c>
      <c r="AY5407" t="s">
        <v>69</v>
      </c>
      <c r="AZ5407" t="b">
        <v>1</v>
      </c>
    </row>
    <row r="5408" spans="1:52" x14ac:dyDescent="0.3">
      <c r="A5408" t="s">
        <v>52</v>
      </c>
      <c r="B5408" t="s">
        <v>53</v>
      </c>
      <c r="C5408" t="s">
        <v>54</v>
      </c>
      <c r="D5408" t="s">
        <v>55</v>
      </c>
      <c r="E5408" t="s">
        <v>2278</v>
      </c>
      <c r="F5408" t="s">
        <v>1247</v>
      </c>
      <c r="G5408" t="s">
        <v>1554</v>
      </c>
      <c r="H5408" t="s">
        <v>1555</v>
      </c>
      <c r="I5408" t="s">
        <v>1555</v>
      </c>
      <c r="J5408" t="s">
        <v>60</v>
      </c>
      <c r="K5408" t="s">
        <v>1466</v>
      </c>
      <c r="L5408" t="s">
        <v>62</v>
      </c>
      <c r="M5408" t="s">
        <v>1466</v>
      </c>
      <c r="N5408" t="s">
        <v>1556</v>
      </c>
      <c r="O5408" t="s">
        <v>989</v>
      </c>
      <c r="P5408">
        <v>-20.160997999999999</v>
      </c>
      <c r="Q5408">
        <v>-44.878385999999999</v>
      </c>
      <c r="R5408" s="2" t="str">
        <f>HYPERLINK("https://www.google.com/maps?q=-20.1609980,-44.8783860","Abrir no Google Maps")</f>
        <v>Abrir no Google Maps</v>
      </c>
      <c r="S5408">
        <v>2</v>
      </c>
      <c r="T5408">
        <v>0</v>
      </c>
      <c r="U5408">
        <v>2</v>
      </c>
      <c r="V5408">
        <v>0.88089970501474912</v>
      </c>
      <c r="W5408">
        <v>0.85</v>
      </c>
      <c r="X5408">
        <v>0.74876474926253678</v>
      </c>
      <c r="Y5408">
        <v>671</v>
      </c>
      <c r="Z5408">
        <v>74.014802531188664</v>
      </c>
      <c r="AA5408">
        <v>198</v>
      </c>
      <c r="AB5408">
        <v>332</v>
      </c>
      <c r="AC5408">
        <v>536</v>
      </c>
      <c r="AD5408">
        <v>28.15</v>
      </c>
      <c r="AE5408">
        <v>542</v>
      </c>
      <c r="AF5408">
        <v>21</v>
      </c>
      <c r="AG5408">
        <v>176</v>
      </c>
      <c r="AH5408">
        <v>129</v>
      </c>
      <c r="AI5408">
        <v>3.87</v>
      </c>
      <c r="AJ5408">
        <v>32.47</v>
      </c>
      <c r="AK5408">
        <v>23.8</v>
      </c>
      <c r="AL5408">
        <v>-20.160758199999979</v>
      </c>
      <c r="AM5408">
        <v>-44.878032519747983</v>
      </c>
      <c r="AN5408">
        <v>-20.160758199999979</v>
      </c>
      <c r="AO5408">
        <v>-44.878032519747983</v>
      </c>
      <c r="AP5408">
        <v>-20.160997999999999</v>
      </c>
      <c r="AQ5408">
        <v>-44.878385999999999</v>
      </c>
      <c r="AR5408">
        <v>45.574638830261883</v>
      </c>
      <c r="AS5408" t="s">
        <v>65</v>
      </c>
      <c r="AT5408">
        <v>1</v>
      </c>
      <c r="AU5408" t="s">
        <v>1557</v>
      </c>
      <c r="AV5408" t="s">
        <v>1558</v>
      </c>
      <c r="AW5408" t="s">
        <v>60</v>
      </c>
      <c r="AX5408" t="s">
        <v>68</v>
      </c>
      <c r="AY5408" t="s">
        <v>69</v>
      </c>
      <c r="AZ5408" t="b">
        <v>1</v>
      </c>
    </row>
    <row r="5409" spans="1:52" x14ac:dyDescent="0.3">
      <c r="A5409" t="s">
        <v>52</v>
      </c>
      <c r="B5409" t="s">
        <v>53</v>
      </c>
      <c r="C5409" t="s">
        <v>54</v>
      </c>
      <c r="D5409" t="s">
        <v>55</v>
      </c>
      <c r="E5409" t="s">
        <v>2278</v>
      </c>
      <c r="F5409" t="s">
        <v>1247</v>
      </c>
      <c r="G5409" t="s">
        <v>1529</v>
      </c>
      <c r="H5409" t="s">
        <v>1530</v>
      </c>
      <c r="I5409" t="s">
        <v>1530</v>
      </c>
      <c r="J5409" t="s">
        <v>60</v>
      </c>
      <c r="K5409" t="s">
        <v>1466</v>
      </c>
      <c r="L5409" t="s">
        <v>62</v>
      </c>
      <c r="M5409" t="s">
        <v>1466</v>
      </c>
      <c r="N5409" t="s">
        <v>1531</v>
      </c>
      <c r="O5409" t="s">
        <v>145</v>
      </c>
      <c r="P5409">
        <v>-20.162952000000001</v>
      </c>
      <c r="Q5409">
        <v>-44.877612999999997</v>
      </c>
      <c r="R5409" s="2" t="str">
        <f>HYPERLINK("https://www.google.com/maps?q=-20.1629520,-44.8776130","Abrir no Google Maps")</f>
        <v>Abrir no Google Maps</v>
      </c>
      <c r="S5409">
        <v>2</v>
      </c>
      <c r="T5409">
        <v>229.91388913695721</v>
      </c>
      <c r="U5409">
        <v>2</v>
      </c>
      <c r="V5409">
        <v>0.89804292929292928</v>
      </c>
      <c r="W5409">
        <v>0.85</v>
      </c>
      <c r="X5409">
        <v>0.76333648989898983</v>
      </c>
      <c r="Y5409">
        <v>671</v>
      </c>
      <c r="Z5409">
        <v>157.6775523644973</v>
      </c>
      <c r="AA5409">
        <v>198</v>
      </c>
      <c r="AB5409">
        <v>332</v>
      </c>
      <c r="AC5409">
        <v>536</v>
      </c>
      <c r="AD5409">
        <v>28.15</v>
      </c>
      <c r="AE5409">
        <v>542</v>
      </c>
      <c r="AF5409">
        <v>21</v>
      </c>
      <c r="AG5409">
        <v>176</v>
      </c>
      <c r="AH5409">
        <v>129</v>
      </c>
      <c r="AI5409">
        <v>3.87</v>
      </c>
      <c r="AJ5409">
        <v>32.47</v>
      </c>
      <c r="AK5409">
        <v>23.8</v>
      </c>
      <c r="AL5409">
        <v>-20.16278829999996</v>
      </c>
      <c r="AM5409">
        <v>-44.877564655204168</v>
      </c>
      <c r="AN5409">
        <v>-20.16278829999996</v>
      </c>
      <c r="AO5409">
        <v>-44.877564655204168</v>
      </c>
      <c r="AP5409">
        <v>-20.162952000000001</v>
      </c>
      <c r="AQ5409">
        <v>-44.877612999999997</v>
      </c>
      <c r="AR5409">
        <v>18.91038935762678</v>
      </c>
      <c r="AS5409" t="s">
        <v>65</v>
      </c>
      <c r="AT5409">
        <v>1</v>
      </c>
      <c r="AU5409" t="s">
        <v>1532</v>
      </c>
      <c r="AV5409" t="s">
        <v>1533</v>
      </c>
      <c r="AW5409" t="s">
        <v>60</v>
      </c>
      <c r="AX5409" t="s">
        <v>68</v>
      </c>
      <c r="AY5409" t="s">
        <v>69</v>
      </c>
      <c r="AZ5409" t="b">
        <v>1</v>
      </c>
    </row>
    <row r="5410" spans="1:52" x14ac:dyDescent="0.3">
      <c r="A5410" t="s">
        <v>52</v>
      </c>
      <c r="B5410" t="s">
        <v>53</v>
      </c>
      <c r="C5410" t="s">
        <v>54</v>
      </c>
      <c r="D5410" t="s">
        <v>55</v>
      </c>
      <c r="E5410" t="s">
        <v>2278</v>
      </c>
      <c r="F5410" t="s">
        <v>1247</v>
      </c>
      <c r="G5410" t="s">
        <v>1547</v>
      </c>
      <c r="H5410" t="s">
        <v>1548</v>
      </c>
      <c r="I5410" t="s">
        <v>1548</v>
      </c>
      <c r="J5410" t="s">
        <v>60</v>
      </c>
      <c r="K5410" t="s">
        <v>1549</v>
      </c>
      <c r="L5410" t="s">
        <v>62</v>
      </c>
      <c r="M5410" t="s">
        <v>1549</v>
      </c>
      <c r="N5410" t="s">
        <v>1550</v>
      </c>
      <c r="O5410" t="s">
        <v>1551</v>
      </c>
      <c r="P5410">
        <v>-20.173258000000001</v>
      </c>
      <c r="Q5410">
        <v>-44.930354000000001</v>
      </c>
      <c r="R5410" s="2" t="str">
        <f>HYPERLINK("https://www.google.com/maps?q=-20.1732580,-44.9303540","Abrir no Google Maps")</f>
        <v>Abrir no Google Maps</v>
      </c>
      <c r="S5410">
        <v>2</v>
      </c>
      <c r="T5410">
        <v>2023.802197028052</v>
      </c>
      <c r="U5410">
        <v>1</v>
      </c>
      <c r="V5410">
        <v>0.80061728395061726</v>
      </c>
      <c r="W5410">
        <v>0.85</v>
      </c>
      <c r="X5410">
        <v>0.68052469135802462</v>
      </c>
      <c r="Y5410">
        <v>723</v>
      </c>
      <c r="Z5410">
        <v>1727.7445576555911</v>
      </c>
      <c r="AA5410">
        <v>198</v>
      </c>
      <c r="AB5410">
        <v>332</v>
      </c>
      <c r="AC5410">
        <v>536</v>
      </c>
      <c r="AD5410">
        <v>28.15</v>
      </c>
      <c r="AE5410">
        <v>542</v>
      </c>
      <c r="AF5410">
        <v>21</v>
      </c>
      <c r="AG5410">
        <v>176</v>
      </c>
      <c r="AH5410">
        <v>129</v>
      </c>
      <c r="AI5410">
        <v>3.87</v>
      </c>
      <c r="AJ5410">
        <v>32.47</v>
      </c>
      <c r="AK5410">
        <v>23.8</v>
      </c>
      <c r="AL5410">
        <v>-20.172996449999939</v>
      </c>
      <c r="AM5410">
        <v>-44.930058436825973</v>
      </c>
      <c r="AN5410">
        <v>-20.172996449999939</v>
      </c>
      <c r="AO5410">
        <v>-44.930058436825973</v>
      </c>
      <c r="AP5410">
        <v>-20.173258000000001</v>
      </c>
      <c r="AQ5410">
        <v>-44.930354000000001</v>
      </c>
      <c r="AR5410">
        <v>42.444455141884362</v>
      </c>
      <c r="AS5410" t="s">
        <v>65</v>
      </c>
      <c r="AT5410">
        <v>1</v>
      </c>
      <c r="AU5410" t="s">
        <v>1552</v>
      </c>
      <c r="AV5410" t="s">
        <v>1553</v>
      </c>
      <c r="AW5410" t="s">
        <v>60</v>
      </c>
      <c r="AX5410" t="s">
        <v>68</v>
      </c>
      <c r="AY5410" t="s">
        <v>69</v>
      </c>
      <c r="AZ5410" t="b">
        <v>1</v>
      </c>
    </row>
    <row r="5411" spans="1:52" x14ac:dyDescent="0.3">
      <c r="A5411" t="s">
        <v>52</v>
      </c>
      <c r="B5411" t="s">
        <v>53</v>
      </c>
      <c r="C5411" t="s">
        <v>54</v>
      </c>
      <c r="D5411" t="s">
        <v>55</v>
      </c>
      <c r="E5411" t="s">
        <v>2278</v>
      </c>
      <c r="F5411" t="s">
        <v>1247</v>
      </c>
      <c r="G5411" t="s">
        <v>1534</v>
      </c>
      <c r="H5411" t="s">
        <v>1535</v>
      </c>
      <c r="I5411" t="s">
        <v>1535</v>
      </c>
      <c r="J5411" t="s">
        <v>60</v>
      </c>
      <c r="K5411" t="s">
        <v>1536</v>
      </c>
      <c r="L5411" t="s">
        <v>62</v>
      </c>
      <c r="M5411" t="s">
        <v>1536</v>
      </c>
      <c r="N5411" t="s">
        <v>1537</v>
      </c>
      <c r="O5411" t="s">
        <v>1538</v>
      </c>
      <c r="P5411">
        <v>-20.164618999999998</v>
      </c>
      <c r="Q5411">
        <v>-44.921776999999999</v>
      </c>
      <c r="R5411" s="2" t="str">
        <f>HYPERLINK("https://www.google.com/maps?q=-20.1646190,-44.9217770","Abrir no Google Maps")</f>
        <v>Abrir no Google Maps</v>
      </c>
      <c r="S5411">
        <v>2</v>
      </c>
      <c r="T5411">
        <v>835.70698013544222</v>
      </c>
      <c r="U5411">
        <v>1</v>
      </c>
      <c r="V5411">
        <v>0.82785087719298245</v>
      </c>
      <c r="W5411">
        <v>0.85</v>
      </c>
      <c r="X5411">
        <v>0.7036732456140351</v>
      </c>
      <c r="Y5411">
        <v>639</v>
      </c>
      <c r="Z5411">
        <v>821.59880323911125</v>
      </c>
      <c r="AA5411">
        <v>198</v>
      </c>
      <c r="AB5411">
        <v>332</v>
      </c>
      <c r="AC5411">
        <v>536</v>
      </c>
      <c r="AD5411">
        <v>28.15</v>
      </c>
      <c r="AE5411">
        <v>542</v>
      </c>
      <c r="AF5411">
        <v>21</v>
      </c>
      <c r="AG5411">
        <v>176</v>
      </c>
      <c r="AH5411">
        <v>129</v>
      </c>
      <c r="AI5411">
        <v>3.87</v>
      </c>
      <c r="AJ5411">
        <v>32.47</v>
      </c>
      <c r="AK5411">
        <v>23.8</v>
      </c>
      <c r="AL5411">
        <v>-20.164312499999969</v>
      </c>
      <c r="AM5411">
        <v>-44.921945691824099</v>
      </c>
      <c r="AN5411">
        <v>-20.164312499999969</v>
      </c>
      <c r="AO5411">
        <v>-44.921945691824099</v>
      </c>
      <c r="AP5411">
        <v>-20.164618999999998</v>
      </c>
      <c r="AQ5411">
        <v>-44.921776999999999</v>
      </c>
      <c r="AR5411">
        <v>38.404224975746608</v>
      </c>
      <c r="AS5411" t="s">
        <v>65</v>
      </c>
      <c r="AT5411">
        <v>1</v>
      </c>
      <c r="AU5411" t="s">
        <v>1539</v>
      </c>
      <c r="AV5411" t="s">
        <v>1540</v>
      </c>
      <c r="AW5411" t="s">
        <v>60</v>
      </c>
      <c r="AX5411" t="s">
        <v>68</v>
      </c>
      <c r="AY5411" t="s">
        <v>69</v>
      </c>
      <c r="AZ5411" t="b">
        <v>1</v>
      </c>
    </row>
    <row r="5412" spans="1:52" x14ac:dyDescent="0.3">
      <c r="A5412" t="s">
        <v>52</v>
      </c>
      <c r="B5412" t="s">
        <v>53</v>
      </c>
      <c r="C5412" t="s">
        <v>54</v>
      </c>
      <c r="D5412" t="s">
        <v>55</v>
      </c>
      <c r="E5412" t="s">
        <v>2278</v>
      </c>
      <c r="F5412" t="s">
        <v>1247</v>
      </c>
      <c r="G5412" t="s">
        <v>1541</v>
      </c>
      <c r="H5412" t="s">
        <v>1542</v>
      </c>
      <c r="I5412" t="s">
        <v>1542</v>
      </c>
      <c r="J5412" t="s">
        <v>60</v>
      </c>
      <c r="K5412" t="s">
        <v>1302</v>
      </c>
      <c r="L5412" t="s">
        <v>62</v>
      </c>
      <c r="M5412" t="s">
        <v>1302</v>
      </c>
      <c r="N5412" t="s">
        <v>1543</v>
      </c>
      <c r="O5412" t="s">
        <v>1544</v>
      </c>
      <c r="P5412">
        <v>-20.166267999999999</v>
      </c>
      <c r="Q5412">
        <v>-44.916902</v>
      </c>
      <c r="R5412" s="2" t="str">
        <f>HYPERLINK("https://www.google.com/maps?q=-20.1662680,-44.9169020","Abrir no Google Maps")</f>
        <v>Abrir no Google Maps</v>
      </c>
      <c r="S5412">
        <v>2</v>
      </c>
      <c r="T5412">
        <v>580.14556008922216</v>
      </c>
      <c r="U5412">
        <v>1</v>
      </c>
      <c r="V5412">
        <v>0.85594315245478036</v>
      </c>
      <c r="W5412">
        <v>0.85</v>
      </c>
      <c r="X5412">
        <v>0.7275516795865633</v>
      </c>
      <c r="Y5412">
        <v>639</v>
      </c>
      <c r="Z5412">
        <v>590.87477783185614</v>
      </c>
      <c r="AA5412">
        <v>198</v>
      </c>
      <c r="AB5412">
        <v>332</v>
      </c>
      <c r="AC5412">
        <v>536</v>
      </c>
      <c r="AD5412">
        <v>28.15</v>
      </c>
      <c r="AE5412">
        <v>542</v>
      </c>
      <c r="AF5412">
        <v>21</v>
      </c>
      <c r="AG5412">
        <v>176</v>
      </c>
      <c r="AH5412">
        <v>129</v>
      </c>
      <c r="AI5412">
        <v>3.87</v>
      </c>
      <c r="AJ5412">
        <v>32.47</v>
      </c>
      <c r="AK5412">
        <v>23.8</v>
      </c>
      <c r="AL5412">
        <v>-20.165891749999961</v>
      </c>
      <c r="AM5412">
        <v>-44.917283075074913</v>
      </c>
      <c r="AN5412">
        <v>-20.165891749999961</v>
      </c>
      <c r="AO5412">
        <v>-44.917283075074913</v>
      </c>
      <c r="AP5412">
        <v>-20.166267999999999</v>
      </c>
      <c r="AQ5412">
        <v>-44.916902</v>
      </c>
      <c r="AR5412">
        <v>57.792534087281872</v>
      </c>
      <c r="AS5412" t="s">
        <v>65</v>
      </c>
      <c r="AT5412">
        <v>1</v>
      </c>
      <c r="AU5412" t="s">
        <v>1545</v>
      </c>
      <c r="AV5412" t="s">
        <v>1546</v>
      </c>
      <c r="AW5412" t="s">
        <v>60</v>
      </c>
      <c r="AX5412" t="s">
        <v>68</v>
      </c>
      <c r="AY5412" t="s">
        <v>69</v>
      </c>
      <c r="AZ5412" t="b">
        <v>1</v>
      </c>
    </row>
    <row r="5413" spans="1:52" x14ac:dyDescent="0.3">
      <c r="A5413" t="s">
        <v>52</v>
      </c>
      <c r="B5413" t="s">
        <v>53</v>
      </c>
      <c r="C5413" t="s">
        <v>54</v>
      </c>
      <c r="D5413" t="s">
        <v>55</v>
      </c>
      <c r="E5413" t="s">
        <v>2278</v>
      </c>
      <c r="F5413" t="s">
        <v>1247</v>
      </c>
      <c r="G5413" t="s">
        <v>1559</v>
      </c>
      <c r="H5413" t="s">
        <v>1560</v>
      </c>
      <c r="I5413" t="s">
        <v>1560</v>
      </c>
      <c r="J5413" t="s">
        <v>60</v>
      </c>
      <c r="K5413" t="s">
        <v>61</v>
      </c>
      <c r="L5413" t="s">
        <v>62</v>
      </c>
      <c r="M5413" t="s">
        <v>61</v>
      </c>
      <c r="N5413" t="s">
        <v>1561</v>
      </c>
      <c r="O5413" t="s">
        <v>1562</v>
      </c>
      <c r="P5413">
        <v>-20.154959000000002</v>
      </c>
      <c r="Q5413">
        <v>-44.91525</v>
      </c>
      <c r="R5413" s="2" t="str">
        <f>HYPERLINK("https://www.google.com/maps?q=-20.1549590,-44.9152500","Abrir no Google Maps")</f>
        <v>Abrir no Google Maps</v>
      </c>
      <c r="S5413">
        <v>2</v>
      </c>
      <c r="T5413">
        <v>738.36411213380245</v>
      </c>
      <c r="U5413">
        <v>1</v>
      </c>
      <c r="V5413">
        <v>0.45833333333333331</v>
      </c>
      <c r="W5413">
        <v>0.85</v>
      </c>
      <c r="X5413">
        <v>0.38958333333333328</v>
      </c>
      <c r="Y5413">
        <v>639</v>
      </c>
      <c r="Z5413">
        <v>860.82840850294542</v>
      </c>
      <c r="AA5413">
        <v>198</v>
      </c>
      <c r="AB5413">
        <v>332</v>
      </c>
      <c r="AC5413">
        <v>536</v>
      </c>
      <c r="AD5413">
        <v>28.15</v>
      </c>
      <c r="AE5413">
        <v>542</v>
      </c>
      <c r="AF5413">
        <v>21</v>
      </c>
      <c r="AG5413">
        <v>176</v>
      </c>
      <c r="AH5413">
        <v>129</v>
      </c>
      <c r="AI5413">
        <v>3.87</v>
      </c>
      <c r="AJ5413">
        <v>32.47</v>
      </c>
      <c r="AK5413">
        <v>23.8</v>
      </c>
      <c r="AL5413">
        <v>-20.154629849999939</v>
      </c>
      <c r="AM5413">
        <v>-44.914951620624052</v>
      </c>
      <c r="AN5413">
        <v>-20.154629849999939</v>
      </c>
      <c r="AO5413">
        <v>-44.914951620624052</v>
      </c>
      <c r="AP5413">
        <v>-20.154959000000002</v>
      </c>
      <c r="AQ5413">
        <v>-44.91525</v>
      </c>
      <c r="AR5413">
        <v>48.11297170616912</v>
      </c>
      <c r="AS5413" t="s">
        <v>65</v>
      </c>
      <c r="AT5413">
        <v>1</v>
      </c>
      <c r="AU5413" t="s">
        <v>1563</v>
      </c>
      <c r="AV5413" t="s">
        <v>1564</v>
      </c>
      <c r="AW5413" t="s">
        <v>60</v>
      </c>
      <c r="AX5413" t="s">
        <v>68</v>
      </c>
      <c r="AY5413" t="s">
        <v>69</v>
      </c>
      <c r="AZ5413" t="b">
        <v>1</v>
      </c>
    </row>
    <row r="5414" spans="1:52" x14ac:dyDescent="0.3">
      <c r="A5414" t="s">
        <v>52</v>
      </c>
      <c r="B5414" t="s">
        <v>53</v>
      </c>
      <c r="C5414" t="s">
        <v>54</v>
      </c>
      <c r="D5414" t="s">
        <v>55</v>
      </c>
      <c r="E5414" t="s">
        <v>2278</v>
      </c>
      <c r="F5414" t="s">
        <v>1247</v>
      </c>
      <c r="G5414" t="s">
        <v>1607</v>
      </c>
      <c r="H5414" t="s">
        <v>1608</v>
      </c>
      <c r="I5414" t="s">
        <v>1608</v>
      </c>
      <c r="J5414" t="s">
        <v>60</v>
      </c>
      <c r="K5414" t="s">
        <v>1486</v>
      </c>
      <c r="L5414" t="s">
        <v>62</v>
      </c>
      <c r="M5414" t="s">
        <v>1486</v>
      </c>
      <c r="N5414" t="s">
        <v>1609</v>
      </c>
      <c r="O5414" t="s">
        <v>1255</v>
      </c>
      <c r="P5414">
        <v>-20.157689000000001</v>
      </c>
      <c r="Q5414">
        <v>-44.883887000000001</v>
      </c>
      <c r="R5414" s="2" t="str">
        <f>HYPERLINK("https://www.google.com/maps?q=-20.1576890,-44.8838870","Abrir no Google Maps")</f>
        <v>Abrir no Google Maps</v>
      </c>
      <c r="S5414">
        <v>1</v>
      </c>
      <c r="T5414">
        <v>603.38424821205774</v>
      </c>
      <c r="U5414">
        <v>4</v>
      </c>
      <c r="V5414">
        <v>0.88360023724792403</v>
      </c>
      <c r="W5414">
        <v>1</v>
      </c>
      <c r="X5414">
        <v>0.88360023724792403</v>
      </c>
      <c r="Y5414">
        <v>671</v>
      </c>
      <c r="Z5414">
        <v>682.48636898467089</v>
      </c>
      <c r="AA5414">
        <v>198</v>
      </c>
      <c r="AB5414">
        <v>332</v>
      </c>
      <c r="AC5414">
        <v>536</v>
      </c>
      <c r="AD5414">
        <v>28.15</v>
      </c>
      <c r="AE5414">
        <v>542</v>
      </c>
      <c r="AF5414">
        <v>21</v>
      </c>
      <c r="AG5414">
        <v>176</v>
      </c>
      <c r="AH5414">
        <v>129</v>
      </c>
      <c r="AI5414">
        <v>3.87</v>
      </c>
      <c r="AJ5414">
        <v>32.47</v>
      </c>
      <c r="AK5414">
        <v>23.8</v>
      </c>
      <c r="AL5414">
        <v>-20.157732249999949</v>
      </c>
      <c r="AM5414">
        <v>-44.883829923283272</v>
      </c>
      <c r="AN5414">
        <v>-20.157732249999949</v>
      </c>
      <c r="AO5414">
        <v>-44.883829923283272</v>
      </c>
      <c r="AP5414">
        <v>-20.157689000000001</v>
      </c>
      <c r="AQ5414">
        <v>-44.883887000000001</v>
      </c>
      <c r="AR5414">
        <v>7.6652901074925257</v>
      </c>
      <c r="AS5414" t="s">
        <v>65</v>
      </c>
      <c r="AT5414">
        <v>1</v>
      </c>
      <c r="AU5414" t="s">
        <v>1610</v>
      </c>
      <c r="AV5414" t="s">
        <v>1611</v>
      </c>
      <c r="AW5414" t="s">
        <v>60</v>
      </c>
      <c r="AX5414" t="s">
        <v>68</v>
      </c>
      <c r="AY5414" t="s">
        <v>69</v>
      </c>
      <c r="AZ5414" t="b">
        <v>1</v>
      </c>
    </row>
    <row r="5415" spans="1:52" x14ac:dyDescent="0.3">
      <c r="A5415" t="s">
        <v>52</v>
      </c>
      <c r="B5415" t="s">
        <v>53</v>
      </c>
      <c r="C5415" t="s">
        <v>54</v>
      </c>
      <c r="D5415" t="s">
        <v>55</v>
      </c>
      <c r="E5415" t="s">
        <v>2278</v>
      </c>
      <c r="F5415" t="s">
        <v>1247</v>
      </c>
      <c r="G5415" t="s">
        <v>631</v>
      </c>
      <c r="H5415" t="s">
        <v>1565</v>
      </c>
      <c r="I5415" t="s">
        <v>1565</v>
      </c>
      <c r="J5415" t="s">
        <v>60</v>
      </c>
      <c r="K5415" t="s">
        <v>530</v>
      </c>
      <c r="L5415" t="s">
        <v>62</v>
      </c>
      <c r="M5415" t="s">
        <v>530</v>
      </c>
      <c r="N5415" t="s">
        <v>633</v>
      </c>
      <c r="O5415" t="s">
        <v>1566</v>
      </c>
      <c r="P5415">
        <v>-20.143915</v>
      </c>
      <c r="Q5415">
        <v>-44.8947</v>
      </c>
      <c r="R5415" s="2" t="str">
        <f>HYPERLINK("https://www.google.com/maps?q=-20.1439150,-44.8947000","Abrir no Google Maps")</f>
        <v>Abrir no Google Maps</v>
      </c>
      <c r="S5415">
        <v>1</v>
      </c>
      <c r="T5415">
        <v>327.74435325417051</v>
      </c>
      <c r="U5415">
        <v>4</v>
      </c>
      <c r="V5415">
        <v>0.98499999999999999</v>
      </c>
      <c r="W5415">
        <v>1</v>
      </c>
      <c r="X5415">
        <v>0.98499999999999999</v>
      </c>
      <c r="Y5415">
        <v>602</v>
      </c>
      <c r="Z5415">
        <v>236.41345279429891</v>
      </c>
      <c r="AA5415">
        <v>198</v>
      </c>
      <c r="AB5415">
        <v>332</v>
      </c>
      <c r="AC5415">
        <v>536</v>
      </c>
      <c r="AD5415">
        <v>28.15</v>
      </c>
      <c r="AE5415">
        <v>542</v>
      </c>
      <c r="AF5415">
        <v>21</v>
      </c>
      <c r="AG5415">
        <v>176</v>
      </c>
      <c r="AH5415">
        <v>129</v>
      </c>
      <c r="AI5415">
        <v>3.87</v>
      </c>
      <c r="AJ5415">
        <v>32.47</v>
      </c>
      <c r="AK5415">
        <v>23.8</v>
      </c>
      <c r="AL5415">
        <v>-20.143900549999959</v>
      </c>
      <c r="AM5415">
        <v>-44.894835636584318</v>
      </c>
      <c r="AN5415">
        <v>-20.143900549999959</v>
      </c>
      <c r="AO5415">
        <v>-44.894835636584318</v>
      </c>
      <c r="AP5415">
        <v>-20.143915</v>
      </c>
      <c r="AQ5415">
        <v>-44.8947</v>
      </c>
      <c r="AR5415">
        <v>14.266440053785869</v>
      </c>
      <c r="AS5415" t="s">
        <v>65</v>
      </c>
      <c r="AT5415">
        <v>1</v>
      </c>
      <c r="AU5415" t="s">
        <v>1567</v>
      </c>
      <c r="AV5415" t="s">
        <v>1568</v>
      </c>
      <c r="AW5415" t="s">
        <v>60</v>
      </c>
      <c r="AX5415" t="s">
        <v>68</v>
      </c>
      <c r="AY5415" t="s">
        <v>69</v>
      </c>
      <c r="AZ5415" t="b">
        <v>1</v>
      </c>
    </row>
    <row r="5416" spans="1:52" x14ac:dyDescent="0.3">
      <c r="A5416" t="s">
        <v>52</v>
      </c>
      <c r="B5416" t="s">
        <v>53</v>
      </c>
      <c r="C5416" t="s">
        <v>54</v>
      </c>
      <c r="D5416" t="s">
        <v>55</v>
      </c>
      <c r="E5416" t="s">
        <v>2278</v>
      </c>
      <c r="F5416" t="s">
        <v>1247</v>
      </c>
      <c r="G5416" t="s">
        <v>1569</v>
      </c>
      <c r="H5416" t="s">
        <v>1574</v>
      </c>
      <c r="I5416" t="s">
        <v>1574</v>
      </c>
      <c r="J5416" t="s">
        <v>60</v>
      </c>
      <c r="K5416" t="s">
        <v>530</v>
      </c>
      <c r="L5416" t="s">
        <v>62</v>
      </c>
      <c r="M5416" t="s">
        <v>530</v>
      </c>
      <c r="N5416" t="s">
        <v>1571</v>
      </c>
      <c r="O5416" t="s">
        <v>1575</v>
      </c>
      <c r="P5416">
        <v>-20.14554</v>
      </c>
      <c r="Q5416">
        <v>-44.895606000000001</v>
      </c>
      <c r="R5416" s="2" t="str">
        <f>HYPERLINK("https://www.google.com/maps?q=-20.1455400,-44.8956060","Abrir no Google Maps")</f>
        <v>Abrir no Google Maps</v>
      </c>
      <c r="S5416">
        <v>1</v>
      </c>
      <c r="T5416">
        <v>218.66647838959381</v>
      </c>
      <c r="U5416">
        <v>4</v>
      </c>
      <c r="V5416">
        <v>0.982051282051282</v>
      </c>
      <c r="W5416">
        <v>1</v>
      </c>
      <c r="X5416">
        <v>0.982051282051282</v>
      </c>
      <c r="Y5416">
        <v>602</v>
      </c>
      <c r="Z5416">
        <v>263.6501043391637</v>
      </c>
      <c r="AA5416">
        <v>198</v>
      </c>
      <c r="AB5416">
        <v>332</v>
      </c>
      <c r="AC5416">
        <v>536</v>
      </c>
      <c r="AD5416">
        <v>28.15</v>
      </c>
      <c r="AE5416">
        <v>542</v>
      </c>
      <c r="AF5416">
        <v>21</v>
      </c>
      <c r="AG5416">
        <v>176</v>
      </c>
      <c r="AH5416">
        <v>129</v>
      </c>
      <c r="AI5416">
        <v>3.87</v>
      </c>
      <c r="AJ5416">
        <v>32.47</v>
      </c>
      <c r="AK5416">
        <v>23.8</v>
      </c>
      <c r="AL5416">
        <v>-20.145504749999962</v>
      </c>
      <c r="AM5416">
        <v>-44.89561499588882</v>
      </c>
      <c r="AN5416">
        <v>-20.145504749999962</v>
      </c>
      <c r="AO5416">
        <v>-44.89561499588882</v>
      </c>
      <c r="AP5416">
        <v>-20.14554</v>
      </c>
      <c r="AQ5416">
        <v>-44.895606000000001</v>
      </c>
      <c r="AR5416">
        <v>4.0350843151508604</v>
      </c>
      <c r="AS5416" t="s">
        <v>65</v>
      </c>
      <c r="AT5416">
        <v>1</v>
      </c>
      <c r="AU5416" t="s">
        <v>1576</v>
      </c>
      <c r="AV5416" t="s">
        <v>1577</v>
      </c>
      <c r="AW5416" t="s">
        <v>60</v>
      </c>
      <c r="AX5416" t="s">
        <v>68</v>
      </c>
      <c r="AY5416" t="s">
        <v>69</v>
      </c>
      <c r="AZ5416" t="b">
        <v>1</v>
      </c>
    </row>
    <row r="5417" spans="1:52" x14ac:dyDescent="0.3">
      <c r="A5417" t="s">
        <v>52</v>
      </c>
      <c r="B5417" t="s">
        <v>53</v>
      </c>
      <c r="C5417" t="s">
        <v>54</v>
      </c>
      <c r="D5417" t="s">
        <v>55</v>
      </c>
      <c r="E5417" t="s">
        <v>2278</v>
      </c>
      <c r="F5417" t="s">
        <v>1247</v>
      </c>
      <c r="G5417" t="s">
        <v>1578</v>
      </c>
      <c r="H5417" t="s">
        <v>1579</v>
      </c>
      <c r="I5417" t="s">
        <v>1579</v>
      </c>
      <c r="J5417" t="s">
        <v>60</v>
      </c>
      <c r="K5417" t="s">
        <v>530</v>
      </c>
      <c r="L5417" t="s">
        <v>62</v>
      </c>
      <c r="M5417" t="s">
        <v>530</v>
      </c>
      <c r="N5417" t="s">
        <v>1580</v>
      </c>
      <c r="O5417" t="s">
        <v>1581</v>
      </c>
      <c r="P5417">
        <v>-20.143713999999999</v>
      </c>
      <c r="Q5417">
        <v>-44.897387999999999</v>
      </c>
      <c r="R5417" s="2" t="str">
        <f>HYPERLINK("https://www.google.com/maps?q=-20.1437140,-44.8973880","Abrir no Google Maps")</f>
        <v>Abrir no Google Maps</v>
      </c>
      <c r="S5417">
        <v>1</v>
      </c>
      <c r="T5417">
        <v>354.74438118735611</v>
      </c>
      <c r="U5417">
        <v>4</v>
      </c>
      <c r="V5417">
        <v>0.98829787234042543</v>
      </c>
      <c r="W5417">
        <v>1</v>
      </c>
      <c r="X5417">
        <v>0.98829787234042543</v>
      </c>
      <c r="Y5417">
        <v>588</v>
      </c>
      <c r="Z5417">
        <v>336.29881064197872</v>
      </c>
      <c r="AA5417">
        <v>198</v>
      </c>
      <c r="AB5417">
        <v>332</v>
      </c>
      <c r="AC5417">
        <v>536</v>
      </c>
      <c r="AD5417">
        <v>28.15</v>
      </c>
      <c r="AE5417">
        <v>542</v>
      </c>
      <c r="AF5417">
        <v>21</v>
      </c>
      <c r="AG5417">
        <v>176</v>
      </c>
      <c r="AH5417">
        <v>129</v>
      </c>
      <c r="AI5417">
        <v>3.87</v>
      </c>
      <c r="AJ5417">
        <v>32.47</v>
      </c>
      <c r="AK5417">
        <v>23.8</v>
      </c>
      <c r="AL5417">
        <v>-20.14371329999997</v>
      </c>
      <c r="AM5417">
        <v>-44.897384604125257</v>
      </c>
      <c r="AN5417">
        <v>-20.14371329999997</v>
      </c>
      <c r="AO5417">
        <v>-44.897384604125257</v>
      </c>
      <c r="AP5417">
        <v>-20.143713999999999</v>
      </c>
      <c r="AQ5417">
        <v>-44.897387999999999</v>
      </c>
      <c r="AR5417">
        <v>0.36335934693921551</v>
      </c>
      <c r="AS5417" t="s">
        <v>65</v>
      </c>
      <c r="AT5417">
        <v>1</v>
      </c>
      <c r="AU5417" t="s">
        <v>1582</v>
      </c>
      <c r="AV5417" t="s">
        <v>1583</v>
      </c>
      <c r="AW5417" t="s">
        <v>60</v>
      </c>
      <c r="AX5417" t="s">
        <v>68</v>
      </c>
      <c r="AY5417" t="s">
        <v>69</v>
      </c>
      <c r="AZ5417" t="b">
        <v>1</v>
      </c>
    </row>
    <row r="5418" spans="1:52" x14ac:dyDescent="0.3">
      <c r="A5418" t="s">
        <v>52</v>
      </c>
      <c r="B5418" t="s">
        <v>53</v>
      </c>
      <c r="C5418" t="s">
        <v>54</v>
      </c>
      <c r="D5418" t="s">
        <v>55</v>
      </c>
      <c r="E5418" t="s">
        <v>2278</v>
      </c>
      <c r="F5418" t="s">
        <v>1247</v>
      </c>
      <c r="G5418" t="s">
        <v>1584</v>
      </c>
      <c r="H5418" t="s">
        <v>1585</v>
      </c>
      <c r="I5418" t="s">
        <v>1585</v>
      </c>
      <c r="J5418" t="s">
        <v>60</v>
      </c>
      <c r="K5418" t="s">
        <v>530</v>
      </c>
      <c r="L5418" t="s">
        <v>62</v>
      </c>
      <c r="M5418" t="s">
        <v>530</v>
      </c>
      <c r="N5418" t="s">
        <v>406</v>
      </c>
      <c r="O5418" t="s">
        <v>1586</v>
      </c>
      <c r="P5418">
        <v>-20.141316</v>
      </c>
      <c r="Q5418">
        <v>-44.896424000000003</v>
      </c>
      <c r="R5418" s="2" t="str">
        <f>HYPERLINK("https://www.google.com/maps?q=-20.1413160,-44.8964240","Abrir no Google Maps")</f>
        <v>Abrir no Google Maps</v>
      </c>
      <c r="S5418">
        <v>1</v>
      </c>
      <c r="T5418">
        <v>236.6687095166524</v>
      </c>
      <c r="U5418">
        <v>4</v>
      </c>
      <c r="V5418">
        <v>0.97671070460704601</v>
      </c>
      <c r="W5418">
        <v>1</v>
      </c>
      <c r="X5418">
        <v>0.97671070460704601</v>
      </c>
      <c r="Y5418">
        <v>588</v>
      </c>
      <c r="Z5418">
        <v>255.50729797374251</v>
      </c>
      <c r="AA5418">
        <v>198</v>
      </c>
      <c r="AB5418">
        <v>332</v>
      </c>
      <c r="AC5418">
        <v>536</v>
      </c>
      <c r="AD5418">
        <v>28.15</v>
      </c>
      <c r="AE5418">
        <v>542</v>
      </c>
      <c r="AF5418">
        <v>21</v>
      </c>
      <c r="AG5418">
        <v>176</v>
      </c>
      <c r="AH5418">
        <v>129</v>
      </c>
      <c r="AI5418">
        <v>3.87</v>
      </c>
      <c r="AJ5418">
        <v>32.47</v>
      </c>
      <c r="AK5418">
        <v>23.8</v>
      </c>
      <c r="AL5418">
        <v>-20.141468299999961</v>
      </c>
      <c r="AM5418">
        <v>-44.896566678331098</v>
      </c>
      <c r="AN5418">
        <v>-20.141468299999961</v>
      </c>
      <c r="AO5418">
        <v>-44.896566678331098</v>
      </c>
      <c r="AP5418">
        <v>-20.141316</v>
      </c>
      <c r="AQ5418">
        <v>-44.896424000000003</v>
      </c>
      <c r="AR5418">
        <v>22.578666373759301</v>
      </c>
      <c r="AS5418" t="s">
        <v>65</v>
      </c>
      <c r="AT5418">
        <v>1</v>
      </c>
      <c r="AU5418" t="s">
        <v>1587</v>
      </c>
      <c r="AV5418" t="s">
        <v>1588</v>
      </c>
      <c r="AW5418" t="s">
        <v>60</v>
      </c>
      <c r="AX5418" t="s">
        <v>68</v>
      </c>
      <c r="AY5418" t="s">
        <v>69</v>
      </c>
      <c r="AZ5418" t="b">
        <v>1</v>
      </c>
    </row>
    <row r="5419" spans="1:52" x14ac:dyDescent="0.3">
      <c r="A5419" t="s">
        <v>52</v>
      </c>
      <c r="B5419" t="s">
        <v>53</v>
      </c>
      <c r="C5419" t="s">
        <v>54</v>
      </c>
      <c r="D5419" t="s">
        <v>55</v>
      </c>
      <c r="E5419" t="s">
        <v>2278</v>
      </c>
      <c r="F5419" t="s">
        <v>1247</v>
      </c>
      <c r="G5419" t="s">
        <v>1589</v>
      </c>
      <c r="H5419" t="s">
        <v>1590</v>
      </c>
      <c r="I5419" t="s">
        <v>1590</v>
      </c>
      <c r="J5419" t="s">
        <v>60</v>
      </c>
      <c r="K5419" t="s">
        <v>1591</v>
      </c>
      <c r="L5419" t="s">
        <v>62</v>
      </c>
      <c r="M5419" t="s">
        <v>1591</v>
      </c>
      <c r="N5419" t="s">
        <v>1592</v>
      </c>
      <c r="O5419" t="s">
        <v>659</v>
      </c>
      <c r="P5419">
        <v>-20.140789000000002</v>
      </c>
      <c r="Q5419">
        <v>-44.898631000000002</v>
      </c>
      <c r="R5419" s="2" t="str">
        <f>HYPERLINK("https://www.google.com/maps?q=-20.1407890,-44.8986310","Abrir no Google Maps")</f>
        <v>Abrir no Google Maps</v>
      </c>
      <c r="S5419">
        <v>1</v>
      </c>
      <c r="T5419">
        <v>0</v>
      </c>
      <c r="U5419">
        <v>4</v>
      </c>
      <c r="V5419">
        <v>0.95182761732851984</v>
      </c>
      <c r="W5419">
        <v>1</v>
      </c>
      <c r="X5419">
        <v>0.95182761732851984</v>
      </c>
      <c r="Y5419">
        <v>588</v>
      </c>
      <c r="Z5419">
        <v>51.152636251897107</v>
      </c>
      <c r="AA5419">
        <v>198</v>
      </c>
      <c r="AB5419">
        <v>332</v>
      </c>
      <c r="AC5419">
        <v>536</v>
      </c>
      <c r="AD5419">
        <v>28.15</v>
      </c>
      <c r="AE5419">
        <v>542</v>
      </c>
      <c r="AF5419">
        <v>21</v>
      </c>
      <c r="AG5419">
        <v>176</v>
      </c>
      <c r="AH5419">
        <v>129</v>
      </c>
      <c r="AI5419">
        <v>3.87</v>
      </c>
      <c r="AJ5419">
        <v>32.47</v>
      </c>
      <c r="AK5419">
        <v>23.8</v>
      </c>
      <c r="AL5419">
        <v>-20.140759399999951</v>
      </c>
      <c r="AM5419">
        <v>-44.898703172474903</v>
      </c>
      <c r="AN5419">
        <v>-20.140759399999951</v>
      </c>
      <c r="AO5419">
        <v>-44.898703172474903</v>
      </c>
      <c r="AP5419">
        <v>-20.140789000000002</v>
      </c>
      <c r="AQ5419">
        <v>-44.898631000000002</v>
      </c>
      <c r="AR5419">
        <v>8.2312502179962053</v>
      </c>
      <c r="AS5419" t="s">
        <v>65</v>
      </c>
      <c r="AT5419">
        <v>1</v>
      </c>
      <c r="AU5419" t="s">
        <v>1593</v>
      </c>
      <c r="AV5419" t="s">
        <v>1594</v>
      </c>
      <c r="AW5419" t="s">
        <v>60</v>
      </c>
      <c r="AX5419" t="s">
        <v>68</v>
      </c>
      <c r="AY5419" t="s">
        <v>69</v>
      </c>
      <c r="AZ5419" t="b">
        <v>1</v>
      </c>
    </row>
    <row r="5420" spans="1:52" x14ac:dyDescent="0.3">
      <c r="A5420" t="s">
        <v>52</v>
      </c>
      <c r="B5420" t="s">
        <v>53</v>
      </c>
      <c r="C5420" t="s">
        <v>54</v>
      </c>
      <c r="D5420" t="s">
        <v>55</v>
      </c>
      <c r="E5420" t="s">
        <v>2278</v>
      </c>
      <c r="F5420" t="s">
        <v>1247</v>
      </c>
      <c r="G5420" t="s">
        <v>1595</v>
      </c>
      <c r="H5420" t="s">
        <v>1596</v>
      </c>
      <c r="I5420" t="s">
        <v>1596</v>
      </c>
      <c r="J5420" t="s">
        <v>60</v>
      </c>
      <c r="K5420" t="s">
        <v>530</v>
      </c>
      <c r="L5420" t="s">
        <v>62</v>
      </c>
      <c r="M5420" t="s">
        <v>530</v>
      </c>
      <c r="N5420" t="s">
        <v>1006</v>
      </c>
      <c r="O5420" t="s">
        <v>1597</v>
      </c>
      <c r="P5420">
        <v>-20.139135</v>
      </c>
      <c r="Q5420">
        <v>-44.895907000000001</v>
      </c>
      <c r="R5420" s="2" t="str">
        <f>HYPERLINK("https://www.google.com/maps?q=-20.1391350,-44.8959070","Abrir no Google Maps")</f>
        <v>Abrir no Google Maps</v>
      </c>
      <c r="S5420">
        <v>1</v>
      </c>
      <c r="T5420">
        <v>324.98342996447241</v>
      </c>
      <c r="U5420">
        <v>4</v>
      </c>
      <c r="V5420">
        <v>0.97621681415929196</v>
      </c>
      <c r="W5420">
        <v>1</v>
      </c>
      <c r="X5420">
        <v>0.97621681415929196</v>
      </c>
      <c r="Y5420">
        <v>588</v>
      </c>
      <c r="Z5420">
        <v>411.69998599301618</v>
      </c>
      <c r="AA5420">
        <v>198</v>
      </c>
      <c r="AB5420">
        <v>332</v>
      </c>
      <c r="AC5420">
        <v>536</v>
      </c>
      <c r="AD5420">
        <v>28.15</v>
      </c>
      <c r="AE5420">
        <v>542</v>
      </c>
      <c r="AF5420">
        <v>21</v>
      </c>
      <c r="AG5420">
        <v>176</v>
      </c>
      <c r="AH5420">
        <v>129</v>
      </c>
      <c r="AI5420">
        <v>3.87</v>
      </c>
      <c r="AJ5420">
        <v>32.47</v>
      </c>
      <c r="AK5420">
        <v>23.8</v>
      </c>
      <c r="AL5420">
        <v>-20.139299649999941</v>
      </c>
      <c r="AM5420">
        <v>-44.896005009217312</v>
      </c>
      <c r="AN5420">
        <v>-20.139299649999941</v>
      </c>
      <c r="AO5420">
        <v>-44.896005009217312</v>
      </c>
      <c r="AP5420">
        <v>-20.139135</v>
      </c>
      <c r="AQ5420">
        <v>-44.895907000000001</v>
      </c>
      <c r="AR5420">
        <v>20.996943428875841</v>
      </c>
      <c r="AS5420" t="s">
        <v>65</v>
      </c>
      <c r="AT5420">
        <v>1</v>
      </c>
      <c r="AU5420" t="s">
        <v>1598</v>
      </c>
      <c r="AV5420" t="s">
        <v>1599</v>
      </c>
      <c r="AW5420" t="s">
        <v>60</v>
      </c>
      <c r="AX5420" t="s">
        <v>68</v>
      </c>
      <c r="AY5420" t="s">
        <v>69</v>
      </c>
      <c r="AZ5420" t="b">
        <v>1</v>
      </c>
    </row>
    <row r="5421" spans="1:52" x14ac:dyDescent="0.3">
      <c r="A5421" t="s">
        <v>52</v>
      </c>
      <c r="B5421" t="s">
        <v>53</v>
      </c>
      <c r="C5421" t="s">
        <v>54</v>
      </c>
      <c r="D5421" t="s">
        <v>55</v>
      </c>
      <c r="E5421" t="s">
        <v>2278</v>
      </c>
      <c r="F5421" t="s">
        <v>1247</v>
      </c>
      <c r="G5421" t="s">
        <v>1342</v>
      </c>
      <c r="H5421" t="s">
        <v>1600</v>
      </c>
      <c r="I5421" t="s">
        <v>1600</v>
      </c>
      <c r="J5421" t="s">
        <v>60</v>
      </c>
      <c r="K5421" t="s">
        <v>462</v>
      </c>
      <c r="L5421" t="s">
        <v>62</v>
      </c>
      <c r="M5421" t="s">
        <v>462</v>
      </c>
      <c r="N5421" t="s">
        <v>921</v>
      </c>
      <c r="O5421" t="s">
        <v>1601</v>
      </c>
      <c r="P5421">
        <v>-20.140741999999999</v>
      </c>
      <c r="Q5421">
        <v>-44.902729000000001</v>
      </c>
      <c r="R5421" s="2" t="str">
        <f>HYPERLINK("https://www.google.com/maps?q=-20.1407420,-44.9027290","Abrir no Google Maps")</f>
        <v>Abrir no Google Maps</v>
      </c>
      <c r="S5421">
        <v>1</v>
      </c>
      <c r="T5421">
        <v>373.97936588503438</v>
      </c>
      <c r="U5421">
        <v>4</v>
      </c>
      <c r="V5421">
        <v>0.94387755102040838</v>
      </c>
      <c r="W5421">
        <v>1</v>
      </c>
      <c r="X5421">
        <v>0.94387755102040838</v>
      </c>
      <c r="Y5421">
        <v>588</v>
      </c>
      <c r="Z5421">
        <v>427.55758539734131</v>
      </c>
      <c r="AA5421">
        <v>198</v>
      </c>
      <c r="AB5421">
        <v>332</v>
      </c>
      <c r="AC5421">
        <v>536</v>
      </c>
      <c r="AD5421">
        <v>28.15</v>
      </c>
      <c r="AE5421">
        <v>542</v>
      </c>
      <c r="AF5421">
        <v>21</v>
      </c>
      <c r="AG5421">
        <v>176</v>
      </c>
      <c r="AH5421">
        <v>129</v>
      </c>
      <c r="AI5421">
        <v>3.87</v>
      </c>
      <c r="AJ5421">
        <v>32.47</v>
      </c>
      <c r="AK5421">
        <v>23.8</v>
      </c>
      <c r="AL5421">
        <v>-20.140729549999971</v>
      </c>
      <c r="AM5421">
        <v>-44.902779454814521</v>
      </c>
      <c r="AN5421">
        <v>-20.140729549999971</v>
      </c>
      <c r="AO5421">
        <v>-44.902779454814521</v>
      </c>
      <c r="AP5421">
        <v>-20.140741999999999</v>
      </c>
      <c r="AQ5421">
        <v>-44.902729000000001</v>
      </c>
      <c r="AR5421">
        <v>5.4522610212697993</v>
      </c>
      <c r="AS5421" t="s">
        <v>65</v>
      </c>
      <c r="AT5421">
        <v>1</v>
      </c>
      <c r="AU5421" t="s">
        <v>1602</v>
      </c>
      <c r="AV5421" t="s">
        <v>1603</v>
      </c>
      <c r="AW5421" t="s">
        <v>60</v>
      </c>
      <c r="AX5421" t="s">
        <v>68</v>
      </c>
      <c r="AY5421" t="s">
        <v>69</v>
      </c>
      <c r="AZ5421" t="b">
        <v>1</v>
      </c>
    </row>
    <row r="5422" spans="1:52" x14ac:dyDescent="0.3">
      <c r="A5422" t="s">
        <v>52</v>
      </c>
      <c r="B5422" t="s">
        <v>53</v>
      </c>
      <c r="C5422" t="s">
        <v>54</v>
      </c>
      <c r="D5422" t="s">
        <v>55</v>
      </c>
      <c r="E5422" t="s">
        <v>2278</v>
      </c>
      <c r="F5422" t="s">
        <v>1247</v>
      </c>
      <c r="G5422" t="s">
        <v>1584</v>
      </c>
      <c r="H5422" t="s">
        <v>1604</v>
      </c>
      <c r="I5422" t="s">
        <v>1604</v>
      </c>
      <c r="J5422" t="s">
        <v>60</v>
      </c>
      <c r="K5422" t="s">
        <v>530</v>
      </c>
      <c r="L5422" t="s">
        <v>62</v>
      </c>
      <c r="M5422" t="s">
        <v>530</v>
      </c>
      <c r="N5422" t="s">
        <v>406</v>
      </c>
      <c r="O5422" t="s">
        <v>1267</v>
      </c>
      <c r="P5422">
        <v>-20.147068000000001</v>
      </c>
      <c r="Q5422">
        <v>-44.898629999999997</v>
      </c>
      <c r="R5422" s="2" t="str">
        <f>HYPERLINK("https://www.google.com/maps?q=-20.1470680,-44.8986300","Abrir no Google Maps")</f>
        <v>Abrir no Google Maps</v>
      </c>
      <c r="S5422">
        <v>1</v>
      </c>
      <c r="T5422">
        <v>468.5580266389448</v>
      </c>
      <c r="U5422">
        <v>4</v>
      </c>
      <c r="V5422">
        <v>0.94708029197080279</v>
      </c>
      <c r="W5422">
        <v>1</v>
      </c>
      <c r="X5422">
        <v>0.94708029197080279</v>
      </c>
      <c r="Y5422">
        <v>556</v>
      </c>
      <c r="Z5422">
        <v>447.77738134922419</v>
      </c>
      <c r="AA5422">
        <v>198</v>
      </c>
      <c r="AB5422">
        <v>332</v>
      </c>
      <c r="AC5422">
        <v>536</v>
      </c>
      <c r="AD5422">
        <v>28.15</v>
      </c>
      <c r="AE5422">
        <v>542</v>
      </c>
      <c r="AF5422">
        <v>21</v>
      </c>
      <c r="AG5422">
        <v>176</v>
      </c>
      <c r="AH5422">
        <v>129</v>
      </c>
      <c r="AI5422">
        <v>3.87</v>
      </c>
      <c r="AJ5422">
        <v>32.47</v>
      </c>
      <c r="AK5422">
        <v>23.8</v>
      </c>
      <c r="AL5422">
        <v>-20.14701759999997</v>
      </c>
      <c r="AM5422">
        <v>-44.898633710342303</v>
      </c>
      <c r="AN5422">
        <v>-20.14701759999997</v>
      </c>
      <c r="AO5422">
        <v>-44.898633710342303</v>
      </c>
      <c r="AP5422">
        <v>-20.147068000000001</v>
      </c>
      <c r="AQ5422">
        <v>-44.898629999999997</v>
      </c>
      <c r="AR5422">
        <v>5.6239118246064832</v>
      </c>
      <c r="AS5422" t="s">
        <v>65</v>
      </c>
      <c r="AT5422">
        <v>1</v>
      </c>
      <c r="AU5422" t="s">
        <v>1605</v>
      </c>
      <c r="AV5422" t="s">
        <v>1606</v>
      </c>
      <c r="AW5422" t="s">
        <v>60</v>
      </c>
      <c r="AX5422" t="s">
        <v>68</v>
      </c>
      <c r="AY5422" t="s">
        <v>69</v>
      </c>
      <c r="AZ5422" t="b">
        <v>1</v>
      </c>
    </row>
    <row r="5423" spans="1:52" x14ac:dyDescent="0.3">
      <c r="A5423" t="s">
        <v>52</v>
      </c>
      <c r="B5423" t="s">
        <v>53</v>
      </c>
      <c r="C5423" t="s">
        <v>54</v>
      </c>
      <c r="D5423" t="s">
        <v>55</v>
      </c>
      <c r="E5423" t="s">
        <v>2278</v>
      </c>
      <c r="F5423" t="s">
        <v>1247</v>
      </c>
      <c r="G5423" t="s">
        <v>1569</v>
      </c>
      <c r="H5423" t="s">
        <v>1570</v>
      </c>
      <c r="I5423" t="s">
        <v>1570</v>
      </c>
      <c r="J5423" t="s">
        <v>60</v>
      </c>
      <c r="K5423" t="s">
        <v>530</v>
      </c>
      <c r="L5423" t="s">
        <v>62</v>
      </c>
      <c r="M5423" t="s">
        <v>530</v>
      </c>
      <c r="N5423" t="s">
        <v>1571</v>
      </c>
      <c r="O5423" t="s">
        <v>598</v>
      </c>
      <c r="P5423">
        <v>-20.146418000000001</v>
      </c>
      <c r="Q5423">
        <v>-44.893861999999999</v>
      </c>
      <c r="R5423" s="2" t="str">
        <f>HYPERLINK("https://www.google.com/maps?q=-20.1464180,-44.8938620","Abrir no Google Maps")</f>
        <v>Abrir no Google Maps</v>
      </c>
      <c r="S5423">
        <v>1</v>
      </c>
      <c r="T5423">
        <v>0</v>
      </c>
      <c r="U5423">
        <v>3</v>
      </c>
      <c r="V5423">
        <v>0.98524844720496896</v>
      </c>
      <c r="W5423">
        <v>0.85</v>
      </c>
      <c r="X5423">
        <v>0.83746118012422355</v>
      </c>
      <c r="Y5423">
        <v>602</v>
      </c>
      <c r="Z5423">
        <v>124.5475134899211</v>
      </c>
      <c r="AA5423">
        <v>198</v>
      </c>
      <c r="AB5423">
        <v>332</v>
      </c>
      <c r="AC5423">
        <v>536</v>
      </c>
      <c r="AD5423">
        <v>28.15</v>
      </c>
      <c r="AE5423">
        <v>542</v>
      </c>
      <c r="AF5423">
        <v>21</v>
      </c>
      <c r="AG5423">
        <v>176</v>
      </c>
      <c r="AH5423">
        <v>129</v>
      </c>
      <c r="AI5423">
        <v>3.87</v>
      </c>
      <c r="AJ5423">
        <v>32.47</v>
      </c>
      <c r="AK5423">
        <v>23.8</v>
      </c>
      <c r="AL5423">
        <v>-20.146753399999941</v>
      </c>
      <c r="AM5423">
        <v>-44.893993355901941</v>
      </c>
      <c r="AN5423">
        <v>-20.146753399999941</v>
      </c>
      <c r="AO5423">
        <v>-44.893993355901941</v>
      </c>
      <c r="AP5423">
        <v>-20.146418000000001</v>
      </c>
      <c r="AQ5423">
        <v>-44.893861999999999</v>
      </c>
      <c r="AR5423">
        <v>39.780457157851913</v>
      </c>
      <c r="AS5423" t="s">
        <v>65</v>
      </c>
      <c r="AT5423">
        <v>1</v>
      </c>
      <c r="AU5423" t="s">
        <v>1572</v>
      </c>
      <c r="AV5423" t="s">
        <v>1573</v>
      </c>
      <c r="AW5423" t="s">
        <v>60</v>
      </c>
      <c r="AX5423" t="s">
        <v>68</v>
      </c>
      <c r="AY5423" t="s">
        <v>69</v>
      </c>
      <c r="AZ5423" t="b">
        <v>1</v>
      </c>
    </row>
    <row r="5424" spans="1:52" x14ac:dyDescent="0.3">
      <c r="A5424" t="s">
        <v>52</v>
      </c>
      <c r="B5424" t="s">
        <v>53</v>
      </c>
      <c r="C5424" t="s">
        <v>54</v>
      </c>
      <c r="D5424" t="s">
        <v>55</v>
      </c>
      <c r="E5424" t="s">
        <v>2278</v>
      </c>
      <c r="F5424" t="s">
        <v>1247</v>
      </c>
      <c r="G5424" t="s">
        <v>1612</v>
      </c>
      <c r="H5424" t="s">
        <v>1613</v>
      </c>
      <c r="I5424" t="s">
        <v>1613</v>
      </c>
      <c r="J5424" t="s">
        <v>60</v>
      </c>
      <c r="K5424" t="s">
        <v>1349</v>
      </c>
      <c r="L5424" t="s">
        <v>62</v>
      </c>
      <c r="M5424" t="s">
        <v>1349</v>
      </c>
      <c r="N5424" t="s">
        <v>1614</v>
      </c>
      <c r="O5424" t="s">
        <v>710</v>
      </c>
      <c r="P5424">
        <v>-20.141335999999999</v>
      </c>
      <c r="Q5424">
        <v>-44.901133000000002</v>
      </c>
      <c r="R5424" s="2" t="str">
        <f>HYPERLINK("https://www.google.com/maps?q=-20.1413360,-44.9011330","Abrir no Google Maps")</f>
        <v>Abrir no Google Maps</v>
      </c>
      <c r="S5424">
        <v>1</v>
      </c>
      <c r="T5424">
        <v>257.92927430829218</v>
      </c>
      <c r="U5424">
        <v>2</v>
      </c>
      <c r="V5424">
        <v>0.94938271604938262</v>
      </c>
      <c r="W5424">
        <v>0.85</v>
      </c>
      <c r="X5424">
        <v>0.8069753086419752</v>
      </c>
      <c r="Y5424">
        <v>588</v>
      </c>
      <c r="Z5424">
        <v>252.62617475231269</v>
      </c>
      <c r="AA5424">
        <v>198</v>
      </c>
      <c r="AB5424">
        <v>332</v>
      </c>
      <c r="AC5424">
        <v>536</v>
      </c>
      <c r="AD5424">
        <v>28.15</v>
      </c>
      <c r="AE5424">
        <v>542</v>
      </c>
      <c r="AF5424">
        <v>21</v>
      </c>
      <c r="AG5424">
        <v>176</v>
      </c>
      <c r="AH5424">
        <v>129</v>
      </c>
      <c r="AI5424">
        <v>3.87</v>
      </c>
      <c r="AJ5424">
        <v>32.47</v>
      </c>
      <c r="AK5424">
        <v>23.8</v>
      </c>
      <c r="AL5424">
        <v>-20.141297649999959</v>
      </c>
      <c r="AM5424">
        <v>-44.901104406351408</v>
      </c>
      <c r="AN5424">
        <v>-20.141297649999959</v>
      </c>
      <c r="AO5424">
        <v>-44.901104406351408</v>
      </c>
      <c r="AP5424">
        <v>-20.141335999999999</v>
      </c>
      <c r="AQ5424">
        <v>-44.901133000000002</v>
      </c>
      <c r="AR5424">
        <v>5.211130154459668</v>
      </c>
      <c r="AS5424" t="s">
        <v>65</v>
      </c>
      <c r="AT5424">
        <v>1</v>
      </c>
      <c r="AU5424" t="s">
        <v>1615</v>
      </c>
      <c r="AV5424" t="s">
        <v>1616</v>
      </c>
      <c r="AW5424" t="s">
        <v>60</v>
      </c>
      <c r="AX5424" t="s">
        <v>68</v>
      </c>
      <c r="AY5424" t="s">
        <v>69</v>
      </c>
      <c r="AZ5424" t="b">
        <v>1</v>
      </c>
    </row>
    <row r="5425" spans="1:52" x14ac:dyDescent="0.3">
      <c r="A5425" t="s">
        <v>52</v>
      </c>
      <c r="B5425" t="s">
        <v>53</v>
      </c>
      <c r="C5425" t="s">
        <v>54</v>
      </c>
      <c r="D5425" t="s">
        <v>55</v>
      </c>
      <c r="E5425" t="s">
        <v>2279</v>
      </c>
      <c r="F5425" t="s">
        <v>1247</v>
      </c>
      <c r="G5425" t="s">
        <v>58</v>
      </c>
      <c r="H5425" t="s">
        <v>59</v>
      </c>
      <c r="I5425" t="s">
        <v>59</v>
      </c>
      <c r="J5425" t="s">
        <v>60</v>
      </c>
      <c r="K5425" t="s">
        <v>61</v>
      </c>
      <c r="L5425" t="s">
        <v>62</v>
      </c>
      <c r="M5425" t="s">
        <v>61</v>
      </c>
      <c r="N5425" t="s">
        <v>63</v>
      </c>
      <c r="O5425" t="s">
        <v>64</v>
      </c>
      <c r="P5425">
        <v>-20.147940999999999</v>
      </c>
      <c r="Q5425">
        <v>-44.906514000000001</v>
      </c>
      <c r="R5425" s="2" t="str">
        <f>HYPERLINK("https://www.google.com/maps?q=-20.1479410,-44.9065140","Abrir no Google Maps")</f>
        <v>Abrir no Google Maps</v>
      </c>
      <c r="S5425">
        <v>4</v>
      </c>
      <c r="T5425">
        <v>308.67004994113421</v>
      </c>
      <c r="U5425">
        <v>1</v>
      </c>
      <c r="V5425">
        <v>0</v>
      </c>
      <c r="W5425">
        <v>1</v>
      </c>
      <c r="X5425">
        <v>0</v>
      </c>
      <c r="Y5425">
        <v>747</v>
      </c>
      <c r="Z5425">
        <v>274.71440454502522</v>
      </c>
      <c r="AA5425">
        <v>198</v>
      </c>
      <c r="AB5425">
        <v>332</v>
      </c>
      <c r="AC5425">
        <v>536</v>
      </c>
      <c r="AD5425">
        <v>0</v>
      </c>
      <c r="AE5425">
        <v>542</v>
      </c>
      <c r="AF5425">
        <v>0</v>
      </c>
      <c r="AG5425">
        <v>0</v>
      </c>
      <c r="AH5425">
        <v>129</v>
      </c>
      <c r="AI5425">
        <v>0</v>
      </c>
      <c r="AJ5425">
        <v>0</v>
      </c>
      <c r="AK5425">
        <v>23.8</v>
      </c>
      <c r="AL5425">
        <v>-20.147947799999969</v>
      </c>
      <c r="AM5425">
        <v>-44.906591596129203</v>
      </c>
      <c r="AN5425">
        <v>-20.147947799999969</v>
      </c>
      <c r="AO5425">
        <v>-44.906591596129203</v>
      </c>
      <c r="AP5425">
        <v>-20.147940999999999</v>
      </c>
      <c r="AQ5425">
        <v>-44.906514000000001</v>
      </c>
      <c r="AR5425">
        <v>8.1446636170570326</v>
      </c>
      <c r="AS5425" t="s">
        <v>65</v>
      </c>
      <c r="AT5425">
        <v>1</v>
      </c>
      <c r="AU5425" t="s">
        <v>66</v>
      </c>
      <c r="AV5425" t="s">
        <v>67</v>
      </c>
      <c r="AW5425" t="s">
        <v>60</v>
      </c>
      <c r="AX5425" t="s">
        <v>68</v>
      </c>
      <c r="AY5425" t="s">
        <v>69</v>
      </c>
      <c r="AZ5425" t="b">
        <v>1</v>
      </c>
    </row>
    <row r="5426" spans="1:52" x14ac:dyDescent="0.3">
      <c r="A5426" t="s">
        <v>52</v>
      </c>
      <c r="B5426" t="s">
        <v>53</v>
      </c>
      <c r="C5426" t="s">
        <v>54</v>
      </c>
      <c r="D5426" t="s">
        <v>55</v>
      </c>
      <c r="E5426" t="s">
        <v>2279</v>
      </c>
      <c r="F5426" t="s">
        <v>1247</v>
      </c>
      <c r="G5426" t="s">
        <v>191</v>
      </c>
      <c r="H5426" t="s">
        <v>192</v>
      </c>
      <c r="I5426" t="s">
        <v>192</v>
      </c>
      <c r="J5426" t="s">
        <v>60</v>
      </c>
      <c r="K5426" t="s">
        <v>193</v>
      </c>
      <c r="L5426" t="s">
        <v>62</v>
      </c>
      <c r="M5426" t="s">
        <v>193</v>
      </c>
      <c r="N5426" t="s">
        <v>194</v>
      </c>
      <c r="O5426" t="s">
        <v>195</v>
      </c>
      <c r="P5426">
        <v>-20.143266000000001</v>
      </c>
      <c r="Q5426">
        <v>-44.912075000000002</v>
      </c>
      <c r="R5426" s="2" t="str">
        <f>HYPERLINK("https://www.google.com/maps?q=-20.1432660,-44.9120750","Abrir no Google Maps")</f>
        <v>Abrir no Google Maps</v>
      </c>
      <c r="S5426">
        <v>4</v>
      </c>
      <c r="T5426">
        <v>467.04339396175408</v>
      </c>
      <c r="U5426">
        <v>1</v>
      </c>
      <c r="V5426">
        <v>0</v>
      </c>
      <c r="W5426">
        <v>1</v>
      </c>
      <c r="X5426">
        <v>0</v>
      </c>
      <c r="Y5426">
        <v>747</v>
      </c>
      <c r="Z5426">
        <v>585.1742452866996</v>
      </c>
      <c r="AA5426">
        <v>198</v>
      </c>
      <c r="AB5426">
        <v>332</v>
      </c>
      <c r="AC5426">
        <v>536</v>
      </c>
      <c r="AD5426">
        <v>0</v>
      </c>
      <c r="AE5426">
        <v>542</v>
      </c>
      <c r="AF5426">
        <v>0</v>
      </c>
      <c r="AG5426">
        <v>0</v>
      </c>
      <c r="AH5426">
        <v>129</v>
      </c>
      <c r="AI5426">
        <v>0</v>
      </c>
      <c r="AJ5426">
        <v>0</v>
      </c>
      <c r="AK5426">
        <v>23.8</v>
      </c>
      <c r="AL5426">
        <v>-20.143307949999951</v>
      </c>
      <c r="AM5426">
        <v>-44.912066629431067</v>
      </c>
      <c r="AN5426">
        <v>-20.143307949999951</v>
      </c>
      <c r="AO5426">
        <v>-44.912066629431067</v>
      </c>
      <c r="AP5426">
        <v>-20.143266000000001</v>
      </c>
      <c r="AQ5426">
        <v>-44.912075000000002</v>
      </c>
      <c r="AR5426">
        <v>4.751108024498329</v>
      </c>
      <c r="AS5426" t="s">
        <v>65</v>
      </c>
      <c r="AT5426">
        <v>1</v>
      </c>
      <c r="AU5426" t="s">
        <v>196</v>
      </c>
      <c r="AV5426" t="s">
        <v>197</v>
      </c>
      <c r="AW5426" t="s">
        <v>60</v>
      </c>
      <c r="AX5426" t="s">
        <v>68</v>
      </c>
      <c r="AY5426" t="s">
        <v>69</v>
      </c>
      <c r="AZ5426" t="b">
        <v>1</v>
      </c>
    </row>
    <row r="5427" spans="1:52" x14ac:dyDescent="0.3">
      <c r="A5427" t="s">
        <v>52</v>
      </c>
      <c r="B5427" t="s">
        <v>53</v>
      </c>
      <c r="C5427" t="s">
        <v>54</v>
      </c>
      <c r="D5427" t="s">
        <v>55</v>
      </c>
      <c r="E5427" t="s">
        <v>2279</v>
      </c>
      <c r="F5427" t="s">
        <v>1247</v>
      </c>
      <c r="G5427" t="s">
        <v>1248</v>
      </c>
      <c r="H5427" t="s">
        <v>1249</v>
      </c>
      <c r="I5427" t="s">
        <v>1249</v>
      </c>
      <c r="J5427" t="s">
        <v>60</v>
      </c>
      <c r="K5427" t="s">
        <v>61</v>
      </c>
      <c r="L5427" t="s">
        <v>62</v>
      </c>
      <c r="M5427" t="s">
        <v>61</v>
      </c>
      <c r="N5427" t="s">
        <v>1250</v>
      </c>
      <c r="O5427" t="s">
        <v>202</v>
      </c>
      <c r="P5427">
        <v>-20.145337999999999</v>
      </c>
      <c r="Q5427">
        <v>-44.906260000000003</v>
      </c>
      <c r="R5427" s="2" t="str">
        <f>HYPERLINK("https://www.google.com/maps?q=-20.1453380,-44.9062600","Abrir no Google Maps")</f>
        <v>Abrir no Google Maps</v>
      </c>
      <c r="S5427">
        <v>4</v>
      </c>
      <c r="T5427">
        <v>231.8105263092443</v>
      </c>
      <c r="U5427">
        <v>1</v>
      </c>
      <c r="V5427">
        <v>0</v>
      </c>
      <c r="W5427">
        <v>0.85</v>
      </c>
      <c r="X5427">
        <v>0</v>
      </c>
      <c r="Y5427">
        <v>747</v>
      </c>
      <c r="Z5427">
        <v>210.09098260239841</v>
      </c>
      <c r="AA5427">
        <v>198</v>
      </c>
      <c r="AB5427">
        <v>332</v>
      </c>
      <c r="AC5427">
        <v>536</v>
      </c>
      <c r="AD5427">
        <v>0</v>
      </c>
      <c r="AE5427">
        <v>542</v>
      </c>
      <c r="AF5427">
        <v>0</v>
      </c>
      <c r="AG5427">
        <v>0</v>
      </c>
      <c r="AH5427">
        <v>129</v>
      </c>
      <c r="AI5427">
        <v>0</v>
      </c>
      <c r="AJ5427">
        <v>0</v>
      </c>
      <c r="AK5427">
        <v>23.8</v>
      </c>
      <c r="AL5427">
        <v>-20.14545934999995</v>
      </c>
      <c r="AM5427">
        <v>-44.906243174283489</v>
      </c>
      <c r="AN5427">
        <v>-20.14545934999995</v>
      </c>
      <c r="AO5427">
        <v>-44.906243174283489</v>
      </c>
      <c r="AP5427">
        <v>-20.145337999999999</v>
      </c>
      <c r="AQ5427">
        <v>-44.906260000000003</v>
      </c>
      <c r="AR5427">
        <v>13.622651392262521</v>
      </c>
      <c r="AS5427" t="s">
        <v>65</v>
      </c>
      <c r="AT5427">
        <v>1</v>
      </c>
      <c r="AU5427" t="s">
        <v>1251</v>
      </c>
      <c r="AV5427" t="s">
        <v>1252</v>
      </c>
      <c r="AW5427" t="s">
        <v>60</v>
      </c>
      <c r="AX5427" t="s">
        <v>68</v>
      </c>
      <c r="AY5427" t="s">
        <v>69</v>
      </c>
      <c r="AZ5427" t="b">
        <v>1</v>
      </c>
    </row>
    <row r="5428" spans="1:52" x14ac:dyDescent="0.3">
      <c r="A5428" t="s">
        <v>52</v>
      </c>
      <c r="B5428" t="s">
        <v>53</v>
      </c>
      <c r="C5428" t="s">
        <v>54</v>
      </c>
      <c r="D5428" t="s">
        <v>55</v>
      </c>
      <c r="E5428" t="s">
        <v>2279</v>
      </c>
      <c r="F5428" t="s">
        <v>1247</v>
      </c>
      <c r="G5428" t="s">
        <v>83</v>
      </c>
      <c r="H5428" t="s">
        <v>1253</v>
      </c>
      <c r="I5428" t="s">
        <v>1253</v>
      </c>
      <c r="J5428" t="s">
        <v>60</v>
      </c>
      <c r="K5428" t="s">
        <v>72</v>
      </c>
      <c r="L5428" t="s">
        <v>62</v>
      </c>
      <c r="M5428" t="s">
        <v>72</v>
      </c>
      <c r="N5428" t="s">
        <v>1254</v>
      </c>
      <c r="O5428" t="s">
        <v>1255</v>
      </c>
      <c r="P5428">
        <v>-20.147164</v>
      </c>
      <c r="Q5428">
        <v>-44.905259000000001</v>
      </c>
      <c r="R5428" s="2" t="str">
        <f>HYPERLINK("https://www.google.com/maps?q=-20.1471640,-44.9052590","Abrir no Google Maps")</f>
        <v>Abrir no Google Maps</v>
      </c>
      <c r="S5428">
        <v>4</v>
      </c>
      <c r="T5428">
        <v>364.08569180502712</v>
      </c>
      <c r="U5428">
        <v>1</v>
      </c>
      <c r="V5428">
        <v>0</v>
      </c>
      <c r="W5428">
        <v>0.85</v>
      </c>
      <c r="X5428">
        <v>0</v>
      </c>
      <c r="Y5428">
        <v>747</v>
      </c>
      <c r="Z5428">
        <v>309.89238988435022</v>
      </c>
      <c r="AA5428">
        <v>198</v>
      </c>
      <c r="AB5428">
        <v>332</v>
      </c>
      <c r="AC5428">
        <v>536</v>
      </c>
      <c r="AD5428">
        <v>0</v>
      </c>
      <c r="AE5428">
        <v>542</v>
      </c>
      <c r="AF5428">
        <v>0</v>
      </c>
      <c r="AG5428">
        <v>0</v>
      </c>
      <c r="AH5428">
        <v>129</v>
      </c>
      <c r="AI5428">
        <v>0</v>
      </c>
      <c r="AJ5428">
        <v>0</v>
      </c>
      <c r="AK5428">
        <v>23.8</v>
      </c>
      <c r="AL5428">
        <v>-20.14718674999995</v>
      </c>
      <c r="AM5428">
        <v>-44.905292621565764</v>
      </c>
      <c r="AN5428">
        <v>-20.147186749999939</v>
      </c>
      <c r="AO5428">
        <v>-44.905292621565764</v>
      </c>
      <c r="AP5428">
        <v>-20.147164</v>
      </c>
      <c r="AQ5428">
        <v>-44.905259000000001</v>
      </c>
      <c r="AR5428">
        <v>4.3312880650984971</v>
      </c>
      <c r="AS5428" t="s">
        <v>65</v>
      </c>
      <c r="AT5428">
        <v>1</v>
      </c>
      <c r="AU5428" t="s">
        <v>1256</v>
      </c>
      <c r="AV5428" t="s">
        <v>1257</v>
      </c>
      <c r="AW5428" t="s">
        <v>60</v>
      </c>
      <c r="AX5428" t="s">
        <v>68</v>
      </c>
      <c r="AY5428" t="s">
        <v>69</v>
      </c>
      <c r="AZ5428" t="b">
        <v>1</v>
      </c>
    </row>
    <row r="5429" spans="1:52" x14ac:dyDescent="0.3">
      <c r="A5429" t="s">
        <v>52</v>
      </c>
      <c r="B5429" t="s">
        <v>53</v>
      </c>
      <c r="C5429" t="s">
        <v>54</v>
      </c>
      <c r="D5429" t="s">
        <v>55</v>
      </c>
      <c r="E5429" t="s">
        <v>2279</v>
      </c>
      <c r="F5429" t="s">
        <v>1247</v>
      </c>
      <c r="G5429" t="s">
        <v>70</v>
      </c>
      <c r="H5429" t="s">
        <v>71</v>
      </c>
      <c r="I5429" t="s">
        <v>71</v>
      </c>
      <c r="J5429" t="s">
        <v>60</v>
      </c>
      <c r="K5429" t="s">
        <v>72</v>
      </c>
      <c r="L5429" t="s">
        <v>62</v>
      </c>
      <c r="M5429" t="s">
        <v>72</v>
      </c>
      <c r="N5429" t="s">
        <v>73</v>
      </c>
      <c r="O5429" t="s">
        <v>74</v>
      </c>
      <c r="P5429">
        <v>-20.149349000000001</v>
      </c>
      <c r="Q5429">
        <v>-44.910784</v>
      </c>
      <c r="R5429" s="2" t="str">
        <f>HYPERLINK("https://www.google.com/maps?q=-20.1493490,-44.9107840","Abrir no Google Maps")</f>
        <v>Abrir no Google Maps</v>
      </c>
      <c r="S5429">
        <v>4</v>
      </c>
      <c r="T5429">
        <v>472.43876549769578</v>
      </c>
      <c r="U5429">
        <v>1</v>
      </c>
      <c r="V5429">
        <v>0</v>
      </c>
      <c r="W5429">
        <v>1</v>
      </c>
      <c r="X5429">
        <v>0</v>
      </c>
      <c r="Y5429">
        <v>747</v>
      </c>
      <c r="Z5429">
        <v>441.03921887407779</v>
      </c>
      <c r="AA5429">
        <v>198</v>
      </c>
      <c r="AB5429">
        <v>332</v>
      </c>
      <c r="AC5429">
        <v>536</v>
      </c>
      <c r="AD5429">
        <v>0</v>
      </c>
      <c r="AE5429">
        <v>542</v>
      </c>
      <c r="AF5429">
        <v>0</v>
      </c>
      <c r="AG5429">
        <v>0</v>
      </c>
      <c r="AH5429">
        <v>129</v>
      </c>
      <c r="AI5429">
        <v>0</v>
      </c>
      <c r="AJ5429">
        <v>0</v>
      </c>
      <c r="AK5429">
        <v>23.8</v>
      </c>
      <c r="AL5429">
        <v>-20.149403999999951</v>
      </c>
      <c r="AM5429">
        <v>-44.91080895147438</v>
      </c>
      <c r="AN5429">
        <v>-20.149403999999951</v>
      </c>
      <c r="AO5429">
        <v>-44.91080895147438</v>
      </c>
      <c r="AP5429">
        <v>-20.149349000000001</v>
      </c>
      <c r="AQ5429">
        <v>-44.910784</v>
      </c>
      <c r="AR5429">
        <v>6.6547592699416382</v>
      </c>
      <c r="AS5429" t="s">
        <v>65</v>
      </c>
      <c r="AT5429">
        <v>1</v>
      </c>
      <c r="AU5429" t="s">
        <v>75</v>
      </c>
      <c r="AV5429" t="s">
        <v>76</v>
      </c>
      <c r="AW5429" t="s">
        <v>60</v>
      </c>
      <c r="AX5429" t="s">
        <v>68</v>
      </c>
      <c r="AY5429" t="s">
        <v>69</v>
      </c>
      <c r="AZ5429" t="b">
        <v>1</v>
      </c>
    </row>
    <row r="5430" spans="1:52" x14ac:dyDescent="0.3">
      <c r="A5430" t="s">
        <v>52</v>
      </c>
      <c r="B5430" t="s">
        <v>53</v>
      </c>
      <c r="C5430" t="s">
        <v>54</v>
      </c>
      <c r="D5430" t="s">
        <v>55</v>
      </c>
      <c r="E5430" t="s">
        <v>2279</v>
      </c>
      <c r="F5430" t="s">
        <v>1247</v>
      </c>
      <c r="G5430" t="s">
        <v>77</v>
      </c>
      <c r="H5430" t="s">
        <v>78</v>
      </c>
      <c r="I5430" t="s">
        <v>78</v>
      </c>
      <c r="J5430" t="s">
        <v>60</v>
      </c>
      <c r="K5430" t="s">
        <v>72</v>
      </c>
      <c r="L5430" t="s">
        <v>62</v>
      </c>
      <c r="M5430" t="s">
        <v>72</v>
      </c>
      <c r="N5430" t="s">
        <v>79</v>
      </c>
      <c r="O5430" t="s">
        <v>80</v>
      </c>
      <c r="P5430">
        <v>-20.147821</v>
      </c>
      <c r="Q5430">
        <v>-44.908887</v>
      </c>
      <c r="R5430" s="2" t="str">
        <f>HYPERLINK("https://www.google.com/maps?q=-20.1478210,-44.9088870","Abrir no Google Maps")</f>
        <v>Abrir no Google Maps</v>
      </c>
      <c r="S5430">
        <v>4</v>
      </c>
      <c r="T5430">
        <v>232.2893841532152</v>
      </c>
      <c r="U5430">
        <v>1</v>
      </c>
      <c r="V5430">
        <v>0</v>
      </c>
      <c r="W5430">
        <v>1</v>
      </c>
      <c r="X5430">
        <v>0</v>
      </c>
      <c r="Y5430">
        <v>747</v>
      </c>
      <c r="Z5430">
        <v>195.3668648953757</v>
      </c>
      <c r="AA5430">
        <v>198</v>
      </c>
      <c r="AB5430">
        <v>332</v>
      </c>
      <c r="AC5430">
        <v>536</v>
      </c>
      <c r="AD5430">
        <v>0</v>
      </c>
      <c r="AE5430">
        <v>542</v>
      </c>
      <c r="AF5430">
        <v>0</v>
      </c>
      <c r="AG5430">
        <v>0</v>
      </c>
      <c r="AH5430">
        <v>129</v>
      </c>
      <c r="AI5430">
        <v>0</v>
      </c>
      <c r="AJ5430">
        <v>0</v>
      </c>
      <c r="AK5430">
        <v>23.8</v>
      </c>
      <c r="AL5430">
        <v>-20.147802849999952</v>
      </c>
      <c r="AM5430">
        <v>-44.908989919229477</v>
      </c>
      <c r="AN5430">
        <v>-20.147802849999952</v>
      </c>
      <c r="AO5430">
        <v>-44.908989919229491</v>
      </c>
      <c r="AP5430">
        <v>-20.147821</v>
      </c>
      <c r="AQ5430">
        <v>-44.908887</v>
      </c>
      <c r="AR5430">
        <v>10.944007761262529</v>
      </c>
      <c r="AS5430" t="s">
        <v>65</v>
      </c>
      <c r="AT5430">
        <v>1</v>
      </c>
      <c r="AU5430" t="s">
        <v>81</v>
      </c>
      <c r="AV5430" t="s">
        <v>82</v>
      </c>
      <c r="AW5430" t="s">
        <v>60</v>
      </c>
      <c r="AX5430" t="s">
        <v>68</v>
      </c>
      <c r="AY5430" t="s">
        <v>69</v>
      </c>
      <c r="AZ5430" t="b">
        <v>1</v>
      </c>
    </row>
    <row r="5431" spans="1:52" x14ac:dyDescent="0.3">
      <c r="A5431" t="s">
        <v>52</v>
      </c>
      <c r="B5431" t="s">
        <v>53</v>
      </c>
      <c r="C5431" t="s">
        <v>54</v>
      </c>
      <c r="D5431" t="s">
        <v>55</v>
      </c>
      <c r="E5431" t="s">
        <v>2279</v>
      </c>
      <c r="F5431" t="s">
        <v>1247</v>
      </c>
      <c r="G5431" t="s">
        <v>83</v>
      </c>
      <c r="H5431" t="s">
        <v>84</v>
      </c>
      <c r="I5431" t="s">
        <v>84</v>
      </c>
      <c r="J5431" t="s">
        <v>60</v>
      </c>
      <c r="K5431" t="s">
        <v>61</v>
      </c>
      <c r="L5431" t="s">
        <v>62</v>
      </c>
      <c r="M5431" t="s">
        <v>61</v>
      </c>
      <c r="N5431" t="s">
        <v>85</v>
      </c>
      <c r="O5431" t="s">
        <v>86</v>
      </c>
      <c r="P5431">
        <v>-20.149799000000002</v>
      </c>
      <c r="Q5431">
        <v>-44.906517000000001</v>
      </c>
      <c r="R5431" s="2" t="str">
        <f>HYPERLINK("https://www.google.com/maps?q=-20.1497990,-44.9065170","Abrir no Google Maps")</f>
        <v>Abrir no Google Maps</v>
      </c>
      <c r="S5431">
        <v>4</v>
      </c>
      <c r="T5431">
        <v>487.90051105537998</v>
      </c>
      <c r="U5431">
        <v>1</v>
      </c>
      <c r="V5431">
        <v>0</v>
      </c>
      <c r="W5431">
        <v>1</v>
      </c>
      <c r="X5431">
        <v>0</v>
      </c>
      <c r="Y5431">
        <v>747</v>
      </c>
      <c r="Z5431">
        <v>365.93785960107078</v>
      </c>
      <c r="AA5431">
        <v>198</v>
      </c>
      <c r="AB5431">
        <v>332</v>
      </c>
      <c r="AC5431">
        <v>536</v>
      </c>
      <c r="AD5431">
        <v>0</v>
      </c>
      <c r="AE5431">
        <v>542</v>
      </c>
      <c r="AF5431">
        <v>0</v>
      </c>
      <c r="AG5431">
        <v>0</v>
      </c>
      <c r="AH5431">
        <v>129</v>
      </c>
      <c r="AI5431">
        <v>0</v>
      </c>
      <c r="AJ5431">
        <v>0</v>
      </c>
      <c r="AK5431">
        <v>23.8</v>
      </c>
      <c r="AL5431">
        <v>-20.149879599999959</v>
      </c>
      <c r="AM5431">
        <v>-44.906746466068469</v>
      </c>
      <c r="AN5431">
        <v>-20.149879599999959</v>
      </c>
      <c r="AO5431">
        <v>-44.906746466068469</v>
      </c>
      <c r="AP5431">
        <v>-20.149799000000002</v>
      </c>
      <c r="AQ5431">
        <v>-44.906517000000001</v>
      </c>
      <c r="AR5431">
        <v>25.604276856970429</v>
      </c>
      <c r="AS5431" t="s">
        <v>65</v>
      </c>
      <c r="AT5431">
        <v>1</v>
      </c>
      <c r="AU5431" t="s">
        <v>87</v>
      </c>
      <c r="AV5431" t="s">
        <v>88</v>
      </c>
      <c r="AW5431" t="s">
        <v>60</v>
      </c>
      <c r="AX5431" t="s">
        <v>68</v>
      </c>
      <c r="AY5431" t="s">
        <v>69</v>
      </c>
      <c r="AZ5431" t="b">
        <v>1</v>
      </c>
    </row>
    <row r="5432" spans="1:52" x14ac:dyDescent="0.3">
      <c r="A5432" t="s">
        <v>52</v>
      </c>
      <c r="B5432" t="s">
        <v>53</v>
      </c>
      <c r="C5432" t="s">
        <v>54</v>
      </c>
      <c r="D5432" t="s">
        <v>55</v>
      </c>
      <c r="E5432" t="s">
        <v>2279</v>
      </c>
      <c r="F5432" t="s">
        <v>1247</v>
      </c>
      <c r="G5432" t="s">
        <v>89</v>
      </c>
      <c r="H5432" t="s">
        <v>90</v>
      </c>
      <c r="I5432" t="s">
        <v>90</v>
      </c>
      <c r="J5432" t="s">
        <v>60</v>
      </c>
      <c r="K5432" t="s">
        <v>72</v>
      </c>
      <c r="L5432" t="s">
        <v>62</v>
      </c>
      <c r="M5432" t="s">
        <v>72</v>
      </c>
      <c r="N5432" t="s">
        <v>91</v>
      </c>
      <c r="O5432" t="s">
        <v>92</v>
      </c>
      <c r="P5432">
        <v>-20.145848999999998</v>
      </c>
      <c r="Q5432">
        <v>-44.908419000000002</v>
      </c>
      <c r="R5432" s="2" t="str">
        <f>HYPERLINK("https://www.google.com/maps?q=-20.1458490,-44.9084190","Abrir no Google Maps")</f>
        <v>Abrir no Google Maps</v>
      </c>
      <c r="S5432">
        <v>4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747</v>
      </c>
      <c r="Z5432">
        <v>136.08168502765241</v>
      </c>
      <c r="AA5432">
        <v>198</v>
      </c>
      <c r="AB5432">
        <v>332</v>
      </c>
      <c r="AC5432">
        <v>536</v>
      </c>
      <c r="AD5432">
        <v>0</v>
      </c>
      <c r="AE5432">
        <v>542</v>
      </c>
      <c r="AF5432">
        <v>0</v>
      </c>
      <c r="AG5432">
        <v>0</v>
      </c>
      <c r="AH5432">
        <v>129</v>
      </c>
      <c r="AI5432">
        <v>0</v>
      </c>
      <c r="AJ5432">
        <v>0</v>
      </c>
      <c r="AK5432">
        <v>23.8</v>
      </c>
      <c r="AL5432">
        <v>-20.14576979999995</v>
      </c>
      <c r="AM5432">
        <v>-44.908436775053183</v>
      </c>
      <c r="AN5432">
        <v>-20.14576979999995</v>
      </c>
      <c r="AO5432">
        <v>-44.908436775053183</v>
      </c>
      <c r="AP5432">
        <v>-20.145848999999998</v>
      </c>
      <c r="AQ5432">
        <v>-44.908419000000002</v>
      </c>
      <c r="AR5432">
        <v>9.0101247482327356</v>
      </c>
      <c r="AS5432" t="s">
        <v>65</v>
      </c>
      <c r="AT5432">
        <v>1</v>
      </c>
      <c r="AU5432" t="s">
        <v>93</v>
      </c>
      <c r="AV5432" t="s">
        <v>94</v>
      </c>
      <c r="AW5432" t="s">
        <v>60</v>
      </c>
      <c r="AX5432" t="s">
        <v>68</v>
      </c>
      <c r="AY5432" t="s">
        <v>69</v>
      </c>
      <c r="AZ5432" t="b">
        <v>1</v>
      </c>
    </row>
    <row r="5433" spans="1:52" x14ac:dyDescent="0.3">
      <c r="A5433" t="s">
        <v>52</v>
      </c>
      <c r="B5433" t="s">
        <v>53</v>
      </c>
      <c r="C5433" t="s">
        <v>54</v>
      </c>
      <c r="D5433" t="s">
        <v>55</v>
      </c>
      <c r="E5433" t="s">
        <v>2279</v>
      </c>
      <c r="F5433" t="s">
        <v>1247</v>
      </c>
      <c r="G5433" t="s">
        <v>95</v>
      </c>
      <c r="H5433" t="s">
        <v>96</v>
      </c>
      <c r="I5433" t="s">
        <v>96</v>
      </c>
      <c r="J5433" t="s">
        <v>60</v>
      </c>
      <c r="K5433" t="s">
        <v>72</v>
      </c>
      <c r="L5433" t="s">
        <v>62</v>
      </c>
      <c r="M5433" t="s">
        <v>72</v>
      </c>
      <c r="N5433" t="s">
        <v>97</v>
      </c>
      <c r="O5433" t="s">
        <v>98</v>
      </c>
      <c r="P5433">
        <v>-20.144062999999999</v>
      </c>
      <c r="Q5433">
        <v>-44.909627999999998</v>
      </c>
      <c r="R5433" s="2" t="str">
        <f>HYPERLINK("https://www.google.com/maps?q=-20.1440630,-44.9096280","Abrir no Google Maps")</f>
        <v>Abrir no Google Maps</v>
      </c>
      <c r="S5433">
        <v>4</v>
      </c>
      <c r="T5433">
        <v>205.27083326529291</v>
      </c>
      <c r="U5433">
        <v>1</v>
      </c>
      <c r="V5433">
        <v>0</v>
      </c>
      <c r="W5433">
        <v>1</v>
      </c>
      <c r="X5433">
        <v>0</v>
      </c>
      <c r="Y5433">
        <v>747</v>
      </c>
      <c r="Z5433">
        <v>336.75785483480968</v>
      </c>
      <c r="AA5433">
        <v>198</v>
      </c>
      <c r="AB5433">
        <v>332</v>
      </c>
      <c r="AC5433">
        <v>536</v>
      </c>
      <c r="AD5433">
        <v>0</v>
      </c>
      <c r="AE5433">
        <v>542</v>
      </c>
      <c r="AF5433">
        <v>0</v>
      </c>
      <c r="AG5433">
        <v>0</v>
      </c>
      <c r="AH5433">
        <v>129</v>
      </c>
      <c r="AI5433">
        <v>0</v>
      </c>
      <c r="AJ5433">
        <v>0</v>
      </c>
      <c r="AK5433">
        <v>23.8</v>
      </c>
      <c r="AL5433">
        <v>-20.144164099999951</v>
      </c>
      <c r="AM5433">
        <v>-44.909420167767642</v>
      </c>
      <c r="AN5433">
        <v>-20.144164099999951</v>
      </c>
      <c r="AO5433">
        <v>-44.909420167767642</v>
      </c>
      <c r="AP5433">
        <v>-20.144062999999999</v>
      </c>
      <c r="AQ5433">
        <v>-44.909627999999998</v>
      </c>
      <c r="AR5433">
        <v>24.46321571724976</v>
      </c>
      <c r="AS5433" t="s">
        <v>65</v>
      </c>
      <c r="AT5433">
        <v>1</v>
      </c>
      <c r="AU5433" t="s">
        <v>99</v>
      </c>
      <c r="AV5433" t="s">
        <v>94</v>
      </c>
      <c r="AW5433" t="s">
        <v>60</v>
      </c>
      <c r="AX5433" t="s">
        <v>68</v>
      </c>
      <c r="AY5433" t="s">
        <v>69</v>
      </c>
      <c r="AZ5433" t="b">
        <v>1</v>
      </c>
    </row>
    <row r="5434" spans="1:52" x14ac:dyDescent="0.3">
      <c r="A5434" t="s">
        <v>52</v>
      </c>
      <c r="B5434" t="s">
        <v>53</v>
      </c>
      <c r="C5434" t="s">
        <v>54</v>
      </c>
      <c r="D5434" t="s">
        <v>55</v>
      </c>
      <c r="E5434" t="s">
        <v>2279</v>
      </c>
      <c r="F5434" t="s">
        <v>1247</v>
      </c>
      <c r="G5434" t="s">
        <v>100</v>
      </c>
      <c r="H5434" t="s">
        <v>101</v>
      </c>
      <c r="I5434" t="s">
        <v>101</v>
      </c>
      <c r="J5434" t="s">
        <v>60</v>
      </c>
      <c r="K5434" t="s">
        <v>61</v>
      </c>
      <c r="L5434" t="s">
        <v>62</v>
      </c>
      <c r="M5434" t="s">
        <v>61</v>
      </c>
      <c r="N5434" t="s">
        <v>102</v>
      </c>
      <c r="O5434" t="s">
        <v>103</v>
      </c>
      <c r="P5434">
        <v>-20.151098999999999</v>
      </c>
      <c r="Q5434">
        <v>-44.909699000000003</v>
      </c>
      <c r="R5434" s="2" t="str">
        <f>HYPERLINK("https://www.google.com/maps?q=-20.1510990,-44.9096990","Abrir no Google Maps")</f>
        <v>Abrir no Google Maps</v>
      </c>
      <c r="S5434">
        <v>4</v>
      </c>
      <c r="T5434">
        <v>628.5023128813533</v>
      </c>
      <c r="U5434">
        <v>1</v>
      </c>
      <c r="V5434">
        <v>0</v>
      </c>
      <c r="W5434">
        <v>1</v>
      </c>
      <c r="X5434">
        <v>0</v>
      </c>
      <c r="Y5434">
        <v>747</v>
      </c>
      <c r="Z5434">
        <v>563.16456625265948</v>
      </c>
      <c r="AA5434">
        <v>198</v>
      </c>
      <c r="AB5434">
        <v>332</v>
      </c>
      <c r="AC5434">
        <v>536</v>
      </c>
      <c r="AD5434">
        <v>0</v>
      </c>
      <c r="AE5434">
        <v>542</v>
      </c>
      <c r="AF5434">
        <v>0</v>
      </c>
      <c r="AG5434">
        <v>0</v>
      </c>
      <c r="AH5434">
        <v>129</v>
      </c>
      <c r="AI5434">
        <v>0</v>
      </c>
      <c r="AJ5434">
        <v>0</v>
      </c>
      <c r="AK5434">
        <v>23.8</v>
      </c>
      <c r="AL5434">
        <v>-20.151307349999971</v>
      </c>
      <c r="AM5434">
        <v>-44.909772836123523</v>
      </c>
      <c r="AN5434">
        <v>-20.151307349999971</v>
      </c>
      <c r="AO5434">
        <v>-44.909772836123523</v>
      </c>
      <c r="AP5434">
        <v>-20.151098999999999</v>
      </c>
      <c r="AQ5434">
        <v>-44.909699000000003</v>
      </c>
      <c r="AR5434">
        <v>24.443417349564811</v>
      </c>
      <c r="AS5434" t="s">
        <v>65</v>
      </c>
      <c r="AT5434">
        <v>1</v>
      </c>
      <c r="AU5434" t="s">
        <v>104</v>
      </c>
      <c r="AV5434" t="s">
        <v>105</v>
      </c>
      <c r="AW5434" t="s">
        <v>60</v>
      </c>
      <c r="AX5434" t="s">
        <v>68</v>
      </c>
      <c r="AY5434" t="s">
        <v>69</v>
      </c>
      <c r="AZ5434" t="b">
        <v>1</v>
      </c>
    </row>
    <row r="5435" spans="1:52" x14ac:dyDescent="0.3">
      <c r="A5435" t="s">
        <v>52</v>
      </c>
      <c r="B5435" t="s">
        <v>53</v>
      </c>
      <c r="C5435" t="s">
        <v>54</v>
      </c>
      <c r="D5435" t="s">
        <v>55</v>
      </c>
      <c r="E5435" t="s">
        <v>2279</v>
      </c>
      <c r="F5435" t="s">
        <v>1247</v>
      </c>
      <c r="G5435" t="s">
        <v>100</v>
      </c>
      <c r="H5435" t="s">
        <v>106</v>
      </c>
      <c r="I5435" t="s">
        <v>106</v>
      </c>
      <c r="J5435" t="s">
        <v>60</v>
      </c>
      <c r="K5435" t="s">
        <v>61</v>
      </c>
      <c r="L5435" t="s">
        <v>62</v>
      </c>
      <c r="M5435" t="s">
        <v>61</v>
      </c>
      <c r="N5435" t="s">
        <v>102</v>
      </c>
      <c r="O5435" t="s">
        <v>103</v>
      </c>
      <c r="P5435">
        <v>-20.151107</v>
      </c>
      <c r="Q5435">
        <v>-44.908918</v>
      </c>
      <c r="R5435" s="2" t="str">
        <f>HYPERLINK("https://www.google.com/maps?q=-20.1511070,-44.9089180","Abrir no Google Maps")</f>
        <v>Abrir no Google Maps</v>
      </c>
      <c r="S5435">
        <v>4</v>
      </c>
      <c r="T5435">
        <v>615.86400245321579</v>
      </c>
      <c r="U5435">
        <v>1</v>
      </c>
      <c r="V5435">
        <v>0</v>
      </c>
      <c r="W5435">
        <v>0.85</v>
      </c>
      <c r="X5435">
        <v>0</v>
      </c>
      <c r="Y5435">
        <v>747</v>
      </c>
      <c r="Z5435">
        <v>535.34543763764702</v>
      </c>
      <c r="AA5435">
        <v>198</v>
      </c>
      <c r="AB5435">
        <v>332</v>
      </c>
      <c r="AC5435">
        <v>536</v>
      </c>
      <c r="AD5435">
        <v>0</v>
      </c>
      <c r="AE5435">
        <v>542</v>
      </c>
      <c r="AF5435">
        <v>0</v>
      </c>
      <c r="AG5435">
        <v>0</v>
      </c>
      <c r="AH5435">
        <v>129</v>
      </c>
      <c r="AI5435">
        <v>0</v>
      </c>
      <c r="AJ5435">
        <v>0</v>
      </c>
      <c r="AK5435">
        <v>23.8</v>
      </c>
      <c r="AL5435">
        <v>-20.151307349999971</v>
      </c>
      <c r="AM5435">
        <v>-44.909024234051429</v>
      </c>
      <c r="AN5435">
        <v>-20.151307349999971</v>
      </c>
      <c r="AO5435">
        <v>-44.909024234051429</v>
      </c>
      <c r="AP5435">
        <v>-20.151107</v>
      </c>
      <c r="AQ5435">
        <v>-44.908918</v>
      </c>
      <c r="AR5435">
        <v>24.91340747371116</v>
      </c>
      <c r="AS5435" t="s">
        <v>65</v>
      </c>
      <c r="AT5435">
        <v>1</v>
      </c>
      <c r="AU5435" t="s">
        <v>107</v>
      </c>
      <c r="AV5435" t="s">
        <v>105</v>
      </c>
      <c r="AW5435" t="s">
        <v>60</v>
      </c>
      <c r="AX5435" t="s">
        <v>68</v>
      </c>
      <c r="AY5435" t="s">
        <v>69</v>
      </c>
      <c r="AZ5435" t="b">
        <v>1</v>
      </c>
    </row>
    <row r="5436" spans="1:52" x14ac:dyDescent="0.3">
      <c r="A5436" t="s">
        <v>52</v>
      </c>
      <c r="B5436" t="s">
        <v>53</v>
      </c>
      <c r="C5436" t="s">
        <v>54</v>
      </c>
      <c r="D5436" t="s">
        <v>55</v>
      </c>
      <c r="E5436" t="s">
        <v>2279</v>
      </c>
      <c r="F5436" t="s">
        <v>1247</v>
      </c>
      <c r="G5436" t="s">
        <v>108</v>
      </c>
      <c r="H5436" t="s">
        <v>109</v>
      </c>
      <c r="I5436" t="s">
        <v>109</v>
      </c>
      <c r="J5436" t="s">
        <v>60</v>
      </c>
      <c r="K5436" t="s">
        <v>110</v>
      </c>
      <c r="L5436" t="s">
        <v>62</v>
      </c>
      <c r="M5436" t="s">
        <v>110</v>
      </c>
      <c r="N5436" t="s">
        <v>111</v>
      </c>
      <c r="O5436" t="s">
        <v>112</v>
      </c>
      <c r="P5436">
        <v>-20.122233999999999</v>
      </c>
      <c r="Q5436">
        <v>-44.909194999999997</v>
      </c>
      <c r="R5436" s="2" t="str">
        <f>HYPERLINK("https://www.google.com/maps?q=-20.1222340,-44.9091950","Abrir no Google Maps")</f>
        <v>Abrir no Google Maps</v>
      </c>
      <c r="S5436">
        <v>4</v>
      </c>
      <c r="T5436">
        <v>1171.396020763932</v>
      </c>
      <c r="U5436">
        <v>1</v>
      </c>
      <c r="V5436">
        <v>0</v>
      </c>
      <c r="W5436">
        <v>0.85</v>
      </c>
      <c r="X5436">
        <v>0</v>
      </c>
      <c r="Y5436">
        <v>567</v>
      </c>
      <c r="Z5436">
        <v>1238.711234283244</v>
      </c>
      <c r="AA5436">
        <v>198</v>
      </c>
      <c r="AB5436">
        <v>332</v>
      </c>
      <c r="AC5436">
        <v>536</v>
      </c>
      <c r="AD5436">
        <v>0</v>
      </c>
      <c r="AE5436">
        <v>542</v>
      </c>
      <c r="AF5436">
        <v>0</v>
      </c>
      <c r="AG5436">
        <v>0</v>
      </c>
      <c r="AH5436">
        <v>129</v>
      </c>
      <c r="AI5436">
        <v>0</v>
      </c>
      <c r="AJ5436">
        <v>0</v>
      </c>
      <c r="AK5436">
        <v>23.8</v>
      </c>
      <c r="AL5436">
        <v>-20.121881249999941</v>
      </c>
      <c r="AM5436">
        <v>-44.909273766094323</v>
      </c>
      <c r="AN5436">
        <v>-20.121881249999941</v>
      </c>
      <c r="AO5436">
        <v>-44.909273766094323</v>
      </c>
      <c r="AP5436">
        <v>-20.122233999999999</v>
      </c>
      <c r="AQ5436">
        <v>-44.909194999999997</v>
      </c>
      <c r="AR5436">
        <v>40.12192930593006</v>
      </c>
      <c r="AS5436" t="s">
        <v>65</v>
      </c>
      <c r="AT5436">
        <v>1</v>
      </c>
      <c r="AU5436" t="s">
        <v>113</v>
      </c>
      <c r="AV5436" t="s">
        <v>114</v>
      </c>
      <c r="AW5436" t="s">
        <v>60</v>
      </c>
      <c r="AX5436" t="s">
        <v>68</v>
      </c>
      <c r="AY5436" t="s">
        <v>69</v>
      </c>
      <c r="AZ5436" t="b">
        <v>1</v>
      </c>
    </row>
    <row r="5437" spans="1:52" x14ac:dyDescent="0.3">
      <c r="A5437" t="s">
        <v>52</v>
      </c>
      <c r="B5437" t="s">
        <v>53</v>
      </c>
      <c r="C5437" t="s">
        <v>54</v>
      </c>
      <c r="D5437" t="s">
        <v>55</v>
      </c>
      <c r="E5437" t="s">
        <v>2279</v>
      </c>
      <c r="F5437" t="s">
        <v>1247</v>
      </c>
      <c r="G5437" t="s">
        <v>1258</v>
      </c>
      <c r="H5437" t="s">
        <v>1259</v>
      </c>
      <c r="I5437" t="s">
        <v>1259</v>
      </c>
      <c r="J5437" t="s">
        <v>60</v>
      </c>
      <c r="K5437" t="s">
        <v>905</v>
      </c>
      <c r="L5437" t="s">
        <v>62</v>
      </c>
      <c r="M5437" t="s">
        <v>905</v>
      </c>
      <c r="N5437" t="s">
        <v>1260</v>
      </c>
      <c r="O5437" t="s">
        <v>628</v>
      </c>
      <c r="P5437">
        <v>-20.113569999999999</v>
      </c>
      <c r="Q5437">
        <v>-44.897216</v>
      </c>
      <c r="R5437" s="2" t="str">
        <f>HYPERLINK("https://www.google.com/maps?q=-20.1135700,-44.8972160","Abrir no Google Maps")</f>
        <v>Abrir no Google Maps</v>
      </c>
      <c r="S5437">
        <v>4</v>
      </c>
      <c r="T5437">
        <v>418.54368277643368</v>
      </c>
      <c r="U5437">
        <v>1</v>
      </c>
      <c r="V5437">
        <v>0</v>
      </c>
      <c r="W5437">
        <v>0.85</v>
      </c>
      <c r="X5437">
        <v>0</v>
      </c>
      <c r="Y5437">
        <v>567</v>
      </c>
      <c r="Z5437">
        <v>315.02989622191018</v>
      </c>
      <c r="AA5437">
        <v>198</v>
      </c>
      <c r="AB5437">
        <v>332</v>
      </c>
      <c r="AC5437">
        <v>536</v>
      </c>
      <c r="AD5437">
        <v>0</v>
      </c>
      <c r="AE5437">
        <v>542</v>
      </c>
      <c r="AF5437">
        <v>0</v>
      </c>
      <c r="AG5437">
        <v>0</v>
      </c>
      <c r="AH5437">
        <v>129</v>
      </c>
      <c r="AI5437">
        <v>0</v>
      </c>
      <c r="AJ5437">
        <v>0</v>
      </c>
      <c r="AK5437">
        <v>23.8</v>
      </c>
      <c r="AL5437">
        <v>-20.113750149999959</v>
      </c>
      <c r="AM5437">
        <v>-44.897427949999937</v>
      </c>
      <c r="AN5437">
        <v>-20.113750149999959</v>
      </c>
      <c r="AO5437">
        <v>-44.897427949999937</v>
      </c>
      <c r="AP5437">
        <v>-20.113569999999999</v>
      </c>
      <c r="AQ5437">
        <v>-44.897216</v>
      </c>
      <c r="AR5437">
        <v>29.883644534822711</v>
      </c>
      <c r="AS5437" t="s">
        <v>65</v>
      </c>
      <c r="AT5437">
        <v>1</v>
      </c>
      <c r="AU5437" t="s">
        <v>1261</v>
      </c>
      <c r="AV5437" t="s">
        <v>1262</v>
      </c>
      <c r="AW5437" t="s">
        <v>60</v>
      </c>
      <c r="AX5437" t="s">
        <v>68</v>
      </c>
      <c r="AY5437" t="s">
        <v>69</v>
      </c>
      <c r="AZ5437" t="b">
        <v>1</v>
      </c>
    </row>
    <row r="5438" spans="1:52" x14ac:dyDescent="0.3">
      <c r="A5438" t="s">
        <v>52</v>
      </c>
      <c r="B5438" t="s">
        <v>53</v>
      </c>
      <c r="C5438" t="s">
        <v>54</v>
      </c>
      <c r="D5438" t="s">
        <v>55</v>
      </c>
      <c r="E5438" t="s">
        <v>2279</v>
      </c>
      <c r="F5438" t="s">
        <v>1247</v>
      </c>
      <c r="G5438" t="s">
        <v>198</v>
      </c>
      <c r="H5438" t="s">
        <v>199</v>
      </c>
      <c r="I5438" t="s">
        <v>199</v>
      </c>
      <c r="J5438" t="s">
        <v>60</v>
      </c>
      <c r="K5438" t="s">
        <v>200</v>
      </c>
      <c r="L5438" t="s">
        <v>62</v>
      </c>
      <c r="M5438" t="s">
        <v>200</v>
      </c>
      <c r="N5438" t="s">
        <v>201</v>
      </c>
      <c r="O5438" t="s">
        <v>202</v>
      </c>
      <c r="P5438">
        <v>-20.122433000000001</v>
      </c>
      <c r="Q5438">
        <v>-44.897013999999999</v>
      </c>
      <c r="R5438" s="2" t="str">
        <f>HYPERLINK("https://www.google.com/maps?q=-20.1224330,-44.8970140","Abrir no Google Maps")</f>
        <v>Abrir no Google Maps</v>
      </c>
      <c r="S5438">
        <v>4</v>
      </c>
      <c r="T5438">
        <v>616.04759279207849</v>
      </c>
      <c r="U5438">
        <v>1</v>
      </c>
      <c r="V5438">
        <v>0</v>
      </c>
      <c r="W5438">
        <v>0.85</v>
      </c>
      <c r="X5438">
        <v>0</v>
      </c>
      <c r="Y5438">
        <v>567</v>
      </c>
      <c r="Z5438">
        <v>655.51024138861465</v>
      </c>
      <c r="AA5438">
        <v>198</v>
      </c>
      <c r="AB5438">
        <v>332</v>
      </c>
      <c r="AC5438">
        <v>536</v>
      </c>
      <c r="AD5438">
        <v>0</v>
      </c>
      <c r="AE5438">
        <v>542</v>
      </c>
      <c r="AF5438">
        <v>0</v>
      </c>
      <c r="AG5438">
        <v>0</v>
      </c>
      <c r="AH5438">
        <v>129</v>
      </c>
      <c r="AI5438">
        <v>0</v>
      </c>
      <c r="AJ5438">
        <v>0</v>
      </c>
      <c r="AK5438">
        <v>23.8</v>
      </c>
      <c r="AL5438">
        <v>-20.122144949999949</v>
      </c>
      <c r="AM5438">
        <v>-44.896761973125983</v>
      </c>
      <c r="AN5438">
        <v>-20.122144949999949</v>
      </c>
      <c r="AO5438">
        <v>-44.896761973125983</v>
      </c>
      <c r="AP5438">
        <v>-20.122433000000001</v>
      </c>
      <c r="AQ5438">
        <v>-44.897013999999999</v>
      </c>
      <c r="AR5438">
        <v>41.499066772735389</v>
      </c>
      <c r="AS5438" t="s">
        <v>65</v>
      </c>
      <c r="AT5438">
        <v>1</v>
      </c>
      <c r="AU5438" t="s">
        <v>203</v>
      </c>
      <c r="AV5438" t="s">
        <v>204</v>
      </c>
      <c r="AW5438" t="s">
        <v>60</v>
      </c>
      <c r="AX5438" t="s">
        <v>68</v>
      </c>
      <c r="AY5438" t="s">
        <v>69</v>
      </c>
      <c r="AZ5438" t="b">
        <v>1</v>
      </c>
    </row>
    <row r="5439" spans="1:52" x14ac:dyDescent="0.3">
      <c r="A5439" t="s">
        <v>52</v>
      </c>
      <c r="B5439" t="s">
        <v>53</v>
      </c>
      <c r="C5439" t="s">
        <v>54</v>
      </c>
      <c r="D5439" t="s">
        <v>55</v>
      </c>
      <c r="E5439" t="s">
        <v>2279</v>
      </c>
      <c r="F5439" t="s">
        <v>1247</v>
      </c>
      <c r="G5439" t="s">
        <v>1263</v>
      </c>
      <c r="H5439" t="s">
        <v>1264</v>
      </c>
      <c r="I5439" t="s">
        <v>1264</v>
      </c>
      <c r="J5439" t="s">
        <v>60</v>
      </c>
      <c r="K5439" t="s">
        <v>1265</v>
      </c>
      <c r="L5439" t="s">
        <v>62</v>
      </c>
      <c r="M5439" t="s">
        <v>1265</v>
      </c>
      <c r="N5439" t="s">
        <v>1266</v>
      </c>
      <c r="O5439" t="s">
        <v>1267</v>
      </c>
      <c r="P5439">
        <v>-20.116924000000001</v>
      </c>
      <c r="Q5439">
        <v>-44.906587000000002</v>
      </c>
      <c r="R5439" s="2" t="str">
        <f>HYPERLINK("https://www.google.com/maps?q=-20.1169240,-44.9065870","Abrir no Google Maps")</f>
        <v>Abrir no Google Maps</v>
      </c>
      <c r="S5439">
        <v>4</v>
      </c>
      <c r="T5439">
        <v>745.10453961787857</v>
      </c>
      <c r="U5439">
        <v>1</v>
      </c>
      <c r="V5439">
        <v>0</v>
      </c>
      <c r="W5439">
        <v>0.85</v>
      </c>
      <c r="X5439">
        <v>0</v>
      </c>
      <c r="Y5439">
        <v>567</v>
      </c>
      <c r="Z5439">
        <v>816.44456345071217</v>
      </c>
      <c r="AA5439">
        <v>198</v>
      </c>
      <c r="AB5439">
        <v>332</v>
      </c>
      <c r="AC5439">
        <v>536</v>
      </c>
      <c r="AD5439">
        <v>0</v>
      </c>
      <c r="AE5439">
        <v>542</v>
      </c>
      <c r="AF5439">
        <v>0</v>
      </c>
      <c r="AG5439">
        <v>0</v>
      </c>
      <c r="AH5439">
        <v>129</v>
      </c>
      <c r="AI5439">
        <v>0</v>
      </c>
      <c r="AJ5439">
        <v>0</v>
      </c>
      <c r="AK5439">
        <v>23.8</v>
      </c>
      <c r="AL5439">
        <v>-20.117279149999941</v>
      </c>
      <c r="AM5439">
        <v>-44.906397211815133</v>
      </c>
      <c r="AN5439">
        <v>-20.117279149999941</v>
      </c>
      <c r="AO5439">
        <v>-44.906397211815133</v>
      </c>
      <c r="AP5439">
        <v>-20.116924000000001</v>
      </c>
      <c r="AQ5439">
        <v>-44.906587000000002</v>
      </c>
      <c r="AR5439">
        <v>44.233430660980403</v>
      </c>
      <c r="AS5439" t="s">
        <v>65</v>
      </c>
      <c r="AT5439">
        <v>1</v>
      </c>
      <c r="AU5439" t="s">
        <v>1268</v>
      </c>
      <c r="AV5439" t="s">
        <v>1269</v>
      </c>
      <c r="AW5439" t="s">
        <v>60</v>
      </c>
      <c r="AX5439" t="s">
        <v>68</v>
      </c>
      <c r="AY5439" t="s">
        <v>69</v>
      </c>
      <c r="AZ5439" t="b">
        <v>1</v>
      </c>
    </row>
    <row r="5440" spans="1:52" x14ac:dyDescent="0.3">
      <c r="A5440" t="s">
        <v>52</v>
      </c>
      <c r="B5440" t="s">
        <v>53</v>
      </c>
      <c r="C5440" t="s">
        <v>54</v>
      </c>
      <c r="D5440" t="s">
        <v>55</v>
      </c>
      <c r="E5440" t="s">
        <v>2279</v>
      </c>
      <c r="F5440" t="s">
        <v>1247</v>
      </c>
      <c r="G5440" t="s">
        <v>205</v>
      </c>
      <c r="H5440" t="s">
        <v>206</v>
      </c>
      <c r="I5440" t="s">
        <v>206</v>
      </c>
      <c r="J5440" t="s">
        <v>60</v>
      </c>
      <c r="K5440" t="s">
        <v>207</v>
      </c>
      <c r="L5440" t="s">
        <v>62</v>
      </c>
      <c r="M5440" t="s">
        <v>207</v>
      </c>
      <c r="N5440" t="s">
        <v>208</v>
      </c>
      <c r="O5440" t="s">
        <v>209</v>
      </c>
      <c r="P5440">
        <v>-20.117533999999999</v>
      </c>
      <c r="Q5440">
        <v>-44.892943000000002</v>
      </c>
      <c r="R5440" s="2" t="str">
        <f>HYPERLINK("https://www.google.com/maps?q=-20.1175340,-44.8929430","Abrir no Google Maps")</f>
        <v>Abrir no Google Maps</v>
      </c>
      <c r="S5440">
        <v>4</v>
      </c>
      <c r="T5440">
        <v>601.98486688021592</v>
      </c>
      <c r="U5440">
        <v>1</v>
      </c>
      <c r="V5440">
        <v>0</v>
      </c>
      <c r="W5440">
        <v>0.85</v>
      </c>
      <c r="X5440">
        <v>0</v>
      </c>
      <c r="Y5440">
        <v>567</v>
      </c>
      <c r="Z5440">
        <v>574.59225706016446</v>
      </c>
      <c r="AA5440">
        <v>198</v>
      </c>
      <c r="AB5440">
        <v>332</v>
      </c>
      <c r="AC5440">
        <v>536</v>
      </c>
      <c r="AD5440">
        <v>0</v>
      </c>
      <c r="AE5440">
        <v>542</v>
      </c>
      <c r="AF5440">
        <v>0</v>
      </c>
      <c r="AG5440">
        <v>0</v>
      </c>
      <c r="AH5440">
        <v>129</v>
      </c>
      <c r="AI5440">
        <v>0</v>
      </c>
      <c r="AJ5440">
        <v>0</v>
      </c>
      <c r="AK5440">
        <v>23.8</v>
      </c>
      <c r="AL5440">
        <v>-20.11671494999996</v>
      </c>
      <c r="AM5440">
        <v>-44.89352717833448</v>
      </c>
      <c r="AN5440">
        <v>-20.11671494999996</v>
      </c>
      <c r="AO5440">
        <v>-44.89352717833448</v>
      </c>
      <c r="AP5440">
        <v>-20.117533999999999</v>
      </c>
      <c r="AQ5440">
        <v>-44.892943000000002</v>
      </c>
      <c r="AR5440">
        <v>109.7357164799156</v>
      </c>
      <c r="AS5440" t="s">
        <v>65</v>
      </c>
      <c r="AT5440">
        <v>1</v>
      </c>
      <c r="AU5440" t="s">
        <v>210</v>
      </c>
      <c r="AV5440" t="s">
        <v>211</v>
      </c>
      <c r="AW5440" t="s">
        <v>60</v>
      </c>
      <c r="AX5440" t="s">
        <v>68</v>
      </c>
      <c r="AY5440" t="s">
        <v>69</v>
      </c>
      <c r="AZ5440" t="b">
        <v>1</v>
      </c>
    </row>
    <row r="5441" spans="1:52" x14ac:dyDescent="0.3">
      <c r="A5441" t="s">
        <v>52</v>
      </c>
      <c r="B5441" t="s">
        <v>53</v>
      </c>
      <c r="C5441" t="s">
        <v>54</v>
      </c>
      <c r="D5441" t="s">
        <v>55</v>
      </c>
      <c r="E5441" t="s">
        <v>2279</v>
      </c>
      <c r="F5441" t="s">
        <v>1247</v>
      </c>
      <c r="G5441" t="s">
        <v>115</v>
      </c>
      <c r="H5441" t="s">
        <v>116</v>
      </c>
      <c r="I5441" t="s">
        <v>116</v>
      </c>
      <c r="J5441" t="s">
        <v>60</v>
      </c>
      <c r="K5441" t="s">
        <v>117</v>
      </c>
      <c r="L5441" t="s">
        <v>62</v>
      </c>
      <c r="M5441" t="s">
        <v>117</v>
      </c>
      <c r="N5441" t="s">
        <v>118</v>
      </c>
      <c r="O5441" t="s">
        <v>119</v>
      </c>
      <c r="P5441">
        <v>-20.116992</v>
      </c>
      <c r="Q5441">
        <v>-44.899355</v>
      </c>
      <c r="R5441" s="2" t="str">
        <f>HYPERLINK("https://www.google.com/maps?q=-20.1169920,-44.8993550","Abrir no Google Maps")</f>
        <v>Abrir no Google Maps</v>
      </c>
      <c r="S5441">
        <v>4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567</v>
      </c>
      <c r="Z5441">
        <v>54.913678078353321</v>
      </c>
      <c r="AA5441">
        <v>198</v>
      </c>
      <c r="AB5441">
        <v>332</v>
      </c>
      <c r="AC5441">
        <v>536</v>
      </c>
      <c r="AD5441">
        <v>0</v>
      </c>
      <c r="AE5441">
        <v>542</v>
      </c>
      <c r="AF5441">
        <v>0</v>
      </c>
      <c r="AG5441">
        <v>0</v>
      </c>
      <c r="AH5441">
        <v>129</v>
      </c>
      <c r="AI5441">
        <v>0</v>
      </c>
      <c r="AJ5441">
        <v>0</v>
      </c>
      <c r="AK5441">
        <v>23.8</v>
      </c>
      <c r="AL5441">
        <v>-20.117107749999949</v>
      </c>
      <c r="AM5441">
        <v>-44.899271226243108</v>
      </c>
      <c r="AN5441">
        <v>-20.117107749999949</v>
      </c>
      <c r="AO5441">
        <v>-44.899271226243108</v>
      </c>
      <c r="AP5441">
        <v>-20.116992</v>
      </c>
      <c r="AQ5441">
        <v>-44.899355</v>
      </c>
      <c r="AR5441">
        <v>15.579196044083419</v>
      </c>
      <c r="AS5441" t="s">
        <v>65</v>
      </c>
      <c r="AT5441">
        <v>1</v>
      </c>
      <c r="AU5441" t="s">
        <v>120</v>
      </c>
      <c r="AV5441" t="s">
        <v>121</v>
      </c>
      <c r="AW5441" t="s">
        <v>60</v>
      </c>
      <c r="AX5441" t="s">
        <v>68</v>
      </c>
      <c r="AY5441" t="s">
        <v>69</v>
      </c>
      <c r="AZ5441" t="b">
        <v>1</v>
      </c>
    </row>
    <row r="5442" spans="1:52" x14ac:dyDescent="0.3">
      <c r="A5442" t="s">
        <v>52</v>
      </c>
      <c r="B5442" t="s">
        <v>53</v>
      </c>
      <c r="C5442" t="s">
        <v>54</v>
      </c>
      <c r="D5442" t="s">
        <v>55</v>
      </c>
      <c r="E5442" t="s">
        <v>2279</v>
      </c>
      <c r="F5442" t="s">
        <v>1247</v>
      </c>
      <c r="G5442" t="s">
        <v>122</v>
      </c>
      <c r="H5442" t="s">
        <v>123</v>
      </c>
      <c r="I5442" t="s">
        <v>123</v>
      </c>
      <c r="J5442" t="s">
        <v>60</v>
      </c>
      <c r="K5442" t="s">
        <v>117</v>
      </c>
      <c r="L5442" t="s">
        <v>62</v>
      </c>
      <c r="M5442" t="s">
        <v>117</v>
      </c>
      <c r="N5442" t="s">
        <v>124</v>
      </c>
      <c r="O5442" t="s">
        <v>125</v>
      </c>
      <c r="P5442">
        <v>-20.11853</v>
      </c>
      <c r="Q5442">
        <v>-44.896925000000003</v>
      </c>
      <c r="R5442" s="2" t="str">
        <f>HYPERLINK("https://www.google.com/maps?q=-20.1185300,-44.8969250","Abrir no Google Maps")</f>
        <v>Abrir no Google Maps</v>
      </c>
      <c r="S5442">
        <v>4</v>
      </c>
      <c r="T5442">
        <v>325.32255721093247</v>
      </c>
      <c r="U5442">
        <v>1</v>
      </c>
      <c r="V5442">
        <v>0</v>
      </c>
      <c r="W5442">
        <v>1</v>
      </c>
      <c r="X5442">
        <v>0</v>
      </c>
      <c r="Y5442">
        <v>567</v>
      </c>
      <c r="Z5442">
        <v>306.04423478678871</v>
      </c>
      <c r="AA5442">
        <v>198</v>
      </c>
      <c r="AB5442">
        <v>332</v>
      </c>
      <c r="AC5442">
        <v>536</v>
      </c>
      <c r="AD5442">
        <v>0</v>
      </c>
      <c r="AE5442">
        <v>542</v>
      </c>
      <c r="AF5442">
        <v>0</v>
      </c>
      <c r="AG5442">
        <v>0</v>
      </c>
      <c r="AH5442">
        <v>129</v>
      </c>
      <c r="AI5442">
        <v>0</v>
      </c>
      <c r="AJ5442">
        <v>0</v>
      </c>
      <c r="AK5442">
        <v>23.8</v>
      </c>
      <c r="AL5442">
        <v>-20.118682499999949</v>
      </c>
      <c r="AM5442">
        <v>-44.896643089287927</v>
      </c>
      <c r="AN5442">
        <v>-20.118682499999949</v>
      </c>
      <c r="AO5442">
        <v>-44.896643089287927</v>
      </c>
      <c r="AP5442">
        <v>-20.11853</v>
      </c>
      <c r="AQ5442">
        <v>-44.896925000000003</v>
      </c>
      <c r="AR5442">
        <v>34.007698996886518</v>
      </c>
      <c r="AS5442" t="s">
        <v>65</v>
      </c>
      <c r="AT5442">
        <v>1</v>
      </c>
      <c r="AU5442" t="s">
        <v>126</v>
      </c>
      <c r="AV5442" t="s">
        <v>121</v>
      </c>
      <c r="AW5442" t="s">
        <v>60</v>
      </c>
      <c r="AX5442" t="s">
        <v>68</v>
      </c>
      <c r="AY5442" t="s">
        <v>69</v>
      </c>
      <c r="AZ5442" t="b">
        <v>1</v>
      </c>
    </row>
    <row r="5443" spans="1:52" x14ac:dyDescent="0.3">
      <c r="A5443" t="s">
        <v>52</v>
      </c>
      <c r="B5443" t="s">
        <v>53</v>
      </c>
      <c r="C5443" t="s">
        <v>54</v>
      </c>
      <c r="D5443" t="s">
        <v>55</v>
      </c>
      <c r="E5443" t="s">
        <v>2279</v>
      </c>
      <c r="F5443" t="s">
        <v>1247</v>
      </c>
      <c r="G5443" t="s">
        <v>1127</v>
      </c>
      <c r="H5443" t="s">
        <v>1270</v>
      </c>
      <c r="I5443" t="s">
        <v>1270</v>
      </c>
      <c r="J5443" t="s">
        <v>60</v>
      </c>
      <c r="K5443" t="s">
        <v>200</v>
      </c>
      <c r="L5443" t="s">
        <v>62</v>
      </c>
      <c r="M5443" t="s">
        <v>200</v>
      </c>
      <c r="N5443" t="s">
        <v>1271</v>
      </c>
      <c r="O5443" t="s">
        <v>315</v>
      </c>
      <c r="P5443">
        <v>-20.123483</v>
      </c>
      <c r="Q5443">
        <v>-44.904159</v>
      </c>
      <c r="R5443" s="2" t="str">
        <f>HYPERLINK("https://www.google.com/maps?q=-20.1234830,-44.9041590","Abrir no Google Maps")</f>
        <v>Abrir no Google Maps</v>
      </c>
      <c r="S5443">
        <v>4</v>
      </c>
      <c r="T5443">
        <v>1046.2792913459141</v>
      </c>
      <c r="U5443">
        <v>1</v>
      </c>
      <c r="V5443">
        <v>0</v>
      </c>
      <c r="W5443">
        <v>0.85</v>
      </c>
      <c r="X5443">
        <v>0</v>
      </c>
      <c r="Y5443">
        <v>567</v>
      </c>
      <c r="Z5443">
        <v>1072.1273144328541</v>
      </c>
      <c r="AA5443">
        <v>198</v>
      </c>
      <c r="AB5443">
        <v>332</v>
      </c>
      <c r="AC5443">
        <v>536</v>
      </c>
      <c r="AD5443">
        <v>0</v>
      </c>
      <c r="AE5443">
        <v>542</v>
      </c>
      <c r="AF5443">
        <v>0</v>
      </c>
      <c r="AG5443">
        <v>0</v>
      </c>
      <c r="AH5443">
        <v>129</v>
      </c>
      <c r="AI5443">
        <v>0</v>
      </c>
      <c r="AJ5443">
        <v>0</v>
      </c>
      <c r="AK5443">
        <v>23.8</v>
      </c>
      <c r="AL5443">
        <v>-20.12548399999994</v>
      </c>
      <c r="AM5443">
        <v>-44.903913990586467</v>
      </c>
      <c r="AN5443">
        <v>-20.12548399999994</v>
      </c>
      <c r="AO5443">
        <v>-44.903913990586467</v>
      </c>
      <c r="AP5443">
        <v>-20.123483</v>
      </c>
      <c r="AQ5443">
        <v>-44.904159</v>
      </c>
      <c r="AR5443">
        <v>224.218591682908</v>
      </c>
      <c r="AS5443" t="s">
        <v>65</v>
      </c>
      <c r="AT5443">
        <v>1</v>
      </c>
      <c r="AU5443" t="s">
        <v>1272</v>
      </c>
      <c r="AV5443" t="s">
        <v>1273</v>
      </c>
      <c r="AW5443" t="s">
        <v>60</v>
      </c>
      <c r="AX5443" t="s">
        <v>68</v>
      </c>
      <c r="AY5443" t="s">
        <v>69</v>
      </c>
      <c r="AZ5443" t="b">
        <v>1</v>
      </c>
    </row>
    <row r="5444" spans="1:52" x14ac:dyDescent="0.3">
      <c r="A5444" t="s">
        <v>52</v>
      </c>
      <c r="B5444" t="s">
        <v>53</v>
      </c>
      <c r="C5444" t="s">
        <v>54</v>
      </c>
      <c r="D5444" t="s">
        <v>55</v>
      </c>
      <c r="E5444" t="s">
        <v>2279</v>
      </c>
      <c r="F5444" t="s">
        <v>1247</v>
      </c>
      <c r="G5444" t="s">
        <v>380</v>
      </c>
      <c r="H5444" t="s">
        <v>381</v>
      </c>
      <c r="I5444" t="s">
        <v>381</v>
      </c>
      <c r="J5444" t="s">
        <v>60</v>
      </c>
      <c r="K5444" t="s">
        <v>72</v>
      </c>
      <c r="L5444" t="s">
        <v>62</v>
      </c>
      <c r="M5444" t="s">
        <v>72</v>
      </c>
      <c r="N5444" t="s">
        <v>382</v>
      </c>
      <c r="O5444" t="s">
        <v>383</v>
      </c>
      <c r="P5444">
        <v>-20.147182000000001</v>
      </c>
      <c r="Q5444">
        <v>-44.912728999999999</v>
      </c>
      <c r="R5444" s="2" t="str">
        <f>HYPERLINK("https://www.google.com/maps?q=-20.1471820,-44.9127290","Abrir no Google Maps")</f>
        <v>Abrir no Google Maps</v>
      </c>
      <c r="S5444">
        <v>3</v>
      </c>
      <c r="T5444">
        <v>478.0141981540923</v>
      </c>
      <c r="U5444">
        <v>1</v>
      </c>
      <c r="V5444">
        <v>0</v>
      </c>
      <c r="W5444">
        <v>1</v>
      </c>
      <c r="X5444">
        <v>0</v>
      </c>
      <c r="Y5444">
        <v>747</v>
      </c>
      <c r="Z5444">
        <v>494.0254290673729</v>
      </c>
      <c r="AA5444">
        <v>198</v>
      </c>
      <c r="AB5444">
        <v>332</v>
      </c>
      <c r="AC5444">
        <v>536</v>
      </c>
      <c r="AD5444">
        <v>0</v>
      </c>
      <c r="AE5444">
        <v>542</v>
      </c>
      <c r="AF5444">
        <v>0</v>
      </c>
      <c r="AG5444">
        <v>0</v>
      </c>
      <c r="AH5444">
        <v>129</v>
      </c>
      <c r="AI5444">
        <v>0</v>
      </c>
      <c r="AJ5444">
        <v>0</v>
      </c>
      <c r="AK5444">
        <v>23.8</v>
      </c>
      <c r="AL5444">
        <v>-20.147375599999979</v>
      </c>
      <c r="AM5444">
        <v>-44.912907472879468</v>
      </c>
      <c r="AN5444">
        <v>-20.147375599999979</v>
      </c>
      <c r="AO5444">
        <v>-44.912907472879468</v>
      </c>
      <c r="AP5444">
        <v>-20.147182000000001</v>
      </c>
      <c r="AQ5444">
        <v>-44.912728999999999</v>
      </c>
      <c r="AR5444">
        <v>28.50197694184326</v>
      </c>
      <c r="AS5444" t="s">
        <v>65</v>
      </c>
      <c r="AT5444">
        <v>1</v>
      </c>
      <c r="AU5444" t="s">
        <v>384</v>
      </c>
      <c r="AV5444" t="s">
        <v>385</v>
      </c>
      <c r="AW5444" t="s">
        <v>60</v>
      </c>
      <c r="AX5444" t="s">
        <v>68</v>
      </c>
      <c r="AY5444" t="s">
        <v>69</v>
      </c>
      <c r="AZ5444" t="b">
        <v>1</v>
      </c>
    </row>
    <row r="5445" spans="1:52" x14ac:dyDescent="0.3">
      <c r="A5445" t="s">
        <v>52</v>
      </c>
      <c r="B5445" t="s">
        <v>53</v>
      </c>
      <c r="C5445" t="s">
        <v>54</v>
      </c>
      <c r="D5445" t="s">
        <v>55</v>
      </c>
      <c r="E5445" t="s">
        <v>2279</v>
      </c>
      <c r="F5445" t="s">
        <v>1247</v>
      </c>
      <c r="G5445" t="s">
        <v>833</v>
      </c>
      <c r="H5445" t="s">
        <v>834</v>
      </c>
      <c r="I5445" t="s">
        <v>834</v>
      </c>
      <c r="J5445" t="s">
        <v>60</v>
      </c>
      <c r="K5445" t="s">
        <v>388</v>
      </c>
      <c r="L5445" t="s">
        <v>62</v>
      </c>
      <c r="M5445" t="s">
        <v>388</v>
      </c>
      <c r="N5445" t="s">
        <v>835</v>
      </c>
      <c r="O5445" t="s">
        <v>836</v>
      </c>
      <c r="P5445">
        <v>-20.157906000000001</v>
      </c>
      <c r="Q5445">
        <v>-44.900458999999998</v>
      </c>
      <c r="R5445" s="2" t="str">
        <f>HYPERLINK("https://www.google.com/maps?q=-20.1579060,-44.9004590","Abrir no Google Maps")</f>
        <v>Abrir no Google Maps</v>
      </c>
      <c r="S5445">
        <v>3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729</v>
      </c>
      <c r="Z5445">
        <v>203.63168486652771</v>
      </c>
      <c r="AA5445">
        <v>198</v>
      </c>
      <c r="AB5445">
        <v>332</v>
      </c>
      <c r="AC5445">
        <v>536</v>
      </c>
      <c r="AD5445">
        <v>0</v>
      </c>
      <c r="AE5445">
        <v>542</v>
      </c>
      <c r="AF5445">
        <v>0</v>
      </c>
      <c r="AG5445">
        <v>0</v>
      </c>
      <c r="AH5445">
        <v>129</v>
      </c>
      <c r="AI5445">
        <v>0</v>
      </c>
      <c r="AJ5445">
        <v>0</v>
      </c>
      <c r="AK5445">
        <v>23.8</v>
      </c>
      <c r="AL5445">
        <v>-20.157925749999951</v>
      </c>
      <c r="AM5445">
        <v>-44.900484707799812</v>
      </c>
      <c r="AN5445">
        <v>-20.157925749999951</v>
      </c>
      <c r="AO5445">
        <v>-44.900484707799812</v>
      </c>
      <c r="AP5445">
        <v>-20.157906000000001</v>
      </c>
      <c r="AQ5445">
        <v>-44.900458999999998</v>
      </c>
      <c r="AR5445">
        <v>3.4714515960382508</v>
      </c>
      <c r="AS5445" t="s">
        <v>65</v>
      </c>
      <c r="AT5445">
        <v>1</v>
      </c>
      <c r="AU5445" t="s">
        <v>837</v>
      </c>
      <c r="AV5445" t="s">
        <v>838</v>
      </c>
      <c r="AW5445" t="s">
        <v>60</v>
      </c>
      <c r="AX5445" t="s">
        <v>68</v>
      </c>
      <c r="AY5445" t="s">
        <v>69</v>
      </c>
      <c r="AZ5445" t="b">
        <v>1</v>
      </c>
    </row>
    <row r="5446" spans="1:52" x14ac:dyDescent="0.3">
      <c r="A5446" t="s">
        <v>52</v>
      </c>
      <c r="B5446" t="s">
        <v>53</v>
      </c>
      <c r="C5446" t="s">
        <v>54</v>
      </c>
      <c r="D5446" t="s">
        <v>55</v>
      </c>
      <c r="E5446" t="s">
        <v>2279</v>
      </c>
      <c r="F5446" t="s">
        <v>1247</v>
      </c>
      <c r="G5446" t="s">
        <v>839</v>
      </c>
      <c r="H5446" t="s">
        <v>840</v>
      </c>
      <c r="I5446" t="s">
        <v>840</v>
      </c>
      <c r="J5446" t="s">
        <v>60</v>
      </c>
      <c r="K5446" t="s">
        <v>388</v>
      </c>
      <c r="L5446" t="s">
        <v>62</v>
      </c>
      <c r="M5446" t="s">
        <v>388</v>
      </c>
      <c r="N5446" t="s">
        <v>841</v>
      </c>
      <c r="O5446" t="s">
        <v>842</v>
      </c>
      <c r="P5446">
        <v>-20.159977999999999</v>
      </c>
      <c r="Q5446">
        <v>-44.900207000000002</v>
      </c>
      <c r="R5446" s="2" t="str">
        <f>HYPERLINK("https://www.google.com/maps?q=-20.1599780,-44.9002070","Abrir no Google Maps")</f>
        <v>Abrir no Google Maps</v>
      </c>
      <c r="S5446">
        <v>3</v>
      </c>
      <c r="T5446">
        <v>213.24333517300789</v>
      </c>
      <c r="U5446">
        <v>1</v>
      </c>
      <c r="V5446">
        <v>0</v>
      </c>
      <c r="W5446">
        <v>1</v>
      </c>
      <c r="X5446">
        <v>0</v>
      </c>
      <c r="Y5446">
        <v>729</v>
      </c>
      <c r="Z5446">
        <v>315.47173727880028</v>
      </c>
      <c r="AA5446">
        <v>198</v>
      </c>
      <c r="AB5446">
        <v>332</v>
      </c>
      <c r="AC5446">
        <v>536</v>
      </c>
      <c r="AD5446">
        <v>0</v>
      </c>
      <c r="AE5446">
        <v>542</v>
      </c>
      <c r="AF5446">
        <v>0</v>
      </c>
      <c r="AG5446">
        <v>0</v>
      </c>
      <c r="AH5446">
        <v>129</v>
      </c>
      <c r="AI5446">
        <v>0</v>
      </c>
      <c r="AJ5446">
        <v>0</v>
      </c>
      <c r="AK5446">
        <v>23.8</v>
      </c>
      <c r="AL5446">
        <v>-20.159825649999959</v>
      </c>
      <c r="AM5446">
        <v>-44.900143828909613</v>
      </c>
      <c r="AN5446">
        <v>-20.159825649999959</v>
      </c>
      <c r="AO5446">
        <v>-44.900143828909613</v>
      </c>
      <c r="AP5446">
        <v>-20.159977999999999</v>
      </c>
      <c r="AQ5446">
        <v>-44.900207000000002</v>
      </c>
      <c r="AR5446">
        <v>18.199073573580371</v>
      </c>
      <c r="AS5446" t="s">
        <v>65</v>
      </c>
      <c r="AT5446">
        <v>1</v>
      </c>
      <c r="AU5446" t="s">
        <v>843</v>
      </c>
      <c r="AV5446" t="s">
        <v>844</v>
      </c>
      <c r="AW5446" t="s">
        <v>60</v>
      </c>
      <c r="AX5446" t="s">
        <v>68</v>
      </c>
      <c r="AY5446" t="s">
        <v>69</v>
      </c>
      <c r="AZ5446" t="b">
        <v>1</v>
      </c>
    </row>
    <row r="5447" spans="1:52" x14ac:dyDescent="0.3">
      <c r="A5447" t="s">
        <v>52</v>
      </c>
      <c r="B5447" t="s">
        <v>53</v>
      </c>
      <c r="C5447" t="s">
        <v>54</v>
      </c>
      <c r="D5447" t="s">
        <v>55</v>
      </c>
      <c r="E5447" t="s">
        <v>2279</v>
      </c>
      <c r="F5447" t="s">
        <v>1247</v>
      </c>
      <c r="G5447" t="s">
        <v>386</v>
      </c>
      <c r="H5447" t="s">
        <v>387</v>
      </c>
      <c r="I5447" t="s">
        <v>387</v>
      </c>
      <c r="J5447" t="s">
        <v>60</v>
      </c>
      <c r="K5447" t="s">
        <v>388</v>
      </c>
      <c r="L5447" t="s">
        <v>62</v>
      </c>
      <c r="M5447" t="s">
        <v>388</v>
      </c>
      <c r="N5447" t="s">
        <v>389</v>
      </c>
      <c r="O5447" t="s">
        <v>357</v>
      </c>
      <c r="P5447">
        <v>-20.161041999999998</v>
      </c>
      <c r="Q5447">
        <v>-44.901242000000003</v>
      </c>
      <c r="R5447" s="2" t="str">
        <f>HYPERLINK("https://www.google.com/maps?q=-20.1610420,-44.9012420","Abrir no Google Maps")</f>
        <v>Abrir no Google Maps</v>
      </c>
      <c r="S5447">
        <v>3</v>
      </c>
      <c r="T5447">
        <v>440.22183232279212</v>
      </c>
      <c r="U5447">
        <v>1</v>
      </c>
      <c r="V5447">
        <v>0</v>
      </c>
      <c r="W5447">
        <v>1</v>
      </c>
      <c r="X5447">
        <v>0</v>
      </c>
      <c r="Y5447">
        <v>729</v>
      </c>
      <c r="Z5447">
        <v>398.48306829302379</v>
      </c>
      <c r="AA5447">
        <v>198</v>
      </c>
      <c r="AB5447">
        <v>332</v>
      </c>
      <c r="AC5447">
        <v>536</v>
      </c>
      <c r="AD5447">
        <v>0</v>
      </c>
      <c r="AE5447">
        <v>542</v>
      </c>
      <c r="AF5447">
        <v>0</v>
      </c>
      <c r="AG5447">
        <v>0</v>
      </c>
      <c r="AH5447">
        <v>129</v>
      </c>
      <c r="AI5447">
        <v>0</v>
      </c>
      <c r="AJ5447">
        <v>0</v>
      </c>
      <c r="AK5447">
        <v>23.8</v>
      </c>
      <c r="AL5447">
        <v>-20.16176629999995</v>
      </c>
      <c r="AM5447">
        <v>-44.901582787827898</v>
      </c>
      <c r="AN5447">
        <v>-20.16176629999995</v>
      </c>
      <c r="AO5447">
        <v>-44.901582787827898</v>
      </c>
      <c r="AP5447">
        <v>-20.161041999999998</v>
      </c>
      <c r="AQ5447">
        <v>-44.901242000000003</v>
      </c>
      <c r="AR5447">
        <v>88.143369157892835</v>
      </c>
      <c r="AS5447" t="s">
        <v>65</v>
      </c>
      <c r="AT5447">
        <v>1</v>
      </c>
      <c r="AU5447" t="s">
        <v>390</v>
      </c>
      <c r="AV5447" t="s">
        <v>391</v>
      </c>
      <c r="AW5447" t="s">
        <v>60</v>
      </c>
      <c r="AX5447" t="s">
        <v>68</v>
      </c>
      <c r="AY5447" t="s">
        <v>69</v>
      </c>
      <c r="AZ5447" t="b">
        <v>1</v>
      </c>
    </row>
    <row r="5448" spans="1:52" x14ac:dyDescent="0.3">
      <c r="A5448" t="s">
        <v>52</v>
      </c>
      <c r="B5448" t="s">
        <v>53</v>
      </c>
      <c r="C5448" t="s">
        <v>54</v>
      </c>
      <c r="D5448" t="s">
        <v>55</v>
      </c>
      <c r="E5448" t="s">
        <v>2279</v>
      </c>
      <c r="F5448" t="s">
        <v>1247</v>
      </c>
      <c r="G5448" t="s">
        <v>392</v>
      </c>
      <c r="H5448" t="s">
        <v>393</v>
      </c>
      <c r="I5448" t="s">
        <v>393</v>
      </c>
      <c r="J5448" t="s">
        <v>60</v>
      </c>
      <c r="K5448" t="s">
        <v>388</v>
      </c>
      <c r="L5448" t="s">
        <v>62</v>
      </c>
      <c r="M5448" t="s">
        <v>388</v>
      </c>
      <c r="N5448" t="s">
        <v>394</v>
      </c>
      <c r="O5448" t="s">
        <v>395</v>
      </c>
      <c r="P5448">
        <v>-20.158066999999999</v>
      </c>
      <c r="Q5448">
        <v>-44.908164999999997</v>
      </c>
      <c r="R5448" s="2" t="str">
        <f>HYPERLINK("https://www.google.com/maps?q=-20.1580670,-44.9081650","Abrir no Google Maps")</f>
        <v>Abrir no Google Maps</v>
      </c>
      <c r="S5448">
        <v>3</v>
      </c>
      <c r="T5448">
        <v>666.74434317993041</v>
      </c>
      <c r="U5448">
        <v>1</v>
      </c>
      <c r="V5448">
        <v>0</v>
      </c>
      <c r="W5448">
        <v>1</v>
      </c>
      <c r="X5448">
        <v>0</v>
      </c>
      <c r="Y5448">
        <v>729</v>
      </c>
      <c r="Z5448">
        <v>612.4323328215396</v>
      </c>
      <c r="AA5448">
        <v>198</v>
      </c>
      <c r="AB5448">
        <v>332</v>
      </c>
      <c r="AC5448">
        <v>536</v>
      </c>
      <c r="AD5448">
        <v>0</v>
      </c>
      <c r="AE5448">
        <v>542</v>
      </c>
      <c r="AF5448">
        <v>0</v>
      </c>
      <c r="AG5448">
        <v>0</v>
      </c>
      <c r="AH5448">
        <v>129</v>
      </c>
      <c r="AI5448">
        <v>0</v>
      </c>
      <c r="AJ5448">
        <v>0</v>
      </c>
      <c r="AK5448">
        <v>23.8</v>
      </c>
      <c r="AL5448">
        <v>-20.158151449999959</v>
      </c>
      <c r="AM5448">
        <v>-44.908107718360938</v>
      </c>
      <c r="AN5448">
        <v>-20.158151449999959</v>
      </c>
      <c r="AO5448">
        <v>-44.908107718360938</v>
      </c>
      <c r="AP5448">
        <v>-20.158066999999999</v>
      </c>
      <c r="AQ5448">
        <v>-44.908164999999997</v>
      </c>
      <c r="AR5448">
        <v>11.14497345894574</v>
      </c>
      <c r="AS5448" t="s">
        <v>65</v>
      </c>
      <c r="AT5448">
        <v>1</v>
      </c>
      <c r="AU5448" t="s">
        <v>396</v>
      </c>
      <c r="AV5448" t="s">
        <v>397</v>
      </c>
      <c r="AW5448" t="s">
        <v>60</v>
      </c>
      <c r="AX5448" t="s">
        <v>68</v>
      </c>
      <c r="AY5448" t="s">
        <v>69</v>
      </c>
      <c r="AZ5448" t="b">
        <v>1</v>
      </c>
    </row>
    <row r="5449" spans="1:52" x14ac:dyDescent="0.3">
      <c r="A5449" t="s">
        <v>52</v>
      </c>
      <c r="B5449" t="s">
        <v>53</v>
      </c>
      <c r="C5449" t="s">
        <v>54</v>
      </c>
      <c r="D5449" t="s">
        <v>55</v>
      </c>
      <c r="E5449" t="s">
        <v>2279</v>
      </c>
      <c r="F5449" t="s">
        <v>1247</v>
      </c>
      <c r="G5449" t="s">
        <v>839</v>
      </c>
      <c r="H5449" t="s">
        <v>1274</v>
      </c>
      <c r="I5449" t="s">
        <v>1274</v>
      </c>
      <c r="J5449" t="s">
        <v>60</v>
      </c>
      <c r="K5449" t="s">
        <v>388</v>
      </c>
      <c r="L5449" t="s">
        <v>62</v>
      </c>
      <c r="M5449" t="s">
        <v>388</v>
      </c>
      <c r="N5449" t="s">
        <v>841</v>
      </c>
      <c r="O5449" t="s">
        <v>1275</v>
      </c>
      <c r="P5449">
        <v>-20.157979999999998</v>
      </c>
      <c r="Q5449">
        <v>-44.906365999999998</v>
      </c>
      <c r="R5449" s="2" t="str">
        <f>HYPERLINK("https://www.google.com/maps?q=-20.1579800,-44.9063660","Abrir no Google Maps")</f>
        <v>Abrir no Google Maps</v>
      </c>
      <c r="S5449">
        <v>3</v>
      </c>
      <c r="T5449">
        <v>519.48953004348823</v>
      </c>
      <c r="U5449">
        <v>1</v>
      </c>
      <c r="V5449">
        <v>0</v>
      </c>
      <c r="W5449">
        <v>0.85</v>
      </c>
      <c r="X5449">
        <v>0</v>
      </c>
      <c r="Y5449">
        <v>729</v>
      </c>
      <c r="Z5449">
        <v>393.22938248316768</v>
      </c>
      <c r="AA5449">
        <v>198</v>
      </c>
      <c r="AB5449">
        <v>332</v>
      </c>
      <c r="AC5449">
        <v>536</v>
      </c>
      <c r="AD5449">
        <v>0</v>
      </c>
      <c r="AE5449">
        <v>542</v>
      </c>
      <c r="AF5449">
        <v>0</v>
      </c>
      <c r="AG5449">
        <v>0</v>
      </c>
      <c r="AH5449">
        <v>129</v>
      </c>
      <c r="AI5449">
        <v>0</v>
      </c>
      <c r="AJ5449">
        <v>0</v>
      </c>
      <c r="AK5449">
        <v>23.8</v>
      </c>
      <c r="AL5449">
        <v>-20.157977799999941</v>
      </c>
      <c r="AM5449">
        <v>-44.906429896327573</v>
      </c>
      <c r="AN5449">
        <v>-20.157977799999941</v>
      </c>
      <c r="AO5449">
        <v>-44.906429896327573</v>
      </c>
      <c r="AP5449">
        <v>-20.157979999999998</v>
      </c>
      <c r="AQ5449">
        <v>-44.906365999999998</v>
      </c>
      <c r="AR5449">
        <v>6.6817330699236734</v>
      </c>
      <c r="AS5449" t="s">
        <v>65</v>
      </c>
      <c r="AT5449">
        <v>1</v>
      </c>
      <c r="AU5449" t="s">
        <v>1276</v>
      </c>
      <c r="AV5449" t="s">
        <v>1277</v>
      </c>
      <c r="AW5449" t="s">
        <v>60</v>
      </c>
      <c r="AX5449" t="s">
        <v>68</v>
      </c>
      <c r="AY5449" t="s">
        <v>69</v>
      </c>
      <c r="AZ5449" t="b">
        <v>1</v>
      </c>
    </row>
    <row r="5450" spans="1:52" x14ac:dyDescent="0.3">
      <c r="A5450" t="s">
        <v>52</v>
      </c>
      <c r="B5450" t="s">
        <v>53</v>
      </c>
      <c r="C5450" t="s">
        <v>54</v>
      </c>
      <c r="D5450" t="s">
        <v>55</v>
      </c>
      <c r="E5450" t="s">
        <v>2279</v>
      </c>
      <c r="F5450" t="s">
        <v>1247</v>
      </c>
      <c r="G5450" t="s">
        <v>398</v>
      </c>
      <c r="H5450" t="s">
        <v>399</v>
      </c>
      <c r="I5450" t="s">
        <v>399</v>
      </c>
      <c r="J5450" t="s">
        <v>60</v>
      </c>
      <c r="K5450" t="s">
        <v>388</v>
      </c>
      <c r="L5450" t="s">
        <v>62</v>
      </c>
      <c r="M5450" t="s">
        <v>388</v>
      </c>
      <c r="N5450" t="s">
        <v>400</v>
      </c>
      <c r="O5450" t="s">
        <v>401</v>
      </c>
      <c r="P5450">
        <v>-20.160157000000002</v>
      </c>
      <c r="Q5450">
        <v>-44.904347999999999</v>
      </c>
      <c r="R5450" s="2" t="str">
        <f>HYPERLINK("https://www.google.com/maps?q=-20.1601570,-44.9043480","Abrir no Google Maps")</f>
        <v>Abrir no Google Maps</v>
      </c>
      <c r="S5450">
        <v>3</v>
      </c>
      <c r="T5450">
        <v>469.26088527154809</v>
      </c>
      <c r="U5450">
        <v>1</v>
      </c>
      <c r="V5450">
        <v>0</v>
      </c>
      <c r="W5450">
        <v>1</v>
      </c>
      <c r="X5450">
        <v>0</v>
      </c>
      <c r="Y5450">
        <v>729</v>
      </c>
      <c r="Z5450">
        <v>253.57832452309071</v>
      </c>
      <c r="AA5450">
        <v>198</v>
      </c>
      <c r="AB5450">
        <v>332</v>
      </c>
      <c r="AC5450">
        <v>536</v>
      </c>
      <c r="AD5450">
        <v>0</v>
      </c>
      <c r="AE5450">
        <v>542</v>
      </c>
      <c r="AF5450">
        <v>0</v>
      </c>
      <c r="AG5450">
        <v>0</v>
      </c>
      <c r="AH5450">
        <v>129</v>
      </c>
      <c r="AI5450">
        <v>0</v>
      </c>
      <c r="AJ5450">
        <v>0</v>
      </c>
      <c r="AK5450">
        <v>23.8</v>
      </c>
      <c r="AL5450">
        <v>-20.160007949999969</v>
      </c>
      <c r="AM5450">
        <v>-44.904396608560482</v>
      </c>
      <c r="AN5450">
        <v>-20.160007949999969</v>
      </c>
      <c r="AO5450">
        <v>-44.904396608560482</v>
      </c>
      <c r="AP5450">
        <v>-20.160157000000002</v>
      </c>
      <c r="AQ5450">
        <v>-44.904347999999999</v>
      </c>
      <c r="AR5450">
        <v>17.35237255387942</v>
      </c>
      <c r="AS5450" t="s">
        <v>65</v>
      </c>
      <c r="AT5450">
        <v>1</v>
      </c>
      <c r="AU5450" t="s">
        <v>402</v>
      </c>
      <c r="AV5450" t="s">
        <v>403</v>
      </c>
      <c r="AW5450" t="s">
        <v>60</v>
      </c>
      <c r="AX5450" t="s">
        <v>68</v>
      </c>
      <c r="AY5450" t="s">
        <v>69</v>
      </c>
      <c r="AZ5450" t="b">
        <v>1</v>
      </c>
    </row>
    <row r="5451" spans="1:52" x14ac:dyDescent="0.3">
      <c r="A5451" t="s">
        <v>52</v>
      </c>
      <c r="B5451" t="s">
        <v>53</v>
      </c>
      <c r="C5451" t="s">
        <v>54</v>
      </c>
      <c r="D5451" t="s">
        <v>55</v>
      </c>
      <c r="E5451" t="s">
        <v>2279</v>
      </c>
      <c r="F5451" t="s">
        <v>1247</v>
      </c>
      <c r="G5451" t="s">
        <v>1278</v>
      </c>
      <c r="H5451" t="s">
        <v>1279</v>
      </c>
      <c r="I5451" t="s">
        <v>1279</v>
      </c>
      <c r="J5451" t="s">
        <v>60</v>
      </c>
      <c r="K5451" t="s">
        <v>388</v>
      </c>
      <c r="L5451" t="s">
        <v>62</v>
      </c>
      <c r="M5451" t="s">
        <v>388</v>
      </c>
      <c r="N5451" t="s">
        <v>1280</v>
      </c>
      <c r="O5451" t="s">
        <v>216</v>
      </c>
      <c r="P5451">
        <v>-20.15681</v>
      </c>
      <c r="Q5451">
        <v>-44.899290999999998</v>
      </c>
      <c r="R5451" s="2" t="str">
        <f>HYPERLINK("https://www.google.com/maps?q=-20.1568100,-44.8992910","Abrir no Google Maps")</f>
        <v>Abrir no Google Maps</v>
      </c>
      <c r="S5451">
        <v>3</v>
      </c>
      <c r="T5451">
        <v>180.10162979749811</v>
      </c>
      <c r="U5451">
        <v>1</v>
      </c>
      <c r="V5451">
        <v>0</v>
      </c>
      <c r="W5451">
        <v>0.85</v>
      </c>
      <c r="X5451">
        <v>0</v>
      </c>
      <c r="Y5451">
        <v>729</v>
      </c>
      <c r="Z5451">
        <v>368.06065118133841</v>
      </c>
      <c r="AA5451">
        <v>198</v>
      </c>
      <c r="AB5451">
        <v>332</v>
      </c>
      <c r="AC5451">
        <v>536</v>
      </c>
      <c r="AD5451">
        <v>0</v>
      </c>
      <c r="AE5451">
        <v>542</v>
      </c>
      <c r="AF5451">
        <v>0</v>
      </c>
      <c r="AG5451">
        <v>0</v>
      </c>
      <c r="AH5451">
        <v>129</v>
      </c>
      <c r="AI5451">
        <v>0</v>
      </c>
      <c r="AJ5451">
        <v>0</v>
      </c>
      <c r="AK5451">
        <v>23.8</v>
      </c>
      <c r="AL5451">
        <v>-20.156785649999961</v>
      </c>
      <c r="AM5451">
        <v>-44.899254812291332</v>
      </c>
      <c r="AN5451">
        <v>-20.156785649999961</v>
      </c>
      <c r="AO5451">
        <v>-44.899254812291332</v>
      </c>
      <c r="AP5451">
        <v>-20.15681</v>
      </c>
      <c r="AQ5451">
        <v>-44.899290999999998</v>
      </c>
      <c r="AR5451">
        <v>4.6528211992813118</v>
      </c>
      <c r="AS5451" t="s">
        <v>65</v>
      </c>
      <c r="AT5451">
        <v>1</v>
      </c>
      <c r="AU5451" t="s">
        <v>1281</v>
      </c>
      <c r="AV5451" t="s">
        <v>1282</v>
      </c>
      <c r="AW5451" t="s">
        <v>60</v>
      </c>
      <c r="AX5451" t="s">
        <v>68</v>
      </c>
      <c r="AY5451" t="s">
        <v>69</v>
      </c>
      <c r="AZ5451" t="b">
        <v>1</v>
      </c>
    </row>
    <row r="5452" spans="1:52" x14ac:dyDescent="0.3">
      <c r="A5452" t="s">
        <v>52</v>
      </c>
      <c r="B5452" t="s">
        <v>53</v>
      </c>
      <c r="C5452" t="s">
        <v>54</v>
      </c>
      <c r="D5452" t="s">
        <v>55</v>
      </c>
      <c r="E5452" t="s">
        <v>2279</v>
      </c>
      <c r="F5452" t="s">
        <v>1247</v>
      </c>
      <c r="G5452" t="s">
        <v>404</v>
      </c>
      <c r="H5452" t="s">
        <v>405</v>
      </c>
      <c r="I5452" t="s">
        <v>405</v>
      </c>
      <c r="J5452" t="s">
        <v>60</v>
      </c>
      <c r="K5452" t="s">
        <v>388</v>
      </c>
      <c r="L5452" t="s">
        <v>62</v>
      </c>
      <c r="M5452" t="s">
        <v>388</v>
      </c>
      <c r="N5452" t="s">
        <v>406</v>
      </c>
      <c r="O5452" t="s">
        <v>407</v>
      </c>
      <c r="P5452">
        <v>-20.162780999999999</v>
      </c>
      <c r="Q5452">
        <v>-44.904437999999999</v>
      </c>
      <c r="R5452" s="2" t="str">
        <f>HYPERLINK("https://www.google.com/maps?q=-20.1627810,-44.9044380","Abrir no Google Maps")</f>
        <v>Abrir no Google Maps</v>
      </c>
      <c r="S5452">
        <v>3</v>
      </c>
      <c r="T5452">
        <v>681.0891377731482</v>
      </c>
      <c r="U5452">
        <v>1</v>
      </c>
      <c r="V5452">
        <v>0</v>
      </c>
      <c r="W5452">
        <v>1</v>
      </c>
      <c r="X5452">
        <v>0</v>
      </c>
      <c r="Y5452">
        <v>729</v>
      </c>
      <c r="Z5452">
        <v>564.17713687218622</v>
      </c>
      <c r="AA5452">
        <v>198</v>
      </c>
      <c r="AB5452">
        <v>332</v>
      </c>
      <c r="AC5452">
        <v>536</v>
      </c>
      <c r="AD5452">
        <v>0</v>
      </c>
      <c r="AE5452">
        <v>542</v>
      </c>
      <c r="AF5452">
        <v>0</v>
      </c>
      <c r="AG5452">
        <v>0</v>
      </c>
      <c r="AH5452">
        <v>129</v>
      </c>
      <c r="AI5452">
        <v>0</v>
      </c>
      <c r="AJ5452">
        <v>0</v>
      </c>
      <c r="AK5452">
        <v>23.8</v>
      </c>
      <c r="AL5452">
        <v>-20.16295434999995</v>
      </c>
      <c r="AM5452">
        <v>-44.904242686956152</v>
      </c>
      <c r="AN5452">
        <v>-20.16295434999995</v>
      </c>
      <c r="AO5452">
        <v>-44.904242686956152</v>
      </c>
      <c r="AP5452">
        <v>-20.162780999999999</v>
      </c>
      <c r="AQ5452">
        <v>-44.904437999999999</v>
      </c>
      <c r="AR5452">
        <v>28.088191280523411</v>
      </c>
      <c r="AS5452" t="s">
        <v>65</v>
      </c>
      <c r="AT5452">
        <v>1</v>
      </c>
      <c r="AU5452" t="s">
        <v>408</v>
      </c>
      <c r="AV5452" t="s">
        <v>409</v>
      </c>
      <c r="AW5452" t="s">
        <v>60</v>
      </c>
      <c r="AX5452" t="s">
        <v>68</v>
      </c>
      <c r="AY5452" t="s">
        <v>69</v>
      </c>
      <c r="AZ5452" t="b">
        <v>1</v>
      </c>
    </row>
    <row r="5453" spans="1:52" x14ac:dyDescent="0.3">
      <c r="A5453" t="s">
        <v>52</v>
      </c>
      <c r="B5453" t="s">
        <v>53</v>
      </c>
      <c r="C5453" t="s">
        <v>54</v>
      </c>
      <c r="D5453" t="s">
        <v>55</v>
      </c>
      <c r="E5453" t="s">
        <v>2279</v>
      </c>
      <c r="F5453" t="s">
        <v>1247</v>
      </c>
      <c r="G5453" t="s">
        <v>410</v>
      </c>
      <c r="H5453" t="s">
        <v>411</v>
      </c>
      <c r="I5453" t="s">
        <v>411</v>
      </c>
      <c r="J5453" t="s">
        <v>60</v>
      </c>
      <c r="K5453" t="s">
        <v>388</v>
      </c>
      <c r="L5453" t="s">
        <v>62</v>
      </c>
      <c r="M5453" t="s">
        <v>388</v>
      </c>
      <c r="N5453" t="s">
        <v>412</v>
      </c>
      <c r="O5453" t="s">
        <v>413</v>
      </c>
      <c r="P5453">
        <v>-20.161394000000001</v>
      </c>
      <c r="Q5453">
        <v>-44.906725999999999</v>
      </c>
      <c r="R5453" s="2" t="str">
        <f>HYPERLINK("https://www.google.com/maps?q=-20.1613940,-44.9067260","Abrir no Google Maps")</f>
        <v>Abrir no Google Maps</v>
      </c>
      <c r="S5453">
        <v>3</v>
      </c>
      <c r="T5453">
        <v>763.68157548493457</v>
      </c>
      <c r="U5453">
        <v>1</v>
      </c>
      <c r="V5453">
        <v>0</v>
      </c>
      <c r="W5453">
        <v>1</v>
      </c>
      <c r="X5453">
        <v>0</v>
      </c>
      <c r="Y5453">
        <v>729</v>
      </c>
      <c r="Z5453">
        <v>551.70379325948545</v>
      </c>
      <c r="AA5453">
        <v>198</v>
      </c>
      <c r="AB5453">
        <v>332</v>
      </c>
      <c r="AC5453">
        <v>536</v>
      </c>
      <c r="AD5453">
        <v>0</v>
      </c>
      <c r="AE5453">
        <v>542</v>
      </c>
      <c r="AF5453">
        <v>0</v>
      </c>
      <c r="AG5453">
        <v>0</v>
      </c>
      <c r="AH5453">
        <v>129</v>
      </c>
      <c r="AI5453">
        <v>0</v>
      </c>
      <c r="AJ5453">
        <v>0</v>
      </c>
      <c r="AK5453">
        <v>23.8</v>
      </c>
      <c r="AL5453">
        <v>-20.161371049999929</v>
      </c>
      <c r="AM5453">
        <v>-44.906816797310228</v>
      </c>
      <c r="AN5453">
        <v>-20.161371049999929</v>
      </c>
      <c r="AO5453">
        <v>-44.906816797310228</v>
      </c>
      <c r="AP5453">
        <v>-20.161394000000001</v>
      </c>
      <c r="AQ5453">
        <v>-44.906725999999999</v>
      </c>
      <c r="AR5453">
        <v>9.8261555662022495</v>
      </c>
      <c r="AS5453" t="s">
        <v>65</v>
      </c>
      <c r="AT5453">
        <v>1</v>
      </c>
      <c r="AU5453" t="s">
        <v>414</v>
      </c>
      <c r="AV5453" t="s">
        <v>415</v>
      </c>
      <c r="AW5453" t="s">
        <v>60</v>
      </c>
      <c r="AX5453" t="s">
        <v>68</v>
      </c>
      <c r="AY5453" t="s">
        <v>69</v>
      </c>
      <c r="AZ5453" t="b">
        <v>1</v>
      </c>
    </row>
    <row r="5454" spans="1:52" x14ac:dyDescent="0.3">
      <c r="A5454" t="s">
        <v>52</v>
      </c>
      <c r="B5454" t="s">
        <v>53</v>
      </c>
      <c r="C5454" t="s">
        <v>54</v>
      </c>
      <c r="D5454" t="s">
        <v>55</v>
      </c>
      <c r="E5454" t="s">
        <v>2279</v>
      </c>
      <c r="F5454" t="s">
        <v>1247</v>
      </c>
      <c r="G5454" t="s">
        <v>1283</v>
      </c>
      <c r="H5454" t="s">
        <v>1284</v>
      </c>
      <c r="I5454" t="s">
        <v>1284</v>
      </c>
      <c r="J5454" t="s">
        <v>60</v>
      </c>
      <c r="K5454" t="s">
        <v>388</v>
      </c>
      <c r="L5454" t="s">
        <v>62</v>
      </c>
      <c r="M5454" t="s">
        <v>388</v>
      </c>
      <c r="N5454" t="s">
        <v>400</v>
      </c>
      <c r="O5454" t="s">
        <v>1285</v>
      </c>
      <c r="P5454">
        <v>-20.156977999999999</v>
      </c>
      <c r="Q5454">
        <v>-44.90325</v>
      </c>
      <c r="R5454" s="2" t="str">
        <f>HYPERLINK("https://www.google.com/maps?q=-20.1569780,-44.9032500","Abrir no Google Maps")</f>
        <v>Abrir no Google Maps</v>
      </c>
      <c r="S5454">
        <v>3</v>
      </c>
      <c r="T5454">
        <v>256.05633739092571</v>
      </c>
      <c r="U5454">
        <v>1</v>
      </c>
      <c r="V5454">
        <v>0</v>
      </c>
      <c r="W5454">
        <v>0.85</v>
      </c>
      <c r="X5454">
        <v>0</v>
      </c>
      <c r="Y5454">
        <v>729</v>
      </c>
      <c r="Z5454">
        <v>162.99447055889971</v>
      </c>
      <c r="AA5454">
        <v>198</v>
      </c>
      <c r="AB5454">
        <v>332</v>
      </c>
      <c r="AC5454">
        <v>536</v>
      </c>
      <c r="AD5454">
        <v>0</v>
      </c>
      <c r="AE5454">
        <v>542</v>
      </c>
      <c r="AF5454">
        <v>0</v>
      </c>
      <c r="AG5454">
        <v>0</v>
      </c>
      <c r="AH5454">
        <v>129</v>
      </c>
      <c r="AI5454">
        <v>0</v>
      </c>
      <c r="AJ5454">
        <v>0</v>
      </c>
      <c r="AK5454">
        <v>23.8</v>
      </c>
      <c r="AL5454">
        <v>-20.15696524999996</v>
      </c>
      <c r="AM5454">
        <v>-44.903258102626708</v>
      </c>
      <c r="AN5454">
        <v>-20.15696524999996</v>
      </c>
      <c r="AO5454">
        <v>-44.903258102626708</v>
      </c>
      <c r="AP5454">
        <v>-20.156977999999999</v>
      </c>
      <c r="AQ5454">
        <v>-44.90325</v>
      </c>
      <c r="AR5454">
        <v>1.6527147033629741</v>
      </c>
      <c r="AS5454" t="s">
        <v>65</v>
      </c>
      <c r="AT5454">
        <v>1</v>
      </c>
      <c r="AU5454" t="s">
        <v>1286</v>
      </c>
      <c r="AV5454" t="s">
        <v>1287</v>
      </c>
      <c r="AW5454" t="s">
        <v>60</v>
      </c>
      <c r="AX5454" t="s">
        <v>68</v>
      </c>
      <c r="AY5454" t="s">
        <v>69</v>
      </c>
      <c r="AZ5454" t="b">
        <v>1</v>
      </c>
    </row>
    <row r="5455" spans="1:52" x14ac:dyDescent="0.3">
      <c r="A5455" t="s">
        <v>52</v>
      </c>
      <c r="B5455" t="s">
        <v>53</v>
      </c>
      <c r="C5455" t="s">
        <v>54</v>
      </c>
      <c r="D5455" t="s">
        <v>55</v>
      </c>
      <c r="E5455" t="s">
        <v>2279</v>
      </c>
      <c r="F5455" t="s">
        <v>1247</v>
      </c>
      <c r="G5455" t="s">
        <v>1417</v>
      </c>
      <c r="H5455" t="s">
        <v>1418</v>
      </c>
      <c r="I5455" t="s">
        <v>1418</v>
      </c>
      <c r="J5455" t="s">
        <v>60</v>
      </c>
      <c r="K5455" t="s">
        <v>1419</v>
      </c>
      <c r="L5455" t="s">
        <v>62</v>
      </c>
      <c r="M5455" t="s">
        <v>1419</v>
      </c>
      <c r="N5455" t="s">
        <v>1420</v>
      </c>
      <c r="O5455" t="s">
        <v>1421</v>
      </c>
      <c r="P5455">
        <v>-20.159427000000001</v>
      </c>
      <c r="Q5455">
        <v>-44.897143</v>
      </c>
      <c r="R5455" s="2" t="str">
        <f>HYPERLINK("https://www.google.com/maps?q=-20.1594270,-44.8971430","Abrir no Google Maps")</f>
        <v>Abrir no Google Maps</v>
      </c>
      <c r="S5455">
        <v>3</v>
      </c>
      <c r="T5455">
        <v>392.64349875646298</v>
      </c>
      <c r="U5455">
        <v>1</v>
      </c>
      <c r="V5455">
        <v>0</v>
      </c>
      <c r="W5455">
        <v>0.85</v>
      </c>
      <c r="X5455">
        <v>0</v>
      </c>
      <c r="Y5455">
        <v>729</v>
      </c>
      <c r="Z5455">
        <v>550.20062797366995</v>
      </c>
      <c r="AA5455">
        <v>198</v>
      </c>
      <c r="AB5455">
        <v>332</v>
      </c>
      <c r="AC5455">
        <v>536</v>
      </c>
      <c r="AD5455">
        <v>0</v>
      </c>
      <c r="AE5455">
        <v>542</v>
      </c>
      <c r="AF5455">
        <v>0</v>
      </c>
      <c r="AG5455">
        <v>0</v>
      </c>
      <c r="AH5455">
        <v>129</v>
      </c>
      <c r="AI5455">
        <v>0</v>
      </c>
      <c r="AJ5455">
        <v>0</v>
      </c>
      <c r="AK5455">
        <v>23.8</v>
      </c>
      <c r="AL5455">
        <v>-20.15946549999995</v>
      </c>
      <c r="AM5455">
        <v>-44.89709959354267</v>
      </c>
      <c r="AN5455">
        <v>-20.15946549999995</v>
      </c>
      <c r="AO5455">
        <v>-44.89709959354267</v>
      </c>
      <c r="AP5455">
        <v>-20.159427000000001</v>
      </c>
      <c r="AQ5455">
        <v>-44.897143</v>
      </c>
      <c r="AR5455">
        <v>6.2404649979039286</v>
      </c>
      <c r="AS5455" t="s">
        <v>65</v>
      </c>
      <c r="AT5455">
        <v>1</v>
      </c>
      <c r="AU5455" t="s">
        <v>1422</v>
      </c>
      <c r="AV5455" t="s">
        <v>1423</v>
      </c>
      <c r="AW5455" t="s">
        <v>60</v>
      </c>
      <c r="AX5455" t="s">
        <v>68</v>
      </c>
      <c r="AY5455" t="s">
        <v>69</v>
      </c>
      <c r="AZ5455" t="b">
        <v>1</v>
      </c>
    </row>
    <row r="5456" spans="1:52" x14ac:dyDescent="0.3">
      <c r="A5456" t="s">
        <v>52</v>
      </c>
      <c r="B5456" t="s">
        <v>53</v>
      </c>
      <c r="C5456" t="s">
        <v>54</v>
      </c>
      <c r="D5456" t="s">
        <v>55</v>
      </c>
      <c r="E5456" t="s">
        <v>2279</v>
      </c>
      <c r="F5456" t="s">
        <v>1247</v>
      </c>
      <c r="G5456" t="s">
        <v>416</v>
      </c>
      <c r="H5456" t="s">
        <v>417</v>
      </c>
      <c r="I5456" t="s">
        <v>417</v>
      </c>
      <c r="J5456" t="s">
        <v>60</v>
      </c>
      <c r="K5456" t="s">
        <v>418</v>
      </c>
      <c r="L5456" t="s">
        <v>62</v>
      </c>
      <c r="M5456" t="s">
        <v>418</v>
      </c>
      <c r="N5456" t="s">
        <v>419</v>
      </c>
      <c r="O5456" t="s">
        <v>202</v>
      </c>
      <c r="P5456">
        <v>-20.169886000000002</v>
      </c>
      <c r="Q5456">
        <v>-44.913288000000001</v>
      </c>
      <c r="R5456" s="2" t="str">
        <f>HYPERLINK("https://www.google.com/maps?q=-20.1698860,-44.9132880","Abrir no Google Maps")</f>
        <v>Abrir no Google Maps</v>
      </c>
      <c r="S5456">
        <v>3</v>
      </c>
      <c r="T5456">
        <v>422.88733632898152</v>
      </c>
      <c r="U5456">
        <v>1</v>
      </c>
      <c r="V5456">
        <v>0</v>
      </c>
      <c r="W5456">
        <v>1</v>
      </c>
      <c r="X5456">
        <v>0</v>
      </c>
      <c r="Y5456">
        <v>723</v>
      </c>
      <c r="Z5456">
        <v>128.65003864232261</v>
      </c>
      <c r="AA5456">
        <v>198</v>
      </c>
      <c r="AB5456">
        <v>332</v>
      </c>
      <c r="AC5456">
        <v>536</v>
      </c>
      <c r="AD5456">
        <v>0</v>
      </c>
      <c r="AE5456">
        <v>542</v>
      </c>
      <c r="AF5456">
        <v>0</v>
      </c>
      <c r="AG5456">
        <v>0</v>
      </c>
      <c r="AH5456">
        <v>129</v>
      </c>
      <c r="AI5456">
        <v>0</v>
      </c>
      <c r="AJ5456">
        <v>0</v>
      </c>
      <c r="AK5456">
        <v>23.8</v>
      </c>
      <c r="AL5456">
        <v>-20.16970024999998</v>
      </c>
      <c r="AM5456">
        <v>-44.913502201257437</v>
      </c>
      <c r="AN5456">
        <v>-20.16970024999998</v>
      </c>
      <c r="AO5456">
        <v>-44.913502201257437</v>
      </c>
      <c r="AP5456">
        <v>-20.169886000000002</v>
      </c>
      <c r="AQ5456">
        <v>-44.913288000000001</v>
      </c>
      <c r="AR5456">
        <v>30.47208587597606</v>
      </c>
      <c r="AS5456" t="s">
        <v>65</v>
      </c>
      <c r="AT5456">
        <v>1</v>
      </c>
      <c r="AU5456" t="s">
        <v>420</v>
      </c>
      <c r="AV5456" t="s">
        <v>421</v>
      </c>
      <c r="AW5456" t="s">
        <v>60</v>
      </c>
      <c r="AX5456" t="s">
        <v>68</v>
      </c>
      <c r="AY5456" t="s">
        <v>69</v>
      </c>
      <c r="AZ5456" t="b">
        <v>1</v>
      </c>
    </row>
    <row r="5457" spans="1:52" x14ac:dyDescent="0.3">
      <c r="A5457" t="s">
        <v>52</v>
      </c>
      <c r="B5457" t="s">
        <v>53</v>
      </c>
      <c r="C5457" t="s">
        <v>54</v>
      </c>
      <c r="D5457" t="s">
        <v>55</v>
      </c>
      <c r="E5457" t="s">
        <v>2279</v>
      </c>
      <c r="F5457" t="s">
        <v>1247</v>
      </c>
      <c r="G5457" t="s">
        <v>1288</v>
      </c>
      <c r="H5457" t="s">
        <v>1289</v>
      </c>
      <c r="I5457" t="s">
        <v>1289</v>
      </c>
      <c r="J5457" t="s">
        <v>60</v>
      </c>
      <c r="K5457" t="s">
        <v>1290</v>
      </c>
      <c r="L5457" t="s">
        <v>62</v>
      </c>
      <c r="M5457" t="s">
        <v>1290</v>
      </c>
      <c r="N5457" t="s">
        <v>1291</v>
      </c>
      <c r="O5457" t="s">
        <v>315</v>
      </c>
      <c r="P5457">
        <v>-20.171008</v>
      </c>
      <c r="Q5457">
        <v>-44.918908999999999</v>
      </c>
      <c r="R5457" s="2" t="str">
        <f>HYPERLINK("https://www.google.com/maps?q=-20.1710080,-44.9189090","Abrir no Google Maps")</f>
        <v>Abrir no Google Maps</v>
      </c>
      <c r="S5457">
        <v>3</v>
      </c>
      <c r="T5457">
        <v>972.86786700299888</v>
      </c>
      <c r="U5457">
        <v>1</v>
      </c>
      <c r="V5457">
        <v>0</v>
      </c>
      <c r="W5457">
        <v>0.85</v>
      </c>
      <c r="X5457">
        <v>0</v>
      </c>
      <c r="Y5457">
        <v>723</v>
      </c>
      <c r="Z5457">
        <v>690.55600110253613</v>
      </c>
      <c r="AA5457">
        <v>198</v>
      </c>
      <c r="AB5457">
        <v>332</v>
      </c>
      <c r="AC5457">
        <v>536</v>
      </c>
      <c r="AD5457">
        <v>0</v>
      </c>
      <c r="AE5457">
        <v>542</v>
      </c>
      <c r="AF5457">
        <v>0</v>
      </c>
      <c r="AG5457">
        <v>0</v>
      </c>
      <c r="AH5457">
        <v>129</v>
      </c>
      <c r="AI5457">
        <v>0</v>
      </c>
      <c r="AJ5457">
        <v>0</v>
      </c>
      <c r="AK5457">
        <v>23.8</v>
      </c>
      <c r="AL5457">
        <v>-20.171738249999979</v>
      </c>
      <c r="AM5457">
        <v>-44.919736490382917</v>
      </c>
      <c r="AN5457">
        <v>-20.171738249999979</v>
      </c>
      <c r="AO5457">
        <v>-44.919736490382931</v>
      </c>
      <c r="AP5457">
        <v>-20.171008</v>
      </c>
      <c r="AQ5457">
        <v>-44.918908999999999</v>
      </c>
      <c r="AR5457">
        <v>118.678920061485</v>
      </c>
      <c r="AS5457" t="s">
        <v>65</v>
      </c>
      <c r="AT5457">
        <v>1</v>
      </c>
      <c r="AU5457" t="s">
        <v>1292</v>
      </c>
      <c r="AV5457" t="s">
        <v>1293</v>
      </c>
      <c r="AW5457" t="s">
        <v>60</v>
      </c>
      <c r="AX5457" t="s">
        <v>68</v>
      </c>
      <c r="AY5457" t="s">
        <v>69</v>
      </c>
      <c r="AZ5457" t="b">
        <v>1</v>
      </c>
    </row>
    <row r="5458" spans="1:52" x14ac:dyDescent="0.3">
      <c r="A5458" t="s">
        <v>52</v>
      </c>
      <c r="B5458" t="s">
        <v>53</v>
      </c>
      <c r="C5458" t="s">
        <v>54</v>
      </c>
      <c r="D5458" t="s">
        <v>55</v>
      </c>
      <c r="E5458" t="s">
        <v>2279</v>
      </c>
      <c r="F5458" t="s">
        <v>1247</v>
      </c>
      <c r="G5458" t="s">
        <v>1294</v>
      </c>
      <c r="H5458" t="s">
        <v>1295</v>
      </c>
      <c r="I5458" t="s">
        <v>1295</v>
      </c>
      <c r="J5458" t="s">
        <v>60</v>
      </c>
      <c r="K5458" t="s">
        <v>418</v>
      </c>
      <c r="L5458" t="s">
        <v>62</v>
      </c>
      <c r="M5458" t="s">
        <v>418</v>
      </c>
      <c r="N5458" t="s">
        <v>1296</v>
      </c>
      <c r="O5458" t="s">
        <v>1297</v>
      </c>
      <c r="P5458">
        <v>-20.169899999999998</v>
      </c>
      <c r="Q5458">
        <v>-44.916176999999998</v>
      </c>
      <c r="R5458" s="2" t="str">
        <f>HYPERLINK("https://www.google.com/maps?q=-20.1699000,-44.9161770","Abrir no Google Maps")</f>
        <v>Abrir no Google Maps</v>
      </c>
      <c r="S5458">
        <v>3</v>
      </c>
      <c r="T5458">
        <v>658.15251036568407</v>
      </c>
      <c r="U5458">
        <v>1</v>
      </c>
      <c r="V5458">
        <v>0</v>
      </c>
      <c r="W5458">
        <v>0.85</v>
      </c>
      <c r="X5458">
        <v>0</v>
      </c>
      <c r="Y5458">
        <v>723</v>
      </c>
      <c r="Z5458">
        <v>400.39092274559039</v>
      </c>
      <c r="AA5458">
        <v>198</v>
      </c>
      <c r="AB5458">
        <v>332</v>
      </c>
      <c r="AC5458">
        <v>536</v>
      </c>
      <c r="AD5458">
        <v>0</v>
      </c>
      <c r="AE5458">
        <v>542</v>
      </c>
      <c r="AF5458">
        <v>0</v>
      </c>
      <c r="AG5458">
        <v>0</v>
      </c>
      <c r="AH5458">
        <v>129</v>
      </c>
      <c r="AI5458">
        <v>0</v>
      </c>
      <c r="AJ5458">
        <v>0</v>
      </c>
      <c r="AK5458">
        <v>23.8</v>
      </c>
      <c r="AL5458">
        <v>-20.169898399999941</v>
      </c>
      <c r="AM5458">
        <v>-44.916247682868359</v>
      </c>
      <c r="AN5458">
        <v>-20.169898399999941</v>
      </c>
      <c r="AO5458">
        <v>-44.916247682868359</v>
      </c>
      <c r="AP5458">
        <v>-20.169899999999998</v>
      </c>
      <c r="AQ5458">
        <v>-44.916176999999998</v>
      </c>
      <c r="AR5458">
        <v>7.388028048308902</v>
      </c>
      <c r="AS5458" t="s">
        <v>65</v>
      </c>
      <c r="AT5458">
        <v>1</v>
      </c>
      <c r="AU5458" t="s">
        <v>1298</v>
      </c>
      <c r="AV5458" t="s">
        <v>1299</v>
      </c>
      <c r="AW5458" t="s">
        <v>60</v>
      </c>
      <c r="AX5458" t="s">
        <v>68</v>
      </c>
      <c r="AY5458" t="s">
        <v>69</v>
      </c>
      <c r="AZ5458" t="b">
        <v>1</v>
      </c>
    </row>
    <row r="5459" spans="1:52" x14ac:dyDescent="0.3">
      <c r="A5459" t="s">
        <v>52</v>
      </c>
      <c r="B5459" t="s">
        <v>53</v>
      </c>
      <c r="C5459" t="s">
        <v>54</v>
      </c>
      <c r="D5459" t="s">
        <v>55</v>
      </c>
      <c r="E5459" t="s">
        <v>2279</v>
      </c>
      <c r="F5459" t="s">
        <v>1247</v>
      </c>
      <c r="G5459" t="s">
        <v>1300</v>
      </c>
      <c r="H5459" t="s">
        <v>1301</v>
      </c>
      <c r="I5459" t="s">
        <v>1301</v>
      </c>
      <c r="J5459" t="s">
        <v>60</v>
      </c>
      <c r="K5459" t="s">
        <v>1302</v>
      </c>
      <c r="L5459" t="s">
        <v>62</v>
      </c>
      <c r="M5459" t="s">
        <v>1302</v>
      </c>
      <c r="N5459" t="s">
        <v>1303</v>
      </c>
      <c r="O5459" t="s">
        <v>1304</v>
      </c>
      <c r="P5459">
        <v>-20.166618</v>
      </c>
      <c r="Q5459">
        <v>-44.912920999999997</v>
      </c>
      <c r="R5459" s="2" t="str">
        <f>HYPERLINK("https://www.google.com/maps?q=-20.1666180,-44.9129210","Abrir no Google Maps")</f>
        <v>Abrir no Google Maps</v>
      </c>
      <c r="S5459">
        <v>3</v>
      </c>
      <c r="T5459">
        <v>636.32880156364706</v>
      </c>
      <c r="U5459">
        <v>1</v>
      </c>
      <c r="V5459">
        <v>0</v>
      </c>
      <c r="W5459">
        <v>0.85</v>
      </c>
      <c r="X5459">
        <v>0</v>
      </c>
      <c r="Y5459">
        <v>723</v>
      </c>
      <c r="Z5459">
        <v>407.62145176971592</v>
      </c>
      <c r="AA5459">
        <v>198</v>
      </c>
      <c r="AB5459">
        <v>332</v>
      </c>
      <c r="AC5459">
        <v>536</v>
      </c>
      <c r="AD5459">
        <v>0</v>
      </c>
      <c r="AE5459">
        <v>542</v>
      </c>
      <c r="AF5459">
        <v>0</v>
      </c>
      <c r="AG5459">
        <v>0</v>
      </c>
      <c r="AH5459">
        <v>129</v>
      </c>
      <c r="AI5459">
        <v>0</v>
      </c>
      <c r="AJ5459">
        <v>0</v>
      </c>
      <c r="AK5459">
        <v>23.8</v>
      </c>
      <c r="AL5459">
        <v>-20.166924799999951</v>
      </c>
      <c r="AM5459">
        <v>-44.912868681724092</v>
      </c>
      <c r="AN5459">
        <v>-20.166924799999951</v>
      </c>
      <c r="AO5459">
        <v>-44.912868681724092</v>
      </c>
      <c r="AP5459">
        <v>-20.166618</v>
      </c>
      <c r="AQ5459">
        <v>-44.912920999999997</v>
      </c>
      <c r="AR5459">
        <v>34.587771860198139</v>
      </c>
      <c r="AS5459" t="s">
        <v>65</v>
      </c>
      <c r="AT5459">
        <v>1</v>
      </c>
      <c r="AU5459" t="s">
        <v>1305</v>
      </c>
      <c r="AV5459" t="s">
        <v>1306</v>
      </c>
      <c r="AW5459" t="s">
        <v>60</v>
      </c>
      <c r="AX5459" t="s">
        <v>68</v>
      </c>
      <c r="AY5459" t="s">
        <v>69</v>
      </c>
      <c r="AZ5459" t="b">
        <v>1</v>
      </c>
    </row>
    <row r="5460" spans="1:52" x14ac:dyDescent="0.3">
      <c r="A5460" t="s">
        <v>52</v>
      </c>
      <c r="B5460" t="s">
        <v>53</v>
      </c>
      <c r="C5460" t="s">
        <v>54</v>
      </c>
      <c r="D5460" t="s">
        <v>55</v>
      </c>
      <c r="E5460" t="s">
        <v>2279</v>
      </c>
      <c r="F5460" t="s">
        <v>1247</v>
      </c>
      <c r="G5460" t="s">
        <v>1307</v>
      </c>
      <c r="H5460" t="s">
        <v>1308</v>
      </c>
      <c r="I5460" t="s">
        <v>1308</v>
      </c>
      <c r="J5460" t="s">
        <v>60</v>
      </c>
      <c r="K5460" t="s">
        <v>1302</v>
      </c>
      <c r="L5460" t="s">
        <v>62</v>
      </c>
      <c r="M5460" t="s">
        <v>1302</v>
      </c>
      <c r="N5460" t="s">
        <v>558</v>
      </c>
      <c r="O5460" t="s">
        <v>1309</v>
      </c>
      <c r="P5460">
        <v>-20.169051</v>
      </c>
      <c r="Q5460">
        <v>-44.910093000000003</v>
      </c>
      <c r="R5460" s="2" t="str">
        <f>HYPERLINK("https://www.google.com/maps?q=-20.1690510,-44.9100930","Abrir no Google Maps")</f>
        <v>Abrir no Google Maps</v>
      </c>
      <c r="S5460">
        <v>3</v>
      </c>
      <c r="T5460">
        <v>375.90504489887479</v>
      </c>
      <c r="U5460">
        <v>1</v>
      </c>
      <c r="V5460">
        <v>0</v>
      </c>
      <c r="W5460">
        <v>0.85</v>
      </c>
      <c r="X5460">
        <v>0</v>
      </c>
      <c r="Y5460">
        <v>723</v>
      </c>
      <c r="Z5460">
        <v>456.19893675176831</v>
      </c>
      <c r="AA5460">
        <v>198</v>
      </c>
      <c r="AB5460">
        <v>332</v>
      </c>
      <c r="AC5460">
        <v>536</v>
      </c>
      <c r="AD5460">
        <v>0</v>
      </c>
      <c r="AE5460">
        <v>542</v>
      </c>
      <c r="AF5460">
        <v>0</v>
      </c>
      <c r="AG5460">
        <v>0</v>
      </c>
      <c r="AH5460">
        <v>129</v>
      </c>
      <c r="AI5460">
        <v>0</v>
      </c>
      <c r="AJ5460">
        <v>0</v>
      </c>
      <c r="AK5460">
        <v>23.8</v>
      </c>
      <c r="AL5460">
        <v>-20.168810949999941</v>
      </c>
      <c r="AM5460">
        <v>-44.910156475447927</v>
      </c>
      <c r="AN5460">
        <v>-20.168810949999941</v>
      </c>
      <c r="AO5460">
        <v>-44.910156475447927</v>
      </c>
      <c r="AP5460">
        <v>-20.169051</v>
      </c>
      <c r="AQ5460">
        <v>-44.910093000000003</v>
      </c>
      <c r="AR5460">
        <v>27.533232396417059</v>
      </c>
      <c r="AS5460" t="s">
        <v>65</v>
      </c>
      <c r="AT5460">
        <v>1</v>
      </c>
      <c r="AU5460" t="s">
        <v>1310</v>
      </c>
      <c r="AV5460" t="s">
        <v>1311</v>
      </c>
      <c r="AW5460" t="s">
        <v>60</v>
      </c>
      <c r="AX5460" t="s">
        <v>68</v>
      </c>
      <c r="AY5460" t="s">
        <v>69</v>
      </c>
      <c r="AZ5460" t="b">
        <v>1</v>
      </c>
    </row>
    <row r="5461" spans="1:52" x14ac:dyDescent="0.3">
      <c r="A5461" t="s">
        <v>52</v>
      </c>
      <c r="B5461" t="s">
        <v>53</v>
      </c>
      <c r="C5461" t="s">
        <v>54</v>
      </c>
      <c r="D5461" t="s">
        <v>55</v>
      </c>
      <c r="E5461" t="s">
        <v>2279</v>
      </c>
      <c r="F5461" t="s">
        <v>1247</v>
      </c>
      <c r="G5461" t="s">
        <v>422</v>
      </c>
      <c r="H5461" t="s">
        <v>423</v>
      </c>
      <c r="I5461" t="s">
        <v>423</v>
      </c>
      <c r="J5461" t="s">
        <v>60</v>
      </c>
      <c r="K5461" t="s">
        <v>424</v>
      </c>
      <c r="L5461" t="s">
        <v>62</v>
      </c>
      <c r="M5461" t="s">
        <v>424</v>
      </c>
      <c r="N5461" t="s">
        <v>425</v>
      </c>
      <c r="O5461" t="s">
        <v>426</v>
      </c>
      <c r="P5461">
        <v>-20.177748000000001</v>
      </c>
      <c r="Q5461">
        <v>-44.912475000000001</v>
      </c>
      <c r="R5461" s="2" t="str">
        <f>HYPERLINK("https://www.google.com/maps?q=-20.1777480,-44.9124750","Abrir no Google Maps")</f>
        <v>Abrir no Google Maps</v>
      </c>
      <c r="S5461">
        <v>3</v>
      </c>
      <c r="T5461">
        <v>657.07560140436533</v>
      </c>
      <c r="U5461">
        <v>1</v>
      </c>
      <c r="V5461">
        <v>0</v>
      </c>
      <c r="W5461">
        <v>1</v>
      </c>
      <c r="X5461">
        <v>0</v>
      </c>
      <c r="Y5461">
        <v>723</v>
      </c>
      <c r="Z5461">
        <v>796.94198000561175</v>
      </c>
      <c r="AA5461">
        <v>198</v>
      </c>
      <c r="AB5461">
        <v>332</v>
      </c>
      <c r="AC5461">
        <v>536</v>
      </c>
      <c r="AD5461">
        <v>0</v>
      </c>
      <c r="AE5461">
        <v>542</v>
      </c>
      <c r="AF5461">
        <v>0</v>
      </c>
      <c r="AG5461">
        <v>0</v>
      </c>
      <c r="AH5461">
        <v>129</v>
      </c>
      <c r="AI5461">
        <v>0</v>
      </c>
      <c r="AJ5461">
        <v>0</v>
      </c>
      <c r="AK5461">
        <v>23.8</v>
      </c>
      <c r="AL5461">
        <v>-20.177761749999949</v>
      </c>
      <c r="AM5461">
        <v>-44.91263311624418</v>
      </c>
      <c r="AN5461">
        <v>-20.177761749999949</v>
      </c>
      <c r="AO5461">
        <v>-44.91263311624418</v>
      </c>
      <c r="AP5461">
        <v>-20.177748000000001</v>
      </c>
      <c r="AQ5461">
        <v>-44.912475000000001</v>
      </c>
      <c r="AR5461">
        <v>16.591996803075372</v>
      </c>
      <c r="AS5461" t="s">
        <v>65</v>
      </c>
      <c r="AT5461">
        <v>1</v>
      </c>
      <c r="AU5461" t="s">
        <v>427</v>
      </c>
      <c r="AV5461" t="s">
        <v>428</v>
      </c>
      <c r="AW5461" t="s">
        <v>60</v>
      </c>
      <c r="AX5461" t="s">
        <v>68</v>
      </c>
      <c r="AY5461" t="s">
        <v>69</v>
      </c>
      <c r="AZ5461" t="b">
        <v>1</v>
      </c>
    </row>
    <row r="5462" spans="1:52" x14ac:dyDescent="0.3">
      <c r="A5462" t="s">
        <v>52</v>
      </c>
      <c r="B5462" t="s">
        <v>53</v>
      </c>
      <c r="C5462" t="s">
        <v>54</v>
      </c>
      <c r="D5462" t="s">
        <v>55</v>
      </c>
      <c r="E5462" t="s">
        <v>2279</v>
      </c>
      <c r="F5462" t="s">
        <v>1247</v>
      </c>
      <c r="G5462" t="s">
        <v>845</v>
      </c>
      <c r="H5462" t="s">
        <v>846</v>
      </c>
      <c r="I5462" t="s">
        <v>846</v>
      </c>
      <c r="J5462" t="s">
        <v>60</v>
      </c>
      <c r="K5462" t="s">
        <v>424</v>
      </c>
      <c r="L5462" t="s">
        <v>62</v>
      </c>
      <c r="M5462" t="s">
        <v>424</v>
      </c>
      <c r="N5462" t="s">
        <v>847</v>
      </c>
      <c r="O5462" t="s">
        <v>848</v>
      </c>
      <c r="P5462">
        <v>-20.175523999999999</v>
      </c>
      <c r="Q5462">
        <v>-44.918016999999999</v>
      </c>
      <c r="R5462" s="2" t="str">
        <f>HYPERLINK("https://www.google.com/maps?q=-20.1755240,-44.9180170","Abrir no Google Maps")</f>
        <v>Abrir no Google Maps</v>
      </c>
      <c r="S5462">
        <v>3</v>
      </c>
      <c r="T5462">
        <v>833.59191671824021</v>
      </c>
      <c r="U5462">
        <v>1</v>
      </c>
      <c r="V5462">
        <v>0</v>
      </c>
      <c r="W5462">
        <v>0.85</v>
      </c>
      <c r="X5462">
        <v>0</v>
      </c>
      <c r="Y5462">
        <v>723</v>
      </c>
      <c r="Z5462">
        <v>701.05790658871581</v>
      </c>
      <c r="AA5462">
        <v>198</v>
      </c>
      <c r="AB5462">
        <v>332</v>
      </c>
      <c r="AC5462">
        <v>536</v>
      </c>
      <c r="AD5462">
        <v>0</v>
      </c>
      <c r="AE5462">
        <v>542</v>
      </c>
      <c r="AF5462">
        <v>0</v>
      </c>
      <c r="AG5462">
        <v>0</v>
      </c>
      <c r="AH5462">
        <v>129</v>
      </c>
      <c r="AI5462">
        <v>0</v>
      </c>
      <c r="AJ5462">
        <v>0</v>
      </c>
      <c r="AK5462">
        <v>23.8</v>
      </c>
      <c r="AL5462">
        <v>-20.17533859999995</v>
      </c>
      <c r="AM5462">
        <v>-44.917689627873088</v>
      </c>
      <c r="AN5462">
        <v>-20.17533859999995</v>
      </c>
      <c r="AO5462">
        <v>-44.917689627873088</v>
      </c>
      <c r="AP5462">
        <v>-20.175523999999999</v>
      </c>
      <c r="AQ5462">
        <v>-44.918016999999999</v>
      </c>
      <c r="AR5462">
        <v>39.950898228213873</v>
      </c>
      <c r="AS5462" t="s">
        <v>65</v>
      </c>
      <c r="AT5462">
        <v>1</v>
      </c>
      <c r="AU5462" t="s">
        <v>849</v>
      </c>
      <c r="AV5462" t="s">
        <v>850</v>
      </c>
      <c r="AW5462" t="s">
        <v>60</v>
      </c>
      <c r="AX5462" t="s">
        <v>68</v>
      </c>
      <c r="AY5462" t="s">
        <v>69</v>
      </c>
      <c r="AZ5462" t="b">
        <v>1</v>
      </c>
    </row>
    <row r="5463" spans="1:52" x14ac:dyDescent="0.3">
      <c r="A5463" t="s">
        <v>52</v>
      </c>
      <c r="B5463" t="s">
        <v>53</v>
      </c>
      <c r="C5463" t="s">
        <v>54</v>
      </c>
      <c r="D5463" t="s">
        <v>55</v>
      </c>
      <c r="E5463" t="s">
        <v>2279</v>
      </c>
      <c r="F5463" t="s">
        <v>1247</v>
      </c>
      <c r="G5463" t="s">
        <v>429</v>
      </c>
      <c r="H5463" t="s">
        <v>430</v>
      </c>
      <c r="I5463" t="s">
        <v>430</v>
      </c>
      <c r="J5463" t="s">
        <v>60</v>
      </c>
      <c r="K5463" t="s">
        <v>431</v>
      </c>
      <c r="L5463" t="s">
        <v>62</v>
      </c>
      <c r="M5463" t="s">
        <v>431</v>
      </c>
      <c r="N5463" t="s">
        <v>432</v>
      </c>
      <c r="O5463" t="s">
        <v>315</v>
      </c>
      <c r="P5463">
        <v>-20.172698</v>
      </c>
      <c r="Q5463">
        <v>-44.923842</v>
      </c>
      <c r="R5463" s="2" t="str">
        <f>HYPERLINK("https://www.google.com/maps?q=-20.1726980,-44.9238420","Abrir no Google Maps")</f>
        <v>Abrir no Google Maps</v>
      </c>
      <c r="S5463">
        <v>3</v>
      </c>
      <c r="T5463">
        <v>1376.1843173402931</v>
      </c>
      <c r="U5463">
        <v>1</v>
      </c>
      <c r="V5463">
        <v>0</v>
      </c>
      <c r="W5463">
        <v>0.85</v>
      </c>
      <c r="X5463">
        <v>0</v>
      </c>
      <c r="Y5463">
        <v>723</v>
      </c>
      <c r="Z5463">
        <v>1101.340635002096</v>
      </c>
      <c r="AA5463">
        <v>198</v>
      </c>
      <c r="AB5463">
        <v>332</v>
      </c>
      <c r="AC5463">
        <v>536</v>
      </c>
      <c r="AD5463">
        <v>0</v>
      </c>
      <c r="AE5463">
        <v>542</v>
      </c>
      <c r="AF5463">
        <v>0</v>
      </c>
      <c r="AG5463">
        <v>0</v>
      </c>
      <c r="AH5463">
        <v>129</v>
      </c>
      <c r="AI5463">
        <v>0</v>
      </c>
      <c r="AJ5463">
        <v>0</v>
      </c>
      <c r="AK5463">
        <v>23.8</v>
      </c>
      <c r="AL5463">
        <v>-20.172942799999959</v>
      </c>
      <c r="AM5463">
        <v>-44.923585372665762</v>
      </c>
      <c r="AN5463">
        <v>-20.172942799999959</v>
      </c>
      <c r="AO5463">
        <v>-44.923585372665762</v>
      </c>
      <c r="AP5463">
        <v>-20.172698</v>
      </c>
      <c r="AQ5463">
        <v>-44.923842</v>
      </c>
      <c r="AR5463">
        <v>38.231981408478958</v>
      </c>
      <c r="AS5463" t="s">
        <v>65</v>
      </c>
      <c r="AT5463">
        <v>1</v>
      </c>
      <c r="AU5463" t="s">
        <v>433</v>
      </c>
      <c r="AV5463" t="s">
        <v>434</v>
      </c>
      <c r="AW5463" t="s">
        <v>60</v>
      </c>
      <c r="AX5463" t="s">
        <v>68</v>
      </c>
      <c r="AY5463" t="s">
        <v>69</v>
      </c>
      <c r="AZ5463" t="b">
        <v>1</v>
      </c>
    </row>
    <row r="5464" spans="1:52" x14ac:dyDescent="0.3">
      <c r="A5464" t="s">
        <v>52</v>
      </c>
      <c r="B5464" t="s">
        <v>53</v>
      </c>
      <c r="C5464" t="s">
        <v>54</v>
      </c>
      <c r="D5464" t="s">
        <v>55</v>
      </c>
      <c r="E5464" t="s">
        <v>2279</v>
      </c>
      <c r="F5464" t="s">
        <v>1247</v>
      </c>
      <c r="G5464" t="s">
        <v>1312</v>
      </c>
      <c r="H5464" t="s">
        <v>1313</v>
      </c>
      <c r="I5464" t="s">
        <v>1313</v>
      </c>
      <c r="J5464" t="s">
        <v>60</v>
      </c>
      <c r="K5464" t="s">
        <v>1314</v>
      </c>
      <c r="L5464" t="s">
        <v>62</v>
      </c>
      <c r="M5464" t="s">
        <v>1314</v>
      </c>
      <c r="N5464" t="s">
        <v>1315</v>
      </c>
      <c r="O5464" t="s">
        <v>315</v>
      </c>
      <c r="P5464">
        <v>-20.179649999999999</v>
      </c>
      <c r="Q5464">
        <v>-44.927177</v>
      </c>
      <c r="R5464" s="2" t="str">
        <f>HYPERLINK("https://www.google.com/maps?q=-20.1796500,-44.9271770","Abrir no Google Maps")</f>
        <v>Abrir no Google Maps</v>
      </c>
      <c r="S5464">
        <v>3</v>
      </c>
      <c r="T5464">
        <v>1742.181438658615</v>
      </c>
      <c r="U5464">
        <v>1</v>
      </c>
      <c r="V5464">
        <v>0</v>
      </c>
      <c r="W5464">
        <v>0.85</v>
      </c>
      <c r="X5464">
        <v>0</v>
      </c>
      <c r="Y5464">
        <v>723</v>
      </c>
      <c r="Z5464">
        <v>1801.262037027635</v>
      </c>
      <c r="AA5464">
        <v>198</v>
      </c>
      <c r="AB5464">
        <v>332</v>
      </c>
      <c r="AC5464">
        <v>536</v>
      </c>
      <c r="AD5464">
        <v>0</v>
      </c>
      <c r="AE5464">
        <v>542</v>
      </c>
      <c r="AF5464">
        <v>0</v>
      </c>
      <c r="AG5464">
        <v>0</v>
      </c>
      <c r="AH5464">
        <v>129</v>
      </c>
      <c r="AI5464">
        <v>0</v>
      </c>
      <c r="AJ5464">
        <v>0</v>
      </c>
      <c r="AK5464">
        <v>23.8</v>
      </c>
      <c r="AL5464">
        <v>-20.18058599999998</v>
      </c>
      <c r="AM5464">
        <v>-44.926708474999977</v>
      </c>
      <c r="AN5464">
        <v>-20.18058599999998</v>
      </c>
      <c r="AO5464">
        <v>-44.926708474999977</v>
      </c>
      <c r="AP5464">
        <v>-20.179649999999999</v>
      </c>
      <c r="AQ5464">
        <v>-44.927177</v>
      </c>
      <c r="AR5464">
        <v>115.1226868075416</v>
      </c>
      <c r="AS5464" t="s">
        <v>65</v>
      </c>
      <c r="AT5464">
        <v>1</v>
      </c>
      <c r="AU5464" t="s">
        <v>1316</v>
      </c>
      <c r="AV5464" t="s">
        <v>1317</v>
      </c>
      <c r="AW5464" t="s">
        <v>60</v>
      </c>
      <c r="AX5464" t="s">
        <v>68</v>
      </c>
      <c r="AY5464" t="s">
        <v>69</v>
      </c>
      <c r="AZ5464" t="b">
        <v>1</v>
      </c>
    </row>
    <row r="5465" spans="1:52" x14ac:dyDescent="0.3">
      <c r="A5465" t="s">
        <v>52</v>
      </c>
      <c r="B5465" t="s">
        <v>53</v>
      </c>
      <c r="C5465" t="s">
        <v>54</v>
      </c>
      <c r="D5465" t="s">
        <v>55</v>
      </c>
      <c r="E5465" t="s">
        <v>2279</v>
      </c>
      <c r="F5465" t="s">
        <v>1247</v>
      </c>
      <c r="G5465" t="s">
        <v>1318</v>
      </c>
      <c r="H5465" t="s">
        <v>1319</v>
      </c>
      <c r="I5465" t="s">
        <v>1319</v>
      </c>
      <c r="J5465" t="s">
        <v>60</v>
      </c>
      <c r="K5465" t="s">
        <v>1314</v>
      </c>
      <c r="L5465" t="s">
        <v>62</v>
      </c>
      <c r="M5465" t="s">
        <v>1314</v>
      </c>
      <c r="N5465" t="s">
        <v>1320</v>
      </c>
      <c r="O5465" t="s">
        <v>1321</v>
      </c>
      <c r="P5465">
        <v>-20.178615000000001</v>
      </c>
      <c r="Q5465">
        <v>-44.924697999999999</v>
      </c>
      <c r="R5465" s="2" t="str">
        <f>HYPERLINK("https://www.google.com/maps?q=-20.1786150,-44.9246980","Abrir no Google Maps")</f>
        <v>Abrir no Google Maps</v>
      </c>
      <c r="S5465">
        <v>3</v>
      </c>
      <c r="T5465">
        <v>1583.462557226148</v>
      </c>
      <c r="U5465">
        <v>1</v>
      </c>
      <c r="V5465">
        <v>0</v>
      </c>
      <c r="W5465">
        <v>0.85</v>
      </c>
      <c r="X5465">
        <v>0</v>
      </c>
      <c r="Y5465">
        <v>723</v>
      </c>
      <c r="Z5465">
        <v>1414.1542726995031</v>
      </c>
      <c r="AA5465">
        <v>198</v>
      </c>
      <c r="AB5465">
        <v>332</v>
      </c>
      <c r="AC5465">
        <v>536</v>
      </c>
      <c r="AD5465">
        <v>0</v>
      </c>
      <c r="AE5465">
        <v>542</v>
      </c>
      <c r="AF5465">
        <v>0</v>
      </c>
      <c r="AG5465">
        <v>0</v>
      </c>
      <c r="AH5465">
        <v>129</v>
      </c>
      <c r="AI5465">
        <v>0</v>
      </c>
      <c r="AJ5465">
        <v>0</v>
      </c>
      <c r="AK5465">
        <v>23.8</v>
      </c>
      <c r="AL5465">
        <v>-20.17821329999995</v>
      </c>
      <c r="AM5465">
        <v>-44.924188563452951</v>
      </c>
      <c r="AN5465">
        <v>-20.17821329999995</v>
      </c>
      <c r="AO5465">
        <v>-44.924188563452951</v>
      </c>
      <c r="AP5465">
        <v>-20.178615000000001</v>
      </c>
      <c r="AQ5465">
        <v>-44.924697999999999</v>
      </c>
      <c r="AR5465">
        <v>69.520116290580319</v>
      </c>
      <c r="AS5465" t="s">
        <v>65</v>
      </c>
      <c r="AT5465">
        <v>1</v>
      </c>
      <c r="AU5465" t="s">
        <v>1322</v>
      </c>
      <c r="AV5465" t="s">
        <v>1317</v>
      </c>
      <c r="AW5465" t="s">
        <v>60</v>
      </c>
      <c r="AX5465" t="s">
        <v>68</v>
      </c>
      <c r="AY5465" t="s">
        <v>69</v>
      </c>
      <c r="AZ5465" t="b">
        <v>1</v>
      </c>
    </row>
    <row r="5466" spans="1:52" x14ac:dyDescent="0.3">
      <c r="A5466" t="s">
        <v>52</v>
      </c>
      <c r="B5466" t="s">
        <v>53</v>
      </c>
      <c r="C5466" t="s">
        <v>54</v>
      </c>
      <c r="D5466" t="s">
        <v>55</v>
      </c>
      <c r="E5466" t="s">
        <v>2279</v>
      </c>
      <c r="F5466" t="s">
        <v>1247</v>
      </c>
      <c r="G5466" t="s">
        <v>422</v>
      </c>
      <c r="H5466" t="s">
        <v>1323</v>
      </c>
      <c r="I5466" t="s">
        <v>1323</v>
      </c>
      <c r="J5466" t="s">
        <v>60</v>
      </c>
      <c r="K5466" t="s">
        <v>1324</v>
      </c>
      <c r="L5466" t="s">
        <v>62</v>
      </c>
      <c r="M5466" t="s">
        <v>1324</v>
      </c>
      <c r="N5466" t="s">
        <v>425</v>
      </c>
      <c r="O5466" t="s">
        <v>1325</v>
      </c>
      <c r="P5466">
        <v>-20.175142000000001</v>
      </c>
      <c r="Q5466">
        <v>-44.913783000000002</v>
      </c>
      <c r="R5466" s="2" t="str">
        <f>HYPERLINK("https://www.google.com/maps?q=-20.1751420,-44.9137830","Abrir no Google Maps")</f>
        <v>Abrir no Google Maps</v>
      </c>
      <c r="S5466">
        <v>3</v>
      </c>
      <c r="T5466">
        <v>495.73888273066677</v>
      </c>
      <c r="U5466">
        <v>1</v>
      </c>
      <c r="V5466">
        <v>0</v>
      </c>
      <c r="W5466">
        <v>0.85</v>
      </c>
      <c r="X5466">
        <v>0</v>
      </c>
      <c r="Y5466">
        <v>723</v>
      </c>
      <c r="Z5466">
        <v>488.51574748236328</v>
      </c>
      <c r="AA5466">
        <v>198</v>
      </c>
      <c r="AB5466">
        <v>332</v>
      </c>
      <c r="AC5466">
        <v>536</v>
      </c>
      <c r="AD5466">
        <v>0</v>
      </c>
      <c r="AE5466">
        <v>542</v>
      </c>
      <c r="AF5466">
        <v>0</v>
      </c>
      <c r="AG5466">
        <v>0</v>
      </c>
      <c r="AH5466">
        <v>129</v>
      </c>
      <c r="AI5466">
        <v>0</v>
      </c>
      <c r="AJ5466">
        <v>0</v>
      </c>
      <c r="AK5466">
        <v>23.8</v>
      </c>
      <c r="AL5466">
        <v>-20.175195199999958</v>
      </c>
      <c r="AM5466">
        <v>-44.913964122548052</v>
      </c>
      <c r="AN5466">
        <v>-20.175195199999958</v>
      </c>
      <c r="AO5466">
        <v>-44.913964122548052</v>
      </c>
      <c r="AP5466">
        <v>-20.175142000000001</v>
      </c>
      <c r="AQ5466">
        <v>-44.913783000000002</v>
      </c>
      <c r="AR5466">
        <v>19.830402633152101</v>
      </c>
      <c r="AS5466" t="s">
        <v>65</v>
      </c>
      <c r="AT5466">
        <v>1</v>
      </c>
      <c r="AU5466" t="s">
        <v>1326</v>
      </c>
      <c r="AV5466" t="s">
        <v>1327</v>
      </c>
      <c r="AW5466" t="s">
        <v>60</v>
      </c>
      <c r="AX5466" t="s">
        <v>68</v>
      </c>
      <c r="AY5466" t="s">
        <v>69</v>
      </c>
      <c r="AZ5466" t="b">
        <v>1</v>
      </c>
    </row>
    <row r="5467" spans="1:52" x14ac:dyDescent="0.3">
      <c r="A5467" t="s">
        <v>52</v>
      </c>
      <c r="B5467" t="s">
        <v>53</v>
      </c>
      <c r="C5467" t="s">
        <v>54</v>
      </c>
      <c r="D5467" t="s">
        <v>55</v>
      </c>
      <c r="E5467" t="s">
        <v>2279</v>
      </c>
      <c r="F5467" t="s">
        <v>1247</v>
      </c>
      <c r="G5467" t="s">
        <v>1328</v>
      </c>
      <c r="H5467" t="s">
        <v>1329</v>
      </c>
      <c r="I5467" t="s">
        <v>1329</v>
      </c>
      <c r="J5467" t="s">
        <v>60</v>
      </c>
      <c r="K5467" t="s">
        <v>1324</v>
      </c>
      <c r="L5467" t="s">
        <v>62</v>
      </c>
      <c r="M5467" t="s">
        <v>1324</v>
      </c>
      <c r="N5467" t="s">
        <v>1330</v>
      </c>
      <c r="O5467" t="s">
        <v>1331</v>
      </c>
      <c r="P5467">
        <v>-20.172984</v>
      </c>
      <c r="Q5467">
        <v>-44.915225999999997</v>
      </c>
      <c r="R5467" s="2" t="str">
        <f>HYPERLINK("https://www.google.com/maps?q=-20.1729840,-44.9152260","Abrir no Google Maps")</f>
        <v>Abrir no Google Maps</v>
      </c>
      <c r="S5467">
        <v>3</v>
      </c>
      <c r="T5467">
        <v>498.21203543103741</v>
      </c>
      <c r="U5467">
        <v>1</v>
      </c>
      <c r="V5467">
        <v>0</v>
      </c>
      <c r="W5467">
        <v>0.85</v>
      </c>
      <c r="X5467">
        <v>0</v>
      </c>
      <c r="Y5467">
        <v>723</v>
      </c>
      <c r="Z5467">
        <v>297.36167326949931</v>
      </c>
      <c r="AA5467">
        <v>198</v>
      </c>
      <c r="AB5467">
        <v>332</v>
      </c>
      <c r="AC5467">
        <v>536</v>
      </c>
      <c r="AD5467">
        <v>0</v>
      </c>
      <c r="AE5467">
        <v>542</v>
      </c>
      <c r="AF5467">
        <v>0</v>
      </c>
      <c r="AG5467">
        <v>0</v>
      </c>
      <c r="AH5467">
        <v>129</v>
      </c>
      <c r="AI5467">
        <v>0</v>
      </c>
      <c r="AJ5467">
        <v>0</v>
      </c>
      <c r="AK5467">
        <v>23.8</v>
      </c>
      <c r="AL5467">
        <v>-20.172838899999959</v>
      </c>
      <c r="AM5467">
        <v>-44.915158011603552</v>
      </c>
      <c r="AN5467">
        <v>-20.172838899999959</v>
      </c>
      <c r="AO5467">
        <v>-44.915158011603552</v>
      </c>
      <c r="AP5467">
        <v>-20.172984</v>
      </c>
      <c r="AQ5467">
        <v>-44.915225999999997</v>
      </c>
      <c r="AR5467">
        <v>17.645788305942119</v>
      </c>
      <c r="AS5467" t="s">
        <v>65</v>
      </c>
      <c r="AT5467">
        <v>1</v>
      </c>
      <c r="AU5467" t="s">
        <v>1332</v>
      </c>
      <c r="AV5467" t="s">
        <v>1327</v>
      </c>
      <c r="AW5467" t="s">
        <v>60</v>
      </c>
      <c r="AX5467" t="s">
        <v>68</v>
      </c>
      <c r="AY5467" t="s">
        <v>69</v>
      </c>
      <c r="AZ5467" t="b">
        <v>1</v>
      </c>
    </row>
    <row r="5468" spans="1:52" x14ac:dyDescent="0.3">
      <c r="A5468" t="s">
        <v>52</v>
      </c>
      <c r="B5468" t="s">
        <v>53</v>
      </c>
      <c r="C5468" t="s">
        <v>54</v>
      </c>
      <c r="D5468" t="s">
        <v>55</v>
      </c>
      <c r="E5468" t="s">
        <v>2279</v>
      </c>
      <c r="F5468" t="s">
        <v>1247</v>
      </c>
      <c r="G5468" t="s">
        <v>435</v>
      </c>
      <c r="H5468" t="s">
        <v>436</v>
      </c>
      <c r="I5468" t="s">
        <v>436</v>
      </c>
      <c r="J5468" t="s">
        <v>60</v>
      </c>
      <c r="K5468" t="s">
        <v>437</v>
      </c>
      <c r="L5468" t="s">
        <v>62</v>
      </c>
      <c r="M5468" t="s">
        <v>437</v>
      </c>
      <c r="N5468" t="s">
        <v>438</v>
      </c>
      <c r="O5468" t="s">
        <v>439</v>
      </c>
      <c r="P5468">
        <v>-20.145613000000001</v>
      </c>
      <c r="Q5468">
        <v>-44.882375000000003</v>
      </c>
      <c r="R5468" s="2" t="str">
        <f>HYPERLINK("https://www.google.com/maps?q=-20.1456130,-44.8823750","Abrir no Google Maps")</f>
        <v>Abrir no Google Maps</v>
      </c>
      <c r="S5468">
        <v>3</v>
      </c>
      <c r="T5468">
        <v>305.65092112314198</v>
      </c>
      <c r="U5468">
        <v>1</v>
      </c>
      <c r="V5468">
        <v>0</v>
      </c>
      <c r="W5468">
        <v>1</v>
      </c>
      <c r="X5468">
        <v>0</v>
      </c>
      <c r="Y5468">
        <v>653</v>
      </c>
      <c r="Z5468">
        <v>349.55297035282501</v>
      </c>
      <c r="AA5468">
        <v>198</v>
      </c>
      <c r="AB5468">
        <v>332</v>
      </c>
      <c r="AC5468">
        <v>536</v>
      </c>
      <c r="AD5468">
        <v>0</v>
      </c>
      <c r="AE5468">
        <v>542</v>
      </c>
      <c r="AF5468">
        <v>0</v>
      </c>
      <c r="AG5468">
        <v>0</v>
      </c>
      <c r="AH5468">
        <v>129</v>
      </c>
      <c r="AI5468">
        <v>0</v>
      </c>
      <c r="AJ5468">
        <v>0</v>
      </c>
      <c r="AK5468">
        <v>23.8</v>
      </c>
      <c r="AL5468">
        <v>-20.14550464999996</v>
      </c>
      <c r="AM5468">
        <v>-44.882157007077737</v>
      </c>
      <c r="AN5468">
        <v>-20.14550464999996</v>
      </c>
      <c r="AO5468">
        <v>-44.882157007077737</v>
      </c>
      <c r="AP5468">
        <v>-20.145613000000001</v>
      </c>
      <c r="AQ5468">
        <v>-44.882375000000003</v>
      </c>
      <c r="AR5468">
        <v>25.77819791856259</v>
      </c>
      <c r="AS5468" t="s">
        <v>65</v>
      </c>
      <c r="AT5468">
        <v>1</v>
      </c>
      <c r="AU5468" t="s">
        <v>440</v>
      </c>
      <c r="AV5468" t="s">
        <v>441</v>
      </c>
      <c r="AW5468" t="s">
        <v>60</v>
      </c>
      <c r="AX5468" t="s">
        <v>68</v>
      </c>
      <c r="AY5468" t="s">
        <v>69</v>
      </c>
      <c r="AZ5468" t="b">
        <v>1</v>
      </c>
    </row>
    <row r="5469" spans="1:52" x14ac:dyDescent="0.3">
      <c r="A5469" t="s">
        <v>52</v>
      </c>
      <c r="B5469" t="s">
        <v>53</v>
      </c>
      <c r="C5469" t="s">
        <v>54</v>
      </c>
      <c r="D5469" t="s">
        <v>55</v>
      </c>
      <c r="E5469" t="s">
        <v>2279</v>
      </c>
      <c r="F5469" t="s">
        <v>1247</v>
      </c>
      <c r="G5469" t="s">
        <v>1333</v>
      </c>
      <c r="H5469" t="s">
        <v>1334</v>
      </c>
      <c r="I5469" t="s">
        <v>1334</v>
      </c>
      <c r="J5469" t="s">
        <v>60</v>
      </c>
      <c r="K5469" t="s">
        <v>437</v>
      </c>
      <c r="L5469" t="s">
        <v>62</v>
      </c>
      <c r="M5469" t="s">
        <v>437</v>
      </c>
      <c r="N5469" t="s">
        <v>1335</v>
      </c>
      <c r="O5469" t="s">
        <v>807</v>
      </c>
      <c r="P5469">
        <v>-20.148</v>
      </c>
      <c r="Q5469">
        <v>-44.880944999999997</v>
      </c>
      <c r="R5469" s="2" t="str">
        <f>HYPERLINK("https://www.google.com/maps?q=-20.1480000,-44.8809450","Abrir no Google Maps")</f>
        <v>Abrir no Google Maps</v>
      </c>
      <c r="S5469">
        <v>3</v>
      </c>
      <c r="T5469">
        <v>0</v>
      </c>
      <c r="U5469">
        <v>1</v>
      </c>
      <c r="V5469">
        <v>0</v>
      </c>
      <c r="W5469">
        <v>0.85</v>
      </c>
      <c r="X5469">
        <v>0</v>
      </c>
      <c r="Y5469">
        <v>653</v>
      </c>
      <c r="Z5469">
        <v>108.2792411420544</v>
      </c>
      <c r="AA5469">
        <v>198</v>
      </c>
      <c r="AB5469">
        <v>332</v>
      </c>
      <c r="AC5469">
        <v>536</v>
      </c>
      <c r="AD5469">
        <v>0</v>
      </c>
      <c r="AE5469">
        <v>542</v>
      </c>
      <c r="AF5469">
        <v>0</v>
      </c>
      <c r="AG5469">
        <v>0</v>
      </c>
      <c r="AH5469">
        <v>129</v>
      </c>
      <c r="AI5469">
        <v>0</v>
      </c>
      <c r="AJ5469">
        <v>0</v>
      </c>
      <c r="AK5469">
        <v>23.8</v>
      </c>
      <c r="AL5469">
        <v>-20.14802099999994</v>
      </c>
      <c r="AM5469">
        <v>-44.880951206225959</v>
      </c>
      <c r="AN5469">
        <v>-20.14802099999994</v>
      </c>
      <c r="AO5469">
        <v>-44.880951206225959</v>
      </c>
      <c r="AP5469">
        <v>-20.148</v>
      </c>
      <c r="AQ5469">
        <v>-44.880944999999997</v>
      </c>
      <c r="AR5469">
        <v>2.4260288619737169</v>
      </c>
      <c r="AS5469" t="s">
        <v>65</v>
      </c>
      <c r="AT5469">
        <v>1</v>
      </c>
      <c r="AU5469" t="s">
        <v>1336</v>
      </c>
      <c r="AV5469" t="s">
        <v>1337</v>
      </c>
      <c r="AW5469" t="s">
        <v>60</v>
      </c>
      <c r="AX5469" t="s">
        <v>68</v>
      </c>
      <c r="AY5469" t="s">
        <v>69</v>
      </c>
      <c r="AZ5469" t="b">
        <v>1</v>
      </c>
    </row>
    <row r="5470" spans="1:52" x14ac:dyDescent="0.3">
      <c r="A5470" t="s">
        <v>52</v>
      </c>
      <c r="B5470" t="s">
        <v>53</v>
      </c>
      <c r="C5470" t="s">
        <v>54</v>
      </c>
      <c r="D5470" t="s">
        <v>55</v>
      </c>
      <c r="E5470" t="s">
        <v>2279</v>
      </c>
      <c r="F5470" t="s">
        <v>1247</v>
      </c>
      <c r="G5470" t="s">
        <v>442</v>
      </c>
      <c r="H5470" t="s">
        <v>443</v>
      </c>
      <c r="I5470" t="s">
        <v>443</v>
      </c>
      <c r="J5470" t="s">
        <v>60</v>
      </c>
      <c r="K5470" t="s">
        <v>437</v>
      </c>
      <c r="L5470" t="s">
        <v>62</v>
      </c>
      <c r="M5470" t="s">
        <v>437</v>
      </c>
      <c r="N5470" t="s">
        <v>444</v>
      </c>
      <c r="O5470" t="s">
        <v>445</v>
      </c>
      <c r="P5470">
        <v>-20.149744999999999</v>
      </c>
      <c r="Q5470">
        <v>-44.881385000000002</v>
      </c>
      <c r="R5470" s="2" t="str">
        <f>HYPERLINK("https://www.google.com/maps?q=-20.1497450,-44.8813850","Abrir no Google Maps")</f>
        <v>Abrir no Google Maps</v>
      </c>
      <c r="S5470">
        <v>3</v>
      </c>
      <c r="T5470">
        <v>188.80690546111239</v>
      </c>
      <c r="U5470">
        <v>1</v>
      </c>
      <c r="V5470">
        <v>0</v>
      </c>
      <c r="W5470">
        <v>1</v>
      </c>
      <c r="X5470">
        <v>0</v>
      </c>
      <c r="Y5470">
        <v>653</v>
      </c>
      <c r="Z5470">
        <v>86.575080390731017</v>
      </c>
      <c r="AA5470">
        <v>198</v>
      </c>
      <c r="AB5470">
        <v>332</v>
      </c>
      <c r="AC5470">
        <v>536</v>
      </c>
      <c r="AD5470">
        <v>0</v>
      </c>
      <c r="AE5470">
        <v>542</v>
      </c>
      <c r="AF5470">
        <v>0</v>
      </c>
      <c r="AG5470">
        <v>0</v>
      </c>
      <c r="AH5470">
        <v>129</v>
      </c>
      <c r="AI5470">
        <v>0</v>
      </c>
      <c r="AJ5470">
        <v>0</v>
      </c>
      <c r="AK5470">
        <v>23.8</v>
      </c>
      <c r="AL5470">
        <v>-20.149645149999941</v>
      </c>
      <c r="AM5470">
        <v>-44.881504585149607</v>
      </c>
      <c r="AN5470">
        <v>-20.149645149999941</v>
      </c>
      <c r="AO5470">
        <v>-44.881504585149607</v>
      </c>
      <c r="AP5470">
        <v>-20.149744999999999</v>
      </c>
      <c r="AQ5470">
        <v>-44.881385000000002</v>
      </c>
      <c r="AR5470">
        <v>16.725323110840389</v>
      </c>
      <c r="AS5470" t="s">
        <v>65</v>
      </c>
      <c r="AT5470">
        <v>1</v>
      </c>
      <c r="AU5470" t="s">
        <v>446</v>
      </c>
      <c r="AV5470" t="s">
        <v>447</v>
      </c>
      <c r="AW5470" t="s">
        <v>60</v>
      </c>
      <c r="AX5470" t="s">
        <v>68</v>
      </c>
      <c r="AY5470" t="s">
        <v>69</v>
      </c>
      <c r="AZ5470" t="b">
        <v>1</v>
      </c>
    </row>
    <row r="5471" spans="1:52" x14ac:dyDescent="0.3">
      <c r="A5471" t="s">
        <v>52</v>
      </c>
      <c r="B5471" t="s">
        <v>53</v>
      </c>
      <c r="C5471" t="s">
        <v>54</v>
      </c>
      <c r="D5471" t="s">
        <v>55</v>
      </c>
      <c r="E5471" t="s">
        <v>2279</v>
      </c>
      <c r="F5471" t="s">
        <v>1247</v>
      </c>
      <c r="G5471" t="s">
        <v>448</v>
      </c>
      <c r="H5471" t="s">
        <v>449</v>
      </c>
      <c r="I5471" t="s">
        <v>449</v>
      </c>
      <c r="J5471" t="s">
        <v>60</v>
      </c>
      <c r="K5471" t="s">
        <v>388</v>
      </c>
      <c r="L5471" t="s">
        <v>62</v>
      </c>
      <c r="M5471" t="s">
        <v>388</v>
      </c>
      <c r="N5471" t="s">
        <v>450</v>
      </c>
      <c r="O5471" t="s">
        <v>451</v>
      </c>
      <c r="P5471">
        <v>-20.163981</v>
      </c>
      <c r="Q5471">
        <v>-44.907128999999998</v>
      </c>
      <c r="R5471" s="2" t="str">
        <f>HYPERLINK("https://www.google.com/maps?q=-20.1639810,-44.9071290","Abrir no Google Maps")</f>
        <v>Abrir no Google Maps</v>
      </c>
      <c r="S5471">
        <v>3</v>
      </c>
      <c r="T5471">
        <v>782.50730806588319</v>
      </c>
      <c r="U5471">
        <v>1</v>
      </c>
      <c r="V5471">
        <v>0</v>
      </c>
      <c r="W5471">
        <v>1</v>
      </c>
      <c r="X5471">
        <v>0</v>
      </c>
      <c r="Y5471">
        <v>639</v>
      </c>
      <c r="Z5471">
        <v>710.90621453796166</v>
      </c>
      <c r="AA5471">
        <v>198</v>
      </c>
      <c r="AB5471">
        <v>332</v>
      </c>
      <c r="AC5471">
        <v>536</v>
      </c>
      <c r="AD5471">
        <v>0</v>
      </c>
      <c r="AE5471">
        <v>542</v>
      </c>
      <c r="AF5471">
        <v>0</v>
      </c>
      <c r="AG5471">
        <v>0</v>
      </c>
      <c r="AH5471">
        <v>129</v>
      </c>
      <c r="AI5471">
        <v>0</v>
      </c>
      <c r="AJ5471">
        <v>0</v>
      </c>
      <c r="AK5471">
        <v>23.8</v>
      </c>
      <c r="AL5471">
        <v>-20.163958349999969</v>
      </c>
      <c r="AM5471">
        <v>-44.907180923930973</v>
      </c>
      <c r="AN5471">
        <v>-20.163958349999969</v>
      </c>
      <c r="AO5471">
        <v>-44.907180923930973</v>
      </c>
      <c r="AP5471">
        <v>-20.163981</v>
      </c>
      <c r="AQ5471">
        <v>-44.907128999999998</v>
      </c>
      <c r="AR5471">
        <v>5.9831345092457884</v>
      </c>
      <c r="AS5471" t="s">
        <v>65</v>
      </c>
      <c r="AT5471">
        <v>1</v>
      </c>
      <c r="AU5471" t="s">
        <v>452</v>
      </c>
      <c r="AV5471" t="s">
        <v>453</v>
      </c>
      <c r="AW5471" t="s">
        <v>60</v>
      </c>
      <c r="AX5471" t="s">
        <v>68</v>
      </c>
      <c r="AY5471" t="s">
        <v>69</v>
      </c>
      <c r="AZ5471" t="b">
        <v>1</v>
      </c>
    </row>
    <row r="5472" spans="1:52" x14ac:dyDescent="0.3">
      <c r="A5472" t="s">
        <v>52</v>
      </c>
      <c r="B5472" t="s">
        <v>53</v>
      </c>
      <c r="C5472" t="s">
        <v>54</v>
      </c>
      <c r="D5472" t="s">
        <v>55</v>
      </c>
      <c r="E5472" t="s">
        <v>2279</v>
      </c>
      <c r="F5472" t="s">
        <v>1247</v>
      </c>
      <c r="G5472" t="s">
        <v>479</v>
      </c>
      <c r="H5472" t="s">
        <v>1338</v>
      </c>
      <c r="I5472" t="s">
        <v>1338</v>
      </c>
      <c r="J5472" t="s">
        <v>60</v>
      </c>
      <c r="K5472" t="s">
        <v>1302</v>
      </c>
      <c r="L5472" t="s">
        <v>62</v>
      </c>
      <c r="M5472" t="s">
        <v>1302</v>
      </c>
      <c r="N5472" t="s">
        <v>481</v>
      </c>
      <c r="O5472" t="s">
        <v>1339</v>
      </c>
      <c r="P5472">
        <v>-20.165590000000002</v>
      </c>
      <c r="Q5472">
        <v>-44.907876000000002</v>
      </c>
      <c r="R5472" s="2" t="str">
        <f>HYPERLINK("https://www.google.com/maps?q=-20.1655900,-44.9078760","Abrir no Google Maps")</f>
        <v>Abrir no Google Maps</v>
      </c>
      <c r="S5472">
        <v>3</v>
      </c>
      <c r="T5472">
        <v>626.07643944893005</v>
      </c>
      <c r="U5472">
        <v>1</v>
      </c>
      <c r="V5472">
        <v>0</v>
      </c>
      <c r="W5472">
        <v>0.85</v>
      </c>
      <c r="X5472">
        <v>0</v>
      </c>
      <c r="Y5472">
        <v>639</v>
      </c>
      <c r="Z5472">
        <v>723.2656461789519</v>
      </c>
      <c r="AA5472">
        <v>198</v>
      </c>
      <c r="AB5472">
        <v>332</v>
      </c>
      <c r="AC5472">
        <v>536</v>
      </c>
      <c r="AD5472">
        <v>0</v>
      </c>
      <c r="AE5472">
        <v>542</v>
      </c>
      <c r="AF5472">
        <v>0</v>
      </c>
      <c r="AG5472">
        <v>0</v>
      </c>
      <c r="AH5472">
        <v>129</v>
      </c>
      <c r="AI5472">
        <v>0</v>
      </c>
      <c r="AJ5472">
        <v>0</v>
      </c>
      <c r="AK5472">
        <v>23.8</v>
      </c>
      <c r="AL5472">
        <v>-20.16561419999994</v>
      </c>
      <c r="AM5472">
        <v>-44.907783360572083</v>
      </c>
      <c r="AN5472">
        <v>-20.16561419999994</v>
      </c>
      <c r="AO5472">
        <v>-44.907783360572083</v>
      </c>
      <c r="AP5472">
        <v>-20.165590000000002</v>
      </c>
      <c r="AQ5472">
        <v>-44.907876000000002</v>
      </c>
      <c r="AR5472">
        <v>10.04831364257741</v>
      </c>
      <c r="AS5472" t="s">
        <v>65</v>
      </c>
      <c r="AT5472">
        <v>1</v>
      </c>
      <c r="AU5472" t="s">
        <v>1340</v>
      </c>
      <c r="AV5472" t="s">
        <v>1341</v>
      </c>
      <c r="AW5472" t="s">
        <v>60</v>
      </c>
      <c r="AX5472" t="s">
        <v>68</v>
      </c>
      <c r="AY5472" t="s">
        <v>69</v>
      </c>
      <c r="AZ5472" t="b">
        <v>1</v>
      </c>
    </row>
    <row r="5473" spans="1:52" x14ac:dyDescent="0.3">
      <c r="A5473" t="s">
        <v>52</v>
      </c>
      <c r="B5473" t="s">
        <v>53</v>
      </c>
      <c r="C5473" t="s">
        <v>54</v>
      </c>
      <c r="D5473" t="s">
        <v>55</v>
      </c>
      <c r="E5473" t="s">
        <v>2279</v>
      </c>
      <c r="F5473" t="s">
        <v>1247</v>
      </c>
      <c r="G5473" t="s">
        <v>454</v>
      </c>
      <c r="H5473" t="s">
        <v>455</v>
      </c>
      <c r="I5473" t="s">
        <v>455</v>
      </c>
      <c r="J5473" t="s">
        <v>60</v>
      </c>
      <c r="K5473" t="s">
        <v>456</v>
      </c>
      <c r="L5473" t="s">
        <v>62</v>
      </c>
      <c r="M5473" t="s">
        <v>456</v>
      </c>
      <c r="N5473" t="s">
        <v>102</v>
      </c>
      <c r="O5473" t="s">
        <v>457</v>
      </c>
      <c r="P5473">
        <v>-20.138373999999999</v>
      </c>
      <c r="Q5473">
        <v>-44.903756999999999</v>
      </c>
      <c r="R5473" s="2" t="str">
        <f>HYPERLINK("https://www.google.com/maps?q=-20.1383740,-44.9037570","Abrir no Google Maps")</f>
        <v>Abrir no Google Maps</v>
      </c>
      <c r="S5473">
        <v>3</v>
      </c>
      <c r="T5473">
        <v>357.59466273594461</v>
      </c>
      <c r="U5473">
        <v>1</v>
      </c>
      <c r="V5473">
        <v>0</v>
      </c>
      <c r="W5473">
        <v>1</v>
      </c>
      <c r="X5473">
        <v>0</v>
      </c>
      <c r="Y5473">
        <v>581</v>
      </c>
      <c r="Z5473">
        <v>406.92482694505992</v>
      </c>
      <c r="AA5473">
        <v>198</v>
      </c>
      <c r="AB5473">
        <v>332</v>
      </c>
      <c r="AC5473">
        <v>536</v>
      </c>
      <c r="AD5473">
        <v>0</v>
      </c>
      <c r="AE5473">
        <v>542</v>
      </c>
      <c r="AF5473">
        <v>0</v>
      </c>
      <c r="AG5473">
        <v>0</v>
      </c>
      <c r="AH5473">
        <v>129</v>
      </c>
      <c r="AI5473">
        <v>0</v>
      </c>
      <c r="AJ5473">
        <v>0</v>
      </c>
      <c r="AK5473">
        <v>23.8</v>
      </c>
      <c r="AL5473">
        <v>-20.138338199999961</v>
      </c>
      <c r="AM5473">
        <v>-44.903768618976301</v>
      </c>
      <c r="AN5473">
        <v>-20.138338199999961</v>
      </c>
      <c r="AO5473">
        <v>-44.903768618976301</v>
      </c>
      <c r="AP5473">
        <v>-20.138373999999999</v>
      </c>
      <c r="AQ5473">
        <v>-44.903756999999999</v>
      </c>
      <c r="AR5473">
        <v>4.1661625938922704</v>
      </c>
      <c r="AS5473" t="s">
        <v>65</v>
      </c>
      <c r="AT5473">
        <v>1</v>
      </c>
      <c r="AU5473" t="s">
        <v>458</v>
      </c>
      <c r="AV5473" t="s">
        <v>459</v>
      </c>
      <c r="AW5473" t="s">
        <v>60</v>
      </c>
      <c r="AX5473" t="s">
        <v>68</v>
      </c>
      <c r="AY5473" t="s">
        <v>69</v>
      </c>
      <c r="AZ5473" t="b">
        <v>1</v>
      </c>
    </row>
    <row r="5474" spans="1:52" x14ac:dyDescent="0.3">
      <c r="A5474" t="s">
        <v>52</v>
      </c>
      <c r="B5474" t="s">
        <v>53</v>
      </c>
      <c r="C5474" t="s">
        <v>54</v>
      </c>
      <c r="D5474" t="s">
        <v>55</v>
      </c>
      <c r="E5474" t="s">
        <v>2279</v>
      </c>
      <c r="F5474" t="s">
        <v>1247</v>
      </c>
      <c r="G5474" t="s">
        <v>460</v>
      </c>
      <c r="H5474" t="s">
        <v>461</v>
      </c>
      <c r="I5474" t="s">
        <v>461</v>
      </c>
      <c r="J5474" t="s">
        <v>60</v>
      </c>
      <c r="K5474" t="s">
        <v>462</v>
      </c>
      <c r="L5474" t="s">
        <v>62</v>
      </c>
      <c r="M5474" t="s">
        <v>462</v>
      </c>
      <c r="N5474" t="s">
        <v>463</v>
      </c>
      <c r="O5474" t="s">
        <v>464</v>
      </c>
      <c r="P5474">
        <v>-20.137919</v>
      </c>
      <c r="Q5474">
        <v>-44.905591000000001</v>
      </c>
      <c r="R5474" s="2" t="str">
        <f>HYPERLINK("https://www.google.com/maps?q=-20.1379190,-44.9055910","Abrir no Google Maps")</f>
        <v>Abrir no Google Maps</v>
      </c>
      <c r="S5474">
        <v>3</v>
      </c>
      <c r="T5474">
        <v>262.01115919461103</v>
      </c>
      <c r="U5474">
        <v>1</v>
      </c>
      <c r="V5474">
        <v>0</v>
      </c>
      <c r="W5474">
        <v>1</v>
      </c>
      <c r="X5474">
        <v>0</v>
      </c>
      <c r="Y5474">
        <v>581</v>
      </c>
      <c r="Z5474">
        <v>318.63337303219271</v>
      </c>
      <c r="AA5474">
        <v>198</v>
      </c>
      <c r="AB5474">
        <v>332</v>
      </c>
      <c r="AC5474">
        <v>536</v>
      </c>
      <c r="AD5474">
        <v>0</v>
      </c>
      <c r="AE5474">
        <v>542</v>
      </c>
      <c r="AF5474">
        <v>0</v>
      </c>
      <c r="AG5474">
        <v>0</v>
      </c>
      <c r="AH5474">
        <v>129</v>
      </c>
      <c r="AI5474">
        <v>0</v>
      </c>
      <c r="AJ5474">
        <v>0</v>
      </c>
      <c r="AK5474">
        <v>23.8</v>
      </c>
      <c r="AL5474">
        <v>-20.13789079999998</v>
      </c>
      <c r="AM5474">
        <v>-44.90548593520333</v>
      </c>
      <c r="AN5474">
        <v>-20.13789079999998</v>
      </c>
      <c r="AO5474">
        <v>-44.90548593520333</v>
      </c>
      <c r="AP5474">
        <v>-20.137919</v>
      </c>
      <c r="AQ5474">
        <v>-44.905591000000001</v>
      </c>
      <c r="AR5474">
        <v>11.42072348298178</v>
      </c>
      <c r="AS5474" t="s">
        <v>65</v>
      </c>
      <c r="AT5474">
        <v>1</v>
      </c>
      <c r="AU5474" t="s">
        <v>465</v>
      </c>
      <c r="AV5474" t="s">
        <v>466</v>
      </c>
      <c r="AW5474" t="s">
        <v>60</v>
      </c>
      <c r="AX5474" t="s">
        <v>68</v>
      </c>
      <c r="AY5474" t="s">
        <v>69</v>
      </c>
      <c r="AZ5474" t="b">
        <v>1</v>
      </c>
    </row>
    <row r="5475" spans="1:52" x14ac:dyDescent="0.3">
      <c r="A5475" t="s">
        <v>52</v>
      </c>
      <c r="B5475" t="s">
        <v>53</v>
      </c>
      <c r="C5475" t="s">
        <v>54</v>
      </c>
      <c r="D5475" t="s">
        <v>55</v>
      </c>
      <c r="E5475" t="s">
        <v>2279</v>
      </c>
      <c r="F5475" t="s">
        <v>1247</v>
      </c>
      <c r="G5475" t="s">
        <v>1342</v>
      </c>
      <c r="H5475" t="s">
        <v>1343</v>
      </c>
      <c r="I5475" t="s">
        <v>1343</v>
      </c>
      <c r="J5475" t="s">
        <v>60</v>
      </c>
      <c r="K5475" t="s">
        <v>462</v>
      </c>
      <c r="L5475" t="s">
        <v>62</v>
      </c>
      <c r="M5475" t="s">
        <v>462</v>
      </c>
      <c r="N5475" t="s">
        <v>921</v>
      </c>
      <c r="O5475" t="s">
        <v>1344</v>
      </c>
      <c r="P5475">
        <v>-20.137526000000001</v>
      </c>
      <c r="Q5475">
        <v>-44.912452999999999</v>
      </c>
      <c r="R5475" s="2" t="str">
        <f>HYPERLINK("https://www.google.com/maps?q=-20.1375260,-44.9124530","Abrir no Google Maps")</f>
        <v>Abrir no Google Maps</v>
      </c>
      <c r="S5475">
        <v>3</v>
      </c>
      <c r="T5475">
        <v>446.95091416730708</v>
      </c>
      <c r="U5475">
        <v>1</v>
      </c>
      <c r="V5475">
        <v>0</v>
      </c>
      <c r="W5475">
        <v>0.85</v>
      </c>
      <c r="X5475">
        <v>0</v>
      </c>
      <c r="Y5475">
        <v>581</v>
      </c>
      <c r="Z5475">
        <v>507.4747778269288</v>
      </c>
      <c r="AA5475">
        <v>198</v>
      </c>
      <c r="AB5475">
        <v>332</v>
      </c>
      <c r="AC5475">
        <v>536</v>
      </c>
      <c r="AD5475">
        <v>0</v>
      </c>
      <c r="AE5475">
        <v>542</v>
      </c>
      <c r="AF5475">
        <v>0</v>
      </c>
      <c r="AG5475">
        <v>0</v>
      </c>
      <c r="AH5475">
        <v>129</v>
      </c>
      <c r="AI5475">
        <v>0</v>
      </c>
      <c r="AJ5475">
        <v>0</v>
      </c>
      <c r="AK5475">
        <v>23.8</v>
      </c>
      <c r="AL5475">
        <v>-20.136672649999959</v>
      </c>
      <c r="AM5475">
        <v>-44.911825104396357</v>
      </c>
      <c r="AN5475">
        <v>-20.136672649999959</v>
      </c>
      <c r="AO5475">
        <v>-44.911825104396357</v>
      </c>
      <c r="AP5475">
        <v>-20.137526000000001</v>
      </c>
      <c r="AQ5475">
        <v>-44.912452999999999</v>
      </c>
      <c r="AR5475">
        <v>115.45843265992529</v>
      </c>
      <c r="AS5475" t="s">
        <v>65</v>
      </c>
      <c r="AT5475">
        <v>1</v>
      </c>
      <c r="AU5475" t="s">
        <v>1345</v>
      </c>
      <c r="AV5475" t="s">
        <v>1346</v>
      </c>
      <c r="AW5475" t="s">
        <v>60</v>
      </c>
      <c r="AX5475" t="s">
        <v>68</v>
      </c>
      <c r="AY5475" t="s">
        <v>69</v>
      </c>
      <c r="AZ5475" t="b">
        <v>1</v>
      </c>
    </row>
    <row r="5476" spans="1:52" x14ac:dyDescent="0.3">
      <c r="A5476" t="s">
        <v>52</v>
      </c>
      <c r="B5476" t="s">
        <v>53</v>
      </c>
      <c r="C5476" t="s">
        <v>54</v>
      </c>
      <c r="D5476" t="s">
        <v>55</v>
      </c>
      <c r="E5476" t="s">
        <v>2279</v>
      </c>
      <c r="F5476" t="s">
        <v>1247</v>
      </c>
      <c r="G5476" t="s">
        <v>1347</v>
      </c>
      <c r="H5476" t="s">
        <v>1348</v>
      </c>
      <c r="I5476" t="s">
        <v>1348</v>
      </c>
      <c r="J5476" t="s">
        <v>60</v>
      </c>
      <c r="K5476" t="s">
        <v>1349</v>
      </c>
      <c r="L5476" t="s">
        <v>62</v>
      </c>
      <c r="M5476" t="s">
        <v>1349</v>
      </c>
      <c r="N5476" t="s">
        <v>1350</v>
      </c>
      <c r="O5476" t="s">
        <v>1351</v>
      </c>
      <c r="P5476">
        <v>-20.140426999999999</v>
      </c>
      <c r="Q5476">
        <v>-44.905327999999997</v>
      </c>
      <c r="R5476" s="2" t="str">
        <f>HYPERLINK("https://www.google.com/maps?q=-20.1404270,-44.9053280","Abrir no Google Maps")</f>
        <v>Abrir no Google Maps</v>
      </c>
      <c r="S5476">
        <v>3</v>
      </c>
      <c r="T5476">
        <v>359.5810968231857</v>
      </c>
      <c r="U5476">
        <v>1</v>
      </c>
      <c r="V5476">
        <v>0</v>
      </c>
      <c r="W5476">
        <v>0.85</v>
      </c>
      <c r="X5476">
        <v>0</v>
      </c>
      <c r="Y5476">
        <v>581</v>
      </c>
      <c r="Z5476">
        <v>292.370097058873</v>
      </c>
      <c r="AA5476">
        <v>198</v>
      </c>
      <c r="AB5476">
        <v>332</v>
      </c>
      <c r="AC5476">
        <v>536</v>
      </c>
      <c r="AD5476">
        <v>0</v>
      </c>
      <c r="AE5476">
        <v>542</v>
      </c>
      <c r="AF5476">
        <v>0</v>
      </c>
      <c r="AG5476">
        <v>0</v>
      </c>
      <c r="AH5476">
        <v>129</v>
      </c>
      <c r="AI5476">
        <v>0</v>
      </c>
      <c r="AJ5476">
        <v>0</v>
      </c>
      <c r="AK5476">
        <v>23.8</v>
      </c>
      <c r="AL5476">
        <v>-20.140465449999969</v>
      </c>
      <c r="AM5476">
        <v>-44.905317129037229</v>
      </c>
      <c r="AN5476">
        <v>-20.140465449999969</v>
      </c>
      <c r="AO5476">
        <v>-44.905317129037229</v>
      </c>
      <c r="AP5476">
        <v>-20.140426999999999</v>
      </c>
      <c r="AQ5476">
        <v>-44.905327999999997</v>
      </c>
      <c r="AR5476">
        <v>4.4284788644958706</v>
      </c>
      <c r="AS5476" t="s">
        <v>65</v>
      </c>
      <c r="AT5476">
        <v>1</v>
      </c>
      <c r="AU5476" t="s">
        <v>1352</v>
      </c>
      <c r="AV5476" t="s">
        <v>1353</v>
      </c>
      <c r="AW5476" t="s">
        <v>60</v>
      </c>
      <c r="AX5476" t="s">
        <v>68</v>
      </c>
      <c r="AY5476" t="s">
        <v>69</v>
      </c>
      <c r="AZ5476" t="b">
        <v>1</v>
      </c>
    </row>
    <row r="5477" spans="1:52" x14ac:dyDescent="0.3">
      <c r="A5477" t="s">
        <v>52</v>
      </c>
      <c r="B5477" t="s">
        <v>53</v>
      </c>
      <c r="C5477" t="s">
        <v>54</v>
      </c>
      <c r="D5477" t="s">
        <v>55</v>
      </c>
      <c r="E5477" t="s">
        <v>2279</v>
      </c>
      <c r="F5477" t="s">
        <v>1247</v>
      </c>
      <c r="G5477" t="s">
        <v>467</v>
      </c>
      <c r="H5477" t="s">
        <v>468</v>
      </c>
      <c r="I5477" t="s">
        <v>468</v>
      </c>
      <c r="J5477" t="s">
        <v>60</v>
      </c>
      <c r="K5477" t="s">
        <v>462</v>
      </c>
      <c r="L5477" t="s">
        <v>62</v>
      </c>
      <c r="M5477" t="s">
        <v>462</v>
      </c>
      <c r="N5477" t="s">
        <v>469</v>
      </c>
      <c r="O5477" t="s">
        <v>470</v>
      </c>
      <c r="P5477">
        <v>-20.138233</v>
      </c>
      <c r="Q5477">
        <v>-44.908200000000001</v>
      </c>
      <c r="R5477" s="2" t="str">
        <f>HYPERLINK("https://www.google.com/maps?q=-20.1382330,-44.9082000","Abrir no Google Maps")</f>
        <v>Abrir no Google Maps</v>
      </c>
      <c r="S5477">
        <v>3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581</v>
      </c>
      <c r="Z5477">
        <v>153.18688302958171</v>
      </c>
      <c r="AA5477">
        <v>198</v>
      </c>
      <c r="AB5477">
        <v>332</v>
      </c>
      <c r="AC5477">
        <v>536</v>
      </c>
      <c r="AD5477">
        <v>0</v>
      </c>
      <c r="AE5477">
        <v>542</v>
      </c>
      <c r="AF5477">
        <v>0</v>
      </c>
      <c r="AG5477">
        <v>0</v>
      </c>
      <c r="AH5477">
        <v>129</v>
      </c>
      <c r="AI5477">
        <v>0</v>
      </c>
      <c r="AJ5477">
        <v>0</v>
      </c>
      <c r="AK5477">
        <v>23.8</v>
      </c>
      <c r="AL5477">
        <v>-20.138364899999971</v>
      </c>
      <c r="AM5477">
        <v>-44.907942114873997</v>
      </c>
      <c r="AN5477">
        <v>-20.138364899999971</v>
      </c>
      <c r="AO5477">
        <v>-44.907942114873997</v>
      </c>
      <c r="AP5477">
        <v>-20.138233</v>
      </c>
      <c r="AQ5477">
        <v>-44.908200000000001</v>
      </c>
      <c r="AR5477">
        <v>30.692690617986941</v>
      </c>
      <c r="AS5477" t="s">
        <v>65</v>
      </c>
      <c r="AT5477">
        <v>1</v>
      </c>
      <c r="AU5477" t="s">
        <v>471</v>
      </c>
      <c r="AV5477" t="s">
        <v>472</v>
      </c>
      <c r="AW5477" t="s">
        <v>60</v>
      </c>
      <c r="AX5477" t="s">
        <v>68</v>
      </c>
      <c r="AY5477" t="s">
        <v>69</v>
      </c>
      <c r="AZ5477" t="b">
        <v>1</v>
      </c>
    </row>
    <row r="5478" spans="1:52" x14ac:dyDescent="0.3">
      <c r="A5478" t="s">
        <v>52</v>
      </c>
      <c r="B5478" t="s">
        <v>53</v>
      </c>
      <c r="C5478" t="s">
        <v>54</v>
      </c>
      <c r="D5478" t="s">
        <v>55</v>
      </c>
      <c r="E5478" t="s">
        <v>2279</v>
      </c>
      <c r="F5478" t="s">
        <v>1247</v>
      </c>
      <c r="G5478" t="s">
        <v>851</v>
      </c>
      <c r="H5478" t="s">
        <v>852</v>
      </c>
      <c r="I5478" t="s">
        <v>852</v>
      </c>
      <c r="J5478" t="s">
        <v>60</v>
      </c>
      <c r="K5478" t="s">
        <v>853</v>
      </c>
      <c r="L5478" t="s">
        <v>62</v>
      </c>
      <c r="M5478" t="s">
        <v>853</v>
      </c>
      <c r="N5478" t="s">
        <v>854</v>
      </c>
      <c r="O5478" t="s">
        <v>855</v>
      </c>
      <c r="P5478">
        <v>-20.127835000000001</v>
      </c>
      <c r="Q5478">
        <v>-44.909329</v>
      </c>
      <c r="R5478" s="2" t="str">
        <f>HYPERLINK("https://www.google.com/maps?q=-20.1278350,-44.9093290","Abrir no Google Maps")</f>
        <v>Abrir no Google Maps</v>
      </c>
      <c r="S5478">
        <v>3</v>
      </c>
      <c r="T5478">
        <v>1173.033690896357</v>
      </c>
      <c r="U5478">
        <v>1</v>
      </c>
      <c r="V5478">
        <v>0</v>
      </c>
      <c r="W5478">
        <v>1</v>
      </c>
      <c r="X5478">
        <v>0</v>
      </c>
      <c r="Y5478">
        <v>581</v>
      </c>
      <c r="Z5478">
        <v>1296.5011565926129</v>
      </c>
      <c r="AA5478">
        <v>198</v>
      </c>
      <c r="AB5478">
        <v>332</v>
      </c>
      <c r="AC5478">
        <v>536</v>
      </c>
      <c r="AD5478">
        <v>0</v>
      </c>
      <c r="AE5478">
        <v>542</v>
      </c>
      <c r="AF5478">
        <v>0</v>
      </c>
      <c r="AG5478">
        <v>0</v>
      </c>
      <c r="AH5478">
        <v>129</v>
      </c>
      <c r="AI5478">
        <v>0</v>
      </c>
      <c r="AJ5478">
        <v>0</v>
      </c>
      <c r="AK5478">
        <v>23.8</v>
      </c>
      <c r="AL5478">
        <v>-20.127852899999969</v>
      </c>
      <c r="AM5478">
        <v>-44.909386667699948</v>
      </c>
      <c r="AN5478">
        <v>-20.127852899999969</v>
      </c>
      <c r="AO5478">
        <v>-44.909386667699948</v>
      </c>
      <c r="AP5478">
        <v>-20.127835000000001</v>
      </c>
      <c r="AQ5478">
        <v>-44.909329</v>
      </c>
      <c r="AR5478">
        <v>6.3483385067119924</v>
      </c>
      <c r="AS5478" t="s">
        <v>65</v>
      </c>
      <c r="AT5478">
        <v>1</v>
      </c>
      <c r="AU5478" t="s">
        <v>856</v>
      </c>
      <c r="AV5478" t="s">
        <v>857</v>
      </c>
      <c r="AW5478" t="s">
        <v>60</v>
      </c>
      <c r="AX5478" t="s">
        <v>68</v>
      </c>
      <c r="AY5478" t="s">
        <v>69</v>
      </c>
      <c r="AZ5478" t="b">
        <v>1</v>
      </c>
    </row>
    <row r="5479" spans="1:52" x14ac:dyDescent="0.3">
      <c r="A5479" t="s">
        <v>52</v>
      </c>
      <c r="B5479" t="s">
        <v>53</v>
      </c>
      <c r="C5479" t="s">
        <v>54</v>
      </c>
      <c r="D5479" t="s">
        <v>55</v>
      </c>
      <c r="E5479" t="s">
        <v>2279</v>
      </c>
      <c r="F5479" t="s">
        <v>1247</v>
      </c>
      <c r="G5479" t="s">
        <v>1354</v>
      </c>
      <c r="H5479" t="s">
        <v>1355</v>
      </c>
      <c r="I5479" t="s">
        <v>1355</v>
      </c>
      <c r="J5479" t="s">
        <v>60</v>
      </c>
      <c r="K5479" t="s">
        <v>1356</v>
      </c>
      <c r="L5479" t="s">
        <v>62</v>
      </c>
      <c r="M5479" t="s">
        <v>1356</v>
      </c>
      <c r="N5479" t="s">
        <v>1357</v>
      </c>
      <c r="O5479" t="s">
        <v>315</v>
      </c>
      <c r="P5479">
        <v>-20.132080999999999</v>
      </c>
      <c r="Q5479">
        <v>-44.908614</v>
      </c>
      <c r="R5479" s="2" t="str">
        <f>HYPERLINK("https://www.google.com/maps?q=-20.1320810,-44.9086140","Abrir no Google Maps")</f>
        <v>Abrir no Google Maps</v>
      </c>
      <c r="S5479">
        <v>3</v>
      </c>
      <c r="T5479">
        <v>701.02570959373259</v>
      </c>
      <c r="U5479">
        <v>1</v>
      </c>
      <c r="V5479">
        <v>0</v>
      </c>
      <c r="W5479">
        <v>0.85</v>
      </c>
      <c r="X5479">
        <v>0</v>
      </c>
      <c r="Y5479">
        <v>581</v>
      </c>
      <c r="Z5479">
        <v>811.38061352229215</v>
      </c>
      <c r="AA5479">
        <v>198</v>
      </c>
      <c r="AB5479">
        <v>332</v>
      </c>
      <c r="AC5479">
        <v>536</v>
      </c>
      <c r="AD5479">
        <v>0</v>
      </c>
      <c r="AE5479">
        <v>542</v>
      </c>
      <c r="AF5479">
        <v>0</v>
      </c>
      <c r="AG5479">
        <v>0</v>
      </c>
      <c r="AH5479">
        <v>129</v>
      </c>
      <c r="AI5479">
        <v>0</v>
      </c>
      <c r="AJ5479">
        <v>0</v>
      </c>
      <c r="AK5479">
        <v>23.8</v>
      </c>
      <c r="AL5479">
        <v>-20.132063499999951</v>
      </c>
      <c r="AM5479">
        <v>-44.908630454878519</v>
      </c>
      <c r="AN5479">
        <v>-20.132063499999951</v>
      </c>
      <c r="AO5479">
        <v>-44.908630454878519</v>
      </c>
      <c r="AP5479">
        <v>-20.132080999999999</v>
      </c>
      <c r="AQ5479">
        <v>-44.908614</v>
      </c>
      <c r="AR5479">
        <v>2.5986425761911551</v>
      </c>
      <c r="AS5479" t="s">
        <v>65</v>
      </c>
      <c r="AT5479">
        <v>1</v>
      </c>
      <c r="AU5479" t="s">
        <v>1358</v>
      </c>
      <c r="AV5479" t="s">
        <v>1359</v>
      </c>
      <c r="AW5479" t="s">
        <v>60</v>
      </c>
      <c r="AX5479" t="s">
        <v>68</v>
      </c>
      <c r="AY5479" t="s">
        <v>69</v>
      </c>
      <c r="AZ5479" t="b">
        <v>1</v>
      </c>
    </row>
    <row r="5480" spans="1:52" x14ac:dyDescent="0.3">
      <c r="A5480" t="s">
        <v>52</v>
      </c>
      <c r="B5480" t="s">
        <v>53</v>
      </c>
      <c r="C5480" t="s">
        <v>54</v>
      </c>
      <c r="D5480" t="s">
        <v>55</v>
      </c>
      <c r="E5480" t="s">
        <v>2279</v>
      </c>
      <c r="F5480" t="s">
        <v>1247</v>
      </c>
      <c r="G5480" t="s">
        <v>858</v>
      </c>
      <c r="H5480" t="s">
        <v>1360</v>
      </c>
      <c r="I5480" t="s">
        <v>1360</v>
      </c>
      <c r="J5480" t="s">
        <v>60</v>
      </c>
      <c r="K5480" t="s">
        <v>1356</v>
      </c>
      <c r="L5480" t="s">
        <v>62</v>
      </c>
      <c r="M5480" t="s">
        <v>1356</v>
      </c>
      <c r="N5480" t="s">
        <v>860</v>
      </c>
      <c r="O5480" t="s">
        <v>1361</v>
      </c>
      <c r="P5480">
        <v>-20.134969000000002</v>
      </c>
      <c r="Q5480">
        <v>-44.909384000000003</v>
      </c>
      <c r="R5480" s="2" t="str">
        <f>HYPERLINK("https://www.google.com/maps?q=-20.1349690,-44.9093840","Abrir no Google Maps")</f>
        <v>Abrir no Google Maps</v>
      </c>
      <c r="S5480">
        <v>3</v>
      </c>
      <c r="T5480">
        <v>413.6655911675532</v>
      </c>
      <c r="U5480">
        <v>1</v>
      </c>
      <c r="V5480">
        <v>0</v>
      </c>
      <c r="W5480">
        <v>0.85</v>
      </c>
      <c r="X5480">
        <v>0</v>
      </c>
      <c r="Y5480">
        <v>581</v>
      </c>
      <c r="Z5480">
        <v>555.30228470489919</v>
      </c>
      <c r="AA5480">
        <v>198</v>
      </c>
      <c r="AB5480">
        <v>332</v>
      </c>
      <c r="AC5480">
        <v>536</v>
      </c>
      <c r="AD5480">
        <v>0</v>
      </c>
      <c r="AE5480">
        <v>542</v>
      </c>
      <c r="AF5480">
        <v>0</v>
      </c>
      <c r="AG5480">
        <v>0</v>
      </c>
      <c r="AH5480">
        <v>129</v>
      </c>
      <c r="AI5480">
        <v>0</v>
      </c>
      <c r="AJ5480">
        <v>0</v>
      </c>
      <c r="AK5480">
        <v>23.8</v>
      </c>
      <c r="AL5480">
        <v>-20.134922099999951</v>
      </c>
      <c r="AM5480">
        <v>-44.909483975879112</v>
      </c>
      <c r="AN5480">
        <v>-20.134922099999951</v>
      </c>
      <c r="AO5480">
        <v>-44.909483975879112</v>
      </c>
      <c r="AP5480">
        <v>-20.134969000000002</v>
      </c>
      <c r="AQ5480">
        <v>-44.909384000000003</v>
      </c>
      <c r="AR5480">
        <v>11.68085867639515</v>
      </c>
      <c r="AS5480" t="s">
        <v>65</v>
      </c>
      <c r="AT5480">
        <v>1</v>
      </c>
      <c r="AU5480" t="s">
        <v>1362</v>
      </c>
      <c r="AV5480" t="s">
        <v>1363</v>
      </c>
      <c r="AW5480" t="s">
        <v>60</v>
      </c>
      <c r="AX5480" t="s">
        <v>68</v>
      </c>
      <c r="AY5480" t="s">
        <v>69</v>
      </c>
      <c r="AZ5480" t="b">
        <v>1</v>
      </c>
    </row>
    <row r="5481" spans="1:52" x14ac:dyDescent="0.3">
      <c r="A5481" t="s">
        <v>52</v>
      </c>
      <c r="B5481" t="s">
        <v>53</v>
      </c>
      <c r="C5481" t="s">
        <v>54</v>
      </c>
      <c r="D5481" t="s">
        <v>55</v>
      </c>
      <c r="E5481" t="s">
        <v>2279</v>
      </c>
      <c r="F5481" t="s">
        <v>1247</v>
      </c>
      <c r="G5481" t="s">
        <v>1364</v>
      </c>
      <c r="H5481" t="s">
        <v>1365</v>
      </c>
      <c r="I5481" t="s">
        <v>1365</v>
      </c>
      <c r="J5481" t="s">
        <v>60</v>
      </c>
      <c r="K5481" t="s">
        <v>1356</v>
      </c>
      <c r="L5481" t="s">
        <v>62</v>
      </c>
      <c r="M5481" t="s">
        <v>1356</v>
      </c>
      <c r="N5481" t="s">
        <v>1366</v>
      </c>
      <c r="O5481" t="s">
        <v>548</v>
      </c>
      <c r="P5481">
        <v>-20.131240999999999</v>
      </c>
      <c r="Q5481">
        <v>-44.910567999999998</v>
      </c>
      <c r="R5481" s="2" t="str">
        <f>HYPERLINK("https://www.google.com/maps?q=-20.1312410,-44.9105680","Abrir no Google Maps")</f>
        <v>Abrir no Google Maps</v>
      </c>
      <c r="S5481">
        <v>3</v>
      </c>
      <c r="T5481">
        <v>822.61354861726704</v>
      </c>
      <c r="U5481">
        <v>1</v>
      </c>
      <c r="V5481">
        <v>0</v>
      </c>
      <c r="W5481">
        <v>0.85</v>
      </c>
      <c r="X5481">
        <v>0</v>
      </c>
      <c r="Y5481">
        <v>581</v>
      </c>
      <c r="Z5481">
        <v>982.3990834787046</v>
      </c>
      <c r="AA5481">
        <v>198</v>
      </c>
      <c r="AB5481">
        <v>332</v>
      </c>
      <c r="AC5481">
        <v>536</v>
      </c>
      <c r="AD5481">
        <v>0</v>
      </c>
      <c r="AE5481">
        <v>542</v>
      </c>
      <c r="AF5481">
        <v>0</v>
      </c>
      <c r="AG5481">
        <v>0</v>
      </c>
      <c r="AH5481">
        <v>129</v>
      </c>
      <c r="AI5481">
        <v>0</v>
      </c>
      <c r="AJ5481">
        <v>0</v>
      </c>
      <c r="AK5481">
        <v>23.8</v>
      </c>
      <c r="AL5481">
        <v>-20.131367099999981</v>
      </c>
      <c r="AM5481">
        <v>-44.910597350758543</v>
      </c>
      <c r="AN5481">
        <v>-20.131367099999981</v>
      </c>
      <c r="AO5481">
        <v>-44.910597350758543</v>
      </c>
      <c r="AP5481">
        <v>-20.131240999999999</v>
      </c>
      <c r="AQ5481">
        <v>-44.910567999999998</v>
      </c>
      <c r="AR5481">
        <v>14.36874794070623</v>
      </c>
      <c r="AS5481" t="s">
        <v>65</v>
      </c>
      <c r="AT5481">
        <v>1</v>
      </c>
      <c r="AU5481" t="s">
        <v>1367</v>
      </c>
      <c r="AV5481" t="s">
        <v>1368</v>
      </c>
      <c r="AW5481" t="s">
        <v>60</v>
      </c>
      <c r="AX5481" t="s">
        <v>68</v>
      </c>
      <c r="AY5481" t="s">
        <v>69</v>
      </c>
      <c r="AZ5481" t="b">
        <v>1</v>
      </c>
    </row>
    <row r="5482" spans="1:52" x14ac:dyDescent="0.3">
      <c r="A5482" t="s">
        <v>52</v>
      </c>
      <c r="B5482" t="s">
        <v>53</v>
      </c>
      <c r="C5482" t="s">
        <v>54</v>
      </c>
      <c r="D5482" t="s">
        <v>55</v>
      </c>
      <c r="E5482" t="s">
        <v>2279</v>
      </c>
      <c r="F5482" t="s">
        <v>1247</v>
      </c>
      <c r="G5482" t="s">
        <v>1364</v>
      </c>
      <c r="H5482" t="s">
        <v>1369</v>
      </c>
      <c r="I5482" t="s">
        <v>1369</v>
      </c>
      <c r="J5482" t="s">
        <v>60</v>
      </c>
      <c r="K5482" t="s">
        <v>1370</v>
      </c>
      <c r="L5482" t="s">
        <v>62</v>
      </c>
      <c r="M5482" t="s">
        <v>1370</v>
      </c>
      <c r="N5482" t="s">
        <v>1366</v>
      </c>
      <c r="O5482" t="s">
        <v>989</v>
      </c>
      <c r="P5482">
        <v>-20.141185</v>
      </c>
      <c r="Q5482">
        <v>-44.914200999999998</v>
      </c>
      <c r="R5482" s="2" t="str">
        <f>HYPERLINK("https://www.google.com/maps?q=-20.1411850,-44.9142010","Abrir no Google Maps")</f>
        <v>Abrir no Google Maps</v>
      </c>
      <c r="S5482">
        <v>3</v>
      </c>
      <c r="T5482">
        <v>512.52588459346453</v>
      </c>
      <c r="U5482">
        <v>1</v>
      </c>
      <c r="V5482">
        <v>0</v>
      </c>
      <c r="W5482">
        <v>0.85</v>
      </c>
      <c r="X5482">
        <v>0</v>
      </c>
      <c r="Y5482">
        <v>581</v>
      </c>
      <c r="Z5482">
        <v>473.10673043319349</v>
      </c>
      <c r="AA5482">
        <v>198</v>
      </c>
      <c r="AB5482">
        <v>332</v>
      </c>
      <c r="AC5482">
        <v>536</v>
      </c>
      <c r="AD5482">
        <v>0</v>
      </c>
      <c r="AE5482">
        <v>542</v>
      </c>
      <c r="AF5482">
        <v>0</v>
      </c>
      <c r="AG5482">
        <v>0</v>
      </c>
      <c r="AH5482">
        <v>129</v>
      </c>
      <c r="AI5482">
        <v>0</v>
      </c>
      <c r="AJ5482">
        <v>0</v>
      </c>
      <c r="AK5482">
        <v>23.8</v>
      </c>
      <c r="AL5482">
        <v>-20.14133909999995</v>
      </c>
      <c r="AM5482">
        <v>-44.913910219286038</v>
      </c>
      <c r="AN5482">
        <v>-20.14133909999995</v>
      </c>
      <c r="AO5482">
        <v>-44.913910219286038</v>
      </c>
      <c r="AP5482">
        <v>-20.141185</v>
      </c>
      <c r="AQ5482">
        <v>-44.914200999999998</v>
      </c>
      <c r="AR5482">
        <v>34.897514361429593</v>
      </c>
      <c r="AS5482" t="s">
        <v>65</v>
      </c>
      <c r="AT5482">
        <v>1</v>
      </c>
      <c r="AU5482" t="s">
        <v>1371</v>
      </c>
      <c r="AV5482" t="s">
        <v>863</v>
      </c>
      <c r="AW5482" t="s">
        <v>60</v>
      </c>
      <c r="AX5482" t="s">
        <v>68</v>
      </c>
      <c r="AY5482" t="s">
        <v>69</v>
      </c>
      <c r="AZ5482" t="b">
        <v>1</v>
      </c>
    </row>
    <row r="5483" spans="1:52" x14ac:dyDescent="0.3">
      <c r="A5483" t="s">
        <v>52</v>
      </c>
      <c r="B5483" t="s">
        <v>53</v>
      </c>
      <c r="C5483" t="s">
        <v>54</v>
      </c>
      <c r="D5483" t="s">
        <v>55</v>
      </c>
      <c r="E5483" t="s">
        <v>2279</v>
      </c>
      <c r="F5483" t="s">
        <v>1247</v>
      </c>
      <c r="G5483" t="s">
        <v>858</v>
      </c>
      <c r="H5483" t="s">
        <v>859</v>
      </c>
      <c r="I5483" t="s">
        <v>859</v>
      </c>
      <c r="J5483" t="s">
        <v>60</v>
      </c>
      <c r="K5483" t="s">
        <v>462</v>
      </c>
      <c r="L5483" t="s">
        <v>62</v>
      </c>
      <c r="M5483" t="s">
        <v>462</v>
      </c>
      <c r="N5483" t="s">
        <v>860</v>
      </c>
      <c r="O5483" t="s">
        <v>861</v>
      </c>
      <c r="P5483">
        <v>-20.139693999999999</v>
      </c>
      <c r="Q5483">
        <v>-44.911256000000002</v>
      </c>
      <c r="R5483" s="2" t="str">
        <f>HYPERLINK("https://www.google.com/maps?q=-20.1396940,-44.9112560","Abrir no Google Maps")</f>
        <v>Abrir no Google Maps</v>
      </c>
      <c r="S5483">
        <v>3</v>
      </c>
      <c r="T5483">
        <v>380.48036838042862</v>
      </c>
      <c r="U5483">
        <v>1</v>
      </c>
      <c r="V5483">
        <v>0</v>
      </c>
      <c r="W5483">
        <v>0.85</v>
      </c>
      <c r="X5483">
        <v>0</v>
      </c>
      <c r="Y5483">
        <v>581</v>
      </c>
      <c r="Z5483">
        <v>374.61146000000178</v>
      </c>
      <c r="AA5483">
        <v>198</v>
      </c>
      <c r="AB5483">
        <v>332</v>
      </c>
      <c r="AC5483">
        <v>536</v>
      </c>
      <c r="AD5483">
        <v>0</v>
      </c>
      <c r="AE5483">
        <v>542</v>
      </c>
      <c r="AF5483">
        <v>0</v>
      </c>
      <c r="AG5483">
        <v>0</v>
      </c>
      <c r="AH5483">
        <v>129</v>
      </c>
      <c r="AI5483">
        <v>0</v>
      </c>
      <c r="AJ5483">
        <v>0</v>
      </c>
      <c r="AK5483">
        <v>23.8</v>
      </c>
      <c r="AL5483">
        <v>-20.139768699999959</v>
      </c>
      <c r="AM5483">
        <v>-44.911265351587588</v>
      </c>
      <c r="AN5483">
        <v>-20.139768699999959</v>
      </c>
      <c r="AO5483">
        <v>-44.911265351587588</v>
      </c>
      <c r="AP5483">
        <v>-20.139693999999999</v>
      </c>
      <c r="AQ5483">
        <v>-44.911256000000002</v>
      </c>
      <c r="AR5483">
        <v>8.3728438666521061</v>
      </c>
      <c r="AS5483" t="s">
        <v>65</v>
      </c>
      <c r="AT5483">
        <v>1</v>
      </c>
      <c r="AU5483" t="s">
        <v>862</v>
      </c>
      <c r="AV5483" t="s">
        <v>863</v>
      </c>
      <c r="AW5483" t="s">
        <v>60</v>
      </c>
      <c r="AX5483" t="s">
        <v>68</v>
      </c>
      <c r="AY5483" t="s">
        <v>69</v>
      </c>
      <c r="AZ5483" t="b">
        <v>1</v>
      </c>
    </row>
    <row r="5484" spans="1:52" x14ac:dyDescent="0.3">
      <c r="A5484" t="s">
        <v>52</v>
      </c>
      <c r="B5484" t="s">
        <v>53</v>
      </c>
      <c r="C5484" t="s">
        <v>54</v>
      </c>
      <c r="D5484" t="s">
        <v>55</v>
      </c>
      <c r="E5484" t="s">
        <v>2279</v>
      </c>
      <c r="F5484" t="s">
        <v>1247</v>
      </c>
      <c r="G5484" t="s">
        <v>864</v>
      </c>
      <c r="H5484" t="s">
        <v>865</v>
      </c>
      <c r="I5484" t="s">
        <v>865</v>
      </c>
      <c r="J5484" t="s">
        <v>60</v>
      </c>
      <c r="K5484" t="s">
        <v>486</v>
      </c>
      <c r="L5484" t="s">
        <v>62</v>
      </c>
      <c r="M5484" t="s">
        <v>486</v>
      </c>
      <c r="N5484" t="s">
        <v>866</v>
      </c>
      <c r="O5484" t="s">
        <v>867</v>
      </c>
      <c r="P5484">
        <v>-20.170919000000001</v>
      </c>
      <c r="Q5484">
        <v>-44.905451999999997</v>
      </c>
      <c r="R5484" s="2" t="str">
        <f>HYPERLINK("https://www.google.com/maps?q=-20.1709190,-44.9054520","Abrir no Google Maps")</f>
        <v>Abrir no Google Maps</v>
      </c>
      <c r="S5484">
        <v>3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578</v>
      </c>
      <c r="Z5484">
        <v>205.34598855748419</v>
      </c>
      <c r="AA5484">
        <v>198</v>
      </c>
      <c r="AB5484">
        <v>332</v>
      </c>
      <c r="AC5484">
        <v>536</v>
      </c>
      <c r="AD5484">
        <v>0</v>
      </c>
      <c r="AE5484">
        <v>542</v>
      </c>
      <c r="AF5484">
        <v>0</v>
      </c>
      <c r="AG5484">
        <v>0</v>
      </c>
      <c r="AH5484">
        <v>129</v>
      </c>
      <c r="AI5484">
        <v>0</v>
      </c>
      <c r="AJ5484">
        <v>0</v>
      </c>
      <c r="AK5484">
        <v>23.8</v>
      </c>
      <c r="AL5484">
        <v>-20.170854399999939</v>
      </c>
      <c r="AM5484">
        <v>-44.905524839633358</v>
      </c>
      <c r="AN5484">
        <v>-20.170854399999939</v>
      </c>
      <c r="AO5484">
        <v>-44.905524839633358</v>
      </c>
      <c r="AP5484">
        <v>-20.170919000000001</v>
      </c>
      <c r="AQ5484">
        <v>-44.905451999999997</v>
      </c>
      <c r="AR5484">
        <v>10.471140355179269</v>
      </c>
      <c r="AS5484" t="s">
        <v>65</v>
      </c>
      <c r="AT5484">
        <v>1</v>
      </c>
      <c r="AU5484" t="s">
        <v>868</v>
      </c>
      <c r="AV5484" t="s">
        <v>869</v>
      </c>
      <c r="AW5484" t="s">
        <v>60</v>
      </c>
      <c r="AX5484" t="s">
        <v>68</v>
      </c>
      <c r="AY5484" t="s">
        <v>69</v>
      </c>
      <c r="AZ5484" t="b">
        <v>1</v>
      </c>
    </row>
    <row r="5485" spans="1:52" x14ac:dyDescent="0.3">
      <c r="A5485" t="s">
        <v>52</v>
      </c>
      <c r="B5485" t="s">
        <v>53</v>
      </c>
      <c r="C5485" t="s">
        <v>54</v>
      </c>
      <c r="D5485" t="s">
        <v>55</v>
      </c>
      <c r="E5485" t="s">
        <v>2279</v>
      </c>
      <c r="F5485" t="s">
        <v>1247</v>
      </c>
      <c r="G5485" t="s">
        <v>1300</v>
      </c>
      <c r="H5485" t="s">
        <v>1372</v>
      </c>
      <c r="I5485" t="s">
        <v>1372</v>
      </c>
      <c r="J5485" t="s">
        <v>60</v>
      </c>
      <c r="K5485" t="s">
        <v>486</v>
      </c>
      <c r="L5485" t="s">
        <v>62</v>
      </c>
      <c r="M5485" t="s">
        <v>486</v>
      </c>
      <c r="N5485" t="s">
        <v>1303</v>
      </c>
      <c r="O5485" t="s">
        <v>1373</v>
      </c>
      <c r="P5485">
        <v>-20.170458</v>
      </c>
      <c r="Q5485">
        <v>-44.900936000000002</v>
      </c>
      <c r="R5485" s="2" t="str">
        <f>HYPERLINK("https://www.google.com/maps?q=-20.1704580,-44.9009360","Abrir no Google Maps")</f>
        <v>Abrir no Google Maps</v>
      </c>
      <c r="S5485">
        <v>3</v>
      </c>
      <c r="T5485">
        <v>470.55793133653339</v>
      </c>
      <c r="U5485">
        <v>1</v>
      </c>
      <c r="V5485">
        <v>0</v>
      </c>
      <c r="W5485">
        <v>0.85</v>
      </c>
      <c r="X5485">
        <v>0</v>
      </c>
      <c r="Y5485">
        <v>578</v>
      </c>
      <c r="Z5485">
        <v>645.48909402437766</v>
      </c>
      <c r="AA5485">
        <v>198</v>
      </c>
      <c r="AB5485">
        <v>332</v>
      </c>
      <c r="AC5485">
        <v>536</v>
      </c>
      <c r="AD5485">
        <v>0</v>
      </c>
      <c r="AE5485">
        <v>542</v>
      </c>
      <c r="AF5485">
        <v>0</v>
      </c>
      <c r="AG5485">
        <v>0</v>
      </c>
      <c r="AH5485">
        <v>129</v>
      </c>
      <c r="AI5485">
        <v>0</v>
      </c>
      <c r="AJ5485">
        <v>0</v>
      </c>
      <c r="AK5485">
        <v>23.8</v>
      </c>
      <c r="AL5485">
        <v>-20.17025029999996</v>
      </c>
      <c r="AM5485">
        <v>-44.901067235372473</v>
      </c>
      <c r="AN5485">
        <v>-20.17025029999996</v>
      </c>
      <c r="AO5485">
        <v>-44.901067235372473</v>
      </c>
      <c r="AP5485">
        <v>-20.170458</v>
      </c>
      <c r="AQ5485">
        <v>-44.900936000000002</v>
      </c>
      <c r="AR5485">
        <v>26.88195352459519</v>
      </c>
      <c r="AS5485" t="s">
        <v>65</v>
      </c>
      <c r="AT5485">
        <v>1</v>
      </c>
      <c r="AU5485" t="s">
        <v>1374</v>
      </c>
      <c r="AV5485" t="s">
        <v>1375</v>
      </c>
      <c r="AW5485" t="s">
        <v>60</v>
      </c>
      <c r="AX5485" t="s">
        <v>68</v>
      </c>
      <c r="AY5485" t="s">
        <v>69</v>
      </c>
      <c r="AZ5485" t="b">
        <v>1</v>
      </c>
    </row>
    <row r="5486" spans="1:52" x14ac:dyDescent="0.3">
      <c r="A5486" t="s">
        <v>52</v>
      </c>
      <c r="B5486" t="s">
        <v>53</v>
      </c>
      <c r="C5486" t="s">
        <v>54</v>
      </c>
      <c r="D5486" t="s">
        <v>55</v>
      </c>
      <c r="E5486" t="s">
        <v>2279</v>
      </c>
      <c r="F5486" t="s">
        <v>1247</v>
      </c>
      <c r="G5486" t="s">
        <v>1376</v>
      </c>
      <c r="H5486" t="s">
        <v>1377</v>
      </c>
      <c r="I5486" t="s">
        <v>1377</v>
      </c>
      <c r="J5486" t="s">
        <v>60</v>
      </c>
      <c r="K5486" t="s">
        <v>475</v>
      </c>
      <c r="L5486" t="s">
        <v>62</v>
      </c>
      <c r="M5486" t="s">
        <v>475</v>
      </c>
      <c r="N5486" t="s">
        <v>1378</v>
      </c>
      <c r="O5486" t="s">
        <v>1379</v>
      </c>
      <c r="P5486">
        <v>-20.175298000000002</v>
      </c>
      <c r="Q5486">
        <v>-44.904794000000003</v>
      </c>
      <c r="R5486" s="2" t="str">
        <f>HYPERLINK("https://www.google.com/maps?q=-20.1752980,-44.9047940","Abrir no Google Maps")</f>
        <v>Abrir no Google Maps</v>
      </c>
      <c r="S5486">
        <v>3</v>
      </c>
      <c r="T5486">
        <v>497.7557906927301</v>
      </c>
      <c r="U5486">
        <v>1</v>
      </c>
      <c r="V5486">
        <v>0</v>
      </c>
      <c r="W5486">
        <v>0.85</v>
      </c>
      <c r="X5486">
        <v>0</v>
      </c>
      <c r="Y5486">
        <v>578</v>
      </c>
      <c r="Z5486">
        <v>363.80816567363502</v>
      </c>
      <c r="AA5486">
        <v>198</v>
      </c>
      <c r="AB5486">
        <v>332</v>
      </c>
      <c r="AC5486">
        <v>536</v>
      </c>
      <c r="AD5486">
        <v>0</v>
      </c>
      <c r="AE5486">
        <v>542</v>
      </c>
      <c r="AF5486">
        <v>0</v>
      </c>
      <c r="AG5486">
        <v>0</v>
      </c>
      <c r="AH5486">
        <v>129</v>
      </c>
      <c r="AI5486">
        <v>0</v>
      </c>
      <c r="AJ5486">
        <v>0</v>
      </c>
      <c r="AK5486">
        <v>23.8</v>
      </c>
      <c r="AL5486">
        <v>-20.17530484999995</v>
      </c>
      <c r="AM5486">
        <v>-44.904834224351781</v>
      </c>
      <c r="AN5486">
        <v>-20.17530484999995</v>
      </c>
      <c r="AO5486">
        <v>-44.904834224351781</v>
      </c>
      <c r="AP5486">
        <v>-20.175298000000002</v>
      </c>
      <c r="AQ5486">
        <v>-44.904794000000003</v>
      </c>
      <c r="AR5486">
        <v>4.2716392411563806</v>
      </c>
      <c r="AS5486" t="s">
        <v>65</v>
      </c>
      <c r="AT5486">
        <v>1</v>
      </c>
      <c r="AU5486" t="s">
        <v>1380</v>
      </c>
      <c r="AV5486" t="s">
        <v>1381</v>
      </c>
      <c r="AW5486" t="s">
        <v>60</v>
      </c>
      <c r="AX5486" t="s">
        <v>68</v>
      </c>
      <c r="AY5486" t="s">
        <v>69</v>
      </c>
      <c r="AZ5486" t="b">
        <v>1</v>
      </c>
    </row>
    <row r="5487" spans="1:52" x14ac:dyDescent="0.3">
      <c r="A5487" t="s">
        <v>52</v>
      </c>
      <c r="B5487" t="s">
        <v>53</v>
      </c>
      <c r="C5487" t="s">
        <v>54</v>
      </c>
      <c r="D5487" t="s">
        <v>55</v>
      </c>
      <c r="E5487" t="s">
        <v>2279</v>
      </c>
      <c r="F5487" t="s">
        <v>1247</v>
      </c>
      <c r="G5487" t="s">
        <v>870</v>
      </c>
      <c r="H5487" t="s">
        <v>871</v>
      </c>
      <c r="I5487" t="s">
        <v>871</v>
      </c>
      <c r="J5487" t="s">
        <v>60</v>
      </c>
      <c r="K5487" t="s">
        <v>475</v>
      </c>
      <c r="L5487" t="s">
        <v>62</v>
      </c>
      <c r="M5487" t="s">
        <v>475</v>
      </c>
      <c r="N5487" t="s">
        <v>872</v>
      </c>
      <c r="O5487" t="s">
        <v>507</v>
      </c>
      <c r="P5487">
        <v>-20.176269999999999</v>
      </c>
      <c r="Q5487">
        <v>-44.909323999999998</v>
      </c>
      <c r="R5487" s="2" t="str">
        <f>HYPERLINK("https://www.google.com/maps?q=-20.1762700,-44.9093240","Abrir no Google Maps")</f>
        <v>Abrir no Google Maps</v>
      </c>
      <c r="S5487">
        <v>3</v>
      </c>
      <c r="T5487">
        <v>472.42731136821368</v>
      </c>
      <c r="U5487">
        <v>1</v>
      </c>
      <c r="V5487">
        <v>0</v>
      </c>
      <c r="W5487">
        <v>1</v>
      </c>
      <c r="X5487">
        <v>0</v>
      </c>
      <c r="Y5487">
        <v>578</v>
      </c>
      <c r="Z5487">
        <v>495.19726726344601</v>
      </c>
      <c r="AA5487">
        <v>198</v>
      </c>
      <c r="AB5487">
        <v>332</v>
      </c>
      <c r="AC5487">
        <v>536</v>
      </c>
      <c r="AD5487">
        <v>0</v>
      </c>
      <c r="AE5487">
        <v>542</v>
      </c>
      <c r="AF5487">
        <v>0</v>
      </c>
      <c r="AG5487">
        <v>0</v>
      </c>
      <c r="AH5487">
        <v>129</v>
      </c>
      <c r="AI5487">
        <v>0</v>
      </c>
      <c r="AJ5487">
        <v>0</v>
      </c>
      <c r="AK5487">
        <v>23.8</v>
      </c>
      <c r="AL5487">
        <v>-20.17630284999996</v>
      </c>
      <c r="AM5487">
        <v>-44.909199064318948</v>
      </c>
      <c r="AN5487">
        <v>-20.17630284999996</v>
      </c>
      <c r="AO5487">
        <v>-44.909199064318948</v>
      </c>
      <c r="AP5487">
        <v>-20.176269999999999</v>
      </c>
      <c r="AQ5487">
        <v>-44.909323999999998</v>
      </c>
      <c r="AR5487">
        <v>13.55691308737447</v>
      </c>
      <c r="AS5487" t="s">
        <v>65</v>
      </c>
      <c r="AT5487">
        <v>1</v>
      </c>
      <c r="AU5487" t="s">
        <v>873</v>
      </c>
      <c r="AV5487" t="s">
        <v>874</v>
      </c>
      <c r="AW5487" t="s">
        <v>60</v>
      </c>
      <c r="AX5487" t="s">
        <v>68</v>
      </c>
      <c r="AY5487" t="s">
        <v>69</v>
      </c>
      <c r="AZ5487" t="b">
        <v>1</v>
      </c>
    </row>
    <row r="5488" spans="1:52" x14ac:dyDescent="0.3">
      <c r="A5488" t="s">
        <v>52</v>
      </c>
      <c r="B5488" t="s">
        <v>53</v>
      </c>
      <c r="C5488" t="s">
        <v>54</v>
      </c>
      <c r="D5488" t="s">
        <v>55</v>
      </c>
      <c r="E5488" t="s">
        <v>2279</v>
      </c>
      <c r="F5488" t="s">
        <v>1247</v>
      </c>
      <c r="G5488" t="s">
        <v>1382</v>
      </c>
      <c r="H5488" t="s">
        <v>1383</v>
      </c>
      <c r="I5488" t="s">
        <v>1383</v>
      </c>
      <c r="J5488" t="s">
        <v>60</v>
      </c>
      <c r="K5488" t="s">
        <v>1384</v>
      </c>
      <c r="L5488" t="s">
        <v>62</v>
      </c>
      <c r="M5488" t="s">
        <v>1384</v>
      </c>
      <c r="N5488" t="s">
        <v>1385</v>
      </c>
      <c r="O5488" t="s">
        <v>1379</v>
      </c>
      <c r="P5488">
        <v>-20.168914999999998</v>
      </c>
      <c r="Q5488">
        <v>-44.897015000000003</v>
      </c>
      <c r="R5488" s="2" t="str">
        <f>HYPERLINK("https://www.google.com/maps?q=-20.1689150,-44.8970150","Abrir no Google Maps")</f>
        <v>Abrir no Google Maps</v>
      </c>
      <c r="S5488">
        <v>3</v>
      </c>
      <c r="T5488">
        <v>1082.4313448281291</v>
      </c>
      <c r="U5488">
        <v>1</v>
      </c>
      <c r="V5488">
        <v>0</v>
      </c>
      <c r="W5488">
        <v>0.85</v>
      </c>
      <c r="X5488">
        <v>0</v>
      </c>
      <c r="Y5488">
        <v>578</v>
      </c>
      <c r="Z5488">
        <v>1085.6751638476369</v>
      </c>
      <c r="AA5488">
        <v>198</v>
      </c>
      <c r="AB5488">
        <v>332</v>
      </c>
      <c r="AC5488">
        <v>536</v>
      </c>
      <c r="AD5488">
        <v>0</v>
      </c>
      <c r="AE5488">
        <v>542</v>
      </c>
      <c r="AF5488">
        <v>0</v>
      </c>
      <c r="AG5488">
        <v>0</v>
      </c>
      <c r="AH5488">
        <v>129</v>
      </c>
      <c r="AI5488">
        <v>0</v>
      </c>
      <c r="AJ5488">
        <v>0</v>
      </c>
      <c r="AK5488">
        <v>23.8</v>
      </c>
      <c r="AL5488">
        <v>-20.168195549999979</v>
      </c>
      <c r="AM5488">
        <v>-44.895555997240763</v>
      </c>
      <c r="AN5488">
        <v>-20.168195549999979</v>
      </c>
      <c r="AO5488">
        <v>-44.895555997240763</v>
      </c>
      <c r="AP5488">
        <v>-20.168914999999998</v>
      </c>
      <c r="AQ5488">
        <v>-44.897015000000003</v>
      </c>
      <c r="AR5488">
        <v>172.21377736735809</v>
      </c>
      <c r="AS5488" t="s">
        <v>65</v>
      </c>
      <c r="AT5488">
        <v>1</v>
      </c>
      <c r="AU5488" t="s">
        <v>1386</v>
      </c>
      <c r="AV5488" t="s">
        <v>1387</v>
      </c>
      <c r="AW5488" t="s">
        <v>60</v>
      </c>
      <c r="AX5488" t="s">
        <v>68</v>
      </c>
      <c r="AY5488" t="s">
        <v>69</v>
      </c>
      <c r="AZ5488" t="b">
        <v>1</v>
      </c>
    </row>
    <row r="5489" spans="1:52" x14ac:dyDescent="0.3">
      <c r="A5489" t="s">
        <v>52</v>
      </c>
      <c r="B5489" t="s">
        <v>53</v>
      </c>
      <c r="C5489" t="s">
        <v>54</v>
      </c>
      <c r="D5489" t="s">
        <v>55</v>
      </c>
      <c r="E5489" t="s">
        <v>2279</v>
      </c>
      <c r="F5489" t="s">
        <v>1247</v>
      </c>
      <c r="G5489" t="s">
        <v>473</v>
      </c>
      <c r="H5489" t="s">
        <v>474</v>
      </c>
      <c r="I5489" t="s">
        <v>474</v>
      </c>
      <c r="J5489" t="s">
        <v>60</v>
      </c>
      <c r="K5489" t="s">
        <v>475</v>
      </c>
      <c r="L5489" t="s">
        <v>62</v>
      </c>
      <c r="M5489" t="s">
        <v>475</v>
      </c>
      <c r="N5489" t="s">
        <v>406</v>
      </c>
      <c r="O5489" t="s">
        <v>476</v>
      </c>
      <c r="P5489">
        <v>-20.177902</v>
      </c>
      <c r="Q5489">
        <v>-44.908504000000001</v>
      </c>
      <c r="R5489" s="2" t="str">
        <f>HYPERLINK("https://www.google.com/maps?q=-20.1779020,-44.9085040","Abrir no Google Maps")</f>
        <v>Abrir no Google Maps</v>
      </c>
      <c r="S5489">
        <v>3</v>
      </c>
      <c r="T5489">
        <v>656.92307673247149</v>
      </c>
      <c r="U5489">
        <v>1</v>
      </c>
      <c r="V5489">
        <v>0</v>
      </c>
      <c r="W5489">
        <v>1</v>
      </c>
      <c r="X5489">
        <v>0</v>
      </c>
      <c r="Y5489">
        <v>578</v>
      </c>
      <c r="Z5489">
        <v>635.01982153722327</v>
      </c>
      <c r="AA5489">
        <v>198</v>
      </c>
      <c r="AB5489">
        <v>332</v>
      </c>
      <c r="AC5489">
        <v>536</v>
      </c>
      <c r="AD5489">
        <v>0</v>
      </c>
      <c r="AE5489">
        <v>542</v>
      </c>
      <c r="AF5489">
        <v>0</v>
      </c>
      <c r="AG5489">
        <v>0</v>
      </c>
      <c r="AH5489">
        <v>129</v>
      </c>
      <c r="AI5489">
        <v>0</v>
      </c>
      <c r="AJ5489">
        <v>0</v>
      </c>
      <c r="AK5489">
        <v>23.8</v>
      </c>
      <c r="AL5489">
        <v>-20.177800399999938</v>
      </c>
      <c r="AM5489">
        <v>-44.908361879701268</v>
      </c>
      <c r="AN5489">
        <v>-20.177800399999938</v>
      </c>
      <c r="AO5489">
        <v>-44.908361879701268</v>
      </c>
      <c r="AP5489">
        <v>-20.177902</v>
      </c>
      <c r="AQ5489">
        <v>-44.908504000000001</v>
      </c>
      <c r="AR5489">
        <v>18.666463141775541</v>
      </c>
      <c r="AS5489" t="s">
        <v>65</v>
      </c>
      <c r="AT5489">
        <v>1</v>
      </c>
      <c r="AU5489" t="s">
        <v>477</v>
      </c>
      <c r="AV5489" t="s">
        <v>478</v>
      </c>
      <c r="AW5489" t="s">
        <v>60</v>
      </c>
      <c r="AX5489" t="s">
        <v>68</v>
      </c>
      <c r="AY5489" t="s">
        <v>69</v>
      </c>
      <c r="AZ5489" t="b">
        <v>1</v>
      </c>
    </row>
    <row r="5490" spans="1:52" x14ac:dyDescent="0.3">
      <c r="A5490" t="s">
        <v>52</v>
      </c>
      <c r="B5490" t="s">
        <v>53</v>
      </c>
      <c r="C5490" t="s">
        <v>54</v>
      </c>
      <c r="D5490" t="s">
        <v>55</v>
      </c>
      <c r="E5490" t="s">
        <v>2279</v>
      </c>
      <c r="F5490" t="s">
        <v>1247</v>
      </c>
      <c r="G5490" t="s">
        <v>479</v>
      </c>
      <c r="H5490" t="s">
        <v>480</v>
      </c>
      <c r="I5490" t="s">
        <v>480</v>
      </c>
      <c r="J5490" t="s">
        <v>60</v>
      </c>
      <c r="K5490" t="s">
        <v>388</v>
      </c>
      <c r="L5490" t="s">
        <v>62</v>
      </c>
      <c r="M5490" t="s">
        <v>388</v>
      </c>
      <c r="N5490" t="s">
        <v>481</v>
      </c>
      <c r="O5490" t="s">
        <v>315</v>
      </c>
      <c r="P5490">
        <v>-20.166903999999999</v>
      </c>
      <c r="Q5490">
        <v>-44.903492</v>
      </c>
      <c r="R5490" s="2" t="str">
        <f>HYPERLINK("https://www.google.com/maps?q=-20.1669040,-44.9034920","Abrir no Google Maps")</f>
        <v>Abrir no Google Maps</v>
      </c>
      <c r="S5490">
        <v>3</v>
      </c>
      <c r="T5490">
        <v>517.12253532511602</v>
      </c>
      <c r="U5490">
        <v>1</v>
      </c>
      <c r="V5490">
        <v>0</v>
      </c>
      <c r="W5490">
        <v>1</v>
      </c>
      <c r="X5490">
        <v>0</v>
      </c>
      <c r="Y5490">
        <v>578</v>
      </c>
      <c r="Z5490">
        <v>721.79551240050432</v>
      </c>
      <c r="AA5490">
        <v>198</v>
      </c>
      <c r="AB5490">
        <v>332</v>
      </c>
      <c r="AC5490">
        <v>536</v>
      </c>
      <c r="AD5490">
        <v>0</v>
      </c>
      <c r="AE5490">
        <v>542</v>
      </c>
      <c r="AF5490">
        <v>0</v>
      </c>
      <c r="AG5490">
        <v>0</v>
      </c>
      <c r="AH5490">
        <v>129</v>
      </c>
      <c r="AI5490">
        <v>0</v>
      </c>
      <c r="AJ5490">
        <v>0</v>
      </c>
      <c r="AK5490">
        <v>23.8</v>
      </c>
      <c r="AL5490">
        <v>-20.166610649999971</v>
      </c>
      <c r="AM5490">
        <v>-44.903452988928308</v>
      </c>
      <c r="AN5490">
        <v>-20.166610649999971</v>
      </c>
      <c r="AO5490">
        <v>-44.903452988928308</v>
      </c>
      <c r="AP5490">
        <v>-20.166903999999999</v>
      </c>
      <c r="AQ5490">
        <v>-44.903492</v>
      </c>
      <c r="AR5490">
        <v>32.909175876856217</v>
      </c>
      <c r="AS5490" t="s">
        <v>65</v>
      </c>
      <c r="AT5490">
        <v>1</v>
      </c>
      <c r="AU5490" t="s">
        <v>482</v>
      </c>
      <c r="AV5490" t="s">
        <v>483</v>
      </c>
      <c r="AW5490" t="s">
        <v>60</v>
      </c>
      <c r="AX5490" t="s">
        <v>68</v>
      </c>
      <c r="AY5490" t="s">
        <v>69</v>
      </c>
      <c r="AZ5490" t="b">
        <v>1</v>
      </c>
    </row>
    <row r="5491" spans="1:52" x14ac:dyDescent="0.3">
      <c r="A5491" t="s">
        <v>52</v>
      </c>
      <c r="B5491" t="s">
        <v>53</v>
      </c>
      <c r="C5491" t="s">
        <v>54</v>
      </c>
      <c r="D5491" t="s">
        <v>55</v>
      </c>
      <c r="E5491" t="s">
        <v>2279</v>
      </c>
      <c r="F5491" t="s">
        <v>1247</v>
      </c>
      <c r="G5491" t="s">
        <v>1424</v>
      </c>
      <c r="H5491" t="s">
        <v>1425</v>
      </c>
      <c r="I5491" t="s">
        <v>1425</v>
      </c>
      <c r="J5491" t="s">
        <v>60</v>
      </c>
      <c r="K5491" t="s">
        <v>1324</v>
      </c>
      <c r="L5491" t="s">
        <v>62</v>
      </c>
      <c r="M5491" t="s">
        <v>1324</v>
      </c>
      <c r="N5491" t="s">
        <v>1426</v>
      </c>
      <c r="O5491" t="s">
        <v>938</v>
      </c>
      <c r="P5491">
        <v>-20.172844999999999</v>
      </c>
      <c r="Q5491">
        <v>-44.909215000000003</v>
      </c>
      <c r="R5491" s="2" t="str">
        <f>HYPERLINK("https://www.google.com/maps?q=-20.1728450,-44.9092150","Abrir no Google Maps")</f>
        <v>Abrir no Google Maps</v>
      </c>
      <c r="S5491">
        <v>3</v>
      </c>
      <c r="T5491">
        <v>0</v>
      </c>
      <c r="U5491">
        <v>1</v>
      </c>
      <c r="V5491">
        <v>0</v>
      </c>
      <c r="W5491">
        <v>0.85</v>
      </c>
      <c r="X5491">
        <v>0</v>
      </c>
      <c r="Y5491">
        <v>578</v>
      </c>
      <c r="Z5491">
        <v>365.56549317689053</v>
      </c>
      <c r="AA5491">
        <v>198</v>
      </c>
      <c r="AB5491">
        <v>332</v>
      </c>
      <c r="AC5491">
        <v>536</v>
      </c>
      <c r="AD5491">
        <v>0</v>
      </c>
      <c r="AE5491">
        <v>542</v>
      </c>
      <c r="AF5491">
        <v>0</v>
      </c>
      <c r="AG5491">
        <v>0</v>
      </c>
      <c r="AH5491">
        <v>129</v>
      </c>
      <c r="AI5491">
        <v>0</v>
      </c>
      <c r="AJ5491">
        <v>0</v>
      </c>
      <c r="AK5491">
        <v>23.8</v>
      </c>
      <c r="AL5491">
        <v>-20.172197349999941</v>
      </c>
      <c r="AM5491">
        <v>-44.910438675762883</v>
      </c>
      <c r="AN5491">
        <v>-20.172197349999941</v>
      </c>
      <c r="AO5491">
        <v>-44.910438675762883</v>
      </c>
      <c r="AP5491">
        <v>-20.172844999999999</v>
      </c>
      <c r="AQ5491">
        <v>-44.909215000000003</v>
      </c>
      <c r="AR5491">
        <v>146.78922919749749</v>
      </c>
      <c r="AS5491" t="s">
        <v>65</v>
      </c>
      <c r="AT5491">
        <v>1</v>
      </c>
      <c r="AU5491" t="s">
        <v>1427</v>
      </c>
      <c r="AV5491" t="s">
        <v>1428</v>
      </c>
      <c r="AW5491" t="s">
        <v>60</v>
      </c>
      <c r="AX5491" t="s">
        <v>68</v>
      </c>
      <c r="AY5491" t="s">
        <v>69</v>
      </c>
      <c r="AZ5491" t="b">
        <v>1</v>
      </c>
    </row>
    <row r="5492" spans="1:52" x14ac:dyDescent="0.3">
      <c r="A5492" t="s">
        <v>52</v>
      </c>
      <c r="B5492" t="s">
        <v>53</v>
      </c>
      <c r="C5492" t="s">
        <v>54</v>
      </c>
      <c r="D5492" t="s">
        <v>55</v>
      </c>
      <c r="E5492" t="s">
        <v>2279</v>
      </c>
      <c r="F5492" t="s">
        <v>1247</v>
      </c>
      <c r="G5492" t="s">
        <v>484</v>
      </c>
      <c r="H5492" t="s">
        <v>485</v>
      </c>
      <c r="I5492" t="s">
        <v>485</v>
      </c>
      <c r="J5492" t="s">
        <v>60</v>
      </c>
      <c r="K5492" t="s">
        <v>486</v>
      </c>
      <c r="L5492" t="s">
        <v>62</v>
      </c>
      <c r="M5492" t="s">
        <v>486</v>
      </c>
      <c r="N5492" t="s">
        <v>487</v>
      </c>
      <c r="O5492" t="s">
        <v>488</v>
      </c>
      <c r="P5492">
        <v>-20.173000999999999</v>
      </c>
      <c r="Q5492">
        <v>-44.901876999999999</v>
      </c>
      <c r="R5492" s="2" t="str">
        <f>HYPERLINK("https://www.google.com/maps?q=-20.1730010,-44.9018770","Abrir no Google Maps")</f>
        <v>Abrir no Google Maps</v>
      </c>
      <c r="S5492">
        <v>3</v>
      </c>
      <c r="T5492">
        <v>437.59695450783011</v>
      </c>
      <c r="U5492">
        <v>1</v>
      </c>
      <c r="V5492">
        <v>0</v>
      </c>
      <c r="W5492">
        <v>1</v>
      </c>
      <c r="X5492">
        <v>0</v>
      </c>
      <c r="Y5492">
        <v>578</v>
      </c>
      <c r="Z5492">
        <v>440.53629183653243</v>
      </c>
      <c r="AA5492">
        <v>198</v>
      </c>
      <c r="AB5492">
        <v>332</v>
      </c>
      <c r="AC5492">
        <v>536</v>
      </c>
      <c r="AD5492">
        <v>0</v>
      </c>
      <c r="AE5492">
        <v>542</v>
      </c>
      <c r="AF5492">
        <v>0</v>
      </c>
      <c r="AG5492">
        <v>0</v>
      </c>
      <c r="AH5492">
        <v>129</v>
      </c>
      <c r="AI5492">
        <v>0</v>
      </c>
      <c r="AJ5492">
        <v>0</v>
      </c>
      <c r="AK5492">
        <v>23.8</v>
      </c>
      <c r="AL5492">
        <v>-20.173065299999969</v>
      </c>
      <c r="AM5492">
        <v>-44.902052686008687</v>
      </c>
      <c r="AN5492">
        <v>-20.173065299999969</v>
      </c>
      <c r="AO5492">
        <v>-44.902052686008687</v>
      </c>
      <c r="AP5492">
        <v>-20.173000999999999</v>
      </c>
      <c r="AQ5492">
        <v>-44.901876999999999</v>
      </c>
      <c r="AR5492">
        <v>19.703745070768829</v>
      </c>
      <c r="AS5492" t="s">
        <v>65</v>
      </c>
      <c r="AT5492">
        <v>1</v>
      </c>
      <c r="AU5492" t="s">
        <v>489</v>
      </c>
      <c r="AV5492" t="s">
        <v>490</v>
      </c>
      <c r="AW5492" t="s">
        <v>60</v>
      </c>
      <c r="AX5492" t="s">
        <v>68</v>
      </c>
      <c r="AY5492" t="s">
        <v>69</v>
      </c>
      <c r="AZ5492" t="b">
        <v>1</v>
      </c>
    </row>
    <row r="5493" spans="1:52" x14ac:dyDescent="0.3">
      <c r="A5493" t="s">
        <v>52</v>
      </c>
      <c r="B5493" t="s">
        <v>53</v>
      </c>
      <c r="C5493" t="s">
        <v>54</v>
      </c>
      <c r="D5493" t="s">
        <v>55</v>
      </c>
      <c r="E5493" t="s">
        <v>2279</v>
      </c>
      <c r="F5493" t="s">
        <v>1247</v>
      </c>
      <c r="G5493" t="s">
        <v>491</v>
      </c>
      <c r="H5493" t="s">
        <v>492</v>
      </c>
      <c r="I5493" t="s">
        <v>492</v>
      </c>
      <c r="J5493" t="s">
        <v>60</v>
      </c>
      <c r="K5493" t="s">
        <v>475</v>
      </c>
      <c r="L5493" t="s">
        <v>62</v>
      </c>
      <c r="M5493" t="s">
        <v>475</v>
      </c>
      <c r="N5493" t="s">
        <v>493</v>
      </c>
      <c r="O5493" t="s">
        <v>494</v>
      </c>
      <c r="P5493">
        <v>-20.175250999999999</v>
      </c>
      <c r="Q5493">
        <v>-44.897357</v>
      </c>
      <c r="R5493" s="2" t="str">
        <f>HYPERLINK("https://www.google.com/maps?q=-20.1752510,-44.8973570","Abrir no Google Maps")</f>
        <v>Abrir no Google Maps</v>
      </c>
      <c r="S5493">
        <v>3</v>
      </c>
      <c r="T5493">
        <v>992.29631678149951</v>
      </c>
      <c r="U5493">
        <v>1</v>
      </c>
      <c r="V5493">
        <v>0</v>
      </c>
      <c r="W5493">
        <v>1</v>
      </c>
      <c r="X5493">
        <v>0</v>
      </c>
      <c r="Y5493">
        <v>578</v>
      </c>
      <c r="Z5493">
        <v>1008.5871064168319</v>
      </c>
      <c r="AA5493">
        <v>198</v>
      </c>
      <c r="AB5493">
        <v>332</v>
      </c>
      <c r="AC5493">
        <v>536</v>
      </c>
      <c r="AD5493">
        <v>0</v>
      </c>
      <c r="AE5493">
        <v>542</v>
      </c>
      <c r="AF5493">
        <v>0</v>
      </c>
      <c r="AG5493">
        <v>0</v>
      </c>
      <c r="AH5493">
        <v>129</v>
      </c>
      <c r="AI5493">
        <v>0</v>
      </c>
      <c r="AJ5493">
        <v>0</v>
      </c>
      <c r="AK5493">
        <v>23.8</v>
      </c>
      <c r="AL5493">
        <v>-20.175290599999951</v>
      </c>
      <c r="AM5493">
        <v>-44.897271931010721</v>
      </c>
      <c r="AN5493">
        <v>-20.175290599999951</v>
      </c>
      <c r="AO5493">
        <v>-44.897271931010721</v>
      </c>
      <c r="AP5493">
        <v>-20.175250999999999</v>
      </c>
      <c r="AQ5493">
        <v>-44.897357</v>
      </c>
      <c r="AR5493">
        <v>9.921899108467926</v>
      </c>
      <c r="AS5493" t="s">
        <v>65</v>
      </c>
      <c r="AT5493">
        <v>1</v>
      </c>
      <c r="AU5493" t="s">
        <v>495</v>
      </c>
      <c r="AV5493" t="s">
        <v>496</v>
      </c>
      <c r="AW5493" t="s">
        <v>60</v>
      </c>
      <c r="AX5493" t="s">
        <v>68</v>
      </c>
      <c r="AY5493" t="s">
        <v>69</v>
      </c>
      <c r="AZ5493" t="b">
        <v>1</v>
      </c>
    </row>
    <row r="5494" spans="1:52" x14ac:dyDescent="0.3">
      <c r="A5494" t="s">
        <v>52</v>
      </c>
      <c r="B5494" t="s">
        <v>53</v>
      </c>
      <c r="C5494" t="s">
        <v>54</v>
      </c>
      <c r="D5494" t="s">
        <v>55</v>
      </c>
      <c r="E5494" t="s">
        <v>2279</v>
      </c>
      <c r="F5494" t="s">
        <v>1247</v>
      </c>
      <c r="G5494" t="s">
        <v>1388</v>
      </c>
      <c r="H5494" t="s">
        <v>1389</v>
      </c>
      <c r="I5494" t="s">
        <v>1389</v>
      </c>
      <c r="J5494" t="s">
        <v>60</v>
      </c>
      <c r="K5494" t="s">
        <v>475</v>
      </c>
      <c r="L5494" t="s">
        <v>62</v>
      </c>
      <c r="M5494" t="s">
        <v>475</v>
      </c>
      <c r="N5494" t="s">
        <v>1390</v>
      </c>
      <c r="O5494" t="s">
        <v>855</v>
      </c>
      <c r="P5494">
        <v>-20.173748</v>
      </c>
      <c r="Q5494">
        <v>-44.894596999999997</v>
      </c>
      <c r="R5494" s="2" t="str">
        <f>HYPERLINK("https://www.google.com/maps?q=-20.1737480,-44.8945970","Abrir no Google Maps")</f>
        <v>Abrir no Google Maps</v>
      </c>
      <c r="S5494">
        <v>3</v>
      </c>
      <c r="T5494">
        <v>1217.388518792701</v>
      </c>
      <c r="U5494">
        <v>1</v>
      </c>
      <c r="V5494">
        <v>0</v>
      </c>
      <c r="W5494">
        <v>0.85</v>
      </c>
      <c r="X5494">
        <v>0</v>
      </c>
      <c r="Y5494">
        <v>578</v>
      </c>
      <c r="Z5494">
        <v>1268.0048337091989</v>
      </c>
      <c r="AA5494">
        <v>198</v>
      </c>
      <c r="AB5494">
        <v>332</v>
      </c>
      <c r="AC5494">
        <v>536</v>
      </c>
      <c r="AD5494">
        <v>0</v>
      </c>
      <c r="AE5494">
        <v>542</v>
      </c>
      <c r="AF5494">
        <v>0</v>
      </c>
      <c r="AG5494">
        <v>0</v>
      </c>
      <c r="AH5494">
        <v>129</v>
      </c>
      <c r="AI5494">
        <v>0</v>
      </c>
      <c r="AJ5494">
        <v>0</v>
      </c>
      <c r="AK5494">
        <v>23.8</v>
      </c>
      <c r="AL5494">
        <v>-20.173821999999941</v>
      </c>
      <c r="AM5494">
        <v>-44.894306105833543</v>
      </c>
      <c r="AN5494">
        <v>-20.173821999999941</v>
      </c>
      <c r="AO5494">
        <v>-44.894306105833543</v>
      </c>
      <c r="AP5494">
        <v>-20.173748</v>
      </c>
      <c r="AQ5494">
        <v>-44.894596999999997</v>
      </c>
      <c r="AR5494">
        <v>31.492193006406161</v>
      </c>
      <c r="AS5494" t="s">
        <v>65</v>
      </c>
      <c r="AT5494">
        <v>1</v>
      </c>
      <c r="AU5494" t="s">
        <v>1391</v>
      </c>
      <c r="AV5494" t="s">
        <v>1392</v>
      </c>
      <c r="AW5494" t="s">
        <v>60</v>
      </c>
      <c r="AX5494" t="s">
        <v>68</v>
      </c>
      <c r="AY5494" t="s">
        <v>69</v>
      </c>
      <c r="AZ5494" t="b">
        <v>1</v>
      </c>
    </row>
    <row r="5495" spans="1:52" x14ac:dyDescent="0.3">
      <c r="A5495" t="s">
        <v>52</v>
      </c>
      <c r="B5495" t="s">
        <v>53</v>
      </c>
      <c r="C5495" t="s">
        <v>54</v>
      </c>
      <c r="D5495" t="s">
        <v>55</v>
      </c>
      <c r="E5495" t="s">
        <v>2279</v>
      </c>
      <c r="F5495" t="s">
        <v>1247</v>
      </c>
      <c r="G5495" t="s">
        <v>1393</v>
      </c>
      <c r="H5495" t="s">
        <v>1394</v>
      </c>
      <c r="I5495" t="s">
        <v>1394</v>
      </c>
      <c r="J5495" t="s">
        <v>60</v>
      </c>
      <c r="K5495" t="s">
        <v>388</v>
      </c>
      <c r="L5495" t="s">
        <v>62</v>
      </c>
      <c r="M5495" t="s">
        <v>388</v>
      </c>
      <c r="N5495" t="s">
        <v>1395</v>
      </c>
      <c r="O5495" t="s">
        <v>1396</v>
      </c>
      <c r="P5495">
        <v>-20.167425000000001</v>
      </c>
      <c r="Q5495">
        <v>-44.907733999999998</v>
      </c>
      <c r="R5495" s="2" t="str">
        <f>HYPERLINK("https://www.google.com/maps?q=-20.1674250,-44.9077340","Abrir no Google Maps")</f>
        <v>Abrir no Google Maps</v>
      </c>
      <c r="S5495">
        <v>3</v>
      </c>
      <c r="T5495">
        <v>424.62372109792739</v>
      </c>
      <c r="U5495">
        <v>1</v>
      </c>
      <c r="V5495">
        <v>0</v>
      </c>
      <c r="W5495">
        <v>0.85</v>
      </c>
      <c r="X5495">
        <v>0</v>
      </c>
      <c r="Y5495">
        <v>578</v>
      </c>
      <c r="Z5495">
        <v>559.08337206965382</v>
      </c>
      <c r="AA5495">
        <v>198</v>
      </c>
      <c r="AB5495">
        <v>332</v>
      </c>
      <c r="AC5495">
        <v>536</v>
      </c>
      <c r="AD5495">
        <v>0</v>
      </c>
      <c r="AE5495">
        <v>542</v>
      </c>
      <c r="AF5495">
        <v>0</v>
      </c>
      <c r="AG5495">
        <v>0</v>
      </c>
      <c r="AH5495">
        <v>129</v>
      </c>
      <c r="AI5495">
        <v>0</v>
      </c>
      <c r="AJ5495">
        <v>0</v>
      </c>
      <c r="AK5495">
        <v>23.8</v>
      </c>
      <c r="AL5495">
        <v>-20.167592099999951</v>
      </c>
      <c r="AM5495">
        <v>-44.907664214502859</v>
      </c>
      <c r="AN5495">
        <v>-20.167592099999951</v>
      </c>
      <c r="AO5495">
        <v>-44.907664214502859</v>
      </c>
      <c r="AP5495">
        <v>-20.167425000000001</v>
      </c>
      <c r="AQ5495">
        <v>-44.907733999999998</v>
      </c>
      <c r="AR5495">
        <v>19.979863459652229</v>
      </c>
      <c r="AS5495" t="s">
        <v>65</v>
      </c>
      <c r="AT5495">
        <v>1</v>
      </c>
      <c r="AU5495" t="s">
        <v>1397</v>
      </c>
      <c r="AV5495" t="s">
        <v>1398</v>
      </c>
      <c r="AW5495" t="s">
        <v>60</v>
      </c>
      <c r="AX5495" t="s">
        <v>68</v>
      </c>
      <c r="AY5495" t="s">
        <v>69</v>
      </c>
      <c r="AZ5495" t="b">
        <v>1</v>
      </c>
    </row>
    <row r="5496" spans="1:52" x14ac:dyDescent="0.3">
      <c r="A5496" t="s">
        <v>52</v>
      </c>
      <c r="B5496" t="s">
        <v>53</v>
      </c>
      <c r="C5496" t="s">
        <v>54</v>
      </c>
      <c r="D5496" t="s">
        <v>55</v>
      </c>
      <c r="E5496" t="s">
        <v>2279</v>
      </c>
      <c r="F5496" t="s">
        <v>1247</v>
      </c>
      <c r="G5496" t="s">
        <v>497</v>
      </c>
      <c r="H5496" t="s">
        <v>875</v>
      </c>
      <c r="I5496" t="s">
        <v>875</v>
      </c>
      <c r="J5496" t="s">
        <v>60</v>
      </c>
      <c r="K5496" t="s">
        <v>475</v>
      </c>
      <c r="L5496" t="s">
        <v>62</v>
      </c>
      <c r="M5496" t="s">
        <v>475</v>
      </c>
      <c r="N5496" t="s">
        <v>499</v>
      </c>
      <c r="O5496" t="s">
        <v>876</v>
      </c>
      <c r="P5496">
        <v>-20.177212999999998</v>
      </c>
      <c r="Q5496">
        <v>-44.904026999999999</v>
      </c>
      <c r="R5496" s="2" t="str">
        <f>HYPERLINK("https://www.google.com/maps?q=-20.1772130,-44.9040270","Abrir no Google Maps")</f>
        <v>Abrir no Google Maps</v>
      </c>
      <c r="S5496">
        <v>3</v>
      </c>
      <c r="T5496">
        <v>706.4159561113795</v>
      </c>
      <c r="U5496">
        <v>1</v>
      </c>
      <c r="V5496">
        <v>0</v>
      </c>
      <c r="W5496">
        <v>1</v>
      </c>
      <c r="X5496">
        <v>0</v>
      </c>
      <c r="Y5496">
        <v>578</v>
      </c>
      <c r="Z5496">
        <v>588.7160518608398</v>
      </c>
      <c r="AA5496">
        <v>198</v>
      </c>
      <c r="AB5496">
        <v>332</v>
      </c>
      <c r="AC5496">
        <v>536</v>
      </c>
      <c r="AD5496">
        <v>0</v>
      </c>
      <c r="AE5496">
        <v>542</v>
      </c>
      <c r="AF5496">
        <v>0</v>
      </c>
      <c r="AG5496">
        <v>0</v>
      </c>
      <c r="AH5496">
        <v>129</v>
      </c>
      <c r="AI5496">
        <v>0</v>
      </c>
      <c r="AJ5496">
        <v>0</v>
      </c>
      <c r="AK5496">
        <v>23.8</v>
      </c>
      <c r="AL5496">
        <v>-20.177090199999949</v>
      </c>
      <c r="AM5496">
        <v>-44.904078820930181</v>
      </c>
      <c r="AN5496">
        <v>-20.177090199999949</v>
      </c>
      <c r="AO5496">
        <v>-44.904078820930181</v>
      </c>
      <c r="AP5496">
        <v>-20.177212999999998</v>
      </c>
      <c r="AQ5496">
        <v>-44.904026999999999</v>
      </c>
      <c r="AR5496">
        <v>14.7034129632295</v>
      </c>
      <c r="AS5496" t="s">
        <v>65</v>
      </c>
      <c r="AT5496">
        <v>1</v>
      </c>
      <c r="AU5496" t="s">
        <v>877</v>
      </c>
      <c r="AV5496" t="s">
        <v>878</v>
      </c>
      <c r="AW5496" t="s">
        <v>60</v>
      </c>
      <c r="AX5496" t="s">
        <v>68</v>
      </c>
      <c r="AY5496" t="s">
        <v>69</v>
      </c>
      <c r="AZ5496" t="b">
        <v>1</v>
      </c>
    </row>
    <row r="5497" spans="1:52" x14ac:dyDescent="0.3">
      <c r="A5497" t="s">
        <v>52</v>
      </c>
      <c r="B5497" t="s">
        <v>53</v>
      </c>
      <c r="C5497" t="s">
        <v>54</v>
      </c>
      <c r="D5497" t="s">
        <v>55</v>
      </c>
      <c r="E5497" t="s">
        <v>2279</v>
      </c>
      <c r="F5497" t="s">
        <v>1247</v>
      </c>
      <c r="G5497" t="s">
        <v>1399</v>
      </c>
      <c r="H5497" t="s">
        <v>1400</v>
      </c>
      <c r="I5497" t="s">
        <v>1400</v>
      </c>
      <c r="J5497" t="s">
        <v>60</v>
      </c>
      <c r="K5497" t="s">
        <v>475</v>
      </c>
      <c r="L5497" t="s">
        <v>62</v>
      </c>
      <c r="M5497" t="s">
        <v>475</v>
      </c>
      <c r="N5497" t="s">
        <v>1401</v>
      </c>
      <c r="O5497" t="s">
        <v>1080</v>
      </c>
      <c r="P5497">
        <v>-20.178809000000001</v>
      </c>
      <c r="Q5497">
        <v>-44.900204000000002</v>
      </c>
      <c r="R5497" s="2" t="str">
        <f>HYPERLINK("https://www.google.com/maps?q=-20.1788090,-44.9002040","Abrir no Google Maps")</f>
        <v>Abrir no Google Maps</v>
      </c>
      <c r="S5497">
        <v>3</v>
      </c>
      <c r="T5497">
        <v>1015.86498565614</v>
      </c>
      <c r="U5497">
        <v>1</v>
      </c>
      <c r="V5497">
        <v>0</v>
      </c>
      <c r="W5497">
        <v>0.85</v>
      </c>
      <c r="X5497">
        <v>0</v>
      </c>
      <c r="Y5497">
        <v>578</v>
      </c>
      <c r="Z5497">
        <v>954.77111474428102</v>
      </c>
      <c r="AA5497">
        <v>198</v>
      </c>
      <c r="AB5497">
        <v>332</v>
      </c>
      <c r="AC5497">
        <v>536</v>
      </c>
      <c r="AD5497">
        <v>0</v>
      </c>
      <c r="AE5497">
        <v>542</v>
      </c>
      <c r="AF5497">
        <v>0</v>
      </c>
      <c r="AG5497">
        <v>0</v>
      </c>
      <c r="AH5497">
        <v>129</v>
      </c>
      <c r="AI5497">
        <v>0</v>
      </c>
      <c r="AJ5497">
        <v>0</v>
      </c>
      <c r="AK5497">
        <v>23.8</v>
      </c>
      <c r="AL5497">
        <v>-20.178590099999951</v>
      </c>
      <c r="AM5497">
        <v>-44.90029029928732</v>
      </c>
      <c r="AN5497">
        <v>-20.178590099999951</v>
      </c>
      <c r="AO5497">
        <v>-44.90029029928732</v>
      </c>
      <c r="AP5497">
        <v>-20.178809000000001</v>
      </c>
      <c r="AQ5497">
        <v>-44.900204000000002</v>
      </c>
      <c r="AR5497">
        <v>25.982812999798391</v>
      </c>
      <c r="AS5497" t="s">
        <v>65</v>
      </c>
      <c r="AT5497">
        <v>1</v>
      </c>
      <c r="AU5497" t="s">
        <v>1402</v>
      </c>
      <c r="AV5497" t="s">
        <v>1403</v>
      </c>
      <c r="AW5497" t="s">
        <v>60</v>
      </c>
      <c r="AX5497" t="s">
        <v>68</v>
      </c>
      <c r="AY5497" t="s">
        <v>69</v>
      </c>
      <c r="AZ5497" t="b">
        <v>1</v>
      </c>
    </row>
    <row r="5498" spans="1:52" x14ac:dyDescent="0.3">
      <c r="A5498" t="s">
        <v>52</v>
      </c>
      <c r="B5498" t="s">
        <v>53</v>
      </c>
      <c r="C5498" t="s">
        <v>54</v>
      </c>
      <c r="D5498" t="s">
        <v>55</v>
      </c>
      <c r="E5498" t="s">
        <v>2279</v>
      </c>
      <c r="F5498" t="s">
        <v>1247</v>
      </c>
      <c r="G5498" t="s">
        <v>497</v>
      </c>
      <c r="H5498" t="s">
        <v>498</v>
      </c>
      <c r="I5498" t="s">
        <v>498</v>
      </c>
      <c r="J5498" t="s">
        <v>60</v>
      </c>
      <c r="K5498" t="s">
        <v>475</v>
      </c>
      <c r="L5498" t="s">
        <v>62</v>
      </c>
      <c r="M5498" t="s">
        <v>475</v>
      </c>
      <c r="N5498" t="s">
        <v>499</v>
      </c>
      <c r="O5498" t="s">
        <v>500</v>
      </c>
      <c r="P5498">
        <v>-20.175492999999999</v>
      </c>
      <c r="Q5498">
        <v>-44.900759000000001</v>
      </c>
      <c r="R5498" s="2" t="str">
        <f>HYPERLINK("https://www.google.com/maps?q=-20.1754930,-44.9007590","Abrir no Google Maps")</f>
        <v>Abrir no Google Maps</v>
      </c>
      <c r="S5498">
        <v>3</v>
      </c>
      <c r="T5498">
        <v>753.30732354720431</v>
      </c>
      <c r="U5498">
        <v>1</v>
      </c>
      <c r="V5498">
        <v>0</v>
      </c>
      <c r="W5498">
        <v>1</v>
      </c>
      <c r="X5498">
        <v>0</v>
      </c>
      <c r="Y5498">
        <v>578</v>
      </c>
      <c r="Z5498">
        <v>695.28903655431702</v>
      </c>
      <c r="AA5498">
        <v>198</v>
      </c>
      <c r="AB5498">
        <v>332</v>
      </c>
      <c r="AC5498">
        <v>536</v>
      </c>
      <c r="AD5498">
        <v>0</v>
      </c>
      <c r="AE5498">
        <v>542</v>
      </c>
      <c r="AF5498">
        <v>0</v>
      </c>
      <c r="AG5498">
        <v>0</v>
      </c>
      <c r="AH5498">
        <v>129</v>
      </c>
      <c r="AI5498">
        <v>0</v>
      </c>
      <c r="AJ5498">
        <v>0</v>
      </c>
      <c r="AK5498">
        <v>23.8</v>
      </c>
      <c r="AL5498">
        <v>-20.175825999999969</v>
      </c>
      <c r="AM5498">
        <v>-44.900600234646973</v>
      </c>
      <c r="AN5498">
        <v>-20.175825999999969</v>
      </c>
      <c r="AO5498">
        <v>-44.900600234646973</v>
      </c>
      <c r="AP5498">
        <v>-20.175492999999999</v>
      </c>
      <c r="AQ5498">
        <v>-44.900759000000001</v>
      </c>
      <c r="AR5498">
        <v>40.612267304645073</v>
      </c>
      <c r="AS5498" t="s">
        <v>65</v>
      </c>
      <c r="AT5498">
        <v>1</v>
      </c>
      <c r="AU5498" t="s">
        <v>501</v>
      </c>
      <c r="AV5498" t="s">
        <v>502</v>
      </c>
      <c r="AW5498" t="s">
        <v>60</v>
      </c>
      <c r="AX5498" t="s">
        <v>68</v>
      </c>
      <c r="AY5498" t="s">
        <v>69</v>
      </c>
      <c r="AZ5498" t="b">
        <v>1</v>
      </c>
    </row>
    <row r="5499" spans="1:52" x14ac:dyDescent="0.3">
      <c r="A5499" t="s">
        <v>52</v>
      </c>
      <c r="B5499" t="s">
        <v>53</v>
      </c>
      <c r="C5499" t="s">
        <v>54</v>
      </c>
      <c r="D5499" t="s">
        <v>55</v>
      </c>
      <c r="E5499" t="s">
        <v>2279</v>
      </c>
      <c r="F5499" t="s">
        <v>1247</v>
      </c>
      <c r="G5499" t="s">
        <v>503</v>
      </c>
      <c r="H5499" t="s">
        <v>504</v>
      </c>
      <c r="I5499" t="s">
        <v>504</v>
      </c>
      <c r="J5499" t="s">
        <v>60</v>
      </c>
      <c r="K5499" t="s">
        <v>505</v>
      </c>
      <c r="L5499" t="s">
        <v>62</v>
      </c>
      <c r="M5499" t="s">
        <v>505</v>
      </c>
      <c r="N5499" t="s">
        <v>506</v>
      </c>
      <c r="O5499" t="s">
        <v>507</v>
      </c>
      <c r="P5499">
        <v>-20.131428</v>
      </c>
      <c r="Q5499">
        <v>-44.888921000000003</v>
      </c>
      <c r="R5499" s="2" t="str">
        <f>HYPERLINK("https://www.google.com/maps?q=-20.1314280,-44.8889210","Abrir no Google Maps")</f>
        <v>Abrir no Google Maps</v>
      </c>
      <c r="S5499">
        <v>3</v>
      </c>
      <c r="T5499">
        <v>250.64150698244501</v>
      </c>
      <c r="U5499">
        <v>1</v>
      </c>
      <c r="V5499">
        <v>0</v>
      </c>
      <c r="W5499">
        <v>1</v>
      </c>
      <c r="X5499">
        <v>0</v>
      </c>
      <c r="Y5499">
        <v>564</v>
      </c>
      <c r="Z5499">
        <v>189.93933888952441</v>
      </c>
      <c r="AA5499">
        <v>198</v>
      </c>
      <c r="AB5499">
        <v>332</v>
      </c>
      <c r="AC5499">
        <v>536</v>
      </c>
      <c r="AD5499">
        <v>0</v>
      </c>
      <c r="AE5499">
        <v>542</v>
      </c>
      <c r="AF5499">
        <v>0</v>
      </c>
      <c r="AG5499">
        <v>0</v>
      </c>
      <c r="AH5499">
        <v>129</v>
      </c>
      <c r="AI5499">
        <v>0</v>
      </c>
      <c r="AJ5499">
        <v>0</v>
      </c>
      <c r="AK5499">
        <v>23.8</v>
      </c>
      <c r="AL5499">
        <v>-20.13123589999995</v>
      </c>
      <c r="AM5499">
        <v>-44.888742396501762</v>
      </c>
      <c r="AN5499">
        <v>-20.13123589999995</v>
      </c>
      <c r="AO5499">
        <v>-44.888742396501762</v>
      </c>
      <c r="AP5499">
        <v>-20.131428</v>
      </c>
      <c r="AQ5499">
        <v>-44.888921000000003</v>
      </c>
      <c r="AR5499">
        <v>28.386169462917032</v>
      </c>
      <c r="AS5499" t="s">
        <v>65</v>
      </c>
      <c r="AT5499">
        <v>1</v>
      </c>
      <c r="AU5499" t="s">
        <v>508</v>
      </c>
      <c r="AV5499" t="s">
        <v>509</v>
      </c>
      <c r="AW5499" t="s">
        <v>60</v>
      </c>
      <c r="AX5499" t="s">
        <v>68</v>
      </c>
      <c r="AY5499" t="s">
        <v>69</v>
      </c>
      <c r="AZ5499" t="b">
        <v>1</v>
      </c>
    </row>
    <row r="5500" spans="1:52" x14ac:dyDescent="0.3">
      <c r="A5500" t="s">
        <v>52</v>
      </c>
      <c r="B5500" t="s">
        <v>53</v>
      </c>
      <c r="C5500" t="s">
        <v>54</v>
      </c>
      <c r="D5500" t="s">
        <v>55</v>
      </c>
      <c r="E5500" t="s">
        <v>2279</v>
      </c>
      <c r="F5500" t="s">
        <v>1247</v>
      </c>
      <c r="G5500" t="s">
        <v>510</v>
      </c>
      <c r="H5500" t="s">
        <v>511</v>
      </c>
      <c r="I5500" t="s">
        <v>511</v>
      </c>
      <c r="J5500" t="s">
        <v>60</v>
      </c>
      <c r="K5500" t="s">
        <v>512</v>
      </c>
      <c r="L5500" t="s">
        <v>62</v>
      </c>
      <c r="M5500" t="s">
        <v>512</v>
      </c>
      <c r="N5500" t="s">
        <v>406</v>
      </c>
      <c r="O5500" t="s">
        <v>513</v>
      </c>
      <c r="P5500">
        <v>-20.127853000000002</v>
      </c>
      <c r="Q5500">
        <v>-44.891415000000002</v>
      </c>
      <c r="R5500" s="2" t="str">
        <f>HYPERLINK("https://www.google.com/maps?q=-20.1278530,-44.8914150","Abrir no Google Maps")</f>
        <v>Abrir no Google Maps</v>
      </c>
      <c r="S5500">
        <v>3</v>
      </c>
      <c r="T5500">
        <v>340.86994528233612</v>
      </c>
      <c r="U5500">
        <v>1</v>
      </c>
      <c r="V5500">
        <v>0</v>
      </c>
      <c r="W5500">
        <v>1</v>
      </c>
      <c r="X5500">
        <v>0</v>
      </c>
      <c r="Y5500">
        <v>564</v>
      </c>
      <c r="Z5500">
        <v>294.18108015916812</v>
      </c>
      <c r="AA5500">
        <v>198</v>
      </c>
      <c r="AB5500">
        <v>332</v>
      </c>
      <c r="AC5500">
        <v>536</v>
      </c>
      <c r="AD5500">
        <v>0</v>
      </c>
      <c r="AE5500">
        <v>542</v>
      </c>
      <c r="AF5500">
        <v>0</v>
      </c>
      <c r="AG5500">
        <v>0</v>
      </c>
      <c r="AH5500">
        <v>129</v>
      </c>
      <c r="AI5500">
        <v>0</v>
      </c>
      <c r="AJ5500">
        <v>0</v>
      </c>
      <c r="AK5500">
        <v>23.8</v>
      </c>
      <c r="AL5500">
        <v>-20.12777399999996</v>
      </c>
      <c r="AM5500">
        <v>-44.891400975758501</v>
      </c>
      <c r="AN5500">
        <v>-20.12777399999996</v>
      </c>
      <c r="AO5500">
        <v>-44.891400975758501</v>
      </c>
      <c r="AP5500">
        <v>-20.127853000000002</v>
      </c>
      <c r="AQ5500">
        <v>-44.891415000000002</v>
      </c>
      <c r="AR5500">
        <v>8.9156059162975616</v>
      </c>
      <c r="AS5500" t="s">
        <v>65</v>
      </c>
      <c r="AT5500">
        <v>1</v>
      </c>
      <c r="AU5500" t="s">
        <v>514</v>
      </c>
      <c r="AV5500" t="s">
        <v>515</v>
      </c>
      <c r="AW5500" t="s">
        <v>60</v>
      </c>
      <c r="AX5500" t="s">
        <v>68</v>
      </c>
      <c r="AY5500" t="s">
        <v>69</v>
      </c>
      <c r="AZ5500" t="b">
        <v>1</v>
      </c>
    </row>
    <row r="5501" spans="1:52" x14ac:dyDescent="0.3">
      <c r="A5501" t="s">
        <v>52</v>
      </c>
      <c r="B5501" t="s">
        <v>53</v>
      </c>
      <c r="C5501" t="s">
        <v>54</v>
      </c>
      <c r="D5501" t="s">
        <v>55</v>
      </c>
      <c r="E5501" t="s">
        <v>2279</v>
      </c>
      <c r="F5501" t="s">
        <v>1247</v>
      </c>
      <c r="G5501" t="s">
        <v>516</v>
      </c>
      <c r="H5501" t="s">
        <v>517</v>
      </c>
      <c r="I5501" t="s">
        <v>517</v>
      </c>
      <c r="J5501" t="s">
        <v>60</v>
      </c>
      <c r="K5501" t="s">
        <v>518</v>
      </c>
      <c r="L5501" t="s">
        <v>62</v>
      </c>
      <c r="M5501" t="s">
        <v>518</v>
      </c>
      <c r="N5501" t="s">
        <v>519</v>
      </c>
      <c r="O5501" t="s">
        <v>520</v>
      </c>
      <c r="P5501">
        <v>-20.124502</v>
      </c>
      <c r="Q5501">
        <v>-44.888424000000001</v>
      </c>
      <c r="R5501" s="2" t="str">
        <f>HYPERLINK("https://www.google.com/maps?q=-20.1245020,-44.8884240","Abrir no Google Maps")</f>
        <v>Abrir no Google Maps</v>
      </c>
      <c r="S5501">
        <v>3</v>
      </c>
      <c r="T5501">
        <v>483.42298121929559</v>
      </c>
      <c r="U5501">
        <v>1</v>
      </c>
      <c r="V5501">
        <v>0</v>
      </c>
      <c r="W5501">
        <v>1</v>
      </c>
      <c r="X5501">
        <v>0</v>
      </c>
      <c r="Y5501">
        <v>564</v>
      </c>
      <c r="Z5501">
        <v>565.43074237076587</v>
      </c>
      <c r="AA5501">
        <v>198</v>
      </c>
      <c r="AB5501">
        <v>332</v>
      </c>
      <c r="AC5501">
        <v>536</v>
      </c>
      <c r="AD5501">
        <v>0</v>
      </c>
      <c r="AE5501">
        <v>542</v>
      </c>
      <c r="AF5501">
        <v>0</v>
      </c>
      <c r="AG5501">
        <v>0</v>
      </c>
      <c r="AH5501">
        <v>129</v>
      </c>
      <c r="AI5501">
        <v>0</v>
      </c>
      <c r="AJ5501">
        <v>0</v>
      </c>
      <c r="AK5501">
        <v>23.8</v>
      </c>
      <c r="AL5501">
        <v>-20.124624949999941</v>
      </c>
      <c r="AM5501">
        <v>-44.888432821777258</v>
      </c>
      <c r="AN5501">
        <v>-20.124624949999941</v>
      </c>
      <c r="AO5501">
        <v>-44.888432821777258</v>
      </c>
      <c r="AP5501">
        <v>-20.124502</v>
      </c>
      <c r="AQ5501">
        <v>-44.888424000000001</v>
      </c>
      <c r="AR5501">
        <v>13.717819333897451</v>
      </c>
      <c r="AS5501" t="s">
        <v>65</v>
      </c>
      <c r="AT5501">
        <v>1</v>
      </c>
      <c r="AU5501" t="s">
        <v>521</v>
      </c>
      <c r="AV5501" t="s">
        <v>522</v>
      </c>
      <c r="AW5501" t="s">
        <v>60</v>
      </c>
      <c r="AX5501" t="s">
        <v>68</v>
      </c>
      <c r="AY5501" t="s">
        <v>69</v>
      </c>
      <c r="AZ5501" t="b">
        <v>1</v>
      </c>
    </row>
    <row r="5502" spans="1:52" x14ac:dyDescent="0.3">
      <c r="A5502" t="s">
        <v>52</v>
      </c>
      <c r="B5502" t="s">
        <v>53</v>
      </c>
      <c r="C5502" t="s">
        <v>54</v>
      </c>
      <c r="D5502" t="s">
        <v>55</v>
      </c>
      <c r="E5502" t="s">
        <v>2279</v>
      </c>
      <c r="F5502" t="s">
        <v>1247</v>
      </c>
      <c r="G5502" t="s">
        <v>879</v>
      </c>
      <c r="H5502" t="s">
        <v>880</v>
      </c>
      <c r="I5502" t="s">
        <v>880</v>
      </c>
      <c r="J5502" t="s">
        <v>60</v>
      </c>
      <c r="K5502" t="s">
        <v>505</v>
      </c>
      <c r="L5502" t="s">
        <v>62</v>
      </c>
      <c r="M5502" t="s">
        <v>505</v>
      </c>
      <c r="N5502" t="s">
        <v>881</v>
      </c>
      <c r="O5502" t="s">
        <v>882</v>
      </c>
      <c r="P5502">
        <v>-20.133452999999999</v>
      </c>
      <c r="Q5502">
        <v>-44.890571999999999</v>
      </c>
      <c r="R5502" s="2" t="str">
        <f>HYPERLINK("https://www.google.com/maps?q=-20.1334530,-44.8905720","Abrir no Google Maps")</f>
        <v>Abrir no Google Maps</v>
      </c>
      <c r="S5502">
        <v>3</v>
      </c>
      <c r="T5502">
        <v>373.51332104809921</v>
      </c>
      <c r="U5502">
        <v>1</v>
      </c>
      <c r="V5502">
        <v>0</v>
      </c>
      <c r="W5502">
        <v>1</v>
      </c>
      <c r="X5502">
        <v>0</v>
      </c>
      <c r="Y5502">
        <v>564</v>
      </c>
      <c r="Z5502">
        <v>422.34693311930448</v>
      </c>
      <c r="AA5502">
        <v>198</v>
      </c>
      <c r="AB5502">
        <v>332</v>
      </c>
      <c r="AC5502">
        <v>536</v>
      </c>
      <c r="AD5502">
        <v>0</v>
      </c>
      <c r="AE5502">
        <v>542</v>
      </c>
      <c r="AF5502">
        <v>0</v>
      </c>
      <c r="AG5502">
        <v>0</v>
      </c>
      <c r="AH5502">
        <v>129</v>
      </c>
      <c r="AI5502">
        <v>0</v>
      </c>
      <c r="AJ5502">
        <v>0</v>
      </c>
      <c r="AK5502">
        <v>23.8</v>
      </c>
      <c r="AL5502">
        <v>-20.133421549999952</v>
      </c>
      <c r="AM5502">
        <v>-44.890623456009052</v>
      </c>
      <c r="AN5502">
        <v>-20.133421549999952</v>
      </c>
      <c r="AO5502">
        <v>-44.890623456009052</v>
      </c>
      <c r="AP5502">
        <v>-20.133452999999999</v>
      </c>
      <c r="AQ5502">
        <v>-44.890571999999999</v>
      </c>
      <c r="AR5502">
        <v>6.4172139275452773</v>
      </c>
      <c r="AS5502" t="s">
        <v>65</v>
      </c>
      <c r="AT5502">
        <v>1</v>
      </c>
      <c r="AU5502" t="s">
        <v>883</v>
      </c>
      <c r="AV5502" t="s">
        <v>884</v>
      </c>
      <c r="AW5502" t="s">
        <v>60</v>
      </c>
      <c r="AX5502" t="s">
        <v>68</v>
      </c>
      <c r="AY5502" t="s">
        <v>69</v>
      </c>
      <c r="AZ5502" t="b">
        <v>1</v>
      </c>
    </row>
    <row r="5503" spans="1:52" x14ac:dyDescent="0.3">
      <c r="A5503" t="s">
        <v>52</v>
      </c>
      <c r="B5503" t="s">
        <v>53</v>
      </c>
      <c r="C5503" t="s">
        <v>54</v>
      </c>
      <c r="D5503" t="s">
        <v>55</v>
      </c>
      <c r="E5503" t="s">
        <v>2279</v>
      </c>
      <c r="F5503" t="s">
        <v>1247</v>
      </c>
      <c r="G5503" t="s">
        <v>815</v>
      </c>
      <c r="H5503" t="s">
        <v>1404</v>
      </c>
      <c r="I5503" t="s">
        <v>1404</v>
      </c>
      <c r="J5503" t="s">
        <v>60</v>
      </c>
      <c r="K5503" t="s">
        <v>512</v>
      </c>
      <c r="L5503" t="s">
        <v>62</v>
      </c>
      <c r="M5503" t="s">
        <v>512</v>
      </c>
      <c r="N5503" t="s">
        <v>817</v>
      </c>
      <c r="O5503" t="s">
        <v>1405</v>
      </c>
      <c r="P5503">
        <v>-20.129069999999999</v>
      </c>
      <c r="Q5503">
        <v>-44.888452000000001</v>
      </c>
      <c r="R5503" s="2" t="str">
        <f>HYPERLINK("https://www.google.com/maps?q=-20.1290700,-44.8884520","Abrir no Google Maps")</f>
        <v>Abrir no Google Maps</v>
      </c>
      <c r="S5503">
        <v>3</v>
      </c>
      <c r="T5503">
        <v>0</v>
      </c>
      <c r="U5503">
        <v>1</v>
      </c>
      <c r="V5503">
        <v>0</v>
      </c>
      <c r="W5503">
        <v>0.85</v>
      </c>
      <c r="X5503">
        <v>0</v>
      </c>
      <c r="Y5503">
        <v>564</v>
      </c>
      <c r="Z5503">
        <v>95.870354837220688</v>
      </c>
      <c r="AA5503">
        <v>198</v>
      </c>
      <c r="AB5503">
        <v>332</v>
      </c>
      <c r="AC5503">
        <v>536</v>
      </c>
      <c r="AD5503">
        <v>0</v>
      </c>
      <c r="AE5503">
        <v>542</v>
      </c>
      <c r="AF5503">
        <v>0</v>
      </c>
      <c r="AG5503">
        <v>0</v>
      </c>
      <c r="AH5503">
        <v>129</v>
      </c>
      <c r="AI5503">
        <v>0</v>
      </c>
      <c r="AJ5503">
        <v>0</v>
      </c>
      <c r="AK5503">
        <v>23.8</v>
      </c>
      <c r="AL5503">
        <v>-20.12899334999997</v>
      </c>
      <c r="AM5503">
        <v>-44.888406102471222</v>
      </c>
      <c r="AN5503">
        <v>-20.12899334999997</v>
      </c>
      <c r="AO5503">
        <v>-44.888406102471222</v>
      </c>
      <c r="AP5503">
        <v>-20.129069999999999</v>
      </c>
      <c r="AQ5503">
        <v>-44.888452000000001</v>
      </c>
      <c r="AR5503">
        <v>9.7887731150376265</v>
      </c>
      <c r="AS5503" t="s">
        <v>65</v>
      </c>
      <c r="AT5503">
        <v>1</v>
      </c>
      <c r="AU5503" t="s">
        <v>1406</v>
      </c>
      <c r="AV5503" t="s">
        <v>1407</v>
      </c>
      <c r="AW5503" t="s">
        <v>60</v>
      </c>
      <c r="AX5503" t="s">
        <v>68</v>
      </c>
      <c r="AY5503" t="s">
        <v>69</v>
      </c>
      <c r="AZ5503" t="b">
        <v>1</v>
      </c>
    </row>
    <row r="5504" spans="1:52" x14ac:dyDescent="0.3">
      <c r="A5504" t="s">
        <v>52</v>
      </c>
      <c r="B5504" t="s">
        <v>53</v>
      </c>
      <c r="C5504" t="s">
        <v>54</v>
      </c>
      <c r="D5504" t="s">
        <v>55</v>
      </c>
      <c r="E5504" t="s">
        <v>2279</v>
      </c>
      <c r="F5504" t="s">
        <v>1247</v>
      </c>
      <c r="G5504" t="s">
        <v>523</v>
      </c>
      <c r="H5504" t="s">
        <v>524</v>
      </c>
      <c r="I5504" t="s">
        <v>524</v>
      </c>
      <c r="J5504" t="s">
        <v>60</v>
      </c>
      <c r="K5504" t="s">
        <v>518</v>
      </c>
      <c r="L5504" t="s">
        <v>62</v>
      </c>
      <c r="M5504" t="s">
        <v>518</v>
      </c>
      <c r="N5504" t="s">
        <v>525</v>
      </c>
      <c r="O5504" t="s">
        <v>331</v>
      </c>
      <c r="P5504">
        <v>-20.126553000000001</v>
      </c>
      <c r="Q5504">
        <v>-44.888599999999997</v>
      </c>
      <c r="R5504" s="2" t="str">
        <f>HYPERLINK("https://www.google.com/maps?q=-20.1265530,-44.8886000","Abrir no Google Maps")</f>
        <v>Abrir no Google Maps</v>
      </c>
      <c r="S5504">
        <v>3</v>
      </c>
      <c r="T5504">
        <v>256.34043440603853</v>
      </c>
      <c r="U5504">
        <v>1</v>
      </c>
      <c r="V5504">
        <v>0</v>
      </c>
      <c r="W5504">
        <v>1</v>
      </c>
      <c r="X5504">
        <v>0</v>
      </c>
      <c r="Y5504">
        <v>564</v>
      </c>
      <c r="Z5504">
        <v>325.4404273055876</v>
      </c>
      <c r="AA5504">
        <v>198</v>
      </c>
      <c r="AB5504">
        <v>332</v>
      </c>
      <c r="AC5504">
        <v>536</v>
      </c>
      <c r="AD5504">
        <v>0</v>
      </c>
      <c r="AE5504">
        <v>542</v>
      </c>
      <c r="AF5504">
        <v>0</v>
      </c>
      <c r="AG5504">
        <v>0</v>
      </c>
      <c r="AH5504">
        <v>129</v>
      </c>
      <c r="AI5504">
        <v>0</v>
      </c>
      <c r="AJ5504">
        <v>0</v>
      </c>
      <c r="AK5504">
        <v>23.8</v>
      </c>
      <c r="AL5504">
        <v>-20.12669049999997</v>
      </c>
      <c r="AM5504">
        <v>-44.888671289876577</v>
      </c>
      <c r="AN5504">
        <v>-20.12669049999997</v>
      </c>
      <c r="AO5504">
        <v>-44.888671289876577</v>
      </c>
      <c r="AP5504">
        <v>-20.126553000000001</v>
      </c>
      <c r="AQ5504">
        <v>-44.888599999999997</v>
      </c>
      <c r="AR5504">
        <v>17.023861591720589</v>
      </c>
      <c r="AS5504" t="s">
        <v>65</v>
      </c>
      <c r="AT5504">
        <v>1</v>
      </c>
      <c r="AU5504" t="s">
        <v>526</v>
      </c>
      <c r="AV5504" t="s">
        <v>527</v>
      </c>
      <c r="AW5504" t="s">
        <v>60</v>
      </c>
      <c r="AX5504" t="s">
        <v>68</v>
      </c>
      <c r="AY5504" t="s">
        <v>69</v>
      </c>
      <c r="AZ5504" t="b">
        <v>1</v>
      </c>
    </row>
    <row r="5505" spans="1:52" x14ac:dyDescent="0.3">
      <c r="A5505" t="s">
        <v>52</v>
      </c>
      <c r="B5505" t="s">
        <v>53</v>
      </c>
      <c r="C5505" t="s">
        <v>54</v>
      </c>
      <c r="D5505" t="s">
        <v>55</v>
      </c>
      <c r="E5505" t="s">
        <v>2279</v>
      </c>
      <c r="F5505" t="s">
        <v>1247</v>
      </c>
      <c r="G5505" t="s">
        <v>1429</v>
      </c>
      <c r="H5505" t="s">
        <v>1430</v>
      </c>
      <c r="I5505" t="s">
        <v>1430</v>
      </c>
      <c r="J5505" t="s">
        <v>60</v>
      </c>
      <c r="K5505" t="s">
        <v>505</v>
      </c>
      <c r="L5505" t="s">
        <v>62</v>
      </c>
      <c r="M5505" t="s">
        <v>505</v>
      </c>
      <c r="N5505" t="s">
        <v>1431</v>
      </c>
      <c r="O5505" t="s">
        <v>1432</v>
      </c>
      <c r="P5505">
        <v>-20.132069000000001</v>
      </c>
      <c r="Q5505">
        <v>-44.891694000000001</v>
      </c>
      <c r="R5505" s="2" t="str">
        <f>HYPERLINK("https://www.google.com/maps?q=-20.1320690,-44.8916940","Abrir no Google Maps")</f>
        <v>Abrir no Google Maps</v>
      </c>
      <c r="S5505">
        <v>3</v>
      </c>
      <c r="T5505">
        <v>463.84477613866852</v>
      </c>
      <c r="U5505">
        <v>1</v>
      </c>
      <c r="V5505">
        <v>0</v>
      </c>
      <c r="W5505">
        <v>0.85</v>
      </c>
      <c r="X5505">
        <v>0</v>
      </c>
      <c r="Y5505">
        <v>564</v>
      </c>
      <c r="Z5505">
        <v>349.6044774510159</v>
      </c>
      <c r="AA5505">
        <v>198</v>
      </c>
      <c r="AB5505">
        <v>332</v>
      </c>
      <c r="AC5505">
        <v>536</v>
      </c>
      <c r="AD5505">
        <v>0</v>
      </c>
      <c r="AE5505">
        <v>542</v>
      </c>
      <c r="AF5505">
        <v>0</v>
      </c>
      <c r="AG5505">
        <v>0</v>
      </c>
      <c r="AH5505">
        <v>129</v>
      </c>
      <c r="AI5505">
        <v>0</v>
      </c>
      <c r="AJ5505">
        <v>0</v>
      </c>
      <c r="AK5505">
        <v>23.8</v>
      </c>
      <c r="AL5505">
        <v>-20.131860799999941</v>
      </c>
      <c r="AM5505">
        <v>-44.891643045551348</v>
      </c>
      <c r="AN5505">
        <v>-20.131860799999941</v>
      </c>
      <c r="AO5505">
        <v>-44.891643045551348</v>
      </c>
      <c r="AP5505">
        <v>-20.132069000000001</v>
      </c>
      <c r="AQ5505">
        <v>-44.891694000000001</v>
      </c>
      <c r="AR5505">
        <v>23.780836080569209</v>
      </c>
      <c r="AS5505" t="s">
        <v>65</v>
      </c>
      <c r="AT5505">
        <v>1</v>
      </c>
      <c r="AU5505" t="s">
        <v>1433</v>
      </c>
      <c r="AV5505" t="s">
        <v>1434</v>
      </c>
      <c r="AW5505" t="s">
        <v>60</v>
      </c>
      <c r="AX5505" t="s">
        <v>68</v>
      </c>
      <c r="AY5505" t="s">
        <v>69</v>
      </c>
      <c r="AZ5505" t="b">
        <v>1</v>
      </c>
    </row>
    <row r="5506" spans="1:52" x14ac:dyDescent="0.3">
      <c r="A5506" t="s">
        <v>52</v>
      </c>
      <c r="B5506" t="s">
        <v>53</v>
      </c>
      <c r="C5506" t="s">
        <v>54</v>
      </c>
      <c r="D5506" t="s">
        <v>55</v>
      </c>
      <c r="E5506" t="s">
        <v>2279</v>
      </c>
      <c r="F5506" t="s">
        <v>1247</v>
      </c>
      <c r="G5506" t="s">
        <v>649</v>
      </c>
      <c r="H5506" t="s">
        <v>885</v>
      </c>
      <c r="I5506" t="s">
        <v>885</v>
      </c>
      <c r="J5506" t="s">
        <v>60</v>
      </c>
      <c r="K5506" t="s">
        <v>886</v>
      </c>
      <c r="L5506" t="s">
        <v>62</v>
      </c>
      <c r="M5506" t="s">
        <v>886</v>
      </c>
      <c r="N5506" t="s">
        <v>652</v>
      </c>
      <c r="O5506" t="s">
        <v>887</v>
      </c>
      <c r="P5506">
        <v>-20.132252000000001</v>
      </c>
      <c r="Q5506">
        <v>-44.894159000000002</v>
      </c>
      <c r="R5506" s="2" t="str">
        <f>HYPERLINK("https://www.google.com/maps?q=-20.1322520,-44.8941590","Abrir no Google Maps")</f>
        <v>Abrir no Google Maps</v>
      </c>
      <c r="S5506">
        <v>3</v>
      </c>
      <c r="T5506">
        <v>699.5004749448899</v>
      </c>
      <c r="U5506">
        <v>1</v>
      </c>
      <c r="V5506">
        <v>0</v>
      </c>
      <c r="W5506">
        <v>0.85</v>
      </c>
      <c r="X5506">
        <v>0</v>
      </c>
      <c r="Y5506">
        <v>564</v>
      </c>
      <c r="Z5506">
        <v>522.21103586457991</v>
      </c>
      <c r="AA5506">
        <v>198</v>
      </c>
      <c r="AB5506">
        <v>332</v>
      </c>
      <c r="AC5506">
        <v>536</v>
      </c>
      <c r="AD5506">
        <v>0</v>
      </c>
      <c r="AE5506">
        <v>542</v>
      </c>
      <c r="AF5506">
        <v>0</v>
      </c>
      <c r="AG5506">
        <v>0</v>
      </c>
      <c r="AH5506">
        <v>129</v>
      </c>
      <c r="AI5506">
        <v>0</v>
      </c>
      <c r="AJ5506">
        <v>0</v>
      </c>
      <c r="AK5506">
        <v>23.8</v>
      </c>
      <c r="AL5506">
        <v>-20.132285999999969</v>
      </c>
      <c r="AM5506">
        <v>-44.894119001288672</v>
      </c>
      <c r="AN5506">
        <v>-20.132285999999969</v>
      </c>
      <c r="AO5506">
        <v>-44.894119001288672</v>
      </c>
      <c r="AP5506">
        <v>-20.132252000000001</v>
      </c>
      <c r="AQ5506">
        <v>-44.894159000000002</v>
      </c>
      <c r="AR5506">
        <v>5.6393921063261629</v>
      </c>
      <c r="AS5506" t="s">
        <v>65</v>
      </c>
      <c r="AT5506">
        <v>1</v>
      </c>
      <c r="AU5506" t="s">
        <v>888</v>
      </c>
      <c r="AV5506" t="s">
        <v>889</v>
      </c>
      <c r="AW5506" t="s">
        <v>60</v>
      </c>
      <c r="AX5506" t="s">
        <v>68</v>
      </c>
      <c r="AY5506" t="s">
        <v>69</v>
      </c>
      <c r="AZ5506" t="b">
        <v>1</v>
      </c>
    </row>
    <row r="5507" spans="1:52" x14ac:dyDescent="0.3">
      <c r="A5507" t="s">
        <v>52</v>
      </c>
      <c r="B5507" t="s">
        <v>53</v>
      </c>
      <c r="C5507" t="s">
        <v>54</v>
      </c>
      <c r="D5507" t="s">
        <v>55</v>
      </c>
      <c r="E5507" t="s">
        <v>2279</v>
      </c>
      <c r="F5507" t="s">
        <v>1247</v>
      </c>
      <c r="G5507" t="s">
        <v>1435</v>
      </c>
      <c r="H5507" t="s">
        <v>1436</v>
      </c>
      <c r="I5507" t="s">
        <v>1436</v>
      </c>
      <c r="J5507" t="s">
        <v>60</v>
      </c>
      <c r="K5507" t="s">
        <v>886</v>
      </c>
      <c r="L5507" t="s">
        <v>62</v>
      </c>
      <c r="M5507" t="s">
        <v>886</v>
      </c>
      <c r="N5507" t="s">
        <v>1437</v>
      </c>
      <c r="O5507" t="s">
        <v>1438</v>
      </c>
      <c r="P5507">
        <v>-20.131108000000001</v>
      </c>
      <c r="Q5507">
        <v>-44.893228000000001</v>
      </c>
      <c r="R5507" s="2" t="str">
        <f>HYPERLINK("https://www.google.com/maps?q=-20.1311080,-44.8932280","Abrir no Google Maps")</f>
        <v>Abrir no Google Maps</v>
      </c>
      <c r="S5507">
        <v>3</v>
      </c>
      <c r="T5507">
        <v>548.07497919430136</v>
      </c>
      <c r="U5507">
        <v>1</v>
      </c>
      <c r="V5507">
        <v>0</v>
      </c>
      <c r="W5507">
        <v>0.85</v>
      </c>
      <c r="X5507">
        <v>0</v>
      </c>
      <c r="Y5507">
        <v>564</v>
      </c>
      <c r="Z5507">
        <v>369.17139216388432</v>
      </c>
      <c r="AA5507">
        <v>198</v>
      </c>
      <c r="AB5507">
        <v>332</v>
      </c>
      <c r="AC5507">
        <v>536</v>
      </c>
      <c r="AD5507">
        <v>0</v>
      </c>
      <c r="AE5507">
        <v>542</v>
      </c>
      <c r="AF5507">
        <v>0</v>
      </c>
      <c r="AG5507">
        <v>0</v>
      </c>
      <c r="AH5507">
        <v>129</v>
      </c>
      <c r="AI5507">
        <v>0</v>
      </c>
      <c r="AJ5507">
        <v>0</v>
      </c>
      <c r="AK5507">
        <v>23.8</v>
      </c>
      <c r="AL5507">
        <v>-20.13103294999997</v>
      </c>
      <c r="AM5507">
        <v>-44.89318457893738</v>
      </c>
      <c r="AN5507">
        <v>-20.13103294999997</v>
      </c>
      <c r="AO5507">
        <v>-44.89318457893738</v>
      </c>
      <c r="AP5507">
        <v>-20.131108000000001</v>
      </c>
      <c r="AQ5507">
        <v>-44.893228000000001</v>
      </c>
      <c r="AR5507">
        <v>9.5076426885244203</v>
      </c>
      <c r="AS5507" t="s">
        <v>65</v>
      </c>
      <c r="AT5507">
        <v>1</v>
      </c>
      <c r="AU5507" t="s">
        <v>1439</v>
      </c>
      <c r="AV5507" t="s">
        <v>1440</v>
      </c>
      <c r="AW5507" t="s">
        <v>60</v>
      </c>
      <c r="AX5507" t="s">
        <v>68</v>
      </c>
      <c r="AY5507" t="s">
        <v>69</v>
      </c>
      <c r="AZ5507" t="b">
        <v>1</v>
      </c>
    </row>
    <row r="5508" spans="1:52" x14ac:dyDescent="0.3">
      <c r="A5508" t="s">
        <v>52</v>
      </c>
      <c r="B5508" t="s">
        <v>53</v>
      </c>
      <c r="C5508" t="s">
        <v>54</v>
      </c>
      <c r="D5508" t="s">
        <v>55</v>
      </c>
      <c r="E5508" t="s">
        <v>2279</v>
      </c>
      <c r="F5508" t="s">
        <v>1247</v>
      </c>
      <c r="G5508" t="s">
        <v>503</v>
      </c>
      <c r="H5508" t="s">
        <v>1441</v>
      </c>
      <c r="I5508" t="s">
        <v>1441</v>
      </c>
      <c r="J5508" t="s">
        <v>60</v>
      </c>
      <c r="K5508" t="s">
        <v>512</v>
      </c>
      <c r="L5508" t="s">
        <v>62</v>
      </c>
      <c r="M5508" t="s">
        <v>512</v>
      </c>
      <c r="N5508" t="s">
        <v>506</v>
      </c>
      <c r="O5508" t="s">
        <v>1442</v>
      </c>
      <c r="P5508">
        <v>-20.13036</v>
      </c>
      <c r="Q5508">
        <v>-44.891019</v>
      </c>
      <c r="R5508" s="2" t="str">
        <f>HYPERLINK("https://www.google.com/maps?q=-20.1303600,-44.8910190","Abrir no Google Maps")</f>
        <v>Abrir no Google Maps</v>
      </c>
      <c r="S5508">
        <v>3</v>
      </c>
      <c r="T5508">
        <v>313.17410616307359</v>
      </c>
      <c r="U5508">
        <v>1</v>
      </c>
      <c r="V5508">
        <v>0</v>
      </c>
      <c r="W5508">
        <v>0.85</v>
      </c>
      <c r="X5508">
        <v>0</v>
      </c>
      <c r="Y5508">
        <v>564</v>
      </c>
      <c r="Z5508">
        <v>208.43159293494489</v>
      </c>
      <c r="AA5508">
        <v>198</v>
      </c>
      <c r="AB5508">
        <v>332</v>
      </c>
      <c r="AC5508">
        <v>536</v>
      </c>
      <c r="AD5508">
        <v>0</v>
      </c>
      <c r="AE5508">
        <v>542</v>
      </c>
      <c r="AF5508">
        <v>0</v>
      </c>
      <c r="AG5508">
        <v>0</v>
      </c>
      <c r="AH5508">
        <v>129</v>
      </c>
      <c r="AI5508">
        <v>0</v>
      </c>
      <c r="AJ5508">
        <v>0</v>
      </c>
      <c r="AK5508">
        <v>23.8</v>
      </c>
      <c r="AL5508">
        <v>-20.130100449999961</v>
      </c>
      <c r="AM5508">
        <v>-44.891163633475301</v>
      </c>
      <c r="AN5508">
        <v>-20.130100449999961</v>
      </c>
      <c r="AO5508">
        <v>-44.891163633475301</v>
      </c>
      <c r="AP5508">
        <v>-20.13036</v>
      </c>
      <c r="AQ5508">
        <v>-44.891019</v>
      </c>
      <c r="AR5508">
        <v>32.608854575381159</v>
      </c>
      <c r="AS5508" t="s">
        <v>65</v>
      </c>
      <c r="AT5508">
        <v>1</v>
      </c>
      <c r="AU5508" t="s">
        <v>1443</v>
      </c>
      <c r="AV5508" t="s">
        <v>1444</v>
      </c>
      <c r="AW5508" t="s">
        <v>60</v>
      </c>
      <c r="AX5508" t="s">
        <v>68</v>
      </c>
      <c r="AY5508" t="s">
        <v>69</v>
      </c>
      <c r="AZ5508" t="b">
        <v>1</v>
      </c>
    </row>
    <row r="5509" spans="1:52" x14ac:dyDescent="0.3">
      <c r="A5509" t="s">
        <v>52</v>
      </c>
      <c r="B5509" t="s">
        <v>53</v>
      </c>
      <c r="C5509" t="s">
        <v>54</v>
      </c>
      <c r="D5509" t="s">
        <v>55</v>
      </c>
      <c r="E5509" t="s">
        <v>2279</v>
      </c>
      <c r="F5509" t="s">
        <v>1247</v>
      </c>
      <c r="G5509" t="s">
        <v>1408</v>
      </c>
      <c r="H5509" t="s">
        <v>1409</v>
      </c>
      <c r="I5509" t="s">
        <v>1409</v>
      </c>
      <c r="J5509" t="s">
        <v>60</v>
      </c>
      <c r="K5509" t="s">
        <v>200</v>
      </c>
      <c r="L5509" t="s">
        <v>62</v>
      </c>
      <c r="M5509" t="s">
        <v>200</v>
      </c>
      <c r="N5509" t="s">
        <v>1410</v>
      </c>
      <c r="O5509" t="s">
        <v>1001</v>
      </c>
      <c r="P5509">
        <v>-20.126062999999998</v>
      </c>
      <c r="Q5509">
        <v>-44.894936999999999</v>
      </c>
      <c r="R5509" s="2" t="str">
        <f>HYPERLINK("https://www.google.com/maps?q=-20.1260630,-44.8949370","Abrir no Google Maps")</f>
        <v>Abrir no Google Maps</v>
      </c>
      <c r="S5509">
        <v>3</v>
      </c>
      <c r="T5509">
        <v>747.3122077966558</v>
      </c>
      <c r="U5509">
        <v>1</v>
      </c>
      <c r="V5509">
        <v>0</v>
      </c>
      <c r="W5509">
        <v>0.85</v>
      </c>
      <c r="X5509">
        <v>0</v>
      </c>
      <c r="Y5509">
        <v>564</v>
      </c>
      <c r="Z5509">
        <v>693.80888866206885</v>
      </c>
      <c r="AA5509">
        <v>198</v>
      </c>
      <c r="AB5509">
        <v>332</v>
      </c>
      <c r="AC5509">
        <v>536</v>
      </c>
      <c r="AD5509">
        <v>0</v>
      </c>
      <c r="AE5509">
        <v>542</v>
      </c>
      <c r="AF5509">
        <v>0</v>
      </c>
      <c r="AG5509">
        <v>0</v>
      </c>
      <c r="AH5509">
        <v>129</v>
      </c>
      <c r="AI5509">
        <v>0</v>
      </c>
      <c r="AJ5509">
        <v>0</v>
      </c>
      <c r="AK5509">
        <v>23.8</v>
      </c>
      <c r="AL5509">
        <v>-20.126099149999959</v>
      </c>
      <c r="AM5509">
        <v>-44.894866076436763</v>
      </c>
      <c r="AN5509">
        <v>-20.126099149999959</v>
      </c>
      <c r="AO5509">
        <v>-44.894866076436749</v>
      </c>
      <c r="AP5509">
        <v>-20.126062999999998</v>
      </c>
      <c r="AQ5509">
        <v>-44.894936999999999</v>
      </c>
      <c r="AR5509">
        <v>8.4349593682699737</v>
      </c>
      <c r="AS5509" t="s">
        <v>65</v>
      </c>
      <c r="AT5509">
        <v>1</v>
      </c>
      <c r="AU5509" t="s">
        <v>1411</v>
      </c>
      <c r="AV5509" t="s">
        <v>1003</v>
      </c>
      <c r="AW5509" t="s">
        <v>60</v>
      </c>
      <c r="AX5509" t="s">
        <v>68</v>
      </c>
      <c r="AY5509" t="s">
        <v>69</v>
      </c>
      <c r="AZ5509" t="b">
        <v>1</v>
      </c>
    </row>
    <row r="5510" spans="1:52" x14ac:dyDescent="0.3">
      <c r="A5510" t="s">
        <v>52</v>
      </c>
      <c r="B5510" t="s">
        <v>53</v>
      </c>
      <c r="C5510" t="s">
        <v>54</v>
      </c>
      <c r="D5510" t="s">
        <v>55</v>
      </c>
      <c r="E5510" t="s">
        <v>2279</v>
      </c>
      <c r="F5510" t="s">
        <v>1247</v>
      </c>
      <c r="G5510" t="s">
        <v>528</v>
      </c>
      <c r="H5510" t="s">
        <v>529</v>
      </c>
      <c r="I5510" t="s">
        <v>529</v>
      </c>
      <c r="J5510" t="s">
        <v>60</v>
      </c>
      <c r="K5510" t="s">
        <v>530</v>
      </c>
      <c r="L5510" t="s">
        <v>62</v>
      </c>
      <c r="M5510" t="s">
        <v>530</v>
      </c>
      <c r="N5510" t="s">
        <v>531</v>
      </c>
      <c r="O5510" t="s">
        <v>532</v>
      </c>
      <c r="P5510">
        <v>-20.142457</v>
      </c>
      <c r="Q5510">
        <v>-44.891688000000002</v>
      </c>
      <c r="R5510" s="2" t="str">
        <f>HYPERLINK("https://www.google.com/maps?q=-20.1424570,-44.8916880","Abrir no Google Maps")</f>
        <v>Abrir no Google Maps</v>
      </c>
      <c r="S5510">
        <v>3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557</v>
      </c>
      <c r="Z5510">
        <v>42.611952255679803</v>
      </c>
      <c r="AA5510">
        <v>198</v>
      </c>
      <c r="AB5510">
        <v>332</v>
      </c>
      <c r="AC5510">
        <v>536</v>
      </c>
      <c r="AD5510">
        <v>0</v>
      </c>
      <c r="AE5510">
        <v>542</v>
      </c>
      <c r="AF5510">
        <v>0</v>
      </c>
      <c r="AG5510">
        <v>0</v>
      </c>
      <c r="AH5510">
        <v>129</v>
      </c>
      <c r="AI5510">
        <v>0</v>
      </c>
      <c r="AJ5510">
        <v>0</v>
      </c>
      <c r="AK5510">
        <v>23.8</v>
      </c>
      <c r="AL5510">
        <v>-20.142523099999948</v>
      </c>
      <c r="AM5510">
        <v>-44.891523817588819</v>
      </c>
      <c r="AN5510">
        <v>-20.142523099999948</v>
      </c>
      <c r="AO5510">
        <v>-44.891523817588819</v>
      </c>
      <c r="AP5510">
        <v>-20.142457</v>
      </c>
      <c r="AQ5510">
        <v>-44.891688000000002</v>
      </c>
      <c r="AR5510">
        <v>18.670129248632971</v>
      </c>
      <c r="AS5510" t="s">
        <v>65</v>
      </c>
      <c r="AT5510">
        <v>1</v>
      </c>
      <c r="AU5510" t="s">
        <v>533</v>
      </c>
      <c r="AV5510" t="s">
        <v>534</v>
      </c>
      <c r="AW5510" t="s">
        <v>60</v>
      </c>
      <c r="AX5510" t="s">
        <v>68</v>
      </c>
      <c r="AY5510" t="s">
        <v>69</v>
      </c>
      <c r="AZ5510" t="b">
        <v>1</v>
      </c>
    </row>
    <row r="5511" spans="1:52" x14ac:dyDescent="0.3">
      <c r="A5511" t="s">
        <v>52</v>
      </c>
      <c r="B5511" t="s">
        <v>53</v>
      </c>
      <c r="C5511" t="s">
        <v>54</v>
      </c>
      <c r="D5511" t="s">
        <v>55</v>
      </c>
      <c r="E5511" t="s">
        <v>2279</v>
      </c>
      <c r="F5511" t="s">
        <v>1247</v>
      </c>
      <c r="G5511" t="s">
        <v>473</v>
      </c>
      <c r="H5511" t="s">
        <v>1445</v>
      </c>
      <c r="I5511" t="s">
        <v>1445</v>
      </c>
      <c r="J5511" t="s">
        <v>60</v>
      </c>
      <c r="K5511" t="s">
        <v>892</v>
      </c>
      <c r="L5511" t="s">
        <v>62</v>
      </c>
      <c r="M5511" t="s">
        <v>892</v>
      </c>
      <c r="N5511" t="s">
        <v>406</v>
      </c>
      <c r="O5511" t="s">
        <v>1446</v>
      </c>
      <c r="P5511">
        <v>-20.14941</v>
      </c>
      <c r="Q5511">
        <v>-44.899535</v>
      </c>
      <c r="R5511" s="2" t="str">
        <f>HYPERLINK("https://www.google.com/maps?q=-20.1494100,-44.8995350","Abrir no Google Maps")</f>
        <v>Abrir no Google Maps</v>
      </c>
      <c r="S5511">
        <v>3</v>
      </c>
      <c r="T5511">
        <v>249.83945591849931</v>
      </c>
      <c r="U5511">
        <v>1</v>
      </c>
      <c r="V5511">
        <v>0</v>
      </c>
      <c r="W5511">
        <v>0.85</v>
      </c>
      <c r="X5511">
        <v>0</v>
      </c>
      <c r="Y5511">
        <v>556</v>
      </c>
      <c r="Z5511">
        <v>156.62360082488701</v>
      </c>
      <c r="AA5511">
        <v>198</v>
      </c>
      <c r="AB5511">
        <v>332</v>
      </c>
      <c r="AC5511">
        <v>536</v>
      </c>
      <c r="AD5511">
        <v>0</v>
      </c>
      <c r="AE5511">
        <v>542</v>
      </c>
      <c r="AF5511">
        <v>0</v>
      </c>
      <c r="AG5511">
        <v>0</v>
      </c>
      <c r="AH5511">
        <v>129</v>
      </c>
      <c r="AI5511">
        <v>0</v>
      </c>
      <c r="AJ5511">
        <v>0</v>
      </c>
      <c r="AK5511">
        <v>23.8</v>
      </c>
      <c r="AL5511">
        <v>-20.149341899999939</v>
      </c>
      <c r="AM5511">
        <v>-44.899575902083967</v>
      </c>
      <c r="AN5511">
        <v>-20.149341899999939</v>
      </c>
      <c r="AO5511">
        <v>-44.899575902083967</v>
      </c>
      <c r="AP5511">
        <v>-20.14941</v>
      </c>
      <c r="AQ5511">
        <v>-44.899535</v>
      </c>
      <c r="AR5511">
        <v>8.7029725999778709</v>
      </c>
      <c r="AS5511" t="s">
        <v>65</v>
      </c>
      <c r="AT5511">
        <v>1</v>
      </c>
      <c r="AU5511" t="s">
        <v>1447</v>
      </c>
      <c r="AV5511" t="s">
        <v>1448</v>
      </c>
      <c r="AW5511" t="s">
        <v>60</v>
      </c>
      <c r="AX5511" t="s">
        <v>68</v>
      </c>
      <c r="AY5511" t="s">
        <v>69</v>
      </c>
      <c r="AZ5511" t="b">
        <v>1</v>
      </c>
    </row>
    <row r="5512" spans="1:52" x14ac:dyDescent="0.3">
      <c r="A5512" t="s">
        <v>52</v>
      </c>
      <c r="B5512" t="s">
        <v>53</v>
      </c>
      <c r="C5512" t="s">
        <v>54</v>
      </c>
      <c r="D5512" t="s">
        <v>55</v>
      </c>
      <c r="E5512" t="s">
        <v>2279</v>
      </c>
      <c r="F5512" t="s">
        <v>1247</v>
      </c>
      <c r="G5512" t="s">
        <v>890</v>
      </c>
      <c r="H5512" t="s">
        <v>891</v>
      </c>
      <c r="I5512" t="s">
        <v>891</v>
      </c>
      <c r="J5512" t="s">
        <v>60</v>
      </c>
      <c r="K5512" t="s">
        <v>892</v>
      </c>
      <c r="L5512" t="s">
        <v>62</v>
      </c>
      <c r="M5512" t="s">
        <v>892</v>
      </c>
      <c r="N5512" t="s">
        <v>893</v>
      </c>
      <c r="O5512" t="s">
        <v>894</v>
      </c>
      <c r="P5512">
        <v>-20.152519000000002</v>
      </c>
      <c r="Q5512">
        <v>-44.899177000000002</v>
      </c>
      <c r="R5512" s="2" t="str">
        <f>HYPERLINK("https://www.google.com/maps?q=-20.1525190,-44.8991770","Abrir no Google Maps")</f>
        <v>Abrir no Google Maps</v>
      </c>
      <c r="S5512">
        <v>3</v>
      </c>
      <c r="T5512">
        <v>211.80188552994721</v>
      </c>
      <c r="U5512">
        <v>1</v>
      </c>
      <c r="V5512">
        <v>0</v>
      </c>
      <c r="W5512">
        <v>1</v>
      </c>
      <c r="X5512">
        <v>0</v>
      </c>
      <c r="Y5512">
        <v>556</v>
      </c>
      <c r="Z5512">
        <v>290.34804137107091</v>
      </c>
      <c r="AA5512">
        <v>198</v>
      </c>
      <c r="AB5512">
        <v>332</v>
      </c>
      <c r="AC5512">
        <v>536</v>
      </c>
      <c r="AD5512">
        <v>0</v>
      </c>
      <c r="AE5512">
        <v>542</v>
      </c>
      <c r="AF5512">
        <v>0</v>
      </c>
      <c r="AG5512">
        <v>0</v>
      </c>
      <c r="AH5512">
        <v>129</v>
      </c>
      <c r="AI5512">
        <v>0</v>
      </c>
      <c r="AJ5512">
        <v>0</v>
      </c>
      <c r="AK5512">
        <v>23.8</v>
      </c>
      <c r="AL5512">
        <v>-20.152516249999959</v>
      </c>
      <c r="AM5512">
        <v>-44.899310431333959</v>
      </c>
      <c r="AN5512">
        <v>-20.152516249999959</v>
      </c>
      <c r="AO5512">
        <v>-44.899310431333959</v>
      </c>
      <c r="AP5512">
        <v>-20.152519000000002</v>
      </c>
      <c r="AQ5512">
        <v>-44.899177000000002</v>
      </c>
      <c r="AR5512">
        <v>13.947583284957719</v>
      </c>
      <c r="AS5512" t="s">
        <v>65</v>
      </c>
      <c r="AT5512">
        <v>1</v>
      </c>
      <c r="AU5512" t="s">
        <v>895</v>
      </c>
      <c r="AV5512" t="s">
        <v>896</v>
      </c>
      <c r="AW5512" t="s">
        <v>60</v>
      </c>
      <c r="AX5512" t="s">
        <v>68</v>
      </c>
      <c r="AY5512" t="s">
        <v>69</v>
      </c>
      <c r="AZ5512" t="b">
        <v>1</v>
      </c>
    </row>
    <row r="5513" spans="1:52" x14ac:dyDescent="0.3">
      <c r="A5513" t="s">
        <v>52</v>
      </c>
      <c r="B5513" t="s">
        <v>53</v>
      </c>
      <c r="C5513" t="s">
        <v>54</v>
      </c>
      <c r="D5513" t="s">
        <v>55</v>
      </c>
      <c r="E5513" t="s">
        <v>2279</v>
      </c>
      <c r="F5513" t="s">
        <v>1247</v>
      </c>
      <c r="G5513" t="s">
        <v>535</v>
      </c>
      <c r="H5513" t="s">
        <v>536</v>
      </c>
      <c r="I5513" t="s">
        <v>536</v>
      </c>
      <c r="J5513" t="s">
        <v>60</v>
      </c>
      <c r="K5513" t="s">
        <v>388</v>
      </c>
      <c r="L5513" t="s">
        <v>62</v>
      </c>
      <c r="M5513" t="s">
        <v>388</v>
      </c>
      <c r="N5513" t="s">
        <v>537</v>
      </c>
      <c r="O5513" t="s">
        <v>538</v>
      </c>
      <c r="P5513">
        <v>-20.150061999999998</v>
      </c>
      <c r="Q5513">
        <v>-44.903379000000001</v>
      </c>
      <c r="R5513" s="2" t="str">
        <f>HYPERLINK("https://www.google.com/maps?q=-20.1500620,-44.9033790","Abrir no Google Maps")</f>
        <v>Abrir no Google Maps</v>
      </c>
      <c r="S5513">
        <v>3</v>
      </c>
      <c r="T5513">
        <v>286.20313674219977</v>
      </c>
      <c r="U5513">
        <v>1</v>
      </c>
      <c r="V5513">
        <v>0</v>
      </c>
      <c r="W5513">
        <v>1</v>
      </c>
      <c r="X5513">
        <v>0</v>
      </c>
      <c r="Y5513">
        <v>556</v>
      </c>
      <c r="Z5513">
        <v>315.81851898667401</v>
      </c>
      <c r="AA5513">
        <v>198</v>
      </c>
      <c r="AB5513">
        <v>332</v>
      </c>
      <c r="AC5513">
        <v>536</v>
      </c>
      <c r="AD5513">
        <v>0</v>
      </c>
      <c r="AE5513">
        <v>542</v>
      </c>
      <c r="AF5513">
        <v>0</v>
      </c>
      <c r="AG5513">
        <v>0</v>
      </c>
      <c r="AH5513">
        <v>129</v>
      </c>
      <c r="AI5513">
        <v>0</v>
      </c>
      <c r="AJ5513">
        <v>0</v>
      </c>
      <c r="AK5513">
        <v>23.8</v>
      </c>
      <c r="AL5513">
        <v>-20.150084299999971</v>
      </c>
      <c r="AM5513">
        <v>-44.903278407568479</v>
      </c>
      <c r="AN5513">
        <v>-20.150084299999971</v>
      </c>
      <c r="AO5513">
        <v>-44.903278407568479</v>
      </c>
      <c r="AP5513">
        <v>-20.150061999999998</v>
      </c>
      <c r="AQ5513">
        <v>-44.903379000000001</v>
      </c>
      <c r="AR5513">
        <v>10.801687336134639</v>
      </c>
      <c r="AS5513" t="s">
        <v>65</v>
      </c>
      <c r="AT5513">
        <v>1</v>
      </c>
      <c r="AU5513" t="s">
        <v>539</v>
      </c>
      <c r="AV5513" t="s">
        <v>540</v>
      </c>
      <c r="AW5513" t="s">
        <v>60</v>
      </c>
      <c r="AX5513" t="s">
        <v>68</v>
      </c>
      <c r="AY5513" t="s">
        <v>69</v>
      </c>
      <c r="AZ5513" t="b">
        <v>1</v>
      </c>
    </row>
    <row r="5514" spans="1:52" x14ac:dyDescent="0.3">
      <c r="A5514" t="s">
        <v>52</v>
      </c>
      <c r="B5514" t="s">
        <v>53</v>
      </c>
      <c r="C5514" t="s">
        <v>54</v>
      </c>
      <c r="D5514" t="s">
        <v>55</v>
      </c>
      <c r="E5514" t="s">
        <v>2279</v>
      </c>
      <c r="F5514" t="s">
        <v>1247</v>
      </c>
      <c r="G5514" t="s">
        <v>398</v>
      </c>
      <c r="H5514" t="s">
        <v>541</v>
      </c>
      <c r="I5514" t="s">
        <v>541</v>
      </c>
      <c r="J5514" t="s">
        <v>60</v>
      </c>
      <c r="K5514" t="s">
        <v>388</v>
      </c>
      <c r="L5514" t="s">
        <v>62</v>
      </c>
      <c r="M5514" t="s">
        <v>388</v>
      </c>
      <c r="N5514" t="s">
        <v>400</v>
      </c>
      <c r="O5514" t="s">
        <v>542</v>
      </c>
      <c r="P5514">
        <v>-20.151335</v>
      </c>
      <c r="Q5514">
        <v>-44.901041999999997</v>
      </c>
      <c r="R5514" s="2" t="str">
        <f>HYPERLINK("https://www.google.com/maps?q=-20.1513350,-44.9010420","Abrir no Google Maps")</f>
        <v>Abrir no Google Maps</v>
      </c>
      <c r="S5514">
        <v>3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556</v>
      </c>
      <c r="Z5514">
        <v>137.71609036908939</v>
      </c>
      <c r="AA5514">
        <v>198</v>
      </c>
      <c r="AB5514">
        <v>332</v>
      </c>
      <c r="AC5514">
        <v>536</v>
      </c>
      <c r="AD5514">
        <v>0</v>
      </c>
      <c r="AE5514">
        <v>542</v>
      </c>
      <c r="AF5514">
        <v>0</v>
      </c>
      <c r="AG5514">
        <v>0</v>
      </c>
      <c r="AH5514">
        <v>129</v>
      </c>
      <c r="AI5514">
        <v>0</v>
      </c>
      <c r="AJ5514">
        <v>0</v>
      </c>
      <c r="AK5514">
        <v>23.8</v>
      </c>
      <c r="AL5514">
        <v>-20.15125899999995</v>
      </c>
      <c r="AM5514">
        <v>-44.900838557594433</v>
      </c>
      <c r="AN5514">
        <v>-20.15125899999995</v>
      </c>
      <c r="AO5514">
        <v>-44.900838557594433</v>
      </c>
      <c r="AP5514">
        <v>-20.151335</v>
      </c>
      <c r="AQ5514">
        <v>-44.901041999999997</v>
      </c>
      <c r="AR5514">
        <v>22.882363139483491</v>
      </c>
      <c r="AS5514" t="s">
        <v>65</v>
      </c>
      <c r="AT5514">
        <v>1</v>
      </c>
      <c r="AU5514" t="s">
        <v>543</v>
      </c>
      <c r="AV5514" t="s">
        <v>544</v>
      </c>
      <c r="AW5514" t="s">
        <v>60</v>
      </c>
      <c r="AX5514" t="s">
        <v>68</v>
      </c>
      <c r="AY5514" t="s">
        <v>69</v>
      </c>
      <c r="AZ5514" t="b">
        <v>1</v>
      </c>
    </row>
    <row r="5515" spans="1:52" x14ac:dyDescent="0.3">
      <c r="A5515" t="s">
        <v>52</v>
      </c>
      <c r="B5515" t="s">
        <v>53</v>
      </c>
      <c r="C5515" t="s">
        <v>54</v>
      </c>
      <c r="D5515" t="s">
        <v>55</v>
      </c>
      <c r="E5515" t="s">
        <v>2279</v>
      </c>
      <c r="F5515" t="s">
        <v>1247</v>
      </c>
      <c r="G5515" t="s">
        <v>1412</v>
      </c>
      <c r="H5515" t="s">
        <v>1413</v>
      </c>
      <c r="I5515" t="s">
        <v>1413</v>
      </c>
      <c r="J5515" t="s">
        <v>60</v>
      </c>
      <c r="K5515" t="s">
        <v>892</v>
      </c>
      <c r="L5515" t="s">
        <v>62</v>
      </c>
      <c r="M5515" t="s">
        <v>892</v>
      </c>
      <c r="N5515" t="s">
        <v>1414</v>
      </c>
      <c r="O5515" t="s">
        <v>293</v>
      </c>
      <c r="P5515">
        <v>-20.150780999999998</v>
      </c>
      <c r="Q5515">
        <v>-44.897972000000003</v>
      </c>
      <c r="R5515" s="2" t="str">
        <f>HYPERLINK("https://www.google.com/maps?q=-20.1507810,-44.8979720","Abrir no Google Maps")</f>
        <v>Abrir no Google Maps</v>
      </c>
      <c r="S5515">
        <v>3</v>
      </c>
      <c r="T5515">
        <v>306.36394634674508</v>
      </c>
      <c r="U5515">
        <v>1</v>
      </c>
      <c r="V5515">
        <v>0</v>
      </c>
      <c r="W5515">
        <v>0.85</v>
      </c>
      <c r="X5515">
        <v>0</v>
      </c>
      <c r="Y5515">
        <v>556</v>
      </c>
      <c r="Z5515">
        <v>233.85692443628571</v>
      </c>
      <c r="AA5515">
        <v>198</v>
      </c>
      <c r="AB5515">
        <v>332</v>
      </c>
      <c r="AC5515">
        <v>536</v>
      </c>
      <c r="AD5515">
        <v>0</v>
      </c>
      <c r="AE5515">
        <v>542</v>
      </c>
      <c r="AF5515">
        <v>0</v>
      </c>
      <c r="AG5515">
        <v>0</v>
      </c>
      <c r="AH5515">
        <v>129</v>
      </c>
      <c r="AI5515">
        <v>0</v>
      </c>
      <c r="AJ5515">
        <v>0</v>
      </c>
      <c r="AK5515">
        <v>23.8</v>
      </c>
      <c r="AL5515">
        <v>-20.15074609999996</v>
      </c>
      <c r="AM5515">
        <v>-44.89795774234689</v>
      </c>
      <c r="AN5515">
        <v>-20.15074609999996</v>
      </c>
      <c r="AO5515">
        <v>-44.89795774234689</v>
      </c>
      <c r="AP5515">
        <v>-20.150780999999998</v>
      </c>
      <c r="AQ5515">
        <v>-44.897972000000003</v>
      </c>
      <c r="AR5515">
        <v>4.160995809097348</v>
      </c>
      <c r="AS5515" t="s">
        <v>65</v>
      </c>
      <c r="AT5515">
        <v>1</v>
      </c>
      <c r="AU5515" t="s">
        <v>1415</v>
      </c>
      <c r="AV5515" t="s">
        <v>1416</v>
      </c>
      <c r="AW5515" t="s">
        <v>60</v>
      </c>
      <c r="AX5515" t="s">
        <v>68</v>
      </c>
      <c r="AY5515" t="s">
        <v>69</v>
      </c>
      <c r="AZ5515" t="b">
        <v>1</v>
      </c>
    </row>
    <row r="5516" spans="1:52" x14ac:dyDescent="0.3">
      <c r="A5516" t="s">
        <v>52</v>
      </c>
      <c r="B5516" t="s">
        <v>53</v>
      </c>
      <c r="C5516" t="s">
        <v>54</v>
      </c>
      <c r="D5516" t="s">
        <v>55</v>
      </c>
      <c r="E5516" t="s">
        <v>2279</v>
      </c>
      <c r="F5516" t="s">
        <v>1247</v>
      </c>
      <c r="G5516" t="s">
        <v>1127</v>
      </c>
      <c r="H5516" t="s">
        <v>1449</v>
      </c>
      <c r="I5516" t="s">
        <v>1449</v>
      </c>
      <c r="J5516" t="s">
        <v>60</v>
      </c>
      <c r="K5516" t="s">
        <v>1450</v>
      </c>
      <c r="L5516" t="s">
        <v>62</v>
      </c>
      <c r="M5516" t="s">
        <v>1450</v>
      </c>
      <c r="N5516" t="s">
        <v>1451</v>
      </c>
      <c r="O5516" t="s">
        <v>1452</v>
      </c>
      <c r="P5516">
        <v>-20.152612000000001</v>
      </c>
      <c r="Q5516">
        <v>-44.897098</v>
      </c>
      <c r="R5516" s="2" t="str">
        <f>HYPERLINK("https://www.google.com/maps?q=-20.1526120,-44.8970980","Abrir no Google Maps")</f>
        <v>Abrir no Google Maps</v>
      </c>
      <c r="S5516">
        <v>3</v>
      </c>
      <c r="T5516">
        <v>418.6283592063233</v>
      </c>
      <c r="U5516">
        <v>1</v>
      </c>
      <c r="V5516">
        <v>0</v>
      </c>
      <c r="W5516">
        <v>0.85</v>
      </c>
      <c r="X5516">
        <v>0</v>
      </c>
      <c r="Y5516">
        <v>556</v>
      </c>
      <c r="Z5516">
        <v>387.16462225830952</v>
      </c>
      <c r="AA5516">
        <v>198</v>
      </c>
      <c r="AB5516">
        <v>332</v>
      </c>
      <c r="AC5516">
        <v>536</v>
      </c>
      <c r="AD5516">
        <v>0</v>
      </c>
      <c r="AE5516">
        <v>542</v>
      </c>
      <c r="AF5516">
        <v>0</v>
      </c>
      <c r="AG5516">
        <v>0</v>
      </c>
      <c r="AH5516">
        <v>129</v>
      </c>
      <c r="AI5516">
        <v>0</v>
      </c>
      <c r="AJ5516">
        <v>0</v>
      </c>
      <c r="AK5516">
        <v>23.8</v>
      </c>
      <c r="AL5516">
        <v>-20.15253669999996</v>
      </c>
      <c r="AM5516">
        <v>-44.897068126936119</v>
      </c>
      <c r="AN5516">
        <v>-20.15253669999996</v>
      </c>
      <c r="AO5516">
        <v>-44.897068126936119</v>
      </c>
      <c r="AP5516">
        <v>-20.152612000000001</v>
      </c>
      <c r="AQ5516">
        <v>-44.897098</v>
      </c>
      <c r="AR5516">
        <v>8.9448699164987104</v>
      </c>
      <c r="AS5516" t="s">
        <v>65</v>
      </c>
      <c r="AT5516">
        <v>1</v>
      </c>
      <c r="AU5516" t="s">
        <v>1453</v>
      </c>
      <c r="AV5516" t="s">
        <v>1454</v>
      </c>
      <c r="AW5516" t="s">
        <v>60</v>
      </c>
      <c r="AX5516" t="s">
        <v>68</v>
      </c>
      <c r="AY5516" t="s">
        <v>69</v>
      </c>
      <c r="AZ5516" t="b">
        <v>1</v>
      </c>
    </row>
    <row r="5517" spans="1:52" x14ac:dyDescent="0.3">
      <c r="A5517" t="s">
        <v>52</v>
      </c>
      <c r="B5517" t="s">
        <v>53</v>
      </c>
      <c r="C5517" t="s">
        <v>54</v>
      </c>
      <c r="D5517" t="s">
        <v>55</v>
      </c>
      <c r="E5517" t="s">
        <v>2279</v>
      </c>
      <c r="F5517" t="s">
        <v>1247</v>
      </c>
      <c r="G5517" t="s">
        <v>897</v>
      </c>
      <c r="H5517" t="s">
        <v>898</v>
      </c>
      <c r="I5517" t="s">
        <v>898</v>
      </c>
      <c r="J5517" t="s">
        <v>60</v>
      </c>
      <c r="K5517" t="s">
        <v>892</v>
      </c>
      <c r="L5517" t="s">
        <v>62</v>
      </c>
      <c r="M5517" t="s">
        <v>892</v>
      </c>
      <c r="N5517" t="s">
        <v>899</v>
      </c>
      <c r="O5517" t="s">
        <v>900</v>
      </c>
      <c r="P5517">
        <v>-20.154885</v>
      </c>
      <c r="Q5517">
        <v>-44.899890999999997</v>
      </c>
      <c r="R5517" s="2" t="str">
        <f>HYPERLINK("https://www.google.com/maps?q=-20.1548850,-44.8998910","Abrir no Google Maps")</f>
        <v>Abrir no Google Maps</v>
      </c>
      <c r="S5517">
        <v>3</v>
      </c>
      <c r="T5517">
        <v>314.66339661014308</v>
      </c>
      <c r="U5517">
        <v>1</v>
      </c>
      <c r="V5517">
        <v>0</v>
      </c>
      <c r="W5517">
        <v>1</v>
      </c>
      <c r="X5517">
        <v>0</v>
      </c>
      <c r="Y5517">
        <v>548</v>
      </c>
      <c r="Z5517">
        <v>319.02252584834253</v>
      </c>
      <c r="AA5517">
        <v>198</v>
      </c>
      <c r="AB5517">
        <v>332</v>
      </c>
      <c r="AC5517">
        <v>536</v>
      </c>
      <c r="AD5517">
        <v>0</v>
      </c>
      <c r="AE5517">
        <v>542</v>
      </c>
      <c r="AF5517">
        <v>0</v>
      </c>
      <c r="AG5517">
        <v>0</v>
      </c>
      <c r="AH5517">
        <v>129</v>
      </c>
      <c r="AI5517">
        <v>0</v>
      </c>
      <c r="AJ5517">
        <v>0</v>
      </c>
      <c r="AK5517">
        <v>23.8</v>
      </c>
      <c r="AL5517">
        <v>-20.154906649999951</v>
      </c>
      <c r="AM5517">
        <v>-44.899894072543653</v>
      </c>
      <c r="AN5517">
        <v>-20.154906649999951</v>
      </c>
      <c r="AO5517">
        <v>-44.899894072543653</v>
      </c>
      <c r="AP5517">
        <v>-20.154885</v>
      </c>
      <c r="AQ5517">
        <v>-44.899890999999997</v>
      </c>
      <c r="AR5517">
        <v>2.431373123904943</v>
      </c>
      <c r="AS5517" t="s">
        <v>65</v>
      </c>
      <c r="AT5517">
        <v>1</v>
      </c>
      <c r="AU5517" t="s">
        <v>901</v>
      </c>
      <c r="AV5517" t="s">
        <v>902</v>
      </c>
      <c r="AW5517" t="s">
        <v>60</v>
      </c>
      <c r="AX5517" t="s">
        <v>68</v>
      </c>
      <c r="AY5517" t="s">
        <v>69</v>
      </c>
      <c r="AZ5517" t="b">
        <v>1</v>
      </c>
    </row>
    <row r="5518" spans="1:52" x14ac:dyDescent="0.3">
      <c r="A5518" t="s">
        <v>52</v>
      </c>
      <c r="B5518" t="s">
        <v>53</v>
      </c>
      <c r="C5518" t="s">
        <v>54</v>
      </c>
      <c r="D5518" t="s">
        <v>55</v>
      </c>
      <c r="E5518" t="s">
        <v>2279</v>
      </c>
      <c r="F5518" t="s">
        <v>1247</v>
      </c>
      <c r="G5518" t="s">
        <v>545</v>
      </c>
      <c r="H5518" t="s">
        <v>546</v>
      </c>
      <c r="I5518" t="s">
        <v>546</v>
      </c>
      <c r="J5518" t="s">
        <v>60</v>
      </c>
      <c r="K5518" t="s">
        <v>388</v>
      </c>
      <c r="L5518" t="s">
        <v>62</v>
      </c>
      <c r="M5518" t="s">
        <v>388</v>
      </c>
      <c r="N5518" t="s">
        <v>547</v>
      </c>
      <c r="O5518" t="s">
        <v>548</v>
      </c>
      <c r="P5518">
        <v>-20.155839</v>
      </c>
      <c r="Q5518">
        <v>-44.905655000000003</v>
      </c>
      <c r="R5518" s="2" t="str">
        <f>HYPERLINK("https://www.google.com/maps?q=-20.1558390,-44.9056550","Abrir no Google Maps")</f>
        <v>Abrir no Google Maps</v>
      </c>
      <c r="S5518">
        <v>3</v>
      </c>
      <c r="T5518">
        <v>309.7643089121122</v>
      </c>
      <c r="U5518">
        <v>1</v>
      </c>
      <c r="V5518">
        <v>0</v>
      </c>
      <c r="W5518">
        <v>1</v>
      </c>
      <c r="X5518">
        <v>0</v>
      </c>
      <c r="Y5518">
        <v>548</v>
      </c>
      <c r="Z5518">
        <v>284.24281731793161</v>
      </c>
      <c r="AA5518">
        <v>198</v>
      </c>
      <c r="AB5518">
        <v>332</v>
      </c>
      <c r="AC5518">
        <v>536</v>
      </c>
      <c r="AD5518">
        <v>0</v>
      </c>
      <c r="AE5518">
        <v>542</v>
      </c>
      <c r="AF5518">
        <v>0</v>
      </c>
      <c r="AG5518">
        <v>0</v>
      </c>
      <c r="AH5518">
        <v>129</v>
      </c>
      <c r="AI5518">
        <v>0</v>
      </c>
      <c r="AJ5518">
        <v>0</v>
      </c>
      <c r="AK5518">
        <v>23.8</v>
      </c>
      <c r="AL5518">
        <v>-20.155913549999951</v>
      </c>
      <c r="AM5518">
        <v>-44.905554508392683</v>
      </c>
      <c r="AN5518">
        <v>-20.155913549999951</v>
      </c>
      <c r="AO5518">
        <v>-44.905554508392669</v>
      </c>
      <c r="AP5518">
        <v>-20.155839</v>
      </c>
      <c r="AQ5518">
        <v>-44.905655000000003</v>
      </c>
      <c r="AR5518">
        <v>13.384922093797449</v>
      </c>
      <c r="AS5518" t="s">
        <v>65</v>
      </c>
      <c r="AT5518">
        <v>1</v>
      </c>
      <c r="AU5518" t="s">
        <v>549</v>
      </c>
      <c r="AV5518" t="s">
        <v>550</v>
      </c>
      <c r="AW5518" t="s">
        <v>60</v>
      </c>
      <c r="AX5518" t="s">
        <v>68</v>
      </c>
      <c r="AY5518" t="s">
        <v>69</v>
      </c>
      <c r="AZ5518" t="b">
        <v>1</v>
      </c>
    </row>
    <row r="5519" spans="1:52" x14ac:dyDescent="0.3">
      <c r="A5519" t="s">
        <v>52</v>
      </c>
      <c r="B5519" t="s">
        <v>53</v>
      </c>
      <c r="C5519" t="s">
        <v>54</v>
      </c>
      <c r="D5519" t="s">
        <v>55</v>
      </c>
      <c r="E5519" t="s">
        <v>2279</v>
      </c>
      <c r="F5519" t="s">
        <v>1247</v>
      </c>
      <c r="G5519" t="s">
        <v>551</v>
      </c>
      <c r="H5519" t="s">
        <v>552</v>
      </c>
      <c r="I5519" t="s">
        <v>552</v>
      </c>
      <c r="J5519" t="s">
        <v>60</v>
      </c>
      <c r="K5519" t="s">
        <v>388</v>
      </c>
      <c r="L5519" t="s">
        <v>62</v>
      </c>
      <c r="M5519" t="s">
        <v>388</v>
      </c>
      <c r="N5519" t="s">
        <v>553</v>
      </c>
      <c r="O5519" t="s">
        <v>315</v>
      </c>
      <c r="P5519">
        <v>-20.153086999999999</v>
      </c>
      <c r="Q5519">
        <v>-44.905451999999997</v>
      </c>
      <c r="R5519" s="2" t="str">
        <f>HYPERLINK("https://www.google.com/maps?q=-20.1530870,-44.9054520","Abrir no Google Maps")</f>
        <v>Abrir no Google Maps</v>
      </c>
      <c r="S5519">
        <v>3</v>
      </c>
      <c r="T5519">
        <v>313.69387682409018</v>
      </c>
      <c r="U5519">
        <v>1</v>
      </c>
      <c r="V5519">
        <v>0</v>
      </c>
      <c r="W5519">
        <v>1</v>
      </c>
      <c r="X5519">
        <v>0</v>
      </c>
      <c r="Y5519">
        <v>548</v>
      </c>
      <c r="Z5519">
        <v>319.51605309906859</v>
      </c>
      <c r="AA5519">
        <v>198</v>
      </c>
      <c r="AB5519">
        <v>332</v>
      </c>
      <c r="AC5519">
        <v>536</v>
      </c>
      <c r="AD5519">
        <v>0</v>
      </c>
      <c r="AE5519">
        <v>542</v>
      </c>
      <c r="AF5519">
        <v>0</v>
      </c>
      <c r="AG5519">
        <v>0</v>
      </c>
      <c r="AH5519">
        <v>129</v>
      </c>
      <c r="AI5519">
        <v>0</v>
      </c>
      <c r="AJ5519">
        <v>0</v>
      </c>
      <c r="AK5519">
        <v>23.8</v>
      </c>
      <c r="AL5519">
        <v>-20.153043049999951</v>
      </c>
      <c r="AM5519">
        <v>-44.905348275899513</v>
      </c>
      <c r="AN5519">
        <v>-20.153043049999951</v>
      </c>
      <c r="AO5519">
        <v>-44.905348275899513</v>
      </c>
      <c r="AP5519">
        <v>-20.153086999999999</v>
      </c>
      <c r="AQ5519">
        <v>-44.905451999999997</v>
      </c>
      <c r="AR5519">
        <v>11.892619975648341</v>
      </c>
      <c r="AS5519" t="s">
        <v>65</v>
      </c>
      <c r="AT5519">
        <v>1</v>
      </c>
      <c r="AU5519" t="s">
        <v>554</v>
      </c>
      <c r="AV5519" t="s">
        <v>555</v>
      </c>
      <c r="AW5519" t="s">
        <v>60</v>
      </c>
      <c r="AX5519" t="s">
        <v>68</v>
      </c>
      <c r="AY5519" t="s">
        <v>69</v>
      </c>
      <c r="AZ5519" t="b">
        <v>1</v>
      </c>
    </row>
    <row r="5520" spans="1:52" x14ac:dyDescent="0.3">
      <c r="A5520" t="s">
        <v>52</v>
      </c>
      <c r="B5520" t="s">
        <v>53</v>
      </c>
      <c r="C5520" t="s">
        <v>54</v>
      </c>
      <c r="D5520" t="s">
        <v>55</v>
      </c>
      <c r="E5520" t="s">
        <v>2279</v>
      </c>
      <c r="F5520" t="s">
        <v>1247</v>
      </c>
      <c r="G5520" t="s">
        <v>556</v>
      </c>
      <c r="H5520" t="s">
        <v>557</v>
      </c>
      <c r="I5520" t="s">
        <v>557</v>
      </c>
      <c r="J5520" t="s">
        <v>60</v>
      </c>
      <c r="K5520" t="s">
        <v>388</v>
      </c>
      <c r="L5520" t="s">
        <v>62</v>
      </c>
      <c r="M5520" t="s">
        <v>388</v>
      </c>
      <c r="N5520" t="s">
        <v>558</v>
      </c>
      <c r="O5520" t="s">
        <v>559</v>
      </c>
      <c r="P5520">
        <v>-20.152670000000001</v>
      </c>
      <c r="Q5520">
        <v>-44.902557999999999</v>
      </c>
      <c r="R5520" s="2" t="str">
        <f>HYPERLINK("https://www.google.com/maps?q=-20.1526700,-44.9025580","Abrir no Google Maps")</f>
        <v>Abrir no Google Maps</v>
      </c>
      <c r="S5520">
        <v>3</v>
      </c>
      <c r="T5520">
        <v>228.56195217678911</v>
      </c>
      <c r="U5520">
        <v>1</v>
      </c>
      <c r="V5520">
        <v>0</v>
      </c>
      <c r="W5520">
        <v>1</v>
      </c>
      <c r="X5520">
        <v>0</v>
      </c>
      <c r="Y5520">
        <v>548</v>
      </c>
      <c r="Z5520">
        <v>250.63133895224919</v>
      </c>
      <c r="AA5520">
        <v>198</v>
      </c>
      <c r="AB5520">
        <v>332</v>
      </c>
      <c r="AC5520">
        <v>536</v>
      </c>
      <c r="AD5520">
        <v>0</v>
      </c>
      <c r="AE5520">
        <v>542</v>
      </c>
      <c r="AF5520">
        <v>0</v>
      </c>
      <c r="AG5520">
        <v>0</v>
      </c>
      <c r="AH5520">
        <v>129</v>
      </c>
      <c r="AI5520">
        <v>0</v>
      </c>
      <c r="AJ5520">
        <v>0</v>
      </c>
      <c r="AK5520">
        <v>23.8</v>
      </c>
      <c r="AL5520">
        <v>-20.152629799999939</v>
      </c>
      <c r="AM5520">
        <v>-44.902604744705201</v>
      </c>
      <c r="AN5520">
        <v>-20.152629799999939</v>
      </c>
      <c r="AO5520">
        <v>-44.902604744705201</v>
      </c>
      <c r="AP5520">
        <v>-20.152670000000001</v>
      </c>
      <c r="AQ5520">
        <v>-44.902557999999999</v>
      </c>
      <c r="AR5520">
        <v>6.6249428037111509</v>
      </c>
      <c r="AS5520" t="s">
        <v>65</v>
      </c>
      <c r="AT5520">
        <v>1</v>
      </c>
      <c r="AU5520" t="s">
        <v>560</v>
      </c>
      <c r="AV5520" t="s">
        <v>561</v>
      </c>
      <c r="AW5520" t="s">
        <v>60</v>
      </c>
      <c r="AX5520" t="s">
        <v>68</v>
      </c>
      <c r="AY5520" t="s">
        <v>69</v>
      </c>
      <c r="AZ5520" t="b">
        <v>1</v>
      </c>
    </row>
    <row r="5521" spans="1:52" x14ac:dyDescent="0.3">
      <c r="A5521" t="s">
        <v>52</v>
      </c>
      <c r="B5521" t="s">
        <v>53</v>
      </c>
      <c r="C5521" t="s">
        <v>54</v>
      </c>
      <c r="D5521" t="s">
        <v>55</v>
      </c>
      <c r="E5521" t="s">
        <v>2279</v>
      </c>
      <c r="F5521" t="s">
        <v>1247</v>
      </c>
      <c r="G5521" t="s">
        <v>562</v>
      </c>
      <c r="H5521" t="s">
        <v>563</v>
      </c>
      <c r="I5521" t="s">
        <v>563</v>
      </c>
      <c r="J5521" t="s">
        <v>60</v>
      </c>
      <c r="K5521" t="s">
        <v>388</v>
      </c>
      <c r="L5521" t="s">
        <v>62</v>
      </c>
      <c r="M5521" t="s">
        <v>388</v>
      </c>
      <c r="N5521" t="s">
        <v>564</v>
      </c>
      <c r="O5521" t="s">
        <v>565</v>
      </c>
      <c r="P5521">
        <v>-20.154432</v>
      </c>
      <c r="Q5521">
        <v>-44.902977999999997</v>
      </c>
      <c r="R5521" s="2" t="str">
        <f>HYPERLINK("https://www.google.com/maps?q=-20.1544320,-44.9029780","Abrir no Google Maps")</f>
        <v>Abrir no Google Maps</v>
      </c>
      <c r="S5521">
        <v>3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548</v>
      </c>
      <c r="Z5521">
        <v>29.424211042533759</v>
      </c>
      <c r="AA5521">
        <v>198</v>
      </c>
      <c r="AB5521">
        <v>332</v>
      </c>
      <c r="AC5521">
        <v>536</v>
      </c>
      <c r="AD5521">
        <v>0</v>
      </c>
      <c r="AE5521">
        <v>542</v>
      </c>
      <c r="AF5521">
        <v>0</v>
      </c>
      <c r="AG5521">
        <v>0</v>
      </c>
      <c r="AH5521">
        <v>129</v>
      </c>
      <c r="AI5521">
        <v>0</v>
      </c>
      <c r="AJ5521">
        <v>0</v>
      </c>
      <c r="AK5521">
        <v>23.8</v>
      </c>
      <c r="AL5521">
        <v>-20.15467689999997</v>
      </c>
      <c r="AM5521">
        <v>-44.902895281771222</v>
      </c>
      <c r="AN5521">
        <v>-20.15467689999997</v>
      </c>
      <c r="AO5521">
        <v>-44.902895281771222</v>
      </c>
      <c r="AP5521">
        <v>-20.154432</v>
      </c>
      <c r="AQ5521">
        <v>-44.902977999999997</v>
      </c>
      <c r="AR5521">
        <v>28.5999270636025</v>
      </c>
      <c r="AS5521" t="s">
        <v>65</v>
      </c>
      <c r="AT5521">
        <v>1</v>
      </c>
      <c r="AU5521" t="s">
        <v>566</v>
      </c>
      <c r="AV5521" t="s">
        <v>567</v>
      </c>
      <c r="AW5521" t="s">
        <v>60</v>
      </c>
      <c r="AX5521" t="s">
        <v>68</v>
      </c>
      <c r="AY5521" t="s">
        <v>69</v>
      </c>
      <c r="AZ5521" t="b">
        <v>1</v>
      </c>
    </row>
    <row r="5522" spans="1:52" x14ac:dyDescent="0.3">
      <c r="A5522" t="s">
        <v>52</v>
      </c>
      <c r="B5522" t="s">
        <v>53</v>
      </c>
      <c r="C5522" t="s">
        <v>54</v>
      </c>
      <c r="D5522" t="s">
        <v>55</v>
      </c>
      <c r="E5522" t="s">
        <v>2279</v>
      </c>
      <c r="F5522" t="s">
        <v>1247</v>
      </c>
      <c r="G5522" t="s">
        <v>568</v>
      </c>
      <c r="H5522" t="s">
        <v>569</v>
      </c>
      <c r="I5522" t="s">
        <v>569</v>
      </c>
      <c r="J5522" t="s">
        <v>60</v>
      </c>
      <c r="K5522" t="s">
        <v>61</v>
      </c>
      <c r="L5522" t="s">
        <v>62</v>
      </c>
      <c r="M5522" t="s">
        <v>61</v>
      </c>
      <c r="N5522" t="s">
        <v>570</v>
      </c>
      <c r="O5522" t="s">
        <v>548</v>
      </c>
      <c r="P5522">
        <v>-20.151508</v>
      </c>
      <c r="Q5522">
        <v>-44.907826</v>
      </c>
      <c r="R5522" s="2" t="str">
        <f>HYPERLINK("https://www.google.com/maps?q=-20.1515080,-44.9078260","Abrir no Google Maps")</f>
        <v>Abrir no Google Maps</v>
      </c>
      <c r="S5522">
        <v>3</v>
      </c>
      <c r="T5522">
        <v>567.15905416240514</v>
      </c>
      <c r="U5522">
        <v>1</v>
      </c>
      <c r="V5522">
        <v>0</v>
      </c>
      <c r="W5522">
        <v>0.85</v>
      </c>
      <c r="X5522">
        <v>0</v>
      </c>
      <c r="Y5522">
        <v>548</v>
      </c>
      <c r="Z5522">
        <v>560.49158010771464</v>
      </c>
      <c r="AA5522">
        <v>198</v>
      </c>
      <c r="AB5522">
        <v>332</v>
      </c>
      <c r="AC5522">
        <v>536</v>
      </c>
      <c r="AD5522">
        <v>0</v>
      </c>
      <c r="AE5522">
        <v>542</v>
      </c>
      <c r="AF5522">
        <v>0</v>
      </c>
      <c r="AG5522">
        <v>0</v>
      </c>
      <c r="AH5522">
        <v>129</v>
      </c>
      <c r="AI5522">
        <v>0</v>
      </c>
      <c r="AJ5522">
        <v>0</v>
      </c>
      <c r="AK5522">
        <v>23.8</v>
      </c>
      <c r="AL5522">
        <v>-20.15211779999996</v>
      </c>
      <c r="AM5522">
        <v>-44.907597469593128</v>
      </c>
      <c r="AN5522">
        <v>-20.15211779999996</v>
      </c>
      <c r="AO5522">
        <v>-44.907597469593128</v>
      </c>
      <c r="AP5522">
        <v>-20.151508</v>
      </c>
      <c r="AQ5522">
        <v>-44.907826</v>
      </c>
      <c r="AR5522">
        <v>71.961597929314735</v>
      </c>
      <c r="AS5522" t="s">
        <v>65</v>
      </c>
      <c r="AT5522">
        <v>1</v>
      </c>
      <c r="AU5522" t="s">
        <v>571</v>
      </c>
      <c r="AV5522" t="s">
        <v>572</v>
      </c>
      <c r="AW5522" t="s">
        <v>60</v>
      </c>
      <c r="AX5522" t="s">
        <v>68</v>
      </c>
      <c r="AY5522" t="s">
        <v>69</v>
      </c>
      <c r="AZ5522" t="b">
        <v>1</v>
      </c>
    </row>
    <row r="5523" spans="1:52" x14ac:dyDescent="0.3">
      <c r="A5523" t="s">
        <v>52</v>
      </c>
      <c r="B5523" t="s">
        <v>53</v>
      </c>
      <c r="C5523" t="s">
        <v>54</v>
      </c>
      <c r="D5523" t="s">
        <v>55</v>
      </c>
      <c r="E5523" t="s">
        <v>2279</v>
      </c>
      <c r="F5523" t="s">
        <v>1247</v>
      </c>
      <c r="G5523" t="s">
        <v>1547</v>
      </c>
      <c r="H5523" t="s">
        <v>1548</v>
      </c>
      <c r="I5523" t="s">
        <v>1548</v>
      </c>
      <c r="J5523" t="s">
        <v>60</v>
      </c>
      <c r="K5523" t="s">
        <v>1549</v>
      </c>
      <c r="L5523" t="s">
        <v>62</v>
      </c>
      <c r="M5523" t="s">
        <v>1549</v>
      </c>
      <c r="N5523" t="s">
        <v>1550</v>
      </c>
      <c r="O5523" t="s">
        <v>1551</v>
      </c>
      <c r="P5523">
        <v>-20.173258000000001</v>
      </c>
      <c r="Q5523">
        <v>-44.930354000000001</v>
      </c>
      <c r="R5523" s="2" t="str">
        <f>HYPERLINK("https://www.google.com/maps?q=-20.1732580,-44.9303540","Abrir no Google Maps")</f>
        <v>Abrir no Google Maps</v>
      </c>
      <c r="S5523">
        <v>2</v>
      </c>
      <c r="T5523">
        <v>2023.802197028052</v>
      </c>
      <c r="U5523">
        <v>1</v>
      </c>
      <c r="V5523">
        <v>0</v>
      </c>
      <c r="W5523">
        <v>0.85</v>
      </c>
      <c r="X5523">
        <v>0</v>
      </c>
      <c r="Y5523">
        <v>723</v>
      </c>
      <c r="Z5523">
        <v>1727.7445576555911</v>
      </c>
      <c r="AA5523">
        <v>198</v>
      </c>
      <c r="AB5523">
        <v>332</v>
      </c>
      <c r="AC5523">
        <v>536</v>
      </c>
      <c r="AD5523">
        <v>0</v>
      </c>
      <c r="AE5523">
        <v>542</v>
      </c>
      <c r="AF5523">
        <v>0</v>
      </c>
      <c r="AG5523">
        <v>0</v>
      </c>
      <c r="AH5523">
        <v>129</v>
      </c>
      <c r="AI5523">
        <v>0</v>
      </c>
      <c r="AJ5523">
        <v>0</v>
      </c>
      <c r="AK5523">
        <v>23.8</v>
      </c>
      <c r="AL5523">
        <v>-20.172996449999939</v>
      </c>
      <c r="AM5523">
        <v>-44.930058436825973</v>
      </c>
      <c r="AN5523">
        <v>-20.172996449999939</v>
      </c>
      <c r="AO5523">
        <v>-44.930058436825973</v>
      </c>
      <c r="AP5523">
        <v>-20.173258000000001</v>
      </c>
      <c r="AQ5523">
        <v>-44.930354000000001</v>
      </c>
      <c r="AR5523">
        <v>42.444455141884362</v>
      </c>
      <c r="AS5523" t="s">
        <v>65</v>
      </c>
      <c r="AT5523">
        <v>1</v>
      </c>
      <c r="AU5523" t="s">
        <v>1552</v>
      </c>
      <c r="AV5523" t="s">
        <v>1553</v>
      </c>
      <c r="AW5523" t="s">
        <v>60</v>
      </c>
      <c r="AX5523" t="s">
        <v>68</v>
      </c>
      <c r="AY5523" t="s">
        <v>69</v>
      </c>
      <c r="AZ5523" t="b">
        <v>1</v>
      </c>
    </row>
    <row r="5524" spans="1:52" x14ac:dyDescent="0.3">
      <c r="A5524" t="s">
        <v>52</v>
      </c>
      <c r="B5524" t="s">
        <v>53</v>
      </c>
      <c r="C5524" t="s">
        <v>54</v>
      </c>
      <c r="D5524" t="s">
        <v>55</v>
      </c>
      <c r="E5524" t="s">
        <v>2279</v>
      </c>
      <c r="F5524" t="s">
        <v>1247</v>
      </c>
      <c r="G5524" t="s">
        <v>1127</v>
      </c>
      <c r="H5524" t="s">
        <v>1455</v>
      </c>
      <c r="I5524" t="s">
        <v>1455</v>
      </c>
      <c r="J5524" t="s">
        <v>60</v>
      </c>
      <c r="K5524" t="s">
        <v>431</v>
      </c>
      <c r="L5524" t="s">
        <v>62</v>
      </c>
      <c r="M5524" t="s">
        <v>431</v>
      </c>
      <c r="N5524" t="s">
        <v>1456</v>
      </c>
      <c r="O5524" t="s">
        <v>1001</v>
      </c>
      <c r="P5524">
        <v>-20.168237999999999</v>
      </c>
      <c r="Q5524">
        <v>-44.924250999999998</v>
      </c>
      <c r="R5524" s="2" t="str">
        <f>HYPERLINK("https://www.google.com/maps?q=-20.1682380,-44.9242510","Abrir no Google Maps")</f>
        <v>Abrir no Google Maps</v>
      </c>
      <c r="S5524">
        <v>2</v>
      </c>
      <c r="T5524">
        <v>1220.188820430971</v>
      </c>
      <c r="U5524">
        <v>1</v>
      </c>
      <c r="V5524">
        <v>0</v>
      </c>
      <c r="W5524">
        <v>0.85</v>
      </c>
      <c r="X5524">
        <v>0</v>
      </c>
      <c r="Y5524">
        <v>723</v>
      </c>
      <c r="Z5524">
        <v>1092.4377883150901</v>
      </c>
      <c r="AA5524">
        <v>198</v>
      </c>
      <c r="AB5524">
        <v>332</v>
      </c>
      <c r="AC5524">
        <v>536</v>
      </c>
      <c r="AD5524">
        <v>0</v>
      </c>
      <c r="AE5524">
        <v>542</v>
      </c>
      <c r="AF5524">
        <v>0</v>
      </c>
      <c r="AG5524">
        <v>0</v>
      </c>
      <c r="AH5524">
        <v>129</v>
      </c>
      <c r="AI5524">
        <v>0</v>
      </c>
      <c r="AJ5524">
        <v>0</v>
      </c>
      <c r="AK5524">
        <v>23.8</v>
      </c>
      <c r="AL5524">
        <v>-20.168394999999951</v>
      </c>
      <c r="AM5524">
        <v>-44.923548168580673</v>
      </c>
      <c r="AN5524">
        <v>-20.168394999999951</v>
      </c>
      <c r="AO5524">
        <v>-44.923548168580673</v>
      </c>
      <c r="AP5524">
        <v>-20.168237999999999</v>
      </c>
      <c r="AQ5524">
        <v>-44.924250999999998</v>
      </c>
      <c r="AR5524">
        <v>75.492755104934275</v>
      </c>
      <c r="AS5524" t="s">
        <v>65</v>
      </c>
      <c r="AT5524">
        <v>1</v>
      </c>
      <c r="AU5524" t="s">
        <v>1457</v>
      </c>
      <c r="AV5524" t="s">
        <v>1458</v>
      </c>
      <c r="AW5524" t="s">
        <v>60</v>
      </c>
      <c r="AX5524" t="s">
        <v>68</v>
      </c>
      <c r="AY5524" t="s">
        <v>69</v>
      </c>
      <c r="AZ5524" t="b">
        <v>1</v>
      </c>
    </row>
    <row r="5525" spans="1:52" x14ac:dyDescent="0.3">
      <c r="A5525" t="s">
        <v>52</v>
      </c>
      <c r="B5525" t="s">
        <v>53</v>
      </c>
      <c r="C5525" t="s">
        <v>54</v>
      </c>
      <c r="D5525" t="s">
        <v>55</v>
      </c>
      <c r="E5525" t="s">
        <v>2279</v>
      </c>
      <c r="F5525" t="s">
        <v>1247</v>
      </c>
      <c r="G5525" t="s">
        <v>1459</v>
      </c>
      <c r="H5525" t="s">
        <v>1460</v>
      </c>
      <c r="I5525" t="s">
        <v>1460</v>
      </c>
      <c r="J5525" t="s">
        <v>60</v>
      </c>
      <c r="K5525" t="s">
        <v>431</v>
      </c>
      <c r="L5525" t="s">
        <v>62</v>
      </c>
      <c r="M5525" t="s">
        <v>431</v>
      </c>
      <c r="N5525" t="s">
        <v>1461</v>
      </c>
      <c r="O5525" t="s">
        <v>1462</v>
      </c>
      <c r="P5525">
        <v>-20.170182</v>
      </c>
      <c r="Q5525">
        <v>-44.922556999999998</v>
      </c>
      <c r="R5525" s="2" t="str">
        <f>HYPERLINK("https://www.google.com/maps?q=-20.1701820,-44.9225570","Abrir no Google Maps")</f>
        <v>Abrir no Google Maps</v>
      </c>
      <c r="S5525">
        <v>2</v>
      </c>
      <c r="T5525">
        <v>1189.3885679843149</v>
      </c>
      <c r="U5525">
        <v>1</v>
      </c>
      <c r="V5525">
        <v>0</v>
      </c>
      <c r="W5525">
        <v>0.85</v>
      </c>
      <c r="X5525">
        <v>0</v>
      </c>
      <c r="Y5525">
        <v>723</v>
      </c>
      <c r="Z5525">
        <v>961.89164604479117</v>
      </c>
      <c r="AA5525">
        <v>198</v>
      </c>
      <c r="AB5525">
        <v>332</v>
      </c>
      <c r="AC5525">
        <v>536</v>
      </c>
      <c r="AD5525">
        <v>0</v>
      </c>
      <c r="AE5525">
        <v>542</v>
      </c>
      <c r="AF5525">
        <v>0</v>
      </c>
      <c r="AG5525">
        <v>0</v>
      </c>
      <c r="AH5525">
        <v>129</v>
      </c>
      <c r="AI5525">
        <v>0</v>
      </c>
      <c r="AJ5525">
        <v>0</v>
      </c>
      <c r="AK5525">
        <v>23.8</v>
      </c>
      <c r="AL5525">
        <v>-20.169385449999961</v>
      </c>
      <c r="AM5525">
        <v>-44.922107101898007</v>
      </c>
      <c r="AN5525">
        <v>-20.169385449999961</v>
      </c>
      <c r="AO5525">
        <v>-44.922107101898007</v>
      </c>
      <c r="AP5525">
        <v>-20.170182</v>
      </c>
      <c r="AQ5525">
        <v>-44.922556999999998</v>
      </c>
      <c r="AR5525">
        <v>100.36329580049031</v>
      </c>
      <c r="AS5525" t="s">
        <v>65</v>
      </c>
      <c r="AT5525">
        <v>1</v>
      </c>
      <c r="AU5525" t="s">
        <v>1463</v>
      </c>
      <c r="AV5525" t="s">
        <v>1458</v>
      </c>
      <c r="AW5525" t="s">
        <v>60</v>
      </c>
      <c r="AX5525" t="s">
        <v>68</v>
      </c>
      <c r="AY5525" t="s">
        <v>69</v>
      </c>
      <c r="AZ5525" t="b">
        <v>1</v>
      </c>
    </row>
    <row r="5526" spans="1:52" x14ac:dyDescent="0.3">
      <c r="A5526" t="s">
        <v>52</v>
      </c>
      <c r="B5526" t="s">
        <v>53</v>
      </c>
      <c r="C5526" t="s">
        <v>54</v>
      </c>
      <c r="D5526" t="s">
        <v>55</v>
      </c>
      <c r="E5526" t="s">
        <v>2279</v>
      </c>
      <c r="F5526" t="s">
        <v>1247</v>
      </c>
      <c r="G5526" t="s">
        <v>1464</v>
      </c>
      <c r="H5526" t="s">
        <v>1485</v>
      </c>
      <c r="I5526" t="s">
        <v>1485</v>
      </c>
      <c r="J5526" t="s">
        <v>60</v>
      </c>
      <c r="K5526" t="s">
        <v>1486</v>
      </c>
      <c r="L5526" t="s">
        <v>62</v>
      </c>
      <c r="M5526" t="s">
        <v>1486</v>
      </c>
      <c r="N5526" t="s">
        <v>1467</v>
      </c>
      <c r="O5526" t="s">
        <v>1487</v>
      </c>
      <c r="P5526">
        <v>-20.162842000000001</v>
      </c>
      <c r="Q5526">
        <v>-44.883769999999998</v>
      </c>
      <c r="R5526" s="2" t="str">
        <f>HYPERLINK("https://www.google.com/maps?q=-20.1628420,-44.8837700","Abrir no Google Maps")</f>
        <v>Abrir no Google Maps</v>
      </c>
      <c r="S5526">
        <v>2</v>
      </c>
      <c r="T5526">
        <v>659.67909450906006</v>
      </c>
      <c r="U5526">
        <v>1</v>
      </c>
      <c r="V5526">
        <v>0</v>
      </c>
      <c r="W5526">
        <v>1</v>
      </c>
      <c r="X5526">
        <v>0</v>
      </c>
      <c r="Y5526">
        <v>671</v>
      </c>
      <c r="Z5526">
        <v>566.23107864368092</v>
      </c>
      <c r="AA5526">
        <v>198</v>
      </c>
      <c r="AB5526">
        <v>332</v>
      </c>
      <c r="AC5526">
        <v>536</v>
      </c>
      <c r="AD5526">
        <v>0</v>
      </c>
      <c r="AE5526">
        <v>542</v>
      </c>
      <c r="AF5526">
        <v>0</v>
      </c>
      <c r="AG5526">
        <v>0</v>
      </c>
      <c r="AH5526">
        <v>129</v>
      </c>
      <c r="AI5526">
        <v>0</v>
      </c>
      <c r="AJ5526">
        <v>0</v>
      </c>
      <c r="AK5526">
        <v>23.8</v>
      </c>
      <c r="AL5526">
        <v>-20.162791299999949</v>
      </c>
      <c r="AM5526">
        <v>-44.883966852092939</v>
      </c>
      <c r="AN5526">
        <v>-20.162791299999949</v>
      </c>
      <c r="AO5526">
        <v>-44.883966852092939</v>
      </c>
      <c r="AP5526">
        <v>-20.162842000000001</v>
      </c>
      <c r="AQ5526">
        <v>-44.883769999999998</v>
      </c>
      <c r="AR5526">
        <v>21.33085532825611</v>
      </c>
      <c r="AS5526" t="s">
        <v>65</v>
      </c>
      <c r="AT5526">
        <v>1</v>
      </c>
      <c r="AU5526" t="s">
        <v>1488</v>
      </c>
      <c r="AV5526" t="s">
        <v>1489</v>
      </c>
      <c r="AW5526" t="s">
        <v>60</v>
      </c>
      <c r="AX5526" t="s">
        <v>68</v>
      </c>
      <c r="AY5526" t="s">
        <v>69</v>
      </c>
      <c r="AZ5526" t="b">
        <v>1</v>
      </c>
    </row>
    <row r="5527" spans="1:52" x14ac:dyDescent="0.3">
      <c r="A5527" t="s">
        <v>52</v>
      </c>
      <c r="B5527" t="s">
        <v>53</v>
      </c>
      <c r="C5527" t="s">
        <v>54</v>
      </c>
      <c r="D5527" t="s">
        <v>55</v>
      </c>
      <c r="E5527" t="s">
        <v>2279</v>
      </c>
      <c r="F5527" t="s">
        <v>1247</v>
      </c>
      <c r="G5527" t="s">
        <v>1464</v>
      </c>
      <c r="H5527" t="s">
        <v>1465</v>
      </c>
      <c r="I5527" t="s">
        <v>1465</v>
      </c>
      <c r="J5527" t="s">
        <v>60</v>
      </c>
      <c r="K5527" t="s">
        <v>1466</v>
      </c>
      <c r="L5527" t="s">
        <v>62</v>
      </c>
      <c r="M5527" t="s">
        <v>1466</v>
      </c>
      <c r="N5527" t="s">
        <v>1467</v>
      </c>
      <c r="O5527" t="s">
        <v>145</v>
      </c>
      <c r="P5527">
        <v>-20.160509999999999</v>
      </c>
      <c r="Q5527">
        <v>-44.884123000000002</v>
      </c>
      <c r="R5527" s="2" t="str">
        <f>HYPERLINK("https://www.google.com/maps?q=-20.1605100,-44.8841230","Abrir no Google Maps")</f>
        <v>Abrir no Google Maps</v>
      </c>
      <c r="S5527">
        <v>2</v>
      </c>
      <c r="T5527">
        <v>650.04961276595373</v>
      </c>
      <c r="U5527">
        <v>1</v>
      </c>
      <c r="V5527">
        <v>0</v>
      </c>
      <c r="W5527">
        <v>1</v>
      </c>
      <c r="X5527">
        <v>0</v>
      </c>
      <c r="Y5527">
        <v>671</v>
      </c>
      <c r="Z5527">
        <v>591.49066685698506</v>
      </c>
      <c r="AA5527">
        <v>198</v>
      </c>
      <c r="AB5527">
        <v>332</v>
      </c>
      <c r="AC5527">
        <v>536</v>
      </c>
      <c r="AD5527">
        <v>0</v>
      </c>
      <c r="AE5527">
        <v>542</v>
      </c>
      <c r="AF5527">
        <v>0</v>
      </c>
      <c r="AG5527">
        <v>0</v>
      </c>
      <c r="AH5527">
        <v>129</v>
      </c>
      <c r="AI5527">
        <v>0</v>
      </c>
      <c r="AJ5527">
        <v>0</v>
      </c>
      <c r="AK5527">
        <v>23.8</v>
      </c>
      <c r="AL5527">
        <v>-20.16056479999995</v>
      </c>
      <c r="AM5527">
        <v>-44.88424978393428</v>
      </c>
      <c r="AN5527">
        <v>-20.160564799999939</v>
      </c>
      <c r="AO5527">
        <v>-44.88424978393428</v>
      </c>
      <c r="AP5527">
        <v>-20.160509999999999</v>
      </c>
      <c r="AQ5527">
        <v>-44.884123000000002</v>
      </c>
      <c r="AR5527">
        <v>14.585823463739541</v>
      </c>
      <c r="AS5527" t="s">
        <v>65</v>
      </c>
      <c r="AT5527">
        <v>1</v>
      </c>
      <c r="AU5527" t="s">
        <v>1468</v>
      </c>
      <c r="AV5527" t="s">
        <v>1469</v>
      </c>
      <c r="AW5527" t="s">
        <v>60</v>
      </c>
      <c r="AX5527" t="s">
        <v>68</v>
      </c>
      <c r="AY5527" t="s">
        <v>69</v>
      </c>
      <c r="AZ5527" t="b">
        <v>1</v>
      </c>
    </row>
    <row r="5528" spans="1:52" x14ac:dyDescent="0.3">
      <c r="A5528" t="s">
        <v>52</v>
      </c>
      <c r="B5528" t="s">
        <v>53</v>
      </c>
      <c r="C5528" t="s">
        <v>54</v>
      </c>
      <c r="D5528" t="s">
        <v>55</v>
      </c>
      <c r="E5528" t="s">
        <v>2279</v>
      </c>
      <c r="F5528" t="s">
        <v>1247</v>
      </c>
      <c r="G5528" t="s">
        <v>1490</v>
      </c>
      <c r="H5528" t="s">
        <v>1491</v>
      </c>
      <c r="I5528" t="s">
        <v>1491</v>
      </c>
      <c r="J5528" t="s">
        <v>60</v>
      </c>
      <c r="K5528" t="s">
        <v>336</v>
      </c>
      <c r="L5528" t="s">
        <v>62</v>
      </c>
      <c r="M5528" t="s">
        <v>336</v>
      </c>
      <c r="N5528" t="s">
        <v>1492</v>
      </c>
      <c r="O5528" t="s">
        <v>842</v>
      </c>
      <c r="P5528">
        <v>-20.164228999999999</v>
      </c>
      <c r="Q5528">
        <v>-44.876455999999997</v>
      </c>
      <c r="R5528" s="2" t="str">
        <f>HYPERLINK("https://www.google.com/maps?q=-20.1642290,-44.8764560","Abrir no Google Maps")</f>
        <v>Abrir no Google Maps</v>
      </c>
      <c r="S5528">
        <v>2</v>
      </c>
      <c r="T5528">
        <v>420.00990411628987</v>
      </c>
      <c r="U5528">
        <v>1</v>
      </c>
      <c r="V5528">
        <v>0</v>
      </c>
      <c r="W5528">
        <v>1</v>
      </c>
      <c r="X5528">
        <v>0</v>
      </c>
      <c r="Y5528">
        <v>671</v>
      </c>
      <c r="Z5528">
        <v>375.90194920648611</v>
      </c>
      <c r="AA5528">
        <v>198</v>
      </c>
      <c r="AB5528">
        <v>332</v>
      </c>
      <c r="AC5528">
        <v>536</v>
      </c>
      <c r="AD5528">
        <v>0</v>
      </c>
      <c r="AE5528">
        <v>542</v>
      </c>
      <c r="AF5528">
        <v>0</v>
      </c>
      <c r="AG5528">
        <v>0</v>
      </c>
      <c r="AH5528">
        <v>129</v>
      </c>
      <c r="AI5528">
        <v>0</v>
      </c>
      <c r="AJ5528">
        <v>0</v>
      </c>
      <c r="AK5528">
        <v>23.8</v>
      </c>
      <c r="AL5528">
        <v>-20.164255749999938</v>
      </c>
      <c r="AM5528">
        <v>-44.876471676086922</v>
      </c>
      <c r="AN5528">
        <v>-20.164255749999938</v>
      </c>
      <c r="AO5528">
        <v>-44.876471676086922</v>
      </c>
      <c r="AP5528">
        <v>-20.164228999999999</v>
      </c>
      <c r="AQ5528">
        <v>-44.876455999999997</v>
      </c>
      <c r="AR5528">
        <v>3.3986375813953771</v>
      </c>
      <c r="AS5528" t="s">
        <v>65</v>
      </c>
      <c r="AT5528">
        <v>1</v>
      </c>
      <c r="AU5528" t="s">
        <v>1493</v>
      </c>
      <c r="AV5528" t="s">
        <v>1494</v>
      </c>
      <c r="AW5528" t="s">
        <v>60</v>
      </c>
      <c r="AX5528" t="s">
        <v>68</v>
      </c>
      <c r="AY5528" t="s">
        <v>69</v>
      </c>
      <c r="AZ5528" t="b">
        <v>1</v>
      </c>
    </row>
    <row r="5529" spans="1:52" x14ac:dyDescent="0.3">
      <c r="A5529" t="s">
        <v>52</v>
      </c>
      <c r="B5529" t="s">
        <v>53</v>
      </c>
      <c r="C5529" t="s">
        <v>54</v>
      </c>
      <c r="D5529" t="s">
        <v>55</v>
      </c>
      <c r="E5529" t="s">
        <v>2279</v>
      </c>
      <c r="F5529" t="s">
        <v>1247</v>
      </c>
      <c r="G5529" t="s">
        <v>1495</v>
      </c>
      <c r="H5529" t="s">
        <v>1496</v>
      </c>
      <c r="I5529" t="s">
        <v>1496</v>
      </c>
      <c r="J5529" t="s">
        <v>60</v>
      </c>
      <c r="K5529" t="s">
        <v>1466</v>
      </c>
      <c r="L5529" t="s">
        <v>62</v>
      </c>
      <c r="M5529" t="s">
        <v>1466</v>
      </c>
      <c r="N5529" t="s">
        <v>1497</v>
      </c>
      <c r="O5529" t="s">
        <v>1498</v>
      </c>
      <c r="P5529">
        <v>-20.163160999999999</v>
      </c>
      <c r="Q5529">
        <v>-44.880460999999997</v>
      </c>
      <c r="R5529" s="2" t="str">
        <f>HYPERLINK("https://www.google.com/maps?q=-20.1631610,-44.8804610","Abrir no Google Maps")</f>
        <v>Abrir no Google Maps</v>
      </c>
      <c r="S5529">
        <v>2</v>
      </c>
      <c r="T5529">
        <v>372.63783804650222</v>
      </c>
      <c r="U5529">
        <v>1</v>
      </c>
      <c r="V5529">
        <v>0</v>
      </c>
      <c r="W5529">
        <v>1</v>
      </c>
      <c r="X5529">
        <v>0</v>
      </c>
      <c r="Y5529">
        <v>671</v>
      </c>
      <c r="Z5529">
        <v>250.43144487082299</v>
      </c>
      <c r="AA5529">
        <v>198</v>
      </c>
      <c r="AB5529">
        <v>332</v>
      </c>
      <c r="AC5529">
        <v>536</v>
      </c>
      <c r="AD5529">
        <v>0</v>
      </c>
      <c r="AE5529">
        <v>542</v>
      </c>
      <c r="AF5529">
        <v>0</v>
      </c>
      <c r="AG5529">
        <v>0</v>
      </c>
      <c r="AH5529">
        <v>129</v>
      </c>
      <c r="AI5529">
        <v>0</v>
      </c>
      <c r="AJ5529">
        <v>0</v>
      </c>
      <c r="AK5529">
        <v>23.8</v>
      </c>
      <c r="AL5529">
        <v>-20.163296749999969</v>
      </c>
      <c r="AM5529">
        <v>-44.88037544059182</v>
      </c>
      <c r="AN5529">
        <v>-20.163296749999969</v>
      </c>
      <c r="AO5529">
        <v>-44.88037544059182</v>
      </c>
      <c r="AP5529">
        <v>-20.163160999999999</v>
      </c>
      <c r="AQ5529">
        <v>-44.880460999999997</v>
      </c>
      <c r="AR5529">
        <v>17.558482416121191</v>
      </c>
      <c r="AS5529" t="s">
        <v>65</v>
      </c>
      <c r="AT5529">
        <v>1</v>
      </c>
      <c r="AU5529" t="s">
        <v>1499</v>
      </c>
      <c r="AV5529" t="s">
        <v>1500</v>
      </c>
      <c r="AW5529" t="s">
        <v>60</v>
      </c>
      <c r="AX5529" t="s">
        <v>68</v>
      </c>
      <c r="AY5529" t="s">
        <v>69</v>
      </c>
      <c r="AZ5529" t="b">
        <v>1</v>
      </c>
    </row>
    <row r="5530" spans="1:52" x14ac:dyDescent="0.3">
      <c r="A5530" t="s">
        <v>52</v>
      </c>
      <c r="B5530" t="s">
        <v>53</v>
      </c>
      <c r="C5530" t="s">
        <v>54</v>
      </c>
      <c r="D5530" t="s">
        <v>55</v>
      </c>
      <c r="E5530" t="s">
        <v>2279</v>
      </c>
      <c r="F5530" t="s">
        <v>1247</v>
      </c>
      <c r="G5530" t="s">
        <v>1501</v>
      </c>
      <c r="H5530" t="s">
        <v>1502</v>
      </c>
      <c r="I5530" t="s">
        <v>1502</v>
      </c>
      <c r="J5530" t="s">
        <v>60</v>
      </c>
      <c r="K5530" t="s">
        <v>1466</v>
      </c>
      <c r="L5530" t="s">
        <v>62</v>
      </c>
      <c r="M5530" t="s">
        <v>1466</v>
      </c>
      <c r="N5530" t="s">
        <v>1503</v>
      </c>
      <c r="O5530" t="s">
        <v>1504</v>
      </c>
      <c r="P5530">
        <v>-20.159618999999999</v>
      </c>
      <c r="Q5530">
        <v>-44.880065000000002</v>
      </c>
      <c r="R5530" s="2" t="str">
        <f>HYPERLINK("https://www.google.com/maps?q=-20.1596190,-44.8800650","Abrir no Google Maps")</f>
        <v>Abrir no Google Maps</v>
      </c>
      <c r="S5530">
        <v>2</v>
      </c>
      <c r="T5530">
        <v>243.9950282285559</v>
      </c>
      <c r="U5530">
        <v>1</v>
      </c>
      <c r="V5530">
        <v>0</v>
      </c>
      <c r="W5530">
        <v>1</v>
      </c>
      <c r="X5530">
        <v>0</v>
      </c>
      <c r="Y5530">
        <v>671</v>
      </c>
      <c r="Z5530">
        <v>265.31354384517681</v>
      </c>
      <c r="AA5530">
        <v>198</v>
      </c>
      <c r="AB5530">
        <v>332</v>
      </c>
      <c r="AC5530">
        <v>536</v>
      </c>
      <c r="AD5530">
        <v>0</v>
      </c>
      <c r="AE5530">
        <v>542</v>
      </c>
      <c r="AF5530">
        <v>0</v>
      </c>
      <c r="AG5530">
        <v>0</v>
      </c>
      <c r="AH5530">
        <v>129</v>
      </c>
      <c r="AI5530">
        <v>0</v>
      </c>
      <c r="AJ5530">
        <v>0</v>
      </c>
      <c r="AK5530">
        <v>23.8</v>
      </c>
      <c r="AL5530">
        <v>-20.159689949999969</v>
      </c>
      <c r="AM5530">
        <v>-44.880075072344489</v>
      </c>
      <c r="AN5530">
        <v>-20.159689949999969</v>
      </c>
      <c r="AO5530">
        <v>-44.880075072344489</v>
      </c>
      <c r="AP5530">
        <v>-20.159618999999999</v>
      </c>
      <c r="AQ5530">
        <v>-44.880065000000002</v>
      </c>
      <c r="AR5530">
        <v>7.9679809486040876</v>
      </c>
      <c r="AS5530" t="s">
        <v>65</v>
      </c>
      <c r="AT5530">
        <v>1</v>
      </c>
      <c r="AU5530" t="s">
        <v>1505</v>
      </c>
      <c r="AV5530" t="s">
        <v>1506</v>
      </c>
      <c r="AW5530" t="s">
        <v>60</v>
      </c>
      <c r="AX5530" t="s">
        <v>68</v>
      </c>
      <c r="AY5530" t="s">
        <v>69</v>
      </c>
      <c r="AZ5530" t="b">
        <v>1</v>
      </c>
    </row>
    <row r="5531" spans="1:52" x14ac:dyDescent="0.3">
      <c r="A5531" t="s">
        <v>52</v>
      </c>
      <c r="B5531" t="s">
        <v>53</v>
      </c>
      <c r="C5531" t="s">
        <v>54</v>
      </c>
      <c r="D5531" t="s">
        <v>55</v>
      </c>
      <c r="E5531" t="s">
        <v>2279</v>
      </c>
      <c r="F5531" t="s">
        <v>1247</v>
      </c>
      <c r="G5531" t="s">
        <v>1507</v>
      </c>
      <c r="H5531" t="s">
        <v>1508</v>
      </c>
      <c r="I5531" t="s">
        <v>1508</v>
      </c>
      <c r="J5531" t="s">
        <v>60</v>
      </c>
      <c r="K5531" t="s">
        <v>1466</v>
      </c>
      <c r="L5531" t="s">
        <v>62</v>
      </c>
      <c r="M5531" t="s">
        <v>1466</v>
      </c>
      <c r="N5531" t="s">
        <v>1509</v>
      </c>
      <c r="O5531" t="s">
        <v>270</v>
      </c>
      <c r="P5531">
        <v>-20.164501999999999</v>
      </c>
      <c r="Q5531">
        <v>-44.883226999999998</v>
      </c>
      <c r="R5531" s="2" t="str">
        <f>HYPERLINK("https://www.google.com/maps?q=-20.1645020,-44.8832270","Abrir no Google Maps")</f>
        <v>Abrir no Google Maps</v>
      </c>
      <c r="S5531">
        <v>2</v>
      </c>
      <c r="T5531">
        <v>691.62667420887726</v>
      </c>
      <c r="U5531">
        <v>1</v>
      </c>
      <c r="V5531">
        <v>0</v>
      </c>
      <c r="W5531">
        <v>1</v>
      </c>
      <c r="X5531">
        <v>0</v>
      </c>
      <c r="Y5531">
        <v>671</v>
      </c>
      <c r="Z5531">
        <v>591.13935302436732</v>
      </c>
      <c r="AA5531">
        <v>198</v>
      </c>
      <c r="AB5531">
        <v>332</v>
      </c>
      <c r="AC5531">
        <v>536</v>
      </c>
      <c r="AD5531">
        <v>0</v>
      </c>
      <c r="AE5531">
        <v>542</v>
      </c>
      <c r="AF5531">
        <v>0</v>
      </c>
      <c r="AG5531">
        <v>0</v>
      </c>
      <c r="AH5531">
        <v>129</v>
      </c>
      <c r="AI5531">
        <v>0</v>
      </c>
      <c r="AJ5531">
        <v>0</v>
      </c>
      <c r="AK5531">
        <v>23.8</v>
      </c>
      <c r="AL5531">
        <v>-20.164470149999939</v>
      </c>
      <c r="AM5531">
        <v>-44.883357321672527</v>
      </c>
      <c r="AN5531">
        <v>-20.164470149999939</v>
      </c>
      <c r="AO5531">
        <v>-44.883357321672527</v>
      </c>
      <c r="AP5531">
        <v>-20.164501999999999</v>
      </c>
      <c r="AQ5531">
        <v>-44.883226999999998</v>
      </c>
      <c r="AR5531">
        <v>14.072184947340521</v>
      </c>
      <c r="AS5531" t="s">
        <v>65</v>
      </c>
      <c r="AT5531">
        <v>1</v>
      </c>
      <c r="AU5531" t="s">
        <v>1510</v>
      </c>
      <c r="AV5531" t="s">
        <v>1511</v>
      </c>
      <c r="AW5531" t="s">
        <v>60</v>
      </c>
      <c r="AX5531" t="s">
        <v>68</v>
      </c>
      <c r="AY5531" t="s">
        <v>69</v>
      </c>
      <c r="AZ5531" t="b">
        <v>1</v>
      </c>
    </row>
    <row r="5532" spans="1:52" x14ac:dyDescent="0.3">
      <c r="A5532" t="s">
        <v>52</v>
      </c>
      <c r="B5532" t="s">
        <v>53</v>
      </c>
      <c r="C5532" t="s">
        <v>54</v>
      </c>
      <c r="D5532" t="s">
        <v>55</v>
      </c>
      <c r="E5532" t="s">
        <v>2279</v>
      </c>
      <c r="F5532" t="s">
        <v>1247</v>
      </c>
      <c r="G5532" t="s">
        <v>1554</v>
      </c>
      <c r="H5532" t="s">
        <v>1555</v>
      </c>
      <c r="I5532" t="s">
        <v>1555</v>
      </c>
      <c r="J5532" t="s">
        <v>60</v>
      </c>
      <c r="K5532" t="s">
        <v>1466</v>
      </c>
      <c r="L5532" t="s">
        <v>62</v>
      </c>
      <c r="M5532" t="s">
        <v>1466</v>
      </c>
      <c r="N5532" t="s">
        <v>1556</v>
      </c>
      <c r="O5532" t="s">
        <v>989</v>
      </c>
      <c r="P5532">
        <v>-20.160997999999999</v>
      </c>
      <c r="Q5532">
        <v>-44.878385999999999</v>
      </c>
      <c r="R5532" s="2" t="str">
        <f>HYPERLINK("https://www.google.com/maps?q=-20.1609980,-44.8783860","Abrir no Google Maps")</f>
        <v>Abrir no Google Maps</v>
      </c>
      <c r="S5532">
        <v>2</v>
      </c>
      <c r="T5532">
        <v>0</v>
      </c>
      <c r="U5532">
        <v>1</v>
      </c>
      <c r="V5532">
        <v>0</v>
      </c>
      <c r="W5532">
        <v>0.85</v>
      </c>
      <c r="X5532">
        <v>0</v>
      </c>
      <c r="Y5532">
        <v>671</v>
      </c>
      <c r="Z5532">
        <v>74.014802531188664</v>
      </c>
      <c r="AA5532">
        <v>198</v>
      </c>
      <c r="AB5532">
        <v>332</v>
      </c>
      <c r="AC5532">
        <v>536</v>
      </c>
      <c r="AD5532">
        <v>0</v>
      </c>
      <c r="AE5532">
        <v>542</v>
      </c>
      <c r="AF5532">
        <v>0</v>
      </c>
      <c r="AG5532">
        <v>0</v>
      </c>
      <c r="AH5532">
        <v>129</v>
      </c>
      <c r="AI5532">
        <v>0</v>
      </c>
      <c r="AJ5532">
        <v>0</v>
      </c>
      <c r="AK5532">
        <v>23.8</v>
      </c>
      <c r="AL5532">
        <v>-20.160758199999979</v>
      </c>
      <c r="AM5532">
        <v>-44.878032519747983</v>
      </c>
      <c r="AN5532">
        <v>-20.160758199999979</v>
      </c>
      <c r="AO5532">
        <v>-44.878032519747983</v>
      </c>
      <c r="AP5532">
        <v>-20.160997999999999</v>
      </c>
      <c r="AQ5532">
        <v>-44.878385999999999</v>
      </c>
      <c r="AR5532">
        <v>45.574638830261883</v>
      </c>
      <c r="AS5532" t="s">
        <v>65</v>
      </c>
      <c r="AT5532">
        <v>1</v>
      </c>
      <c r="AU5532" t="s">
        <v>1557</v>
      </c>
      <c r="AV5532" t="s">
        <v>1558</v>
      </c>
      <c r="AW5532" t="s">
        <v>60</v>
      </c>
      <c r="AX5532" t="s">
        <v>68</v>
      </c>
      <c r="AY5532" t="s">
        <v>69</v>
      </c>
      <c r="AZ5532" t="b">
        <v>1</v>
      </c>
    </row>
    <row r="5533" spans="1:52" x14ac:dyDescent="0.3">
      <c r="A5533" t="s">
        <v>52</v>
      </c>
      <c r="B5533" t="s">
        <v>53</v>
      </c>
      <c r="C5533" t="s">
        <v>54</v>
      </c>
      <c r="D5533" t="s">
        <v>55</v>
      </c>
      <c r="E5533" t="s">
        <v>2279</v>
      </c>
      <c r="F5533" t="s">
        <v>1247</v>
      </c>
      <c r="G5533" t="s">
        <v>1529</v>
      </c>
      <c r="H5533" t="s">
        <v>1530</v>
      </c>
      <c r="I5533" t="s">
        <v>1530</v>
      </c>
      <c r="J5533" t="s">
        <v>60</v>
      </c>
      <c r="K5533" t="s">
        <v>1466</v>
      </c>
      <c r="L5533" t="s">
        <v>62</v>
      </c>
      <c r="M5533" t="s">
        <v>1466</v>
      </c>
      <c r="N5533" t="s">
        <v>1531</v>
      </c>
      <c r="O5533" t="s">
        <v>145</v>
      </c>
      <c r="P5533">
        <v>-20.162952000000001</v>
      </c>
      <c r="Q5533">
        <v>-44.877612999999997</v>
      </c>
      <c r="R5533" s="2" t="str">
        <f>HYPERLINK("https://www.google.com/maps?q=-20.1629520,-44.8776130","Abrir no Google Maps")</f>
        <v>Abrir no Google Maps</v>
      </c>
      <c r="S5533">
        <v>2</v>
      </c>
      <c r="T5533">
        <v>229.91388913695721</v>
      </c>
      <c r="U5533">
        <v>1</v>
      </c>
      <c r="V5533">
        <v>0</v>
      </c>
      <c r="W5533">
        <v>0.85</v>
      </c>
      <c r="X5533">
        <v>0</v>
      </c>
      <c r="Y5533">
        <v>671</v>
      </c>
      <c r="Z5533">
        <v>157.6775523644973</v>
      </c>
      <c r="AA5533">
        <v>198</v>
      </c>
      <c r="AB5533">
        <v>332</v>
      </c>
      <c r="AC5533">
        <v>536</v>
      </c>
      <c r="AD5533">
        <v>0</v>
      </c>
      <c r="AE5533">
        <v>542</v>
      </c>
      <c r="AF5533">
        <v>0</v>
      </c>
      <c r="AG5533">
        <v>0</v>
      </c>
      <c r="AH5533">
        <v>129</v>
      </c>
      <c r="AI5533">
        <v>0</v>
      </c>
      <c r="AJ5533">
        <v>0</v>
      </c>
      <c r="AK5533">
        <v>23.8</v>
      </c>
      <c r="AL5533">
        <v>-20.16278829999996</v>
      </c>
      <c r="AM5533">
        <v>-44.877564655204168</v>
      </c>
      <c r="AN5533">
        <v>-20.16278829999996</v>
      </c>
      <c r="AO5533">
        <v>-44.877564655204168</v>
      </c>
      <c r="AP5533">
        <v>-20.162952000000001</v>
      </c>
      <c r="AQ5533">
        <v>-44.877612999999997</v>
      </c>
      <c r="AR5533">
        <v>18.91038935762678</v>
      </c>
      <c r="AS5533" t="s">
        <v>65</v>
      </c>
      <c r="AT5533">
        <v>1</v>
      </c>
      <c r="AU5533" t="s">
        <v>1532</v>
      </c>
      <c r="AV5533" t="s">
        <v>1533</v>
      </c>
      <c r="AW5533" t="s">
        <v>60</v>
      </c>
      <c r="AX5533" t="s">
        <v>68</v>
      </c>
      <c r="AY5533" t="s">
        <v>69</v>
      </c>
      <c r="AZ5533" t="b">
        <v>1</v>
      </c>
    </row>
    <row r="5534" spans="1:52" x14ac:dyDescent="0.3">
      <c r="A5534" t="s">
        <v>52</v>
      </c>
      <c r="B5534" t="s">
        <v>53</v>
      </c>
      <c r="C5534" t="s">
        <v>54</v>
      </c>
      <c r="D5534" t="s">
        <v>55</v>
      </c>
      <c r="E5534" t="s">
        <v>2279</v>
      </c>
      <c r="F5534" t="s">
        <v>1247</v>
      </c>
      <c r="G5534" t="s">
        <v>1333</v>
      </c>
      <c r="H5534" t="s">
        <v>1470</v>
      </c>
      <c r="I5534" t="s">
        <v>1470</v>
      </c>
      <c r="J5534" t="s">
        <v>60</v>
      </c>
      <c r="K5534" t="s">
        <v>437</v>
      </c>
      <c r="L5534" t="s">
        <v>62</v>
      </c>
      <c r="M5534" t="s">
        <v>437</v>
      </c>
      <c r="N5534" t="s">
        <v>1335</v>
      </c>
      <c r="O5534" t="s">
        <v>900</v>
      </c>
      <c r="P5534">
        <v>-20.147047000000001</v>
      </c>
      <c r="Q5534">
        <v>-44.883921999999998</v>
      </c>
      <c r="R5534" s="2" t="str">
        <f>HYPERLINK("https://www.google.com/maps?q=-20.1470470,-44.8839220","Abrir no Google Maps")</f>
        <v>Abrir no Google Maps</v>
      </c>
      <c r="S5534">
        <v>2</v>
      </c>
      <c r="T5534">
        <v>296.4098018832658</v>
      </c>
      <c r="U5534">
        <v>1</v>
      </c>
      <c r="V5534">
        <v>0</v>
      </c>
      <c r="W5534">
        <v>1</v>
      </c>
      <c r="X5534">
        <v>0</v>
      </c>
      <c r="Y5534">
        <v>653</v>
      </c>
      <c r="Z5534">
        <v>299.72271006042178</v>
      </c>
      <c r="AA5534">
        <v>198</v>
      </c>
      <c r="AB5534">
        <v>332</v>
      </c>
      <c r="AC5534">
        <v>536</v>
      </c>
      <c r="AD5534">
        <v>0</v>
      </c>
      <c r="AE5534">
        <v>542</v>
      </c>
      <c r="AF5534">
        <v>0</v>
      </c>
      <c r="AG5534">
        <v>0</v>
      </c>
      <c r="AH5534">
        <v>129</v>
      </c>
      <c r="AI5534">
        <v>0</v>
      </c>
      <c r="AJ5534">
        <v>0</v>
      </c>
      <c r="AK5534">
        <v>23.8</v>
      </c>
      <c r="AL5534">
        <v>-20.147074949999929</v>
      </c>
      <c r="AM5534">
        <v>-44.883796511502347</v>
      </c>
      <c r="AN5534">
        <v>-20.147074949999929</v>
      </c>
      <c r="AO5534">
        <v>-44.883796511502347</v>
      </c>
      <c r="AP5534">
        <v>-20.147047000000001</v>
      </c>
      <c r="AQ5534">
        <v>-44.883921999999998</v>
      </c>
      <c r="AR5534">
        <v>13.47864632994</v>
      </c>
      <c r="AS5534" t="s">
        <v>65</v>
      </c>
      <c r="AT5534">
        <v>1</v>
      </c>
      <c r="AU5534" t="s">
        <v>1471</v>
      </c>
      <c r="AV5534" t="s">
        <v>1472</v>
      </c>
      <c r="AW5534" t="s">
        <v>60</v>
      </c>
      <c r="AX5534" t="s">
        <v>68</v>
      </c>
      <c r="AY5534" t="s">
        <v>69</v>
      </c>
      <c r="AZ5534" t="b">
        <v>1</v>
      </c>
    </row>
    <row r="5535" spans="1:52" x14ac:dyDescent="0.3">
      <c r="A5535" t="s">
        <v>52</v>
      </c>
      <c r="B5535" t="s">
        <v>53</v>
      </c>
      <c r="C5535" t="s">
        <v>54</v>
      </c>
      <c r="D5535" t="s">
        <v>55</v>
      </c>
      <c r="E5535" t="s">
        <v>2279</v>
      </c>
      <c r="F5535" t="s">
        <v>1247</v>
      </c>
      <c r="G5535" t="s">
        <v>1512</v>
      </c>
      <c r="H5535" t="s">
        <v>1513</v>
      </c>
      <c r="I5535" t="s">
        <v>1513</v>
      </c>
      <c r="J5535" t="s">
        <v>60</v>
      </c>
      <c r="K5535" t="s">
        <v>1302</v>
      </c>
      <c r="L5535" t="s">
        <v>62</v>
      </c>
      <c r="M5535" t="s">
        <v>1302</v>
      </c>
      <c r="N5535" t="s">
        <v>1514</v>
      </c>
      <c r="O5535" t="s">
        <v>1515</v>
      </c>
      <c r="P5535">
        <v>-20.163709000000001</v>
      </c>
      <c r="Q5535">
        <v>-44.916074999999999</v>
      </c>
      <c r="R5535" s="2" t="str">
        <f>HYPERLINK("https://www.google.com/maps?q=-20.1637090,-44.9160750","Abrir no Google Maps")</f>
        <v>Abrir no Google Maps</v>
      </c>
      <c r="S5535">
        <v>2</v>
      </c>
      <c r="T5535">
        <v>305.09593452131332</v>
      </c>
      <c r="U5535">
        <v>1</v>
      </c>
      <c r="V5535">
        <v>0</v>
      </c>
      <c r="W5535">
        <v>1</v>
      </c>
      <c r="X5535">
        <v>0</v>
      </c>
      <c r="Y5535">
        <v>639</v>
      </c>
      <c r="Z5535">
        <v>289.37841230131949</v>
      </c>
      <c r="AA5535">
        <v>198</v>
      </c>
      <c r="AB5535">
        <v>332</v>
      </c>
      <c r="AC5535">
        <v>536</v>
      </c>
      <c r="AD5535">
        <v>0</v>
      </c>
      <c r="AE5535">
        <v>542</v>
      </c>
      <c r="AF5535">
        <v>0</v>
      </c>
      <c r="AG5535">
        <v>0</v>
      </c>
      <c r="AH5535">
        <v>129</v>
      </c>
      <c r="AI5535">
        <v>0</v>
      </c>
      <c r="AJ5535">
        <v>0</v>
      </c>
      <c r="AK5535">
        <v>23.8</v>
      </c>
      <c r="AL5535">
        <v>-20.163666449999969</v>
      </c>
      <c r="AM5535">
        <v>-44.916102906827042</v>
      </c>
      <c r="AN5535">
        <v>-20.163666449999969</v>
      </c>
      <c r="AO5535">
        <v>-44.916102906827042</v>
      </c>
      <c r="AP5535">
        <v>-20.163709000000001</v>
      </c>
      <c r="AQ5535">
        <v>-44.916074999999999</v>
      </c>
      <c r="AR5535">
        <v>5.5623892025550603</v>
      </c>
      <c r="AS5535" t="s">
        <v>65</v>
      </c>
      <c r="AT5535">
        <v>1</v>
      </c>
      <c r="AU5535" t="s">
        <v>1516</v>
      </c>
      <c r="AV5535" t="s">
        <v>1517</v>
      </c>
      <c r="AW5535" t="s">
        <v>60</v>
      </c>
      <c r="AX5535" t="s">
        <v>68</v>
      </c>
      <c r="AY5535" t="s">
        <v>69</v>
      </c>
      <c r="AZ5535" t="b">
        <v>1</v>
      </c>
    </row>
    <row r="5536" spans="1:52" x14ac:dyDescent="0.3">
      <c r="A5536" t="s">
        <v>52</v>
      </c>
      <c r="B5536" t="s">
        <v>53</v>
      </c>
      <c r="C5536" t="s">
        <v>54</v>
      </c>
      <c r="D5536" t="s">
        <v>55</v>
      </c>
      <c r="E5536" t="s">
        <v>2279</v>
      </c>
      <c r="F5536" t="s">
        <v>1247</v>
      </c>
      <c r="G5536" t="s">
        <v>1473</v>
      </c>
      <c r="H5536" t="s">
        <v>1474</v>
      </c>
      <c r="I5536" t="s">
        <v>1474</v>
      </c>
      <c r="J5536" t="s">
        <v>60</v>
      </c>
      <c r="K5536" t="s">
        <v>1302</v>
      </c>
      <c r="L5536" t="s">
        <v>62</v>
      </c>
      <c r="M5536" t="s">
        <v>1302</v>
      </c>
      <c r="N5536" t="s">
        <v>1475</v>
      </c>
      <c r="O5536" t="s">
        <v>1476</v>
      </c>
      <c r="P5536">
        <v>-20.161372</v>
      </c>
      <c r="Q5536">
        <v>-44.914636999999999</v>
      </c>
      <c r="R5536" s="2" t="str">
        <f>HYPERLINK("https://www.google.com/maps?q=-20.1613720,-44.9146370","Abrir no Google Maps")</f>
        <v>Abrir no Google Maps</v>
      </c>
      <c r="S5536">
        <v>2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639</v>
      </c>
      <c r="Z5536">
        <v>81.742669907651447</v>
      </c>
      <c r="AA5536">
        <v>198</v>
      </c>
      <c r="AB5536">
        <v>332</v>
      </c>
      <c r="AC5536">
        <v>536</v>
      </c>
      <c r="AD5536">
        <v>0</v>
      </c>
      <c r="AE5536">
        <v>542</v>
      </c>
      <c r="AF5536">
        <v>0</v>
      </c>
      <c r="AG5536">
        <v>0</v>
      </c>
      <c r="AH5536">
        <v>129</v>
      </c>
      <c r="AI5536">
        <v>0</v>
      </c>
      <c r="AJ5536">
        <v>0</v>
      </c>
      <c r="AK5536">
        <v>23.8</v>
      </c>
      <c r="AL5536">
        <v>-20.161294499999961</v>
      </c>
      <c r="AM5536">
        <v>-44.914614684493202</v>
      </c>
      <c r="AN5536">
        <v>-20.161294499999961</v>
      </c>
      <c r="AO5536">
        <v>-44.914614684493202</v>
      </c>
      <c r="AP5536">
        <v>-20.161372</v>
      </c>
      <c r="AQ5536">
        <v>-44.914636999999999</v>
      </c>
      <c r="AR5536">
        <v>8.9369058443944862</v>
      </c>
      <c r="AS5536" t="s">
        <v>65</v>
      </c>
      <c r="AT5536">
        <v>1</v>
      </c>
      <c r="AU5536" t="s">
        <v>1477</v>
      </c>
      <c r="AV5536" t="s">
        <v>1478</v>
      </c>
      <c r="AW5536" t="s">
        <v>60</v>
      </c>
      <c r="AX5536" t="s">
        <v>68</v>
      </c>
      <c r="AY5536" t="s">
        <v>69</v>
      </c>
      <c r="AZ5536" t="b">
        <v>1</v>
      </c>
    </row>
    <row r="5537" spans="1:52" x14ac:dyDescent="0.3">
      <c r="A5537" t="s">
        <v>52</v>
      </c>
      <c r="B5537" t="s">
        <v>53</v>
      </c>
      <c r="C5537" t="s">
        <v>54</v>
      </c>
      <c r="D5537" t="s">
        <v>55</v>
      </c>
      <c r="E5537" t="s">
        <v>2279</v>
      </c>
      <c r="F5537" t="s">
        <v>1247</v>
      </c>
      <c r="G5537" t="s">
        <v>1479</v>
      </c>
      <c r="H5537" t="s">
        <v>1480</v>
      </c>
      <c r="I5537" t="s">
        <v>1480</v>
      </c>
      <c r="J5537" t="s">
        <v>60</v>
      </c>
      <c r="K5537" t="s">
        <v>1302</v>
      </c>
      <c r="L5537" t="s">
        <v>62</v>
      </c>
      <c r="M5537" t="s">
        <v>1302</v>
      </c>
      <c r="N5537" t="s">
        <v>1481</v>
      </c>
      <c r="O5537" t="s">
        <v>1482</v>
      </c>
      <c r="P5537">
        <v>-20.164655</v>
      </c>
      <c r="Q5537">
        <v>-44.912697000000001</v>
      </c>
      <c r="R5537" s="2" t="str">
        <f>HYPERLINK("https://www.google.com/maps?q=-20.1646550,-44.9126970","Abrir no Google Maps")</f>
        <v>Abrir no Google Maps</v>
      </c>
      <c r="S5537">
        <v>2</v>
      </c>
      <c r="T5537">
        <v>441.50274004930441</v>
      </c>
      <c r="U5537">
        <v>1</v>
      </c>
      <c r="V5537">
        <v>0</v>
      </c>
      <c r="W5537">
        <v>1</v>
      </c>
      <c r="X5537">
        <v>0</v>
      </c>
      <c r="Y5537">
        <v>639</v>
      </c>
      <c r="Z5537">
        <v>311.03317029936522</v>
      </c>
      <c r="AA5537">
        <v>198</v>
      </c>
      <c r="AB5537">
        <v>332</v>
      </c>
      <c r="AC5537">
        <v>536</v>
      </c>
      <c r="AD5537">
        <v>0</v>
      </c>
      <c r="AE5537">
        <v>542</v>
      </c>
      <c r="AF5537">
        <v>0</v>
      </c>
      <c r="AG5537">
        <v>0</v>
      </c>
      <c r="AH5537">
        <v>129</v>
      </c>
      <c r="AI5537">
        <v>0</v>
      </c>
      <c r="AJ5537">
        <v>0</v>
      </c>
      <c r="AK5537">
        <v>23.8</v>
      </c>
      <c r="AL5537">
        <v>-20.164702999999971</v>
      </c>
      <c r="AM5537">
        <v>-44.912418857911163</v>
      </c>
      <c r="AN5537">
        <v>-20.164702999999971</v>
      </c>
      <c r="AO5537">
        <v>-44.912418857911163</v>
      </c>
      <c r="AP5537">
        <v>-20.164655</v>
      </c>
      <c r="AQ5537">
        <v>-44.912697000000001</v>
      </c>
      <c r="AR5537">
        <v>29.552017409892429</v>
      </c>
      <c r="AS5537" t="s">
        <v>65</v>
      </c>
      <c r="AT5537">
        <v>1</v>
      </c>
      <c r="AU5537" t="s">
        <v>1483</v>
      </c>
      <c r="AV5537" t="s">
        <v>1484</v>
      </c>
      <c r="AW5537" t="s">
        <v>60</v>
      </c>
      <c r="AX5537" t="s">
        <v>68</v>
      </c>
      <c r="AY5537" t="s">
        <v>69</v>
      </c>
      <c r="AZ5537" t="b">
        <v>1</v>
      </c>
    </row>
    <row r="5538" spans="1:52" x14ac:dyDescent="0.3">
      <c r="A5538" t="s">
        <v>52</v>
      </c>
      <c r="B5538" t="s">
        <v>53</v>
      </c>
      <c r="C5538" t="s">
        <v>54</v>
      </c>
      <c r="D5538" t="s">
        <v>55</v>
      </c>
      <c r="E5538" t="s">
        <v>2279</v>
      </c>
      <c r="F5538" t="s">
        <v>1247</v>
      </c>
      <c r="G5538" t="s">
        <v>1518</v>
      </c>
      <c r="H5538" t="s">
        <v>1519</v>
      </c>
      <c r="I5538" t="s">
        <v>1519</v>
      </c>
      <c r="J5538" t="s">
        <v>60</v>
      </c>
      <c r="K5538" t="s">
        <v>1302</v>
      </c>
      <c r="L5538" t="s">
        <v>62</v>
      </c>
      <c r="M5538" t="s">
        <v>1302</v>
      </c>
      <c r="N5538" t="s">
        <v>1520</v>
      </c>
      <c r="O5538" t="s">
        <v>1521</v>
      </c>
      <c r="P5538">
        <v>-20.16263</v>
      </c>
      <c r="Q5538">
        <v>-44.910342999999997</v>
      </c>
      <c r="R5538" s="2" t="str">
        <f>HYPERLINK("https://www.google.com/maps?q=-20.1626300,-44.9103430","Abrir no Google Maps")</f>
        <v>Abrir no Google Maps</v>
      </c>
      <c r="S5538">
        <v>2</v>
      </c>
      <c r="T5538">
        <v>492.63980270666781</v>
      </c>
      <c r="U5538">
        <v>1</v>
      </c>
      <c r="V5538">
        <v>0</v>
      </c>
      <c r="W5538">
        <v>1</v>
      </c>
      <c r="X5538">
        <v>0</v>
      </c>
      <c r="Y5538">
        <v>639</v>
      </c>
      <c r="Z5538">
        <v>412.49960371731271</v>
      </c>
      <c r="AA5538">
        <v>198</v>
      </c>
      <c r="AB5538">
        <v>332</v>
      </c>
      <c r="AC5538">
        <v>536</v>
      </c>
      <c r="AD5538">
        <v>0</v>
      </c>
      <c r="AE5538">
        <v>542</v>
      </c>
      <c r="AF5538">
        <v>0</v>
      </c>
      <c r="AG5538">
        <v>0</v>
      </c>
      <c r="AH5538">
        <v>129</v>
      </c>
      <c r="AI5538">
        <v>0</v>
      </c>
      <c r="AJ5538">
        <v>0</v>
      </c>
      <c r="AK5538">
        <v>23.8</v>
      </c>
      <c r="AL5538">
        <v>-20.162579949999952</v>
      </c>
      <c r="AM5538">
        <v>-44.910101148008863</v>
      </c>
      <c r="AN5538">
        <v>-20.162579949999952</v>
      </c>
      <c r="AO5538">
        <v>-44.910101148008863</v>
      </c>
      <c r="AP5538">
        <v>-20.16263</v>
      </c>
      <c r="AQ5538">
        <v>-44.910342999999997</v>
      </c>
      <c r="AR5538">
        <v>25.879932474893501</v>
      </c>
      <c r="AS5538" t="s">
        <v>65</v>
      </c>
      <c r="AT5538">
        <v>1</v>
      </c>
      <c r="AU5538" t="s">
        <v>1522</v>
      </c>
      <c r="AV5538" t="s">
        <v>1523</v>
      </c>
      <c r="AW5538" t="s">
        <v>60</v>
      </c>
      <c r="AX5538" t="s">
        <v>68</v>
      </c>
      <c r="AY5538" t="s">
        <v>69</v>
      </c>
      <c r="AZ5538" t="b">
        <v>1</v>
      </c>
    </row>
    <row r="5539" spans="1:52" x14ac:dyDescent="0.3">
      <c r="A5539" t="s">
        <v>52</v>
      </c>
      <c r="B5539" t="s">
        <v>53</v>
      </c>
      <c r="C5539" t="s">
        <v>54</v>
      </c>
      <c r="D5539" t="s">
        <v>55</v>
      </c>
      <c r="E5539" t="s">
        <v>2279</v>
      </c>
      <c r="F5539" t="s">
        <v>1247</v>
      </c>
      <c r="G5539" t="s">
        <v>1524</v>
      </c>
      <c r="H5539" t="s">
        <v>1525</v>
      </c>
      <c r="I5539" t="s">
        <v>1525</v>
      </c>
      <c r="J5539" t="s">
        <v>60</v>
      </c>
      <c r="K5539" t="s">
        <v>1302</v>
      </c>
      <c r="L5539" t="s">
        <v>62</v>
      </c>
      <c r="M5539" t="s">
        <v>1302</v>
      </c>
      <c r="N5539" t="s">
        <v>1526</v>
      </c>
      <c r="O5539" t="s">
        <v>303</v>
      </c>
      <c r="P5539">
        <v>-20.159873000000001</v>
      </c>
      <c r="Q5539">
        <v>-44.911431999999998</v>
      </c>
      <c r="R5539" s="2" t="str">
        <f>HYPERLINK("https://www.google.com/maps?q=-20.1598730,-44.9114320","Abrir no Google Maps")</f>
        <v>Abrir no Google Maps</v>
      </c>
      <c r="S5539">
        <v>2</v>
      </c>
      <c r="T5539">
        <v>359.34785817593553</v>
      </c>
      <c r="U5539">
        <v>1</v>
      </c>
      <c r="V5539">
        <v>0</v>
      </c>
      <c r="W5539">
        <v>1</v>
      </c>
      <c r="X5539">
        <v>0</v>
      </c>
      <c r="Y5539">
        <v>639</v>
      </c>
      <c r="Z5539">
        <v>388.13505700247691</v>
      </c>
      <c r="AA5539">
        <v>198</v>
      </c>
      <c r="AB5539">
        <v>332</v>
      </c>
      <c r="AC5539">
        <v>536</v>
      </c>
      <c r="AD5539">
        <v>0</v>
      </c>
      <c r="AE5539">
        <v>542</v>
      </c>
      <c r="AF5539">
        <v>0</v>
      </c>
      <c r="AG5539">
        <v>0</v>
      </c>
      <c r="AH5539">
        <v>129</v>
      </c>
      <c r="AI5539">
        <v>0</v>
      </c>
      <c r="AJ5539">
        <v>0</v>
      </c>
      <c r="AK5539">
        <v>23.8</v>
      </c>
      <c r="AL5539">
        <v>-20.159583599999969</v>
      </c>
      <c r="AM5539">
        <v>-44.911691929105316</v>
      </c>
      <c r="AN5539">
        <v>-20.159583599999969</v>
      </c>
      <c r="AO5539">
        <v>-44.911691929105316</v>
      </c>
      <c r="AP5539">
        <v>-20.159873000000001</v>
      </c>
      <c r="AQ5539">
        <v>-44.911431999999998</v>
      </c>
      <c r="AR5539">
        <v>42.138811218570019</v>
      </c>
      <c r="AS5539" t="s">
        <v>65</v>
      </c>
      <c r="AT5539">
        <v>1</v>
      </c>
      <c r="AU5539" t="s">
        <v>1527</v>
      </c>
      <c r="AV5539" t="s">
        <v>1528</v>
      </c>
      <c r="AW5539" t="s">
        <v>60</v>
      </c>
      <c r="AX5539" t="s">
        <v>68</v>
      </c>
      <c r="AY5539" t="s">
        <v>69</v>
      </c>
      <c r="AZ5539" t="b">
        <v>1</v>
      </c>
    </row>
    <row r="5540" spans="1:52" x14ac:dyDescent="0.3">
      <c r="A5540" t="s">
        <v>52</v>
      </c>
      <c r="B5540" t="s">
        <v>53</v>
      </c>
      <c r="C5540" t="s">
        <v>54</v>
      </c>
      <c r="D5540" t="s">
        <v>55</v>
      </c>
      <c r="E5540" t="s">
        <v>2279</v>
      </c>
      <c r="F5540" t="s">
        <v>1247</v>
      </c>
      <c r="G5540" t="s">
        <v>1534</v>
      </c>
      <c r="H5540" t="s">
        <v>1535</v>
      </c>
      <c r="I5540" t="s">
        <v>1535</v>
      </c>
      <c r="J5540" t="s">
        <v>60</v>
      </c>
      <c r="K5540" t="s">
        <v>1536</v>
      </c>
      <c r="L5540" t="s">
        <v>62</v>
      </c>
      <c r="M5540" t="s">
        <v>1536</v>
      </c>
      <c r="N5540" t="s">
        <v>1537</v>
      </c>
      <c r="O5540" t="s">
        <v>1538</v>
      </c>
      <c r="P5540">
        <v>-20.164618999999998</v>
      </c>
      <c r="Q5540">
        <v>-44.921776999999999</v>
      </c>
      <c r="R5540" s="2" t="str">
        <f>HYPERLINK("https://www.google.com/maps?q=-20.1646190,-44.9217770","Abrir no Google Maps")</f>
        <v>Abrir no Google Maps</v>
      </c>
      <c r="S5540">
        <v>2</v>
      </c>
      <c r="T5540">
        <v>835.70698013544222</v>
      </c>
      <c r="U5540">
        <v>1</v>
      </c>
      <c r="V5540">
        <v>0</v>
      </c>
      <c r="W5540">
        <v>0.85</v>
      </c>
      <c r="X5540">
        <v>0</v>
      </c>
      <c r="Y5540">
        <v>639</v>
      </c>
      <c r="Z5540">
        <v>821.59880323911125</v>
      </c>
      <c r="AA5540">
        <v>198</v>
      </c>
      <c r="AB5540">
        <v>332</v>
      </c>
      <c r="AC5540">
        <v>536</v>
      </c>
      <c r="AD5540">
        <v>0</v>
      </c>
      <c r="AE5540">
        <v>542</v>
      </c>
      <c r="AF5540">
        <v>0</v>
      </c>
      <c r="AG5540">
        <v>0</v>
      </c>
      <c r="AH5540">
        <v>129</v>
      </c>
      <c r="AI5540">
        <v>0</v>
      </c>
      <c r="AJ5540">
        <v>0</v>
      </c>
      <c r="AK5540">
        <v>23.8</v>
      </c>
      <c r="AL5540">
        <v>-20.164312499999969</v>
      </c>
      <c r="AM5540">
        <v>-44.921945691824099</v>
      </c>
      <c r="AN5540">
        <v>-20.164312499999969</v>
      </c>
      <c r="AO5540">
        <v>-44.921945691824099</v>
      </c>
      <c r="AP5540">
        <v>-20.164618999999998</v>
      </c>
      <c r="AQ5540">
        <v>-44.921776999999999</v>
      </c>
      <c r="AR5540">
        <v>38.404224975746608</v>
      </c>
      <c r="AS5540" t="s">
        <v>65</v>
      </c>
      <c r="AT5540">
        <v>1</v>
      </c>
      <c r="AU5540" t="s">
        <v>1539</v>
      </c>
      <c r="AV5540" t="s">
        <v>1540</v>
      </c>
      <c r="AW5540" t="s">
        <v>60</v>
      </c>
      <c r="AX5540" t="s">
        <v>68</v>
      </c>
      <c r="AY5540" t="s">
        <v>69</v>
      </c>
      <c r="AZ5540" t="b">
        <v>1</v>
      </c>
    </row>
    <row r="5541" spans="1:52" x14ac:dyDescent="0.3">
      <c r="A5541" t="s">
        <v>52</v>
      </c>
      <c r="B5541" t="s">
        <v>53</v>
      </c>
      <c r="C5541" t="s">
        <v>54</v>
      </c>
      <c r="D5541" t="s">
        <v>55</v>
      </c>
      <c r="E5541" t="s">
        <v>2279</v>
      </c>
      <c r="F5541" t="s">
        <v>1247</v>
      </c>
      <c r="G5541" t="s">
        <v>1541</v>
      </c>
      <c r="H5541" t="s">
        <v>1542</v>
      </c>
      <c r="I5541" t="s">
        <v>1542</v>
      </c>
      <c r="J5541" t="s">
        <v>60</v>
      </c>
      <c r="K5541" t="s">
        <v>1302</v>
      </c>
      <c r="L5541" t="s">
        <v>62</v>
      </c>
      <c r="M5541" t="s">
        <v>1302</v>
      </c>
      <c r="N5541" t="s">
        <v>1543</v>
      </c>
      <c r="O5541" t="s">
        <v>1544</v>
      </c>
      <c r="P5541">
        <v>-20.166267999999999</v>
      </c>
      <c r="Q5541">
        <v>-44.916902</v>
      </c>
      <c r="R5541" s="2" t="str">
        <f>HYPERLINK("https://www.google.com/maps?q=-20.1662680,-44.9169020","Abrir no Google Maps")</f>
        <v>Abrir no Google Maps</v>
      </c>
      <c r="S5541">
        <v>2</v>
      </c>
      <c r="T5541">
        <v>580.14556008922216</v>
      </c>
      <c r="U5541">
        <v>1</v>
      </c>
      <c r="V5541">
        <v>0</v>
      </c>
      <c r="W5541">
        <v>0.85</v>
      </c>
      <c r="X5541">
        <v>0</v>
      </c>
      <c r="Y5541">
        <v>639</v>
      </c>
      <c r="Z5541">
        <v>590.87477783185614</v>
      </c>
      <c r="AA5541">
        <v>198</v>
      </c>
      <c r="AB5541">
        <v>332</v>
      </c>
      <c r="AC5541">
        <v>536</v>
      </c>
      <c r="AD5541">
        <v>0</v>
      </c>
      <c r="AE5541">
        <v>542</v>
      </c>
      <c r="AF5541">
        <v>0</v>
      </c>
      <c r="AG5541">
        <v>0</v>
      </c>
      <c r="AH5541">
        <v>129</v>
      </c>
      <c r="AI5541">
        <v>0</v>
      </c>
      <c r="AJ5541">
        <v>0</v>
      </c>
      <c r="AK5541">
        <v>23.8</v>
      </c>
      <c r="AL5541">
        <v>-20.165891749999961</v>
      </c>
      <c r="AM5541">
        <v>-44.917283075074913</v>
      </c>
      <c r="AN5541">
        <v>-20.165891749999961</v>
      </c>
      <c r="AO5541">
        <v>-44.917283075074913</v>
      </c>
      <c r="AP5541">
        <v>-20.166267999999999</v>
      </c>
      <c r="AQ5541">
        <v>-44.916902</v>
      </c>
      <c r="AR5541">
        <v>57.792534087281872</v>
      </c>
      <c r="AS5541" t="s">
        <v>65</v>
      </c>
      <c r="AT5541">
        <v>1</v>
      </c>
      <c r="AU5541" t="s">
        <v>1545</v>
      </c>
      <c r="AV5541" t="s">
        <v>1546</v>
      </c>
      <c r="AW5541" t="s">
        <v>60</v>
      </c>
      <c r="AX5541" t="s">
        <v>68</v>
      </c>
      <c r="AY5541" t="s">
        <v>69</v>
      </c>
      <c r="AZ5541" t="b">
        <v>1</v>
      </c>
    </row>
    <row r="5542" spans="1:52" x14ac:dyDescent="0.3">
      <c r="A5542" t="s">
        <v>52</v>
      </c>
      <c r="B5542" t="s">
        <v>53</v>
      </c>
      <c r="C5542" t="s">
        <v>54</v>
      </c>
      <c r="D5542" t="s">
        <v>55</v>
      </c>
      <c r="E5542" t="s">
        <v>2279</v>
      </c>
      <c r="F5542" t="s">
        <v>1247</v>
      </c>
      <c r="G5542" t="s">
        <v>1559</v>
      </c>
      <c r="H5542" t="s">
        <v>1560</v>
      </c>
      <c r="I5542" t="s">
        <v>1560</v>
      </c>
      <c r="J5542" t="s">
        <v>60</v>
      </c>
      <c r="K5542" t="s">
        <v>61</v>
      </c>
      <c r="L5542" t="s">
        <v>62</v>
      </c>
      <c r="M5542" t="s">
        <v>61</v>
      </c>
      <c r="N5542" t="s">
        <v>1561</v>
      </c>
      <c r="O5542" t="s">
        <v>1562</v>
      </c>
      <c r="P5542">
        <v>-20.154959000000002</v>
      </c>
      <c r="Q5542">
        <v>-44.91525</v>
      </c>
      <c r="R5542" s="2" t="str">
        <f>HYPERLINK("https://www.google.com/maps?q=-20.1549590,-44.9152500","Abrir no Google Maps")</f>
        <v>Abrir no Google Maps</v>
      </c>
      <c r="S5542">
        <v>2</v>
      </c>
      <c r="T5542">
        <v>738.36411213380245</v>
      </c>
      <c r="U5542">
        <v>1</v>
      </c>
      <c r="V5542">
        <v>0</v>
      </c>
      <c r="W5542">
        <v>0.85</v>
      </c>
      <c r="X5542">
        <v>0</v>
      </c>
      <c r="Y5542">
        <v>639</v>
      </c>
      <c r="Z5542">
        <v>860.82840850294542</v>
      </c>
      <c r="AA5542">
        <v>198</v>
      </c>
      <c r="AB5542">
        <v>332</v>
      </c>
      <c r="AC5542">
        <v>536</v>
      </c>
      <c r="AD5542">
        <v>0</v>
      </c>
      <c r="AE5542">
        <v>542</v>
      </c>
      <c r="AF5542">
        <v>0</v>
      </c>
      <c r="AG5542">
        <v>0</v>
      </c>
      <c r="AH5542">
        <v>129</v>
      </c>
      <c r="AI5542">
        <v>0</v>
      </c>
      <c r="AJ5542">
        <v>0</v>
      </c>
      <c r="AK5542">
        <v>23.8</v>
      </c>
      <c r="AL5542">
        <v>-20.154629849999939</v>
      </c>
      <c r="AM5542">
        <v>-44.914951620624052</v>
      </c>
      <c r="AN5542">
        <v>-20.154629849999939</v>
      </c>
      <c r="AO5542">
        <v>-44.914951620624052</v>
      </c>
      <c r="AP5542">
        <v>-20.154959000000002</v>
      </c>
      <c r="AQ5542">
        <v>-44.91525</v>
      </c>
      <c r="AR5542">
        <v>48.11297170616912</v>
      </c>
      <c r="AS5542" t="s">
        <v>65</v>
      </c>
      <c r="AT5542">
        <v>1</v>
      </c>
      <c r="AU5542" t="s">
        <v>1563</v>
      </c>
      <c r="AV5542" t="s">
        <v>1564</v>
      </c>
      <c r="AW5542" t="s">
        <v>60</v>
      </c>
      <c r="AX5542" t="s">
        <v>68</v>
      </c>
      <c r="AY5542" t="s">
        <v>69</v>
      </c>
      <c r="AZ5542" t="b">
        <v>1</v>
      </c>
    </row>
    <row r="5543" spans="1:52" x14ac:dyDescent="0.3">
      <c r="A5543" t="s">
        <v>52</v>
      </c>
      <c r="B5543" t="s">
        <v>53</v>
      </c>
      <c r="C5543" t="s">
        <v>54</v>
      </c>
      <c r="D5543" t="s">
        <v>55</v>
      </c>
      <c r="E5543" t="s">
        <v>2279</v>
      </c>
      <c r="F5543" t="s">
        <v>1247</v>
      </c>
      <c r="G5543" t="s">
        <v>1607</v>
      </c>
      <c r="H5543" t="s">
        <v>1608</v>
      </c>
      <c r="I5543" t="s">
        <v>1608</v>
      </c>
      <c r="J5543" t="s">
        <v>60</v>
      </c>
      <c r="K5543" t="s">
        <v>1486</v>
      </c>
      <c r="L5543" t="s">
        <v>62</v>
      </c>
      <c r="M5543" t="s">
        <v>1486</v>
      </c>
      <c r="N5543" t="s">
        <v>1609</v>
      </c>
      <c r="O5543" t="s">
        <v>1255</v>
      </c>
      <c r="P5543">
        <v>-20.157689000000001</v>
      </c>
      <c r="Q5543">
        <v>-44.883887000000001</v>
      </c>
      <c r="R5543" s="2" t="str">
        <f>HYPERLINK("https://www.google.com/maps?q=-20.1576890,-44.8838870","Abrir no Google Maps")</f>
        <v>Abrir no Google Maps</v>
      </c>
      <c r="S5543">
        <v>1</v>
      </c>
      <c r="T5543">
        <v>603.38424821205774</v>
      </c>
      <c r="U5543">
        <v>1</v>
      </c>
      <c r="V5543">
        <v>0</v>
      </c>
      <c r="W5543">
        <v>1</v>
      </c>
      <c r="X5543">
        <v>0</v>
      </c>
      <c r="Y5543">
        <v>671</v>
      </c>
      <c r="Z5543">
        <v>682.48636898467089</v>
      </c>
      <c r="AA5543">
        <v>198</v>
      </c>
      <c r="AB5543">
        <v>332</v>
      </c>
      <c r="AC5543">
        <v>536</v>
      </c>
      <c r="AD5543">
        <v>0</v>
      </c>
      <c r="AE5543">
        <v>542</v>
      </c>
      <c r="AF5543">
        <v>0</v>
      </c>
      <c r="AG5543">
        <v>0</v>
      </c>
      <c r="AH5543">
        <v>129</v>
      </c>
      <c r="AI5543">
        <v>0</v>
      </c>
      <c r="AJ5543">
        <v>0</v>
      </c>
      <c r="AK5543">
        <v>23.8</v>
      </c>
      <c r="AL5543">
        <v>-20.157732249999949</v>
      </c>
      <c r="AM5543">
        <v>-44.883829923283272</v>
      </c>
      <c r="AN5543">
        <v>-20.157732249999949</v>
      </c>
      <c r="AO5543">
        <v>-44.883829923283272</v>
      </c>
      <c r="AP5543">
        <v>-20.157689000000001</v>
      </c>
      <c r="AQ5543">
        <v>-44.883887000000001</v>
      </c>
      <c r="AR5543">
        <v>7.6652901074925257</v>
      </c>
      <c r="AS5543" t="s">
        <v>65</v>
      </c>
      <c r="AT5543">
        <v>1</v>
      </c>
      <c r="AU5543" t="s">
        <v>1610</v>
      </c>
      <c r="AV5543" t="s">
        <v>1611</v>
      </c>
      <c r="AW5543" t="s">
        <v>60</v>
      </c>
      <c r="AX5543" t="s">
        <v>68</v>
      </c>
      <c r="AY5543" t="s">
        <v>69</v>
      </c>
      <c r="AZ5543" t="b">
        <v>1</v>
      </c>
    </row>
    <row r="5544" spans="1:52" x14ac:dyDescent="0.3">
      <c r="A5544" t="s">
        <v>52</v>
      </c>
      <c r="B5544" t="s">
        <v>53</v>
      </c>
      <c r="C5544" t="s">
        <v>54</v>
      </c>
      <c r="D5544" t="s">
        <v>55</v>
      </c>
      <c r="E5544" t="s">
        <v>2279</v>
      </c>
      <c r="F5544" t="s">
        <v>1247</v>
      </c>
      <c r="G5544" t="s">
        <v>631</v>
      </c>
      <c r="H5544" t="s">
        <v>1565</v>
      </c>
      <c r="I5544" t="s">
        <v>1565</v>
      </c>
      <c r="J5544" t="s">
        <v>60</v>
      </c>
      <c r="K5544" t="s">
        <v>530</v>
      </c>
      <c r="L5544" t="s">
        <v>62</v>
      </c>
      <c r="M5544" t="s">
        <v>530</v>
      </c>
      <c r="N5544" t="s">
        <v>633</v>
      </c>
      <c r="O5544" t="s">
        <v>1566</v>
      </c>
      <c r="P5544">
        <v>-20.143915</v>
      </c>
      <c r="Q5544">
        <v>-44.8947</v>
      </c>
      <c r="R5544" s="2" t="str">
        <f>HYPERLINK("https://www.google.com/maps?q=-20.1439150,-44.8947000","Abrir no Google Maps")</f>
        <v>Abrir no Google Maps</v>
      </c>
      <c r="S5544">
        <v>1</v>
      </c>
      <c r="T5544">
        <v>327.74435325417051</v>
      </c>
      <c r="U5544">
        <v>1</v>
      </c>
      <c r="V5544">
        <v>0</v>
      </c>
      <c r="W5544">
        <v>1</v>
      </c>
      <c r="X5544">
        <v>0</v>
      </c>
      <c r="Y5544">
        <v>602</v>
      </c>
      <c r="Z5544">
        <v>236.41345279429891</v>
      </c>
      <c r="AA5544">
        <v>198</v>
      </c>
      <c r="AB5544">
        <v>332</v>
      </c>
      <c r="AC5544">
        <v>536</v>
      </c>
      <c r="AD5544">
        <v>0</v>
      </c>
      <c r="AE5544">
        <v>542</v>
      </c>
      <c r="AF5544">
        <v>0</v>
      </c>
      <c r="AG5544">
        <v>0</v>
      </c>
      <c r="AH5544">
        <v>129</v>
      </c>
      <c r="AI5544">
        <v>0</v>
      </c>
      <c r="AJ5544">
        <v>0</v>
      </c>
      <c r="AK5544">
        <v>23.8</v>
      </c>
      <c r="AL5544">
        <v>-20.143900549999959</v>
      </c>
      <c r="AM5544">
        <v>-44.894835636584318</v>
      </c>
      <c r="AN5544">
        <v>-20.143900549999959</v>
      </c>
      <c r="AO5544">
        <v>-44.894835636584318</v>
      </c>
      <c r="AP5544">
        <v>-20.143915</v>
      </c>
      <c r="AQ5544">
        <v>-44.8947</v>
      </c>
      <c r="AR5544">
        <v>14.266440053785869</v>
      </c>
      <c r="AS5544" t="s">
        <v>65</v>
      </c>
      <c r="AT5544">
        <v>1</v>
      </c>
      <c r="AU5544" t="s">
        <v>1567</v>
      </c>
      <c r="AV5544" t="s">
        <v>1568</v>
      </c>
      <c r="AW5544" t="s">
        <v>60</v>
      </c>
      <c r="AX5544" t="s">
        <v>68</v>
      </c>
      <c r="AY5544" t="s">
        <v>69</v>
      </c>
      <c r="AZ5544" t="b">
        <v>1</v>
      </c>
    </row>
    <row r="5545" spans="1:52" x14ac:dyDescent="0.3">
      <c r="A5545" t="s">
        <v>52</v>
      </c>
      <c r="B5545" t="s">
        <v>53</v>
      </c>
      <c r="C5545" t="s">
        <v>54</v>
      </c>
      <c r="D5545" t="s">
        <v>55</v>
      </c>
      <c r="E5545" t="s">
        <v>2279</v>
      </c>
      <c r="F5545" t="s">
        <v>1247</v>
      </c>
      <c r="G5545" t="s">
        <v>1569</v>
      </c>
      <c r="H5545" t="s">
        <v>1570</v>
      </c>
      <c r="I5545" t="s">
        <v>1570</v>
      </c>
      <c r="J5545" t="s">
        <v>60</v>
      </c>
      <c r="K5545" t="s">
        <v>530</v>
      </c>
      <c r="L5545" t="s">
        <v>62</v>
      </c>
      <c r="M5545" t="s">
        <v>530</v>
      </c>
      <c r="N5545" t="s">
        <v>1571</v>
      </c>
      <c r="O5545" t="s">
        <v>598</v>
      </c>
      <c r="P5545">
        <v>-20.146418000000001</v>
      </c>
      <c r="Q5545">
        <v>-44.893861999999999</v>
      </c>
      <c r="R5545" s="2" t="str">
        <f>HYPERLINK("https://www.google.com/maps?q=-20.1464180,-44.8938620","Abrir no Google Maps")</f>
        <v>Abrir no Google Maps</v>
      </c>
      <c r="S5545">
        <v>1</v>
      </c>
      <c r="T5545">
        <v>0</v>
      </c>
      <c r="U5545">
        <v>1</v>
      </c>
      <c r="V5545">
        <v>0</v>
      </c>
      <c r="W5545">
        <v>0.85</v>
      </c>
      <c r="X5545">
        <v>0</v>
      </c>
      <c r="Y5545">
        <v>602</v>
      </c>
      <c r="Z5545">
        <v>124.5475134899211</v>
      </c>
      <c r="AA5545">
        <v>198</v>
      </c>
      <c r="AB5545">
        <v>332</v>
      </c>
      <c r="AC5545">
        <v>536</v>
      </c>
      <c r="AD5545">
        <v>0</v>
      </c>
      <c r="AE5545">
        <v>542</v>
      </c>
      <c r="AF5545">
        <v>0</v>
      </c>
      <c r="AG5545">
        <v>0</v>
      </c>
      <c r="AH5545">
        <v>129</v>
      </c>
      <c r="AI5545">
        <v>0</v>
      </c>
      <c r="AJ5545">
        <v>0</v>
      </c>
      <c r="AK5545">
        <v>23.8</v>
      </c>
      <c r="AL5545">
        <v>-20.146753399999941</v>
      </c>
      <c r="AM5545">
        <v>-44.893993355901941</v>
      </c>
      <c r="AN5545">
        <v>-20.146753399999941</v>
      </c>
      <c r="AO5545">
        <v>-44.893993355901941</v>
      </c>
      <c r="AP5545">
        <v>-20.146418000000001</v>
      </c>
      <c r="AQ5545">
        <v>-44.893861999999999</v>
      </c>
      <c r="AR5545">
        <v>39.780457157851913</v>
      </c>
      <c r="AS5545" t="s">
        <v>65</v>
      </c>
      <c r="AT5545">
        <v>1</v>
      </c>
      <c r="AU5545" t="s">
        <v>1572</v>
      </c>
      <c r="AV5545" t="s">
        <v>1573</v>
      </c>
      <c r="AW5545" t="s">
        <v>60</v>
      </c>
      <c r="AX5545" t="s">
        <v>68</v>
      </c>
      <c r="AY5545" t="s">
        <v>69</v>
      </c>
      <c r="AZ5545" t="b">
        <v>1</v>
      </c>
    </row>
    <row r="5546" spans="1:52" x14ac:dyDescent="0.3">
      <c r="A5546" t="s">
        <v>52</v>
      </c>
      <c r="B5546" t="s">
        <v>53</v>
      </c>
      <c r="C5546" t="s">
        <v>54</v>
      </c>
      <c r="D5546" t="s">
        <v>55</v>
      </c>
      <c r="E5546" t="s">
        <v>2279</v>
      </c>
      <c r="F5546" t="s">
        <v>1247</v>
      </c>
      <c r="G5546" t="s">
        <v>1569</v>
      </c>
      <c r="H5546" t="s">
        <v>1574</v>
      </c>
      <c r="I5546" t="s">
        <v>1574</v>
      </c>
      <c r="J5546" t="s">
        <v>60</v>
      </c>
      <c r="K5546" t="s">
        <v>530</v>
      </c>
      <c r="L5546" t="s">
        <v>62</v>
      </c>
      <c r="M5546" t="s">
        <v>530</v>
      </c>
      <c r="N5546" t="s">
        <v>1571</v>
      </c>
      <c r="O5546" t="s">
        <v>1575</v>
      </c>
      <c r="P5546">
        <v>-20.14554</v>
      </c>
      <c r="Q5546">
        <v>-44.895606000000001</v>
      </c>
      <c r="R5546" s="2" t="str">
        <f>HYPERLINK("https://www.google.com/maps?q=-20.1455400,-44.8956060","Abrir no Google Maps")</f>
        <v>Abrir no Google Maps</v>
      </c>
      <c r="S5546">
        <v>1</v>
      </c>
      <c r="T5546">
        <v>218.66647838959381</v>
      </c>
      <c r="U5546">
        <v>1</v>
      </c>
      <c r="V5546">
        <v>0</v>
      </c>
      <c r="W5546">
        <v>1</v>
      </c>
      <c r="X5546">
        <v>0</v>
      </c>
      <c r="Y5546">
        <v>602</v>
      </c>
      <c r="Z5546">
        <v>263.6501043391637</v>
      </c>
      <c r="AA5546">
        <v>198</v>
      </c>
      <c r="AB5546">
        <v>332</v>
      </c>
      <c r="AC5546">
        <v>536</v>
      </c>
      <c r="AD5546">
        <v>0</v>
      </c>
      <c r="AE5546">
        <v>542</v>
      </c>
      <c r="AF5546">
        <v>0</v>
      </c>
      <c r="AG5546">
        <v>0</v>
      </c>
      <c r="AH5546">
        <v>129</v>
      </c>
      <c r="AI5546">
        <v>0</v>
      </c>
      <c r="AJ5546">
        <v>0</v>
      </c>
      <c r="AK5546">
        <v>23.8</v>
      </c>
      <c r="AL5546">
        <v>-20.145504749999962</v>
      </c>
      <c r="AM5546">
        <v>-44.89561499588882</v>
      </c>
      <c r="AN5546">
        <v>-20.145504749999962</v>
      </c>
      <c r="AO5546">
        <v>-44.89561499588882</v>
      </c>
      <c r="AP5546">
        <v>-20.14554</v>
      </c>
      <c r="AQ5546">
        <v>-44.895606000000001</v>
      </c>
      <c r="AR5546">
        <v>4.0350843151508604</v>
      </c>
      <c r="AS5546" t="s">
        <v>65</v>
      </c>
      <c r="AT5546">
        <v>1</v>
      </c>
      <c r="AU5546" t="s">
        <v>1576</v>
      </c>
      <c r="AV5546" t="s">
        <v>1577</v>
      </c>
      <c r="AW5546" t="s">
        <v>60</v>
      </c>
      <c r="AX5546" t="s">
        <v>68</v>
      </c>
      <c r="AY5546" t="s">
        <v>69</v>
      </c>
      <c r="AZ5546" t="b">
        <v>1</v>
      </c>
    </row>
    <row r="5547" spans="1:52" x14ac:dyDescent="0.3">
      <c r="A5547" t="s">
        <v>52</v>
      </c>
      <c r="B5547" t="s">
        <v>53</v>
      </c>
      <c r="C5547" t="s">
        <v>54</v>
      </c>
      <c r="D5547" t="s">
        <v>55</v>
      </c>
      <c r="E5547" t="s">
        <v>2279</v>
      </c>
      <c r="F5547" t="s">
        <v>1247</v>
      </c>
      <c r="G5547" t="s">
        <v>1578</v>
      </c>
      <c r="H5547" t="s">
        <v>1579</v>
      </c>
      <c r="I5547" t="s">
        <v>1579</v>
      </c>
      <c r="J5547" t="s">
        <v>60</v>
      </c>
      <c r="K5547" t="s">
        <v>530</v>
      </c>
      <c r="L5547" t="s">
        <v>62</v>
      </c>
      <c r="M5547" t="s">
        <v>530</v>
      </c>
      <c r="N5547" t="s">
        <v>1580</v>
      </c>
      <c r="O5547" t="s">
        <v>1581</v>
      </c>
      <c r="P5547">
        <v>-20.143713999999999</v>
      </c>
      <c r="Q5547">
        <v>-44.897387999999999</v>
      </c>
      <c r="R5547" s="2" t="str">
        <f>HYPERLINK("https://www.google.com/maps?q=-20.1437140,-44.8973880","Abrir no Google Maps")</f>
        <v>Abrir no Google Maps</v>
      </c>
      <c r="S5547">
        <v>1</v>
      </c>
      <c r="T5547">
        <v>354.74438118735611</v>
      </c>
      <c r="U5547">
        <v>1</v>
      </c>
      <c r="V5547">
        <v>0</v>
      </c>
      <c r="W5547">
        <v>1</v>
      </c>
      <c r="X5547">
        <v>0</v>
      </c>
      <c r="Y5547">
        <v>588</v>
      </c>
      <c r="Z5547">
        <v>336.29881064197872</v>
      </c>
      <c r="AA5547">
        <v>198</v>
      </c>
      <c r="AB5547">
        <v>332</v>
      </c>
      <c r="AC5547">
        <v>536</v>
      </c>
      <c r="AD5547">
        <v>0</v>
      </c>
      <c r="AE5547">
        <v>542</v>
      </c>
      <c r="AF5547">
        <v>0</v>
      </c>
      <c r="AG5547">
        <v>0</v>
      </c>
      <c r="AH5547">
        <v>129</v>
      </c>
      <c r="AI5547">
        <v>0</v>
      </c>
      <c r="AJ5547">
        <v>0</v>
      </c>
      <c r="AK5547">
        <v>23.8</v>
      </c>
      <c r="AL5547">
        <v>-20.14371329999997</v>
      </c>
      <c r="AM5547">
        <v>-44.897384604125257</v>
      </c>
      <c r="AN5547">
        <v>-20.14371329999997</v>
      </c>
      <c r="AO5547">
        <v>-44.897384604125257</v>
      </c>
      <c r="AP5547">
        <v>-20.143713999999999</v>
      </c>
      <c r="AQ5547">
        <v>-44.897387999999999</v>
      </c>
      <c r="AR5547">
        <v>0.36335934693921551</v>
      </c>
      <c r="AS5547" t="s">
        <v>65</v>
      </c>
      <c r="AT5547">
        <v>1</v>
      </c>
      <c r="AU5547" t="s">
        <v>1582</v>
      </c>
      <c r="AV5547" t="s">
        <v>1583</v>
      </c>
      <c r="AW5547" t="s">
        <v>60</v>
      </c>
      <c r="AX5547" t="s">
        <v>68</v>
      </c>
      <c r="AY5547" t="s">
        <v>69</v>
      </c>
      <c r="AZ5547" t="b">
        <v>1</v>
      </c>
    </row>
    <row r="5548" spans="1:52" x14ac:dyDescent="0.3">
      <c r="A5548" t="s">
        <v>52</v>
      </c>
      <c r="B5548" t="s">
        <v>53</v>
      </c>
      <c r="C5548" t="s">
        <v>54</v>
      </c>
      <c r="D5548" t="s">
        <v>55</v>
      </c>
      <c r="E5548" t="s">
        <v>2279</v>
      </c>
      <c r="F5548" t="s">
        <v>1247</v>
      </c>
      <c r="G5548" t="s">
        <v>1584</v>
      </c>
      <c r="H5548" t="s">
        <v>1585</v>
      </c>
      <c r="I5548" t="s">
        <v>1585</v>
      </c>
      <c r="J5548" t="s">
        <v>60</v>
      </c>
      <c r="K5548" t="s">
        <v>530</v>
      </c>
      <c r="L5548" t="s">
        <v>62</v>
      </c>
      <c r="M5548" t="s">
        <v>530</v>
      </c>
      <c r="N5548" t="s">
        <v>406</v>
      </c>
      <c r="O5548" t="s">
        <v>1586</v>
      </c>
      <c r="P5548">
        <v>-20.141316</v>
      </c>
      <c r="Q5548">
        <v>-44.896424000000003</v>
      </c>
      <c r="R5548" s="2" t="str">
        <f>HYPERLINK("https://www.google.com/maps?q=-20.1413160,-44.8964240","Abrir no Google Maps")</f>
        <v>Abrir no Google Maps</v>
      </c>
      <c r="S5548">
        <v>1</v>
      </c>
      <c r="T5548">
        <v>236.6687095166524</v>
      </c>
      <c r="U5548">
        <v>1</v>
      </c>
      <c r="V5548">
        <v>0</v>
      </c>
      <c r="W5548">
        <v>1</v>
      </c>
      <c r="X5548">
        <v>0</v>
      </c>
      <c r="Y5548">
        <v>588</v>
      </c>
      <c r="Z5548">
        <v>255.50729797374251</v>
      </c>
      <c r="AA5548">
        <v>198</v>
      </c>
      <c r="AB5548">
        <v>332</v>
      </c>
      <c r="AC5548">
        <v>536</v>
      </c>
      <c r="AD5548">
        <v>0</v>
      </c>
      <c r="AE5548">
        <v>542</v>
      </c>
      <c r="AF5548">
        <v>0</v>
      </c>
      <c r="AG5548">
        <v>0</v>
      </c>
      <c r="AH5548">
        <v>129</v>
      </c>
      <c r="AI5548">
        <v>0</v>
      </c>
      <c r="AJ5548">
        <v>0</v>
      </c>
      <c r="AK5548">
        <v>23.8</v>
      </c>
      <c r="AL5548">
        <v>-20.141468299999961</v>
      </c>
      <c r="AM5548">
        <v>-44.896566678331098</v>
      </c>
      <c r="AN5548">
        <v>-20.141468299999961</v>
      </c>
      <c r="AO5548">
        <v>-44.896566678331098</v>
      </c>
      <c r="AP5548">
        <v>-20.141316</v>
      </c>
      <c r="AQ5548">
        <v>-44.896424000000003</v>
      </c>
      <c r="AR5548">
        <v>22.578666373759301</v>
      </c>
      <c r="AS5548" t="s">
        <v>65</v>
      </c>
      <c r="AT5548">
        <v>1</v>
      </c>
      <c r="AU5548" t="s">
        <v>1587</v>
      </c>
      <c r="AV5548" t="s">
        <v>1588</v>
      </c>
      <c r="AW5548" t="s">
        <v>60</v>
      </c>
      <c r="AX5548" t="s">
        <v>68</v>
      </c>
      <c r="AY5548" t="s">
        <v>69</v>
      </c>
      <c r="AZ5548" t="b">
        <v>1</v>
      </c>
    </row>
    <row r="5549" spans="1:52" x14ac:dyDescent="0.3">
      <c r="A5549" t="s">
        <v>52</v>
      </c>
      <c r="B5549" t="s">
        <v>53</v>
      </c>
      <c r="C5549" t="s">
        <v>54</v>
      </c>
      <c r="D5549" t="s">
        <v>55</v>
      </c>
      <c r="E5549" t="s">
        <v>2279</v>
      </c>
      <c r="F5549" t="s">
        <v>1247</v>
      </c>
      <c r="G5549" t="s">
        <v>1589</v>
      </c>
      <c r="H5549" t="s">
        <v>1590</v>
      </c>
      <c r="I5549" t="s">
        <v>1590</v>
      </c>
      <c r="J5549" t="s">
        <v>60</v>
      </c>
      <c r="K5549" t="s">
        <v>1591</v>
      </c>
      <c r="L5549" t="s">
        <v>62</v>
      </c>
      <c r="M5549" t="s">
        <v>1591</v>
      </c>
      <c r="N5549" t="s">
        <v>1592</v>
      </c>
      <c r="O5549" t="s">
        <v>659</v>
      </c>
      <c r="P5549">
        <v>-20.140789000000002</v>
      </c>
      <c r="Q5549">
        <v>-44.898631000000002</v>
      </c>
      <c r="R5549" s="2" t="str">
        <f>HYPERLINK("https://www.google.com/maps?q=-20.1407890,-44.8986310","Abrir no Google Maps")</f>
        <v>Abrir no Google Maps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588</v>
      </c>
      <c r="Z5549">
        <v>51.152636251897107</v>
      </c>
      <c r="AA5549">
        <v>198</v>
      </c>
      <c r="AB5549">
        <v>332</v>
      </c>
      <c r="AC5549">
        <v>536</v>
      </c>
      <c r="AD5549">
        <v>0</v>
      </c>
      <c r="AE5549">
        <v>542</v>
      </c>
      <c r="AF5549">
        <v>0</v>
      </c>
      <c r="AG5549">
        <v>0</v>
      </c>
      <c r="AH5549">
        <v>129</v>
      </c>
      <c r="AI5549">
        <v>0</v>
      </c>
      <c r="AJ5549">
        <v>0</v>
      </c>
      <c r="AK5549">
        <v>23.8</v>
      </c>
      <c r="AL5549">
        <v>-20.140759399999951</v>
      </c>
      <c r="AM5549">
        <v>-44.898703172474903</v>
      </c>
      <c r="AN5549">
        <v>-20.140759399999951</v>
      </c>
      <c r="AO5549">
        <v>-44.898703172474903</v>
      </c>
      <c r="AP5549">
        <v>-20.140789000000002</v>
      </c>
      <c r="AQ5549">
        <v>-44.898631000000002</v>
      </c>
      <c r="AR5549">
        <v>8.2312502179962053</v>
      </c>
      <c r="AS5549" t="s">
        <v>65</v>
      </c>
      <c r="AT5549">
        <v>1</v>
      </c>
      <c r="AU5549" t="s">
        <v>1593</v>
      </c>
      <c r="AV5549" t="s">
        <v>1594</v>
      </c>
      <c r="AW5549" t="s">
        <v>60</v>
      </c>
      <c r="AX5549" t="s">
        <v>68</v>
      </c>
      <c r="AY5549" t="s">
        <v>69</v>
      </c>
      <c r="AZ5549" t="b">
        <v>1</v>
      </c>
    </row>
    <row r="5550" spans="1:52" x14ac:dyDescent="0.3">
      <c r="A5550" t="s">
        <v>52</v>
      </c>
      <c r="B5550" t="s">
        <v>53</v>
      </c>
      <c r="C5550" t="s">
        <v>54</v>
      </c>
      <c r="D5550" t="s">
        <v>55</v>
      </c>
      <c r="E5550" t="s">
        <v>2279</v>
      </c>
      <c r="F5550" t="s">
        <v>1247</v>
      </c>
      <c r="G5550" t="s">
        <v>1595</v>
      </c>
      <c r="H5550" t="s">
        <v>1596</v>
      </c>
      <c r="I5550" t="s">
        <v>1596</v>
      </c>
      <c r="J5550" t="s">
        <v>60</v>
      </c>
      <c r="K5550" t="s">
        <v>530</v>
      </c>
      <c r="L5550" t="s">
        <v>62</v>
      </c>
      <c r="M5550" t="s">
        <v>530</v>
      </c>
      <c r="N5550" t="s">
        <v>1006</v>
      </c>
      <c r="O5550" t="s">
        <v>1597</v>
      </c>
      <c r="P5550">
        <v>-20.139135</v>
      </c>
      <c r="Q5550">
        <v>-44.895907000000001</v>
      </c>
      <c r="R5550" s="2" t="str">
        <f>HYPERLINK("https://www.google.com/maps?q=-20.1391350,-44.8959070","Abrir no Google Maps")</f>
        <v>Abrir no Google Maps</v>
      </c>
      <c r="S5550">
        <v>1</v>
      </c>
      <c r="T5550">
        <v>324.98342996447241</v>
      </c>
      <c r="U5550">
        <v>1</v>
      </c>
      <c r="V5550">
        <v>0</v>
      </c>
      <c r="W5550">
        <v>1</v>
      </c>
      <c r="X5550">
        <v>0</v>
      </c>
      <c r="Y5550">
        <v>588</v>
      </c>
      <c r="Z5550">
        <v>411.69998599301618</v>
      </c>
      <c r="AA5550">
        <v>198</v>
      </c>
      <c r="AB5550">
        <v>332</v>
      </c>
      <c r="AC5550">
        <v>536</v>
      </c>
      <c r="AD5550">
        <v>0</v>
      </c>
      <c r="AE5550">
        <v>542</v>
      </c>
      <c r="AF5550">
        <v>0</v>
      </c>
      <c r="AG5550">
        <v>0</v>
      </c>
      <c r="AH5550">
        <v>129</v>
      </c>
      <c r="AI5550">
        <v>0</v>
      </c>
      <c r="AJ5550">
        <v>0</v>
      </c>
      <c r="AK5550">
        <v>23.8</v>
      </c>
      <c r="AL5550">
        <v>-20.139299649999941</v>
      </c>
      <c r="AM5550">
        <v>-44.896005009217312</v>
      </c>
      <c r="AN5550">
        <v>-20.139299649999941</v>
      </c>
      <c r="AO5550">
        <v>-44.896005009217312</v>
      </c>
      <c r="AP5550">
        <v>-20.139135</v>
      </c>
      <c r="AQ5550">
        <v>-44.895907000000001</v>
      </c>
      <c r="AR5550">
        <v>20.996943428875841</v>
      </c>
      <c r="AS5550" t="s">
        <v>65</v>
      </c>
      <c r="AT5550">
        <v>1</v>
      </c>
      <c r="AU5550" t="s">
        <v>1598</v>
      </c>
      <c r="AV5550" t="s">
        <v>1599</v>
      </c>
      <c r="AW5550" t="s">
        <v>60</v>
      </c>
      <c r="AX5550" t="s">
        <v>68</v>
      </c>
      <c r="AY5550" t="s">
        <v>69</v>
      </c>
      <c r="AZ5550" t="b">
        <v>1</v>
      </c>
    </row>
    <row r="5551" spans="1:52" x14ac:dyDescent="0.3">
      <c r="A5551" t="s">
        <v>52</v>
      </c>
      <c r="B5551" t="s">
        <v>53</v>
      </c>
      <c r="C5551" t="s">
        <v>54</v>
      </c>
      <c r="D5551" t="s">
        <v>55</v>
      </c>
      <c r="E5551" t="s">
        <v>2279</v>
      </c>
      <c r="F5551" t="s">
        <v>1247</v>
      </c>
      <c r="G5551" t="s">
        <v>1342</v>
      </c>
      <c r="H5551" t="s">
        <v>1600</v>
      </c>
      <c r="I5551" t="s">
        <v>1600</v>
      </c>
      <c r="J5551" t="s">
        <v>60</v>
      </c>
      <c r="K5551" t="s">
        <v>462</v>
      </c>
      <c r="L5551" t="s">
        <v>62</v>
      </c>
      <c r="M5551" t="s">
        <v>462</v>
      </c>
      <c r="N5551" t="s">
        <v>921</v>
      </c>
      <c r="O5551" t="s">
        <v>1601</v>
      </c>
      <c r="P5551">
        <v>-20.140741999999999</v>
      </c>
      <c r="Q5551">
        <v>-44.902729000000001</v>
      </c>
      <c r="R5551" s="2" t="str">
        <f>HYPERLINK("https://www.google.com/maps?q=-20.1407420,-44.9027290","Abrir no Google Maps")</f>
        <v>Abrir no Google Maps</v>
      </c>
      <c r="S5551">
        <v>1</v>
      </c>
      <c r="T5551">
        <v>373.97936588503438</v>
      </c>
      <c r="U5551">
        <v>1</v>
      </c>
      <c r="V5551">
        <v>0</v>
      </c>
      <c r="W5551">
        <v>1</v>
      </c>
      <c r="X5551">
        <v>0</v>
      </c>
      <c r="Y5551">
        <v>588</v>
      </c>
      <c r="Z5551">
        <v>427.55758539734131</v>
      </c>
      <c r="AA5551">
        <v>198</v>
      </c>
      <c r="AB5551">
        <v>332</v>
      </c>
      <c r="AC5551">
        <v>536</v>
      </c>
      <c r="AD5551">
        <v>0</v>
      </c>
      <c r="AE5551">
        <v>542</v>
      </c>
      <c r="AF5551">
        <v>0</v>
      </c>
      <c r="AG5551">
        <v>0</v>
      </c>
      <c r="AH5551">
        <v>129</v>
      </c>
      <c r="AI5551">
        <v>0</v>
      </c>
      <c r="AJ5551">
        <v>0</v>
      </c>
      <c r="AK5551">
        <v>23.8</v>
      </c>
      <c r="AL5551">
        <v>-20.140729549999971</v>
      </c>
      <c r="AM5551">
        <v>-44.902779454814521</v>
      </c>
      <c r="AN5551">
        <v>-20.140729549999971</v>
      </c>
      <c r="AO5551">
        <v>-44.902779454814521</v>
      </c>
      <c r="AP5551">
        <v>-20.140741999999999</v>
      </c>
      <c r="AQ5551">
        <v>-44.902729000000001</v>
      </c>
      <c r="AR5551">
        <v>5.4522610212697993</v>
      </c>
      <c r="AS5551" t="s">
        <v>65</v>
      </c>
      <c r="AT5551">
        <v>1</v>
      </c>
      <c r="AU5551" t="s">
        <v>1602</v>
      </c>
      <c r="AV5551" t="s">
        <v>1603</v>
      </c>
      <c r="AW5551" t="s">
        <v>60</v>
      </c>
      <c r="AX5551" t="s">
        <v>68</v>
      </c>
      <c r="AY5551" t="s">
        <v>69</v>
      </c>
      <c r="AZ5551" t="b">
        <v>1</v>
      </c>
    </row>
    <row r="5552" spans="1:52" x14ac:dyDescent="0.3">
      <c r="A5552" t="s">
        <v>52</v>
      </c>
      <c r="B5552" t="s">
        <v>53</v>
      </c>
      <c r="C5552" t="s">
        <v>54</v>
      </c>
      <c r="D5552" t="s">
        <v>55</v>
      </c>
      <c r="E5552" t="s">
        <v>2279</v>
      </c>
      <c r="F5552" t="s">
        <v>1247</v>
      </c>
      <c r="G5552" t="s">
        <v>1612</v>
      </c>
      <c r="H5552" t="s">
        <v>1613</v>
      </c>
      <c r="I5552" t="s">
        <v>1613</v>
      </c>
      <c r="J5552" t="s">
        <v>60</v>
      </c>
      <c r="K5552" t="s">
        <v>1349</v>
      </c>
      <c r="L5552" t="s">
        <v>62</v>
      </c>
      <c r="M5552" t="s">
        <v>1349</v>
      </c>
      <c r="N5552" t="s">
        <v>1614</v>
      </c>
      <c r="O5552" t="s">
        <v>710</v>
      </c>
      <c r="P5552">
        <v>-20.141335999999999</v>
      </c>
      <c r="Q5552">
        <v>-44.901133000000002</v>
      </c>
      <c r="R5552" s="2" t="str">
        <f>HYPERLINK("https://www.google.com/maps?q=-20.1413360,-44.9011330","Abrir no Google Maps")</f>
        <v>Abrir no Google Maps</v>
      </c>
      <c r="S5552">
        <v>1</v>
      </c>
      <c r="T5552">
        <v>257.92927430829218</v>
      </c>
      <c r="U5552">
        <v>1</v>
      </c>
      <c r="V5552">
        <v>0</v>
      </c>
      <c r="W5552">
        <v>0.85</v>
      </c>
      <c r="X5552">
        <v>0</v>
      </c>
      <c r="Y5552">
        <v>588</v>
      </c>
      <c r="Z5552">
        <v>252.62617475231269</v>
      </c>
      <c r="AA5552">
        <v>198</v>
      </c>
      <c r="AB5552">
        <v>332</v>
      </c>
      <c r="AC5552">
        <v>536</v>
      </c>
      <c r="AD5552">
        <v>0</v>
      </c>
      <c r="AE5552">
        <v>542</v>
      </c>
      <c r="AF5552">
        <v>0</v>
      </c>
      <c r="AG5552">
        <v>0</v>
      </c>
      <c r="AH5552">
        <v>129</v>
      </c>
      <c r="AI5552">
        <v>0</v>
      </c>
      <c r="AJ5552">
        <v>0</v>
      </c>
      <c r="AK5552">
        <v>23.8</v>
      </c>
      <c r="AL5552">
        <v>-20.141297649999959</v>
      </c>
      <c r="AM5552">
        <v>-44.901104406351408</v>
      </c>
      <c r="AN5552">
        <v>-20.141297649999959</v>
      </c>
      <c r="AO5552">
        <v>-44.901104406351408</v>
      </c>
      <c r="AP5552">
        <v>-20.141335999999999</v>
      </c>
      <c r="AQ5552">
        <v>-44.901133000000002</v>
      </c>
      <c r="AR5552">
        <v>5.211130154459668</v>
      </c>
      <c r="AS5552" t="s">
        <v>65</v>
      </c>
      <c r="AT5552">
        <v>1</v>
      </c>
      <c r="AU5552" t="s">
        <v>1615</v>
      </c>
      <c r="AV5552" t="s">
        <v>1616</v>
      </c>
      <c r="AW5552" t="s">
        <v>60</v>
      </c>
      <c r="AX5552" t="s">
        <v>68</v>
      </c>
      <c r="AY5552" t="s">
        <v>69</v>
      </c>
      <c r="AZ5552" t="b">
        <v>1</v>
      </c>
    </row>
    <row r="5553" spans="1:52" x14ac:dyDescent="0.3">
      <c r="A5553" t="s">
        <v>52</v>
      </c>
      <c r="B5553" t="s">
        <v>53</v>
      </c>
      <c r="C5553" t="s">
        <v>54</v>
      </c>
      <c r="D5553" t="s">
        <v>55</v>
      </c>
      <c r="E5553" t="s">
        <v>2279</v>
      </c>
      <c r="F5553" t="s">
        <v>1247</v>
      </c>
      <c r="G5553" t="s">
        <v>1584</v>
      </c>
      <c r="H5553" t="s">
        <v>1604</v>
      </c>
      <c r="I5553" t="s">
        <v>1604</v>
      </c>
      <c r="J5553" t="s">
        <v>60</v>
      </c>
      <c r="K5553" t="s">
        <v>530</v>
      </c>
      <c r="L5553" t="s">
        <v>62</v>
      </c>
      <c r="M5553" t="s">
        <v>530</v>
      </c>
      <c r="N5553" t="s">
        <v>406</v>
      </c>
      <c r="O5553" t="s">
        <v>1267</v>
      </c>
      <c r="P5553">
        <v>-20.147068000000001</v>
      </c>
      <c r="Q5553">
        <v>-44.898629999999997</v>
      </c>
      <c r="R5553" s="2" t="str">
        <f>HYPERLINK("https://www.google.com/maps?q=-20.1470680,-44.8986300","Abrir no Google Maps")</f>
        <v>Abrir no Google Maps</v>
      </c>
      <c r="S5553">
        <v>1</v>
      </c>
      <c r="T5553">
        <v>468.5580266389448</v>
      </c>
      <c r="U5553">
        <v>1</v>
      </c>
      <c r="V5553">
        <v>0</v>
      </c>
      <c r="W5553">
        <v>1</v>
      </c>
      <c r="X5553">
        <v>0</v>
      </c>
      <c r="Y5553">
        <v>556</v>
      </c>
      <c r="Z5553">
        <v>447.77738134922419</v>
      </c>
      <c r="AA5553">
        <v>198</v>
      </c>
      <c r="AB5553">
        <v>332</v>
      </c>
      <c r="AC5553">
        <v>536</v>
      </c>
      <c r="AD5553">
        <v>0</v>
      </c>
      <c r="AE5553">
        <v>542</v>
      </c>
      <c r="AF5553">
        <v>0</v>
      </c>
      <c r="AG5553">
        <v>0</v>
      </c>
      <c r="AH5553">
        <v>129</v>
      </c>
      <c r="AI5553">
        <v>0</v>
      </c>
      <c r="AJ5553">
        <v>0</v>
      </c>
      <c r="AK5553">
        <v>23.8</v>
      </c>
      <c r="AL5553">
        <v>-20.14701759999997</v>
      </c>
      <c r="AM5553">
        <v>-44.898633710342303</v>
      </c>
      <c r="AN5553">
        <v>-20.14701759999997</v>
      </c>
      <c r="AO5553">
        <v>-44.898633710342303</v>
      </c>
      <c r="AP5553">
        <v>-20.147068000000001</v>
      </c>
      <c r="AQ5553">
        <v>-44.898629999999997</v>
      </c>
      <c r="AR5553">
        <v>5.6239118246064832</v>
      </c>
      <c r="AS5553" t="s">
        <v>65</v>
      </c>
      <c r="AT5553">
        <v>1</v>
      </c>
      <c r="AU5553" t="s">
        <v>1605</v>
      </c>
      <c r="AV5553" t="s">
        <v>1606</v>
      </c>
      <c r="AW5553" t="s">
        <v>60</v>
      </c>
      <c r="AX5553" t="s">
        <v>68</v>
      </c>
      <c r="AY5553" t="s">
        <v>69</v>
      </c>
      <c r="AZ5553" t="b">
        <v>1</v>
      </c>
    </row>
    <row r="5554" spans="1:52" x14ac:dyDescent="0.3">
      <c r="A5554" t="s">
        <v>52</v>
      </c>
      <c r="B5554" t="s">
        <v>53</v>
      </c>
      <c r="C5554" t="s">
        <v>54</v>
      </c>
      <c r="D5554" t="s">
        <v>55</v>
      </c>
      <c r="E5554" t="s">
        <v>2280</v>
      </c>
      <c r="F5554" t="s">
        <v>57</v>
      </c>
      <c r="G5554" t="s">
        <v>58</v>
      </c>
      <c r="H5554" t="s">
        <v>59</v>
      </c>
      <c r="I5554" t="s">
        <v>59</v>
      </c>
      <c r="J5554" t="s">
        <v>60</v>
      </c>
      <c r="K5554" t="s">
        <v>61</v>
      </c>
      <c r="L5554" t="s">
        <v>62</v>
      </c>
      <c r="M5554" t="s">
        <v>61</v>
      </c>
      <c r="N5554" t="s">
        <v>63</v>
      </c>
      <c r="O5554" t="s">
        <v>64</v>
      </c>
      <c r="P5554">
        <v>-20.147940999999999</v>
      </c>
      <c r="Q5554">
        <v>-44.906514000000001</v>
      </c>
      <c r="R5554" s="2" t="str">
        <f>HYPERLINK("https://www.google.com/maps?q=-20.1479410,-44.9065140","Abrir no Google Maps")</f>
        <v>Abrir no Google Maps</v>
      </c>
      <c r="S5554">
        <v>4</v>
      </c>
      <c r="T5554">
        <v>308.67004994113421</v>
      </c>
      <c r="U5554">
        <v>4</v>
      </c>
      <c r="V5554">
        <v>0.99903100775193798</v>
      </c>
      <c r="W5554">
        <v>1</v>
      </c>
      <c r="X5554">
        <v>0.99903100775193798</v>
      </c>
      <c r="Y5554">
        <v>747</v>
      </c>
      <c r="Z5554">
        <v>274.71440454502522</v>
      </c>
      <c r="AA5554">
        <v>198</v>
      </c>
      <c r="AB5554">
        <v>332</v>
      </c>
      <c r="AC5554">
        <v>536</v>
      </c>
      <c r="AD5554">
        <v>27.77</v>
      </c>
      <c r="AE5554">
        <v>542</v>
      </c>
      <c r="AF5554">
        <v>26</v>
      </c>
      <c r="AG5554">
        <v>163</v>
      </c>
      <c r="AH5554">
        <v>129</v>
      </c>
      <c r="AI5554">
        <v>4.8</v>
      </c>
      <c r="AJ5554">
        <v>30.07</v>
      </c>
      <c r="AK5554">
        <v>23.8</v>
      </c>
      <c r="AL5554">
        <v>-20.147947799999969</v>
      </c>
      <c r="AM5554">
        <v>-44.906591596129203</v>
      </c>
      <c r="AN5554">
        <v>-20.147947799999969</v>
      </c>
      <c r="AO5554">
        <v>-44.906591596129203</v>
      </c>
      <c r="AP5554">
        <v>-20.147940999999999</v>
      </c>
      <c r="AQ5554">
        <v>-44.906514000000001</v>
      </c>
      <c r="AR5554">
        <v>8.1446636170570326</v>
      </c>
      <c r="AS5554" t="s">
        <v>65</v>
      </c>
      <c r="AT5554">
        <v>1</v>
      </c>
      <c r="AU5554" t="s">
        <v>66</v>
      </c>
      <c r="AV5554" t="s">
        <v>67</v>
      </c>
      <c r="AW5554" t="s">
        <v>60</v>
      </c>
      <c r="AX5554" t="s">
        <v>68</v>
      </c>
      <c r="AY5554" t="s">
        <v>69</v>
      </c>
      <c r="AZ5554" t="b">
        <v>1</v>
      </c>
    </row>
    <row r="5555" spans="1:52" x14ac:dyDescent="0.3">
      <c r="A5555" t="s">
        <v>52</v>
      </c>
      <c r="B5555" t="s">
        <v>53</v>
      </c>
      <c r="C5555" t="s">
        <v>54</v>
      </c>
      <c r="D5555" t="s">
        <v>55</v>
      </c>
      <c r="E5555" t="s">
        <v>2280</v>
      </c>
      <c r="F5555" t="s">
        <v>57</v>
      </c>
      <c r="G5555" t="s">
        <v>70</v>
      </c>
      <c r="H5555" t="s">
        <v>71</v>
      </c>
      <c r="I5555" t="s">
        <v>71</v>
      </c>
      <c r="J5555" t="s">
        <v>60</v>
      </c>
      <c r="K5555" t="s">
        <v>72</v>
      </c>
      <c r="L5555" t="s">
        <v>62</v>
      </c>
      <c r="M5555" t="s">
        <v>72</v>
      </c>
      <c r="N5555" t="s">
        <v>73</v>
      </c>
      <c r="O5555" t="s">
        <v>74</v>
      </c>
      <c r="P5555">
        <v>-20.149349000000001</v>
      </c>
      <c r="Q5555">
        <v>-44.910784</v>
      </c>
      <c r="R5555" s="2" t="str">
        <f>HYPERLINK("https://www.google.com/maps?q=-20.1493490,-44.9107840","Abrir no Google Maps")</f>
        <v>Abrir no Google Maps</v>
      </c>
      <c r="S5555">
        <v>4</v>
      </c>
      <c r="T5555">
        <v>472.43876549769578</v>
      </c>
      <c r="U5555">
        <v>4</v>
      </c>
      <c r="V5555">
        <v>1</v>
      </c>
      <c r="W5555">
        <v>1</v>
      </c>
      <c r="X5555">
        <v>1</v>
      </c>
      <c r="Y5555">
        <v>747</v>
      </c>
      <c r="Z5555">
        <v>441.03921887407779</v>
      </c>
      <c r="AA5555">
        <v>198</v>
      </c>
      <c r="AB5555">
        <v>332</v>
      </c>
      <c r="AC5555">
        <v>536</v>
      </c>
      <c r="AD5555">
        <v>27.77</v>
      </c>
      <c r="AE5555">
        <v>542</v>
      </c>
      <c r="AF5555">
        <v>26</v>
      </c>
      <c r="AG5555">
        <v>163</v>
      </c>
      <c r="AH5555">
        <v>129</v>
      </c>
      <c r="AI5555">
        <v>4.8</v>
      </c>
      <c r="AJ5555">
        <v>30.07</v>
      </c>
      <c r="AK5555">
        <v>23.8</v>
      </c>
      <c r="AL5555">
        <v>-20.149403999999951</v>
      </c>
      <c r="AM5555">
        <v>-44.91080895147438</v>
      </c>
      <c r="AN5555">
        <v>-20.149403999999951</v>
      </c>
      <c r="AO5555">
        <v>-44.91080895147438</v>
      </c>
      <c r="AP5555">
        <v>-20.149349000000001</v>
      </c>
      <c r="AQ5555">
        <v>-44.910784</v>
      </c>
      <c r="AR5555">
        <v>6.6547592699416382</v>
      </c>
      <c r="AS5555" t="s">
        <v>65</v>
      </c>
      <c r="AT5555">
        <v>1</v>
      </c>
      <c r="AU5555" t="s">
        <v>75</v>
      </c>
      <c r="AV5555" t="s">
        <v>76</v>
      </c>
      <c r="AW5555" t="s">
        <v>60</v>
      </c>
      <c r="AX5555" t="s">
        <v>68</v>
      </c>
      <c r="AY5555" t="s">
        <v>69</v>
      </c>
      <c r="AZ5555" t="b">
        <v>1</v>
      </c>
    </row>
    <row r="5556" spans="1:52" x14ac:dyDescent="0.3">
      <c r="A5556" t="s">
        <v>52</v>
      </c>
      <c r="B5556" t="s">
        <v>53</v>
      </c>
      <c r="C5556" t="s">
        <v>54</v>
      </c>
      <c r="D5556" t="s">
        <v>55</v>
      </c>
      <c r="E5556" t="s">
        <v>2280</v>
      </c>
      <c r="F5556" t="s">
        <v>57</v>
      </c>
      <c r="G5556" t="s">
        <v>77</v>
      </c>
      <c r="H5556" t="s">
        <v>78</v>
      </c>
      <c r="I5556" t="s">
        <v>78</v>
      </c>
      <c r="J5556" t="s">
        <v>60</v>
      </c>
      <c r="K5556" t="s">
        <v>72</v>
      </c>
      <c r="L5556" t="s">
        <v>62</v>
      </c>
      <c r="M5556" t="s">
        <v>72</v>
      </c>
      <c r="N5556" t="s">
        <v>79</v>
      </c>
      <c r="O5556" t="s">
        <v>80</v>
      </c>
      <c r="P5556">
        <v>-20.147821</v>
      </c>
      <c r="Q5556">
        <v>-44.908887</v>
      </c>
      <c r="R5556" s="2" t="str">
        <f>HYPERLINK("https://www.google.com/maps?q=-20.1478210,-44.9088870","Abrir no Google Maps")</f>
        <v>Abrir no Google Maps</v>
      </c>
      <c r="S5556">
        <v>4</v>
      </c>
      <c r="T5556">
        <v>232.2893841532152</v>
      </c>
      <c r="U5556">
        <v>4</v>
      </c>
      <c r="V5556">
        <v>1</v>
      </c>
      <c r="W5556">
        <v>1</v>
      </c>
      <c r="X5556">
        <v>1</v>
      </c>
      <c r="Y5556">
        <v>747</v>
      </c>
      <c r="Z5556">
        <v>195.3668648953757</v>
      </c>
      <c r="AA5556">
        <v>198</v>
      </c>
      <c r="AB5556">
        <v>332</v>
      </c>
      <c r="AC5556">
        <v>536</v>
      </c>
      <c r="AD5556">
        <v>27.77</v>
      </c>
      <c r="AE5556">
        <v>542</v>
      </c>
      <c r="AF5556">
        <v>26</v>
      </c>
      <c r="AG5556">
        <v>163</v>
      </c>
      <c r="AH5556">
        <v>129</v>
      </c>
      <c r="AI5556">
        <v>4.8</v>
      </c>
      <c r="AJ5556">
        <v>30.07</v>
      </c>
      <c r="AK5556">
        <v>23.8</v>
      </c>
      <c r="AL5556">
        <v>-20.147802849999952</v>
      </c>
      <c r="AM5556">
        <v>-44.908989919229477</v>
      </c>
      <c r="AN5556">
        <v>-20.147802849999952</v>
      </c>
      <c r="AO5556">
        <v>-44.908989919229491</v>
      </c>
      <c r="AP5556">
        <v>-20.147821</v>
      </c>
      <c r="AQ5556">
        <v>-44.908887</v>
      </c>
      <c r="AR5556">
        <v>10.944007761262529</v>
      </c>
      <c r="AS5556" t="s">
        <v>65</v>
      </c>
      <c r="AT5556">
        <v>1</v>
      </c>
      <c r="AU5556" t="s">
        <v>81</v>
      </c>
      <c r="AV5556" t="s">
        <v>82</v>
      </c>
      <c r="AW5556" t="s">
        <v>60</v>
      </c>
      <c r="AX5556" t="s">
        <v>68</v>
      </c>
      <c r="AY5556" t="s">
        <v>69</v>
      </c>
      <c r="AZ5556" t="b">
        <v>1</v>
      </c>
    </row>
    <row r="5557" spans="1:52" x14ac:dyDescent="0.3">
      <c r="A5557" t="s">
        <v>52</v>
      </c>
      <c r="B5557" t="s">
        <v>53</v>
      </c>
      <c r="C5557" t="s">
        <v>54</v>
      </c>
      <c r="D5557" t="s">
        <v>55</v>
      </c>
      <c r="E5557" t="s">
        <v>2280</v>
      </c>
      <c r="F5557" t="s">
        <v>57</v>
      </c>
      <c r="G5557" t="s">
        <v>83</v>
      </c>
      <c r="H5557" t="s">
        <v>84</v>
      </c>
      <c r="I5557" t="s">
        <v>84</v>
      </c>
      <c r="J5557" t="s">
        <v>60</v>
      </c>
      <c r="K5557" t="s">
        <v>61</v>
      </c>
      <c r="L5557" t="s">
        <v>62</v>
      </c>
      <c r="M5557" t="s">
        <v>61</v>
      </c>
      <c r="N5557" t="s">
        <v>85</v>
      </c>
      <c r="O5557" t="s">
        <v>86</v>
      </c>
      <c r="P5557">
        <v>-20.149799000000002</v>
      </c>
      <c r="Q5557">
        <v>-44.906517000000001</v>
      </c>
      <c r="R5557" s="2" t="str">
        <f>HYPERLINK("https://www.google.com/maps?q=-20.1497990,-44.9065170","Abrir no Google Maps")</f>
        <v>Abrir no Google Maps</v>
      </c>
      <c r="S5557">
        <v>4</v>
      </c>
      <c r="T5557">
        <v>487.90051105537998</v>
      </c>
      <c r="U5557">
        <v>4</v>
      </c>
      <c r="V5557">
        <v>0.99704142011834318</v>
      </c>
      <c r="W5557">
        <v>1</v>
      </c>
      <c r="X5557">
        <v>0.99704142011834318</v>
      </c>
      <c r="Y5557">
        <v>747</v>
      </c>
      <c r="Z5557">
        <v>365.93785960107078</v>
      </c>
      <c r="AA5557">
        <v>198</v>
      </c>
      <c r="AB5557">
        <v>332</v>
      </c>
      <c r="AC5557">
        <v>536</v>
      </c>
      <c r="AD5557">
        <v>27.77</v>
      </c>
      <c r="AE5557">
        <v>542</v>
      </c>
      <c r="AF5557">
        <v>26</v>
      </c>
      <c r="AG5557">
        <v>163</v>
      </c>
      <c r="AH5557">
        <v>129</v>
      </c>
      <c r="AI5557">
        <v>4.8</v>
      </c>
      <c r="AJ5557">
        <v>30.07</v>
      </c>
      <c r="AK5557">
        <v>23.8</v>
      </c>
      <c r="AL5557">
        <v>-20.149879599999959</v>
      </c>
      <c r="AM5557">
        <v>-44.906746466068469</v>
      </c>
      <c r="AN5557">
        <v>-20.149879599999959</v>
      </c>
      <c r="AO5557">
        <v>-44.906746466068469</v>
      </c>
      <c r="AP5557">
        <v>-20.149799000000002</v>
      </c>
      <c r="AQ5557">
        <v>-44.906517000000001</v>
      </c>
      <c r="AR5557">
        <v>25.604276856970429</v>
      </c>
      <c r="AS5557" t="s">
        <v>65</v>
      </c>
      <c r="AT5557">
        <v>1</v>
      </c>
      <c r="AU5557" t="s">
        <v>87</v>
      </c>
      <c r="AV5557" t="s">
        <v>88</v>
      </c>
      <c r="AW5557" t="s">
        <v>60</v>
      </c>
      <c r="AX5557" t="s">
        <v>68</v>
      </c>
      <c r="AY5557" t="s">
        <v>69</v>
      </c>
      <c r="AZ5557" t="b">
        <v>1</v>
      </c>
    </row>
    <row r="5558" spans="1:52" x14ac:dyDescent="0.3">
      <c r="A5558" t="s">
        <v>52</v>
      </c>
      <c r="B5558" t="s">
        <v>53</v>
      </c>
      <c r="C5558" t="s">
        <v>54</v>
      </c>
      <c r="D5558" t="s">
        <v>55</v>
      </c>
      <c r="E5558" t="s">
        <v>2280</v>
      </c>
      <c r="F5558" t="s">
        <v>57</v>
      </c>
      <c r="G5558" t="s">
        <v>89</v>
      </c>
      <c r="H5558" t="s">
        <v>90</v>
      </c>
      <c r="I5558" t="s">
        <v>90</v>
      </c>
      <c r="J5558" t="s">
        <v>60</v>
      </c>
      <c r="K5558" t="s">
        <v>72</v>
      </c>
      <c r="L5558" t="s">
        <v>62</v>
      </c>
      <c r="M5558" t="s">
        <v>72</v>
      </c>
      <c r="N5558" t="s">
        <v>91</v>
      </c>
      <c r="O5558" t="s">
        <v>92</v>
      </c>
      <c r="P5558">
        <v>-20.145848999999998</v>
      </c>
      <c r="Q5558">
        <v>-44.908419000000002</v>
      </c>
      <c r="R5558" s="2" t="str">
        <f>HYPERLINK("https://www.google.com/maps?q=-20.1458490,-44.9084190","Abrir no Google Maps")</f>
        <v>Abrir no Google Maps</v>
      </c>
      <c r="S5558">
        <v>4</v>
      </c>
      <c r="T5558">
        <v>0</v>
      </c>
      <c r="U5558">
        <v>4</v>
      </c>
      <c r="V5558">
        <v>1</v>
      </c>
      <c r="W5558">
        <v>1</v>
      </c>
      <c r="X5558">
        <v>1</v>
      </c>
      <c r="Y5558">
        <v>747</v>
      </c>
      <c r="Z5558">
        <v>136.08168502765241</v>
      </c>
      <c r="AA5558">
        <v>198</v>
      </c>
      <c r="AB5558">
        <v>332</v>
      </c>
      <c r="AC5558">
        <v>536</v>
      </c>
      <c r="AD5558">
        <v>27.77</v>
      </c>
      <c r="AE5558">
        <v>542</v>
      </c>
      <c r="AF5558">
        <v>26</v>
      </c>
      <c r="AG5558">
        <v>163</v>
      </c>
      <c r="AH5558">
        <v>129</v>
      </c>
      <c r="AI5558">
        <v>4.8</v>
      </c>
      <c r="AJ5558">
        <v>30.07</v>
      </c>
      <c r="AK5558">
        <v>23.8</v>
      </c>
      <c r="AL5558">
        <v>-20.14576979999995</v>
      </c>
      <c r="AM5558">
        <v>-44.908436775053183</v>
      </c>
      <c r="AN5558">
        <v>-20.14576979999995</v>
      </c>
      <c r="AO5558">
        <v>-44.908436775053183</v>
      </c>
      <c r="AP5558">
        <v>-20.145848999999998</v>
      </c>
      <c r="AQ5558">
        <v>-44.908419000000002</v>
      </c>
      <c r="AR5558">
        <v>9.0101247482327356</v>
      </c>
      <c r="AS5558" t="s">
        <v>65</v>
      </c>
      <c r="AT5558">
        <v>1</v>
      </c>
      <c r="AU5558" t="s">
        <v>93</v>
      </c>
      <c r="AV5558" t="s">
        <v>94</v>
      </c>
      <c r="AW5558" t="s">
        <v>60</v>
      </c>
      <c r="AX5558" t="s">
        <v>68</v>
      </c>
      <c r="AY5558" t="s">
        <v>69</v>
      </c>
      <c r="AZ5558" t="b">
        <v>1</v>
      </c>
    </row>
    <row r="5559" spans="1:52" x14ac:dyDescent="0.3">
      <c r="A5559" t="s">
        <v>52</v>
      </c>
      <c r="B5559" t="s">
        <v>53</v>
      </c>
      <c r="C5559" t="s">
        <v>54</v>
      </c>
      <c r="D5559" t="s">
        <v>55</v>
      </c>
      <c r="E5559" t="s">
        <v>2280</v>
      </c>
      <c r="F5559" t="s">
        <v>57</v>
      </c>
      <c r="G5559" t="s">
        <v>95</v>
      </c>
      <c r="H5559" t="s">
        <v>96</v>
      </c>
      <c r="I5559" t="s">
        <v>96</v>
      </c>
      <c r="J5559" t="s">
        <v>60</v>
      </c>
      <c r="K5559" t="s">
        <v>72</v>
      </c>
      <c r="L5559" t="s">
        <v>62</v>
      </c>
      <c r="M5559" t="s">
        <v>72</v>
      </c>
      <c r="N5559" t="s">
        <v>97</v>
      </c>
      <c r="O5559" t="s">
        <v>98</v>
      </c>
      <c r="P5559">
        <v>-20.144062999999999</v>
      </c>
      <c r="Q5559">
        <v>-44.909627999999998</v>
      </c>
      <c r="R5559" s="2" t="str">
        <f>HYPERLINK("https://www.google.com/maps?q=-20.1440630,-44.9096280","Abrir no Google Maps")</f>
        <v>Abrir no Google Maps</v>
      </c>
      <c r="S5559">
        <v>4</v>
      </c>
      <c r="T5559">
        <v>205.27083326529291</v>
      </c>
      <c r="U5559">
        <v>4</v>
      </c>
      <c r="V5559">
        <v>0.99558823529411755</v>
      </c>
      <c r="W5559">
        <v>1</v>
      </c>
      <c r="X5559">
        <v>0.99558823529411755</v>
      </c>
      <c r="Y5559">
        <v>747</v>
      </c>
      <c r="Z5559">
        <v>336.75785483480968</v>
      </c>
      <c r="AA5559">
        <v>198</v>
      </c>
      <c r="AB5559">
        <v>332</v>
      </c>
      <c r="AC5559">
        <v>536</v>
      </c>
      <c r="AD5559">
        <v>27.77</v>
      </c>
      <c r="AE5559">
        <v>542</v>
      </c>
      <c r="AF5559">
        <v>26</v>
      </c>
      <c r="AG5559">
        <v>163</v>
      </c>
      <c r="AH5559">
        <v>129</v>
      </c>
      <c r="AI5559">
        <v>4.8</v>
      </c>
      <c r="AJ5559">
        <v>30.07</v>
      </c>
      <c r="AK5559">
        <v>23.8</v>
      </c>
      <c r="AL5559">
        <v>-20.144164099999951</v>
      </c>
      <c r="AM5559">
        <v>-44.909420167767642</v>
      </c>
      <c r="AN5559">
        <v>-20.144164099999951</v>
      </c>
      <c r="AO5559">
        <v>-44.909420167767642</v>
      </c>
      <c r="AP5559">
        <v>-20.144062999999999</v>
      </c>
      <c r="AQ5559">
        <v>-44.909627999999998</v>
      </c>
      <c r="AR5559">
        <v>24.46321571724976</v>
      </c>
      <c r="AS5559" t="s">
        <v>65</v>
      </c>
      <c r="AT5559">
        <v>1</v>
      </c>
      <c r="AU5559" t="s">
        <v>99</v>
      </c>
      <c r="AV5559" t="s">
        <v>94</v>
      </c>
      <c r="AW5559" t="s">
        <v>60</v>
      </c>
      <c r="AX5559" t="s">
        <v>68</v>
      </c>
      <c r="AY5559" t="s">
        <v>69</v>
      </c>
      <c r="AZ5559" t="b">
        <v>1</v>
      </c>
    </row>
    <row r="5560" spans="1:52" x14ac:dyDescent="0.3">
      <c r="A5560" t="s">
        <v>52</v>
      </c>
      <c r="B5560" t="s">
        <v>53</v>
      </c>
      <c r="C5560" t="s">
        <v>54</v>
      </c>
      <c r="D5560" t="s">
        <v>55</v>
      </c>
      <c r="E5560" t="s">
        <v>2280</v>
      </c>
      <c r="F5560" t="s">
        <v>57</v>
      </c>
      <c r="G5560" t="s">
        <v>115</v>
      </c>
      <c r="H5560" t="s">
        <v>116</v>
      </c>
      <c r="I5560" t="s">
        <v>116</v>
      </c>
      <c r="J5560" t="s">
        <v>60</v>
      </c>
      <c r="K5560" t="s">
        <v>117</v>
      </c>
      <c r="L5560" t="s">
        <v>62</v>
      </c>
      <c r="M5560" t="s">
        <v>117</v>
      </c>
      <c r="N5560" t="s">
        <v>118</v>
      </c>
      <c r="O5560" t="s">
        <v>119</v>
      </c>
      <c r="P5560">
        <v>-20.116992</v>
      </c>
      <c r="Q5560">
        <v>-44.899355</v>
      </c>
      <c r="R5560" s="2" t="str">
        <f>HYPERLINK("https://www.google.com/maps?q=-20.1169920,-44.8993550","Abrir no Google Maps")</f>
        <v>Abrir no Google Maps</v>
      </c>
      <c r="S5560">
        <v>4</v>
      </c>
      <c r="T5560">
        <v>0</v>
      </c>
      <c r="U5560">
        <v>4</v>
      </c>
      <c r="V5560">
        <v>0.99732620320855603</v>
      </c>
      <c r="W5560">
        <v>1</v>
      </c>
      <c r="X5560">
        <v>0.99732620320855603</v>
      </c>
      <c r="Y5560">
        <v>567</v>
      </c>
      <c r="Z5560">
        <v>54.913678078353321</v>
      </c>
      <c r="AA5560">
        <v>198</v>
      </c>
      <c r="AB5560">
        <v>332</v>
      </c>
      <c r="AC5560">
        <v>536</v>
      </c>
      <c r="AD5560">
        <v>27.77</v>
      </c>
      <c r="AE5560">
        <v>542</v>
      </c>
      <c r="AF5560">
        <v>26</v>
      </c>
      <c r="AG5560">
        <v>163</v>
      </c>
      <c r="AH5560">
        <v>129</v>
      </c>
      <c r="AI5560">
        <v>4.8</v>
      </c>
      <c r="AJ5560">
        <v>30.07</v>
      </c>
      <c r="AK5560">
        <v>23.8</v>
      </c>
      <c r="AL5560">
        <v>-20.117107749999949</v>
      </c>
      <c r="AM5560">
        <v>-44.899271226243108</v>
      </c>
      <c r="AN5560">
        <v>-20.117107749999949</v>
      </c>
      <c r="AO5560">
        <v>-44.899271226243108</v>
      </c>
      <c r="AP5560">
        <v>-20.116992</v>
      </c>
      <c r="AQ5560">
        <v>-44.899355</v>
      </c>
      <c r="AR5560">
        <v>15.579196044083419</v>
      </c>
      <c r="AS5560" t="s">
        <v>65</v>
      </c>
      <c r="AT5560">
        <v>1</v>
      </c>
      <c r="AU5560" t="s">
        <v>120</v>
      </c>
      <c r="AV5560" t="s">
        <v>121</v>
      </c>
      <c r="AW5560" t="s">
        <v>60</v>
      </c>
      <c r="AX5560" t="s">
        <v>68</v>
      </c>
      <c r="AY5560" t="s">
        <v>69</v>
      </c>
      <c r="AZ5560" t="b">
        <v>1</v>
      </c>
    </row>
    <row r="5561" spans="1:52" x14ac:dyDescent="0.3">
      <c r="A5561" t="s">
        <v>52</v>
      </c>
      <c r="B5561" t="s">
        <v>53</v>
      </c>
      <c r="C5561" t="s">
        <v>54</v>
      </c>
      <c r="D5561" t="s">
        <v>55</v>
      </c>
      <c r="E5561" t="s">
        <v>2280</v>
      </c>
      <c r="F5561" t="s">
        <v>57</v>
      </c>
      <c r="G5561" t="s">
        <v>122</v>
      </c>
      <c r="H5561" t="s">
        <v>123</v>
      </c>
      <c r="I5561" t="s">
        <v>123</v>
      </c>
      <c r="J5561" t="s">
        <v>60</v>
      </c>
      <c r="K5561" t="s">
        <v>117</v>
      </c>
      <c r="L5561" t="s">
        <v>62</v>
      </c>
      <c r="M5561" t="s">
        <v>117</v>
      </c>
      <c r="N5561" t="s">
        <v>124</v>
      </c>
      <c r="O5561" t="s">
        <v>125</v>
      </c>
      <c r="P5561">
        <v>-20.11853</v>
      </c>
      <c r="Q5561">
        <v>-44.896925000000003</v>
      </c>
      <c r="R5561" s="2" t="str">
        <f>HYPERLINK("https://www.google.com/maps?q=-20.1185300,-44.8969250","Abrir no Google Maps")</f>
        <v>Abrir no Google Maps</v>
      </c>
      <c r="S5561">
        <v>4</v>
      </c>
      <c r="T5561">
        <v>325.32255721093247</v>
      </c>
      <c r="U5561">
        <v>4</v>
      </c>
      <c r="V5561">
        <v>1</v>
      </c>
      <c r="W5561">
        <v>1</v>
      </c>
      <c r="X5561">
        <v>1</v>
      </c>
      <c r="Y5561">
        <v>567</v>
      </c>
      <c r="Z5561">
        <v>306.04423478678871</v>
      </c>
      <c r="AA5561">
        <v>198</v>
      </c>
      <c r="AB5561">
        <v>332</v>
      </c>
      <c r="AC5561">
        <v>536</v>
      </c>
      <c r="AD5561">
        <v>27.77</v>
      </c>
      <c r="AE5561">
        <v>542</v>
      </c>
      <c r="AF5561">
        <v>26</v>
      </c>
      <c r="AG5561">
        <v>163</v>
      </c>
      <c r="AH5561">
        <v>129</v>
      </c>
      <c r="AI5561">
        <v>4.8</v>
      </c>
      <c r="AJ5561">
        <v>30.07</v>
      </c>
      <c r="AK5561">
        <v>23.8</v>
      </c>
      <c r="AL5561">
        <v>-20.118682499999949</v>
      </c>
      <c r="AM5561">
        <v>-44.896643089287927</v>
      </c>
      <c r="AN5561">
        <v>-20.118682499999949</v>
      </c>
      <c r="AO5561">
        <v>-44.896643089287927</v>
      </c>
      <c r="AP5561">
        <v>-20.11853</v>
      </c>
      <c r="AQ5561">
        <v>-44.896925000000003</v>
      </c>
      <c r="AR5561">
        <v>34.007698996886518</v>
      </c>
      <c r="AS5561" t="s">
        <v>65</v>
      </c>
      <c r="AT5561">
        <v>1</v>
      </c>
      <c r="AU5561" t="s">
        <v>126</v>
      </c>
      <c r="AV5561" t="s">
        <v>121</v>
      </c>
      <c r="AW5561" t="s">
        <v>60</v>
      </c>
      <c r="AX5561" t="s">
        <v>68</v>
      </c>
      <c r="AY5561" t="s">
        <v>69</v>
      </c>
      <c r="AZ5561" t="b">
        <v>1</v>
      </c>
    </row>
    <row r="5562" spans="1:52" x14ac:dyDescent="0.3">
      <c r="A5562" t="s">
        <v>52</v>
      </c>
      <c r="B5562" t="s">
        <v>53</v>
      </c>
      <c r="C5562" t="s">
        <v>54</v>
      </c>
      <c r="D5562" t="s">
        <v>55</v>
      </c>
      <c r="E5562" t="s">
        <v>2280</v>
      </c>
      <c r="F5562" t="s">
        <v>57</v>
      </c>
      <c r="G5562" t="s">
        <v>212</v>
      </c>
      <c r="H5562" t="s">
        <v>213</v>
      </c>
      <c r="I5562" t="s">
        <v>213</v>
      </c>
      <c r="J5562" t="s">
        <v>60</v>
      </c>
      <c r="K5562" t="s">
        <v>214</v>
      </c>
      <c r="L5562" t="s">
        <v>62</v>
      </c>
      <c r="M5562" t="s">
        <v>214</v>
      </c>
      <c r="N5562" t="s">
        <v>215</v>
      </c>
      <c r="O5562" t="s">
        <v>216</v>
      </c>
      <c r="P5562">
        <v>-20.158149000000002</v>
      </c>
      <c r="Q5562">
        <v>-44.872593000000002</v>
      </c>
      <c r="R5562" s="2" t="str">
        <f>HYPERLINK("https://www.google.com/maps?q=-20.1581490,-44.8725930","Abrir no Google Maps")</f>
        <v>Abrir no Google Maps</v>
      </c>
      <c r="S5562">
        <v>4</v>
      </c>
      <c r="T5562">
        <v>0</v>
      </c>
      <c r="U5562">
        <v>4</v>
      </c>
      <c r="V5562">
        <v>0.9967248908296944</v>
      </c>
      <c r="W5562">
        <v>1</v>
      </c>
      <c r="X5562">
        <v>0.9967248908296944</v>
      </c>
      <c r="Y5562">
        <v>531</v>
      </c>
      <c r="Z5562">
        <v>127.8805352974544</v>
      </c>
      <c r="AA5562">
        <v>198</v>
      </c>
      <c r="AB5562">
        <v>332</v>
      </c>
      <c r="AC5562">
        <v>536</v>
      </c>
      <c r="AD5562">
        <v>27.77</v>
      </c>
      <c r="AE5562">
        <v>542</v>
      </c>
      <c r="AF5562">
        <v>26</v>
      </c>
      <c r="AG5562">
        <v>163</v>
      </c>
      <c r="AH5562">
        <v>129</v>
      </c>
      <c r="AI5562">
        <v>4.8</v>
      </c>
      <c r="AJ5562">
        <v>30.07</v>
      </c>
      <c r="AK5562">
        <v>23.8</v>
      </c>
      <c r="AL5562">
        <v>-20.158114249999951</v>
      </c>
      <c r="AM5562">
        <v>-44.872583123264782</v>
      </c>
      <c r="AN5562">
        <v>-20.158114249999951</v>
      </c>
      <c r="AO5562">
        <v>-44.872583123264782</v>
      </c>
      <c r="AP5562">
        <v>-20.158149000000002</v>
      </c>
      <c r="AQ5562">
        <v>-44.872593000000002</v>
      </c>
      <c r="AR5562">
        <v>4.0036956087599238</v>
      </c>
      <c r="AS5562" t="s">
        <v>65</v>
      </c>
      <c r="AT5562">
        <v>1</v>
      </c>
      <c r="AU5562" t="s">
        <v>217</v>
      </c>
      <c r="AV5562" t="s">
        <v>218</v>
      </c>
      <c r="AW5562" t="s">
        <v>60</v>
      </c>
      <c r="AX5562" t="s">
        <v>68</v>
      </c>
      <c r="AY5562" t="s">
        <v>69</v>
      </c>
      <c r="AZ5562" t="b">
        <v>1</v>
      </c>
    </row>
    <row r="5563" spans="1:52" x14ac:dyDescent="0.3">
      <c r="A5563" t="s">
        <v>52</v>
      </c>
      <c r="B5563" t="s">
        <v>53</v>
      </c>
      <c r="C5563" t="s">
        <v>54</v>
      </c>
      <c r="D5563" t="s">
        <v>55</v>
      </c>
      <c r="E5563" t="s">
        <v>2280</v>
      </c>
      <c r="F5563" t="s">
        <v>57</v>
      </c>
      <c r="G5563" t="s">
        <v>219</v>
      </c>
      <c r="H5563" t="s">
        <v>220</v>
      </c>
      <c r="I5563" t="s">
        <v>220</v>
      </c>
      <c r="J5563" t="s">
        <v>60</v>
      </c>
      <c r="K5563" t="s">
        <v>214</v>
      </c>
      <c r="L5563" t="s">
        <v>62</v>
      </c>
      <c r="M5563" t="s">
        <v>214</v>
      </c>
      <c r="N5563" t="s">
        <v>221</v>
      </c>
      <c r="O5563" t="s">
        <v>222</v>
      </c>
      <c r="P5563">
        <v>-20.158049999999999</v>
      </c>
      <c r="Q5563">
        <v>-44.868823999999996</v>
      </c>
      <c r="R5563" s="2" t="str">
        <f>HYPERLINK("https://www.google.com/maps?q=-20.1580500,-44.8688240","Abrir no Google Maps")</f>
        <v>Abrir no Google Maps</v>
      </c>
      <c r="S5563">
        <v>4</v>
      </c>
      <c r="T5563">
        <v>400.85705002223079</v>
      </c>
      <c r="U5563">
        <v>4</v>
      </c>
      <c r="V5563">
        <v>0.99610591900311518</v>
      </c>
      <c r="W5563">
        <v>1</v>
      </c>
      <c r="X5563">
        <v>0.99610591900311518</v>
      </c>
      <c r="Y5563">
        <v>531</v>
      </c>
      <c r="Z5563">
        <v>493.98501624607121</v>
      </c>
      <c r="AA5563">
        <v>198</v>
      </c>
      <c r="AB5563">
        <v>332</v>
      </c>
      <c r="AC5563">
        <v>536</v>
      </c>
      <c r="AD5563">
        <v>27.77</v>
      </c>
      <c r="AE5563">
        <v>542</v>
      </c>
      <c r="AF5563">
        <v>26</v>
      </c>
      <c r="AG5563">
        <v>163</v>
      </c>
      <c r="AH5563">
        <v>129</v>
      </c>
      <c r="AI5563">
        <v>4.8</v>
      </c>
      <c r="AJ5563">
        <v>30.07</v>
      </c>
      <c r="AK5563">
        <v>23.8</v>
      </c>
      <c r="AL5563">
        <v>-20.158020649999969</v>
      </c>
      <c r="AM5563">
        <v>-44.868748475381317</v>
      </c>
      <c r="AN5563">
        <v>-20.158020649999969</v>
      </c>
      <c r="AO5563">
        <v>-44.868748475381331</v>
      </c>
      <c r="AP5563">
        <v>-20.158049999999999</v>
      </c>
      <c r="AQ5563">
        <v>-44.868823999999996</v>
      </c>
      <c r="AR5563">
        <v>8.5419571471718818</v>
      </c>
      <c r="AS5563" t="s">
        <v>65</v>
      </c>
      <c r="AT5563">
        <v>1</v>
      </c>
      <c r="AU5563" t="s">
        <v>223</v>
      </c>
      <c r="AV5563" t="s">
        <v>224</v>
      </c>
      <c r="AW5563" t="s">
        <v>60</v>
      </c>
      <c r="AX5563" t="s">
        <v>68</v>
      </c>
      <c r="AY5563" t="s">
        <v>69</v>
      </c>
      <c r="AZ5563" t="b">
        <v>1</v>
      </c>
    </row>
    <row r="5564" spans="1:52" x14ac:dyDescent="0.3">
      <c r="A5564" t="s">
        <v>52</v>
      </c>
      <c r="B5564" t="s">
        <v>53</v>
      </c>
      <c r="C5564" t="s">
        <v>54</v>
      </c>
      <c r="D5564" t="s">
        <v>55</v>
      </c>
      <c r="E5564" t="s">
        <v>2280</v>
      </c>
      <c r="F5564" t="s">
        <v>57</v>
      </c>
      <c r="G5564" t="s">
        <v>225</v>
      </c>
      <c r="H5564" t="s">
        <v>226</v>
      </c>
      <c r="I5564" t="s">
        <v>226</v>
      </c>
      <c r="J5564" t="s">
        <v>60</v>
      </c>
      <c r="K5564" t="s">
        <v>227</v>
      </c>
      <c r="L5564" t="s">
        <v>62</v>
      </c>
      <c r="M5564" t="s">
        <v>227</v>
      </c>
      <c r="N5564" t="s">
        <v>228</v>
      </c>
      <c r="O5564" t="s">
        <v>229</v>
      </c>
      <c r="P5564">
        <v>-20.156986</v>
      </c>
      <c r="Q5564">
        <v>-44.857474000000003</v>
      </c>
      <c r="R5564" s="2" t="str">
        <f>HYPERLINK("https://www.google.com/maps?q=-20.1569860,-44.8574740","Abrir no Google Maps")</f>
        <v>Abrir no Google Maps</v>
      </c>
      <c r="S5564">
        <v>4</v>
      </c>
      <c r="T5564">
        <v>270.52797591847911</v>
      </c>
      <c r="U5564">
        <v>4</v>
      </c>
      <c r="V5564">
        <v>0.99696969696969695</v>
      </c>
      <c r="W5564">
        <v>1</v>
      </c>
      <c r="X5564">
        <v>0.99696969696969695</v>
      </c>
      <c r="Y5564">
        <v>518</v>
      </c>
      <c r="Z5564">
        <v>441.86584449256071</v>
      </c>
      <c r="AA5564">
        <v>198</v>
      </c>
      <c r="AB5564">
        <v>332</v>
      </c>
      <c r="AC5564">
        <v>536</v>
      </c>
      <c r="AD5564">
        <v>27.77</v>
      </c>
      <c r="AE5564">
        <v>542</v>
      </c>
      <c r="AF5564">
        <v>26</v>
      </c>
      <c r="AG5564">
        <v>163</v>
      </c>
      <c r="AH5564">
        <v>129</v>
      </c>
      <c r="AI5564">
        <v>4.8</v>
      </c>
      <c r="AJ5564">
        <v>30.07</v>
      </c>
      <c r="AK5564">
        <v>23.8</v>
      </c>
      <c r="AL5564">
        <v>-20.156957249999952</v>
      </c>
      <c r="AM5564">
        <v>-44.857396682659299</v>
      </c>
      <c r="AN5564">
        <v>-20.156957249999952</v>
      </c>
      <c r="AO5564">
        <v>-44.857396682659299</v>
      </c>
      <c r="AP5564">
        <v>-20.156986</v>
      </c>
      <c r="AQ5564">
        <v>-44.857474000000003</v>
      </c>
      <c r="AR5564">
        <v>8.6905800579264607</v>
      </c>
      <c r="AS5564" t="s">
        <v>65</v>
      </c>
      <c r="AT5564">
        <v>1</v>
      </c>
      <c r="AU5564" t="s">
        <v>230</v>
      </c>
      <c r="AV5564" t="s">
        <v>231</v>
      </c>
      <c r="AW5564" t="s">
        <v>60</v>
      </c>
      <c r="AX5564" t="s">
        <v>68</v>
      </c>
      <c r="AY5564" t="s">
        <v>69</v>
      </c>
      <c r="AZ5564" t="b">
        <v>1</v>
      </c>
    </row>
    <row r="5565" spans="1:52" x14ac:dyDescent="0.3">
      <c r="A5565" t="s">
        <v>52</v>
      </c>
      <c r="B5565" t="s">
        <v>53</v>
      </c>
      <c r="C5565" t="s">
        <v>54</v>
      </c>
      <c r="D5565" t="s">
        <v>55</v>
      </c>
      <c r="E5565" t="s">
        <v>2280</v>
      </c>
      <c r="F5565" t="s">
        <v>57</v>
      </c>
      <c r="G5565" t="s">
        <v>232</v>
      </c>
      <c r="H5565" t="s">
        <v>233</v>
      </c>
      <c r="I5565" t="s">
        <v>233</v>
      </c>
      <c r="J5565" t="s">
        <v>60</v>
      </c>
      <c r="K5565" t="s">
        <v>227</v>
      </c>
      <c r="L5565" t="s">
        <v>62</v>
      </c>
      <c r="M5565" t="s">
        <v>227</v>
      </c>
      <c r="N5565" t="s">
        <v>234</v>
      </c>
      <c r="O5565" t="s">
        <v>235</v>
      </c>
      <c r="P5565">
        <v>-20.158666</v>
      </c>
      <c r="Q5565">
        <v>-44.861398999999999</v>
      </c>
      <c r="R5565" s="2" t="str">
        <f>HYPERLINK("https://www.google.com/maps?q=-20.1586660,-44.8613990","Abrir no Google Maps")</f>
        <v>Abrir no Google Maps</v>
      </c>
      <c r="S5565">
        <v>4</v>
      </c>
      <c r="T5565">
        <v>330.01505397941582</v>
      </c>
      <c r="U5565">
        <v>4</v>
      </c>
      <c r="V5565">
        <v>0.99735449735449722</v>
      </c>
      <c r="W5565">
        <v>1</v>
      </c>
      <c r="X5565">
        <v>0.99735449735449722</v>
      </c>
      <c r="Y5565">
        <v>518</v>
      </c>
      <c r="Z5565">
        <v>251.8092920281106</v>
      </c>
      <c r="AA5565">
        <v>198</v>
      </c>
      <c r="AB5565">
        <v>332</v>
      </c>
      <c r="AC5565">
        <v>536</v>
      </c>
      <c r="AD5565">
        <v>27.77</v>
      </c>
      <c r="AE5565">
        <v>542</v>
      </c>
      <c r="AF5565">
        <v>26</v>
      </c>
      <c r="AG5565">
        <v>163</v>
      </c>
      <c r="AH5565">
        <v>129</v>
      </c>
      <c r="AI5565">
        <v>4.8</v>
      </c>
      <c r="AJ5565">
        <v>30.07</v>
      </c>
      <c r="AK5565">
        <v>23.8</v>
      </c>
      <c r="AL5565">
        <v>-20.158631449999969</v>
      </c>
      <c r="AM5565">
        <v>-44.861424574758061</v>
      </c>
      <c r="AN5565">
        <v>-20.158631449999969</v>
      </c>
      <c r="AO5565">
        <v>-44.861424574758061</v>
      </c>
      <c r="AP5565">
        <v>-20.158666</v>
      </c>
      <c r="AQ5565">
        <v>-44.861398999999999</v>
      </c>
      <c r="AR5565">
        <v>4.6835056709567411</v>
      </c>
      <c r="AS5565" t="s">
        <v>65</v>
      </c>
      <c r="AT5565">
        <v>1</v>
      </c>
      <c r="AU5565" t="s">
        <v>236</v>
      </c>
      <c r="AV5565" t="s">
        <v>237</v>
      </c>
      <c r="AW5565" t="s">
        <v>60</v>
      </c>
      <c r="AX5565" t="s">
        <v>68</v>
      </c>
      <c r="AY5565" t="s">
        <v>69</v>
      </c>
      <c r="AZ5565" t="b">
        <v>1</v>
      </c>
    </row>
    <row r="5566" spans="1:52" x14ac:dyDescent="0.3">
      <c r="A5566" t="s">
        <v>52</v>
      </c>
      <c r="B5566" t="s">
        <v>53</v>
      </c>
      <c r="C5566" t="s">
        <v>54</v>
      </c>
      <c r="D5566" t="s">
        <v>55</v>
      </c>
      <c r="E5566" t="s">
        <v>2280</v>
      </c>
      <c r="F5566" t="s">
        <v>57</v>
      </c>
      <c r="G5566" t="s">
        <v>238</v>
      </c>
      <c r="H5566" t="s">
        <v>239</v>
      </c>
      <c r="I5566" t="s">
        <v>239</v>
      </c>
      <c r="J5566" t="s">
        <v>60</v>
      </c>
      <c r="K5566" t="s">
        <v>227</v>
      </c>
      <c r="L5566" t="s">
        <v>62</v>
      </c>
      <c r="M5566" t="s">
        <v>227</v>
      </c>
      <c r="N5566" t="s">
        <v>240</v>
      </c>
      <c r="O5566" t="s">
        <v>202</v>
      </c>
      <c r="P5566">
        <v>-20.155833999999999</v>
      </c>
      <c r="Q5566">
        <v>-44.859437999999997</v>
      </c>
      <c r="R5566" s="2" t="str">
        <f>HYPERLINK("https://www.google.com/maps?q=-20.1558340,-44.8594380","Abrir no Google Maps")</f>
        <v>Abrir no Google Maps</v>
      </c>
      <c r="S5566">
        <v>4</v>
      </c>
      <c r="T5566">
        <v>381.00646482339403</v>
      </c>
      <c r="U5566">
        <v>4</v>
      </c>
      <c r="V5566">
        <v>1</v>
      </c>
      <c r="W5566">
        <v>1</v>
      </c>
      <c r="X5566">
        <v>1</v>
      </c>
      <c r="Y5566">
        <v>518</v>
      </c>
      <c r="Z5566">
        <v>484.9275363207239</v>
      </c>
      <c r="AA5566">
        <v>198</v>
      </c>
      <c r="AB5566">
        <v>332</v>
      </c>
      <c r="AC5566">
        <v>536</v>
      </c>
      <c r="AD5566">
        <v>27.77</v>
      </c>
      <c r="AE5566">
        <v>542</v>
      </c>
      <c r="AF5566">
        <v>26</v>
      </c>
      <c r="AG5566">
        <v>163</v>
      </c>
      <c r="AH5566">
        <v>129</v>
      </c>
      <c r="AI5566">
        <v>4.8</v>
      </c>
      <c r="AJ5566">
        <v>30.07</v>
      </c>
      <c r="AK5566">
        <v>23.8</v>
      </c>
      <c r="AL5566">
        <v>-20.155935399999979</v>
      </c>
      <c r="AM5566">
        <v>-44.859367525422847</v>
      </c>
      <c r="AN5566">
        <v>-20.155935399999979</v>
      </c>
      <c r="AO5566">
        <v>-44.859367525422847</v>
      </c>
      <c r="AP5566">
        <v>-20.155833999999999</v>
      </c>
      <c r="AQ5566">
        <v>-44.859437999999997</v>
      </c>
      <c r="AR5566">
        <v>13.477960508152201</v>
      </c>
      <c r="AS5566" t="s">
        <v>65</v>
      </c>
      <c r="AT5566">
        <v>1</v>
      </c>
      <c r="AU5566" t="s">
        <v>241</v>
      </c>
      <c r="AV5566" t="s">
        <v>242</v>
      </c>
      <c r="AW5566" t="s">
        <v>60</v>
      </c>
      <c r="AX5566" t="s">
        <v>68</v>
      </c>
      <c r="AY5566" t="s">
        <v>69</v>
      </c>
      <c r="AZ5566" t="b">
        <v>1</v>
      </c>
    </row>
    <row r="5567" spans="1:52" x14ac:dyDescent="0.3">
      <c r="A5567" t="s">
        <v>52</v>
      </c>
      <c r="B5567" t="s">
        <v>53</v>
      </c>
      <c r="C5567" t="s">
        <v>54</v>
      </c>
      <c r="D5567" t="s">
        <v>55</v>
      </c>
      <c r="E5567" t="s">
        <v>2280</v>
      </c>
      <c r="F5567" t="s">
        <v>57</v>
      </c>
      <c r="G5567" t="s">
        <v>243</v>
      </c>
      <c r="H5567" t="s">
        <v>244</v>
      </c>
      <c r="I5567" t="s">
        <v>244</v>
      </c>
      <c r="J5567" t="s">
        <v>60</v>
      </c>
      <c r="K5567" t="s">
        <v>214</v>
      </c>
      <c r="L5567" t="s">
        <v>62</v>
      </c>
      <c r="M5567" t="s">
        <v>214</v>
      </c>
      <c r="N5567" t="s">
        <v>245</v>
      </c>
      <c r="O5567" t="s">
        <v>246</v>
      </c>
      <c r="P5567">
        <v>-20.156296999999999</v>
      </c>
      <c r="Q5567">
        <v>-44.873035999999999</v>
      </c>
      <c r="R5567" s="2" t="str">
        <f>HYPERLINK("https://www.google.com/maps?q=-20.1562970,-44.8730360","Abrir no Google Maps")</f>
        <v>Abrir no Google Maps</v>
      </c>
      <c r="S5567">
        <v>4</v>
      </c>
      <c r="T5567">
        <v>198.04479306725889</v>
      </c>
      <c r="U5567">
        <v>4</v>
      </c>
      <c r="V5567">
        <v>1</v>
      </c>
      <c r="W5567">
        <v>1</v>
      </c>
      <c r="X5567">
        <v>1</v>
      </c>
      <c r="Y5567">
        <v>305</v>
      </c>
      <c r="Z5567">
        <v>267.7765515134916</v>
      </c>
      <c r="AA5567">
        <v>198</v>
      </c>
      <c r="AB5567">
        <v>332</v>
      </c>
      <c r="AC5567">
        <v>536</v>
      </c>
      <c r="AD5567">
        <v>27.77</v>
      </c>
      <c r="AE5567">
        <v>542</v>
      </c>
      <c r="AF5567">
        <v>26</v>
      </c>
      <c r="AG5567">
        <v>163</v>
      </c>
      <c r="AH5567">
        <v>129</v>
      </c>
      <c r="AI5567">
        <v>4.8</v>
      </c>
      <c r="AJ5567">
        <v>30.07</v>
      </c>
      <c r="AK5567">
        <v>23.8</v>
      </c>
      <c r="AL5567">
        <v>-20.156361349999941</v>
      </c>
      <c r="AM5567">
        <v>-44.87296512500793</v>
      </c>
      <c r="AN5567">
        <v>-20.156361349999941</v>
      </c>
      <c r="AO5567">
        <v>-44.87296512500793</v>
      </c>
      <c r="AP5567">
        <v>-20.156296999999999</v>
      </c>
      <c r="AQ5567">
        <v>-44.873035999999999</v>
      </c>
      <c r="AR5567">
        <v>10.304009356726979</v>
      </c>
      <c r="AS5567" t="s">
        <v>65</v>
      </c>
      <c r="AT5567">
        <v>1</v>
      </c>
      <c r="AU5567" t="s">
        <v>247</v>
      </c>
      <c r="AV5567" t="s">
        <v>248</v>
      </c>
      <c r="AW5567" t="s">
        <v>60</v>
      </c>
      <c r="AX5567" t="s">
        <v>68</v>
      </c>
      <c r="AY5567" t="s">
        <v>69</v>
      </c>
      <c r="AZ5567" t="b">
        <v>1</v>
      </c>
    </row>
    <row r="5568" spans="1:52" x14ac:dyDescent="0.3">
      <c r="A5568" t="s">
        <v>52</v>
      </c>
      <c r="B5568" t="s">
        <v>53</v>
      </c>
      <c r="C5568" t="s">
        <v>54</v>
      </c>
      <c r="D5568" t="s">
        <v>55</v>
      </c>
      <c r="E5568" t="s">
        <v>2280</v>
      </c>
      <c r="F5568" t="s">
        <v>57</v>
      </c>
      <c r="G5568" t="s">
        <v>279</v>
      </c>
      <c r="H5568" t="s">
        <v>280</v>
      </c>
      <c r="I5568" t="s">
        <v>280</v>
      </c>
      <c r="J5568" t="s">
        <v>60</v>
      </c>
      <c r="K5568" t="s">
        <v>281</v>
      </c>
      <c r="L5568" t="s">
        <v>62</v>
      </c>
      <c r="M5568" t="s">
        <v>281</v>
      </c>
      <c r="N5568" t="s">
        <v>282</v>
      </c>
      <c r="O5568" t="s">
        <v>283</v>
      </c>
      <c r="P5568">
        <v>-20.175312999999999</v>
      </c>
      <c r="Q5568">
        <v>-44.848562999999999</v>
      </c>
      <c r="R5568" s="2" t="str">
        <f>HYPERLINK("https://www.google.com/maps?q=-20.1753130,-44.8485630","Abrir no Google Maps")</f>
        <v>Abrir no Google Maps</v>
      </c>
      <c r="S5568">
        <v>4</v>
      </c>
      <c r="T5568">
        <v>1076.9164078034139</v>
      </c>
      <c r="U5568">
        <v>4</v>
      </c>
      <c r="V5568">
        <v>0.99573863636363635</v>
      </c>
      <c r="W5568">
        <v>1</v>
      </c>
      <c r="X5568">
        <v>0.99573863636363635</v>
      </c>
      <c r="Y5568">
        <v>292</v>
      </c>
      <c r="Z5568">
        <v>1035.650579259463</v>
      </c>
      <c r="AA5568">
        <v>198</v>
      </c>
      <c r="AB5568">
        <v>332</v>
      </c>
      <c r="AC5568">
        <v>536</v>
      </c>
      <c r="AD5568">
        <v>27.77</v>
      </c>
      <c r="AE5568">
        <v>542</v>
      </c>
      <c r="AF5568">
        <v>26</v>
      </c>
      <c r="AG5568">
        <v>163</v>
      </c>
      <c r="AH5568">
        <v>129</v>
      </c>
      <c r="AI5568">
        <v>4.8</v>
      </c>
      <c r="AJ5568">
        <v>30.07</v>
      </c>
      <c r="AK5568">
        <v>23.8</v>
      </c>
      <c r="AL5568">
        <v>-20.175338949999961</v>
      </c>
      <c r="AM5568">
        <v>-44.848523168324952</v>
      </c>
      <c r="AN5568">
        <v>-20.175338949999961</v>
      </c>
      <c r="AO5568">
        <v>-44.848523168324952</v>
      </c>
      <c r="AP5568">
        <v>-20.175312999999999</v>
      </c>
      <c r="AQ5568">
        <v>-44.848562999999999</v>
      </c>
      <c r="AR5568">
        <v>5.0662709576519056</v>
      </c>
      <c r="AS5568" t="s">
        <v>65</v>
      </c>
      <c r="AT5568">
        <v>1</v>
      </c>
      <c r="AU5568" t="s">
        <v>284</v>
      </c>
      <c r="AV5568" t="s">
        <v>285</v>
      </c>
      <c r="AW5568" t="s">
        <v>60</v>
      </c>
      <c r="AX5568" t="s">
        <v>68</v>
      </c>
      <c r="AY5568" t="s">
        <v>69</v>
      </c>
      <c r="AZ5568" t="b">
        <v>1</v>
      </c>
    </row>
    <row r="5569" spans="1:52" x14ac:dyDescent="0.3">
      <c r="A5569" t="s">
        <v>52</v>
      </c>
      <c r="B5569" t="s">
        <v>53</v>
      </c>
      <c r="C5569" t="s">
        <v>54</v>
      </c>
      <c r="D5569" t="s">
        <v>55</v>
      </c>
      <c r="E5569" t="s">
        <v>2280</v>
      </c>
      <c r="F5569" t="s">
        <v>57</v>
      </c>
      <c r="G5569" t="s">
        <v>253</v>
      </c>
      <c r="H5569" t="s">
        <v>286</v>
      </c>
      <c r="I5569" t="s">
        <v>286</v>
      </c>
      <c r="J5569" t="s">
        <v>60</v>
      </c>
      <c r="K5569" t="s">
        <v>136</v>
      </c>
      <c r="L5569" t="s">
        <v>62</v>
      </c>
      <c r="M5569" t="s">
        <v>136</v>
      </c>
      <c r="N5569" t="s">
        <v>256</v>
      </c>
      <c r="O5569" t="s">
        <v>287</v>
      </c>
      <c r="P5569">
        <v>-20.165067000000001</v>
      </c>
      <c r="Q5569">
        <v>-44.851146999999997</v>
      </c>
      <c r="R5569" s="2" t="str">
        <f>HYPERLINK("https://www.google.com/maps?q=-20.1650670,-44.8511470","Abrir no Google Maps")</f>
        <v>Abrir no Google Maps</v>
      </c>
      <c r="S5569">
        <v>4</v>
      </c>
      <c r="T5569">
        <v>374.14945573570043</v>
      </c>
      <c r="U5569">
        <v>4</v>
      </c>
      <c r="V5569">
        <v>0.99557522123893805</v>
      </c>
      <c r="W5569">
        <v>1</v>
      </c>
      <c r="X5569">
        <v>0.99557522123893805</v>
      </c>
      <c r="Y5569">
        <v>292</v>
      </c>
      <c r="Z5569">
        <v>295.9878686859272</v>
      </c>
      <c r="AA5569">
        <v>198</v>
      </c>
      <c r="AB5569">
        <v>332</v>
      </c>
      <c r="AC5569">
        <v>536</v>
      </c>
      <c r="AD5569">
        <v>27.77</v>
      </c>
      <c r="AE5569">
        <v>542</v>
      </c>
      <c r="AF5569">
        <v>26</v>
      </c>
      <c r="AG5569">
        <v>163</v>
      </c>
      <c r="AH5569">
        <v>129</v>
      </c>
      <c r="AI5569">
        <v>4.8</v>
      </c>
      <c r="AJ5569">
        <v>30.07</v>
      </c>
      <c r="AK5569">
        <v>23.8</v>
      </c>
      <c r="AL5569">
        <v>-20.164961799999961</v>
      </c>
      <c r="AM5569">
        <v>-44.851062119796737</v>
      </c>
      <c r="AN5569">
        <v>-20.164961799999961</v>
      </c>
      <c r="AO5569">
        <v>-44.851062119796737</v>
      </c>
      <c r="AP5569">
        <v>-20.165067000000001</v>
      </c>
      <c r="AQ5569">
        <v>-44.851146999999997</v>
      </c>
      <c r="AR5569">
        <v>14.690666366415</v>
      </c>
      <c r="AS5569" t="s">
        <v>65</v>
      </c>
      <c r="AT5569">
        <v>1</v>
      </c>
      <c r="AU5569" t="s">
        <v>288</v>
      </c>
      <c r="AV5569" t="s">
        <v>289</v>
      </c>
      <c r="AW5569" t="s">
        <v>60</v>
      </c>
      <c r="AX5569" t="s">
        <v>68</v>
      </c>
      <c r="AY5569" t="s">
        <v>69</v>
      </c>
      <c r="AZ5569" t="b">
        <v>1</v>
      </c>
    </row>
    <row r="5570" spans="1:52" x14ac:dyDescent="0.3">
      <c r="A5570" t="s">
        <v>52</v>
      </c>
      <c r="B5570" t="s">
        <v>53</v>
      </c>
      <c r="C5570" t="s">
        <v>54</v>
      </c>
      <c r="D5570" t="s">
        <v>55</v>
      </c>
      <c r="E5570" t="s">
        <v>2280</v>
      </c>
      <c r="F5570" t="s">
        <v>57</v>
      </c>
      <c r="G5570" t="s">
        <v>290</v>
      </c>
      <c r="H5570" t="s">
        <v>291</v>
      </c>
      <c r="I5570" t="s">
        <v>291</v>
      </c>
      <c r="J5570" t="s">
        <v>60</v>
      </c>
      <c r="K5570" t="s">
        <v>143</v>
      </c>
      <c r="L5570" t="s">
        <v>62</v>
      </c>
      <c r="M5570" t="s">
        <v>143</v>
      </c>
      <c r="N5570" t="s">
        <v>292</v>
      </c>
      <c r="O5570" t="s">
        <v>293</v>
      </c>
      <c r="P5570">
        <v>-20.164380999999999</v>
      </c>
      <c r="Q5570">
        <v>-44.841638000000003</v>
      </c>
      <c r="R5570" s="2" t="str">
        <f>HYPERLINK("https://www.google.com/maps?q=-20.1643810,-44.8416380","Abrir no Google Maps")</f>
        <v>Abrir no Google Maps</v>
      </c>
      <c r="S5570">
        <v>4</v>
      </c>
      <c r="T5570">
        <v>653.87342410001406</v>
      </c>
      <c r="U5570">
        <v>4</v>
      </c>
      <c r="V5570">
        <v>0.99848484848484842</v>
      </c>
      <c r="W5570">
        <v>1</v>
      </c>
      <c r="X5570">
        <v>0.99848484848484842</v>
      </c>
      <c r="Y5570">
        <v>292</v>
      </c>
      <c r="Z5570">
        <v>761.66023684754805</v>
      </c>
      <c r="AA5570">
        <v>198</v>
      </c>
      <c r="AB5570">
        <v>332</v>
      </c>
      <c r="AC5570">
        <v>536</v>
      </c>
      <c r="AD5570">
        <v>27.77</v>
      </c>
      <c r="AE5570">
        <v>542</v>
      </c>
      <c r="AF5570">
        <v>26</v>
      </c>
      <c r="AG5570">
        <v>163</v>
      </c>
      <c r="AH5570">
        <v>129</v>
      </c>
      <c r="AI5570">
        <v>4.8</v>
      </c>
      <c r="AJ5570">
        <v>30.07</v>
      </c>
      <c r="AK5570">
        <v>23.8</v>
      </c>
      <c r="AL5570">
        <v>-20.16420624999995</v>
      </c>
      <c r="AM5570">
        <v>-44.841488984995642</v>
      </c>
      <c r="AN5570">
        <v>-20.16420624999995</v>
      </c>
      <c r="AO5570">
        <v>-44.841488984995642</v>
      </c>
      <c r="AP5570">
        <v>-20.164380999999999</v>
      </c>
      <c r="AQ5570">
        <v>-44.841638000000003</v>
      </c>
      <c r="AR5570">
        <v>24.91789254993785</v>
      </c>
      <c r="AS5570" t="s">
        <v>65</v>
      </c>
      <c r="AT5570">
        <v>1</v>
      </c>
      <c r="AU5570" t="s">
        <v>294</v>
      </c>
      <c r="AV5570" t="s">
        <v>295</v>
      </c>
      <c r="AW5570" t="s">
        <v>60</v>
      </c>
      <c r="AX5570" t="s">
        <v>68</v>
      </c>
      <c r="AY5570" t="s">
        <v>69</v>
      </c>
      <c r="AZ5570" t="b">
        <v>1</v>
      </c>
    </row>
    <row r="5571" spans="1:52" x14ac:dyDescent="0.3">
      <c r="A5571" t="s">
        <v>52</v>
      </c>
      <c r="B5571" t="s">
        <v>53</v>
      </c>
      <c r="C5571" t="s">
        <v>54</v>
      </c>
      <c r="D5571" t="s">
        <v>55</v>
      </c>
      <c r="E5571" t="s">
        <v>2280</v>
      </c>
      <c r="F5571" t="s">
        <v>57</v>
      </c>
      <c r="G5571" t="s">
        <v>253</v>
      </c>
      <c r="H5571" t="s">
        <v>1633</v>
      </c>
      <c r="I5571" t="s">
        <v>1633</v>
      </c>
      <c r="J5571" t="s">
        <v>60</v>
      </c>
      <c r="K5571" t="s">
        <v>982</v>
      </c>
      <c r="L5571" t="s">
        <v>62</v>
      </c>
      <c r="M5571" t="s">
        <v>982</v>
      </c>
      <c r="N5571" t="s">
        <v>256</v>
      </c>
      <c r="O5571" t="s">
        <v>1634</v>
      </c>
      <c r="P5571">
        <v>-20.170407000000001</v>
      </c>
      <c r="Q5571">
        <v>-44.853330999999997</v>
      </c>
      <c r="R5571" s="2" t="str">
        <f>HYPERLINK("https://www.google.com/maps?q=-20.1704070,-44.8533310","Abrir no Google Maps")</f>
        <v>Abrir no Google Maps</v>
      </c>
      <c r="S5571">
        <v>4</v>
      </c>
      <c r="T5571">
        <v>801.41180076523165</v>
      </c>
      <c r="U5571">
        <v>4</v>
      </c>
      <c r="V5571">
        <v>0.99583333333333324</v>
      </c>
      <c r="W5571">
        <v>1</v>
      </c>
      <c r="X5571">
        <v>0.99583333333333324</v>
      </c>
      <c r="Y5571">
        <v>292</v>
      </c>
      <c r="Z5571">
        <v>726.46828777213966</v>
      </c>
      <c r="AA5571">
        <v>198</v>
      </c>
      <c r="AB5571">
        <v>332</v>
      </c>
      <c r="AC5571">
        <v>536</v>
      </c>
      <c r="AD5571">
        <v>27.77</v>
      </c>
      <c r="AE5571">
        <v>542</v>
      </c>
      <c r="AF5571">
        <v>26</v>
      </c>
      <c r="AG5571">
        <v>163</v>
      </c>
      <c r="AH5571">
        <v>129</v>
      </c>
      <c r="AI5571">
        <v>4.8</v>
      </c>
      <c r="AJ5571">
        <v>30.07</v>
      </c>
      <c r="AK5571">
        <v>23.8</v>
      </c>
      <c r="AL5571">
        <v>-20.170412849999959</v>
      </c>
      <c r="AM5571">
        <v>-44.853334311192633</v>
      </c>
      <c r="AN5571">
        <v>-20.170412849999959</v>
      </c>
      <c r="AO5571">
        <v>-44.853334311192633</v>
      </c>
      <c r="AP5571">
        <v>-20.170407000000001</v>
      </c>
      <c r="AQ5571">
        <v>-44.853330999999997</v>
      </c>
      <c r="AR5571">
        <v>0.73743023728700929</v>
      </c>
      <c r="AS5571" t="s">
        <v>65</v>
      </c>
      <c r="AT5571">
        <v>1</v>
      </c>
      <c r="AU5571" t="s">
        <v>1635</v>
      </c>
      <c r="AV5571" t="s">
        <v>1636</v>
      </c>
      <c r="AW5571" t="s">
        <v>60</v>
      </c>
      <c r="AX5571" t="s">
        <v>68</v>
      </c>
      <c r="AY5571" t="s">
        <v>69</v>
      </c>
      <c r="AZ5571" t="b">
        <v>1</v>
      </c>
    </row>
    <row r="5572" spans="1:52" x14ac:dyDescent="0.3">
      <c r="A5572" t="s">
        <v>52</v>
      </c>
      <c r="B5572" t="s">
        <v>53</v>
      </c>
      <c r="C5572" t="s">
        <v>54</v>
      </c>
      <c r="D5572" t="s">
        <v>55</v>
      </c>
      <c r="E5572" t="s">
        <v>2280</v>
      </c>
      <c r="F5572" t="s">
        <v>57</v>
      </c>
      <c r="G5572" t="s">
        <v>260</v>
      </c>
      <c r="H5572" t="s">
        <v>317</v>
      </c>
      <c r="I5572" t="s">
        <v>317</v>
      </c>
      <c r="J5572" t="s">
        <v>60</v>
      </c>
      <c r="K5572" t="s">
        <v>255</v>
      </c>
      <c r="L5572" t="s">
        <v>62</v>
      </c>
      <c r="M5572" t="s">
        <v>255</v>
      </c>
      <c r="N5572" t="s">
        <v>263</v>
      </c>
      <c r="O5572" t="s">
        <v>318</v>
      </c>
      <c r="P5572">
        <v>-20.163532</v>
      </c>
      <c r="Q5572">
        <v>-44.846910999999999</v>
      </c>
      <c r="R5572" s="2" t="str">
        <f>HYPERLINK("https://www.google.com/maps?q=-20.1635320,-44.8469110","Abrir no Google Maps")</f>
        <v>Abrir no Google Maps</v>
      </c>
      <c r="S5572">
        <v>4</v>
      </c>
      <c r="T5572">
        <v>259.92389401636012</v>
      </c>
      <c r="U5572">
        <v>4</v>
      </c>
      <c r="V5572">
        <v>0.99573863636363635</v>
      </c>
      <c r="W5572">
        <v>1</v>
      </c>
      <c r="X5572">
        <v>0.99573863636363635</v>
      </c>
      <c r="Y5572">
        <v>292</v>
      </c>
      <c r="Z5572">
        <v>316.26738966059708</v>
      </c>
      <c r="AA5572">
        <v>198</v>
      </c>
      <c r="AB5572">
        <v>332</v>
      </c>
      <c r="AC5572">
        <v>536</v>
      </c>
      <c r="AD5572">
        <v>27.77</v>
      </c>
      <c r="AE5572">
        <v>542</v>
      </c>
      <c r="AF5572">
        <v>26</v>
      </c>
      <c r="AG5572">
        <v>163</v>
      </c>
      <c r="AH5572">
        <v>129</v>
      </c>
      <c r="AI5572">
        <v>4.8</v>
      </c>
      <c r="AJ5572">
        <v>30.07</v>
      </c>
      <c r="AK5572">
        <v>23.8</v>
      </c>
      <c r="AL5572">
        <v>-20.16343344999996</v>
      </c>
      <c r="AM5572">
        <v>-44.846734659744428</v>
      </c>
      <c r="AN5572">
        <v>-20.16343344999996</v>
      </c>
      <c r="AO5572">
        <v>-44.846734659744428</v>
      </c>
      <c r="AP5572">
        <v>-20.163532</v>
      </c>
      <c r="AQ5572">
        <v>-44.846910999999999</v>
      </c>
      <c r="AR5572">
        <v>21.445575432006599</v>
      </c>
      <c r="AS5572" t="s">
        <v>65</v>
      </c>
      <c r="AT5572">
        <v>1</v>
      </c>
      <c r="AU5572" t="s">
        <v>319</v>
      </c>
      <c r="AV5572" t="s">
        <v>320</v>
      </c>
      <c r="AW5572" t="s">
        <v>60</v>
      </c>
      <c r="AX5572" t="s">
        <v>68</v>
      </c>
      <c r="AY5572" t="s">
        <v>69</v>
      </c>
      <c r="AZ5572" t="b">
        <v>1</v>
      </c>
    </row>
    <row r="5573" spans="1:52" x14ac:dyDescent="0.3">
      <c r="A5573" t="s">
        <v>52</v>
      </c>
      <c r="B5573" t="s">
        <v>53</v>
      </c>
      <c r="C5573" t="s">
        <v>54</v>
      </c>
      <c r="D5573" t="s">
        <v>55</v>
      </c>
      <c r="E5573" t="s">
        <v>2280</v>
      </c>
      <c r="F5573" t="s">
        <v>57</v>
      </c>
      <c r="G5573" t="s">
        <v>334</v>
      </c>
      <c r="H5573" t="s">
        <v>335</v>
      </c>
      <c r="I5573" t="s">
        <v>335</v>
      </c>
      <c r="J5573" t="s">
        <v>60</v>
      </c>
      <c r="K5573" t="s">
        <v>336</v>
      </c>
      <c r="L5573" t="s">
        <v>62</v>
      </c>
      <c r="M5573" t="s">
        <v>336</v>
      </c>
      <c r="N5573" t="s">
        <v>337</v>
      </c>
      <c r="O5573" t="s">
        <v>338</v>
      </c>
      <c r="P5573">
        <v>-20.168142</v>
      </c>
      <c r="Q5573">
        <v>-44.875697000000002</v>
      </c>
      <c r="R5573" s="2" t="str">
        <f>HYPERLINK("https://www.google.com/maps?q=-20.1681420,-44.8756970","Abrir no Google Maps")</f>
        <v>Abrir no Google Maps</v>
      </c>
      <c r="S5573">
        <v>4</v>
      </c>
      <c r="T5573">
        <v>678.04878367834192</v>
      </c>
      <c r="U5573">
        <v>4</v>
      </c>
      <c r="V5573">
        <v>0.99893162393162405</v>
      </c>
      <c r="W5573">
        <v>1</v>
      </c>
      <c r="X5573">
        <v>0.99893162393162405</v>
      </c>
      <c r="Y5573">
        <v>232</v>
      </c>
      <c r="Z5573">
        <v>595.98467532792097</v>
      </c>
      <c r="AA5573">
        <v>198</v>
      </c>
      <c r="AB5573">
        <v>332</v>
      </c>
      <c r="AC5573">
        <v>536</v>
      </c>
      <c r="AD5573">
        <v>27.77</v>
      </c>
      <c r="AE5573">
        <v>542</v>
      </c>
      <c r="AF5573">
        <v>26</v>
      </c>
      <c r="AG5573">
        <v>163</v>
      </c>
      <c r="AH5573">
        <v>129</v>
      </c>
      <c r="AI5573">
        <v>4.8</v>
      </c>
      <c r="AJ5573">
        <v>30.07</v>
      </c>
      <c r="AK5573">
        <v>23.8</v>
      </c>
      <c r="AL5573">
        <v>-20.16787839999995</v>
      </c>
      <c r="AM5573">
        <v>-44.875681825945229</v>
      </c>
      <c r="AN5573">
        <v>-20.16787839999995</v>
      </c>
      <c r="AO5573">
        <v>-44.875681825945229</v>
      </c>
      <c r="AP5573">
        <v>-20.168142</v>
      </c>
      <c r="AQ5573">
        <v>-44.875697000000002</v>
      </c>
      <c r="AR5573">
        <v>29.386760063894371</v>
      </c>
      <c r="AS5573" t="s">
        <v>65</v>
      </c>
      <c r="AT5573">
        <v>1</v>
      </c>
      <c r="AU5573" t="s">
        <v>339</v>
      </c>
      <c r="AV5573" t="s">
        <v>340</v>
      </c>
      <c r="AW5573" t="s">
        <v>60</v>
      </c>
      <c r="AX5573" t="s">
        <v>68</v>
      </c>
      <c r="AY5573" t="s">
        <v>69</v>
      </c>
      <c r="AZ5573" t="b">
        <v>1</v>
      </c>
    </row>
    <row r="5574" spans="1:52" x14ac:dyDescent="0.3">
      <c r="A5574" t="s">
        <v>52</v>
      </c>
      <c r="B5574" t="s">
        <v>53</v>
      </c>
      <c r="C5574" t="s">
        <v>54</v>
      </c>
      <c r="D5574" t="s">
        <v>55</v>
      </c>
      <c r="E5574" t="s">
        <v>2280</v>
      </c>
      <c r="F5574" t="s">
        <v>57</v>
      </c>
      <c r="G5574" t="s">
        <v>360</v>
      </c>
      <c r="H5574" t="s">
        <v>361</v>
      </c>
      <c r="I5574" t="s">
        <v>361</v>
      </c>
      <c r="J5574" t="s">
        <v>60</v>
      </c>
      <c r="K5574" t="s">
        <v>362</v>
      </c>
      <c r="L5574" t="s">
        <v>62</v>
      </c>
      <c r="M5574" t="s">
        <v>362</v>
      </c>
      <c r="N5574" t="s">
        <v>363</v>
      </c>
      <c r="O5574" t="s">
        <v>235</v>
      </c>
      <c r="P5574">
        <v>-20.143716999999999</v>
      </c>
      <c r="Q5574">
        <v>-44.875278000000002</v>
      </c>
      <c r="R5574" s="2" t="str">
        <f>HYPERLINK("https://www.google.com/maps?q=-20.1437170,-44.8752780","Abrir no Google Maps")</f>
        <v>Abrir no Google Maps</v>
      </c>
      <c r="S5574">
        <v>4</v>
      </c>
      <c r="T5574">
        <v>0</v>
      </c>
      <c r="U5574">
        <v>4</v>
      </c>
      <c r="V5574">
        <v>0.99857954545454541</v>
      </c>
      <c r="W5574">
        <v>1</v>
      </c>
      <c r="X5574">
        <v>0.99857954545454541</v>
      </c>
      <c r="Y5574">
        <v>209</v>
      </c>
      <c r="Z5574">
        <v>121.8438559354383</v>
      </c>
      <c r="AA5574">
        <v>198</v>
      </c>
      <c r="AB5574">
        <v>332</v>
      </c>
      <c r="AC5574">
        <v>536</v>
      </c>
      <c r="AD5574">
        <v>27.77</v>
      </c>
      <c r="AE5574">
        <v>542</v>
      </c>
      <c r="AF5574">
        <v>26</v>
      </c>
      <c r="AG5574">
        <v>163</v>
      </c>
      <c r="AH5574">
        <v>129</v>
      </c>
      <c r="AI5574">
        <v>4.8</v>
      </c>
      <c r="AJ5574">
        <v>30.07</v>
      </c>
      <c r="AK5574">
        <v>23.8</v>
      </c>
      <c r="AL5574">
        <v>-20.143665999999961</v>
      </c>
      <c r="AM5574">
        <v>-44.875561853046079</v>
      </c>
      <c r="AN5574">
        <v>-20.143665999999961</v>
      </c>
      <c r="AO5574">
        <v>-44.875561853046079</v>
      </c>
      <c r="AP5574">
        <v>-20.143716999999999</v>
      </c>
      <c r="AQ5574">
        <v>-44.875278000000002</v>
      </c>
      <c r="AR5574">
        <v>30.20407282671313</v>
      </c>
      <c r="AS5574" t="s">
        <v>65</v>
      </c>
      <c r="AT5574">
        <v>1</v>
      </c>
      <c r="AU5574" t="s">
        <v>364</v>
      </c>
      <c r="AV5574" t="s">
        <v>365</v>
      </c>
      <c r="AW5574" t="s">
        <v>60</v>
      </c>
      <c r="AX5574" t="s">
        <v>68</v>
      </c>
      <c r="AY5574" t="s">
        <v>69</v>
      </c>
      <c r="AZ5574" t="b">
        <v>1</v>
      </c>
    </row>
    <row r="5575" spans="1:52" x14ac:dyDescent="0.3">
      <c r="A5575" t="s">
        <v>52</v>
      </c>
      <c r="B5575" t="s">
        <v>53</v>
      </c>
      <c r="C5575" t="s">
        <v>54</v>
      </c>
      <c r="D5575" t="s">
        <v>55</v>
      </c>
      <c r="E5575" t="s">
        <v>2280</v>
      </c>
      <c r="F5575" t="s">
        <v>57</v>
      </c>
      <c r="G5575" t="s">
        <v>366</v>
      </c>
      <c r="H5575" t="s">
        <v>367</v>
      </c>
      <c r="I5575" t="s">
        <v>367</v>
      </c>
      <c r="J5575" t="s">
        <v>60</v>
      </c>
      <c r="K5575" t="s">
        <v>368</v>
      </c>
      <c r="L5575" t="s">
        <v>62</v>
      </c>
      <c r="M5575" t="s">
        <v>368</v>
      </c>
      <c r="N5575" t="s">
        <v>369</v>
      </c>
      <c r="O5575" t="s">
        <v>370</v>
      </c>
      <c r="P5575">
        <v>-20.144553999999999</v>
      </c>
      <c r="Q5575">
        <v>-44.868183000000002</v>
      </c>
      <c r="R5575" s="2" t="str">
        <f>HYPERLINK("https://www.google.com/maps?q=-20.1445540,-44.8681830","Abrir no Google Maps")</f>
        <v>Abrir no Google Maps</v>
      </c>
      <c r="S5575">
        <v>4</v>
      </c>
      <c r="T5575">
        <v>783.87848835431373</v>
      </c>
      <c r="U5575">
        <v>4</v>
      </c>
      <c r="V5575">
        <v>0.99906015037593998</v>
      </c>
      <c r="W5575">
        <v>1</v>
      </c>
      <c r="X5575">
        <v>0.99906015037593998</v>
      </c>
      <c r="Y5575">
        <v>198</v>
      </c>
      <c r="Z5575">
        <v>360.68413994394842</v>
      </c>
      <c r="AA5575">
        <v>198</v>
      </c>
      <c r="AB5575">
        <v>332</v>
      </c>
      <c r="AC5575">
        <v>536</v>
      </c>
      <c r="AD5575">
        <v>27.77</v>
      </c>
      <c r="AE5575">
        <v>542</v>
      </c>
      <c r="AF5575">
        <v>26</v>
      </c>
      <c r="AG5575">
        <v>163</v>
      </c>
      <c r="AH5575">
        <v>129</v>
      </c>
      <c r="AI5575">
        <v>4.8</v>
      </c>
      <c r="AJ5575">
        <v>30.07</v>
      </c>
      <c r="AK5575">
        <v>23.8</v>
      </c>
      <c r="AL5575">
        <v>-20.144487399999949</v>
      </c>
      <c r="AM5575">
        <v>-44.868111936674481</v>
      </c>
      <c r="AN5575">
        <v>-20.144487399999939</v>
      </c>
      <c r="AO5575">
        <v>-44.868111936674481</v>
      </c>
      <c r="AP5575">
        <v>-20.144553999999999</v>
      </c>
      <c r="AQ5575">
        <v>-44.868183000000002</v>
      </c>
      <c r="AR5575">
        <v>10.49400387332288</v>
      </c>
      <c r="AS5575" t="s">
        <v>65</v>
      </c>
      <c r="AT5575">
        <v>1</v>
      </c>
      <c r="AU5575" t="s">
        <v>371</v>
      </c>
      <c r="AV5575" t="s">
        <v>372</v>
      </c>
      <c r="AW5575" t="s">
        <v>60</v>
      </c>
      <c r="AX5575" t="s">
        <v>68</v>
      </c>
      <c r="AY5575" t="s">
        <v>69</v>
      </c>
      <c r="AZ5575" t="b">
        <v>1</v>
      </c>
    </row>
    <row r="5576" spans="1:52" x14ac:dyDescent="0.3">
      <c r="A5576" t="s">
        <v>52</v>
      </c>
      <c r="B5576" t="s">
        <v>53</v>
      </c>
      <c r="C5576" t="s">
        <v>54</v>
      </c>
      <c r="D5576" t="s">
        <v>55</v>
      </c>
      <c r="E5576" t="s">
        <v>2280</v>
      </c>
      <c r="F5576" t="s">
        <v>57</v>
      </c>
      <c r="G5576" t="s">
        <v>1654</v>
      </c>
      <c r="H5576" t="s">
        <v>1655</v>
      </c>
      <c r="I5576" t="s">
        <v>1655</v>
      </c>
      <c r="J5576" t="s">
        <v>60</v>
      </c>
      <c r="K5576" t="s">
        <v>368</v>
      </c>
      <c r="L5576" t="s">
        <v>62</v>
      </c>
      <c r="M5576" t="s">
        <v>368</v>
      </c>
      <c r="N5576" t="s">
        <v>1656</v>
      </c>
      <c r="O5576" t="s">
        <v>1657</v>
      </c>
      <c r="P5576">
        <v>-20.143647999999999</v>
      </c>
      <c r="Q5576">
        <v>-44.870466</v>
      </c>
      <c r="R5576" s="2" t="str">
        <f>HYPERLINK("https://www.google.com/maps?q=-20.1436480,-44.8704660","Abrir no Google Maps")</f>
        <v>Abrir no Google Maps</v>
      </c>
      <c r="S5576">
        <v>4</v>
      </c>
      <c r="T5576">
        <v>545.81556277505979</v>
      </c>
      <c r="U5576">
        <v>4</v>
      </c>
      <c r="V5576">
        <v>0.99758454106280203</v>
      </c>
      <c r="W5576">
        <v>1</v>
      </c>
      <c r="X5576">
        <v>0.99758454106280203</v>
      </c>
      <c r="Y5576">
        <v>198</v>
      </c>
      <c r="Z5576">
        <v>258.83396188518708</v>
      </c>
      <c r="AA5576">
        <v>198</v>
      </c>
      <c r="AB5576">
        <v>332</v>
      </c>
      <c r="AC5576">
        <v>536</v>
      </c>
      <c r="AD5576">
        <v>27.77</v>
      </c>
      <c r="AE5576">
        <v>542</v>
      </c>
      <c r="AF5576">
        <v>26</v>
      </c>
      <c r="AG5576">
        <v>163</v>
      </c>
      <c r="AH5576">
        <v>129</v>
      </c>
      <c r="AI5576">
        <v>4.8</v>
      </c>
      <c r="AJ5576">
        <v>30.07</v>
      </c>
      <c r="AK5576">
        <v>23.8</v>
      </c>
      <c r="AL5576">
        <v>-20.143704099999951</v>
      </c>
      <c r="AM5576">
        <v>-44.870339403868741</v>
      </c>
      <c r="AN5576">
        <v>-20.143704099999951</v>
      </c>
      <c r="AO5576">
        <v>-44.870339403868741</v>
      </c>
      <c r="AP5576">
        <v>-20.143647999999999</v>
      </c>
      <c r="AQ5576">
        <v>-44.870466</v>
      </c>
      <c r="AR5576">
        <v>14.63048136060379</v>
      </c>
      <c r="AS5576" t="s">
        <v>65</v>
      </c>
      <c r="AT5576">
        <v>1</v>
      </c>
      <c r="AU5576" t="s">
        <v>1658</v>
      </c>
      <c r="AV5576" t="s">
        <v>1659</v>
      </c>
      <c r="AW5576" t="s">
        <v>60</v>
      </c>
      <c r="AX5576" t="s">
        <v>68</v>
      </c>
      <c r="AY5576" t="s">
        <v>69</v>
      </c>
      <c r="AZ5576" t="b">
        <v>1</v>
      </c>
    </row>
    <row r="5577" spans="1:52" x14ac:dyDescent="0.3">
      <c r="A5577" t="s">
        <v>52</v>
      </c>
      <c r="B5577" t="s">
        <v>53</v>
      </c>
      <c r="C5577" t="s">
        <v>54</v>
      </c>
      <c r="D5577" t="s">
        <v>55</v>
      </c>
      <c r="E5577" t="s">
        <v>2280</v>
      </c>
      <c r="F5577" t="s">
        <v>57</v>
      </c>
      <c r="G5577" t="s">
        <v>1728</v>
      </c>
      <c r="H5577" t="s">
        <v>1729</v>
      </c>
      <c r="I5577" t="s">
        <v>1729</v>
      </c>
      <c r="J5577" t="s">
        <v>60</v>
      </c>
      <c r="K5577" t="s">
        <v>171</v>
      </c>
      <c r="L5577" t="s">
        <v>62</v>
      </c>
      <c r="M5577" t="s">
        <v>171</v>
      </c>
      <c r="N5577" t="s">
        <v>1730</v>
      </c>
      <c r="O5577" t="s">
        <v>1731</v>
      </c>
      <c r="P5577">
        <v>-20.153237000000001</v>
      </c>
      <c r="Q5577">
        <v>-44.893830999999999</v>
      </c>
      <c r="R5577" s="2" t="str">
        <f>HYPERLINK("https://www.google.com/maps?q=-20.1532370,-44.8938310","Abrir no Google Maps")</f>
        <v>Abrir no Google Maps</v>
      </c>
      <c r="S5577">
        <v>4</v>
      </c>
      <c r="T5577">
        <v>413.69072684661631</v>
      </c>
      <c r="U5577">
        <v>4</v>
      </c>
      <c r="V5577">
        <v>1</v>
      </c>
      <c r="W5577">
        <v>1</v>
      </c>
      <c r="X5577">
        <v>1</v>
      </c>
      <c r="Y5577">
        <v>129</v>
      </c>
      <c r="Z5577">
        <v>276.95856023076033</v>
      </c>
      <c r="AA5577">
        <v>198</v>
      </c>
      <c r="AB5577">
        <v>332</v>
      </c>
      <c r="AC5577">
        <v>536</v>
      </c>
      <c r="AD5577">
        <v>27.77</v>
      </c>
      <c r="AE5577">
        <v>542</v>
      </c>
      <c r="AF5577">
        <v>26</v>
      </c>
      <c r="AG5577">
        <v>163</v>
      </c>
      <c r="AH5577">
        <v>129</v>
      </c>
      <c r="AI5577">
        <v>4.8</v>
      </c>
      <c r="AJ5577">
        <v>30.07</v>
      </c>
      <c r="AK5577">
        <v>23.8</v>
      </c>
      <c r="AL5577">
        <v>-20.15278304999995</v>
      </c>
      <c r="AM5577">
        <v>-44.894325691070982</v>
      </c>
      <c r="AN5577">
        <v>-20.15278304999995</v>
      </c>
      <c r="AO5577">
        <v>-44.894325691070982</v>
      </c>
      <c r="AP5577">
        <v>-20.153237000000001</v>
      </c>
      <c r="AQ5577">
        <v>-44.893830999999999</v>
      </c>
      <c r="AR5577">
        <v>72.293093135883012</v>
      </c>
      <c r="AS5577" t="s">
        <v>65</v>
      </c>
      <c r="AT5577">
        <v>1</v>
      </c>
      <c r="AU5577" t="s">
        <v>1732</v>
      </c>
      <c r="AV5577" t="s">
        <v>1733</v>
      </c>
      <c r="AW5577" t="s">
        <v>60</v>
      </c>
      <c r="AX5577" t="s">
        <v>68</v>
      </c>
      <c r="AY5577" t="s">
        <v>69</v>
      </c>
      <c r="AZ5577" t="b">
        <v>1</v>
      </c>
    </row>
    <row r="5578" spans="1:52" x14ac:dyDescent="0.3">
      <c r="A5578" t="s">
        <v>52</v>
      </c>
      <c r="B5578" t="s">
        <v>53</v>
      </c>
      <c r="C5578" t="s">
        <v>54</v>
      </c>
      <c r="D5578" t="s">
        <v>55</v>
      </c>
      <c r="E5578" t="s">
        <v>2280</v>
      </c>
      <c r="F5578" t="s">
        <v>57</v>
      </c>
      <c r="G5578" t="s">
        <v>169</v>
      </c>
      <c r="H5578" t="s">
        <v>170</v>
      </c>
      <c r="I5578" t="s">
        <v>170</v>
      </c>
      <c r="J5578" t="s">
        <v>60</v>
      </c>
      <c r="K5578" t="s">
        <v>171</v>
      </c>
      <c r="L5578" t="s">
        <v>62</v>
      </c>
      <c r="M5578" t="s">
        <v>171</v>
      </c>
      <c r="N5578" t="s">
        <v>172</v>
      </c>
      <c r="O5578" t="s">
        <v>173</v>
      </c>
      <c r="P5578">
        <v>-20.15334</v>
      </c>
      <c r="Q5578">
        <v>-44.891691000000002</v>
      </c>
      <c r="R5578" s="2" t="str">
        <f>HYPERLINK("https://www.google.com/maps?q=-20.1533400,-44.8916910","Abrir no Google Maps")</f>
        <v>Abrir no Google Maps</v>
      </c>
      <c r="S5578">
        <v>4</v>
      </c>
      <c r="T5578">
        <v>263.82013116084107</v>
      </c>
      <c r="U5578">
        <v>4</v>
      </c>
      <c r="V5578">
        <v>1</v>
      </c>
      <c r="W5578">
        <v>1</v>
      </c>
      <c r="X5578">
        <v>1</v>
      </c>
      <c r="Y5578">
        <v>129</v>
      </c>
      <c r="Z5578">
        <v>72.771047355993247</v>
      </c>
      <c r="AA5578">
        <v>198</v>
      </c>
      <c r="AB5578">
        <v>332</v>
      </c>
      <c r="AC5578">
        <v>536</v>
      </c>
      <c r="AD5578">
        <v>27.77</v>
      </c>
      <c r="AE5578">
        <v>542</v>
      </c>
      <c r="AF5578">
        <v>26</v>
      </c>
      <c r="AG5578">
        <v>163</v>
      </c>
      <c r="AH5578">
        <v>129</v>
      </c>
      <c r="AI5578">
        <v>4.8</v>
      </c>
      <c r="AJ5578">
        <v>30.07</v>
      </c>
      <c r="AK5578">
        <v>23.8</v>
      </c>
      <c r="AL5578">
        <v>-20.153531799999971</v>
      </c>
      <c r="AM5578">
        <v>-44.89196779651779</v>
      </c>
      <c r="AN5578">
        <v>-20.153531799999971</v>
      </c>
      <c r="AO5578">
        <v>-44.89196779651779</v>
      </c>
      <c r="AP5578">
        <v>-20.15334</v>
      </c>
      <c r="AQ5578">
        <v>-44.891691000000002</v>
      </c>
      <c r="AR5578">
        <v>35.952871813310509</v>
      </c>
      <c r="AS5578" t="s">
        <v>65</v>
      </c>
      <c r="AT5578">
        <v>1</v>
      </c>
      <c r="AU5578" t="s">
        <v>174</v>
      </c>
      <c r="AV5578" t="s">
        <v>175</v>
      </c>
      <c r="AW5578" t="s">
        <v>60</v>
      </c>
      <c r="AX5578" t="s">
        <v>68</v>
      </c>
      <c r="AY5578" t="s">
        <v>69</v>
      </c>
      <c r="AZ5578" t="b">
        <v>1</v>
      </c>
    </row>
    <row r="5579" spans="1:52" x14ac:dyDescent="0.3">
      <c r="A5579" t="s">
        <v>52</v>
      </c>
      <c r="B5579" t="s">
        <v>53</v>
      </c>
      <c r="C5579" t="s">
        <v>54</v>
      </c>
      <c r="D5579" t="s">
        <v>55</v>
      </c>
      <c r="E5579" t="s">
        <v>2280</v>
      </c>
      <c r="F5579" t="s">
        <v>57</v>
      </c>
      <c r="G5579" t="s">
        <v>1671</v>
      </c>
      <c r="H5579" t="s">
        <v>1672</v>
      </c>
      <c r="I5579" t="s">
        <v>1672</v>
      </c>
      <c r="J5579" t="s">
        <v>60</v>
      </c>
      <c r="K5579" t="s">
        <v>375</v>
      </c>
      <c r="L5579" t="s">
        <v>62</v>
      </c>
      <c r="M5579" t="s">
        <v>375</v>
      </c>
      <c r="N5579" t="s">
        <v>1673</v>
      </c>
      <c r="O5579" t="s">
        <v>370</v>
      </c>
      <c r="P5579">
        <v>-20.180724000000001</v>
      </c>
      <c r="Q5579">
        <v>-44.886913999999997</v>
      </c>
      <c r="R5579" s="2" t="str">
        <f>HYPERLINK("https://www.google.com/maps?q=-20.1807240,-44.8869140","Abrir no Google Maps")</f>
        <v>Abrir no Google Maps</v>
      </c>
      <c r="S5579">
        <v>4</v>
      </c>
      <c r="T5579">
        <v>814.7424073839951</v>
      </c>
      <c r="U5579">
        <v>4</v>
      </c>
      <c r="V5579">
        <v>1</v>
      </c>
      <c r="W5579">
        <v>1</v>
      </c>
      <c r="X5579">
        <v>1</v>
      </c>
      <c r="Y5579">
        <v>101</v>
      </c>
      <c r="Z5579">
        <v>808.23656795472721</v>
      </c>
      <c r="AA5579">
        <v>198</v>
      </c>
      <c r="AB5579">
        <v>332</v>
      </c>
      <c r="AC5579">
        <v>536</v>
      </c>
      <c r="AD5579">
        <v>27.77</v>
      </c>
      <c r="AE5579">
        <v>542</v>
      </c>
      <c r="AF5579">
        <v>26</v>
      </c>
      <c r="AG5579">
        <v>163</v>
      </c>
      <c r="AH5579">
        <v>129</v>
      </c>
      <c r="AI5579">
        <v>4.8</v>
      </c>
      <c r="AJ5579">
        <v>30.07</v>
      </c>
      <c r="AK5579">
        <v>23.8</v>
      </c>
      <c r="AL5579">
        <v>-20.18071869999994</v>
      </c>
      <c r="AM5579">
        <v>-44.886927989725393</v>
      </c>
      <c r="AN5579">
        <v>-20.18071869999994</v>
      </c>
      <c r="AO5579">
        <v>-44.886927989725393</v>
      </c>
      <c r="AP5579">
        <v>-20.180724000000001</v>
      </c>
      <c r="AQ5579">
        <v>-44.886913999999997</v>
      </c>
      <c r="AR5579">
        <v>1.5763090046691759</v>
      </c>
      <c r="AS5579" t="s">
        <v>65</v>
      </c>
      <c r="AT5579">
        <v>1</v>
      </c>
      <c r="AU5579" t="s">
        <v>1674</v>
      </c>
      <c r="AV5579" t="s">
        <v>1642</v>
      </c>
      <c r="AW5579" t="s">
        <v>60</v>
      </c>
      <c r="AX5579" t="s">
        <v>68</v>
      </c>
      <c r="AY5579" t="s">
        <v>69</v>
      </c>
      <c r="AZ5579" t="b">
        <v>1</v>
      </c>
    </row>
    <row r="5580" spans="1:52" x14ac:dyDescent="0.3">
      <c r="A5580" t="s">
        <v>52</v>
      </c>
      <c r="B5580" t="s">
        <v>53</v>
      </c>
      <c r="C5580" t="s">
        <v>54</v>
      </c>
      <c r="D5580" t="s">
        <v>55</v>
      </c>
      <c r="E5580" t="s">
        <v>2280</v>
      </c>
      <c r="F5580" t="s">
        <v>190</v>
      </c>
      <c r="G5580" t="s">
        <v>191</v>
      </c>
      <c r="H5580" t="s">
        <v>192</v>
      </c>
      <c r="I5580" t="s">
        <v>192</v>
      </c>
      <c r="J5580" t="s">
        <v>60</v>
      </c>
      <c r="K5580" t="s">
        <v>193</v>
      </c>
      <c r="L5580" t="s">
        <v>62</v>
      </c>
      <c r="M5580" t="s">
        <v>193</v>
      </c>
      <c r="N5580" t="s">
        <v>194</v>
      </c>
      <c r="O5580" t="s">
        <v>195</v>
      </c>
      <c r="P5580">
        <v>-20.143266000000001</v>
      </c>
      <c r="Q5580">
        <v>-44.912075000000002</v>
      </c>
      <c r="R5580" s="2" t="str">
        <f>HYPERLINK("https://www.google.com/maps?q=-20.1432660,-44.9120750","Abrir no Google Maps")</f>
        <v>Abrir no Google Maps</v>
      </c>
      <c r="S5580">
        <v>4</v>
      </c>
      <c r="T5580">
        <v>467.04339396175408</v>
      </c>
      <c r="U5580">
        <v>3</v>
      </c>
      <c r="V5580">
        <v>0.97417355371900838</v>
      </c>
      <c r="W5580">
        <v>1</v>
      </c>
      <c r="X5580">
        <v>0.97417355371900838</v>
      </c>
      <c r="Y5580">
        <v>747</v>
      </c>
      <c r="Z5580">
        <v>585.1742452866996</v>
      </c>
      <c r="AA5580">
        <v>198</v>
      </c>
      <c r="AB5580">
        <v>332</v>
      </c>
      <c r="AC5580">
        <v>536</v>
      </c>
      <c r="AD5580">
        <v>27.77</v>
      </c>
      <c r="AE5580">
        <v>542</v>
      </c>
      <c r="AF5580">
        <v>26</v>
      </c>
      <c r="AG5580">
        <v>163</v>
      </c>
      <c r="AH5580">
        <v>129</v>
      </c>
      <c r="AI5580">
        <v>4.8</v>
      </c>
      <c r="AJ5580">
        <v>30.07</v>
      </c>
      <c r="AK5580">
        <v>23.8</v>
      </c>
      <c r="AL5580">
        <v>-20.143307949999951</v>
      </c>
      <c r="AM5580">
        <v>-44.912066629431067</v>
      </c>
      <c r="AN5580">
        <v>-20.143307949999951</v>
      </c>
      <c r="AO5580">
        <v>-44.912066629431067</v>
      </c>
      <c r="AP5580">
        <v>-20.143266000000001</v>
      </c>
      <c r="AQ5580">
        <v>-44.912075000000002</v>
      </c>
      <c r="AR5580">
        <v>4.751108024498329</v>
      </c>
      <c r="AS5580" t="s">
        <v>65</v>
      </c>
      <c r="AT5580">
        <v>1</v>
      </c>
      <c r="AU5580" t="s">
        <v>196</v>
      </c>
      <c r="AV5580" t="s">
        <v>197</v>
      </c>
      <c r="AW5580" t="s">
        <v>60</v>
      </c>
      <c r="AX5580" t="s">
        <v>68</v>
      </c>
      <c r="AY5580" t="s">
        <v>69</v>
      </c>
      <c r="AZ5580" t="b">
        <v>1</v>
      </c>
    </row>
    <row r="5581" spans="1:52" x14ac:dyDescent="0.3">
      <c r="A5581" t="s">
        <v>52</v>
      </c>
      <c r="B5581" t="s">
        <v>53</v>
      </c>
      <c r="C5581" t="s">
        <v>54</v>
      </c>
      <c r="D5581" t="s">
        <v>55</v>
      </c>
      <c r="E5581" t="s">
        <v>2280</v>
      </c>
      <c r="F5581" t="s">
        <v>190</v>
      </c>
      <c r="G5581" t="s">
        <v>1618</v>
      </c>
      <c r="H5581" t="s">
        <v>1619</v>
      </c>
      <c r="I5581" t="s">
        <v>1619</v>
      </c>
      <c r="J5581" t="s">
        <v>60</v>
      </c>
      <c r="K5581" t="s">
        <v>227</v>
      </c>
      <c r="L5581" t="s">
        <v>62</v>
      </c>
      <c r="M5581" t="s">
        <v>227</v>
      </c>
      <c r="N5581" t="s">
        <v>228</v>
      </c>
      <c r="O5581" t="s">
        <v>1620</v>
      </c>
      <c r="P5581">
        <v>-20.159497999999999</v>
      </c>
      <c r="Q5581">
        <v>-44.852925999999997</v>
      </c>
      <c r="R5581" s="2" t="str">
        <f>HYPERLINK("https://www.google.com/maps?q=-20.1594980,-44.8529260","Abrir no Google Maps")</f>
        <v>Abrir no Google Maps</v>
      </c>
      <c r="S5581">
        <v>4</v>
      </c>
      <c r="T5581">
        <v>560.11627509727657</v>
      </c>
      <c r="U5581">
        <v>3</v>
      </c>
      <c r="V5581">
        <v>0.97577092511013197</v>
      </c>
      <c r="W5581">
        <v>1</v>
      </c>
      <c r="X5581">
        <v>0.97577092511013197</v>
      </c>
      <c r="Y5581">
        <v>491</v>
      </c>
      <c r="Z5581">
        <v>609.25494989442086</v>
      </c>
      <c r="AA5581">
        <v>198</v>
      </c>
      <c r="AB5581">
        <v>332</v>
      </c>
      <c r="AC5581">
        <v>536</v>
      </c>
      <c r="AD5581">
        <v>27.77</v>
      </c>
      <c r="AE5581">
        <v>542</v>
      </c>
      <c r="AF5581">
        <v>26</v>
      </c>
      <c r="AG5581">
        <v>163</v>
      </c>
      <c r="AH5581">
        <v>129</v>
      </c>
      <c r="AI5581">
        <v>4.8</v>
      </c>
      <c r="AJ5581">
        <v>30.07</v>
      </c>
      <c r="AK5581">
        <v>23.8</v>
      </c>
      <c r="AL5581">
        <v>-20.159495399999969</v>
      </c>
      <c r="AM5581">
        <v>-44.85297928977559</v>
      </c>
      <c r="AN5581">
        <v>-20.159495399999969</v>
      </c>
      <c r="AO5581">
        <v>-44.85297928977559</v>
      </c>
      <c r="AP5581">
        <v>-20.159497999999999</v>
      </c>
      <c r="AQ5581">
        <v>-44.852925999999997</v>
      </c>
      <c r="AR5581">
        <v>5.5763081103260701</v>
      </c>
      <c r="AS5581" t="s">
        <v>65</v>
      </c>
      <c r="AT5581">
        <v>1</v>
      </c>
      <c r="AU5581" t="s">
        <v>1621</v>
      </c>
      <c r="AV5581" t="s">
        <v>1622</v>
      </c>
      <c r="AW5581" t="s">
        <v>60</v>
      </c>
      <c r="AX5581" t="s">
        <v>68</v>
      </c>
      <c r="AY5581" t="s">
        <v>69</v>
      </c>
      <c r="AZ5581" t="b">
        <v>1</v>
      </c>
    </row>
    <row r="5582" spans="1:52" x14ac:dyDescent="0.3">
      <c r="A5582" t="s">
        <v>52</v>
      </c>
      <c r="B5582" t="s">
        <v>53</v>
      </c>
      <c r="C5582" t="s">
        <v>54</v>
      </c>
      <c r="D5582" t="s">
        <v>55</v>
      </c>
      <c r="E5582" t="s">
        <v>2280</v>
      </c>
      <c r="F5582" t="s">
        <v>190</v>
      </c>
      <c r="G5582" t="s">
        <v>127</v>
      </c>
      <c r="H5582" t="s">
        <v>128</v>
      </c>
      <c r="I5582" t="s">
        <v>128</v>
      </c>
      <c r="J5582" t="s">
        <v>60</v>
      </c>
      <c r="K5582" t="s">
        <v>129</v>
      </c>
      <c r="L5582" t="s">
        <v>62</v>
      </c>
      <c r="M5582" t="s">
        <v>129</v>
      </c>
      <c r="N5582" t="s">
        <v>130</v>
      </c>
      <c r="O5582" t="s">
        <v>131</v>
      </c>
      <c r="P5582">
        <v>-20.130752000000001</v>
      </c>
      <c r="Q5582">
        <v>-44.865676999999998</v>
      </c>
      <c r="R5582" s="2" t="str">
        <f>HYPERLINK("https://www.google.com/maps?q=-20.1307520,-44.8656770","Abrir no Google Maps")</f>
        <v>Abrir no Google Maps</v>
      </c>
      <c r="S5582">
        <v>4</v>
      </c>
      <c r="T5582">
        <v>666.25741128624747</v>
      </c>
      <c r="U5582">
        <v>3</v>
      </c>
      <c r="V5582">
        <v>0.96603773584905661</v>
      </c>
      <c r="W5582">
        <v>1</v>
      </c>
      <c r="X5582">
        <v>0.96603773584905661</v>
      </c>
      <c r="Y5582">
        <v>387</v>
      </c>
      <c r="Z5582">
        <v>838.7193965949632</v>
      </c>
      <c r="AA5582">
        <v>198</v>
      </c>
      <c r="AB5582">
        <v>332</v>
      </c>
      <c r="AC5582">
        <v>536</v>
      </c>
      <c r="AD5582">
        <v>27.77</v>
      </c>
      <c r="AE5582">
        <v>542</v>
      </c>
      <c r="AF5582">
        <v>26</v>
      </c>
      <c r="AG5582">
        <v>163</v>
      </c>
      <c r="AH5582">
        <v>129</v>
      </c>
      <c r="AI5582">
        <v>4.8</v>
      </c>
      <c r="AJ5582">
        <v>30.07</v>
      </c>
      <c r="AK5582">
        <v>23.8</v>
      </c>
      <c r="AL5582">
        <v>-20.130734049999969</v>
      </c>
      <c r="AM5582">
        <v>-44.86564904282416</v>
      </c>
      <c r="AN5582">
        <v>-20.130734049999969</v>
      </c>
      <c r="AO5582">
        <v>-44.86564904282416</v>
      </c>
      <c r="AP5582">
        <v>-20.130752000000001</v>
      </c>
      <c r="AQ5582">
        <v>-44.865676999999998</v>
      </c>
      <c r="AR5582">
        <v>3.539952280780454</v>
      </c>
      <c r="AS5582" t="s">
        <v>65</v>
      </c>
      <c r="AT5582">
        <v>1</v>
      </c>
      <c r="AU5582" t="s">
        <v>132</v>
      </c>
      <c r="AV5582" t="s">
        <v>133</v>
      </c>
      <c r="AW5582" t="s">
        <v>60</v>
      </c>
      <c r="AX5582" t="s">
        <v>68</v>
      </c>
      <c r="AY5582" t="s">
        <v>69</v>
      </c>
      <c r="AZ5582" t="b">
        <v>1</v>
      </c>
    </row>
    <row r="5583" spans="1:52" x14ac:dyDescent="0.3">
      <c r="A5583" t="s">
        <v>52</v>
      </c>
      <c r="B5583" t="s">
        <v>53</v>
      </c>
      <c r="C5583" t="s">
        <v>54</v>
      </c>
      <c r="D5583" t="s">
        <v>55</v>
      </c>
      <c r="E5583" t="s">
        <v>2280</v>
      </c>
      <c r="F5583" t="s">
        <v>190</v>
      </c>
      <c r="G5583" t="s">
        <v>212</v>
      </c>
      <c r="H5583" t="s">
        <v>249</v>
      </c>
      <c r="I5583" t="s">
        <v>249</v>
      </c>
      <c r="J5583" t="s">
        <v>60</v>
      </c>
      <c r="K5583" t="s">
        <v>214</v>
      </c>
      <c r="L5583" t="s">
        <v>62</v>
      </c>
      <c r="M5583" t="s">
        <v>214</v>
      </c>
      <c r="N5583" t="s">
        <v>215</v>
      </c>
      <c r="O5583" t="s">
        <v>250</v>
      </c>
      <c r="P5583">
        <v>-20.153901000000001</v>
      </c>
      <c r="Q5583">
        <v>-44.873201000000002</v>
      </c>
      <c r="R5583" s="2" t="str">
        <f>HYPERLINK("https://www.google.com/maps?q=-20.1539010,-44.8732010","Abrir no Google Maps")</f>
        <v>Abrir no Google Maps</v>
      </c>
      <c r="S5583">
        <v>4</v>
      </c>
      <c r="T5583">
        <v>478.23282142593177</v>
      </c>
      <c r="U5583">
        <v>3</v>
      </c>
      <c r="V5583">
        <v>0.99494949494949481</v>
      </c>
      <c r="W5583">
        <v>1</v>
      </c>
      <c r="X5583">
        <v>0.99494949494949481</v>
      </c>
      <c r="Y5583">
        <v>305</v>
      </c>
      <c r="Z5583">
        <v>392.82025973713081</v>
      </c>
      <c r="AA5583">
        <v>198</v>
      </c>
      <c r="AB5583">
        <v>332</v>
      </c>
      <c r="AC5583">
        <v>536</v>
      </c>
      <c r="AD5583">
        <v>27.77</v>
      </c>
      <c r="AE5583">
        <v>542</v>
      </c>
      <c r="AF5583">
        <v>26</v>
      </c>
      <c r="AG5583">
        <v>163</v>
      </c>
      <c r="AH5583">
        <v>129</v>
      </c>
      <c r="AI5583">
        <v>4.8</v>
      </c>
      <c r="AJ5583">
        <v>30.07</v>
      </c>
      <c r="AK5583">
        <v>23.8</v>
      </c>
      <c r="AL5583">
        <v>-20.153814849999971</v>
      </c>
      <c r="AM5583">
        <v>-44.87304592111829</v>
      </c>
      <c r="AN5583">
        <v>-20.153814849999971</v>
      </c>
      <c r="AO5583">
        <v>-44.87304592111829</v>
      </c>
      <c r="AP5583">
        <v>-20.153901000000001</v>
      </c>
      <c r="AQ5583">
        <v>-44.873201000000002</v>
      </c>
      <c r="AR5583">
        <v>18.831316146831309</v>
      </c>
      <c r="AS5583" t="s">
        <v>65</v>
      </c>
      <c r="AT5583">
        <v>1</v>
      </c>
      <c r="AU5583" t="s">
        <v>251</v>
      </c>
      <c r="AV5583" t="s">
        <v>252</v>
      </c>
      <c r="AW5583" t="s">
        <v>60</v>
      </c>
      <c r="AX5583" t="s">
        <v>68</v>
      </c>
      <c r="AY5583" t="s">
        <v>69</v>
      </c>
      <c r="AZ5583" t="b">
        <v>1</v>
      </c>
    </row>
    <row r="5584" spans="1:52" x14ac:dyDescent="0.3">
      <c r="A5584" t="s">
        <v>52</v>
      </c>
      <c r="B5584" t="s">
        <v>53</v>
      </c>
      <c r="C5584" t="s">
        <v>54</v>
      </c>
      <c r="D5584" t="s">
        <v>55</v>
      </c>
      <c r="E5584" t="s">
        <v>2280</v>
      </c>
      <c r="F5584" t="s">
        <v>190</v>
      </c>
      <c r="G5584" t="s">
        <v>253</v>
      </c>
      <c r="H5584" t="s">
        <v>254</v>
      </c>
      <c r="I5584" t="s">
        <v>254</v>
      </c>
      <c r="J5584" t="s">
        <v>60</v>
      </c>
      <c r="K5584" t="s">
        <v>255</v>
      </c>
      <c r="L5584" t="s">
        <v>62</v>
      </c>
      <c r="M5584" t="s">
        <v>255</v>
      </c>
      <c r="N5584" t="s">
        <v>256</v>
      </c>
      <c r="O5584" t="s">
        <v>257</v>
      </c>
      <c r="P5584">
        <v>-20.159638000000001</v>
      </c>
      <c r="Q5584">
        <v>-44.849030999999997</v>
      </c>
      <c r="R5584" s="2" t="str">
        <f>HYPERLINK("https://www.google.com/maps?q=-20.1596380,-44.8490310","Abrir no Google Maps")</f>
        <v>Abrir no Google Maps</v>
      </c>
      <c r="S5584">
        <v>4</v>
      </c>
      <c r="T5584">
        <v>691.81173220845892</v>
      </c>
      <c r="U5584">
        <v>3</v>
      </c>
      <c r="V5584">
        <v>0.97256097560975596</v>
      </c>
      <c r="W5584">
        <v>1</v>
      </c>
      <c r="X5584">
        <v>0.97256097560975596</v>
      </c>
      <c r="Y5584">
        <v>292</v>
      </c>
      <c r="Z5584">
        <v>678.56824923431736</v>
      </c>
      <c r="AA5584">
        <v>198</v>
      </c>
      <c r="AB5584">
        <v>332</v>
      </c>
      <c r="AC5584">
        <v>536</v>
      </c>
      <c r="AD5584">
        <v>27.77</v>
      </c>
      <c r="AE5584">
        <v>542</v>
      </c>
      <c r="AF5584">
        <v>26</v>
      </c>
      <c r="AG5584">
        <v>163</v>
      </c>
      <c r="AH5584">
        <v>129</v>
      </c>
      <c r="AI5584">
        <v>4.8</v>
      </c>
      <c r="AJ5584">
        <v>30.07</v>
      </c>
      <c r="AK5584">
        <v>23.8</v>
      </c>
      <c r="AL5584">
        <v>-20.159590049999959</v>
      </c>
      <c r="AM5584">
        <v>-44.849181856774607</v>
      </c>
      <c r="AN5584">
        <v>-20.159590049999959</v>
      </c>
      <c r="AO5584">
        <v>-44.849181856774607</v>
      </c>
      <c r="AP5584">
        <v>-20.159638000000001</v>
      </c>
      <c r="AQ5584">
        <v>-44.849030999999997</v>
      </c>
      <c r="AR5584">
        <v>16.643712040087191</v>
      </c>
      <c r="AS5584" t="s">
        <v>65</v>
      </c>
      <c r="AT5584">
        <v>1</v>
      </c>
      <c r="AU5584" t="s">
        <v>258</v>
      </c>
      <c r="AV5584" t="s">
        <v>259</v>
      </c>
      <c r="AW5584" t="s">
        <v>60</v>
      </c>
      <c r="AX5584" t="s">
        <v>68</v>
      </c>
      <c r="AY5584" t="s">
        <v>69</v>
      </c>
      <c r="AZ5584" t="b">
        <v>1</v>
      </c>
    </row>
    <row r="5585" spans="1:52" x14ac:dyDescent="0.3">
      <c r="A5585" t="s">
        <v>52</v>
      </c>
      <c r="B5585" t="s">
        <v>53</v>
      </c>
      <c r="C5585" t="s">
        <v>54</v>
      </c>
      <c r="D5585" t="s">
        <v>55</v>
      </c>
      <c r="E5585" t="s">
        <v>2280</v>
      </c>
      <c r="F5585" t="s">
        <v>190</v>
      </c>
      <c r="G5585" t="s">
        <v>1623</v>
      </c>
      <c r="H5585" t="s">
        <v>1624</v>
      </c>
      <c r="I5585" t="s">
        <v>1624</v>
      </c>
      <c r="J5585" t="s">
        <v>60</v>
      </c>
      <c r="K5585" t="s">
        <v>281</v>
      </c>
      <c r="L5585" t="s">
        <v>62</v>
      </c>
      <c r="M5585" t="s">
        <v>281</v>
      </c>
      <c r="N5585" t="s">
        <v>1625</v>
      </c>
      <c r="O5585" t="s">
        <v>1538</v>
      </c>
      <c r="P5585">
        <v>-20.177247000000001</v>
      </c>
      <c r="Q5585">
        <v>-44.848650999999997</v>
      </c>
      <c r="R5585" s="2" t="str">
        <f>HYPERLINK("https://www.google.com/maps?q=-20.1772470,-44.8486510","Abrir no Google Maps")</f>
        <v>Abrir no Google Maps</v>
      </c>
      <c r="S5585">
        <v>4</v>
      </c>
      <c r="T5585">
        <v>1293.074917502197</v>
      </c>
      <c r="U5585">
        <v>3</v>
      </c>
      <c r="V5585">
        <v>0.96141975308641958</v>
      </c>
      <c r="W5585">
        <v>1</v>
      </c>
      <c r="X5585">
        <v>0.96141975308641958</v>
      </c>
      <c r="Y5585">
        <v>292</v>
      </c>
      <c r="Z5585">
        <v>1225.3954943545491</v>
      </c>
      <c r="AA5585">
        <v>198</v>
      </c>
      <c r="AB5585">
        <v>332</v>
      </c>
      <c r="AC5585">
        <v>536</v>
      </c>
      <c r="AD5585">
        <v>27.77</v>
      </c>
      <c r="AE5585">
        <v>542</v>
      </c>
      <c r="AF5585">
        <v>26</v>
      </c>
      <c r="AG5585">
        <v>163</v>
      </c>
      <c r="AH5585">
        <v>129</v>
      </c>
      <c r="AI5585">
        <v>4.8</v>
      </c>
      <c r="AJ5585">
        <v>30.07</v>
      </c>
      <c r="AK5585">
        <v>23.8</v>
      </c>
      <c r="AL5585">
        <v>-20.17729789999996</v>
      </c>
      <c r="AM5585">
        <v>-44.848543982702637</v>
      </c>
      <c r="AN5585">
        <v>-20.17729789999996</v>
      </c>
      <c r="AO5585">
        <v>-44.848543982702637</v>
      </c>
      <c r="AP5585">
        <v>-20.177247000000001</v>
      </c>
      <c r="AQ5585">
        <v>-44.848650999999997</v>
      </c>
      <c r="AR5585">
        <v>12.53570773213052</v>
      </c>
      <c r="AS5585" t="s">
        <v>65</v>
      </c>
      <c r="AT5585">
        <v>1</v>
      </c>
      <c r="AU5585" t="s">
        <v>1626</v>
      </c>
      <c r="AV5585" t="s">
        <v>1627</v>
      </c>
      <c r="AW5585" t="s">
        <v>60</v>
      </c>
      <c r="AX5585" t="s">
        <v>68</v>
      </c>
      <c r="AY5585" t="s">
        <v>69</v>
      </c>
      <c r="AZ5585" t="b">
        <v>1</v>
      </c>
    </row>
    <row r="5586" spans="1:52" x14ac:dyDescent="0.3">
      <c r="A5586" t="s">
        <v>52</v>
      </c>
      <c r="B5586" t="s">
        <v>53</v>
      </c>
      <c r="C5586" t="s">
        <v>54</v>
      </c>
      <c r="D5586" t="s">
        <v>55</v>
      </c>
      <c r="E5586" t="s">
        <v>2280</v>
      </c>
      <c r="F5586" t="s">
        <v>190</v>
      </c>
      <c r="G5586" t="s">
        <v>260</v>
      </c>
      <c r="H5586" t="s">
        <v>261</v>
      </c>
      <c r="I5586" t="s">
        <v>261</v>
      </c>
      <c r="J5586" t="s">
        <v>60</v>
      </c>
      <c r="K5586" t="s">
        <v>262</v>
      </c>
      <c r="L5586" t="s">
        <v>62</v>
      </c>
      <c r="M5586" t="s">
        <v>262</v>
      </c>
      <c r="N5586" t="s">
        <v>263</v>
      </c>
      <c r="O5586" t="s">
        <v>264</v>
      </c>
      <c r="P5586">
        <v>-20.162230000000001</v>
      </c>
      <c r="Q5586">
        <v>-44.850189</v>
      </c>
      <c r="R5586" s="2" t="str">
        <f>HYPERLINK("https://www.google.com/maps?q=-20.1622300,-44.8501890","Abrir no Google Maps")</f>
        <v>Abrir no Google Maps</v>
      </c>
      <c r="S5586">
        <v>4</v>
      </c>
      <c r="T5586">
        <v>485.03737650296068</v>
      </c>
      <c r="U5586">
        <v>3</v>
      </c>
      <c r="V5586">
        <v>0.96723300970873782</v>
      </c>
      <c r="W5586">
        <v>1</v>
      </c>
      <c r="X5586">
        <v>0.96723300970873782</v>
      </c>
      <c r="Y5586">
        <v>292</v>
      </c>
      <c r="Z5586">
        <v>461.03925198673232</v>
      </c>
      <c r="AA5586">
        <v>198</v>
      </c>
      <c r="AB5586">
        <v>332</v>
      </c>
      <c r="AC5586">
        <v>536</v>
      </c>
      <c r="AD5586">
        <v>27.77</v>
      </c>
      <c r="AE5586">
        <v>542</v>
      </c>
      <c r="AF5586">
        <v>26</v>
      </c>
      <c r="AG5586">
        <v>163</v>
      </c>
      <c r="AH5586">
        <v>129</v>
      </c>
      <c r="AI5586">
        <v>4.8</v>
      </c>
      <c r="AJ5586">
        <v>30.07</v>
      </c>
      <c r="AK5586">
        <v>23.8</v>
      </c>
      <c r="AL5586">
        <v>-20.162067849999971</v>
      </c>
      <c r="AM5586">
        <v>-44.850230909322903</v>
      </c>
      <c r="AN5586">
        <v>-20.162067849999971</v>
      </c>
      <c r="AO5586">
        <v>-44.850230909322903</v>
      </c>
      <c r="AP5586">
        <v>-20.162230000000001</v>
      </c>
      <c r="AQ5586">
        <v>-44.850189</v>
      </c>
      <c r="AR5586">
        <v>18.574218491036259</v>
      </c>
      <c r="AS5586" t="s">
        <v>65</v>
      </c>
      <c r="AT5586">
        <v>1</v>
      </c>
      <c r="AU5586" t="s">
        <v>265</v>
      </c>
      <c r="AV5586" t="s">
        <v>266</v>
      </c>
      <c r="AW5586" t="s">
        <v>60</v>
      </c>
      <c r="AX5586" t="s">
        <v>68</v>
      </c>
      <c r="AY5586" t="s">
        <v>69</v>
      </c>
      <c r="AZ5586" t="b">
        <v>1</v>
      </c>
    </row>
    <row r="5587" spans="1:52" x14ac:dyDescent="0.3">
      <c r="A5587" t="s">
        <v>52</v>
      </c>
      <c r="B5587" t="s">
        <v>53</v>
      </c>
      <c r="C5587" t="s">
        <v>54</v>
      </c>
      <c r="D5587" t="s">
        <v>55</v>
      </c>
      <c r="E5587" t="s">
        <v>2280</v>
      </c>
      <c r="F5587" t="s">
        <v>190</v>
      </c>
      <c r="G5587" t="s">
        <v>1628</v>
      </c>
      <c r="H5587" t="s">
        <v>1629</v>
      </c>
      <c r="I5587" t="s">
        <v>1629</v>
      </c>
      <c r="J5587" t="s">
        <v>60</v>
      </c>
      <c r="K5587" t="s">
        <v>136</v>
      </c>
      <c r="L5587" t="s">
        <v>62</v>
      </c>
      <c r="M5587" t="s">
        <v>136</v>
      </c>
      <c r="N5587" t="s">
        <v>1630</v>
      </c>
      <c r="O5587" t="s">
        <v>103</v>
      </c>
      <c r="P5587">
        <v>-20.169488999999999</v>
      </c>
      <c r="Q5587">
        <v>-44.848812000000002</v>
      </c>
      <c r="R5587" s="2" t="str">
        <f>HYPERLINK("https://www.google.com/maps?q=-20.1694890,-44.8488120","Abrir no Google Maps")</f>
        <v>Abrir no Google Maps</v>
      </c>
      <c r="S5587">
        <v>4</v>
      </c>
      <c r="T5587">
        <v>426.92881761579793</v>
      </c>
      <c r="U5587">
        <v>3</v>
      </c>
      <c r="V5587">
        <v>0.9014869888475836</v>
      </c>
      <c r="W5587">
        <v>1</v>
      </c>
      <c r="X5587">
        <v>0.9014869888475836</v>
      </c>
      <c r="Y5587">
        <v>292</v>
      </c>
      <c r="Z5587">
        <v>345.01829288722871</v>
      </c>
      <c r="AA5587">
        <v>198</v>
      </c>
      <c r="AB5587">
        <v>332</v>
      </c>
      <c r="AC5587">
        <v>536</v>
      </c>
      <c r="AD5587">
        <v>27.77</v>
      </c>
      <c r="AE5587">
        <v>542</v>
      </c>
      <c r="AF5587">
        <v>26</v>
      </c>
      <c r="AG5587">
        <v>163</v>
      </c>
      <c r="AH5587">
        <v>129</v>
      </c>
      <c r="AI5587">
        <v>4.8</v>
      </c>
      <c r="AJ5587">
        <v>30.07</v>
      </c>
      <c r="AK5587">
        <v>23.8</v>
      </c>
      <c r="AL5587">
        <v>-20.169293749999959</v>
      </c>
      <c r="AM5587">
        <v>-44.848899945665508</v>
      </c>
      <c r="AN5587">
        <v>-20.169293749999959</v>
      </c>
      <c r="AO5587">
        <v>-44.848899945665508</v>
      </c>
      <c r="AP5587">
        <v>-20.169488999999999</v>
      </c>
      <c r="AQ5587">
        <v>-44.848812000000002</v>
      </c>
      <c r="AR5587">
        <v>23.598134321543789</v>
      </c>
      <c r="AS5587" t="s">
        <v>65</v>
      </c>
      <c r="AT5587">
        <v>1</v>
      </c>
      <c r="AU5587" t="s">
        <v>1631</v>
      </c>
      <c r="AV5587" t="s">
        <v>1632</v>
      </c>
      <c r="AW5587" t="s">
        <v>60</v>
      </c>
      <c r="AX5587" t="s">
        <v>68</v>
      </c>
      <c r="AY5587" t="s">
        <v>69</v>
      </c>
      <c r="AZ5587" t="b">
        <v>1</v>
      </c>
    </row>
    <row r="5588" spans="1:52" x14ac:dyDescent="0.3">
      <c r="A5588" t="s">
        <v>52</v>
      </c>
      <c r="B5588" t="s">
        <v>53</v>
      </c>
      <c r="C5588" t="s">
        <v>54</v>
      </c>
      <c r="D5588" t="s">
        <v>55</v>
      </c>
      <c r="E5588" t="s">
        <v>2280</v>
      </c>
      <c r="F5588" t="s">
        <v>190</v>
      </c>
      <c r="G5588" t="s">
        <v>267</v>
      </c>
      <c r="H5588" t="s">
        <v>268</v>
      </c>
      <c r="I5588" t="s">
        <v>268</v>
      </c>
      <c r="J5588" t="s">
        <v>60</v>
      </c>
      <c r="K5588" t="s">
        <v>150</v>
      </c>
      <c r="L5588" t="s">
        <v>62</v>
      </c>
      <c r="M5588" t="s">
        <v>150</v>
      </c>
      <c r="N5588" t="s">
        <v>269</v>
      </c>
      <c r="O5588" t="s">
        <v>270</v>
      </c>
      <c r="P5588">
        <v>-20.172367999999999</v>
      </c>
      <c r="Q5588">
        <v>-44.848661</v>
      </c>
      <c r="R5588" s="2" t="str">
        <f>HYPERLINK("https://www.google.com/maps?q=-20.1723680,-44.8486610","Abrir no Google Maps")</f>
        <v>Abrir no Google Maps</v>
      </c>
      <c r="S5588">
        <v>4</v>
      </c>
      <c r="T5588">
        <v>759.75892180950234</v>
      </c>
      <c r="U5588">
        <v>3</v>
      </c>
      <c r="V5588">
        <v>0.99245283018867925</v>
      </c>
      <c r="W5588">
        <v>1</v>
      </c>
      <c r="X5588">
        <v>0.99245283018867925</v>
      </c>
      <c r="Y5588">
        <v>292</v>
      </c>
      <c r="Z5588">
        <v>735.80511761487242</v>
      </c>
      <c r="AA5588">
        <v>198</v>
      </c>
      <c r="AB5588">
        <v>332</v>
      </c>
      <c r="AC5588">
        <v>536</v>
      </c>
      <c r="AD5588">
        <v>27.77</v>
      </c>
      <c r="AE5588">
        <v>542</v>
      </c>
      <c r="AF5588">
        <v>26</v>
      </c>
      <c r="AG5588">
        <v>163</v>
      </c>
      <c r="AH5588">
        <v>129</v>
      </c>
      <c r="AI5588">
        <v>4.8</v>
      </c>
      <c r="AJ5588">
        <v>30.07</v>
      </c>
      <c r="AK5588">
        <v>23.8</v>
      </c>
      <c r="AL5588">
        <v>-20.172435999999951</v>
      </c>
      <c r="AM5588">
        <v>-44.84866233556005</v>
      </c>
      <c r="AN5588">
        <v>-20.172435999999951</v>
      </c>
      <c r="AO5588">
        <v>-44.84866233556005</v>
      </c>
      <c r="AP5588">
        <v>-20.172367999999999</v>
      </c>
      <c r="AQ5588">
        <v>-44.848661</v>
      </c>
      <c r="AR5588">
        <v>7.5710462874877198</v>
      </c>
      <c r="AS5588" t="s">
        <v>65</v>
      </c>
      <c r="AT5588">
        <v>1</v>
      </c>
      <c r="AU5588" t="s">
        <v>271</v>
      </c>
      <c r="AV5588" t="s">
        <v>272</v>
      </c>
      <c r="AW5588" t="s">
        <v>60</v>
      </c>
      <c r="AX5588" t="s">
        <v>68</v>
      </c>
      <c r="AY5588" t="s">
        <v>69</v>
      </c>
      <c r="AZ5588" t="b">
        <v>1</v>
      </c>
    </row>
    <row r="5589" spans="1:52" x14ac:dyDescent="0.3">
      <c r="A5589" t="s">
        <v>52</v>
      </c>
      <c r="B5589" t="s">
        <v>53</v>
      </c>
      <c r="C5589" t="s">
        <v>54</v>
      </c>
      <c r="D5589" t="s">
        <v>55</v>
      </c>
      <c r="E5589" t="s">
        <v>2280</v>
      </c>
      <c r="F5589" t="s">
        <v>190</v>
      </c>
      <c r="G5589" t="s">
        <v>273</v>
      </c>
      <c r="H5589" t="s">
        <v>274</v>
      </c>
      <c r="I5589" t="s">
        <v>274</v>
      </c>
      <c r="J5589" t="s">
        <v>60</v>
      </c>
      <c r="K5589" t="s">
        <v>143</v>
      </c>
      <c r="L5589" t="s">
        <v>62</v>
      </c>
      <c r="M5589" t="s">
        <v>143</v>
      </c>
      <c r="N5589" t="s">
        <v>275</v>
      </c>
      <c r="O5589" t="s">
        <v>276</v>
      </c>
      <c r="P5589">
        <v>-20.171367</v>
      </c>
      <c r="Q5589">
        <v>-44.844709999999999</v>
      </c>
      <c r="R5589" s="2" t="str">
        <f>HYPERLINK("https://www.google.com/maps?q=-20.1713670,-44.8447100","Abrir no Google Maps")</f>
        <v>Abrir no Google Maps</v>
      </c>
      <c r="S5589">
        <v>4</v>
      </c>
      <c r="T5589">
        <v>700.36715126879801</v>
      </c>
      <c r="U5589">
        <v>3</v>
      </c>
      <c r="V5589">
        <v>0.95300751879699241</v>
      </c>
      <c r="W5589">
        <v>1</v>
      </c>
      <c r="X5589">
        <v>0.95300751879699241</v>
      </c>
      <c r="Y5589">
        <v>292</v>
      </c>
      <c r="Z5589">
        <v>767.70201658334747</v>
      </c>
      <c r="AA5589">
        <v>198</v>
      </c>
      <c r="AB5589">
        <v>332</v>
      </c>
      <c r="AC5589">
        <v>536</v>
      </c>
      <c r="AD5589">
        <v>27.77</v>
      </c>
      <c r="AE5589">
        <v>542</v>
      </c>
      <c r="AF5589">
        <v>26</v>
      </c>
      <c r="AG5589">
        <v>163</v>
      </c>
      <c r="AH5589">
        <v>129</v>
      </c>
      <c r="AI5589">
        <v>4.8</v>
      </c>
      <c r="AJ5589">
        <v>30.07</v>
      </c>
      <c r="AK5589">
        <v>23.8</v>
      </c>
      <c r="AL5589">
        <v>-20.17140124999997</v>
      </c>
      <c r="AM5589">
        <v>-44.844758486699448</v>
      </c>
      <c r="AN5589">
        <v>-20.171401249999981</v>
      </c>
      <c r="AO5589">
        <v>-44.844758486699448</v>
      </c>
      <c r="AP5589">
        <v>-20.171367</v>
      </c>
      <c r="AQ5589">
        <v>-44.844709999999999</v>
      </c>
      <c r="AR5589">
        <v>6.3408204899540994</v>
      </c>
      <c r="AS5589" t="s">
        <v>65</v>
      </c>
      <c r="AT5589">
        <v>1</v>
      </c>
      <c r="AU5589" t="s">
        <v>277</v>
      </c>
      <c r="AV5589" t="s">
        <v>278</v>
      </c>
      <c r="AW5589" t="s">
        <v>60</v>
      </c>
      <c r="AX5589" t="s">
        <v>68</v>
      </c>
      <c r="AY5589" t="s">
        <v>69</v>
      </c>
      <c r="AZ5589" t="b">
        <v>1</v>
      </c>
    </row>
    <row r="5590" spans="1:52" x14ac:dyDescent="0.3">
      <c r="A5590" t="s">
        <v>52</v>
      </c>
      <c r="B5590" t="s">
        <v>53</v>
      </c>
      <c r="C5590" t="s">
        <v>54</v>
      </c>
      <c r="D5590" t="s">
        <v>55</v>
      </c>
      <c r="E5590" t="s">
        <v>2280</v>
      </c>
      <c r="F5590" t="s">
        <v>190</v>
      </c>
      <c r="G5590" t="s">
        <v>134</v>
      </c>
      <c r="H5590" t="s">
        <v>135</v>
      </c>
      <c r="I5590" t="s">
        <v>135</v>
      </c>
      <c r="J5590" t="s">
        <v>60</v>
      </c>
      <c r="K5590" t="s">
        <v>136</v>
      </c>
      <c r="L5590" t="s">
        <v>62</v>
      </c>
      <c r="M5590" t="s">
        <v>136</v>
      </c>
      <c r="N5590" t="s">
        <v>137</v>
      </c>
      <c r="O5590" t="s">
        <v>138</v>
      </c>
      <c r="P5590">
        <v>-20.165773000000002</v>
      </c>
      <c r="Q5590">
        <v>-44.847566999999998</v>
      </c>
      <c r="R5590" s="2" t="str">
        <f>HYPERLINK("https://www.google.com/maps?q=-20.1657730,-44.8475670","Abrir no Google Maps")</f>
        <v>Abrir no Google Maps</v>
      </c>
      <c r="S5590">
        <v>4</v>
      </c>
      <c r="T5590">
        <v>0</v>
      </c>
      <c r="U5590">
        <v>3</v>
      </c>
      <c r="V5590">
        <v>0.98111510791366918</v>
      </c>
      <c r="W5590">
        <v>1</v>
      </c>
      <c r="X5590">
        <v>0.98111510791366918</v>
      </c>
      <c r="Y5590">
        <v>292</v>
      </c>
      <c r="Z5590">
        <v>98.987346341524855</v>
      </c>
      <c r="AA5590">
        <v>198</v>
      </c>
      <c r="AB5590">
        <v>332</v>
      </c>
      <c r="AC5590">
        <v>536</v>
      </c>
      <c r="AD5590">
        <v>27.77</v>
      </c>
      <c r="AE5590">
        <v>542</v>
      </c>
      <c r="AF5590">
        <v>26</v>
      </c>
      <c r="AG5590">
        <v>163</v>
      </c>
      <c r="AH5590">
        <v>129</v>
      </c>
      <c r="AI5590">
        <v>4.8</v>
      </c>
      <c r="AJ5590">
        <v>30.07</v>
      </c>
      <c r="AK5590">
        <v>23.8</v>
      </c>
      <c r="AL5590">
        <v>-20.16565029999995</v>
      </c>
      <c r="AM5590">
        <v>-44.847556627666897</v>
      </c>
      <c r="AN5590">
        <v>-20.16565029999995</v>
      </c>
      <c r="AO5590">
        <v>-44.847556627666897</v>
      </c>
      <c r="AP5590">
        <v>-20.165773000000002</v>
      </c>
      <c r="AQ5590">
        <v>-44.847566999999998</v>
      </c>
      <c r="AR5590">
        <v>13.701900146251189</v>
      </c>
      <c r="AS5590" t="s">
        <v>65</v>
      </c>
      <c r="AT5590">
        <v>1</v>
      </c>
      <c r="AU5590" t="s">
        <v>139</v>
      </c>
      <c r="AV5590" t="s">
        <v>140</v>
      </c>
      <c r="AW5590" t="s">
        <v>60</v>
      </c>
      <c r="AX5590" t="s">
        <v>68</v>
      </c>
      <c r="AY5590" t="s">
        <v>69</v>
      </c>
      <c r="AZ5590" t="b">
        <v>1</v>
      </c>
    </row>
    <row r="5591" spans="1:52" x14ac:dyDescent="0.3">
      <c r="A5591" t="s">
        <v>52</v>
      </c>
      <c r="B5591" t="s">
        <v>53</v>
      </c>
      <c r="C5591" t="s">
        <v>54</v>
      </c>
      <c r="D5591" t="s">
        <v>55</v>
      </c>
      <c r="E5591" t="s">
        <v>2280</v>
      </c>
      <c r="F5591" t="s">
        <v>190</v>
      </c>
      <c r="G5591" t="s">
        <v>141</v>
      </c>
      <c r="H5591" t="s">
        <v>142</v>
      </c>
      <c r="I5591" t="s">
        <v>142</v>
      </c>
      <c r="J5591" t="s">
        <v>60</v>
      </c>
      <c r="K5591" t="s">
        <v>143</v>
      </c>
      <c r="L5591" t="s">
        <v>62</v>
      </c>
      <c r="M5591" t="s">
        <v>143</v>
      </c>
      <c r="N5591" t="s">
        <v>144</v>
      </c>
      <c r="O5591" t="s">
        <v>145</v>
      </c>
      <c r="P5591">
        <v>-20.163377000000001</v>
      </c>
      <c r="Q5591">
        <v>-44.843598</v>
      </c>
      <c r="R5591" s="2" t="str">
        <f>HYPERLINK("https://www.google.com/maps?q=-20.1633770,-44.8435980","Abrir no Google Maps")</f>
        <v>Abrir no Google Maps</v>
      </c>
      <c r="S5591">
        <v>4</v>
      </c>
      <c r="T5591">
        <v>481.58374128635978</v>
      </c>
      <c r="U5591">
        <v>3</v>
      </c>
      <c r="V5591">
        <v>0.99</v>
      </c>
      <c r="W5591">
        <v>1</v>
      </c>
      <c r="X5591">
        <v>0.99</v>
      </c>
      <c r="Y5591">
        <v>292</v>
      </c>
      <c r="Z5591">
        <v>575.44522663909652</v>
      </c>
      <c r="AA5591">
        <v>198</v>
      </c>
      <c r="AB5591">
        <v>332</v>
      </c>
      <c r="AC5591">
        <v>536</v>
      </c>
      <c r="AD5591">
        <v>27.77</v>
      </c>
      <c r="AE5591">
        <v>542</v>
      </c>
      <c r="AF5591">
        <v>26</v>
      </c>
      <c r="AG5591">
        <v>163</v>
      </c>
      <c r="AH5591">
        <v>129</v>
      </c>
      <c r="AI5591">
        <v>4.8</v>
      </c>
      <c r="AJ5591">
        <v>30.07</v>
      </c>
      <c r="AK5591">
        <v>23.8</v>
      </c>
      <c r="AL5591">
        <v>-20.16343344999996</v>
      </c>
      <c r="AM5591">
        <v>-44.843590796247732</v>
      </c>
      <c r="AN5591">
        <v>-20.16343344999996</v>
      </c>
      <c r="AO5591">
        <v>-44.843590796247732</v>
      </c>
      <c r="AP5591">
        <v>-20.163377000000001</v>
      </c>
      <c r="AQ5591">
        <v>-44.843598</v>
      </c>
      <c r="AR5591">
        <v>6.3289415646640057</v>
      </c>
      <c r="AS5591" t="s">
        <v>65</v>
      </c>
      <c r="AT5591">
        <v>1</v>
      </c>
      <c r="AU5591" t="s">
        <v>146</v>
      </c>
      <c r="AV5591" t="s">
        <v>147</v>
      </c>
      <c r="AW5591" t="s">
        <v>60</v>
      </c>
      <c r="AX5591" t="s">
        <v>68</v>
      </c>
      <c r="AY5591" t="s">
        <v>69</v>
      </c>
      <c r="AZ5591" t="b">
        <v>1</v>
      </c>
    </row>
    <row r="5592" spans="1:52" x14ac:dyDescent="0.3">
      <c r="A5592" t="s">
        <v>52</v>
      </c>
      <c r="B5592" t="s">
        <v>53</v>
      </c>
      <c r="C5592" t="s">
        <v>54</v>
      </c>
      <c r="D5592" t="s">
        <v>55</v>
      </c>
      <c r="E5592" t="s">
        <v>2280</v>
      </c>
      <c r="F5592" t="s">
        <v>190</v>
      </c>
      <c r="G5592" t="s">
        <v>253</v>
      </c>
      <c r="H5592" t="s">
        <v>296</v>
      </c>
      <c r="I5592" t="s">
        <v>296</v>
      </c>
      <c r="J5592" t="s">
        <v>60</v>
      </c>
      <c r="K5592" t="s">
        <v>136</v>
      </c>
      <c r="L5592" t="s">
        <v>62</v>
      </c>
      <c r="M5592" t="s">
        <v>136</v>
      </c>
      <c r="N5592" t="s">
        <v>256</v>
      </c>
      <c r="O5592" t="s">
        <v>297</v>
      </c>
      <c r="P5592">
        <v>-20.168476999999999</v>
      </c>
      <c r="Q5592">
        <v>-44.852528</v>
      </c>
      <c r="R5592" s="2" t="str">
        <f>HYPERLINK("https://www.google.com/maps?q=-20.1684770,-44.8525280","Abrir no Google Maps")</f>
        <v>Abrir no Google Maps</v>
      </c>
      <c r="S5592">
        <v>4</v>
      </c>
      <c r="T5592">
        <v>587.16898087421623</v>
      </c>
      <c r="U5592">
        <v>3</v>
      </c>
      <c r="V5592">
        <v>0.99008810572687223</v>
      </c>
      <c r="W5592">
        <v>1</v>
      </c>
      <c r="X5592">
        <v>0.99008810572687223</v>
      </c>
      <c r="Y5592">
        <v>292</v>
      </c>
      <c r="Z5592">
        <v>471.75619463337938</v>
      </c>
      <c r="AA5592">
        <v>198</v>
      </c>
      <c r="AB5592">
        <v>332</v>
      </c>
      <c r="AC5592">
        <v>536</v>
      </c>
      <c r="AD5592">
        <v>27.77</v>
      </c>
      <c r="AE5592">
        <v>542</v>
      </c>
      <c r="AF5592">
        <v>26</v>
      </c>
      <c r="AG5592">
        <v>163</v>
      </c>
      <c r="AH5592">
        <v>129</v>
      </c>
      <c r="AI5592">
        <v>4.8</v>
      </c>
      <c r="AJ5592">
        <v>30.07</v>
      </c>
      <c r="AK5592">
        <v>23.8</v>
      </c>
      <c r="AL5592">
        <v>-20.16846514999995</v>
      </c>
      <c r="AM5592">
        <v>-44.852319844682007</v>
      </c>
      <c r="AN5592">
        <v>-20.168465149999939</v>
      </c>
      <c r="AO5592">
        <v>-44.852319844682007</v>
      </c>
      <c r="AP5592">
        <v>-20.168476999999999</v>
      </c>
      <c r="AQ5592">
        <v>-44.852528</v>
      </c>
      <c r="AR5592">
        <v>21.790984536052999</v>
      </c>
      <c r="AS5592" t="s">
        <v>65</v>
      </c>
      <c r="AT5592">
        <v>1</v>
      </c>
      <c r="AU5592" t="s">
        <v>298</v>
      </c>
      <c r="AV5592" t="s">
        <v>299</v>
      </c>
      <c r="AW5592" t="s">
        <v>60</v>
      </c>
      <c r="AX5592" t="s">
        <v>68</v>
      </c>
      <c r="AY5592" t="s">
        <v>69</v>
      </c>
      <c r="AZ5592" t="b">
        <v>1</v>
      </c>
    </row>
    <row r="5593" spans="1:52" x14ac:dyDescent="0.3">
      <c r="A5593" t="s">
        <v>52</v>
      </c>
      <c r="B5593" t="s">
        <v>53</v>
      </c>
      <c r="C5593" t="s">
        <v>54</v>
      </c>
      <c r="D5593" t="s">
        <v>55</v>
      </c>
      <c r="E5593" t="s">
        <v>2280</v>
      </c>
      <c r="F5593" t="s">
        <v>190</v>
      </c>
      <c r="G5593" t="s">
        <v>148</v>
      </c>
      <c r="H5593" t="s">
        <v>149</v>
      </c>
      <c r="I5593" t="s">
        <v>149</v>
      </c>
      <c r="J5593" t="s">
        <v>60</v>
      </c>
      <c r="K5593" t="s">
        <v>150</v>
      </c>
      <c r="L5593" t="s">
        <v>62</v>
      </c>
      <c r="M5593" t="s">
        <v>150</v>
      </c>
      <c r="N5593" t="s">
        <v>151</v>
      </c>
      <c r="O5593" t="s">
        <v>152</v>
      </c>
      <c r="P5593">
        <v>-20.174192999999999</v>
      </c>
      <c r="Q5593">
        <v>-44.850782000000002</v>
      </c>
      <c r="R5593" s="2" t="str">
        <f>HYPERLINK("https://www.google.com/maps?q=-20.1741930,-44.8507820","Abrir no Google Maps")</f>
        <v>Abrir no Google Maps</v>
      </c>
      <c r="S5593">
        <v>4</v>
      </c>
      <c r="T5593">
        <v>994.93657848632188</v>
      </c>
      <c r="U5593">
        <v>3</v>
      </c>
      <c r="V5593">
        <v>0.99539170506912444</v>
      </c>
      <c r="W5593">
        <v>1</v>
      </c>
      <c r="X5593">
        <v>0.99539170506912444</v>
      </c>
      <c r="Y5593">
        <v>292</v>
      </c>
      <c r="Z5593">
        <v>948.95851793804729</v>
      </c>
      <c r="AA5593">
        <v>198</v>
      </c>
      <c r="AB5593">
        <v>332</v>
      </c>
      <c r="AC5593">
        <v>536</v>
      </c>
      <c r="AD5593">
        <v>27.77</v>
      </c>
      <c r="AE5593">
        <v>542</v>
      </c>
      <c r="AF5593">
        <v>26</v>
      </c>
      <c r="AG5593">
        <v>163</v>
      </c>
      <c r="AH5593">
        <v>129</v>
      </c>
      <c r="AI5593">
        <v>4.8</v>
      </c>
      <c r="AJ5593">
        <v>30.07</v>
      </c>
      <c r="AK5593">
        <v>23.8</v>
      </c>
      <c r="AL5593">
        <v>-20.174122099999941</v>
      </c>
      <c r="AM5593">
        <v>-44.850744657037339</v>
      </c>
      <c r="AN5593">
        <v>-20.174122099999941</v>
      </c>
      <c r="AO5593">
        <v>-44.850744657037339</v>
      </c>
      <c r="AP5593">
        <v>-20.174192999999999</v>
      </c>
      <c r="AQ5593">
        <v>-44.850782000000002</v>
      </c>
      <c r="AR5593">
        <v>8.8044534253701947</v>
      </c>
      <c r="AS5593" t="s">
        <v>65</v>
      </c>
      <c r="AT5593">
        <v>1</v>
      </c>
      <c r="AU5593" t="s">
        <v>153</v>
      </c>
      <c r="AV5593" t="s">
        <v>154</v>
      </c>
      <c r="AW5593" t="s">
        <v>60</v>
      </c>
      <c r="AX5593" t="s">
        <v>68</v>
      </c>
      <c r="AY5593" t="s">
        <v>69</v>
      </c>
      <c r="AZ5593" t="b">
        <v>1</v>
      </c>
    </row>
    <row r="5594" spans="1:52" x14ac:dyDescent="0.3">
      <c r="A5594" t="s">
        <v>52</v>
      </c>
      <c r="B5594" t="s">
        <v>53</v>
      </c>
      <c r="C5594" t="s">
        <v>54</v>
      </c>
      <c r="D5594" t="s">
        <v>55</v>
      </c>
      <c r="E5594" t="s">
        <v>2280</v>
      </c>
      <c r="F5594" t="s">
        <v>190</v>
      </c>
      <c r="G5594" t="s">
        <v>300</v>
      </c>
      <c r="H5594" t="s">
        <v>301</v>
      </c>
      <c r="I5594" t="s">
        <v>301</v>
      </c>
      <c r="J5594" t="s">
        <v>60</v>
      </c>
      <c r="K5594" t="s">
        <v>150</v>
      </c>
      <c r="L5594" t="s">
        <v>62</v>
      </c>
      <c r="M5594" t="s">
        <v>150</v>
      </c>
      <c r="N5594" t="s">
        <v>302</v>
      </c>
      <c r="O5594" t="s">
        <v>303</v>
      </c>
      <c r="P5594">
        <v>-20.172993000000002</v>
      </c>
      <c r="Q5594">
        <v>-44.853588999999999</v>
      </c>
      <c r="R5594" s="2" t="str">
        <f>HYPERLINK("https://www.google.com/maps?q=-20.1729930,-44.8535890","Abrir no Google Maps")</f>
        <v>Abrir no Google Maps</v>
      </c>
      <c r="S5594">
        <v>4</v>
      </c>
      <c r="T5594">
        <v>1041.446216907221</v>
      </c>
      <c r="U5594">
        <v>3</v>
      </c>
      <c r="V5594">
        <v>0.96875</v>
      </c>
      <c r="W5594">
        <v>1</v>
      </c>
      <c r="X5594">
        <v>0.96875</v>
      </c>
      <c r="Y5594">
        <v>292</v>
      </c>
      <c r="Z5594">
        <v>978.86270909763937</v>
      </c>
      <c r="AA5594">
        <v>198</v>
      </c>
      <c r="AB5594">
        <v>332</v>
      </c>
      <c r="AC5594">
        <v>536</v>
      </c>
      <c r="AD5594">
        <v>27.77</v>
      </c>
      <c r="AE5594">
        <v>542</v>
      </c>
      <c r="AF5594">
        <v>26</v>
      </c>
      <c r="AG5594">
        <v>163</v>
      </c>
      <c r="AH5594">
        <v>129</v>
      </c>
      <c r="AI5594">
        <v>4.8</v>
      </c>
      <c r="AJ5594">
        <v>30.07</v>
      </c>
      <c r="AK5594">
        <v>23.8</v>
      </c>
      <c r="AL5594">
        <v>-20.173142449999968</v>
      </c>
      <c r="AM5594">
        <v>-44.853588035903172</v>
      </c>
      <c r="AN5594">
        <v>-20.173142449999968</v>
      </c>
      <c r="AO5594">
        <v>-44.853588035903172</v>
      </c>
      <c r="AP5594">
        <v>-20.172993000000002</v>
      </c>
      <c r="AQ5594">
        <v>-44.853588999999999</v>
      </c>
      <c r="AR5594">
        <v>16.637078994259841</v>
      </c>
      <c r="AS5594" t="s">
        <v>65</v>
      </c>
      <c r="AT5594">
        <v>1</v>
      </c>
      <c r="AU5594" t="s">
        <v>304</v>
      </c>
      <c r="AV5594" t="s">
        <v>305</v>
      </c>
      <c r="AW5594" t="s">
        <v>60</v>
      </c>
      <c r="AX5594" t="s">
        <v>68</v>
      </c>
      <c r="AY5594" t="s">
        <v>69</v>
      </c>
      <c r="AZ5594" t="b">
        <v>1</v>
      </c>
    </row>
    <row r="5595" spans="1:52" x14ac:dyDescent="0.3">
      <c r="A5595" t="s">
        <v>52</v>
      </c>
      <c r="B5595" t="s">
        <v>53</v>
      </c>
      <c r="C5595" t="s">
        <v>54</v>
      </c>
      <c r="D5595" t="s">
        <v>55</v>
      </c>
      <c r="E5595" t="s">
        <v>2280</v>
      </c>
      <c r="F5595" t="s">
        <v>190</v>
      </c>
      <c r="G5595" t="s">
        <v>306</v>
      </c>
      <c r="H5595" t="s">
        <v>307</v>
      </c>
      <c r="I5595" t="s">
        <v>307</v>
      </c>
      <c r="J5595" t="s">
        <v>60</v>
      </c>
      <c r="K5595" t="s">
        <v>143</v>
      </c>
      <c r="L5595" t="s">
        <v>62</v>
      </c>
      <c r="M5595" t="s">
        <v>143</v>
      </c>
      <c r="N5595" t="s">
        <v>308</v>
      </c>
      <c r="O5595" t="s">
        <v>309</v>
      </c>
      <c r="P5595">
        <v>-20.167071</v>
      </c>
      <c r="Q5595">
        <v>-44.842730000000003</v>
      </c>
      <c r="R5595" s="2" t="str">
        <f>HYPERLINK("https://www.google.com/maps?q=-20.1670710,-44.8427300","Abrir no Google Maps")</f>
        <v>Abrir no Google Maps</v>
      </c>
      <c r="S5595">
        <v>4</v>
      </c>
      <c r="T5595">
        <v>535.14780070571521</v>
      </c>
      <c r="U5595">
        <v>3</v>
      </c>
      <c r="V5595">
        <v>0.98382352941176476</v>
      </c>
      <c r="W5595">
        <v>1</v>
      </c>
      <c r="X5595">
        <v>0.98382352941176476</v>
      </c>
      <c r="Y5595">
        <v>292</v>
      </c>
      <c r="Z5595">
        <v>582.78942050501109</v>
      </c>
      <c r="AA5595">
        <v>198</v>
      </c>
      <c r="AB5595">
        <v>332</v>
      </c>
      <c r="AC5595">
        <v>536</v>
      </c>
      <c r="AD5595">
        <v>27.77</v>
      </c>
      <c r="AE5595">
        <v>542</v>
      </c>
      <c r="AF5595">
        <v>26</v>
      </c>
      <c r="AG5595">
        <v>163</v>
      </c>
      <c r="AH5595">
        <v>129</v>
      </c>
      <c r="AI5595">
        <v>4.8</v>
      </c>
      <c r="AJ5595">
        <v>30.07</v>
      </c>
      <c r="AK5595">
        <v>23.8</v>
      </c>
      <c r="AL5595">
        <v>-20.167006799999971</v>
      </c>
      <c r="AM5595">
        <v>-44.842640974693197</v>
      </c>
      <c r="AN5595">
        <v>-20.167006799999971</v>
      </c>
      <c r="AO5595">
        <v>-44.842640974693197</v>
      </c>
      <c r="AP5595">
        <v>-20.167071</v>
      </c>
      <c r="AQ5595">
        <v>-44.842730000000003</v>
      </c>
      <c r="AR5595">
        <v>11.73100304278117</v>
      </c>
      <c r="AS5595" t="s">
        <v>65</v>
      </c>
      <c r="AT5595">
        <v>1</v>
      </c>
      <c r="AU5595" t="s">
        <v>310</v>
      </c>
      <c r="AV5595" t="s">
        <v>311</v>
      </c>
      <c r="AW5595" t="s">
        <v>60</v>
      </c>
      <c r="AX5595" t="s">
        <v>68</v>
      </c>
      <c r="AY5595" t="s">
        <v>69</v>
      </c>
      <c r="AZ5595" t="b">
        <v>1</v>
      </c>
    </row>
    <row r="5596" spans="1:52" x14ac:dyDescent="0.3">
      <c r="A5596" t="s">
        <v>52</v>
      </c>
      <c r="B5596" t="s">
        <v>53</v>
      </c>
      <c r="C5596" t="s">
        <v>54</v>
      </c>
      <c r="D5596" t="s">
        <v>55</v>
      </c>
      <c r="E5596" t="s">
        <v>2280</v>
      </c>
      <c r="F5596" t="s">
        <v>190</v>
      </c>
      <c r="G5596" t="s">
        <v>312</v>
      </c>
      <c r="H5596" t="s">
        <v>313</v>
      </c>
      <c r="I5596" t="s">
        <v>313</v>
      </c>
      <c r="J5596" t="s">
        <v>60</v>
      </c>
      <c r="K5596" t="s">
        <v>143</v>
      </c>
      <c r="L5596" t="s">
        <v>62</v>
      </c>
      <c r="M5596" t="s">
        <v>143</v>
      </c>
      <c r="N5596" t="s">
        <v>314</v>
      </c>
      <c r="O5596" t="s">
        <v>315</v>
      </c>
      <c r="P5596">
        <v>-20.168939000000002</v>
      </c>
      <c r="Q5596">
        <v>-44.843286999999997</v>
      </c>
      <c r="R5596" s="2" t="str">
        <f>HYPERLINK("https://www.google.com/maps?q=-20.1689390,-44.8432870","Abrir no Google Maps")</f>
        <v>Abrir no Google Maps</v>
      </c>
      <c r="S5596">
        <v>4</v>
      </c>
      <c r="T5596">
        <v>582.22902758915586</v>
      </c>
      <c r="U5596">
        <v>3</v>
      </c>
      <c r="V5596">
        <v>0.97765363128491622</v>
      </c>
      <c r="W5596">
        <v>1</v>
      </c>
      <c r="X5596">
        <v>0.97765363128491622</v>
      </c>
      <c r="Y5596">
        <v>292</v>
      </c>
      <c r="Z5596">
        <v>628.29035609472794</v>
      </c>
      <c r="AA5596">
        <v>198</v>
      </c>
      <c r="AB5596">
        <v>332</v>
      </c>
      <c r="AC5596">
        <v>536</v>
      </c>
      <c r="AD5596">
        <v>27.77</v>
      </c>
      <c r="AE5596">
        <v>542</v>
      </c>
      <c r="AF5596">
        <v>26</v>
      </c>
      <c r="AG5596">
        <v>163</v>
      </c>
      <c r="AH5596">
        <v>129</v>
      </c>
      <c r="AI5596">
        <v>4.8</v>
      </c>
      <c r="AJ5596">
        <v>30.07</v>
      </c>
      <c r="AK5596">
        <v>23.8</v>
      </c>
      <c r="AL5596">
        <v>-20.16917709999996</v>
      </c>
      <c r="AM5596">
        <v>-44.84342194427667</v>
      </c>
      <c r="AN5596">
        <v>-20.16917709999996</v>
      </c>
      <c r="AO5596">
        <v>-44.84342194427667</v>
      </c>
      <c r="AP5596">
        <v>-20.168939000000002</v>
      </c>
      <c r="AQ5596">
        <v>-44.843286999999997</v>
      </c>
      <c r="AR5596">
        <v>30.02272213565665</v>
      </c>
      <c r="AS5596" t="s">
        <v>65</v>
      </c>
      <c r="AT5596">
        <v>1</v>
      </c>
      <c r="AU5596" t="s">
        <v>316</v>
      </c>
      <c r="AV5596" t="s">
        <v>311</v>
      </c>
      <c r="AW5596" t="s">
        <v>60</v>
      </c>
      <c r="AX5596" t="s">
        <v>68</v>
      </c>
      <c r="AY5596" t="s">
        <v>69</v>
      </c>
      <c r="AZ5596" t="b">
        <v>1</v>
      </c>
    </row>
    <row r="5597" spans="1:52" x14ac:dyDescent="0.3">
      <c r="A5597" t="s">
        <v>52</v>
      </c>
      <c r="B5597" t="s">
        <v>53</v>
      </c>
      <c r="C5597" t="s">
        <v>54</v>
      </c>
      <c r="D5597" t="s">
        <v>55</v>
      </c>
      <c r="E5597" t="s">
        <v>2280</v>
      </c>
      <c r="F5597" t="s">
        <v>190</v>
      </c>
      <c r="G5597" t="s">
        <v>321</v>
      </c>
      <c r="H5597" t="s">
        <v>322</v>
      </c>
      <c r="I5597" t="s">
        <v>322</v>
      </c>
      <c r="J5597" t="s">
        <v>60</v>
      </c>
      <c r="K5597" t="s">
        <v>323</v>
      </c>
      <c r="L5597" t="s">
        <v>62</v>
      </c>
      <c r="M5597" t="s">
        <v>323</v>
      </c>
      <c r="N5597" t="s">
        <v>324</v>
      </c>
      <c r="O5597" t="s">
        <v>325</v>
      </c>
      <c r="P5597">
        <v>-20.151437999999999</v>
      </c>
      <c r="Q5597">
        <v>-44.855761000000001</v>
      </c>
      <c r="R5597" s="2" t="str">
        <f>HYPERLINK("https://www.google.com/maps?q=-20.1514380,-44.8557610","Abrir no Google Maps")</f>
        <v>Abrir no Google Maps</v>
      </c>
      <c r="S5597">
        <v>4</v>
      </c>
      <c r="T5597">
        <v>970.69989262042009</v>
      </c>
      <c r="U5597">
        <v>3</v>
      </c>
      <c r="V5597">
        <v>0.98362445414847155</v>
      </c>
      <c r="W5597">
        <v>1</v>
      </c>
      <c r="X5597">
        <v>0.98362445414847155</v>
      </c>
      <c r="Y5597">
        <v>264</v>
      </c>
      <c r="Z5597">
        <v>1041.0105988261671</v>
      </c>
      <c r="AA5597">
        <v>198</v>
      </c>
      <c r="AB5597">
        <v>332</v>
      </c>
      <c r="AC5597">
        <v>536</v>
      </c>
      <c r="AD5597">
        <v>27.77</v>
      </c>
      <c r="AE5597">
        <v>542</v>
      </c>
      <c r="AF5597">
        <v>26</v>
      </c>
      <c r="AG5597">
        <v>163</v>
      </c>
      <c r="AH5597">
        <v>129</v>
      </c>
      <c r="AI5597">
        <v>4.8</v>
      </c>
      <c r="AJ5597">
        <v>30.07</v>
      </c>
      <c r="AK5597">
        <v>23.8</v>
      </c>
      <c r="AL5597">
        <v>-20.15142824999996</v>
      </c>
      <c r="AM5597">
        <v>-44.854100160898767</v>
      </c>
      <c r="AN5597">
        <v>-20.15142824999996</v>
      </c>
      <c r="AO5597">
        <v>-44.854100160898767</v>
      </c>
      <c r="AP5597">
        <v>-20.151437999999999</v>
      </c>
      <c r="AQ5597">
        <v>-44.855761000000001</v>
      </c>
      <c r="AR5597">
        <v>173.57036632351381</v>
      </c>
      <c r="AS5597" t="s">
        <v>65</v>
      </c>
      <c r="AT5597">
        <v>1</v>
      </c>
      <c r="AU5597" t="s">
        <v>326</v>
      </c>
      <c r="AV5597" t="s">
        <v>327</v>
      </c>
      <c r="AW5597" t="s">
        <v>60</v>
      </c>
      <c r="AX5597" t="s">
        <v>68</v>
      </c>
      <c r="AY5597" t="s">
        <v>69</v>
      </c>
      <c r="AZ5597" t="b">
        <v>1</v>
      </c>
    </row>
    <row r="5598" spans="1:52" x14ac:dyDescent="0.3">
      <c r="A5598" t="s">
        <v>52</v>
      </c>
      <c r="B5598" t="s">
        <v>53</v>
      </c>
      <c r="C5598" t="s">
        <v>54</v>
      </c>
      <c r="D5598" t="s">
        <v>55</v>
      </c>
      <c r="E5598" t="s">
        <v>2280</v>
      </c>
      <c r="F5598" t="s">
        <v>190</v>
      </c>
      <c r="G5598" t="s">
        <v>328</v>
      </c>
      <c r="H5598" t="s">
        <v>329</v>
      </c>
      <c r="I5598" t="s">
        <v>329</v>
      </c>
      <c r="J5598" t="s">
        <v>60</v>
      </c>
      <c r="K5598" t="s">
        <v>157</v>
      </c>
      <c r="L5598" t="s">
        <v>62</v>
      </c>
      <c r="M5598" t="s">
        <v>157</v>
      </c>
      <c r="N5598" t="s">
        <v>330</v>
      </c>
      <c r="O5598" t="s">
        <v>331</v>
      </c>
      <c r="P5598">
        <v>-20.167981999999999</v>
      </c>
      <c r="Q5598">
        <v>-44.885706999999996</v>
      </c>
      <c r="R5598" s="2" t="str">
        <f>HYPERLINK("https://www.google.com/maps?q=-20.1679820,-44.8857070","Abrir no Google Maps")</f>
        <v>Abrir no Google Maps</v>
      </c>
      <c r="S5598">
        <v>4</v>
      </c>
      <c r="T5598">
        <v>594.70112534633722</v>
      </c>
      <c r="U5598">
        <v>3</v>
      </c>
      <c r="V5598">
        <v>0.97397476340694</v>
      </c>
      <c r="W5598">
        <v>1</v>
      </c>
      <c r="X5598">
        <v>0.97397476340694</v>
      </c>
      <c r="Y5598">
        <v>232</v>
      </c>
      <c r="Z5598">
        <v>560.38516624860983</v>
      </c>
      <c r="AA5598">
        <v>198</v>
      </c>
      <c r="AB5598">
        <v>332</v>
      </c>
      <c r="AC5598">
        <v>536</v>
      </c>
      <c r="AD5598">
        <v>27.77</v>
      </c>
      <c r="AE5598">
        <v>542</v>
      </c>
      <c r="AF5598">
        <v>26</v>
      </c>
      <c r="AG5598">
        <v>163</v>
      </c>
      <c r="AH5598">
        <v>129</v>
      </c>
      <c r="AI5598">
        <v>4.8</v>
      </c>
      <c r="AJ5598">
        <v>30.07</v>
      </c>
      <c r="AK5598">
        <v>23.8</v>
      </c>
      <c r="AL5598">
        <v>-20.167931149999959</v>
      </c>
      <c r="AM5598">
        <v>-44.885606821741909</v>
      </c>
      <c r="AN5598">
        <v>-20.167931149999959</v>
      </c>
      <c r="AO5598">
        <v>-44.885606821741909</v>
      </c>
      <c r="AP5598">
        <v>-20.167981999999999</v>
      </c>
      <c r="AQ5598">
        <v>-44.885706999999996</v>
      </c>
      <c r="AR5598">
        <v>11.90056149590643</v>
      </c>
      <c r="AS5598" t="s">
        <v>65</v>
      </c>
      <c r="AT5598">
        <v>1</v>
      </c>
      <c r="AU5598" t="s">
        <v>332</v>
      </c>
      <c r="AV5598" t="s">
        <v>333</v>
      </c>
      <c r="AW5598" t="s">
        <v>60</v>
      </c>
      <c r="AX5598" t="s">
        <v>68</v>
      </c>
      <c r="AY5598" t="s">
        <v>69</v>
      </c>
      <c r="AZ5598" t="b">
        <v>1</v>
      </c>
    </row>
    <row r="5599" spans="1:52" x14ac:dyDescent="0.3">
      <c r="A5599" t="s">
        <v>52</v>
      </c>
      <c r="B5599" t="s">
        <v>53</v>
      </c>
      <c r="C5599" t="s">
        <v>54</v>
      </c>
      <c r="D5599" t="s">
        <v>55</v>
      </c>
      <c r="E5599" t="s">
        <v>2280</v>
      </c>
      <c r="F5599" t="s">
        <v>190</v>
      </c>
      <c r="G5599" t="s">
        <v>155</v>
      </c>
      <c r="H5599" t="s">
        <v>156</v>
      </c>
      <c r="I5599" t="s">
        <v>156</v>
      </c>
      <c r="J5599" t="s">
        <v>60</v>
      </c>
      <c r="K5599" t="s">
        <v>157</v>
      </c>
      <c r="L5599" t="s">
        <v>62</v>
      </c>
      <c r="M5599" t="s">
        <v>157</v>
      </c>
      <c r="N5599" t="s">
        <v>158</v>
      </c>
      <c r="O5599" t="s">
        <v>159</v>
      </c>
      <c r="P5599">
        <v>-20.166302999999999</v>
      </c>
      <c r="Q5599">
        <v>-44.880659999999999</v>
      </c>
      <c r="R5599" s="2" t="str">
        <f>HYPERLINK("https://www.google.com/maps?q=-20.1663030,-44.8806600","Abrir no Google Maps")</f>
        <v>Abrir no Google Maps</v>
      </c>
      <c r="S5599">
        <v>4</v>
      </c>
      <c r="T5599">
        <v>504.41812426451338</v>
      </c>
      <c r="U5599">
        <v>3</v>
      </c>
      <c r="V5599">
        <v>0.98266423357664245</v>
      </c>
      <c r="W5599">
        <v>1</v>
      </c>
      <c r="X5599">
        <v>0.98266423357664245</v>
      </c>
      <c r="Y5599">
        <v>232</v>
      </c>
      <c r="Z5599">
        <v>279.57571553948952</v>
      </c>
      <c r="AA5599">
        <v>198</v>
      </c>
      <c r="AB5599">
        <v>332</v>
      </c>
      <c r="AC5599">
        <v>536</v>
      </c>
      <c r="AD5599">
        <v>27.77</v>
      </c>
      <c r="AE5599">
        <v>542</v>
      </c>
      <c r="AF5599">
        <v>26</v>
      </c>
      <c r="AG5599">
        <v>163</v>
      </c>
      <c r="AH5599">
        <v>129</v>
      </c>
      <c r="AI5599">
        <v>4.8</v>
      </c>
      <c r="AJ5599">
        <v>30.07</v>
      </c>
      <c r="AK5599">
        <v>23.8</v>
      </c>
      <c r="AL5599">
        <v>-20.166700449999951</v>
      </c>
      <c r="AM5599">
        <v>-44.880573341714289</v>
      </c>
      <c r="AN5599">
        <v>-20.166700449999951</v>
      </c>
      <c r="AO5599">
        <v>-44.880573341714289</v>
      </c>
      <c r="AP5599">
        <v>-20.166302999999999</v>
      </c>
      <c r="AQ5599">
        <v>-44.880659999999999</v>
      </c>
      <c r="AR5599">
        <v>45.161304979350312</v>
      </c>
      <c r="AS5599" t="s">
        <v>65</v>
      </c>
      <c r="AT5599">
        <v>1</v>
      </c>
      <c r="AU5599" t="s">
        <v>160</v>
      </c>
      <c r="AV5599" t="s">
        <v>161</v>
      </c>
      <c r="AW5599" t="s">
        <v>60</v>
      </c>
      <c r="AX5599" t="s">
        <v>68</v>
      </c>
      <c r="AY5599" t="s">
        <v>69</v>
      </c>
      <c r="AZ5599" t="b">
        <v>1</v>
      </c>
    </row>
    <row r="5600" spans="1:52" x14ac:dyDescent="0.3">
      <c r="A5600" t="s">
        <v>52</v>
      </c>
      <c r="B5600" t="s">
        <v>53</v>
      </c>
      <c r="C5600" t="s">
        <v>54</v>
      </c>
      <c r="D5600" t="s">
        <v>55</v>
      </c>
      <c r="E5600" t="s">
        <v>2280</v>
      </c>
      <c r="F5600" t="s">
        <v>190</v>
      </c>
      <c r="G5600" t="s">
        <v>341</v>
      </c>
      <c r="H5600" t="s">
        <v>342</v>
      </c>
      <c r="I5600" t="s">
        <v>342</v>
      </c>
      <c r="J5600" t="s">
        <v>60</v>
      </c>
      <c r="K5600" t="s">
        <v>164</v>
      </c>
      <c r="L5600" t="s">
        <v>62</v>
      </c>
      <c r="M5600" t="s">
        <v>164</v>
      </c>
      <c r="N5600" t="s">
        <v>343</v>
      </c>
      <c r="O5600" t="s">
        <v>344</v>
      </c>
      <c r="P5600">
        <v>-20.17606</v>
      </c>
      <c r="Q5600">
        <v>-44.880409999999998</v>
      </c>
      <c r="R5600" s="2" t="str">
        <f>HYPERLINK("https://www.google.com/maps?q=-20.1760600,-44.8804100","Abrir no Google Maps")</f>
        <v>Abrir no Google Maps</v>
      </c>
      <c r="S5600">
        <v>4</v>
      </c>
      <c r="T5600">
        <v>556.35468246023754</v>
      </c>
      <c r="U5600">
        <v>3</v>
      </c>
      <c r="V5600">
        <v>0.94705882352941162</v>
      </c>
      <c r="W5600">
        <v>1</v>
      </c>
      <c r="X5600">
        <v>0.94705882352941162</v>
      </c>
      <c r="Y5600">
        <v>232</v>
      </c>
      <c r="Z5600">
        <v>674.22003156100322</v>
      </c>
      <c r="AA5600">
        <v>198</v>
      </c>
      <c r="AB5600">
        <v>332</v>
      </c>
      <c r="AC5600">
        <v>536</v>
      </c>
      <c r="AD5600">
        <v>27.77</v>
      </c>
      <c r="AE5600">
        <v>542</v>
      </c>
      <c r="AF5600">
        <v>26</v>
      </c>
      <c r="AG5600">
        <v>163</v>
      </c>
      <c r="AH5600">
        <v>129</v>
      </c>
      <c r="AI5600">
        <v>4.8</v>
      </c>
      <c r="AJ5600">
        <v>30.07</v>
      </c>
      <c r="AK5600">
        <v>23.8</v>
      </c>
      <c r="AL5600">
        <v>-20.176226899999961</v>
      </c>
      <c r="AM5600">
        <v>-44.880527903427911</v>
      </c>
      <c r="AN5600">
        <v>-20.176226899999961</v>
      </c>
      <c r="AO5600">
        <v>-44.880527903427911</v>
      </c>
      <c r="AP5600">
        <v>-20.17606</v>
      </c>
      <c r="AQ5600">
        <v>-44.880409999999998</v>
      </c>
      <c r="AR5600">
        <v>22.292677247804349</v>
      </c>
      <c r="AS5600" t="s">
        <v>65</v>
      </c>
      <c r="AT5600">
        <v>1</v>
      </c>
      <c r="AU5600" t="s">
        <v>345</v>
      </c>
      <c r="AV5600" t="s">
        <v>346</v>
      </c>
      <c r="AW5600" t="s">
        <v>60</v>
      </c>
      <c r="AX5600" t="s">
        <v>68</v>
      </c>
      <c r="AY5600" t="s">
        <v>69</v>
      </c>
      <c r="AZ5600" t="b">
        <v>1</v>
      </c>
    </row>
    <row r="5601" spans="1:52" x14ac:dyDescent="0.3">
      <c r="A5601" t="s">
        <v>52</v>
      </c>
      <c r="B5601" t="s">
        <v>53</v>
      </c>
      <c r="C5601" t="s">
        <v>54</v>
      </c>
      <c r="D5601" t="s">
        <v>55</v>
      </c>
      <c r="E5601" t="s">
        <v>2280</v>
      </c>
      <c r="F5601" t="s">
        <v>190</v>
      </c>
      <c r="G5601" t="s">
        <v>162</v>
      </c>
      <c r="H5601" t="s">
        <v>163</v>
      </c>
      <c r="I5601" t="s">
        <v>163</v>
      </c>
      <c r="J5601" t="s">
        <v>60</v>
      </c>
      <c r="K5601" t="s">
        <v>164</v>
      </c>
      <c r="L5601" t="s">
        <v>62</v>
      </c>
      <c r="M5601" t="s">
        <v>164</v>
      </c>
      <c r="N5601" t="s">
        <v>165</v>
      </c>
      <c r="O5601" t="s">
        <v>166</v>
      </c>
      <c r="P5601">
        <v>-20.175967</v>
      </c>
      <c r="Q5601">
        <v>-44.876730000000002</v>
      </c>
      <c r="R5601" s="2" t="str">
        <f>HYPERLINK("https://www.google.com/maps?q=-20.1759670,-44.8767300","Abrir no Google Maps")</f>
        <v>Abrir no Google Maps</v>
      </c>
      <c r="S5601">
        <v>4</v>
      </c>
      <c r="T5601">
        <v>692.5753730151132</v>
      </c>
      <c r="U5601">
        <v>3</v>
      </c>
      <c r="V5601">
        <v>0.98684210526315796</v>
      </c>
      <c r="W5601">
        <v>1</v>
      </c>
      <c r="X5601">
        <v>0.98684210526315796</v>
      </c>
      <c r="Y5601">
        <v>232</v>
      </c>
      <c r="Z5601">
        <v>686.15054949166824</v>
      </c>
      <c r="AA5601">
        <v>198</v>
      </c>
      <c r="AB5601">
        <v>332</v>
      </c>
      <c r="AC5601">
        <v>536</v>
      </c>
      <c r="AD5601">
        <v>27.77</v>
      </c>
      <c r="AE5601">
        <v>542</v>
      </c>
      <c r="AF5601">
        <v>26</v>
      </c>
      <c r="AG5601">
        <v>163</v>
      </c>
      <c r="AH5601">
        <v>129</v>
      </c>
      <c r="AI5601">
        <v>4.8</v>
      </c>
      <c r="AJ5601">
        <v>30.07</v>
      </c>
      <c r="AK5601">
        <v>23.8</v>
      </c>
      <c r="AL5601">
        <v>-20.17598664999997</v>
      </c>
      <c r="AM5601">
        <v>-44.876806510253203</v>
      </c>
      <c r="AN5601">
        <v>-20.17598664999997</v>
      </c>
      <c r="AO5601">
        <v>-44.876806510253203</v>
      </c>
      <c r="AP5601">
        <v>-20.175967</v>
      </c>
      <c r="AQ5601">
        <v>-44.876730000000002</v>
      </c>
      <c r="AR5601">
        <v>8.2883514287440097</v>
      </c>
      <c r="AS5601" t="s">
        <v>65</v>
      </c>
      <c r="AT5601">
        <v>1</v>
      </c>
      <c r="AU5601" t="s">
        <v>167</v>
      </c>
      <c r="AV5601" t="s">
        <v>168</v>
      </c>
      <c r="AW5601" t="s">
        <v>60</v>
      </c>
      <c r="AX5601" t="s">
        <v>68</v>
      </c>
      <c r="AY5601" t="s">
        <v>69</v>
      </c>
      <c r="AZ5601" t="b">
        <v>1</v>
      </c>
    </row>
    <row r="5602" spans="1:52" x14ac:dyDescent="0.3">
      <c r="A5602" t="s">
        <v>52</v>
      </c>
      <c r="B5602" t="s">
        <v>53</v>
      </c>
      <c r="C5602" t="s">
        <v>54</v>
      </c>
      <c r="D5602" t="s">
        <v>55</v>
      </c>
      <c r="E5602" t="s">
        <v>2280</v>
      </c>
      <c r="F5602" t="s">
        <v>190</v>
      </c>
      <c r="G5602" t="s">
        <v>347</v>
      </c>
      <c r="H5602" t="s">
        <v>348</v>
      </c>
      <c r="I5602" t="s">
        <v>348</v>
      </c>
      <c r="J5602" t="s">
        <v>60</v>
      </c>
      <c r="K5602" t="s">
        <v>157</v>
      </c>
      <c r="L5602" t="s">
        <v>62</v>
      </c>
      <c r="M5602" t="s">
        <v>157</v>
      </c>
      <c r="N5602" t="s">
        <v>349</v>
      </c>
      <c r="O5602" t="s">
        <v>350</v>
      </c>
      <c r="P5602">
        <v>-20.171206999999999</v>
      </c>
      <c r="Q5602">
        <v>-44.881143999999999</v>
      </c>
      <c r="R5602" s="2" t="str">
        <f>HYPERLINK("https://www.google.com/maps?q=-20.1712070,-44.8811440","Abrir no Google Maps")</f>
        <v>Abrir no Google Maps</v>
      </c>
      <c r="S5602">
        <v>4</v>
      </c>
      <c r="T5602">
        <v>0</v>
      </c>
      <c r="U5602">
        <v>3</v>
      </c>
      <c r="V5602">
        <v>0.98941798941798942</v>
      </c>
      <c r="W5602">
        <v>1</v>
      </c>
      <c r="X5602">
        <v>0.98941798941798942</v>
      </c>
      <c r="Y5602">
        <v>232</v>
      </c>
      <c r="Z5602">
        <v>184.81719774496389</v>
      </c>
      <c r="AA5602">
        <v>198</v>
      </c>
      <c r="AB5602">
        <v>332</v>
      </c>
      <c r="AC5602">
        <v>536</v>
      </c>
      <c r="AD5602">
        <v>27.77</v>
      </c>
      <c r="AE5602">
        <v>542</v>
      </c>
      <c r="AF5602">
        <v>26</v>
      </c>
      <c r="AG5602">
        <v>163</v>
      </c>
      <c r="AH5602">
        <v>129</v>
      </c>
      <c r="AI5602">
        <v>4.8</v>
      </c>
      <c r="AJ5602">
        <v>30.07</v>
      </c>
      <c r="AK5602">
        <v>23.8</v>
      </c>
      <c r="AL5602">
        <v>-20.171229949999969</v>
      </c>
      <c r="AM5602">
        <v>-44.881113944480241</v>
      </c>
      <c r="AN5602">
        <v>-20.171229949999969</v>
      </c>
      <c r="AO5602">
        <v>-44.881113944480241</v>
      </c>
      <c r="AP5602">
        <v>-20.171206999999999</v>
      </c>
      <c r="AQ5602">
        <v>-44.881143999999999</v>
      </c>
      <c r="AR5602">
        <v>4.0484763362859333</v>
      </c>
      <c r="AS5602" t="s">
        <v>65</v>
      </c>
      <c r="AT5602">
        <v>1</v>
      </c>
      <c r="AU5602" t="s">
        <v>351</v>
      </c>
      <c r="AV5602" t="s">
        <v>352</v>
      </c>
      <c r="AW5602" t="s">
        <v>60</v>
      </c>
      <c r="AX5602" t="s">
        <v>68</v>
      </c>
      <c r="AY5602" t="s">
        <v>69</v>
      </c>
      <c r="AZ5602" t="b">
        <v>1</v>
      </c>
    </row>
    <row r="5603" spans="1:52" x14ac:dyDescent="0.3">
      <c r="A5603" t="s">
        <v>52</v>
      </c>
      <c r="B5603" t="s">
        <v>53</v>
      </c>
      <c r="C5603" t="s">
        <v>54</v>
      </c>
      <c r="D5603" t="s">
        <v>55</v>
      </c>
      <c r="E5603" t="s">
        <v>2280</v>
      </c>
      <c r="F5603" t="s">
        <v>190</v>
      </c>
      <c r="G5603" t="s">
        <v>353</v>
      </c>
      <c r="H5603" t="s">
        <v>354</v>
      </c>
      <c r="I5603" t="s">
        <v>354</v>
      </c>
      <c r="J5603" t="s">
        <v>60</v>
      </c>
      <c r="K5603" t="s">
        <v>355</v>
      </c>
      <c r="L5603" t="s">
        <v>62</v>
      </c>
      <c r="M5603" t="s">
        <v>355</v>
      </c>
      <c r="N5603" t="s">
        <v>356</v>
      </c>
      <c r="O5603" t="s">
        <v>357</v>
      </c>
      <c r="P5603">
        <v>-20.147373999999999</v>
      </c>
      <c r="Q5603">
        <v>-44.875141999999997</v>
      </c>
      <c r="R5603" s="2" t="str">
        <f>HYPERLINK("https://www.google.com/maps?q=-20.1473740,-44.8751420","Abrir no Google Maps")</f>
        <v>Abrir no Google Maps</v>
      </c>
      <c r="S5603">
        <v>4</v>
      </c>
      <c r="T5603">
        <v>394.29708169591709</v>
      </c>
      <c r="U5603">
        <v>3</v>
      </c>
      <c r="V5603">
        <v>0.9869565217391304</v>
      </c>
      <c r="W5603">
        <v>1</v>
      </c>
      <c r="X5603">
        <v>0.9869565217391304</v>
      </c>
      <c r="Y5603">
        <v>209</v>
      </c>
      <c r="Z5603">
        <v>326.95034461828868</v>
      </c>
      <c r="AA5603">
        <v>198</v>
      </c>
      <c r="AB5603">
        <v>332</v>
      </c>
      <c r="AC5603">
        <v>536</v>
      </c>
      <c r="AD5603">
        <v>27.77</v>
      </c>
      <c r="AE5603">
        <v>542</v>
      </c>
      <c r="AF5603">
        <v>26</v>
      </c>
      <c r="AG5603">
        <v>163</v>
      </c>
      <c r="AH5603">
        <v>129</v>
      </c>
      <c r="AI5603">
        <v>4.8</v>
      </c>
      <c r="AJ5603">
        <v>30.07</v>
      </c>
      <c r="AK5603">
        <v>23.8</v>
      </c>
      <c r="AL5603">
        <v>-20.147207999999949</v>
      </c>
      <c r="AM5603">
        <v>-44.875152120336942</v>
      </c>
      <c r="AN5603">
        <v>-20.147207999999949</v>
      </c>
      <c r="AO5603">
        <v>-44.875152120336942</v>
      </c>
      <c r="AP5603">
        <v>-20.147373999999999</v>
      </c>
      <c r="AQ5603">
        <v>-44.875141999999997</v>
      </c>
      <c r="AR5603">
        <v>18.509363081081169</v>
      </c>
      <c r="AS5603" t="s">
        <v>65</v>
      </c>
      <c r="AT5603">
        <v>1</v>
      </c>
      <c r="AU5603" t="s">
        <v>358</v>
      </c>
      <c r="AV5603" t="s">
        <v>359</v>
      </c>
      <c r="AW5603" t="s">
        <v>60</v>
      </c>
      <c r="AX5603" t="s">
        <v>68</v>
      </c>
      <c r="AY5603" t="s">
        <v>69</v>
      </c>
      <c r="AZ5603" t="b">
        <v>1</v>
      </c>
    </row>
    <row r="5604" spans="1:52" x14ac:dyDescent="0.3">
      <c r="A5604" t="s">
        <v>52</v>
      </c>
      <c r="B5604" t="s">
        <v>53</v>
      </c>
      <c r="C5604" t="s">
        <v>54</v>
      </c>
      <c r="D5604" t="s">
        <v>55</v>
      </c>
      <c r="E5604" t="s">
        <v>2280</v>
      </c>
      <c r="F5604" t="s">
        <v>190</v>
      </c>
      <c r="G5604" t="s">
        <v>1649</v>
      </c>
      <c r="H5604" t="s">
        <v>1650</v>
      </c>
      <c r="I5604" t="s">
        <v>1650</v>
      </c>
      <c r="J5604" t="s">
        <v>60</v>
      </c>
      <c r="K5604" t="s">
        <v>355</v>
      </c>
      <c r="L5604" t="s">
        <v>62</v>
      </c>
      <c r="M5604" t="s">
        <v>355</v>
      </c>
      <c r="N5604" t="s">
        <v>1651</v>
      </c>
      <c r="O5604" t="s">
        <v>293</v>
      </c>
      <c r="P5604">
        <v>-20.141983</v>
      </c>
      <c r="Q5604">
        <v>-44.871161000000001</v>
      </c>
      <c r="R5604" s="2" t="str">
        <f>HYPERLINK("https://www.google.com/maps?q=-20.1419830,-44.8711610","Abrir no Google Maps")</f>
        <v>Abrir no Google Maps</v>
      </c>
      <c r="S5604">
        <v>4</v>
      </c>
      <c r="T5604">
        <v>492.40092389187612</v>
      </c>
      <c r="U5604">
        <v>3</v>
      </c>
      <c r="V5604">
        <v>0.9819277108433736</v>
      </c>
      <c r="W5604">
        <v>1</v>
      </c>
      <c r="X5604">
        <v>0.9819277108433736</v>
      </c>
      <c r="Y5604">
        <v>209</v>
      </c>
      <c r="Z5604">
        <v>425.51195583014947</v>
      </c>
      <c r="AA5604">
        <v>198</v>
      </c>
      <c r="AB5604">
        <v>332</v>
      </c>
      <c r="AC5604">
        <v>536</v>
      </c>
      <c r="AD5604">
        <v>27.77</v>
      </c>
      <c r="AE5604">
        <v>542</v>
      </c>
      <c r="AF5604">
        <v>26</v>
      </c>
      <c r="AG5604">
        <v>163</v>
      </c>
      <c r="AH5604">
        <v>129</v>
      </c>
      <c r="AI5604">
        <v>4.8</v>
      </c>
      <c r="AJ5604">
        <v>30.07</v>
      </c>
      <c r="AK5604">
        <v>23.8</v>
      </c>
      <c r="AL5604">
        <v>-20.142006349999971</v>
      </c>
      <c r="AM5604">
        <v>-44.871190369486733</v>
      </c>
      <c r="AN5604">
        <v>-20.142006349999981</v>
      </c>
      <c r="AO5604">
        <v>-44.871190369486733</v>
      </c>
      <c r="AP5604">
        <v>-20.141983</v>
      </c>
      <c r="AQ5604">
        <v>-44.871161000000001</v>
      </c>
      <c r="AR5604">
        <v>4.0221964388318616</v>
      </c>
      <c r="AS5604" t="s">
        <v>65</v>
      </c>
      <c r="AT5604">
        <v>1</v>
      </c>
      <c r="AU5604" t="s">
        <v>1652</v>
      </c>
      <c r="AV5604" t="s">
        <v>1653</v>
      </c>
      <c r="AW5604" t="s">
        <v>60</v>
      </c>
      <c r="AX5604" t="s">
        <v>68</v>
      </c>
      <c r="AY5604" t="s">
        <v>69</v>
      </c>
      <c r="AZ5604" t="b">
        <v>1</v>
      </c>
    </row>
    <row r="5605" spans="1:52" x14ac:dyDescent="0.3">
      <c r="A5605" t="s">
        <v>52</v>
      </c>
      <c r="B5605" t="s">
        <v>53</v>
      </c>
      <c r="C5605" t="s">
        <v>54</v>
      </c>
      <c r="D5605" t="s">
        <v>55</v>
      </c>
      <c r="E5605" t="s">
        <v>2280</v>
      </c>
      <c r="F5605" t="s">
        <v>190</v>
      </c>
      <c r="G5605" t="s">
        <v>373</v>
      </c>
      <c r="H5605" t="s">
        <v>374</v>
      </c>
      <c r="I5605" t="s">
        <v>374</v>
      </c>
      <c r="J5605" t="s">
        <v>60</v>
      </c>
      <c r="K5605" t="s">
        <v>375</v>
      </c>
      <c r="L5605" t="s">
        <v>62</v>
      </c>
      <c r="M5605" t="s">
        <v>375</v>
      </c>
      <c r="N5605" t="s">
        <v>376</v>
      </c>
      <c r="O5605" t="s">
        <v>377</v>
      </c>
      <c r="P5605">
        <v>-20.178172</v>
      </c>
      <c r="Q5605">
        <v>-44.882871999999999</v>
      </c>
      <c r="R5605" s="2" t="str">
        <f>HYPERLINK("https://www.google.com/maps?q=-20.1781720,-44.8828720","Abrir no Google Maps")</f>
        <v>Abrir no Google Maps</v>
      </c>
      <c r="S5605">
        <v>4</v>
      </c>
      <c r="T5605">
        <v>817.23317190190858</v>
      </c>
      <c r="U5605">
        <v>3</v>
      </c>
      <c r="V5605">
        <v>0.9921875</v>
      </c>
      <c r="W5605">
        <v>1</v>
      </c>
      <c r="X5605">
        <v>0.9921875</v>
      </c>
      <c r="Y5605">
        <v>101</v>
      </c>
      <c r="Z5605">
        <v>845.03006728789421</v>
      </c>
      <c r="AA5605">
        <v>198</v>
      </c>
      <c r="AB5605">
        <v>332</v>
      </c>
      <c r="AC5605">
        <v>536</v>
      </c>
      <c r="AD5605">
        <v>27.77</v>
      </c>
      <c r="AE5605">
        <v>542</v>
      </c>
      <c r="AF5605">
        <v>26</v>
      </c>
      <c r="AG5605">
        <v>163</v>
      </c>
      <c r="AH5605">
        <v>129</v>
      </c>
      <c r="AI5605">
        <v>4.8</v>
      </c>
      <c r="AJ5605">
        <v>30.07</v>
      </c>
      <c r="AK5605">
        <v>23.8</v>
      </c>
      <c r="AL5605">
        <v>-20.178380049999959</v>
      </c>
      <c r="AM5605">
        <v>-44.883070555357122</v>
      </c>
      <c r="AN5605">
        <v>-20.178380049999959</v>
      </c>
      <c r="AO5605">
        <v>-44.883070555357122</v>
      </c>
      <c r="AP5605">
        <v>-20.178172</v>
      </c>
      <c r="AQ5605">
        <v>-44.882871999999999</v>
      </c>
      <c r="AR5605">
        <v>31.093588149250511</v>
      </c>
      <c r="AS5605" t="s">
        <v>65</v>
      </c>
      <c r="AT5605">
        <v>1</v>
      </c>
      <c r="AU5605" t="s">
        <v>378</v>
      </c>
      <c r="AV5605" t="s">
        <v>379</v>
      </c>
      <c r="AW5605" t="s">
        <v>60</v>
      </c>
      <c r="AX5605" t="s">
        <v>68</v>
      </c>
      <c r="AY5605" t="s">
        <v>69</v>
      </c>
      <c r="AZ5605" t="b">
        <v>1</v>
      </c>
    </row>
    <row r="5606" spans="1:52" x14ac:dyDescent="0.3">
      <c r="A5606" t="s">
        <v>52</v>
      </c>
      <c r="B5606" t="s">
        <v>53</v>
      </c>
      <c r="C5606" t="s">
        <v>54</v>
      </c>
      <c r="D5606" t="s">
        <v>55</v>
      </c>
      <c r="E5606" t="s">
        <v>2280</v>
      </c>
      <c r="F5606" t="s">
        <v>190</v>
      </c>
      <c r="G5606" t="s">
        <v>176</v>
      </c>
      <c r="H5606" t="s">
        <v>177</v>
      </c>
      <c r="I5606" t="s">
        <v>177</v>
      </c>
      <c r="J5606" t="s">
        <v>60</v>
      </c>
      <c r="K5606" t="s">
        <v>178</v>
      </c>
      <c r="L5606" t="s">
        <v>62</v>
      </c>
      <c r="M5606" t="s">
        <v>178</v>
      </c>
      <c r="N5606" t="s">
        <v>179</v>
      </c>
      <c r="O5606" t="s">
        <v>180</v>
      </c>
      <c r="P5606">
        <v>-20.129152999999999</v>
      </c>
      <c r="Q5606">
        <v>-44.859299</v>
      </c>
      <c r="R5606" s="2" t="str">
        <f>HYPERLINK("https://www.google.com/maps?q=-20.1291530,-44.8592990","Abrir no Google Maps")</f>
        <v>Abrir no Google Maps</v>
      </c>
      <c r="S5606">
        <v>4</v>
      </c>
      <c r="T5606">
        <v>0</v>
      </c>
      <c r="U5606">
        <v>3</v>
      </c>
      <c r="V5606">
        <v>0.9462890625</v>
      </c>
      <c r="W5606">
        <v>1</v>
      </c>
      <c r="X5606">
        <v>0.9462890625</v>
      </c>
      <c r="Y5606">
        <v>95</v>
      </c>
      <c r="Z5606">
        <v>323.58963420291411</v>
      </c>
      <c r="AA5606">
        <v>198</v>
      </c>
      <c r="AB5606">
        <v>332</v>
      </c>
      <c r="AC5606">
        <v>536</v>
      </c>
      <c r="AD5606">
        <v>27.77</v>
      </c>
      <c r="AE5606">
        <v>542</v>
      </c>
      <c r="AF5606">
        <v>26</v>
      </c>
      <c r="AG5606">
        <v>163</v>
      </c>
      <c r="AH5606">
        <v>129</v>
      </c>
      <c r="AI5606">
        <v>4.8</v>
      </c>
      <c r="AJ5606">
        <v>30.07</v>
      </c>
      <c r="AK5606">
        <v>23.8</v>
      </c>
      <c r="AL5606">
        <v>-20.129260799999969</v>
      </c>
      <c r="AM5606">
        <v>-44.859468344955843</v>
      </c>
      <c r="AN5606">
        <v>-20.129260799999969</v>
      </c>
      <c r="AO5606">
        <v>-44.859468344955843</v>
      </c>
      <c r="AP5606">
        <v>-20.129152999999999</v>
      </c>
      <c r="AQ5606">
        <v>-44.859299</v>
      </c>
      <c r="AR5606">
        <v>21.38451122307773</v>
      </c>
      <c r="AS5606" t="s">
        <v>65</v>
      </c>
      <c r="AT5606">
        <v>1</v>
      </c>
      <c r="AU5606" t="s">
        <v>181</v>
      </c>
      <c r="AV5606" t="s">
        <v>182</v>
      </c>
      <c r="AW5606" t="s">
        <v>60</v>
      </c>
      <c r="AX5606" t="s">
        <v>68</v>
      </c>
      <c r="AY5606" t="s">
        <v>69</v>
      </c>
      <c r="AZ5606" t="b">
        <v>1</v>
      </c>
    </row>
    <row r="5607" spans="1:52" x14ac:dyDescent="0.3">
      <c r="A5607" t="s">
        <v>52</v>
      </c>
      <c r="B5607" t="s">
        <v>53</v>
      </c>
      <c r="C5607" t="s">
        <v>54</v>
      </c>
      <c r="D5607" t="s">
        <v>55</v>
      </c>
      <c r="E5607" t="s">
        <v>2280</v>
      </c>
      <c r="F5607" t="s">
        <v>190</v>
      </c>
      <c r="G5607" t="s">
        <v>183</v>
      </c>
      <c r="H5607" t="s">
        <v>184</v>
      </c>
      <c r="I5607" t="s">
        <v>184</v>
      </c>
      <c r="J5607" t="s">
        <v>60</v>
      </c>
      <c r="K5607" t="s">
        <v>185</v>
      </c>
      <c r="L5607" t="s">
        <v>62</v>
      </c>
      <c r="M5607" t="s">
        <v>185</v>
      </c>
      <c r="N5607" t="s">
        <v>186</v>
      </c>
      <c r="O5607" t="s">
        <v>187</v>
      </c>
      <c r="P5607">
        <v>-20.134855000000002</v>
      </c>
      <c r="Q5607">
        <v>-44.860174000000001</v>
      </c>
      <c r="R5607" s="2" t="str">
        <f>HYPERLINK("https://www.google.com/maps?q=-20.1348550,-44.8601740","Abrir no Google Maps")</f>
        <v>Abrir no Google Maps</v>
      </c>
      <c r="S5607">
        <v>4</v>
      </c>
      <c r="T5607">
        <v>625.96998974571841</v>
      </c>
      <c r="U5607">
        <v>3</v>
      </c>
      <c r="V5607">
        <v>0.92336683417085441</v>
      </c>
      <c r="W5607">
        <v>1</v>
      </c>
      <c r="X5607">
        <v>0.92336683417085441</v>
      </c>
      <c r="Y5607">
        <v>95</v>
      </c>
      <c r="Z5607">
        <v>257.67818504656498</v>
      </c>
      <c r="AA5607">
        <v>198</v>
      </c>
      <c r="AB5607">
        <v>332</v>
      </c>
      <c r="AC5607">
        <v>536</v>
      </c>
      <c r="AD5607">
        <v>27.77</v>
      </c>
      <c r="AE5607">
        <v>542</v>
      </c>
      <c r="AF5607">
        <v>26</v>
      </c>
      <c r="AG5607">
        <v>163</v>
      </c>
      <c r="AH5607">
        <v>129</v>
      </c>
      <c r="AI5607">
        <v>4.8</v>
      </c>
      <c r="AJ5607">
        <v>30.07</v>
      </c>
      <c r="AK5607">
        <v>23.8</v>
      </c>
      <c r="AL5607">
        <v>-20.134903999999981</v>
      </c>
      <c r="AM5607">
        <v>-44.859880285335962</v>
      </c>
      <c r="AN5607">
        <v>-20.134903999999981</v>
      </c>
      <c r="AO5607">
        <v>-44.859880285335962</v>
      </c>
      <c r="AP5607">
        <v>-20.134855000000002</v>
      </c>
      <c r="AQ5607">
        <v>-44.860174000000001</v>
      </c>
      <c r="AR5607">
        <v>31.178921696823132</v>
      </c>
      <c r="AS5607" t="s">
        <v>65</v>
      </c>
      <c r="AT5607">
        <v>1</v>
      </c>
      <c r="AU5607" t="s">
        <v>188</v>
      </c>
      <c r="AV5607" t="s">
        <v>189</v>
      </c>
      <c r="AW5607" t="s">
        <v>60</v>
      </c>
      <c r="AX5607" t="s">
        <v>68</v>
      </c>
      <c r="AY5607" t="s">
        <v>69</v>
      </c>
      <c r="AZ5607" t="b">
        <v>1</v>
      </c>
    </row>
    <row r="5608" spans="1:52" x14ac:dyDescent="0.3">
      <c r="A5608" t="s">
        <v>52</v>
      </c>
      <c r="B5608" t="s">
        <v>53</v>
      </c>
      <c r="C5608" t="s">
        <v>54</v>
      </c>
      <c r="D5608" t="s">
        <v>55</v>
      </c>
      <c r="E5608" t="s">
        <v>2280</v>
      </c>
      <c r="F5608" t="s">
        <v>190</v>
      </c>
      <c r="G5608" t="s">
        <v>839</v>
      </c>
      <c r="H5608" t="s">
        <v>840</v>
      </c>
      <c r="I5608" t="s">
        <v>840</v>
      </c>
      <c r="J5608" t="s">
        <v>60</v>
      </c>
      <c r="K5608" t="s">
        <v>388</v>
      </c>
      <c r="L5608" t="s">
        <v>62</v>
      </c>
      <c r="M5608" t="s">
        <v>388</v>
      </c>
      <c r="N5608" t="s">
        <v>841</v>
      </c>
      <c r="O5608" t="s">
        <v>842</v>
      </c>
      <c r="P5608">
        <v>-20.159977999999999</v>
      </c>
      <c r="Q5608">
        <v>-44.900207000000002</v>
      </c>
      <c r="R5608" s="2" t="str">
        <f>HYPERLINK("https://www.google.com/maps?q=-20.1599780,-44.9002070","Abrir no Google Maps")</f>
        <v>Abrir no Google Maps</v>
      </c>
      <c r="S5608">
        <v>3</v>
      </c>
      <c r="T5608">
        <v>213.24333517300789</v>
      </c>
      <c r="U5608">
        <v>4</v>
      </c>
      <c r="V5608">
        <v>0.99862637362637363</v>
      </c>
      <c r="W5608">
        <v>1</v>
      </c>
      <c r="X5608">
        <v>0.99862637362637363</v>
      </c>
      <c r="Y5608">
        <v>729</v>
      </c>
      <c r="Z5608">
        <v>315.47173727880028</v>
      </c>
      <c r="AA5608">
        <v>198</v>
      </c>
      <c r="AB5608">
        <v>332</v>
      </c>
      <c r="AC5608">
        <v>536</v>
      </c>
      <c r="AD5608">
        <v>27.77</v>
      </c>
      <c r="AE5608">
        <v>542</v>
      </c>
      <c r="AF5608">
        <v>26</v>
      </c>
      <c r="AG5608">
        <v>163</v>
      </c>
      <c r="AH5608">
        <v>129</v>
      </c>
      <c r="AI5608">
        <v>4.8</v>
      </c>
      <c r="AJ5608">
        <v>30.07</v>
      </c>
      <c r="AK5608">
        <v>23.8</v>
      </c>
      <c r="AL5608">
        <v>-20.159825649999959</v>
      </c>
      <c r="AM5608">
        <v>-44.900143828909613</v>
      </c>
      <c r="AN5608">
        <v>-20.159825649999959</v>
      </c>
      <c r="AO5608">
        <v>-44.900143828909613</v>
      </c>
      <c r="AP5608">
        <v>-20.159977999999999</v>
      </c>
      <c r="AQ5608">
        <v>-44.900207000000002</v>
      </c>
      <c r="AR5608">
        <v>18.199073573580371</v>
      </c>
      <c r="AS5608" t="s">
        <v>65</v>
      </c>
      <c r="AT5608">
        <v>1</v>
      </c>
      <c r="AU5608" t="s">
        <v>843</v>
      </c>
      <c r="AV5608" t="s">
        <v>844</v>
      </c>
      <c r="AW5608" t="s">
        <v>60</v>
      </c>
      <c r="AX5608" t="s">
        <v>68</v>
      </c>
      <c r="AY5608" t="s">
        <v>69</v>
      </c>
      <c r="AZ5608" t="b">
        <v>1</v>
      </c>
    </row>
    <row r="5609" spans="1:52" x14ac:dyDescent="0.3">
      <c r="A5609" t="s">
        <v>52</v>
      </c>
      <c r="B5609" t="s">
        <v>53</v>
      </c>
      <c r="C5609" t="s">
        <v>54</v>
      </c>
      <c r="D5609" t="s">
        <v>55</v>
      </c>
      <c r="E5609" t="s">
        <v>2280</v>
      </c>
      <c r="F5609" t="s">
        <v>190</v>
      </c>
      <c r="G5609" t="s">
        <v>398</v>
      </c>
      <c r="H5609" t="s">
        <v>399</v>
      </c>
      <c r="I5609" t="s">
        <v>399</v>
      </c>
      <c r="J5609" t="s">
        <v>60</v>
      </c>
      <c r="K5609" t="s">
        <v>388</v>
      </c>
      <c r="L5609" t="s">
        <v>62</v>
      </c>
      <c r="M5609" t="s">
        <v>388</v>
      </c>
      <c r="N5609" t="s">
        <v>400</v>
      </c>
      <c r="O5609" t="s">
        <v>401</v>
      </c>
      <c r="P5609">
        <v>-20.160157000000002</v>
      </c>
      <c r="Q5609">
        <v>-44.904347999999999</v>
      </c>
      <c r="R5609" s="2" t="str">
        <f>HYPERLINK("https://www.google.com/maps?q=-20.1601570,-44.9043480","Abrir no Google Maps")</f>
        <v>Abrir no Google Maps</v>
      </c>
      <c r="S5609">
        <v>3</v>
      </c>
      <c r="T5609">
        <v>469.26088527154809</v>
      </c>
      <c r="U5609">
        <v>4</v>
      </c>
      <c r="V5609">
        <v>0.99916387959866215</v>
      </c>
      <c r="W5609">
        <v>1</v>
      </c>
      <c r="X5609">
        <v>0.99916387959866215</v>
      </c>
      <c r="Y5609">
        <v>729</v>
      </c>
      <c r="Z5609">
        <v>253.57832452309071</v>
      </c>
      <c r="AA5609">
        <v>198</v>
      </c>
      <c r="AB5609">
        <v>332</v>
      </c>
      <c r="AC5609">
        <v>536</v>
      </c>
      <c r="AD5609">
        <v>27.77</v>
      </c>
      <c r="AE5609">
        <v>542</v>
      </c>
      <c r="AF5609">
        <v>26</v>
      </c>
      <c r="AG5609">
        <v>163</v>
      </c>
      <c r="AH5609">
        <v>129</v>
      </c>
      <c r="AI5609">
        <v>4.8</v>
      </c>
      <c r="AJ5609">
        <v>30.07</v>
      </c>
      <c r="AK5609">
        <v>23.8</v>
      </c>
      <c r="AL5609">
        <v>-20.160007949999969</v>
      </c>
      <c r="AM5609">
        <v>-44.904396608560482</v>
      </c>
      <c r="AN5609">
        <v>-20.160007949999969</v>
      </c>
      <c r="AO5609">
        <v>-44.904396608560482</v>
      </c>
      <c r="AP5609">
        <v>-20.160157000000002</v>
      </c>
      <c r="AQ5609">
        <v>-44.904347999999999</v>
      </c>
      <c r="AR5609">
        <v>17.35237255387942</v>
      </c>
      <c r="AS5609" t="s">
        <v>65</v>
      </c>
      <c r="AT5609">
        <v>1</v>
      </c>
      <c r="AU5609" t="s">
        <v>402</v>
      </c>
      <c r="AV5609" t="s">
        <v>403</v>
      </c>
      <c r="AW5609" t="s">
        <v>60</v>
      </c>
      <c r="AX5609" t="s">
        <v>68</v>
      </c>
      <c r="AY5609" t="s">
        <v>69</v>
      </c>
      <c r="AZ5609" t="b">
        <v>1</v>
      </c>
    </row>
    <row r="5610" spans="1:52" x14ac:dyDescent="0.3">
      <c r="A5610" t="s">
        <v>52</v>
      </c>
      <c r="B5610" t="s">
        <v>53</v>
      </c>
      <c r="C5610" t="s">
        <v>54</v>
      </c>
      <c r="D5610" t="s">
        <v>55</v>
      </c>
      <c r="E5610" t="s">
        <v>2280</v>
      </c>
      <c r="F5610" t="s">
        <v>190</v>
      </c>
      <c r="G5610" t="s">
        <v>404</v>
      </c>
      <c r="H5610" t="s">
        <v>405</v>
      </c>
      <c r="I5610" t="s">
        <v>405</v>
      </c>
      <c r="J5610" t="s">
        <v>60</v>
      </c>
      <c r="K5610" t="s">
        <v>388</v>
      </c>
      <c r="L5610" t="s">
        <v>62</v>
      </c>
      <c r="M5610" t="s">
        <v>388</v>
      </c>
      <c r="N5610" t="s">
        <v>406</v>
      </c>
      <c r="O5610" t="s">
        <v>407</v>
      </c>
      <c r="P5610">
        <v>-20.162780999999999</v>
      </c>
      <c r="Q5610">
        <v>-44.904437999999999</v>
      </c>
      <c r="R5610" s="2" t="str">
        <f>HYPERLINK("https://www.google.com/maps?q=-20.1627810,-44.9044380","Abrir no Google Maps")</f>
        <v>Abrir no Google Maps</v>
      </c>
      <c r="S5610">
        <v>3</v>
      </c>
      <c r="T5610">
        <v>681.0891377731482</v>
      </c>
      <c r="U5610">
        <v>4</v>
      </c>
      <c r="V5610">
        <v>0.99853801169590639</v>
      </c>
      <c r="W5610">
        <v>1</v>
      </c>
      <c r="X5610">
        <v>0.99853801169590639</v>
      </c>
      <c r="Y5610">
        <v>729</v>
      </c>
      <c r="Z5610">
        <v>564.17713687218622</v>
      </c>
      <c r="AA5610">
        <v>198</v>
      </c>
      <c r="AB5610">
        <v>332</v>
      </c>
      <c r="AC5610">
        <v>536</v>
      </c>
      <c r="AD5610">
        <v>27.77</v>
      </c>
      <c r="AE5610">
        <v>542</v>
      </c>
      <c r="AF5610">
        <v>26</v>
      </c>
      <c r="AG5610">
        <v>163</v>
      </c>
      <c r="AH5610">
        <v>129</v>
      </c>
      <c r="AI5610">
        <v>4.8</v>
      </c>
      <c r="AJ5610">
        <v>30.07</v>
      </c>
      <c r="AK5610">
        <v>23.8</v>
      </c>
      <c r="AL5610">
        <v>-20.16295434999995</v>
      </c>
      <c r="AM5610">
        <v>-44.904242686956152</v>
      </c>
      <c r="AN5610">
        <v>-20.16295434999995</v>
      </c>
      <c r="AO5610">
        <v>-44.904242686956152</v>
      </c>
      <c r="AP5610">
        <v>-20.162780999999999</v>
      </c>
      <c r="AQ5610">
        <v>-44.904437999999999</v>
      </c>
      <c r="AR5610">
        <v>28.088191280523411</v>
      </c>
      <c r="AS5610" t="s">
        <v>65</v>
      </c>
      <c r="AT5610">
        <v>1</v>
      </c>
      <c r="AU5610" t="s">
        <v>408</v>
      </c>
      <c r="AV5610" t="s">
        <v>409</v>
      </c>
      <c r="AW5610" t="s">
        <v>60</v>
      </c>
      <c r="AX5610" t="s">
        <v>68</v>
      </c>
      <c r="AY5610" t="s">
        <v>69</v>
      </c>
      <c r="AZ5610" t="b">
        <v>1</v>
      </c>
    </row>
    <row r="5611" spans="1:52" x14ac:dyDescent="0.3">
      <c r="A5611" t="s">
        <v>52</v>
      </c>
      <c r="B5611" t="s">
        <v>53</v>
      </c>
      <c r="C5611" t="s">
        <v>54</v>
      </c>
      <c r="D5611" t="s">
        <v>55</v>
      </c>
      <c r="E5611" t="s">
        <v>2280</v>
      </c>
      <c r="F5611" t="s">
        <v>190</v>
      </c>
      <c r="G5611" t="s">
        <v>410</v>
      </c>
      <c r="H5611" t="s">
        <v>411</v>
      </c>
      <c r="I5611" t="s">
        <v>411</v>
      </c>
      <c r="J5611" t="s">
        <v>60</v>
      </c>
      <c r="K5611" t="s">
        <v>388</v>
      </c>
      <c r="L5611" t="s">
        <v>62</v>
      </c>
      <c r="M5611" t="s">
        <v>388</v>
      </c>
      <c r="N5611" t="s">
        <v>412</v>
      </c>
      <c r="O5611" t="s">
        <v>413</v>
      </c>
      <c r="P5611">
        <v>-20.161394000000001</v>
      </c>
      <c r="Q5611">
        <v>-44.906725999999999</v>
      </c>
      <c r="R5611" s="2" t="str">
        <f>HYPERLINK("https://www.google.com/maps?q=-20.1613940,-44.9067260","Abrir no Google Maps")</f>
        <v>Abrir no Google Maps</v>
      </c>
      <c r="S5611">
        <v>3</v>
      </c>
      <c r="T5611">
        <v>763.68157548493457</v>
      </c>
      <c r="U5611">
        <v>4</v>
      </c>
      <c r="V5611">
        <v>0.99609375</v>
      </c>
      <c r="W5611">
        <v>1</v>
      </c>
      <c r="X5611">
        <v>0.99609375</v>
      </c>
      <c r="Y5611">
        <v>729</v>
      </c>
      <c r="Z5611">
        <v>551.70379325948545</v>
      </c>
      <c r="AA5611">
        <v>198</v>
      </c>
      <c r="AB5611">
        <v>332</v>
      </c>
      <c r="AC5611">
        <v>536</v>
      </c>
      <c r="AD5611">
        <v>27.77</v>
      </c>
      <c r="AE5611">
        <v>542</v>
      </c>
      <c r="AF5611">
        <v>26</v>
      </c>
      <c r="AG5611">
        <v>163</v>
      </c>
      <c r="AH5611">
        <v>129</v>
      </c>
      <c r="AI5611">
        <v>4.8</v>
      </c>
      <c r="AJ5611">
        <v>30.07</v>
      </c>
      <c r="AK5611">
        <v>23.8</v>
      </c>
      <c r="AL5611">
        <v>-20.161371049999929</v>
      </c>
      <c r="AM5611">
        <v>-44.906816797310228</v>
      </c>
      <c r="AN5611">
        <v>-20.161371049999929</v>
      </c>
      <c r="AO5611">
        <v>-44.906816797310228</v>
      </c>
      <c r="AP5611">
        <v>-20.161394000000001</v>
      </c>
      <c r="AQ5611">
        <v>-44.906725999999999</v>
      </c>
      <c r="AR5611">
        <v>9.8261555662022495</v>
      </c>
      <c r="AS5611" t="s">
        <v>65</v>
      </c>
      <c r="AT5611">
        <v>1</v>
      </c>
      <c r="AU5611" t="s">
        <v>414</v>
      </c>
      <c r="AV5611" t="s">
        <v>415</v>
      </c>
      <c r="AW5611" t="s">
        <v>60</v>
      </c>
      <c r="AX5611" t="s">
        <v>68</v>
      </c>
      <c r="AY5611" t="s">
        <v>69</v>
      </c>
      <c r="AZ5611" t="b">
        <v>1</v>
      </c>
    </row>
    <row r="5612" spans="1:52" x14ac:dyDescent="0.3">
      <c r="A5612" t="s">
        <v>52</v>
      </c>
      <c r="B5612" t="s">
        <v>53</v>
      </c>
      <c r="C5612" t="s">
        <v>54</v>
      </c>
      <c r="D5612" t="s">
        <v>55</v>
      </c>
      <c r="E5612" t="s">
        <v>2280</v>
      </c>
      <c r="F5612" t="s">
        <v>190</v>
      </c>
      <c r="G5612" t="s">
        <v>416</v>
      </c>
      <c r="H5612" t="s">
        <v>417</v>
      </c>
      <c r="I5612" t="s">
        <v>417</v>
      </c>
      <c r="J5612" t="s">
        <v>60</v>
      </c>
      <c r="K5612" t="s">
        <v>418</v>
      </c>
      <c r="L5612" t="s">
        <v>62</v>
      </c>
      <c r="M5612" t="s">
        <v>418</v>
      </c>
      <c r="N5612" t="s">
        <v>419</v>
      </c>
      <c r="O5612" t="s">
        <v>202</v>
      </c>
      <c r="P5612">
        <v>-20.169886000000002</v>
      </c>
      <c r="Q5612">
        <v>-44.913288000000001</v>
      </c>
      <c r="R5612" s="2" t="str">
        <f>HYPERLINK("https://www.google.com/maps?q=-20.1698860,-44.9132880","Abrir no Google Maps")</f>
        <v>Abrir no Google Maps</v>
      </c>
      <c r="S5612">
        <v>3</v>
      </c>
      <c r="T5612">
        <v>422.88733632898152</v>
      </c>
      <c r="U5612">
        <v>4</v>
      </c>
      <c r="V5612">
        <v>0.99630541871921197</v>
      </c>
      <c r="W5612">
        <v>1</v>
      </c>
      <c r="X5612">
        <v>0.99630541871921197</v>
      </c>
      <c r="Y5612">
        <v>723</v>
      </c>
      <c r="Z5612">
        <v>128.65003864232261</v>
      </c>
      <c r="AA5612">
        <v>198</v>
      </c>
      <c r="AB5612">
        <v>332</v>
      </c>
      <c r="AC5612">
        <v>536</v>
      </c>
      <c r="AD5612">
        <v>27.77</v>
      </c>
      <c r="AE5612">
        <v>542</v>
      </c>
      <c r="AF5612">
        <v>26</v>
      </c>
      <c r="AG5612">
        <v>163</v>
      </c>
      <c r="AH5612">
        <v>129</v>
      </c>
      <c r="AI5612">
        <v>4.8</v>
      </c>
      <c r="AJ5612">
        <v>30.07</v>
      </c>
      <c r="AK5612">
        <v>23.8</v>
      </c>
      <c r="AL5612">
        <v>-20.16970024999998</v>
      </c>
      <c r="AM5612">
        <v>-44.913502201257437</v>
      </c>
      <c r="AN5612">
        <v>-20.16970024999998</v>
      </c>
      <c r="AO5612">
        <v>-44.913502201257437</v>
      </c>
      <c r="AP5612">
        <v>-20.169886000000002</v>
      </c>
      <c r="AQ5612">
        <v>-44.913288000000001</v>
      </c>
      <c r="AR5612">
        <v>30.47208587597606</v>
      </c>
      <c r="AS5612" t="s">
        <v>65</v>
      </c>
      <c r="AT5612">
        <v>1</v>
      </c>
      <c r="AU5612" t="s">
        <v>420</v>
      </c>
      <c r="AV5612" t="s">
        <v>421</v>
      </c>
      <c r="AW5612" t="s">
        <v>60</v>
      </c>
      <c r="AX5612" t="s">
        <v>68</v>
      </c>
      <c r="AY5612" t="s">
        <v>69</v>
      </c>
      <c r="AZ5612" t="b">
        <v>1</v>
      </c>
    </row>
    <row r="5613" spans="1:52" x14ac:dyDescent="0.3">
      <c r="A5613" t="s">
        <v>52</v>
      </c>
      <c r="B5613" t="s">
        <v>53</v>
      </c>
      <c r="C5613" t="s">
        <v>54</v>
      </c>
      <c r="D5613" t="s">
        <v>55</v>
      </c>
      <c r="E5613" t="s">
        <v>2280</v>
      </c>
      <c r="F5613" t="s">
        <v>190</v>
      </c>
      <c r="G5613" t="s">
        <v>422</v>
      </c>
      <c r="H5613" t="s">
        <v>423</v>
      </c>
      <c r="I5613" t="s">
        <v>423</v>
      </c>
      <c r="J5613" t="s">
        <v>60</v>
      </c>
      <c r="K5613" t="s">
        <v>424</v>
      </c>
      <c r="L5613" t="s">
        <v>62</v>
      </c>
      <c r="M5613" t="s">
        <v>424</v>
      </c>
      <c r="N5613" t="s">
        <v>425</v>
      </c>
      <c r="O5613" t="s">
        <v>426</v>
      </c>
      <c r="P5613">
        <v>-20.177748000000001</v>
      </c>
      <c r="Q5613">
        <v>-44.912475000000001</v>
      </c>
      <c r="R5613" s="2" t="str">
        <f>HYPERLINK("https://www.google.com/maps?q=-20.1777480,-44.9124750","Abrir no Google Maps")</f>
        <v>Abrir no Google Maps</v>
      </c>
      <c r="S5613">
        <v>3</v>
      </c>
      <c r="T5613">
        <v>657.07560140436533</v>
      </c>
      <c r="U5613">
        <v>4</v>
      </c>
      <c r="V5613">
        <v>1</v>
      </c>
      <c r="W5613">
        <v>1</v>
      </c>
      <c r="X5613">
        <v>1</v>
      </c>
      <c r="Y5613">
        <v>723</v>
      </c>
      <c r="Z5613">
        <v>796.94198000561175</v>
      </c>
      <c r="AA5613">
        <v>198</v>
      </c>
      <c r="AB5613">
        <v>332</v>
      </c>
      <c r="AC5613">
        <v>536</v>
      </c>
      <c r="AD5613">
        <v>27.77</v>
      </c>
      <c r="AE5613">
        <v>542</v>
      </c>
      <c r="AF5613">
        <v>26</v>
      </c>
      <c r="AG5613">
        <v>163</v>
      </c>
      <c r="AH5613">
        <v>129</v>
      </c>
      <c r="AI5613">
        <v>4.8</v>
      </c>
      <c r="AJ5613">
        <v>30.07</v>
      </c>
      <c r="AK5613">
        <v>23.8</v>
      </c>
      <c r="AL5613">
        <v>-20.177761749999949</v>
      </c>
      <c r="AM5613">
        <v>-44.91263311624418</v>
      </c>
      <c r="AN5613">
        <v>-20.177761749999949</v>
      </c>
      <c r="AO5613">
        <v>-44.91263311624418</v>
      </c>
      <c r="AP5613">
        <v>-20.177748000000001</v>
      </c>
      <c r="AQ5613">
        <v>-44.912475000000001</v>
      </c>
      <c r="AR5613">
        <v>16.591996803075372</v>
      </c>
      <c r="AS5613" t="s">
        <v>65</v>
      </c>
      <c r="AT5613">
        <v>1</v>
      </c>
      <c r="AU5613" t="s">
        <v>427</v>
      </c>
      <c r="AV5613" t="s">
        <v>428</v>
      </c>
      <c r="AW5613" t="s">
        <v>60</v>
      </c>
      <c r="AX5613" t="s">
        <v>68</v>
      </c>
      <c r="AY5613" t="s">
        <v>69</v>
      </c>
      <c r="AZ5613" t="b">
        <v>1</v>
      </c>
    </row>
    <row r="5614" spans="1:52" x14ac:dyDescent="0.3">
      <c r="A5614" t="s">
        <v>52</v>
      </c>
      <c r="B5614" t="s">
        <v>53</v>
      </c>
      <c r="C5614" t="s">
        <v>54</v>
      </c>
      <c r="D5614" t="s">
        <v>55</v>
      </c>
      <c r="E5614" t="s">
        <v>2280</v>
      </c>
      <c r="F5614" t="s">
        <v>190</v>
      </c>
      <c r="G5614" t="s">
        <v>435</v>
      </c>
      <c r="H5614" t="s">
        <v>436</v>
      </c>
      <c r="I5614" t="s">
        <v>436</v>
      </c>
      <c r="J5614" t="s">
        <v>60</v>
      </c>
      <c r="K5614" t="s">
        <v>437</v>
      </c>
      <c r="L5614" t="s">
        <v>62</v>
      </c>
      <c r="M5614" t="s">
        <v>437</v>
      </c>
      <c r="N5614" t="s">
        <v>438</v>
      </c>
      <c r="O5614" t="s">
        <v>439</v>
      </c>
      <c r="P5614">
        <v>-20.145613000000001</v>
      </c>
      <c r="Q5614">
        <v>-44.882375000000003</v>
      </c>
      <c r="R5614" s="2" t="str">
        <f>HYPERLINK("https://www.google.com/maps?q=-20.1456130,-44.8823750","Abrir no Google Maps")</f>
        <v>Abrir no Google Maps</v>
      </c>
      <c r="S5614">
        <v>3</v>
      </c>
      <c r="T5614">
        <v>305.65092112314198</v>
      </c>
      <c r="U5614">
        <v>4</v>
      </c>
      <c r="V5614">
        <v>1</v>
      </c>
      <c r="W5614">
        <v>1</v>
      </c>
      <c r="X5614">
        <v>1</v>
      </c>
      <c r="Y5614">
        <v>653</v>
      </c>
      <c r="Z5614">
        <v>349.55297035282501</v>
      </c>
      <c r="AA5614">
        <v>198</v>
      </c>
      <c r="AB5614">
        <v>332</v>
      </c>
      <c r="AC5614">
        <v>536</v>
      </c>
      <c r="AD5614">
        <v>27.77</v>
      </c>
      <c r="AE5614">
        <v>542</v>
      </c>
      <c r="AF5614">
        <v>26</v>
      </c>
      <c r="AG5614">
        <v>163</v>
      </c>
      <c r="AH5614">
        <v>129</v>
      </c>
      <c r="AI5614">
        <v>4.8</v>
      </c>
      <c r="AJ5614">
        <v>30.07</v>
      </c>
      <c r="AK5614">
        <v>23.8</v>
      </c>
      <c r="AL5614">
        <v>-20.14550464999996</v>
      </c>
      <c r="AM5614">
        <v>-44.882157007077737</v>
      </c>
      <c r="AN5614">
        <v>-20.14550464999996</v>
      </c>
      <c r="AO5614">
        <v>-44.882157007077737</v>
      </c>
      <c r="AP5614">
        <v>-20.145613000000001</v>
      </c>
      <c r="AQ5614">
        <v>-44.882375000000003</v>
      </c>
      <c r="AR5614">
        <v>25.77819791856259</v>
      </c>
      <c r="AS5614" t="s">
        <v>65</v>
      </c>
      <c r="AT5614">
        <v>1</v>
      </c>
      <c r="AU5614" t="s">
        <v>440</v>
      </c>
      <c r="AV5614" t="s">
        <v>441</v>
      </c>
      <c r="AW5614" t="s">
        <v>60</v>
      </c>
      <c r="AX5614" t="s">
        <v>68</v>
      </c>
      <c r="AY5614" t="s">
        <v>69</v>
      </c>
      <c r="AZ5614" t="b">
        <v>1</v>
      </c>
    </row>
    <row r="5615" spans="1:52" x14ac:dyDescent="0.3">
      <c r="A5615" t="s">
        <v>52</v>
      </c>
      <c r="B5615" t="s">
        <v>53</v>
      </c>
      <c r="C5615" t="s">
        <v>54</v>
      </c>
      <c r="D5615" t="s">
        <v>55</v>
      </c>
      <c r="E5615" t="s">
        <v>2280</v>
      </c>
      <c r="F5615" t="s">
        <v>190</v>
      </c>
      <c r="G5615" t="s">
        <v>442</v>
      </c>
      <c r="H5615" t="s">
        <v>443</v>
      </c>
      <c r="I5615" t="s">
        <v>443</v>
      </c>
      <c r="J5615" t="s">
        <v>60</v>
      </c>
      <c r="K5615" t="s">
        <v>437</v>
      </c>
      <c r="L5615" t="s">
        <v>62</v>
      </c>
      <c r="M5615" t="s">
        <v>437</v>
      </c>
      <c r="N5615" t="s">
        <v>444</v>
      </c>
      <c r="O5615" t="s">
        <v>445</v>
      </c>
      <c r="P5615">
        <v>-20.149744999999999</v>
      </c>
      <c r="Q5615">
        <v>-44.881385000000002</v>
      </c>
      <c r="R5615" s="2" t="str">
        <f>HYPERLINK("https://www.google.com/maps?q=-20.1497450,-44.8813850","Abrir no Google Maps")</f>
        <v>Abrir no Google Maps</v>
      </c>
      <c r="S5615">
        <v>3</v>
      </c>
      <c r="T5615">
        <v>188.80690546111239</v>
      </c>
      <c r="U5615">
        <v>4</v>
      </c>
      <c r="V5615">
        <v>0.998987854251012</v>
      </c>
      <c r="W5615">
        <v>1</v>
      </c>
      <c r="X5615">
        <v>0.998987854251012</v>
      </c>
      <c r="Y5615">
        <v>653</v>
      </c>
      <c r="Z5615">
        <v>86.575080390731017</v>
      </c>
      <c r="AA5615">
        <v>198</v>
      </c>
      <c r="AB5615">
        <v>332</v>
      </c>
      <c r="AC5615">
        <v>536</v>
      </c>
      <c r="AD5615">
        <v>27.77</v>
      </c>
      <c r="AE5615">
        <v>542</v>
      </c>
      <c r="AF5615">
        <v>26</v>
      </c>
      <c r="AG5615">
        <v>163</v>
      </c>
      <c r="AH5615">
        <v>129</v>
      </c>
      <c r="AI5615">
        <v>4.8</v>
      </c>
      <c r="AJ5615">
        <v>30.07</v>
      </c>
      <c r="AK5615">
        <v>23.8</v>
      </c>
      <c r="AL5615">
        <v>-20.149645149999941</v>
      </c>
      <c r="AM5615">
        <v>-44.881504585149607</v>
      </c>
      <c r="AN5615">
        <v>-20.149645149999941</v>
      </c>
      <c r="AO5615">
        <v>-44.881504585149607</v>
      </c>
      <c r="AP5615">
        <v>-20.149744999999999</v>
      </c>
      <c r="AQ5615">
        <v>-44.881385000000002</v>
      </c>
      <c r="AR5615">
        <v>16.725323110840389</v>
      </c>
      <c r="AS5615" t="s">
        <v>65</v>
      </c>
      <c r="AT5615">
        <v>1</v>
      </c>
      <c r="AU5615" t="s">
        <v>446</v>
      </c>
      <c r="AV5615" t="s">
        <v>447</v>
      </c>
      <c r="AW5615" t="s">
        <v>60</v>
      </c>
      <c r="AX5615" t="s">
        <v>68</v>
      </c>
      <c r="AY5615" t="s">
        <v>69</v>
      </c>
      <c r="AZ5615" t="b">
        <v>1</v>
      </c>
    </row>
    <row r="5616" spans="1:52" x14ac:dyDescent="0.3">
      <c r="A5616" t="s">
        <v>52</v>
      </c>
      <c r="B5616" t="s">
        <v>53</v>
      </c>
      <c r="C5616" t="s">
        <v>54</v>
      </c>
      <c r="D5616" t="s">
        <v>55</v>
      </c>
      <c r="E5616" t="s">
        <v>2280</v>
      </c>
      <c r="F5616" t="s">
        <v>190</v>
      </c>
      <c r="G5616" t="s">
        <v>448</v>
      </c>
      <c r="H5616" t="s">
        <v>449</v>
      </c>
      <c r="I5616" t="s">
        <v>449</v>
      </c>
      <c r="J5616" t="s">
        <v>60</v>
      </c>
      <c r="K5616" t="s">
        <v>388</v>
      </c>
      <c r="L5616" t="s">
        <v>62</v>
      </c>
      <c r="M5616" t="s">
        <v>388</v>
      </c>
      <c r="N5616" t="s">
        <v>450</v>
      </c>
      <c r="O5616" t="s">
        <v>451</v>
      </c>
      <c r="P5616">
        <v>-20.163981</v>
      </c>
      <c r="Q5616">
        <v>-44.907128999999998</v>
      </c>
      <c r="R5616" s="2" t="str">
        <f>HYPERLINK("https://www.google.com/maps?q=-20.1639810,-44.9071290","Abrir no Google Maps")</f>
        <v>Abrir no Google Maps</v>
      </c>
      <c r="S5616">
        <v>3</v>
      </c>
      <c r="T5616">
        <v>782.50730806588319</v>
      </c>
      <c r="U5616">
        <v>4</v>
      </c>
      <c r="V5616">
        <v>0.9978813559322034</v>
      </c>
      <c r="W5616">
        <v>1</v>
      </c>
      <c r="X5616">
        <v>0.9978813559322034</v>
      </c>
      <c r="Y5616">
        <v>639</v>
      </c>
      <c r="Z5616">
        <v>710.90621453796166</v>
      </c>
      <c r="AA5616">
        <v>198</v>
      </c>
      <c r="AB5616">
        <v>332</v>
      </c>
      <c r="AC5616">
        <v>536</v>
      </c>
      <c r="AD5616">
        <v>27.77</v>
      </c>
      <c r="AE5616">
        <v>542</v>
      </c>
      <c r="AF5616">
        <v>26</v>
      </c>
      <c r="AG5616">
        <v>163</v>
      </c>
      <c r="AH5616">
        <v>129</v>
      </c>
      <c r="AI5616">
        <v>4.8</v>
      </c>
      <c r="AJ5616">
        <v>30.07</v>
      </c>
      <c r="AK5616">
        <v>23.8</v>
      </c>
      <c r="AL5616">
        <v>-20.163958349999969</v>
      </c>
      <c r="AM5616">
        <v>-44.907180923930973</v>
      </c>
      <c r="AN5616">
        <v>-20.163958349999969</v>
      </c>
      <c r="AO5616">
        <v>-44.907180923930973</v>
      </c>
      <c r="AP5616">
        <v>-20.163981</v>
      </c>
      <c r="AQ5616">
        <v>-44.907128999999998</v>
      </c>
      <c r="AR5616">
        <v>5.9831345092457884</v>
      </c>
      <c r="AS5616" t="s">
        <v>65</v>
      </c>
      <c r="AT5616">
        <v>1</v>
      </c>
      <c r="AU5616" t="s">
        <v>452</v>
      </c>
      <c r="AV5616" t="s">
        <v>453</v>
      </c>
      <c r="AW5616" t="s">
        <v>60</v>
      </c>
      <c r="AX5616" t="s">
        <v>68</v>
      </c>
      <c r="AY5616" t="s">
        <v>69</v>
      </c>
      <c r="AZ5616" t="b">
        <v>1</v>
      </c>
    </row>
    <row r="5617" spans="1:52" x14ac:dyDescent="0.3">
      <c r="A5617" t="s">
        <v>52</v>
      </c>
      <c r="B5617" t="s">
        <v>53</v>
      </c>
      <c r="C5617" t="s">
        <v>54</v>
      </c>
      <c r="D5617" t="s">
        <v>55</v>
      </c>
      <c r="E5617" t="s">
        <v>2280</v>
      </c>
      <c r="F5617" t="s">
        <v>190</v>
      </c>
      <c r="G5617" t="s">
        <v>454</v>
      </c>
      <c r="H5617" t="s">
        <v>455</v>
      </c>
      <c r="I5617" t="s">
        <v>455</v>
      </c>
      <c r="J5617" t="s">
        <v>60</v>
      </c>
      <c r="K5617" t="s">
        <v>456</v>
      </c>
      <c r="L5617" t="s">
        <v>62</v>
      </c>
      <c r="M5617" t="s">
        <v>456</v>
      </c>
      <c r="N5617" t="s">
        <v>102</v>
      </c>
      <c r="O5617" t="s">
        <v>457</v>
      </c>
      <c r="P5617">
        <v>-20.138373999999999</v>
      </c>
      <c r="Q5617">
        <v>-44.903756999999999</v>
      </c>
      <c r="R5617" s="2" t="str">
        <f>HYPERLINK("https://www.google.com/maps?q=-20.1383740,-44.9037570","Abrir no Google Maps")</f>
        <v>Abrir no Google Maps</v>
      </c>
      <c r="S5617">
        <v>3</v>
      </c>
      <c r="T5617">
        <v>357.59466273594461</v>
      </c>
      <c r="U5617">
        <v>4</v>
      </c>
      <c r="V5617">
        <v>0.99652777777777757</v>
      </c>
      <c r="W5617">
        <v>1</v>
      </c>
      <c r="X5617">
        <v>0.99652777777777757</v>
      </c>
      <c r="Y5617">
        <v>581</v>
      </c>
      <c r="Z5617">
        <v>406.92482694505992</v>
      </c>
      <c r="AA5617">
        <v>198</v>
      </c>
      <c r="AB5617">
        <v>332</v>
      </c>
      <c r="AC5617">
        <v>536</v>
      </c>
      <c r="AD5617">
        <v>27.77</v>
      </c>
      <c r="AE5617">
        <v>542</v>
      </c>
      <c r="AF5617">
        <v>26</v>
      </c>
      <c r="AG5617">
        <v>163</v>
      </c>
      <c r="AH5617">
        <v>129</v>
      </c>
      <c r="AI5617">
        <v>4.8</v>
      </c>
      <c r="AJ5617">
        <v>30.07</v>
      </c>
      <c r="AK5617">
        <v>23.8</v>
      </c>
      <c r="AL5617">
        <v>-20.138338199999961</v>
      </c>
      <c r="AM5617">
        <v>-44.903768618976301</v>
      </c>
      <c r="AN5617">
        <v>-20.138338199999961</v>
      </c>
      <c r="AO5617">
        <v>-44.903768618976301</v>
      </c>
      <c r="AP5617">
        <v>-20.138373999999999</v>
      </c>
      <c r="AQ5617">
        <v>-44.903756999999999</v>
      </c>
      <c r="AR5617">
        <v>4.1661625938922704</v>
      </c>
      <c r="AS5617" t="s">
        <v>65</v>
      </c>
      <c r="AT5617">
        <v>1</v>
      </c>
      <c r="AU5617" t="s">
        <v>458</v>
      </c>
      <c r="AV5617" t="s">
        <v>459</v>
      </c>
      <c r="AW5617" t="s">
        <v>60</v>
      </c>
      <c r="AX5617" t="s">
        <v>68</v>
      </c>
      <c r="AY5617" t="s">
        <v>69</v>
      </c>
      <c r="AZ5617" t="b">
        <v>1</v>
      </c>
    </row>
    <row r="5618" spans="1:52" x14ac:dyDescent="0.3">
      <c r="A5618" t="s">
        <v>52</v>
      </c>
      <c r="B5618" t="s">
        <v>53</v>
      </c>
      <c r="C5618" t="s">
        <v>54</v>
      </c>
      <c r="D5618" t="s">
        <v>55</v>
      </c>
      <c r="E5618" t="s">
        <v>2280</v>
      </c>
      <c r="F5618" t="s">
        <v>190</v>
      </c>
      <c r="G5618" t="s">
        <v>460</v>
      </c>
      <c r="H5618" t="s">
        <v>461</v>
      </c>
      <c r="I5618" t="s">
        <v>461</v>
      </c>
      <c r="J5618" t="s">
        <v>60</v>
      </c>
      <c r="K5618" t="s">
        <v>462</v>
      </c>
      <c r="L5618" t="s">
        <v>62</v>
      </c>
      <c r="M5618" t="s">
        <v>462</v>
      </c>
      <c r="N5618" t="s">
        <v>463</v>
      </c>
      <c r="O5618" t="s">
        <v>464</v>
      </c>
      <c r="P5618">
        <v>-20.137919</v>
      </c>
      <c r="Q5618">
        <v>-44.905591000000001</v>
      </c>
      <c r="R5618" s="2" t="str">
        <f>HYPERLINK("https://www.google.com/maps?q=-20.1379190,-44.9055910","Abrir no Google Maps")</f>
        <v>Abrir no Google Maps</v>
      </c>
      <c r="S5618">
        <v>3</v>
      </c>
      <c r="T5618">
        <v>262.01115919461103</v>
      </c>
      <c r="U5618">
        <v>4</v>
      </c>
      <c r="V5618">
        <v>1</v>
      </c>
      <c r="W5618">
        <v>1</v>
      </c>
      <c r="X5618">
        <v>1</v>
      </c>
      <c r="Y5618">
        <v>581</v>
      </c>
      <c r="Z5618">
        <v>318.63337303219271</v>
      </c>
      <c r="AA5618">
        <v>198</v>
      </c>
      <c r="AB5618">
        <v>332</v>
      </c>
      <c r="AC5618">
        <v>536</v>
      </c>
      <c r="AD5618">
        <v>27.77</v>
      </c>
      <c r="AE5618">
        <v>542</v>
      </c>
      <c r="AF5618">
        <v>26</v>
      </c>
      <c r="AG5618">
        <v>163</v>
      </c>
      <c r="AH5618">
        <v>129</v>
      </c>
      <c r="AI5618">
        <v>4.8</v>
      </c>
      <c r="AJ5618">
        <v>30.07</v>
      </c>
      <c r="AK5618">
        <v>23.8</v>
      </c>
      <c r="AL5618">
        <v>-20.13789079999998</v>
      </c>
      <c r="AM5618">
        <v>-44.90548593520333</v>
      </c>
      <c r="AN5618">
        <v>-20.13789079999998</v>
      </c>
      <c r="AO5618">
        <v>-44.90548593520333</v>
      </c>
      <c r="AP5618">
        <v>-20.137919</v>
      </c>
      <c r="AQ5618">
        <v>-44.905591000000001</v>
      </c>
      <c r="AR5618">
        <v>11.42072348298178</v>
      </c>
      <c r="AS5618" t="s">
        <v>65</v>
      </c>
      <c r="AT5618">
        <v>1</v>
      </c>
      <c r="AU5618" t="s">
        <v>465</v>
      </c>
      <c r="AV5618" t="s">
        <v>466</v>
      </c>
      <c r="AW5618" t="s">
        <v>60</v>
      </c>
      <c r="AX5618" t="s">
        <v>68</v>
      </c>
      <c r="AY5618" t="s">
        <v>69</v>
      </c>
      <c r="AZ5618" t="b">
        <v>1</v>
      </c>
    </row>
    <row r="5619" spans="1:52" x14ac:dyDescent="0.3">
      <c r="A5619" t="s">
        <v>52</v>
      </c>
      <c r="B5619" t="s">
        <v>53</v>
      </c>
      <c r="C5619" t="s">
        <v>54</v>
      </c>
      <c r="D5619" t="s">
        <v>55</v>
      </c>
      <c r="E5619" t="s">
        <v>2280</v>
      </c>
      <c r="F5619" t="s">
        <v>190</v>
      </c>
      <c r="G5619" t="s">
        <v>467</v>
      </c>
      <c r="H5619" t="s">
        <v>468</v>
      </c>
      <c r="I5619" t="s">
        <v>468</v>
      </c>
      <c r="J5619" t="s">
        <v>60</v>
      </c>
      <c r="K5619" t="s">
        <v>462</v>
      </c>
      <c r="L5619" t="s">
        <v>62</v>
      </c>
      <c r="M5619" t="s">
        <v>462</v>
      </c>
      <c r="N5619" t="s">
        <v>469</v>
      </c>
      <c r="O5619" t="s">
        <v>470</v>
      </c>
      <c r="P5619">
        <v>-20.138233</v>
      </c>
      <c r="Q5619">
        <v>-44.908200000000001</v>
      </c>
      <c r="R5619" s="2" t="str">
        <f>HYPERLINK("https://www.google.com/maps?q=-20.1382330,-44.9082000","Abrir no Google Maps")</f>
        <v>Abrir no Google Maps</v>
      </c>
      <c r="S5619">
        <v>3</v>
      </c>
      <c r="T5619">
        <v>0</v>
      </c>
      <c r="U5619">
        <v>4</v>
      </c>
      <c r="V5619">
        <v>1</v>
      </c>
      <c r="W5619">
        <v>1</v>
      </c>
      <c r="X5619">
        <v>1</v>
      </c>
      <c r="Y5619">
        <v>581</v>
      </c>
      <c r="Z5619">
        <v>153.18688302958171</v>
      </c>
      <c r="AA5619">
        <v>198</v>
      </c>
      <c r="AB5619">
        <v>332</v>
      </c>
      <c r="AC5619">
        <v>536</v>
      </c>
      <c r="AD5619">
        <v>27.77</v>
      </c>
      <c r="AE5619">
        <v>542</v>
      </c>
      <c r="AF5619">
        <v>26</v>
      </c>
      <c r="AG5619">
        <v>163</v>
      </c>
      <c r="AH5619">
        <v>129</v>
      </c>
      <c r="AI5619">
        <v>4.8</v>
      </c>
      <c r="AJ5619">
        <v>30.07</v>
      </c>
      <c r="AK5619">
        <v>23.8</v>
      </c>
      <c r="AL5619">
        <v>-20.138364899999971</v>
      </c>
      <c r="AM5619">
        <v>-44.907942114873997</v>
      </c>
      <c r="AN5619">
        <v>-20.138364899999971</v>
      </c>
      <c r="AO5619">
        <v>-44.907942114873997</v>
      </c>
      <c r="AP5619">
        <v>-20.138233</v>
      </c>
      <c r="AQ5619">
        <v>-44.908200000000001</v>
      </c>
      <c r="AR5619">
        <v>30.692690617986941</v>
      </c>
      <c r="AS5619" t="s">
        <v>65</v>
      </c>
      <c r="AT5619">
        <v>1</v>
      </c>
      <c r="AU5619" t="s">
        <v>471</v>
      </c>
      <c r="AV5619" t="s">
        <v>472</v>
      </c>
      <c r="AW5619" t="s">
        <v>60</v>
      </c>
      <c r="AX5619" t="s">
        <v>68</v>
      </c>
      <c r="AY5619" t="s">
        <v>69</v>
      </c>
      <c r="AZ5619" t="b">
        <v>1</v>
      </c>
    </row>
    <row r="5620" spans="1:52" x14ac:dyDescent="0.3">
      <c r="A5620" t="s">
        <v>52</v>
      </c>
      <c r="B5620" t="s">
        <v>53</v>
      </c>
      <c r="C5620" t="s">
        <v>54</v>
      </c>
      <c r="D5620" t="s">
        <v>55</v>
      </c>
      <c r="E5620" t="s">
        <v>2280</v>
      </c>
      <c r="F5620" t="s">
        <v>190</v>
      </c>
      <c r="G5620" t="s">
        <v>851</v>
      </c>
      <c r="H5620" t="s">
        <v>852</v>
      </c>
      <c r="I5620" t="s">
        <v>852</v>
      </c>
      <c r="J5620" t="s">
        <v>60</v>
      </c>
      <c r="K5620" t="s">
        <v>853</v>
      </c>
      <c r="L5620" t="s">
        <v>62</v>
      </c>
      <c r="M5620" t="s">
        <v>853</v>
      </c>
      <c r="N5620" t="s">
        <v>854</v>
      </c>
      <c r="O5620" t="s">
        <v>855</v>
      </c>
      <c r="P5620">
        <v>-20.127835000000001</v>
      </c>
      <c r="Q5620">
        <v>-44.909329</v>
      </c>
      <c r="R5620" s="2" t="str">
        <f>HYPERLINK("https://www.google.com/maps?q=-20.1278350,-44.9093290","Abrir no Google Maps")</f>
        <v>Abrir no Google Maps</v>
      </c>
      <c r="S5620">
        <v>3</v>
      </c>
      <c r="T5620">
        <v>1173.033690896357</v>
      </c>
      <c r="U5620">
        <v>4</v>
      </c>
      <c r="V5620">
        <v>0.99869109947643964</v>
      </c>
      <c r="W5620">
        <v>1</v>
      </c>
      <c r="X5620">
        <v>0.99869109947643964</v>
      </c>
      <c r="Y5620">
        <v>581</v>
      </c>
      <c r="Z5620">
        <v>1296.5011565926129</v>
      </c>
      <c r="AA5620">
        <v>198</v>
      </c>
      <c r="AB5620">
        <v>332</v>
      </c>
      <c r="AC5620">
        <v>536</v>
      </c>
      <c r="AD5620">
        <v>27.77</v>
      </c>
      <c r="AE5620">
        <v>542</v>
      </c>
      <c r="AF5620">
        <v>26</v>
      </c>
      <c r="AG5620">
        <v>163</v>
      </c>
      <c r="AH5620">
        <v>129</v>
      </c>
      <c r="AI5620">
        <v>4.8</v>
      </c>
      <c r="AJ5620">
        <v>30.07</v>
      </c>
      <c r="AK5620">
        <v>23.8</v>
      </c>
      <c r="AL5620">
        <v>-20.127852899999969</v>
      </c>
      <c r="AM5620">
        <v>-44.909386667699948</v>
      </c>
      <c r="AN5620">
        <v>-20.127852899999969</v>
      </c>
      <c r="AO5620">
        <v>-44.909386667699948</v>
      </c>
      <c r="AP5620">
        <v>-20.127835000000001</v>
      </c>
      <c r="AQ5620">
        <v>-44.909329</v>
      </c>
      <c r="AR5620">
        <v>6.3483385067119924</v>
      </c>
      <c r="AS5620" t="s">
        <v>65</v>
      </c>
      <c r="AT5620">
        <v>1</v>
      </c>
      <c r="AU5620" t="s">
        <v>856</v>
      </c>
      <c r="AV5620" t="s">
        <v>857</v>
      </c>
      <c r="AW5620" t="s">
        <v>60</v>
      </c>
      <c r="AX5620" t="s">
        <v>68</v>
      </c>
      <c r="AY5620" t="s">
        <v>69</v>
      </c>
      <c r="AZ5620" t="b">
        <v>1</v>
      </c>
    </row>
    <row r="5621" spans="1:52" x14ac:dyDescent="0.3">
      <c r="A5621" t="s">
        <v>52</v>
      </c>
      <c r="B5621" t="s">
        <v>53</v>
      </c>
      <c r="C5621" t="s">
        <v>54</v>
      </c>
      <c r="D5621" t="s">
        <v>55</v>
      </c>
      <c r="E5621" t="s">
        <v>2280</v>
      </c>
      <c r="F5621" t="s">
        <v>190</v>
      </c>
      <c r="G5621" t="s">
        <v>864</v>
      </c>
      <c r="H5621" t="s">
        <v>865</v>
      </c>
      <c r="I5621" t="s">
        <v>865</v>
      </c>
      <c r="J5621" t="s">
        <v>60</v>
      </c>
      <c r="K5621" t="s">
        <v>486</v>
      </c>
      <c r="L5621" t="s">
        <v>62</v>
      </c>
      <c r="M5621" t="s">
        <v>486</v>
      </c>
      <c r="N5621" t="s">
        <v>866</v>
      </c>
      <c r="O5621" t="s">
        <v>867</v>
      </c>
      <c r="P5621">
        <v>-20.170919000000001</v>
      </c>
      <c r="Q5621">
        <v>-44.905451999999997</v>
      </c>
      <c r="R5621" s="2" t="str">
        <f>HYPERLINK("https://www.google.com/maps?q=-20.1709190,-44.9054520","Abrir no Google Maps")</f>
        <v>Abrir no Google Maps</v>
      </c>
      <c r="S5621">
        <v>3</v>
      </c>
      <c r="T5621">
        <v>0</v>
      </c>
      <c r="U5621">
        <v>4</v>
      </c>
      <c r="V5621">
        <v>0.9990347490347492</v>
      </c>
      <c r="W5621">
        <v>1</v>
      </c>
      <c r="X5621">
        <v>0.9990347490347492</v>
      </c>
      <c r="Y5621">
        <v>578</v>
      </c>
      <c r="Z5621">
        <v>205.34598855748419</v>
      </c>
      <c r="AA5621">
        <v>198</v>
      </c>
      <c r="AB5621">
        <v>332</v>
      </c>
      <c r="AC5621">
        <v>536</v>
      </c>
      <c r="AD5621">
        <v>27.77</v>
      </c>
      <c r="AE5621">
        <v>542</v>
      </c>
      <c r="AF5621">
        <v>26</v>
      </c>
      <c r="AG5621">
        <v>163</v>
      </c>
      <c r="AH5621">
        <v>129</v>
      </c>
      <c r="AI5621">
        <v>4.8</v>
      </c>
      <c r="AJ5621">
        <v>30.07</v>
      </c>
      <c r="AK5621">
        <v>23.8</v>
      </c>
      <c r="AL5621">
        <v>-20.170854399999939</v>
      </c>
      <c r="AM5621">
        <v>-44.905524839633358</v>
      </c>
      <c r="AN5621">
        <v>-20.170854399999939</v>
      </c>
      <c r="AO5621">
        <v>-44.905524839633358</v>
      </c>
      <c r="AP5621">
        <v>-20.170919000000001</v>
      </c>
      <c r="AQ5621">
        <v>-44.905451999999997</v>
      </c>
      <c r="AR5621">
        <v>10.471140355179269</v>
      </c>
      <c r="AS5621" t="s">
        <v>65</v>
      </c>
      <c r="AT5621">
        <v>1</v>
      </c>
      <c r="AU5621" t="s">
        <v>868</v>
      </c>
      <c r="AV5621" t="s">
        <v>869</v>
      </c>
      <c r="AW5621" t="s">
        <v>60</v>
      </c>
      <c r="AX5621" t="s">
        <v>68</v>
      </c>
      <c r="AY5621" t="s">
        <v>69</v>
      </c>
      <c r="AZ5621" t="b">
        <v>1</v>
      </c>
    </row>
    <row r="5622" spans="1:52" x14ac:dyDescent="0.3">
      <c r="A5622" t="s">
        <v>52</v>
      </c>
      <c r="B5622" t="s">
        <v>53</v>
      </c>
      <c r="C5622" t="s">
        <v>54</v>
      </c>
      <c r="D5622" t="s">
        <v>55</v>
      </c>
      <c r="E5622" t="s">
        <v>2280</v>
      </c>
      <c r="F5622" t="s">
        <v>190</v>
      </c>
      <c r="G5622" t="s">
        <v>473</v>
      </c>
      <c r="H5622" t="s">
        <v>474</v>
      </c>
      <c r="I5622" t="s">
        <v>474</v>
      </c>
      <c r="J5622" t="s">
        <v>60</v>
      </c>
      <c r="K5622" t="s">
        <v>475</v>
      </c>
      <c r="L5622" t="s">
        <v>62</v>
      </c>
      <c r="M5622" t="s">
        <v>475</v>
      </c>
      <c r="N5622" t="s">
        <v>406</v>
      </c>
      <c r="O5622" t="s">
        <v>476</v>
      </c>
      <c r="P5622">
        <v>-20.177902</v>
      </c>
      <c r="Q5622">
        <v>-44.908504000000001</v>
      </c>
      <c r="R5622" s="2" t="str">
        <f>HYPERLINK("https://www.google.com/maps?q=-20.1779020,-44.9085040","Abrir no Google Maps")</f>
        <v>Abrir no Google Maps</v>
      </c>
      <c r="S5622">
        <v>3</v>
      </c>
      <c r="T5622">
        <v>656.92307673247149</v>
      </c>
      <c r="U5622">
        <v>4</v>
      </c>
      <c r="V5622">
        <v>1</v>
      </c>
      <c r="W5622">
        <v>1</v>
      </c>
      <c r="X5622">
        <v>1</v>
      </c>
      <c r="Y5622">
        <v>578</v>
      </c>
      <c r="Z5622">
        <v>635.01982153722327</v>
      </c>
      <c r="AA5622">
        <v>198</v>
      </c>
      <c r="AB5622">
        <v>332</v>
      </c>
      <c r="AC5622">
        <v>536</v>
      </c>
      <c r="AD5622">
        <v>27.77</v>
      </c>
      <c r="AE5622">
        <v>542</v>
      </c>
      <c r="AF5622">
        <v>26</v>
      </c>
      <c r="AG5622">
        <v>163</v>
      </c>
      <c r="AH5622">
        <v>129</v>
      </c>
      <c r="AI5622">
        <v>4.8</v>
      </c>
      <c r="AJ5622">
        <v>30.07</v>
      </c>
      <c r="AK5622">
        <v>23.8</v>
      </c>
      <c r="AL5622">
        <v>-20.177800399999938</v>
      </c>
      <c r="AM5622">
        <v>-44.908361879701268</v>
      </c>
      <c r="AN5622">
        <v>-20.177800399999938</v>
      </c>
      <c r="AO5622">
        <v>-44.908361879701268</v>
      </c>
      <c r="AP5622">
        <v>-20.177902</v>
      </c>
      <c r="AQ5622">
        <v>-44.908504000000001</v>
      </c>
      <c r="AR5622">
        <v>18.666463141775541</v>
      </c>
      <c r="AS5622" t="s">
        <v>65</v>
      </c>
      <c r="AT5622">
        <v>1</v>
      </c>
      <c r="AU5622" t="s">
        <v>477</v>
      </c>
      <c r="AV5622" t="s">
        <v>478</v>
      </c>
      <c r="AW5622" t="s">
        <v>60</v>
      </c>
      <c r="AX5622" t="s">
        <v>68</v>
      </c>
      <c r="AY5622" t="s">
        <v>69</v>
      </c>
      <c r="AZ5622" t="b">
        <v>1</v>
      </c>
    </row>
    <row r="5623" spans="1:52" x14ac:dyDescent="0.3">
      <c r="A5623" t="s">
        <v>52</v>
      </c>
      <c r="B5623" t="s">
        <v>53</v>
      </c>
      <c r="C5623" t="s">
        <v>54</v>
      </c>
      <c r="D5623" t="s">
        <v>55</v>
      </c>
      <c r="E5623" t="s">
        <v>2280</v>
      </c>
      <c r="F5623" t="s">
        <v>190</v>
      </c>
      <c r="G5623" t="s">
        <v>484</v>
      </c>
      <c r="H5623" t="s">
        <v>485</v>
      </c>
      <c r="I5623" t="s">
        <v>485</v>
      </c>
      <c r="J5623" t="s">
        <v>60</v>
      </c>
      <c r="K5623" t="s">
        <v>486</v>
      </c>
      <c r="L5623" t="s">
        <v>62</v>
      </c>
      <c r="M5623" t="s">
        <v>486</v>
      </c>
      <c r="N5623" t="s">
        <v>487</v>
      </c>
      <c r="O5623" t="s">
        <v>488</v>
      </c>
      <c r="P5623">
        <v>-20.173000999999999</v>
      </c>
      <c r="Q5623">
        <v>-44.901876999999999</v>
      </c>
      <c r="R5623" s="2" t="str">
        <f>HYPERLINK("https://www.google.com/maps?q=-20.1730010,-44.9018770","Abrir no Google Maps")</f>
        <v>Abrir no Google Maps</v>
      </c>
      <c r="S5623">
        <v>3</v>
      </c>
      <c r="T5623">
        <v>437.59695450783011</v>
      </c>
      <c r="U5623">
        <v>4</v>
      </c>
      <c r="V5623">
        <v>0.99887387387387383</v>
      </c>
      <c r="W5623">
        <v>1</v>
      </c>
      <c r="X5623">
        <v>0.99887387387387383</v>
      </c>
      <c r="Y5623">
        <v>578</v>
      </c>
      <c r="Z5623">
        <v>440.53629183653243</v>
      </c>
      <c r="AA5623">
        <v>198</v>
      </c>
      <c r="AB5623">
        <v>332</v>
      </c>
      <c r="AC5623">
        <v>536</v>
      </c>
      <c r="AD5623">
        <v>27.77</v>
      </c>
      <c r="AE5623">
        <v>542</v>
      </c>
      <c r="AF5623">
        <v>26</v>
      </c>
      <c r="AG5623">
        <v>163</v>
      </c>
      <c r="AH5623">
        <v>129</v>
      </c>
      <c r="AI5623">
        <v>4.8</v>
      </c>
      <c r="AJ5623">
        <v>30.07</v>
      </c>
      <c r="AK5623">
        <v>23.8</v>
      </c>
      <c r="AL5623">
        <v>-20.173065299999969</v>
      </c>
      <c r="AM5623">
        <v>-44.902052686008687</v>
      </c>
      <c r="AN5623">
        <v>-20.173065299999969</v>
      </c>
      <c r="AO5623">
        <v>-44.902052686008687</v>
      </c>
      <c r="AP5623">
        <v>-20.173000999999999</v>
      </c>
      <c r="AQ5623">
        <v>-44.901876999999999</v>
      </c>
      <c r="AR5623">
        <v>19.703745070768829</v>
      </c>
      <c r="AS5623" t="s">
        <v>65</v>
      </c>
      <c r="AT5623">
        <v>1</v>
      </c>
      <c r="AU5623" t="s">
        <v>489</v>
      </c>
      <c r="AV5623" t="s">
        <v>490</v>
      </c>
      <c r="AW5623" t="s">
        <v>60</v>
      </c>
      <c r="AX5623" t="s">
        <v>68</v>
      </c>
      <c r="AY5623" t="s">
        <v>69</v>
      </c>
      <c r="AZ5623" t="b">
        <v>1</v>
      </c>
    </row>
    <row r="5624" spans="1:52" x14ac:dyDescent="0.3">
      <c r="A5624" t="s">
        <v>52</v>
      </c>
      <c r="B5624" t="s">
        <v>53</v>
      </c>
      <c r="C5624" t="s">
        <v>54</v>
      </c>
      <c r="D5624" t="s">
        <v>55</v>
      </c>
      <c r="E5624" t="s">
        <v>2280</v>
      </c>
      <c r="F5624" t="s">
        <v>190</v>
      </c>
      <c r="G5624" t="s">
        <v>516</v>
      </c>
      <c r="H5624" t="s">
        <v>517</v>
      </c>
      <c r="I5624" t="s">
        <v>517</v>
      </c>
      <c r="J5624" t="s">
        <v>60</v>
      </c>
      <c r="K5624" t="s">
        <v>518</v>
      </c>
      <c r="L5624" t="s">
        <v>62</v>
      </c>
      <c r="M5624" t="s">
        <v>518</v>
      </c>
      <c r="N5624" t="s">
        <v>519</v>
      </c>
      <c r="O5624" t="s">
        <v>520</v>
      </c>
      <c r="P5624">
        <v>-20.124502</v>
      </c>
      <c r="Q5624">
        <v>-44.888424000000001</v>
      </c>
      <c r="R5624" s="2" t="str">
        <f>HYPERLINK("https://www.google.com/maps?q=-20.1245020,-44.8884240","Abrir no Google Maps")</f>
        <v>Abrir no Google Maps</v>
      </c>
      <c r="S5624">
        <v>3</v>
      </c>
      <c r="T5624">
        <v>483.42298121929559</v>
      </c>
      <c r="U5624">
        <v>4</v>
      </c>
      <c r="V5624">
        <v>0.99590163934426235</v>
      </c>
      <c r="W5624">
        <v>1</v>
      </c>
      <c r="X5624">
        <v>0.99590163934426235</v>
      </c>
      <c r="Y5624">
        <v>564</v>
      </c>
      <c r="Z5624">
        <v>565.43074237076587</v>
      </c>
      <c r="AA5624">
        <v>198</v>
      </c>
      <c r="AB5624">
        <v>332</v>
      </c>
      <c r="AC5624">
        <v>536</v>
      </c>
      <c r="AD5624">
        <v>27.77</v>
      </c>
      <c r="AE5624">
        <v>542</v>
      </c>
      <c r="AF5624">
        <v>26</v>
      </c>
      <c r="AG5624">
        <v>163</v>
      </c>
      <c r="AH5624">
        <v>129</v>
      </c>
      <c r="AI5624">
        <v>4.8</v>
      </c>
      <c r="AJ5624">
        <v>30.07</v>
      </c>
      <c r="AK5624">
        <v>23.8</v>
      </c>
      <c r="AL5624">
        <v>-20.124624949999941</v>
      </c>
      <c r="AM5624">
        <v>-44.888432821777258</v>
      </c>
      <c r="AN5624">
        <v>-20.124624949999941</v>
      </c>
      <c r="AO5624">
        <v>-44.888432821777258</v>
      </c>
      <c r="AP5624">
        <v>-20.124502</v>
      </c>
      <c r="AQ5624">
        <v>-44.888424000000001</v>
      </c>
      <c r="AR5624">
        <v>13.717819333897451</v>
      </c>
      <c r="AS5624" t="s">
        <v>65</v>
      </c>
      <c r="AT5624">
        <v>1</v>
      </c>
      <c r="AU5624" t="s">
        <v>521</v>
      </c>
      <c r="AV5624" t="s">
        <v>522</v>
      </c>
      <c r="AW5624" t="s">
        <v>60</v>
      </c>
      <c r="AX5624" t="s">
        <v>68</v>
      </c>
      <c r="AY5624" t="s">
        <v>69</v>
      </c>
      <c r="AZ5624" t="b">
        <v>1</v>
      </c>
    </row>
    <row r="5625" spans="1:52" x14ac:dyDescent="0.3">
      <c r="A5625" t="s">
        <v>52</v>
      </c>
      <c r="B5625" t="s">
        <v>53</v>
      </c>
      <c r="C5625" t="s">
        <v>54</v>
      </c>
      <c r="D5625" t="s">
        <v>55</v>
      </c>
      <c r="E5625" t="s">
        <v>2280</v>
      </c>
      <c r="F5625" t="s">
        <v>190</v>
      </c>
      <c r="G5625" t="s">
        <v>879</v>
      </c>
      <c r="H5625" t="s">
        <v>880</v>
      </c>
      <c r="I5625" t="s">
        <v>880</v>
      </c>
      <c r="J5625" t="s">
        <v>60</v>
      </c>
      <c r="K5625" t="s">
        <v>505</v>
      </c>
      <c r="L5625" t="s">
        <v>62</v>
      </c>
      <c r="M5625" t="s">
        <v>505</v>
      </c>
      <c r="N5625" t="s">
        <v>881</v>
      </c>
      <c r="O5625" t="s">
        <v>882</v>
      </c>
      <c r="P5625">
        <v>-20.133452999999999</v>
      </c>
      <c r="Q5625">
        <v>-44.890571999999999</v>
      </c>
      <c r="R5625" s="2" t="str">
        <f>HYPERLINK("https://www.google.com/maps?q=-20.1334530,-44.8905720","Abrir no Google Maps")</f>
        <v>Abrir no Google Maps</v>
      </c>
      <c r="S5625">
        <v>3</v>
      </c>
      <c r="T5625">
        <v>373.51332104809921</v>
      </c>
      <c r="U5625">
        <v>4</v>
      </c>
      <c r="V5625">
        <v>0.99871794871794883</v>
      </c>
      <c r="W5625">
        <v>1</v>
      </c>
      <c r="X5625">
        <v>0.99871794871794883</v>
      </c>
      <c r="Y5625">
        <v>564</v>
      </c>
      <c r="Z5625">
        <v>422.34693311930448</v>
      </c>
      <c r="AA5625">
        <v>198</v>
      </c>
      <c r="AB5625">
        <v>332</v>
      </c>
      <c r="AC5625">
        <v>536</v>
      </c>
      <c r="AD5625">
        <v>27.77</v>
      </c>
      <c r="AE5625">
        <v>542</v>
      </c>
      <c r="AF5625">
        <v>26</v>
      </c>
      <c r="AG5625">
        <v>163</v>
      </c>
      <c r="AH5625">
        <v>129</v>
      </c>
      <c r="AI5625">
        <v>4.8</v>
      </c>
      <c r="AJ5625">
        <v>30.07</v>
      </c>
      <c r="AK5625">
        <v>23.8</v>
      </c>
      <c r="AL5625">
        <v>-20.133421549999952</v>
      </c>
      <c r="AM5625">
        <v>-44.890623456009052</v>
      </c>
      <c r="AN5625">
        <v>-20.133421549999952</v>
      </c>
      <c r="AO5625">
        <v>-44.890623456009052</v>
      </c>
      <c r="AP5625">
        <v>-20.133452999999999</v>
      </c>
      <c r="AQ5625">
        <v>-44.890571999999999</v>
      </c>
      <c r="AR5625">
        <v>6.4172139275452773</v>
      </c>
      <c r="AS5625" t="s">
        <v>65</v>
      </c>
      <c r="AT5625">
        <v>1</v>
      </c>
      <c r="AU5625" t="s">
        <v>883</v>
      </c>
      <c r="AV5625" t="s">
        <v>884</v>
      </c>
      <c r="AW5625" t="s">
        <v>60</v>
      </c>
      <c r="AX5625" t="s">
        <v>68</v>
      </c>
      <c r="AY5625" t="s">
        <v>69</v>
      </c>
      <c r="AZ5625" t="b">
        <v>1</v>
      </c>
    </row>
    <row r="5626" spans="1:52" x14ac:dyDescent="0.3">
      <c r="A5626" t="s">
        <v>52</v>
      </c>
      <c r="B5626" t="s">
        <v>53</v>
      </c>
      <c r="C5626" t="s">
        <v>54</v>
      </c>
      <c r="D5626" t="s">
        <v>55</v>
      </c>
      <c r="E5626" t="s">
        <v>2280</v>
      </c>
      <c r="F5626" t="s">
        <v>190</v>
      </c>
      <c r="G5626" t="s">
        <v>523</v>
      </c>
      <c r="H5626" t="s">
        <v>524</v>
      </c>
      <c r="I5626" t="s">
        <v>524</v>
      </c>
      <c r="J5626" t="s">
        <v>60</v>
      </c>
      <c r="K5626" t="s">
        <v>518</v>
      </c>
      <c r="L5626" t="s">
        <v>62</v>
      </c>
      <c r="M5626" t="s">
        <v>518</v>
      </c>
      <c r="N5626" t="s">
        <v>525</v>
      </c>
      <c r="O5626" t="s">
        <v>331</v>
      </c>
      <c r="P5626">
        <v>-20.126553000000001</v>
      </c>
      <c r="Q5626">
        <v>-44.888599999999997</v>
      </c>
      <c r="R5626" s="2" t="str">
        <f>HYPERLINK("https://www.google.com/maps?q=-20.1265530,-44.8886000","Abrir no Google Maps")</f>
        <v>Abrir no Google Maps</v>
      </c>
      <c r="S5626">
        <v>3</v>
      </c>
      <c r="T5626">
        <v>256.34043440603853</v>
      </c>
      <c r="U5626">
        <v>4</v>
      </c>
      <c r="V5626">
        <v>0.99876237623762376</v>
      </c>
      <c r="W5626">
        <v>1</v>
      </c>
      <c r="X5626">
        <v>0.99876237623762376</v>
      </c>
      <c r="Y5626">
        <v>564</v>
      </c>
      <c r="Z5626">
        <v>325.4404273055876</v>
      </c>
      <c r="AA5626">
        <v>198</v>
      </c>
      <c r="AB5626">
        <v>332</v>
      </c>
      <c r="AC5626">
        <v>536</v>
      </c>
      <c r="AD5626">
        <v>27.77</v>
      </c>
      <c r="AE5626">
        <v>542</v>
      </c>
      <c r="AF5626">
        <v>26</v>
      </c>
      <c r="AG5626">
        <v>163</v>
      </c>
      <c r="AH5626">
        <v>129</v>
      </c>
      <c r="AI5626">
        <v>4.8</v>
      </c>
      <c r="AJ5626">
        <v>30.07</v>
      </c>
      <c r="AK5626">
        <v>23.8</v>
      </c>
      <c r="AL5626">
        <v>-20.12669049999997</v>
      </c>
      <c r="AM5626">
        <v>-44.888671289876577</v>
      </c>
      <c r="AN5626">
        <v>-20.12669049999997</v>
      </c>
      <c r="AO5626">
        <v>-44.888671289876577</v>
      </c>
      <c r="AP5626">
        <v>-20.126553000000001</v>
      </c>
      <c r="AQ5626">
        <v>-44.888599999999997</v>
      </c>
      <c r="AR5626">
        <v>17.023861591720589</v>
      </c>
      <c r="AS5626" t="s">
        <v>65</v>
      </c>
      <c r="AT5626">
        <v>1</v>
      </c>
      <c r="AU5626" t="s">
        <v>526</v>
      </c>
      <c r="AV5626" t="s">
        <v>527</v>
      </c>
      <c r="AW5626" t="s">
        <v>60</v>
      </c>
      <c r="AX5626" t="s">
        <v>68</v>
      </c>
      <c r="AY5626" t="s">
        <v>69</v>
      </c>
      <c r="AZ5626" t="b">
        <v>1</v>
      </c>
    </row>
    <row r="5627" spans="1:52" x14ac:dyDescent="0.3">
      <c r="A5627" t="s">
        <v>52</v>
      </c>
      <c r="B5627" t="s">
        <v>53</v>
      </c>
      <c r="C5627" t="s">
        <v>54</v>
      </c>
      <c r="D5627" t="s">
        <v>55</v>
      </c>
      <c r="E5627" t="s">
        <v>2280</v>
      </c>
      <c r="F5627" t="s">
        <v>190</v>
      </c>
      <c r="G5627" t="s">
        <v>528</v>
      </c>
      <c r="H5627" t="s">
        <v>529</v>
      </c>
      <c r="I5627" t="s">
        <v>529</v>
      </c>
      <c r="J5627" t="s">
        <v>60</v>
      </c>
      <c r="K5627" t="s">
        <v>530</v>
      </c>
      <c r="L5627" t="s">
        <v>62</v>
      </c>
      <c r="M5627" t="s">
        <v>530</v>
      </c>
      <c r="N5627" t="s">
        <v>531</v>
      </c>
      <c r="O5627" t="s">
        <v>532</v>
      </c>
      <c r="P5627">
        <v>-20.142457</v>
      </c>
      <c r="Q5627">
        <v>-44.891688000000002</v>
      </c>
      <c r="R5627" s="2" t="str">
        <f>HYPERLINK("https://www.google.com/maps?q=-20.1424570,-44.8916880","Abrir no Google Maps")</f>
        <v>Abrir no Google Maps</v>
      </c>
      <c r="S5627">
        <v>3</v>
      </c>
      <c r="T5627">
        <v>0</v>
      </c>
      <c r="U5627">
        <v>4</v>
      </c>
      <c r="V5627">
        <v>0.99571917808219179</v>
      </c>
      <c r="W5627">
        <v>1</v>
      </c>
      <c r="X5627">
        <v>0.99571917808219179</v>
      </c>
      <c r="Y5627">
        <v>557</v>
      </c>
      <c r="Z5627">
        <v>42.611952255679803</v>
      </c>
      <c r="AA5627">
        <v>198</v>
      </c>
      <c r="AB5627">
        <v>332</v>
      </c>
      <c r="AC5627">
        <v>536</v>
      </c>
      <c r="AD5627">
        <v>27.77</v>
      </c>
      <c r="AE5627">
        <v>542</v>
      </c>
      <c r="AF5627">
        <v>26</v>
      </c>
      <c r="AG5627">
        <v>163</v>
      </c>
      <c r="AH5627">
        <v>129</v>
      </c>
      <c r="AI5627">
        <v>4.8</v>
      </c>
      <c r="AJ5627">
        <v>30.07</v>
      </c>
      <c r="AK5627">
        <v>23.8</v>
      </c>
      <c r="AL5627">
        <v>-20.142523099999948</v>
      </c>
      <c r="AM5627">
        <v>-44.891523817588819</v>
      </c>
      <c r="AN5627">
        <v>-20.142523099999948</v>
      </c>
      <c r="AO5627">
        <v>-44.891523817588819</v>
      </c>
      <c r="AP5627">
        <v>-20.142457</v>
      </c>
      <c r="AQ5627">
        <v>-44.891688000000002</v>
      </c>
      <c r="AR5627">
        <v>18.670129248632971</v>
      </c>
      <c r="AS5627" t="s">
        <v>65</v>
      </c>
      <c r="AT5627">
        <v>1</v>
      </c>
      <c r="AU5627" t="s">
        <v>533</v>
      </c>
      <c r="AV5627" t="s">
        <v>534</v>
      </c>
      <c r="AW5627" t="s">
        <v>60</v>
      </c>
      <c r="AX5627" t="s">
        <v>68</v>
      </c>
      <c r="AY5627" t="s">
        <v>69</v>
      </c>
      <c r="AZ5627" t="b">
        <v>1</v>
      </c>
    </row>
    <row r="5628" spans="1:52" x14ac:dyDescent="0.3">
      <c r="A5628" t="s">
        <v>52</v>
      </c>
      <c r="B5628" t="s">
        <v>53</v>
      </c>
      <c r="C5628" t="s">
        <v>54</v>
      </c>
      <c r="D5628" t="s">
        <v>55</v>
      </c>
      <c r="E5628" t="s">
        <v>2280</v>
      </c>
      <c r="F5628" t="s">
        <v>190</v>
      </c>
      <c r="G5628" t="s">
        <v>398</v>
      </c>
      <c r="H5628" t="s">
        <v>541</v>
      </c>
      <c r="I5628" t="s">
        <v>541</v>
      </c>
      <c r="J5628" t="s">
        <v>60</v>
      </c>
      <c r="K5628" t="s">
        <v>388</v>
      </c>
      <c r="L5628" t="s">
        <v>62</v>
      </c>
      <c r="M5628" t="s">
        <v>388</v>
      </c>
      <c r="N5628" t="s">
        <v>400</v>
      </c>
      <c r="O5628" t="s">
        <v>542</v>
      </c>
      <c r="P5628">
        <v>-20.151335</v>
      </c>
      <c r="Q5628">
        <v>-44.901041999999997</v>
      </c>
      <c r="R5628" s="2" t="str">
        <f>HYPERLINK("https://www.google.com/maps?q=-20.1513350,-44.9010420","Abrir no Google Maps")</f>
        <v>Abrir no Google Maps</v>
      </c>
      <c r="S5628">
        <v>3</v>
      </c>
      <c r="T5628">
        <v>0</v>
      </c>
      <c r="U5628">
        <v>4</v>
      </c>
      <c r="V5628">
        <v>1</v>
      </c>
      <c r="W5628">
        <v>1</v>
      </c>
      <c r="X5628">
        <v>1</v>
      </c>
      <c r="Y5628">
        <v>556</v>
      </c>
      <c r="Z5628">
        <v>137.71609036908939</v>
      </c>
      <c r="AA5628">
        <v>198</v>
      </c>
      <c r="AB5628">
        <v>332</v>
      </c>
      <c r="AC5628">
        <v>536</v>
      </c>
      <c r="AD5628">
        <v>27.77</v>
      </c>
      <c r="AE5628">
        <v>542</v>
      </c>
      <c r="AF5628">
        <v>26</v>
      </c>
      <c r="AG5628">
        <v>163</v>
      </c>
      <c r="AH5628">
        <v>129</v>
      </c>
      <c r="AI5628">
        <v>4.8</v>
      </c>
      <c r="AJ5628">
        <v>30.07</v>
      </c>
      <c r="AK5628">
        <v>23.8</v>
      </c>
      <c r="AL5628">
        <v>-20.15125899999995</v>
      </c>
      <c r="AM5628">
        <v>-44.900838557594433</v>
      </c>
      <c r="AN5628">
        <v>-20.15125899999995</v>
      </c>
      <c r="AO5628">
        <v>-44.900838557594433</v>
      </c>
      <c r="AP5628">
        <v>-20.151335</v>
      </c>
      <c r="AQ5628">
        <v>-44.901041999999997</v>
      </c>
      <c r="AR5628">
        <v>22.882363139483491</v>
      </c>
      <c r="AS5628" t="s">
        <v>65</v>
      </c>
      <c r="AT5628">
        <v>1</v>
      </c>
      <c r="AU5628" t="s">
        <v>543</v>
      </c>
      <c r="AV5628" t="s">
        <v>544</v>
      </c>
      <c r="AW5628" t="s">
        <v>60</v>
      </c>
      <c r="AX5628" t="s">
        <v>68</v>
      </c>
      <c r="AY5628" t="s">
        <v>69</v>
      </c>
      <c r="AZ5628" t="b">
        <v>1</v>
      </c>
    </row>
    <row r="5629" spans="1:52" x14ac:dyDescent="0.3">
      <c r="A5629" t="s">
        <v>52</v>
      </c>
      <c r="B5629" t="s">
        <v>53</v>
      </c>
      <c r="C5629" t="s">
        <v>54</v>
      </c>
      <c r="D5629" t="s">
        <v>55</v>
      </c>
      <c r="E5629" t="s">
        <v>2280</v>
      </c>
      <c r="F5629" t="s">
        <v>190</v>
      </c>
      <c r="G5629" t="s">
        <v>897</v>
      </c>
      <c r="H5629" t="s">
        <v>898</v>
      </c>
      <c r="I5629" t="s">
        <v>898</v>
      </c>
      <c r="J5629" t="s">
        <v>60</v>
      </c>
      <c r="K5629" t="s">
        <v>892</v>
      </c>
      <c r="L5629" t="s">
        <v>62</v>
      </c>
      <c r="M5629" t="s">
        <v>892</v>
      </c>
      <c r="N5629" t="s">
        <v>899</v>
      </c>
      <c r="O5629" t="s">
        <v>900</v>
      </c>
      <c r="P5629">
        <v>-20.154885</v>
      </c>
      <c r="Q5629">
        <v>-44.899890999999997</v>
      </c>
      <c r="R5629" s="2" t="str">
        <f>HYPERLINK("https://www.google.com/maps?q=-20.1548850,-44.8998910","Abrir no Google Maps")</f>
        <v>Abrir no Google Maps</v>
      </c>
      <c r="S5629">
        <v>3</v>
      </c>
      <c r="T5629">
        <v>314.66339661014308</v>
      </c>
      <c r="U5629">
        <v>4</v>
      </c>
      <c r="V5629">
        <v>1</v>
      </c>
      <c r="W5629">
        <v>1</v>
      </c>
      <c r="X5629">
        <v>1</v>
      </c>
      <c r="Y5629">
        <v>548</v>
      </c>
      <c r="Z5629">
        <v>319.02252584834253</v>
      </c>
      <c r="AA5629">
        <v>198</v>
      </c>
      <c r="AB5629">
        <v>332</v>
      </c>
      <c r="AC5629">
        <v>536</v>
      </c>
      <c r="AD5629">
        <v>27.77</v>
      </c>
      <c r="AE5629">
        <v>542</v>
      </c>
      <c r="AF5629">
        <v>26</v>
      </c>
      <c r="AG5629">
        <v>163</v>
      </c>
      <c r="AH5629">
        <v>129</v>
      </c>
      <c r="AI5629">
        <v>4.8</v>
      </c>
      <c r="AJ5629">
        <v>30.07</v>
      </c>
      <c r="AK5629">
        <v>23.8</v>
      </c>
      <c r="AL5629">
        <v>-20.154906649999951</v>
      </c>
      <c r="AM5629">
        <v>-44.899894072543653</v>
      </c>
      <c r="AN5629">
        <v>-20.154906649999951</v>
      </c>
      <c r="AO5629">
        <v>-44.899894072543653</v>
      </c>
      <c r="AP5629">
        <v>-20.154885</v>
      </c>
      <c r="AQ5629">
        <v>-44.899890999999997</v>
      </c>
      <c r="AR5629">
        <v>2.431373123904943</v>
      </c>
      <c r="AS5629" t="s">
        <v>65</v>
      </c>
      <c r="AT5629">
        <v>1</v>
      </c>
      <c r="AU5629" t="s">
        <v>901</v>
      </c>
      <c r="AV5629" t="s">
        <v>902</v>
      </c>
      <c r="AW5629" t="s">
        <v>60</v>
      </c>
      <c r="AX5629" t="s">
        <v>68</v>
      </c>
      <c r="AY5629" t="s">
        <v>69</v>
      </c>
      <c r="AZ5629" t="b">
        <v>1</v>
      </c>
    </row>
    <row r="5630" spans="1:52" x14ac:dyDescent="0.3">
      <c r="A5630" t="s">
        <v>52</v>
      </c>
      <c r="B5630" t="s">
        <v>53</v>
      </c>
      <c r="C5630" t="s">
        <v>54</v>
      </c>
      <c r="D5630" t="s">
        <v>55</v>
      </c>
      <c r="E5630" t="s">
        <v>2280</v>
      </c>
      <c r="F5630" t="s">
        <v>190</v>
      </c>
      <c r="G5630" t="s">
        <v>556</v>
      </c>
      <c r="H5630" t="s">
        <v>557</v>
      </c>
      <c r="I5630" t="s">
        <v>557</v>
      </c>
      <c r="J5630" t="s">
        <v>60</v>
      </c>
      <c r="K5630" t="s">
        <v>388</v>
      </c>
      <c r="L5630" t="s">
        <v>62</v>
      </c>
      <c r="M5630" t="s">
        <v>388</v>
      </c>
      <c r="N5630" t="s">
        <v>558</v>
      </c>
      <c r="O5630" t="s">
        <v>559</v>
      </c>
      <c r="P5630">
        <v>-20.152670000000001</v>
      </c>
      <c r="Q5630">
        <v>-44.902557999999999</v>
      </c>
      <c r="R5630" s="2" t="str">
        <f>HYPERLINK("https://www.google.com/maps?q=-20.1526700,-44.9025580","Abrir no Google Maps")</f>
        <v>Abrir no Google Maps</v>
      </c>
      <c r="S5630">
        <v>3</v>
      </c>
      <c r="T5630">
        <v>228.56195217678911</v>
      </c>
      <c r="U5630">
        <v>4</v>
      </c>
      <c r="V5630">
        <v>0.9990842490842492</v>
      </c>
      <c r="W5630">
        <v>1</v>
      </c>
      <c r="X5630">
        <v>0.9990842490842492</v>
      </c>
      <c r="Y5630">
        <v>548</v>
      </c>
      <c r="Z5630">
        <v>250.63133895224919</v>
      </c>
      <c r="AA5630">
        <v>198</v>
      </c>
      <c r="AB5630">
        <v>332</v>
      </c>
      <c r="AC5630">
        <v>536</v>
      </c>
      <c r="AD5630">
        <v>27.77</v>
      </c>
      <c r="AE5630">
        <v>542</v>
      </c>
      <c r="AF5630">
        <v>26</v>
      </c>
      <c r="AG5630">
        <v>163</v>
      </c>
      <c r="AH5630">
        <v>129</v>
      </c>
      <c r="AI5630">
        <v>4.8</v>
      </c>
      <c r="AJ5630">
        <v>30.07</v>
      </c>
      <c r="AK5630">
        <v>23.8</v>
      </c>
      <c r="AL5630">
        <v>-20.152629799999939</v>
      </c>
      <c r="AM5630">
        <v>-44.902604744705201</v>
      </c>
      <c r="AN5630">
        <v>-20.152629799999939</v>
      </c>
      <c r="AO5630">
        <v>-44.902604744705201</v>
      </c>
      <c r="AP5630">
        <v>-20.152670000000001</v>
      </c>
      <c r="AQ5630">
        <v>-44.902557999999999</v>
      </c>
      <c r="AR5630">
        <v>6.6249428037111509</v>
      </c>
      <c r="AS5630" t="s">
        <v>65</v>
      </c>
      <c r="AT5630">
        <v>1</v>
      </c>
      <c r="AU5630" t="s">
        <v>560</v>
      </c>
      <c r="AV5630" t="s">
        <v>561</v>
      </c>
      <c r="AW5630" t="s">
        <v>60</v>
      </c>
      <c r="AX5630" t="s">
        <v>68</v>
      </c>
      <c r="AY5630" t="s">
        <v>69</v>
      </c>
      <c r="AZ5630" t="b">
        <v>1</v>
      </c>
    </row>
    <row r="5631" spans="1:52" x14ac:dyDescent="0.3">
      <c r="A5631" t="s">
        <v>52</v>
      </c>
      <c r="B5631" t="s">
        <v>53</v>
      </c>
      <c r="C5631" t="s">
        <v>54</v>
      </c>
      <c r="D5631" t="s">
        <v>55</v>
      </c>
      <c r="E5631" t="s">
        <v>2280</v>
      </c>
      <c r="F5631" t="s">
        <v>190</v>
      </c>
      <c r="G5631" t="s">
        <v>562</v>
      </c>
      <c r="H5631" t="s">
        <v>563</v>
      </c>
      <c r="I5631" t="s">
        <v>563</v>
      </c>
      <c r="J5631" t="s">
        <v>60</v>
      </c>
      <c r="K5631" t="s">
        <v>388</v>
      </c>
      <c r="L5631" t="s">
        <v>62</v>
      </c>
      <c r="M5631" t="s">
        <v>388</v>
      </c>
      <c r="N5631" t="s">
        <v>564</v>
      </c>
      <c r="O5631" t="s">
        <v>565</v>
      </c>
      <c r="P5631">
        <v>-20.154432</v>
      </c>
      <c r="Q5631">
        <v>-44.902977999999997</v>
      </c>
      <c r="R5631" s="2" t="str">
        <f>HYPERLINK("https://www.google.com/maps?q=-20.1544320,-44.9029780","Abrir no Google Maps")</f>
        <v>Abrir no Google Maps</v>
      </c>
      <c r="S5631">
        <v>3</v>
      </c>
      <c r="T5631">
        <v>0</v>
      </c>
      <c r="U5631">
        <v>4</v>
      </c>
      <c r="V5631">
        <v>1</v>
      </c>
      <c r="W5631">
        <v>1</v>
      </c>
      <c r="X5631">
        <v>1</v>
      </c>
      <c r="Y5631">
        <v>548</v>
      </c>
      <c r="Z5631">
        <v>29.424211042533759</v>
      </c>
      <c r="AA5631">
        <v>198</v>
      </c>
      <c r="AB5631">
        <v>332</v>
      </c>
      <c r="AC5631">
        <v>536</v>
      </c>
      <c r="AD5631">
        <v>27.77</v>
      </c>
      <c r="AE5631">
        <v>542</v>
      </c>
      <c r="AF5631">
        <v>26</v>
      </c>
      <c r="AG5631">
        <v>163</v>
      </c>
      <c r="AH5631">
        <v>129</v>
      </c>
      <c r="AI5631">
        <v>4.8</v>
      </c>
      <c r="AJ5631">
        <v>30.07</v>
      </c>
      <c r="AK5631">
        <v>23.8</v>
      </c>
      <c r="AL5631">
        <v>-20.15467689999997</v>
      </c>
      <c r="AM5631">
        <v>-44.902895281771222</v>
      </c>
      <c r="AN5631">
        <v>-20.15467689999997</v>
      </c>
      <c r="AO5631">
        <v>-44.902895281771222</v>
      </c>
      <c r="AP5631">
        <v>-20.154432</v>
      </c>
      <c r="AQ5631">
        <v>-44.902977999999997</v>
      </c>
      <c r="AR5631">
        <v>28.5999270636025</v>
      </c>
      <c r="AS5631" t="s">
        <v>65</v>
      </c>
      <c r="AT5631">
        <v>1</v>
      </c>
      <c r="AU5631" t="s">
        <v>566</v>
      </c>
      <c r="AV5631" t="s">
        <v>567</v>
      </c>
      <c r="AW5631" t="s">
        <v>60</v>
      </c>
      <c r="AX5631" t="s">
        <v>68</v>
      </c>
      <c r="AY5631" t="s">
        <v>69</v>
      </c>
      <c r="AZ5631" t="b">
        <v>1</v>
      </c>
    </row>
    <row r="5632" spans="1:52" x14ac:dyDescent="0.3">
      <c r="A5632" t="s">
        <v>52</v>
      </c>
      <c r="B5632" t="s">
        <v>53</v>
      </c>
      <c r="C5632" t="s">
        <v>54</v>
      </c>
      <c r="D5632" t="s">
        <v>55</v>
      </c>
      <c r="E5632" t="s">
        <v>2280</v>
      </c>
      <c r="F5632" t="s">
        <v>190</v>
      </c>
      <c r="G5632" t="s">
        <v>903</v>
      </c>
      <c r="H5632" t="s">
        <v>904</v>
      </c>
      <c r="I5632" t="s">
        <v>904</v>
      </c>
      <c r="J5632" t="s">
        <v>60</v>
      </c>
      <c r="K5632" t="s">
        <v>905</v>
      </c>
      <c r="L5632" t="s">
        <v>62</v>
      </c>
      <c r="M5632" t="s">
        <v>905</v>
      </c>
      <c r="N5632" t="s">
        <v>906</v>
      </c>
      <c r="O5632" t="s">
        <v>907</v>
      </c>
      <c r="P5632">
        <v>-20.112969</v>
      </c>
      <c r="Q5632">
        <v>-44.891264</v>
      </c>
      <c r="R5632" s="2" t="str">
        <f>HYPERLINK("https://www.google.com/maps?q=-20.1129690,-44.8912640","Abrir no Google Maps")</f>
        <v>Abrir no Google Maps</v>
      </c>
      <c r="S5632">
        <v>3</v>
      </c>
      <c r="T5632">
        <v>760.33197426397032</v>
      </c>
      <c r="U5632">
        <v>4</v>
      </c>
      <c r="V5632">
        <v>0.99761904761904763</v>
      </c>
      <c r="W5632">
        <v>1</v>
      </c>
      <c r="X5632">
        <v>0.99761904761904763</v>
      </c>
      <c r="Y5632">
        <v>536</v>
      </c>
      <c r="Z5632">
        <v>755.3791742519096</v>
      </c>
      <c r="AA5632">
        <v>198</v>
      </c>
      <c r="AB5632">
        <v>332</v>
      </c>
      <c r="AC5632">
        <v>536</v>
      </c>
      <c r="AD5632">
        <v>27.77</v>
      </c>
      <c r="AE5632">
        <v>542</v>
      </c>
      <c r="AF5632">
        <v>26</v>
      </c>
      <c r="AG5632">
        <v>163</v>
      </c>
      <c r="AH5632">
        <v>129</v>
      </c>
      <c r="AI5632">
        <v>4.8</v>
      </c>
      <c r="AJ5632">
        <v>30.07</v>
      </c>
      <c r="AK5632">
        <v>23.8</v>
      </c>
      <c r="AL5632">
        <v>-20.11260604999995</v>
      </c>
      <c r="AM5632">
        <v>-44.891480970454502</v>
      </c>
      <c r="AN5632">
        <v>-20.11260604999995</v>
      </c>
      <c r="AO5632">
        <v>-44.891480970454502</v>
      </c>
      <c r="AP5632">
        <v>-20.112969</v>
      </c>
      <c r="AQ5632">
        <v>-44.891264</v>
      </c>
      <c r="AR5632">
        <v>46.334053708506183</v>
      </c>
      <c r="AS5632" t="s">
        <v>65</v>
      </c>
      <c r="AT5632">
        <v>1</v>
      </c>
      <c r="AU5632" t="s">
        <v>908</v>
      </c>
      <c r="AV5632" t="s">
        <v>909</v>
      </c>
      <c r="AW5632" t="s">
        <v>60</v>
      </c>
      <c r="AX5632" t="s">
        <v>68</v>
      </c>
      <c r="AY5632" t="s">
        <v>69</v>
      </c>
      <c r="AZ5632" t="b">
        <v>1</v>
      </c>
    </row>
    <row r="5633" spans="1:52" x14ac:dyDescent="0.3">
      <c r="A5633" t="s">
        <v>52</v>
      </c>
      <c r="B5633" t="s">
        <v>53</v>
      </c>
      <c r="C5633" t="s">
        <v>54</v>
      </c>
      <c r="D5633" t="s">
        <v>55</v>
      </c>
      <c r="E5633" t="s">
        <v>2280</v>
      </c>
      <c r="F5633" t="s">
        <v>190</v>
      </c>
      <c r="G5633" t="s">
        <v>579</v>
      </c>
      <c r="H5633" t="s">
        <v>580</v>
      </c>
      <c r="I5633" t="s">
        <v>580</v>
      </c>
      <c r="J5633" t="s">
        <v>60</v>
      </c>
      <c r="K5633" t="s">
        <v>117</v>
      </c>
      <c r="L5633" t="s">
        <v>62</v>
      </c>
      <c r="M5633" t="s">
        <v>117</v>
      </c>
      <c r="N5633" t="s">
        <v>581</v>
      </c>
      <c r="O5633" t="s">
        <v>338</v>
      </c>
      <c r="P5633">
        <v>-20.119333000000001</v>
      </c>
      <c r="Q5633">
        <v>-44.892454999999998</v>
      </c>
      <c r="R5633" s="2" t="str">
        <f>HYPERLINK("https://www.google.com/maps?q=-20.1193330,-44.8924550","Abrir no Google Maps")</f>
        <v>Abrir no Google Maps</v>
      </c>
      <c r="S5633">
        <v>3</v>
      </c>
      <c r="T5633">
        <v>545.06582215852734</v>
      </c>
      <c r="U5633">
        <v>4</v>
      </c>
      <c r="V5633">
        <v>0.99729241877256325</v>
      </c>
      <c r="W5633">
        <v>1</v>
      </c>
      <c r="X5633">
        <v>0.99729241877256325</v>
      </c>
      <c r="Y5633">
        <v>536</v>
      </c>
      <c r="Z5633">
        <v>583.72689769042404</v>
      </c>
      <c r="AA5633">
        <v>198</v>
      </c>
      <c r="AB5633">
        <v>332</v>
      </c>
      <c r="AC5633">
        <v>536</v>
      </c>
      <c r="AD5633">
        <v>27.77</v>
      </c>
      <c r="AE5633">
        <v>542</v>
      </c>
      <c r="AF5633">
        <v>26</v>
      </c>
      <c r="AG5633">
        <v>163</v>
      </c>
      <c r="AH5633">
        <v>129</v>
      </c>
      <c r="AI5633">
        <v>4.8</v>
      </c>
      <c r="AJ5633">
        <v>30.07</v>
      </c>
      <c r="AK5633">
        <v>23.8</v>
      </c>
      <c r="AL5633">
        <v>-20.11966729999995</v>
      </c>
      <c r="AM5633">
        <v>-44.892529474102908</v>
      </c>
      <c r="AN5633">
        <v>-20.119667299999939</v>
      </c>
      <c r="AO5633">
        <v>-44.892529474102908</v>
      </c>
      <c r="AP5633">
        <v>-20.119333000000001</v>
      </c>
      <c r="AQ5633">
        <v>-44.892454999999998</v>
      </c>
      <c r="AR5633">
        <v>38.019750592693072</v>
      </c>
      <c r="AS5633" t="s">
        <v>65</v>
      </c>
      <c r="AT5633">
        <v>1</v>
      </c>
      <c r="AU5633" t="s">
        <v>582</v>
      </c>
      <c r="AV5633" t="s">
        <v>583</v>
      </c>
      <c r="AW5633" t="s">
        <v>60</v>
      </c>
      <c r="AX5633" t="s">
        <v>68</v>
      </c>
      <c r="AY5633" t="s">
        <v>69</v>
      </c>
      <c r="AZ5633" t="b">
        <v>1</v>
      </c>
    </row>
    <row r="5634" spans="1:52" x14ac:dyDescent="0.3">
      <c r="A5634" t="s">
        <v>52</v>
      </c>
      <c r="B5634" t="s">
        <v>53</v>
      </c>
      <c r="C5634" t="s">
        <v>54</v>
      </c>
      <c r="D5634" t="s">
        <v>55</v>
      </c>
      <c r="E5634" t="s">
        <v>2280</v>
      </c>
      <c r="F5634" t="s">
        <v>190</v>
      </c>
      <c r="G5634" t="s">
        <v>910</v>
      </c>
      <c r="H5634" t="s">
        <v>911</v>
      </c>
      <c r="I5634" t="s">
        <v>911</v>
      </c>
      <c r="J5634" t="s">
        <v>60</v>
      </c>
      <c r="K5634" t="s">
        <v>207</v>
      </c>
      <c r="L5634" t="s">
        <v>62</v>
      </c>
      <c r="M5634" t="s">
        <v>207</v>
      </c>
      <c r="N5634" t="s">
        <v>912</v>
      </c>
      <c r="O5634" t="s">
        <v>548</v>
      </c>
      <c r="P5634">
        <v>-20.116987000000002</v>
      </c>
      <c r="Q5634">
        <v>-44.885240000000003</v>
      </c>
      <c r="R5634" s="2" t="str">
        <f>HYPERLINK("https://www.google.com/maps?q=-20.1169870,-44.8852400","Abrir no Google Maps")</f>
        <v>Abrir no Google Maps</v>
      </c>
      <c r="S5634">
        <v>3</v>
      </c>
      <c r="T5634">
        <v>283.94804862214067</v>
      </c>
      <c r="U5634">
        <v>4</v>
      </c>
      <c r="V5634">
        <v>0.99632352941176483</v>
      </c>
      <c r="W5634">
        <v>1</v>
      </c>
      <c r="X5634">
        <v>0.99632352941176483</v>
      </c>
      <c r="Y5634">
        <v>536</v>
      </c>
      <c r="Z5634">
        <v>297.39410031170689</v>
      </c>
      <c r="AA5634">
        <v>198</v>
      </c>
      <c r="AB5634">
        <v>332</v>
      </c>
      <c r="AC5634">
        <v>536</v>
      </c>
      <c r="AD5634">
        <v>27.77</v>
      </c>
      <c r="AE5634">
        <v>542</v>
      </c>
      <c r="AF5634">
        <v>26</v>
      </c>
      <c r="AG5634">
        <v>163</v>
      </c>
      <c r="AH5634">
        <v>129</v>
      </c>
      <c r="AI5634">
        <v>4.8</v>
      </c>
      <c r="AJ5634">
        <v>30.07</v>
      </c>
      <c r="AK5634">
        <v>23.8</v>
      </c>
      <c r="AL5634">
        <v>-20.116999599999961</v>
      </c>
      <c r="AM5634">
        <v>-44.885197873315192</v>
      </c>
      <c r="AN5634">
        <v>-20.116999599999961</v>
      </c>
      <c r="AO5634">
        <v>-44.885197873315192</v>
      </c>
      <c r="AP5634">
        <v>-20.116987000000002</v>
      </c>
      <c r="AQ5634">
        <v>-44.885240000000003</v>
      </c>
      <c r="AR5634">
        <v>4.6214387870334246</v>
      </c>
      <c r="AS5634" t="s">
        <v>65</v>
      </c>
      <c r="AT5634">
        <v>1</v>
      </c>
      <c r="AU5634" t="s">
        <v>913</v>
      </c>
      <c r="AV5634" t="s">
        <v>914</v>
      </c>
      <c r="AW5634" t="s">
        <v>60</v>
      </c>
      <c r="AX5634" t="s">
        <v>68</v>
      </c>
      <c r="AY5634" t="s">
        <v>69</v>
      </c>
      <c r="AZ5634" t="b">
        <v>1</v>
      </c>
    </row>
    <row r="5635" spans="1:52" x14ac:dyDescent="0.3">
      <c r="A5635" t="s">
        <v>52</v>
      </c>
      <c r="B5635" t="s">
        <v>53</v>
      </c>
      <c r="C5635" t="s">
        <v>54</v>
      </c>
      <c r="D5635" t="s">
        <v>55</v>
      </c>
      <c r="E5635" t="s">
        <v>2280</v>
      </c>
      <c r="F5635" t="s">
        <v>190</v>
      </c>
      <c r="G5635" t="s">
        <v>584</v>
      </c>
      <c r="H5635" t="s">
        <v>585</v>
      </c>
      <c r="I5635" t="s">
        <v>585</v>
      </c>
      <c r="J5635" t="s">
        <v>60</v>
      </c>
      <c r="K5635" t="s">
        <v>207</v>
      </c>
      <c r="L5635" t="s">
        <v>62</v>
      </c>
      <c r="M5635" t="s">
        <v>207</v>
      </c>
      <c r="N5635" t="s">
        <v>586</v>
      </c>
      <c r="O5635" t="s">
        <v>587</v>
      </c>
      <c r="P5635">
        <v>-20.122596999999999</v>
      </c>
      <c r="Q5635">
        <v>-44.889994999999999</v>
      </c>
      <c r="R5635" s="2" t="str">
        <f>HYPERLINK("https://www.google.com/maps?q=-20.1225970,-44.8899950","Abrir no Google Maps")</f>
        <v>Abrir no Google Maps</v>
      </c>
      <c r="S5635">
        <v>3</v>
      </c>
      <c r="T5635">
        <v>548.23336486960989</v>
      </c>
      <c r="U5635">
        <v>4</v>
      </c>
      <c r="V5635">
        <v>1</v>
      </c>
      <c r="W5635">
        <v>1</v>
      </c>
      <c r="X5635">
        <v>1</v>
      </c>
      <c r="Y5635">
        <v>536</v>
      </c>
      <c r="Z5635">
        <v>547.28307523929982</v>
      </c>
      <c r="AA5635">
        <v>198</v>
      </c>
      <c r="AB5635">
        <v>332</v>
      </c>
      <c r="AC5635">
        <v>536</v>
      </c>
      <c r="AD5635">
        <v>27.77</v>
      </c>
      <c r="AE5635">
        <v>542</v>
      </c>
      <c r="AF5635">
        <v>26</v>
      </c>
      <c r="AG5635">
        <v>163</v>
      </c>
      <c r="AH5635">
        <v>129</v>
      </c>
      <c r="AI5635">
        <v>4.8</v>
      </c>
      <c r="AJ5635">
        <v>30.07</v>
      </c>
      <c r="AK5635">
        <v>23.8</v>
      </c>
      <c r="AL5635">
        <v>-20.122693899999941</v>
      </c>
      <c r="AM5635">
        <v>-44.890039706276887</v>
      </c>
      <c r="AN5635">
        <v>-20.122693899999941</v>
      </c>
      <c r="AO5635">
        <v>-44.890039706276887</v>
      </c>
      <c r="AP5635">
        <v>-20.122596999999999</v>
      </c>
      <c r="AQ5635">
        <v>-44.889994999999999</v>
      </c>
      <c r="AR5635">
        <v>11.75557400261394</v>
      </c>
      <c r="AS5635" t="s">
        <v>65</v>
      </c>
      <c r="AT5635">
        <v>1</v>
      </c>
      <c r="AU5635" t="s">
        <v>588</v>
      </c>
      <c r="AV5635" t="s">
        <v>589</v>
      </c>
      <c r="AW5635" t="s">
        <v>60</v>
      </c>
      <c r="AX5635" t="s">
        <v>68</v>
      </c>
      <c r="AY5635" t="s">
        <v>69</v>
      </c>
      <c r="AZ5635" t="b">
        <v>1</v>
      </c>
    </row>
    <row r="5636" spans="1:52" x14ac:dyDescent="0.3">
      <c r="A5636" t="s">
        <v>52</v>
      </c>
      <c r="B5636" t="s">
        <v>53</v>
      </c>
      <c r="C5636" t="s">
        <v>54</v>
      </c>
      <c r="D5636" t="s">
        <v>55</v>
      </c>
      <c r="E5636" t="s">
        <v>2280</v>
      </c>
      <c r="F5636" t="s">
        <v>190</v>
      </c>
      <c r="G5636" t="s">
        <v>590</v>
      </c>
      <c r="H5636" t="s">
        <v>591</v>
      </c>
      <c r="I5636" t="s">
        <v>591</v>
      </c>
      <c r="J5636" t="s">
        <v>60</v>
      </c>
      <c r="K5636" t="s">
        <v>207</v>
      </c>
      <c r="L5636" t="s">
        <v>62</v>
      </c>
      <c r="M5636" t="s">
        <v>207</v>
      </c>
      <c r="N5636" t="s">
        <v>592</v>
      </c>
      <c r="O5636" t="s">
        <v>565</v>
      </c>
      <c r="P5636">
        <v>-20.118652000000001</v>
      </c>
      <c r="Q5636">
        <v>-44.890574999999998</v>
      </c>
      <c r="R5636" s="2" t="str">
        <f>HYPERLINK("https://www.google.com/maps?q=-20.1186520,-44.8905750","Abrir no Google Maps")</f>
        <v>Abrir no Google Maps</v>
      </c>
      <c r="S5636">
        <v>3</v>
      </c>
      <c r="T5636">
        <v>305.97870753615422</v>
      </c>
      <c r="U5636">
        <v>4</v>
      </c>
      <c r="V5636">
        <v>1</v>
      </c>
      <c r="W5636">
        <v>1</v>
      </c>
      <c r="X5636">
        <v>1</v>
      </c>
      <c r="Y5636">
        <v>536</v>
      </c>
      <c r="Z5636">
        <v>368.07356795447242</v>
      </c>
      <c r="AA5636">
        <v>198</v>
      </c>
      <c r="AB5636">
        <v>332</v>
      </c>
      <c r="AC5636">
        <v>536</v>
      </c>
      <c r="AD5636">
        <v>27.77</v>
      </c>
      <c r="AE5636">
        <v>542</v>
      </c>
      <c r="AF5636">
        <v>26</v>
      </c>
      <c r="AG5636">
        <v>163</v>
      </c>
      <c r="AH5636">
        <v>129</v>
      </c>
      <c r="AI5636">
        <v>4.8</v>
      </c>
      <c r="AJ5636">
        <v>30.07</v>
      </c>
      <c r="AK5636">
        <v>23.8</v>
      </c>
      <c r="AL5636">
        <v>-20.118589699999941</v>
      </c>
      <c r="AM5636">
        <v>-44.890419442196389</v>
      </c>
      <c r="AN5636">
        <v>-20.118589699999941</v>
      </c>
      <c r="AO5636">
        <v>-44.890419442196389</v>
      </c>
      <c r="AP5636">
        <v>-20.118652000000001</v>
      </c>
      <c r="AQ5636">
        <v>-44.890574999999998</v>
      </c>
      <c r="AR5636">
        <v>17.67731866347437</v>
      </c>
      <c r="AS5636" t="s">
        <v>65</v>
      </c>
      <c r="AT5636">
        <v>1</v>
      </c>
      <c r="AU5636" t="s">
        <v>593</v>
      </c>
      <c r="AV5636" t="s">
        <v>594</v>
      </c>
      <c r="AW5636" t="s">
        <v>60</v>
      </c>
      <c r="AX5636" t="s">
        <v>68</v>
      </c>
      <c r="AY5636" t="s">
        <v>69</v>
      </c>
      <c r="AZ5636" t="b">
        <v>1</v>
      </c>
    </row>
    <row r="5637" spans="1:52" x14ac:dyDescent="0.3">
      <c r="A5637" t="s">
        <v>52</v>
      </c>
      <c r="B5637" t="s">
        <v>53</v>
      </c>
      <c r="C5637" t="s">
        <v>54</v>
      </c>
      <c r="D5637" t="s">
        <v>55</v>
      </c>
      <c r="E5637" t="s">
        <v>2280</v>
      </c>
      <c r="F5637" t="s">
        <v>190</v>
      </c>
      <c r="G5637" t="s">
        <v>595</v>
      </c>
      <c r="H5637" t="s">
        <v>596</v>
      </c>
      <c r="I5637" t="s">
        <v>596</v>
      </c>
      <c r="J5637" t="s">
        <v>60</v>
      </c>
      <c r="K5637" t="s">
        <v>207</v>
      </c>
      <c r="L5637" t="s">
        <v>62</v>
      </c>
      <c r="M5637" t="s">
        <v>207</v>
      </c>
      <c r="N5637" t="s">
        <v>597</v>
      </c>
      <c r="O5637" t="s">
        <v>598</v>
      </c>
      <c r="P5637">
        <v>-20.118335999999999</v>
      </c>
      <c r="Q5637">
        <v>-44.887441000000003</v>
      </c>
      <c r="R5637" s="2" t="str">
        <f>HYPERLINK("https://www.google.com/maps?q=-20.1183360,-44.8874410","Abrir no Google Maps")</f>
        <v>Abrir no Google Maps</v>
      </c>
      <c r="S5637">
        <v>3</v>
      </c>
      <c r="T5637">
        <v>0</v>
      </c>
      <c r="U5637">
        <v>4</v>
      </c>
      <c r="V5637">
        <v>0.99647887323943662</v>
      </c>
      <c r="W5637">
        <v>1</v>
      </c>
      <c r="X5637">
        <v>0.99647887323943662</v>
      </c>
      <c r="Y5637">
        <v>536</v>
      </c>
      <c r="Z5637">
        <v>70.729031566967279</v>
      </c>
      <c r="AA5637">
        <v>198</v>
      </c>
      <c r="AB5637">
        <v>332</v>
      </c>
      <c r="AC5637">
        <v>536</v>
      </c>
      <c r="AD5637">
        <v>27.77</v>
      </c>
      <c r="AE5637">
        <v>542</v>
      </c>
      <c r="AF5637">
        <v>26</v>
      </c>
      <c r="AG5637">
        <v>163</v>
      </c>
      <c r="AH5637">
        <v>129</v>
      </c>
      <c r="AI5637">
        <v>4.8</v>
      </c>
      <c r="AJ5637">
        <v>30.07</v>
      </c>
      <c r="AK5637">
        <v>23.8</v>
      </c>
      <c r="AL5637">
        <v>-20.118357999999969</v>
      </c>
      <c r="AM5637">
        <v>-44.88750246616479</v>
      </c>
      <c r="AN5637">
        <v>-20.118357999999969</v>
      </c>
      <c r="AO5637">
        <v>-44.88750246616479</v>
      </c>
      <c r="AP5637">
        <v>-20.118335999999999</v>
      </c>
      <c r="AQ5637">
        <v>-44.887441000000003</v>
      </c>
      <c r="AR5637">
        <v>6.875853437004074</v>
      </c>
      <c r="AS5637" t="s">
        <v>65</v>
      </c>
      <c r="AT5637">
        <v>1</v>
      </c>
      <c r="AU5637" t="s">
        <v>599</v>
      </c>
      <c r="AV5637" t="s">
        <v>600</v>
      </c>
      <c r="AW5637" t="s">
        <v>60</v>
      </c>
      <c r="AX5637" t="s">
        <v>68</v>
      </c>
      <c r="AY5637" t="s">
        <v>69</v>
      </c>
      <c r="AZ5637" t="b">
        <v>1</v>
      </c>
    </row>
    <row r="5638" spans="1:52" x14ac:dyDescent="0.3">
      <c r="A5638" t="s">
        <v>52</v>
      </c>
      <c r="B5638" t="s">
        <v>53</v>
      </c>
      <c r="C5638" t="s">
        <v>54</v>
      </c>
      <c r="D5638" t="s">
        <v>55</v>
      </c>
      <c r="E5638" t="s">
        <v>2280</v>
      </c>
      <c r="F5638" t="s">
        <v>190</v>
      </c>
      <c r="G5638" t="s">
        <v>601</v>
      </c>
      <c r="H5638" t="s">
        <v>602</v>
      </c>
      <c r="I5638" t="s">
        <v>602</v>
      </c>
      <c r="J5638" t="s">
        <v>60</v>
      </c>
      <c r="K5638" t="s">
        <v>117</v>
      </c>
      <c r="L5638" t="s">
        <v>62</v>
      </c>
      <c r="M5638" t="s">
        <v>117</v>
      </c>
      <c r="N5638" t="s">
        <v>603</v>
      </c>
      <c r="O5638" t="s">
        <v>604</v>
      </c>
      <c r="P5638">
        <v>-20.122198999999998</v>
      </c>
      <c r="Q5638">
        <v>-44.893118999999999</v>
      </c>
      <c r="R5638" s="2" t="str">
        <f>HYPERLINK("https://www.google.com/maps?q=-20.1221990,-44.8931190","Abrir no Google Maps")</f>
        <v>Abrir no Google Maps</v>
      </c>
      <c r="S5638">
        <v>3</v>
      </c>
      <c r="T5638">
        <v>737.41475740297403</v>
      </c>
      <c r="U5638">
        <v>4</v>
      </c>
      <c r="V5638">
        <v>1</v>
      </c>
      <c r="W5638">
        <v>1</v>
      </c>
      <c r="X5638">
        <v>1</v>
      </c>
      <c r="Y5638">
        <v>536</v>
      </c>
      <c r="Z5638">
        <v>753.81321098979549</v>
      </c>
      <c r="AA5638">
        <v>198</v>
      </c>
      <c r="AB5638">
        <v>332</v>
      </c>
      <c r="AC5638">
        <v>536</v>
      </c>
      <c r="AD5638">
        <v>27.77</v>
      </c>
      <c r="AE5638">
        <v>542</v>
      </c>
      <c r="AF5638">
        <v>26</v>
      </c>
      <c r="AG5638">
        <v>163</v>
      </c>
      <c r="AH5638">
        <v>129</v>
      </c>
      <c r="AI5638">
        <v>4.8</v>
      </c>
      <c r="AJ5638">
        <v>30.07</v>
      </c>
      <c r="AK5638">
        <v>23.8</v>
      </c>
      <c r="AL5638">
        <v>-20.122192249999959</v>
      </c>
      <c r="AM5638">
        <v>-44.893272469204263</v>
      </c>
      <c r="AN5638">
        <v>-20.122192249999959</v>
      </c>
      <c r="AO5638">
        <v>-44.893272469204263</v>
      </c>
      <c r="AP5638">
        <v>-20.122198999999998</v>
      </c>
      <c r="AQ5638">
        <v>-44.893118999999999</v>
      </c>
      <c r="AR5638">
        <v>16.058980187178161</v>
      </c>
      <c r="AS5638" t="s">
        <v>65</v>
      </c>
      <c r="AT5638">
        <v>1</v>
      </c>
      <c r="AU5638" t="s">
        <v>605</v>
      </c>
      <c r="AV5638" t="s">
        <v>606</v>
      </c>
      <c r="AW5638" t="s">
        <v>60</v>
      </c>
      <c r="AX5638" t="s">
        <v>68</v>
      </c>
      <c r="AY5638" t="s">
        <v>69</v>
      </c>
      <c r="AZ5638" t="b">
        <v>1</v>
      </c>
    </row>
    <row r="5639" spans="1:52" x14ac:dyDescent="0.3">
      <c r="A5639" t="s">
        <v>52</v>
      </c>
      <c r="B5639" t="s">
        <v>53</v>
      </c>
      <c r="C5639" t="s">
        <v>54</v>
      </c>
      <c r="D5639" t="s">
        <v>55</v>
      </c>
      <c r="E5639" t="s">
        <v>2280</v>
      </c>
      <c r="F5639" t="s">
        <v>190</v>
      </c>
      <c r="G5639" t="s">
        <v>614</v>
      </c>
      <c r="H5639" t="s">
        <v>615</v>
      </c>
      <c r="I5639" t="s">
        <v>615</v>
      </c>
      <c r="J5639" t="s">
        <v>60</v>
      </c>
      <c r="K5639" t="s">
        <v>207</v>
      </c>
      <c r="L5639" t="s">
        <v>62</v>
      </c>
      <c r="M5639" t="s">
        <v>207</v>
      </c>
      <c r="N5639" t="s">
        <v>616</v>
      </c>
      <c r="O5639" t="s">
        <v>617</v>
      </c>
      <c r="P5639">
        <v>-20.123118999999999</v>
      </c>
      <c r="Q5639">
        <v>-44.886259000000003</v>
      </c>
      <c r="R5639" s="2" t="str">
        <f>HYPERLINK("https://www.google.com/maps?q=-20.1231190,-44.8862590","Abrir no Google Maps")</f>
        <v>Abrir no Google Maps</v>
      </c>
      <c r="S5639">
        <v>3</v>
      </c>
      <c r="T5639">
        <v>534.91642326845545</v>
      </c>
      <c r="U5639">
        <v>4</v>
      </c>
      <c r="V5639">
        <v>0.99887387387387383</v>
      </c>
      <c r="W5639">
        <v>1</v>
      </c>
      <c r="X5639">
        <v>0.99887387387387383</v>
      </c>
      <c r="Y5639">
        <v>536</v>
      </c>
      <c r="Z5639">
        <v>478.9192959851456</v>
      </c>
      <c r="AA5639">
        <v>198</v>
      </c>
      <c r="AB5639">
        <v>332</v>
      </c>
      <c r="AC5639">
        <v>536</v>
      </c>
      <c r="AD5639">
        <v>27.77</v>
      </c>
      <c r="AE5639">
        <v>542</v>
      </c>
      <c r="AF5639">
        <v>26</v>
      </c>
      <c r="AG5639">
        <v>163</v>
      </c>
      <c r="AH5639">
        <v>129</v>
      </c>
      <c r="AI5639">
        <v>4.8</v>
      </c>
      <c r="AJ5639">
        <v>30.07</v>
      </c>
      <c r="AK5639">
        <v>23.8</v>
      </c>
      <c r="AL5639">
        <v>-20.12305974999995</v>
      </c>
      <c r="AM5639">
        <v>-44.886314469108633</v>
      </c>
      <c r="AN5639">
        <v>-20.12305974999995</v>
      </c>
      <c r="AO5639">
        <v>-44.886314469108633</v>
      </c>
      <c r="AP5639">
        <v>-20.123118999999999</v>
      </c>
      <c r="AQ5639">
        <v>-44.886259000000003</v>
      </c>
      <c r="AR5639">
        <v>8.7817342078334093</v>
      </c>
      <c r="AS5639" t="s">
        <v>65</v>
      </c>
      <c r="AT5639">
        <v>1</v>
      </c>
      <c r="AU5639" t="s">
        <v>618</v>
      </c>
      <c r="AV5639" t="s">
        <v>619</v>
      </c>
      <c r="AW5639" t="s">
        <v>60</v>
      </c>
      <c r="AX5639" t="s">
        <v>68</v>
      </c>
      <c r="AY5639" t="s">
        <v>69</v>
      </c>
      <c r="AZ5639" t="b">
        <v>1</v>
      </c>
    </row>
    <row r="5640" spans="1:52" x14ac:dyDescent="0.3">
      <c r="A5640" t="s">
        <v>52</v>
      </c>
      <c r="B5640" t="s">
        <v>53</v>
      </c>
      <c r="C5640" t="s">
        <v>54</v>
      </c>
      <c r="D5640" t="s">
        <v>55</v>
      </c>
      <c r="E5640" t="s">
        <v>2280</v>
      </c>
      <c r="F5640" t="s">
        <v>190</v>
      </c>
      <c r="G5640" t="s">
        <v>935</v>
      </c>
      <c r="H5640" t="s">
        <v>936</v>
      </c>
      <c r="I5640" t="s">
        <v>936</v>
      </c>
      <c r="J5640" t="s">
        <v>60</v>
      </c>
      <c r="K5640" t="s">
        <v>193</v>
      </c>
      <c r="L5640" t="s">
        <v>62</v>
      </c>
      <c r="M5640" t="s">
        <v>193</v>
      </c>
      <c r="N5640" t="s">
        <v>937</v>
      </c>
      <c r="O5640" t="s">
        <v>938</v>
      </c>
      <c r="P5640">
        <v>-20.144727</v>
      </c>
      <c r="Q5640">
        <v>-44.919978999999998</v>
      </c>
      <c r="R5640" s="2" t="str">
        <f>HYPERLINK("https://www.google.com/maps?q=-20.1447270,-44.9199790","Abrir no Google Maps")</f>
        <v>Abrir no Google Maps</v>
      </c>
      <c r="S5640">
        <v>3</v>
      </c>
      <c r="T5640">
        <v>341.13992759662477</v>
      </c>
      <c r="U5640">
        <v>4</v>
      </c>
      <c r="V5640">
        <v>0.99590163934426235</v>
      </c>
      <c r="W5640">
        <v>1</v>
      </c>
      <c r="X5640">
        <v>0.99590163934426235</v>
      </c>
      <c r="Y5640">
        <v>508</v>
      </c>
      <c r="Z5640">
        <v>274.58151985101409</v>
      </c>
      <c r="AA5640">
        <v>198</v>
      </c>
      <c r="AB5640">
        <v>332</v>
      </c>
      <c r="AC5640">
        <v>536</v>
      </c>
      <c r="AD5640">
        <v>27.77</v>
      </c>
      <c r="AE5640">
        <v>542</v>
      </c>
      <c r="AF5640">
        <v>26</v>
      </c>
      <c r="AG5640">
        <v>163</v>
      </c>
      <c r="AH5640">
        <v>129</v>
      </c>
      <c r="AI5640">
        <v>4.8</v>
      </c>
      <c r="AJ5640">
        <v>30.07</v>
      </c>
      <c r="AK5640">
        <v>23.8</v>
      </c>
      <c r="AL5640">
        <v>-20.144771099999961</v>
      </c>
      <c r="AM5640">
        <v>-44.92003491095209</v>
      </c>
      <c r="AN5640">
        <v>-20.144771099999961</v>
      </c>
      <c r="AO5640">
        <v>-44.92003491095209</v>
      </c>
      <c r="AP5640">
        <v>-20.144727</v>
      </c>
      <c r="AQ5640">
        <v>-44.919978999999998</v>
      </c>
      <c r="AR5640">
        <v>7.6317760459664177</v>
      </c>
      <c r="AS5640" t="s">
        <v>65</v>
      </c>
      <c r="AT5640">
        <v>1</v>
      </c>
      <c r="AU5640" t="s">
        <v>939</v>
      </c>
      <c r="AV5640" t="s">
        <v>940</v>
      </c>
      <c r="AW5640" t="s">
        <v>60</v>
      </c>
      <c r="AX5640" t="s">
        <v>68</v>
      </c>
      <c r="AY5640" t="s">
        <v>69</v>
      </c>
      <c r="AZ5640" t="b">
        <v>1</v>
      </c>
    </row>
    <row r="5641" spans="1:52" x14ac:dyDescent="0.3">
      <c r="A5641" t="s">
        <v>52</v>
      </c>
      <c r="B5641" t="s">
        <v>53</v>
      </c>
      <c r="C5641" t="s">
        <v>54</v>
      </c>
      <c r="D5641" t="s">
        <v>55</v>
      </c>
      <c r="E5641" t="s">
        <v>2280</v>
      </c>
      <c r="F5641" t="s">
        <v>190</v>
      </c>
      <c r="G5641" t="s">
        <v>631</v>
      </c>
      <c r="H5641" t="s">
        <v>632</v>
      </c>
      <c r="I5641" t="s">
        <v>632</v>
      </c>
      <c r="J5641" t="s">
        <v>60</v>
      </c>
      <c r="K5641" t="s">
        <v>530</v>
      </c>
      <c r="L5641" t="s">
        <v>62</v>
      </c>
      <c r="M5641" t="s">
        <v>530</v>
      </c>
      <c r="N5641" t="s">
        <v>633</v>
      </c>
      <c r="O5641" t="s">
        <v>634</v>
      </c>
      <c r="P5641">
        <v>-20.142136000000001</v>
      </c>
      <c r="Q5641">
        <v>-44.893895999999998</v>
      </c>
      <c r="R5641" s="2" t="str">
        <f>HYPERLINK("https://www.google.com/maps?q=-20.1421360,-44.8938960","Abrir no Google Maps")</f>
        <v>Abrir no Google Maps</v>
      </c>
      <c r="S5641">
        <v>3</v>
      </c>
      <c r="T5641">
        <v>252.77776243958951</v>
      </c>
      <c r="U5641">
        <v>4</v>
      </c>
      <c r="V5641">
        <v>0.99755700325732899</v>
      </c>
      <c r="W5641">
        <v>1</v>
      </c>
      <c r="X5641">
        <v>0.99755700325732899</v>
      </c>
      <c r="Y5641">
        <v>505</v>
      </c>
      <c r="Z5641">
        <v>331.79497003706751</v>
      </c>
      <c r="AA5641">
        <v>198</v>
      </c>
      <c r="AB5641">
        <v>332</v>
      </c>
      <c r="AC5641">
        <v>536</v>
      </c>
      <c r="AD5641">
        <v>27.77</v>
      </c>
      <c r="AE5641">
        <v>542</v>
      </c>
      <c r="AF5641">
        <v>26</v>
      </c>
      <c r="AG5641">
        <v>163</v>
      </c>
      <c r="AH5641">
        <v>129</v>
      </c>
      <c r="AI5641">
        <v>4.8</v>
      </c>
      <c r="AJ5641">
        <v>30.07</v>
      </c>
      <c r="AK5641">
        <v>23.8</v>
      </c>
      <c r="AL5641">
        <v>-20.142209999999949</v>
      </c>
      <c r="AM5641">
        <v>-44.893919659400702</v>
      </c>
      <c r="AN5641">
        <v>-20.142209999999949</v>
      </c>
      <c r="AO5641">
        <v>-44.893919659400702</v>
      </c>
      <c r="AP5641">
        <v>-20.142136000000001</v>
      </c>
      <c r="AQ5641">
        <v>-44.893895999999998</v>
      </c>
      <c r="AR5641">
        <v>8.6007875127343159</v>
      </c>
      <c r="AS5641" t="s">
        <v>65</v>
      </c>
      <c r="AT5641">
        <v>1</v>
      </c>
      <c r="AU5641" t="s">
        <v>635</v>
      </c>
      <c r="AV5641" t="s">
        <v>636</v>
      </c>
      <c r="AW5641" t="s">
        <v>60</v>
      </c>
      <c r="AX5641" t="s">
        <v>68</v>
      </c>
      <c r="AY5641" t="s">
        <v>69</v>
      </c>
      <c r="AZ5641" t="b">
        <v>1</v>
      </c>
    </row>
    <row r="5642" spans="1:52" x14ac:dyDescent="0.3">
      <c r="A5642" t="s">
        <v>52</v>
      </c>
      <c r="B5642" t="s">
        <v>53</v>
      </c>
      <c r="C5642" t="s">
        <v>54</v>
      </c>
      <c r="D5642" t="s">
        <v>55</v>
      </c>
      <c r="E5642" t="s">
        <v>2280</v>
      </c>
      <c r="F5642" t="s">
        <v>190</v>
      </c>
      <c r="G5642" t="s">
        <v>957</v>
      </c>
      <c r="H5642" t="s">
        <v>958</v>
      </c>
      <c r="I5642" t="s">
        <v>958</v>
      </c>
      <c r="J5642" t="s">
        <v>60</v>
      </c>
      <c r="K5642" t="s">
        <v>262</v>
      </c>
      <c r="L5642" t="s">
        <v>62</v>
      </c>
      <c r="M5642" t="s">
        <v>262</v>
      </c>
      <c r="N5642" t="s">
        <v>959</v>
      </c>
      <c r="O5642" t="s">
        <v>960</v>
      </c>
      <c r="P5642">
        <v>-20.165469999999999</v>
      </c>
      <c r="Q5642">
        <v>-44.854308000000003</v>
      </c>
      <c r="R5642" s="2" t="str">
        <f>HYPERLINK("https://www.google.com/maps?q=-20.1654700,-44.8543080","Abrir no Google Maps")</f>
        <v>Abrir no Google Maps</v>
      </c>
      <c r="S5642">
        <v>3</v>
      </c>
      <c r="T5642">
        <v>555.06043712641599</v>
      </c>
      <c r="U5642">
        <v>4</v>
      </c>
      <c r="V5642">
        <v>0.998046875</v>
      </c>
      <c r="W5642">
        <v>1</v>
      </c>
      <c r="X5642">
        <v>0.998046875</v>
      </c>
      <c r="Y5642">
        <v>491</v>
      </c>
      <c r="Z5642">
        <v>423.16855805320131</v>
      </c>
      <c r="AA5642">
        <v>198</v>
      </c>
      <c r="AB5642">
        <v>332</v>
      </c>
      <c r="AC5642">
        <v>536</v>
      </c>
      <c r="AD5642">
        <v>27.77</v>
      </c>
      <c r="AE5642">
        <v>542</v>
      </c>
      <c r="AF5642">
        <v>26</v>
      </c>
      <c r="AG5642">
        <v>163</v>
      </c>
      <c r="AH5642">
        <v>129</v>
      </c>
      <c r="AI5642">
        <v>4.8</v>
      </c>
      <c r="AJ5642">
        <v>30.07</v>
      </c>
      <c r="AK5642">
        <v>23.8</v>
      </c>
      <c r="AL5642">
        <v>-20.165538449999961</v>
      </c>
      <c r="AM5642">
        <v>-44.854274624633042</v>
      </c>
      <c r="AN5642">
        <v>-20.165538449999961</v>
      </c>
      <c r="AO5642">
        <v>-44.854274624633042</v>
      </c>
      <c r="AP5642">
        <v>-20.165469999999999</v>
      </c>
      <c r="AQ5642">
        <v>-44.854308000000003</v>
      </c>
      <c r="AR5642">
        <v>8.3800661572970956</v>
      </c>
      <c r="AS5642" t="s">
        <v>65</v>
      </c>
      <c r="AT5642">
        <v>1</v>
      </c>
      <c r="AU5642" t="s">
        <v>961</v>
      </c>
      <c r="AV5642" t="s">
        <v>962</v>
      </c>
      <c r="AW5642" t="s">
        <v>60</v>
      </c>
      <c r="AX5642" t="s">
        <v>68</v>
      </c>
      <c r="AY5642" t="s">
        <v>69</v>
      </c>
      <c r="AZ5642" t="b">
        <v>1</v>
      </c>
    </row>
    <row r="5643" spans="1:52" x14ac:dyDescent="0.3">
      <c r="A5643" t="s">
        <v>52</v>
      </c>
      <c r="B5643" t="s">
        <v>53</v>
      </c>
      <c r="C5643" t="s">
        <v>54</v>
      </c>
      <c r="D5643" t="s">
        <v>55</v>
      </c>
      <c r="E5643" t="s">
        <v>2280</v>
      </c>
      <c r="F5643" t="s">
        <v>190</v>
      </c>
      <c r="G5643" t="s">
        <v>968</v>
      </c>
      <c r="H5643" t="s">
        <v>969</v>
      </c>
      <c r="I5643" t="s">
        <v>969</v>
      </c>
      <c r="J5643" t="s">
        <v>60</v>
      </c>
      <c r="K5643" t="s">
        <v>262</v>
      </c>
      <c r="L5643" t="s">
        <v>62</v>
      </c>
      <c r="M5643" t="s">
        <v>262</v>
      </c>
      <c r="N5643" t="s">
        <v>970</v>
      </c>
      <c r="O5643" t="s">
        <v>971</v>
      </c>
      <c r="P5643">
        <v>-20.163060999999999</v>
      </c>
      <c r="Q5643">
        <v>-44.854047000000001</v>
      </c>
      <c r="R5643" s="2" t="str">
        <f>HYPERLINK("https://www.google.com/maps?q=-20.1630610,-44.8540470","Abrir no Google Maps")</f>
        <v>Abrir no Google Maps</v>
      </c>
      <c r="S5643">
        <v>3</v>
      </c>
      <c r="T5643">
        <v>418.63868463200271</v>
      </c>
      <c r="U5643">
        <v>4</v>
      </c>
      <c r="V5643">
        <v>0.99652777777777779</v>
      </c>
      <c r="W5643">
        <v>1</v>
      </c>
      <c r="X5643">
        <v>0.99652777777777779</v>
      </c>
      <c r="Y5643">
        <v>491</v>
      </c>
      <c r="Z5643">
        <v>339.19068595447408</v>
      </c>
      <c r="AA5643">
        <v>198</v>
      </c>
      <c r="AB5643">
        <v>332</v>
      </c>
      <c r="AC5643">
        <v>536</v>
      </c>
      <c r="AD5643">
        <v>27.77</v>
      </c>
      <c r="AE5643">
        <v>542</v>
      </c>
      <c r="AF5643">
        <v>26</v>
      </c>
      <c r="AG5643">
        <v>163</v>
      </c>
      <c r="AH5643">
        <v>129</v>
      </c>
      <c r="AI5643">
        <v>4.8</v>
      </c>
      <c r="AJ5643">
        <v>30.07</v>
      </c>
      <c r="AK5643">
        <v>23.8</v>
      </c>
      <c r="AL5643">
        <v>-20.163118949999959</v>
      </c>
      <c r="AM5643">
        <v>-44.854106723889032</v>
      </c>
      <c r="AN5643">
        <v>-20.163118949999959</v>
      </c>
      <c r="AO5643">
        <v>-44.854106723889032</v>
      </c>
      <c r="AP5643">
        <v>-20.163060999999999</v>
      </c>
      <c r="AQ5643">
        <v>-44.854047000000001</v>
      </c>
      <c r="AR5643">
        <v>8.9758322935491428</v>
      </c>
      <c r="AS5643" t="s">
        <v>65</v>
      </c>
      <c r="AT5643">
        <v>1</v>
      </c>
      <c r="AU5643" t="s">
        <v>972</v>
      </c>
      <c r="AV5643" t="s">
        <v>973</v>
      </c>
      <c r="AW5643" t="s">
        <v>60</v>
      </c>
      <c r="AX5643" t="s">
        <v>68</v>
      </c>
      <c r="AY5643" t="s">
        <v>69</v>
      </c>
      <c r="AZ5643" t="b">
        <v>1</v>
      </c>
    </row>
    <row r="5644" spans="1:52" x14ac:dyDescent="0.3">
      <c r="A5644" t="s">
        <v>52</v>
      </c>
      <c r="B5644" t="s">
        <v>53</v>
      </c>
      <c r="C5644" t="s">
        <v>54</v>
      </c>
      <c r="D5644" t="s">
        <v>55</v>
      </c>
      <c r="E5644" t="s">
        <v>2280</v>
      </c>
      <c r="F5644" t="s">
        <v>190</v>
      </c>
      <c r="G5644" t="s">
        <v>974</v>
      </c>
      <c r="H5644" t="s">
        <v>975</v>
      </c>
      <c r="I5644" t="s">
        <v>975</v>
      </c>
      <c r="J5644" t="s">
        <v>60</v>
      </c>
      <c r="K5644" t="s">
        <v>702</v>
      </c>
      <c r="L5644" t="s">
        <v>62</v>
      </c>
      <c r="M5644" t="s">
        <v>702</v>
      </c>
      <c r="N5644" t="s">
        <v>976</v>
      </c>
      <c r="O5644" t="s">
        <v>977</v>
      </c>
      <c r="P5644">
        <v>-20.167021999999999</v>
      </c>
      <c r="Q5644">
        <v>-44.863095000000001</v>
      </c>
      <c r="R5644" s="2" t="str">
        <f>HYPERLINK("https://www.google.com/maps?q=-20.1670220,-44.8630950","Abrir no Google Maps")</f>
        <v>Abrir no Google Maps</v>
      </c>
      <c r="S5644">
        <v>3</v>
      </c>
      <c r="T5644">
        <v>629.02897442495839</v>
      </c>
      <c r="U5644">
        <v>4</v>
      </c>
      <c r="V5644">
        <v>0.99766355140186924</v>
      </c>
      <c r="W5644">
        <v>1</v>
      </c>
      <c r="X5644">
        <v>0.99766355140186924</v>
      </c>
      <c r="Y5644">
        <v>491</v>
      </c>
      <c r="Z5644">
        <v>693.48000708961661</v>
      </c>
      <c r="AA5644">
        <v>198</v>
      </c>
      <c r="AB5644">
        <v>332</v>
      </c>
      <c r="AC5644">
        <v>536</v>
      </c>
      <c r="AD5644">
        <v>27.77</v>
      </c>
      <c r="AE5644">
        <v>542</v>
      </c>
      <c r="AF5644">
        <v>26</v>
      </c>
      <c r="AG5644">
        <v>163</v>
      </c>
      <c r="AH5644">
        <v>129</v>
      </c>
      <c r="AI5644">
        <v>4.8</v>
      </c>
      <c r="AJ5644">
        <v>30.07</v>
      </c>
      <c r="AK5644">
        <v>23.8</v>
      </c>
      <c r="AL5644">
        <v>-20.167032199999941</v>
      </c>
      <c r="AM5644">
        <v>-44.863123980291967</v>
      </c>
      <c r="AN5644">
        <v>-20.167032199999941</v>
      </c>
      <c r="AO5644">
        <v>-44.863123980291967</v>
      </c>
      <c r="AP5644">
        <v>-20.167021999999999</v>
      </c>
      <c r="AQ5644">
        <v>-44.863095000000001</v>
      </c>
      <c r="AR5644">
        <v>3.2341734571542871</v>
      </c>
      <c r="AS5644" t="s">
        <v>65</v>
      </c>
      <c r="AT5644">
        <v>1</v>
      </c>
      <c r="AU5644" t="s">
        <v>978</v>
      </c>
      <c r="AV5644" t="s">
        <v>979</v>
      </c>
      <c r="AW5644" t="s">
        <v>60</v>
      </c>
      <c r="AX5644" t="s">
        <v>68</v>
      </c>
      <c r="AY5644" t="s">
        <v>69</v>
      </c>
      <c r="AZ5644" t="b">
        <v>1</v>
      </c>
    </row>
    <row r="5645" spans="1:52" x14ac:dyDescent="0.3">
      <c r="A5645" t="s">
        <v>52</v>
      </c>
      <c r="B5645" t="s">
        <v>53</v>
      </c>
      <c r="C5645" t="s">
        <v>54</v>
      </c>
      <c r="D5645" t="s">
        <v>55</v>
      </c>
      <c r="E5645" t="s">
        <v>2280</v>
      </c>
      <c r="F5645" t="s">
        <v>190</v>
      </c>
      <c r="G5645" t="s">
        <v>986</v>
      </c>
      <c r="H5645" t="s">
        <v>987</v>
      </c>
      <c r="I5645" t="s">
        <v>987</v>
      </c>
      <c r="J5645" t="s">
        <v>60</v>
      </c>
      <c r="K5645" t="s">
        <v>702</v>
      </c>
      <c r="L5645" t="s">
        <v>62</v>
      </c>
      <c r="M5645" t="s">
        <v>702</v>
      </c>
      <c r="N5645" t="s">
        <v>988</v>
      </c>
      <c r="O5645" t="s">
        <v>989</v>
      </c>
      <c r="P5645">
        <v>-20.1691</v>
      </c>
      <c r="Q5645">
        <v>-44.860813999999998</v>
      </c>
      <c r="R5645" s="2" t="str">
        <f>HYPERLINK("https://www.google.com/maps?q=-20.1691000,-44.8608140","Abrir no Google Maps")</f>
        <v>Abrir no Google Maps</v>
      </c>
      <c r="S5645">
        <v>3</v>
      </c>
      <c r="T5645">
        <v>596.11124105675003</v>
      </c>
      <c r="U5645">
        <v>4</v>
      </c>
      <c r="V5645">
        <v>0.99610591900311518</v>
      </c>
      <c r="W5645">
        <v>1</v>
      </c>
      <c r="X5645">
        <v>0.99610591900311518</v>
      </c>
      <c r="Y5645">
        <v>491</v>
      </c>
      <c r="Z5645">
        <v>741.65354053819078</v>
      </c>
      <c r="AA5645">
        <v>198</v>
      </c>
      <c r="AB5645">
        <v>332</v>
      </c>
      <c r="AC5645">
        <v>536</v>
      </c>
      <c r="AD5645">
        <v>27.77</v>
      </c>
      <c r="AE5645">
        <v>542</v>
      </c>
      <c r="AF5645">
        <v>26</v>
      </c>
      <c r="AG5645">
        <v>163</v>
      </c>
      <c r="AH5645">
        <v>129</v>
      </c>
      <c r="AI5645">
        <v>4.8</v>
      </c>
      <c r="AJ5645">
        <v>30.07</v>
      </c>
      <c r="AK5645">
        <v>23.8</v>
      </c>
      <c r="AL5645">
        <v>-20.168995449999951</v>
      </c>
      <c r="AM5645">
        <v>-44.86088900357106</v>
      </c>
      <c r="AN5645">
        <v>-20.168995449999951</v>
      </c>
      <c r="AO5645">
        <v>-44.86088900357106</v>
      </c>
      <c r="AP5645">
        <v>-20.1691</v>
      </c>
      <c r="AQ5645">
        <v>-44.860813999999998</v>
      </c>
      <c r="AR5645">
        <v>14.03138702725616</v>
      </c>
      <c r="AS5645" t="s">
        <v>65</v>
      </c>
      <c r="AT5645">
        <v>1</v>
      </c>
      <c r="AU5645" t="s">
        <v>990</v>
      </c>
      <c r="AV5645" t="s">
        <v>991</v>
      </c>
      <c r="AW5645" t="s">
        <v>60</v>
      </c>
      <c r="AX5645" t="s">
        <v>68</v>
      </c>
      <c r="AY5645" t="s">
        <v>69</v>
      </c>
      <c r="AZ5645" t="b">
        <v>1</v>
      </c>
    </row>
    <row r="5646" spans="1:52" x14ac:dyDescent="0.3">
      <c r="A5646" t="s">
        <v>52</v>
      </c>
      <c r="B5646" t="s">
        <v>53</v>
      </c>
      <c r="C5646" t="s">
        <v>54</v>
      </c>
      <c r="D5646" t="s">
        <v>55</v>
      </c>
      <c r="E5646" t="s">
        <v>2280</v>
      </c>
      <c r="F5646" t="s">
        <v>190</v>
      </c>
      <c r="G5646" t="s">
        <v>637</v>
      </c>
      <c r="H5646" t="s">
        <v>638</v>
      </c>
      <c r="I5646" t="s">
        <v>638</v>
      </c>
      <c r="J5646" t="s">
        <v>60</v>
      </c>
      <c r="K5646" t="s">
        <v>530</v>
      </c>
      <c r="L5646" t="s">
        <v>62</v>
      </c>
      <c r="M5646" t="s">
        <v>530</v>
      </c>
      <c r="N5646" t="s">
        <v>639</v>
      </c>
      <c r="O5646" t="s">
        <v>640</v>
      </c>
      <c r="P5646">
        <v>-20.143090000000001</v>
      </c>
      <c r="Q5646">
        <v>-44.888948999999997</v>
      </c>
      <c r="R5646" s="2" t="str">
        <f>HYPERLINK("https://www.google.com/maps?q=-20.1430900,-44.8889490","Abrir no Google Maps")</f>
        <v>Abrir no Google Maps</v>
      </c>
      <c r="S5646">
        <v>3</v>
      </c>
      <c r="T5646">
        <v>264.88903234377068</v>
      </c>
      <c r="U5646">
        <v>4</v>
      </c>
      <c r="V5646">
        <v>0.99879807692307676</v>
      </c>
      <c r="W5646">
        <v>1</v>
      </c>
      <c r="X5646">
        <v>0.99879807692307676</v>
      </c>
      <c r="Y5646">
        <v>478</v>
      </c>
      <c r="Z5646">
        <v>216.60886577490871</v>
      </c>
      <c r="AA5646">
        <v>198</v>
      </c>
      <c r="AB5646">
        <v>332</v>
      </c>
      <c r="AC5646">
        <v>536</v>
      </c>
      <c r="AD5646">
        <v>27.77</v>
      </c>
      <c r="AE5646">
        <v>542</v>
      </c>
      <c r="AF5646">
        <v>26</v>
      </c>
      <c r="AG5646">
        <v>163</v>
      </c>
      <c r="AH5646">
        <v>129</v>
      </c>
      <c r="AI5646">
        <v>4.8</v>
      </c>
      <c r="AJ5646">
        <v>30.07</v>
      </c>
      <c r="AK5646">
        <v>23.8</v>
      </c>
      <c r="AL5646">
        <v>-20.14306029999997</v>
      </c>
      <c r="AM5646">
        <v>-44.889053908028878</v>
      </c>
      <c r="AN5646">
        <v>-20.14306029999997</v>
      </c>
      <c r="AO5646">
        <v>-44.889053908028878</v>
      </c>
      <c r="AP5646">
        <v>-20.143090000000001</v>
      </c>
      <c r="AQ5646">
        <v>-44.888948999999997</v>
      </c>
      <c r="AR5646">
        <v>11.451710102611671</v>
      </c>
      <c r="AS5646" t="s">
        <v>65</v>
      </c>
      <c r="AT5646">
        <v>1</v>
      </c>
      <c r="AU5646" t="s">
        <v>641</v>
      </c>
      <c r="AV5646" t="s">
        <v>642</v>
      </c>
      <c r="AW5646" t="s">
        <v>60</v>
      </c>
      <c r="AX5646" t="s">
        <v>68</v>
      </c>
      <c r="AY5646" t="s">
        <v>69</v>
      </c>
      <c r="AZ5646" t="b">
        <v>1</v>
      </c>
    </row>
    <row r="5647" spans="1:52" x14ac:dyDescent="0.3">
      <c r="A5647" t="s">
        <v>52</v>
      </c>
      <c r="B5647" t="s">
        <v>53</v>
      </c>
      <c r="C5647" t="s">
        <v>54</v>
      </c>
      <c r="D5647" t="s">
        <v>55</v>
      </c>
      <c r="E5647" t="s">
        <v>2280</v>
      </c>
      <c r="F5647" t="s">
        <v>190</v>
      </c>
      <c r="G5647" t="s">
        <v>643</v>
      </c>
      <c r="H5647" t="s">
        <v>644</v>
      </c>
      <c r="I5647" t="s">
        <v>644</v>
      </c>
      <c r="J5647" t="s">
        <v>60</v>
      </c>
      <c r="K5647" t="s">
        <v>462</v>
      </c>
      <c r="L5647" t="s">
        <v>62</v>
      </c>
      <c r="M5647" t="s">
        <v>462</v>
      </c>
      <c r="N5647" t="s">
        <v>645</v>
      </c>
      <c r="O5647" t="s">
        <v>646</v>
      </c>
      <c r="P5647">
        <v>-20.138680000000001</v>
      </c>
      <c r="Q5647">
        <v>-44.901313000000002</v>
      </c>
      <c r="R5647" s="2" t="str">
        <f>HYPERLINK("https://www.google.com/maps?q=-20.1386800,-44.9013130","Abrir no Google Maps")</f>
        <v>Abrir no Google Maps</v>
      </c>
      <c r="S5647">
        <v>3</v>
      </c>
      <c r="T5647">
        <v>322.91859681380862</v>
      </c>
      <c r="U5647">
        <v>4</v>
      </c>
      <c r="V5647">
        <v>0.99859550561797761</v>
      </c>
      <c r="W5647">
        <v>1</v>
      </c>
      <c r="X5647">
        <v>0.99859550561797761</v>
      </c>
      <c r="Y5647">
        <v>435</v>
      </c>
      <c r="Z5647">
        <v>299.891766434874</v>
      </c>
      <c r="AA5647">
        <v>198</v>
      </c>
      <c r="AB5647">
        <v>332</v>
      </c>
      <c r="AC5647">
        <v>536</v>
      </c>
      <c r="AD5647">
        <v>27.77</v>
      </c>
      <c r="AE5647">
        <v>542</v>
      </c>
      <c r="AF5647">
        <v>26</v>
      </c>
      <c r="AG5647">
        <v>163</v>
      </c>
      <c r="AH5647">
        <v>129</v>
      </c>
      <c r="AI5647">
        <v>4.8</v>
      </c>
      <c r="AJ5647">
        <v>30.07</v>
      </c>
      <c r="AK5647">
        <v>23.8</v>
      </c>
      <c r="AL5647">
        <v>-20.13865734999996</v>
      </c>
      <c r="AM5647">
        <v>-44.901255803238627</v>
      </c>
      <c r="AN5647">
        <v>-20.13865734999996</v>
      </c>
      <c r="AO5647">
        <v>-44.901255803238627</v>
      </c>
      <c r="AP5647">
        <v>-20.138680000000001</v>
      </c>
      <c r="AQ5647">
        <v>-44.901313000000002</v>
      </c>
      <c r="AR5647">
        <v>6.4878640135702481</v>
      </c>
      <c r="AS5647" t="s">
        <v>65</v>
      </c>
      <c r="AT5647">
        <v>1</v>
      </c>
      <c r="AU5647" t="s">
        <v>647</v>
      </c>
      <c r="AV5647" t="s">
        <v>648</v>
      </c>
      <c r="AW5647" t="s">
        <v>60</v>
      </c>
      <c r="AX5647" t="s">
        <v>68</v>
      </c>
      <c r="AY5647" t="s">
        <v>69</v>
      </c>
      <c r="AZ5647" t="b">
        <v>1</v>
      </c>
    </row>
    <row r="5648" spans="1:52" x14ac:dyDescent="0.3">
      <c r="A5648" t="s">
        <v>52</v>
      </c>
      <c r="B5648" t="s">
        <v>53</v>
      </c>
      <c r="C5648" t="s">
        <v>54</v>
      </c>
      <c r="D5648" t="s">
        <v>55</v>
      </c>
      <c r="E5648" t="s">
        <v>2280</v>
      </c>
      <c r="F5648" t="s">
        <v>190</v>
      </c>
      <c r="G5648" t="s">
        <v>649</v>
      </c>
      <c r="H5648" t="s">
        <v>650</v>
      </c>
      <c r="I5648" t="s">
        <v>650</v>
      </c>
      <c r="J5648" t="s">
        <v>60</v>
      </c>
      <c r="K5648" t="s">
        <v>651</v>
      </c>
      <c r="L5648" t="s">
        <v>62</v>
      </c>
      <c r="M5648" t="s">
        <v>651</v>
      </c>
      <c r="N5648" t="s">
        <v>652</v>
      </c>
      <c r="O5648" t="s">
        <v>653</v>
      </c>
      <c r="P5648">
        <v>-20.134566</v>
      </c>
      <c r="Q5648">
        <v>-44.894970999999998</v>
      </c>
      <c r="R5648" s="2" t="str">
        <f>HYPERLINK("https://www.google.com/maps?q=-20.1345660,-44.8949710","Abrir no Google Maps")</f>
        <v>Abrir no Google Maps</v>
      </c>
      <c r="S5648">
        <v>3</v>
      </c>
      <c r="T5648">
        <v>722.088947634291</v>
      </c>
      <c r="U5648">
        <v>4</v>
      </c>
      <c r="V5648">
        <v>0.99888888888888883</v>
      </c>
      <c r="W5648">
        <v>1</v>
      </c>
      <c r="X5648">
        <v>0.99888888888888883</v>
      </c>
      <c r="Y5648">
        <v>435</v>
      </c>
      <c r="Z5648">
        <v>510.93480096112631</v>
      </c>
      <c r="AA5648">
        <v>198</v>
      </c>
      <c r="AB5648">
        <v>332</v>
      </c>
      <c r="AC5648">
        <v>536</v>
      </c>
      <c r="AD5648">
        <v>27.77</v>
      </c>
      <c r="AE5648">
        <v>542</v>
      </c>
      <c r="AF5648">
        <v>26</v>
      </c>
      <c r="AG5648">
        <v>163</v>
      </c>
      <c r="AH5648">
        <v>129</v>
      </c>
      <c r="AI5648">
        <v>4.8</v>
      </c>
      <c r="AJ5648">
        <v>30.07</v>
      </c>
      <c r="AK5648">
        <v>23.8</v>
      </c>
      <c r="AL5648">
        <v>-20.134477649999951</v>
      </c>
      <c r="AM5648">
        <v>-44.894921468906077</v>
      </c>
      <c r="AN5648">
        <v>-20.134477649999951</v>
      </c>
      <c r="AO5648">
        <v>-44.894921468906077</v>
      </c>
      <c r="AP5648">
        <v>-20.134566</v>
      </c>
      <c r="AQ5648">
        <v>-44.894970999999998</v>
      </c>
      <c r="AR5648">
        <v>11.114372522967921</v>
      </c>
      <c r="AS5648" t="s">
        <v>65</v>
      </c>
      <c r="AT5648">
        <v>1</v>
      </c>
      <c r="AU5648" t="s">
        <v>654</v>
      </c>
      <c r="AV5648" t="s">
        <v>655</v>
      </c>
      <c r="AW5648" t="s">
        <v>60</v>
      </c>
      <c r="AX5648" t="s">
        <v>68</v>
      </c>
      <c r="AY5648" t="s">
        <v>69</v>
      </c>
      <c r="AZ5648" t="b">
        <v>1</v>
      </c>
    </row>
    <row r="5649" spans="1:52" x14ac:dyDescent="0.3">
      <c r="A5649" t="s">
        <v>52</v>
      </c>
      <c r="B5649" t="s">
        <v>53</v>
      </c>
      <c r="C5649" t="s">
        <v>54</v>
      </c>
      <c r="D5649" t="s">
        <v>55</v>
      </c>
      <c r="E5649" t="s">
        <v>2280</v>
      </c>
      <c r="F5649" t="s">
        <v>190</v>
      </c>
      <c r="G5649" t="s">
        <v>656</v>
      </c>
      <c r="H5649" t="s">
        <v>657</v>
      </c>
      <c r="I5649" t="s">
        <v>657</v>
      </c>
      <c r="J5649" t="s">
        <v>60</v>
      </c>
      <c r="K5649" t="s">
        <v>651</v>
      </c>
      <c r="L5649" t="s">
        <v>62</v>
      </c>
      <c r="M5649" t="s">
        <v>651</v>
      </c>
      <c r="N5649" t="s">
        <v>658</v>
      </c>
      <c r="O5649" t="s">
        <v>659</v>
      </c>
      <c r="P5649">
        <v>-20.134922</v>
      </c>
      <c r="Q5649">
        <v>-44.893098000000002</v>
      </c>
      <c r="R5649" s="2" t="str">
        <f>HYPERLINK("https://www.google.com/maps?q=-20.1349220,-44.8930980","Abrir no Google Maps")</f>
        <v>Abrir no Google Maps</v>
      </c>
      <c r="S5649">
        <v>3</v>
      </c>
      <c r="T5649">
        <v>589.83980259734562</v>
      </c>
      <c r="U5649">
        <v>4</v>
      </c>
      <c r="V5649">
        <v>1</v>
      </c>
      <c r="W5649">
        <v>1</v>
      </c>
      <c r="X5649">
        <v>1</v>
      </c>
      <c r="Y5649">
        <v>435</v>
      </c>
      <c r="Z5649">
        <v>663.80986080131709</v>
      </c>
      <c r="AA5649">
        <v>198</v>
      </c>
      <c r="AB5649">
        <v>332</v>
      </c>
      <c r="AC5649">
        <v>536</v>
      </c>
      <c r="AD5649">
        <v>27.77</v>
      </c>
      <c r="AE5649">
        <v>542</v>
      </c>
      <c r="AF5649">
        <v>26</v>
      </c>
      <c r="AG5649">
        <v>163</v>
      </c>
      <c r="AH5649">
        <v>129</v>
      </c>
      <c r="AI5649">
        <v>4.8</v>
      </c>
      <c r="AJ5649">
        <v>30.07</v>
      </c>
      <c r="AK5649">
        <v>23.8</v>
      </c>
      <c r="AL5649">
        <v>-20.135021049999949</v>
      </c>
      <c r="AM5649">
        <v>-44.893227478208203</v>
      </c>
      <c r="AN5649">
        <v>-20.135021049999949</v>
      </c>
      <c r="AO5649">
        <v>-44.893227478208203</v>
      </c>
      <c r="AP5649">
        <v>-20.134922</v>
      </c>
      <c r="AQ5649">
        <v>-44.893098000000002</v>
      </c>
      <c r="AR5649">
        <v>17.455940349902249</v>
      </c>
      <c r="AS5649" t="s">
        <v>65</v>
      </c>
      <c r="AT5649">
        <v>1</v>
      </c>
      <c r="AU5649" t="s">
        <v>660</v>
      </c>
      <c r="AV5649" t="s">
        <v>661</v>
      </c>
      <c r="AW5649" t="s">
        <v>60</v>
      </c>
      <c r="AX5649" t="s">
        <v>68</v>
      </c>
      <c r="AY5649" t="s">
        <v>69</v>
      </c>
      <c r="AZ5649" t="b">
        <v>1</v>
      </c>
    </row>
    <row r="5650" spans="1:52" x14ac:dyDescent="0.3">
      <c r="A5650" t="s">
        <v>52</v>
      </c>
      <c r="B5650" t="s">
        <v>53</v>
      </c>
      <c r="C5650" t="s">
        <v>54</v>
      </c>
      <c r="D5650" t="s">
        <v>55</v>
      </c>
      <c r="E5650" t="s">
        <v>2280</v>
      </c>
      <c r="F5650" t="s">
        <v>190</v>
      </c>
      <c r="G5650" t="s">
        <v>669</v>
      </c>
      <c r="H5650" t="s">
        <v>670</v>
      </c>
      <c r="I5650" t="s">
        <v>670</v>
      </c>
      <c r="J5650" t="s">
        <v>60</v>
      </c>
      <c r="K5650" t="s">
        <v>530</v>
      </c>
      <c r="L5650" t="s">
        <v>62</v>
      </c>
      <c r="M5650" t="s">
        <v>530</v>
      </c>
      <c r="N5650" t="s">
        <v>671</v>
      </c>
      <c r="O5650" t="s">
        <v>672</v>
      </c>
      <c r="P5650">
        <v>-20.139036999999998</v>
      </c>
      <c r="Q5650">
        <v>-44.889187</v>
      </c>
      <c r="R5650" s="2" t="str">
        <f>HYPERLINK("https://www.google.com/maps?q=-20.1390370,-44.8891870","Abrir no Google Maps")</f>
        <v>Abrir no Google Maps</v>
      </c>
      <c r="S5650">
        <v>3</v>
      </c>
      <c r="T5650">
        <v>162.03713995333371</v>
      </c>
      <c r="U5650">
        <v>4</v>
      </c>
      <c r="V5650">
        <v>1</v>
      </c>
      <c r="W5650">
        <v>1</v>
      </c>
      <c r="X5650">
        <v>1</v>
      </c>
      <c r="Y5650">
        <v>428</v>
      </c>
      <c r="Z5650">
        <v>126.21352118044651</v>
      </c>
      <c r="AA5650">
        <v>198</v>
      </c>
      <c r="AB5650">
        <v>332</v>
      </c>
      <c r="AC5650">
        <v>536</v>
      </c>
      <c r="AD5650">
        <v>27.77</v>
      </c>
      <c r="AE5650">
        <v>542</v>
      </c>
      <c r="AF5650">
        <v>26</v>
      </c>
      <c r="AG5650">
        <v>163</v>
      </c>
      <c r="AH5650">
        <v>129</v>
      </c>
      <c r="AI5650">
        <v>4.8</v>
      </c>
      <c r="AJ5650">
        <v>30.07</v>
      </c>
      <c r="AK5650">
        <v>23.8</v>
      </c>
      <c r="AL5650">
        <v>-20.13900394999996</v>
      </c>
      <c r="AM5650">
        <v>-44.889298503583859</v>
      </c>
      <c r="AN5650">
        <v>-20.13900394999996</v>
      </c>
      <c r="AO5650">
        <v>-44.889298503583859</v>
      </c>
      <c r="AP5650">
        <v>-20.139036999999998</v>
      </c>
      <c r="AQ5650">
        <v>-44.889187</v>
      </c>
      <c r="AR5650">
        <v>12.220642731957311</v>
      </c>
      <c r="AS5650" t="s">
        <v>65</v>
      </c>
      <c r="AT5650">
        <v>1</v>
      </c>
      <c r="AU5650" t="s">
        <v>673</v>
      </c>
      <c r="AV5650" t="s">
        <v>674</v>
      </c>
      <c r="AW5650" t="s">
        <v>60</v>
      </c>
      <c r="AX5650" t="s">
        <v>68</v>
      </c>
      <c r="AY5650" t="s">
        <v>69</v>
      </c>
      <c r="AZ5650" t="b">
        <v>1</v>
      </c>
    </row>
    <row r="5651" spans="1:52" x14ac:dyDescent="0.3">
      <c r="A5651" t="s">
        <v>52</v>
      </c>
      <c r="B5651" t="s">
        <v>53</v>
      </c>
      <c r="C5651" t="s">
        <v>54</v>
      </c>
      <c r="D5651" t="s">
        <v>55</v>
      </c>
      <c r="E5651" t="s">
        <v>2280</v>
      </c>
      <c r="F5651" t="s">
        <v>190</v>
      </c>
      <c r="G5651" t="s">
        <v>675</v>
      </c>
      <c r="H5651" t="s">
        <v>676</v>
      </c>
      <c r="I5651" t="s">
        <v>676</v>
      </c>
      <c r="J5651" t="s">
        <v>60</v>
      </c>
      <c r="K5651" t="s">
        <v>530</v>
      </c>
      <c r="L5651" t="s">
        <v>62</v>
      </c>
      <c r="M5651" t="s">
        <v>530</v>
      </c>
      <c r="N5651" t="s">
        <v>677</v>
      </c>
      <c r="O5651" t="s">
        <v>678</v>
      </c>
      <c r="P5651">
        <v>-20.140103</v>
      </c>
      <c r="Q5651">
        <v>-44.887059999999998</v>
      </c>
      <c r="R5651" s="2" t="str">
        <f>HYPERLINK("https://www.google.com/maps?q=-20.1401030,-44.8870600","Abrir no Google Maps")</f>
        <v>Abrir no Google Maps</v>
      </c>
      <c r="S5651">
        <v>3</v>
      </c>
      <c r="T5651">
        <v>202.19329492684349</v>
      </c>
      <c r="U5651">
        <v>4</v>
      </c>
      <c r="V5651">
        <v>1</v>
      </c>
      <c r="W5651">
        <v>1</v>
      </c>
      <c r="X5651">
        <v>1</v>
      </c>
      <c r="Y5651">
        <v>428</v>
      </c>
      <c r="Z5651">
        <v>144.95603883960419</v>
      </c>
      <c r="AA5651">
        <v>198</v>
      </c>
      <c r="AB5651">
        <v>332</v>
      </c>
      <c r="AC5651">
        <v>536</v>
      </c>
      <c r="AD5651">
        <v>27.77</v>
      </c>
      <c r="AE5651">
        <v>542</v>
      </c>
      <c r="AF5651">
        <v>26</v>
      </c>
      <c r="AG5651">
        <v>163</v>
      </c>
      <c r="AH5651">
        <v>129</v>
      </c>
      <c r="AI5651">
        <v>4.8</v>
      </c>
      <c r="AJ5651">
        <v>30.07</v>
      </c>
      <c r="AK5651">
        <v>23.8</v>
      </c>
      <c r="AL5651">
        <v>-20.13997164999995</v>
      </c>
      <c r="AM5651">
        <v>-44.887075246455773</v>
      </c>
      <c r="AN5651">
        <v>-20.13997164999995</v>
      </c>
      <c r="AO5651">
        <v>-44.887075246455773</v>
      </c>
      <c r="AP5651">
        <v>-20.140103</v>
      </c>
      <c r="AQ5651">
        <v>-44.887059999999998</v>
      </c>
      <c r="AR5651">
        <v>14.7084512385181</v>
      </c>
      <c r="AS5651" t="s">
        <v>65</v>
      </c>
      <c r="AT5651">
        <v>1</v>
      </c>
      <c r="AU5651" t="s">
        <v>679</v>
      </c>
      <c r="AV5651" t="s">
        <v>680</v>
      </c>
      <c r="AW5651" t="s">
        <v>60</v>
      </c>
      <c r="AX5651" t="s">
        <v>68</v>
      </c>
      <c r="AY5651" t="s">
        <v>69</v>
      </c>
      <c r="AZ5651" t="b">
        <v>1</v>
      </c>
    </row>
    <row r="5652" spans="1:52" x14ac:dyDescent="0.3">
      <c r="A5652" t="s">
        <v>52</v>
      </c>
      <c r="B5652" t="s">
        <v>53</v>
      </c>
      <c r="C5652" t="s">
        <v>54</v>
      </c>
      <c r="D5652" t="s">
        <v>55</v>
      </c>
      <c r="E5652" t="s">
        <v>2280</v>
      </c>
      <c r="F5652" t="s">
        <v>190</v>
      </c>
      <c r="G5652" t="s">
        <v>681</v>
      </c>
      <c r="H5652" t="s">
        <v>682</v>
      </c>
      <c r="I5652" t="s">
        <v>682</v>
      </c>
      <c r="J5652" t="s">
        <v>60</v>
      </c>
      <c r="K5652" t="s">
        <v>530</v>
      </c>
      <c r="L5652" t="s">
        <v>62</v>
      </c>
      <c r="M5652" t="s">
        <v>530</v>
      </c>
      <c r="N5652" t="s">
        <v>683</v>
      </c>
      <c r="O5652" t="s">
        <v>173</v>
      </c>
      <c r="P5652">
        <v>-20.138342999999999</v>
      </c>
      <c r="Q5652">
        <v>-44.887732</v>
      </c>
      <c r="R5652" s="2" t="str">
        <f>HYPERLINK("https://www.google.com/maps?q=-20.1383430,-44.8877320","Abrir no Google Maps")</f>
        <v>Abrir no Google Maps</v>
      </c>
      <c r="S5652">
        <v>3</v>
      </c>
      <c r="T5652">
        <v>0</v>
      </c>
      <c r="U5652">
        <v>4</v>
      </c>
      <c r="V5652">
        <v>0.99913194444444442</v>
      </c>
      <c r="W5652">
        <v>1</v>
      </c>
      <c r="X5652">
        <v>0.99913194444444442</v>
      </c>
      <c r="Y5652">
        <v>428</v>
      </c>
      <c r="Z5652">
        <v>82.685534812530861</v>
      </c>
      <c r="AA5652">
        <v>198</v>
      </c>
      <c r="AB5652">
        <v>332</v>
      </c>
      <c r="AC5652">
        <v>536</v>
      </c>
      <c r="AD5652">
        <v>27.77</v>
      </c>
      <c r="AE5652">
        <v>542</v>
      </c>
      <c r="AF5652">
        <v>26</v>
      </c>
      <c r="AG5652">
        <v>163</v>
      </c>
      <c r="AH5652">
        <v>129</v>
      </c>
      <c r="AI5652">
        <v>4.8</v>
      </c>
      <c r="AJ5652">
        <v>30.07</v>
      </c>
      <c r="AK5652">
        <v>23.8</v>
      </c>
      <c r="AL5652">
        <v>-20.138329099999961</v>
      </c>
      <c r="AM5652">
        <v>-44.887922589375549</v>
      </c>
      <c r="AN5652">
        <v>-20.138329099999961</v>
      </c>
      <c r="AO5652">
        <v>-44.887922589375549</v>
      </c>
      <c r="AP5652">
        <v>-20.138342999999999</v>
      </c>
      <c r="AQ5652">
        <v>-44.887732</v>
      </c>
      <c r="AR5652">
        <v>19.979335127307191</v>
      </c>
      <c r="AS5652" t="s">
        <v>65</v>
      </c>
      <c r="AT5652">
        <v>1</v>
      </c>
      <c r="AU5652" t="s">
        <v>684</v>
      </c>
      <c r="AV5652" t="s">
        <v>685</v>
      </c>
      <c r="AW5652" t="s">
        <v>60</v>
      </c>
      <c r="AX5652" t="s">
        <v>68</v>
      </c>
      <c r="AY5652" t="s">
        <v>69</v>
      </c>
      <c r="AZ5652" t="b">
        <v>1</v>
      </c>
    </row>
    <row r="5653" spans="1:52" x14ac:dyDescent="0.3">
      <c r="A5653" t="s">
        <v>52</v>
      </c>
      <c r="B5653" t="s">
        <v>53</v>
      </c>
      <c r="C5653" t="s">
        <v>54</v>
      </c>
      <c r="D5653" t="s">
        <v>55</v>
      </c>
      <c r="E5653" t="s">
        <v>2280</v>
      </c>
      <c r="F5653" t="s">
        <v>190</v>
      </c>
      <c r="G5653" t="s">
        <v>1033</v>
      </c>
      <c r="H5653" t="s">
        <v>1034</v>
      </c>
      <c r="I5653" t="s">
        <v>1034</v>
      </c>
      <c r="J5653" t="s">
        <v>60</v>
      </c>
      <c r="K5653" t="s">
        <v>1016</v>
      </c>
      <c r="L5653" t="s">
        <v>62</v>
      </c>
      <c r="M5653" t="s">
        <v>1016</v>
      </c>
      <c r="N5653" t="s">
        <v>1035</v>
      </c>
      <c r="O5653" t="s">
        <v>1036</v>
      </c>
      <c r="P5653">
        <v>-20.176404999999999</v>
      </c>
      <c r="Q5653">
        <v>-44.871102</v>
      </c>
      <c r="R5653" s="2" t="str">
        <f>HYPERLINK("https://www.google.com/maps?q=-20.1764050,-44.8711020","Abrir no Google Maps")</f>
        <v>Abrir no Google Maps</v>
      </c>
      <c r="S5653">
        <v>3</v>
      </c>
      <c r="T5653">
        <v>746.17794449655105</v>
      </c>
      <c r="U5653">
        <v>4</v>
      </c>
      <c r="V5653">
        <v>0.99695121951219523</v>
      </c>
      <c r="W5653">
        <v>1</v>
      </c>
      <c r="X5653">
        <v>0.99695121951219523</v>
      </c>
      <c r="Y5653">
        <v>422</v>
      </c>
      <c r="Z5653">
        <v>532.61564453099913</v>
      </c>
      <c r="AA5653">
        <v>198</v>
      </c>
      <c r="AB5653">
        <v>332</v>
      </c>
      <c r="AC5653">
        <v>536</v>
      </c>
      <c r="AD5653">
        <v>27.77</v>
      </c>
      <c r="AE5653">
        <v>542</v>
      </c>
      <c r="AF5653">
        <v>26</v>
      </c>
      <c r="AG5653">
        <v>163</v>
      </c>
      <c r="AH5653">
        <v>129</v>
      </c>
      <c r="AI5653">
        <v>4.8</v>
      </c>
      <c r="AJ5653">
        <v>30.07</v>
      </c>
      <c r="AK5653">
        <v>23.8</v>
      </c>
      <c r="AL5653">
        <v>-20.176464949999971</v>
      </c>
      <c r="AM5653">
        <v>-44.871010194676387</v>
      </c>
      <c r="AN5653">
        <v>-20.176464949999971</v>
      </c>
      <c r="AO5653">
        <v>-44.871010194676387</v>
      </c>
      <c r="AP5653">
        <v>-20.176404999999999</v>
      </c>
      <c r="AQ5653">
        <v>-44.871102</v>
      </c>
      <c r="AR5653">
        <v>11.68571547850415</v>
      </c>
      <c r="AS5653" t="s">
        <v>65</v>
      </c>
      <c r="AT5653">
        <v>1</v>
      </c>
      <c r="AU5653" t="s">
        <v>1037</v>
      </c>
      <c r="AV5653" t="s">
        <v>1038</v>
      </c>
      <c r="AW5653" t="s">
        <v>60</v>
      </c>
      <c r="AX5653" t="s">
        <v>68</v>
      </c>
      <c r="AY5653" t="s">
        <v>69</v>
      </c>
      <c r="AZ5653" t="b">
        <v>1</v>
      </c>
    </row>
    <row r="5654" spans="1:52" x14ac:dyDescent="0.3">
      <c r="A5654" t="s">
        <v>52</v>
      </c>
      <c r="B5654" t="s">
        <v>53</v>
      </c>
      <c r="C5654" t="s">
        <v>54</v>
      </c>
      <c r="D5654" t="s">
        <v>55</v>
      </c>
      <c r="E5654" t="s">
        <v>2280</v>
      </c>
      <c r="F5654" t="s">
        <v>190</v>
      </c>
      <c r="G5654" t="s">
        <v>700</v>
      </c>
      <c r="H5654" t="s">
        <v>701</v>
      </c>
      <c r="I5654" t="s">
        <v>701</v>
      </c>
      <c r="J5654" t="s">
        <v>60</v>
      </c>
      <c r="K5654" t="s">
        <v>702</v>
      </c>
      <c r="L5654" t="s">
        <v>62</v>
      </c>
      <c r="M5654" t="s">
        <v>702</v>
      </c>
      <c r="N5654" t="s">
        <v>703</v>
      </c>
      <c r="O5654" t="s">
        <v>315</v>
      </c>
      <c r="P5654">
        <v>-20.172599000000002</v>
      </c>
      <c r="Q5654">
        <v>-44.85915</v>
      </c>
      <c r="R5654" s="2" t="str">
        <f>HYPERLINK("https://www.google.com/maps?q=-20.1725990,-44.8591500","Abrir no Google Maps")</f>
        <v>Abrir no Google Maps</v>
      </c>
      <c r="S5654">
        <v>3</v>
      </c>
      <c r="T5654">
        <v>665.1003223445598</v>
      </c>
      <c r="U5654">
        <v>4</v>
      </c>
      <c r="V5654">
        <v>0.99710982658959524</v>
      </c>
      <c r="W5654">
        <v>1</v>
      </c>
      <c r="X5654">
        <v>0.99710982658959524</v>
      </c>
      <c r="Y5654">
        <v>422</v>
      </c>
      <c r="Z5654">
        <v>843.09189615634341</v>
      </c>
      <c r="AA5654">
        <v>198</v>
      </c>
      <c r="AB5654">
        <v>332</v>
      </c>
      <c r="AC5654">
        <v>536</v>
      </c>
      <c r="AD5654">
        <v>27.77</v>
      </c>
      <c r="AE5654">
        <v>542</v>
      </c>
      <c r="AF5654">
        <v>26</v>
      </c>
      <c r="AG5654">
        <v>163</v>
      </c>
      <c r="AH5654">
        <v>129</v>
      </c>
      <c r="AI5654">
        <v>4.8</v>
      </c>
      <c r="AJ5654">
        <v>30.07</v>
      </c>
      <c r="AK5654">
        <v>23.8</v>
      </c>
      <c r="AL5654">
        <v>-20.172576899999971</v>
      </c>
      <c r="AM5654">
        <v>-44.859040110359317</v>
      </c>
      <c r="AN5654">
        <v>-20.172576899999971</v>
      </c>
      <c r="AO5654">
        <v>-44.859040110359317</v>
      </c>
      <c r="AP5654">
        <v>-20.172599000000002</v>
      </c>
      <c r="AQ5654">
        <v>-44.85915</v>
      </c>
      <c r="AR5654">
        <v>11.743118835828479</v>
      </c>
      <c r="AS5654" t="s">
        <v>65</v>
      </c>
      <c r="AT5654">
        <v>1</v>
      </c>
      <c r="AU5654" t="s">
        <v>704</v>
      </c>
      <c r="AV5654" t="s">
        <v>705</v>
      </c>
      <c r="AW5654" t="s">
        <v>60</v>
      </c>
      <c r="AX5654" t="s">
        <v>68</v>
      </c>
      <c r="AY5654" t="s">
        <v>69</v>
      </c>
      <c r="AZ5654" t="b">
        <v>1</v>
      </c>
    </row>
    <row r="5655" spans="1:52" x14ac:dyDescent="0.3">
      <c r="A5655" t="s">
        <v>52</v>
      </c>
      <c r="B5655" t="s">
        <v>53</v>
      </c>
      <c r="C5655" t="s">
        <v>54</v>
      </c>
      <c r="D5655" t="s">
        <v>55</v>
      </c>
      <c r="E5655" t="s">
        <v>2280</v>
      </c>
      <c r="F5655" t="s">
        <v>190</v>
      </c>
      <c r="G5655" t="s">
        <v>1044</v>
      </c>
      <c r="H5655" t="s">
        <v>1045</v>
      </c>
      <c r="I5655" t="s">
        <v>1045</v>
      </c>
      <c r="J5655" t="s">
        <v>60</v>
      </c>
      <c r="K5655" t="s">
        <v>702</v>
      </c>
      <c r="L5655" t="s">
        <v>62</v>
      </c>
      <c r="M5655" t="s">
        <v>702</v>
      </c>
      <c r="N5655" t="s">
        <v>983</v>
      </c>
      <c r="O5655" t="s">
        <v>1046</v>
      </c>
      <c r="P5655">
        <v>-20.172056000000001</v>
      </c>
      <c r="Q5655">
        <v>-44.861556999999998</v>
      </c>
      <c r="R5655" s="2" t="str">
        <f>HYPERLINK("https://www.google.com/maps?q=-20.1720560,-44.8615570","Abrir no Google Maps")</f>
        <v>Abrir no Google Maps</v>
      </c>
      <c r="S5655">
        <v>3</v>
      </c>
      <c r="T5655">
        <v>387.50881633442719</v>
      </c>
      <c r="U5655">
        <v>4</v>
      </c>
      <c r="V5655">
        <v>0.99756097560975598</v>
      </c>
      <c r="W5655">
        <v>1</v>
      </c>
      <c r="X5655">
        <v>0.99756097560975598</v>
      </c>
      <c r="Y5655">
        <v>422</v>
      </c>
      <c r="Z5655">
        <v>592.01060063884404</v>
      </c>
      <c r="AA5655">
        <v>198</v>
      </c>
      <c r="AB5655">
        <v>332</v>
      </c>
      <c r="AC5655">
        <v>536</v>
      </c>
      <c r="AD5655">
        <v>27.77</v>
      </c>
      <c r="AE5655">
        <v>542</v>
      </c>
      <c r="AF5655">
        <v>26</v>
      </c>
      <c r="AG5655">
        <v>163</v>
      </c>
      <c r="AH5655">
        <v>129</v>
      </c>
      <c r="AI5655">
        <v>4.8</v>
      </c>
      <c r="AJ5655">
        <v>30.07</v>
      </c>
      <c r="AK5655">
        <v>23.8</v>
      </c>
      <c r="AL5655">
        <v>-20.171880149999961</v>
      </c>
      <c r="AM5655">
        <v>-44.861715860253369</v>
      </c>
      <c r="AN5655">
        <v>-20.171880149999961</v>
      </c>
      <c r="AO5655">
        <v>-44.861715860253369</v>
      </c>
      <c r="AP5655">
        <v>-20.172056000000001</v>
      </c>
      <c r="AQ5655">
        <v>-44.861556999999998</v>
      </c>
      <c r="AR5655">
        <v>25.66616443825145</v>
      </c>
      <c r="AS5655" t="s">
        <v>65</v>
      </c>
      <c r="AT5655">
        <v>1</v>
      </c>
      <c r="AU5655" t="s">
        <v>1047</v>
      </c>
      <c r="AV5655" t="s">
        <v>705</v>
      </c>
      <c r="AW5655" t="s">
        <v>60</v>
      </c>
      <c r="AX5655" t="s">
        <v>68</v>
      </c>
      <c r="AY5655" t="s">
        <v>69</v>
      </c>
      <c r="AZ5655" t="b">
        <v>1</v>
      </c>
    </row>
    <row r="5656" spans="1:52" x14ac:dyDescent="0.3">
      <c r="A5656" t="s">
        <v>52</v>
      </c>
      <c r="B5656" t="s">
        <v>53</v>
      </c>
      <c r="C5656" t="s">
        <v>54</v>
      </c>
      <c r="D5656" t="s">
        <v>55</v>
      </c>
      <c r="E5656" t="s">
        <v>2280</v>
      </c>
      <c r="F5656" t="s">
        <v>190</v>
      </c>
      <c r="G5656" t="s">
        <v>1048</v>
      </c>
      <c r="H5656" t="s">
        <v>1049</v>
      </c>
      <c r="I5656" t="s">
        <v>1049</v>
      </c>
      <c r="J5656" t="s">
        <v>60</v>
      </c>
      <c r="K5656" t="s">
        <v>708</v>
      </c>
      <c r="L5656" t="s">
        <v>62</v>
      </c>
      <c r="M5656" t="s">
        <v>708</v>
      </c>
      <c r="N5656" t="s">
        <v>1050</v>
      </c>
      <c r="O5656" t="s">
        <v>1051</v>
      </c>
      <c r="P5656">
        <v>-20.128316000000002</v>
      </c>
      <c r="Q5656">
        <v>-44.878137000000002</v>
      </c>
      <c r="R5656" s="2" t="str">
        <f>HYPERLINK("https://www.google.com/maps?q=-20.1283160,-44.8781370","Abrir no Google Maps")</f>
        <v>Abrir no Google Maps</v>
      </c>
      <c r="S5656">
        <v>3</v>
      </c>
      <c r="T5656">
        <v>513.28053815499243</v>
      </c>
      <c r="U5656">
        <v>4</v>
      </c>
      <c r="V5656">
        <v>0.99877450980392157</v>
      </c>
      <c r="W5656">
        <v>1</v>
      </c>
      <c r="X5656">
        <v>0.99877450980392157</v>
      </c>
      <c r="Y5656">
        <v>387</v>
      </c>
      <c r="Z5656">
        <v>385.74604528561741</v>
      </c>
      <c r="AA5656">
        <v>198</v>
      </c>
      <c r="AB5656">
        <v>332</v>
      </c>
      <c r="AC5656">
        <v>536</v>
      </c>
      <c r="AD5656">
        <v>27.77</v>
      </c>
      <c r="AE5656">
        <v>542</v>
      </c>
      <c r="AF5656">
        <v>26</v>
      </c>
      <c r="AG5656">
        <v>163</v>
      </c>
      <c r="AH5656">
        <v>129</v>
      </c>
      <c r="AI5656">
        <v>4.8</v>
      </c>
      <c r="AJ5656">
        <v>30.07</v>
      </c>
      <c r="AK5656">
        <v>23.8</v>
      </c>
      <c r="AL5656">
        <v>-20.128308349999969</v>
      </c>
      <c r="AM5656">
        <v>-44.878115052779357</v>
      </c>
      <c r="AN5656">
        <v>-20.128308349999969</v>
      </c>
      <c r="AO5656">
        <v>-44.878115052779357</v>
      </c>
      <c r="AP5656">
        <v>-20.128316000000002</v>
      </c>
      <c r="AQ5656">
        <v>-44.878137000000002</v>
      </c>
      <c r="AR5656">
        <v>2.4469186172207671</v>
      </c>
      <c r="AS5656" t="s">
        <v>65</v>
      </c>
      <c r="AT5656">
        <v>1</v>
      </c>
      <c r="AU5656" t="s">
        <v>1052</v>
      </c>
      <c r="AV5656" t="s">
        <v>1053</v>
      </c>
      <c r="AW5656" t="s">
        <v>60</v>
      </c>
      <c r="AX5656" t="s">
        <v>68</v>
      </c>
      <c r="AY5656" t="s">
        <v>69</v>
      </c>
      <c r="AZ5656" t="b">
        <v>1</v>
      </c>
    </row>
    <row r="5657" spans="1:52" x14ac:dyDescent="0.3">
      <c r="A5657" t="s">
        <v>52</v>
      </c>
      <c r="B5657" t="s">
        <v>53</v>
      </c>
      <c r="C5657" t="s">
        <v>54</v>
      </c>
      <c r="D5657" t="s">
        <v>55</v>
      </c>
      <c r="E5657" t="s">
        <v>2280</v>
      </c>
      <c r="F5657" t="s">
        <v>190</v>
      </c>
      <c r="G5657" t="s">
        <v>706</v>
      </c>
      <c r="H5657" t="s">
        <v>707</v>
      </c>
      <c r="I5657" t="s">
        <v>707</v>
      </c>
      <c r="J5657" t="s">
        <v>60</v>
      </c>
      <c r="K5657" t="s">
        <v>708</v>
      </c>
      <c r="L5657" t="s">
        <v>62</v>
      </c>
      <c r="M5657" t="s">
        <v>708</v>
      </c>
      <c r="N5657" t="s">
        <v>709</v>
      </c>
      <c r="O5657" t="s">
        <v>710</v>
      </c>
      <c r="P5657">
        <v>-20.127054999999999</v>
      </c>
      <c r="Q5657">
        <v>-44.872073</v>
      </c>
      <c r="R5657" s="2" t="str">
        <f>HYPERLINK("https://www.google.com/maps?q=-20.1270550,-44.8720730","Abrir no Google Maps")</f>
        <v>Abrir no Google Maps</v>
      </c>
      <c r="S5657">
        <v>3</v>
      </c>
      <c r="T5657">
        <v>395.91108553086929</v>
      </c>
      <c r="U5657">
        <v>4</v>
      </c>
      <c r="V5657">
        <v>0.99883720930232556</v>
      </c>
      <c r="W5657">
        <v>1</v>
      </c>
      <c r="X5657">
        <v>0.99883720930232556</v>
      </c>
      <c r="Y5657">
        <v>387</v>
      </c>
      <c r="Z5657">
        <v>518.31496622382247</v>
      </c>
      <c r="AA5657">
        <v>198</v>
      </c>
      <c r="AB5657">
        <v>332</v>
      </c>
      <c r="AC5657">
        <v>536</v>
      </c>
      <c r="AD5657">
        <v>27.77</v>
      </c>
      <c r="AE5657">
        <v>542</v>
      </c>
      <c r="AF5657">
        <v>26</v>
      </c>
      <c r="AG5657">
        <v>163</v>
      </c>
      <c r="AH5657">
        <v>129</v>
      </c>
      <c r="AI5657">
        <v>4.8</v>
      </c>
      <c r="AJ5657">
        <v>30.07</v>
      </c>
      <c r="AK5657">
        <v>23.8</v>
      </c>
      <c r="AL5657">
        <v>-20.126854749999978</v>
      </c>
      <c r="AM5657">
        <v>-44.871712455027861</v>
      </c>
      <c r="AN5657">
        <v>-20.126854749999978</v>
      </c>
      <c r="AO5657">
        <v>-44.871712455027861</v>
      </c>
      <c r="AP5657">
        <v>-20.127054999999999</v>
      </c>
      <c r="AQ5657">
        <v>-44.872073</v>
      </c>
      <c r="AR5657">
        <v>43.784435535392717</v>
      </c>
      <c r="AS5657" t="s">
        <v>65</v>
      </c>
      <c r="AT5657">
        <v>1</v>
      </c>
      <c r="AU5657" t="s">
        <v>711</v>
      </c>
      <c r="AV5657" t="s">
        <v>712</v>
      </c>
      <c r="AW5657" t="s">
        <v>60</v>
      </c>
      <c r="AX5657" t="s">
        <v>68</v>
      </c>
      <c r="AY5657" t="s">
        <v>69</v>
      </c>
      <c r="AZ5657" t="b">
        <v>1</v>
      </c>
    </row>
    <row r="5658" spans="1:52" x14ac:dyDescent="0.3">
      <c r="A5658" t="s">
        <v>52</v>
      </c>
      <c r="B5658" t="s">
        <v>53</v>
      </c>
      <c r="C5658" t="s">
        <v>54</v>
      </c>
      <c r="D5658" t="s">
        <v>55</v>
      </c>
      <c r="E5658" t="s">
        <v>2280</v>
      </c>
      <c r="F5658" t="s">
        <v>190</v>
      </c>
      <c r="G5658" t="s">
        <v>713</v>
      </c>
      <c r="H5658" t="s">
        <v>714</v>
      </c>
      <c r="I5658" t="s">
        <v>714</v>
      </c>
      <c r="J5658" t="s">
        <v>60</v>
      </c>
      <c r="K5658" t="s">
        <v>708</v>
      </c>
      <c r="L5658" t="s">
        <v>62</v>
      </c>
      <c r="M5658" t="s">
        <v>708</v>
      </c>
      <c r="N5658" t="s">
        <v>715</v>
      </c>
      <c r="O5658" t="s">
        <v>604</v>
      </c>
      <c r="P5658">
        <v>-20.133372000000001</v>
      </c>
      <c r="Q5658">
        <v>-44.878864</v>
      </c>
      <c r="R5658" s="2" t="str">
        <f>HYPERLINK("https://www.google.com/maps?q=-20.1333720,-44.8788640","Abrir no Google Maps")</f>
        <v>Abrir no Google Maps</v>
      </c>
      <c r="S5658">
        <v>3</v>
      </c>
      <c r="T5658">
        <v>719.22842848296966</v>
      </c>
      <c r="U5658">
        <v>4</v>
      </c>
      <c r="V5658">
        <v>0.99890829694323158</v>
      </c>
      <c r="W5658">
        <v>1</v>
      </c>
      <c r="X5658">
        <v>0.99890829694323158</v>
      </c>
      <c r="Y5658">
        <v>387</v>
      </c>
      <c r="Z5658">
        <v>630.8628365125652</v>
      </c>
      <c r="AA5658">
        <v>198</v>
      </c>
      <c r="AB5658">
        <v>332</v>
      </c>
      <c r="AC5658">
        <v>536</v>
      </c>
      <c r="AD5658">
        <v>27.77</v>
      </c>
      <c r="AE5658">
        <v>542</v>
      </c>
      <c r="AF5658">
        <v>26</v>
      </c>
      <c r="AG5658">
        <v>163</v>
      </c>
      <c r="AH5658">
        <v>129</v>
      </c>
      <c r="AI5658">
        <v>4.8</v>
      </c>
      <c r="AJ5658">
        <v>30.07</v>
      </c>
      <c r="AK5658">
        <v>23.8</v>
      </c>
      <c r="AL5658">
        <v>-20.133312349999951</v>
      </c>
      <c r="AM5658">
        <v>-44.879452111094892</v>
      </c>
      <c r="AN5658">
        <v>-20.133312349999951</v>
      </c>
      <c r="AO5658">
        <v>-44.879452111094892</v>
      </c>
      <c r="AP5658">
        <v>-20.133372000000001</v>
      </c>
      <c r="AQ5658">
        <v>-44.878864</v>
      </c>
      <c r="AR5658">
        <v>61.825649864116713</v>
      </c>
      <c r="AS5658" t="s">
        <v>65</v>
      </c>
      <c r="AT5658">
        <v>1</v>
      </c>
      <c r="AU5658" t="s">
        <v>716</v>
      </c>
      <c r="AV5658" t="s">
        <v>717</v>
      </c>
      <c r="AW5658" t="s">
        <v>60</v>
      </c>
      <c r="AX5658" t="s">
        <v>68</v>
      </c>
      <c r="AY5658" t="s">
        <v>69</v>
      </c>
      <c r="AZ5658" t="b">
        <v>1</v>
      </c>
    </row>
    <row r="5659" spans="1:52" x14ac:dyDescent="0.3">
      <c r="A5659" t="s">
        <v>52</v>
      </c>
      <c r="B5659" t="s">
        <v>53</v>
      </c>
      <c r="C5659" t="s">
        <v>54</v>
      </c>
      <c r="D5659" t="s">
        <v>55</v>
      </c>
      <c r="E5659" t="s">
        <v>2280</v>
      </c>
      <c r="F5659" t="s">
        <v>190</v>
      </c>
      <c r="G5659" t="s">
        <v>718</v>
      </c>
      <c r="H5659" t="s">
        <v>719</v>
      </c>
      <c r="I5659" t="s">
        <v>719</v>
      </c>
      <c r="J5659" t="s">
        <v>60</v>
      </c>
      <c r="K5659" t="s">
        <v>708</v>
      </c>
      <c r="L5659" t="s">
        <v>62</v>
      </c>
      <c r="M5659" t="s">
        <v>708</v>
      </c>
      <c r="N5659" t="s">
        <v>720</v>
      </c>
      <c r="O5659" t="s">
        <v>721</v>
      </c>
      <c r="P5659">
        <v>-20.130344000000001</v>
      </c>
      <c r="Q5659">
        <v>-44.878869000000002</v>
      </c>
      <c r="R5659" s="2" t="str">
        <f>HYPERLINK("https://www.google.com/maps?q=-20.1303440,-44.8788690","Abrir no Google Maps")</f>
        <v>Abrir no Google Maps</v>
      </c>
      <c r="S5659">
        <v>3</v>
      </c>
      <c r="T5659">
        <v>556.14753541089829</v>
      </c>
      <c r="U5659">
        <v>4</v>
      </c>
      <c r="V5659">
        <v>1</v>
      </c>
      <c r="W5659">
        <v>1</v>
      </c>
      <c r="X5659">
        <v>1</v>
      </c>
      <c r="Y5659">
        <v>387</v>
      </c>
      <c r="Z5659">
        <v>521.53850378132177</v>
      </c>
      <c r="AA5659">
        <v>198</v>
      </c>
      <c r="AB5659">
        <v>332</v>
      </c>
      <c r="AC5659">
        <v>536</v>
      </c>
      <c r="AD5659">
        <v>27.77</v>
      </c>
      <c r="AE5659">
        <v>542</v>
      </c>
      <c r="AF5659">
        <v>26</v>
      </c>
      <c r="AG5659">
        <v>163</v>
      </c>
      <c r="AH5659">
        <v>129</v>
      </c>
      <c r="AI5659">
        <v>4.8</v>
      </c>
      <c r="AJ5659">
        <v>30.07</v>
      </c>
      <c r="AK5659">
        <v>23.8</v>
      </c>
      <c r="AL5659">
        <v>-20.13050289999995</v>
      </c>
      <c r="AM5659">
        <v>-44.878831282856943</v>
      </c>
      <c r="AN5659">
        <v>-20.13050289999995</v>
      </c>
      <c r="AO5659">
        <v>-44.878831282856943</v>
      </c>
      <c r="AP5659">
        <v>-20.130344000000001</v>
      </c>
      <c r="AQ5659">
        <v>-44.878869000000002</v>
      </c>
      <c r="AR5659">
        <v>18.122709277240279</v>
      </c>
      <c r="AS5659" t="s">
        <v>65</v>
      </c>
      <c r="AT5659">
        <v>1</v>
      </c>
      <c r="AU5659" t="s">
        <v>722</v>
      </c>
      <c r="AV5659" t="s">
        <v>723</v>
      </c>
      <c r="AW5659" t="s">
        <v>60</v>
      </c>
      <c r="AX5659" t="s">
        <v>68</v>
      </c>
      <c r="AY5659" t="s">
        <v>69</v>
      </c>
      <c r="AZ5659" t="b">
        <v>1</v>
      </c>
    </row>
    <row r="5660" spans="1:52" x14ac:dyDescent="0.3">
      <c r="A5660" t="s">
        <v>52</v>
      </c>
      <c r="B5660" t="s">
        <v>53</v>
      </c>
      <c r="C5660" t="s">
        <v>54</v>
      </c>
      <c r="D5660" t="s">
        <v>55</v>
      </c>
      <c r="E5660" t="s">
        <v>2280</v>
      </c>
      <c r="F5660" t="s">
        <v>190</v>
      </c>
      <c r="G5660" t="s">
        <v>706</v>
      </c>
      <c r="H5660" t="s">
        <v>730</v>
      </c>
      <c r="I5660" t="s">
        <v>730</v>
      </c>
      <c r="J5660" t="s">
        <v>60</v>
      </c>
      <c r="K5660" t="s">
        <v>708</v>
      </c>
      <c r="L5660" t="s">
        <v>62</v>
      </c>
      <c r="M5660" t="s">
        <v>708</v>
      </c>
      <c r="N5660" t="s">
        <v>709</v>
      </c>
      <c r="O5660" t="s">
        <v>731</v>
      </c>
      <c r="P5660">
        <v>-20.130037999999999</v>
      </c>
      <c r="Q5660">
        <v>-44.873514</v>
      </c>
      <c r="R5660" s="2" t="str">
        <f>HYPERLINK("https://www.google.com/maps?q=-20.1300380,-44.8735140","Abrir no Google Maps")</f>
        <v>Abrir no Google Maps</v>
      </c>
      <c r="S5660">
        <v>3</v>
      </c>
      <c r="T5660">
        <v>0</v>
      </c>
      <c r="U5660">
        <v>4</v>
      </c>
      <c r="V5660">
        <v>1</v>
      </c>
      <c r="W5660">
        <v>1</v>
      </c>
      <c r="X5660">
        <v>1</v>
      </c>
      <c r="Y5660">
        <v>387</v>
      </c>
      <c r="Z5660">
        <v>108.0014931591698</v>
      </c>
      <c r="AA5660">
        <v>198</v>
      </c>
      <c r="AB5660">
        <v>332</v>
      </c>
      <c r="AC5660">
        <v>536</v>
      </c>
      <c r="AD5660">
        <v>27.77</v>
      </c>
      <c r="AE5660">
        <v>542</v>
      </c>
      <c r="AF5660">
        <v>26</v>
      </c>
      <c r="AG5660">
        <v>163</v>
      </c>
      <c r="AH5660">
        <v>129</v>
      </c>
      <c r="AI5660">
        <v>4.8</v>
      </c>
      <c r="AJ5660">
        <v>30.07</v>
      </c>
      <c r="AK5660">
        <v>23.8</v>
      </c>
      <c r="AL5660">
        <v>-20.12998944999995</v>
      </c>
      <c r="AM5660">
        <v>-44.873538114227337</v>
      </c>
      <c r="AN5660">
        <v>-20.12998944999995</v>
      </c>
      <c r="AO5660">
        <v>-44.873538114227337</v>
      </c>
      <c r="AP5660">
        <v>-20.130037999999999</v>
      </c>
      <c r="AQ5660">
        <v>-44.873514</v>
      </c>
      <c r="AR5660">
        <v>5.9633928268280867</v>
      </c>
      <c r="AS5660" t="s">
        <v>65</v>
      </c>
      <c r="AT5660">
        <v>1</v>
      </c>
      <c r="AU5660" t="s">
        <v>732</v>
      </c>
      <c r="AV5660" t="s">
        <v>733</v>
      </c>
      <c r="AW5660" t="s">
        <v>60</v>
      </c>
      <c r="AX5660" t="s">
        <v>68</v>
      </c>
      <c r="AY5660" t="s">
        <v>69</v>
      </c>
      <c r="AZ5660" t="b">
        <v>1</v>
      </c>
    </row>
    <row r="5661" spans="1:52" x14ac:dyDescent="0.3">
      <c r="A5661" t="s">
        <v>52</v>
      </c>
      <c r="B5661" t="s">
        <v>53</v>
      </c>
      <c r="C5661" t="s">
        <v>54</v>
      </c>
      <c r="D5661" t="s">
        <v>55</v>
      </c>
      <c r="E5661" t="s">
        <v>2280</v>
      </c>
      <c r="F5661" t="s">
        <v>190</v>
      </c>
      <c r="G5661" t="s">
        <v>734</v>
      </c>
      <c r="H5661" t="s">
        <v>1059</v>
      </c>
      <c r="I5661" t="s">
        <v>1059</v>
      </c>
      <c r="J5661" t="s">
        <v>60</v>
      </c>
      <c r="K5661" t="s">
        <v>736</v>
      </c>
      <c r="L5661" t="s">
        <v>62</v>
      </c>
      <c r="M5661" t="s">
        <v>736</v>
      </c>
      <c r="N5661" t="s">
        <v>1060</v>
      </c>
      <c r="O5661" t="s">
        <v>1061</v>
      </c>
      <c r="P5661">
        <v>-20.104700000000001</v>
      </c>
      <c r="Q5661">
        <v>-44.972988000000001</v>
      </c>
      <c r="R5661" s="2" t="str">
        <f>HYPERLINK("https://www.google.com/maps?q=-20.1047000,-44.9729880","Abrir no Google Maps")</f>
        <v>Abrir no Google Maps</v>
      </c>
      <c r="S5661">
        <v>3</v>
      </c>
      <c r="T5661">
        <v>0</v>
      </c>
      <c r="U5661">
        <v>4</v>
      </c>
      <c r="V5661">
        <v>1</v>
      </c>
      <c r="W5661">
        <v>1</v>
      </c>
      <c r="X5661">
        <v>1</v>
      </c>
      <c r="Y5661">
        <v>385</v>
      </c>
      <c r="Z5661">
        <v>130.87424695814411</v>
      </c>
      <c r="AA5661">
        <v>198</v>
      </c>
      <c r="AB5661">
        <v>332</v>
      </c>
      <c r="AC5661">
        <v>536</v>
      </c>
      <c r="AD5661">
        <v>27.77</v>
      </c>
      <c r="AE5661">
        <v>542</v>
      </c>
      <c r="AF5661">
        <v>26</v>
      </c>
      <c r="AG5661">
        <v>163</v>
      </c>
      <c r="AH5661">
        <v>129</v>
      </c>
      <c r="AI5661">
        <v>4.8</v>
      </c>
      <c r="AJ5661">
        <v>30.07</v>
      </c>
      <c r="AK5661">
        <v>23.8</v>
      </c>
      <c r="AL5661">
        <v>-20.104640449999948</v>
      </c>
      <c r="AM5661">
        <v>-44.972990283032523</v>
      </c>
      <c r="AN5661">
        <v>-20.104640449999948</v>
      </c>
      <c r="AO5661">
        <v>-44.972990283032509</v>
      </c>
      <c r="AP5661">
        <v>-20.104700000000001</v>
      </c>
      <c r="AQ5661">
        <v>-44.972988000000001</v>
      </c>
      <c r="AR5661">
        <v>6.6334007529191332</v>
      </c>
      <c r="AS5661" t="s">
        <v>65</v>
      </c>
      <c r="AT5661">
        <v>1</v>
      </c>
      <c r="AU5661" t="s">
        <v>1062</v>
      </c>
      <c r="AV5661" t="s">
        <v>1063</v>
      </c>
      <c r="AW5661" t="s">
        <v>60</v>
      </c>
      <c r="AX5661" t="s">
        <v>68</v>
      </c>
      <c r="AY5661" t="s">
        <v>69</v>
      </c>
      <c r="AZ5661" t="b">
        <v>1</v>
      </c>
    </row>
    <row r="5662" spans="1:52" x14ac:dyDescent="0.3">
      <c r="A5662" t="s">
        <v>52</v>
      </c>
      <c r="B5662" t="s">
        <v>53</v>
      </c>
      <c r="C5662" t="s">
        <v>54</v>
      </c>
      <c r="D5662" t="s">
        <v>55</v>
      </c>
      <c r="E5662" t="s">
        <v>2280</v>
      </c>
      <c r="F5662" t="s">
        <v>190</v>
      </c>
      <c r="G5662" t="s">
        <v>759</v>
      </c>
      <c r="H5662" t="s">
        <v>760</v>
      </c>
      <c r="I5662" t="s">
        <v>760</v>
      </c>
      <c r="J5662" t="s">
        <v>60</v>
      </c>
      <c r="K5662" t="s">
        <v>761</v>
      </c>
      <c r="L5662" t="s">
        <v>62</v>
      </c>
      <c r="M5662" t="s">
        <v>761</v>
      </c>
      <c r="N5662" t="s">
        <v>762</v>
      </c>
      <c r="O5662" t="s">
        <v>763</v>
      </c>
      <c r="P5662">
        <v>-20.118755</v>
      </c>
      <c r="Q5662">
        <v>-44.850627000000003</v>
      </c>
      <c r="R5662" s="2" t="str">
        <f>HYPERLINK("https://www.google.com/maps?q=-20.1187550,-44.8506270","Abrir no Google Maps")</f>
        <v>Abrir no Google Maps</v>
      </c>
      <c r="S5662">
        <v>3</v>
      </c>
      <c r="T5662">
        <v>848.81670834514034</v>
      </c>
      <c r="U5662">
        <v>4</v>
      </c>
      <c r="V5662">
        <v>1</v>
      </c>
      <c r="W5662">
        <v>1</v>
      </c>
      <c r="X5662">
        <v>1</v>
      </c>
      <c r="Y5662">
        <v>350</v>
      </c>
      <c r="Z5662">
        <v>443.51354125420028</v>
      </c>
      <c r="AA5662">
        <v>198</v>
      </c>
      <c r="AB5662">
        <v>332</v>
      </c>
      <c r="AC5662">
        <v>536</v>
      </c>
      <c r="AD5662">
        <v>27.77</v>
      </c>
      <c r="AE5662">
        <v>542</v>
      </c>
      <c r="AF5662">
        <v>26</v>
      </c>
      <c r="AG5662">
        <v>163</v>
      </c>
      <c r="AH5662">
        <v>129</v>
      </c>
      <c r="AI5662">
        <v>4.8</v>
      </c>
      <c r="AJ5662">
        <v>30.07</v>
      </c>
      <c r="AK5662">
        <v>23.8</v>
      </c>
      <c r="AL5662">
        <v>-20.11882464999994</v>
      </c>
      <c r="AM5662">
        <v>-44.850497004056017</v>
      </c>
      <c r="AN5662">
        <v>-20.11882464999994</v>
      </c>
      <c r="AO5662">
        <v>-44.850497004056017</v>
      </c>
      <c r="AP5662">
        <v>-20.118755</v>
      </c>
      <c r="AQ5662">
        <v>-44.850627000000003</v>
      </c>
      <c r="AR5662">
        <v>15.6445928866994</v>
      </c>
      <c r="AS5662" t="s">
        <v>65</v>
      </c>
      <c r="AT5662">
        <v>1</v>
      </c>
      <c r="AU5662" t="s">
        <v>764</v>
      </c>
      <c r="AV5662" t="s">
        <v>765</v>
      </c>
      <c r="AW5662" t="s">
        <v>60</v>
      </c>
      <c r="AX5662" t="s">
        <v>68</v>
      </c>
      <c r="AY5662" t="s">
        <v>69</v>
      </c>
      <c r="AZ5662" t="b">
        <v>1</v>
      </c>
    </row>
    <row r="5663" spans="1:52" x14ac:dyDescent="0.3">
      <c r="A5663" t="s">
        <v>52</v>
      </c>
      <c r="B5663" t="s">
        <v>53</v>
      </c>
      <c r="C5663" t="s">
        <v>54</v>
      </c>
      <c r="D5663" t="s">
        <v>55</v>
      </c>
      <c r="E5663" t="s">
        <v>2280</v>
      </c>
      <c r="F5663" t="s">
        <v>190</v>
      </c>
      <c r="G5663" t="s">
        <v>766</v>
      </c>
      <c r="H5663" t="s">
        <v>767</v>
      </c>
      <c r="I5663" t="s">
        <v>767</v>
      </c>
      <c r="J5663" t="s">
        <v>60</v>
      </c>
      <c r="K5663" t="s">
        <v>768</v>
      </c>
      <c r="L5663" t="s">
        <v>62</v>
      </c>
      <c r="M5663" t="s">
        <v>768</v>
      </c>
      <c r="N5663" t="s">
        <v>769</v>
      </c>
      <c r="O5663" t="s">
        <v>770</v>
      </c>
      <c r="P5663">
        <v>-20.135211000000002</v>
      </c>
      <c r="Q5663">
        <v>-44.875359000000003</v>
      </c>
      <c r="R5663" s="2" t="str">
        <f>HYPERLINK("https://www.google.com/maps?q=-20.1352110,-44.8753590","Abrir no Google Maps")</f>
        <v>Abrir no Google Maps</v>
      </c>
      <c r="S5663">
        <v>3</v>
      </c>
      <c r="T5663">
        <v>383.44405482521267</v>
      </c>
      <c r="U5663">
        <v>4</v>
      </c>
      <c r="V5663">
        <v>0.99617346938775519</v>
      </c>
      <c r="W5663">
        <v>1</v>
      </c>
      <c r="X5663">
        <v>0.99617346938775519</v>
      </c>
      <c r="Y5663">
        <v>332</v>
      </c>
      <c r="Z5663">
        <v>219.0766044611764</v>
      </c>
      <c r="AA5663">
        <v>198</v>
      </c>
      <c r="AB5663">
        <v>332</v>
      </c>
      <c r="AC5663">
        <v>536</v>
      </c>
      <c r="AD5663">
        <v>27.77</v>
      </c>
      <c r="AE5663">
        <v>542</v>
      </c>
      <c r="AF5663">
        <v>26</v>
      </c>
      <c r="AG5663">
        <v>163</v>
      </c>
      <c r="AH5663">
        <v>129</v>
      </c>
      <c r="AI5663">
        <v>4.8</v>
      </c>
      <c r="AJ5663">
        <v>30.07</v>
      </c>
      <c r="AK5663">
        <v>23.8</v>
      </c>
      <c r="AL5663">
        <v>-20.135125549999941</v>
      </c>
      <c r="AM5663">
        <v>-44.875534947489427</v>
      </c>
      <c r="AN5663">
        <v>-20.135125549999941</v>
      </c>
      <c r="AO5663">
        <v>-44.875534947489427</v>
      </c>
      <c r="AP5663">
        <v>-20.135211000000002</v>
      </c>
      <c r="AQ5663">
        <v>-44.875359000000003</v>
      </c>
      <c r="AR5663">
        <v>20.703969313709418</v>
      </c>
      <c r="AS5663" t="s">
        <v>65</v>
      </c>
      <c r="AT5663">
        <v>1</v>
      </c>
      <c r="AU5663" t="s">
        <v>771</v>
      </c>
      <c r="AV5663" t="s">
        <v>772</v>
      </c>
      <c r="AW5663" t="s">
        <v>60</v>
      </c>
      <c r="AX5663" t="s">
        <v>68</v>
      </c>
      <c r="AY5663" t="s">
        <v>69</v>
      </c>
      <c r="AZ5663" t="b">
        <v>1</v>
      </c>
    </row>
    <row r="5664" spans="1:52" x14ac:dyDescent="0.3">
      <c r="A5664" t="s">
        <v>52</v>
      </c>
      <c r="B5664" t="s">
        <v>53</v>
      </c>
      <c r="C5664" t="s">
        <v>54</v>
      </c>
      <c r="D5664" t="s">
        <v>55</v>
      </c>
      <c r="E5664" t="s">
        <v>2280</v>
      </c>
      <c r="F5664" t="s">
        <v>190</v>
      </c>
      <c r="G5664" t="s">
        <v>1099</v>
      </c>
      <c r="H5664" t="s">
        <v>1100</v>
      </c>
      <c r="I5664" t="s">
        <v>1100</v>
      </c>
      <c r="J5664" t="s">
        <v>60</v>
      </c>
      <c r="K5664" t="s">
        <v>781</v>
      </c>
      <c r="L5664" t="s">
        <v>62</v>
      </c>
      <c r="M5664" t="s">
        <v>781</v>
      </c>
      <c r="N5664" t="s">
        <v>1101</v>
      </c>
      <c r="O5664" t="s">
        <v>235</v>
      </c>
      <c r="P5664">
        <v>-20.136811999999999</v>
      </c>
      <c r="Q5664">
        <v>-44.872388000000001</v>
      </c>
      <c r="R5664" s="2" t="str">
        <f>HYPERLINK("https://www.google.com/maps?q=-20.1368120,-44.8723880","Abrir no Google Maps")</f>
        <v>Abrir no Google Maps</v>
      </c>
      <c r="S5664">
        <v>3</v>
      </c>
      <c r="T5664">
        <v>0</v>
      </c>
      <c r="U5664">
        <v>4</v>
      </c>
      <c r="V5664">
        <v>1</v>
      </c>
      <c r="W5664">
        <v>1</v>
      </c>
      <c r="X5664">
        <v>1</v>
      </c>
      <c r="Y5664">
        <v>332</v>
      </c>
      <c r="Z5664">
        <v>121.0319884418894</v>
      </c>
      <c r="AA5664">
        <v>198</v>
      </c>
      <c r="AB5664">
        <v>332</v>
      </c>
      <c r="AC5664">
        <v>536</v>
      </c>
      <c r="AD5664">
        <v>27.77</v>
      </c>
      <c r="AE5664">
        <v>542</v>
      </c>
      <c r="AF5664">
        <v>26</v>
      </c>
      <c r="AG5664">
        <v>163</v>
      </c>
      <c r="AH5664">
        <v>129</v>
      </c>
      <c r="AI5664">
        <v>4.8</v>
      </c>
      <c r="AJ5664">
        <v>30.07</v>
      </c>
      <c r="AK5664">
        <v>23.8</v>
      </c>
      <c r="AL5664">
        <v>-20.136943099999939</v>
      </c>
      <c r="AM5664">
        <v>-44.872411407897907</v>
      </c>
      <c r="AN5664">
        <v>-20.136943099999939</v>
      </c>
      <c r="AO5664">
        <v>-44.872411407897907</v>
      </c>
      <c r="AP5664">
        <v>-20.136811999999999</v>
      </c>
      <c r="AQ5664">
        <v>-44.872388000000001</v>
      </c>
      <c r="AR5664">
        <v>14.79769012694347</v>
      </c>
      <c r="AS5664" t="s">
        <v>65</v>
      </c>
      <c r="AT5664">
        <v>1</v>
      </c>
      <c r="AU5664" t="s">
        <v>1102</v>
      </c>
      <c r="AV5664" t="s">
        <v>1103</v>
      </c>
      <c r="AW5664" t="s">
        <v>60</v>
      </c>
      <c r="AX5664" t="s">
        <v>68</v>
      </c>
      <c r="AY5664" t="s">
        <v>69</v>
      </c>
      <c r="AZ5664" t="b">
        <v>1</v>
      </c>
    </row>
    <row r="5665" spans="1:52" x14ac:dyDescent="0.3">
      <c r="A5665" t="s">
        <v>52</v>
      </c>
      <c r="B5665" t="s">
        <v>53</v>
      </c>
      <c r="C5665" t="s">
        <v>54</v>
      </c>
      <c r="D5665" t="s">
        <v>55</v>
      </c>
      <c r="E5665" t="s">
        <v>2280</v>
      </c>
      <c r="F5665" t="s">
        <v>190</v>
      </c>
      <c r="G5665" t="s">
        <v>779</v>
      </c>
      <c r="H5665" t="s">
        <v>780</v>
      </c>
      <c r="I5665" t="s">
        <v>780</v>
      </c>
      <c r="J5665" t="s">
        <v>60</v>
      </c>
      <c r="K5665" t="s">
        <v>781</v>
      </c>
      <c r="L5665" t="s">
        <v>62</v>
      </c>
      <c r="M5665" t="s">
        <v>781</v>
      </c>
      <c r="N5665" t="s">
        <v>782</v>
      </c>
      <c r="O5665" t="s">
        <v>783</v>
      </c>
      <c r="P5665">
        <v>-20.137938999999999</v>
      </c>
      <c r="Q5665">
        <v>-44.865873000000001</v>
      </c>
      <c r="R5665" s="2" t="str">
        <f>HYPERLINK("https://www.google.com/maps?q=-20.1379390,-44.8658730","Abrir no Google Maps")</f>
        <v>Abrir no Google Maps</v>
      </c>
      <c r="S5665">
        <v>3</v>
      </c>
      <c r="T5665">
        <v>663.24596349877265</v>
      </c>
      <c r="U5665">
        <v>4</v>
      </c>
      <c r="V5665">
        <v>0.99881516587677721</v>
      </c>
      <c r="W5665">
        <v>1</v>
      </c>
      <c r="X5665">
        <v>0.99881516587677721</v>
      </c>
      <c r="Y5665">
        <v>332</v>
      </c>
      <c r="Z5665">
        <v>724.72470227972997</v>
      </c>
      <c r="AA5665">
        <v>198</v>
      </c>
      <c r="AB5665">
        <v>332</v>
      </c>
      <c r="AC5665">
        <v>536</v>
      </c>
      <c r="AD5665">
        <v>27.77</v>
      </c>
      <c r="AE5665">
        <v>542</v>
      </c>
      <c r="AF5665">
        <v>26</v>
      </c>
      <c r="AG5665">
        <v>163</v>
      </c>
      <c r="AH5665">
        <v>129</v>
      </c>
      <c r="AI5665">
        <v>4.8</v>
      </c>
      <c r="AJ5665">
        <v>30.07</v>
      </c>
      <c r="AK5665">
        <v>23.8</v>
      </c>
      <c r="AL5665">
        <v>-20.137865449999961</v>
      </c>
      <c r="AM5665">
        <v>-44.866141027847057</v>
      </c>
      <c r="AN5665">
        <v>-20.137865449999961</v>
      </c>
      <c r="AO5665">
        <v>-44.866141027847057</v>
      </c>
      <c r="AP5665">
        <v>-20.137938999999999</v>
      </c>
      <c r="AQ5665">
        <v>-44.865873000000001</v>
      </c>
      <c r="AR5665">
        <v>29.184856191831059</v>
      </c>
      <c r="AS5665" t="s">
        <v>65</v>
      </c>
      <c r="AT5665">
        <v>1</v>
      </c>
      <c r="AU5665" t="s">
        <v>784</v>
      </c>
      <c r="AV5665" t="s">
        <v>785</v>
      </c>
      <c r="AW5665" t="s">
        <v>60</v>
      </c>
      <c r="AX5665" t="s">
        <v>68</v>
      </c>
      <c r="AY5665" t="s">
        <v>69</v>
      </c>
      <c r="AZ5665" t="b">
        <v>1</v>
      </c>
    </row>
    <row r="5666" spans="1:52" x14ac:dyDescent="0.3">
      <c r="A5666" t="s">
        <v>52</v>
      </c>
      <c r="B5666" t="s">
        <v>53</v>
      </c>
      <c r="C5666" t="s">
        <v>54</v>
      </c>
      <c r="D5666" t="s">
        <v>55</v>
      </c>
      <c r="E5666" t="s">
        <v>2280</v>
      </c>
      <c r="F5666" t="s">
        <v>190</v>
      </c>
      <c r="G5666" t="s">
        <v>1109</v>
      </c>
      <c r="H5666" t="s">
        <v>1110</v>
      </c>
      <c r="I5666" t="s">
        <v>1110</v>
      </c>
      <c r="J5666" t="s">
        <v>60</v>
      </c>
      <c r="K5666" t="s">
        <v>768</v>
      </c>
      <c r="L5666" t="s">
        <v>62</v>
      </c>
      <c r="M5666" t="s">
        <v>768</v>
      </c>
      <c r="N5666" t="s">
        <v>1111</v>
      </c>
      <c r="O5666" t="s">
        <v>1112</v>
      </c>
      <c r="P5666">
        <v>-20.135508000000002</v>
      </c>
      <c r="Q5666">
        <v>-44.871786999999998</v>
      </c>
      <c r="R5666" s="2" t="str">
        <f>HYPERLINK("https://www.google.com/maps?q=-20.1355080,-44.8717870","Abrir no Google Maps")</f>
        <v>Abrir no Google Maps</v>
      </c>
      <c r="S5666">
        <v>3</v>
      </c>
      <c r="T5666">
        <v>167.5382405548801</v>
      </c>
      <c r="U5666">
        <v>4</v>
      </c>
      <c r="V5666">
        <v>0.99642857142857144</v>
      </c>
      <c r="W5666">
        <v>1</v>
      </c>
      <c r="X5666">
        <v>0.99642857142857144</v>
      </c>
      <c r="Y5666">
        <v>332</v>
      </c>
      <c r="Z5666">
        <v>179.76671916562941</v>
      </c>
      <c r="AA5666">
        <v>198</v>
      </c>
      <c r="AB5666">
        <v>332</v>
      </c>
      <c r="AC5666">
        <v>536</v>
      </c>
      <c r="AD5666">
        <v>27.77</v>
      </c>
      <c r="AE5666">
        <v>542</v>
      </c>
      <c r="AF5666">
        <v>26</v>
      </c>
      <c r="AG5666">
        <v>163</v>
      </c>
      <c r="AH5666">
        <v>129</v>
      </c>
      <c r="AI5666">
        <v>4.8</v>
      </c>
      <c r="AJ5666">
        <v>30.07</v>
      </c>
      <c r="AK5666">
        <v>23.8</v>
      </c>
      <c r="AL5666">
        <v>-20.135532899999959</v>
      </c>
      <c r="AM5666">
        <v>-44.871828172735903</v>
      </c>
      <c r="AN5666">
        <v>-20.135532899999959</v>
      </c>
      <c r="AO5666">
        <v>-44.871828172735903</v>
      </c>
      <c r="AP5666">
        <v>-20.135508000000002</v>
      </c>
      <c r="AQ5666">
        <v>-44.871786999999998</v>
      </c>
      <c r="AR5666">
        <v>5.1186859635787858</v>
      </c>
      <c r="AS5666" t="s">
        <v>65</v>
      </c>
      <c r="AT5666">
        <v>1</v>
      </c>
      <c r="AU5666" t="s">
        <v>1113</v>
      </c>
      <c r="AV5666" t="s">
        <v>1114</v>
      </c>
      <c r="AW5666" t="s">
        <v>60</v>
      </c>
      <c r="AX5666" t="s">
        <v>68</v>
      </c>
      <c r="AY5666" t="s">
        <v>69</v>
      </c>
      <c r="AZ5666" t="b">
        <v>1</v>
      </c>
    </row>
    <row r="5667" spans="1:52" x14ac:dyDescent="0.3">
      <c r="A5667" t="s">
        <v>52</v>
      </c>
      <c r="B5667" t="s">
        <v>53</v>
      </c>
      <c r="C5667" t="s">
        <v>54</v>
      </c>
      <c r="D5667" t="s">
        <v>55</v>
      </c>
      <c r="E5667" t="s">
        <v>2280</v>
      </c>
      <c r="F5667" t="s">
        <v>190</v>
      </c>
      <c r="G5667" t="s">
        <v>1121</v>
      </c>
      <c r="H5667" t="s">
        <v>1122</v>
      </c>
      <c r="I5667" t="s">
        <v>1122</v>
      </c>
      <c r="J5667" t="s">
        <v>60</v>
      </c>
      <c r="K5667" t="s">
        <v>1123</v>
      </c>
      <c r="L5667" t="s">
        <v>62</v>
      </c>
      <c r="M5667" t="s">
        <v>1123</v>
      </c>
      <c r="N5667" t="s">
        <v>1124</v>
      </c>
      <c r="O5667" t="s">
        <v>74</v>
      </c>
      <c r="P5667">
        <v>-20.105318</v>
      </c>
      <c r="Q5667">
        <v>-44.879216</v>
      </c>
      <c r="R5667" s="2" t="str">
        <f>HYPERLINK("https://www.google.com/maps?q=-20.1053180,-44.8792160","Abrir no Google Maps")</f>
        <v>Abrir no Google Maps</v>
      </c>
      <c r="S5667">
        <v>3</v>
      </c>
      <c r="T5667">
        <v>318.57668516180911</v>
      </c>
      <c r="U5667">
        <v>4</v>
      </c>
      <c r="V5667">
        <v>0.99798387096774199</v>
      </c>
      <c r="W5667">
        <v>1</v>
      </c>
      <c r="X5667">
        <v>0.99798387096774199</v>
      </c>
      <c r="Y5667">
        <v>314</v>
      </c>
      <c r="Z5667">
        <v>207.50829098881519</v>
      </c>
      <c r="AA5667">
        <v>198</v>
      </c>
      <c r="AB5667">
        <v>332</v>
      </c>
      <c r="AC5667">
        <v>536</v>
      </c>
      <c r="AD5667">
        <v>27.77</v>
      </c>
      <c r="AE5667">
        <v>542</v>
      </c>
      <c r="AF5667">
        <v>26</v>
      </c>
      <c r="AG5667">
        <v>163</v>
      </c>
      <c r="AH5667">
        <v>129</v>
      </c>
      <c r="AI5667">
        <v>4.8</v>
      </c>
      <c r="AJ5667">
        <v>30.07</v>
      </c>
      <c r="AK5667">
        <v>23.8</v>
      </c>
      <c r="AL5667">
        <v>-20.105361049999939</v>
      </c>
      <c r="AM5667">
        <v>-44.87924613740698</v>
      </c>
      <c r="AN5667">
        <v>-20.105361049999939</v>
      </c>
      <c r="AO5667">
        <v>-44.87924613740698</v>
      </c>
      <c r="AP5667">
        <v>-20.105318</v>
      </c>
      <c r="AQ5667">
        <v>-44.879216</v>
      </c>
      <c r="AR5667">
        <v>5.7351338374851242</v>
      </c>
      <c r="AS5667" t="s">
        <v>65</v>
      </c>
      <c r="AT5667">
        <v>1</v>
      </c>
      <c r="AU5667" t="s">
        <v>1125</v>
      </c>
      <c r="AV5667" t="s">
        <v>1126</v>
      </c>
      <c r="AW5667" t="s">
        <v>60</v>
      </c>
      <c r="AX5667" t="s">
        <v>68</v>
      </c>
      <c r="AY5667" t="s">
        <v>69</v>
      </c>
      <c r="AZ5667" t="b">
        <v>1</v>
      </c>
    </row>
    <row r="5668" spans="1:52" x14ac:dyDescent="0.3">
      <c r="A5668" t="s">
        <v>52</v>
      </c>
      <c r="B5668" t="s">
        <v>53</v>
      </c>
      <c r="C5668" t="s">
        <v>54</v>
      </c>
      <c r="D5668" t="s">
        <v>55</v>
      </c>
      <c r="E5668" t="s">
        <v>2280</v>
      </c>
      <c r="F5668" t="s">
        <v>190</v>
      </c>
      <c r="G5668" t="s">
        <v>1127</v>
      </c>
      <c r="H5668" t="s">
        <v>1128</v>
      </c>
      <c r="I5668" t="s">
        <v>1128</v>
      </c>
      <c r="J5668" t="s">
        <v>60</v>
      </c>
      <c r="K5668" t="s">
        <v>1129</v>
      </c>
      <c r="L5668" t="s">
        <v>62</v>
      </c>
      <c r="M5668" t="s">
        <v>1129</v>
      </c>
      <c r="N5668" t="s">
        <v>1130</v>
      </c>
      <c r="O5668" t="s">
        <v>357</v>
      </c>
      <c r="P5668">
        <v>-20.106638</v>
      </c>
      <c r="Q5668">
        <v>-44.883538000000001</v>
      </c>
      <c r="R5668" s="2" t="str">
        <f>HYPERLINK("https://www.google.com/maps?q=-20.1066380,-44.8835380","Abrir no Google Maps")</f>
        <v>Abrir no Google Maps</v>
      </c>
      <c r="S5668">
        <v>3</v>
      </c>
      <c r="T5668">
        <v>754.03514396665969</v>
      </c>
      <c r="U5668">
        <v>4</v>
      </c>
      <c r="V5668">
        <v>1</v>
      </c>
      <c r="W5668">
        <v>1</v>
      </c>
      <c r="X5668">
        <v>1</v>
      </c>
      <c r="Y5668">
        <v>314</v>
      </c>
      <c r="Z5668">
        <v>584.1161650721092</v>
      </c>
      <c r="AA5668">
        <v>198</v>
      </c>
      <c r="AB5668">
        <v>332</v>
      </c>
      <c r="AC5668">
        <v>536</v>
      </c>
      <c r="AD5668">
        <v>27.77</v>
      </c>
      <c r="AE5668">
        <v>542</v>
      </c>
      <c r="AF5668">
        <v>26</v>
      </c>
      <c r="AG5668">
        <v>163</v>
      </c>
      <c r="AH5668">
        <v>129</v>
      </c>
      <c r="AI5668">
        <v>4.8</v>
      </c>
      <c r="AJ5668">
        <v>30.07</v>
      </c>
      <c r="AK5668">
        <v>23.8</v>
      </c>
      <c r="AL5668">
        <v>-20.106599599999949</v>
      </c>
      <c r="AM5668">
        <v>-44.883527947279568</v>
      </c>
      <c r="AN5668">
        <v>-20.106599599999949</v>
      </c>
      <c r="AO5668">
        <v>-44.883527947279568</v>
      </c>
      <c r="AP5668">
        <v>-20.106638</v>
      </c>
      <c r="AQ5668">
        <v>-44.883538000000001</v>
      </c>
      <c r="AR5668">
        <v>4.4019630384815924</v>
      </c>
      <c r="AS5668" t="s">
        <v>65</v>
      </c>
      <c r="AT5668">
        <v>1</v>
      </c>
      <c r="AU5668" t="s">
        <v>1131</v>
      </c>
      <c r="AV5668" t="s">
        <v>1132</v>
      </c>
      <c r="AW5668" t="s">
        <v>60</v>
      </c>
      <c r="AX5668" t="s">
        <v>68</v>
      </c>
      <c r="AY5668" t="s">
        <v>69</v>
      </c>
      <c r="AZ5668" t="b">
        <v>1</v>
      </c>
    </row>
    <row r="5669" spans="1:52" x14ac:dyDescent="0.3">
      <c r="A5669" t="s">
        <v>52</v>
      </c>
      <c r="B5669" t="s">
        <v>53</v>
      </c>
      <c r="C5669" t="s">
        <v>54</v>
      </c>
      <c r="D5669" t="s">
        <v>55</v>
      </c>
      <c r="E5669" t="s">
        <v>2280</v>
      </c>
      <c r="F5669" t="s">
        <v>190</v>
      </c>
      <c r="G5669" t="s">
        <v>1133</v>
      </c>
      <c r="H5669" t="s">
        <v>1134</v>
      </c>
      <c r="I5669" t="s">
        <v>1134</v>
      </c>
      <c r="J5669" t="s">
        <v>60</v>
      </c>
      <c r="K5669" t="s">
        <v>1123</v>
      </c>
      <c r="L5669" t="s">
        <v>62</v>
      </c>
      <c r="M5669" t="s">
        <v>1123</v>
      </c>
      <c r="N5669" t="s">
        <v>1135</v>
      </c>
      <c r="O5669" t="s">
        <v>138</v>
      </c>
      <c r="P5669">
        <v>-20.106113000000001</v>
      </c>
      <c r="Q5669">
        <v>-44.876035999999999</v>
      </c>
      <c r="R5669" s="2" t="str">
        <f>HYPERLINK("https://www.google.com/maps?q=-20.1061130,-44.8760360","Abrir no Google Maps")</f>
        <v>Abrir no Google Maps</v>
      </c>
      <c r="S5669">
        <v>3</v>
      </c>
      <c r="T5669">
        <v>0</v>
      </c>
      <c r="U5669">
        <v>4</v>
      </c>
      <c r="V5669">
        <v>0.99879807692307676</v>
      </c>
      <c r="W5669">
        <v>1</v>
      </c>
      <c r="X5669">
        <v>0.99879807692307676</v>
      </c>
      <c r="Y5669">
        <v>314</v>
      </c>
      <c r="Z5669">
        <v>98.504848991092999</v>
      </c>
      <c r="AA5669">
        <v>198</v>
      </c>
      <c r="AB5669">
        <v>332</v>
      </c>
      <c r="AC5669">
        <v>536</v>
      </c>
      <c r="AD5669">
        <v>27.77</v>
      </c>
      <c r="AE5669">
        <v>542</v>
      </c>
      <c r="AF5669">
        <v>26</v>
      </c>
      <c r="AG5669">
        <v>163</v>
      </c>
      <c r="AH5669">
        <v>129</v>
      </c>
      <c r="AI5669">
        <v>4.8</v>
      </c>
      <c r="AJ5669">
        <v>30.07</v>
      </c>
      <c r="AK5669">
        <v>23.8</v>
      </c>
      <c r="AL5669">
        <v>-20.106190249999941</v>
      </c>
      <c r="AM5669">
        <v>-44.876327742253288</v>
      </c>
      <c r="AN5669">
        <v>-20.106190249999941</v>
      </c>
      <c r="AO5669">
        <v>-44.876327742253288</v>
      </c>
      <c r="AP5669">
        <v>-20.106113000000001</v>
      </c>
      <c r="AQ5669">
        <v>-44.876035999999999</v>
      </c>
      <c r="AR5669">
        <v>31.686742853465731</v>
      </c>
      <c r="AS5669" t="s">
        <v>65</v>
      </c>
      <c r="AT5669">
        <v>1</v>
      </c>
      <c r="AU5669" t="s">
        <v>1136</v>
      </c>
      <c r="AV5669" t="s">
        <v>1137</v>
      </c>
      <c r="AW5669" t="s">
        <v>60</v>
      </c>
      <c r="AX5669" t="s">
        <v>68</v>
      </c>
      <c r="AY5669" t="s">
        <v>69</v>
      </c>
      <c r="AZ5669" t="b">
        <v>1</v>
      </c>
    </row>
    <row r="5670" spans="1:52" x14ac:dyDescent="0.3">
      <c r="A5670" t="s">
        <v>52</v>
      </c>
      <c r="B5670" t="s">
        <v>53</v>
      </c>
      <c r="C5670" t="s">
        <v>54</v>
      </c>
      <c r="D5670" t="s">
        <v>55</v>
      </c>
      <c r="E5670" t="s">
        <v>2280</v>
      </c>
      <c r="F5670" t="s">
        <v>190</v>
      </c>
      <c r="G5670" t="s">
        <v>1138</v>
      </c>
      <c r="H5670" t="s">
        <v>1139</v>
      </c>
      <c r="I5670" t="s">
        <v>1139</v>
      </c>
      <c r="J5670" t="s">
        <v>60</v>
      </c>
      <c r="K5670" t="s">
        <v>1140</v>
      </c>
      <c r="L5670" t="s">
        <v>62</v>
      </c>
      <c r="M5670" t="s">
        <v>1140</v>
      </c>
      <c r="N5670" t="s">
        <v>1141</v>
      </c>
      <c r="O5670" t="s">
        <v>293</v>
      </c>
      <c r="P5670">
        <v>-20.103041999999999</v>
      </c>
      <c r="Q5670">
        <v>-44.882694999999998</v>
      </c>
      <c r="R5670" s="2" t="str">
        <f>HYPERLINK("https://www.google.com/maps?q=-20.1030420,-44.8826950","Abrir no Google Maps")</f>
        <v>Abrir no Google Maps</v>
      </c>
      <c r="S5670">
        <v>3</v>
      </c>
      <c r="T5670">
        <v>764.07293048598467</v>
      </c>
      <c r="U5670">
        <v>4</v>
      </c>
      <c r="V5670">
        <v>0.99769585253456239</v>
      </c>
      <c r="W5670">
        <v>1</v>
      </c>
      <c r="X5670">
        <v>0.99769585253456239</v>
      </c>
      <c r="Y5670">
        <v>314</v>
      </c>
      <c r="Z5670">
        <v>696.03268335706969</v>
      </c>
      <c r="AA5670">
        <v>198</v>
      </c>
      <c r="AB5670">
        <v>332</v>
      </c>
      <c r="AC5670">
        <v>536</v>
      </c>
      <c r="AD5670">
        <v>27.77</v>
      </c>
      <c r="AE5670">
        <v>542</v>
      </c>
      <c r="AF5670">
        <v>26</v>
      </c>
      <c r="AG5670">
        <v>163</v>
      </c>
      <c r="AH5670">
        <v>129</v>
      </c>
      <c r="AI5670">
        <v>4.8</v>
      </c>
      <c r="AJ5670">
        <v>30.07</v>
      </c>
      <c r="AK5670">
        <v>23.8</v>
      </c>
      <c r="AL5670">
        <v>-20.10298734999995</v>
      </c>
      <c r="AM5670">
        <v>-44.882802925792483</v>
      </c>
      <c r="AN5670">
        <v>-20.10298734999995</v>
      </c>
      <c r="AO5670">
        <v>-44.882802925792483</v>
      </c>
      <c r="AP5670">
        <v>-20.103041999999999</v>
      </c>
      <c r="AQ5670">
        <v>-44.882694999999998</v>
      </c>
      <c r="AR5670">
        <v>12.8180317775525</v>
      </c>
      <c r="AS5670" t="s">
        <v>65</v>
      </c>
      <c r="AT5670">
        <v>1</v>
      </c>
      <c r="AU5670" t="s">
        <v>1142</v>
      </c>
      <c r="AV5670" t="s">
        <v>1143</v>
      </c>
      <c r="AW5670" t="s">
        <v>60</v>
      </c>
      <c r="AX5670" t="s">
        <v>68</v>
      </c>
      <c r="AY5670" t="s">
        <v>69</v>
      </c>
      <c r="AZ5670" t="b">
        <v>1</v>
      </c>
    </row>
    <row r="5671" spans="1:52" x14ac:dyDescent="0.3">
      <c r="A5671" t="s">
        <v>52</v>
      </c>
      <c r="B5671" t="s">
        <v>53</v>
      </c>
      <c r="C5671" t="s">
        <v>54</v>
      </c>
      <c r="D5671" t="s">
        <v>55</v>
      </c>
      <c r="E5671" t="s">
        <v>2280</v>
      </c>
      <c r="F5671" t="s">
        <v>190</v>
      </c>
      <c r="G5671" t="s">
        <v>1133</v>
      </c>
      <c r="H5671" t="s">
        <v>1144</v>
      </c>
      <c r="I5671" t="s">
        <v>1144</v>
      </c>
      <c r="J5671" t="s">
        <v>60</v>
      </c>
      <c r="K5671" t="s">
        <v>1123</v>
      </c>
      <c r="L5671" t="s">
        <v>62</v>
      </c>
      <c r="M5671" t="s">
        <v>1123</v>
      </c>
      <c r="N5671" t="s">
        <v>1135</v>
      </c>
      <c r="O5671" t="s">
        <v>907</v>
      </c>
      <c r="P5671">
        <v>-20.100351</v>
      </c>
      <c r="Q5671">
        <v>-44.878037999999997</v>
      </c>
      <c r="R5671" s="2" t="str">
        <f>HYPERLINK("https://www.google.com/maps?q=-20.1003510,-44.8780380","Abrir no Google Maps")</f>
        <v>Abrir no Google Maps</v>
      </c>
      <c r="S5671">
        <v>3</v>
      </c>
      <c r="T5671">
        <v>665.56785712469116</v>
      </c>
      <c r="U5671">
        <v>4</v>
      </c>
      <c r="V5671">
        <v>0.99634146341463403</v>
      </c>
      <c r="W5671">
        <v>1</v>
      </c>
      <c r="X5671">
        <v>0.99634146341463403</v>
      </c>
      <c r="Y5671">
        <v>314</v>
      </c>
      <c r="Z5671">
        <v>584.8532299266725</v>
      </c>
      <c r="AA5671">
        <v>198</v>
      </c>
      <c r="AB5671">
        <v>332</v>
      </c>
      <c r="AC5671">
        <v>536</v>
      </c>
      <c r="AD5671">
        <v>27.77</v>
      </c>
      <c r="AE5671">
        <v>542</v>
      </c>
      <c r="AF5671">
        <v>26</v>
      </c>
      <c r="AG5671">
        <v>163</v>
      </c>
      <c r="AH5671">
        <v>129</v>
      </c>
      <c r="AI5671">
        <v>4.8</v>
      </c>
      <c r="AJ5671">
        <v>30.07</v>
      </c>
      <c r="AK5671">
        <v>23.8</v>
      </c>
      <c r="AL5671">
        <v>-20.100420499999959</v>
      </c>
      <c r="AM5671">
        <v>-44.878125332575927</v>
      </c>
      <c r="AN5671">
        <v>-20.100420499999959</v>
      </c>
      <c r="AO5671">
        <v>-44.878125332575927</v>
      </c>
      <c r="AP5671">
        <v>-20.100351</v>
      </c>
      <c r="AQ5671">
        <v>-44.878037999999997</v>
      </c>
      <c r="AR5671">
        <v>11.966993892024719</v>
      </c>
      <c r="AS5671" t="s">
        <v>65</v>
      </c>
      <c r="AT5671">
        <v>1</v>
      </c>
      <c r="AU5671" t="s">
        <v>1145</v>
      </c>
      <c r="AV5671" t="s">
        <v>1146</v>
      </c>
      <c r="AW5671" t="s">
        <v>60</v>
      </c>
      <c r="AX5671" t="s">
        <v>68</v>
      </c>
      <c r="AY5671" t="s">
        <v>69</v>
      </c>
      <c r="AZ5671" t="b">
        <v>1</v>
      </c>
    </row>
    <row r="5672" spans="1:52" x14ac:dyDescent="0.3">
      <c r="A5672" t="s">
        <v>52</v>
      </c>
      <c r="B5672" t="s">
        <v>53</v>
      </c>
      <c r="C5672" t="s">
        <v>54</v>
      </c>
      <c r="D5672" t="s">
        <v>55</v>
      </c>
      <c r="E5672" t="s">
        <v>2280</v>
      </c>
      <c r="F5672" t="s">
        <v>190</v>
      </c>
      <c r="G5672" t="s">
        <v>1147</v>
      </c>
      <c r="H5672" t="s">
        <v>1148</v>
      </c>
      <c r="I5672" t="s">
        <v>1148</v>
      </c>
      <c r="J5672" t="s">
        <v>60</v>
      </c>
      <c r="K5672" t="s">
        <v>798</v>
      </c>
      <c r="L5672" t="s">
        <v>62</v>
      </c>
      <c r="M5672" t="s">
        <v>798</v>
      </c>
      <c r="N5672" t="s">
        <v>1149</v>
      </c>
      <c r="O5672" t="s">
        <v>836</v>
      </c>
      <c r="P5672">
        <v>-20.112448000000001</v>
      </c>
      <c r="Q5672">
        <v>-44.904887000000002</v>
      </c>
      <c r="R5672" s="2" t="str">
        <f>HYPERLINK("https://www.google.com/maps?q=-20.1124480,-44.9048870","Abrir no Google Maps")</f>
        <v>Abrir no Google Maps</v>
      </c>
      <c r="S5672">
        <v>3</v>
      </c>
      <c r="T5672">
        <v>404.16588765758058</v>
      </c>
      <c r="U5672">
        <v>4</v>
      </c>
      <c r="V5672">
        <v>1</v>
      </c>
      <c r="W5672">
        <v>1</v>
      </c>
      <c r="X5672">
        <v>1</v>
      </c>
      <c r="Y5672">
        <v>300</v>
      </c>
      <c r="Z5672">
        <v>435.21165957304731</v>
      </c>
      <c r="AA5672">
        <v>198</v>
      </c>
      <c r="AB5672">
        <v>332</v>
      </c>
      <c r="AC5672">
        <v>536</v>
      </c>
      <c r="AD5672">
        <v>27.77</v>
      </c>
      <c r="AE5672">
        <v>542</v>
      </c>
      <c r="AF5672">
        <v>26</v>
      </c>
      <c r="AG5672">
        <v>163</v>
      </c>
      <c r="AH5672">
        <v>129</v>
      </c>
      <c r="AI5672">
        <v>4.8</v>
      </c>
      <c r="AJ5672">
        <v>30.07</v>
      </c>
      <c r="AK5672">
        <v>23.8</v>
      </c>
      <c r="AL5672">
        <v>-20.11243479999996</v>
      </c>
      <c r="AM5672">
        <v>-44.904803228053026</v>
      </c>
      <c r="AN5672">
        <v>-20.11243479999996</v>
      </c>
      <c r="AO5672">
        <v>-44.904803228053026</v>
      </c>
      <c r="AP5672">
        <v>-20.112448000000001</v>
      </c>
      <c r="AQ5672">
        <v>-44.904887000000002</v>
      </c>
      <c r="AR5672">
        <v>8.8792525353759544</v>
      </c>
      <c r="AS5672" t="s">
        <v>65</v>
      </c>
      <c r="AT5672">
        <v>1</v>
      </c>
      <c r="AU5672" t="s">
        <v>1150</v>
      </c>
      <c r="AV5672" t="s">
        <v>1151</v>
      </c>
      <c r="AW5672" t="s">
        <v>60</v>
      </c>
      <c r="AX5672" t="s">
        <v>68</v>
      </c>
      <c r="AY5672" t="s">
        <v>69</v>
      </c>
      <c r="AZ5672" t="b">
        <v>1</v>
      </c>
    </row>
    <row r="5673" spans="1:52" x14ac:dyDescent="0.3">
      <c r="A5673" t="s">
        <v>52</v>
      </c>
      <c r="B5673" t="s">
        <v>53</v>
      </c>
      <c r="C5673" t="s">
        <v>54</v>
      </c>
      <c r="D5673" t="s">
        <v>55</v>
      </c>
      <c r="E5673" t="s">
        <v>2280</v>
      </c>
      <c r="F5673" t="s">
        <v>190</v>
      </c>
      <c r="G5673" t="s">
        <v>1152</v>
      </c>
      <c r="H5673" t="s">
        <v>1153</v>
      </c>
      <c r="I5673" t="s">
        <v>1153</v>
      </c>
      <c r="J5673" t="s">
        <v>60</v>
      </c>
      <c r="K5673" t="s">
        <v>798</v>
      </c>
      <c r="L5673" t="s">
        <v>62</v>
      </c>
      <c r="M5673" t="s">
        <v>798</v>
      </c>
      <c r="N5673" t="s">
        <v>1154</v>
      </c>
      <c r="O5673" t="s">
        <v>293</v>
      </c>
      <c r="P5673">
        <v>-20.112477999999999</v>
      </c>
      <c r="Q5673">
        <v>-44.903066000000003</v>
      </c>
      <c r="R5673" s="2" t="str">
        <f>HYPERLINK("https://www.google.com/maps?q=-20.1124780,-44.9030660","Abrir no Google Maps")</f>
        <v>Abrir no Google Maps</v>
      </c>
      <c r="S5673">
        <v>3</v>
      </c>
      <c r="T5673">
        <v>246.8131690803576</v>
      </c>
      <c r="U5673">
        <v>4</v>
      </c>
      <c r="V5673">
        <v>0.99882629107981225</v>
      </c>
      <c r="W5673">
        <v>1</v>
      </c>
      <c r="X5673">
        <v>0.99882629107981225</v>
      </c>
      <c r="Y5673">
        <v>300</v>
      </c>
      <c r="Z5673">
        <v>335.63974056009812</v>
      </c>
      <c r="AA5673">
        <v>198</v>
      </c>
      <c r="AB5673">
        <v>332</v>
      </c>
      <c r="AC5673">
        <v>536</v>
      </c>
      <c r="AD5673">
        <v>27.77</v>
      </c>
      <c r="AE5673">
        <v>542</v>
      </c>
      <c r="AF5673">
        <v>26</v>
      </c>
      <c r="AG5673">
        <v>163</v>
      </c>
      <c r="AH5673">
        <v>129</v>
      </c>
      <c r="AI5673">
        <v>4.8</v>
      </c>
      <c r="AJ5673">
        <v>30.07</v>
      </c>
      <c r="AK5673">
        <v>23.8</v>
      </c>
      <c r="AL5673">
        <v>-20.112499949999972</v>
      </c>
      <c r="AM5673">
        <v>-44.903143791889391</v>
      </c>
      <c r="AN5673">
        <v>-20.112499949999972</v>
      </c>
      <c r="AO5673">
        <v>-44.903143791889391</v>
      </c>
      <c r="AP5673">
        <v>-20.112477999999999</v>
      </c>
      <c r="AQ5673">
        <v>-44.903066000000003</v>
      </c>
      <c r="AR5673">
        <v>8.4908959019572912</v>
      </c>
      <c r="AS5673" t="s">
        <v>65</v>
      </c>
      <c r="AT5673">
        <v>1</v>
      </c>
      <c r="AU5673" t="s">
        <v>1155</v>
      </c>
      <c r="AV5673" t="s">
        <v>1156</v>
      </c>
      <c r="AW5673" t="s">
        <v>60</v>
      </c>
      <c r="AX5673" t="s">
        <v>68</v>
      </c>
      <c r="AY5673" t="s">
        <v>69</v>
      </c>
      <c r="AZ5673" t="b">
        <v>1</v>
      </c>
    </row>
    <row r="5674" spans="1:52" x14ac:dyDescent="0.3">
      <c r="A5674" t="s">
        <v>52</v>
      </c>
      <c r="B5674" t="s">
        <v>53</v>
      </c>
      <c r="C5674" t="s">
        <v>54</v>
      </c>
      <c r="D5674" t="s">
        <v>55</v>
      </c>
      <c r="E5674" t="s">
        <v>2280</v>
      </c>
      <c r="F5674" t="s">
        <v>190</v>
      </c>
      <c r="G5674" t="s">
        <v>1163</v>
      </c>
      <c r="H5674" t="s">
        <v>1164</v>
      </c>
      <c r="I5674" t="s">
        <v>1164</v>
      </c>
      <c r="J5674" t="s">
        <v>60</v>
      </c>
      <c r="K5674" t="s">
        <v>1165</v>
      </c>
      <c r="L5674" t="s">
        <v>62</v>
      </c>
      <c r="M5674" t="s">
        <v>1165</v>
      </c>
      <c r="N5674" t="s">
        <v>1166</v>
      </c>
      <c r="O5674" t="s">
        <v>1167</v>
      </c>
      <c r="P5674">
        <v>-20.155543000000002</v>
      </c>
      <c r="Q5674">
        <v>-44.863444000000001</v>
      </c>
      <c r="R5674" s="2" t="str">
        <f>HYPERLINK("https://www.google.com/maps?q=-20.1555430,-44.8634440","Abrir no Google Maps")</f>
        <v>Abrir no Google Maps</v>
      </c>
      <c r="S5674">
        <v>3</v>
      </c>
      <c r="T5674">
        <v>314.02353400254742</v>
      </c>
      <c r="U5674">
        <v>4</v>
      </c>
      <c r="V5674">
        <v>1</v>
      </c>
      <c r="W5674">
        <v>1</v>
      </c>
      <c r="X5674">
        <v>1</v>
      </c>
      <c r="Y5674">
        <v>264</v>
      </c>
      <c r="Z5674">
        <v>282.65065866463459</v>
      </c>
      <c r="AA5674">
        <v>198</v>
      </c>
      <c r="AB5674">
        <v>332</v>
      </c>
      <c r="AC5674">
        <v>536</v>
      </c>
      <c r="AD5674">
        <v>27.77</v>
      </c>
      <c r="AE5674">
        <v>542</v>
      </c>
      <c r="AF5674">
        <v>26</v>
      </c>
      <c r="AG5674">
        <v>163</v>
      </c>
      <c r="AH5674">
        <v>129</v>
      </c>
      <c r="AI5674">
        <v>4.8</v>
      </c>
      <c r="AJ5674">
        <v>30.07</v>
      </c>
      <c r="AK5674">
        <v>23.8</v>
      </c>
      <c r="AL5674">
        <v>-20.155436449999939</v>
      </c>
      <c r="AM5674">
        <v>-44.863557722691183</v>
      </c>
      <c r="AN5674">
        <v>-20.155436449999939</v>
      </c>
      <c r="AO5674">
        <v>-44.863557722691183</v>
      </c>
      <c r="AP5674">
        <v>-20.155543000000002</v>
      </c>
      <c r="AQ5674">
        <v>-44.863444000000001</v>
      </c>
      <c r="AR5674">
        <v>16.790610674079979</v>
      </c>
      <c r="AS5674" t="s">
        <v>65</v>
      </c>
      <c r="AT5674">
        <v>1</v>
      </c>
      <c r="AU5674" t="s">
        <v>1168</v>
      </c>
      <c r="AV5674" t="s">
        <v>1169</v>
      </c>
      <c r="AW5674" t="s">
        <v>60</v>
      </c>
      <c r="AX5674" t="s">
        <v>68</v>
      </c>
      <c r="AY5674" t="s">
        <v>69</v>
      </c>
      <c r="AZ5674" t="b">
        <v>1</v>
      </c>
    </row>
    <row r="5675" spans="1:52" x14ac:dyDescent="0.3">
      <c r="A5675" t="s">
        <v>52</v>
      </c>
      <c r="B5675" t="s">
        <v>53</v>
      </c>
      <c r="C5675" t="s">
        <v>54</v>
      </c>
      <c r="D5675" t="s">
        <v>55</v>
      </c>
      <c r="E5675" t="s">
        <v>2280</v>
      </c>
      <c r="F5675" t="s">
        <v>190</v>
      </c>
      <c r="G5675" t="s">
        <v>1170</v>
      </c>
      <c r="H5675" t="s">
        <v>1171</v>
      </c>
      <c r="I5675" t="s">
        <v>1171</v>
      </c>
      <c r="J5675" t="s">
        <v>60</v>
      </c>
      <c r="K5675" t="s">
        <v>1165</v>
      </c>
      <c r="L5675" t="s">
        <v>62</v>
      </c>
      <c r="M5675" t="s">
        <v>1165</v>
      </c>
      <c r="N5675" t="s">
        <v>1172</v>
      </c>
      <c r="O5675" t="s">
        <v>1160</v>
      </c>
      <c r="P5675">
        <v>-20.158208999999999</v>
      </c>
      <c r="Q5675">
        <v>-44.865242000000002</v>
      </c>
      <c r="R5675" s="2" t="str">
        <f>HYPERLINK("https://www.google.com/maps?q=-20.1582090,-44.8652420","Abrir no Google Maps")</f>
        <v>Abrir no Google Maps</v>
      </c>
      <c r="S5675">
        <v>3</v>
      </c>
      <c r="T5675">
        <v>529.55269054560301</v>
      </c>
      <c r="U5675">
        <v>4</v>
      </c>
      <c r="V5675">
        <v>0.99844720496894401</v>
      </c>
      <c r="W5675">
        <v>1</v>
      </c>
      <c r="X5675">
        <v>0.99844720496894401</v>
      </c>
      <c r="Y5675">
        <v>264</v>
      </c>
      <c r="Z5675">
        <v>576.82525833351326</v>
      </c>
      <c r="AA5675">
        <v>198</v>
      </c>
      <c r="AB5675">
        <v>332</v>
      </c>
      <c r="AC5675">
        <v>536</v>
      </c>
      <c r="AD5675">
        <v>27.77</v>
      </c>
      <c r="AE5675">
        <v>542</v>
      </c>
      <c r="AF5675">
        <v>26</v>
      </c>
      <c r="AG5675">
        <v>163</v>
      </c>
      <c r="AH5675">
        <v>129</v>
      </c>
      <c r="AI5675">
        <v>4.8</v>
      </c>
      <c r="AJ5675">
        <v>30.07</v>
      </c>
      <c r="AK5675">
        <v>23.8</v>
      </c>
      <c r="AL5675">
        <v>-20.15813384999996</v>
      </c>
      <c r="AM5675">
        <v>-44.865189279062598</v>
      </c>
      <c r="AN5675">
        <v>-20.15813384999996</v>
      </c>
      <c r="AO5675">
        <v>-44.865189279062598</v>
      </c>
      <c r="AP5675">
        <v>-20.158208999999999</v>
      </c>
      <c r="AQ5675">
        <v>-44.865242000000002</v>
      </c>
      <c r="AR5675">
        <v>10.01690313145691</v>
      </c>
      <c r="AS5675" t="s">
        <v>65</v>
      </c>
      <c r="AT5675">
        <v>1</v>
      </c>
      <c r="AU5675" t="s">
        <v>1173</v>
      </c>
      <c r="AV5675" t="s">
        <v>1174</v>
      </c>
      <c r="AW5675" t="s">
        <v>60</v>
      </c>
      <c r="AX5675" t="s">
        <v>68</v>
      </c>
      <c r="AY5675" t="s">
        <v>69</v>
      </c>
      <c r="AZ5675" t="b">
        <v>1</v>
      </c>
    </row>
    <row r="5676" spans="1:52" x14ac:dyDescent="0.3">
      <c r="A5676" t="s">
        <v>52</v>
      </c>
      <c r="B5676" t="s">
        <v>53</v>
      </c>
      <c r="C5676" t="s">
        <v>54</v>
      </c>
      <c r="D5676" t="s">
        <v>55</v>
      </c>
      <c r="E5676" t="s">
        <v>2280</v>
      </c>
      <c r="F5676" t="s">
        <v>190</v>
      </c>
      <c r="G5676" t="s">
        <v>803</v>
      </c>
      <c r="H5676" t="s">
        <v>804</v>
      </c>
      <c r="I5676" t="s">
        <v>804</v>
      </c>
      <c r="J5676" t="s">
        <v>60</v>
      </c>
      <c r="K5676" t="s">
        <v>805</v>
      </c>
      <c r="L5676" t="s">
        <v>62</v>
      </c>
      <c r="M5676" t="s">
        <v>805</v>
      </c>
      <c r="N5676" t="s">
        <v>806</v>
      </c>
      <c r="O5676" t="s">
        <v>807</v>
      </c>
      <c r="P5676">
        <v>-20.133293999999999</v>
      </c>
      <c r="Q5676">
        <v>-44.886302000000001</v>
      </c>
      <c r="R5676" s="2" t="str">
        <f>HYPERLINK("https://www.google.com/maps?q=-20.1332940,-44.8863020","Abrir no Google Maps")</f>
        <v>Abrir no Google Maps</v>
      </c>
      <c r="S5676">
        <v>3</v>
      </c>
      <c r="T5676">
        <v>0</v>
      </c>
      <c r="U5676">
        <v>4</v>
      </c>
      <c r="V5676">
        <v>0.99615384615384617</v>
      </c>
      <c r="W5676">
        <v>1</v>
      </c>
      <c r="X5676">
        <v>0.99615384615384617</v>
      </c>
      <c r="Y5676">
        <v>259</v>
      </c>
      <c r="Z5676">
        <v>76.358812960729097</v>
      </c>
      <c r="AA5676">
        <v>198</v>
      </c>
      <c r="AB5676">
        <v>332</v>
      </c>
      <c r="AC5676">
        <v>536</v>
      </c>
      <c r="AD5676">
        <v>27.77</v>
      </c>
      <c r="AE5676">
        <v>542</v>
      </c>
      <c r="AF5676">
        <v>26</v>
      </c>
      <c r="AG5676">
        <v>163</v>
      </c>
      <c r="AH5676">
        <v>129</v>
      </c>
      <c r="AI5676">
        <v>4.8</v>
      </c>
      <c r="AJ5676">
        <v>30.07</v>
      </c>
      <c r="AK5676">
        <v>23.8</v>
      </c>
      <c r="AL5676">
        <v>-20.133281749999949</v>
      </c>
      <c r="AM5676">
        <v>-44.886395047959027</v>
      </c>
      <c r="AN5676">
        <v>-20.133281749999949</v>
      </c>
      <c r="AO5676">
        <v>-44.886395047959027</v>
      </c>
      <c r="AP5676">
        <v>-20.133293999999999</v>
      </c>
      <c r="AQ5676">
        <v>-44.886302000000001</v>
      </c>
      <c r="AR5676">
        <v>9.8203037443031231</v>
      </c>
      <c r="AS5676" t="s">
        <v>65</v>
      </c>
      <c r="AT5676">
        <v>1</v>
      </c>
      <c r="AU5676" t="s">
        <v>808</v>
      </c>
      <c r="AV5676" t="s">
        <v>809</v>
      </c>
      <c r="AW5676" t="s">
        <v>60</v>
      </c>
      <c r="AX5676" t="s">
        <v>68</v>
      </c>
      <c r="AY5676" t="s">
        <v>69</v>
      </c>
      <c r="AZ5676" t="b">
        <v>1</v>
      </c>
    </row>
    <row r="5677" spans="1:52" x14ac:dyDescent="0.3">
      <c r="A5677" t="s">
        <v>52</v>
      </c>
      <c r="B5677" t="s">
        <v>53</v>
      </c>
      <c r="C5677" t="s">
        <v>54</v>
      </c>
      <c r="D5677" t="s">
        <v>55</v>
      </c>
      <c r="E5677" t="s">
        <v>2280</v>
      </c>
      <c r="F5677" t="s">
        <v>190</v>
      </c>
      <c r="G5677" t="s">
        <v>380</v>
      </c>
      <c r="H5677" t="s">
        <v>381</v>
      </c>
      <c r="I5677" t="s">
        <v>381</v>
      </c>
      <c r="J5677" t="s">
        <v>60</v>
      </c>
      <c r="K5677" t="s">
        <v>72</v>
      </c>
      <c r="L5677" t="s">
        <v>62</v>
      </c>
      <c r="M5677" t="s">
        <v>72</v>
      </c>
      <c r="N5677" t="s">
        <v>382</v>
      </c>
      <c r="O5677" t="s">
        <v>383</v>
      </c>
      <c r="P5677">
        <v>-20.147182000000001</v>
      </c>
      <c r="Q5677">
        <v>-44.912728999999999</v>
      </c>
      <c r="R5677" s="2" t="str">
        <f>HYPERLINK("https://www.google.com/maps?q=-20.1471820,-44.9127290","Abrir no Google Maps")</f>
        <v>Abrir no Google Maps</v>
      </c>
      <c r="S5677">
        <v>3</v>
      </c>
      <c r="T5677">
        <v>478.0141981540923</v>
      </c>
      <c r="U5677">
        <v>3</v>
      </c>
      <c r="V5677">
        <v>0.97388059701492535</v>
      </c>
      <c r="W5677">
        <v>1</v>
      </c>
      <c r="X5677">
        <v>0.97388059701492535</v>
      </c>
      <c r="Y5677">
        <v>747</v>
      </c>
      <c r="Z5677">
        <v>494.0254290673729</v>
      </c>
      <c r="AA5677">
        <v>198</v>
      </c>
      <c r="AB5677">
        <v>332</v>
      </c>
      <c r="AC5677">
        <v>536</v>
      </c>
      <c r="AD5677">
        <v>27.77</v>
      </c>
      <c r="AE5677">
        <v>542</v>
      </c>
      <c r="AF5677">
        <v>26</v>
      </c>
      <c r="AG5677">
        <v>163</v>
      </c>
      <c r="AH5677">
        <v>129</v>
      </c>
      <c r="AI5677">
        <v>4.8</v>
      </c>
      <c r="AJ5677">
        <v>30.07</v>
      </c>
      <c r="AK5677">
        <v>23.8</v>
      </c>
      <c r="AL5677">
        <v>-20.147375599999979</v>
      </c>
      <c r="AM5677">
        <v>-44.912907472879468</v>
      </c>
      <c r="AN5677">
        <v>-20.147375599999979</v>
      </c>
      <c r="AO5677">
        <v>-44.912907472879468</v>
      </c>
      <c r="AP5677">
        <v>-20.147182000000001</v>
      </c>
      <c r="AQ5677">
        <v>-44.912728999999999</v>
      </c>
      <c r="AR5677">
        <v>28.50197694184326</v>
      </c>
      <c r="AS5677" t="s">
        <v>65</v>
      </c>
      <c r="AT5677">
        <v>1</v>
      </c>
      <c r="AU5677" t="s">
        <v>384</v>
      </c>
      <c r="AV5677" t="s">
        <v>385</v>
      </c>
      <c r="AW5677" t="s">
        <v>60</v>
      </c>
      <c r="AX5677" t="s">
        <v>68</v>
      </c>
      <c r="AY5677" t="s">
        <v>69</v>
      </c>
      <c r="AZ5677" t="b">
        <v>1</v>
      </c>
    </row>
    <row r="5678" spans="1:52" x14ac:dyDescent="0.3">
      <c r="A5678" t="s">
        <v>52</v>
      </c>
      <c r="B5678" t="s">
        <v>53</v>
      </c>
      <c r="C5678" t="s">
        <v>54</v>
      </c>
      <c r="D5678" t="s">
        <v>55</v>
      </c>
      <c r="E5678" t="s">
        <v>2280</v>
      </c>
      <c r="F5678" t="s">
        <v>190</v>
      </c>
      <c r="G5678" t="s">
        <v>833</v>
      </c>
      <c r="H5678" t="s">
        <v>834</v>
      </c>
      <c r="I5678" t="s">
        <v>834</v>
      </c>
      <c r="J5678" t="s">
        <v>60</v>
      </c>
      <c r="K5678" t="s">
        <v>388</v>
      </c>
      <c r="L5678" t="s">
        <v>62</v>
      </c>
      <c r="M5678" t="s">
        <v>388</v>
      </c>
      <c r="N5678" t="s">
        <v>835</v>
      </c>
      <c r="O5678" t="s">
        <v>836</v>
      </c>
      <c r="P5678">
        <v>-20.157906000000001</v>
      </c>
      <c r="Q5678">
        <v>-44.900458999999998</v>
      </c>
      <c r="R5678" s="2" t="str">
        <f>HYPERLINK("https://www.google.com/maps?q=-20.1579060,-44.9004590","Abrir no Google Maps")</f>
        <v>Abrir no Google Maps</v>
      </c>
      <c r="S5678">
        <v>3</v>
      </c>
      <c r="T5678">
        <v>0</v>
      </c>
      <c r="U5678">
        <v>3</v>
      </c>
      <c r="V5678">
        <v>0.98168103448275879</v>
      </c>
      <c r="W5678">
        <v>1</v>
      </c>
      <c r="X5678">
        <v>0.98168103448275879</v>
      </c>
      <c r="Y5678">
        <v>729</v>
      </c>
      <c r="Z5678">
        <v>203.63168486652771</v>
      </c>
      <c r="AA5678">
        <v>198</v>
      </c>
      <c r="AB5678">
        <v>332</v>
      </c>
      <c r="AC5678">
        <v>536</v>
      </c>
      <c r="AD5678">
        <v>27.77</v>
      </c>
      <c r="AE5678">
        <v>542</v>
      </c>
      <c r="AF5678">
        <v>26</v>
      </c>
      <c r="AG5678">
        <v>163</v>
      </c>
      <c r="AH5678">
        <v>129</v>
      </c>
      <c r="AI5678">
        <v>4.8</v>
      </c>
      <c r="AJ5678">
        <v>30.07</v>
      </c>
      <c r="AK5678">
        <v>23.8</v>
      </c>
      <c r="AL5678">
        <v>-20.157925749999951</v>
      </c>
      <c r="AM5678">
        <v>-44.900484707799812</v>
      </c>
      <c r="AN5678">
        <v>-20.157925749999951</v>
      </c>
      <c r="AO5678">
        <v>-44.900484707799812</v>
      </c>
      <c r="AP5678">
        <v>-20.157906000000001</v>
      </c>
      <c r="AQ5678">
        <v>-44.900458999999998</v>
      </c>
      <c r="AR5678">
        <v>3.4714515960382508</v>
      </c>
      <c r="AS5678" t="s">
        <v>65</v>
      </c>
      <c r="AT5678">
        <v>1</v>
      </c>
      <c r="AU5678" t="s">
        <v>837</v>
      </c>
      <c r="AV5678" t="s">
        <v>838</v>
      </c>
      <c r="AW5678" t="s">
        <v>60</v>
      </c>
      <c r="AX5678" t="s">
        <v>68</v>
      </c>
      <c r="AY5678" t="s">
        <v>69</v>
      </c>
      <c r="AZ5678" t="b">
        <v>1</v>
      </c>
    </row>
    <row r="5679" spans="1:52" x14ac:dyDescent="0.3">
      <c r="A5679" t="s">
        <v>52</v>
      </c>
      <c r="B5679" t="s">
        <v>53</v>
      </c>
      <c r="C5679" t="s">
        <v>54</v>
      </c>
      <c r="D5679" t="s">
        <v>55</v>
      </c>
      <c r="E5679" t="s">
        <v>2280</v>
      </c>
      <c r="F5679" t="s">
        <v>190</v>
      </c>
      <c r="G5679" t="s">
        <v>386</v>
      </c>
      <c r="H5679" t="s">
        <v>387</v>
      </c>
      <c r="I5679" t="s">
        <v>387</v>
      </c>
      <c r="J5679" t="s">
        <v>60</v>
      </c>
      <c r="K5679" t="s">
        <v>388</v>
      </c>
      <c r="L5679" t="s">
        <v>62</v>
      </c>
      <c r="M5679" t="s">
        <v>388</v>
      </c>
      <c r="N5679" t="s">
        <v>389</v>
      </c>
      <c r="O5679" t="s">
        <v>357</v>
      </c>
      <c r="P5679">
        <v>-20.161041999999998</v>
      </c>
      <c r="Q5679">
        <v>-44.901242000000003</v>
      </c>
      <c r="R5679" s="2" t="str">
        <f>HYPERLINK("https://www.google.com/maps?q=-20.1610420,-44.9012420","Abrir no Google Maps")</f>
        <v>Abrir no Google Maps</v>
      </c>
      <c r="S5679">
        <v>3</v>
      </c>
      <c r="T5679">
        <v>440.22183232279212</v>
      </c>
      <c r="U5679">
        <v>3</v>
      </c>
      <c r="V5679">
        <v>0.97567567567567559</v>
      </c>
      <c r="W5679">
        <v>1</v>
      </c>
      <c r="X5679">
        <v>0.97567567567567559</v>
      </c>
      <c r="Y5679">
        <v>729</v>
      </c>
      <c r="Z5679">
        <v>398.48306829302379</v>
      </c>
      <c r="AA5679">
        <v>198</v>
      </c>
      <c r="AB5679">
        <v>332</v>
      </c>
      <c r="AC5679">
        <v>536</v>
      </c>
      <c r="AD5679">
        <v>27.77</v>
      </c>
      <c r="AE5679">
        <v>542</v>
      </c>
      <c r="AF5679">
        <v>26</v>
      </c>
      <c r="AG5679">
        <v>163</v>
      </c>
      <c r="AH5679">
        <v>129</v>
      </c>
      <c r="AI5679">
        <v>4.8</v>
      </c>
      <c r="AJ5679">
        <v>30.07</v>
      </c>
      <c r="AK5679">
        <v>23.8</v>
      </c>
      <c r="AL5679">
        <v>-20.16176629999995</v>
      </c>
      <c r="AM5679">
        <v>-44.901582787827898</v>
      </c>
      <c r="AN5679">
        <v>-20.16176629999995</v>
      </c>
      <c r="AO5679">
        <v>-44.901582787827898</v>
      </c>
      <c r="AP5679">
        <v>-20.161041999999998</v>
      </c>
      <c r="AQ5679">
        <v>-44.901242000000003</v>
      </c>
      <c r="AR5679">
        <v>88.143369157892835</v>
      </c>
      <c r="AS5679" t="s">
        <v>65</v>
      </c>
      <c r="AT5679">
        <v>1</v>
      </c>
      <c r="AU5679" t="s">
        <v>390</v>
      </c>
      <c r="AV5679" t="s">
        <v>391</v>
      </c>
      <c r="AW5679" t="s">
        <v>60</v>
      </c>
      <c r="AX5679" t="s">
        <v>68</v>
      </c>
      <c r="AY5679" t="s">
        <v>69</v>
      </c>
      <c r="AZ5679" t="b">
        <v>1</v>
      </c>
    </row>
    <row r="5680" spans="1:52" x14ac:dyDescent="0.3">
      <c r="A5680" t="s">
        <v>52</v>
      </c>
      <c r="B5680" t="s">
        <v>53</v>
      </c>
      <c r="C5680" t="s">
        <v>54</v>
      </c>
      <c r="D5680" t="s">
        <v>55</v>
      </c>
      <c r="E5680" t="s">
        <v>2280</v>
      </c>
      <c r="F5680" t="s">
        <v>190</v>
      </c>
      <c r="G5680" t="s">
        <v>392</v>
      </c>
      <c r="H5680" t="s">
        <v>393</v>
      </c>
      <c r="I5680" t="s">
        <v>393</v>
      </c>
      <c r="J5680" t="s">
        <v>60</v>
      </c>
      <c r="K5680" t="s">
        <v>388</v>
      </c>
      <c r="L5680" t="s">
        <v>62</v>
      </c>
      <c r="M5680" t="s">
        <v>388</v>
      </c>
      <c r="N5680" t="s">
        <v>394</v>
      </c>
      <c r="O5680" t="s">
        <v>395</v>
      </c>
      <c r="P5680">
        <v>-20.158066999999999</v>
      </c>
      <c r="Q5680">
        <v>-44.908164999999997</v>
      </c>
      <c r="R5680" s="2" t="str">
        <f>HYPERLINK("https://www.google.com/maps?q=-20.1580670,-44.9081650","Abrir no Google Maps")</f>
        <v>Abrir no Google Maps</v>
      </c>
      <c r="S5680">
        <v>3</v>
      </c>
      <c r="T5680">
        <v>666.74434317993041</v>
      </c>
      <c r="U5680">
        <v>3</v>
      </c>
      <c r="V5680">
        <v>0.98275862068965525</v>
      </c>
      <c r="W5680">
        <v>1</v>
      </c>
      <c r="X5680">
        <v>0.98275862068965525</v>
      </c>
      <c r="Y5680">
        <v>729</v>
      </c>
      <c r="Z5680">
        <v>612.4323328215396</v>
      </c>
      <c r="AA5680">
        <v>198</v>
      </c>
      <c r="AB5680">
        <v>332</v>
      </c>
      <c r="AC5680">
        <v>536</v>
      </c>
      <c r="AD5680">
        <v>27.77</v>
      </c>
      <c r="AE5680">
        <v>542</v>
      </c>
      <c r="AF5680">
        <v>26</v>
      </c>
      <c r="AG5680">
        <v>163</v>
      </c>
      <c r="AH5680">
        <v>129</v>
      </c>
      <c r="AI5680">
        <v>4.8</v>
      </c>
      <c r="AJ5680">
        <v>30.07</v>
      </c>
      <c r="AK5680">
        <v>23.8</v>
      </c>
      <c r="AL5680">
        <v>-20.158151449999959</v>
      </c>
      <c r="AM5680">
        <v>-44.908107718360938</v>
      </c>
      <c r="AN5680">
        <v>-20.158151449999959</v>
      </c>
      <c r="AO5680">
        <v>-44.908107718360938</v>
      </c>
      <c r="AP5680">
        <v>-20.158066999999999</v>
      </c>
      <c r="AQ5680">
        <v>-44.908164999999997</v>
      </c>
      <c r="AR5680">
        <v>11.14497345894574</v>
      </c>
      <c r="AS5680" t="s">
        <v>65</v>
      </c>
      <c r="AT5680">
        <v>1</v>
      </c>
      <c r="AU5680" t="s">
        <v>396</v>
      </c>
      <c r="AV5680" t="s">
        <v>397</v>
      </c>
      <c r="AW5680" t="s">
        <v>60</v>
      </c>
      <c r="AX5680" t="s">
        <v>68</v>
      </c>
      <c r="AY5680" t="s">
        <v>69</v>
      </c>
      <c r="AZ5680" t="b">
        <v>1</v>
      </c>
    </row>
    <row r="5681" spans="1:52" x14ac:dyDescent="0.3">
      <c r="A5681" t="s">
        <v>52</v>
      </c>
      <c r="B5681" t="s">
        <v>53</v>
      </c>
      <c r="C5681" t="s">
        <v>54</v>
      </c>
      <c r="D5681" t="s">
        <v>55</v>
      </c>
      <c r="E5681" t="s">
        <v>2280</v>
      </c>
      <c r="F5681" t="s">
        <v>190</v>
      </c>
      <c r="G5681" t="s">
        <v>870</v>
      </c>
      <c r="H5681" t="s">
        <v>871</v>
      </c>
      <c r="I5681" t="s">
        <v>871</v>
      </c>
      <c r="J5681" t="s">
        <v>60</v>
      </c>
      <c r="K5681" t="s">
        <v>475</v>
      </c>
      <c r="L5681" t="s">
        <v>62</v>
      </c>
      <c r="M5681" t="s">
        <v>475</v>
      </c>
      <c r="N5681" t="s">
        <v>872</v>
      </c>
      <c r="O5681" t="s">
        <v>507</v>
      </c>
      <c r="P5681">
        <v>-20.176269999999999</v>
      </c>
      <c r="Q5681">
        <v>-44.909323999999998</v>
      </c>
      <c r="R5681" s="2" t="str">
        <f>HYPERLINK("https://www.google.com/maps?q=-20.1762700,-44.9093240","Abrir no Google Maps")</f>
        <v>Abrir no Google Maps</v>
      </c>
      <c r="S5681">
        <v>3</v>
      </c>
      <c r="T5681">
        <v>472.42731136821368</v>
      </c>
      <c r="U5681">
        <v>3</v>
      </c>
      <c r="V5681">
        <v>0.99555555555555564</v>
      </c>
      <c r="W5681">
        <v>1</v>
      </c>
      <c r="X5681">
        <v>0.99555555555555564</v>
      </c>
      <c r="Y5681">
        <v>578</v>
      </c>
      <c r="Z5681">
        <v>495.19726726344601</v>
      </c>
      <c r="AA5681">
        <v>198</v>
      </c>
      <c r="AB5681">
        <v>332</v>
      </c>
      <c r="AC5681">
        <v>536</v>
      </c>
      <c r="AD5681">
        <v>27.77</v>
      </c>
      <c r="AE5681">
        <v>542</v>
      </c>
      <c r="AF5681">
        <v>26</v>
      </c>
      <c r="AG5681">
        <v>163</v>
      </c>
      <c r="AH5681">
        <v>129</v>
      </c>
      <c r="AI5681">
        <v>4.8</v>
      </c>
      <c r="AJ5681">
        <v>30.07</v>
      </c>
      <c r="AK5681">
        <v>23.8</v>
      </c>
      <c r="AL5681">
        <v>-20.17630284999996</v>
      </c>
      <c r="AM5681">
        <v>-44.909199064318948</v>
      </c>
      <c r="AN5681">
        <v>-20.17630284999996</v>
      </c>
      <c r="AO5681">
        <v>-44.909199064318948</v>
      </c>
      <c r="AP5681">
        <v>-20.176269999999999</v>
      </c>
      <c r="AQ5681">
        <v>-44.909323999999998</v>
      </c>
      <c r="AR5681">
        <v>13.55691308737447</v>
      </c>
      <c r="AS5681" t="s">
        <v>65</v>
      </c>
      <c r="AT5681">
        <v>1</v>
      </c>
      <c r="AU5681" t="s">
        <v>873</v>
      </c>
      <c r="AV5681" t="s">
        <v>874</v>
      </c>
      <c r="AW5681" t="s">
        <v>60</v>
      </c>
      <c r="AX5681" t="s">
        <v>68</v>
      </c>
      <c r="AY5681" t="s">
        <v>69</v>
      </c>
      <c r="AZ5681" t="b">
        <v>1</v>
      </c>
    </row>
    <row r="5682" spans="1:52" x14ac:dyDescent="0.3">
      <c r="A5682" t="s">
        <v>52</v>
      </c>
      <c r="B5682" t="s">
        <v>53</v>
      </c>
      <c r="C5682" t="s">
        <v>54</v>
      </c>
      <c r="D5682" t="s">
        <v>55</v>
      </c>
      <c r="E5682" t="s">
        <v>2280</v>
      </c>
      <c r="F5682" t="s">
        <v>190</v>
      </c>
      <c r="G5682" t="s">
        <v>479</v>
      </c>
      <c r="H5682" t="s">
        <v>480</v>
      </c>
      <c r="I5682" t="s">
        <v>480</v>
      </c>
      <c r="J5682" t="s">
        <v>60</v>
      </c>
      <c r="K5682" t="s">
        <v>388</v>
      </c>
      <c r="L5682" t="s">
        <v>62</v>
      </c>
      <c r="M5682" t="s">
        <v>388</v>
      </c>
      <c r="N5682" t="s">
        <v>481</v>
      </c>
      <c r="O5682" t="s">
        <v>315</v>
      </c>
      <c r="P5682">
        <v>-20.166903999999999</v>
      </c>
      <c r="Q5682">
        <v>-44.903492</v>
      </c>
      <c r="R5682" s="2" t="str">
        <f>HYPERLINK("https://www.google.com/maps?q=-20.1669040,-44.9034920","Abrir no Google Maps")</f>
        <v>Abrir no Google Maps</v>
      </c>
      <c r="S5682">
        <v>3</v>
      </c>
      <c r="T5682">
        <v>517.12253532511602</v>
      </c>
      <c r="U5682">
        <v>3</v>
      </c>
      <c r="V5682">
        <v>0.94910179640718562</v>
      </c>
      <c r="W5682">
        <v>1</v>
      </c>
      <c r="X5682">
        <v>0.94910179640718562</v>
      </c>
      <c r="Y5682">
        <v>578</v>
      </c>
      <c r="Z5682">
        <v>721.79551240050432</v>
      </c>
      <c r="AA5682">
        <v>198</v>
      </c>
      <c r="AB5682">
        <v>332</v>
      </c>
      <c r="AC5682">
        <v>536</v>
      </c>
      <c r="AD5682">
        <v>27.77</v>
      </c>
      <c r="AE5682">
        <v>542</v>
      </c>
      <c r="AF5682">
        <v>26</v>
      </c>
      <c r="AG5682">
        <v>163</v>
      </c>
      <c r="AH5682">
        <v>129</v>
      </c>
      <c r="AI5682">
        <v>4.8</v>
      </c>
      <c r="AJ5682">
        <v>30.07</v>
      </c>
      <c r="AK5682">
        <v>23.8</v>
      </c>
      <c r="AL5682">
        <v>-20.166610649999971</v>
      </c>
      <c r="AM5682">
        <v>-44.903452988928308</v>
      </c>
      <c r="AN5682">
        <v>-20.166610649999971</v>
      </c>
      <c r="AO5682">
        <v>-44.903452988928308</v>
      </c>
      <c r="AP5682">
        <v>-20.166903999999999</v>
      </c>
      <c r="AQ5682">
        <v>-44.903492</v>
      </c>
      <c r="AR5682">
        <v>32.909175876856217</v>
      </c>
      <c r="AS5682" t="s">
        <v>65</v>
      </c>
      <c r="AT5682">
        <v>1</v>
      </c>
      <c r="AU5682" t="s">
        <v>482</v>
      </c>
      <c r="AV5682" t="s">
        <v>483</v>
      </c>
      <c r="AW5682" t="s">
        <v>60</v>
      </c>
      <c r="AX5682" t="s">
        <v>68</v>
      </c>
      <c r="AY5682" t="s">
        <v>69</v>
      </c>
      <c r="AZ5682" t="b">
        <v>1</v>
      </c>
    </row>
    <row r="5683" spans="1:52" x14ac:dyDescent="0.3">
      <c r="A5683" t="s">
        <v>52</v>
      </c>
      <c r="B5683" t="s">
        <v>53</v>
      </c>
      <c r="C5683" t="s">
        <v>54</v>
      </c>
      <c r="D5683" t="s">
        <v>55</v>
      </c>
      <c r="E5683" t="s">
        <v>2280</v>
      </c>
      <c r="F5683" t="s">
        <v>190</v>
      </c>
      <c r="G5683" t="s">
        <v>491</v>
      </c>
      <c r="H5683" t="s">
        <v>492</v>
      </c>
      <c r="I5683" t="s">
        <v>492</v>
      </c>
      <c r="J5683" t="s">
        <v>60</v>
      </c>
      <c r="K5683" t="s">
        <v>475</v>
      </c>
      <c r="L5683" t="s">
        <v>62</v>
      </c>
      <c r="M5683" t="s">
        <v>475</v>
      </c>
      <c r="N5683" t="s">
        <v>493</v>
      </c>
      <c r="O5683" t="s">
        <v>494</v>
      </c>
      <c r="P5683">
        <v>-20.175250999999999</v>
      </c>
      <c r="Q5683">
        <v>-44.897357</v>
      </c>
      <c r="R5683" s="2" t="str">
        <f>HYPERLINK("https://www.google.com/maps?q=-20.1752510,-44.8973570","Abrir no Google Maps")</f>
        <v>Abrir no Google Maps</v>
      </c>
      <c r="S5683">
        <v>3</v>
      </c>
      <c r="T5683">
        <v>992.29631678149951</v>
      </c>
      <c r="U5683">
        <v>3</v>
      </c>
      <c r="V5683">
        <v>0.99081632653061225</v>
      </c>
      <c r="W5683">
        <v>1</v>
      </c>
      <c r="X5683">
        <v>0.99081632653061225</v>
      </c>
      <c r="Y5683">
        <v>578</v>
      </c>
      <c r="Z5683">
        <v>1008.5871064168319</v>
      </c>
      <c r="AA5683">
        <v>198</v>
      </c>
      <c r="AB5683">
        <v>332</v>
      </c>
      <c r="AC5683">
        <v>536</v>
      </c>
      <c r="AD5683">
        <v>27.77</v>
      </c>
      <c r="AE5683">
        <v>542</v>
      </c>
      <c r="AF5683">
        <v>26</v>
      </c>
      <c r="AG5683">
        <v>163</v>
      </c>
      <c r="AH5683">
        <v>129</v>
      </c>
      <c r="AI5683">
        <v>4.8</v>
      </c>
      <c r="AJ5683">
        <v>30.07</v>
      </c>
      <c r="AK5683">
        <v>23.8</v>
      </c>
      <c r="AL5683">
        <v>-20.175290599999951</v>
      </c>
      <c r="AM5683">
        <v>-44.897271931010721</v>
      </c>
      <c r="AN5683">
        <v>-20.175290599999951</v>
      </c>
      <c r="AO5683">
        <v>-44.897271931010721</v>
      </c>
      <c r="AP5683">
        <v>-20.175250999999999</v>
      </c>
      <c r="AQ5683">
        <v>-44.897357</v>
      </c>
      <c r="AR5683">
        <v>9.921899108467926</v>
      </c>
      <c r="AS5683" t="s">
        <v>65</v>
      </c>
      <c r="AT5683">
        <v>1</v>
      </c>
      <c r="AU5683" t="s">
        <v>495</v>
      </c>
      <c r="AV5683" t="s">
        <v>496</v>
      </c>
      <c r="AW5683" t="s">
        <v>60</v>
      </c>
      <c r="AX5683" t="s">
        <v>68</v>
      </c>
      <c r="AY5683" t="s">
        <v>69</v>
      </c>
      <c r="AZ5683" t="b">
        <v>1</v>
      </c>
    </row>
    <row r="5684" spans="1:52" x14ac:dyDescent="0.3">
      <c r="A5684" t="s">
        <v>52</v>
      </c>
      <c r="B5684" t="s">
        <v>53</v>
      </c>
      <c r="C5684" t="s">
        <v>54</v>
      </c>
      <c r="D5684" t="s">
        <v>55</v>
      </c>
      <c r="E5684" t="s">
        <v>2280</v>
      </c>
      <c r="F5684" t="s">
        <v>190</v>
      </c>
      <c r="G5684" t="s">
        <v>497</v>
      </c>
      <c r="H5684" t="s">
        <v>875</v>
      </c>
      <c r="I5684" t="s">
        <v>875</v>
      </c>
      <c r="J5684" t="s">
        <v>60</v>
      </c>
      <c r="K5684" t="s">
        <v>475</v>
      </c>
      <c r="L5684" t="s">
        <v>62</v>
      </c>
      <c r="M5684" t="s">
        <v>475</v>
      </c>
      <c r="N5684" t="s">
        <v>499</v>
      </c>
      <c r="O5684" t="s">
        <v>876</v>
      </c>
      <c r="P5684">
        <v>-20.177212999999998</v>
      </c>
      <c r="Q5684">
        <v>-44.904026999999999</v>
      </c>
      <c r="R5684" s="2" t="str">
        <f>HYPERLINK("https://www.google.com/maps?q=-20.1772130,-44.9040270","Abrir no Google Maps")</f>
        <v>Abrir no Google Maps</v>
      </c>
      <c r="S5684">
        <v>3</v>
      </c>
      <c r="T5684">
        <v>706.4159561113795</v>
      </c>
      <c r="U5684">
        <v>3</v>
      </c>
      <c r="V5684">
        <v>0.99101796407185638</v>
      </c>
      <c r="W5684">
        <v>1</v>
      </c>
      <c r="X5684">
        <v>0.99101796407185638</v>
      </c>
      <c r="Y5684">
        <v>578</v>
      </c>
      <c r="Z5684">
        <v>588.7160518608398</v>
      </c>
      <c r="AA5684">
        <v>198</v>
      </c>
      <c r="AB5684">
        <v>332</v>
      </c>
      <c r="AC5684">
        <v>536</v>
      </c>
      <c r="AD5684">
        <v>27.77</v>
      </c>
      <c r="AE5684">
        <v>542</v>
      </c>
      <c r="AF5684">
        <v>26</v>
      </c>
      <c r="AG5684">
        <v>163</v>
      </c>
      <c r="AH5684">
        <v>129</v>
      </c>
      <c r="AI5684">
        <v>4.8</v>
      </c>
      <c r="AJ5684">
        <v>30.07</v>
      </c>
      <c r="AK5684">
        <v>23.8</v>
      </c>
      <c r="AL5684">
        <v>-20.177090199999949</v>
      </c>
      <c r="AM5684">
        <v>-44.904078820930181</v>
      </c>
      <c r="AN5684">
        <v>-20.177090199999949</v>
      </c>
      <c r="AO5684">
        <v>-44.904078820930181</v>
      </c>
      <c r="AP5684">
        <v>-20.177212999999998</v>
      </c>
      <c r="AQ5684">
        <v>-44.904026999999999</v>
      </c>
      <c r="AR5684">
        <v>14.7034129632295</v>
      </c>
      <c r="AS5684" t="s">
        <v>65</v>
      </c>
      <c r="AT5684">
        <v>1</v>
      </c>
      <c r="AU5684" t="s">
        <v>877</v>
      </c>
      <c r="AV5684" t="s">
        <v>878</v>
      </c>
      <c r="AW5684" t="s">
        <v>60</v>
      </c>
      <c r="AX5684" t="s">
        <v>68</v>
      </c>
      <c r="AY5684" t="s">
        <v>69</v>
      </c>
      <c r="AZ5684" t="b">
        <v>1</v>
      </c>
    </row>
    <row r="5685" spans="1:52" x14ac:dyDescent="0.3">
      <c r="A5685" t="s">
        <v>52</v>
      </c>
      <c r="B5685" t="s">
        <v>53</v>
      </c>
      <c r="C5685" t="s">
        <v>54</v>
      </c>
      <c r="D5685" t="s">
        <v>55</v>
      </c>
      <c r="E5685" t="s">
        <v>2280</v>
      </c>
      <c r="F5685" t="s">
        <v>190</v>
      </c>
      <c r="G5685" t="s">
        <v>497</v>
      </c>
      <c r="H5685" t="s">
        <v>498</v>
      </c>
      <c r="I5685" t="s">
        <v>498</v>
      </c>
      <c r="J5685" t="s">
        <v>60</v>
      </c>
      <c r="K5685" t="s">
        <v>475</v>
      </c>
      <c r="L5685" t="s">
        <v>62</v>
      </c>
      <c r="M5685" t="s">
        <v>475</v>
      </c>
      <c r="N5685" t="s">
        <v>499</v>
      </c>
      <c r="O5685" t="s">
        <v>500</v>
      </c>
      <c r="P5685">
        <v>-20.175492999999999</v>
      </c>
      <c r="Q5685">
        <v>-44.900759000000001</v>
      </c>
      <c r="R5685" s="2" t="str">
        <f>HYPERLINK("https://www.google.com/maps?q=-20.1754930,-44.9007590","Abrir no Google Maps")</f>
        <v>Abrir no Google Maps</v>
      </c>
      <c r="S5685">
        <v>3</v>
      </c>
      <c r="T5685">
        <v>753.30732354720431</v>
      </c>
      <c r="U5685">
        <v>3</v>
      </c>
      <c r="V5685">
        <v>0.99438202247190999</v>
      </c>
      <c r="W5685">
        <v>1</v>
      </c>
      <c r="X5685">
        <v>0.99438202247190999</v>
      </c>
      <c r="Y5685">
        <v>578</v>
      </c>
      <c r="Z5685">
        <v>695.28903655431702</v>
      </c>
      <c r="AA5685">
        <v>198</v>
      </c>
      <c r="AB5685">
        <v>332</v>
      </c>
      <c r="AC5685">
        <v>536</v>
      </c>
      <c r="AD5685">
        <v>27.77</v>
      </c>
      <c r="AE5685">
        <v>542</v>
      </c>
      <c r="AF5685">
        <v>26</v>
      </c>
      <c r="AG5685">
        <v>163</v>
      </c>
      <c r="AH5685">
        <v>129</v>
      </c>
      <c r="AI5685">
        <v>4.8</v>
      </c>
      <c r="AJ5685">
        <v>30.07</v>
      </c>
      <c r="AK5685">
        <v>23.8</v>
      </c>
      <c r="AL5685">
        <v>-20.175825999999969</v>
      </c>
      <c r="AM5685">
        <v>-44.900600234646973</v>
      </c>
      <c r="AN5685">
        <v>-20.175825999999969</v>
      </c>
      <c r="AO5685">
        <v>-44.900600234646973</v>
      </c>
      <c r="AP5685">
        <v>-20.175492999999999</v>
      </c>
      <c r="AQ5685">
        <v>-44.900759000000001</v>
      </c>
      <c r="AR5685">
        <v>40.612267304645073</v>
      </c>
      <c r="AS5685" t="s">
        <v>65</v>
      </c>
      <c r="AT5685">
        <v>1</v>
      </c>
      <c r="AU5685" t="s">
        <v>501</v>
      </c>
      <c r="AV5685" t="s">
        <v>502</v>
      </c>
      <c r="AW5685" t="s">
        <v>60</v>
      </c>
      <c r="AX5685" t="s">
        <v>68</v>
      </c>
      <c r="AY5685" t="s">
        <v>69</v>
      </c>
      <c r="AZ5685" t="b">
        <v>1</v>
      </c>
    </row>
    <row r="5686" spans="1:52" x14ac:dyDescent="0.3">
      <c r="A5686" t="s">
        <v>52</v>
      </c>
      <c r="B5686" t="s">
        <v>53</v>
      </c>
      <c r="C5686" t="s">
        <v>54</v>
      </c>
      <c r="D5686" t="s">
        <v>55</v>
      </c>
      <c r="E5686" t="s">
        <v>2280</v>
      </c>
      <c r="F5686" t="s">
        <v>190</v>
      </c>
      <c r="G5686" t="s">
        <v>503</v>
      </c>
      <c r="H5686" t="s">
        <v>504</v>
      </c>
      <c r="I5686" t="s">
        <v>504</v>
      </c>
      <c r="J5686" t="s">
        <v>60</v>
      </c>
      <c r="K5686" t="s">
        <v>505</v>
      </c>
      <c r="L5686" t="s">
        <v>62</v>
      </c>
      <c r="M5686" t="s">
        <v>505</v>
      </c>
      <c r="N5686" t="s">
        <v>506</v>
      </c>
      <c r="O5686" t="s">
        <v>507</v>
      </c>
      <c r="P5686">
        <v>-20.131428</v>
      </c>
      <c r="Q5686">
        <v>-44.888921000000003</v>
      </c>
      <c r="R5686" s="2" t="str">
        <f>HYPERLINK("https://www.google.com/maps?q=-20.1314280,-44.8889210","Abrir no Google Maps")</f>
        <v>Abrir no Google Maps</v>
      </c>
      <c r="S5686">
        <v>3</v>
      </c>
      <c r="T5686">
        <v>250.64150698244501</v>
      </c>
      <c r="U5686">
        <v>3</v>
      </c>
      <c r="V5686">
        <v>0.99276859504132242</v>
      </c>
      <c r="W5686">
        <v>1</v>
      </c>
      <c r="X5686">
        <v>0.99276859504132242</v>
      </c>
      <c r="Y5686">
        <v>564</v>
      </c>
      <c r="Z5686">
        <v>189.93933888952441</v>
      </c>
      <c r="AA5686">
        <v>198</v>
      </c>
      <c r="AB5686">
        <v>332</v>
      </c>
      <c r="AC5686">
        <v>536</v>
      </c>
      <c r="AD5686">
        <v>27.77</v>
      </c>
      <c r="AE5686">
        <v>542</v>
      </c>
      <c r="AF5686">
        <v>26</v>
      </c>
      <c r="AG5686">
        <v>163</v>
      </c>
      <c r="AH5686">
        <v>129</v>
      </c>
      <c r="AI5686">
        <v>4.8</v>
      </c>
      <c r="AJ5686">
        <v>30.07</v>
      </c>
      <c r="AK5686">
        <v>23.8</v>
      </c>
      <c r="AL5686">
        <v>-20.13123589999995</v>
      </c>
      <c r="AM5686">
        <v>-44.888742396501762</v>
      </c>
      <c r="AN5686">
        <v>-20.13123589999995</v>
      </c>
      <c r="AO5686">
        <v>-44.888742396501762</v>
      </c>
      <c r="AP5686">
        <v>-20.131428</v>
      </c>
      <c r="AQ5686">
        <v>-44.888921000000003</v>
      </c>
      <c r="AR5686">
        <v>28.386169462917032</v>
      </c>
      <c r="AS5686" t="s">
        <v>65</v>
      </c>
      <c r="AT5686">
        <v>1</v>
      </c>
      <c r="AU5686" t="s">
        <v>508</v>
      </c>
      <c r="AV5686" t="s">
        <v>509</v>
      </c>
      <c r="AW5686" t="s">
        <v>60</v>
      </c>
      <c r="AX5686" t="s">
        <v>68</v>
      </c>
      <c r="AY5686" t="s">
        <v>69</v>
      </c>
      <c r="AZ5686" t="b">
        <v>1</v>
      </c>
    </row>
    <row r="5687" spans="1:52" x14ac:dyDescent="0.3">
      <c r="A5687" t="s">
        <v>52</v>
      </c>
      <c r="B5687" t="s">
        <v>53</v>
      </c>
      <c r="C5687" t="s">
        <v>54</v>
      </c>
      <c r="D5687" t="s">
        <v>55</v>
      </c>
      <c r="E5687" t="s">
        <v>2280</v>
      </c>
      <c r="F5687" t="s">
        <v>190</v>
      </c>
      <c r="G5687" t="s">
        <v>510</v>
      </c>
      <c r="H5687" t="s">
        <v>511</v>
      </c>
      <c r="I5687" t="s">
        <v>511</v>
      </c>
      <c r="J5687" t="s">
        <v>60</v>
      </c>
      <c r="K5687" t="s">
        <v>512</v>
      </c>
      <c r="L5687" t="s">
        <v>62</v>
      </c>
      <c r="M5687" t="s">
        <v>512</v>
      </c>
      <c r="N5687" t="s">
        <v>406</v>
      </c>
      <c r="O5687" t="s">
        <v>513</v>
      </c>
      <c r="P5687">
        <v>-20.127853000000002</v>
      </c>
      <c r="Q5687">
        <v>-44.891415000000002</v>
      </c>
      <c r="R5687" s="2" t="str">
        <f>HYPERLINK("https://www.google.com/maps?q=-20.1278530,-44.8914150","Abrir no Google Maps")</f>
        <v>Abrir no Google Maps</v>
      </c>
      <c r="S5687">
        <v>3</v>
      </c>
      <c r="T5687">
        <v>340.86994528233612</v>
      </c>
      <c r="U5687">
        <v>3</v>
      </c>
      <c r="V5687">
        <v>0.99542124542124544</v>
      </c>
      <c r="W5687">
        <v>1</v>
      </c>
      <c r="X5687">
        <v>0.99542124542124544</v>
      </c>
      <c r="Y5687">
        <v>564</v>
      </c>
      <c r="Z5687">
        <v>294.18108015916812</v>
      </c>
      <c r="AA5687">
        <v>198</v>
      </c>
      <c r="AB5687">
        <v>332</v>
      </c>
      <c r="AC5687">
        <v>536</v>
      </c>
      <c r="AD5687">
        <v>27.77</v>
      </c>
      <c r="AE5687">
        <v>542</v>
      </c>
      <c r="AF5687">
        <v>26</v>
      </c>
      <c r="AG5687">
        <v>163</v>
      </c>
      <c r="AH5687">
        <v>129</v>
      </c>
      <c r="AI5687">
        <v>4.8</v>
      </c>
      <c r="AJ5687">
        <v>30.07</v>
      </c>
      <c r="AK5687">
        <v>23.8</v>
      </c>
      <c r="AL5687">
        <v>-20.12777399999996</v>
      </c>
      <c r="AM5687">
        <v>-44.891400975758501</v>
      </c>
      <c r="AN5687">
        <v>-20.12777399999996</v>
      </c>
      <c r="AO5687">
        <v>-44.891400975758501</v>
      </c>
      <c r="AP5687">
        <v>-20.127853000000002</v>
      </c>
      <c r="AQ5687">
        <v>-44.891415000000002</v>
      </c>
      <c r="AR5687">
        <v>8.9156059162975616</v>
      </c>
      <c r="AS5687" t="s">
        <v>65</v>
      </c>
      <c r="AT5687">
        <v>1</v>
      </c>
      <c r="AU5687" t="s">
        <v>514</v>
      </c>
      <c r="AV5687" t="s">
        <v>515</v>
      </c>
      <c r="AW5687" t="s">
        <v>60</v>
      </c>
      <c r="AX5687" t="s">
        <v>68</v>
      </c>
      <c r="AY5687" t="s">
        <v>69</v>
      </c>
      <c r="AZ5687" t="b">
        <v>1</v>
      </c>
    </row>
    <row r="5688" spans="1:52" x14ac:dyDescent="0.3">
      <c r="A5688" t="s">
        <v>52</v>
      </c>
      <c r="B5688" t="s">
        <v>53</v>
      </c>
      <c r="C5688" t="s">
        <v>54</v>
      </c>
      <c r="D5688" t="s">
        <v>55</v>
      </c>
      <c r="E5688" t="s">
        <v>2280</v>
      </c>
      <c r="F5688" t="s">
        <v>190</v>
      </c>
      <c r="G5688" t="s">
        <v>890</v>
      </c>
      <c r="H5688" t="s">
        <v>891</v>
      </c>
      <c r="I5688" t="s">
        <v>891</v>
      </c>
      <c r="J5688" t="s">
        <v>60</v>
      </c>
      <c r="K5688" t="s">
        <v>892</v>
      </c>
      <c r="L5688" t="s">
        <v>62</v>
      </c>
      <c r="M5688" t="s">
        <v>892</v>
      </c>
      <c r="N5688" t="s">
        <v>893</v>
      </c>
      <c r="O5688" t="s">
        <v>894</v>
      </c>
      <c r="P5688">
        <v>-20.152519000000002</v>
      </c>
      <c r="Q5688">
        <v>-44.899177000000002</v>
      </c>
      <c r="R5688" s="2" t="str">
        <f>HYPERLINK("https://www.google.com/maps?q=-20.1525190,-44.8991770","Abrir no Google Maps")</f>
        <v>Abrir no Google Maps</v>
      </c>
      <c r="S5688">
        <v>3</v>
      </c>
      <c r="T5688">
        <v>211.80188552994721</v>
      </c>
      <c r="U5688">
        <v>3</v>
      </c>
      <c r="V5688">
        <v>0.96361940298507465</v>
      </c>
      <c r="W5688">
        <v>1</v>
      </c>
      <c r="X5688">
        <v>0.96361940298507465</v>
      </c>
      <c r="Y5688">
        <v>556</v>
      </c>
      <c r="Z5688">
        <v>290.34804137107091</v>
      </c>
      <c r="AA5688">
        <v>198</v>
      </c>
      <c r="AB5688">
        <v>332</v>
      </c>
      <c r="AC5688">
        <v>536</v>
      </c>
      <c r="AD5688">
        <v>27.77</v>
      </c>
      <c r="AE5688">
        <v>542</v>
      </c>
      <c r="AF5688">
        <v>26</v>
      </c>
      <c r="AG5688">
        <v>163</v>
      </c>
      <c r="AH5688">
        <v>129</v>
      </c>
      <c r="AI5688">
        <v>4.8</v>
      </c>
      <c r="AJ5688">
        <v>30.07</v>
      </c>
      <c r="AK5688">
        <v>23.8</v>
      </c>
      <c r="AL5688">
        <v>-20.152516249999959</v>
      </c>
      <c r="AM5688">
        <v>-44.899310431333959</v>
      </c>
      <c r="AN5688">
        <v>-20.152516249999959</v>
      </c>
      <c r="AO5688">
        <v>-44.899310431333959</v>
      </c>
      <c r="AP5688">
        <v>-20.152519000000002</v>
      </c>
      <c r="AQ5688">
        <v>-44.899177000000002</v>
      </c>
      <c r="AR5688">
        <v>13.947583284957719</v>
      </c>
      <c r="AS5688" t="s">
        <v>65</v>
      </c>
      <c r="AT5688">
        <v>1</v>
      </c>
      <c r="AU5688" t="s">
        <v>895</v>
      </c>
      <c r="AV5688" t="s">
        <v>896</v>
      </c>
      <c r="AW5688" t="s">
        <v>60</v>
      </c>
      <c r="AX5688" t="s">
        <v>68</v>
      </c>
      <c r="AY5688" t="s">
        <v>69</v>
      </c>
      <c r="AZ5688" t="b">
        <v>1</v>
      </c>
    </row>
    <row r="5689" spans="1:52" x14ac:dyDescent="0.3">
      <c r="A5689" t="s">
        <v>52</v>
      </c>
      <c r="B5689" t="s">
        <v>53</v>
      </c>
      <c r="C5689" t="s">
        <v>54</v>
      </c>
      <c r="D5689" t="s">
        <v>55</v>
      </c>
      <c r="E5689" t="s">
        <v>2280</v>
      </c>
      <c r="F5689" t="s">
        <v>190</v>
      </c>
      <c r="G5689" t="s">
        <v>535</v>
      </c>
      <c r="H5689" t="s">
        <v>536</v>
      </c>
      <c r="I5689" t="s">
        <v>536</v>
      </c>
      <c r="J5689" t="s">
        <v>60</v>
      </c>
      <c r="K5689" t="s">
        <v>388</v>
      </c>
      <c r="L5689" t="s">
        <v>62</v>
      </c>
      <c r="M5689" t="s">
        <v>388</v>
      </c>
      <c r="N5689" t="s">
        <v>537</v>
      </c>
      <c r="O5689" t="s">
        <v>538</v>
      </c>
      <c r="P5689">
        <v>-20.150061999999998</v>
      </c>
      <c r="Q5689">
        <v>-44.903379000000001</v>
      </c>
      <c r="R5689" s="2" t="str">
        <f>HYPERLINK("https://www.google.com/maps?q=-20.1500620,-44.9033790","Abrir no Google Maps")</f>
        <v>Abrir no Google Maps</v>
      </c>
      <c r="S5689">
        <v>3</v>
      </c>
      <c r="T5689">
        <v>286.20313674219977</v>
      </c>
      <c r="U5689">
        <v>3</v>
      </c>
      <c r="V5689">
        <v>0.98022598870056499</v>
      </c>
      <c r="W5689">
        <v>1</v>
      </c>
      <c r="X5689">
        <v>0.98022598870056499</v>
      </c>
      <c r="Y5689">
        <v>556</v>
      </c>
      <c r="Z5689">
        <v>315.81851898667401</v>
      </c>
      <c r="AA5689">
        <v>198</v>
      </c>
      <c r="AB5689">
        <v>332</v>
      </c>
      <c r="AC5689">
        <v>536</v>
      </c>
      <c r="AD5689">
        <v>27.77</v>
      </c>
      <c r="AE5689">
        <v>542</v>
      </c>
      <c r="AF5689">
        <v>26</v>
      </c>
      <c r="AG5689">
        <v>163</v>
      </c>
      <c r="AH5689">
        <v>129</v>
      </c>
      <c r="AI5689">
        <v>4.8</v>
      </c>
      <c r="AJ5689">
        <v>30.07</v>
      </c>
      <c r="AK5689">
        <v>23.8</v>
      </c>
      <c r="AL5689">
        <v>-20.150084299999971</v>
      </c>
      <c r="AM5689">
        <v>-44.903278407568479</v>
      </c>
      <c r="AN5689">
        <v>-20.150084299999971</v>
      </c>
      <c r="AO5689">
        <v>-44.903278407568479</v>
      </c>
      <c r="AP5689">
        <v>-20.150061999999998</v>
      </c>
      <c r="AQ5689">
        <v>-44.903379000000001</v>
      </c>
      <c r="AR5689">
        <v>10.801687336134639</v>
      </c>
      <c r="AS5689" t="s">
        <v>65</v>
      </c>
      <c r="AT5689">
        <v>1</v>
      </c>
      <c r="AU5689" t="s">
        <v>539</v>
      </c>
      <c r="AV5689" t="s">
        <v>540</v>
      </c>
      <c r="AW5689" t="s">
        <v>60</v>
      </c>
      <c r="AX5689" t="s">
        <v>68</v>
      </c>
      <c r="AY5689" t="s">
        <v>69</v>
      </c>
      <c r="AZ5689" t="b">
        <v>1</v>
      </c>
    </row>
    <row r="5690" spans="1:52" x14ac:dyDescent="0.3">
      <c r="A5690" t="s">
        <v>52</v>
      </c>
      <c r="B5690" t="s">
        <v>53</v>
      </c>
      <c r="C5690" t="s">
        <v>54</v>
      </c>
      <c r="D5690" t="s">
        <v>55</v>
      </c>
      <c r="E5690" t="s">
        <v>2280</v>
      </c>
      <c r="F5690" t="s">
        <v>190</v>
      </c>
      <c r="G5690" t="s">
        <v>545</v>
      </c>
      <c r="H5690" t="s">
        <v>546</v>
      </c>
      <c r="I5690" t="s">
        <v>546</v>
      </c>
      <c r="J5690" t="s">
        <v>60</v>
      </c>
      <c r="K5690" t="s">
        <v>388</v>
      </c>
      <c r="L5690" t="s">
        <v>62</v>
      </c>
      <c r="M5690" t="s">
        <v>388</v>
      </c>
      <c r="N5690" t="s">
        <v>547</v>
      </c>
      <c r="O5690" t="s">
        <v>548</v>
      </c>
      <c r="P5690">
        <v>-20.155839</v>
      </c>
      <c r="Q5690">
        <v>-44.905655000000003</v>
      </c>
      <c r="R5690" s="2" t="str">
        <f>HYPERLINK("https://www.google.com/maps?q=-20.1558390,-44.9056550","Abrir no Google Maps")</f>
        <v>Abrir no Google Maps</v>
      </c>
      <c r="S5690">
        <v>3</v>
      </c>
      <c r="T5690">
        <v>309.7643089121122</v>
      </c>
      <c r="U5690">
        <v>3</v>
      </c>
      <c r="V5690">
        <v>0.98522727272727284</v>
      </c>
      <c r="W5690">
        <v>1</v>
      </c>
      <c r="X5690">
        <v>0.98522727272727284</v>
      </c>
      <c r="Y5690">
        <v>548</v>
      </c>
      <c r="Z5690">
        <v>284.24281731793161</v>
      </c>
      <c r="AA5690">
        <v>198</v>
      </c>
      <c r="AB5690">
        <v>332</v>
      </c>
      <c r="AC5690">
        <v>536</v>
      </c>
      <c r="AD5690">
        <v>27.77</v>
      </c>
      <c r="AE5690">
        <v>542</v>
      </c>
      <c r="AF5690">
        <v>26</v>
      </c>
      <c r="AG5690">
        <v>163</v>
      </c>
      <c r="AH5690">
        <v>129</v>
      </c>
      <c r="AI5690">
        <v>4.8</v>
      </c>
      <c r="AJ5690">
        <v>30.07</v>
      </c>
      <c r="AK5690">
        <v>23.8</v>
      </c>
      <c r="AL5690">
        <v>-20.155913549999951</v>
      </c>
      <c r="AM5690">
        <v>-44.905554508392683</v>
      </c>
      <c r="AN5690">
        <v>-20.155913549999951</v>
      </c>
      <c r="AO5690">
        <v>-44.905554508392669</v>
      </c>
      <c r="AP5690">
        <v>-20.155839</v>
      </c>
      <c r="AQ5690">
        <v>-44.905655000000003</v>
      </c>
      <c r="AR5690">
        <v>13.384922093797449</v>
      </c>
      <c r="AS5690" t="s">
        <v>65</v>
      </c>
      <c r="AT5690">
        <v>1</v>
      </c>
      <c r="AU5690" t="s">
        <v>549</v>
      </c>
      <c r="AV5690" t="s">
        <v>550</v>
      </c>
      <c r="AW5690" t="s">
        <v>60</v>
      </c>
      <c r="AX5690" t="s">
        <v>68</v>
      </c>
      <c r="AY5690" t="s">
        <v>69</v>
      </c>
      <c r="AZ5690" t="b">
        <v>1</v>
      </c>
    </row>
    <row r="5691" spans="1:52" x14ac:dyDescent="0.3">
      <c r="A5691" t="s">
        <v>52</v>
      </c>
      <c r="B5691" t="s">
        <v>53</v>
      </c>
      <c r="C5691" t="s">
        <v>54</v>
      </c>
      <c r="D5691" t="s">
        <v>55</v>
      </c>
      <c r="E5691" t="s">
        <v>2280</v>
      </c>
      <c r="F5691" t="s">
        <v>190</v>
      </c>
      <c r="G5691" t="s">
        <v>551</v>
      </c>
      <c r="H5691" t="s">
        <v>552</v>
      </c>
      <c r="I5691" t="s">
        <v>552</v>
      </c>
      <c r="J5691" t="s">
        <v>60</v>
      </c>
      <c r="K5691" t="s">
        <v>388</v>
      </c>
      <c r="L5691" t="s">
        <v>62</v>
      </c>
      <c r="M5691" t="s">
        <v>388</v>
      </c>
      <c r="N5691" t="s">
        <v>553</v>
      </c>
      <c r="O5691" t="s">
        <v>315</v>
      </c>
      <c r="P5691">
        <v>-20.153086999999999</v>
      </c>
      <c r="Q5691">
        <v>-44.905451999999997</v>
      </c>
      <c r="R5691" s="2" t="str">
        <f>HYPERLINK("https://www.google.com/maps?q=-20.1530870,-44.9054520","Abrir no Google Maps")</f>
        <v>Abrir no Google Maps</v>
      </c>
      <c r="S5691">
        <v>3</v>
      </c>
      <c r="T5691">
        <v>313.69387682409018</v>
      </c>
      <c r="U5691">
        <v>3</v>
      </c>
      <c r="V5691">
        <v>0.96650717703349276</v>
      </c>
      <c r="W5691">
        <v>1</v>
      </c>
      <c r="X5691">
        <v>0.96650717703349276</v>
      </c>
      <c r="Y5691">
        <v>548</v>
      </c>
      <c r="Z5691">
        <v>319.51605309906859</v>
      </c>
      <c r="AA5691">
        <v>198</v>
      </c>
      <c r="AB5691">
        <v>332</v>
      </c>
      <c r="AC5691">
        <v>536</v>
      </c>
      <c r="AD5691">
        <v>27.77</v>
      </c>
      <c r="AE5691">
        <v>542</v>
      </c>
      <c r="AF5691">
        <v>26</v>
      </c>
      <c r="AG5691">
        <v>163</v>
      </c>
      <c r="AH5691">
        <v>129</v>
      </c>
      <c r="AI5691">
        <v>4.8</v>
      </c>
      <c r="AJ5691">
        <v>30.07</v>
      </c>
      <c r="AK5691">
        <v>23.8</v>
      </c>
      <c r="AL5691">
        <v>-20.153043049999951</v>
      </c>
      <c r="AM5691">
        <v>-44.905348275899513</v>
      </c>
      <c r="AN5691">
        <v>-20.153043049999951</v>
      </c>
      <c r="AO5691">
        <v>-44.905348275899513</v>
      </c>
      <c r="AP5691">
        <v>-20.153086999999999</v>
      </c>
      <c r="AQ5691">
        <v>-44.905451999999997</v>
      </c>
      <c r="AR5691">
        <v>11.892619975648341</v>
      </c>
      <c r="AS5691" t="s">
        <v>65</v>
      </c>
      <c r="AT5691">
        <v>1</v>
      </c>
      <c r="AU5691" t="s">
        <v>554</v>
      </c>
      <c r="AV5691" t="s">
        <v>555</v>
      </c>
      <c r="AW5691" t="s">
        <v>60</v>
      </c>
      <c r="AX5691" t="s">
        <v>68</v>
      </c>
      <c r="AY5691" t="s">
        <v>69</v>
      </c>
      <c r="AZ5691" t="b">
        <v>1</v>
      </c>
    </row>
    <row r="5692" spans="1:52" x14ac:dyDescent="0.3">
      <c r="A5692" t="s">
        <v>52</v>
      </c>
      <c r="B5692" t="s">
        <v>53</v>
      </c>
      <c r="C5692" t="s">
        <v>54</v>
      </c>
      <c r="D5692" t="s">
        <v>55</v>
      </c>
      <c r="E5692" t="s">
        <v>2280</v>
      </c>
      <c r="F5692" t="s">
        <v>190</v>
      </c>
      <c r="G5692" t="s">
        <v>573</v>
      </c>
      <c r="H5692" t="s">
        <v>574</v>
      </c>
      <c r="I5692" t="s">
        <v>574</v>
      </c>
      <c r="J5692" t="s">
        <v>60</v>
      </c>
      <c r="K5692" t="s">
        <v>207</v>
      </c>
      <c r="L5692" t="s">
        <v>62</v>
      </c>
      <c r="M5692" t="s">
        <v>207</v>
      </c>
      <c r="N5692" t="s">
        <v>575</v>
      </c>
      <c r="O5692" t="s">
        <v>576</v>
      </c>
      <c r="P5692">
        <v>-20.121252999999999</v>
      </c>
      <c r="Q5692">
        <v>-44.887988999999997</v>
      </c>
      <c r="R5692" s="2" t="str">
        <f>HYPERLINK("https://www.google.com/maps?q=-20.1212530,-44.8879890","Abrir no Google Maps")</f>
        <v>Abrir no Google Maps</v>
      </c>
      <c r="S5692">
        <v>3</v>
      </c>
      <c r="T5692">
        <v>310.5511884274041</v>
      </c>
      <c r="U5692">
        <v>3</v>
      </c>
      <c r="V5692">
        <v>0.99404761904761918</v>
      </c>
      <c r="W5692">
        <v>1</v>
      </c>
      <c r="X5692">
        <v>0.99404761904761918</v>
      </c>
      <c r="Y5692">
        <v>536</v>
      </c>
      <c r="Z5692">
        <v>292.13362593122162</v>
      </c>
      <c r="AA5692">
        <v>198</v>
      </c>
      <c r="AB5692">
        <v>332</v>
      </c>
      <c r="AC5692">
        <v>536</v>
      </c>
      <c r="AD5692">
        <v>27.77</v>
      </c>
      <c r="AE5692">
        <v>542</v>
      </c>
      <c r="AF5692">
        <v>26</v>
      </c>
      <c r="AG5692">
        <v>163</v>
      </c>
      <c r="AH5692">
        <v>129</v>
      </c>
      <c r="AI5692">
        <v>4.8</v>
      </c>
      <c r="AJ5692">
        <v>30.07</v>
      </c>
      <c r="AK5692">
        <v>23.8</v>
      </c>
      <c r="AL5692">
        <v>-20.121103699999939</v>
      </c>
      <c r="AM5692">
        <v>-44.888116617806723</v>
      </c>
      <c r="AN5692">
        <v>-20.121103699999939</v>
      </c>
      <c r="AO5692">
        <v>-44.888116617806723</v>
      </c>
      <c r="AP5692">
        <v>-20.121252999999999</v>
      </c>
      <c r="AQ5692">
        <v>-44.887988999999997</v>
      </c>
      <c r="AR5692">
        <v>21.311159673382519</v>
      </c>
      <c r="AS5692" t="s">
        <v>65</v>
      </c>
      <c r="AT5692">
        <v>1</v>
      </c>
      <c r="AU5692" t="s">
        <v>577</v>
      </c>
      <c r="AV5692" t="s">
        <v>578</v>
      </c>
      <c r="AW5692" t="s">
        <v>60</v>
      </c>
      <c r="AX5692" t="s">
        <v>68</v>
      </c>
      <c r="AY5692" t="s">
        <v>69</v>
      </c>
      <c r="AZ5692" t="b">
        <v>1</v>
      </c>
    </row>
    <row r="5693" spans="1:52" x14ac:dyDescent="0.3">
      <c r="A5693" t="s">
        <v>52</v>
      </c>
      <c r="B5693" t="s">
        <v>53</v>
      </c>
      <c r="C5693" t="s">
        <v>54</v>
      </c>
      <c r="D5693" t="s">
        <v>55</v>
      </c>
      <c r="E5693" t="s">
        <v>2280</v>
      </c>
      <c r="F5693" t="s">
        <v>190</v>
      </c>
      <c r="G5693" t="s">
        <v>607</v>
      </c>
      <c r="H5693" t="s">
        <v>608</v>
      </c>
      <c r="I5693" t="s">
        <v>608</v>
      </c>
      <c r="J5693" t="s">
        <v>60</v>
      </c>
      <c r="K5693" t="s">
        <v>609</v>
      </c>
      <c r="L5693" t="s">
        <v>62</v>
      </c>
      <c r="M5693" t="s">
        <v>609</v>
      </c>
      <c r="N5693" t="s">
        <v>610</v>
      </c>
      <c r="O5693" t="s">
        <v>611</v>
      </c>
      <c r="P5693">
        <v>-20.110476999999999</v>
      </c>
      <c r="Q5693">
        <v>-44.887531000000003</v>
      </c>
      <c r="R5693" s="2" t="str">
        <f>HYPERLINK("https://www.google.com/maps?q=-20.1104770,-44.8875310","Abrir no Google Maps")</f>
        <v>Abrir no Google Maps</v>
      </c>
      <c r="S5693">
        <v>3</v>
      </c>
      <c r="T5693">
        <v>862.67854008986569</v>
      </c>
      <c r="U5693">
        <v>3</v>
      </c>
      <c r="V5693">
        <v>0.98735955056179781</v>
      </c>
      <c r="W5693">
        <v>1</v>
      </c>
      <c r="X5693">
        <v>0.98735955056179781</v>
      </c>
      <c r="Y5693">
        <v>536</v>
      </c>
      <c r="Z5693">
        <v>797.51469292431113</v>
      </c>
      <c r="AA5693">
        <v>198</v>
      </c>
      <c r="AB5693">
        <v>332</v>
      </c>
      <c r="AC5693">
        <v>536</v>
      </c>
      <c r="AD5693">
        <v>27.77</v>
      </c>
      <c r="AE5693">
        <v>542</v>
      </c>
      <c r="AF5693">
        <v>26</v>
      </c>
      <c r="AG5693">
        <v>163</v>
      </c>
      <c r="AH5693">
        <v>129</v>
      </c>
      <c r="AI5693">
        <v>4.8</v>
      </c>
      <c r="AJ5693">
        <v>30.07</v>
      </c>
      <c r="AK5693">
        <v>23.8</v>
      </c>
      <c r="AL5693">
        <v>-20.11057859999994</v>
      </c>
      <c r="AM5693">
        <v>-44.888034950185293</v>
      </c>
      <c r="AN5693">
        <v>-20.11057859999994</v>
      </c>
      <c r="AO5693">
        <v>-44.888034950185293</v>
      </c>
      <c r="AP5693">
        <v>-20.110476999999999</v>
      </c>
      <c r="AQ5693">
        <v>-44.887531000000003</v>
      </c>
      <c r="AR5693">
        <v>53.879824494602957</v>
      </c>
      <c r="AS5693" t="s">
        <v>65</v>
      </c>
      <c r="AT5693">
        <v>1</v>
      </c>
      <c r="AU5693" t="s">
        <v>612</v>
      </c>
      <c r="AV5693" t="s">
        <v>613</v>
      </c>
      <c r="AW5693" t="s">
        <v>60</v>
      </c>
      <c r="AX5693" t="s">
        <v>68</v>
      </c>
      <c r="AY5693" t="s">
        <v>69</v>
      </c>
      <c r="AZ5693" t="b">
        <v>1</v>
      </c>
    </row>
    <row r="5694" spans="1:52" x14ac:dyDescent="0.3">
      <c r="A5694" t="s">
        <v>52</v>
      </c>
      <c r="B5694" t="s">
        <v>53</v>
      </c>
      <c r="C5694" t="s">
        <v>54</v>
      </c>
      <c r="D5694" t="s">
        <v>55</v>
      </c>
      <c r="E5694" t="s">
        <v>2280</v>
      </c>
      <c r="F5694" t="s">
        <v>190</v>
      </c>
      <c r="G5694" t="s">
        <v>620</v>
      </c>
      <c r="H5694" t="s">
        <v>621</v>
      </c>
      <c r="I5694" t="s">
        <v>621</v>
      </c>
      <c r="J5694" t="s">
        <v>60</v>
      </c>
      <c r="K5694" t="s">
        <v>207</v>
      </c>
      <c r="L5694" t="s">
        <v>62</v>
      </c>
      <c r="M5694" t="s">
        <v>207</v>
      </c>
      <c r="N5694" t="s">
        <v>622</v>
      </c>
      <c r="O5694" t="s">
        <v>623</v>
      </c>
      <c r="P5694">
        <v>-20.120775999999999</v>
      </c>
      <c r="Q5694">
        <v>-44.885562999999998</v>
      </c>
      <c r="R5694" s="2" t="str">
        <f>HYPERLINK("https://www.google.com/maps?q=-20.1207760,-44.8855630","Abrir no Google Maps")</f>
        <v>Abrir no Google Maps</v>
      </c>
      <c r="S5694">
        <v>3</v>
      </c>
      <c r="T5694">
        <v>332.24231777761912</v>
      </c>
      <c r="U5694">
        <v>3</v>
      </c>
      <c r="V5694">
        <v>0.99235807860262004</v>
      </c>
      <c r="W5694">
        <v>1</v>
      </c>
      <c r="X5694">
        <v>0.99235807860262004</v>
      </c>
      <c r="Y5694">
        <v>536</v>
      </c>
      <c r="Z5694">
        <v>255.48165096313261</v>
      </c>
      <c r="AA5694">
        <v>198</v>
      </c>
      <c r="AB5694">
        <v>332</v>
      </c>
      <c r="AC5694">
        <v>536</v>
      </c>
      <c r="AD5694">
        <v>27.77</v>
      </c>
      <c r="AE5694">
        <v>542</v>
      </c>
      <c r="AF5694">
        <v>26</v>
      </c>
      <c r="AG5694">
        <v>163</v>
      </c>
      <c r="AH5694">
        <v>129</v>
      </c>
      <c r="AI5694">
        <v>4.8</v>
      </c>
      <c r="AJ5694">
        <v>30.07</v>
      </c>
      <c r="AK5694">
        <v>23.8</v>
      </c>
      <c r="AL5694">
        <v>-20.120783799999941</v>
      </c>
      <c r="AM5694">
        <v>-44.885629603396453</v>
      </c>
      <c r="AN5694">
        <v>-20.120783799999941</v>
      </c>
      <c r="AO5694">
        <v>-44.885629603396453</v>
      </c>
      <c r="AP5694">
        <v>-20.120775999999999</v>
      </c>
      <c r="AQ5694">
        <v>-44.885562999999998</v>
      </c>
      <c r="AR5694">
        <v>7.0157317818911196</v>
      </c>
      <c r="AS5694" t="s">
        <v>65</v>
      </c>
      <c r="AT5694">
        <v>1</v>
      </c>
      <c r="AU5694" t="s">
        <v>624</v>
      </c>
      <c r="AV5694" t="s">
        <v>619</v>
      </c>
      <c r="AW5694" t="s">
        <v>60</v>
      </c>
      <c r="AX5694" t="s">
        <v>68</v>
      </c>
      <c r="AY5694" t="s">
        <v>69</v>
      </c>
      <c r="AZ5694" t="b">
        <v>1</v>
      </c>
    </row>
    <row r="5695" spans="1:52" x14ac:dyDescent="0.3">
      <c r="A5695" t="s">
        <v>52</v>
      </c>
      <c r="B5695" t="s">
        <v>53</v>
      </c>
      <c r="C5695" t="s">
        <v>54</v>
      </c>
      <c r="D5695" t="s">
        <v>55</v>
      </c>
      <c r="E5695" t="s">
        <v>2280</v>
      </c>
      <c r="F5695" t="s">
        <v>190</v>
      </c>
      <c r="G5695" t="s">
        <v>232</v>
      </c>
      <c r="H5695" t="s">
        <v>925</v>
      </c>
      <c r="I5695" t="s">
        <v>925</v>
      </c>
      <c r="J5695" t="s">
        <v>60</v>
      </c>
      <c r="K5695" t="s">
        <v>702</v>
      </c>
      <c r="L5695" t="s">
        <v>62</v>
      </c>
      <c r="M5695" t="s">
        <v>702</v>
      </c>
      <c r="N5695" t="s">
        <v>234</v>
      </c>
      <c r="O5695" t="s">
        <v>926</v>
      </c>
      <c r="P5695">
        <v>-20.165887999999999</v>
      </c>
      <c r="Q5695">
        <v>-44.865220000000001</v>
      </c>
      <c r="R5695" s="2" t="str">
        <f>HYPERLINK("https://www.google.com/maps?q=-20.1658880,-44.8652200","Abrir no Google Maps")</f>
        <v>Abrir no Google Maps</v>
      </c>
      <c r="S5695">
        <v>3</v>
      </c>
      <c r="T5695">
        <v>711.71706763776342</v>
      </c>
      <c r="U5695">
        <v>3</v>
      </c>
      <c r="V5695">
        <v>0.92872340425531918</v>
      </c>
      <c r="W5695">
        <v>1</v>
      </c>
      <c r="X5695">
        <v>0.92872340425531918</v>
      </c>
      <c r="Y5695">
        <v>518</v>
      </c>
      <c r="Z5695">
        <v>801.45781285603209</v>
      </c>
      <c r="AA5695">
        <v>198</v>
      </c>
      <c r="AB5695">
        <v>332</v>
      </c>
      <c r="AC5695">
        <v>536</v>
      </c>
      <c r="AD5695">
        <v>27.77</v>
      </c>
      <c r="AE5695">
        <v>542</v>
      </c>
      <c r="AF5695">
        <v>26</v>
      </c>
      <c r="AG5695">
        <v>163</v>
      </c>
      <c r="AH5695">
        <v>129</v>
      </c>
      <c r="AI5695">
        <v>4.8</v>
      </c>
      <c r="AJ5695">
        <v>30.07</v>
      </c>
      <c r="AK5695">
        <v>23.8</v>
      </c>
      <c r="AL5695">
        <v>-20.165865449999959</v>
      </c>
      <c r="AM5695">
        <v>-44.865240434761468</v>
      </c>
      <c r="AN5695">
        <v>-20.165865449999959</v>
      </c>
      <c r="AO5695">
        <v>-44.865240434761468</v>
      </c>
      <c r="AP5695">
        <v>-20.165887999999999</v>
      </c>
      <c r="AQ5695">
        <v>-44.865220000000001</v>
      </c>
      <c r="AR5695">
        <v>3.2956262004279409</v>
      </c>
      <c r="AS5695" t="s">
        <v>65</v>
      </c>
      <c r="AT5695">
        <v>1</v>
      </c>
      <c r="AU5695" t="s">
        <v>927</v>
      </c>
      <c r="AV5695" t="s">
        <v>928</v>
      </c>
      <c r="AW5695" t="s">
        <v>60</v>
      </c>
      <c r="AX5695" t="s">
        <v>68</v>
      </c>
      <c r="AY5695" t="s">
        <v>69</v>
      </c>
      <c r="AZ5695" t="b">
        <v>1</v>
      </c>
    </row>
    <row r="5696" spans="1:52" x14ac:dyDescent="0.3">
      <c r="A5696" t="s">
        <v>52</v>
      </c>
      <c r="B5696" t="s">
        <v>53</v>
      </c>
      <c r="C5696" t="s">
        <v>54</v>
      </c>
      <c r="D5696" t="s">
        <v>55</v>
      </c>
      <c r="E5696" t="s">
        <v>2280</v>
      </c>
      <c r="F5696" t="s">
        <v>190</v>
      </c>
      <c r="G5696" t="s">
        <v>929</v>
      </c>
      <c r="H5696" t="s">
        <v>930</v>
      </c>
      <c r="I5696" t="s">
        <v>930</v>
      </c>
      <c r="J5696" t="s">
        <v>60</v>
      </c>
      <c r="K5696" t="s">
        <v>72</v>
      </c>
      <c r="L5696" t="s">
        <v>62</v>
      </c>
      <c r="M5696" t="s">
        <v>72</v>
      </c>
      <c r="N5696" t="s">
        <v>931</v>
      </c>
      <c r="O5696" t="s">
        <v>932</v>
      </c>
      <c r="P5696">
        <v>-20.144780999999998</v>
      </c>
      <c r="Q5696">
        <v>-44.914259000000001</v>
      </c>
      <c r="R5696" s="2" t="str">
        <f>HYPERLINK("https://www.google.com/maps?q=-20.1447810,-44.9142590","Abrir no Google Maps")</f>
        <v>Abrir no Google Maps</v>
      </c>
      <c r="S5696">
        <v>3</v>
      </c>
      <c r="T5696">
        <v>256.09363485874093</v>
      </c>
      <c r="U5696">
        <v>3</v>
      </c>
      <c r="V5696">
        <v>0.99009900990098998</v>
      </c>
      <c r="W5696">
        <v>1</v>
      </c>
      <c r="X5696">
        <v>0.99009900990098998</v>
      </c>
      <c r="Y5696">
        <v>508</v>
      </c>
      <c r="Z5696">
        <v>318.29766547935321</v>
      </c>
      <c r="AA5696">
        <v>198</v>
      </c>
      <c r="AB5696">
        <v>332</v>
      </c>
      <c r="AC5696">
        <v>536</v>
      </c>
      <c r="AD5696">
        <v>27.77</v>
      </c>
      <c r="AE5696">
        <v>542</v>
      </c>
      <c r="AF5696">
        <v>26</v>
      </c>
      <c r="AG5696">
        <v>163</v>
      </c>
      <c r="AH5696">
        <v>129</v>
      </c>
      <c r="AI5696">
        <v>4.8</v>
      </c>
      <c r="AJ5696">
        <v>30.07</v>
      </c>
      <c r="AK5696">
        <v>23.8</v>
      </c>
      <c r="AL5696">
        <v>-20.144721899999951</v>
      </c>
      <c r="AM5696">
        <v>-44.914368749511411</v>
      </c>
      <c r="AN5696">
        <v>-20.144721899999951</v>
      </c>
      <c r="AO5696">
        <v>-44.914368749511411</v>
      </c>
      <c r="AP5696">
        <v>-20.144780999999998</v>
      </c>
      <c r="AQ5696">
        <v>-44.914259000000001</v>
      </c>
      <c r="AR5696">
        <v>13.22280973360979</v>
      </c>
      <c r="AS5696" t="s">
        <v>65</v>
      </c>
      <c r="AT5696">
        <v>1</v>
      </c>
      <c r="AU5696" t="s">
        <v>933</v>
      </c>
      <c r="AV5696" t="s">
        <v>934</v>
      </c>
      <c r="AW5696" t="s">
        <v>60</v>
      </c>
      <c r="AX5696" t="s">
        <v>68</v>
      </c>
      <c r="AY5696" t="s">
        <v>69</v>
      </c>
      <c r="AZ5696" t="b">
        <v>1</v>
      </c>
    </row>
    <row r="5697" spans="1:52" x14ac:dyDescent="0.3">
      <c r="A5697" t="s">
        <v>52</v>
      </c>
      <c r="B5697" t="s">
        <v>53</v>
      </c>
      <c r="C5697" t="s">
        <v>54</v>
      </c>
      <c r="D5697" t="s">
        <v>55</v>
      </c>
      <c r="E5697" t="s">
        <v>2280</v>
      </c>
      <c r="F5697" t="s">
        <v>190</v>
      </c>
      <c r="G5697" t="s">
        <v>941</v>
      </c>
      <c r="H5697" t="s">
        <v>942</v>
      </c>
      <c r="I5697" t="s">
        <v>942</v>
      </c>
      <c r="J5697" t="s">
        <v>60</v>
      </c>
      <c r="K5697" t="s">
        <v>193</v>
      </c>
      <c r="L5697" t="s">
        <v>62</v>
      </c>
      <c r="M5697" t="s">
        <v>193</v>
      </c>
      <c r="N5697" t="s">
        <v>943</v>
      </c>
      <c r="O5697" t="s">
        <v>257</v>
      </c>
      <c r="P5697">
        <v>-20.142042</v>
      </c>
      <c r="Q5697">
        <v>-44.917906000000002</v>
      </c>
      <c r="R5697" s="2" t="str">
        <f>HYPERLINK("https://www.google.com/maps?q=-20.1420420,-44.9179060","Abrir no Google Maps")</f>
        <v>Abrir no Google Maps</v>
      </c>
      <c r="S5697">
        <v>3</v>
      </c>
      <c r="T5697">
        <v>373.14048213045743</v>
      </c>
      <c r="U5697">
        <v>3</v>
      </c>
      <c r="V5697">
        <v>0.98936170212765961</v>
      </c>
      <c r="W5697">
        <v>1</v>
      </c>
      <c r="X5697">
        <v>0.98936170212765961</v>
      </c>
      <c r="Y5697">
        <v>508</v>
      </c>
      <c r="Z5697">
        <v>271.52693841106122</v>
      </c>
      <c r="AA5697">
        <v>198</v>
      </c>
      <c r="AB5697">
        <v>332</v>
      </c>
      <c r="AC5697">
        <v>536</v>
      </c>
      <c r="AD5697">
        <v>27.77</v>
      </c>
      <c r="AE5697">
        <v>542</v>
      </c>
      <c r="AF5697">
        <v>26</v>
      </c>
      <c r="AG5697">
        <v>163</v>
      </c>
      <c r="AH5697">
        <v>129</v>
      </c>
      <c r="AI5697">
        <v>4.8</v>
      </c>
      <c r="AJ5697">
        <v>30.07</v>
      </c>
      <c r="AK5697">
        <v>23.8</v>
      </c>
      <c r="AL5697">
        <v>-20.14198914999994</v>
      </c>
      <c r="AM5697">
        <v>-44.918192618397512</v>
      </c>
      <c r="AN5697">
        <v>-20.14198914999994</v>
      </c>
      <c r="AO5697">
        <v>-44.918192618397512</v>
      </c>
      <c r="AP5697">
        <v>-20.142042</v>
      </c>
      <c r="AQ5697">
        <v>-44.917906000000002</v>
      </c>
      <c r="AR5697">
        <v>30.527314493281139</v>
      </c>
      <c r="AS5697" t="s">
        <v>65</v>
      </c>
      <c r="AT5697">
        <v>1</v>
      </c>
      <c r="AU5697" t="s">
        <v>944</v>
      </c>
      <c r="AV5697" t="s">
        <v>945</v>
      </c>
      <c r="AW5697" t="s">
        <v>60</v>
      </c>
      <c r="AX5697" t="s">
        <v>68</v>
      </c>
      <c r="AY5697" t="s">
        <v>69</v>
      </c>
      <c r="AZ5697" t="b">
        <v>1</v>
      </c>
    </row>
    <row r="5698" spans="1:52" x14ac:dyDescent="0.3">
      <c r="A5698" t="s">
        <v>52</v>
      </c>
      <c r="B5698" t="s">
        <v>53</v>
      </c>
      <c r="C5698" t="s">
        <v>54</v>
      </c>
      <c r="D5698" t="s">
        <v>55</v>
      </c>
      <c r="E5698" t="s">
        <v>2280</v>
      </c>
      <c r="F5698" t="s">
        <v>190</v>
      </c>
      <c r="G5698" t="s">
        <v>946</v>
      </c>
      <c r="H5698" t="s">
        <v>947</v>
      </c>
      <c r="I5698" t="s">
        <v>947</v>
      </c>
      <c r="J5698" t="s">
        <v>60</v>
      </c>
      <c r="K5698" t="s">
        <v>193</v>
      </c>
      <c r="L5698" t="s">
        <v>62</v>
      </c>
      <c r="M5698" t="s">
        <v>193</v>
      </c>
      <c r="N5698" t="s">
        <v>948</v>
      </c>
      <c r="O5698" t="s">
        <v>949</v>
      </c>
      <c r="P5698">
        <v>-20.141646000000001</v>
      </c>
      <c r="Q5698">
        <v>-44.920682999999997</v>
      </c>
      <c r="R5698" s="2" t="str">
        <f>HYPERLINK("https://www.google.com/maps?q=-20.1416460,-44.9206830","Abrir no Google Maps")</f>
        <v>Abrir no Google Maps</v>
      </c>
      <c r="S5698">
        <v>3</v>
      </c>
      <c r="T5698">
        <v>538.41742581974165</v>
      </c>
      <c r="U5698">
        <v>3</v>
      </c>
      <c r="V5698">
        <v>0.99358974358974361</v>
      </c>
      <c r="W5698">
        <v>1</v>
      </c>
      <c r="X5698">
        <v>0.99358974358974361</v>
      </c>
      <c r="Y5698">
        <v>508</v>
      </c>
      <c r="Z5698">
        <v>459.99626097363068</v>
      </c>
      <c r="AA5698">
        <v>198</v>
      </c>
      <c r="AB5698">
        <v>332</v>
      </c>
      <c r="AC5698">
        <v>536</v>
      </c>
      <c r="AD5698">
        <v>27.77</v>
      </c>
      <c r="AE5698">
        <v>542</v>
      </c>
      <c r="AF5698">
        <v>26</v>
      </c>
      <c r="AG5698">
        <v>163</v>
      </c>
      <c r="AH5698">
        <v>129</v>
      </c>
      <c r="AI5698">
        <v>4.8</v>
      </c>
      <c r="AJ5698">
        <v>30.07</v>
      </c>
      <c r="AK5698">
        <v>23.8</v>
      </c>
      <c r="AL5698">
        <v>-20.141877549999979</v>
      </c>
      <c r="AM5698">
        <v>-44.920658074778594</v>
      </c>
      <c r="AN5698">
        <v>-20.141877549999979</v>
      </c>
      <c r="AO5698">
        <v>-44.920658074778594</v>
      </c>
      <c r="AP5698">
        <v>-20.141646000000001</v>
      </c>
      <c r="AQ5698">
        <v>-44.920682999999997</v>
      </c>
      <c r="AR5698">
        <v>25.907443828287509</v>
      </c>
      <c r="AS5698" t="s">
        <v>65</v>
      </c>
      <c r="AT5698">
        <v>1</v>
      </c>
      <c r="AU5698" t="s">
        <v>950</v>
      </c>
      <c r="AV5698" t="s">
        <v>951</v>
      </c>
      <c r="AW5698" t="s">
        <v>60</v>
      </c>
      <c r="AX5698" t="s">
        <v>68</v>
      </c>
      <c r="AY5698" t="s">
        <v>69</v>
      </c>
      <c r="AZ5698" t="b">
        <v>1</v>
      </c>
    </row>
    <row r="5699" spans="1:52" x14ac:dyDescent="0.3">
      <c r="A5699" t="s">
        <v>52</v>
      </c>
      <c r="B5699" t="s">
        <v>53</v>
      </c>
      <c r="C5699" t="s">
        <v>54</v>
      </c>
      <c r="D5699" t="s">
        <v>55</v>
      </c>
      <c r="E5699" t="s">
        <v>2280</v>
      </c>
      <c r="F5699" t="s">
        <v>190</v>
      </c>
      <c r="G5699" t="s">
        <v>625</v>
      </c>
      <c r="H5699" t="s">
        <v>626</v>
      </c>
      <c r="I5699" t="s">
        <v>626</v>
      </c>
      <c r="J5699" t="s">
        <v>60</v>
      </c>
      <c r="K5699" t="s">
        <v>193</v>
      </c>
      <c r="L5699" t="s">
        <v>62</v>
      </c>
      <c r="M5699" t="s">
        <v>193</v>
      </c>
      <c r="N5699" t="s">
        <v>627</v>
      </c>
      <c r="O5699" t="s">
        <v>628</v>
      </c>
      <c r="P5699">
        <v>-20.145171999999999</v>
      </c>
      <c r="Q5699">
        <v>-44.916764000000001</v>
      </c>
      <c r="R5699" s="2" t="str">
        <f>HYPERLINK("https://www.google.com/maps?q=-20.1451720,-44.9167640","Abrir no Google Maps")</f>
        <v>Abrir no Google Maps</v>
      </c>
      <c r="S5699">
        <v>3</v>
      </c>
      <c r="T5699">
        <v>0</v>
      </c>
      <c r="U5699">
        <v>3</v>
      </c>
      <c r="V5699">
        <v>0.99260355029585801</v>
      </c>
      <c r="W5699">
        <v>1</v>
      </c>
      <c r="X5699">
        <v>0.99260355029585801</v>
      </c>
      <c r="Y5699">
        <v>508</v>
      </c>
      <c r="Z5699">
        <v>79.403393114466795</v>
      </c>
      <c r="AA5699">
        <v>198</v>
      </c>
      <c r="AB5699">
        <v>332</v>
      </c>
      <c r="AC5699">
        <v>536</v>
      </c>
      <c r="AD5699">
        <v>27.77</v>
      </c>
      <c r="AE5699">
        <v>542</v>
      </c>
      <c r="AF5699">
        <v>26</v>
      </c>
      <c r="AG5699">
        <v>163</v>
      </c>
      <c r="AH5699">
        <v>129</v>
      </c>
      <c r="AI5699">
        <v>4.8</v>
      </c>
      <c r="AJ5699">
        <v>30.07</v>
      </c>
      <c r="AK5699">
        <v>23.8</v>
      </c>
      <c r="AL5699">
        <v>-20.145089199999969</v>
      </c>
      <c r="AM5699">
        <v>-44.916788127791321</v>
      </c>
      <c r="AN5699">
        <v>-20.145089199999969</v>
      </c>
      <c r="AO5699">
        <v>-44.916788127791321</v>
      </c>
      <c r="AP5699">
        <v>-20.145171999999999</v>
      </c>
      <c r="AQ5699">
        <v>-44.916764000000001</v>
      </c>
      <c r="AR5699">
        <v>9.555991267747272</v>
      </c>
      <c r="AS5699" t="s">
        <v>65</v>
      </c>
      <c r="AT5699">
        <v>1</v>
      </c>
      <c r="AU5699" t="s">
        <v>629</v>
      </c>
      <c r="AV5699" t="s">
        <v>630</v>
      </c>
      <c r="AW5699" t="s">
        <v>60</v>
      </c>
      <c r="AX5699" t="s">
        <v>68</v>
      </c>
      <c r="AY5699" t="s">
        <v>69</v>
      </c>
      <c r="AZ5699" t="b">
        <v>1</v>
      </c>
    </row>
    <row r="5700" spans="1:52" x14ac:dyDescent="0.3">
      <c r="A5700" t="s">
        <v>52</v>
      </c>
      <c r="B5700" t="s">
        <v>53</v>
      </c>
      <c r="C5700" t="s">
        <v>54</v>
      </c>
      <c r="D5700" t="s">
        <v>55</v>
      </c>
      <c r="E5700" t="s">
        <v>2280</v>
      </c>
      <c r="F5700" t="s">
        <v>190</v>
      </c>
      <c r="G5700" t="s">
        <v>957</v>
      </c>
      <c r="H5700" t="s">
        <v>1750</v>
      </c>
      <c r="I5700" t="s">
        <v>1750</v>
      </c>
      <c r="J5700" t="s">
        <v>60</v>
      </c>
      <c r="K5700" t="s">
        <v>982</v>
      </c>
      <c r="L5700" t="s">
        <v>62</v>
      </c>
      <c r="M5700" t="s">
        <v>982</v>
      </c>
      <c r="N5700" t="s">
        <v>959</v>
      </c>
      <c r="O5700" t="s">
        <v>1751</v>
      </c>
      <c r="P5700">
        <v>-20.164285</v>
      </c>
      <c r="Q5700">
        <v>-44.857562000000001</v>
      </c>
      <c r="R5700" s="2" t="str">
        <f>HYPERLINK("https://www.google.com/maps?q=-20.1642850,-44.8575620","Abrir no Google Maps")</f>
        <v>Abrir no Google Maps</v>
      </c>
      <c r="S5700">
        <v>3</v>
      </c>
      <c r="T5700">
        <v>275.89108588842112</v>
      </c>
      <c r="U5700">
        <v>3</v>
      </c>
      <c r="V5700">
        <v>0.98351648351648358</v>
      </c>
      <c r="W5700">
        <v>1</v>
      </c>
      <c r="X5700">
        <v>0.98351648351648358</v>
      </c>
      <c r="Y5700">
        <v>491</v>
      </c>
      <c r="Z5700">
        <v>150.50906778215881</v>
      </c>
      <c r="AA5700">
        <v>198</v>
      </c>
      <c r="AB5700">
        <v>332</v>
      </c>
      <c r="AC5700">
        <v>536</v>
      </c>
      <c r="AD5700">
        <v>27.77</v>
      </c>
      <c r="AE5700">
        <v>542</v>
      </c>
      <c r="AF5700">
        <v>26</v>
      </c>
      <c r="AG5700">
        <v>163</v>
      </c>
      <c r="AH5700">
        <v>129</v>
      </c>
      <c r="AI5700">
        <v>4.8</v>
      </c>
      <c r="AJ5700">
        <v>30.07</v>
      </c>
      <c r="AK5700">
        <v>23.8</v>
      </c>
      <c r="AL5700">
        <v>-20.164333749999969</v>
      </c>
      <c r="AM5700">
        <v>-44.857568319333943</v>
      </c>
      <c r="AN5700">
        <v>-20.164333749999969</v>
      </c>
      <c r="AO5700">
        <v>-44.857568319333943</v>
      </c>
      <c r="AP5700">
        <v>-20.164285</v>
      </c>
      <c r="AQ5700">
        <v>-44.857562000000001</v>
      </c>
      <c r="AR5700">
        <v>5.4668788625524281</v>
      </c>
      <c r="AS5700" t="s">
        <v>65</v>
      </c>
      <c r="AT5700">
        <v>1</v>
      </c>
      <c r="AU5700" t="s">
        <v>1752</v>
      </c>
      <c r="AV5700" t="s">
        <v>1753</v>
      </c>
      <c r="AW5700" t="s">
        <v>60</v>
      </c>
      <c r="AX5700" t="s">
        <v>68</v>
      </c>
      <c r="AY5700" t="s">
        <v>69</v>
      </c>
      <c r="AZ5700" t="b">
        <v>1</v>
      </c>
    </row>
    <row r="5701" spans="1:52" x14ac:dyDescent="0.3">
      <c r="A5701" t="s">
        <v>52</v>
      </c>
      <c r="B5701" t="s">
        <v>53</v>
      </c>
      <c r="C5701" t="s">
        <v>54</v>
      </c>
      <c r="D5701" t="s">
        <v>55</v>
      </c>
      <c r="E5701" t="s">
        <v>2280</v>
      </c>
      <c r="F5701" t="s">
        <v>190</v>
      </c>
      <c r="G5701" t="s">
        <v>963</v>
      </c>
      <c r="H5701" t="s">
        <v>964</v>
      </c>
      <c r="I5701" t="s">
        <v>964</v>
      </c>
      <c r="J5701" t="s">
        <v>60</v>
      </c>
      <c r="K5701" t="s">
        <v>702</v>
      </c>
      <c r="L5701" t="s">
        <v>62</v>
      </c>
      <c r="M5701" t="s">
        <v>702</v>
      </c>
      <c r="N5701" t="s">
        <v>965</v>
      </c>
      <c r="O5701" t="s">
        <v>960</v>
      </c>
      <c r="P5701">
        <v>-20.164622000000001</v>
      </c>
      <c r="Q5701">
        <v>-44.860289999999999</v>
      </c>
      <c r="R5701" s="2" t="str">
        <f>HYPERLINK("https://www.google.com/maps?q=-20.1646220,-44.8602900","Abrir no Google Maps")</f>
        <v>Abrir no Google Maps</v>
      </c>
      <c r="S5701">
        <v>3</v>
      </c>
      <c r="T5701">
        <v>393.43725605569188</v>
      </c>
      <c r="U5701">
        <v>3</v>
      </c>
      <c r="V5701">
        <v>0.98756218905472637</v>
      </c>
      <c r="W5701">
        <v>1</v>
      </c>
      <c r="X5701">
        <v>0.98756218905472637</v>
      </c>
      <c r="Y5701">
        <v>491</v>
      </c>
      <c r="Z5701">
        <v>358.96336458076678</v>
      </c>
      <c r="AA5701">
        <v>198</v>
      </c>
      <c r="AB5701">
        <v>332</v>
      </c>
      <c r="AC5701">
        <v>536</v>
      </c>
      <c r="AD5701">
        <v>27.77</v>
      </c>
      <c r="AE5701">
        <v>542</v>
      </c>
      <c r="AF5701">
        <v>26</v>
      </c>
      <c r="AG5701">
        <v>163</v>
      </c>
      <c r="AH5701">
        <v>129</v>
      </c>
      <c r="AI5701">
        <v>4.8</v>
      </c>
      <c r="AJ5701">
        <v>30.07</v>
      </c>
      <c r="AK5701">
        <v>23.8</v>
      </c>
      <c r="AL5701">
        <v>-20.164560849999951</v>
      </c>
      <c r="AM5701">
        <v>-44.860330680844072</v>
      </c>
      <c r="AN5701">
        <v>-20.164560849999951</v>
      </c>
      <c r="AO5701">
        <v>-44.860330680844072</v>
      </c>
      <c r="AP5701">
        <v>-20.164622000000001</v>
      </c>
      <c r="AQ5701">
        <v>-44.860289999999999</v>
      </c>
      <c r="AR5701">
        <v>8.0255448908437454</v>
      </c>
      <c r="AS5701" t="s">
        <v>65</v>
      </c>
      <c r="AT5701">
        <v>1</v>
      </c>
      <c r="AU5701" t="s">
        <v>966</v>
      </c>
      <c r="AV5701" t="s">
        <v>967</v>
      </c>
      <c r="AW5701" t="s">
        <v>60</v>
      </c>
      <c r="AX5701" t="s">
        <v>68</v>
      </c>
      <c r="AY5701" t="s">
        <v>69</v>
      </c>
      <c r="AZ5701" t="b">
        <v>1</v>
      </c>
    </row>
    <row r="5702" spans="1:52" x14ac:dyDescent="0.3">
      <c r="A5702" t="s">
        <v>52</v>
      </c>
      <c r="B5702" t="s">
        <v>53</v>
      </c>
      <c r="C5702" t="s">
        <v>54</v>
      </c>
      <c r="D5702" t="s">
        <v>55</v>
      </c>
      <c r="E5702" t="s">
        <v>2280</v>
      </c>
      <c r="F5702" t="s">
        <v>190</v>
      </c>
      <c r="G5702" t="s">
        <v>968</v>
      </c>
      <c r="H5702" t="s">
        <v>1754</v>
      </c>
      <c r="I5702" t="s">
        <v>1754</v>
      </c>
      <c r="J5702" t="s">
        <v>60</v>
      </c>
      <c r="K5702" t="s">
        <v>262</v>
      </c>
      <c r="L5702" t="s">
        <v>62</v>
      </c>
      <c r="M5702" t="s">
        <v>262</v>
      </c>
      <c r="N5702" t="s">
        <v>970</v>
      </c>
      <c r="O5702" t="s">
        <v>1331</v>
      </c>
      <c r="P5702">
        <v>-20.161989999999999</v>
      </c>
      <c r="Q5702">
        <v>-44.857933000000003</v>
      </c>
      <c r="R5702" s="2" t="str">
        <f>HYPERLINK("https://www.google.com/maps?q=-20.1619900,-44.8579330","Abrir no Google Maps")</f>
        <v>Abrir no Google Maps</v>
      </c>
      <c r="S5702">
        <v>3</v>
      </c>
      <c r="T5702">
        <v>0</v>
      </c>
      <c r="U5702">
        <v>3</v>
      </c>
      <c r="V5702">
        <v>0.9707207207207208</v>
      </c>
      <c r="W5702">
        <v>1</v>
      </c>
      <c r="X5702">
        <v>0.9707207207207208</v>
      </c>
      <c r="Y5702">
        <v>491</v>
      </c>
      <c r="Z5702">
        <v>131.1697533741382</v>
      </c>
      <c r="AA5702">
        <v>198</v>
      </c>
      <c r="AB5702">
        <v>332</v>
      </c>
      <c r="AC5702">
        <v>536</v>
      </c>
      <c r="AD5702">
        <v>27.77</v>
      </c>
      <c r="AE5702">
        <v>542</v>
      </c>
      <c r="AF5702">
        <v>26</v>
      </c>
      <c r="AG5702">
        <v>163</v>
      </c>
      <c r="AH5702">
        <v>129</v>
      </c>
      <c r="AI5702">
        <v>4.8</v>
      </c>
      <c r="AJ5702">
        <v>30.07</v>
      </c>
      <c r="AK5702">
        <v>23.8</v>
      </c>
      <c r="AL5702">
        <v>-20.161858549999948</v>
      </c>
      <c r="AM5702">
        <v>-44.857884031071968</v>
      </c>
      <c r="AN5702">
        <v>-20.161858549999948</v>
      </c>
      <c r="AO5702">
        <v>-44.857884031071968</v>
      </c>
      <c r="AP5702">
        <v>-20.161989999999999</v>
      </c>
      <c r="AQ5702">
        <v>-44.857933000000003</v>
      </c>
      <c r="AR5702">
        <v>15.501957281614381</v>
      </c>
      <c r="AS5702" t="s">
        <v>65</v>
      </c>
      <c r="AT5702">
        <v>1</v>
      </c>
      <c r="AU5702" t="s">
        <v>1755</v>
      </c>
      <c r="AV5702" t="s">
        <v>1756</v>
      </c>
      <c r="AW5702" t="s">
        <v>60</v>
      </c>
      <c r="AX5702" t="s">
        <v>68</v>
      </c>
      <c r="AY5702" t="s">
        <v>69</v>
      </c>
      <c r="AZ5702" t="b">
        <v>1</v>
      </c>
    </row>
    <row r="5703" spans="1:52" x14ac:dyDescent="0.3">
      <c r="A5703" t="s">
        <v>52</v>
      </c>
      <c r="B5703" t="s">
        <v>53</v>
      </c>
      <c r="C5703" t="s">
        <v>54</v>
      </c>
      <c r="D5703" t="s">
        <v>55</v>
      </c>
      <c r="E5703" t="s">
        <v>2280</v>
      </c>
      <c r="F5703" t="s">
        <v>190</v>
      </c>
      <c r="G5703" t="s">
        <v>980</v>
      </c>
      <c r="H5703" t="s">
        <v>981</v>
      </c>
      <c r="I5703" t="s">
        <v>981</v>
      </c>
      <c r="J5703" t="s">
        <v>60</v>
      </c>
      <c r="K5703" t="s">
        <v>982</v>
      </c>
      <c r="L5703" t="s">
        <v>62</v>
      </c>
      <c r="M5703" t="s">
        <v>982</v>
      </c>
      <c r="N5703" t="s">
        <v>983</v>
      </c>
      <c r="O5703" t="s">
        <v>264</v>
      </c>
      <c r="P5703">
        <v>-20.166967</v>
      </c>
      <c r="Q5703">
        <v>-44.859355000000001</v>
      </c>
      <c r="R5703" s="2" t="str">
        <f>HYPERLINK("https://www.google.com/maps?q=-20.1669670,-44.8593550","Abrir no Google Maps")</f>
        <v>Abrir no Google Maps</v>
      </c>
      <c r="S5703">
        <v>3</v>
      </c>
      <c r="T5703">
        <v>577.54934865824521</v>
      </c>
      <c r="U5703">
        <v>3</v>
      </c>
      <c r="V5703">
        <v>0.99521531100478478</v>
      </c>
      <c r="W5703">
        <v>1</v>
      </c>
      <c r="X5703">
        <v>0.99521531100478478</v>
      </c>
      <c r="Y5703">
        <v>491</v>
      </c>
      <c r="Z5703">
        <v>433.59782149216659</v>
      </c>
      <c r="AA5703">
        <v>198</v>
      </c>
      <c r="AB5703">
        <v>332</v>
      </c>
      <c r="AC5703">
        <v>536</v>
      </c>
      <c r="AD5703">
        <v>27.77</v>
      </c>
      <c r="AE5703">
        <v>542</v>
      </c>
      <c r="AF5703">
        <v>26</v>
      </c>
      <c r="AG5703">
        <v>163</v>
      </c>
      <c r="AH5703">
        <v>129</v>
      </c>
      <c r="AI5703">
        <v>4.8</v>
      </c>
      <c r="AJ5703">
        <v>30.07</v>
      </c>
      <c r="AK5703">
        <v>23.8</v>
      </c>
      <c r="AL5703">
        <v>-20.16694954999997</v>
      </c>
      <c r="AM5703">
        <v>-44.859100695938046</v>
      </c>
      <c r="AN5703">
        <v>-20.16694954999997</v>
      </c>
      <c r="AO5703">
        <v>-44.859100695938046</v>
      </c>
      <c r="AP5703">
        <v>-20.166967</v>
      </c>
      <c r="AQ5703">
        <v>-44.859355000000001</v>
      </c>
      <c r="AR5703">
        <v>26.644458793923111</v>
      </c>
      <c r="AS5703" t="s">
        <v>65</v>
      </c>
      <c r="AT5703">
        <v>1</v>
      </c>
      <c r="AU5703" t="s">
        <v>984</v>
      </c>
      <c r="AV5703" t="s">
        <v>985</v>
      </c>
      <c r="AW5703" t="s">
        <v>60</v>
      </c>
      <c r="AX5703" t="s">
        <v>68</v>
      </c>
      <c r="AY5703" t="s">
        <v>69</v>
      </c>
      <c r="AZ5703" t="b">
        <v>1</v>
      </c>
    </row>
    <row r="5704" spans="1:52" x14ac:dyDescent="0.3">
      <c r="A5704" t="s">
        <v>52</v>
      </c>
      <c r="B5704" t="s">
        <v>53</v>
      </c>
      <c r="C5704" t="s">
        <v>54</v>
      </c>
      <c r="D5704" t="s">
        <v>55</v>
      </c>
      <c r="E5704" t="s">
        <v>2280</v>
      </c>
      <c r="F5704" t="s">
        <v>190</v>
      </c>
      <c r="G5704" t="s">
        <v>686</v>
      </c>
      <c r="H5704" t="s">
        <v>687</v>
      </c>
      <c r="I5704" t="s">
        <v>687</v>
      </c>
      <c r="J5704" t="s">
        <v>60</v>
      </c>
      <c r="K5704" t="s">
        <v>688</v>
      </c>
      <c r="L5704" t="s">
        <v>62</v>
      </c>
      <c r="M5704" t="s">
        <v>688</v>
      </c>
      <c r="N5704" t="s">
        <v>689</v>
      </c>
      <c r="O5704" t="s">
        <v>690</v>
      </c>
      <c r="P5704">
        <v>-20.136451999999998</v>
      </c>
      <c r="Q5704">
        <v>-44.891254000000004</v>
      </c>
      <c r="R5704" s="2" t="str">
        <f>HYPERLINK("https://www.google.com/maps?q=-20.1364520,-44.8912540","Abrir no Google Maps")</f>
        <v>Abrir no Google Maps</v>
      </c>
      <c r="S5704">
        <v>3</v>
      </c>
      <c r="T5704">
        <v>397.58661308638909</v>
      </c>
      <c r="U5704">
        <v>3</v>
      </c>
      <c r="V5704">
        <v>0.9837786259541984</v>
      </c>
      <c r="W5704">
        <v>1</v>
      </c>
      <c r="X5704">
        <v>0.9837786259541984</v>
      </c>
      <c r="Y5704">
        <v>428</v>
      </c>
      <c r="Z5704">
        <v>449.62002896840892</v>
      </c>
      <c r="AA5704">
        <v>198</v>
      </c>
      <c r="AB5704">
        <v>332</v>
      </c>
      <c r="AC5704">
        <v>536</v>
      </c>
      <c r="AD5704">
        <v>27.77</v>
      </c>
      <c r="AE5704">
        <v>542</v>
      </c>
      <c r="AF5704">
        <v>26</v>
      </c>
      <c r="AG5704">
        <v>163</v>
      </c>
      <c r="AH5704">
        <v>129</v>
      </c>
      <c r="AI5704">
        <v>4.8</v>
      </c>
      <c r="AJ5704">
        <v>30.07</v>
      </c>
      <c r="AK5704">
        <v>23.8</v>
      </c>
      <c r="AL5704">
        <v>-20.136400499999951</v>
      </c>
      <c r="AM5704">
        <v>-44.891173264034883</v>
      </c>
      <c r="AN5704">
        <v>-20.136400499999951</v>
      </c>
      <c r="AO5704">
        <v>-44.891173264034883</v>
      </c>
      <c r="AP5704">
        <v>-20.136451999999998</v>
      </c>
      <c r="AQ5704">
        <v>-44.891254000000004</v>
      </c>
      <c r="AR5704">
        <v>10.20146066113916</v>
      </c>
      <c r="AS5704" t="s">
        <v>65</v>
      </c>
      <c r="AT5704">
        <v>1</v>
      </c>
      <c r="AU5704" t="s">
        <v>691</v>
      </c>
      <c r="AV5704" t="s">
        <v>692</v>
      </c>
      <c r="AW5704" t="s">
        <v>60</v>
      </c>
      <c r="AX5704" t="s">
        <v>68</v>
      </c>
      <c r="AY5704" t="s">
        <v>69</v>
      </c>
      <c r="AZ5704" t="b">
        <v>1</v>
      </c>
    </row>
    <row r="5705" spans="1:52" x14ac:dyDescent="0.3">
      <c r="A5705" t="s">
        <v>52</v>
      </c>
      <c r="B5705" t="s">
        <v>53</v>
      </c>
      <c r="C5705" t="s">
        <v>54</v>
      </c>
      <c r="D5705" t="s">
        <v>55</v>
      </c>
      <c r="E5705" t="s">
        <v>2280</v>
      </c>
      <c r="F5705" t="s">
        <v>190</v>
      </c>
      <c r="G5705" t="s">
        <v>1014</v>
      </c>
      <c r="H5705" t="s">
        <v>1015</v>
      </c>
      <c r="I5705" t="s">
        <v>1015</v>
      </c>
      <c r="J5705" t="s">
        <v>60</v>
      </c>
      <c r="K5705" t="s">
        <v>1016</v>
      </c>
      <c r="L5705" t="s">
        <v>62</v>
      </c>
      <c r="M5705" t="s">
        <v>1016</v>
      </c>
      <c r="N5705" t="s">
        <v>1017</v>
      </c>
      <c r="O5705" t="s">
        <v>1018</v>
      </c>
      <c r="P5705">
        <v>-20.174461000000001</v>
      </c>
      <c r="Q5705">
        <v>-44.868710999999998</v>
      </c>
      <c r="R5705" s="2" t="str">
        <f>HYPERLINK("https://www.google.com/maps?q=-20.1744610,-44.8687110","Abrir no Google Maps")</f>
        <v>Abrir no Google Maps</v>
      </c>
      <c r="S5705">
        <v>3</v>
      </c>
      <c r="T5705">
        <v>435.39504742850158</v>
      </c>
      <c r="U5705">
        <v>3</v>
      </c>
      <c r="V5705">
        <v>0.99144486692015199</v>
      </c>
      <c r="W5705">
        <v>1</v>
      </c>
      <c r="X5705">
        <v>0.99144486692015199</v>
      </c>
      <c r="Y5705">
        <v>422</v>
      </c>
      <c r="Z5705">
        <v>264.99958639233438</v>
      </c>
      <c r="AA5705">
        <v>198</v>
      </c>
      <c r="AB5705">
        <v>332</v>
      </c>
      <c r="AC5705">
        <v>536</v>
      </c>
      <c r="AD5705">
        <v>27.77</v>
      </c>
      <c r="AE5705">
        <v>542</v>
      </c>
      <c r="AF5705">
        <v>26</v>
      </c>
      <c r="AG5705">
        <v>163</v>
      </c>
      <c r="AH5705">
        <v>129</v>
      </c>
      <c r="AI5705">
        <v>4.8</v>
      </c>
      <c r="AJ5705">
        <v>30.07</v>
      </c>
      <c r="AK5705">
        <v>23.8</v>
      </c>
      <c r="AL5705">
        <v>-20.174459749999951</v>
      </c>
      <c r="AM5705">
        <v>-44.868877789186897</v>
      </c>
      <c r="AN5705">
        <v>-20.174459749999951</v>
      </c>
      <c r="AO5705">
        <v>-44.868877789186897</v>
      </c>
      <c r="AP5705">
        <v>-20.174461000000001</v>
      </c>
      <c r="AQ5705">
        <v>-44.868710999999998</v>
      </c>
      <c r="AR5705">
        <v>17.42838555603738</v>
      </c>
      <c r="AS5705" t="s">
        <v>65</v>
      </c>
      <c r="AT5705">
        <v>1</v>
      </c>
      <c r="AU5705" t="s">
        <v>1019</v>
      </c>
      <c r="AV5705" t="s">
        <v>1020</v>
      </c>
      <c r="AW5705" t="s">
        <v>60</v>
      </c>
      <c r="AX5705" t="s">
        <v>68</v>
      </c>
      <c r="AY5705" t="s">
        <v>69</v>
      </c>
      <c r="AZ5705" t="b">
        <v>1</v>
      </c>
    </row>
    <row r="5706" spans="1:52" x14ac:dyDescent="0.3">
      <c r="A5706" t="s">
        <v>52</v>
      </c>
      <c r="B5706" t="s">
        <v>53</v>
      </c>
      <c r="C5706" t="s">
        <v>54</v>
      </c>
      <c r="D5706" t="s">
        <v>55</v>
      </c>
      <c r="E5706" t="s">
        <v>2280</v>
      </c>
      <c r="F5706" t="s">
        <v>190</v>
      </c>
      <c r="G5706" t="s">
        <v>1021</v>
      </c>
      <c r="H5706" t="s">
        <v>1022</v>
      </c>
      <c r="I5706" t="s">
        <v>1022</v>
      </c>
      <c r="J5706" t="s">
        <v>60</v>
      </c>
      <c r="K5706" t="s">
        <v>1023</v>
      </c>
      <c r="L5706" t="s">
        <v>62</v>
      </c>
      <c r="M5706" t="s">
        <v>1023</v>
      </c>
      <c r="N5706" t="s">
        <v>1024</v>
      </c>
      <c r="O5706" t="s">
        <v>1025</v>
      </c>
      <c r="P5706">
        <v>-20.169588999999998</v>
      </c>
      <c r="Q5706">
        <v>-44.866636</v>
      </c>
      <c r="R5706" s="2" t="str">
        <f>HYPERLINK("https://www.google.com/maps?q=-20.1695890,-44.8666360","Abrir no Google Maps")</f>
        <v>Abrir no Google Maps</v>
      </c>
      <c r="S5706">
        <v>3</v>
      </c>
      <c r="T5706">
        <v>326.02709617860302</v>
      </c>
      <c r="U5706">
        <v>3</v>
      </c>
      <c r="V5706">
        <v>0.97801302931596079</v>
      </c>
      <c r="W5706">
        <v>1</v>
      </c>
      <c r="X5706">
        <v>0.97801302931596079</v>
      </c>
      <c r="Y5706">
        <v>422</v>
      </c>
      <c r="Z5706">
        <v>333.05362278862168</v>
      </c>
      <c r="AA5706">
        <v>198</v>
      </c>
      <c r="AB5706">
        <v>332</v>
      </c>
      <c r="AC5706">
        <v>536</v>
      </c>
      <c r="AD5706">
        <v>27.77</v>
      </c>
      <c r="AE5706">
        <v>542</v>
      </c>
      <c r="AF5706">
        <v>26</v>
      </c>
      <c r="AG5706">
        <v>163</v>
      </c>
      <c r="AH5706">
        <v>129</v>
      </c>
      <c r="AI5706">
        <v>4.8</v>
      </c>
      <c r="AJ5706">
        <v>30.07</v>
      </c>
      <c r="AK5706">
        <v>23.8</v>
      </c>
      <c r="AL5706">
        <v>-20.16956104999997</v>
      </c>
      <c r="AM5706">
        <v>-44.866560528183591</v>
      </c>
      <c r="AN5706">
        <v>-20.16956104999997</v>
      </c>
      <c r="AO5706">
        <v>-44.866560528183591</v>
      </c>
      <c r="AP5706">
        <v>-20.169588999999998</v>
      </c>
      <c r="AQ5706">
        <v>-44.866636</v>
      </c>
      <c r="AR5706">
        <v>8.4778927137831293</v>
      </c>
      <c r="AS5706" t="s">
        <v>65</v>
      </c>
      <c r="AT5706">
        <v>1</v>
      </c>
      <c r="AU5706" t="s">
        <v>1026</v>
      </c>
      <c r="AV5706" t="s">
        <v>1027</v>
      </c>
      <c r="AW5706" t="s">
        <v>60</v>
      </c>
      <c r="AX5706" t="s">
        <v>68</v>
      </c>
      <c r="AY5706" t="s">
        <v>69</v>
      </c>
      <c r="AZ5706" t="b">
        <v>1</v>
      </c>
    </row>
    <row r="5707" spans="1:52" x14ac:dyDescent="0.3">
      <c r="A5707" t="s">
        <v>52</v>
      </c>
      <c r="B5707" t="s">
        <v>53</v>
      </c>
      <c r="C5707" t="s">
        <v>54</v>
      </c>
      <c r="D5707" t="s">
        <v>55</v>
      </c>
      <c r="E5707" t="s">
        <v>2280</v>
      </c>
      <c r="F5707" t="s">
        <v>190</v>
      </c>
      <c r="G5707" t="s">
        <v>1028</v>
      </c>
      <c r="H5707" t="s">
        <v>1029</v>
      </c>
      <c r="I5707" t="s">
        <v>1029</v>
      </c>
      <c r="J5707" t="s">
        <v>60</v>
      </c>
      <c r="K5707" t="s">
        <v>1016</v>
      </c>
      <c r="L5707" t="s">
        <v>62</v>
      </c>
      <c r="M5707" t="s">
        <v>1016</v>
      </c>
      <c r="N5707" t="s">
        <v>1030</v>
      </c>
      <c r="O5707" t="s">
        <v>855</v>
      </c>
      <c r="P5707">
        <v>-20.169778000000001</v>
      </c>
      <c r="Q5707">
        <v>-44.871940000000002</v>
      </c>
      <c r="R5707" s="2" t="str">
        <f>HYPERLINK("https://www.google.com/maps?q=-20.1697780,-44.8719400","Abrir no Google Maps")</f>
        <v>Abrir no Google Maps</v>
      </c>
      <c r="S5707">
        <v>3</v>
      </c>
      <c r="T5707">
        <v>730.45462447863167</v>
      </c>
      <c r="U5707">
        <v>3</v>
      </c>
      <c r="V5707">
        <v>0.98796296296296282</v>
      </c>
      <c r="W5707">
        <v>1</v>
      </c>
      <c r="X5707">
        <v>0.98796296296296282</v>
      </c>
      <c r="Y5707">
        <v>422</v>
      </c>
      <c r="Z5707">
        <v>600.74952959765801</v>
      </c>
      <c r="AA5707">
        <v>198</v>
      </c>
      <c r="AB5707">
        <v>332</v>
      </c>
      <c r="AC5707">
        <v>536</v>
      </c>
      <c r="AD5707">
        <v>27.77</v>
      </c>
      <c r="AE5707">
        <v>542</v>
      </c>
      <c r="AF5707">
        <v>26</v>
      </c>
      <c r="AG5707">
        <v>163</v>
      </c>
      <c r="AH5707">
        <v>129</v>
      </c>
      <c r="AI5707">
        <v>4.8</v>
      </c>
      <c r="AJ5707">
        <v>30.07</v>
      </c>
      <c r="AK5707">
        <v>23.8</v>
      </c>
      <c r="AL5707">
        <v>-20.169770599999961</v>
      </c>
      <c r="AM5707">
        <v>-44.871857291666629</v>
      </c>
      <c r="AN5707">
        <v>-20.169770599999961</v>
      </c>
      <c r="AO5707">
        <v>-44.871857291666629</v>
      </c>
      <c r="AP5707">
        <v>-20.169778000000001</v>
      </c>
      <c r="AQ5707">
        <v>-44.871940000000002</v>
      </c>
      <c r="AR5707">
        <v>8.6816379320830315</v>
      </c>
      <c r="AS5707" t="s">
        <v>65</v>
      </c>
      <c r="AT5707">
        <v>1</v>
      </c>
      <c r="AU5707" t="s">
        <v>1031</v>
      </c>
      <c r="AV5707" t="s">
        <v>1032</v>
      </c>
      <c r="AW5707" t="s">
        <v>60</v>
      </c>
      <c r="AX5707" t="s">
        <v>68</v>
      </c>
      <c r="AY5707" t="s">
        <v>69</v>
      </c>
      <c r="AZ5707" t="b">
        <v>1</v>
      </c>
    </row>
    <row r="5708" spans="1:52" x14ac:dyDescent="0.3">
      <c r="A5708" t="s">
        <v>52</v>
      </c>
      <c r="B5708" t="s">
        <v>53</v>
      </c>
      <c r="C5708" t="s">
        <v>54</v>
      </c>
      <c r="D5708" t="s">
        <v>55</v>
      </c>
      <c r="E5708" t="s">
        <v>2280</v>
      </c>
      <c r="F5708" t="s">
        <v>190</v>
      </c>
      <c r="G5708" t="s">
        <v>693</v>
      </c>
      <c r="H5708" t="s">
        <v>694</v>
      </c>
      <c r="I5708" t="s">
        <v>694</v>
      </c>
      <c r="J5708" t="s">
        <v>60</v>
      </c>
      <c r="K5708" t="s">
        <v>695</v>
      </c>
      <c r="L5708" t="s">
        <v>62</v>
      </c>
      <c r="M5708" t="s">
        <v>695</v>
      </c>
      <c r="N5708" t="s">
        <v>696</v>
      </c>
      <c r="O5708" t="s">
        <v>697</v>
      </c>
      <c r="P5708">
        <v>-20.174917000000001</v>
      </c>
      <c r="Q5708">
        <v>-44.857677000000002</v>
      </c>
      <c r="R5708" s="2" t="str">
        <f>HYPERLINK("https://www.google.com/maps?q=-20.1749170,-44.8576770","Abrir no Google Maps")</f>
        <v>Abrir no Google Maps</v>
      </c>
      <c r="S5708">
        <v>3</v>
      </c>
      <c r="T5708">
        <v>850.52349144267646</v>
      </c>
      <c r="U5708">
        <v>3</v>
      </c>
      <c r="V5708">
        <v>0.99512195121951219</v>
      </c>
      <c r="W5708">
        <v>1</v>
      </c>
      <c r="X5708">
        <v>0.99512195121951219</v>
      </c>
      <c r="Y5708">
        <v>422</v>
      </c>
      <c r="Z5708">
        <v>1042.4685698911451</v>
      </c>
      <c r="AA5708">
        <v>198</v>
      </c>
      <c r="AB5708">
        <v>332</v>
      </c>
      <c r="AC5708">
        <v>536</v>
      </c>
      <c r="AD5708">
        <v>27.77</v>
      </c>
      <c r="AE5708">
        <v>542</v>
      </c>
      <c r="AF5708">
        <v>26</v>
      </c>
      <c r="AG5708">
        <v>163</v>
      </c>
      <c r="AH5708">
        <v>129</v>
      </c>
      <c r="AI5708">
        <v>4.8</v>
      </c>
      <c r="AJ5708">
        <v>30.07</v>
      </c>
      <c r="AK5708">
        <v>23.8</v>
      </c>
      <c r="AL5708">
        <v>-20.17483459999994</v>
      </c>
      <c r="AM5708">
        <v>-44.857715667542379</v>
      </c>
      <c r="AN5708">
        <v>-20.17483459999994</v>
      </c>
      <c r="AO5708">
        <v>-44.857715667542379</v>
      </c>
      <c r="AP5708">
        <v>-20.174917000000001</v>
      </c>
      <c r="AQ5708">
        <v>-44.857677000000002</v>
      </c>
      <c r="AR5708">
        <v>10.02318555136439</v>
      </c>
      <c r="AS5708" t="s">
        <v>65</v>
      </c>
      <c r="AT5708">
        <v>1</v>
      </c>
      <c r="AU5708" t="s">
        <v>698</v>
      </c>
      <c r="AV5708" t="s">
        <v>699</v>
      </c>
      <c r="AW5708" t="s">
        <v>60</v>
      </c>
      <c r="AX5708" t="s">
        <v>68</v>
      </c>
      <c r="AY5708" t="s">
        <v>69</v>
      </c>
      <c r="AZ5708" t="b">
        <v>1</v>
      </c>
    </row>
    <row r="5709" spans="1:52" x14ac:dyDescent="0.3">
      <c r="A5709" t="s">
        <v>52</v>
      </c>
      <c r="B5709" t="s">
        <v>53</v>
      </c>
      <c r="C5709" t="s">
        <v>54</v>
      </c>
      <c r="D5709" t="s">
        <v>55</v>
      </c>
      <c r="E5709" t="s">
        <v>2280</v>
      </c>
      <c r="F5709" t="s">
        <v>190</v>
      </c>
      <c r="G5709" t="s">
        <v>1039</v>
      </c>
      <c r="H5709" t="s">
        <v>1040</v>
      </c>
      <c r="I5709" t="s">
        <v>1040</v>
      </c>
      <c r="J5709" t="s">
        <v>60</v>
      </c>
      <c r="K5709" t="s">
        <v>1023</v>
      </c>
      <c r="L5709" t="s">
        <v>62</v>
      </c>
      <c r="M5709" t="s">
        <v>1023</v>
      </c>
      <c r="N5709" t="s">
        <v>1041</v>
      </c>
      <c r="O5709" t="s">
        <v>738</v>
      </c>
      <c r="P5709">
        <v>-20.172284000000001</v>
      </c>
      <c r="Q5709">
        <v>-44.865392999999997</v>
      </c>
      <c r="R5709" s="2" t="str">
        <f>HYPERLINK("https://www.google.com/maps?q=-20.1722840,-44.8653930","Abrir no Google Maps")</f>
        <v>Abrir no Google Maps</v>
      </c>
      <c r="S5709">
        <v>3</v>
      </c>
      <c r="T5709">
        <v>0</v>
      </c>
      <c r="U5709">
        <v>3</v>
      </c>
      <c r="V5709">
        <v>0.99056603773584917</v>
      </c>
      <c r="W5709">
        <v>1</v>
      </c>
      <c r="X5709">
        <v>0.99056603773584917</v>
      </c>
      <c r="Y5709">
        <v>422</v>
      </c>
      <c r="Z5709">
        <v>202.96804500763591</v>
      </c>
      <c r="AA5709">
        <v>198</v>
      </c>
      <c r="AB5709">
        <v>332</v>
      </c>
      <c r="AC5709">
        <v>536</v>
      </c>
      <c r="AD5709">
        <v>27.77</v>
      </c>
      <c r="AE5709">
        <v>542</v>
      </c>
      <c r="AF5709">
        <v>26</v>
      </c>
      <c r="AG5709">
        <v>163</v>
      </c>
      <c r="AH5709">
        <v>129</v>
      </c>
      <c r="AI5709">
        <v>4.8</v>
      </c>
      <c r="AJ5709">
        <v>30.07</v>
      </c>
      <c r="AK5709">
        <v>23.8</v>
      </c>
      <c r="AL5709">
        <v>-20.17229514999994</v>
      </c>
      <c r="AM5709">
        <v>-44.865398249858011</v>
      </c>
      <c r="AN5709">
        <v>-20.17229514999994</v>
      </c>
      <c r="AO5709">
        <v>-44.865398249858011</v>
      </c>
      <c r="AP5709">
        <v>-20.172284000000001</v>
      </c>
      <c r="AQ5709">
        <v>-44.865392999999997</v>
      </c>
      <c r="AR5709">
        <v>1.357036084497409</v>
      </c>
      <c r="AS5709" t="s">
        <v>65</v>
      </c>
      <c r="AT5709">
        <v>1</v>
      </c>
      <c r="AU5709" t="s">
        <v>1042</v>
      </c>
      <c r="AV5709" t="s">
        <v>1043</v>
      </c>
      <c r="AW5709" t="s">
        <v>60</v>
      </c>
      <c r="AX5709" t="s">
        <v>68</v>
      </c>
      <c r="AY5709" t="s">
        <v>69</v>
      </c>
      <c r="AZ5709" t="b">
        <v>1</v>
      </c>
    </row>
    <row r="5710" spans="1:52" x14ac:dyDescent="0.3">
      <c r="A5710" t="s">
        <v>52</v>
      </c>
      <c r="B5710" t="s">
        <v>53</v>
      </c>
      <c r="C5710" t="s">
        <v>54</v>
      </c>
      <c r="D5710" t="s">
        <v>55</v>
      </c>
      <c r="E5710" t="s">
        <v>2280</v>
      </c>
      <c r="F5710" t="s">
        <v>190</v>
      </c>
      <c r="G5710" t="s">
        <v>724</v>
      </c>
      <c r="H5710" t="s">
        <v>725</v>
      </c>
      <c r="I5710" t="s">
        <v>725</v>
      </c>
      <c r="J5710" t="s">
        <v>60</v>
      </c>
      <c r="K5710" t="s">
        <v>708</v>
      </c>
      <c r="L5710" t="s">
        <v>62</v>
      </c>
      <c r="M5710" t="s">
        <v>708</v>
      </c>
      <c r="N5710" t="s">
        <v>726</v>
      </c>
      <c r="O5710" t="s">
        <v>727</v>
      </c>
      <c r="P5710">
        <v>-20.131702000000001</v>
      </c>
      <c r="Q5710">
        <v>-44.873930999999999</v>
      </c>
      <c r="R5710" s="2" t="str">
        <f>HYPERLINK("https://www.google.com/maps?q=-20.1317020,-44.8739310","Abrir no Google Maps")</f>
        <v>Abrir no Google Maps</v>
      </c>
      <c r="S5710">
        <v>3</v>
      </c>
      <c r="T5710">
        <v>207.9085436463628</v>
      </c>
      <c r="U5710">
        <v>3</v>
      </c>
      <c r="V5710">
        <v>0.97872340425531923</v>
      </c>
      <c r="W5710">
        <v>1</v>
      </c>
      <c r="X5710">
        <v>0.97872340425531923</v>
      </c>
      <c r="Y5710">
        <v>387</v>
      </c>
      <c r="Z5710">
        <v>213.98086855276571</v>
      </c>
      <c r="AA5710">
        <v>198</v>
      </c>
      <c r="AB5710">
        <v>332</v>
      </c>
      <c r="AC5710">
        <v>536</v>
      </c>
      <c r="AD5710">
        <v>27.77</v>
      </c>
      <c r="AE5710">
        <v>542</v>
      </c>
      <c r="AF5710">
        <v>26</v>
      </c>
      <c r="AG5710">
        <v>163</v>
      </c>
      <c r="AH5710">
        <v>129</v>
      </c>
      <c r="AI5710">
        <v>4.8</v>
      </c>
      <c r="AJ5710">
        <v>30.07</v>
      </c>
      <c r="AK5710">
        <v>23.8</v>
      </c>
      <c r="AL5710">
        <v>-20.131807549999959</v>
      </c>
      <c r="AM5710">
        <v>-44.874039553784442</v>
      </c>
      <c r="AN5710">
        <v>-20.131807549999959</v>
      </c>
      <c r="AO5710">
        <v>-44.874039553784442</v>
      </c>
      <c r="AP5710">
        <v>-20.131702000000001</v>
      </c>
      <c r="AQ5710">
        <v>-44.873930999999999</v>
      </c>
      <c r="AR5710">
        <v>16.333643574998401</v>
      </c>
      <c r="AS5710" t="s">
        <v>65</v>
      </c>
      <c r="AT5710">
        <v>1</v>
      </c>
      <c r="AU5710" t="s">
        <v>728</v>
      </c>
      <c r="AV5710" t="s">
        <v>729</v>
      </c>
      <c r="AW5710" t="s">
        <v>60</v>
      </c>
      <c r="AX5710" t="s">
        <v>68</v>
      </c>
      <c r="AY5710" t="s">
        <v>69</v>
      </c>
      <c r="AZ5710" t="b">
        <v>1</v>
      </c>
    </row>
    <row r="5711" spans="1:52" x14ac:dyDescent="0.3">
      <c r="A5711" t="s">
        <v>52</v>
      </c>
      <c r="B5711" t="s">
        <v>53</v>
      </c>
      <c r="C5711" t="s">
        <v>54</v>
      </c>
      <c r="D5711" t="s">
        <v>55</v>
      </c>
      <c r="E5711" t="s">
        <v>2280</v>
      </c>
      <c r="F5711" t="s">
        <v>190</v>
      </c>
      <c r="G5711" t="s">
        <v>734</v>
      </c>
      <c r="H5711" t="s">
        <v>1064</v>
      </c>
      <c r="I5711" t="s">
        <v>1064</v>
      </c>
      <c r="J5711" t="s">
        <v>60</v>
      </c>
      <c r="K5711" t="s">
        <v>530</v>
      </c>
      <c r="L5711" t="s">
        <v>62</v>
      </c>
      <c r="M5711" t="s">
        <v>530</v>
      </c>
      <c r="N5711" t="s">
        <v>1060</v>
      </c>
      <c r="O5711" t="s">
        <v>1065</v>
      </c>
      <c r="P5711">
        <v>-20.102878</v>
      </c>
      <c r="Q5711">
        <v>-44.974297</v>
      </c>
      <c r="R5711" s="2" t="str">
        <f>HYPERLINK("https://www.google.com/maps?q=-20.1028780,-44.9742970","Abrir no Google Maps")</f>
        <v>Abrir no Google Maps</v>
      </c>
      <c r="S5711">
        <v>3</v>
      </c>
      <c r="T5711">
        <v>261.64376156647683</v>
      </c>
      <c r="U5711">
        <v>3</v>
      </c>
      <c r="V5711">
        <v>0.95320197044334976</v>
      </c>
      <c r="W5711">
        <v>1</v>
      </c>
      <c r="X5711">
        <v>0.95320197044334976</v>
      </c>
      <c r="Y5711">
        <v>385</v>
      </c>
      <c r="Z5711">
        <v>272.78931550338098</v>
      </c>
      <c r="AA5711">
        <v>198</v>
      </c>
      <c r="AB5711">
        <v>332</v>
      </c>
      <c r="AC5711">
        <v>536</v>
      </c>
      <c r="AD5711">
        <v>27.77</v>
      </c>
      <c r="AE5711">
        <v>542</v>
      </c>
      <c r="AF5711">
        <v>26</v>
      </c>
      <c r="AG5711">
        <v>163</v>
      </c>
      <c r="AH5711">
        <v>129</v>
      </c>
      <c r="AI5711">
        <v>4.8</v>
      </c>
      <c r="AJ5711">
        <v>30.07</v>
      </c>
      <c r="AK5711">
        <v>23.8</v>
      </c>
      <c r="AL5711">
        <v>-20.102914199999962</v>
      </c>
      <c r="AM5711">
        <v>-44.974700580584418</v>
      </c>
      <c r="AN5711">
        <v>-20.102914199999962</v>
      </c>
      <c r="AO5711">
        <v>-44.974700580584418</v>
      </c>
      <c r="AP5711">
        <v>-20.102878</v>
      </c>
      <c r="AQ5711">
        <v>-44.974297</v>
      </c>
      <c r="AR5711">
        <v>42.381535645626968</v>
      </c>
      <c r="AS5711" t="s">
        <v>65</v>
      </c>
      <c r="AT5711">
        <v>1</v>
      </c>
      <c r="AU5711" t="s">
        <v>1066</v>
      </c>
      <c r="AV5711" t="s">
        <v>1067</v>
      </c>
      <c r="AW5711" t="s">
        <v>60</v>
      </c>
      <c r="AX5711" t="s">
        <v>68</v>
      </c>
      <c r="AY5711" t="s">
        <v>69</v>
      </c>
      <c r="AZ5711" t="b">
        <v>1</v>
      </c>
    </row>
    <row r="5712" spans="1:52" x14ac:dyDescent="0.3">
      <c r="A5712" t="s">
        <v>52</v>
      </c>
      <c r="B5712" t="s">
        <v>53</v>
      </c>
      <c r="C5712" t="s">
        <v>54</v>
      </c>
      <c r="D5712" t="s">
        <v>55</v>
      </c>
      <c r="E5712" t="s">
        <v>2280</v>
      </c>
      <c r="F5712" t="s">
        <v>190</v>
      </c>
      <c r="G5712" t="s">
        <v>734</v>
      </c>
      <c r="H5712" t="s">
        <v>735</v>
      </c>
      <c r="I5712" t="s">
        <v>735</v>
      </c>
      <c r="J5712" t="s">
        <v>60</v>
      </c>
      <c r="K5712" t="s">
        <v>736</v>
      </c>
      <c r="L5712" t="s">
        <v>62</v>
      </c>
      <c r="M5712" t="s">
        <v>736</v>
      </c>
      <c r="N5712" t="s">
        <v>737</v>
      </c>
      <c r="O5712" t="s">
        <v>738</v>
      </c>
      <c r="P5712">
        <v>-20.113050000000001</v>
      </c>
      <c r="Q5712">
        <v>-44.977640999999998</v>
      </c>
      <c r="R5712" s="2" t="str">
        <f>HYPERLINK("https://www.google.com/maps?q=-20.1130500,-44.9776410","Abrir no Google Maps")</f>
        <v>Abrir no Google Maps</v>
      </c>
      <c r="S5712">
        <v>3</v>
      </c>
      <c r="T5712">
        <v>1057.751631532733</v>
      </c>
      <c r="U5712">
        <v>3</v>
      </c>
      <c r="V5712">
        <v>0.97844827586206895</v>
      </c>
      <c r="W5712">
        <v>1</v>
      </c>
      <c r="X5712">
        <v>0.97844827586206895</v>
      </c>
      <c r="Y5712">
        <v>385</v>
      </c>
      <c r="Z5712">
        <v>1001.029655866156</v>
      </c>
      <c r="AA5712">
        <v>198</v>
      </c>
      <c r="AB5712">
        <v>332</v>
      </c>
      <c r="AC5712">
        <v>536</v>
      </c>
      <c r="AD5712">
        <v>27.77</v>
      </c>
      <c r="AE5712">
        <v>542</v>
      </c>
      <c r="AF5712">
        <v>26</v>
      </c>
      <c r="AG5712">
        <v>163</v>
      </c>
      <c r="AH5712">
        <v>129</v>
      </c>
      <c r="AI5712">
        <v>4.8</v>
      </c>
      <c r="AJ5712">
        <v>30.07</v>
      </c>
      <c r="AK5712">
        <v>23.8</v>
      </c>
      <c r="AL5712">
        <v>-20.112977499999939</v>
      </c>
      <c r="AM5712">
        <v>-44.977939579895221</v>
      </c>
      <c r="AN5712">
        <v>-20.112977499999939</v>
      </c>
      <c r="AO5712">
        <v>-44.977939579895221</v>
      </c>
      <c r="AP5712">
        <v>-20.113050000000001</v>
      </c>
      <c r="AQ5712">
        <v>-44.977640999999998</v>
      </c>
      <c r="AR5712">
        <v>32.23754556505741</v>
      </c>
      <c r="AS5712" t="s">
        <v>65</v>
      </c>
      <c r="AT5712">
        <v>1</v>
      </c>
      <c r="AU5712" t="s">
        <v>739</v>
      </c>
      <c r="AV5712" t="s">
        <v>740</v>
      </c>
      <c r="AW5712" t="s">
        <v>60</v>
      </c>
      <c r="AX5712" t="s">
        <v>68</v>
      </c>
      <c r="AY5712" t="s">
        <v>69</v>
      </c>
      <c r="AZ5712" t="b">
        <v>1</v>
      </c>
    </row>
    <row r="5713" spans="1:52" x14ac:dyDescent="0.3">
      <c r="A5713" t="s">
        <v>52</v>
      </c>
      <c r="B5713" t="s">
        <v>53</v>
      </c>
      <c r="C5713" t="s">
        <v>54</v>
      </c>
      <c r="D5713" t="s">
        <v>55</v>
      </c>
      <c r="E5713" t="s">
        <v>2280</v>
      </c>
      <c r="F5713" t="s">
        <v>190</v>
      </c>
      <c r="G5713" t="s">
        <v>734</v>
      </c>
      <c r="H5713" t="s">
        <v>1068</v>
      </c>
      <c r="I5713" t="s">
        <v>1068</v>
      </c>
      <c r="J5713" t="s">
        <v>60</v>
      </c>
      <c r="K5713" t="s">
        <v>736</v>
      </c>
      <c r="L5713" t="s">
        <v>62</v>
      </c>
      <c r="M5713" t="s">
        <v>736</v>
      </c>
      <c r="N5713" t="s">
        <v>1069</v>
      </c>
      <c r="O5713" t="s">
        <v>1070</v>
      </c>
      <c r="P5713">
        <v>-20.110289999999999</v>
      </c>
      <c r="Q5713">
        <v>-44.981574000000002</v>
      </c>
      <c r="R5713" s="2" t="str">
        <f>HYPERLINK("https://www.google.com/maps?q=-20.1102900,-44.9815740","Abrir no Google Maps")</f>
        <v>Abrir no Google Maps</v>
      </c>
      <c r="S5713">
        <v>3</v>
      </c>
      <c r="T5713">
        <v>1081.8012210194311</v>
      </c>
      <c r="U5713">
        <v>3</v>
      </c>
      <c r="V5713">
        <v>0.97016460905349799</v>
      </c>
      <c r="W5713">
        <v>1</v>
      </c>
      <c r="X5713">
        <v>0.97016460905349799</v>
      </c>
      <c r="Y5713">
        <v>385</v>
      </c>
      <c r="Z5713">
        <v>1009.915869278438</v>
      </c>
      <c r="AA5713">
        <v>198</v>
      </c>
      <c r="AB5713">
        <v>332</v>
      </c>
      <c r="AC5713">
        <v>536</v>
      </c>
      <c r="AD5713">
        <v>27.77</v>
      </c>
      <c r="AE5713">
        <v>542</v>
      </c>
      <c r="AF5713">
        <v>26</v>
      </c>
      <c r="AG5713">
        <v>163</v>
      </c>
      <c r="AH5713">
        <v>129</v>
      </c>
      <c r="AI5713">
        <v>4.8</v>
      </c>
      <c r="AJ5713">
        <v>30.07</v>
      </c>
      <c r="AK5713">
        <v>23.8</v>
      </c>
      <c r="AL5713">
        <v>-20.110281699999941</v>
      </c>
      <c r="AM5713">
        <v>-44.98144213076452</v>
      </c>
      <c r="AN5713">
        <v>-20.110281699999941</v>
      </c>
      <c r="AO5713">
        <v>-44.98144213076452</v>
      </c>
      <c r="AP5713">
        <v>-20.110289999999999</v>
      </c>
      <c r="AQ5713">
        <v>-44.981574000000002</v>
      </c>
      <c r="AR5713">
        <v>13.815631287504781</v>
      </c>
      <c r="AS5713" t="s">
        <v>65</v>
      </c>
      <c r="AT5713">
        <v>1</v>
      </c>
      <c r="AU5713" t="s">
        <v>1071</v>
      </c>
      <c r="AV5713" t="s">
        <v>1072</v>
      </c>
      <c r="AW5713" t="s">
        <v>60</v>
      </c>
      <c r="AX5713" t="s">
        <v>68</v>
      </c>
      <c r="AY5713" t="s">
        <v>69</v>
      </c>
      <c r="AZ5713" t="b">
        <v>1</v>
      </c>
    </row>
    <row r="5714" spans="1:52" x14ac:dyDescent="0.3">
      <c r="A5714" t="s">
        <v>52</v>
      </c>
      <c r="B5714" t="s">
        <v>53</v>
      </c>
      <c r="C5714" t="s">
        <v>54</v>
      </c>
      <c r="D5714" t="s">
        <v>55</v>
      </c>
      <c r="E5714" t="s">
        <v>2280</v>
      </c>
      <c r="F5714" t="s">
        <v>190</v>
      </c>
      <c r="G5714" t="s">
        <v>741</v>
      </c>
      <c r="H5714" t="s">
        <v>742</v>
      </c>
      <c r="I5714" t="s">
        <v>742</v>
      </c>
      <c r="J5714" t="s">
        <v>60</v>
      </c>
      <c r="K5714" t="s">
        <v>688</v>
      </c>
      <c r="L5714" t="s">
        <v>62</v>
      </c>
      <c r="M5714" t="s">
        <v>688</v>
      </c>
      <c r="N5714" t="s">
        <v>743</v>
      </c>
      <c r="O5714" t="s">
        <v>744</v>
      </c>
      <c r="P5714">
        <v>-20.136733</v>
      </c>
      <c r="Q5714">
        <v>-44.888140999999997</v>
      </c>
      <c r="R5714" s="2" t="str">
        <f>HYPERLINK("https://www.google.com/maps?q=-20.1367330,-44.8881410","Abrir no Google Maps")</f>
        <v>Abrir no Google Maps</v>
      </c>
      <c r="S5714">
        <v>3</v>
      </c>
      <c r="T5714">
        <v>175.84339996559589</v>
      </c>
      <c r="U5714">
        <v>3</v>
      </c>
      <c r="V5714">
        <v>0.98873873873873885</v>
      </c>
      <c r="W5714">
        <v>1</v>
      </c>
      <c r="X5714">
        <v>0.98873873873873885</v>
      </c>
      <c r="Y5714">
        <v>350</v>
      </c>
      <c r="Z5714">
        <v>171.90575296051961</v>
      </c>
      <c r="AA5714">
        <v>198</v>
      </c>
      <c r="AB5714">
        <v>332</v>
      </c>
      <c r="AC5714">
        <v>536</v>
      </c>
      <c r="AD5714">
        <v>27.77</v>
      </c>
      <c r="AE5714">
        <v>542</v>
      </c>
      <c r="AF5714">
        <v>26</v>
      </c>
      <c r="AG5714">
        <v>163</v>
      </c>
      <c r="AH5714">
        <v>129</v>
      </c>
      <c r="AI5714">
        <v>4.8</v>
      </c>
      <c r="AJ5714">
        <v>30.07</v>
      </c>
      <c r="AK5714">
        <v>23.8</v>
      </c>
      <c r="AL5714">
        <v>-20.136726099999979</v>
      </c>
      <c r="AM5714">
        <v>-44.888062077766982</v>
      </c>
      <c r="AN5714">
        <v>-20.136726099999979</v>
      </c>
      <c r="AO5714">
        <v>-44.888062077766982</v>
      </c>
      <c r="AP5714">
        <v>-20.136733</v>
      </c>
      <c r="AQ5714">
        <v>-44.888140999999997</v>
      </c>
      <c r="AR5714">
        <v>8.2842769013797852</v>
      </c>
      <c r="AS5714" t="s">
        <v>65</v>
      </c>
      <c r="AT5714">
        <v>1</v>
      </c>
      <c r="AU5714" t="s">
        <v>745</v>
      </c>
      <c r="AV5714" t="s">
        <v>746</v>
      </c>
      <c r="AW5714" t="s">
        <v>60</v>
      </c>
      <c r="AX5714" t="s">
        <v>68</v>
      </c>
      <c r="AY5714" t="s">
        <v>69</v>
      </c>
      <c r="AZ5714" t="b">
        <v>1</v>
      </c>
    </row>
    <row r="5715" spans="1:52" x14ac:dyDescent="0.3">
      <c r="A5715" t="s">
        <v>52</v>
      </c>
      <c r="B5715" t="s">
        <v>53</v>
      </c>
      <c r="C5715" t="s">
        <v>54</v>
      </c>
      <c r="D5715" t="s">
        <v>55</v>
      </c>
      <c r="E5715" t="s">
        <v>2280</v>
      </c>
      <c r="F5715" t="s">
        <v>190</v>
      </c>
      <c r="G5715" t="s">
        <v>1077</v>
      </c>
      <c r="H5715" t="s">
        <v>1078</v>
      </c>
      <c r="I5715" t="s">
        <v>1078</v>
      </c>
      <c r="J5715" t="s">
        <v>60</v>
      </c>
      <c r="K5715" t="s">
        <v>761</v>
      </c>
      <c r="L5715" t="s">
        <v>62</v>
      </c>
      <c r="M5715" t="s">
        <v>761</v>
      </c>
      <c r="N5715" t="s">
        <v>1079</v>
      </c>
      <c r="O5715" t="s">
        <v>1080</v>
      </c>
      <c r="P5715">
        <v>-20.119579999999999</v>
      </c>
      <c r="Q5715">
        <v>-44.855030999999997</v>
      </c>
      <c r="R5715" s="2" t="str">
        <f>HYPERLINK("https://www.google.com/maps?q=-20.1195800,-44.8550310","Abrir no Google Maps")</f>
        <v>Abrir no Google Maps</v>
      </c>
      <c r="S5715">
        <v>3</v>
      </c>
      <c r="T5715">
        <v>800.32085104254202</v>
      </c>
      <c r="U5715">
        <v>3</v>
      </c>
      <c r="V5715">
        <v>0.92894736842105263</v>
      </c>
      <c r="W5715">
        <v>1</v>
      </c>
      <c r="X5715">
        <v>0.92894736842105263</v>
      </c>
      <c r="Y5715">
        <v>350</v>
      </c>
      <c r="Z5715">
        <v>431.56201899267722</v>
      </c>
      <c r="AA5715">
        <v>198</v>
      </c>
      <c r="AB5715">
        <v>332</v>
      </c>
      <c r="AC5715">
        <v>536</v>
      </c>
      <c r="AD5715">
        <v>27.77</v>
      </c>
      <c r="AE5715">
        <v>542</v>
      </c>
      <c r="AF5715">
        <v>26</v>
      </c>
      <c r="AG5715">
        <v>163</v>
      </c>
      <c r="AH5715">
        <v>129</v>
      </c>
      <c r="AI5715">
        <v>4.8</v>
      </c>
      <c r="AJ5715">
        <v>30.07</v>
      </c>
      <c r="AK5715">
        <v>23.8</v>
      </c>
      <c r="AL5715">
        <v>-20.119806999999948</v>
      </c>
      <c r="AM5715">
        <v>-44.855901548391778</v>
      </c>
      <c r="AN5715">
        <v>-20.119806999999948</v>
      </c>
      <c r="AO5715">
        <v>-44.855901548391778</v>
      </c>
      <c r="AP5715">
        <v>-20.119579999999999</v>
      </c>
      <c r="AQ5715">
        <v>-44.855030999999997</v>
      </c>
      <c r="AR5715">
        <v>94.439141250965164</v>
      </c>
      <c r="AS5715" t="s">
        <v>65</v>
      </c>
      <c r="AT5715">
        <v>1</v>
      </c>
      <c r="AU5715" t="s">
        <v>1081</v>
      </c>
      <c r="AV5715" t="s">
        <v>1082</v>
      </c>
      <c r="AW5715" t="s">
        <v>60</v>
      </c>
      <c r="AX5715" t="s">
        <v>68</v>
      </c>
      <c r="AY5715" t="s">
        <v>69</v>
      </c>
      <c r="AZ5715" t="b">
        <v>1</v>
      </c>
    </row>
    <row r="5716" spans="1:52" x14ac:dyDescent="0.3">
      <c r="A5716" t="s">
        <v>52</v>
      </c>
      <c r="B5716" t="s">
        <v>53</v>
      </c>
      <c r="C5716" t="s">
        <v>54</v>
      </c>
      <c r="D5716" t="s">
        <v>55</v>
      </c>
      <c r="E5716" t="s">
        <v>2280</v>
      </c>
      <c r="F5716" t="s">
        <v>190</v>
      </c>
      <c r="G5716" t="s">
        <v>747</v>
      </c>
      <c r="H5716" t="s">
        <v>748</v>
      </c>
      <c r="I5716" t="s">
        <v>748</v>
      </c>
      <c r="J5716" t="s">
        <v>60</v>
      </c>
      <c r="K5716" t="s">
        <v>505</v>
      </c>
      <c r="L5716" t="s">
        <v>62</v>
      </c>
      <c r="M5716" t="s">
        <v>505</v>
      </c>
      <c r="N5716" t="s">
        <v>749</v>
      </c>
      <c r="O5716" t="s">
        <v>750</v>
      </c>
      <c r="P5716">
        <v>-20.135107000000001</v>
      </c>
      <c r="Q5716">
        <v>-44.887521</v>
      </c>
      <c r="R5716" s="2" t="str">
        <f>HYPERLINK("https://www.google.com/maps?q=-20.1351070,-44.8875210","Abrir no Google Maps")</f>
        <v>Abrir no Google Maps</v>
      </c>
      <c r="S5716">
        <v>3</v>
      </c>
      <c r="T5716">
        <v>0</v>
      </c>
      <c r="U5716">
        <v>3</v>
      </c>
      <c r="V5716">
        <v>0.98039215686274517</v>
      </c>
      <c r="W5716">
        <v>1</v>
      </c>
      <c r="X5716">
        <v>0.98039215686274517</v>
      </c>
      <c r="Y5716">
        <v>350</v>
      </c>
      <c r="Z5716">
        <v>162.3716242776689</v>
      </c>
      <c r="AA5716">
        <v>198</v>
      </c>
      <c r="AB5716">
        <v>332</v>
      </c>
      <c r="AC5716">
        <v>536</v>
      </c>
      <c r="AD5716">
        <v>27.77</v>
      </c>
      <c r="AE5716">
        <v>542</v>
      </c>
      <c r="AF5716">
        <v>26</v>
      </c>
      <c r="AG5716">
        <v>163</v>
      </c>
      <c r="AH5716">
        <v>129</v>
      </c>
      <c r="AI5716">
        <v>4.8</v>
      </c>
      <c r="AJ5716">
        <v>30.07</v>
      </c>
      <c r="AK5716">
        <v>23.8</v>
      </c>
      <c r="AL5716">
        <v>-20.13520169999995</v>
      </c>
      <c r="AM5716">
        <v>-44.887587176802917</v>
      </c>
      <c r="AN5716">
        <v>-20.13520169999995</v>
      </c>
      <c r="AO5716">
        <v>-44.887587176802931</v>
      </c>
      <c r="AP5716">
        <v>-20.135107000000001</v>
      </c>
      <c r="AQ5716">
        <v>-44.887521</v>
      </c>
      <c r="AR5716">
        <v>12.608438103029821</v>
      </c>
      <c r="AS5716" t="s">
        <v>65</v>
      </c>
      <c r="AT5716">
        <v>1</v>
      </c>
      <c r="AU5716" t="s">
        <v>751</v>
      </c>
      <c r="AV5716" t="s">
        <v>752</v>
      </c>
      <c r="AW5716" t="s">
        <v>60</v>
      </c>
      <c r="AX5716" t="s">
        <v>68</v>
      </c>
      <c r="AY5716" t="s">
        <v>69</v>
      </c>
      <c r="AZ5716" t="b">
        <v>1</v>
      </c>
    </row>
    <row r="5717" spans="1:52" x14ac:dyDescent="0.3">
      <c r="A5717" t="s">
        <v>52</v>
      </c>
      <c r="B5717" t="s">
        <v>53</v>
      </c>
      <c r="C5717" t="s">
        <v>54</v>
      </c>
      <c r="D5717" t="s">
        <v>55</v>
      </c>
      <c r="E5717" t="s">
        <v>2280</v>
      </c>
      <c r="F5717" t="s">
        <v>190</v>
      </c>
      <c r="G5717" t="s">
        <v>1083</v>
      </c>
      <c r="H5717" t="s">
        <v>1084</v>
      </c>
      <c r="I5717" t="s">
        <v>1084</v>
      </c>
      <c r="J5717" t="s">
        <v>60</v>
      </c>
      <c r="K5717" t="s">
        <v>761</v>
      </c>
      <c r="L5717" t="s">
        <v>62</v>
      </c>
      <c r="M5717" t="s">
        <v>761</v>
      </c>
      <c r="N5717" t="s">
        <v>1085</v>
      </c>
      <c r="O5717" t="s">
        <v>1086</v>
      </c>
      <c r="P5717">
        <v>-20.124312</v>
      </c>
      <c r="Q5717">
        <v>-44.850425000000001</v>
      </c>
      <c r="R5717" s="2" t="str">
        <f>HYPERLINK("https://www.google.com/maps?q=-20.1243120,-44.8504250","Abrir no Google Maps")</f>
        <v>Abrir no Google Maps</v>
      </c>
      <c r="S5717">
        <v>3</v>
      </c>
      <c r="T5717">
        <v>0</v>
      </c>
      <c r="U5717">
        <v>3</v>
      </c>
      <c r="V5717">
        <v>0.97560975609756095</v>
      </c>
      <c r="W5717">
        <v>1</v>
      </c>
      <c r="X5717">
        <v>0.97560975609756095</v>
      </c>
      <c r="Y5717">
        <v>350</v>
      </c>
      <c r="Z5717">
        <v>380.24040721202471</v>
      </c>
      <c r="AA5717">
        <v>198</v>
      </c>
      <c r="AB5717">
        <v>332</v>
      </c>
      <c r="AC5717">
        <v>536</v>
      </c>
      <c r="AD5717">
        <v>27.77</v>
      </c>
      <c r="AE5717">
        <v>542</v>
      </c>
      <c r="AF5717">
        <v>26</v>
      </c>
      <c r="AG5717">
        <v>163</v>
      </c>
      <c r="AH5717">
        <v>129</v>
      </c>
      <c r="AI5717">
        <v>4.8</v>
      </c>
      <c r="AJ5717">
        <v>30.07</v>
      </c>
      <c r="AK5717">
        <v>23.8</v>
      </c>
      <c r="AL5717">
        <v>-20.126267499999951</v>
      </c>
      <c r="AM5717">
        <v>-44.852460192840908</v>
      </c>
      <c r="AN5717">
        <v>-20.126267499999951</v>
      </c>
      <c r="AO5717">
        <v>-44.852460192840908</v>
      </c>
      <c r="AP5717">
        <v>-20.124312</v>
      </c>
      <c r="AQ5717">
        <v>-44.850425000000001</v>
      </c>
      <c r="AR5717">
        <v>304.36574074135672</v>
      </c>
      <c r="AS5717" t="s">
        <v>65</v>
      </c>
      <c r="AT5717">
        <v>1</v>
      </c>
      <c r="AU5717" t="s">
        <v>1087</v>
      </c>
      <c r="AV5717" t="s">
        <v>1088</v>
      </c>
      <c r="AW5717" t="s">
        <v>60</v>
      </c>
      <c r="AX5717" t="s">
        <v>68</v>
      </c>
      <c r="AY5717" t="s">
        <v>69</v>
      </c>
      <c r="AZ5717" t="b">
        <v>1</v>
      </c>
    </row>
    <row r="5718" spans="1:52" x14ac:dyDescent="0.3">
      <c r="A5718" t="s">
        <v>52</v>
      </c>
      <c r="B5718" t="s">
        <v>53</v>
      </c>
      <c r="C5718" t="s">
        <v>54</v>
      </c>
      <c r="D5718" t="s">
        <v>55</v>
      </c>
      <c r="E5718" t="s">
        <v>2280</v>
      </c>
      <c r="F5718" t="s">
        <v>190</v>
      </c>
      <c r="G5718" t="s">
        <v>753</v>
      </c>
      <c r="H5718" t="s">
        <v>754</v>
      </c>
      <c r="I5718" t="s">
        <v>754</v>
      </c>
      <c r="J5718" t="s">
        <v>60</v>
      </c>
      <c r="K5718" t="s">
        <v>688</v>
      </c>
      <c r="L5718" t="s">
        <v>62</v>
      </c>
      <c r="M5718" t="s">
        <v>688</v>
      </c>
      <c r="N5718" t="s">
        <v>755</v>
      </c>
      <c r="O5718" t="s">
        <v>756</v>
      </c>
      <c r="P5718">
        <v>-20.135238000000001</v>
      </c>
      <c r="Q5718">
        <v>-44.890405999999999</v>
      </c>
      <c r="R5718" s="2" t="str">
        <f>HYPERLINK("https://www.google.com/maps?q=-20.1352380,-44.8904060","Abrir no Google Maps")</f>
        <v>Abrir no Google Maps</v>
      </c>
      <c r="S5718">
        <v>3</v>
      </c>
      <c r="T5718">
        <v>314.49904475975598</v>
      </c>
      <c r="U5718">
        <v>3</v>
      </c>
      <c r="V5718">
        <v>0.98941798941798942</v>
      </c>
      <c r="W5718">
        <v>1</v>
      </c>
      <c r="X5718">
        <v>0.98941798941798942</v>
      </c>
      <c r="Y5718">
        <v>350</v>
      </c>
      <c r="Z5718">
        <v>443.96798796176353</v>
      </c>
      <c r="AA5718">
        <v>198</v>
      </c>
      <c r="AB5718">
        <v>332</v>
      </c>
      <c r="AC5718">
        <v>536</v>
      </c>
      <c r="AD5718">
        <v>27.77</v>
      </c>
      <c r="AE5718">
        <v>542</v>
      </c>
      <c r="AF5718">
        <v>26</v>
      </c>
      <c r="AG5718">
        <v>163</v>
      </c>
      <c r="AH5718">
        <v>129</v>
      </c>
      <c r="AI5718">
        <v>4.8</v>
      </c>
      <c r="AJ5718">
        <v>30.07</v>
      </c>
      <c r="AK5718">
        <v>23.8</v>
      </c>
      <c r="AL5718">
        <v>-20.134851099999931</v>
      </c>
      <c r="AM5718">
        <v>-44.890573293408117</v>
      </c>
      <c r="AN5718">
        <v>-20.134851099999931</v>
      </c>
      <c r="AO5718">
        <v>-44.890573293408131</v>
      </c>
      <c r="AP5718">
        <v>-20.135238000000001</v>
      </c>
      <c r="AQ5718">
        <v>-44.890405999999999</v>
      </c>
      <c r="AR5718">
        <v>46.483580940434933</v>
      </c>
      <c r="AS5718" t="s">
        <v>65</v>
      </c>
      <c r="AT5718">
        <v>1</v>
      </c>
      <c r="AU5718" t="s">
        <v>757</v>
      </c>
      <c r="AV5718" t="s">
        <v>758</v>
      </c>
      <c r="AW5718" t="s">
        <v>60</v>
      </c>
      <c r="AX5718" t="s">
        <v>68</v>
      </c>
      <c r="AY5718" t="s">
        <v>69</v>
      </c>
      <c r="AZ5718" t="b">
        <v>1</v>
      </c>
    </row>
    <row r="5719" spans="1:52" x14ac:dyDescent="0.3">
      <c r="A5719" t="s">
        <v>52</v>
      </c>
      <c r="B5719" t="s">
        <v>53</v>
      </c>
      <c r="C5719" t="s">
        <v>54</v>
      </c>
      <c r="D5719" t="s">
        <v>55</v>
      </c>
      <c r="E5719" t="s">
        <v>2280</v>
      </c>
      <c r="F5719" t="s">
        <v>190</v>
      </c>
      <c r="G5719" t="s">
        <v>1089</v>
      </c>
      <c r="H5719" t="s">
        <v>1090</v>
      </c>
      <c r="I5719" t="s">
        <v>1090</v>
      </c>
      <c r="J5719" t="s">
        <v>60</v>
      </c>
      <c r="K5719" t="s">
        <v>761</v>
      </c>
      <c r="L5719" t="s">
        <v>62</v>
      </c>
      <c r="M5719" t="s">
        <v>761</v>
      </c>
      <c r="N5719" t="s">
        <v>1091</v>
      </c>
      <c r="O5719" t="s">
        <v>86</v>
      </c>
      <c r="P5719">
        <v>-20.116182999999999</v>
      </c>
      <c r="Q5719">
        <v>-44.850524</v>
      </c>
      <c r="R5719" s="2" t="str">
        <f>HYPERLINK("https://www.google.com/maps?q=-20.1161830,-44.8505240","Abrir no Google Maps")</f>
        <v>Abrir no Google Maps</v>
      </c>
      <c r="S5719">
        <v>3</v>
      </c>
      <c r="T5719">
        <v>1142.6607426309961</v>
      </c>
      <c r="U5719">
        <v>3</v>
      </c>
      <c r="V5719">
        <v>0.99122807017543857</v>
      </c>
      <c r="W5719">
        <v>1</v>
      </c>
      <c r="X5719">
        <v>0.99122807017543857</v>
      </c>
      <c r="Y5719">
        <v>350</v>
      </c>
      <c r="Z5719">
        <v>723.44841640590141</v>
      </c>
      <c r="AA5719">
        <v>198</v>
      </c>
      <c r="AB5719">
        <v>332</v>
      </c>
      <c r="AC5719">
        <v>536</v>
      </c>
      <c r="AD5719">
        <v>27.77</v>
      </c>
      <c r="AE5719">
        <v>542</v>
      </c>
      <c r="AF5719">
        <v>26</v>
      </c>
      <c r="AG5719">
        <v>163</v>
      </c>
      <c r="AH5719">
        <v>129</v>
      </c>
      <c r="AI5719">
        <v>4.8</v>
      </c>
      <c r="AJ5719">
        <v>30.07</v>
      </c>
      <c r="AK5719">
        <v>23.8</v>
      </c>
      <c r="AL5719">
        <v>-20.11605684999995</v>
      </c>
      <c r="AM5719">
        <v>-44.850832861808193</v>
      </c>
      <c r="AN5719">
        <v>-20.11605684999995</v>
      </c>
      <c r="AO5719">
        <v>-44.850832861808193</v>
      </c>
      <c r="AP5719">
        <v>-20.116182999999999</v>
      </c>
      <c r="AQ5719">
        <v>-44.850524</v>
      </c>
      <c r="AR5719">
        <v>35.207009729928053</v>
      </c>
      <c r="AS5719" t="s">
        <v>65</v>
      </c>
      <c r="AT5719">
        <v>1</v>
      </c>
      <c r="AU5719" t="s">
        <v>1092</v>
      </c>
      <c r="AV5719" t="s">
        <v>1093</v>
      </c>
      <c r="AW5719" t="s">
        <v>60</v>
      </c>
      <c r="AX5719" t="s">
        <v>68</v>
      </c>
      <c r="AY5719" t="s">
        <v>69</v>
      </c>
      <c r="AZ5719" t="b">
        <v>1</v>
      </c>
    </row>
    <row r="5720" spans="1:52" x14ac:dyDescent="0.3">
      <c r="A5720" t="s">
        <v>52</v>
      </c>
      <c r="B5720" t="s">
        <v>53</v>
      </c>
      <c r="C5720" t="s">
        <v>54</v>
      </c>
      <c r="D5720" t="s">
        <v>55</v>
      </c>
      <c r="E5720" t="s">
        <v>2280</v>
      </c>
      <c r="F5720" t="s">
        <v>190</v>
      </c>
      <c r="G5720" t="s">
        <v>1094</v>
      </c>
      <c r="H5720" t="s">
        <v>1095</v>
      </c>
      <c r="I5720" t="s">
        <v>1095</v>
      </c>
      <c r="J5720" t="s">
        <v>60</v>
      </c>
      <c r="K5720" t="s">
        <v>761</v>
      </c>
      <c r="L5720" t="s">
        <v>62</v>
      </c>
      <c r="M5720" t="s">
        <v>761</v>
      </c>
      <c r="N5720" t="s">
        <v>1096</v>
      </c>
      <c r="O5720" t="s">
        <v>1070</v>
      </c>
      <c r="P5720">
        <v>-20.122955999999999</v>
      </c>
      <c r="Q5720">
        <v>-44.847842</v>
      </c>
      <c r="R5720" s="2" t="str">
        <f>HYPERLINK("https://www.google.com/maps?q=-20.1229560,-44.8478420","Abrir no Google Maps")</f>
        <v>Abrir no Google Maps</v>
      </c>
      <c r="S5720">
        <v>3</v>
      </c>
      <c r="T5720">
        <v>611.23533866709147</v>
      </c>
      <c r="U5720">
        <v>3</v>
      </c>
      <c r="V5720">
        <v>0.99282296650717705</v>
      </c>
      <c r="W5720">
        <v>1</v>
      </c>
      <c r="X5720">
        <v>0.99282296650717705</v>
      </c>
      <c r="Y5720">
        <v>350</v>
      </c>
      <c r="Z5720">
        <v>567.3129443637539</v>
      </c>
      <c r="AA5720">
        <v>198</v>
      </c>
      <c r="AB5720">
        <v>332</v>
      </c>
      <c r="AC5720">
        <v>536</v>
      </c>
      <c r="AD5720">
        <v>27.77</v>
      </c>
      <c r="AE5720">
        <v>542</v>
      </c>
      <c r="AF5720">
        <v>26</v>
      </c>
      <c r="AG5720">
        <v>163</v>
      </c>
      <c r="AH5720">
        <v>129</v>
      </c>
      <c r="AI5720">
        <v>4.8</v>
      </c>
      <c r="AJ5720">
        <v>30.07</v>
      </c>
      <c r="AK5720">
        <v>23.8</v>
      </c>
      <c r="AL5720">
        <v>-20.122854299999972</v>
      </c>
      <c r="AM5720">
        <v>-44.847862495675152</v>
      </c>
      <c r="AN5720">
        <v>-20.122854299999972</v>
      </c>
      <c r="AO5720">
        <v>-44.847862495675152</v>
      </c>
      <c r="AP5720">
        <v>-20.122955999999999</v>
      </c>
      <c r="AQ5720">
        <v>-44.847842</v>
      </c>
      <c r="AR5720">
        <v>11.522154044835331</v>
      </c>
      <c r="AS5720" t="s">
        <v>65</v>
      </c>
      <c r="AT5720">
        <v>1</v>
      </c>
      <c r="AU5720" t="s">
        <v>1097</v>
      </c>
      <c r="AV5720" t="s">
        <v>1098</v>
      </c>
      <c r="AW5720" t="s">
        <v>60</v>
      </c>
      <c r="AX5720" t="s">
        <v>68</v>
      </c>
      <c r="AY5720" t="s">
        <v>69</v>
      </c>
      <c r="AZ5720" t="b">
        <v>1</v>
      </c>
    </row>
    <row r="5721" spans="1:52" x14ac:dyDescent="0.3">
      <c r="A5721" t="s">
        <v>52</v>
      </c>
      <c r="B5721" t="s">
        <v>53</v>
      </c>
      <c r="C5721" t="s">
        <v>54</v>
      </c>
      <c r="D5721" t="s">
        <v>55</v>
      </c>
      <c r="E5721" t="s">
        <v>2280</v>
      </c>
      <c r="F5721" t="s">
        <v>190</v>
      </c>
      <c r="G5721" t="s">
        <v>773</v>
      </c>
      <c r="H5721" t="s">
        <v>774</v>
      </c>
      <c r="I5721" t="s">
        <v>774</v>
      </c>
      <c r="J5721" t="s">
        <v>60</v>
      </c>
      <c r="K5721" t="s">
        <v>775</v>
      </c>
      <c r="L5721" t="s">
        <v>62</v>
      </c>
      <c r="M5721" t="s">
        <v>775</v>
      </c>
      <c r="N5721" t="s">
        <v>776</v>
      </c>
      <c r="O5721" t="s">
        <v>250</v>
      </c>
      <c r="P5721">
        <v>-20.135413</v>
      </c>
      <c r="Q5721">
        <v>-44.868969999999997</v>
      </c>
      <c r="R5721" s="2" t="str">
        <f>HYPERLINK("https://www.google.com/maps?q=-20.1354130,-44.8689700","Abrir no Google Maps")</f>
        <v>Abrir no Google Maps</v>
      </c>
      <c r="S5721">
        <v>3</v>
      </c>
      <c r="T5721">
        <v>403.5118397372845</v>
      </c>
      <c r="U5721">
        <v>3</v>
      </c>
      <c r="V5721">
        <v>0.99395161290322576</v>
      </c>
      <c r="W5721">
        <v>1</v>
      </c>
      <c r="X5721">
        <v>0.99395161290322576</v>
      </c>
      <c r="Y5721">
        <v>332</v>
      </c>
      <c r="Z5721">
        <v>455.74614750795899</v>
      </c>
      <c r="AA5721">
        <v>198</v>
      </c>
      <c r="AB5721">
        <v>332</v>
      </c>
      <c r="AC5721">
        <v>536</v>
      </c>
      <c r="AD5721">
        <v>27.77</v>
      </c>
      <c r="AE5721">
        <v>542</v>
      </c>
      <c r="AF5721">
        <v>26</v>
      </c>
      <c r="AG5721">
        <v>163</v>
      </c>
      <c r="AH5721">
        <v>129</v>
      </c>
      <c r="AI5721">
        <v>4.8</v>
      </c>
      <c r="AJ5721">
        <v>30.07</v>
      </c>
      <c r="AK5721">
        <v>23.8</v>
      </c>
      <c r="AL5721">
        <v>-20.13561149999995</v>
      </c>
      <c r="AM5721">
        <v>-44.868817260088647</v>
      </c>
      <c r="AN5721">
        <v>-20.13561149999995</v>
      </c>
      <c r="AO5721">
        <v>-44.868817260088647</v>
      </c>
      <c r="AP5721">
        <v>-20.135413</v>
      </c>
      <c r="AQ5721">
        <v>-44.868969999999997</v>
      </c>
      <c r="AR5721">
        <v>27.26024434808955</v>
      </c>
      <c r="AS5721" t="s">
        <v>65</v>
      </c>
      <c r="AT5721">
        <v>1</v>
      </c>
      <c r="AU5721" t="s">
        <v>777</v>
      </c>
      <c r="AV5721" t="s">
        <v>778</v>
      </c>
      <c r="AW5721" t="s">
        <v>60</v>
      </c>
      <c r="AX5721" t="s">
        <v>68</v>
      </c>
      <c r="AY5721" t="s">
        <v>69</v>
      </c>
      <c r="AZ5721" t="b">
        <v>1</v>
      </c>
    </row>
    <row r="5722" spans="1:52" x14ac:dyDescent="0.3">
      <c r="A5722" t="s">
        <v>52</v>
      </c>
      <c r="B5722" t="s">
        <v>53</v>
      </c>
      <c r="C5722" t="s">
        <v>54</v>
      </c>
      <c r="D5722" t="s">
        <v>55</v>
      </c>
      <c r="E5722" t="s">
        <v>2280</v>
      </c>
      <c r="F5722" t="s">
        <v>190</v>
      </c>
      <c r="G5722" t="s">
        <v>1104</v>
      </c>
      <c r="H5722" t="s">
        <v>1105</v>
      </c>
      <c r="I5722" t="s">
        <v>1105</v>
      </c>
      <c r="J5722" t="s">
        <v>60</v>
      </c>
      <c r="K5722" t="s">
        <v>781</v>
      </c>
      <c r="L5722" t="s">
        <v>62</v>
      </c>
      <c r="M5722" t="s">
        <v>781</v>
      </c>
      <c r="N5722" t="s">
        <v>1106</v>
      </c>
      <c r="O5722" t="s">
        <v>1080</v>
      </c>
      <c r="P5722">
        <v>-20.138683</v>
      </c>
      <c r="Q5722">
        <v>-44.868507999999999</v>
      </c>
      <c r="R5722" s="2" t="str">
        <f>HYPERLINK("https://www.google.com/maps?q=-20.1386830,-44.8685080","Abrir no Google Maps")</f>
        <v>Abrir no Google Maps</v>
      </c>
      <c r="S5722">
        <v>3</v>
      </c>
      <c r="T5722">
        <v>450.88210098833099</v>
      </c>
      <c r="U5722">
        <v>3</v>
      </c>
      <c r="V5722">
        <v>0.99404761904761918</v>
      </c>
      <c r="W5722">
        <v>1</v>
      </c>
      <c r="X5722">
        <v>0.99404761904761918</v>
      </c>
      <c r="Y5722">
        <v>332</v>
      </c>
      <c r="Z5722">
        <v>601.27669048153166</v>
      </c>
      <c r="AA5722">
        <v>198</v>
      </c>
      <c r="AB5722">
        <v>332</v>
      </c>
      <c r="AC5722">
        <v>536</v>
      </c>
      <c r="AD5722">
        <v>27.77</v>
      </c>
      <c r="AE5722">
        <v>542</v>
      </c>
      <c r="AF5722">
        <v>26</v>
      </c>
      <c r="AG5722">
        <v>163</v>
      </c>
      <c r="AH5722">
        <v>129</v>
      </c>
      <c r="AI5722">
        <v>4.8</v>
      </c>
      <c r="AJ5722">
        <v>30.07</v>
      </c>
      <c r="AK5722">
        <v>23.8</v>
      </c>
      <c r="AL5722">
        <v>-20.13870544999995</v>
      </c>
      <c r="AM5722">
        <v>-44.868521774012208</v>
      </c>
      <c r="AN5722">
        <v>-20.138705449999939</v>
      </c>
      <c r="AO5722">
        <v>-44.868521774012208</v>
      </c>
      <c r="AP5722">
        <v>-20.138683</v>
      </c>
      <c r="AQ5722">
        <v>-44.868507999999999</v>
      </c>
      <c r="AR5722">
        <v>2.8841042175322271</v>
      </c>
      <c r="AS5722" t="s">
        <v>65</v>
      </c>
      <c r="AT5722">
        <v>1</v>
      </c>
      <c r="AU5722" t="s">
        <v>1107</v>
      </c>
      <c r="AV5722" t="s">
        <v>1108</v>
      </c>
      <c r="AW5722" t="s">
        <v>60</v>
      </c>
      <c r="AX5722" t="s">
        <v>68</v>
      </c>
      <c r="AY5722" t="s">
        <v>69</v>
      </c>
      <c r="AZ5722" t="b">
        <v>1</v>
      </c>
    </row>
    <row r="5723" spans="1:52" x14ac:dyDescent="0.3">
      <c r="A5723" t="s">
        <v>52</v>
      </c>
      <c r="B5723" t="s">
        <v>53</v>
      </c>
      <c r="C5723" t="s">
        <v>54</v>
      </c>
      <c r="D5723" t="s">
        <v>55</v>
      </c>
      <c r="E5723" t="s">
        <v>2280</v>
      </c>
      <c r="F5723" t="s">
        <v>190</v>
      </c>
      <c r="G5723" t="s">
        <v>607</v>
      </c>
      <c r="H5723" t="s">
        <v>786</v>
      </c>
      <c r="I5723" t="s">
        <v>786</v>
      </c>
      <c r="J5723" t="s">
        <v>60</v>
      </c>
      <c r="K5723" t="s">
        <v>609</v>
      </c>
      <c r="L5723" t="s">
        <v>62</v>
      </c>
      <c r="M5723" t="s">
        <v>609</v>
      </c>
      <c r="N5723" t="s">
        <v>610</v>
      </c>
      <c r="O5723" t="s">
        <v>315</v>
      </c>
      <c r="P5723">
        <v>-20.108561999999999</v>
      </c>
      <c r="Q5723">
        <v>-44.883811000000001</v>
      </c>
      <c r="R5723" s="2" t="str">
        <f>HYPERLINK("https://www.google.com/maps?q=-20.1085620,-44.8838110","Abrir no Google Maps")</f>
        <v>Abrir no Google Maps</v>
      </c>
      <c r="S5723">
        <v>3</v>
      </c>
      <c r="T5723">
        <v>875.82813532572072</v>
      </c>
      <c r="U5723">
        <v>3</v>
      </c>
      <c r="V5723">
        <v>0.99251497005988043</v>
      </c>
      <c r="W5723">
        <v>1</v>
      </c>
      <c r="X5723">
        <v>0.99251497005988043</v>
      </c>
      <c r="Y5723">
        <v>314</v>
      </c>
      <c r="Z5723">
        <v>824.504668554717</v>
      </c>
      <c r="AA5723">
        <v>198</v>
      </c>
      <c r="AB5723">
        <v>332</v>
      </c>
      <c r="AC5723">
        <v>536</v>
      </c>
      <c r="AD5723">
        <v>27.77</v>
      </c>
      <c r="AE5723">
        <v>542</v>
      </c>
      <c r="AF5723">
        <v>26</v>
      </c>
      <c r="AG5723">
        <v>163</v>
      </c>
      <c r="AH5723">
        <v>129</v>
      </c>
      <c r="AI5723">
        <v>4.8</v>
      </c>
      <c r="AJ5723">
        <v>30.07</v>
      </c>
      <c r="AK5723">
        <v>23.8</v>
      </c>
      <c r="AL5723">
        <v>-20.108622949999951</v>
      </c>
      <c r="AM5723">
        <v>-44.884300516660261</v>
      </c>
      <c r="AN5723">
        <v>-20.108622949999951</v>
      </c>
      <c r="AO5723">
        <v>-44.884300516660261</v>
      </c>
      <c r="AP5723">
        <v>-20.108561999999999</v>
      </c>
      <c r="AQ5723">
        <v>-44.883811000000001</v>
      </c>
      <c r="AR5723">
        <v>51.619098272465493</v>
      </c>
      <c r="AS5723" t="s">
        <v>65</v>
      </c>
      <c r="AT5723">
        <v>1</v>
      </c>
      <c r="AU5723" t="s">
        <v>787</v>
      </c>
      <c r="AV5723" t="s">
        <v>788</v>
      </c>
      <c r="AW5723" t="s">
        <v>60</v>
      </c>
      <c r="AX5723" t="s">
        <v>68</v>
      </c>
      <c r="AY5723" t="s">
        <v>69</v>
      </c>
      <c r="AZ5723" t="b">
        <v>1</v>
      </c>
    </row>
    <row r="5724" spans="1:52" x14ac:dyDescent="0.3">
      <c r="A5724" t="s">
        <v>52</v>
      </c>
      <c r="B5724" t="s">
        <v>53</v>
      </c>
      <c r="C5724" t="s">
        <v>54</v>
      </c>
      <c r="D5724" t="s">
        <v>55</v>
      </c>
      <c r="E5724" t="s">
        <v>2280</v>
      </c>
      <c r="F5724" t="s">
        <v>190</v>
      </c>
      <c r="G5724" t="s">
        <v>789</v>
      </c>
      <c r="H5724" t="s">
        <v>790</v>
      </c>
      <c r="I5724" t="s">
        <v>790</v>
      </c>
      <c r="J5724" t="s">
        <v>60</v>
      </c>
      <c r="K5724" t="s">
        <v>791</v>
      </c>
      <c r="L5724" t="s">
        <v>62</v>
      </c>
      <c r="M5724" t="s">
        <v>791</v>
      </c>
      <c r="N5724" t="s">
        <v>792</v>
      </c>
      <c r="O5724" t="s">
        <v>793</v>
      </c>
      <c r="P5724">
        <v>-20.114263000000001</v>
      </c>
      <c r="Q5724">
        <v>-44.910150000000002</v>
      </c>
      <c r="R5724" s="2" t="str">
        <f>HYPERLINK("https://www.google.com/maps?q=-20.1142630,-44.9101500","Abrir no Google Maps")</f>
        <v>Abrir no Google Maps</v>
      </c>
      <c r="S5724">
        <v>3</v>
      </c>
      <c r="T5724">
        <v>1039.6249825628629</v>
      </c>
      <c r="U5724">
        <v>3</v>
      </c>
      <c r="V5724">
        <v>0.98520710059171601</v>
      </c>
      <c r="W5724">
        <v>1</v>
      </c>
      <c r="X5724">
        <v>0.98520710059171601</v>
      </c>
      <c r="Y5724">
        <v>300</v>
      </c>
      <c r="Z5724">
        <v>1156.8405524690361</v>
      </c>
      <c r="AA5724">
        <v>198</v>
      </c>
      <c r="AB5724">
        <v>332</v>
      </c>
      <c r="AC5724">
        <v>536</v>
      </c>
      <c r="AD5724">
        <v>27.77</v>
      </c>
      <c r="AE5724">
        <v>542</v>
      </c>
      <c r="AF5724">
        <v>26</v>
      </c>
      <c r="AG5724">
        <v>163</v>
      </c>
      <c r="AH5724">
        <v>129</v>
      </c>
      <c r="AI5724">
        <v>4.8</v>
      </c>
      <c r="AJ5724">
        <v>30.07</v>
      </c>
      <c r="AK5724">
        <v>23.8</v>
      </c>
      <c r="AL5724">
        <v>-20.113823899999939</v>
      </c>
      <c r="AM5724">
        <v>-44.910704705968108</v>
      </c>
      <c r="AN5724">
        <v>-20.113823899999939</v>
      </c>
      <c r="AO5724">
        <v>-44.910704705968108</v>
      </c>
      <c r="AP5724">
        <v>-20.114263000000001</v>
      </c>
      <c r="AQ5724">
        <v>-44.910150000000002</v>
      </c>
      <c r="AR5724">
        <v>75.838236800419978</v>
      </c>
      <c r="AS5724" t="s">
        <v>65</v>
      </c>
      <c r="AT5724">
        <v>1</v>
      </c>
      <c r="AU5724" t="s">
        <v>794</v>
      </c>
      <c r="AV5724" t="s">
        <v>795</v>
      </c>
      <c r="AW5724" t="s">
        <v>60</v>
      </c>
      <c r="AX5724" t="s">
        <v>68</v>
      </c>
      <c r="AY5724" t="s">
        <v>69</v>
      </c>
      <c r="AZ5724" t="b">
        <v>1</v>
      </c>
    </row>
    <row r="5725" spans="1:52" x14ac:dyDescent="0.3">
      <c r="A5725" t="s">
        <v>52</v>
      </c>
      <c r="B5725" t="s">
        <v>53</v>
      </c>
      <c r="C5725" t="s">
        <v>54</v>
      </c>
      <c r="D5725" t="s">
        <v>55</v>
      </c>
      <c r="E5725" t="s">
        <v>2280</v>
      </c>
      <c r="F5725" t="s">
        <v>190</v>
      </c>
      <c r="G5725" t="s">
        <v>1763</v>
      </c>
      <c r="H5725" t="s">
        <v>1764</v>
      </c>
      <c r="I5725" t="s">
        <v>1764</v>
      </c>
      <c r="J5725" t="s">
        <v>60</v>
      </c>
      <c r="K5725" t="s">
        <v>798</v>
      </c>
      <c r="L5725" t="s">
        <v>62</v>
      </c>
      <c r="M5725" t="s">
        <v>798</v>
      </c>
      <c r="N5725" t="s">
        <v>1765</v>
      </c>
      <c r="O5725" t="s">
        <v>1766</v>
      </c>
      <c r="P5725">
        <v>-20.111158</v>
      </c>
      <c r="Q5725">
        <v>-44.901231000000003</v>
      </c>
      <c r="R5725" s="2" t="str">
        <f>HYPERLINK("https://www.google.com/maps?q=-20.1111580,-44.9012310","Abrir no Google Maps")</f>
        <v>Abrir no Google Maps</v>
      </c>
      <c r="S5725">
        <v>3</v>
      </c>
      <c r="T5725">
        <v>0</v>
      </c>
      <c r="U5725">
        <v>3</v>
      </c>
      <c r="V5725">
        <v>0.99299065420560761</v>
      </c>
      <c r="W5725">
        <v>1</v>
      </c>
      <c r="X5725">
        <v>0.99299065420560761</v>
      </c>
      <c r="Y5725">
        <v>300</v>
      </c>
      <c r="Z5725">
        <v>159.5707781627477</v>
      </c>
      <c r="AA5725">
        <v>198</v>
      </c>
      <c r="AB5725">
        <v>332</v>
      </c>
      <c r="AC5725">
        <v>536</v>
      </c>
      <c r="AD5725">
        <v>27.77</v>
      </c>
      <c r="AE5725">
        <v>542</v>
      </c>
      <c r="AF5725">
        <v>26</v>
      </c>
      <c r="AG5725">
        <v>163</v>
      </c>
      <c r="AH5725">
        <v>129</v>
      </c>
      <c r="AI5725">
        <v>4.8</v>
      </c>
      <c r="AJ5725">
        <v>30.07</v>
      </c>
      <c r="AK5725">
        <v>23.8</v>
      </c>
      <c r="AL5725">
        <v>-20.111381299999941</v>
      </c>
      <c r="AM5725">
        <v>-44.90110111260114</v>
      </c>
      <c r="AN5725">
        <v>-20.111381299999941</v>
      </c>
      <c r="AO5725">
        <v>-44.90110111260114</v>
      </c>
      <c r="AP5725">
        <v>-20.111158</v>
      </c>
      <c r="AQ5725">
        <v>-44.901231000000003</v>
      </c>
      <c r="AR5725">
        <v>28.32410367036935</v>
      </c>
      <c r="AS5725" t="s">
        <v>65</v>
      </c>
      <c r="AT5725">
        <v>1</v>
      </c>
      <c r="AU5725" t="s">
        <v>1767</v>
      </c>
      <c r="AV5725" t="s">
        <v>1768</v>
      </c>
      <c r="AW5725" t="s">
        <v>60</v>
      </c>
      <c r="AX5725" t="s">
        <v>68</v>
      </c>
      <c r="AY5725" t="s">
        <v>69</v>
      </c>
      <c r="AZ5725" t="b">
        <v>1</v>
      </c>
    </row>
    <row r="5726" spans="1:52" x14ac:dyDescent="0.3">
      <c r="A5726" t="s">
        <v>52</v>
      </c>
      <c r="B5726" t="s">
        <v>53</v>
      </c>
      <c r="C5726" t="s">
        <v>54</v>
      </c>
      <c r="D5726" t="s">
        <v>55</v>
      </c>
      <c r="E5726" t="s">
        <v>2280</v>
      </c>
      <c r="F5726" t="s">
        <v>190</v>
      </c>
      <c r="G5726" t="s">
        <v>1769</v>
      </c>
      <c r="H5726" t="s">
        <v>1770</v>
      </c>
      <c r="I5726" t="s">
        <v>1770</v>
      </c>
      <c r="J5726" t="s">
        <v>60</v>
      </c>
      <c r="K5726" t="s">
        <v>791</v>
      </c>
      <c r="L5726" t="s">
        <v>62</v>
      </c>
      <c r="M5726" t="s">
        <v>791</v>
      </c>
      <c r="N5726" t="s">
        <v>1771</v>
      </c>
      <c r="O5726" t="s">
        <v>494</v>
      </c>
      <c r="P5726">
        <v>-20.108464999999999</v>
      </c>
      <c r="Q5726">
        <v>-44.902169000000001</v>
      </c>
      <c r="R5726" s="2" t="str">
        <f>HYPERLINK("https://www.google.com/maps?q=-20.1084650,-44.9021690","Abrir no Google Maps")</f>
        <v>Abrir no Google Maps</v>
      </c>
      <c r="S5726">
        <v>3</v>
      </c>
      <c r="T5726">
        <v>332.55452480320798</v>
      </c>
      <c r="U5726">
        <v>3</v>
      </c>
      <c r="V5726">
        <v>0.99530516431924876</v>
      </c>
      <c r="W5726">
        <v>1</v>
      </c>
      <c r="X5726">
        <v>0.99530516431924876</v>
      </c>
      <c r="Y5726">
        <v>300</v>
      </c>
      <c r="Z5726">
        <v>139.01495543278119</v>
      </c>
      <c r="AA5726">
        <v>198</v>
      </c>
      <c r="AB5726">
        <v>332</v>
      </c>
      <c r="AC5726">
        <v>536</v>
      </c>
      <c r="AD5726">
        <v>27.77</v>
      </c>
      <c r="AE5726">
        <v>542</v>
      </c>
      <c r="AF5726">
        <v>26</v>
      </c>
      <c r="AG5726">
        <v>163</v>
      </c>
      <c r="AH5726">
        <v>129</v>
      </c>
      <c r="AI5726">
        <v>4.8</v>
      </c>
      <c r="AJ5726">
        <v>30.07</v>
      </c>
      <c r="AK5726">
        <v>23.8</v>
      </c>
      <c r="AL5726">
        <v>-20.108420149999969</v>
      </c>
      <c r="AM5726">
        <v>-44.90164352007664</v>
      </c>
      <c r="AN5726">
        <v>-20.108420149999969</v>
      </c>
      <c r="AO5726">
        <v>-44.90164352007664</v>
      </c>
      <c r="AP5726">
        <v>-20.108464999999999</v>
      </c>
      <c r="AQ5726">
        <v>-44.902169000000001</v>
      </c>
      <c r="AR5726">
        <v>55.157130612493773</v>
      </c>
      <c r="AS5726" t="s">
        <v>65</v>
      </c>
      <c r="AT5726">
        <v>1</v>
      </c>
      <c r="AU5726" t="s">
        <v>1772</v>
      </c>
      <c r="AV5726" t="s">
        <v>1773</v>
      </c>
      <c r="AW5726" t="s">
        <v>60</v>
      </c>
      <c r="AX5726" t="s">
        <v>68</v>
      </c>
      <c r="AY5726" t="s">
        <v>69</v>
      </c>
      <c r="AZ5726" t="b">
        <v>1</v>
      </c>
    </row>
    <row r="5727" spans="1:52" x14ac:dyDescent="0.3">
      <c r="A5727" t="s">
        <v>52</v>
      </c>
      <c r="B5727" t="s">
        <v>53</v>
      </c>
      <c r="C5727" t="s">
        <v>54</v>
      </c>
      <c r="D5727" t="s">
        <v>55</v>
      </c>
      <c r="E5727" t="s">
        <v>2280</v>
      </c>
      <c r="F5727" t="s">
        <v>190</v>
      </c>
      <c r="G5727" t="s">
        <v>796</v>
      </c>
      <c r="H5727" t="s">
        <v>797</v>
      </c>
      <c r="I5727" t="s">
        <v>797</v>
      </c>
      <c r="J5727" t="s">
        <v>60</v>
      </c>
      <c r="K5727" t="s">
        <v>798</v>
      </c>
      <c r="L5727" t="s">
        <v>62</v>
      </c>
      <c r="M5727" t="s">
        <v>798</v>
      </c>
      <c r="N5727" t="s">
        <v>799</v>
      </c>
      <c r="O5727" t="s">
        <v>800</v>
      </c>
      <c r="P5727">
        <v>-20.105681000000001</v>
      </c>
      <c r="Q5727">
        <v>-44.902771999999999</v>
      </c>
      <c r="R5727" s="2" t="str">
        <f>HYPERLINK("https://www.google.com/maps?q=-20.1056810,-44.9027720","Abrir no Google Maps")</f>
        <v>Abrir no Google Maps</v>
      </c>
      <c r="S5727">
        <v>3</v>
      </c>
      <c r="T5727">
        <v>654.76334876090721</v>
      </c>
      <c r="U5727">
        <v>3</v>
      </c>
      <c r="V5727">
        <v>0.98826291079812201</v>
      </c>
      <c r="W5727">
        <v>1</v>
      </c>
      <c r="X5727">
        <v>0.98826291079812201</v>
      </c>
      <c r="Y5727">
        <v>300</v>
      </c>
      <c r="Z5727">
        <v>473.90209409135377</v>
      </c>
      <c r="AA5727">
        <v>198</v>
      </c>
      <c r="AB5727">
        <v>332</v>
      </c>
      <c r="AC5727">
        <v>536</v>
      </c>
      <c r="AD5727">
        <v>27.77</v>
      </c>
      <c r="AE5727">
        <v>542</v>
      </c>
      <c r="AF5727">
        <v>26</v>
      </c>
      <c r="AG5727">
        <v>163</v>
      </c>
      <c r="AH5727">
        <v>129</v>
      </c>
      <c r="AI5727">
        <v>4.8</v>
      </c>
      <c r="AJ5727">
        <v>30.07</v>
      </c>
      <c r="AK5727">
        <v>23.8</v>
      </c>
      <c r="AL5727">
        <v>-20.105710249999959</v>
      </c>
      <c r="AM5727">
        <v>-44.902887601574513</v>
      </c>
      <c r="AN5727">
        <v>-20.105710249999959</v>
      </c>
      <c r="AO5727">
        <v>-44.902887601574513</v>
      </c>
      <c r="AP5727">
        <v>-20.105681000000001</v>
      </c>
      <c r="AQ5727">
        <v>-44.902771999999999</v>
      </c>
      <c r="AR5727">
        <v>12.5155291382583</v>
      </c>
      <c r="AS5727" t="s">
        <v>65</v>
      </c>
      <c r="AT5727">
        <v>1</v>
      </c>
      <c r="AU5727" t="s">
        <v>801</v>
      </c>
      <c r="AV5727" t="s">
        <v>802</v>
      </c>
      <c r="AW5727" t="s">
        <v>60</v>
      </c>
      <c r="AX5727" t="s">
        <v>68</v>
      </c>
      <c r="AY5727" t="s">
        <v>69</v>
      </c>
      <c r="AZ5727" t="b">
        <v>1</v>
      </c>
    </row>
    <row r="5728" spans="1:52" x14ac:dyDescent="0.3">
      <c r="A5728" t="s">
        <v>52</v>
      </c>
      <c r="B5728" t="s">
        <v>53</v>
      </c>
      <c r="C5728" t="s">
        <v>54</v>
      </c>
      <c r="D5728" t="s">
        <v>55</v>
      </c>
      <c r="E5728" t="s">
        <v>2280</v>
      </c>
      <c r="F5728" t="s">
        <v>190</v>
      </c>
      <c r="G5728" t="s">
        <v>1157</v>
      </c>
      <c r="H5728" t="s">
        <v>1158</v>
      </c>
      <c r="I5728" t="s">
        <v>1158</v>
      </c>
      <c r="J5728" t="s">
        <v>60</v>
      </c>
      <c r="K5728" t="s">
        <v>791</v>
      </c>
      <c r="L5728" t="s">
        <v>62</v>
      </c>
      <c r="M5728" t="s">
        <v>791</v>
      </c>
      <c r="N5728" t="s">
        <v>1159</v>
      </c>
      <c r="O5728" t="s">
        <v>1160</v>
      </c>
      <c r="P5728">
        <v>-20.108114</v>
      </c>
      <c r="Q5728">
        <v>-44.905804000000003</v>
      </c>
      <c r="R5728" s="2" t="str">
        <f>HYPERLINK("https://www.google.com/maps?q=-20.1081140,-44.9058040","Abrir no Google Maps")</f>
        <v>Abrir no Google Maps</v>
      </c>
      <c r="S5728">
        <v>3</v>
      </c>
      <c r="T5728">
        <v>603.1428230097074</v>
      </c>
      <c r="U5728">
        <v>3</v>
      </c>
      <c r="V5728">
        <v>0.99534161490683237</v>
      </c>
      <c r="W5728">
        <v>1</v>
      </c>
      <c r="X5728">
        <v>0.99534161490683237</v>
      </c>
      <c r="Y5728">
        <v>300</v>
      </c>
      <c r="Z5728">
        <v>444.71482981499793</v>
      </c>
      <c r="AA5728">
        <v>198</v>
      </c>
      <c r="AB5728">
        <v>332</v>
      </c>
      <c r="AC5728">
        <v>536</v>
      </c>
      <c r="AD5728">
        <v>27.77</v>
      </c>
      <c r="AE5728">
        <v>542</v>
      </c>
      <c r="AF5728">
        <v>26</v>
      </c>
      <c r="AG5728">
        <v>163</v>
      </c>
      <c r="AH5728">
        <v>129</v>
      </c>
      <c r="AI5728">
        <v>4.8</v>
      </c>
      <c r="AJ5728">
        <v>30.07</v>
      </c>
      <c r="AK5728">
        <v>23.8</v>
      </c>
      <c r="AL5728">
        <v>-20.108146549999962</v>
      </c>
      <c r="AM5728">
        <v>-44.905744943453513</v>
      </c>
      <c r="AN5728">
        <v>-20.108146549999962</v>
      </c>
      <c r="AO5728">
        <v>-44.905744943453513</v>
      </c>
      <c r="AP5728">
        <v>-20.108114</v>
      </c>
      <c r="AQ5728">
        <v>-44.905804000000003</v>
      </c>
      <c r="AR5728">
        <v>7.1582799138071884</v>
      </c>
      <c r="AS5728" t="s">
        <v>65</v>
      </c>
      <c r="AT5728">
        <v>1</v>
      </c>
      <c r="AU5728" t="s">
        <v>1161</v>
      </c>
      <c r="AV5728" t="s">
        <v>1162</v>
      </c>
      <c r="AW5728" t="s">
        <v>60</v>
      </c>
      <c r="AX5728" t="s">
        <v>68</v>
      </c>
      <c r="AY5728" t="s">
        <v>69</v>
      </c>
      <c r="AZ5728" t="b">
        <v>1</v>
      </c>
    </row>
    <row r="5729" spans="1:52" x14ac:dyDescent="0.3">
      <c r="A5729" t="s">
        <v>52</v>
      </c>
      <c r="B5729" t="s">
        <v>53</v>
      </c>
      <c r="C5729" t="s">
        <v>54</v>
      </c>
      <c r="D5729" t="s">
        <v>55</v>
      </c>
      <c r="E5729" t="s">
        <v>2280</v>
      </c>
      <c r="F5729" t="s">
        <v>190</v>
      </c>
      <c r="G5729" t="s">
        <v>1785</v>
      </c>
      <c r="H5729" t="s">
        <v>1786</v>
      </c>
      <c r="I5729" t="s">
        <v>1786</v>
      </c>
      <c r="J5729" t="s">
        <v>60</v>
      </c>
      <c r="K5729" t="s">
        <v>323</v>
      </c>
      <c r="L5729" t="s">
        <v>62</v>
      </c>
      <c r="M5729" t="s">
        <v>323</v>
      </c>
      <c r="N5729" t="s">
        <v>1787</v>
      </c>
      <c r="O5729" t="s">
        <v>166</v>
      </c>
      <c r="P5729">
        <v>-20.150456999999999</v>
      </c>
      <c r="Q5729">
        <v>-44.859959000000003</v>
      </c>
      <c r="R5729" s="2" t="str">
        <f>HYPERLINK("https://www.google.com/maps?q=-20.1504570,-44.8599590","Abrir no Google Maps")</f>
        <v>Abrir no Google Maps</v>
      </c>
      <c r="S5729">
        <v>3</v>
      </c>
      <c r="T5729">
        <v>658.64381182775185</v>
      </c>
      <c r="U5729">
        <v>3</v>
      </c>
      <c r="V5729">
        <v>0.99074074074074081</v>
      </c>
      <c r="W5729">
        <v>1</v>
      </c>
      <c r="X5729">
        <v>0.99074074074074081</v>
      </c>
      <c r="Y5729">
        <v>264</v>
      </c>
      <c r="Z5729">
        <v>516.83560872131818</v>
      </c>
      <c r="AA5729">
        <v>198</v>
      </c>
      <c r="AB5729">
        <v>332</v>
      </c>
      <c r="AC5729">
        <v>536</v>
      </c>
      <c r="AD5729">
        <v>27.77</v>
      </c>
      <c r="AE5729">
        <v>542</v>
      </c>
      <c r="AF5729">
        <v>26</v>
      </c>
      <c r="AG5729">
        <v>163</v>
      </c>
      <c r="AH5729">
        <v>129</v>
      </c>
      <c r="AI5729">
        <v>4.8</v>
      </c>
      <c r="AJ5729">
        <v>30.07</v>
      </c>
      <c r="AK5729">
        <v>23.8</v>
      </c>
      <c r="AL5729">
        <v>-20.150445899999969</v>
      </c>
      <c r="AM5729">
        <v>-44.860119388819953</v>
      </c>
      <c r="AN5729">
        <v>-20.150445899999969</v>
      </c>
      <c r="AO5729">
        <v>-44.860119388819953</v>
      </c>
      <c r="AP5729">
        <v>-20.150456999999999</v>
      </c>
      <c r="AQ5729">
        <v>-44.859959000000003</v>
      </c>
      <c r="AR5729">
        <v>16.807117810283469</v>
      </c>
      <c r="AS5729" t="s">
        <v>65</v>
      </c>
      <c r="AT5729">
        <v>1</v>
      </c>
      <c r="AU5729" t="s">
        <v>1788</v>
      </c>
      <c r="AV5729" t="s">
        <v>1789</v>
      </c>
      <c r="AW5729" t="s">
        <v>60</v>
      </c>
      <c r="AX5729" t="s">
        <v>68</v>
      </c>
      <c r="AY5729" t="s">
        <v>69</v>
      </c>
      <c r="AZ5729" t="b">
        <v>1</v>
      </c>
    </row>
    <row r="5730" spans="1:52" x14ac:dyDescent="0.3">
      <c r="A5730" t="s">
        <v>52</v>
      </c>
      <c r="B5730" t="s">
        <v>53</v>
      </c>
      <c r="C5730" t="s">
        <v>54</v>
      </c>
      <c r="D5730" t="s">
        <v>55</v>
      </c>
      <c r="E5730" t="s">
        <v>2280</v>
      </c>
      <c r="F5730" t="s">
        <v>190</v>
      </c>
      <c r="G5730" t="s">
        <v>1175</v>
      </c>
      <c r="H5730" t="s">
        <v>1176</v>
      </c>
      <c r="I5730" t="s">
        <v>1176</v>
      </c>
      <c r="J5730" t="s">
        <v>60</v>
      </c>
      <c r="K5730" t="s">
        <v>1177</v>
      </c>
      <c r="L5730" t="s">
        <v>62</v>
      </c>
      <c r="M5730" t="s">
        <v>1177</v>
      </c>
      <c r="N5730" t="s">
        <v>1178</v>
      </c>
      <c r="O5730" t="s">
        <v>1179</v>
      </c>
      <c r="P5730">
        <v>-20.153393000000001</v>
      </c>
      <c r="Q5730">
        <v>-44.865701999999999</v>
      </c>
      <c r="R5730" s="2" t="str">
        <f>HYPERLINK("https://www.google.com/maps?q=-20.1533930,-44.8657020","Abrir no Google Maps")</f>
        <v>Abrir no Google Maps</v>
      </c>
      <c r="S5730">
        <v>3</v>
      </c>
      <c r="T5730">
        <v>0</v>
      </c>
      <c r="U5730">
        <v>3</v>
      </c>
      <c r="V5730">
        <v>0.97687224669603523</v>
      </c>
      <c r="W5730">
        <v>1</v>
      </c>
      <c r="X5730">
        <v>0.97687224669603523</v>
      </c>
      <c r="Y5730">
        <v>264</v>
      </c>
      <c r="Z5730">
        <v>187.61117597536</v>
      </c>
      <c r="AA5730">
        <v>198</v>
      </c>
      <c r="AB5730">
        <v>332</v>
      </c>
      <c r="AC5730">
        <v>536</v>
      </c>
      <c r="AD5730">
        <v>27.77</v>
      </c>
      <c r="AE5730">
        <v>542</v>
      </c>
      <c r="AF5730">
        <v>26</v>
      </c>
      <c r="AG5730">
        <v>163</v>
      </c>
      <c r="AH5730">
        <v>129</v>
      </c>
      <c r="AI5730">
        <v>4.8</v>
      </c>
      <c r="AJ5730">
        <v>30.07</v>
      </c>
      <c r="AK5730">
        <v>23.8</v>
      </c>
      <c r="AL5730">
        <v>-20.153365199999971</v>
      </c>
      <c r="AM5730">
        <v>-44.865611713780503</v>
      </c>
      <c r="AN5730">
        <v>-20.153365199999971</v>
      </c>
      <c r="AO5730">
        <v>-44.865611713780503</v>
      </c>
      <c r="AP5730">
        <v>-20.153393000000001</v>
      </c>
      <c r="AQ5730">
        <v>-44.865701999999999</v>
      </c>
      <c r="AR5730">
        <v>9.9298532940923003</v>
      </c>
      <c r="AS5730" t="s">
        <v>65</v>
      </c>
      <c r="AT5730">
        <v>1</v>
      </c>
      <c r="AU5730" t="s">
        <v>1180</v>
      </c>
      <c r="AV5730" t="s">
        <v>1181</v>
      </c>
      <c r="AW5730" t="s">
        <v>60</v>
      </c>
      <c r="AX5730" t="s">
        <v>68</v>
      </c>
      <c r="AY5730" t="s">
        <v>69</v>
      </c>
      <c r="AZ5730" t="b">
        <v>1</v>
      </c>
    </row>
    <row r="5731" spans="1:52" x14ac:dyDescent="0.3">
      <c r="A5731" t="s">
        <v>52</v>
      </c>
      <c r="B5731" t="s">
        <v>53</v>
      </c>
      <c r="C5731" t="s">
        <v>54</v>
      </c>
      <c r="D5731" t="s">
        <v>55</v>
      </c>
      <c r="E5731" t="s">
        <v>2280</v>
      </c>
      <c r="F5731" t="s">
        <v>190</v>
      </c>
      <c r="G5731" t="s">
        <v>810</v>
      </c>
      <c r="H5731" t="s">
        <v>811</v>
      </c>
      <c r="I5731" t="s">
        <v>811</v>
      </c>
      <c r="J5731" t="s">
        <v>60</v>
      </c>
      <c r="K5731" t="s">
        <v>805</v>
      </c>
      <c r="L5731" t="s">
        <v>62</v>
      </c>
      <c r="M5731" t="s">
        <v>805</v>
      </c>
      <c r="N5731" t="s">
        <v>812</v>
      </c>
      <c r="O5731" t="s">
        <v>309</v>
      </c>
      <c r="P5731">
        <v>-20.129868999999999</v>
      </c>
      <c r="Q5731">
        <v>-44.884247999999999</v>
      </c>
      <c r="R5731" s="2" t="str">
        <f>HYPERLINK("https://www.google.com/maps?q=-20.1298690,-44.8842480","Abrir no Google Maps")</f>
        <v>Abrir no Google Maps</v>
      </c>
      <c r="S5731">
        <v>3</v>
      </c>
      <c r="T5731">
        <v>434.82198084080329</v>
      </c>
      <c r="U5731">
        <v>3</v>
      </c>
      <c r="V5731">
        <v>0.98918918918918919</v>
      </c>
      <c r="W5731">
        <v>1</v>
      </c>
      <c r="X5731">
        <v>0.98918918918918919</v>
      </c>
      <c r="Y5731">
        <v>259</v>
      </c>
      <c r="Z5731">
        <v>281.76247768049842</v>
      </c>
      <c r="AA5731">
        <v>198</v>
      </c>
      <c r="AB5731">
        <v>332</v>
      </c>
      <c r="AC5731">
        <v>536</v>
      </c>
      <c r="AD5731">
        <v>27.77</v>
      </c>
      <c r="AE5731">
        <v>542</v>
      </c>
      <c r="AF5731">
        <v>26</v>
      </c>
      <c r="AG5731">
        <v>163</v>
      </c>
      <c r="AH5731">
        <v>129</v>
      </c>
      <c r="AI5731">
        <v>4.8</v>
      </c>
      <c r="AJ5731">
        <v>30.07</v>
      </c>
      <c r="AK5731">
        <v>23.8</v>
      </c>
      <c r="AL5731">
        <v>-20.129927549999959</v>
      </c>
      <c r="AM5731">
        <v>-44.884228133573217</v>
      </c>
      <c r="AN5731">
        <v>-20.129927549999959</v>
      </c>
      <c r="AO5731">
        <v>-44.884228133573217</v>
      </c>
      <c r="AP5731">
        <v>-20.129868999999999</v>
      </c>
      <c r="AQ5731">
        <v>-44.884247999999999</v>
      </c>
      <c r="AR5731">
        <v>6.8405504803478081</v>
      </c>
      <c r="AS5731" t="s">
        <v>65</v>
      </c>
      <c r="AT5731">
        <v>1</v>
      </c>
      <c r="AU5731" t="s">
        <v>813</v>
      </c>
      <c r="AV5731" t="s">
        <v>814</v>
      </c>
      <c r="AW5731" t="s">
        <v>60</v>
      </c>
      <c r="AX5731" t="s">
        <v>68</v>
      </c>
      <c r="AY5731" t="s">
        <v>69</v>
      </c>
      <c r="AZ5731" t="b">
        <v>1</v>
      </c>
    </row>
    <row r="5732" spans="1:52" x14ac:dyDescent="0.3">
      <c r="A5732" t="s">
        <v>52</v>
      </c>
      <c r="B5732" t="s">
        <v>53</v>
      </c>
      <c r="C5732" t="s">
        <v>54</v>
      </c>
      <c r="D5732" t="s">
        <v>55</v>
      </c>
      <c r="E5732" t="s">
        <v>2280</v>
      </c>
      <c r="F5732" t="s">
        <v>190</v>
      </c>
      <c r="G5732" t="s">
        <v>815</v>
      </c>
      <c r="H5732" t="s">
        <v>816</v>
      </c>
      <c r="I5732" t="s">
        <v>816</v>
      </c>
      <c r="J5732" t="s">
        <v>60</v>
      </c>
      <c r="K5732" t="s">
        <v>805</v>
      </c>
      <c r="L5732" t="s">
        <v>62</v>
      </c>
      <c r="M5732" t="s">
        <v>805</v>
      </c>
      <c r="N5732" t="s">
        <v>817</v>
      </c>
      <c r="O5732" t="s">
        <v>818</v>
      </c>
      <c r="P5732">
        <v>-20.129894</v>
      </c>
      <c r="Q5732">
        <v>-44.886285000000001</v>
      </c>
      <c r="R5732" s="2" t="str">
        <f>HYPERLINK("https://www.google.com/maps?q=-20.1298940,-44.8862850","Abrir no Google Maps")</f>
        <v>Abrir no Google Maps</v>
      </c>
      <c r="S5732">
        <v>3</v>
      </c>
      <c r="T5732">
        <v>245.88570896460399</v>
      </c>
      <c r="U5732">
        <v>3</v>
      </c>
      <c r="V5732">
        <v>0.90436241610738244</v>
      </c>
      <c r="W5732">
        <v>1</v>
      </c>
      <c r="X5732">
        <v>0.90436241610738244</v>
      </c>
      <c r="Y5732">
        <v>259</v>
      </c>
      <c r="Z5732">
        <v>274.53833463725539</v>
      </c>
      <c r="AA5732">
        <v>198</v>
      </c>
      <c r="AB5732">
        <v>332</v>
      </c>
      <c r="AC5732">
        <v>536</v>
      </c>
      <c r="AD5732">
        <v>27.77</v>
      </c>
      <c r="AE5732">
        <v>542</v>
      </c>
      <c r="AF5732">
        <v>26</v>
      </c>
      <c r="AG5732">
        <v>163</v>
      </c>
      <c r="AH5732">
        <v>129</v>
      </c>
      <c r="AI5732">
        <v>4.8</v>
      </c>
      <c r="AJ5732">
        <v>30.07</v>
      </c>
      <c r="AK5732">
        <v>23.8</v>
      </c>
      <c r="AL5732">
        <v>-20.129900749999969</v>
      </c>
      <c r="AM5732">
        <v>-44.886258682425179</v>
      </c>
      <c r="AN5732">
        <v>-20.129900749999969</v>
      </c>
      <c r="AO5732">
        <v>-44.886258682425179</v>
      </c>
      <c r="AP5732">
        <v>-20.129894</v>
      </c>
      <c r="AQ5732">
        <v>-44.886285000000001</v>
      </c>
      <c r="AR5732">
        <v>2.851497427576585</v>
      </c>
      <c r="AS5732" t="s">
        <v>65</v>
      </c>
      <c r="AT5732">
        <v>1</v>
      </c>
      <c r="AU5732" t="s">
        <v>819</v>
      </c>
      <c r="AV5732" t="s">
        <v>814</v>
      </c>
      <c r="AW5732" t="s">
        <v>60</v>
      </c>
      <c r="AX5732" t="s">
        <v>68</v>
      </c>
      <c r="AY5732" t="s">
        <v>69</v>
      </c>
      <c r="AZ5732" t="b">
        <v>1</v>
      </c>
    </row>
    <row r="5733" spans="1:52" x14ac:dyDescent="0.3">
      <c r="A5733" t="s">
        <v>52</v>
      </c>
      <c r="B5733" t="s">
        <v>53</v>
      </c>
      <c r="C5733" t="s">
        <v>54</v>
      </c>
      <c r="D5733" t="s">
        <v>55</v>
      </c>
      <c r="E5733" t="s">
        <v>2280</v>
      </c>
      <c r="F5733" t="s">
        <v>190</v>
      </c>
      <c r="G5733" t="s">
        <v>1187</v>
      </c>
      <c r="H5733" t="s">
        <v>1188</v>
      </c>
      <c r="I5733" t="s">
        <v>1188</v>
      </c>
      <c r="J5733" t="s">
        <v>60</v>
      </c>
      <c r="K5733" t="s">
        <v>1177</v>
      </c>
      <c r="L5733" t="s">
        <v>62</v>
      </c>
      <c r="M5733" t="s">
        <v>1177</v>
      </c>
      <c r="N5733" t="s">
        <v>1189</v>
      </c>
      <c r="O5733" t="s">
        <v>1190</v>
      </c>
      <c r="P5733">
        <v>-20.151606999999998</v>
      </c>
      <c r="Q5733">
        <v>-44.870784999999998</v>
      </c>
      <c r="R5733" s="2" t="str">
        <f>HYPERLINK("https://www.google.com/maps?q=-20.1516070,-44.8707850","Abrir no Google Maps")</f>
        <v>Abrir no Google Maps</v>
      </c>
      <c r="S5733">
        <v>3</v>
      </c>
      <c r="T5733">
        <v>592.7601508996878</v>
      </c>
      <c r="U5733">
        <v>3</v>
      </c>
      <c r="V5733">
        <v>0.98497267759562845</v>
      </c>
      <c r="W5733">
        <v>1</v>
      </c>
      <c r="X5733">
        <v>0.98497267759562845</v>
      </c>
      <c r="Y5733">
        <v>198</v>
      </c>
      <c r="Z5733">
        <v>605.75141653963317</v>
      </c>
      <c r="AA5733">
        <v>198</v>
      </c>
      <c r="AB5733">
        <v>332</v>
      </c>
      <c r="AC5733">
        <v>536</v>
      </c>
      <c r="AD5733">
        <v>27.77</v>
      </c>
      <c r="AE5733">
        <v>542</v>
      </c>
      <c r="AF5733">
        <v>26</v>
      </c>
      <c r="AG5733">
        <v>163</v>
      </c>
      <c r="AH5733">
        <v>129</v>
      </c>
      <c r="AI5733">
        <v>4.8</v>
      </c>
      <c r="AJ5733">
        <v>30.07</v>
      </c>
      <c r="AK5733">
        <v>23.8</v>
      </c>
      <c r="AL5733">
        <v>-20.151457849999961</v>
      </c>
      <c r="AM5733">
        <v>-44.870912038726253</v>
      </c>
      <c r="AN5733">
        <v>-20.151457849999961</v>
      </c>
      <c r="AO5733">
        <v>-44.870912038726253</v>
      </c>
      <c r="AP5733">
        <v>-20.151606999999998</v>
      </c>
      <c r="AQ5733">
        <v>-44.870784999999998</v>
      </c>
      <c r="AR5733">
        <v>21.258671186047941</v>
      </c>
      <c r="AS5733" t="s">
        <v>65</v>
      </c>
      <c r="AT5733">
        <v>1</v>
      </c>
      <c r="AU5733" t="s">
        <v>1191</v>
      </c>
      <c r="AV5733" t="s">
        <v>1192</v>
      </c>
      <c r="AW5733" t="s">
        <v>60</v>
      </c>
      <c r="AX5733" t="s">
        <v>68</v>
      </c>
      <c r="AY5733" t="s">
        <v>69</v>
      </c>
      <c r="AZ5733" t="b">
        <v>1</v>
      </c>
    </row>
    <row r="5734" spans="1:52" x14ac:dyDescent="0.3">
      <c r="A5734" t="s">
        <v>52</v>
      </c>
      <c r="B5734" t="s">
        <v>53</v>
      </c>
      <c r="C5734" t="s">
        <v>54</v>
      </c>
      <c r="D5734" t="s">
        <v>55</v>
      </c>
      <c r="E5734" t="s">
        <v>2280</v>
      </c>
      <c r="F5734" t="s">
        <v>190</v>
      </c>
      <c r="G5734" t="s">
        <v>1790</v>
      </c>
      <c r="H5734" t="s">
        <v>1791</v>
      </c>
      <c r="I5734" t="s">
        <v>1791</v>
      </c>
      <c r="J5734" t="s">
        <v>60</v>
      </c>
      <c r="K5734" t="s">
        <v>781</v>
      </c>
      <c r="L5734" t="s">
        <v>62</v>
      </c>
      <c r="M5734" t="s">
        <v>781</v>
      </c>
      <c r="N5734" t="s">
        <v>1792</v>
      </c>
      <c r="O5734" t="s">
        <v>1438</v>
      </c>
      <c r="P5734">
        <v>-20.140640999999999</v>
      </c>
      <c r="Q5734">
        <v>-44.865606999999997</v>
      </c>
      <c r="R5734" s="2" t="str">
        <f>HYPERLINK("https://www.google.com/maps?q=-20.1406410,-44.8656070","Abrir no Google Maps")</f>
        <v>Abrir no Google Maps</v>
      </c>
      <c r="S5734">
        <v>3</v>
      </c>
      <c r="T5734">
        <v>718.83674500124857</v>
      </c>
      <c r="U5734">
        <v>3</v>
      </c>
      <c r="V5734">
        <v>0.99348958333333337</v>
      </c>
      <c r="W5734">
        <v>1</v>
      </c>
      <c r="X5734">
        <v>0.99348958333333337</v>
      </c>
      <c r="Y5734">
        <v>198</v>
      </c>
      <c r="Z5734">
        <v>796.27455839490824</v>
      </c>
      <c r="AA5734">
        <v>198</v>
      </c>
      <c r="AB5734">
        <v>332</v>
      </c>
      <c r="AC5734">
        <v>536</v>
      </c>
      <c r="AD5734">
        <v>27.77</v>
      </c>
      <c r="AE5734">
        <v>542</v>
      </c>
      <c r="AF5734">
        <v>26</v>
      </c>
      <c r="AG5734">
        <v>163</v>
      </c>
      <c r="AH5734">
        <v>129</v>
      </c>
      <c r="AI5734">
        <v>4.8</v>
      </c>
      <c r="AJ5734">
        <v>30.07</v>
      </c>
      <c r="AK5734">
        <v>23.8</v>
      </c>
      <c r="AL5734">
        <v>-20.14068544999995</v>
      </c>
      <c r="AM5734">
        <v>-44.865682971258813</v>
      </c>
      <c r="AN5734">
        <v>-20.140685449999939</v>
      </c>
      <c r="AO5734">
        <v>-44.865682971258813</v>
      </c>
      <c r="AP5734">
        <v>-20.140640999999999</v>
      </c>
      <c r="AQ5734">
        <v>-44.865606999999997</v>
      </c>
      <c r="AR5734">
        <v>9.3556137916774258</v>
      </c>
      <c r="AS5734" t="s">
        <v>65</v>
      </c>
      <c r="AT5734">
        <v>1</v>
      </c>
      <c r="AU5734" t="s">
        <v>1793</v>
      </c>
      <c r="AV5734" t="s">
        <v>1794</v>
      </c>
      <c r="AW5734" t="s">
        <v>60</v>
      </c>
      <c r="AX5734" t="s">
        <v>68</v>
      </c>
      <c r="AY5734" t="s">
        <v>69</v>
      </c>
      <c r="AZ5734" t="b">
        <v>1</v>
      </c>
    </row>
    <row r="5735" spans="1:52" x14ac:dyDescent="0.3">
      <c r="A5735" t="s">
        <v>52</v>
      </c>
      <c r="B5735" t="s">
        <v>53</v>
      </c>
      <c r="C5735" t="s">
        <v>54</v>
      </c>
      <c r="D5735" t="s">
        <v>55</v>
      </c>
      <c r="E5735" t="s">
        <v>2280</v>
      </c>
      <c r="F5735" t="s">
        <v>190</v>
      </c>
      <c r="G5735" t="s">
        <v>1193</v>
      </c>
      <c r="H5735" t="s">
        <v>1194</v>
      </c>
      <c r="I5735" t="s">
        <v>1194</v>
      </c>
      <c r="J5735" t="s">
        <v>60</v>
      </c>
      <c r="K5735" t="s">
        <v>1195</v>
      </c>
      <c r="L5735" t="s">
        <v>62</v>
      </c>
      <c r="M5735" t="s">
        <v>1195</v>
      </c>
      <c r="N5735" t="s">
        <v>1196</v>
      </c>
      <c r="O5735" t="s">
        <v>1197</v>
      </c>
      <c r="P5735">
        <v>-20.105342</v>
      </c>
      <c r="Q5735">
        <v>-44.964716000000003</v>
      </c>
      <c r="R5735" s="2" t="str">
        <f>HYPERLINK("https://www.google.com/maps?q=-20.1053420,-44.9647160","Abrir no Google Maps")</f>
        <v>Abrir no Google Maps</v>
      </c>
      <c r="S5735">
        <v>3</v>
      </c>
      <c r="T5735">
        <v>893.28710125086457</v>
      </c>
      <c r="U5735">
        <v>3</v>
      </c>
      <c r="V5735">
        <v>0.92703349282296643</v>
      </c>
      <c r="W5735">
        <v>1</v>
      </c>
      <c r="X5735">
        <v>0.92703349282296643</v>
      </c>
      <c r="Y5735">
        <v>187</v>
      </c>
      <c r="Z5735">
        <v>592.18957175243293</v>
      </c>
      <c r="AA5735">
        <v>198</v>
      </c>
      <c r="AB5735">
        <v>332</v>
      </c>
      <c r="AC5735">
        <v>536</v>
      </c>
      <c r="AD5735">
        <v>27.77</v>
      </c>
      <c r="AE5735">
        <v>542</v>
      </c>
      <c r="AF5735">
        <v>26</v>
      </c>
      <c r="AG5735">
        <v>163</v>
      </c>
      <c r="AH5735">
        <v>129</v>
      </c>
      <c r="AI5735">
        <v>4.8</v>
      </c>
      <c r="AJ5735">
        <v>30.07</v>
      </c>
      <c r="AK5735">
        <v>23.8</v>
      </c>
      <c r="AL5735">
        <v>-20.105505699999949</v>
      </c>
      <c r="AM5735">
        <v>-44.964494228377532</v>
      </c>
      <c r="AN5735">
        <v>-20.105505699999949</v>
      </c>
      <c r="AO5735">
        <v>-44.964494228377532</v>
      </c>
      <c r="AP5735">
        <v>-20.105342</v>
      </c>
      <c r="AQ5735">
        <v>-44.964716000000003</v>
      </c>
      <c r="AR5735">
        <v>29.48797728637869</v>
      </c>
      <c r="AS5735" t="s">
        <v>65</v>
      </c>
      <c r="AT5735">
        <v>1</v>
      </c>
      <c r="AU5735" t="s">
        <v>1198</v>
      </c>
      <c r="AV5735" t="s">
        <v>1199</v>
      </c>
      <c r="AW5735" t="s">
        <v>60</v>
      </c>
      <c r="AX5735" t="s">
        <v>68</v>
      </c>
      <c r="AY5735" t="s">
        <v>69</v>
      </c>
      <c r="AZ5735" t="b">
        <v>1</v>
      </c>
    </row>
    <row r="5736" spans="1:52" x14ac:dyDescent="0.3">
      <c r="A5736" t="s">
        <v>52</v>
      </c>
      <c r="B5736" t="s">
        <v>53</v>
      </c>
      <c r="C5736" t="s">
        <v>54</v>
      </c>
      <c r="D5736" t="s">
        <v>55</v>
      </c>
      <c r="E5736" t="s">
        <v>2280</v>
      </c>
      <c r="F5736" t="s">
        <v>190</v>
      </c>
      <c r="G5736" t="s">
        <v>1200</v>
      </c>
      <c r="H5736" t="s">
        <v>1201</v>
      </c>
      <c r="I5736" t="s">
        <v>1201</v>
      </c>
      <c r="J5736" t="s">
        <v>60</v>
      </c>
      <c r="K5736" t="s">
        <v>1202</v>
      </c>
      <c r="L5736" t="s">
        <v>62</v>
      </c>
      <c r="M5736" t="s">
        <v>1202</v>
      </c>
      <c r="N5736" t="s">
        <v>1203</v>
      </c>
      <c r="O5736" t="s">
        <v>710</v>
      </c>
      <c r="P5736">
        <v>-20.191745999999998</v>
      </c>
      <c r="Q5736">
        <v>-44.904957000000003</v>
      </c>
      <c r="R5736" s="2" t="str">
        <f>HYPERLINK("https://www.google.com/maps?q=-20.1917460,-44.9049570","Abrir no Google Maps")</f>
        <v>Abrir no Google Maps</v>
      </c>
      <c r="S5736">
        <v>3</v>
      </c>
      <c r="T5736">
        <v>882.9384716293963</v>
      </c>
      <c r="U5736">
        <v>3</v>
      </c>
      <c r="V5736">
        <v>0.8603723404255319</v>
      </c>
      <c r="W5736">
        <v>1</v>
      </c>
      <c r="X5736">
        <v>0.8603723404255319</v>
      </c>
      <c r="Y5736">
        <v>135</v>
      </c>
      <c r="Z5736">
        <v>802.45927673397398</v>
      </c>
      <c r="AA5736">
        <v>198</v>
      </c>
      <c r="AB5736">
        <v>332</v>
      </c>
      <c r="AC5736">
        <v>536</v>
      </c>
      <c r="AD5736">
        <v>27.77</v>
      </c>
      <c r="AE5736">
        <v>542</v>
      </c>
      <c r="AF5736">
        <v>26</v>
      </c>
      <c r="AG5736">
        <v>163</v>
      </c>
      <c r="AH5736">
        <v>129</v>
      </c>
      <c r="AI5736">
        <v>4.8</v>
      </c>
      <c r="AJ5736">
        <v>30.07</v>
      </c>
      <c r="AK5736">
        <v>23.8</v>
      </c>
      <c r="AL5736">
        <v>-20.19172654999997</v>
      </c>
      <c r="AM5736">
        <v>-44.904976932073851</v>
      </c>
      <c r="AN5736">
        <v>-20.19172654999997</v>
      </c>
      <c r="AO5736">
        <v>-44.904976932073851</v>
      </c>
      <c r="AP5736">
        <v>-20.191745999999998</v>
      </c>
      <c r="AQ5736">
        <v>-44.904957000000003</v>
      </c>
      <c r="AR5736">
        <v>3.004110632807953</v>
      </c>
      <c r="AS5736" t="s">
        <v>65</v>
      </c>
      <c r="AT5736">
        <v>1</v>
      </c>
      <c r="AU5736" t="s">
        <v>1204</v>
      </c>
      <c r="AV5736" t="s">
        <v>1205</v>
      </c>
      <c r="AW5736" t="s">
        <v>60</v>
      </c>
      <c r="AX5736" t="s">
        <v>68</v>
      </c>
      <c r="AY5736" t="s">
        <v>69</v>
      </c>
      <c r="AZ5736" t="b">
        <v>1</v>
      </c>
    </row>
    <row r="5737" spans="1:52" x14ac:dyDescent="0.3">
      <c r="A5737" t="s">
        <v>52</v>
      </c>
      <c r="B5737" t="s">
        <v>53</v>
      </c>
      <c r="C5737" t="s">
        <v>54</v>
      </c>
      <c r="D5737" t="s">
        <v>55</v>
      </c>
      <c r="E5737" t="s">
        <v>2280</v>
      </c>
      <c r="F5737" t="s">
        <v>190</v>
      </c>
      <c r="G5737" t="s">
        <v>1206</v>
      </c>
      <c r="H5737" t="s">
        <v>1207</v>
      </c>
      <c r="I5737" t="s">
        <v>1207</v>
      </c>
      <c r="J5737" t="s">
        <v>60</v>
      </c>
      <c r="K5737" t="s">
        <v>475</v>
      </c>
      <c r="L5737" t="s">
        <v>62</v>
      </c>
      <c r="M5737" t="s">
        <v>475</v>
      </c>
      <c r="N5737" t="s">
        <v>1208</v>
      </c>
      <c r="O5737" t="s">
        <v>1209</v>
      </c>
      <c r="P5737">
        <v>-20.180554999999998</v>
      </c>
      <c r="Q5737">
        <v>-44.905642999999998</v>
      </c>
      <c r="R5737" s="2" t="str">
        <f>HYPERLINK("https://www.google.com/maps?q=-20.1805550,-44.9056430","Abrir no Google Maps")</f>
        <v>Abrir no Google Maps</v>
      </c>
      <c r="S5737">
        <v>3</v>
      </c>
      <c r="T5737">
        <v>768.13826761541702</v>
      </c>
      <c r="U5737">
        <v>3</v>
      </c>
      <c r="V5737">
        <v>0.98840206185567003</v>
      </c>
      <c r="W5737">
        <v>1</v>
      </c>
      <c r="X5737">
        <v>0.98840206185567003</v>
      </c>
      <c r="Y5737">
        <v>135</v>
      </c>
      <c r="Z5737">
        <v>442.64437152702573</v>
      </c>
      <c r="AA5737">
        <v>198</v>
      </c>
      <c r="AB5737">
        <v>332</v>
      </c>
      <c r="AC5737">
        <v>536</v>
      </c>
      <c r="AD5737">
        <v>27.77</v>
      </c>
      <c r="AE5737">
        <v>542</v>
      </c>
      <c r="AF5737">
        <v>26</v>
      </c>
      <c r="AG5737">
        <v>163</v>
      </c>
      <c r="AH5737">
        <v>129</v>
      </c>
      <c r="AI5737">
        <v>4.8</v>
      </c>
      <c r="AJ5737">
        <v>30.07</v>
      </c>
      <c r="AK5737">
        <v>23.8</v>
      </c>
      <c r="AL5737">
        <v>-20.180439499999949</v>
      </c>
      <c r="AM5737">
        <v>-44.905757266135502</v>
      </c>
      <c r="AN5737">
        <v>-20.180439499999949</v>
      </c>
      <c r="AO5737">
        <v>-44.905757266135502</v>
      </c>
      <c r="AP5737">
        <v>-20.180554999999998</v>
      </c>
      <c r="AQ5737">
        <v>-44.905642999999998</v>
      </c>
      <c r="AR5737">
        <v>17.545924993698129</v>
      </c>
      <c r="AS5737" t="s">
        <v>65</v>
      </c>
      <c r="AT5737">
        <v>1</v>
      </c>
      <c r="AU5737" t="s">
        <v>1210</v>
      </c>
      <c r="AV5737" t="s">
        <v>1211</v>
      </c>
      <c r="AW5737" t="s">
        <v>60</v>
      </c>
      <c r="AX5737" t="s">
        <v>68</v>
      </c>
      <c r="AY5737" t="s">
        <v>69</v>
      </c>
      <c r="AZ5737" t="b">
        <v>1</v>
      </c>
    </row>
    <row r="5738" spans="1:52" x14ac:dyDescent="0.3">
      <c r="A5738" t="s">
        <v>52</v>
      </c>
      <c r="B5738" t="s">
        <v>53</v>
      </c>
      <c r="C5738" t="s">
        <v>54</v>
      </c>
      <c r="D5738" t="s">
        <v>55</v>
      </c>
      <c r="E5738" t="s">
        <v>2280</v>
      </c>
      <c r="F5738" t="s">
        <v>190</v>
      </c>
      <c r="G5738" t="s">
        <v>1212</v>
      </c>
      <c r="H5738" t="s">
        <v>1213</v>
      </c>
      <c r="I5738" t="s">
        <v>1213</v>
      </c>
      <c r="J5738" t="s">
        <v>60</v>
      </c>
      <c r="K5738" t="s">
        <v>171</v>
      </c>
      <c r="L5738" t="s">
        <v>62</v>
      </c>
      <c r="M5738" t="s">
        <v>171</v>
      </c>
      <c r="N5738" t="s">
        <v>1214</v>
      </c>
      <c r="O5738" t="s">
        <v>1215</v>
      </c>
      <c r="P5738">
        <v>-20.152812999999998</v>
      </c>
      <c r="Q5738">
        <v>-44.889853000000002</v>
      </c>
      <c r="R5738" s="2" t="str">
        <f>HYPERLINK("https://www.google.com/maps?q=-20.1528130,-44.8898530","Abrir no Google Maps")</f>
        <v>Abrir no Google Maps</v>
      </c>
      <c r="S5738">
        <v>3</v>
      </c>
      <c r="T5738">
        <v>404.11054739579231</v>
      </c>
      <c r="U5738">
        <v>3</v>
      </c>
      <c r="V5738">
        <v>0.98743016759776536</v>
      </c>
      <c r="W5738">
        <v>1</v>
      </c>
      <c r="X5738">
        <v>0.98743016759776536</v>
      </c>
      <c r="Y5738">
        <v>129</v>
      </c>
      <c r="Z5738">
        <v>222.94297160630171</v>
      </c>
      <c r="AA5738">
        <v>198</v>
      </c>
      <c r="AB5738">
        <v>332</v>
      </c>
      <c r="AC5738">
        <v>536</v>
      </c>
      <c r="AD5738">
        <v>27.77</v>
      </c>
      <c r="AE5738">
        <v>542</v>
      </c>
      <c r="AF5738">
        <v>26</v>
      </c>
      <c r="AG5738">
        <v>163</v>
      </c>
      <c r="AH5738">
        <v>129</v>
      </c>
      <c r="AI5738">
        <v>4.8</v>
      </c>
      <c r="AJ5738">
        <v>30.07</v>
      </c>
      <c r="AK5738">
        <v>23.8</v>
      </c>
      <c r="AL5738">
        <v>-20.152851999999971</v>
      </c>
      <c r="AM5738">
        <v>-44.889864659228088</v>
      </c>
      <c r="AN5738">
        <v>-20.152851999999971</v>
      </c>
      <c r="AO5738">
        <v>-44.889864659228088</v>
      </c>
      <c r="AP5738">
        <v>-20.152812999999998</v>
      </c>
      <c r="AQ5738">
        <v>-44.889853000000002</v>
      </c>
      <c r="AR5738">
        <v>4.5092186597325066</v>
      </c>
      <c r="AS5738" t="s">
        <v>65</v>
      </c>
      <c r="AT5738">
        <v>1</v>
      </c>
      <c r="AU5738" t="s">
        <v>1216</v>
      </c>
      <c r="AV5738" t="s">
        <v>1217</v>
      </c>
      <c r="AW5738" t="s">
        <v>60</v>
      </c>
      <c r="AX5738" t="s">
        <v>68</v>
      </c>
      <c r="AY5738" t="s">
        <v>69</v>
      </c>
      <c r="AZ5738" t="b">
        <v>1</v>
      </c>
    </row>
    <row r="5739" spans="1:52" x14ac:dyDescent="0.3">
      <c r="A5739" t="s">
        <v>52</v>
      </c>
      <c r="B5739" t="s">
        <v>53</v>
      </c>
      <c r="C5739" t="s">
        <v>54</v>
      </c>
      <c r="D5739" t="s">
        <v>55</v>
      </c>
      <c r="E5739" t="s">
        <v>2280</v>
      </c>
      <c r="F5739" t="s">
        <v>190</v>
      </c>
      <c r="G5739" t="s">
        <v>1218</v>
      </c>
      <c r="H5739" t="s">
        <v>1219</v>
      </c>
      <c r="I5739" t="s">
        <v>1219</v>
      </c>
      <c r="J5739" t="s">
        <v>60</v>
      </c>
      <c r="K5739" t="s">
        <v>828</v>
      </c>
      <c r="L5739" t="s">
        <v>62</v>
      </c>
      <c r="M5739" t="s">
        <v>828</v>
      </c>
      <c r="N5739" t="s">
        <v>1220</v>
      </c>
      <c r="O5739" t="s">
        <v>1221</v>
      </c>
      <c r="P5739">
        <v>-20.132722000000001</v>
      </c>
      <c r="Q5739">
        <v>-44.843550999999998</v>
      </c>
      <c r="R5739" s="2" t="str">
        <f>HYPERLINK("https://www.google.com/maps?q=-20.1327220,-44.8435510","Abrir no Google Maps")</f>
        <v>Abrir no Google Maps</v>
      </c>
      <c r="S5739">
        <v>3</v>
      </c>
      <c r="T5739">
        <v>846.88659580558431</v>
      </c>
      <c r="U5739">
        <v>3</v>
      </c>
      <c r="V5739">
        <v>0.89166666666666661</v>
      </c>
      <c r="W5739">
        <v>1</v>
      </c>
      <c r="X5739">
        <v>0.89166666666666661</v>
      </c>
      <c r="Y5739">
        <v>118</v>
      </c>
      <c r="Z5739">
        <v>797.91643890712305</v>
      </c>
      <c r="AA5739">
        <v>198</v>
      </c>
      <c r="AB5739">
        <v>332</v>
      </c>
      <c r="AC5739">
        <v>536</v>
      </c>
      <c r="AD5739">
        <v>27.77</v>
      </c>
      <c r="AE5739">
        <v>542</v>
      </c>
      <c r="AF5739">
        <v>26</v>
      </c>
      <c r="AG5739">
        <v>163</v>
      </c>
      <c r="AH5739">
        <v>129</v>
      </c>
      <c r="AI5739">
        <v>4.8</v>
      </c>
      <c r="AJ5739">
        <v>30.07</v>
      </c>
      <c r="AK5739">
        <v>23.8</v>
      </c>
      <c r="AL5739">
        <v>-20.132714949999979</v>
      </c>
      <c r="AM5739">
        <v>-44.843475702545703</v>
      </c>
      <c r="AN5739">
        <v>-20.132714949999979</v>
      </c>
      <c r="AO5739">
        <v>-44.843475702545703</v>
      </c>
      <c r="AP5739">
        <v>-20.132722000000001</v>
      </c>
      <c r="AQ5739">
        <v>-44.843550999999998</v>
      </c>
      <c r="AR5739">
        <v>7.9089820822755481</v>
      </c>
      <c r="AS5739" t="s">
        <v>65</v>
      </c>
      <c r="AT5739">
        <v>1</v>
      </c>
      <c r="AU5739" t="s">
        <v>1222</v>
      </c>
      <c r="AV5739" t="s">
        <v>1223</v>
      </c>
      <c r="AW5739" t="s">
        <v>60</v>
      </c>
      <c r="AX5739" t="s">
        <v>68</v>
      </c>
      <c r="AY5739" t="s">
        <v>69</v>
      </c>
      <c r="AZ5739" t="b">
        <v>1</v>
      </c>
    </row>
    <row r="5740" spans="1:52" x14ac:dyDescent="0.3">
      <c r="A5740" t="s">
        <v>52</v>
      </c>
      <c r="B5740" t="s">
        <v>53</v>
      </c>
      <c r="C5740" t="s">
        <v>54</v>
      </c>
      <c r="D5740" t="s">
        <v>55</v>
      </c>
      <c r="E5740" t="s">
        <v>2280</v>
      </c>
      <c r="F5740" t="s">
        <v>190</v>
      </c>
      <c r="G5740" t="s">
        <v>1801</v>
      </c>
      <c r="H5740" t="s">
        <v>1802</v>
      </c>
      <c r="I5740" t="s">
        <v>1802</v>
      </c>
      <c r="J5740" t="s">
        <v>60</v>
      </c>
      <c r="K5740" t="s">
        <v>1803</v>
      </c>
      <c r="L5740" t="s">
        <v>62</v>
      </c>
      <c r="M5740" t="s">
        <v>1803</v>
      </c>
      <c r="N5740" t="s">
        <v>1804</v>
      </c>
      <c r="O5740" t="s">
        <v>1805</v>
      </c>
      <c r="P5740">
        <v>-20.131599000000001</v>
      </c>
      <c r="Q5740">
        <v>-44.839945</v>
      </c>
      <c r="R5740" s="2" t="str">
        <f>HYPERLINK("https://www.google.com/maps?q=-20.1315990,-44.8399450","Abrir no Google Maps")</f>
        <v>Abrir no Google Maps</v>
      </c>
      <c r="S5740">
        <v>3</v>
      </c>
      <c r="T5740">
        <v>480.67866935083049</v>
      </c>
      <c r="U5740">
        <v>3</v>
      </c>
      <c r="V5740">
        <v>0.92878787878787883</v>
      </c>
      <c r="W5740">
        <v>1</v>
      </c>
      <c r="X5740">
        <v>0.92878787878787883</v>
      </c>
      <c r="Y5740">
        <v>118</v>
      </c>
      <c r="Z5740">
        <v>505.26312452494989</v>
      </c>
      <c r="AA5740">
        <v>198</v>
      </c>
      <c r="AB5740">
        <v>332</v>
      </c>
      <c r="AC5740">
        <v>536</v>
      </c>
      <c r="AD5740">
        <v>27.77</v>
      </c>
      <c r="AE5740">
        <v>542</v>
      </c>
      <c r="AF5740">
        <v>26</v>
      </c>
      <c r="AG5740">
        <v>163</v>
      </c>
      <c r="AH5740">
        <v>129</v>
      </c>
      <c r="AI5740">
        <v>4.8</v>
      </c>
      <c r="AJ5740">
        <v>30.07</v>
      </c>
      <c r="AK5740">
        <v>23.8</v>
      </c>
      <c r="AL5740">
        <v>-20.131561999999949</v>
      </c>
      <c r="AM5740">
        <v>-44.839930272274998</v>
      </c>
      <c r="AN5740">
        <v>-20.131561999999949</v>
      </c>
      <c r="AO5740">
        <v>-44.839930272274998</v>
      </c>
      <c r="AP5740">
        <v>-20.131599000000001</v>
      </c>
      <c r="AQ5740">
        <v>-44.839945</v>
      </c>
      <c r="AR5740">
        <v>4.3970860299791923</v>
      </c>
      <c r="AS5740" t="s">
        <v>65</v>
      </c>
      <c r="AT5740">
        <v>1</v>
      </c>
      <c r="AU5740" t="s">
        <v>1806</v>
      </c>
      <c r="AV5740" t="s">
        <v>1807</v>
      </c>
      <c r="AW5740" t="s">
        <v>60</v>
      </c>
      <c r="AX5740" t="s">
        <v>68</v>
      </c>
      <c r="AY5740" t="s">
        <v>69</v>
      </c>
      <c r="AZ5740" t="b">
        <v>1</v>
      </c>
    </row>
    <row r="5741" spans="1:52" x14ac:dyDescent="0.3">
      <c r="A5741" t="s">
        <v>52</v>
      </c>
      <c r="B5741" t="s">
        <v>53</v>
      </c>
      <c r="C5741" t="s">
        <v>54</v>
      </c>
      <c r="D5741" t="s">
        <v>55</v>
      </c>
      <c r="E5741" t="s">
        <v>2280</v>
      </c>
      <c r="F5741" t="s">
        <v>190</v>
      </c>
      <c r="G5741" t="s">
        <v>1224</v>
      </c>
      <c r="H5741" t="s">
        <v>1230</v>
      </c>
      <c r="I5741" t="s">
        <v>1230</v>
      </c>
      <c r="J5741" t="s">
        <v>60</v>
      </c>
      <c r="K5741" t="s">
        <v>828</v>
      </c>
      <c r="L5741" t="s">
        <v>62</v>
      </c>
      <c r="M5741" t="s">
        <v>828</v>
      </c>
      <c r="N5741" t="s">
        <v>1231</v>
      </c>
      <c r="O5741" t="s">
        <v>1232</v>
      </c>
      <c r="P5741">
        <v>-20.136106000000002</v>
      </c>
      <c r="Q5741">
        <v>-44.838470999999998</v>
      </c>
      <c r="R5741" s="2" t="str">
        <f>HYPERLINK("https://www.google.com/maps?q=-20.1361060,-44.8384710","Abrir no Google Maps")</f>
        <v>Abrir no Google Maps</v>
      </c>
      <c r="S5741">
        <v>3</v>
      </c>
      <c r="T5741">
        <v>910.01690137237858</v>
      </c>
      <c r="U5741">
        <v>3</v>
      </c>
      <c r="V5741">
        <v>0.89364640883977897</v>
      </c>
      <c r="W5741">
        <v>1</v>
      </c>
      <c r="X5741">
        <v>0.89364640883977897</v>
      </c>
      <c r="Y5741">
        <v>118</v>
      </c>
      <c r="Z5741">
        <v>892.76979321439796</v>
      </c>
      <c r="AA5741">
        <v>198</v>
      </c>
      <c r="AB5741">
        <v>332</v>
      </c>
      <c r="AC5741">
        <v>536</v>
      </c>
      <c r="AD5741">
        <v>27.77</v>
      </c>
      <c r="AE5741">
        <v>542</v>
      </c>
      <c r="AF5741">
        <v>26</v>
      </c>
      <c r="AG5741">
        <v>163</v>
      </c>
      <c r="AH5741">
        <v>129</v>
      </c>
      <c r="AI5741">
        <v>4.8</v>
      </c>
      <c r="AJ5741">
        <v>30.07</v>
      </c>
      <c r="AK5741">
        <v>23.8</v>
      </c>
      <c r="AL5741">
        <v>-20.136356149999951</v>
      </c>
      <c r="AM5741">
        <v>-44.838929886373997</v>
      </c>
      <c r="AN5741">
        <v>-20.136356149999951</v>
      </c>
      <c r="AO5741">
        <v>-44.838929886373997</v>
      </c>
      <c r="AP5741">
        <v>-20.136106000000002</v>
      </c>
      <c r="AQ5741">
        <v>-44.838470999999998</v>
      </c>
      <c r="AR5741">
        <v>55.458802856549369</v>
      </c>
      <c r="AS5741" t="s">
        <v>65</v>
      </c>
      <c r="AT5741">
        <v>1</v>
      </c>
      <c r="AU5741" t="s">
        <v>1233</v>
      </c>
      <c r="AV5741" t="s">
        <v>1234</v>
      </c>
      <c r="AW5741" t="s">
        <v>60</v>
      </c>
      <c r="AX5741" t="s">
        <v>68</v>
      </c>
      <c r="AY5741" t="s">
        <v>69</v>
      </c>
      <c r="AZ5741" t="b">
        <v>1</v>
      </c>
    </row>
    <row r="5742" spans="1:52" x14ac:dyDescent="0.3">
      <c r="A5742" t="s">
        <v>52</v>
      </c>
      <c r="B5742" t="s">
        <v>53</v>
      </c>
      <c r="C5742" t="s">
        <v>54</v>
      </c>
      <c r="D5742" t="s">
        <v>55</v>
      </c>
      <c r="E5742" t="s">
        <v>2280</v>
      </c>
      <c r="F5742" t="s">
        <v>190</v>
      </c>
      <c r="G5742" t="s">
        <v>826</v>
      </c>
      <c r="H5742" t="s">
        <v>827</v>
      </c>
      <c r="I5742" t="s">
        <v>827</v>
      </c>
      <c r="J5742" t="s">
        <v>60</v>
      </c>
      <c r="K5742" t="s">
        <v>828</v>
      </c>
      <c r="L5742" t="s">
        <v>62</v>
      </c>
      <c r="M5742" t="s">
        <v>828</v>
      </c>
      <c r="N5742" t="s">
        <v>829</v>
      </c>
      <c r="O5742" t="s">
        <v>830</v>
      </c>
      <c r="P5742">
        <v>-20.128309999999999</v>
      </c>
      <c r="Q5742">
        <v>-44.8367</v>
      </c>
      <c r="R5742" s="2" t="str">
        <f>HYPERLINK("https://www.google.com/maps?q=-20.1283100,-44.8367000","Abrir no Google Maps")</f>
        <v>Abrir no Google Maps</v>
      </c>
      <c r="S5742">
        <v>3</v>
      </c>
      <c r="T5742">
        <v>0</v>
      </c>
      <c r="U5742">
        <v>3</v>
      </c>
      <c r="V5742">
        <v>0.95480225988700562</v>
      </c>
      <c r="W5742">
        <v>1</v>
      </c>
      <c r="X5742">
        <v>0.95480225988700562</v>
      </c>
      <c r="Y5742">
        <v>118</v>
      </c>
      <c r="Z5742">
        <v>65.93296364139367</v>
      </c>
      <c r="AA5742">
        <v>198</v>
      </c>
      <c r="AB5742">
        <v>332</v>
      </c>
      <c r="AC5742">
        <v>536</v>
      </c>
      <c r="AD5742">
        <v>27.77</v>
      </c>
      <c r="AE5742">
        <v>542</v>
      </c>
      <c r="AF5742">
        <v>26</v>
      </c>
      <c r="AG5742">
        <v>163</v>
      </c>
      <c r="AH5742">
        <v>129</v>
      </c>
      <c r="AI5742">
        <v>4.8</v>
      </c>
      <c r="AJ5742">
        <v>30.07</v>
      </c>
      <c r="AK5742">
        <v>23.8</v>
      </c>
      <c r="AL5742">
        <v>-20.128383649999961</v>
      </c>
      <c r="AM5742">
        <v>-44.836795615491283</v>
      </c>
      <c r="AN5742">
        <v>-20.128383649999961</v>
      </c>
      <c r="AO5742">
        <v>-44.836795615491283</v>
      </c>
      <c r="AP5742">
        <v>-20.128309999999999</v>
      </c>
      <c r="AQ5742">
        <v>-44.8367</v>
      </c>
      <c r="AR5742">
        <v>12.92654496723039</v>
      </c>
      <c r="AS5742" t="s">
        <v>65</v>
      </c>
      <c r="AT5742">
        <v>1</v>
      </c>
      <c r="AU5742" t="s">
        <v>831</v>
      </c>
      <c r="AV5742" t="s">
        <v>832</v>
      </c>
      <c r="AW5742" t="s">
        <v>60</v>
      </c>
      <c r="AX5742" t="s">
        <v>68</v>
      </c>
      <c r="AY5742" t="s">
        <v>69</v>
      </c>
      <c r="AZ5742" t="b">
        <v>1</v>
      </c>
    </row>
    <row r="5743" spans="1:52" x14ac:dyDescent="0.3">
      <c r="A5743" t="s">
        <v>52</v>
      </c>
      <c r="B5743" t="s">
        <v>53</v>
      </c>
      <c r="C5743" t="s">
        <v>54</v>
      </c>
      <c r="D5743" t="s">
        <v>55</v>
      </c>
      <c r="E5743" t="s">
        <v>2280</v>
      </c>
      <c r="F5743" t="s">
        <v>1247</v>
      </c>
      <c r="G5743" t="s">
        <v>58</v>
      </c>
      <c r="H5743" t="s">
        <v>59</v>
      </c>
      <c r="I5743" t="s">
        <v>59</v>
      </c>
      <c r="J5743" t="s">
        <v>60</v>
      </c>
      <c r="K5743" t="s">
        <v>61</v>
      </c>
      <c r="L5743" t="s">
        <v>62</v>
      </c>
      <c r="M5743" t="s">
        <v>61</v>
      </c>
      <c r="N5743" t="s">
        <v>63</v>
      </c>
      <c r="O5743" t="s">
        <v>64</v>
      </c>
      <c r="P5743">
        <v>-20.147940999999999</v>
      </c>
      <c r="Q5743">
        <v>-44.906514000000001</v>
      </c>
      <c r="R5743" s="2" t="str">
        <f>HYPERLINK("https://www.google.com/maps?q=-20.1479410,-44.9065140","Abrir no Google Maps")</f>
        <v>Abrir no Google Maps</v>
      </c>
      <c r="S5743">
        <v>4</v>
      </c>
      <c r="T5743">
        <v>308.67004994113421</v>
      </c>
      <c r="U5743">
        <v>4</v>
      </c>
      <c r="V5743">
        <v>0.99903100775193798</v>
      </c>
      <c r="W5743">
        <v>1</v>
      </c>
      <c r="X5743">
        <v>0.99903100775193798</v>
      </c>
      <c r="Y5743">
        <v>747</v>
      </c>
      <c r="Z5743">
        <v>274.71440454502522</v>
      </c>
      <c r="AA5743">
        <v>198</v>
      </c>
      <c r="AB5743">
        <v>332</v>
      </c>
      <c r="AC5743">
        <v>536</v>
      </c>
      <c r="AD5743">
        <v>27.77</v>
      </c>
      <c r="AE5743">
        <v>542</v>
      </c>
      <c r="AF5743">
        <v>26</v>
      </c>
      <c r="AG5743">
        <v>163</v>
      </c>
      <c r="AH5743">
        <v>129</v>
      </c>
      <c r="AI5743">
        <v>4.8</v>
      </c>
      <c r="AJ5743">
        <v>30.07</v>
      </c>
      <c r="AK5743">
        <v>23.8</v>
      </c>
      <c r="AL5743">
        <v>-20.147947799999969</v>
      </c>
      <c r="AM5743">
        <v>-44.906591596129203</v>
      </c>
      <c r="AN5743">
        <v>-20.147947799999969</v>
      </c>
      <c r="AO5743">
        <v>-44.906591596129203</v>
      </c>
      <c r="AP5743">
        <v>-20.147940999999999</v>
      </c>
      <c r="AQ5743">
        <v>-44.906514000000001</v>
      </c>
      <c r="AR5743">
        <v>8.1446636170570326</v>
      </c>
      <c r="AS5743" t="s">
        <v>65</v>
      </c>
      <c r="AT5743">
        <v>1</v>
      </c>
      <c r="AU5743" t="s">
        <v>66</v>
      </c>
      <c r="AV5743" t="s">
        <v>67</v>
      </c>
      <c r="AW5743" t="s">
        <v>60</v>
      </c>
      <c r="AX5743" t="s">
        <v>68</v>
      </c>
      <c r="AY5743" t="s">
        <v>69</v>
      </c>
      <c r="AZ5743" t="b">
        <v>1</v>
      </c>
    </row>
    <row r="5744" spans="1:52" x14ac:dyDescent="0.3">
      <c r="A5744" t="s">
        <v>52</v>
      </c>
      <c r="B5744" t="s">
        <v>53</v>
      </c>
      <c r="C5744" t="s">
        <v>54</v>
      </c>
      <c r="D5744" t="s">
        <v>55</v>
      </c>
      <c r="E5744" t="s">
        <v>2280</v>
      </c>
      <c r="F5744" t="s">
        <v>1247</v>
      </c>
      <c r="G5744" t="s">
        <v>70</v>
      </c>
      <c r="H5744" t="s">
        <v>71</v>
      </c>
      <c r="I5744" t="s">
        <v>71</v>
      </c>
      <c r="J5744" t="s">
        <v>60</v>
      </c>
      <c r="K5744" t="s">
        <v>72</v>
      </c>
      <c r="L5744" t="s">
        <v>62</v>
      </c>
      <c r="M5744" t="s">
        <v>72</v>
      </c>
      <c r="N5744" t="s">
        <v>73</v>
      </c>
      <c r="O5744" t="s">
        <v>74</v>
      </c>
      <c r="P5744">
        <v>-20.149349000000001</v>
      </c>
      <c r="Q5744">
        <v>-44.910784</v>
      </c>
      <c r="R5744" s="2" t="str">
        <f>HYPERLINK("https://www.google.com/maps?q=-20.1493490,-44.9107840","Abrir no Google Maps")</f>
        <v>Abrir no Google Maps</v>
      </c>
      <c r="S5744">
        <v>4</v>
      </c>
      <c r="T5744">
        <v>472.43876549769578</v>
      </c>
      <c r="U5744">
        <v>4</v>
      </c>
      <c r="V5744">
        <v>1</v>
      </c>
      <c r="W5744">
        <v>1</v>
      </c>
      <c r="X5744">
        <v>1</v>
      </c>
      <c r="Y5744">
        <v>747</v>
      </c>
      <c r="Z5744">
        <v>441.03921887407779</v>
      </c>
      <c r="AA5744">
        <v>198</v>
      </c>
      <c r="AB5744">
        <v>332</v>
      </c>
      <c r="AC5744">
        <v>536</v>
      </c>
      <c r="AD5744">
        <v>27.77</v>
      </c>
      <c r="AE5744">
        <v>542</v>
      </c>
      <c r="AF5744">
        <v>26</v>
      </c>
      <c r="AG5744">
        <v>163</v>
      </c>
      <c r="AH5744">
        <v>129</v>
      </c>
      <c r="AI5744">
        <v>4.8</v>
      </c>
      <c r="AJ5744">
        <v>30.07</v>
      </c>
      <c r="AK5744">
        <v>23.8</v>
      </c>
      <c r="AL5744">
        <v>-20.149403999999951</v>
      </c>
      <c r="AM5744">
        <v>-44.91080895147438</v>
      </c>
      <c r="AN5744">
        <v>-20.149403999999951</v>
      </c>
      <c r="AO5744">
        <v>-44.91080895147438</v>
      </c>
      <c r="AP5744">
        <v>-20.149349000000001</v>
      </c>
      <c r="AQ5744">
        <v>-44.910784</v>
      </c>
      <c r="AR5744">
        <v>6.6547592699416382</v>
      </c>
      <c r="AS5744" t="s">
        <v>65</v>
      </c>
      <c r="AT5744">
        <v>1</v>
      </c>
      <c r="AU5744" t="s">
        <v>75</v>
      </c>
      <c r="AV5744" t="s">
        <v>76</v>
      </c>
      <c r="AW5744" t="s">
        <v>60</v>
      </c>
      <c r="AX5744" t="s">
        <v>68</v>
      </c>
      <c r="AY5744" t="s">
        <v>69</v>
      </c>
      <c r="AZ5744" t="b">
        <v>1</v>
      </c>
    </row>
    <row r="5745" spans="1:52" x14ac:dyDescent="0.3">
      <c r="A5745" t="s">
        <v>52</v>
      </c>
      <c r="B5745" t="s">
        <v>53</v>
      </c>
      <c r="C5745" t="s">
        <v>54</v>
      </c>
      <c r="D5745" t="s">
        <v>55</v>
      </c>
      <c r="E5745" t="s">
        <v>2280</v>
      </c>
      <c r="F5745" t="s">
        <v>1247</v>
      </c>
      <c r="G5745" t="s">
        <v>77</v>
      </c>
      <c r="H5745" t="s">
        <v>78</v>
      </c>
      <c r="I5745" t="s">
        <v>78</v>
      </c>
      <c r="J5745" t="s">
        <v>60</v>
      </c>
      <c r="K5745" t="s">
        <v>72</v>
      </c>
      <c r="L5745" t="s">
        <v>62</v>
      </c>
      <c r="M5745" t="s">
        <v>72</v>
      </c>
      <c r="N5745" t="s">
        <v>79</v>
      </c>
      <c r="O5745" t="s">
        <v>80</v>
      </c>
      <c r="P5745">
        <v>-20.147821</v>
      </c>
      <c r="Q5745">
        <v>-44.908887</v>
      </c>
      <c r="R5745" s="2" t="str">
        <f>HYPERLINK("https://www.google.com/maps?q=-20.1478210,-44.9088870","Abrir no Google Maps")</f>
        <v>Abrir no Google Maps</v>
      </c>
      <c r="S5745">
        <v>4</v>
      </c>
      <c r="T5745">
        <v>232.2893841532152</v>
      </c>
      <c r="U5745">
        <v>4</v>
      </c>
      <c r="V5745">
        <v>1</v>
      </c>
      <c r="W5745">
        <v>1</v>
      </c>
      <c r="X5745">
        <v>1</v>
      </c>
      <c r="Y5745">
        <v>747</v>
      </c>
      <c r="Z5745">
        <v>195.3668648953757</v>
      </c>
      <c r="AA5745">
        <v>198</v>
      </c>
      <c r="AB5745">
        <v>332</v>
      </c>
      <c r="AC5745">
        <v>536</v>
      </c>
      <c r="AD5745">
        <v>27.77</v>
      </c>
      <c r="AE5745">
        <v>542</v>
      </c>
      <c r="AF5745">
        <v>26</v>
      </c>
      <c r="AG5745">
        <v>163</v>
      </c>
      <c r="AH5745">
        <v>129</v>
      </c>
      <c r="AI5745">
        <v>4.8</v>
      </c>
      <c r="AJ5745">
        <v>30.07</v>
      </c>
      <c r="AK5745">
        <v>23.8</v>
      </c>
      <c r="AL5745">
        <v>-20.147802849999952</v>
      </c>
      <c r="AM5745">
        <v>-44.908989919229477</v>
      </c>
      <c r="AN5745">
        <v>-20.147802849999952</v>
      </c>
      <c r="AO5745">
        <v>-44.908989919229491</v>
      </c>
      <c r="AP5745">
        <v>-20.147821</v>
      </c>
      <c r="AQ5745">
        <v>-44.908887</v>
      </c>
      <c r="AR5745">
        <v>10.944007761262529</v>
      </c>
      <c r="AS5745" t="s">
        <v>65</v>
      </c>
      <c r="AT5745">
        <v>1</v>
      </c>
      <c r="AU5745" t="s">
        <v>81</v>
      </c>
      <c r="AV5745" t="s">
        <v>82</v>
      </c>
      <c r="AW5745" t="s">
        <v>60</v>
      </c>
      <c r="AX5745" t="s">
        <v>68</v>
      </c>
      <c r="AY5745" t="s">
        <v>69</v>
      </c>
      <c r="AZ5745" t="b">
        <v>1</v>
      </c>
    </row>
    <row r="5746" spans="1:52" x14ac:dyDescent="0.3">
      <c r="A5746" t="s">
        <v>52</v>
      </c>
      <c r="B5746" t="s">
        <v>53</v>
      </c>
      <c r="C5746" t="s">
        <v>54</v>
      </c>
      <c r="D5746" t="s">
        <v>55</v>
      </c>
      <c r="E5746" t="s">
        <v>2280</v>
      </c>
      <c r="F5746" t="s">
        <v>1247</v>
      </c>
      <c r="G5746" t="s">
        <v>83</v>
      </c>
      <c r="H5746" t="s">
        <v>84</v>
      </c>
      <c r="I5746" t="s">
        <v>84</v>
      </c>
      <c r="J5746" t="s">
        <v>60</v>
      </c>
      <c r="K5746" t="s">
        <v>61</v>
      </c>
      <c r="L5746" t="s">
        <v>62</v>
      </c>
      <c r="M5746" t="s">
        <v>61</v>
      </c>
      <c r="N5746" t="s">
        <v>85</v>
      </c>
      <c r="O5746" t="s">
        <v>86</v>
      </c>
      <c r="P5746">
        <v>-20.149799000000002</v>
      </c>
      <c r="Q5746">
        <v>-44.906517000000001</v>
      </c>
      <c r="R5746" s="2" t="str">
        <f>HYPERLINK("https://www.google.com/maps?q=-20.1497990,-44.9065170","Abrir no Google Maps")</f>
        <v>Abrir no Google Maps</v>
      </c>
      <c r="S5746">
        <v>4</v>
      </c>
      <c r="T5746">
        <v>487.90051105537998</v>
      </c>
      <c r="U5746">
        <v>4</v>
      </c>
      <c r="V5746">
        <v>0.99704142011834318</v>
      </c>
      <c r="W5746">
        <v>1</v>
      </c>
      <c r="X5746">
        <v>0.99704142011834318</v>
      </c>
      <c r="Y5746">
        <v>747</v>
      </c>
      <c r="Z5746">
        <v>365.93785960107078</v>
      </c>
      <c r="AA5746">
        <v>198</v>
      </c>
      <c r="AB5746">
        <v>332</v>
      </c>
      <c r="AC5746">
        <v>536</v>
      </c>
      <c r="AD5746">
        <v>27.77</v>
      </c>
      <c r="AE5746">
        <v>542</v>
      </c>
      <c r="AF5746">
        <v>26</v>
      </c>
      <c r="AG5746">
        <v>163</v>
      </c>
      <c r="AH5746">
        <v>129</v>
      </c>
      <c r="AI5746">
        <v>4.8</v>
      </c>
      <c r="AJ5746">
        <v>30.07</v>
      </c>
      <c r="AK5746">
        <v>23.8</v>
      </c>
      <c r="AL5746">
        <v>-20.149879599999959</v>
      </c>
      <c r="AM5746">
        <v>-44.906746466068469</v>
      </c>
      <c r="AN5746">
        <v>-20.149879599999959</v>
      </c>
      <c r="AO5746">
        <v>-44.906746466068469</v>
      </c>
      <c r="AP5746">
        <v>-20.149799000000002</v>
      </c>
      <c r="AQ5746">
        <v>-44.906517000000001</v>
      </c>
      <c r="AR5746">
        <v>25.604276856970429</v>
      </c>
      <c r="AS5746" t="s">
        <v>65</v>
      </c>
      <c r="AT5746">
        <v>1</v>
      </c>
      <c r="AU5746" t="s">
        <v>87</v>
      </c>
      <c r="AV5746" t="s">
        <v>88</v>
      </c>
      <c r="AW5746" t="s">
        <v>60</v>
      </c>
      <c r="AX5746" t="s">
        <v>68</v>
      </c>
      <c r="AY5746" t="s">
        <v>69</v>
      </c>
      <c r="AZ5746" t="b">
        <v>1</v>
      </c>
    </row>
    <row r="5747" spans="1:52" x14ac:dyDescent="0.3">
      <c r="A5747" t="s">
        <v>52</v>
      </c>
      <c r="B5747" t="s">
        <v>53</v>
      </c>
      <c r="C5747" t="s">
        <v>54</v>
      </c>
      <c r="D5747" t="s">
        <v>55</v>
      </c>
      <c r="E5747" t="s">
        <v>2280</v>
      </c>
      <c r="F5747" t="s">
        <v>1247</v>
      </c>
      <c r="G5747" t="s">
        <v>89</v>
      </c>
      <c r="H5747" t="s">
        <v>90</v>
      </c>
      <c r="I5747" t="s">
        <v>90</v>
      </c>
      <c r="J5747" t="s">
        <v>60</v>
      </c>
      <c r="K5747" t="s">
        <v>72</v>
      </c>
      <c r="L5747" t="s">
        <v>62</v>
      </c>
      <c r="M5747" t="s">
        <v>72</v>
      </c>
      <c r="N5747" t="s">
        <v>91</v>
      </c>
      <c r="O5747" t="s">
        <v>92</v>
      </c>
      <c r="P5747">
        <v>-20.145848999999998</v>
      </c>
      <c r="Q5747">
        <v>-44.908419000000002</v>
      </c>
      <c r="R5747" s="2" t="str">
        <f>HYPERLINK("https://www.google.com/maps?q=-20.1458490,-44.9084190","Abrir no Google Maps")</f>
        <v>Abrir no Google Maps</v>
      </c>
      <c r="S5747">
        <v>4</v>
      </c>
      <c r="T5747">
        <v>0</v>
      </c>
      <c r="U5747">
        <v>4</v>
      </c>
      <c r="V5747">
        <v>1</v>
      </c>
      <c r="W5747">
        <v>1</v>
      </c>
      <c r="X5747">
        <v>1</v>
      </c>
      <c r="Y5747">
        <v>747</v>
      </c>
      <c r="Z5747">
        <v>136.08168502765241</v>
      </c>
      <c r="AA5747">
        <v>198</v>
      </c>
      <c r="AB5747">
        <v>332</v>
      </c>
      <c r="AC5747">
        <v>536</v>
      </c>
      <c r="AD5747">
        <v>27.77</v>
      </c>
      <c r="AE5747">
        <v>542</v>
      </c>
      <c r="AF5747">
        <v>26</v>
      </c>
      <c r="AG5747">
        <v>163</v>
      </c>
      <c r="AH5747">
        <v>129</v>
      </c>
      <c r="AI5747">
        <v>4.8</v>
      </c>
      <c r="AJ5747">
        <v>30.07</v>
      </c>
      <c r="AK5747">
        <v>23.8</v>
      </c>
      <c r="AL5747">
        <v>-20.14576979999995</v>
      </c>
      <c r="AM5747">
        <v>-44.908436775053183</v>
      </c>
      <c r="AN5747">
        <v>-20.14576979999995</v>
      </c>
      <c r="AO5747">
        <v>-44.908436775053183</v>
      </c>
      <c r="AP5747">
        <v>-20.145848999999998</v>
      </c>
      <c r="AQ5747">
        <v>-44.908419000000002</v>
      </c>
      <c r="AR5747">
        <v>9.0101247482327356</v>
      </c>
      <c r="AS5747" t="s">
        <v>65</v>
      </c>
      <c r="AT5747">
        <v>1</v>
      </c>
      <c r="AU5747" t="s">
        <v>93</v>
      </c>
      <c r="AV5747" t="s">
        <v>94</v>
      </c>
      <c r="AW5747" t="s">
        <v>60</v>
      </c>
      <c r="AX5747" t="s">
        <v>68</v>
      </c>
      <c r="AY5747" t="s">
        <v>69</v>
      </c>
      <c r="AZ5747" t="b">
        <v>1</v>
      </c>
    </row>
    <row r="5748" spans="1:52" x14ac:dyDescent="0.3">
      <c r="A5748" t="s">
        <v>52</v>
      </c>
      <c r="B5748" t="s">
        <v>53</v>
      </c>
      <c r="C5748" t="s">
        <v>54</v>
      </c>
      <c r="D5748" t="s">
        <v>55</v>
      </c>
      <c r="E5748" t="s">
        <v>2280</v>
      </c>
      <c r="F5748" t="s">
        <v>1247</v>
      </c>
      <c r="G5748" t="s">
        <v>95</v>
      </c>
      <c r="H5748" t="s">
        <v>96</v>
      </c>
      <c r="I5748" t="s">
        <v>96</v>
      </c>
      <c r="J5748" t="s">
        <v>60</v>
      </c>
      <c r="K5748" t="s">
        <v>72</v>
      </c>
      <c r="L5748" t="s">
        <v>62</v>
      </c>
      <c r="M5748" t="s">
        <v>72</v>
      </c>
      <c r="N5748" t="s">
        <v>97</v>
      </c>
      <c r="O5748" t="s">
        <v>98</v>
      </c>
      <c r="P5748">
        <v>-20.144062999999999</v>
      </c>
      <c r="Q5748">
        <v>-44.909627999999998</v>
      </c>
      <c r="R5748" s="2" t="str">
        <f>HYPERLINK("https://www.google.com/maps?q=-20.1440630,-44.9096280","Abrir no Google Maps")</f>
        <v>Abrir no Google Maps</v>
      </c>
      <c r="S5748">
        <v>4</v>
      </c>
      <c r="T5748">
        <v>205.27083326529291</v>
      </c>
      <c r="U5748">
        <v>4</v>
      </c>
      <c r="V5748">
        <v>0.99558823529411755</v>
      </c>
      <c r="W5748">
        <v>1</v>
      </c>
      <c r="X5748">
        <v>0.99558823529411755</v>
      </c>
      <c r="Y5748">
        <v>747</v>
      </c>
      <c r="Z5748">
        <v>336.75785483480968</v>
      </c>
      <c r="AA5748">
        <v>198</v>
      </c>
      <c r="AB5748">
        <v>332</v>
      </c>
      <c r="AC5748">
        <v>536</v>
      </c>
      <c r="AD5748">
        <v>27.77</v>
      </c>
      <c r="AE5748">
        <v>542</v>
      </c>
      <c r="AF5748">
        <v>26</v>
      </c>
      <c r="AG5748">
        <v>163</v>
      </c>
      <c r="AH5748">
        <v>129</v>
      </c>
      <c r="AI5748">
        <v>4.8</v>
      </c>
      <c r="AJ5748">
        <v>30.07</v>
      </c>
      <c r="AK5748">
        <v>23.8</v>
      </c>
      <c r="AL5748">
        <v>-20.144164099999951</v>
      </c>
      <c r="AM5748">
        <v>-44.909420167767642</v>
      </c>
      <c r="AN5748">
        <v>-20.144164099999951</v>
      </c>
      <c r="AO5748">
        <v>-44.909420167767642</v>
      </c>
      <c r="AP5748">
        <v>-20.144062999999999</v>
      </c>
      <c r="AQ5748">
        <v>-44.909627999999998</v>
      </c>
      <c r="AR5748">
        <v>24.46321571724976</v>
      </c>
      <c r="AS5748" t="s">
        <v>65</v>
      </c>
      <c r="AT5748">
        <v>1</v>
      </c>
      <c r="AU5748" t="s">
        <v>99</v>
      </c>
      <c r="AV5748" t="s">
        <v>94</v>
      </c>
      <c r="AW5748" t="s">
        <v>60</v>
      </c>
      <c r="AX5748" t="s">
        <v>68</v>
      </c>
      <c r="AY5748" t="s">
        <v>69</v>
      </c>
      <c r="AZ5748" t="b">
        <v>1</v>
      </c>
    </row>
    <row r="5749" spans="1:52" x14ac:dyDescent="0.3">
      <c r="A5749" t="s">
        <v>52</v>
      </c>
      <c r="B5749" t="s">
        <v>53</v>
      </c>
      <c r="C5749" t="s">
        <v>54</v>
      </c>
      <c r="D5749" t="s">
        <v>55</v>
      </c>
      <c r="E5749" t="s">
        <v>2280</v>
      </c>
      <c r="F5749" t="s">
        <v>1247</v>
      </c>
      <c r="G5749" t="s">
        <v>115</v>
      </c>
      <c r="H5749" t="s">
        <v>116</v>
      </c>
      <c r="I5749" t="s">
        <v>116</v>
      </c>
      <c r="J5749" t="s">
        <v>60</v>
      </c>
      <c r="K5749" t="s">
        <v>117</v>
      </c>
      <c r="L5749" t="s">
        <v>62</v>
      </c>
      <c r="M5749" t="s">
        <v>117</v>
      </c>
      <c r="N5749" t="s">
        <v>118</v>
      </c>
      <c r="O5749" t="s">
        <v>119</v>
      </c>
      <c r="P5749">
        <v>-20.116992</v>
      </c>
      <c r="Q5749">
        <v>-44.899355</v>
      </c>
      <c r="R5749" s="2" t="str">
        <f>HYPERLINK("https://www.google.com/maps?q=-20.1169920,-44.8993550","Abrir no Google Maps")</f>
        <v>Abrir no Google Maps</v>
      </c>
      <c r="S5749">
        <v>4</v>
      </c>
      <c r="T5749">
        <v>0</v>
      </c>
      <c r="U5749">
        <v>4</v>
      </c>
      <c r="V5749">
        <v>0.99732620320855603</v>
      </c>
      <c r="W5749">
        <v>1</v>
      </c>
      <c r="X5749">
        <v>0.99732620320855603</v>
      </c>
      <c r="Y5749">
        <v>567</v>
      </c>
      <c r="Z5749">
        <v>54.913678078353321</v>
      </c>
      <c r="AA5749">
        <v>198</v>
      </c>
      <c r="AB5749">
        <v>332</v>
      </c>
      <c r="AC5749">
        <v>536</v>
      </c>
      <c r="AD5749">
        <v>27.77</v>
      </c>
      <c r="AE5749">
        <v>542</v>
      </c>
      <c r="AF5749">
        <v>26</v>
      </c>
      <c r="AG5749">
        <v>163</v>
      </c>
      <c r="AH5749">
        <v>129</v>
      </c>
      <c r="AI5749">
        <v>4.8</v>
      </c>
      <c r="AJ5749">
        <v>30.07</v>
      </c>
      <c r="AK5749">
        <v>23.8</v>
      </c>
      <c r="AL5749">
        <v>-20.117107749999949</v>
      </c>
      <c r="AM5749">
        <v>-44.899271226243108</v>
      </c>
      <c r="AN5749">
        <v>-20.117107749999949</v>
      </c>
      <c r="AO5749">
        <v>-44.899271226243108</v>
      </c>
      <c r="AP5749">
        <v>-20.116992</v>
      </c>
      <c r="AQ5749">
        <v>-44.899355</v>
      </c>
      <c r="AR5749">
        <v>15.579196044083419</v>
      </c>
      <c r="AS5749" t="s">
        <v>65</v>
      </c>
      <c r="AT5749">
        <v>1</v>
      </c>
      <c r="AU5749" t="s">
        <v>120</v>
      </c>
      <c r="AV5749" t="s">
        <v>121</v>
      </c>
      <c r="AW5749" t="s">
        <v>60</v>
      </c>
      <c r="AX5749" t="s">
        <v>68</v>
      </c>
      <c r="AY5749" t="s">
        <v>69</v>
      </c>
      <c r="AZ5749" t="b">
        <v>1</v>
      </c>
    </row>
    <row r="5750" spans="1:52" x14ac:dyDescent="0.3">
      <c r="A5750" t="s">
        <v>52</v>
      </c>
      <c r="B5750" t="s">
        <v>53</v>
      </c>
      <c r="C5750" t="s">
        <v>54</v>
      </c>
      <c r="D5750" t="s">
        <v>55</v>
      </c>
      <c r="E5750" t="s">
        <v>2280</v>
      </c>
      <c r="F5750" t="s">
        <v>1247</v>
      </c>
      <c r="G5750" t="s">
        <v>122</v>
      </c>
      <c r="H5750" t="s">
        <v>123</v>
      </c>
      <c r="I5750" t="s">
        <v>123</v>
      </c>
      <c r="J5750" t="s">
        <v>60</v>
      </c>
      <c r="K5750" t="s">
        <v>117</v>
      </c>
      <c r="L5750" t="s">
        <v>62</v>
      </c>
      <c r="M5750" t="s">
        <v>117</v>
      </c>
      <c r="N5750" t="s">
        <v>124</v>
      </c>
      <c r="O5750" t="s">
        <v>125</v>
      </c>
      <c r="P5750">
        <v>-20.11853</v>
      </c>
      <c r="Q5750">
        <v>-44.896925000000003</v>
      </c>
      <c r="R5750" s="2" t="str">
        <f>HYPERLINK("https://www.google.com/maps?q=-20.1185300,-44.8969250","Abrir no Google Maps")</f>
        <v>Abrir no Google Maps</v>
      </c>
      <c r="S5750">
        <v>4</v>
      </c>
      <c r="T5750">
        <v>325.32255721093247</v>
      </c>
      <c r="U5750">
        <v>4</v>
      </c>
      <c r="V5750">
        <v>1</v>
      </c>
      <c r="W5750">
        <v>1</v>
      </c>
      <c r="X5750">
        <v>1</v>
      </c>
      <c r="Y5750">
        <v>567</v>
      </c>
      <c r="Z5750">
        <v>306.04423478678871</v>
      </c>
      <c r="AA5750">
        <v>198</v>
      </c>
      <c r="AB5750">
        <v>332</v>
      </c>
      <c r="AC5750">
        <v>536</v>
      </c>
      <c r="AD5750">
        <v>27.77</v>
      </c>
      <c r="AE5750">
        <v>542</v>
      </c>
      <c r="AF5750">
        <v>26</v>
      </c>
      <c r="AG5750">
        <v>163</v>
      </c>
      <c r="AH5750">
        <v>129</v>
      </c>
      <c r="AI5750">
        <v>4.8</v>
      </c>
      <c r="AJ5750">
        <v>30.07</v>
      </c>
      <c r="AK5750">
        <v>23.8</v>
      </c>
      <c r="AL5750">
        <v>-20.118682499999949</v>
      </c>
      <c r="AM5750">
        <v>-44.896643089287927</v>
      </c>
      <c r="AN5750">
        <v>-20.118682499999949</v>
      </c>
      <c r="AO5750">
        <v>-44.896643089287927</v>
      </c>
      <c r="AP5750">
        <v>-20.11853</v>
      </c>
      <c r="AQ5750">
        <v>-44.896925000000003</v>
      </c>
      <c r="AR5750">
        <v>34.007698996886518</v>
      </c>
      <c r="AS5750" t="s">
        <v>65</v>
      </c>
      <c r="AT5750">
        <v>1</v>
      </c>
      <c r="AU5750" t="s">
        <v>126</v>
      </c>
      <c r="AV5750" t="s">
        <v>121</v>
      </c>
      <c r="AW5750" t="s">
        <v>60</v>
      </c>
      <c r="AX5750" t="s">
        <v>68</v>
      </c>
      <c r="AY5750" t="s">
        <v>69</v>
      </c>
      <c r="AZ5750" t="b">
        <v>1</v>
      </c>
    </row>
    <row r="5751" spans="1:52" x14ac:dyDescent="0.3">
      <c r="A5751" t="s">
        <v>52</v>
      </c>
      <c r="B5751" t="s">
        <v>53</v>
      </c>
      <c r="C5751" t="s">
        <v>54</v>
      </c>
      <c r="D5751" t="s">
        <v>55</v>
      </c>
      <c r="E5751" t="s">
        <v>2280</v>
      </c>
      <c r="F5751" t="s">
        <v>1247</v>
      </c>
      <c r="G5751" t="s">
        <v>191</v>
      </c>
      <c r="H5751" t="s">
        <v>192</v>
      </c>
      <c r="I5751" t="s">
        <v>192</v>
      </c>
      <c r="J5751" t="s">
        <v>60</v>
      </c>
      <c r="K5751" t="s">
        <v>193</v>
      </c>
      <c r="L5751" t="s">
        <v>62</v>
      </c>
      <c r="M5751" t="s">
        <v>193</v>
      </c>
      <c r="N5751" t="s">
        <v>194</v>
      </c>
      <c r="O5751" t="s">
        <v>195</v>
      </c>
      <c r="P5751">
        <v>-20.143266000000001</v>
      </c>
      <c r="Q5751">
        <v>-44.912075000000002</v>
      </c>
      <c r="R5751" s="2" t="str">
        <f>HYPERLINK("https://www.google.com/maps?q=-20.1432660,-44.9120750","Abrir no Google Maps")</f>
        <v>Abrir no Google Maps</v>
      </c>
      <c r="S5751">
        <v>4</v>
      </c>
      <c r="T5751">
        <v>467.04339396175408</v>
      </c>
      <c r="U5751">
        <v>3</v>
      </c>
      <c r="V5751">
        <v>0.97417355371900838</v>
      </c>
      <c r="W5751">
        <v>1</v>
      </c>
      <c r="X5751">
        <v>0.97417355371900838</v>
      </c>
      <c r="Y5751">
        <v>747</v>
      </c>
      <c r="Z5751">
        <v>585.1742452866996</v>
      </c>
      <c r="AA5751">
        <v>198</v>
      </c>
      <c r="AB5751">
        <v>332</v>
      </c>
      <c r="AC5751">
        <v>536</v>
      </c>
      <c r="AD5751">
        <v>27.77</v>
      </c>
      <c r="AE5751">
        <v>542</v>
      </c>
      <c r="AF5751">
        <v>26</v>
      </c>
      <c r="AG5751">
        <v>163</v>
      </c>
      <c r="AH5751">
        <v>129</v>
      </c>
      <c r="AI5751">
        <v>4.8</v>
      </c>
      <c r="AJ5751">
        <v>30.07</v>
      </c>
      <c r="AK5751">
        <v>23.8</v>
      </c>
      <c r="AL5751">
        <v>-20.143307949999951</v>
      </c>
      <c r="AM5751">
        <v>-44.912066629431067</v>
      </c>
      <c r="AN5751">
        <v>-20.143307949999951</v>
      </c>
      <c r="AO5751">
        <v>-44.912066629431067</v>
      </c>
      <c r="AP5751">
        <v>-20.143266000000001</v>
      </c>
      <c r="AQ5751">
        <v>-44.912075000000002</v>
      </c>
      <c r="AR5751">
        <v>4.751108024498329</v>
      </c>
      <c r="AS5751" t="s">
        <v>65</v>
      </c>
      <c r="AT5751">
        <v>1</v>
      </c>
      <c r="AU5751" t="s">
        <v>196</v>
      </c>
      <c r="AV5751" t="s">
        <v>197</v>
      </c>
      <c r="AW5751" t="s">
        <v>60</v>
      </c>
      <c r="AX5751" t="s">
        <v>68</v>
      </c>
      <c r="AY5751" t="s">
        <v>69</v>
      </c>
      <c r="AZ5751" t="b">
        <v>1</v>
      </c>
    </row>
    <row r="5752" spans="1:52" x14ac:dyDescent="0.3">
      <c r="A5752" t="s">
        <v>52</v>
      </c>
      <c r="B5752" t="s">
        <v>53</v>
      </c>
      <c r="C5752" t="s">
        <v>54</v>
      </c>
      <c r="D5752" t="s">
        <v>55</v>
      </c>
      <c r="E5752" t="s">
        <v>2280</v>
      </c>
      <c r="F5752" t="s">
        <v>1247</v>
      </c>
      <c r="G5752" t="s">
        <v>1248</v>
      </c>
      <c r="H5752" t="s">
        <v>1249</v>
      </c>
      <c r="I5752" t="s">
        <v>1249</v>
      </c>
      <c r="J5752" t="s">
        <v>60</v>
      </c>
      <c r="K5752" t="s">
        <v>61</v>
      </c>
      <c r="L5752" t="s">
        <v>62</v>
      </c>
      <c r="M5752" t="s">
        <v>61</v>
      </c>
      <c r="N5752" t="s">
        <v>1250</v>
      </c>
      <c r="O5752" t="s">
        <v>202</v>
      </c>
      <c r="P5752">
        <v>-20.145337999999999</v>
      </c>
      <c r="Q5752">
        <v>-44.906260000000003</v>
      </c>
      <c r="R5752" s="2" t="str">
        <f>HYPERLINK("https://www.google.com/maps?q=-20.1453380,-44.9062600","Abrir no Google Maps")</f>
        <v>Abrir no Google Maps</v>
      </c>
      <c r="S5752">
        <v>4</v>
      </c>
      <c r="T5752">
        <v>231.8105263092443</v>
      </c>
      <c r="U5752">
        <v>2</v>
      </c>
      <c r="V5752">
        <v>0.99234693877551017</v>
      </c>
      <c r="W5752">
        <v>0.85</v>
      </c>
      <c r="X5752">
        <v>0.84349489795918364</v>
      </c>
      <c r="Y5752">
        <v>747</v>
      </c>
      <c r="Z5752">
        <v>210.09098260239841</v>
      </c>
      <c r="AA5752">
        <v>198</v>
      </c>
      <c r="AB5752">
        <v>332</v>
      </c>
      <c r="AC5752">
        <v>536</v>
      </c>
      <c r="AD5752">
        <v>27.77</v>
      </c>
      <c r="AE5752">
        <v>542</v>
      </c>
      <c r="AF5752">
        <v>26</v>
      </c>
      <c r="AG5752">
        <v>163</v>
      </c>
      <c r="AH5752">
        <v>129</v>
      </c>
      <c r="AI5752">
        <v>4.8</v>
      </c>
      <c r="AJ5752">
        <v>30.07</v>
      </c>
      <c r="AK5752">
        <v>23.8</v>
      </c>
      <c r="AL5752">
        <v>-20.14545934999995</v>
      </c>
      <c r="AM5752">
        <v>-44.906243174283489</v>
      </c>
      <c r="AN5752">
        <v>-20.14545934999995</v>
      </c>
      <c r="AO5752">
        <v>-44.906243174283489</v>
      </c>
      <c r="AP5752">
        <v>-20.145337999999999</v>
      </c>
      <c r="AQ5752">
        <v>-44.906260000000003</v>
      </c>
      <c r="AR5752">
        <v>13.622651392262521</v>
      </c>
      <c r="AS5752" t="s">
        <v>65</v>
      </c>
      <c r="AT5752">
        <v>1</v>
      </c>
      <c r="AU5752" t="s">
        <v>1251</v>
      </c>
      <c r="AV5752" t="s">
        <v>1252</v>
      </c>
      <c r="AW5752" t="s">
        <v>60</v>
      </c>
      <c r="AX5752" t="s">
        <v>68</v>
      </c>
      <c r="AY5752" t="s">
        <v>69</v>
      </c>
      <c r="AZ5752" t="b">
        <v>1</v>
      </c>
    </row>
    <row r="5753" spans="1:52" x14ac:dyDescent="0.3">
      <c r="A5753" t="s">
        <v>52</v>
      </c>
      <c r="B5753" t="s">
        <v>53</v>
      </c>
      <c r="C5753" t="s">
        <v>54</v>
      </c>
      <c r="D5753" t="s">
        <v>55</v>
      </c>
      <c r="E5753" t="s">
        <v>2280</v>
      </c>
      <c r="F5753" t="s">
        <v>1247</v>
      </c>
      <c r="G5753" t="s">
        <v>83</v>
      </c>
      <c r="H5753" t="s">
        <v>1253</v>
      </c>
      <c r="I5753" t="s">
        <v>1253</v>
      </c>
      <c r="J5753" t="s">
        <v>60</v>
      </c>
      <c r="K5753" t="s">
        <v>72</v>
      </c>
      <c r="L5753" t="s">
        <v>62</v>
      </c>
      <c r="M5753" t="s">
        <v>72</v>
      </c>
      <c r="N5753" t="s">
        <v>1254</v>
      </c>
      <c r="O5753" t="s">
        <v>1255</v>
      </c>
      <c r="P5753">
        <v>-20.147164</v>
      </c>
      <c r="Q5753">
        <v>-44.905259000000001</v>
      </c>
      <c r="R5753" s="2" t="str">
        <f>HYPERLINK("https://www.google.com/maps?q=-20.1471640,-44.9052590","Abrir no Google Maps")</f>
        <v>Abrir no Google Maps</v>
      </c>
      <c r="S5753">
        <v>4</v>
      </c>
      <c r="T5753">
        <v>364.08569180502712</v>
      </c>
      <c r="U5753">
        <v>2</v>
      </c>
      <c r="V5753">
        <v>0.99347826086956526</v>
      </c>
      <c r="W5753">
        <v>0.85</v>
      </c>
      <c r="X5753">
        <v>0.84445652173913044</v>
      </c>
      <c r="Y5753">
        <v>747</v>
      </c>
      <c r="Z5753">
        <v>309.89238988435022</v>
      </c>
      <c r="AA5753">
        <v>198</v>
      </c>
      <c r="AB5753">
        <v>332</v>
      </c>
      <c r="AC5753">
        <v>536</v>
      </c>
      <c r="AD5753">
        <v>27.77</v>
      </c>
      <c r="AE5753">
        <v>542</v>
      </c>
      <c r="AF5753">
        <v>26</v>
      </c>
      <c r="AG5753">
        <v>163</v>
      </c>
      <c r="AH5753">
        <v>129</v>
      </c>
      <c r="AI5753">
        <v>4.8</v>
      </c>
      <c r="AJ5753">
        <v>30.07</v>
      </c>
      <c r="AK5753">
        <v>23.8</v>
      </c>
      <c r="AL5753">
        <v>-20.14718674999995</v>
      </c>
      <c r="AM5753">
        <v>-44.905292621565764</v>
      </c>
      <c r="AN5753">
        <v>-20.147186749999939</v>
      </c>
      <c r="AO5753">
        <v>-44.905292621565764</v>
      </c>
      <c r="AP5753">
        <v>-20.147164</v>
      </c>
      <c r="AQ5753">
        <v>-44.905259000000001</v>
      </c>
      <c r="AR5753">
        <v>4.3312880650984971</v>
      </c>
      <c r="AS5753" t="s">
        <v>65</v>
      </c>
      <c r="AT5753">
        <v>1</v>
      </c>
      <c r="AU5753" t="s">
        <v>1256</v>
      </c>
      <c r="AV5753" t="s">
        <v>1257</v>
      </c>
      <c r="AW5753" t="s">
        <v>60</v>
      </c>
      <c r="AX5753" t="s">
        <v>68</v>
      </c>
      <c r="AY5753" t="s">
        <v>69</v>
      </c>
      <c r="AZ5753" t="b">
        <v>1</v>
      </c>
    </row>
    <row r="5754" spans="1:52" x14ac:dyDescent="0.3">
      <c r="A5754" t="s">
        <v>52</v>
      </c>
      <c r="B5754" t="s">
        <v>53</v>
      </c>
      <c r="C5754" t="s">
        <v>54</v>
      </c>
      <c r="D5754" t="s">
        <v>55</v>
      </c>
      <c r="E5754" t="s">
        <v>2280</v>
      </c>
      <c r="F5754" t="s">
        <v>1247</v>
      </c>
      <c r="G5754" t="s">
        <v>108</v>
      </c>
      <c r="H5754" t="s">
        <v>109</v>
      </c>
      <c r="I5754" t="s">
        <v>109</v>
      </c>
      <c r="J5754" t="s">
        <v>60</v>
      </c>
      <c r="K5754" t="s">
        <v>110</v>
      </c>
      <c r="L5754" t="s">
        <v>62</v>
      </c>
      <c r="M5754" t="s">
        <v>110</v>
      </c>
      <c r="N5754" t="s">
        <v>111</v>
      </c>
      <c r="O5754" t="s">
        <v>112</v>
      </c>
      <c r="P5754">
        <v>-20.122233999999999</v>
      </c>
      <c r="Q5754">
        <v>-44.909194999999997</v>
      </c>
      <c r="R5754" s="2" t="str">
        <f>HYPERLINK("https://www.google.com/maps?q=-20.1222340,-44.9091950","Abrir no Google Maps")</f>
        <v>Abrir no Google Maps</v>
      </c>
      <c r="S5754">
        <v>4</v>
      </c>
      <c r="T5754">
        <v>1171.396020763932</v>
      </c>
      <c r="U5754">
        <v>2</v>
      </c>
      <c r="V5754">
        <v>0.99791666666666679</v>
      </c>
      <c r="W5754">
        <v>0.85</v>
      </c>
      <c r="X5754">
        <v>0.8482291666666667</v>
      </c>
      <c r="Y5754">
        <v>567</v>
      </c>
      <c r="Z5754">
        <v>1238.711234283244</v>
      </c>
      <c r="AA5754">
        <v>198</v>
      </c>
      <c r="AB5754">
        <v>332</v>
      </c>
      <c r="AC5754">
        <v>536</v>
      </c>
      <c r="AD5754">
        <v>27.77</v>
      </c>
      <c r="AE5754">
        <v>542</v>
      </c>
      <c r="AF5754">
        <v>26</v>
      </c>
      <c r="AG5754">
        <v>163</v>
      </c>
      <c r="AH5754">
        <v>129</v>
      </c>
      <c r="AI5754">
        <v>4.8</v>
      </c>
      <c r="AJ5754">
        <v>30.07</v>
      </c>
      <c r="AK5754">
        <v>23.8</v>
      </c>
      <c r="AL5754">
        <v>-20.121881249999941</v>
      </c>
      <c r="AM5754">
        <v>-44.909273766094323</v>
      </c>
      <c r="AN5754">
        <v>-20.121881249999941</v>
      </c>
      <c r="AO5754">
        <v>-44.909273766094323</v>
      </c>
      <c r="AP5754">
        <v>-20.122233999999999</v>
      </c>
      <c r="AQ5754">
        <v>-44.909194999999997</v>
      </c>
      <c r="AR5754">
        <v>40.12192930593006</v>
      </c>
      <c r="AS5754" t="s">
        <v>65</v>
      </c>
      <c r="AT5754">
        <v>1</v>
      </c>
      <c r="AU5754" t="s">
        <v>113</v>
      </c>
      <c r="AV5754" t="s">
        <v>114</v>
      </c>
      <c r="AW5754" t="s">
        <v>60</v>
      </c>
      <c r="AX5754" t="s">
        <v>68</v>
      </c>
      <c r="AY5754" t="s">
        <v>69</v>
      </c>
      <c r="AZ5754" t="b">
        <v>1</v>
      </c>
    </row>
    <row r="5755" spans="1:52" x14ac:dyDescent="0.3">
      <c r="A5755" t="s">
        <v>52</v>
      </c>
      <c r="B5755" t="s">
        <v>53</v>
      </c>
      <c r="C5755" t="s">
        <v>54</v>
      </c>
      <c r="D5755" t="s">
        <v>55</v>
      </c>
      <c r="E5755" t="s">
        <v>2280</v>
      </c>
      <c r="F5755" t="s">
        <v>1247</v>
      </c>
      <c r="G5755" t="s">
        <v>1258</v>
      </c>
      <c r="H5755" t="s">
        <v>1259</v>
      </c>
      <c r="I5755" t="s">
        <v>1259</v>
      </c>
      <c r="J5755" t="s">
        <v>60</v>
      </c>
      <c r="K5755" t="s">
        <v>905</v>
      </c>
      <c r="L5755" t="s">
        <v>62</v>
      </c>
      <c r="M5755" t="s">
        <v>905</v>
      </c>
      <c r="N5755" t="s">
        <v>1260</v>
      </c>
      <c r="O5755" t="s">
        <v>628</v>
      </c>
      <c r="P5755">
        <v>-20.113569999999999</v>
      </c>
      <c r="Q5755">
        <v>-44.897216</v>
      </c>
      <c r="R5755" s="2" t="str">
        <f>HYPERLINK("https://www.google.com/maps?q=-20.1135700,-44.8972160","Abrir no Google Maps")</f>
        <v>Abrir no Google Maps</v>
      </c>
      <c r="S5755">
        <v>4</v>
      </c>
      <c r="T5755">
        <v>418.54368277643368</v>
      </c>
      <c r="U5755">
        <v>2</v>
      </c>
      <c r="V5755">
        <v>0.96895424836601318</v>
      </c>
      <c r="W5755">
        <v>0.85</v>
      </c>
      <c r="X5755">
        <v>0.82361111111111118</v>
      </c>
      <c r="Y5755">
        <v>567</v>
      </c>
      <c r="Z5755">
        <v>315.02989622191018</v>
      </c>
      <c r="AA5755">
        <v>198</v>
      </c>
      <c r="AB5755">
        <v>332</v>
      </c>
      <c r="AC5755">
        <v>536</v>
      </c>
      <c r="AD5755">
        <v>27.77</v>
      </c>
      <c r="AE5755">
        <v>542</v>
      </c>
      <c r="AF5755">
        <v>26</v>
      </c>
      <c r="AG5755">
        <v>163</v>
      </c>
      <c r="AH5755">
        <v>129</v>
      </c>
      <c r="AI5755">
        <v>4.8</v>
      </c>
      <c r="AJ5755">
        <v>30.07</v>
      </c>
      <c r="AK5755">
        <v>23.8</v>
      </c>
      <c r="AL5755">
        <v>-20.113750149999959</v>
      </c>
      <c r="AM5755">
        <v>-44.897427949999937</v>
      </c>
      <c r="AN5755">
        <v>-20.113750149999959</v>
      </c>
      <c r="AO5755">
        <v>-44.897427949999937</v>
      </c>
      <c r="AP5755">
        <v>-20.113569999999999</v>
      </c>
      <c r="AQ5755">
        <v>-44.897216</v>
      </c>
      <c r="AR5755">
        <v>29.883644534822711</v>
      </c>
      <c r="AS5755" t="s">
        <v>65</v>
      </c>
      <c r="AT5755">
        <v>1</v>
      </c>
      <c r="AU5755" t="s">
        <v>1261</v>
      </c>
      <c r="AV5755" t="s">
        <v>1262</v>
      </c>
      <c r="AW5755" t="s">
        <v>60</v>
      </c>
      <c r="AX5755" t="s">
        <v>68</v>
      </c>
      <c r="AY5755" t="s">
        <v>69</v>
      </c>
      <c r="AZ5755" t="b">
        <v>1</v>
      </c>
    </row>
    <row r="5756" spans="1:52" x14ac:dyDescent="0.3">
      <c r="A5756" t="s">
        <v>52</v>
      </c>
      <c r="B5756" t="s">
        <v>53</v>
      </c>
      <c r="C5756" t="s">
        <v>54</v>
      </c>
      <c r="D5756" t="s">
        <v>55</v>
      </c>
      <c r="E5756" t="s">
        <v>2280</v>
      </c>
      <c r="F5756" t="s">
        <v>1247</v>
      </c>
      <c r="G5756" t="s">
        <v>198</v>
      </c>
      <c r="H5756" t="s">
        <v>199</v>
      </c>
      <c r="I5756" t="s">
        <v>199</v>
      </c>
      <c r="J5756" t="s">
        <v>60</v>
      </c>
      <c r="K5756" t="s">
        <v>200</v>
      </c>
      <c r="L5756" t="s">
        <v>62</v>
      </c>
      <c r="M5756" t="s">
        <v>200</v>
      </c>
      <c r="N5756" t="s">
        <v>201</v>
      </c>
      <c r="O5756" t="s">
        <v>202</v>
      </c>
      <c r="P5756">
        <v>-20.122433000000001</v>
      </c>
      <c r="Q5756">
        <v>-44.897013999999999</v>
      </c>
      <c r="R5756" s="2" t="str">
        <f>HYPERLINK("https://www.google.com/maps?q=-20.1224330,-44.8970140","Abrir no Google Maps")</f>
        <v>Abrir no Google Maps</v>
      </c>
      <c r="S5756">
        <v>4</v>
      </c>
      <c r="T5756">
        <v>616.04759279207849</v>
      </c>
      <c r="U5756">
        <v>2</v>
      </c>
      <c r="V5756">
        <v>0.99647887323943662</v>
      </c>
      <c r="W5756">
        <v>0.85</v>
      </c>
      <c r="X5756">
        <v>0.84700704225352108</v>
      </c>
      <c r="Y5756">
        <v>567</v>
      </c>
      <c r="Z5756">
        <v>655.51024138861465</v>
      </c>
      <c r="AA5756">
        <v>198</v>
      </c>
      <c r="AB5756">
        <v>332</v>
      </c>
      <c r="AC5756">
        <v>536</v>
      </c>
      <c r="AD5756">
        <v>27.77</v>
      </c>
      <c r="AE5756">
        <v>542</v>
      </c>
      <c r="AF5756">
        <v>26</v>
      </c>
      <c r="AG5756">
        <v>163</v>
      </c>
      <c r="AH5756">
        <v>129</v>
      </c>
      <c r="AI5756">
        <v>4.8</v>
      </c>
      <c r="AJ5756">
        <v>30.07</v>
      </c>
      <c r="AK5756">
        <v>23.8</v>
      </c>
      <c r="AL5756">
        <v>-20.122144949999949</v>
      </c>
      <c r="AM5756">
        <v>-44.896761973125983</v>
      </c>
      <c r="AN5756">
        <v>-20.122144949999949</v>
      </c>
      <c r="AO5756">
        <v>-44.896761973125983</v>
      </c>
      <c r="AP5756">
        <v>-20.122433000000001</v>
      </c>
      <c r="AQ5756">
        <v>-44.897013999999999</v>
      </c>
      <c r="AR5756">
        <v>41.499066772735389</v>
      </c>
      <c r="AS5756" t="s">
        <v>65</v>
      </c>
      <c r="AT5756">
        <v>1</v>
      </c>
      <c r="AU5756" t="s">
        <v>203</v>
      </c>
      <c r="AV5756" t="s">
        <v>204</v>
      </c>
      <c r="AW5756" t="s">
        <v>60</v>
      </c>
      <c r="AX5756" t="s">
        <v>68</v>
      </c>
      <c r="AY5756" t="s">
        <v>69</v>
      </c>
      <c r="AZ5756" t="b">
        <v>1</v>
      </c>
    </row>
    <row r="5757" spans="1:52" x14ac:dyDescent="0.3">
      <c r="A5757" t="s">
        <v>52</v>
      </c>
      <c r="B5757" t="s">
        <v>53</v>
      </c>
      <c r="C5757" t="s">
        <v>54</v>
      </c>
      <c r="D5757" t="s">
        <v>55</v>
      </c>
      <c r="E5757" t="s">
        <v>2280</v>
      </c>
      <c r="F5757" t="s">
        <v>1247</v>
      </c>
      <c r="G5757" t="s">
        <v>205</v>
      </c>
      <c r="H5757" t="s">
        <v>206</v>
      </c>
      <c r="I5757" t="s">
        <v>206</v>
      </c>
      <c r="J5757" t="s">
        <v>60</v>
      </c>
      <c r="K5757" t="s">
        <v>207</v>
      </c>
      <c r="L5757" t="s">
        <v>62</v>
      </c>
      <c r="M5757" t="s">
        <v>207</v>
      </c>
      <c r="N5757" t="s">
        <v>208</v>
      </c>
      <c r="O5757" t="s">
        <v>209</v>
      </c>
      <c r="P5757">
        <v>-20.117533999999999</v>
      </c>
      <c r="Q5757">
        <v>-44.892943000000002</v>
      </c>
      <c r="R5757" s="2" t="str">
        <f>HYPERLINK("https://www.google.com/maps?q=-20.1175340,-44.8929430","Abrir no Google Maps")</f>
        <v>Abrir no Google Maps</v>
      </c>
      <c r="S5757">
        <v>4</v>
      </c>
      <c r="T5757">
        <v>601.98486688021592</v>
      </c>
      <c r="U5757">
        <v>2</v>
      </c>
      <c r="V5757">
        <v>1</v>
      </c>
      <c r="W5757">
        <v>0.85</v>
      </c>
      <c r="X5757">
        <v>0.85</v>
      </c>
      <c r="Y5757">
        <v>567</v>
      </c>
      <c r="Z5757">
        <v>574.59225706016446</v>
      </c>
      <c r="AA5757">
        <v>198</v>
      </c>
      <c r="AB5757">
        <v>332</v>
      </c>
      <c r="AC5757">
        <v>536</v>
      </c>
      <c r="AD5757">
        <v>27.77</v>
      </c>
      <c r="AE5757">
        <v>542</v>
      </c>
      <c r="AF5757">
        <v>26</v>
      </c>
      <c r="AG5757">
        <v>163</v>
      </c>
      <c r="AH5757">
        <v>129</v>
      </c>
      <c r="AI5757">
        <v>4.8</v>
      </c>
      <c r="AJ5757">
        <v>30.07</v>
      </c>
      <c r="AK5757">
        <v>23.8</v>
      </c>
      <c r="AL5757">
        <v>-20.11671494999996</v>
      </c>
      <c r="AM5757">
        <v>-44.89352717833448</v>
      </c>
      <c r="AN5757">
        <v>-20.11671494999996</v>
      </c>
      <c r="AO5757">
        <v>-44.89352717833448</v>
      </c>
      <c r="AP5757">
        <v>-20.117533999999999</v>
      </c>
      <c r="AQ5757">
        <v>-44.892943000000002</v>
      </c>
      <c r="AR5757">
        <v>109.7357164799156</v>
      </c>
      <c r="AS5757" t="s">
        <v>65</v>
      </c>
      <c r="AT5757">
        <v>1</v>
      </c>
      <c r="AU5757" t="s">
        <v>210</v>
      </c>
      <c r="AV5757" t="s">
        <v>211</v>
      </c>
      <c r="AW5757" t="s">
        <v>60</v>
      </c>
      <c r="AX5757" t="s">
        <v>68</v>
      </c>
      <c r="AY5757" t="s">
        <v>69</v>
      </c>
      <c r="AZ5757" t="b">
        <v>1</v>
      </c>
    </row>
    <row r="5758" spans="1:52" x14ac:dyDescent="0.3">
      <c r="A5758" t="s">
        <v>52</v>
      </c>
      <c r="B5758" t="s">
        <v>53</v>
      </c>
      <c r="C5758" t="s">
        <v>54</v>
      </c>
      <c r="D5758" t="s">
        <v>55</v>
      </c>
      <c r="E5758" t="s">
        <v>2280</v>
      </c>
      <c r="F5758" t="s">
        <v>1247</v>
      </c>
      <c r="G5758" t="s">
        <v>100</v>
      </c>
      <c r="H5758" t="s">
        <v>101</v>
      </c>
      <c r="I5758" t="s">
        <v>101</v>
      </c>
      <c r="J5758" t="s">
        <v>60</v>
      </c>
      <c r="K5758" t="s">
        <v>61</v>
      </c>
      <c r="L5758" t="s">
        <v>62</v>
      </c>
      <c r="M5758" t="s">
        <v>61</v>
      </c>
      <c r="N5758" t="s">
        <v>102</v>
      </c>
      <c r="O5758" t="s">
        <v>103</v>
      </c>
      <c r="P5758">
        <v>-20.151098999999999</v>
      </c>
      <c r="Q5758">
        <v>-44.909699000000003</v>
      </c>
      <c r="R5758" s="2" t="str">
        <f>HYPERLINK("https://www.google.com/maps?q=-20.1510990,-44.9096990","Abrir no Google Maps")</f>
        <v>Abrir no Google Maps</v>
      </c>
      <c r="S5758">
        <v>4</v>
      </c>
      <c r="T5758">
        <v>628.5023128813533</v>
      </c>
      <c r="U5758">
        <v>1</v>
      </c>
      <c r="V5758">
        <v>0.806640625</v>
      </c>
      <c r="W5758">
        <v>1</v>
      </c>
      <c r="X5758">
        <v>0.806640625</v>
      </c>
      <c r="Y5758">
        <v>747</v>
      </c>
      <c r="Z5758">
        <v>563.16456625265948</v>
      </c>
      <c r="AA5758">
        <v>198</v>
      </c>
      <c r="AB5758">
        <v>332</v>
      </c>
      <c r="AC5758">
        <v>536</v>
      </c>
      <c r="AD5758">
        <v>27.77</v>
      </c>
      <c r="AE5758">
        <v>542</v>
      </c>
      <c r="AF5758">
        <v>26</v>
      </c>
      <c r="AG5758">
        <v>163</v>
      </c>
      <c r="AH5758">
        <v>129</v>
      </c>
      <c r="AI5758">
        <v>4.8</v>
      </c>
      <c r="AJ5758">
        <v>30.07</v>
      </c>
      <c r="AK5758">
        <v>23.8</v>
      </c>
      <c r="AL5758">
        <v>-20.151307349999971</v>
      </c>
      <c r="AM5758">
        <v>-44.909772836123523</v>
      </c>
      <c r="AN5758">
        <v>-20.151307349999971</v>
      </c>
      <c r="AO5758">
        <v>-44.909772836123523</v>
      </c>
      <c r="AP5758">
        <v>-20.151098999999999</v>
      </c>
      <c r="AQ5758">
        <v>-44.909699000000003</v>
      </c>
      <c r="AR5758">
        <v>24.443417349564811</v>
      </c>
      <c r="AS5758" t="s">
        <v>65</v>
      </c>
      <c r="AT5758">
        <v>1</v>
      </c>
      <c r="AU5758" t="s">
        <v>104</v>
      </c>
      <c r="AV5758" t="s">
        <v>105</v>
      </c>
      <c r="AW5758" t="s">
        <v>60</v>
      </c>
      <c r="AX5758" t="s">
        <v>68</v>
      </c>
      <c r="AY5758" t="s">
        <v>69</v>
      </c>
      <c r="AZ5758" t="b">
        <v>1</v>
      </c>
    </row>
    <row r="5759" spans="1:52" x14ac:dyDescent="0.3">
      <c r="A5759" t="s">
        <v>52</v>
      </c>
      <c r="B5759" t="s">
        <v>53</v>
      </c>
      <c r="C5759" t="s">
        <v>54</v>
      </c>
      <c r="D5759" t="s">
        <v>55</v>
      </c>
      <c r="E5759" t="s">
        <v>2280</v>
      </c>
      <c r="F5759" t="s">
        <v>1247</v>
      </c>
      <c r="G5759" t="s">
        <v>100</v>
      </c>
      <c r="H5759" t="s">
        <v>106</v>
      </c>
      <c r="I5759" t="s">
        <v>106</v>
      </c>
      <c r="J5759" t="s">
        <v>60</v>
      </c>
      <c r="K5759" t="s">
        <v>61</v>
      </c>
      <c r="L5759" t="s">
        <v>62</v>
      </c>
      <c r="M5759" t="s">
        <v>61</v>
      </c>
      <c r="N5759" t="s">
        <v>102</v>
      </c>
      <c r="O5759" t="s">
        <v>103</v>
      </c>
      <c r="P5759">
        <v>-20.151107</v>
      </c>
      <c r="Q5759">
        <v>-44.908918</v>
      </c>
      <c r="R5759" s="2" t="str">
        <f>HYPERLINK("https://www.google.com/maps?q=-20.1511070,-44.9089180","Abrir no Google Maps")</f>
        <v>Abrir no Google Maps</v>
      </c>
      <c r="S5759">
        <v>4</v>
      </c>
      <c r="T5759">
        <v>615.86400245321579</v>
      </c>
      <c r="U5759">
        <v>1</v>
      </c>
      <c r="V5759">
        <v>0.81287425149700598</v>
      </c>
      <c r="W5759">
        <v>0.85</v>
      </c>
      <c r="X5759">
        <v>0.6909431137724551</v>
      </c>
      <c r="Y5759">
        <v>747</v>
      </c>
      <c r="Z5759">
        <v>535.34543763764702</v>
      </c>
      <c r="AA5759">
        <v>198</v>
      </c>
      <c r="AB5759">
        <v>332</v>
      </c>
      <c r="AC5759">
        <v>536</v>
      </c>
      <c r="AD5759">
        <v>27.77</v>
      </c>
      <c r="AE5759">
        <v>542</v>
      </c>
      <c r="AF5759">
        <v>26</v>
      </c>
      <c r="AG5759">
        <v>163</v>
      </c>
      <c r="AH5759">
        <v>129</v>
      </c>
      <c r="AI5759">
        <v>4.8</v>
      </c>
      <c r="AJ5759">
        <v>30.07</v>
      </c>
      <c r="AK5759">
        <v>23.8</v>
      </c>
      <c r="AL5759">
        <v>-20.151307349999971</v>
      </c>
      <c r="AM5759">
        <v>-44.909024234051429</v>
      </c>
      <c r="AN5759">
        <v>-20.151307349999971</v>
      </c>
      <c r="AO5759">
        <v>-44.909024234051429</v>
      </c>
      <c r="AP5759">
        <v>-20.151107</v>
      </c>
      <c r="AQ5759">
        <v>-44.908918</v>
      </c>
      <c r="AR5759">
        <v>24.91340747371116</v>
      </c>
      <c r="AS5759" t="s">
        <v>65</v>
      </c>
      <c r="AT5759">
        <v>1</v>
      </c>
      <c r="AU5759" t="s">
        <v>107</v>
      </c>
      <c r="AV5759" t="s">
        <v>105</v>
      </c>
      <c r="AW5759" t="s">
        <v>60</v>
      </c>
      <c r="AX5759" t="s">
        <v>68</v>
      </c>
      <c r="AY5759" t="s">
        <v>69</v>
      </c>
      <c r="AZ5759" t="b">
        <v>1</v>
      </c>
    </row>
    <row r="5760" spans="1:52" x14ac:dyDescent="0.3">
      <c r="A5760" t="s">
        <v>52</v>
      </c>
      <c r="B5760" t="s">
        <v>53</v>
      </c>
      <c r="C5760" t="s">
        <v>54</v>
      </c>
      <c r="D5760" t="s">
        <v>55</v>
      </c>
      <c r="E5760" t="s">
        <v>2280</v>
      </c>
      <c r="F5760" t="s">
        <v>1247</v>
      </c>
      <c r="G5760" t="s">
        <v>1263</v>
      </c>
      <c r="H5760" t="s">
        <v>1264</v>
      </c>
      <c r="I5760" t="s">
        <v>1264</v>
      </c>
      <c r="J5760" t="s">
        <v>60</v>
      </c>
      <c r="K5760" t="s">
        <v>1265</v>
      </c>
      <c r="L5760" t="s">
        <v>62</v>
      </c>
      <c r="M5760" t="s">
        <v>1265</v>
      </c>
      <c r="N5760" t="s">
        <v>1266</v>
      </c>
      <c r="O5760" t="s">
        <v>1267</v>
      </c>
      <c r="P5760">
        <v>-20.116924000000001</v>
      </c>
      <c r="Q5760">
        <v>-44.906587000000002</v>
      </c>
      <c r="R5760" s="2" t="str">
        <f>HYPERLINK("https://www.google.com/maps?q=-20.1169240,-44.9065870","Abrir no Google Maps")</f>
        <v>Abrir no Google Maps</v>
      </c>
      <c r="S5760">
        <v>4</v>
      </c>
      <c r="T5760">
        <v>745.10453961787857</v>
      </c>
      <c r="U5760">
        <v>1</v>
      </c>
      <c r="V5760">
        <v>0.81481481481481477</v>
      </c>
      <c r="W5760">
        <v>0.85</v>
      </c>
      <c r="X5760">
        <v>0.69259259259259254</v>
      </c>
      <c r="Y5760">
        <v>567</v>
      </c>
      <c r="Z5760">
        <v>816.44456345071217</v>
      </c>
      <c r="AA5760">
        <v>198</v>
      </c>
      <c r="AB5760">
        <v>332</v>
      </c>
      <c r="AC5760">
        <v>536</v>
      </c>
      <c r="AD5760">
        <v>27.77</v>
      </c>
      <c r="AE5760">
        <v>542</v>
      </c>
      <c r="AF5760">
        <v>26</v>
      </c>
      <c r="AG5760">
        <v>163</v>
      </c>
      <c r="AH5760">
        <v>129</v>
      </c>
      <c r="AI5760">
        <v>4.8</v>
      </c>
      <c r="AJ5760">
        <v>30.07</v>
      </c>
      <c r="AK5760">
        <v>23.8</v>
      </c>
      <c r="AL5760">
        <v>-20.117279149999941</v>
      </c>
      <c r="AM5760">
        <v>-44.906397211815133</v>
      </c>
      <c r="AN5760">
        <v>-20.117279149999941</v>
      </c>
      <c r="AO5760">
        <v>-44.906397211815133</v>
      </c>
      <c r="AP5760">
        <v>-20.116924000000001</v>
      </c>
      <c r="AQ5760">
        <v>-44.906587000000002</v>
      </c>
      <c r="AR5760">
        <v>44.233430660980403</v>
      </c>
      <c r="AS5760" t="s">
        <v>65</v>
      </c>
      <c r="AT5760">
        <v>1</v>
      </c>
      <c r="AU5760" t="s">
        <v>1268</v>
      </c>
      <c r="AV5760" t="s">
        <v>1269</v>
      </c>
      <c r="AW5760" t="s">
        <v>60</v>
      </c>
      <c r="AX5760" t="s">
        <v>68</v>
      </c>
      <c r="AY5760" t="s">
        <v>69</v>
      </c>
      <c r="AZ5760" t="b">
        <v>1</v>
      </c>
    </row>
    <row r="5761" spans="1:52" x14ac:dyDescent="0.3">
      <c r="A5761" t="s">
        <v>52</v>
      </c>
      <c r="B5761" t="s">
        <v>53</v>
      </c>
      <c r="C5761" t="s">
        <v>54</v>
      </c>
      <c r="D5761" t="s">
        <v>55</v>
      </c>
      <c r="E5761" t="s">
        <v>2280</v>
      </c>
      <c r="F5761" t="s">
        <v>1247</v>
      </c>
      <c r="G5761" t="s">
        <v>1127</v>
      </c>
      <c r="H5761" t="s">
        <v>1270</v>
      </c>
      <c r="I5761" t="s">
        <v>1270</v>
      </c>
      <c r="J5761" t="s">
        <v>60</v>
      </c>
      <c r="K5761" t="s">
        <v>200</v>
      </c>
      <c r="L5761" t="s">
        <v>62</v>
      </c>
      <c r="M5761" t="s">
        <v>200</v>
      </c>
      <c r="N5761" t="s">
        <v>1271</v>
      </c>
      <c r="O5761" t="s">
        <v>315</v>
      </c>
      <c r="P5761">
        <v>-20.123483</v>
      </c>
      <c r="Q5761">
        <v>-44.904159</v>
      </c>
      <c r="R5761" s="2" t="str">
        <f>HYPERLINK("https://www.google.com/maps?q=-20.1234830,-44.9041590","Abrir no Google Maps")</f>
        <v>Abrir no Google Maps</v>
      </c>
      <c r="S5761">
        <v>4</v>
      </c>
      <c r="T5761">
        <v>1046.2792913459141</v>
      </c>
      <c r="U5761">
        <v>1</v>
      </c>
      <c r="V5761">
        <v>0.66666666666666663</v>
      </c>
      <c r="W5761">
        <v>0.85</v>
      </c>
      <c r="X5761">
        <v>0.56666666666666665</v>
      </c>
      <c r="Y5761">
        <v>567</v>
      </c>
      <c r="Z5761">
        <v>1072.1273144328541</v>
      </c>
      <c r="AA5761">
        <v>198</v>
      </c>
      <c r="AB5761">
        <v>332</v>
      </c>
      <c r="AC5761">
        <v>536</v>
      </c>
      <c r="AD5761">
        <v>27.77</v>
      </c>
      <c r="AE5761">
        <v>542</v>
      </c>
      <c r="AF5761">
        <v>26</v>
      </c>
      <c r="AG5761">
        <v>163</v>
      </c>
      <c r="AH5761">
        <v>129</v>
      </c>
      <c r="AI5761">
        <v>4.8</v>
      </c>
      <c r="AJ5761">
        <v>30.07</v>
      </c>
      <c r="AK5761">
        <v>23.8</v>
      </c>
      <c r="AL5761">
        <v>-20.12548399999994</v>
      </c>
      <c r="AM5761">
        <v>-44.903913990586467</v>
      </c>
      <c r="AN5761">
        <v>-20.12548399999994</v>
      </c>
      <c r="AO5761">
        <v>-44.903913990586467</v>
      </c>
      <c r="AP5761">
        <v>-20.123483</v>
      </c>
      <c r="AQ5761">
        <v>-44.904159</v>
      </c>
      <c r="AR5761">
        <v>224.218591682908</v>
      </c>
      <c r="AS5761" t="s">
        <v>65</v>
      </c>
      <c r="AT5761">
        <v>1</v>
      </c>
      <c r="AU5761" t="s">
        <v>1272</v>
      </c>
      <c r="AV5761" t="s">
        <v>1273</v>
      </c>
      <c r="AW5761" t="s">
        <v>60</v>
      </c>
      <c r="AX5761" t="s">
        <v>68</v>
      </c>
      <c r="AY5761" t="s">
        <v>69</v>
      </c>
      <c r="AZ5761" t="b">
        <v>1</v>
      </c>
    </row>
    <row r="5762" spans="1:52" x14ac:dyDescent="0.3">
      <c r="A5762" t="s">
        <v>52</v>
      </c>
      <c r="B5762" t="s">
        <v>53</v>
      </c>
      <c r="C5762" t="s">
        <v>54</v>
      </c>
      <c r="D5762" t="s">
        <v>55</v>
      </c>
      <c r="E5762" t="s">
        <v>2280</v>
      </c>
      <c r="F5762" t="s">
        <v>1247</v>
      </c>
      <c r="G5762" t="s">
        <v>839</v>
      </c>
      <c r="H5762" t="s">
        <v>840</v>
      </c>
      <c r="I5762" t="s">
        <v>840</v>
      </c>
      <c r="J5762" t="s">
        <v>60</v>
      </c>
      <c r="K5762" t="s">
        <v>388</v>
      </c>
      <c r="L5762" t="s">
        <v>62</v>
      </c>
      <c r="M5762" t="s">
        <v>388</v>
      </c>
      <c r="N5762" t="s">
        <v>841</v>
      </c>
      <c r="O5762" t="s">
        <v>842</v>
      </c>
      <c r="P5762">
        <v>-20.159977999999999</v>
      </c>
      <c r="Q5762">
        <v>-44.900207000000002</v>
      </c>
      <c r="R5762" s="2" t="str">
        <f>HYPERLINK("https://www.google.com/maps?q=-20.1599780,-44.9002070","Abrir no Google Maps")</f>
        <v>Abrir no Google Maps</v>
      </c>
      <c r="S5762">
        <v>3</v>
      </c>
      <c r="T5762">
        <v>213.24333517300789</v>
      </c>
      <c r="U5762">
        <v>4</v>
      </c>
      <c r="V5762">
        <v>0.99862637362637363</v>
      </c>
      <c r="W5762">
        <v>1</v>
      </c>
      <c r="X5762">
        <v>0.99862637362637363</v>
      </c>
      <c r="Y5762">
        <v>729</v>
      </c>
      <c r="Z5762">
        <v>315.47173727880028</v>
      </c>
      <c r="AA5762">
        <v>198</v>
      </c>
      <c r="AB5762">
        <v>332</v>
      </c>
      <c r="AC5762">
        <v>536</v>
      </c>
      <c r="AD5762">
        <v>27.77</v>
      </c>
      <c r="AE5762">
        <v>542</v>
      </c>
      <c r="AF5762">
        <v>26</v>
      </c>
      <c r="AG5762">
        <v>163</v>
      </c>
      <c r="AH5762">
        <v>129</v>
      </c>
      <c r="AI5762">
        <v>4.8</v>
      </c>
      <c r="AJ5762">
        <v>30.07</v>
      </c>
      <c r="AK5762">
        <v>23.8</v>
      </c>
      <c r="AL5762">
        <v>-20.159825649999959</v>
      </c>
      <c r="AM5762">
        <v>-44.900143828909613</v>
      </c>
      <c r="AN5762">
        <v>-20.159825649999959</v>
      </c>
      <c r="AO5762">
        <v>-44.900143828909613</v>
      </c>
      <c r="AP5762">
        <v>-20.159977999999999</v>
      </c>
      <c r="AQ5762">
        <v>-44.900207000000002</v>
      </c>
      <c r="AR5762">
        <v>18.199073573580371</v>
      </c>
      <c r="AS5762" t="s">
        <v>65</v>
      </c>
      <c r="AT5762">
        <v>1</v>
      </c>
      <c r="AU5762" t="s">
        <v>843</v>
      </c>
      <c r="AV5762" t="s">
        <v>844</v>
      </c>
      <c r="AW5762" t="s">
        <v>60</v>
      </c>
      <c r="AX5762" t="s">
        <v>68</v>
      </c>
      <c r="AY5762" t="s">
        <v>69</v>
      </c>
      <c r="AZ5762" t="b">
        <v>1</v>
      </c>
    </row>
    <row r="5763" spans="1:52" x14ac:dyDescent="0.3">
      <c r="A5763" t="s">
        <v>52</v>
      </c>
      <c r="B5763" t="s">
        <v>53</v>
      </c>
      <c r="C5763" t="s">
        <v>54</v>
      </c>
      <c r="D5763" t="s">
        <v>55</v>
      </c>
      <c r="E5763" t="s">
        <v>2280</v>
      </c>
      <c r="F5763" t="s">
        <v>1247</v>
      </c>
      <c r="G5763" t="s">
        <v>398</v>
      </c>
      <c r="H5763" t="s">
        <v>399</v>
      </c>
      <c r="I5763" t="s">
        <v>399</v>
      </c>
      <c r="J5763" t="s">
        <v>60</v>
      </c>
      <c r="K5763" t="s">
        <v>388</v>
      </c>
      <c r="L5763" t="s">
        <v>62</v>
      </c>
      <c r="M5763" t="s">
        <v>388</v>
      </c>
      <c r="N5763" t="s">
        <v>400</v>
      </c>
      <c r="O5763" t="s">
        <v>401</v>
      </c>
      <c r="P5763">
        <v>-20.160157000000002</v>
      </c>
      <c r="Q5763">
        <v>-44.904347999999999</v>
      </c>
      <c r="R5763" s="2" t="str">
        <f>HYPERLINK("https://www.google.com/maps?q=-20.1601570,-44.9043480","Abrir no Google Maps")</f>
        <v>Abrir no Google Maps</v>
      </c>
      <c r="S5763">
        <v>3</v>
      </c>
      <c r="T5763">
        <v>469.26088527154809</v>
      </c>
      <c r="U5763">
        <v>4</v>
      </c>
      <c r="V5763">
        <v>0.99916387959866215</v>
      </c>
      <c r="W5763">
        <v>1</v>
      </c>
      <c r="X5763">
        <v>0.99916387959866215</v>
      </c>
      <c r="Y5763">
        <v>729</v>
      </c>
      <c r="Z5763">
        <v>253.57832452309071</v>
      </c>
      <c r="AA5763">
        <v>198</v>
      </c>
      <c r="AB5763">
        <v>332</v>
      </c>
      <c r="AC5763">
        <v>536</v>
      </c>
      <c r="AD5763">
        <v>27.77</v>
      </c>
      <c r="AE5763">
        <v>542</v>
      </c>
      <c r="AF5763">
        <v>26</v>
      </c>
      <c r="AG5763">
        <v>163</v>
      </c>
      <c r="AH5763">
        <v>129</v>
      </c>
      <c r="AI5763">
        <v>4.8</v>
      </c>
      <c r="AJ5763">
        <v>30.07</v>
      </c>
      <c r="AK5763">
        <v>23.8</v>
      </c>
      <c r="AL5763">
        <v>-20.160007949999969</v>
      </c>
      <c r="AM5763">
        <v>-44.904396608560482</v>
      </c>
      <c r="AN5763">
        <v>-20.160007949999969</v>
      </c>
      <c r="AO5763">
        <v>-44.904396608560482</v>
      </c>
      <c r="AP5763">
        <v>-20.160157000000002</v>
      </c>
      <c r="AQ5763">
        <v>-44.904347999999999</v>
      </c>
      <c r="AR5763">
        <v>17.35237255387942</v>
      </c>
      <c r="AS5763" t="s">
        <v>65</v>
      </c>
      <c r="AT5763">
        <v>1</v>
      </c>
      <c r="AU5763" t="s">
        <v>402</v>
      </c>
      <c r="AV5763" t="s">
        <v>403</v>
      </c>
      <c r="AW5763" t="s">
        <v>60</v>
      </c>
      <c r="AX5763" t="s">
        <v>68</v>
      </c>
      <c r="AY5763" t="s">
        <v>69</v>
      </c>
      <c r="AZ5763" t="b">
        <v>1</v>
      </c>
    </row>
    <row r="5764" spans="1:52" x14ac:dyDescent="0.3">
      <c r="A5764" t="s">
        <v>52</v>
      </c>
      <c r="B5764" t="s">
        <v>53</v>
      </c>
      <c r="C5764" t="s">
        <v>54</v>
      </c>
      <c r="D5764" t="s">
        <v>55</v>
      </c>
      <c r="E5764" t="s">
        <v>2280</v>
      </c>
      <c r="F5764" t="s">
        <v>1247</v>
      </c>
      <c r="G5764" t="s">
        <v>404</v>
      </c>
      <c r="H5764" t="s">
        <v>405</v>
      </c>
      <c r="I5764" t="s">
        <v>405</v>
      </c>
      <c r="J5764" t="s">
        <v>60</v>
      </c>
      <c r="K5764" t="s">
        <v>388</v>
      </c>
      <c r="L5764" t="s">
        <v>62</v>
      </c>
      <c r="M5764" t="s">
        <v>388</v>
      </c>
      <c r="N5764" t="s">
        <v>406</v>
      </c>
      <c r="O5764" t="s">
        <v>407</v>
      </c>
      <c r="P5764">
        <v>-20.162780999999999</v>
      </c>
      <c r="Q5764">
        <v>-44.904437999999999</v>
      </c>
      <c r="R5764" s="2" t="str">
        <f>HYPERLINK("https://www.google.com/maps?q=-20.1627810,-44.9044380","Abrir no Google Maps")</f>
        <v>Abrir no Google Maps</v>
      </c>
      <c r="S5764">
        <v>3</v>
      </c>
      <c r="T5764">
        <v>681.0891377731482</v>
      </c>
      <c r="U5764">
        <v>4</v>
      </c>
      <c r="V5764">
        <v>0.99853801169590639</v>
      </c>
      <c r="W5764">
        <v>1</v>
      </c>
      <c r="X5764">
        <v>0.99853801169590639</v>
      </c>
      <c r="Y5764">
        <v>729</v>
      </c>
      <c r="Z5764">
        <v>564.17713687218622</v>
      </c>
      <c r="AA5764">
        <v>198</v>
      </c>
      <c r="AB5764">
        <v>332</v>
      </c>
      <c r="AC5764">
        <v>536</v>
      </c>
      <c r="AD5764">
        <v>27.77</v>
      </c>
      <c r="AE5764">
        <v>542</v>
      </c>
      <c r="AF5764">
        <v>26</v>
      </c>
      <c r="AG5764">
        <v>163</v>
      </c>
      <c r="AH5764">
        <v>129</v>
      </c>
      <c r="AI5764">
        <v>4.8</v>
      </c>
      <c r="AJ5764">
        <v>30.07</v>
      </c>
      <c r="AK5764">
        <v>23.8</v>
      </c>
      <c r="AL5764">
        <v>-20.16295434999995</v>
      </c>
      <c r="AM5764">
        <v>-44.904242686956152</v>
      </c>
      <c r="AN5764">
        <v>-20.16295434999995</v>
      </c>
      <c r="AO5764">
        <v>-44.904242686956152</v>
      </c>
      <c r="AP5764">
        <v>-20.162780999999999</v>
      </c>
      <c r="AQ5764">
        <v>-44.904437999999999</v>
      </c>
      <c r="AR5764">
        <v>28.088191280523411</v>
      </c>
      <c r="AS5764" t="s">
        <v>65</v>
      </c>
      <c r="AT5764">
        <v>1</v>
      </c>
      <c r="AU5764" t="s">
        <v>408</v>
      </c>
      <c r="AV5764" t="s">
        <v>409</v>
      </c>
      <c r="AW5764" t="s">
        <v>60</v>
      </c>
      <c r="AX5764" t="s">
        <v>68</v>
      </c>
      <c r="AY5764" t="s">
        <v>69</v>
      </c>
      <c r="AZ5764" t="b">
        <v>1</v>
      </c>
    </row>
    <row r="5765" spans="1:52" x14ac:dyDescent="0.3">
      <c r="A5765" t="s">
        <v>52</v>
      </c>
      <c r="B5765" t="s">
        <v>53</v>
      </c>
      <c r="C5765" t="s">
        <v>54</v>
      </c>
      <c r="D5765" t="s">
        <v>55</v>
      </c>
      <c r="E5765" t="s">
        <v>2280</v>
      </c>
      <c r="F5765" t="s">
        <v>1247</v>
      </c>
      <c r="G5765" t="s">
        <v>410</v>
      </c>
      <c r="H5765" t="s">
        <v>411</v>
      </c>
      <c r="I5765" t="s">
        <v>411</v>
      </c>
      <c r="J5765" t="s">
        <v>60</v>
      </c>
      <c r="K5765" t="s">
        <v>388</v>
      </c>
      <c r="L5765" t="s">
        <v>62</v>
      </c>
      <c r="M5765" t="s">
        <v>388</v>
      </c>
      <c r="N5765" t="s">
        <v>412</v>
      </c>
      <c r="O5765" t="s">
        <v>413</v>
      </c>
      <c r="P5765">
        <v>-20.161394000000001</v>
      </c>
      <c r="Q5765">
        <v>-44.906725999999999</v>
      </c>
      <c r="R5765" s="2" t="str">
        <f>HYPERLINK("https://www.google.com/maps?q=-20.1613940,-44.9067260","Abrir no Google Maps")</f>
        <v>Abrir no Google Maps</v>
      </c>
      <c r="S5765">
        <v>3</v>
      </c>
      <c r="T5765">
        <v>763.68157548493457</v>
      </c>
      <c r="U5765">
        <v>4</v>
      </c>
      <c r="V5765">
        <v>0.99609375</v>
      </c>
      <c r="W5765">
        <v>1</v>
      </c>
      <c r="X5765">
        <v>0.99609375</v>
      </c>
      <c r="Y5765">
        <v>729</v>
      </c>
      <c r="Z5765">
        <v>551.70379325948545</v>
      </c>
      <c r="AA5765">
        <v>198</v>
      </c>
      <c r="AB5765">
        <v>332</v>
      </c>
      <c r="AC5765">
        <v>536</v>
      </c>
      <c r="AD5765">
        <v>27.77</v>
      </c>
      <c r="AE5765">
        <v>542</v>
      </c>
      <c r="AF5765">
        <v>26</v>
      </c>
      <c r="AG5765">
        <v>163</v>
      </c>
      <c r="AH5765">
        <v>129</v>
      </c>
      <c r="AI5765">
        <v>4.8</v>
      </c>
      <c r="AJ5765">
        <v>30.07</v>
      </c>
      <c r="AK5765">
        <v>23.8</v>
      </c>
      <c r="AL5765">
        <v>-20.161371049999929</v>
      </c>
      <c r="AM5765">
        <v>-44.906816797310228</v>
      </c>
      <c r="AN5765">
        <v>-20.161371049999929</v>
      </c>
      <c r="AO5765">
        <v>-44.906816797310228</v>
      </c>
      <c r="AP5765">
        <v>-20.161394000000001</v>
      </c>
      <c r="AQ5765">
        <v>-44.906725999999999</v>
      </c>
      <c r="AR5765">
        <v>9.8261555662022495</v>
      </c>
      <c r="AS5765" t="s">
        <v>65</v>
      </c>
      <c r="AT5765">
        <v>1</v>
      </c>
      <c r="AU5765" t="s">
        <v>414</v>
      </c>
      <c r="AV5765" t="s">
        <v>415</v>
      </c>
      <c r="AW5765" t="s">
        <v>60</v>
      </c>
      <c r="AX5765" t="s">
        <v>68</v>
      </c>
      <c r="AY5765" t="s">
        <v>69</v>
      </c>
      <c r="AZ5765" t="b">
        <v>1</v>
      </c>
    </row>
    <row r="5766" spans="1:52" x14ac:dyDescent="0.3">
      <c r="A5766" t="s">
        <v>52</v>
      </c>
      <c r="B5766" t="s">
        <v>53</v>
      </c>
      <c r="C5766" t="s">
        <v>54</v>
      </c>
      <c r="D5766" t="s">
        <v>55</v>
      </c>
      <c r="E5766" t="s">
        <v>2280</v>
      </c>
      <c r="F5766" t="s">
        <v>1247</v>
      </c>
      <c r="G5766" t="s">
        <v>416</v>
      </c>
      <c r="H5766" t="s">
        <v>417</v>
      </c>
      <c r="I5766" t="s">
        <v>417</v>
      </c>
      <c r="J5766" t="s">
        <v>60</v>
      </c>
      <c r="K5766" t="s">
        <v>418</v>
      </c>
      <c r="L5766" t="s">
        <v>62</v>
      </c>
      <c r="M5766" t="s">
        <v>418</v>
      </c>
      <c r="N5766" t="s">
        <v>419</v>
      </c>
      <c r="O5766" t="s">
        <v>202</v>
      </c>
      <c r="P5766">
        <v>-20.169886000000002</v>
      </c>
      <c r="Q5766">
        <v>-44.913288000000001</v>
      </c>
      <c r="R5766" s="2" t="str">
        <f>HYPERLINK("https://www.google.com/maps?q=-20.1698860,-44.9132880","Abrir no Google Maps")</f>
        <v>Abrir no Google Maps</v>
      </c>
      <c r="S5766">
        <v>3</v>
      </c>
      <c r="T5766">
        <v>422.88733632898152</v>
      </c>
      <c r="U5766">
        <v>4</v>
      </c>
      <c r="V5766">
        <v>0.99630541871921197</v>
      </c>
      <c r="W5766">
        <v>1</v>
      </c>
      <c r="X5766">
        <v>0.99630541871921197</v>
      </c>
      <c r="Y5766">
        <v>723</v>
      </c>
      <c r="Z5766">
        <v>128.65003864232261</v>
      </c>
      <c r="AA5766">
        <v>198</v>
      </c>
      <c r="AB5766">
        <v>332</v>
      </c>
      <c r="AC5766">
        <v>536</v>
      </c>
      <c r="AD5766">
        <v>27.77</v>
      </c>
      <c r="AE5766">
        <v>542</v>
      </c>
      <c r="AF5766">
        <v>26</v>
      </c>
      <c r="AG5766">
        <v>163</v>
      </c>
      <c r="AH5766">
        <v>129</v>
      </c>
      <c r="AI5766">
        <v>4.8</v>
      </c>
      <c r="AJ5766">
        <v>30.07</v>
      </c>
      <c r="AK5766">
        <v>23.8</v>
      </c>
      <c r="AL5766">
        <v>-20.16970024999998</v>
      </c>
      <c r="AM5766">
        <v>-44.913502201257437</v>
      </c>
      <c r="AN5766">
        <v>-20.16970024999998</v>
      </c>
      <c r="AO5766">
        <v>-44.913502201257437</v>
      </c>
      <c r="AP5766">
        <v>-20.169886000000002</v>
      </c>
      <c r="AQ5766">
        <v>-44.913288000000001</v>
      </c>
      <c r="AR5766">
        <v>30.47208587597606</v>
      </c>
      <c r="AS5766" t="s">
        <v>65</v>
      </c>
      <c r="AT5766">
        <v>1</v>
      </c>
      <c r="AU5766" t="s">
        <v>420</v>
      </c>
      <c r="AV5766" t="s">
        <v>421</v>
      </c>
      <c r="AW5766" t="s">
        <v>60</v>
      </c>
      <c r="AX5766" t="s">
        <v>68</v>
      </c>
      <c r="AY5766" t="s">
        <v>69</v>
      </c>
      <c r="AZ5766" t="b">
        <v>1</v>
      </c>
    </row>
    <row r="5767" spans="1:52" x14ac:dyDescent="0.3">
      <c r="A5767" t="s">
        <v>52</v>
      </c>
      <c r="B5767" t="s">
        <v>53</v>
      </c>
      <c r="C5767" t="s">
        <v>54</v>
      </c>
      <c r="D5767" t="s">
        <v>55</v>
      </c>
      <c r="E5767" t="s">
        <v>2280</v>
      </c>
      <c r="F5767" t="s">
        <v>1247</v>
      </c>
      <c r="G5767" t="s">
        <v>422</v>
      </c>
      <c r="H5767" t="s">
        <v>423</v>
      </c>
      <c r="I5767" t="s">
        <v>423</v>
      </c>
      <c r="J5767" t="s">
        <v>60</v>
      </c>
      <c r="K5767" t="s">
        <v>424</v>
      </c>
      <c r="L5767" t="s">
        <v>62</v>
      </c>
      <c r="M5767" t="s">
        <v>424</v>
      </c>
      <c r="N5767" t="s">
        <v>425</v>
      </c>
      <c r="O5767" t="s">
        <v>426</v>
      </c>
      <c r="P5767">
        <v>-20.177748000000001</v>
      </c>
      <c r="Q5767">
        <v>-44.912475000000001</v>
      </c>
      <c r="R5767" s="2" t="str">
        <f>HYPERLINK("https://www.google.com/maps?q=-20.1777480,-44.9124750","Abrir no Google Maps")</f>
        <v>Abrir no Google Maps</v>
      </c>
      <c r="S5767">
        <v>3</v>
      </c>
      <c r="T5767">
        <v>657.07560140436533</v>
      </c>
      <c r="U5767">
        <v>4</v>
      </c>
      <c r="V5767">
        <v>1</v>
      </c>
      <c r="W5767">
        <v>1</v>
      </c>
      <c r="X5767">
        <v>1</v>
      </c>
      <c r="Y5767">
        <v>723</v>
      </c>
      <c r="Z5767">
        <v>796.94198000561175</v>
      </c>
      <c r="AA5767">
        <v>198</v>
      </c>
      <c r="AB5767">
        <v>332</v>
      </c>
      <c r="AC5767">
        <v>536</v>
      </c>
      <c r="AD5767">
        <v>27.77</v>
      </c>
      <c r="AE5767">
        <v>542</v>
      </c>
      <c r="AF5767">
        <v>26</v>
      </c>
      <c r="AG5767">
        <v>163</v>
      </c>
      <c r="AH5767">
        <v>129</v>
      </c>
      <c r="AI5767">
        <v>4.8</v>
      </c>
      <c r="AJ5767">
        <v>30.07</v>
      </c>
      <c r="AK5767">
        <v>23.8</v>
      </c>
      <c r="AL5767">
        <v>-20.177761749999949</v>
      </c>
      <c r="AM5767">
        <v>-44.91263311624418</v>
      </c>
      <c r="AN5767">
        <v>-20.177761749999949</v>
      </c>
      <c r="AO5767">
        <v>-44.91263311624418</v>
      </c>
      <c r="AP5767">
        <v>-20.177748000000001</v>
      </c>
      <c r="AQ5767">
        <v>-44.912475000000001</v>
      </c>
      <c r="AR5767">
        <v>16.591996803075372</v>
      </c>
      <c r="AS5767" t="s">
        <v>65</v>
      </c>
      <c r="AT5767">
        <v>1</v>
      </c>
      <c r="AU5767" t="s">
        <v>427</v>
      </c>
      <c r="AV5767" t="s">
        <v>428</v>
      </c>
      <c r="AW5767" t="s">
        <v>60</v>
      </c>
      <c r="AX5767" t="s">
        <v>68</v>
      </c>
      <c r="AY5767" t="s">
        <v>69</v>
      </c>
      <c r="AZ5767" t="b">
        <v>1</v>
      </c>
    </row>
    <row r="5768" spans="1:52" x14ac:dyDescent="0.3">
      <c r="A5768" t="s">
        <v>52</v>
      </c>
      <c r="B5768" t="s">
        <v>53</v>
      </c>
      <c r="C5768" t="s">
        <v>54</v>
      </c>
      <c r="D5768" t="s">
        <v>55</v>
      </c>
      <c r="E5768" t="s">
        <v>2280</v>
      </c>
      <c r="F5768" t="s">
        <v>1247</v>
      </c>
      <c r="G5768" t="s">
        <v>435</v>
      </c>
      <c r="H5768" t="s">
        <v>436</v>
      </c>
      <c r="I5768" t="s">
        <v>436</v>
      </c>
      <c r="J5768" t="s">
        <v>60</v>
      </c>
      <c r="K5768" t="s">
        <v>437</v>
      </c>
      <c r="L5768" t="s">
        <v>62</v>
      </c>
      <c r="M5768" t="s">
        <v>437</v>
      </c>
      <c r="N5768" t="s">
        <v>438</v>
      </c>
      <c r="O5768" t="s">
        <v>439</v>
      </c>
      <c r="P5768">
        <v>-20.145613000000001</v>
      </c>
      <c r="Q5768">
        <v>-44.882375000000003</v>
      </c>
      <c r="R5768" s="2" t="str">
        <f>HYPERLINK("https://www.google.com/maps?q=-20.1456130,-44.8823750","Abrir no Google Maps")</f>
        <v>Abrir no Google Maps</v>
      </c>
      <c r="S5768">
        <v>3</v>
      </c>
      <c r="T5768">
        <v>305.65092112314198</v>
      </c>
      <c r="U5768">
        <v>4</v>
      </c>
      <c r="V5768">
        <v>1</v>
      </c>
      <c r="W5768">
        <v>1</v>
      </c>
      <c r="X5768">
        <v>1</v>
      </c>
      <c r="Y5768">
        <v>653</v>
      </c>
      <c r="Z5768">
        <v>349.55297035282501</v>
      </c>
      <c r="AA5768">
        <v>198</v>
      </c>
      <c r="AB5768">
        <v>332</v>
      </c>
      <c r="AC5768">
        <v>536</v>
      </c>
      <c r="AD5768">
        <v>27.77</v>
      </c>
      <c r="AE5768">
        <v>542</v>
      </c>
      <c r="AF5768">
        <v>26</v>
      </c>
      <c r="AG5768">
        <v>163</v>
      </c>
      <c r="AH5768">
        <v>129</v>
      </c>
      <c r="AI5768">
        <v>4.8</v>
      </c>
      <c r="AJ5768">
        <v>30.07</v>
      </c>
      <c r="AK5768">
        <v>23.8</v>
      </c>
      <c r="AL5768">
        <v>-20.14550464999996</v>
      </c>
      <c r="AM5768">
        <v>-44.882157007077737</v>
      </c>
      <c r="AN5768">
        <v>-20.14550464999996</v>
      </c>
      <c r="AO5768">
        <v>-44.882157007077737</v>
      </c>
      <c r="AP5768">
        <v>-20.145613000000001</v>
      </c>
      <c r="AQ5768">
        <v>-44.882375000000003</v>
      </c>
      <c r="AR5768">
        <v>25.77819791856259</v>
      </c>
      <c r="AS5768" t="s">
        <v>65</v>
      </c>
      <c r="AT5768">
        <v>1</v>
      </c>
      <c r="AU5768" t="s">
        <v>440</v>
      </c>
      <c r="AV5768" t="s">
        <v>441</v>
      </c>
      <c r="AW5768" t="s">
        <v>60</v>
      </c>
      <c r="AX5768" t="s">
        <v>68</v>
      </c>
      <c r="AY5768" t="s">
        <v>69</v>
      </c>
      <c r="AZ5768" t="b">
        <v>1</v>
      </c>
    </row>
    <row r="5769" spans="1:52" x14ac:dyDescent="0.3">
      <c r="A5769" t="s">
        <v>52</v>
      </c>
      <c r="B5769" t="s">
        <v>53</v>
      </c>
      <c r="C5769" t="s">
        <v>54</v>
      </c>
      <c r="D5769" t="s">
        <v>55</v>
      </c>
      <c r="E5769" t="s">
        <v>2280</v>
      </c>
      <c r="F5769" t="s">
        <v>1247</v>
      </c>
      <c r="G5769" t="s">
        <v>442</v>
      </c>
      <c r="H5769" t="s">
        <v>443</v>
      </c>
      <c r="I5769" t="s">
        <v>443</v>
      </c>
      <c r="J5769" t="s">
        <v>60</v>
      </c>
      <c r="K5769" t="s">
        <v>437</v>
      </c>
      <c r="L5769" t="s">
        <v>62</v>
      </c>
      <c r="M5769" t="s">
        <v>437</v>
      </c>
      <c r="N5769" t="s">
        <v>444</v>
      </c>
      <c r="O5769" t="s">
        <v>445</v>
      </c>
      <c r="P5769">
        <v>-20.149744999999999</v>
      </c>
      <c r="Q5769">
        <v>-44.881385000000002</v>
      </c>
      <c r="R5769" s="2" t="str">
        <f>HYPERLINK("https://www.google.com/maps?q=-20.1497450,-44.8813850","Abrir no Google Maps")</f>
        <v>Abrir no Google Maps</v>
      </c>
      <c r="S5769">
        <v>3</v>
      </c>
      <c r="T5769">
        <v>188.80690546111239</v>
      </c>
      <c r="U5769">
        <v>4</v>
      </c>
      <c r="V5769">
        <v>0.998987854251012</v>
      </c>
      <c r="W5769">
        <v>1</v>
      </c>
      <c r="X5769">
        <v>0.998987854251012</v>
      </c>
      <c r="Y5769">
        <v>653</v>
      </c>
      <c r="Z5769">
        <v>86.575080390731017</v>
      </c>
      <c r="AA5769">
        <v>198</v>
      </c>
      <c r="AB5769">
        <v>332</v>
      </c>
      <c r="AC5769">
        <v>536</v>
      </c>
      <c r="AD5769">
        <v>27.77</v>
      </c>
      <c r="AE5769">
        <v>542</v>
      </c>
      <c r="AF5769">
        <v>26</v>
      </c>
      <c r="AG5769">
        <v>163</v>
      </c>
      <c r="AH5769">
        <v>129</v>
      </c>
      <c r="AI5769">
        <v>4.8</v>
      </c>
      <c r="AJ5769">
        <v>30.07</v>
      </c>
      <c r="AK5769">
        <v>23.8</v>
      </c>
      <c r="AL5769">
        <v>-20.149645149999941</v>
      </c>
      <c r="AM5769">
        <v>-44.881504585149607</v>
      </c>
      <c r="AN5769">
        <v>-20.149645149999941</v>
      </c>
      <c r="AO5769">
        <v>-44.881504585149607</v>
      </c>
      <c r="AP5769">
        <v>-20.149744999999999</v>
      </c>
      <c r="AQ5769">
        <v>-44.881385000000002</v>
      </c>
      <c r="AR5769">
        <v>16.725323110840389</v>
      </c>
      <c r="AS5769" t="s">
        <v>65</v>
      </c>
      <c r="AT5769">
        <v>1</v>
      </c>
      <c r="AU5769" t="s">
        <v>446</v>
      </c>
      <c r="AV5769" t="s">
        <v>447</v>
      </c>
      <c r="AW5769" t="s">
        <v>60</v>
      </c>
      <c r="AX5769" t="s">
        <v>68</v>
      </c>
      <c r="AY5769" t="s">
        <v>69</v>
      </c>
      <c r="AZ5769" t="b">
        <v>1</v>
      </c>
    </row>
    <row r="5770" spans="1:52" x14ac:dyDescent="0.3">
      <c r="A5770" t="s">
        <v>52</v>
      </c>
      <c r="B5770" t="s">
        <v>53</v>
      </c>
      <c r="C5770" t="s">
        <v>54</v>
      </c>
      <c r="D5770" t="s">
        <v>55</v>
      </c>
      <c r="E5770" t="s">
        <v>2280</v>
      </c>
      <c r="F5770" t="s">
        <v>1247</v>
      </c>
      <c r="G5770" t="s">
        <v>448</v>
      </c>
      <c r="H5770" t="s">
        <v>449</v>
      </c>
      <c r="I5770" t="s">
        <v>449</v>
      </c>
      <c r="J5770" t="s">
        <v>60</v>
      </c>
      <c r="K5770" t="s">
        <v>388</v>
      </c>
      <c r="L5770" t="s">
        <v>62</v>
      </c>
      <c r="M5770" t="s">
        <v>388</v>
      </c>
      <c r="N5770" t="s">
        <v>450</v>
      </c>
      <c r="O5770" t="s">
        <v>451</v>
      </c>
      <c r="P5770">
        <v>-20.163981</v>
      </c>
      <c r="Q5770">
        <v>-44.907128999999998</v>
      </c>
      <c r="R5770" s="2" t="str">
        <f>HYPERLINK("https://www.google.com/maps?q=-20.1639810,-44.9071290","Abrir no Google Maps")</f>
        <v>Abrir no Google Maps</v>
      </c>
      <c r="S5770">
        <v>3</v>
      </c>
      <c r="T5770">
        <v>782.50730806588319</v>
      </c>
      <c r="U5770">
        <v>4</v>
      </c>
      <c r="V5770">
        <v>0.9978813559322034</v>
      </c>
      <c r="W5770">
        <v>1</v>
      </c>
      <c r="X5770">
        <v>0.9978813559322034</v>
      </c>
      <c r="Y5770">
        <v>639</v>
      </c>
      <c r="Z5770">
        <v>710.90621453796166</v>
      </c>
      <c r="AA5770">
        <v>198</v>
      </c>
      <c r="AB5770">
        <v>332</v>
      </c>
      <c r="AC5770">
        <v>536</v>
      </c>
      <c r="AD5770">
        <v>27.77</v>
      </c>
      <c r="AE5770">
        <v>542</v>
      </c>
      <c r="AF5770">
        <v>26</v>
      </c>
      <c r="AG5770">
        <v>163</v>
      </c>
      <c r="AH5770">
        <v>129</v>
      </c>
      <c r="AI5770">
        <v>4.8</v>
      </c>
      <c r="AJ5770">
        <v>30.07</v>
      </c>
      <c r="AK5770">
        <v>23.8</v>
      </c>
      <c r="AL5770">
        <v>-20.163958349999969</v>
      </c>
      <c r="AM5770">
        <v>-44.907180923930973</v>
      </c>
      <c r="AN5770">
        <v>-20.163958349999969</v>
      </c>
      <c r="AO5770">
        <v>-44.907180923930973</v>
      </c>
      <c r="AP5770">
        <v>-20.163981</v>
      </c>
      <c r="AQ5770">
        <v>-44.907128999999998</v>
      </c>
      <c r="AR5770">
        <v>5.9831345092457884</v>
      </c>
      <c r="AS5770" t="s">
        <v>65</v>
      </c>
      <c r="AT5770">
        <v>1</v>
      </c>
      <c r="AU5770" t="s">
        <v>452</v>
      </c>
      <c r="AV5770" t="s">
        <v>453</v>
      </c>
      <c r="AW5770" t="s">
        <v>60</v>
      </c>
      <c r="AX5770" t="s">
        <v>68</v>
      </c>
      <c r="AY5770" t="s">
        <v>69</v>
      </c>
      <c r="AZ5770" t="b">
        <v>1</v>
      </c>
    </row>
    <row r="5771" spans="1:52" x14ac:dyDescent="0.3">
      <c r="A5771" t="s">
        <v>52</v>
      </c>
      <c r="B5771" t="s">
        <v>53</v>
      </c>
      <c r="C5771" t="s">
        <v>54</v>
      </c>
      <c r="D5771" t="s">
        <v>55</v>
      </c>
      <c r="E5771" t="s">
        <v>2280</v>
      </c>
      <c r="F5771" t="s">
        <v>1247</v>
      </c>
      <c r="G5771" t="s">
        <v>454</v>
      </c>
      <c r="H5771" t="s">
        <v>455</v>
      </c>
      <c r="I5771" t="s">
        <v>455</v>
      </c>
      <c r="J5771" t="s">
        <v>60</v>
      </c>
      <c r="K5771" t="s">
        <v>456</v>
      </c>
      <c r="L5771" t="s">
        <v>62</v>
      </c>
      <c r="M5771" t="s">
        <v>456</v>
      </c>
      <c r="N5771" t="s">
        <v>102</v>
      </c>
      <c r="O5771" t="s">
        <v>457</v>
      </c>
      <c r="P5771">
        <v>-20.138373999999999</v>
      </c>
      <c r="Q5771">
        <v>-44.903756999999999</v>
      </c>
      <c r="R5771" s="2" t="str">
        <f>HYPERLINK("https://www.google.com/maps?q=-20.1383740,-44.9037570","Abrir no Google Maps")</f>
        <v>Abrir no Google Maps</v>
      </c>
      <c r="S5771">
        <v>3</v>
      </c>
      <c r="T5771">
        <v>357.59466273594461</v>
      </c>
      <c r="U5771">
        <v>4</v>
      </c>
      <c r="V5771">
        <v>0.99652777777777757</v>
      </c>
      <c r="W5771">
        <v>1</v>
      </c>
      <c r="X5771">
        <v>0.99652777777777757</v>
      </c>
      <c r="Y5771">
        <v>581</v>
      </c>
      <c r="Z5771">
        <v>406.92482694505992</v>
      </c>
      <c r="AA5771">
        <v>198</v>
      </c>
      <c r="AB5771">
        <v>332</v>
      </c>
      <c r="AC5771">
        <v>536</v>
      </c>
      <c r="AD5771">
        <v>27.77</v>
      </c>
      <c r="AE5771">
        <v>542</v>
      </c>
      <c r="AF5771">
        <v>26</v>
      </c>
      <c r="AG5771">
        <v>163</v>
      </c>
      <c r="AH5771">
        <v>129</v>
      </c>
      <c r="AI5771">
        <v>4.8</v>
      </c>
      <c r="AJ5771">
        <v>30.07</v>
      </c>
      <c r="AK5771">
        <v>23.8</v>
      </c>
      <c r="AL5771">
        <v>-20.138338199999961</v>
      </c>
      <c r="AM5771">
        <v>-44.903768618976301</v>
      </c>
      <c r="AN5771">
        <v>-20.138338199999961</v>
      </c>
      <c r="AO5771">
        <v>-44.903768618976301</v>
      </c>
      <c r="AP5771">
        <v>-20.138373999999999</v>
      </c>
      <c r="AQ5771">
        <v>-44.903756999999999</v>
      </c>
      <c r="AR5771">
        <v>4.1661625938922704</v>
      </c>
      <c r="AS5771" t="s">
        <v>65</v>
      </c>
      <c r="AT5771">
        <v>1</v>
      </c>
      <c r="AU5771" t="s">
        <v>458</v>
      </c>
      <c r="AV5771" t="s">
        <v>459</v>
      </c>
      <c r="AW5771" t="s">
        <v>60</v>
      </c>
      <c r="AX5771" t="s">
        <v>68</v>
      </c>
      <c r="AY5771" t="s">
        <v>69</v>
      </c>
      <c r="AZ5771" t="b">
        <v>1</v>
      </c>
    </row>
    <row r="5772" spans="1:52" x14ac:dyDescent="0.3">
      <c r="A5772" t="s">
        <v>52</v>
      </c>
      <c r="B5772" t="s">
        <v>53</v>
      </c>
      <c r="C5772" t="s">
        <v>54</v>
      </c>
      <c r="D5772" t="s">
        <v>55</v>
      </c>
      <c r="E5772" t="s">
        <v>2280</v>
      </c>
      <c r="F5772" t="s">
        <v>1247</v>
      </c>
      <c r="G5772" t="s">
        <v>460</v>
      </c>
      <c r="H5772" t="s">
        <v>461</v>
      </c>
      <c r="I5772" t="s">
        <v>461</v>
      </c>
      <c r="J5772" t="s">
        <v>60</v>
      </c>
      <c r="K5772" t="s">
        <v>462</v>
      </c>
      <c r="L5772" t="s">
        <v>62</v>
      </c>
      <c r="M5772" t="s">
        <v>462</v>
      </c>
      <c r="N5772" t="s">
        <v>463</v>
      </c>
      <c r="O5772" t="s">
        <v>464</v>
      </c>
      <c r="P5772">
        <v>-20.137919</v>
      </c>
      <c r="Q5772">
        <v>-44.905591000000001</v>
      </c>
      <c r="R5772" s="2" t="str">
        <f>HYPERLINK("https://www.google.com/maps?q=-20.1379190,-44.9055910","Abrir no Google Maps")</f>
        <v>Abrir no Google Maps</v>
      </c>
      <c r="S5772">
        <v>3</v>
      </c>
      <c r="T5772">
        <v>262.01115919461103</v>
      </c>
      <c r="U5772">
        <v>4</v>
      </c>
      <c r="V5772">
        <v>1</v>
      </c>
      <c r="W5772">
        <v>1</v>
      </c>
      <c r="X5772">
        <v>1</v>
      </c>
      <c r="Y5772">
        <v>581</v>
      </c>
      <c r="Z5772">
        <v>318.63337303219271</v>
      </c>
      <c r="AA5772">
        <v>198</v>
      </c>
      <c r="AB5772">
        <v>332</v>
      </c>
      <c r="AC5772">
        <v>536</v>
      </c>
      <c r="AD5772">
        <v>27.77</v>
      </c>
      <c r="AE5772">
        <v>542</v>
      </c>
      <c r="AF5772">
        <v>26</v>
      </c>
      <c r="AG5772">
        <v>163</v>
      </c>
      <c r="AH5772">
        <v>129</v>
      </c>
      <c r="AI5772">
        <v>4.8</v>
      </c>
      <c r="AJ5772">
        <v>30.07</v>
      </c>
      <c r="AK5772">
        <v>23.8</v>
      </c>
      <c r="AL5772">
        <v>-20.13789079999998</v>
      </c>
      <c r="AM5772">
        <v>-44.90548593520333</v>
      </c>
      <c r="AN5772">
        <v>-20.13789079999998</v>
      </c>
      <c r="AO5772">
        <v>-44.90548593520333</v>
      </c>
      <c r="AP5772">
        <v>-20.137919</v>
      </c>
      <c r="AQ5772">
        <v>-44.905591000000001</v>
      </c>
      <c r="AR5772">
        <v>11.42072348298178</v>
      </c>
      <c r="AS5772" t="s">
        <v>65</v>
      </c>
      <c r="AT5772">
        <v>1</v>
      </c>
      <c r="AU5772" t="s">
        <v>465</v>
      </c>
      <c r="AV5772" t="s">
        <v>466</v>
      </c>
      <c r="AW5772" t="s">
        <v>60</v>
      </c>
      <c r="AX5772" t="s">
        <v>68</v>
      </c>
      <c r="AY5772" t="s">
        <v>69</v>
      </c>
      <c r="AZ5772" t="b">
        <v>1</v>
      </c>
    </row>
    <row r="5773" spans="1:52" x14ac:dyDescent="0.3">
      <c r="A5773" t="s">
        <v>52</v>
      </c>
      <c r="B5773" t="s">
        <v>53</v>
      </c>
      <c r="C5773" t="s">
        <v>54</v>
      </c>
      <c r="D5773" t="s">
        <v>55</v>
      </c>
      <c r="E5773" t="s">
        <v>2280</v>
      </c>
      <c r="F5773" t="s">
        <v>1247</v>
      </c>
      <c r="G5773" t="s">
        <v>467</v>
      </c>
      <c r="H5773" t="s">
        <v>468</v>
      </c>
      <c r="I5773" t="s">
        <v>468</v>
      </c>
      <c r="J5773" t="s">
        <v>60</v>
      </c>
      <c r="K5773" t="s">
        <v>462</v>
      </c>
      <c r="L5773" t="s">
        <v>62</v>
      </c>
      <c r="M5773" t="s">
        <v>462</v>
      </c>
      <c r="N5773" t="s">
        <v>469</v>
      </c>
      <c r="O5773" t="s">
        <v>470</v>
      </c>
      <c r="P5773">
        <v>-20.138233</v>
      </c>
      <c r="Q5773">
        <v>-44.908200000000001</v>
      </c>
      <c r="R5773" s="2" t="str">
        <f>HYPERLINK("https://www.google.com/maps?q=-20.1382330,-44.9082000","Abrir no Google Maps")</f>
        <v>Abrir no Google Maps</v>
      </c>
      <c r="S5773">
        <v>3</v>
      </c>
      <c r="T5773">
        <v>0</v>
      </c>
      <c r="U5773">
        <v>4</v>
      </c>
      <c r="V5773">
        <v>1</v>
      </c>
      <c r="W5773">
        <v>1</v>
      </c>
      <c r="X5773">
        <v>1</v>
      </c>
      <c r="Y5773">
        <v>581</v>
      </c>
      <c r="Z5773">
        <v>153.18688302958171</v>
      </c>
      <c r="AA5773">
        <v>198</v>
      </c>
      <c r="AB5773">
        <v>332</v>
      </c>
      <c r="AC5773">
        <v>536</v>
      </c>
      <c r="AD5773">
        <v>27.77</v>
      </c>
      <c r="AE5773">
        <v>542</v>
      </c>
      <c r="AF5773">
        <v>26</v>
      </c>
      <c r="AG5773">
        <v>163</v>
      </c>
      <c r="AH5773">
        <v>129</v>
      </c>
      <c r="AI5773">
        <v>4.8</v>
      </c>
      <c r="AJ5773">
        <v>30.07</v>
      </c>
      <c r="AK5773">
        <v>23.8</v>
      </c>
      <c r="AL5773">
        <v>-20.138364899999971</v>
      </c>
      <c r="AM5773">
        <v>-44.907942114873997</v>
      </c>
      <c r="AN5773">
        <v>-20.138364899999971</v>
      </c>
      <c r="AO5773">
        <v>-44.907942114873997</v>
      </c>
      <c r="AP5773">
        <v>-20.138233</v>
      </c>
      <c r="AQ5773">
        <v>-44.908200000000001</v>
      </c>
      <c r="AR5773">
        <v>30.692690617986941</v>
      </c>
      <c r="AS5773" t="s">
        <v>65</v>
      </c>
      <c r="AT5773">
        <v>1</v>
      </c>
      <c r="AU5773" t="s">
        <v>471</v>
      </c>
      <c r="AV5773" t="s">
        <v>472</v>
      </c>
      <c r="AW5773" t="s">
        <v>60</v>
      </c>
      <c r="AX5773" t="s">
        <v>68</v>
      </c>
      <c r="AY5773" t="s">
        <v>69</v>
      </c>
      <c r="AZ5773" t="b">
        <v>1</v>
      </c>
    </row>
    <row r="5774" spans="1:52" x14ac:dyDescent="0.3">
      <c r="A5774" t="s">
        <v>52</v>
      </c>
      <c r="B5774" t="s">
        <v>53</v>
      </c>
      <c r="C5774" t="s">
        <v>54</v>
      </c>
      <c r="D5774" t="s">
        <v>55</v>
      </c>
      <c r="E5774" t="s">
        <v>2280</v>
      </c>
      <c r="F5774" t="s">
        <v>1247</v>
      </c>
      <c r="G5774" t="s">
        <v>851</v>
      </c>
      <c r="H5774" t="s">
        <v>852</v>
      </c>
      <c r="I5774" t="s">
        <v>852</v>
      </c>
      <c r="J5774" t="s">
        <v>60</v>
      </c>
      <c r="K5774" t="s">
        <v>853</v>
      </c>
      <c r="L5774" t="s">
        <v>62</v>
      </c>
      <c r="M5774" t="s">
        <v>853</v>
      </c>
      <c r="N5774" t="s">
        <v>854</v>
      </c>
      <c r="O5774" t="s">
        <v>855</v>
      </c>
      <c r="P5774">
        <v>-20.127835000000001</v>
      </c>
      <c r="Q5774">
        <v>-44.909329</v>
      </c>
      <c r="R5774" s="2" t="str">
        <f>HYPERLINK("https://www.google.com/maps?q=-20.1278350,-44.9093290","Abrir no Google Maps")</f>
        <v>Abrir no Google Maps</v>
      </c>
      <c r="S5774">
        <v>3</v>
      </c>
      <c r="T5774">
        <v>1173.033690896357</v>
      </c>
      <c r="U5774">
        <v>4</v>
      </c>
      <c r="V5774">
        <v>0.99869109947643964</v>
      </c>
      <c r="W5774">
        <v>1</v>
      </c>
      <c r="X5774">
        <v>0.99869109947643964</v>
      </c>
      <c r="Y5774">
        <v>581</v>
      </c>
      <c r="Z5774">
        <v>1296.5011565926129</v>
      </c>
      <c r="AA5774">
        <v>198</v>
      </c>
      <c r="AB5774">
        <v>332</v>
      </c>
      <c r="AC5774">
        <v>536</v>
      </c>
      <c r="AD5774">
        <v>27.77</v>
      </c>
      <c r="AE5774">
        <v>542</v>
      </c>
      <c r="AF5774">
        <v>26</v>
      </c>
      <c r="AG5774">
        <v>163</v>
      </c>
      <c r="AH5774">
        <v>129</v>
      </c>
      <c r="AI5774">
        <v>4.8</v>
      </c>
      <c r="AJ5774">
        <v>30.07</v>
      </c>
      <c r="AK5774">
        <v>23.8</v>
      </c>
      <c r="AL5774">
        <v>-20.127852899999969</v>
      </c>
      <c r="AM5774">
        <v>-44.909386667699948</v>
      </c>
      <c r="AN5774">
        <v>-20.127852899999969</v>
      </c>
      <c r="AO5774">
        <v>-44.909386667699948</v>
      </c>
      <c r="AP5774">
        <v>-20.127835000000001</v>
      </c>
      <c r="AQ5774">
        <v>-44.909329</v>
      </c>
      <c r="AR5774">
        <v>6.3483385067119924</v>
      </c>
      <c r="AS5774" t="s">
        <v>65</v>
      </c>
      <c r="AT5774">
        <v>1</v>
      </c>
      <c r="AU5774" t="s">
        <v>856</v>
      </c>
      <c r="AV5774" t="s">
        <v>857</v>
      </c>
      <c r="AW5774" t="s">
        <v>60</v>
      </c>
      <c r="AX5774" t="s">
        <v>68</v>
      </c>
      <c r="AY5774" t="s">
        <v>69</v>
      </c>
      <c r="AZ5774" t="b">
        <v>1</v>
      </c>
    </row>
    <row r="5775" spans="1:52" x14ac:dyDescent="0.3">
      <c r="A5775" t="s">
        <v>52</v>
      </c>
      <c r="B5775" t="s">
        <v>53</v>
      </c>
      <c r="C5775" t="s">
        <v>54</v>
      </c>
      <c r="D5775" t="s">
        <v>55</v>
      </c>
      <c r="E5775" t="s">
        <v>2280</v>
      </c>
      <c r="F5775" t="s">
        <v>1247</v>
      </c>
      <c r="G5775" t="s">
        <v>864</v>
      </c>
      <c r="H5775" t="s">
        <v>865</v>
      </c>
      <c r="I5775" t="s">
        <v>865</v>
      </c>
      <c r="J5775" t="s">
        <v>60</v>
      </c>
      <c r="K5775" t="s">
        <v>486</v>
      </c>
      <c r="L5775" t="s">
        <v>62</v>
      </c>
      <c r="M5775" t="s">
        <v>486</v>
      </c>
      <c r="N5775" t="s">
        <v>866</v>
      </c>
      <c r="O5775" t="s">
        <v>867</v>
      </c>
      <c r="P5775">
        <v>-20.170919000000001</v>
      </c>
      <c r="Q5775">
        <v>-44.905451999999997</v>
      </c>
      <c r="R5775" s="2" t="str">
        <f>HYPERLINK("https://www.google.com/maps?q=-20.1709190,-44.9054520","Abrir no Google Maps")</f>
        <v>Abrir no Google Maps</v>
      </c>
      <c r="S5775">
        <v>3</v>
      </c>
      <c r="T5775">
        <v>0</v>
      </c>
      <c r="U5775">
        <v>4</v>
      </c>
      <c r="V5775">
        <v>0.9990347490347492</v>
      </c>
      <c r="W5775">
        <v>1</v>
      </c>
      <c r="X5775">
        <v>0.9990347490347492</v>
      </c>
      <c r="Y5775">
        <v>578</v>
      </c>
      <c r="Z5775">
        <v>205.34598855748419</v>
      </c>
      <c r="AA5775">
        <v>198</v>
      </c>
      <c r="AB5775">
        <v>332</v>
      </c>
      <c r="AC5775">
        <v>536</v>
      </c>
      <c r="AD5775">
        <v>27.77</v>
      </c>
      <c r="AE5775">
        <v>542</v>
      </c>
      <c r="AF5775">
        <v>26</v>
      </c>
      <c r="AG5775">
        <v>163</v>
      </c>
      <c r="AH5775">
        <v>129</v>
      </c>
      <c r="AI5775">
        <v>4.8</v>
      </c>
      <c r="AJ5775">
        <v>30.07</v>
      </c>
      <c r="AK5775">
        <v>23.8</v>
      </c>
      <c r="AL5775">
        <v>-20.170854399999939</v>
      </c>
      <c r="AM5775">
        <v>-44.905524839633358</v>
      </c>
      <c r="AN5775">
        <v>-20.170854399999939</v>
      </c>
      <c r="AO5775">
        <v>-44.905524839633358</v>
      </c>
      <c r="AP5775">
        <v>-20.170919000000001</v>
      </c>
      <c r="AQ5775">
        <v>-44.905451999999997</v>
      </c>
      <c r="AR5775">
        <v>10.471140355179269</v>
      </c>
      <c r="AS5775" t="s">
        <v>65</v>
      </c>
      <c r="AT5775">
        <v>1</v>
      </c>
      <c r="AU5775" t="s">
        <v>868</v>
      </c>
      <c r="AV5775" t="s">
        <v>869</v>
      </c>
      <c r="AW5775" t="s">
        <v>60</v>
      </c>
      <c r="AX5775" t="s">
        <v>68</v>
      </c>
      <c r="AY5775" t="s">
        <v>69</v>
      </c>
      <c r="AZ5775" t="b">
        <v>1</v>
      </c>
    </row>
    <row r="5776" spans="1:52" x14ac:dyDescent="0.3">
      <c r="A5776" t="s">
        <v>52</v>
      </c>
      <c r="B5776" t="s">
        <v>53</v>
      </c>
      <c r="C5776" t="s">
        <v>54</v>
      </c>
      <c r="D5776" t="s">
        <v>55</v>
      </c>
      <c r="E5776" t="s">
        <v>2280</v>
      </c>
      <c r="F5776" t="s">
        <v>1247</v>
      </c>
      <c r="G5776" t="s">
        <v>473</v>
      </c>
      <c r="H5776" t="s">
        <v>474</v>
      </c>
      <c r="I5776" t="s">
        <v>474</v>
      </c>
      <c r="J5776" t="s">
        <v>60</v>
      </c>
      <c r="K5776" t="s">
        <v>475</v>
      </c>
      <c r="L5776" t="s">
        <v>62</v>
      </c>
      <c r="M5776" t="s">
        <v>475</v>
      </c>
      <c r="N5776" t="s">
        <v>406</v>
      </c>
      <c r="O5776" t="s">
        <v>476</v>
      </c>
      <c r="P5776">
        <v>-20.177902</v>
      </c>
      <c r="Q5776">
        <v>-44.908504000000001</v>
      </c>
      <c r="R5776" s="2" t="str">
        <f>HYPERLINK("https://www.google.com/maps?q=-20.1779020,-44.9085040","Abrir no Google Maps")</f>
        <v>Abrir no Google Maps</v>
      </c>
      <c r="S5776">
        <v>3</v>
      </c>
      <c r="T5776">
        <v>656.92307673247149</v>
      </c>
      <c r="U5776">
        <v>4</v>
      </c>
      <c r="V5776">
        <v>1</v>
      </c>
      <c r="W5776">
        <v>1</v>
      </c>
      <c r="X5776">
        <v>1</v>
      </c>
      <c r="Y5776">
        <v>578</v>
      </c>
      <c r="Z5776">
        <v>635.01982153722327</v>
      </c>
      <c r="AA5776">
        <v>198</v>
      </c>
      <c r="AB5776">
        <v>332</v>
      </c>
      <c r="AC5776">
        <v>536</v>
      </c>
      <c r="AD5776">
        <v>27.77</v>
      </c>
      <c r="AE5776">
        <v>542</v>
      </c>
      <c r="AF5776">
        <v>26</v>
      </c>
      <c r="AG5776">
        <v>163</v>
      </c>
      <c r="AH5776">
        <v>129</v>
      </c>
      <c r="AI5776">
        <v>4.8</v>
      </c>
      <c r="AJ5776">
        <v>30.07</v>
      </c>
      <c r="AK5776">
        <v>23.8</v>
      </c>
      <c r="AL5776">
        <v>-20.177800399999938</v>
      </c>
      <c r="AM5776">
        <v>-44.908361879701268</v>
      </c>
      <c r="AN5776">
        <v>-20.177800399999938</v>
      </c>
      <c r="AO5776">
        <v>-44.908361879701268</v>
      </c>
      <c r="AP5776">
        <v>-20.177902</v>
      </c>
      <c r="AQ5776">
        <v>-44.908504000000001</v>
      </c>
      <c r="AR5776">
        <v>18.666463141775541</v>
      </c>
      <c r="AS5776" t="s">
        <v>65</v>
      </c>
      <c r="AT5776">
        <v>1</v>
      </c>
      <c r="AU5776" t="s">
        <v>477</v>
      </c>
      <c r="AV5776" t="s">
        <v>478</v>
      </c>
      <c r="AW5776" t="s">
        <v>60</v>
      </c>
      <c r="AX5776" t="s">
        <v>68</v>
      </c>
      <c r="AY5776" t="s">
        <v>69</v>
      </c>
      <c r="AZ5776" t="b">
        <v>1</v>
      </c>
    </row>
    <row r="5777" spans="1:52" x14ac:dyDescent="0.3">
      <c r="A5777" t="s">
        <v>52</v>
      </c>
      <c r="B5777" t="s">
        <v>53</v>
      </c>
      <c r="C5777" t="s">
        <v>54</v>
      </c>
      <c r="D5777" t="s">
        <v>55</v>
      </c>
      <c r="E5777" t="s">
        <v>2280</v>
      </c>
      <c r="F5777" t="s">
        <v>1247</v>
      </c>
      <c r="G5777" t="s">
        <v>484</v>
      </c>
      <c r="H5777" t="s">
        <v>485</v>
      </c>
      <c r="I5777" t="s">
        <v>485</v>
      </c>
      <c r="J5777" t="s">
        <v>60</v>
      </c>
      <c r="K5777" t="s">
        <v>486</v>
      </c>
      <c r="L5777" t="s">
        <v>62</v>
      </c>
      <c r="M5777" t="s">
        <v>486</v>
      </c>
      <c r="N5777" t="s">
        <v>487</v>
      </c>
      <c r="O5777" t="s">
        <v>488</v>
      </c>
      <c r="P5777">
        <v>-20.173000999999999</v>
      </c>
      <c r="Q5777">
        <v>-44.901876999999999</v>
      </c>
      <c r="R5777" s="2" t="str">
        <f>HYPERLINK("https://www.google.com/maps?q=-20.1730010,-44.9018770","Abrir no Google Maps")</f>
        <v>Abrir no Google Maps</v>
      </c>
      <c r="S5777">
        <v>3</v>
      </c>
      <c r="T5777">
        <v>437.59695450783011</v>
      </c>
      <c r="U5777">
        <v>4</v>
      </c>
      <c r="V5777">
        <v>0.99887387387387383</v>
      </c>
      <c r="W5777">
        <v>1</v>
      </c>
      <c r="X5777">
        <v>0.99887387387387383</v>
      </c>
      <c r="Y5777">
        <v>578</v>
      </c>
      <c r="Z5777">
        <v>440.53629183653243</v>
      </c>
      <c r="AA5777">
        <v>198</v>
      </c>
      <c r="AB5777">
        <v>332</v>
      </c>
      <c r="AC5777">
        <v>536</v>
      </c>
      <c r="AD5777">
        <v>27.77</v>
      </c>
      <c r="AE5777">
        <v>542</v>
      </c>
      <c r="AF5777">
        <v>26</v>
      </c>
      <c r="AG5777">
        <v>163</v>
      </c>
      <c r="AH5777">
        <v>129</v>
      </c>
      <c r="AI5777">
        <v>4.8</v>
      </c>
      <c r="AJ5777">
        <v>30.07</v>
      </c>
      <c r="AK5777">
        <v>23.8</v>
      </c>
      <c r="AL5777">
        <v>-20.173065299999969</v>
      </c>
      <c r="AM5777">
        <v>-44.902052686008687</v>
      </c>
      <c r="AN5777">
        <v>-20.173065299999969</v>
      </c>
      <c r="AO5777">
        <v>-44.902052686008687</v>
      </c>
      <c r="AP5777">
        <v>-20.173000999999999</v>
      </c>
      <c r="AQ5777">
        <v>-44.901876999999999</v>
      </c>
      <c r="AR5777">
        <v>19.703745070768829</v>
      </c>
      <c r="AS5777" t="s">
        <v>65</v>
      </c>
      <c r="AT5777">
        <v>1</v>
      </c>
      <c r="AU5777" t="s">
        <v>489</v>
      </c>
      <c r="AV5777" t="s">
        <v>490</v>
      </c>
      <c r="AW5777" t="s">
        <v>60</v>
      </c>
      <c r="AX5777" t="s">
        <v>68</v>
      </c>
      <c r="AY5777" t="s">
        <v>69</v>
      </c>
      <c r="AZ5777" t="b">
        <v>1</v>
      </c>
    </row>
    <row r="5778" spans="1:52" x14ac:dyDescent="0.3">
      <c r="A5778" t="s">
        <v>52</v>
      </c>
      <c r="B5778" t="s">
        <v>53</v>
      </c>
      <c r="C5778" t="s">
        <v>54</v>
      </c>
      <c r="D5778" t="s">
        <v>55</v>
      </c>
      <c r="E5778" t="s">
        <v>2280</v>
      </c>
      <c r="F5778" t="s">
        <v>1247</v>
      </c>
      <c r="G5778" t="s">
        <v>516</v>
      </c>
      <c r="H5778" t="s">
        <v>517</v>
      </c>
      <c r="I5778" t="s">
        <v>517</v>
      </c>
      <c r="J5778" t="s">
        <v>60</v>
      </c>
      <c r="K5778" t="s">
        <v>518</v>
      </c>
      <c r="L5778" t="s">
        <v>62</v>
      </c>
      <c r="M5778" t="s">
        <v>518</v>
      </c>
      <c r="N5778" t="s">
        <v>519</v>
      </c>
      <c r="O5778" t="s">
        <v>520</v>
      </c>
      <c r="P5778">
        <v>-20.124502</v>
      </c>
      <c r="Q5778">
        <v>-44.888424000000001</v>
      </c>
      <c r="R5778" s="2" t="str">
        <f>HYPERLINK("https://www.google.com/maps?q=-20.1245020,-44.8884240","Abrir no Google Maps")</f>
        <v>Abrir no Google Maps</v>
      </c>
      <c r="S5778">
        <v>3</v>
      </c>
      <c r="T5778">
        <v>483.42298121929559</v>
      </c>
      <c r="U5778">
        <v>4</v>
      </c>
      <c r="V5778">
        <v>0.99590163934426235</v>
      </c>
      <c r="W5778">
        <v>1</v>
      </c>
      <c r="X5778">
        <v>0.99590163934426235</v>
      </c>
      <c r="Y5778">
        <v>564</v>
      </c>
      <c r="Z5778">
        <v>565.43074237076587</v>
      </c>
      <c r="AA5778">
        <v>198</v>
      </c>
      <c r="AB5778">
        <v>332</v>
      </c>
      <c r="AC5778">
        <v>536</v>
      </c>
      <c r="AD5778">
        <v>27.77</v>
      </c>
      <c r="AE5778">
        <v>542</v>
      </c>
      <c r="AF5778">
        <v>26</v>
      </c>
      <c r="AG5778">
        <v>163</v>
      </c>
      <c r="AH5778">
        <v>129</v>
      </c>
      <c r="AI5778">
        <v>4.8</v>
      </c>
      <c r="AJ5778">
        <v>30.07</v>
      </c>
      <c r="AK5778">
        <v>23.8</v>
      </c>
      <c r="AL5778">
        <v>-20.124624949999941</v>
      </c>
      <c r="AM5778">
        <v>-44.888432821777258</v>
      </c>
      <c r="AN5778">
        <v>-20.124624949999941</v>
      </c>
      <c r="AO5778">
        <v>-44.888432821777258</v>
      </c>
      <c r="AP5778">
        <v>-20.124502</v>
      </c>
      <c r="AQ5778">
        <v>-44.888424000000001</v>
      </c>
      <c r="AR5778">
        <v>13.717819333897451</v>
      </c>
      <c r="AS5778" t="s">
        <v>65</v>
      </c>
      <c r="AT5778">
        <v>1</v>
      </c>
      <c r="AU5778" t="s">
        <v>521</v>
      </c>
      <c r="AV5778" t="s">
        <v>522</v>
      </c>
      <c r="AW5778" t="s">
        <v>60</v>
      </c>
      <c r="AX5778" t="s">
        <v>68</v>
      </c>
      <c r="AY5778" t="s">
        <v>69</v>
      </c>
      <c r="AZ5778" t="b">
        <v>1</v>
      </c>
    </row>
    <row r="5779" spans="1:52" x14ac:dyDescent="0.3">
      <c r="A5779" t="s">
        <v>52</v>
      </c>
      <c r="B5779" t="s">
        <v>53</v>
      </c>
      <c r="C5779" t="s">
        <v>54</v>
      </c>
      <c r="D5779" t="s">
        <v>55</v>
      </c>
      <c r="E5779" t="s">
        <v>2280</v>
      </c>
      <c r="F5779" t="s">
        <v>1247</v>
      </c>
      <c r="G5779" t="s">
        <v>879</v>
      </c>
      <c r="H5779" t="s">
        <v>880</v>
      </c>
      <c r="I5779" t="s">
        <v>880</v>
      </c>
      <c r="J5779" t="s">
        <v>60</v>
      </c>
      <c r="K5779" t="s">
        <v>505</v>
      </c>
      <c r="L5779" t="s">
        <v>62</v>
      </c>
      <c r="M5779" t="s">
        <v>505</v>
      </c>
      <c r="N5779" t="s">
        <v>881</v>
      </c>
      <c r="O5779" t="s">
        <v>882</v>
      </c>
      <c r="P5779">
        <v>-20.133452999999999</v>
      </c>
      <c r="Q5779">
        <v>-44.890571999999999</v>
      </c>
      <c r="R5779" s="2" t="str">
        <f>HYPERLINK("https://www.google.com/maps?q=-20.1334530,-44.8905720","Abrir no Google Maps")</f>
        <v>Abrir no Google Maps</v>
      </c>
      <c r="S5779">
        <v>3</v>
      </c>
      <c r="T5779">
        <v>373.51332104809921</v>
      </c>
      <c r="U5779">
        <v>4</v>
      </c>
      <c r="V5779">
        <v>0.99871794871794883</v>
      </c>
      <c r="W5779">
        <v>1</v>
      </c>
      <c r="X5779">
        <v>0.99871794871794883</v>
      </c>
      <c r="Y5779">
        <v>564</v>
      </c>
      <c r="Z5779">
        <v>422.34693311930448</v>
      </c>
      <c r="AA5779">
        <v>198</v>
      </c>
      <c r="AB5779">
        <v>332</v>
      </c>
      <c r="AC5779">
        <v>536</v>
      </c>
      <c r="AD5779">
        <v>27.77</v>
      </c>
      <c r="AE5779">
        <v>542</v>
      </c>
      <c r="AF5779">
        <v>26</v>
      </c>
      <c r="AG5779">
        <v>163</v>
      </c>
      <c r="AH5779">
        <v>129</v>
      </c>
      <c r="AI5779">
        <v>4.8</v>
      </c>
      <c r="AJ5779">
        <v>30.07</v>
      </c>
      <c r="AK5779">
        <v>23.8</v>
      </c>
      <c r="AL5779">
        <v>-20.133421549999952</v>
      </c>
      <c r="AM5779">
        <v>-44.890623456009052</v>
      </c>
      <c r="AN5779">
        <v>-20.133421549999952</v>
      </c>
      <c r="AO5779">
        <v>-44.890623456009052</v>
      </c>
      <c r="AP5779">
        <v>-20.133452999999999</v>
      </c>
      <c r="AQ5779">
        <v>-44.890571999999999</v>
      </c>
      <c r="AR5779">
        <v>6.4172139275452773</v>
      </c>
      <c r="AS5779" t="s">
        <v>65</v>
      </c>
      <c r="AT5779">
        <v>1</v>
      </c>
      <c r="AU5779" t="s">
        <v>883</v>
      </c>
      <c r="AV5779" t="s">
        <v>884</v>
      </c>
      <c r="AW5779" t="s">
        <v>60</v>
      </c>
      <c r="AX5779" t="s">
        <v>68</v>
      </c>
      <c r="AY5779" t="s">
        <v>69</v>
      </c>
      <c r="AZ5779" t="b">
        <v>1</v>
      </c>
    </row>
    <row r="5780" spans="1:52" x14ac:dyDescent="0.3">
      <c r="A5780" t="s">
        <v>52</v>
      </c>
      <c r="B5780" t="s">
        <v>53</v>
      </c>
      <c r="C5780" t="s">
        <v>54</v>
      </c>
      <c r="D5780" t="s">
        <v>55</v>
      </c>
      <c r="E5780" t="s">
        <v>2280</v>
      </c>
      <c r="F5780" t="s">
        <v>1247</v>
      </c>
      <c r="G5780" t="s">
        <v>523</v>
      </c>
      <c r="H5780" t="s">
        <v>524</v>
      </c>
      <c r="I5780" t="s">
        <v>524</v>
      </c>
      <c r="J5780" t="s">
        <v>60</v>
      </c>
      <c r="K5780" t="s">
        <v>518</v>
      </c>
      <c r="L5780" t="s">
        <v>62</v>
      </c>
      <c r="M5780" t="s">
        <v>518</v>
      </c>
      <c r="N5780" t="s">
        <v>525</v>
      </c>
      <c r="O5780" t="s">
        <v>331</v>
      </c>
      <c r="P5780">
        <v>-20.126553000000001</v>
      </c>
      <c r="Q5780">
        <v>-44.888599999999997</v>
      </c>
      <c r="R5780" s="2" t="str">
        <f>HYPERLINK("https://www.google.com/maps?q=-20.1265530,-44.8886000","Abrir no Google Maps")</f>
        <v>Abrir no Google Maps</v>
      </c>
      <c r="S5780">
        <v>3</v>
      </c>
      <c r="T5780">
        <v>256.34043440603853</v>
      </c>
      <c r="U5780">
        <v>4</v>
      </c>
      <c r="V5780">
        <v>0.99876237623762376</v>
      </c>
      <c r="W5780">
        <v>1</v>
      </c>
      <c r="X5780">
        <v>0.99876237623762376</v>
      </c>
      <c r="Y5780">
        <v>564</v>
      </c>
      <c r="Z5780">
        <v>325.4404273055876</v>
      </c>
      <c r="AA5780">
        <v>198</v>
      </c>
      <c r="AB5780">
        <v>332</v>
      </c>
      <c r="AC5780">
        <v>536</v>
      </c>
      <c r="AD5780">
        <v>27.77</v>
      </c>
      <c r="AE5780">
        <v>542</v>
      </c>
      <c r="AF5780">
        <v>26</v>
      </c>
      <c r="AG5780">
        <v>163</v>
      </c>
      <c r="AH5780">
        <v>129</v>
      </c>
      <c r="AI5780">
        <v>4.8</v>
      </c>
      <c r="AJ5780">
        <v>30.07</v>
      </c>
      <c r="AK5780">
        <v>23.8</v>
      </c>
      <c r="AL5780">
        <v>-20.12669049999997</v>
      </c>
      <c r="AM5780">
        <v>-44.888671289876577</v>
      </c>
      <c r="AN5780">
        <v>-20.12669049999997</v>
      </c>
      <c r="AO5780">
        <v>-44.888671289876577</v>
      </c>
      <c r="AP5780">
        <v>-20.126553000000001</v>
      </c>
      <c r="AQ5780">
        <v>-44.888599999999997</v>
      </c>
      <c r="AR5780">
        <v>17.023861591720589</v>
      </c>
      <c r="AS5780" t="s">
        <v>65</v>
      </c>
      <c r="AT5780">
        <v>1</v>
      </c>
      <c r="AU5780" t="s">
        <v>526</v>
      </c>
      <c r="AV5780" t="s">
        <v>527</v>
      </c>
      <c r="AW5780" t="s">
        <v>60</v>
      </c>
      <c r="AX5780" t="s">
        <v>68</v>
      </c>
      <c r="AY5780" t="s">
        <v>69</v>
      </c>
      <c r="AZ5780" t="b">
        <v>1</v>
      </c>
    </row>
    <row r="5781" spans="1:52" x14ac:dyDescent="0.3">
      <c r="A5781" t="s">
        <v>52</v>
      </c>
      <c r="B5781" t="s">
        <v>53</v>
      </c>
      <c r="C5781" t="s">
        <v>54</v>
      </c>
      <c r="D5781" t="s">
        <v>55</v>
      </c>
      <c r="E5781" t="s">
        <v>2280</v>
      </c>
      <c r="F5781" t="s">
        <v>1247</v>
      </c>
      <c r="G5781" t="s">
        <v>528</v>
      </c>
      <c r="H5781" t="s">
        <v>529</v>
      </c>
      <c r="I5781" t="s">
        <v>529</v>
      </c>
      <c r="J5781" t="s">
        <v>60</v>
      </c>
      <c r="K5781" t="s">
        <v>530</v>
      </c>
      <c r="L5781" t="s">
        <v>62</v>
      </c>
      <c r="M5781" t="s">
        <v>530</v>
      </c>
      <c r="N5781" t="s">
        <v>531</v>
      </c>
      <c r="O5781" t="s">
        <v>532</v>
      </c>
      <c r="P5781">
        <v>-20.142457</v>
      </c>
      <c r="Q5781">
        <v>-44.891688000000002</v>
      </c>
      <c r="R5781" s="2" t="str">
        <f>HYPERLINK("https://www.google.com/maps?q=-20.1424570,-44.8916880","Abrir no Google Maps")</f>
        <v>Abrir no Google Maps</v>
      </c>
      <c r="S5781">
        <v>3</v>
      </c>
      <c r="T5781">
        <v>0</v>
      </c>
      <c r="U5781">
        <v>4</v>
      </c>
      <c r="V5781">
        <v>0.99571917808219179</v>
      </c>
      <c r="W5781">
        <v>1</v>
      </c>
      <c r="X5781">
        <v>0.99571917808219179</v>
      </c>
      <c r="Y5781">
        <v>557</v>
      </c>
      <c r="Z5781">
        <v>42.611952255679803</v>
      </c>
      <c r="AA5781">
        <v>198</v>
      </c>
      <c r="AB5781">
        <v>332</v>
      </c>
      <c r="AC5781">
        <v>536</v>
      </c>
      <c r="AD5781">
        <v>27.77</v>
      </c>
      <c r="AE5781">
        <v>542</v>
      </c>
      <c r="AF5781">
        <v>26</v>
      </c>
      <c r="AG5781">
        <v>163</v>
      </c>
      <c r="AH5781">
        <v>129</v>
      </c>
      <c r="AI5781">
        <v>4.8</v>
      </c>
      <c r="AJ5781">
        <v>30.07</v>
      </c>
      <c r="AK5781">
        <v>23.8</v>
      </c>
      <c r="AL5781">
        <v>-20.142523099999948</v>
      </c>
      <c r="AM5781">
        <v>-44.891523817588819</v>
      </c>
      <c r="AN5781">
        <v>-20.142523099999948</v>
      </c>
      <c r="AO5781">
        <v>-44.891523817588819</v>
      </c>
      <c r="AP5781">
        <v>-20.142457</v>
      </c>
      <c r="AQ5781">
        <v>-44.891688000000002</v>
      </c>
      <c r="AR5781">
        <v>18.670129248632971</v>
      </c>
      <c r="AS5781" t="s">
        <v>65</v>
      </c>
      <c r="AT5781">
        <v>1</v>
      </c>
      <c r="AU5781" t="s">
        <v>533</v>
      </c>
      <c r="AV5781" t="s">
        <v>534</v>
      </c>
      <c r="AW5781" t="s">
        <v>60</v>
      </c>
      <c r="AX5781" t="s">
        <v>68</v>
      </c>
      <c r="AY5781" t="s">
        <v>69</v>
      </c>
      <c r="AZ5781" t="b">
        <v>1</v>
      </c>
    </row>
    <row r="5782" spans="1:52" x14ac:dyDescent="0.3">
      <c r="A5782" t="s">
        <v>52</v>
      </c>
      <c r="B5782" t="s">
        <v>53</v>
      </c>
      <c r="C5782" t="s">
        <v>54</v>
      </c>
      <c r="D5782" t="s">
        <v>55</v>
      </c>
      <c r="E5782" t="s">
        <v>2280</v>
      </c>
      <c r="F5782" t="s">
        <v>1247</v>
      </c>
      <c r="G5782" t="s">
        <v>398</v>
      </c>
      <c r="H5782" t="s">
        <v>541</v>
      </c>
      <c r="I5782" t="s">
        <v>541</v>
      </c>
      <c r="J5782" t="s">
        <v>60</v>
      </c>
      <c r="K5782" t="s">
        <v>388</v>
      </c>
      <c r="L5782" t="s">
        <v>62</v>
      </c>
      <c r="M5782" t="s">
        <v>388</v>
      </c>
      <c r="N5782" t="s">
        <v>400</v>
      </c>
      <c r="O5782" t="s">
        <v>542</v>
      </c>
      <c r="P5782">
        <v>-20.151335</v>
      </c>
      <c r="Q5782">
        <v>-44.901041999999997</v>
      </c>
      <c r="R5782" s="2" t="str">
        <f>HYPERLINK("https://www.google.com/maps?q=-20.1513350,-44.9010420","Abrir no Google Maps")</f>
        <v>Abrir no Google Maps</v>
      </c>
      <c r="S5782">
        <v>3</v>
      </c>
      <c r="T5782">
        <v>0</v>
      </c>
      <c r="U5782">
        <v>4</v>
      </c>
      <c r="V5782">
        <v>1</v>
      </c>
      <c r="W5782">
        <v>1</v>
      </c>
      <c r="X5782">
        <v>1</v>
      </c>
      <c r="Y5782">
        <v>556</v>
      </c>
      <c r="Z5782">
        <v>137.71609036908939</v>
      </c>
      <c r="AA5782">
        <v>198</v>
      </c>
      <c r="AB5782">
        <v>332</v>
      </c>
      <c r="AC5782">
        <v>536</v>
      </c>
      <c r="AD5782">
        <v>27.77</v>
      </c>
      <c r="AE5782">
        <v>542</v>
      </c>
      <c r="AF5782">
        <v>26</v>
      </c>
      <c r="AG5782">
        <v>163</v>
      </c>
      <c r="AH5782">
        <v>129</v>
      </c>
      <c r="AI5782">
        <v>4.8</v>
      </c>
      <c r="AJ5782">
        <v>30.07</v>
      </c>
      <c r="AK5782">
        <v>23.8</v>
      </c>
      <c r="AL5782">
        <v>-20.15125899999995</v>
      </c>
      <c r="AM5782">
        <v>-44.900838557594433</v>
      </c>
      <c r="AN5782">
        <v>-20.15125899999995</v>
      </c>
      <c r="AO5782">
        <v>-44.900838557594433</v>
      </c>
      <c r="AP5782">
        <v>-20.151335</v>
      </c>
      <c r="AQ5782">
        <v>-44.901041999999997</v>
      </c>
      <c r="AR5782">
        <v>22.882363139483491</v>
      </c>
      <c r="AS5782" t="s">
        <v>65</v>
      </c>
      <c r="AT5782">
        <v>1</v>
      </c>
      <c r="AU5782" t="s">
        <v>543</v>
      </c>
      <c r="AV5782" t="s">
        <v>544</v>
      </c>
      <c r="AW5782" t="s">
        <v>60</v>
      </c>
      <c r="AX5782" t="s">
        <v>68</v>
      </c>
      <c r="AY5782" t="s">
        <v>69</v>
      </c>
      <c r="AZ5782" t="b">
        <v>1</v>
      </c>
    </row>
    <row r="5783" spans="1:52" x14ac:dyDescent="0.3">
      <c r="A5783" t="s">
        <v>52</v>
      </c>
      <c r="B5783" t="s">
        <v>53</v>
      </c>
      <c r="C5783" t="s">
        <v>54</v>
      </c>
      <c r="D5783" t="s">
        <v>55</v>
      </c>
      <c r="E5783" t="s">
        <v>2280</v>
      </c>
      <c r="F5783" t="s">
        <v>1247</v>
      </c>
      <c r="G5783" t="s">
        <v>897</v>
      </c>
      <c r="H5783" t="s">
        <v>898</v>
      </c>
      <c r="I5783" t="s">
        <v>898</v>
      </c>
      <c r="J5783" t="s">
        <v>60</v>
      </c>
      <c r="K5783" t="s">
        <v>892</v>
      </c>
      <c r="L5783" t="s">
        <v>62</v>
      </c>
      <c r="M5783" t="s">
        <v>892</v>
      </c>
      <c r="N5783" t="s">
        <v>899</v>
      </c>
      <c r="O5783" t="s">
        <v>900</v>
      </c>
      <c r="P5783">
        <v>-20.154885</v>
      </c>
      <c r="Q5783">
        <v>-44.899890999999997</v>
      </c>
      <c r="R5783" s="2" t="str">
        <f>HYPERLINK("https://www.google.com/maps?q=-20.1548850,-44.8998910","Abrir no Google Maps")</f>
        <v>Abrir no Google Maps</v>
      </c>
      <c r="S5783">
        <v>3</v>
      </c>
      <c r="T5783">
        <v>314.66339661014308</v>
      </c>
      <c r="U5783">
        <v>4</v>
      </c>
      <c r="V5783">
        <v>1</v>
      </c>
      <c r="W5783">
        <v>1</v>
      </c>
      <c r="X5783">
        <v>1</v>
      </c>
      <c r="Y5783">
        <v>548</v>
      </c>
      <c r="Z5783">
        <v>319.02252584834253</v>
      </c>
      <c r="AA5783">
        <v>198</v>
      </c>
      <c r="AB5783">
        <v>332</v>
      </c>
      <c r="AC5783">
        <v>536</v>
      </c>
      <c r="AD5783">
        <v>27.77</v>
      </c>
      <c r="AE5783">
        <v>542</v>
      </c>
      <c r="AF5783">
        <v>26</v>
      </c>
      <c r="AG5783">
        <v>163</v>
      </c>
      <c r="AH5783">
        <v>129</v>
      </c>
      <c r="AI5783">
        <v>4.8</v>
      </c>
      <c r="AJ5783">
        <v>30.07</v>
      </c>
      <c r="AK5783">
        <v>23.8</v>
      </c>
      <c r="AL5783">
        <v>-20.154906649999951</v>
      </c>
      <c r="AM5783">
        <v>-44.899894072543653</v>
      </c>
      <c r="AN5783">
        <v>-20.154906649999951</v>
      </c>
      <c r="AO5783">
        <v>-44.899894072543653</v>
      </c>
      <c r="AP5783">
        <v>-20.154885</v>
      </c>
      <c r="AQ5783">
        <v>-44.899890999999997</v>
      </c>
      <c r="AR5783">
        <v>2.431373123904943</v>
      </c>
      <c r="AS5783" t="s">
        <v>65</v>
      </c>
      <c r="AT5783">
        <v>1</v>
      </c>
      <c r="AU5783" t="s">
        <v>901</v>
      </c>
      <c r="AV5783" t="s">
        <v>902</v>
      </c>
      <c r="AW5783" t="s">
        <v>60</v>
      </c>
      <c r="AX5783" t="s">
        <v>68</v>
      </c>
      <c r="AY5783" t="s">
        <v>69</v>
      </c>
      <c r="AZ5783" t="b">
        <v>1</v>
      </c>
    </row>
    <row r="5784" spans="1:52" x14ac:dyDescent="0.3">
      <c r="A5784" t="s">
        <v>52</v>
      </c>
      <c r="B5784" t="s">
        <v>53</v>
      </c>
      <c r="C5784" t="s">
        <v>54</v>
      </c>
      <c r="D5784" t="s">
        <v>55</v>
      </c>
      <c r="E5784" t="s">
        <v>2280</v>
      </c>
      <c r="F5784" t="s">
        <v>1247</v>
      </c>
      <c r="G5784" t="s">
        <v>556</v>
      </c>
      <c r="H5784" t="s">
        <v>557</v>
      </c>
      <c r="I5784" t="s">
        <v>557</v>
      </c>
      <c r="J5784" t="s">
        <v>60</v>
      </c>
      <c r="K5784" t="s">
        <v>388</v>
      </c>
      <c r="L5784" t="s">
        <v>62</v>
      </c>
      <c r="M5784" t="s">
        <v>388</v>
      </c>
      <c r="N5784" t="s">
        <v>558</v>
      </c>
      <c r="O5784" t="s">
        <v>559</v>
      </c>
      <c r="P5784">
        <v>-20.152670000000001</v>
      </c>
      <c r="Q5784">
        <v>-44.902557999999999</v>
      </c>
      <c r="R5784" s="2" t="str">
        <f>HYPERLINK("https://www.google.com/maps?q=-20.1526700,-44.9025580","Abrir no Google Maps")</f>
        <v>Abrir no Google Maps</v>
      </c>
      <c r="S5784">
        <v>3</v>
      </c>
      <c r="T5784">
        <v>228.56195217678911</v>
      </c>
      <c r="U5784">
        <v>4</v>
      </c>
      <c r="V5784">
        <v>0.9990842490842492</v>
      </c>
      <c r="W5784">
        <v>1</v>
      </c>
      <c r="X5784">
        <v>0.9990842490842492</v>
      </c>
      <c r="Y5784">
        <v>548</v>
      </c>
      <c r="Z5784">
        <v>250.63133895224919</v>
      </c>
      <c r="AA5784">
        <v>198</v>
      </c>
      <c r="AB5784">
        <v>332</v>
      </c>
      <c r="AC5784">
        <v>536</v>
      </c>
      <c r="AD5784">
        <v>27.77</v>
      </c>
      <c r="AE5784">
        <v>542</v>
      </c>
      <c r="AF5784">
        <v>26</v>
      </c>
      <c r="AG5784">
        <v>163</v>
      </c>
      <c r="AH5784">
        <v>129</v>
      </c>
      <c r="AI5784">
        <v>4.8</v>
      </c>
      <c r="AJ5784">
        <v>30.07</v>
      </c>
      <c r="AK5784">
        <v>23.8</v>
      </c>
      <c r="AL5784">
        <v>-20.152629799999939</v>
      </c>
      <c r="AM5784">
        <v>-44.902604744705201</v>
      </c>
      <c r="AN5784">
        <v>-20.152629799999939</v>
      </c>
      <c r="AO5784">
        <v>-44.902604744705201</v>
      </c>
      <c r="AP5784">
        <v>-20.152670000000001</v>
      </c>
      <c r="AQ5784">
        <v>-44.902557999999999</v>
      </c>
      <c r="AR5784">
        <v>6.6249428037111509</v>
      </c>
      <c r="AS5784" t="s">
        <v>65</v>
      </c>
      <c r="AT5784">
        <v>1</v>
      </c>
      <c r="AU5784" t="s">
        <v>560</v>
      </c>
      <c r="AV5784" t="s">
        <v>561</v>
      </c>
      <c r="AW5784" t="s">
        <v>60</v>
      </c>
      <c r="AX5784" t="s">
        <v>68</v>
      </c>
      <c r="AY5784" t="s">
        <v>69</v>
      </c>
      <c r="AZ5784" t="b">
        <v>1</v>
      </c>
    </row>
    <row r="5785" spans="1:52" x14ac:dyDescent="0.3">
      <c r="A5785" t="s">
        <v>52</v>
      </c>
      <c r="B5785" t="s">
        <v>53</v>
      </c>
      <c r="C5785" t="s">
        <v>54</v>
      </c>
      <c r="D5785" t="s">
        <v>55</v>
      </c>
      <c r="E5785" t="s">
        <v>2280</v>
      </c>
      <c r="F5785" t="s">
        <v>1247</v>
      </c>
      <c r="G5785" t="s">
        <v>562</v>
      </c>
      <c r="H5785" t="s">
        <v>563</v>
      </c>
      <c r="I5785" t="s">
        <v>563</v>
      </c>
      <c r="J5785" t="s">
        <v>60</v>
      </c>
      <c r="K5785" t="s">
        <v>388</v>
      </c>
      <c r="L5785" t="s">
        <v>62</v>
      </c>
      <c r="M5785" t="s">
        <v>388</v>
      </c>
      <c r="N5785" t="s">
        <v>564</v>
      </c>
      <c r="O5785" t="s">
        <v>565</v>
      </c>
      <c r="P5785">
        <v>-20.154432</v>
      </c>
      <c r="Q5785">
        <v>-44.902977999999997</v>
      </c>
      <c r="R5785" s="2" t="str">
        <f>HYPERLINK("https://www.google.com/maps?q=-20.1544320,-44.9029780","Abrir no Google Maps")</f>
        <v>Abrir no Google Maps</v>
      </c>
      <c r="S5785">
        <v>3</v>
      </c>
      <c r="T5785">
        <v>0</v>
      </c>
      <c r="U5785">
        <v>4</v>
      </c>
      <c r="V5785">
        <v>1</v>
      </c>
      <c r="W5785">
        <v>1</v>
      </c>
      <c r="X5785">
        <v>1</v>
      </c>
      <c r="Y5785">
        <v>548</v>
      </c>
      <c r="Z5785">
        <v>29.424211042533759</v>
      </c>
      <c r="AA5785">
        <v>198</v>
      </c>
      <c r="AB5785">
        <v>332</v>
      </c>
      <c r="AC5785">
        <v>536</v>
      </c>
      <c r="AD5785">
        <v>27.77</v>
      </c>
      <c r="AE5785">
        <v>542</v>
      </c>
      <c r="AF5785">
        <v>26</v>
      </c>
      <c r="AG5785">
        <v>163</v>
      </c>
      <c r="AH5785">
        <v>129</v>
      </c>
      <c r="AI5785">
        <v>4.8</v>
      </c>
      <c r="AJ5785">
        <v>30.07</v>
      </c>
      <c r="AK5785">
        <v>23.8</v>
      </c>
      <c r="AL5785">
        <v>-20.15467689999997</v>
      </c>
      <c r="AM5785">
        <v>-44.902895281771222</v>
      </c>
      <c r="AN5785">
        <v>-20.15467689999997</v>
      </c>
      <c r="AO5785">
        <v>-44.902895281771222</v>
      </c>
      <c r="AP5785">
        <v>-20.154432</v>
      </c>
      <c r="AQ5785">
        <v>-44.902977999999997</v>
      </c>
      <c r="AR5785">
        <v>28.5999270636025</v>
      </c>
      <c r="AS5785" t="s">
        <v>65</v>
      </c>
      <c r="AT5785">
        <v>1</v>
      </c>
      <c r="AU5785" t="s">
        <v>566</v>
      </c>
      <c r="AV5785" t="s">
        <v>567</v>
      </c>
      <c r="AW5785" t="s">
        <v>60</v>
      </c>
      <c r="AX5785" t="s">
        <v>68</v>
      </c>
      <c r="AY5785" t="s">
        <v>69</v>
      </c>
      <c r="AZ5785" t="b">
        <v>1</v>
      </c>
    </row>
    <row r="5786" spans="1:52" x14ac:dyDescent="0.3">
      <c r="A5786" t="s">
        <v>52</v>
      </c>
      <c r="B5786" t="s">
        <v>53</v>
      </c>
      <c r="C5786" t="s">
        <v>54</v>
      </c>
      <c r="D5786" t="s">
        <v>55</v>
      </c>
      <c r="E5786" t="s">
        <v>2280</v>
      </c>
      <c r="F5786" t="s">
        <v>1247</v>
      </c>
      <c r="G5786" t="s">
        <v>380</v>
      </c>
      <c r="H5786" t="s">
        <v>381</v>
      </c>
      <c r="I5786" t="s">
        <v>381</v>
      </c>
      <c r="J5786" t="s">
        <v>60</v>
      </c>
      <c r="K5786" t="s">
        <v>72</v>
      </c>
      <c r="L5786" t="s">
        <v>62</v>
      </c>
      <c r="M5786" t="s">
        <v>72</v>
      </c>
      <c r="N5786" t="s">
        <v>382</v>
      </c>
      <c r="O5786" t="s">
        <v>383</v>
      </c>
      <c r="P5786">
        <v>-20.147182000000001</v>
      </c>
      <c r="Q5786">
        <v>-44.912728999999999</v>
      </c>
      <c r="R5786" s="2" t="str">
        <f>HYPERLINK("https://www.google.com/maps?q=-20.1471820,-44.9127290","Abrir no Google Maps")</f>
        <v>Abrir no Google Maps</v>
      </c>
      <c r="S5786">
        <v>3</v>
      </c>
      <c r="T5786">
        <v>478.0141981540923</v>
      </c>
      <c r="U5786">
        <v>3</v>
      </c>
      <c r="V5786">
        <v>0.97388059701492535</v>
      </c>
      <c r="W5786">
        <v>1</v>
      </c>
      <c r="X5786">
        <v>0.97388059701492535</v>
      </c>
      <c r="Y5786">
        <v>747</v>
      </c>
      <c r="Z5786">
        <v>494.0254290673729</v>
      </c>
      <c r="AA5786">
        <v>198</v>
      </c>
      <c r="AB5786">
        <v>332</v>
      </c>
      <c r="AC5786">
        <v>536</v>
      </c>
      <c r="AD5786">
        <v>27.77</v>
      </c>
      <c r="AE5786">
        <v>542</v>
      </c>
      <c r="AF5786">
        <v>26</v>
      </c>
      <c r="AG5786">
        <v>163</v>
      </c>
      <c r="AH5786">
        <v>129</v>
      </c>
      <c r="AI5786">
        <v>4.8</v>
      </c>
      <c r="AJ5786">
        <v>30.07</v>
      </c>
      <c r="AK5786">
        <v>23.8</v>
      </c>
      <c r="AL5786">
        <v>-20.147375599999979</v>
      </c>
      <c r="AM5786">
        <v>-44.912907472879468</v>
      </c>
      <c r="AN5786">
        <v>-20.147375599999979</v>
      </c>
      <c r="AO5786">
        <v>-44.912907472879468</v>
      </c>
      <c r="AP5786">
        <v>-20.147182000000001</v>
      </c>
      <c r="AQ5786">
        <v>-44.912728999999999</v>
      </c>
      <c r="AR5786">
        <v>28.50197694184326</v>
      </c>
      <c r="AS5786" t="s">
        <v>65</v>
      </c>
      <c r="AT5786">
        <v>1</v>
      </c>
      <c r="AU5786" t="s">
        <v>384</v>
      </c>
      <c r="AV5786" t="s">
        <v>385</v>
      </c>
      <c r="AW5786" t="s">
        <v>60</v>
      </c>
      <c r="AX5786" t="s">
        <v>68</v>
      </c>
      <c r="AY5786" t="s">
        <v>69</v>
      </c>
      <c r="AZ5786" t="b">
        <v>1</v>
      </c>
    </row>
    <row r="5787" spans="1:52" x14ac:dyDescent="0.3">
      <c r="A5787" t="s">
        <v>52</v>
      </c>
      <c r="B5787" t="s">
        <v>53</v>
      </c>
      <c r="C5787" t="s">
        <v>54</v>
      </c>
      <c r="D5787" t="s">
        <v>55</v>
      </c>
      <c r="E5787" t="s">
        <v>2280</v>
      </c>
      <c r="F5787" t="s">
        <v>1247</v>
      </c>
      <c r="G5787" t="s">
        <v>833</v>
      </c>
      <c r="H5787" t="s">
        <v>834</v>
      </c>
      <c r="I5787" t="s">
        <v>834</v>
      </c>
      <c r="J5787" t="s">
        <v>60</v>
      </c>
      <c r="K5787" t="s">
        <v>388</v>
      </c>
      <c r="L5787" t="s">
        <v>62</v>
      </c>
      <c r="M5787" t="s">
        <v>388</v>
      </c>
      <c r="N5787" t="s">
        <v>835</v>
      </c>
      <c r="O5787" t="s">
        <v>836</v>
      </c>
      <c r="P5787">
        <v>-20.157906000000001</v>
      </c>
      <c r="Q5787">
        <v>-44.900458999999998</v>
      </c>
      <c r="R5787" s="2" t="str">
        <f>HYPERLINK("https://www.google.com/maps?q=-20.1579060,-44.9004590","Abrir no Google Maps")</f>
        <v>Abrir no Google Maps</v>
      </c>
      <c r="S5787">
        <v>3</v>
      </c>
      <c r="T5787">
        <v>0</v>
      </c>
      <c r="U5787">
        <v>3</v>
      </c>
      <c r="V5787">
        <v>0.98168103448275879</v>
      </c>
      <c r="W5787">
        <v>1</v>
      </c>
      <c r="X5787">
        <v>0.98168103448275879</v>
      </c>
      <c r="Y5787">
        <v>729</v>
      </c>
      <c r="Z5787">
        <v>203.63168486652771</v>
      </c>
      <c r="AA5787">
        <v>198</v>
      </c>
      <c r="AB5787">
        <v>332</v>
      </c>
      <c r="AC5787">
        <v>536</v>
      </c>
      <c r="AD5787">
        <v>27.77</v>
      </c>
      <c r="AE5787">
        <v>542</v>
      </c>
      <c r="AF5787">
        <v>26</v>
      </c>
      <c r="AG5787">
        <v>163</v>
      </c>
      <c r="AH5787">
        <v>129</v>
      </c>
      <c r="AI5787">
        <v>4.8</v>
      </c>
      <c r="AJ5787">
        <v>30.07</v>
      </c>
      <c r="AK5787">
        <v>23.8</v>
      </c>
      <c r="AL5787">
        <v>-20.157925749999951</v>
      </c>
      <c r="AM5787">
        <v>-44.900484707799812</v>
      </c>
      <c r="AN5787">
        <v>-20.157925749999951</v>
      </c>
      <c r="AO5787">
        <v>-44.900484707799812</v>
      </c>
      <c r="AP5787">
        <v>-20.157906000000001</v>
      </c>
      <c r="AQ5787">
        <v>-44.900458999999998</v>
      </c>
      <c r="AR5787">
        <v>3.4714515960382508</v>
      </c>
      <c r="AS5787" t="s">
        <v>65</v>
      </c>
      <c r="AT5787">
        <v>1</v>
      </c>
      <c r="AU5787" t="s">
        <v>837</v>
      </c>
      <c r="AV5787" t="s">
        <v>838</v>
      </c>
      <c r="AW5787" t="s">
        <v>60</v>
      </c>
      <c r="AX5787" t="s">
        <v>68</v>
      </c>
      <c r="AY5787" t="s">
        <v>69</v>
      </c>
      <c r="AZ5787" t="b">
        <v>1</v>
      </c>
    </row>
    <row r="5788" spans="1:52" x14ac:dyDescent="0.3">
      <c r="A5788" t="s">
        <v>52</v>
      </c>
      <c r="B5788" t="s">
        <v>53</v>
      </c>
      <c r="C5788" t="s">
        <v>54</v>
      </c>
      <c r="D5788" t="s">
        <v>55</v>
      </c>
      <c r="E5788" t="s">
        <v>2280</v>
      </c>
      <c r="F5788" t="s">
        <v>1247</v>
      </c>
      <c r="G5788" t="s">
        <v>386</v>
      </c>
      <c r="H5788" t="s">
        <v>387</v>
      </c>
      <c r="I5788" t="s">
        <v>387</v>
      </c>
      <c r="J5788" t="s">
        <v>60</v>
      </c>
      <c r="K5788" t="s">
        <v>388</v>
      </c>
      <c r="L5788" t="s">
        <v>62</v>
      </c>
      <c r="M5788" t="s">
        <v>388</v>
      </c>
      <c r="N5788" t="s">
        <v>389</v>
      </c>
      <c r="O5788" t="s">
        <v>357</v>
      </c>
      <c r="P5788">
        <v>-20.161041999999998</v>
      </c>
      <c r="Q5788">
        <v>-44.901242000000003</v>
      </c>
      <c r="R5788" s="2" t="str">
        <f>HYPERLINK("https://www.google.com/maps?q=-20.1610420,-44.9012420","Abrir no Google Maps")</f>
        <v>Abrir no Google Maps</v>
      </c>
      <c r="S5788">
        <v>3</v>
      </c>
      <c r="T5788">
        <v>440.22183232279212</v>
      </c>
      <c r="U5788">
        <v>3</v>
      </c>
      <c r="V5788">
        <v>0.97567567567567559</v>
      </c>
      <c r="W5788">
        <v>1</v>
      </c>
      <c r="X5788">
        <v>0.97567567567567559</v>
      </c>
      <c r="Y5788">
        <v>729</v>
      </c>
      <c r="Z5788">
        <v>398.48306829302379</v>
      </c>
      <c r="AA5788">
        <v>198</v>
      </c>
      <c r="AB5788">
        <v>332</v>
      </c>
      <c r="AC5788">
        <v>536</v>
      </c>
      <c r="AD5788">
        <v>27.77</v>
      </c>
      <c r="AE5788">
        <v>542</v>
      </c>
      <c r="AF5788">
        <v>26</v>
      </c>
      <c r="AG5788">
        <v>163</v>
      </c>
      <c r="AH5788">
        <v>129</v>
      </c>
      <c r="AI5788">
        <v>4.8</v>
      </c>
      <c r="AJ5788">
        <v>30.07</v>
      </c>
      <c r="AK5788">
        <v>23.8</v>
      </c>
      <c r="AL5788">
        <v>-20.16176629999995</v>
      </c>
      <c r="AM5788">
        <v>-44.901582787827898</v>
      </c>
      <c r="AN5788">
        <v>-20.16176629999995</v>
      </c>
      <c r="AO5788">
        <v>-44.901582787827898</v>
      </c>
      <c r="AP5788">
        <v>-20.161041999999998</v>
      </c>
      <c r="AQ5788">
        <v>-44.901242000000003</v>
      </c>
      <c r="AR5788">
        <v>88.143369157892835</v>
      </c>
      <c r="AS5788" t="s">
        <v>65</v>
      </c>
      <c r="AT5788">
        <v>1</v>
      </c>
      <c r="AU5788" t="s">
        <v>390</v>
      </c>
      <c r="AV5788" t="s">
        <v>391</v>
      </c>
      <c r="AW5788" t="s">
        <v>60</v>
      </c>
      <c r="AX5788" t="s">
        <v>68</v>
      </c>
      <c r="AY5788" t="s">
        <v>69</v>
      </c>
      <c r="AZ5788" t="b">
        <v>1</v>
      </c>
    </row>
    <row r="5789" spans="1:52" x14ac:dyDescent="0.3">
      <c r="A5789" t="s">
        <v>52</v>
      </c>
      <c r="B5789" t="s">
        <v>53</v>
      </c>
      <c r="C5789" t="s">
        <v>54</v>
      </c>
      <c r="D5789" t="s">
        <v>55</v>
      </c>
      <c r="E5789" t="s">
        <v>2280</v>
      </c>
      <c r="F5789" t="s">
        <v>1247</v>
      </c>
      <c r="G5789" t="s">
        <v>392</v>
      </c>
      <c r="H5789" t="s">
        <v>393</v>
      </c>
      <c r="I5789" t="s">
        <v>393</v>
      </c>
      <c r="J5789" t="s">
        <v>60</v>
      </c>
      <c r="K5789" t="s">
        <v>388</v>
      </c>
      <c r="L5789" t="s">
        <v>62</v>
      </c>
      <c r="M5789" t="s">
        <v>388</v>
      </c>
      <c r="N5789" t="s">
        <v>394</v>
      </c>
      <c r="O5789" t="s">
        <v>395</v>
      </c>
      <c r="P5789">
        <v>-20.158066999999999</v>
      </c>
      <c r="Q5789">
        <v>-44.908164999999997</v>
      </c>
      <c r="R5789" s="2" t="str">
        <f>HYPERLINK("https://www.google.com/maps?q=-20.1580670,-44.9081650","Abrir no Google Maps")</f>
        <v>Abrir no Google Maps</v>
      </c>
      <c r="S5789">
        <v>3</v>
      </c>
      <c r="T5789">
        <v>666.74434317993041</v>
      </c>
      <c r="U5789">
        <v>3</v>
      </c>
      <c r="V5789">
        <v>0.98275862068965525</v>
      </c>
      <c r="W5789">
        <v>1</v>
      </c>
      <c r="X5789">
        <v>0.98275862068965525</v>
      </c>
      <c r="Y5789">
        <v>729</v>
      </c>
      <c r="Z5789">
        <v>612.4323328215396</v>
      </c>
      <c r="AA5789">
        <v>198</v>
      </c>
      <c r="AB5789">
        <v>332</v>
      </c>
      <c r="AC5789">
        <v>536</v>
      </c>
      <c r="AD5789">
        <v>27.77</v>
      </c>
      <c r="AE5789">
        <v>542</v>
      </c>
      <c r="AF5789">
        <v>26</v>
      </c>
      <c r="AG5789">
        <v>163</v>
      </c>
      <c r="AH5789">
        <v>129</v>
      </c>
      <c r="AI5789">
        <v>4.8</v>
      </c>
      <c r="AJ5789">
        <v>30.07</v>
      </c>
      <c r="AK5789">
        <v>23.8</v>
      </c>
      <c r="AL5789">
        <v>-20.158151449999959</v>
      </c>
      <c r="AM5789">
        <v>-44.908107718360938</v>
      </c>
      <c r="AN5789">
        <v>-20.158151449999959</v>
      </c>
      <c r="AO5789">
        <v>-44.908107718360938</v>
      </c>
      <c r="AP5789">
        <v>-20.158066999999999</v>
      </c>
      <c r="AQ5789">
        <v>-44.908164999999997</v>
      </c>
      <c r="AR5789">
        <v>11.14497345894574</v>
      </c>
      <c r="AS5789" t="s">
        <v>65</v>
      </c>
      <c r="AT5789">
        <v>1</v>
      </c>
      <c r="AU5789" t="s">
        <v>396</v>
      </c>
      <c r="AV5789" t="s">
        <v>397</v>
      </c>
      <c r="AW5789" t="s">
        <v>60</v>
      </c>
      <c r="AX5789" t="s">
        <v>68</v>
      </c>
      <c r="AY5789" t="s">
        <v>69</v>
      </c>
      <c r="AZ5789" t="b">
        <v>1</v>
      </c>
    </row>
    <row r="5790" spans="1:52" x14ac:dyDescent="0.3">
      <c r="A5790" t="s">
        <v>52</v>
      </c>
      <c r="B5790" t="s">
        <v>53</v>
      </c>
      <c r="C5790" t="s">
        <v>54</v>
      </c>
      <c r="D5790" t="s">
        <v>55</v>
      </c>
      <c r="E5790" t="s">
        <v>2280</v>
      </c>
      <c r="F5790" t="s">
        <v>1247</v>
      </c>
      <c r="G5790" t="s">
        <v>870</v>
      </c>
      <c r="H5790" t="s">
        <v>871</v>
      </c>
      <c r="I5790" t="s">
        <v>871</v>
      </c>
      <c r="J5790" t="s">
        <v>60</v>
      </c>
      <c r="K5790" t="s">
        <v>475</v>
      </c>
      <c r="L5790" t="s">
        <v>62</v>
      </c>
      <c r="M5790" t="s">
        <v>475</v>
      </c>
      <c r="N5790" t="s">
        <v>872</v>
      </c>
      <c r="O5790" t="s">
        <v>507</v>
      </c>
      <c r="P5790">
        <v>-20.176269999999999</v>
      </c>
      <c r="Q5790">
        <v>-44.909323999999998</v>
      </c>
      <c r="R5790" s="2" t="str">
        <f>HYPERLINK("https://www.google.com/maps?q=-20.1762700,-44.9093240","Abrir no Google Maps")</f>
        <v>Abrir no Google Maps</v>
      </c>
      <c r="S5790">
        <v>3</v>
      </c>
      <c r="T5790">
        <v>472.42731136821368</v>
      </c>
      <c r="U5790">
        <v>3</v>
      </c>
      <c r="V5790">
        <v>0.99555555555555564</v>
      </c>
      <c r="W5790">
        <v>1</v>
      </c>
      <c r="X5790">
        <v>0.99555555555555564</v>
      </c>
      <c r="Y5790">
        <v>578</v>
      </c>
      <c r="Z5790">
        <v>495.19726726344601</v>
      </c>
      <c r="AA5790">
        <v>198</v>
      </c>
      <c r="AB5790">
        <v>332</v>
      </c>
      <c r="AC5790">
        <v>536</v>
      </c>
      <c r="AD5790">
        <v>27.77</v>
      </c>
      <c r="AE5790">
        <v>542</v>
      </c>
      <c r="AF5790">
        <v>26</v>
      </c>
      <c r="AG5790">
        <v>163</v>
      </c>
      <c r="AH5790">
        <v>129</v>
      </c>
      <c r="AI5790">
        <v>4.8</v>
      </c>
      <c r="AJ5790">
        <v>30.07</v>
      </c>
      <c r="AK5790">
        <v>23.8</v>
      </c>
      <c r="AL5790">
        <v>-20.17630284999996</v>
      </c>
      <c r="AM5790">
        <v>-44.909199064318948</v>
      </c>
      <c r="AN5790">
        <v>-20.17630284999996</v>
      </c>
      <c r="AO5790">
        <v>-44.909199064318948</v>
      </c>
      <c r="AP5790">
        <v>-20.176269999999999</v>
      </c>
      <c r="AQ5790">
        <v>-44.909323999999998</v>
      </c>
      <c r="AR5790">
        <v>13.55691308737447</v>
      </c>
      <c r="AS5790" t="s">
        <v>65</v>
      </c>
      <c r="AT5790">
        <v>1</v>
      </c>
      <c r="AU5790" t="s">
        <v>873</v>
      </c>
      <c r="AV5790" t="s">
        <v>874</v>
      </c>
      <c r="AW5790" t="s">
        <v>60</v>
      </c>
      <c r="AX5790" t="s">
        <v>68</v>
      </c>
      <c r="AY5790" t="s">
        <v>69</v>
      </c>
      <c r="AZ5790" t="b">
        <v>1</v>
      </c>
    </row>
    <row r="5791" spans="1:52" x14ac:dyDescent="0.3">
      <c r="A5791" t="s">
        <v>52</v>
      </c>
      <c r="B5791" t="s">
        <v>53</v>
      </c>
      <c r="C5791" t="s">
        <v>54</v>
      </c>
      <c r="D5791" t="s">
        <v>55</v>
      </c>
      <c r="E5791" t="s">
        <v>2280</v>
      </c>
      <c r="F5791" t="s">
        <v>1247</v>
      </c>
      <c r="G5791" t="s">
        <v>479</v>
      </c>
      <c r="H5791" t="s">
        <v>480</v>
      </c>
      <c r="I5791" t="s">
        <v>480</v>
      </c>
      <c r="J5791" t="s">
        <v>60</v>
      </c>
      <c r="K5791" t="s">
        <v>388</v>
      </c>
      <c r="L5791" t="s">
        <v>62</v>
      </c>
      <c r="M5791" t="s">
        <v>388</v>
      </c>
      <c r="N5791" t="s">
        <v>481</v>
      </c>
      <c r="O5791" t="s">
        <v>315</v>
      </c>
      <c r="P5791">
        <v>-20.166903999999999</v>
      </c>
      <c r="Q5791">
        <v>-44.903492</v>
      </c>
      <c r="R5791" s="2" t="str">
        <f>HYPERLINK("https://www.google.com/maps?q=-20.1669040,-44.9034920","Abrir no Google Maps")</f>
        <v>Abrir no Google Maps</v>
      </c>
      <c r="S5791">
        <v>3</v>
      </c>
      <c r="T5791">
        <v>517.12253532511602</v>
      </c>
      <c r="U5791">
        <v>3</v>
      </c>
      <c r="V5791">
        <v>0.94910179640718562</v>
      </c>
      <c r="W5791">
        <v>1</v>
      </c>
      <c r="X5791">
        <v>0.94910179640718562</v>
      </c>
      <c r="Y5791">
        <v>578</v>
      </c>
      <c r="Z5791">
        <v>721.79551240050432</v>
      </c>
      <c r="AA5791">
        <v>198</v>
      </c>
      <c r="AB5791">
        <v>332</v>
      </c>
      <c r="AC5791">
        <v>536</v>
      </c>
      <c r="AD5791">
        <v>27.77</v>
      </c>
      <c r="AE5791">
        <v>542</v>
      </c>
      <c r="AF5791">
        <v>26</v>
      </c>
      <c r="AG5791">
        <v>163</v>
      </c>
      <c r="AH5791">
        <v>129</v>
      </c>
      <c r="AI5791">
        <v>4.8</v>
      </c>
      <c r="AJ5791">
        <v>30.07</v>
      </c>
      <c r="AK5791">
        <v>23.8</v>
      </c>
      <c r="AL5791">
        <v>-20.166610649999971</v>
      </c>
      <c r="AM5791">
        <v>-44.903452988928308</v>
      </c>
      <c r="AN5791">
        <v>-20.166610649999971</v>
      </c>
      <c r="AO5791">
        <v>-44.903452988928308</v>
      </c>
      <c r="AP5791">
        <v>-20.166903999999999</v>
      </c>
      <c r="AQ5791">
        <v>-44.903492</v>
      </c>
      <c r="AR5791">
        <v>32.909175876856217</v>
      </c>
      <c r="AS5791" t="s">
        <v>65</v>
      </c>
      <c r="AT5791">
        <v>1</v>
      </c>
      <c r="AU5791" t="s">
        <v>482</v>
      </c>
      <c r="AV5791" t="s">
        <v>483</v>
      </c>
      <c r="AW5791" t="s">
        <v>60</v>
      </c>
      <c r="AX5791" t="s">
        <v>68</v>
      </c>
      <c r="AY5791" t="s">
        <v>69</v>
      </c>
      <c r="AZ5791" t="b">
        <v>1</v>
      </c>
    </row>
    <row r="5792" spans="1:52" x14ac:dyDescent="0.3">
      <c r="A5792" t="s">
        <v>52</v>
      </c>
      <c r="B5792" t="s">
        <v>53</v>
      </c>
      <c r="C5792" t="s">
        <v>54</v>
      </c>
      <c r="D5792" t="s">
        <v>55</v>
      </c>
      <c r="E5792" t="s">
        <v>2280</v>
      </c>
      <c r="F5792" t="s">
        <v>1247</v>
      </c>
      <c r="G5792" t="s">
        <v>491</v>
      </c>
      <c r="H5792" t="s">
        <v>492</v>
      </c>
      <c r="I5792" t="s">
        <v>492</v>
      </c>
      <c r="J5792" t="s">
        <v>60</v>
      </c>
      <c r="K5792" t="s">
        <v>475</v>
      </c>
      <c r="L5792" t="s">
        <v>62</v>
      </c>
      <c r="M5792" t="s">
        <v>475</v>
      </c>
      <c r="N5792" t="s">
        <v>493</v>
      </c>
      <c r="O5792" t="s">
        <v>494</v>
      </c>
      <c r="P5792">
        <v>-20.175250999999999</v>
      </c>
      <c r="Q5792">
        <v>-44.897357</v>
      </c>
      <c r="R5792" s="2" t="str">
        <f>HYPERLINK("https://www.google.com/maps?q=-20.1752510,-44.8973570","Abrir no Google Maps")</f>
        <v>Abrir no Google Maps</v>
      </c>
      <c r="S5792">
        <v>3</v>
      </c>
      <c r="T5792">
        <v>992.29631678149951</v>
      </c>
      <c r="U5792">
        <v>3</v>
      </c>
      <c r="V5792">
        <v>0.99081632653061225</v>
      </c>
      <c r="W5792">
        <v>1</v>
      </c>
      <c r="X5792">
        <v>0.99081632653061225</v>
      </c>
      <c r="Y5792">
        <v>578</v>
      </c>
      <c r="Z5792">
        <v>1008.5871064168319</v>
      </c>
      <c r="AA5792">
        <v>198</v>
      </c>
      <c r="AB5792">
        <v>332</v>
      </c>
      <c r="AC5792">
        <v>536</v>
      </c>
      <c r="AD5792">
        <v>27.77</v>
      </c>
      <c r="AE5792">
        <v>542</v>
      </c>
      <c r="AF5792">
        <v>26</v>
      </c>
      <c r="AG5792">
        <v>163</v>
      </c>
      <c r="AH5792">
        <v>129</v>
      </c>
      <c r="AI5792">
        <v>4.8</v>
      </c>
      <c r="AJ5792">
        <v>30.07</v>
      </c>
      <c r="AK5792">
        <v>23.8</v>
      </c>
      <c r="AL5792">
        <v>-20.175290599999951</v>
      </c>
      <c r="AM5792">
        <v>-44.897271931010721</v>
      </c>
      <c r="AN5792">
        <v>-20.175290599999951</v>
      </c>
      <c r="AO5792">
        <v>-44.897271931010721</v>
      </c>
      <c r="AP5792">
        <v>-20.175250999999999</v>
      </c>
      <c r="AQ5792">
        <v>-44.897357</v>
      </c>
      <c r="AR5792">
        <v>9.921899108467926</v>
      </c>
      <c r="AS5792" t="s">
        <v>65</v>
      </c>
      <c r="AT5792">
        <v>1</v>
      </c>
      <c r="AU5792" t="s">
        <v>495</v>
      </c>
      <c r="AV5792" t="s">
        <v>496</v>
      </c>
      <c r="AW5792" t="s">
        <v>60</v>
      </c>
      <c r="AX5792" t="s">
        <v>68</v>
      </c>
      <c r="AY5792" t="s">
        <v>69</v>
      </c>
      <c r="AZ5792" t="b">
        <v>1</v>
      </c>
    </row>
    <row r="5793" spans="1:52" x14ac:dyDescent="0.3">
      <c r="A5793" t="s">
        <v>52</v>
      </c>
      <c r="B5793" t="s">
        <v>53</v>
      </c>
      <c r="C5793" t="s">
        <v>54</v>
      </c>
      <c r="D5793" t="s">
        <v>55</v>
      </c>
      <c r="E5793" t="s">
        <v>2280</v>
      </c>
      <c r="F5793" t="s">
        <v>1247</v>
      </c>
      <c r="G5793" t="s">
        <v>497</v>
      </c>
      <c r="H5793" t="s">
        <v>875</v>
      </c>
      <c r="I5793" t="s">
        <v>875</v>
      </c>
      <c r="J5793" t="s">
        <v>60</v>
      </c>
      <c r="K5793" t="s">
        <v>475</v>
      </c>
      <c r="L5793" t="s">
        <v>62</v>
      </c>
      <c r="M5793" t="s">
        <v>475</v>
      </c>
      <c r="N5793" t="s">
        <v>499</v>
      </c>
      <c r="O5793" t="s">
        <v>876</v>
      </c>
      <c r="P5793">
        <v>-20.177212999999998</v>
      </c>
      <c r="Q5793">
        <v>-44.904026999999999</v>
      </c>
      <c r="R5793" s="2" t="str">
        <f>HYPERLINK("https://www.google.com/maps?q=-20.1772130,-44.9040270","Abrir no Google Maps")</f>
        <v>Abrir no Google Maps</v>
      </c>
      <c r="S5793">
        <v>3</v>
      </c>
      <c r="T5793">
        <v>706.4159561113795</v>
      </c>
      <c r="U5793">
        <v>3</v>
      </c>
      <c r="V5793">
        <v>0.99101796407185638</v>
      </c>
      <c r="W5793">
        <v>1</v>
      </c>
      <c r="X5793">
        <v>0.99101796407185638</v>
      </c>
      <c r="Y5793">
        <v>578</v>
      </c>
      <c r="Z5793">
        <v>588.7160518608398</v>
      </c>
      <c r="AA5793">
        <v>198</v>
      </c>
      <c r="AB5793">
        <v>332</v>
      </c>
      <c r="AC5793">
        <v>536</v>
      </c>
      <c r="AD5793">
        <v>27.77</v>
      </c>
      <c r="AE5793">
        <v>542</v>
      </c>
      <c r="AF5793">
        <v>26</v>
      </c>
      <c r="AG5793">
        <v>163</v>
      </c>
      <c r="AH5793">
        <v>129</v>
      </c>
      <c r="AI5793">
        <v>4.8</v>
      </c>
      <c r="AJ5793">
        <v>30.07</v>
      </c>
      <c r="AK5793">
        <v>23.8</v>
      </c>
      <c r="AL5793">
        <v>-20.177090199999949</v>
      </c>
      <c r="AM5793">
        <v>-44.904078820930181</v>
      </c>
      <c r="AN5793">
        <v>-20.177090199999949</v>
      </c>
      <c r="AO5793">
        <v>-44.904078820930181</v>
      </c>
      <c r="AP5793">
        <v>-20.177212999999998</v>
      </c>
      <c r="AQ5793">
        <v>-44.904026999999999</v>
      </c>
      <c r="AR5793">
        <v>14.7034129632295</v>
      </c>
      <c r="AS5793" t="s">
        <v>65</v>
      </c>
      <c r="AT5793">
        <v>1</v>
      </c>
      <c r="AU5793" t="s">
        <v>877</v>
      </c>
      <c r="AV5793" t="s">
        <v>878</v>
      </c>
      <c r="AW5793" t="s">
        <v>60</v>
      </c>
      <c r="AX5793" t="s">
        <v>68</v>
      </c>
      <c r="AY5793" t="s">
        <v>69</v>
      </c>
      <c r="AZ5793" t="b">
        <v>1</v>
      </c>
    </row>
    <row r="5794" spans="1:52" x14ac:dyDescent="0.3">
      <c r="A5794" t="s">
        <v>52</v>
      </c>
      <c r="B5794" t="s">
        <v>53</v>
      </c>
      <c r="C5794" t="s">
        <v>54</v>
      </c>
      <c r="D5794" t="s">
        <v>55</v>
      </c>
      <c r="E5794" t="s">
        <v>2280</v>
      </c>
      <c r="F5794" t="s">
        <v>1247</v>
      </c>
      <c r="G5794" t="s">
        <v>497</v>
      </c>
      <c r="H5794" t="s">
        <v>498</v>
      </c>
      <c r="I5794" t="s">
        <v>498</v>
      </c>
      <c r="J5794" t="s">
        <v>60</v>
      </c>
      <c r="K5794" t="s">
        <v>475</v>
      </c>
      <c r="L5794" t="s">
        <v>62</v>
      </c>
      <c r="M5794" t="s">
        <v>475</v>
      </c>
      <c r="N5794" t="s">
        <v>499</v>
      </c>
      <c r="O5794" t="s">
        <v>500</v>
      </c>
      <c r="P5794">
        <v>-20.175492999999999</v>
      </c>
      <c r="Q5794">
        <v>-44.900759000000001</v>
      </c>
      <c r="R5794" s="2" t="str">
        <f>HYPERLINK("https://www.google.com/maps?q=-20.1754930,-44.9007590","Abrir no Google Maps")</f>
        <v>Abrir no Google Maps</v>
      </c>
      <c r="S5794">
        <v>3</v>
      </c>
      <c r="T5794">
        <v>753.30732354720431</v>
      </c>
      <c r="U5794">
        <v>3</v>
      </c>
      <c r="V5794">
        <v>0.99438202247190999</v>
      </c>
      <c r="W5794">
        <v>1</v>
      </c>
      <c r="X5794">
        <v>0.99438202247190999</v>
      </c>
      <c r="Y5794">
        <v>578</v>
      </c>
      <c r="Z5794">
        <v>695.28903655431702</v>
      </c>
      <c r="AA5794">
        <v>198</v>
      </c>
      <c r="AB5794">
        <v>332</v>
      </c>
      <c r="AC5794">
        <v>536</v>
      </c>
      <c r="AD5794">
        <v>27.77</v>
      </c>
      <c r="AE5794">
        <v>542</v>
      </c>
      <c r="AF5794">
        <v>26</v>
      </c>
      <c r="AG5794">
        <v>163</v>
      </c>
      <c r="AH5794">
        <v>129</v>
      </c>
      <c r="AI5794">
        <v>4.8</v>
      </c>
      <c r="AJ5794">
        <v>30.07</v>
      </c>
      <c r="AK5794">
        <v>23.8</v>
      </c>
      <c r="AL5794">
        <v>-20.175825999999969</v>
      </c>
      <c r="AM5794">
        <v>-44.900600234646973</v>
      </c>
      <c r="AN5794">
        <v>-20.175825999999969</v>
      </c>
      <c r="AO5794">
        <v>-44.900600234646973</v>
      </c>
      <c r="AP5794">
        <v>-20.175492999999999</v>
      </c>
      <c r="AQ5794">
        <v>-44.900759000000001</v>
      </c>
      <c r="AR5794">
        <v>40.612267304645073</v>
      </c>
      <c r="AS5794" t="s">
        <v>65</v>
      </c>
      <c r="AT5794">
        <v>1</v>
      </c>
      <c r="AU5794" t="s">
        <v>501</v>
      </c>
      <c r="AV5794" t="s">
        <v>502</v>
      </c>
      <c r="AW5794" t="s">
        <v>60</v>
      </c>
      <c r="AX5794" t="s">
        <v>68</v>
      </c>
      <c r="AY5794" t="s">
        <v>69</v>
      </c>
      <c r="AZ5794" t="b">
        <v>1</v>
      </c>
    </row>
    <row r="5795" spans="1:52" x14ac:dyDescent="0.3">
      <c r="A5795" t="s">
        <v>52</v>
      </c>
      <c r="B5795" t="s">
        <v>53</v>
      </c>
      <c r="C5795" t="s">
        <v>54</v>
      </c>
      <c r="D5795" t="s">
        <v>55</v>
      </c>
      <c r="E5795" t="s">
        <v>2280</v>
      </c>
      <c r="F5795" t="s">
        <v>1247</v>
      </c>
      <c r="G5795" t="s">
        <v>503</v>
      </c>
      <c r="H5795" t="s">
        <v>504</v>
      </c>
      <c r="I5795" t="s">
        <v>504</v>
      </c>
      <c r="J5795" t="s">
        <v>60</v>
      </c>
      <c r="K5795" t="s">
        <v>505</v>
      </c>
      <c r="L5795" t="s">
        <v>62</v>
      </c>
      <c r="M5795" t="s">
        <v>505</v>
      </c>
      <c r="N5795" t="s">
        <v>506</v>
      </c>
      <c r="O5795" t="s">
        <v>507</v>
      </c>
      <c r="P5795">
        <v>-20.131428</v>
      </c>
      <c r="Q5795">
        <v>-44.888921000000003</v>
      </c>
      <c r="R5795" s="2" t="str">
        <f>HYPERLINK("https://www.google.com/maps?q=-20.1314280,-44.8889210","Abrir no Google Maps")</f>
        <v>Abrir no Google Maps</v>
      </c>
      <c r="S5795">
        <v>3</v>
      </c>
      <c r="T5795">
        <v>250.64150698244501</v>
      </c>
      <c r="U5795">
        <v>3</v>
      </c>
      <c r="V5795">
        <v>0.99276859504132242</v>
      </c>
      <c r="W5795">
        <v>1</v>
      </c>
      <c r="X5795">
        <v>0.99276859504132242</v>
      </c>
      <c r="Y5795">
        <v>564</v>
      </c>
      <c r="Z5795">
        <v>189.93933888952441</v>
      </c>
      <c r="AA5795">
        <v>198</v>
      </c>
      <c r="AB5795">
        <v>332</v>
      </c>
      <c r="AC5795">
        <v>536</v>
      </c>
      <c r="AD5795">
        <v>27.77</v>
      </c>
      <c r="AE5795">
        <v>542</v>
      </c>
      <c r="AF5795">
        <v>26</v>
      </c>
      <c r="AG5795">
        <v>163</v>
      </c>
      <c r="AH5795">
        <v>129</v>
      </c>
      <c r="AI5795">
        <v>4.8</v>
      </c>
      <c r="AJ5795">
        <v>30.07</v>
      </c>
      <c r="AK5795">
        <v>23.8</v>
      </c>
      <c r="AL5795">
        <v>-20.13123589999995</v>
      </c>
      <c r="AM5795">
        <v>-44.888742396501762</v>
      </c>
      <c r="AN5795">
        <v>-20.13123589999995</v>
      </c>
      <c r="AO5795">
        <v>-44.888742396501762</v>
      </c>
      <c r="AP5795">
        <v>-20.131428</v>
      </c>
      <c r="AQ5795">
        <v>-44.888921000000003</v>
      </c>
      <c r="AR5795">
        <v>28.386169462917032</v>
      </c>
      <c r="AS5795" t="s">
        <v>65</v>
      </c>
      <c r="AT5795">
        <v>1</v>
      </c>
      <c r="AU5795" t="s">
        <v>508</v>
      </c>
      <c r="AV5795" t="s">
        <v>509</v>
      </c>
      <c r="AW5795" t="s">
        <v>60</v>
      </c>
      <c r="AX5795" t="s">
        <v>68</v>
      </c>
      <c r="AY5795" t="s">
        <v>69</v>
      </c>
      <c r="AZ5795" t="b">
        <v>1</v>
      </c>
    </row>
    <row r="5796" spans="1:52" x14ac:dyDescent="0.3">
      <c r="A5796" t="s">
        <v>52</v>
      </c>
      <c r="B5796" t="s">
        <v>53</v>
      </c>
      <c r="C5796" t="s">
        <v>54</v>
      </c>
      <c r="D5796" t="s">
        <v>55</v>
      </c>
      <c r="E5796" t="s">
        <v>2280</v>
      </c>
      <c r="F5796" t="s">
        <v>1247</v>
      </c>
      <c r="G5796" t="s">
        <v>510</v>
      </c>
      <c r="H5796" t="s">
        <v>511</v>
      </c>
      <c r="I5796" t="s">
        <v>511</v>
      </c>
      <c r="J5796" t="s">
        <v>60</v>
      </c>
      <c r="K5796" t="s">
        <v>512</v>
      </c>
      <c r="L5796" t="s">
        <v>62</v>
      </c>
      <c r="M5796" t="s">
        <v>512</v>
      </c>
      <c r="N5796" t="s">
        <v>406</v>
      </c>
      <c r="O5796" t="s">
        <v>513</v>
      </c>
      <c r="P5796">
        <v>-20.127853000000002</v>
      </c>
      <c r="Q5796">
        <v>-44.891415000000002</v>
      </c>
      <c r="R5796" s="2" t="str">
        <f>HYPERLINK("https://www.google.com/maps?q=-20.1278530,-44.8914150","Abrir no Google Maps")</f>
        <v>Abrir no Google Maps</v>
      </c>
      <c r="S5796">
        <v>3</v>
      </c>
      <c r="T5796">
        <v>340.86994528233612</v>
      </c>
      <c r="U5796">
        <v>3</v>
      </c>
      <c r="V5796">
        <v>0.99542124542124544</v>
      </c>
      <c r="W5796">
        <v>1</v>
      </c>
      <c r="X5796">
        <v>0.99542124542124544</v>
      </c>
      <c r="Y5796">
        <v>564</v>
      </c>
      <c r="Z5796">
        <v>294.18108015916812</v>
      </c>
      <c r="AA5796">
        <v>198</v>
      </c>
      <c r="AB5796">
        <v>332</v>
      </c>
      <c r="AC5796">
        <v>536</v>
      </c>
      <c r="AD5796">
        <v>27.77</v>
      </c>
      <c r="AE5796">
        <v>542</v>
      </c>
      <c r="AF5796">
        <v>26</v>
      </c>
      <c r="AG5796">
        <v>163</v>
      </c>
      <c r="AH5796">
        <v>129</v>
      </c>
      <c r="AI5796">
        <v>4.8</v>
      </c>
      <c r="AJ5796">
        <v>30.07</v>
      </c>
      <c r="AK5796">
        <v>23.8</v>
      </c>
      <c r="AL5796">
        <v>-20.12777399999996</v>
      </c>
      <c r="AM5796">
        <v>-44.891400975758501</v>
      </c>
      <c r="AN5796">
        <v>-20.12777399999996</v>
      </c>
      <c r="AO5796">
        <v>-44.891400975758501</v>
      </c>
      <c r="AP5796">
        <v>-20.127853000000002</v>
      </c>
      <c r="AQ5796">
        <v>-44.891415000000002</v>
      </c>
      <c r="AR5796">
        <v>8.9156059162975616</v>
      </c>
      <c r="AS5796" t="s">
        <v>65</v>
      </c>
      <c r="AT5796">
        <v>1</v>
      </c>
      <c r="AU5796" t="s">
        <v>514</v>
      </c>
      <c r="AV5796" t="s">
        <v>515</v>
      </c>
      <c r="AW5796" t="s">
        <v>60</v>
      </c>
      <c r="AX5796" t="s">
        <v>68</v>
      </c>
      <c r="AY5796" t="s">
        <v>69</v>
      </c>
      <c r="AZ5796" t="b">
        <v>1</v>
      </c>
    </row>
    <row r="5797" spans="1:52" x14ac:dyDescent="0.3">
      <c r="A5797" t="s">
        <v>52</v>
      </c>
      <c r="B5797" t="s">
        <v>53</v>
      </c>
      <c r="C5797" t="s">
        <v>54</v>
      </c>
      <c r="D5797" t="s">
        <v>55</v>
      </c>
      <c r="E5797" t="s">
        <v>2280</v>
      </c>
      <c r="F5797" t="s">
        <v>1247</v>
      </c>
      <c r="G5797" t="s">
        <v>890</v>
      </c>
      <c r="H5797" t="s">
        <v>891</v>
      </c>
      <c r="I5797" t="s">
        <v>891</v>
      </c>
      <c r="J5797" t="s">
        <v>60</v>
      </c>
      <c r="K5797" t="s">
        <v>892</v>
      </c>
      <c r="L5797" t="s">
        <v>62</v>
      </c>
      <c r="M5797" t="s">
        <v>892</v>
      </c>
      <c r="N5797" t="s">
        <v>893</v>
      </c>
      <c r="O5797" t="s">
        <v>894</v>
      </c>
      <c r="P5797">
        <v>-20.152519000000002</v>
      </c>
      <c r="Q5797">
        <v>-44.899177000000002</v>
      </c>
      <c r="R5797" s="2" t="str">
        <f>HYPERLINK("https://www.google.com/maps?q=-20.1525190,-44.8991770","Abrir no Google Maps")</f>
        <v>Abrir no Google Maps</v>
      </c>
      <c r="S5797">
        <v>3</v>
      </c>
      <c r="T5797">
        <v>211.80188552994721</v>
      </c>
      <c r="U5797">
        <v>3</v>
      </c>
      <c r="V5797">
        <v>0.96361940298507465</v>
      </c>
      <c r="W5797">
        <v>1</v>
      </c>
      <c r="X5797">
        <v>0.96361940298507465</v>
      </c>
      <c r="Y5797">
        <v>556</v>
      </c>
      <c r="Z5797">
        <v>290.34804137107091</v>
      </c>
      <c r="AA5797">
        <v>198</v>
      </c>
      <c r="AB5797">
        <v>332</v>
      </c>
      <c r="AC5797">
        <v>536</v>
      </c>
      <c r="AD5797">
        <v>27.77</v>
      </c>
      <c r="AE5797">
        <v>542</v>
      </c>
      <c r="AF5797">
        <v>26</v>
      </c>
      <c r="AG5797">
        <v>163</v>
      </c>
      <c r="AH5797">
        <v>129</v>
      </c>
      <c r="AI5797">
        <v>4.8</v>
      </c>
      <c r="AJ5797">
        <v>30.07</v>
      </c>
      <c r="AK5797">
        <v>23.8</v>
      </c>
      <c r="AL5797">
        <v>-20.152516249999959</v>
      </c>
      <c r="AM5797">
        <v>-44.899310431333959</v>
      </c>
      <c r="AN5797">
        <v>-20.152516249999959</v>
      </c>
      <c r="AO5797">
        <v>-44.899310431333959</v>
      </c>
      <c r="AP5797">
        <v>-20.152519000000002</v>
      </c>
      <c r="AQ5797">
        <v>-44.899177000000002</v>
      </c>
      <c r="AR5797">
        <v>13.947583284957719</v>
      </c>
      <c r="AS5797" t="s">
        <v>65</v>
      </c>
      <c r="AT5797">
        <v>1</v>
      </c>
      <c r="AU5797" t="s">
        <v>895</v>
      </c>
      <c r="AV5797" t="s">
        <v>896</v>
      </c>
      <c r="AW5797" t="s">
        <v>60</v>
      </c>
      <c r="AX5797" t="s">
        <v>68</v>
      </c>
      <c r="AY5797" t="s">
        <v>69</v>
      </c>
      <c r="AZ5797" t="b">
        <v>1</v>
      </c>
    </row>
    <row r="5798" spans="1:52" x14ac:dyDescent="0.3">
      <c r="A5798" t="s">
        <v>52</v>
      </c>
      <c r="B5798" t="s">
        <v>53</v>
      </c>
      <c r="C5798" t="s">
        <v>54</v>
      </c>
      <c r="D5798" t="s">
        <v>55</v>
      </c>
      <c r="E5798" t="s">
        <v>2280</v>
      </c>
      <c r="F5798" t="s">
        <v>1247</v>
      </c>
      <c r="G5798" t="s">
        <v>535</v>
      </c>
      <c r="H5798" t="s">
        <v>536</v>
      </c>
      <c r="I5798" t="s">
        <v>536</v>
      </c>
      <c r="J5798" t="s">
        <v>60</v>
      </c>
      <c r="K5798" t="s">
        <v>388</v>
      </c>
      <c r="L5798" t="s">
        <v>62</v>
      </c>
      <c r="M5798" t="s">
        <v>388</v>
      </c>
      <c r="N5798" t="s">
        <v>537</v>
      </c>
      <c r="O5798" t="s">
        <v>538</v>
      </c>
      <c r="P5798">
        <v>-20.150061999999998</v>
      </c>
      <c r="Q5798">
        <v>-44.903379000000001</v>
      </c>
      <c r="R5798" s="2" t="str">
        <f>HYPERLINK("https://www.google.com/maps?q=-20.1500620,-44.9033790","Abrir no Google Maps")</f>
        <v>Abrir no Google Maps</v>
      </c>
      <c r="S5798">
        <v>3</v>
      </c>
      <c r="T5798">
        <v>286.20313674219977</v>
      </c>
      <c r="U5798">
        <v>3</v>
      </c>
      <c r="V5798">
        <v>0.98022598870056499</v>
      </c>
      <c r="W5798">
        <v>1</v>
      </c>
      <c r="X5798">
        <v>0.98022598870056499</v>
      </c>
      <c r="Y5798">
        <v>556</v>
      </c>
      <c r="Z5798">
        <v>315.81851898667401</v>
      </c>
      <c r="AA5798">
        <v>198</v>
      </c>
      <c r="AB5798">
        <v>332</v>
      </c>
      <c r="AC5798">
        <v>536</v>
      </c>
      <c r="AD5798">
        <v>27.77</v>
      </c>
      <c r="AE5798">
        <v>542</v>
      </c>
      <c r="AF5798">
        <v>26</v>
      </c>
      <c r="AG5798">
        <v>163</v>
      </c>
      <c r="AH5798">
        <v>129</v>
      </c>
      <c r="AI5798">
        <v>4.8</v>
      </c>
      <c r="AJ5798">
        <v>30.07</v>
      </c>
      <c r="AK5798">
        <v>23.8</v>
      </c>
      <c r="AL5798">
        <v>-20.150084299999971</v>
      </c>
      <c r="AM5798">
        <v>-44.903278407568479</v>
      </c>
      <c r="AN5798">
        <v>-20.150084299999971</v>
      </c>
      <c r="AO5798">
        <v>-44.903278407568479</v>
      </c>
      <c r="AP5798">
        <v>-20.150061999999998</v>
      </c>
      <c r="AQ5798">
        <v>-44.903379000000001</v>
      </c>
      <c r="AR5798">
        <v>10.801687336134639</v>
      </c>
      <c r="AS5798" t="s">
        <v>65</v>
      </c>
      <c r="AT5798">
        <v>1</v>
      </c>
      <c r="AU5798" t="s">
        <v>539</v>
      </c>
      <c r="AV5798" t="s">
        <v>540</v>
      </c>
      <c r="AW5798" t="s">
        <v>60</v>
      </c>
      <c r="AX5798" t="s">
        <v>68</v>
      </c>
      <c r="AY5798" t="s">
        <v>69</v>
      </c>
      <c r="AZ5798" t="b">
        <v>1</v>
      </c>
    </row>
    <row r="5799" spans="1:52" x14ac:dyDescent="0.3">
      <c r="A5799" t="s">
        <v>52</v>
      </c>
      <c r="B5799" t="s">
        <v>53</v>
      </c>
      <c r="C5799" t="s">
        <v>54</v>
      </c>
      <c r="D5799" t="s">
        <v>55</v>
      </c>
      <c r="E5799" t="s">
        <v>2280</v>
      </c>
      <c r="F5799" t="s">
        <v>1247</v>
      </c>
      <c r="G5799" t="s">
        <v>545</v>
      </c>
      <c r="H5799" t="s">
        <v>546</v>
      </c>
      <c r="I5799" t="s">
        <v>546</v>
      </c>
      <c r="J5799" t="s">
        <v>60</v>
      </c>
      <c r="K5799" t="s">
        <v>388</v>
      </c>
      <c r="L5799" t="s">
        <v>62</v>
      </c>
      <c r="M5799" t="s">
        <v>388</v>
      </c>
      <c r="N5799" t="s">
        <v>547</v>
      </c>
      <c r="O5799" t="s">
        <v>548</v>
      </c>
      <c r="P5799">
        <v>-20.155839</v>
      </c>
      <c r="Q5799">
        <v>-44.905655000000003</v>
      </c>
      <c r="R5799" s="2" t="str">
        <f>HYPERLINK("https://www.google.com/maps?q=-20.1558390,-44.9056550","Abrir no Google Maps")</f>
        <v>Abrir no Google Maps</v>
      </c>
      <c r="S5799">
        <v>3</v>
      </c>
      <c r="T5799">
        <v>309.7643089121122</v>
      </c>
      <c r="U5799">
        <v>3</v>
      </c>
      <c r="V5799">
        <v>0.98522727272727284</v>
      </c>
      <c r="W5799">
        <v>1</v>
      </c>
      <c r="X5799">
        <v>0.98522727272727284</v>
      </c>
      <c r="Y5799">
        <v>548</v>
      </c>
      <c r="Z5799">
        <v>284.24281731793161</v>
      </c>
      <c r="AA5799">
        <v>198</v>
      </c>
      <c r="AB5799">
        <v>332</v>
      </c>
      <c r="AC5799">
        <v>536</v>
      </c>
      <c r="AD5799">
        <v>27.77</v>
      </c>
      <c r="AE5799">
        <v>542</v>
      </c>
      <c r="AF5799">
        <v>26</v>
      </c>
      <c r="AG5799">
        <v>163</v>
      </c>
      <c r="AH5799">
        <v>129</v>
      </c>
      <c r="AI5799">
        <v>4.8</v>
      </c>
      <c r="AJ5799">
        <v>30.07</v>
      </c>
      <c r="AK5799">
        <v>23.8</v>
      </c>
      <c r="AL5799">
        <v>-20.155913549999951</v>
      </c>
      <c r="AM5799">
        <v>-44.905554508392683</v>
      </c>
      <c r="AN5799">
        <v>-20.155913549999951</v>
      </c>
      <c r="AO5799">
        <v>-44.905554508392669</v>
      </c>
      <c r="AP5799">
        <v>-20.155839</v>
      </c>
      <c r="AQ5799">
        <v>-44.905655000000003</v>
      </c>
      <c r="AR5799">
        <v>13.384922093797449</v>
      </c>
      <c r="AS5799" t="s">
        <v>65</v>
      </c>
      <c r="AT5799">
        <v>1</v>
      </c>
      <c r="AU5799" t="s">
        <v>549</v>
      </c>
      <c r="AV5799" t="s">
        <v>550</v>
      </c>
      <c r="AW5799" t="s">
        <v>60</v>
      </c>
      <c r="AX5799" t="s">
        <v>68</v>
      </c>
      <c r="AY5799" t="s">
        <v>69</v>
      </c>
      <c r="AZ5799" t="b">
        <v>1</v>
      </c>
    </row>
    <row r="5800" spans="1:52" x14ac:dyDescent="0.3">
      <c r="A5800" t="s">
        <v>52</v>
      </c>
      <c r="B5800" t="s">
        <v>53</v>
      </c>
      <c r="C5800" t="s">
        <v>54</v>
      </c>
      <c r="D5800" t="s">
        <v>55</v>
      </c>
      <c r="E5800" t="s">
        <v>2280</v>
      </c>
      <c r="F5800" t="s">
        <v>1247</v>
      </c>
      <c r="G5800" t="s">
        <v>551</v>
      </c>
      <c r="H5800" t="s">
        <v>552</v>
      </c>
      <c r="I5800" t="s">
        <v>552</v>
      </c>
      <c r="J5800" t="s">
        <v>60</v>
      </c>
      <c r="K5800" t="s">
        <v>388</v>
      </c>
      <c r="L5800" t="s">
        <v>62</v>
      </c>
      <c r="M5800" t="s">
        <v>388</v>
      </c>
      <c r="N5800" t="s">
        <v>553</v>
      </c>
      <c r="O5800" t="s">
        <v>315</v>
      </c>
      <c r="P5800">
        <v>-20.153086999999999</v>
      </c>
      <c r="Q5800">
        <v>-44.905451999999997</v>
      </c>
      <c r="R5800" s="2" t="str">
        <f>HYPERLINK("https://www.google.com/maps?q=-20.1530870,-44.9054520","Abrir no Google Maps")</f>
        <v>Abrir no Google Maps</v>
      </c>
      <c r="S5800">
        <v>3</v>
      </c>
      <c r="T5800">
        <v>313.69387682409018</v>
      </c>
      <c r="U5800">
        <v>3</v>
      </c>
      <c r="V5800">
        <v>0.96650717703349276</v>
      </c>
      <c r="W5800">
        <v>1</v>
      </c>
      <c r="X5800">
        <v>0.96650717703349276</v>
      </c>
      <c r="Y5800">
        <v>548</v>
      </c>
      <c r="Z5800">
        <v>319.51605309906859</v>
      </c>
      <c r="AA5800">
        <v>198</v>
      </c>
      <c r="AB5800">
        <v>332</v>
      </c>
      <c r="AC5800">
        <v>536</v>
      </c>
      <c r="AD5800">
        <v>27.77</v>
      </c>
      <c r="AE5800">
        <v>542</v>
      </c>
      <c r="AF5800">
        <v>26</v>
      </c>
      <c r="AG5800">
        <v>163</v>
      </c>
      <c r="AH5800">
        <v>129</v>
      </c>
      <c r="AI5800">
        <v>4.8</v>
      </c>
      <c r="AJ5800">
        <v>30.07</v>
      </c>
      <c r="AK5800">
        <v>23.8</v>
      </c>
      <c r="AL5800">
        <v>-20.153043049999951</v>
      </c>
      <c r="AM5800">
        <v>-44.905348275899513</v>
      </c>
      <c r="AN5800">
        <v>-20.153043049999951</v>
      </c>
      <c r="AO5800">
        <v>-44.905348275899513</v>
      </c>
      <c r="AP5800">
        <v>-20.153086999999999</v>
      </c>
      <c r="AQ5800">
        <v>-44.905451999999997</v>
      </c>
      <c r="AR5800">
        <v>11.892619975648341</v>
      </c>
      <c r="AS5800" t="s">
        <v>65</v>
      </c>
      <c r="AT5800">
        <v>1</v>
      </c>
      <c r="AU5800" t="s">
        <v>554</v>
      </c>
      <c r="AV5800" t="s">
        <v>555</v>
      </c>
      <c r="AW5800" t="s">
        <v>60</v>
      </c>
      <c r="AX5800" t="s">
        <v>68</v>
      </c>
      <c r="AY5800" t="s">
        <v>69</v>
      </c>
      <c r="AZ5800" t="b">
        <v>1</v>
      </c>
    </row>
    <row r="5801" spans="1:52" x14ac:dyDescent="0.3">
      <c r="A5801" t="s">
        <v>52</v>
      </c>
      <c r="B5801" t="s">
        <v>53</v>
      </c>
      <c r="C5801" t="s">
        <v>54</v>
      </c>
      <c r="D5801" t="s">
        <v>55</v>
      </c>
      <c r="E5801" t="s">
        <v>2280</v>
      </c>
      <c r="F5801" t="s">
        <v>1247</v>
      </c>
      <c r="G5801" t="s">
        <v>839</v>
      </c>
      <c r="H5801" t="s">
        <v>1274</v>
      </c>
      <c r="I5801" t="s">
        <v>1274</v>
      </c>
      <c r="J5801" t="s">
        <v>60</v>
      </c>
      <c r="K5801" t="s">
        <v>388</v>
      </c>
      <c r="L5801" t="s">
        <v>62</v>
      </c>
      <c r="M5801" t="s">
        <v>388</v>
      </c>
      <c r="N5801" t="s">
        <v>841</v>
      </c>
      <c r="O5801" t="s">
        <v>1275</v>
      </c>
      <c r="P5801">
        <v>-20.157979999999998</v>
      </c>
      <c r="Q5801">
        <v>-44.906365999999998</v>
      </c>
      <c r="R5801" s="2" t="str">
        <f>HYPERLINK("https://www.google.com/maps?q=-20.1579800,-44.9063660","Abrir no Google Maps")</f>
        <v>Abrir no Google Maps</v>
      </c>
      <c r="S5801">
        <v>3</v>
      </c>
      <c r="T5801">
        <v>519.48953004348823</v>
      </c>
      <c r="U5801">
        <v>2</v>
      </c>
      <c r="V5801">
        <v>1</v>
      </c>
      <c r="W5801">
        <v>0.85</v>
      </c>
      <c r="X5801">
        <v>0.85</v>
      </c>
      <c r="Y5801">
        <v>729</v>
      </c>
      <c r="Z5801">
        <v>393.22938248316768</v>
      </c>
      <c r="AA5801">
        <v>198</v>
      </c>
      <c r="AB5801">
        <v>332</v>
      </c>
      <c r="AC5801">
        <v>536</v>
      </c>
      <c r="AD5801">
        <v>27.77</v>
      </c>
      <c r="AE5801">
        <v>542</v>
      </c>
      <c r="AF5801">
        <v>26</v>
      </c>
      <c r="AG5801">
        <v>163</v>
      </c>
      <c r="AH5801">
        <v>129</v>
      </c>
      <c r="AI5801">
        <v>4.8</v>
      </c>
      <c r="AJ5801">
        <v>30.07</v>
      </c>
      <c r="AK5801">
        <v>23.8</v>
      </c>
      <c r="AL5801">
        <v>-20.157977799999941</v>
      </c>
      <c r="AM5801">
        <v>-44.906429896327573</v>
      </c>
      <c r="AN5801">
        <v>-20.157977799999941</v>
      </c>
      <c r="AO5801">
        <v>-44.906429896327573</v>
      </c>
      <c r="AP5801">
        <v>-20.157979999999998</v>
      </c>
      <c r="AQ5801">
        <v>-44.906365999999998</v>
      </c>
      <c r="AR5801">
        <v>6.6817330699236734</v>
      </c>
      <c r="AS5801" t="s">
        <v>65</v>
      </c>
      <c r="AT5801">
        <v>1</v>
      </c>
      <c r="AU5801" t="s">
        <v>1276</v>
      </c>
      <c r="AV5801" t="s">
        <v>1277</v>
      </c>
      <c r="AW5801" t="s">
        <v>60</v>
      </c>
      <c r="AX5801" t="s">
        <v>68</v>
      </c>
      <c r="AY5801" t="s">
        <v>69</v>
      </c>
      <c r="AZ5801" t="b">
        <v>1</v>
      </c>
    </row>
    <row r="5802" spans="1:52" x14ac:dyDescent="0.3">
      <c r="A5802" t="s">
        <v>52</v>
      </c>
      <c r="B5802" t="s">
        <v>53</v>
      </c>
      <c r="C5802" t="s">
        <v>54</v>
      </c>
      <c r="D5802" t="s">
        <v>55</v>
      </c>
      <c r="E5802" t="s">
        <v>2280</v>
      </c>
      <c r="F5802" t="s">
        <v>1247</v>
      </c>
      <c r="G5802" t="s">
        <v>1278</v>
      </c>
      <c r="H5802" t="s">
        <v>1279</v>
      </c>
      <c r="I5802" t="s">
        <v>1279</v>
      </c>
      <c r="J5802" t="s">
        <v>60</v>
      </c>
      <c r="K5802" t="s">
        <v>388</v>
      </c>
      <c r="L5802" t="s">
        <v>62</v>
      </c>
      <c r="M5802" t="s">
        <v>388</v>
      </c>
      <c r="N5802" t="s">
        <v>1280</v>
      </c>
      <c r="O5802" t="s">
        <v>216</v>
      </c>
      <c r="P5802">
        <v>-20.15681</v>
      </c>
      <c r="Q5802">
        <v>-44.899290999999998</v>
      </c>
      <c r="R5802" s="2" t="str">
        <f>HYPERLINK("https://www.google.com/maps?q=-20.1568100,-44.8992910","Abrir no Google Maps")</f>
        <v>Abrir no Google Maps</v>
      </c>
      <c r="S5802">
        <v>3</v>
      </c>
      <c r="T5802">
        <v>180.10162979749811</v>
      </c>
      <c r="U5802">
        <v>2</v>
      </c>
      <c r="V5802">
        <v>0.99375000000000002</v>
      </c>
      <c r="W5802">
        <v>0.85</v>
      </c>
      <c r="X5802">
        <v>0.84468750000000004</v>
      </c>
      <c r="Y5802">
        <v>729</v>
      </c>
      <c r="Z5802">
        <v>368.06065118133841</v>
      </c>
      <c r="AA5802">
        <v>198</v>
      </c>
      <c r="AB5802">
        <v>332</v>
      </c>
      <c r="AC5802">
        <v>536</v>
      </c>
      <c r="AD5802">
        <v>27.77</v>
      </c>
      <c r="AE5802">
        <v>542</v>
      </c>
      <c r="AF5802">
        <v>26</v>
      </c>
      <c r="AG5802">
        <v>163</v>
      </c>
      <c r="AH5802">
        <v>129</v>
      </c>
      <c r="AI5802">
        <v>4.8</v>
      </c>
      <c r="AJ5802">
        <v>30.07</v>
      </c>
      <c r="AK5802">
        <v>23.8</v>
      </c>
      <c r="AL5802">
        <v>-20.156785649999961</v>
      </c>
      <c r="AM5802">
        <v>-44.899254812291332</v>
      </c>
      <c r="AN5802">
        <v>-20.156785649999961</v>
      </c>
      <c r="AO5802">
        <v>-44.899254812291332</v>
      </c>
      <c r="AP5802">
        <v>-20.15681</v>
      </c>
      <c r="AQ5802">
        <v>-44.899290999999998</v>
      </c>
      <c r="AR5802">
        <v>4.6528211992813118</v>
      </c>
      <c r="AS5802" t="s">
        <v>65</v>
      </c>
      <c r="AT5802">
        <v>1</v>
      </c>
      <c r="AU5802" t="s">
        <v>1281</v>
      </c>
      <c r="AV5802" t="s">
        <v>1282</v>
      </c>
      <c r="AW5802" t="s">
        <v>60</v>
      </c>
      <c r="AX5802" t="s">
        <v>68</v>
      </c>
      <c r="AY5802" t="s">
        <v>69</v>
      </c>
      <c r="AZ5802" t="b">
        <v>1</v>
      </c>
    </row>
    <row r="5803" spans="1:52" x14ac:dyDescent="0.3">
      <c r="A5803" t="s">
        <v>52</v>
      </c>
      <c r="B5803" t="s">
        <v>53</v>
      </c>
      <c r="C5803" t="s">
        <v>54</v>
      </c>
      <c r="D5803" t="s">
        <v>55</v>
      </c>
      <c r="E5803" t="s">
        <v>2280</v>
      </c>
      <c r="F5803" t="s">
        <v>1247</v>
      </c>
      <c r="G5803" t="s">
        <v>1283</v>
      </c>
      <c r="H5803" t="s">
        <v>1284</v>
      </c>
      <c r="I5803" t="s">
        <v>1284</v>
      </c>
      <c r="J5803" t="s">
        <v>60</v>
      </c>
      <c r="K5803" t="s">
        <v>388</v>
      </c>
      <c r="L5803" t="s">
        <v>62</v>
      </c>
      <c r="M5803" t="s">
        <v>388</v>
      </c>
      <c r="N5803" t="s">
        <v>400</v>
      </c>
      <c r="O5803" t="s">
        <v>1285</v>
      </c>
      <c r="P5803">
        <v>-20.156977999999999</v>
      </c>
      <c r="Q5803">
        <v>-44.90325</v>
      </c>
      <c r="R5803" s="2" t="str">
        <f>HYPERLINK("https://www.google.com/maps?q=-20.1569780,-44.9032500","Abrir no Google Maps")</f>
        <v>Abrir no Google Maps</v>
      </c>
      <c r="S5803">
        <v>3</v>
      </c>
      <c r="T5803">
        <v>256.05633739092571</v>
      </c>
      <c r="U5803">
        <v>2</v>
      </c>
      <c r="V5803">
        <v>1</v>
      </c>
      <c r="W5803">
        <v>0.85</v>
      </c>
      <c r="X5803">
        <v>0.85</v>
      </c>
      <c r="Y5803">
        <v>729</v>
      </c>
      <c r="Z5803">
        <v>162.99447055889971</v>
      </c>
      <c r="AA5803">
        <v>198</v>
      </c>
      <c r="AB5803">
        <v>332</v>
      </c>
      <c r="AC5803">
        <v>536</v>
      </c>
      <c r="AD5803">
        <v>27.77</v>
      </c>
      <c r="AE5803">
        <v>542</v>
      </c>
      <c r="AF5803">
        <v>26</v>
      </c>
      <c r="AG5803">
        <v>163</v>
      </c>
      <c r="AH5803">
        <v>129</v>
      </c>
      <c r="AI5803">
        <v>4.8</v>
      </c>
      <c r="AJ5803">
        <v>30.07</v>
      </c>
      <c r="AK5803">
        <v>23.8</v>
      </c>
      <c r="AL5803">
        <v>-20.15696524999996</v>
      </c>
      <c r="AM5803">
        <v>-44.903258102626708</v>
      </c>
      <c r="AN5803">
        <v>-20.15696524999996</v>
      </c>
      <c r="AO5803">
        <v>-44.903258102626708</v>
      </c>
      <c r="AP5803">
        <v>-20.156977999999999</v>
      </c>
      <c r="AQ5803">
        <v>-44.90325</v>
      </c>
      <c r="AR5803">
        <v>1.6527147033629741</v>
      </c>
      <c r="AS5803" t="s">
        <v>65</v>
      </c>
      <c r="AT5803">
        <v>1</v>
      </c>
      <c r="AU5803" t="s">
        <v>1286</v>
      </c>
      <c r="AV5803" t="s">
        <v>1287</v>
      </c>
      <c r="AW5803" t="s">
        <v>60</v>
      </c>
      <c r="AX5803" t="s">
        <v>68</v>
      </c>
      <c r="AY5803" t="s">
        <v>69</v>
      </c>
      <c r="AZ5803" t="b">
        <v>1</v>
      </c>
    </row>
    <row r="5804" spans="1:52" x14ac:dyDescent="0.3">
      <c r="A5804" t="s">
        <v>52</v>
      </c>
      <c r="B5804" t="s">
        <v>53</v>
      </c>
      <c r="C5804" t="s">
        <v>54</v>
      </c>
      <c r="D5804" t="s">
        <v>55</v>
      </c>
      <c r="E5804" t="s">
        <v>2280</v>
      </c>
      <c r="F5804" t="s">
        <v>1247</v>
      </c>
      <c r="G5804" t="s">
        <v>1417</v>
      </c>
      <c r="H5804" t="s">
        <v>1418</v>
      </c>
      <c r="I5804" t="s">
        <v>1418</v>
      </c>
      <c r="J5804" t="s">
        <v>60</v>
      </c>
      <c r="K5804" t="s">
        <v>1419</v>
      </c>
      <c r="L5804" t="s">
        <v>62</v>
      </c>
      <c r="M5804" t="s">
        <v>1419</v>
      </c>
      <c r="N5804" t="s">
        <v>1420</v>
      </c>
      <c r="O5804" t="s">
        <v>1421</v>
      </c>
      <c r="P5804">
        <v>-20.159427000000001</v>
      </c>
      <c r="Q5804">
        <v>-44.897143</v>
      </c>
      <c r="R5804" s="2" t="str">
        <f>HYPERLINK("https://www.google.com/maps?q=-20.1594270,-44.8971430","Abrir no Google Maps")</f>
        <v>Abrir no Google Maps</v>
      </c>
      <c r="S5804">
        <v>3</v>
      </c>
      <c r="T5804">
        <v>392.64349875646298</v>
      </c>
      <c r="U5804">
        <v>2</v>
      </c>
      <c r="V5804">
        <v>0.97606382978723405</v>
      </c>
      <c r="W5804">
        <v>0.85</v>
      </c>
      <c r="X5804">
        <v>0.82965425531914894</v>
      </c>
      <c r="Y5804">
        <v>729</v>
      </c>
      <c r="Z5804">
        <v>550.20062797366995</v>
      </c>
      <c r="AA5804">
        <v>198</v>
      </c>
      <c r="AB5804">
        <v>332</v>
      </c>
      <c r="AC5804">
        <v>536</v>
      </c>
      <c r="AD5804">
        <v>27.77</v>
      </c>
      <c r="AE5804">
        <v>542</v>
      </c>
      <c r="AF5804">
        <v>26</v>
      </c>
      <c r="AG5804">
        <v>163</v>
      </c>
      <c r="AH5804">
        <v>129</v>
      </c>
      <c r="AI5804">
        <v>4.8</v>
      </c>
      <c r="AJ5804">
        <v>30.07</v>
      </c>
      <c r="AK5804">
        <v>23.8</v>
      </c>
      <c r="AL5804">
        <v>-20.15946549999995</v>
      </c>
      <c r="AM5804">
        <v>-44.89709959354267</v>
      </c>
      <c r="AN5804">
        <v>-20.15946549999995</v>
      </c>
      <c r="AO5804">
        <v>-44.89709959354267</v>
      </c>
      <c r="AP5804">
        <v>-20.159427000000001</v>
      </c>
      <c r="AQ5804">
        <v>-44.897143</v>
      </c>
      <c r="AR5804">
        <v>6.2404649979039286</v>
      </c>
      <c r="AS5804" t="s">
        <v>65</v>
      </c>
      <c r="AT5804">
        <v>1</v>
      </c>
      <c r="AU5804" t="s">
        <v>1422</v>
      </c>
      <c r="AV5804" t="s">
        <v>1423</v>
      </c>
      <c r="AW5804" t="s">
        <v>60</v>
      </c>
      <c r="AX5804" t="s">
        <v>68</v>
      </c>
      <c r="AY5804" t="s">
        <v>69</v>
      </c>
      <c r="AZ5804" t="b">
        <v>1</v>
      </c>
    </row>
    <row r="5805" spans="1:52" x14ac:dyDescent="0.3">
      <c r="A5805" t="s">
        <v>52</v>
      </c>
      <c r="B5805" t="s">
        <v>53</v>
      </c>
      <c r="C5805" t="s">
        <v>54</v>
      </c>
      <c r="D5805" t="s">
        <v>55</v>
      </c>
      <c r="E5805" t="s">
        <v>2280</v>
      </c>
      <c r="F5805" t="s">
        <v>1247</v>
      </c>
      <c r="G5805" t="s">
        <v>1288</v>
      </c>
      <c r="H5805" t="s">
        <v>1289</v>
      </c>
      <c r="I5805" t="s">
        <v>1289</v>
      </c>
      <c r="J5805" t="s">
        <v>60</v>
      </c>
      <c r="K5805" t="s">
        <v>1290</v>
      </c>
      <c r="L5805" t="s">
        <v>62</v>
      </c>
      <c r="M5805" t="s">
        <v>1290</v>
      </c>
      <c r="N5805" t="s">
        <v>1291</v>
      </c>
      <c r="O5805" t="s">
        <v>315</v>
      </c>
      <c r="P5805">
        <v>-20.171008</v>
      </c>
      <c r="Q5805">
        <v>-44.918908999999999</v>
      </c>
      <c r="R5805" s="2" t="str">
        <f>HYPERLINK("https://www.google.com/maps?q=-20.1710080,-44.9189090","Abrir no Google Maps")</f>
        <v>Abrir no Google Maps</v>
      </c>
      <c r="S5805">
        <v>3</v>
      </c>
      <c r="T5805">
        <v>972.86786700299888</v>
      </c>
      <c r="U5805">
        <v>2</v>
      </c>
      <c r="V5805">
        <v>0.96568627450980382</v>
      </c>
      <c r="W5805">
        <v>0.85</v>
      </c>
      <c r="X5805">
        <v>0.82083333333333319</v>
      </c>
      <c r="Y5805">
        <v>723</v>
      </c>
      <c r="Z5805">
        <v>690.55600110253613</v>
      </c>
      <c r="AA5805">
        <v>198</v>
      </c>
      <c r="AB5805">
        <v>332</v>
      </c>
      <c r="AC5805">
        <v>536</v>
      </c>
      <c r="AD5805">
        <v>27.77</v>
      </c>
      <c r="AE5805">
        <v>542</v>
      </c>
      <c r="AF5805">
        <v>26</v>
      </c>
      <c r="AG5805">
        <v>163</v>
      </c>
      <c r="AH5805">
        <v>129</v>
      </c>
      <c r="AI5805">
        <v>4.8</v>
      </c>
      <c r="AJ5805">
        <v>30.07</v>
      </c>
      <c r="AK5805">
        <v>23.8</v>
      </c>
      <c r="AL5805">
        <v>-20.171738249999979</v>
      </c>
      <c r="AM5805">
        <v>-44.919736490382917</v>
      </c>
      <c r="AN5805">
        <v>-20.171738249999979</v>
      </c>
      <c r="AO5805">
        <v>-44.919736490382931</v>
      </c>
      <c r="AP5805">
        <v>-20.171008</v>
      </c>
      <c r="AQ5805">
        <v>-44.918908999999999</v>
      </c>
      <c r="AR5805">
        <v>118.678920061485</v>
      </c>
      <c r="AS5805" t="s">
        <v>65</v>
      </c>
      <c r="AT5805">
        <v>1</v>
      </c>
      <c r="AU5805" t="s">
        <v>1292</v>
      </c>
      <c r="AV5805" t="s">
        <v>1293</v>
      </c>
      <c r="AW5805" t="s">
        <v>60</v>
      </c>
      <c r="AX5805" t="s">
        <v>68</v>
      </c>
      <c r="AY5805" t="s">
        <v>69</v>
      </c>
      <c r="AZ5805" t="b">
        <v>1</v>
      </c>
    </row>
    <row r="5806" spans="1:52" x14ac:dyDescent="0.3">
      <c r="A5806" t="s">
        <v>52</v>
      </c>
      <c r="B5806" t="s">
        <v>53</v>
      </c>
      <c r="C5806" t="s">
        <v>54</v>
      </c>
      <c r="D5806" t="s">
        <v>55</v>
      </c>
      <c r="E5806" t="s">
        <v>2280</v>
      </c>
      <c r="F5806" t="s">
        <v>1247</v>
      </c>
      <c r="G5806" t="s">
        <v>1294</v>
      </c>
      <c r="H5806" t="s">
        <v>1295</v>
      </c>
      <c r="I5806" t="s">
        <v>1295</v>
      </c>
      <c r="J5806" t="s">
        <v>60</v>
      </c>
      <c r="K5806" t="s">
        <v>418</v>
      </c>
      <c r="L5806" t="s">
        <v>62</v>
      </c>
      <c r="M5806" t="s">
        <v>418</v>
      </c>
      <c r="N5806" t="s">
        <v>1296</v>
      </c>
      <c r="O5806" t="s">
        <v>1297</v>
      </c>
      <c r="P5806">
        <v>-20.169899999999998</v>
      </c>
      <c r="Q5806">
        <v>-44.916176999999998</v>
      </c>
      <c r="R5806" s="2" t="str">
        <f>HYPERLINK("https://www.google.com/maps?q=-20.1699000,-44.9161770","Abrir no Google Maps")</f>
        <v>Abrir no Google Maps</v>
      </c>
      <c r="S5806">
        <v>3</v>
      </c>
      <c r="T5806">
        <v>658.15251036568407</v>
      </c>
      <c r="U5806">
        <v>2</v>
      </c>
      <c r="V5806">
        <v>1</v>
      </c>
      <c r="W5806">
        <v>0.85</v>
      </c>
      <c r="X5806">
        <v>0.85</v>
      </c>
      <c r="Y5806">
        <v>723</v>
      </c>
      <c r="Z5806">
        <v>400.39092274559039</v>
      </c>
      <c r="AA5806">
        <v>198</v>
      </c>
      <c r="AB5806">
        <v>332</v>
      </c>
      <c r="AC5806">
        <v>536</v>
      </c>
      <c r="AD5806">
        <v>27.77</v>
      </c>
      <c r="AE5806">
        <v>542</v>
      </c>
      <c r="AF5806">
        <v>26</v>
      </c>
      <c r="AG5806">
        <v>163</v>
      </c>
      <c r="AH5806">
        <v>129</v>
      </c>
      <c r="AI5806">
        <v>4.8</v>
      </c>
      <c r="AJ5806">
        <v>30.07</v>
      </c>
      <c r="AK5806">
        <v>23.8</v>
      </c>
      <c r="AL5806">
        <v>-20.169898399999941</v>
      </c>
      <c r="AM5806">
        <v>-44.916247682868359</v>
      </c>
      <c r="AN5806">
        <v>-20.169898399999941</v>
      </c>
      <c r="AO5806">
        <v>-44.916247682868359</v>
      </c>
      <c r="AP5806">
        <v>-20.169899999999998</v>
      </c>
      <c r="AQ5806">
        <v>-44.916176999999998</v>
      </c>
      <c r="AR5806">
        <v>7.388028048308902</v>
      </c>
      <c r="AS5806" t="s">
        <v>65</v>
      </c>
      <c r="AT5806">
        <v>1</v>
      </c>
      <c r="AU5806" t="s">
        <v>1298</v>
      </c>
      <c r="AV5806" t="s">
        <v>1299</v>
      </c>
      <c r="AW5806" t="s">
        <v>60</v>
      </c>
      <c r="AX5806" t="s">
        <v>68</v>
      </c>
      <c r="AY5806" t="s">
        <v>69</v>
      </c>
      <c r="AZ5806" t="b">
        <v>1</v>
      </c>
    </row>
    <row r="5807" spans="1:52" x14ac:dyDescent="0.3">
      <c r="A5807" t="s">
        <v>52</v>
      </c>
      <c r="B5807" t="s">
        <v>53</v>
      </c>
      <c r="C5807" t="s">
        <v>54</v>
      </c>
      <c r="D5807" t="s">
        <v>55</v>
      </c>
      <c r="E5807" t="s">
        <v>2280</v>
      </c>
      <c r="F5807" t="s">
        <v>1247</v>
      </c>
      <c r="G5807" t="s">
        <v>1300</v>
      </c>
      <c r="H5807" t="s">
        <v>1301</v>
      </c>
      <c r="I5807" t="s">
        <v>1301</v>
      </c>
      <c r="J5807" t="s">
        <v>60</v>
      </c>
      <c r="K5807" t="s">
        <v>1302</v>
      </c>
      <c r="L5807" t="s">
        <v>62</v>
      </c>
      <c r="M5807" t="s">
        <v>1302</v>
      </c>
      <c r="N5807" t="s">
        <v>1303</v>
      </c>
      <c r="O5807" t="s">
        <v>1304</v>
      </c>
      <c r="P5807">
        <v>-20.166618</v>
      </c>
      <c r="Q5807">
        <v>-44.912920999999997</v>
      </c>
      <c r="R5807" s="2" t="str">
        <f>HYPERLINK("https://www.google.com/maps?q=-20.1666180,-44.9129210","Abrir no Google Maps")</f>
        <v>Abrir no Google Maps</v>
      </c>
      <c r="S5807">
        <v>3</v>
      </c>
      <c r="T5807">
        <v>636.32880156364706</v>
      </c>
      <c r="U5807">
        <v>2</v>
      </c>
      <c r="V5807">
        <v>0.97875816993464038</v>
      </c>
      <c r="W5807">
        <v>0.85</v>
      </c>
      <c r="X5807">
        <v>0.83194444444444426</v>
      </c>
      <c r="Y5807">
        <v>723</v>
      </c>
      <c r="Z5807">
        <v>407.62145176971592</v>
      </c>
      <c r="AA5807">
        <v>198</v>
      </c>
      <c r="AB5807">
        <v>332</v>
      </c>
      <c r="AC5807">
        <v>536</v>
      </c>
      <c r="AD5807">
        <v>27.77</v>
      </c>
      <c r="AE5807">
        <v>542</v>
      </c>
      <c r="AF5807">
        <v>26</v>
      </c>
      <c r="AG5807">
        <v>163</v>
      </c>
      <c r="AH5807">
        <v>129</v>
      </c>
      <c r="AI5807">
        <v>4.8</v>
      </c>
      <c r="AJ5807">
        <v>30.07</v>
      </c>
      <c r="AK5807">
        <v>23.8</v>
      </c>
      <c r="AL5807">
        <v>-20.166924799999951</v>
      </c>
      <c r="AM5807">
        <v>-44.912868681724092</v>
      </c>
      <c r="AN5807">
        <v>-20.166924799999951</v>
      </c>
      <c r="AO5807">
        <v>-44.912868681724092</v>
      </c>
      <c r="AP5807">
        <v>-20.166618</v>
      </c>
      <c r="AQ5807">
        <v>-44.912920999999997</v>
      </c>
      <c r="AR5807">
        <v>34.587771860198139</v>
      </c>
      <c r="AS5807" t="s">
        <v>65</v>
      </c>
      <c r="AT5807">
        <v>1</v>
      </c>
      <c r="AU5807" t="s">
        <v>1305</v>
      </c>
      <c r="AV5807" t="s">
        <v>1306</v>
      </c>
      <c r="AW5807" t="s">
        <v>60</v>
      </c>
      <c r="AX5807" t="s">
        <v>68</v>
      </c>
      <c r="AY5807" t="s">
        <v>69</v>
      </c>
      <c r="AZ5807" t="b">
        <v>1</v>
      </c>
    </row>
    <row r="5808" spans="1:52" x14ac:dyDescent="0.3">
      <c r="A5808" t="s">
        <v>52</v>
      </c>
      <c r="B5808" t="s">
        <v>53</v>
      </c>
      <c r="C5808" t="s">
        <v>54</v>
      </c>
      <c r="D5808" t="s">
        <v>55</v>
      </c>
      <c r="E5808" t="s">
        <v>2280</v>
      </c>
      <c r="F5808" t="s">
        <v>1247</v>
      </c>
      <c r="G5808" t="s">
        <v>845</v>
      </c>
      <c r="H5808" t="s">
        <v>846</v>
      </c>
      <c r="I5808" t="s">
        <v>846</v>
      </c>
      <c r="J5808" t="s">
        <v>60</v>
      </c>
      <c r="K5808" t="s">
        <v>424</v>
      </c>
      <c r="L5808" t="s">
        <v>62</v>
      </c>
      <c r="M5808" t="s">
        <v>424</v>
      </c>
      <c r="N5808" t="s">
        <v>847</v>
      </c>
      <c r="O5808" t="s">
        <v>848</v>
      </c>
      <c r="P5808">
        <v>-20.175523999999999</v>
      </c>
      <c r="Q5808">
        <v>-44.918016999999999</v>
      </c>
      <c r="R5808" s="2" t="str">
        <f>HYPERLINK("https://www.google.com/maps?q=-20.1755240,-44.9180170","Abrir no Google Maps")</f>
        <v>Abrir no Google Maps</v>
      </c>
      <c r="S5808">
        <v>3</v>
      </c>
      <c r="T5808">
        <v>833.59191671824021</v>
      </c>
      <c r="U5808">
        <v>2</v>
      </c>
      <c r="V5808">
        <v>0.99206349206349198</v>
      </c>
      <c r="W5808">
        <v>0.85</v>
      </c>
      <c r="X5808">
        <v>0.84325396825396814</v>
      </c>
      <c r="Y5808">
        <v>723</v>
      </c>
      <c r="Z5808">
        <v>701.05790658871581</v>
      </c>
      <c r="AA5808">
        <v>198</v>
      </c>
      <c r="AB5808">
        <v>332</v>
      </c>
      <c r="AC5808">
        <v>536</v>
      </c>
      <c r="AD5808">
        <v>27.77</v>
      </c>
      <c r="AE5808">
        <v>542</v>
      </c>
      <c r="AF5808">
        <v>26</v>
      </c>
      <c r="AG5808">
        <v>163</v>
      </c>
      <c r="AH5808">
        <v>129</v>
      </c>
      <c r="AI5808">
        <v>4.8</v>
      </c>
      <c r="AJ5808">
        <v>30.07</v>
      </c>
      <c r="AK5808">
        <v>23.8</v>
      </c>
      <c r="AL5808">
        <v>-20.17533859999995</v>
      </c>
      <c r="AM5808">
        <v>-44.917689627873088</v>
      </c>
      <c r="AN5808">
        <v>-20.17533859999995</v>
      </c>
      <c r="AO5808">
        <v>-44.917689627873088</v>
      </c>
      <c r="AP5808">
        <v>-20.175523999999999</v>
      </c>
      <c r="AQ5808">
        <v>-44.918016999999999</v>
      </c>
      <c r="AR5808">
        <v>39.950898228213873</v>
      </c>
      <c r="AS5808" t="s">
        <v>65</v>
      </c>
      <c r="AT5808">
        <v>1</v>
      </c>
      <c r="AU5808" t="s">
        <v>849</v>
      </c>
      <c r="AV5808" t="s">
        <v>850</v>
      </c>
      <c r="AW5808" t="s">
        <v>60</v>
      </c>
      <c r="AX5808" t="s">
        <v>68</v>
      </c>
      <c r="AY5808" t="s">
        <v>69</v>
      </c>
      <c r="AZ5808" t="b">
        <v>1</v>
      </c>
    </row>
    <row r="5809" spans="1:52" x14ac:dyDescent="0.3">
      <c r="A5809" t="s">
        <v>52</v>
      </c>
      <c r="B5809" t="s">
        <v>53</v>
      </c>
      <c r="C5809" t="s">
        <v>54</v>
      </c>
      <c r="D5809" t="s">
        <v>55</v>
      </c>
      <c r="E5809" t="s">
        <v>2280</v>
      </c>
      <c r="F5809" t="s">
        <v>1247</v>
      </c>
      <c r="G5809" t="s">
        <v>1312</v>
      </c>
      <c r="H5809" t="s">
        <v>1313</v>
      </c>
      <c r="I5809" t="s">
        <v>1313</v>
      </c>
      <c r="J5809" t="s">
        <v>60</v>
      </c>
      <c r="K5809" t="s">
        <v>1314</v>
      </c>
      <c r="L5809" t="s">
        <v>62</v>
      </c>
      <c r="M5809" t="s">
        <v>1314</v>
      </c>
      <c r="N5809" t="s">
        <v>1315</v>
      </c>
      <c r="O5809" t="s">
        <v>315</v>
      </c>
      <c r="P5809">
        <v>-20.179649999999999</v>
      </c>
      <c r="Q5809">
        <v>-44.927177</v>
      </c>
      <c r="R5809" s="2" t="str">
        <f>HYPERLINK("https://www.google.com/maps?q=-20.1796500,-44.9271770","Abrir no Google Maps")</f>
        <v>Abrir no Google Maps</v>
      </c>
      <c r="S5809">
        <v>3</v>
      </c>
      <c r="T5809">
        <v>1742.181438658615</v>
      </c>
      <c r="U5809">
        <v>2</v>
      </c>
      <c r="V5809">
        <v>0.96232876712328763</v>
      </c>
      <c r="W5809">
        <v>0.85</v>
      </c>
      <c r="X5809">
        <v>0.8179794520547945</v>
      </c>
      <c r="Y5809">
        <v>723</v>
      </c>
      <c r="Z5809">
        <v>1801.262037027635</v>
      </c>
      <c r="AA5809">
        <v>198</v>
      </c>
      <c r="AB5809">
        <v>332</v>
      </c>
      <c r="AC5809">
        <v>536</v>
      </c>
      <c r="AD5809">
        <v>27.77</v>
      </c>
      <c r="AE5809">
        <v>542</v>
      </c>
      <c r="AF5809">
        <v>26</v>
      </c>
      <c r="AG5809">
        <v>163</v>
      </c>
      <c r="AH5809">
        <v>129</v>
      </c>
      <c r="AI5809">
        <v>4.8</v>
      </c>
      <c r="AJ5809">
        <v>30.07</v>
      </c>
      <c r="AK5809">
        <v>23.8</v>
      </c>
      <c r="AL5809">
        <v>-20.18058599999998</v>
      </c>
      <c r="AM5809">
        <v>-44.926708474999977</v>
      </c>
      <c r="AN5809">
        <v>-20.18058599999998</v>
      </c>
      <c r="AO5809">
        <v>-44.926708474999977</v>
      </c>
      <c r="AP5809">
        <v>-20.179649999999999</v>
      </c>
      <c r="AQ5809">
        <v>-44.927177</v>
      </c>
      <c r="AR5809">
        <v>115.1226868075416</v>
      </c>
      <c r="AS5809" t="s">
        <v>65</v>
      </c>
      <c r="AT5809">
        <v>1</v>
      </c>
      <c r="AU5809" t="s">
        <v>1316</v>
      </c>
      <c r="AV5809" t="s">
        <v>1317</v>
      </c>
      <c r="AW5809" t="s">
        <v>60</v>
      </c>
      <c r="AX5809" t="s">
        <v>68</v>
      </c>
      <c r="AY5809" t="s">
        <v>69</v>
      </c>
      <c r="AZ5809" t="b">
        <v>1</v>
      </c>
    </row>
    <row r="5810" spans="1:52" x14ac:dyDescent="0.3">
      <c r="A5810" t="s">
        <v>52</v>
      </c>
      <c r="B5810" t="s">
        <v>53</v>
      </c>
      <c r="C5810" t="s">
        <v>54</v>
      </c>
      <c r="D5810" t="s">
        <v>55</v>
      </c>
      <c r="E5810" t="s">
        <v>2280</v>
      </c>
      <c r="F5810" t="s">
        <v>1247</v>
      </c>
      <c r="G5810" t="s">
        <v>1318</v>
      </c>
      <c r="H5810" t="s">
        <v>1319</v>
      </c>
      <c r="I5810" t="s">
        <v>1319</v>
      </c>
      <c r="J5810" t="s">
        <v>60</v>
      </c>
      <c r="K5810" t="s">
        <v>1314</v>
      </c>
      <c r="L5810" t="s">
        <v>62</v>
      </c>
      <c r="M5810" t="s">
        <v>1314</v>
      </c>
      <c r="N5810" t="s">
        <v>1320</v>
      </c>
      <c r="O5810" t="s">
        <v>1321</v>
      </c>
      <c r="P5810">
        <v>-20.178615000000001</v>
      </c>
      <c r="Q5810">
        <v>-44.924697999999999</v>
      </c>
      <c r="R5810" s="2" t="str">
        <f>HYPERLINK("https://www.google.com/maps?q=-20.1786150,-44.9246980","Abrir no Google Maps")</f>
        <v>Abrir no Google Maps</v>
      </c>
      <c r="S5810">
        <v>3</v>
      </c>
      <c r="T5810">
        <v>1583.462557226148</v>
      </c>
      <c r="U5810">
        <v>2</v>
      </c>
      <c r="V5810">
        <v>0.98873873873873885</v>
      </c>
      <c r="W5810">
        <v>0.85</v>
      </c>
      <c r="X5810">
        <v>0.84042792792792798</v>
      </c>
      <c r="Y5810">
        <v>723</v>
      </c>
      <c r="Z5810">
        <v>1414.1542726995031</v>
      </c>
      <c r="AA5810">
        <v>198</v>
      </c>
      <c r="AB5810">
        <v>332</v>
      </c>
      <c r="AC5810">
        <v>536</v>
      </c>
      <c r="AD5810">
        <v>27.77</v>
      </c>
      <c r="AE5810">
        <v>542</v>
      </c>
      <c r="AF5810">
        <v>26</v>
      </c>
      <c r="AG5810">
        <v>163</v>
      </c>
      <c r="AH5810">
        <v>129</v>
      </c>
      <c r="AI5810">
        <v>4.8</v>
      </c>
      <c r="AJ5810">
        <v>30.07</v>
      </c>
      <c r="AK5810">
        <v>23.8</v>
      </c>
      <c r="AL5810">
        <v>-20.17821329999995</v>
      </c>
      <c r="AM5810">
        <v>-44.924188563452951</v>
      </c>
      <c r="AN5810">
        <v>-20.17821329999995</v>
      </c>
      <c r="AO5810">
        <v>-44.924188563452951</v>
      </c>
      <c r="AP5810">
        <v>-20.178615000000001</v>
      </c>
      <c r="AQ5810">
        <v>-44.924697999999999</v>
      </c>
      <c r="AR5810">
        <v>69.520116290580319</v>
      </c>
      <c r="AS5810" t="s">
        <v>65</v>
      </c>
      <c r="AT5810">
        <v>1</v>
      </c>
      <c r="AU5810" t="s">
        <v>1322</v>
      </c>
      <c r="AV5810" t="s">
        <v>1317</v>
      </c>
      <c r="AW5810" t="s">
        <v>60</v>
      </c>
      <c r="AX5810" t="s">
        <v>68</v>
      </c>
      <c r="AY5810" t="s">
        <v>69</v>
      </c>
      <c r="AZ5810" t="b">
        <v>1</v>
      </c>
    </row>
    <row r="5811" spans="1:52" x14ac:dyDescent="0.3">
      <c r="A5811" t="s">
        <v>52</v>
      </c>
      <c r="B5811" t="s">
        <v>53</v>
      </c>
      <c r="C5811" t="s">
        <v>54</v>
      </c>
      <c r="D5811" t="s">
        <v>55</v>
      </c>
      <c r="E5811" t="s">
        <v>2280</v>
      </c>
      <c r="F5811" t="s">
        <v>1247</v>
      </c>
      <c r="G5811" t="s">
        <v>422</v>
      </c>
      <c r="H5811" t="s">
        <v>1323</v>
      </c>
      <c r="I5811" t="s">
        <v>1323</v>
      </c>
      <c r="J5811" t="s">
        <v>60</v>
      </c>
      <c r="K5811" t="s">
        <v>1324</v>
      </c>
      <c r="L5811" t="s">
        <v>62</v>
      </c>
      <c r="M5811" t="s">
        <v>1324</v>
      </c>
      <c r="N5811" t="s">
        <v>425</v>
      </c>
      <c r="O5811" t="s">
        <v>1325</v>
      </c>
      <c r="P5811">
        <v>-20.175142000000001</v>
      </c>
      <c r="Q5811">
        <v>-44.913783000000002</v>
      </c>
      <c r="R5811" s="2" t="str">
        <f>HYPERLINK("https://www.google.com/maps?q=-20.1751420,-44.9137830","Abrir no Google Maps")</f>
        <v>Abrir no Google Maps</v>
      </c>
      <c r="S5811">
        <v>3</v>
      </c>
      <c r="T5811">
        <v>495.73888273066677</v>
      </c>
      <c r="U5811">
        <v>2</v>
      </c>
      <c r="V5811">
        <v>0.99695121951219523</v>
      </c>
      <c r="W5811">
        <v>0.85</v>
      </c>
      <c r="X5811">
        <v>0.84740853658536597</v>
      </c>
      <c r="Y5811">
        <v>723</v>
      </c>
      <c r="Z5811">
        <v>488.51574748236328</v>
      </c>
      <c r="AA5811">
        <v>198</v>
      </c>
      <c r="AB5811">
        <v>332</v>
      </c>
      <c r="AC5811">
        <v>536</v>
      </c>
      <c r="AD5811">
        <v>27.77</v>
      </c>
      <c r="AE5811">
        <v>542</v>
      </c>
      <c r="AF5811">
        <v>26</v>
      </c>
      <c r="AG5811">
        <v>163</v>
      </c>
      <c r="AH5811">
        <v>129</v>
      </c>
      <c r="AI5811">
        <v>4.8</v>
      </c>
      <c r="AJ5811">
        <v>30.07</v>
      </c>
      <c r="AK5811">
        <v>23.8</v>
      </c>
      <c r="AL5811">
        <v>-20.175195199999958</v>
      </c>
      <c r="AM5811">
        <v>-44.913964122548052</v>
      </c>
      <c r="AN5811">
        <v>-20.175195199999958</v>
      </c>
      <c r="AO5811">
        <v>-44.913964122548052</v>
      </c>
      <c r="AP5811">
        <v>-20.175142000000001</v>
      </c>
      <c r="AQ5811">
        <v>-44.913783000000002</v>
      </c>
      <c r="AR5811">
        <v>19.830402633152101</v>
      </c>
      <c r="AS5811" t="s">
        <v>65</v>
      </c>
      <c r="AT5811">
        <v>1</v>
      </c>
      <c r="AU5811" t="s">
        <v>1326</v>
      </c>
      <c r="AV5811" t="s">
        <v>1327</v>
      </c>
      <c r="AW5811" t="s">
        <v>60</v>
      </c>
      <c r="AX5811" t="s">
        <v>68</v>
      </c>
      <c r="AY5811" t="s">
        <v>69</v>
      </c>
      <c r="AZ5811" t="b">
        <v>1</v>
      </c>
    </row>
    <row r="5812" spans="1:52" x14ac:dyDescent="0.3">
      <c r="A5812" t="s">
        <v>52</v>
      </c>
      <c r="B5812" t="s">
        <v>53</v>
      </c>
      <c r="C5812" t="s">
        <v>54</v>
      </c>
      <c r="D5812" t="s">
        <v>55</v>
      </c>
      <c r="E5812" t="s">
        <v>2280</v>
      </c>
      <c r="F5812" t="s">
        <v>1247</v>
      </c>
      <c r="G5812" t="s">
        <v>1328</v>
      </c>
      <c r="H5812" t="s">
        <v>1329</v>
      </c>
      <c r="I5812" t="s">
        <v>1329</v>
      </c>
      <c r="J5812" t="s">
        <v>60</v>
      </c>
      <c r="K5812" t="s">
        <v>1324</v>
      </c>
      <c r="L5812" t="s">
        <v>62</v>
      </c>
      <c r="M5812" t="s">
        <v>1324</v>
      </c>
      <c r="N5812" t="s">
        <v>1330</v>
      </c>
      <c r="O5812" t="s">
        <v>1331</v>
      </c>
      <c r="P5812">
        <v>-20.172984</v>
      </c>
      <c r="Q5812">
        <v>-44.915225999999997</v>
      </c>
      <c r="R5812" s="2" t="str">
        <f>HYPERLINK("https://www.google.com/maps?q=-20.1729840,-44.9152260","Abrir no Google Maps")</f>
        <v>Abrir no Google Maps</v>
      </c>
      <c r="S5812">
        <v>3</v>
      </c>
      <c r="T5812">
        <v>498.21203543103741</v>
      </c>
      <c r="U5812">
        <v>2</v>
      </c>
      <c r="V5812">
        <v>0.99537037037037035</v>
      </c>
      <c r="W5812">
        <v>0.85</v>
      </c>
      <c r="X5812">
        <v>0.84606481481481477</v>
      </c>
      <c r="Y5812">
        <v>723</v>
      </c>
      <c r="Z5812">
        <v>297.36167326949931</v>
      </c>
      <c r="AA5812">
        <v>198</v>
      </c>
      <c r="AB5812">
        <v>332</v>
      </c>
      <c r="AC5812">
        <v>536</v>
      </c>
      <c r="AD5812">
        <v>27.77</v>
      </c>
      <c r="AE5812">
        <v>542</v>
      </c>
      <c r="AF5812">
        <v>26</v>
      </c>
      <c r="AG5812">
        <v>163</v>
      </c>
      <c r="AH5812">
        <v>129</v>
      </c>
      <c r="AI5812">
        <v>4.8</v>
      </c>
      <c r="AJ5812">
        <v>30.07</v>
      </c>
      <c r="AK5812">
        <v>23.8</v>
      </c>
      <c r="AL5812">
        <v>-20.172838899999959</v>
      </c>
      <c r="AM5812">
        <v>-44.915158011603552</v>
      </c>
      <c r="AN5812">
        <v>-20.172838899999959</v>
      </c>
      <c r="AO5812">
        <v>-44.915158011603552</v>
      </c>
      <c r="AP5812">
        <v>-20.172984</v>
      </c>
      <c r="AQ5812">
        <v>-44.915225999999997</v>
      </c>
      <c r="AR5812">
        <v>17.645788305942119</v>
      </c>
      <c r="AS5812" t="s">
        <v>65</v>
      </c>
      <c r="AT5812">
        <v>1</v>
      </c>
      <c r="AU5812" t="s">
        <v>1332</v>
      </c>
      <c r="AV5812" t="s">
        <v>1327</v>
      </c>
      <c r="AW5812" t="s">
        <v>60</v>
      </c>
      <c r="AX5812" t="s">
        <v>68</v>
      </c>
      <c r="AY5812" t="s">
        <v>69</v>
      </c>
      <c r="AZ5812" t="b">
        <v>1</v>
      </c>
    </row>
    <row r="5813" spans="1:52" x14ac:dyDescent="0.3">
      <c r="A5813" t="s">
        <v>52</v>
      </c>
      <c r="B5813" t="s">
        <v>53</v>
      </c>
      <c r="C5813" t="s">
        <v>54</v>
      </c>
      <c r="D5813" t="s">
        <v>55</v>
      </c>
      <c r="E5813" t="s">
        <v>2280</v>
      </c>
      <c r="F5813" t="s">
        <v>1247</v>
      </c>
      <c r="G5813" t="s">
        <v>1333</v>
      </c>
      <c r="H5813" t="s">
        <v>1334</v>
      </c>
      <c r="I5813" t="s">
        <v>1334</v>
      </c>
      <c r="J5813" t="s">
        <v>60</v>
      </c>
      <c r="K5813" t="s">
        <v>437</v>
      </c>
      <c r="L5813" t="s">
        <v>62</v>
      </c>
      <c r="M5813" t="s">
        <v>437</v>
      </c>
      <c r="N5813" t="s">
        <v>1335</v>
      </c>
      <c r="O5813" t="s">
        <v>807</v>
      </c>
      <c r="P5813">
        <v>-20.148</v>
      </c>
      <c r="Q5813">
        <v>-44.880944999999997</v>
      </c>
      <c r="R5813" s="2" t="str">
        <f>HYPERLINK("https://www.google.com/maps?q=-20.1480000,-44.8809450","Abrir no Google Maps")</f>
        <v>Abrir no Google Maps</v>
      </c>
      <c r="S5813">
        <v>3</v>
      </c>
      <c r="T5813">
        <v>0</v>
      </c>
      <c r="U5813">
        <v>2</v>
      </c>
      <c r="V5813">
        <v>0.99723756906077365</v>
      </c>
      <c r="W5813">
        <v>0.85</v>
      </c>
      <c r="X5813">
        <v>0.84765193370165759</v>
      </c>
      <c r="Y5813">
        <v>653</v>
      </c>
      <c r="Z5813">
        <v>108.2792411420544</v>
      </c>
      <c r="AA5813">
        <v>198</v>
      </c>
      <c r="AB5813">
        <v>332</v>
      </c>
      <c r="AC5813">
        <v>536</v>
      </c>
      <c r="AD5813">
        <v>27.77</v>
      </c>
      <c r="AE5813">
        <v>542</v>
      </c>
      <c r="AF5813">
        <v>26</v>
      </c>
      <c r="AG5813">
        <v>163</v>
      </c>
      <c r="AH5813">
        <v>129</v>
      </c>
      <c r="AI5813">
        <v>4.8</v>
      </c>
      <c r="AJ5813">
        <v>30.07</v>
      </c>
      <c r="AK5813">
        <v>23.8</v>
      </c>
      <c r="AL5813">
        <v>-20.14802099999994</v>
      </c>
      <c r="AM5813">
        <v>-44.880951206225959</v>
      </c>
      <c r="AN5813">
        <v>-20.14802099999994</v>
      </c>
      <c r="AO5813">
        <v>-44.880951206225959</v>
      </c>
      <c r="AP5813">
        <v>-20.148</v>
      </c>
      <c r="AQ5813">
        <v>-44.880944999999997</v>
      </c>
      <c r="AR5813">
        <v>2.4260288619737169</v>
      </c>
      <c r="AS5813" t="s">
        <v>65</v>
      </c>
      <c r="AT5813">
        <v>1</v>
      </c>
      <c r="AU5813" t="s">
        <v>1336</v>
      </c>
      <c r="AV5813" t="s">
        <v>1337</v>
      </c>
      <c r="AW5813" t="s">
        <v>60</v>
      </c>
      <c r="AX5813" t="s">
        <v>68</v>
      </c>
      <c r="AY5813" t="s">
        <v>69</v>
      </c>
      <c r="AZ5813" t="b">
        <v>1</v>
      </c>
    </row>
    <row r="5814" spans="1:52" x14ac:dyDescent="0.3">
      <c r="A5814" t="s">
        <v>52</v>
      </c>
      <c r="B5814" t="s">
        <v>53</v>
      </c>
      <c r="C5814" t="s">
        <v>54</v>
      </c>
      <c r="D5814" t="s">
        <v>55</v>
      </c>
      <c r="E5814" t="s">
        <v>2280</v>
      </c>
      <c r="F5814" t="s">
        <v>1247</v>
      </c>
      <c r="G5814" t="s">
        <v>479</v>
      </c>
      <c r="H5814" t="s">
        <v>1338</v>
      </c>
      <c r="I5814" t="s">
        <v>1338</v>
      </c>
      <c r="J5814" t="s">
        <v>60</v>
      </c>
      <c r="K5814" t="s">
        <v>1302</v>
      </c>
      <c r="L5814" t="s">
        <v>62</v>
      </c>
      <c r="M5814" t="s">
        <v>1302</v>
      </c>
      <c r="N5814" t="s">
        <v>481</v>
      </c>
      <c r="O5814" t="s">
        <v>1339</v>
      </c>
      <c r="P5814">
        <v>-20.165590000000002</v>
      </c>
      <c r="Q5814">
        <v>-44.907876000000002</v>
      </c>
      <c r="R5814" s="2" t="str">
        <f>HYPERLINK("https://www.google.com/maps?q=-20.1655900,-44.9078760","Abrir no Google Maps")</f>
        <v>Abrir no Google Maps</v>
      </c>
      <c r="S5814">
        <v>3</v>
      </c>
      <c r="T5814">
        <v>626.07643944893005</v>
      </c>
      <c r="U5814">
        <v>2</v>
      </c>
      <c r="V5814">
        <v>1</v>
      </c>
      <c r="W5814">
        <v>0.85</v>
      </c>
      <c r="X5814">
        <v>0.85</v>
      </c>
      <c r="Y5814">
        <v>639</v>
      </c>
      <c r="Z5814">
        <v>723.2656461789519</v>
      </c>
      <c r="AA5814">
        <v>198</v>
      </c>
      <c r="AB5814">
        <v>332</v>
      </c>
      <c r="AC5814">
        <v>536</v>
      </c>
      <c r="AD5814">
        <v>27.77</v>
      </c>
      <c r="AE5814">
        <v>542</v>
      </c>
      <c r="AF5814">
        <v>26</v>
      </c>
      <c r="AG5814">
        <v>163</v>
      </c>
      <c r="AH5814">
        <v>129</v>
      </c>
      <c r="AI5814">
        <v>4.8</v>
      </c>
      <c r="AJ5814">
        <v>30.07</v>
      </c>
      <c r="AK5814">
        <v>23.8</v>
      </c>
      <c r="AL5814">
        <v>-20.16561419999994</v>
      </c>
      <c r="AM5814">
        <v>-44.907783360572083</v>
      </c>
      <c r="AN5814">
        <v>-20.16561419999994</v>
      </c>
      <c r="AO5814">
        <v>-44.907783360572083</v>
      </c>
      <c r="AP5814">
        <v>-20.165590000000002</v>
      </c>
      <c r="AQ5814">
        <v>-44.907876000000002</v>
      </c>
      <c r="AR5814">
        <v>10.04831364257741</v>
      </c>
      <c r="AS5814" t="s">
        <v>65</v>
      </c>
      <c r="AT5814">
        <v>1</v>
      </c>
      <c r="AU5814" t="s">
        <v>1340</v>
      </c>
      <c r="AV5814" t="s">
        <v>1341</v>
      </c>
      <c r="AW5814" t="s">
        <v>60</v>
      </c>
      <c r="AX5814" t="s">
        <v>68</v>
      </c>
      <c r="AY5814" t="s">
        <v>69</v>
      </c>
      <c r="AZ5814" t="b">
        <v>1</v>
      </c>
    </row>
    <row r="5815" spans="1:52" x14ac:dyDescent="0.3">
      <c r="A5815" t="s">
        <v>52</v>
      </c>
      <c r="B5815" t="s">
        <v>53</v>
      </c>
      <c r="C5815" t="s">
        <v>54</v>
      </c>
      <c r="D5815" t="s">
        <v>55</v>
      </c>
      <c r="E5815" t="s">
        <v>2280</v>
      </c>
      <c r="F5815" t="s">
        <v>1247</v>
      </c>
      <c r="G5815" t="s">
        <v>1342</v>
      </c>
      <c r="H5815" t="s">
        <v>1343</v>
      </c>
      <c r="I5815" t="s">
        <v>1343</v>
      </c>
      <c r="J5815" t="s">
        <v>60</v>
      </c>
      <c r="K5815" t="s">
        <v>462</v>
      </c>
      <c r="L5815" t="s">
        <v>62</v>
      </c>
      <c r="M5815" t="s">
        <v>462</v>
      </c>
      <c r="N5815" t="s">
        <v>921</v>
      </c>
      <c r="O5815" t="s">
        <v>1344</v>
      </c>
      <c r="P5815">
        <v>-20.137526000000001</v>
      </c>
      <c r="Q5815">
        <v>-44.912452999999999</v>
      </c>
      <c r="R5815" s="2" t="str">
        <f>HYPERLINK("https://www.google.com/maps?q=-20.1375260,-44.9124530","Abrir no Google Maps")</f>
        <v>Abrir no Google Maps</v>
      </c>
      <c r="S5815">
        <v>3</v>
      </c>
      <c r="T5815">
        <v>446.95091416730708</v>
      </c>
      <c r="U5815">
        <v>2</v>
      </c>
      <c r="V5815">
        <v>0.99074074074074081</v>
      </c>
      <c r="W5815">
        <v>0.85</v>
      </c>
      <c r="X5815">
        <v>0.84212962962962967</v>
      </c>
      <c r="Y5815">
        <v>581</v>
      </c>
      <c r="Z5815">
        <v>507.4747778269288</v>
      </c>
      <c r="AA5815">
        <v>198</v>
      </c>
      <c r="AB5815">
        <v>332</v>
      </c>
      <c r="AC5815">
        <v>536</v>
      </c>
      <c r="AD5815">
        <v>27.77</v>
      </c>
      <c r="AE5815">
        <v>542</v>
      </c>
      <c r="AF5815">
        <v>26</v>
      </c>
      <c r="AG5815">
        <v>163</v>
      </c>
      <c r="AH5815">
        <v>129</v>
      </c>
      <c r="AI5815">
        <v>4.8</v>
      </c>
      <c r="AJ5815">
        <v>30.07</v>
      </c>
      <c r="AK5815">
        <v>23.8</v>
      </c>
      <c r="AL5815">
        <v>-20.136672649999959</v>
      </c>
      <c r="AM5815">
        <v>-44.911825104396357</v>
      </c>
      <c r="AN5815">
        <v>-20.136672649999959</v>
      </c>
      <c r="AO5815">
        <v>-44.911825104396357</v>
      </c>
      <c r="AP5815">
        <v>-20.137526000000001</v>
      </c>
      <c r="AQ5815">
        <v>-44.912452999999999</v>
      </c>
      <c r="AR5815">
        <v>115.45843265992529</v>
      </c>
      <c r="AS5815" t="s">
        <v>65</v>
      </c>
      <c r="AT5815">
        <v>1</v>
      </c>
      <c r="AU5815" t="s">
        <v>1345</v>
      </c>
      <c r="AV5815" t="s">
        <v>1346</v>
      </c>
      <c r="AW5815" t="s">
        <v>60</v>
      </c>
      <c r="AX5815" t="s">
        <v>68</v>
      </c>
      <c r="AY5815" t="s">
        <v>69</v>
      </c>
      <c r="AZ5815" t="b">
        <v>1</v>
      </c>
    </row>
    <row r="5816" spans="1:52" x14ac:dyDescent="0.3">
      <c r="A5816" t="s">
        <v>52</v>
      </c>
      <c r="B5816" t="s">
        <v>53</v>
      </c>
      <c r="C5816" t="s">
        <v>54</v>
      </c>
      <c r="D5816" t="s">
        <v>55</v>
      </c>
      <c r="E5816" t="s">
        <v>2280</v>
      </c>
      <c r="F5816" t="s">
        <v>1247</v>
      </c>
      <c r="G5816" t="s">
        <v>1347</v>
      </c>
      <c r="H5816" t="s">
        <v>1348</v>
      </c>
      <c r="I5816" t="s">
        <v>1348</v>
      </c>
      <c r="J5816" t="s">
        <v>60</v>
      </c>
      <c r="K5816" t="s">
        <v>1349</v>
      </c>
      <c r="L5816" t="s">
        <v>62</v>
      </c>
      <c r="M5816" t="s">
        <v>1349</v>
      </c>
      <c r="N5816" t="s">
        <v>1350</v>
      </c>
      <c r="O5816" t="s">
        <v>1351</v>
      </c>
      <c r="P5816">
        <v>-20.140426999999999</v>
      </c>
      <c r="Q5816">
        <v>-44.905327999999997</v>
      </c>
      <c r="R5816" s="2" t="str">
        <f>HYPERLINK("https://www.google.com/maps?q=-20.1404270,-44.9053280","Abrir no Google Maps")</f>
        <v>Abrir no Google Maps</v>
      </c>
      <c r="S5816">
        <v>3</v>
      </c>
      <c r="T5816">
        <v>359.5810968231857</v>
      </c>
      <c r="U5816">
        <v>2</v>
      </c>
      <c r="V5816">
        <v>0.99774774774774777</v>
      </c>
      <c r="W5816">
        <v>0.85</v>
      </c>
      <c r="X5816">
        <v>0.84808558558558556</v>
      </c>
      <c r="Y5816">
        <v>581</v>
      </c>
      <c r="Z5816">
        <v>292.370097058873</v>
      </c>
      <c r="AA5816">
        <v>198</v>
      </c>
      <c r="AB5816">
        <v>332</v>
      </c>
      <c r="AC5816">
        <v>536</v>
      </c>
      <c r="AD5816">
        <v>27.77</v>
      </c>
      <c r="AE5816">
        <v>542</v>
      </c>
      <c r="AF5816">
        <v>26</v>
      </c>
      <c r="AG5816">
        <v>163</v>
      </c>
      <c r="AH5816">
        <v>129</v>
      </c>
      <c r="AI5816">
        <v>4.8</v>
      </c>
      <c r="AJ5816">
        <v>30.07</v>
      </c>
      <c r="AK5816">
        <v>23.8</v>
      </c>
      <c r="AL5816">
        <v>-20.140465449999969</v>
      </c>
      <c r="AM5816">
        <v>-44.905317129037229</v>
      </c>
      <c r="AN5816">
        <v>-20.140465449999969</v>
      </c>
      <c r="AO5816">
        <v>-44.905317129037229</v>
      </c>
      <c r="AP5816">
        <v>-20.140426999999999</v>
      </c>
      <c r="AQ5816">
        <v>-44.905327999999997</v>
      </c>
      <c r="AR5816">
        <v>4.4284788644958706</v>
      </c>
      <c r="AS5816" t="s">
        <v>65</v>
      </c>
      <c r="AT5816">
        <v>1</v>
      </c>
      <c r="AU5816" t="s">
        <v>1352</v>
      </c>
      <c r="AV5816" t="s">
        <v>1353</v>
      </c>
      <c r="AW5816" t="s">
        <v>60</v>
      </c>
      <c r="AX5816" t="s">
        <v>68</v>
      </c>
      <c r="AY5816" t="s">
        <v>69</v>
      </c>
      <c r="AZ5816" t="b">
        <v>1</v>
      </c>
    </row>
    <row r="5817" spans="1:52" x14ac:dyDescent="0.3">
      <c r="A5817" t="s">
        <v>52</v>
      </c>
      <c r="B5817" t="s">
        <v>53</v>
      </c>
      <c r="C5817" t="s">
        <v>54</v>
      </c>
      <c r="D5817" t="s">
        <v>55</v>
      </c>
      <c r="E5817" t="s">
        <v>2280</v>
      </c>
      <c r="F5817" t="s">
        <v>1247</v>
      </c>
      <c r="G5817" t="s">
        <v>1354</v>
      </c>
      <c r="H5817" t="s">
        <v>1355</v>
      </c>
      <c r="I5817" t="s">
        <v>1355</v>
      </c>
      <c r="J5817" t="s">
        <v>60</v>
      </c>
      <c r="K5817" t="s">
        <v>1356</v>
      </c>
      <c r="L5817" t="s">
        <v>62</v>
      </c>
      <c r="M5817" t="s">
        <v>1356</v>
      </c>
      <c r="N5817" t="s">
        <v>1357</v>
      </c>
      <c r="O5817" t="s">
        <v>315</v>
      </c>
      <c r="P5817">
        <v>-20.132080999999999</v>
      </c>
      <c r="Q5817">
        <v>-44.908614</v>
      </c>
      <c r="R5817" s="2" t="str">
        <f>HYPERLINK("https://www.google.com/maps?q=-20.1320810,-44.9086140","Abrir no Google Maps")</f>
        <v>Abrir no Google Maps</v>
      </c>
      <c r="S5817">
        <v>3</v>
      </c>
      <c r="T5817">
        <v>701.02570959373259</v>
      </c>
      <c r="U5817">
        <v>2</v>
      </c>
      <c r="V5817">
        <v>0.98870967741935478</v>
      </c>
      <c r="W5817">
        <v>0.85</v>
      </c>
      <c r="X5817">
        <v>0.84040322580645155</v>
      </c>
      <c r="Y5817">
        <v>581</v>
      </c>
      <c r="Z5817">
        <v>811.38061352229215</v>
      </c>
      <c r="AA5817">
        <v>198</v>
      </c>
      <c r="AB5817">
        <v>332</v>
      </c>
      <c r="AC5817">
        <v>536</v>
      </c>
      <c r="AD5817">
        <v>27.77</v>
      </c>
      <c r="AE5817">
        <v>542</v>
      </c>
      <c r="AF5817">
        <v>26</v>
      </c>
      <c r="AG5817">
        <v>163</v>
      </c>
      <c r="AH5817">
        <v>129</v>
      </c>
      <c r="AI5817">
        <v>4.8</v>
      </c>
      <c r="AJ5817">
        <v>30.07</v>
      </c>
      <c r="AK5817">
        <v>23.8</v>
      </c>
      <c r="AL5817">
        <v>-20.132063499999951</v>
      </c>
      <c r="AM5817">
        <v>-44.908630454878519</v>
      </c>
      <c r="AN5817">
        <v>-20.132063499999951</v>
      </c>
      <c r="AO5817">
        <v>-44.908630454878519</v>
      </c>
      <c r="AP5817">
        <v>-20.132080999999999</v>
      </c>
      <c r="AQ5817">
        <v>-44.908614</v>
      </c>
      <c r="AR5817">
        <v>2.5986425761911551</v>
      </c>
      <c r="AS5817" t="s">
        <v>65</v>
      </c>
      <c r="AT5817">
        <v>1</v>
      </c>
      <c r="AU5817" t="s">
        <v>1358</v>
      </c>
      <c r="AV5817" t="s">
        <v>1359</v>
      </c>
      <c r="AW5817" t="s">
        <v>60</v>
      </c>
      <c r="AX5817" t="s">
        <v>68</v>
      </c>
      <c r="AY5817" t="s">
        <v>69</v>
      </c>
      <c r="AZ5817" t="b">
        <v>1</v>
      </c>
    </row>
    <row r="5818" spans="1:52" x14ac:dyDescent="0.3">
      <c r="A5818" t="s">
        <v>52</v>
      </c>
      <c r="B5818" t="s">
        <v>53</v>
      </c>
      <c r="C5818" t="s">
        <v>54</v>
      </c>
      <c r="D5818" t="s">
        <v>55</v>
      </c>
      <c r="E5818" t="s">
        <v>2280</v>
      </c>
      <c r="F5818" t="s">
        <v>1247</v>
      </c>
      <c r="G5818" t="s">
        <v>858</v>
      </c>
      <c r="H5818" t="s">
        <v>1360</v>
      </c>
      <c r="I5818" t="s">
        <v>1360</v>
      </c>
      <c r="J5818" t="s">
        <v>60</v>
      </c>
      <c r="K5818" t="s">
        <v>1356</v>
      </c>
      <c r="L5818" t="s">
        <v>62</v>
      </c>
      <c r="M5818" t="s">
        <v>1356</v>
      </c>
      <c r="N5818" t="s">
        <v>860</v>
      </c>
      <c r="O5818" t="s">
        <v>1361</v>
      </c>
      <c r="P5818">
        <v>-20.134969000000002</v>
      </c>
      <c r="Q5818">
        <v>-44.909384000000003</v>
      </c>
      <c r="R5818" s="2" t="str">
        <f>HYPERLINK("https://www.google.com/maps?q=-20.1349690,-44.9093840","Abrir no Google Maps")</f>
        <v>Abrir no Google Maps</v>
      </c>
      <c r="S5818">
        <v>3</v>
      </c>
      <c r="T5818">
        <v>413.6655911675532</v>
      </c>
      <c r="U5818">
        <v>2</v>
      </c>
      <c r="V5818">
        <v>0.98926380368098155</v>
      </c>
      <c r="W5818">
        <v>0.85</v>
      </c>
      <c r="X5818">
        <v>0.84087423312883425</v>
      </c>
      <c r="Y5818">
        <v>581</v>
      </c>
      <c r="Z5818">
        <v>555.30228470489919</v>
      </c>
      <c r="AA5818">
        <v>198</v>
      </c>
      <c r="AB5818">
        <v>332</v>
      </c>
      <c r="AC5818">
        <v>536</v>
      </c>
      <c r="AD5818">
        <v>27.77</v>
      </c>
      <c r="AE5818">
        <v>542</v>
      </c>
      <c r="AF5818">
        <v>26</v>
      </c>
      <c r="AG5818">
        <v>163</v>
      </c>
      <c r="AH5818">
        <v>129</v>
      </c>
      <c r="AI5818">
        <v>4.8</v>
      </c>
      <c r="AJ5818">
        <v>30.07</v>
      </c>
      <c r="AK5818">
        <v>23.8</v>
      </c>
      <c r="AL5818">
        <v>-20.134922099999951</v>
      </c>
      <c r="AM5818">
        <v>-44.909483975879112</v>
      </c>
      <c r="AN5818">
        <v>-20.134922099999951</v>
      </c>
      <c r="AO5818">
        <v>-44.909483975879112</v>
      </c>
      <c r="AP5818">
        <v>-20.134969000000002</v>
      </c>
      <c r="AQ5818">
        <v>-44.909384000000003</v>
      </c>
      <c r="AR5818">
        <v>11.68085867639515</v>
      </c>
      <c r="AS5818" t="s">
        <v>65</v>
      </c>
      <c r="AT5818">
        <v>1</v>
      </c>
      <c r="AU5818" t="s">
        <v>1362</v>
      </c>
      <c r="AV5818" t="s">
        <v>1363</v>
      </c>
      <c r="AW5818" t="s">
        <v>60</v>
      </c>
      <c r="AX5818" t="s">
        <v>68</v>
      </c>
      <c r="AY5818" t="s">
        <v>69</v>
      </c>
      <c r="AZ5818" t="b">
        <v>1</v>
      </c>
    </row>
    <row r="5819" spans="1:52" x14ac:dyDescent="0.3">
      <c r="A5819" t="s">
        <v>52</v>
      </c>
      <c r="B5819" t="s">
        <v>53</v>
      </c>
      <c r="C5819" t="s">
        <v>54</v>
      </c>
      <c r="D5819" t="s">
        <v>55</v>
      </c>
      <c r="E5819" t="s">
        <v>2280</v>
      </c>
      <c r="F5819" t="s">
        <v>1247</v>
      </c>
      <c r="G5819" t="s">
        <v>1364</v>
      </c>
      <c r="H5819" t="s">
        <v>1365</v>
      </c>
      <c r="I5819" t="s">
        <v>1365</v>
      </c>
      <c r="J5819" t="s">
        <v>60</v>
      </c>
      <c r="K5819" t="s">
        <v>1356</v>
      </c>
      <c r="L5819" t="s">
        <v>62</v>
      </c>
      <c r="M5819" t="s">
        <v>1356</v>
      </c>
      <c r="N5819" t="s">
        <v>1366</v>
      </c>
      <c r="O5819" t="s">
        <v>548</v>
      </c>
      <c r="P5819">
        <v>-20.131240999999999</v>
      </c>
      <c r="Q5819">
        <v>-44.910567999999998</v>
      </c>
      <c r="R5819" s="2" t="str">
        <f>HYPERLINK("https://www.google.com/maps?q=-20.1312410,-44.9105680","Abrir no Google Maps")</f>
        <v>Abrir no Google Maps</v>
      </c>
      <c r="S5819">
        <v>3</v>
      </c>
      <c r="T5819">
        <v>822.61354861726704</v>
      </c>
      <c r="U5819">
        <v>2</v>
      </c>
      <c r="V5819">
        <v>0.99462365591397839</v>
      </c>
      <c r="W5819">
        <v>0.85</v>
      </c>
      <c r="X5819">
        <v>0.84543010752688164</v>
      </c>
      <c r="Y5819">
        <v>581</v>
      </c>
      <c r="Z5819">
        <v>982.3990834787046</v>
      </c>
      <c r="AA5819">
        <v>198</v>
      </c>
      <c r="AB5819">
        <v>332</v>
      </c>
      <c r="AC5819">
        <v>536</v>
      </c>
      <c r="AD5819">
        <v>27.77</v>
      </c>
      <c r="AE5819">
        <v>542</v>
      </c>
      <c r="AF5819">
        <v>26</v>
      </c>
      <c r="AG5819">
        <v>163</v>
      </c>
      <c r="AH5819">
        <v>129</v>
      </c>
      <c r="AI5819">
        <v>4.8</v>
      </c>
      <c r="AJ5819">
        <v>30.07</v>
      </c>
      <c r="AK5819">
        <v>23.8</v>
      </c>
      <c r="AL5819">
        <v>-20.131367099999981</v>
      </c>
      <c r="AM5819">
        <v>-44.910597350758543</v>
      </c>
      <c r="AN5819">
        <v>-20.131367099999981</v>
      </c>
      <c r="AO5819">
        <v>-44.910597350758543</v>
      </c>
      <c r="AP5819">
        <v>-20.131240999999999</v>
      </c>
      <c r="AQ5819">
        <v>-44.910567999999998</v>
      </c>
      <c r="AR5819">
        <v>14.36874794070623</v>
      </c>
      <c r="AS5819" t="s">
        <v>65</v>
      </c>
      <c r="AT5819">
        <v>1</v>
      </c>
      <c r="AU5819" t="s">
        <v>1367</v>
      </c>
      <c r="AV5819" t="s">
        <v>1368</v>
      </c>
      <c r="AW5819" t="s">
        <v>60</v>
      </c>
      <c r="AX5819" t="s">
        <v>68</v>
      </c>
      <c r="AY5819" t="s">
        <v>69</v>
      </c>
      <c r="AZ5819" t="b">
        <v>1</v>
      </c>
    </row>
    <row r="5820" spans="1:52" x14ac:dyDescent="0.3">
      <c r="A5820" t="s">
        <v>52</v>
      </c>
      <c r="B5820" t="s">
        <v>53</v>
      </c>
      <c r="C5820" t="s">
        <v>54</v>
      </c>
      <c r="D5820" t="s">
        <v>55</v>
      </c>
      <c r="E5820" t="s">
        <v>2280</v>
      </c>
      <c r="F5820" t="s">
        <v>1247</v>
      </c>
      <c r="G5820" t="s">
        <v>858</v>
      </c>
      <c r="H5820" t="s">
        <v>859</v>
      </c>
      <c r="I5820" t="s">
        <v>859</v>
      </c>
      <c r="J5820" t="s">
        <v>60</v>
      </c>
      <c r="K5820" t="s">
        <v>462</v>
      </c>
      <c r="L5820" t="s">
        <v>62</v>
      </c>
      <c r="M5820" t="s">
        <v>462</v>
      </c>
      <c r="N5820" t="s">
        <v>860</v>
      </c>
      <c r="O5820" t="s">
        <v>861</v>
      </c>
      <c r="P5820">
        <v>-20.139693999999999</v>
      </c>
      <c r="Q5820">
        <v>-44.911256000000002</v>
      </c>
      <c r="R5820" s="2" t="str">
        <f>HYPERLINK("https://www.google.com/maps?q=-20.1396940,-44.9112560","Abrir no Google Maps")</f>
        <v>Abrir no Google Maps</v>
      </c>
      <c r="S5820">
        <v>3</v>
      </c>
      <c r="T5820">
        <v>380.48036838042862</v>
      </c>
      <c r="U5820">
        <v>2</v>
      </c>
      <c r="V5820">
        <v>0.98893805309734517</v>
      </c>
      <c r="W5820">
        <v>0.85</v>
      </c>
      <c r="X5820">
        <v>0.84059734513274342</v>
      </c>
      <c r="Y5820">
        <v>581</v>
      </c>
      <c r="Z5820">
        <v>374.61146000000178</v>
      </c>
      <c r="AA5820">
        <v>198</v>
      </c>
      <c r="AB5820">
        <v>332</v>
      </c>
      <c r="AC5820">
        <v>536</v>
      </c>
      <c r="AD5820">
        <v>27.77</v>
      </c>
      <c r="AE5820">
        <v>542</v>
      </c>
      <c r="AF5820">
        <v>26</v>
      </c>
      <c r="AG5820">
        <v>163</v>
      </c>
      <c r="AH5820">
        <v>129</v>
      </c>
      <c r="AI5820">
        <v>4.8</v>
      </c>
      <c r="AJ5820">
        <v>30.07</v>
      </c>
      <c r="AK5820">
        <v>23.8</v>
      </c>
      <c r="AL5820">
        <v>-20.139768699999959</v>
      </c>
      <c r="AM5820">
        <v>-44.911265351587588</v>
      </c>
      <c r="AN5820">
        <v>-20.139768699999959</v>
      </c>
      <c r="AO5820">
        <v>-44.911265351587588</v>
      </c>
      <c r="AP5820">
        <v>-20.139693999999999</v>
      </c>
      <c r="AQ5820">
        <v>-44.911256000000002</v>
      </c>
      <c r="AR5820">
        <v>8.3728438666521061</v>
      </c>
      <c r="AS5820" t="s">
        <v>65</v>
      </c>
      <c r="AT5820">
        <v>1</v>
      </c>
      <c r="AU5820" t="s">
        <v>862</v>
      </c>
      <c r="AV5820" t="s">
        <v>863</v>
      </c>
      <c r="AW5820" t="s">
        <v>60</v>
      </c>
      <c r="AX5820" t="s">
        <v>68</v>
      </c>
      <c r="AY5820" t="s">
        <v>69</v>
      </c>
      <c r="AZ5820" t="b">
        <v>1</v>
      </c>
    </row>
    <row r="5821" spans="1:52" x14ac:dyDescent="0.3">
      <c r="A5821" t="s">
        <v>52</v>
      </c>
      <c r="B5821" t="s">
        <v>53</v>
      </c>
      <c r="C5821" t="s">
        <v>54</v>
      </c>
      <c r="D5821" t="s">
        <v>55</v>
      </c>
      <c r="E5821" t="s">
        <v>2280</v>
      </c>
      <c r="F5821" t="s">
        <v>1247</v>
      </c>
      <c r="G5821" t="s">
        <v>1300</v>
      </c>
      <c r="H5821" t="s">
        <v>1372</v>
      </c>
      <c r="I5821" t="s">
        <v>1372</v>
      </c>
      <c r="J5821" t="s">
        <v>60</v>
      </c>
      <c r="K5821" t="s">
        <v>486</v>
      </c>
      <c r="L5821" t="s">
        <v>62</v>
      </c>
      <c r="M5821" t="s">
        <v>486</v>
      </c>
      <c r="N5821" t="s">
        <v>1303</v>
      </c>
      <c r="O5821" t="s">
        <v>1373</v>
      </c>
      <c r="P5821">
        <v>-20.170458</v>
      </c>
      <c r="Q5821">
        <v>-44.900936000000002</v>
      </c>
      <c r="R5821" s="2" t="str">
        <f>HYPERLINK("https://www.google.com/maps?q=-20.1704580,-44.9009360","Abrir no Google Maps")</f>
        <v>Abrir no Google Maps</v>
      </c>
      <c r="S5821">
        <v>3</v>
      </c>
      <c r="T5821">
        <v>470.55793133653339</v>
      </c>
      <c r="U5821">
        <v>2</v>
      </c>
      <c r="V5821">
        <v>1</v>
      </c>
      <c r="W5821">
        <v>0.85</v>
      </c>
      <c r="X5821">
        <v>0.85</v>
      </c>
      <c r="Y5821">
        <v>578</v>
      </c>
      <c r="Z5821">
        <v>645.48909402437766</v>
      </c>
      <c r="AA5821">
        <v>198</v>
      </c>
      <c r="AB5821">
        <v>332</v>
      </c>
      <c r="AC5821">
        <v>536</v>
      </c>
      <c r="AD5821">
        <v>27.77</v>
      </c>
      <c r="AE5821">
        <v>542</v>
      </c>
      <c r="AF5821">
        <v>26</v>
      </c>
      <c r="AG5821">
        <v>163</v>
      </c>
      <c r="AH5821">
        <v>129</v>
      </c>
      <c r="AI5821">
        <v>4.8</v>
      </c>
      <c r="AJ5821">
        <v>30.07</v>
      </c>
      <c r="AK5821">
        <v>23.8</v>
      </c>
      <c r="AL5821">
        <v>-20.17025029999996</v>
      </c>
      <c r="AM5821">
        <v>-44.901067235372473</v>
      </c>
      <c r="AN5821">
        <v>-20.17025029999996</v>
      </c>
      <c r="AO5821">
        <v>-44.901067235372473</v>
      </c>
      <c r="AP5821">
        <v>-20.170458</v>
      </c>
      <c r="AQ5821">
        <v>-44.900936000000002</v>
      </c>
      <c r="AR5821">
        <v>26.88195352459519</v>
      </c>
      <c r="AS5821" t="s">
        <v>65</v>
      </c>
      <c r="AT5821">
        <v>1</v>
      </c>
      <c r="AU5821" t="s">
        <v>1374</v>
      </c>
      <c r="AV5821" t="s">
        <v>1375</v>
      </c>
      <c r="AW5821" t="s">
        <v>60</v>
      </c>
      <c r="AX5821" t="s">
        <v>68</v>
      </c>
      <c r="AY5821" t="s">
        <v>69</v>
      </c>
      <c r="AZ5821" t="b">
        <v>1</v>
      </c>
    </row>
    <row r="5822" spans="1:52" x14ac:dyDescent="0.3">
      <c r="A5822" t="s">
        <v>52</v>
      </c>
      <c r="B5822" t="s">
        <v>53</v>
      </c>
      <c r="C5822" t="s">
        <v>54</v>
      </c>
      <c r="D5822" t="s">
        <v>55</v>
      </c>
      <c r="E5822" t="s">
        <v>2280</v>
      </c>
      <c r="F5822" t="s">
        <v>1247</v>
      </c>
      <c r="G5822" t="s">
        <v>1376</v>
      </c>
      <c r="H5822" t="s">
        <v>1377</v>
      </c>
      <c r="I5822" t="s">
        <v>1377</v>
      </c>
      <c r="J5822" t="s">
        <v>60</v>
      </c>
      <c r="K5822" t="s">
        <v>475</v>
      </c>
      <c r="L5822" t="s">
        <v>62</v>
      </c>
      <c r="M5822" t="s">
        <v>475</v>
      </c>
      <c r="N5822" t="s">
        <v>1378</v>
      </c>
      <c r="O5822" t="s">
        <v>1379</v>
      </c>
      <c r="P5822">
        <v>-20.175298000000002</v>
      </c>
      <c r="Q5822">
        <v>-44.904794000000003</v>
      </c>
      <c r="R5822" s="2" t="str">
        <f>HYPERLINK("https://www.google.com/maps?q=-20.1752980,-44.9047940","Abrir no Google Maps")</f>
        <v>Abrir no Google Maps</v>
      </c>
      <c r="S5822">
        <v>3</v>
      </c>
      <c r="T5822">
        <v>497.7557906927301</v>
      </c>
      <c r="U5822">
        <v>2</v>
      </c>
      <c r="V5822">
        <v>0.99806201550387597</v>
      </c>
      <c r="W5822">
        <v>0.85</v>
      </c>
      <c r="X5822">
        <v>0.84835271317829453</v>
      </c>
      <c r="Y5822">
        <v>578</v>
      </c>
      <c r="Z5822">
        <v>363.80816567363502</v>
      </c>
      <c r="AA5822">
        <v>198</v>
      </c>
      <c r="AB5822">
        <v>332</v>
      </c>
      <c r="AC5822">
        <v>536</v>
      </c>
      <c r="AD5822">
        <v>27.77</v>
      </c>
      <c r="AE5822">
        <v>542</v>
      </c>
      <c r="AF5822">
        <v>26</v>
      </c>
      <c r="AG5822">
        <v>163</v>
      </c>
      <c r="AH5822">
        <v>129</v>
      </c>
      <c r="AI5822">
        <v>4.8</v>
      </c>
      <c r="AJ5822">
        <v>30.07</v>
      </c>
      <c r="AK5822">
        <v>23.8</v>
      </c>
      <c r="AL5822">
        <v>-20.17530484999995</v>
      </c>
      <c r="AM5822">
        <v>-44.904834224351781</v>
      </c>
      <c r="AN5822">
        <v>-20.17530484999995</v>
      </c>
      <c r="AO5822">
        <v>-44.904834224351781</v>
      </c>
      <c r="AP5822">
        <v>-20.175298000000002</v>
      </c>
      <c r="AQ5822">
        <v>-44.904794000000003</v>
      </c>
      <c r="AR5822">
        <v>4.2716392411563806</v>
      </c>
      <c r="AS5822" t="s">
        <v>65</v>
      </c>
      <c r="AT5822">
        <v>1</v>
      </c>
      <c r="AU5822" t="s">
        <v>1380</v>
      </c>
      <c r="AV5822" t="s">
        <v>1381</v>
      </c>
      <c r="AW5822" t="s">
        <v>60</v>
      </c>
      <c r="AX5822" t="s">
        <v>68</v>
      </c>
      <c r="AY5822" t="s">
        <v>69</v>
      </c>
      <c r="AZ5822" t="b">
        <v>1</v>
      </c>
    </row>
    <row r="5823" spans="1:52" x14ac:dyDescent="0.3">
      <c r="A5823" t="s">
        <v>52</v>
      </c>
      <c r="B5823" t="s">
        <v>53</v>
      </c>
      <c r="C5823" t="s">
        <v>54</v>
      </c>
      <c r="D5823" t="s">
        <v>55</v>
      </c>
      <c r="E5823" t="s">
        <v>2280</v>
      </c>
      <c r="F5823" t="s">
        <v>1247</v>
      </c>
      <c r="G5823" t="s">
        <v>1382</v>
      </c>
      <c r="H5823" t="s">
        <v>1383</v>
      </c>
      <c r="I5823" t="s">
        <v>1383</v>
      </c>
      <c r="J5823" t="s">
        <v>60</v>
      </c>
      <c r="K5823" t="s">
        <v>1384</v>
      </c>
      <c r="L5823" t="s">
        <v>62</v>
      </c>
      <c r="M5823" t="s">
        <v>1384</v>
      </c>
      <c r="N5823" t="s">
        <v>1385</v>
      </c>
      <c r="O5823" t="s">
        <v>1379</v>
      </c>
      <c r="P5823">
        <v>-20.168914999999998</v>
      </c>
      <c r="Q5823">
        <v>-44.897015000000003</v>
      </c>
      <c r="R5823" s="2" t="str">
        <f>HYPERLINK("https://www.google.com/maps?q=-20.1689150,-44.8970150","Abrir no Google Maps")</f>
        <v>Abrir no Google Maps</v>
      </c>
      <c r="S5823">
        <v>3</v>
      </c>
      <c r="T5823">
        <v>1082.4313448281291</v>
      </c>
      <c r="U5823">
        <v>2</v>
      </c>
      <c r="V5823">
        <v>0.97826086956521741</v>
      </c>
      <c r="W5823">
        <v>0.85</v>
      </c>
      <c r="X5823">
        <v>0.83152173913043481</v>
      </c>
      <c r="Y5823">
        <v>578</v>
      </c>
      <c r="Z5823">
        <v>1085.6751638476369</v>
      </c>
      <c r="AA5823">
        <v>198</v>
      </c>
      <c r="AB5823">
        <v>332</v>
      </c>
      <c r="AC5823">
        <v>536</v>
      </c>
      <c r="AD5823">
        <v>27.77</v>
      </c>
      <c r="AE5823">
        <v>542</v>
      </c>
      <c r="AF5823">
        <v>26</v>
      </c>
      <c r="AG5823">
        <v>163</v>
      </c>
      <c r="AH5823">
        <v>129</v>
      </c>
      <c r="AI5823">
        <v>4.8</v>
      </c>
      <c r="AJ5823">
        <v>30.07</v>
      </c>
      <c r="AK5823">
        <v>23.8</v>
      </c>
      <c r="AL5823">
        <v>-20.168195549999979</v>
      </c>
      <c r="AM5823">
        <v>-44.895555997240763</v>
      </c>
      <c r="AN5823">
        <v>-20.168195549999979</v>
      </c>
      <c r="AO5823">
        <v>-44.895555997240763</v>
      </c>
      <c r="AP5823">
        <v>-20.168914999999998</v>
      </c>
      <c r="AQ5823">
        <v>-44.897015000000003</v>
      </c>
      <c r="AR5823">
        <v>172.21377736735809</v>
      </c>
      <c r="AS5823" t="s">
        <v>65</v>
      </c>
      <c r="AT5823">
        <v>1</v>
      </c>
      <c r="AU5823" t="s">
        <v>1386</v>
      </c>
      <c r="AV5823" t="s">
        <v>1387</v>
      </c>
      <c r="AW5823" t="s">
        <v>60</v>
      </c>
      <c r="AX5823" t="s">
        <v>68</v>
      </c>
      <c r="AY5823" t="s">
        <v>69</v>
      </c>
      <c r="AZ5823" t="b">
        <v>1</v>
      </c>
    </row>
    <row r="5824" spans="1:52" x14ac:dyDescent="0.3">
      <c r="A5824" t="s">
        <v>52</v>
      </c>
      <c r="B5824" t="s">
        <v>53</v>
      </c>
      <c r="C5824" t="s">
        <v>54</v>
      </c>
      <c r="D5824" t="s">
        <v>55</v>
      </c>
      <c r="E5824" t="s">
        <v>2280</v>
      </c>
      <c r="F5824" t="s">
        <v>1247</v>
      </c>
      <c r="G5824" t="s">
        <v>1393</v>
      </c>
      <c r="H5824" t="s">
        <v>1394</v>
      </c>
      <c r="I5824" t="s">
        <v>1394</v>
      </c>
      <c r="J5824" t="s">
        <v>60</v>
      </c>
      <c r="K5824" t="s">
        <v>388</v>
      </c>
      <c r="L5824" t="s">
        <v>62</v>
      </c>
      <c r="M5824" t="s">
        <v>388</v>
      </c>
      <c r="N5824" t="s">
        <v>1395</v>
      </c>
      <c r="O5824" t="s">
        <v>1396</v>
      </c>
      <c r="P5824">
        <v>-20.167425000000001</v>
      </c>
      <c r="Q5824">
        <v>-44.907733999999998</v>
      </c>
      <c r="R5824" s="2" t="str">
        <f>HYPERLINK("https://www.google.com/maps?q=-20.1674250,-44.9077340","Abrir no Google Maps")</f>
        <v>Abrir no Google Maps</v>
      </c>
      <c r="S5824">
        <v>3</v>
      </c>
      <c r="T5824">
        <v>424.62372109792739</v>
      </c>
      <c r="U5824">
        <v>2</v>
      </c>
      <c r="V5824">
        <v>1</v>
      </c>
      <c r="W5824">
        <v>0.85</v>
      </c>
      <c r="X5824">
        <v>0.85</v>
      </c>
      <c r="Y5824">
        <v>578</v>
      </c>
      <c r="Z5824">
        <v>559.08337206965382</v>
      </c>
      <c r="AA5824">
        <v>198</v>
      </c>
      <c r="AB5824">
        <v>332</v>
      </c>
      <c r="AC5824">
        <v>536</v>
      </c>
      <c r="AD5824">
        <v>27.77</v>
      </c>
      <c r="AE5824">
        <v>542</v>
      </c>
      <c r="AF5824">
        <v>26</v>
      </c>
      <c r="AG5824">
        <v>163</v>
      </c>
      <c r="AH5824">
        <v>129</v>
      </c>
      <c r="AI5824">
        <v>4.8</v>
      </c>
      <c r="AJ5824">
        <v>30.07</v>
      </c>
      <c r="AK5824">
        <v>23.8</v>
      </c>
      <c r="AL5824">
        <v>-20.167592099999951</v>
      </c>
      <c r="AM5824">
        <v>-44.907664214502859</v>
      </c>
      <c r="AN5824">
        <v>-20.167592099999951</v>
      </c>
      <c r="AO5824">
        <v>-44.907664214502859</v>
      </c>
      <c r="AP5824">
        <v>-20.167425000000001</v>
      </c>
      <c r="AQ5824">
        <v>-44.907733999999998</v>
      </c>
      <c r="AR5824">
        <v>19.979863459652229</v>
      </c>
      <c r="AS5824" t="s">
        <v>65</v>
      </c>
      <c r="AT5824">
        <v>1</v>
      </c>
      <c r="AU5824" t="s">
        <v>1397</v>
      </c>
      <c r="AV5824" t="s">
        <v>1398</v>
      </c>
      <c r="AW5824" t="s">
        <v>60</v>
      </c>
      <c r="AX5824" t="s">
        <v>68</v>
      </c>
      <c r="AY5824" t="s">
        <v>69</v>
      </c>
      <c r="AZ5824" t="b">
        <v>1</v>
      </c>
    </row>
    <row r="5825" spans="1:52" x14ac:dyDescent="0.3">
      <c r="A5825" t="s">
        <v>52</v>
      </c>
      <c r="B5825" t="s">
        <v>53</v>
      </c>
      <c r="C5825" t="s">
        <v>54</v>
      </c>
      <c r="D5825" t="s">
        <v>55</v>
      </c>
      <c r="E5825" t="s">
        <v>2280</v>
      </c>
      <c r="F5825" t="s">
        <v>1247</v>
      </c>
      <c r="G5825" t="s">
        <v>815</v>
      </c>
      <c r="H5825" t="s">
        <v>1404</v>
      </c>
      <c r="I5825" t="s">
        <v>1404</v>
      </c>
      <c r="J5825" t="s">
        <v>60</v>
      </c>
      <c r="K5825" t="s">
        <v>512</v>
      </c>
      <c r="L5825" t="s">
        <v>62</v>
      </c>
      <c r="M5825" t="s">
        <v>512</v>
      </c>
      <c r="N5825" t="s">
        <v>817</v>
      </c>
      <c r="O5825" t="s">
        <v>1405</v>
      </c>
      <c r="P5825">
        <v>-20.129069999999999</v>
      </c>
      <c r="Q5825">
        <v>-44.888452000000001</v>
      </c>
      <c r="R5825" s="2" t="str">
        <f>HYPERLINK("https://www.google.com/maps?q=-20.1290700,-44.8884520","Abrir no Google Maps")</f>
        <v>Abrir no Google Maps</v>
      </c>
      <c r="S5825">
        <v>3</v>
      </c>
      <c r="T5825">
        <v>0</v>
      </c>
      <c r="U5825">
        <v>2</v>
      </c>
      <c r="V5825">
        <v>0.99629629629629624</v>
      </c>
      <c r="W5825">
        <v>0.85</v>
      </c>
      <c r="X5825">
        <v>0.84685185185185174</v>
      </c>
      <c r="Y5825">
        <v>564</v>
      </c>
      <c r="Z5825">
        <v>95.870354837220688</v>
      </c>
      <c r="AA5825">
        <v>198</v>
      </c>
      <c r="AB5825">
        <v>332</v>
      </c>
      <c r="AC5825">
        <v>536</v>
      </c>
      <c r="AD5825">
        <v>27.77</v>
      </c>
      <c r="AE5825">
        <v>542</v>
      </c>
      <c r="AF5825">
        <v>26</v>
      </c>
      <c r="AG5825">
        <v>163</v>
      </c>
      <c r="AH5825">
        <v>129</v>
      </c>
      <c r="AI5825">
        <v>4.8</v>
      </c>
      <c r="AJ5825">
        <v>30.07</v>
      </c>
      <c r="AK5825">
        <v>23.8</v>
      </c>
      <c r="AL5825">
        <v>-20.12899334999997</v>
      </c>
      <c r="AM5825">
        <v>-44.888406102471222</v>
      </c>
      <c r="AN5825">
        <v>-20.12899334999997</v>
      </c>
      <c r="AO5825">
        <v>-44.888406102471222</v>
      </c>
      <c r="AP5825">
        <v>-20.129069999999999</v>
      </c>
      <c r="AQ5825">
        <v>-44.888452000000001</v>
      </c>
      <c r="AR5825">
        <v>9.7887731150376265</v>
      </c>
      <c r="AS5825" t="s">
        <v>65</v>
      </c>
      <c r="AT5825">
        <v>1</v>
      </c>
      <c r="AU5825" t="s">
        <v>1406</v>
      </c>
      <c r="AV5825" t="s">
        <v>1407</v>
      </c>
      <c r="AW5825" t="s">
        <v>60</v>
      </c>
      <c r="AX5825" t="s">
        <v>68</v>
      </c>
      <c r="AY5825" t="s">
        <v>69</v>
      </c>
      <c r="AZ5825" t="b">
        <v>1</v>
      </c>
    </row>
    <row r="5826" spans="1:52" x14ac:dyDescent="0.3">
      <c r="A5826" t="s">
        <v>52</v>
      </c>
      <c r="B5826" t="s">
        <v>53</v>
      </c>
      <c r="C5826" t="s">
        <v>54</v>
      </c>
      <c r="D5826" t="s">
        <v>55</v>
      </c>
      <c r="E5826" t="s">
        <v>2280</v>
      </c>
      <c r="F5826" t="s">
        <v>1247</v>
      </c>
      <c r="G5826" t="s">
        <v>1429</v>
      </c>
      <c r="H5826" t="s">
        <v>1430</v>
      </c>
      <c r="I5826" t="s">
        <v>1430</v>
      </c>
      <c r="J5826" t="s">
        <v>60</v>
      </c>
      <c r="K5826" t="s">
        <v>505</v>
      </c>
      <c r="L5826" t="s">
        <v>62</v>
      </c>
      <c r="M5826" t="s">
        <v>505</v>
      </c>
      <c r="N5826" t="s">
        <v>1431</v>
      </c>
      <c r="O5826" t="s">
        <v>1432</v>
      </c>
      <c r="P5826">
        <v>-20.132069000000001</v>
      </c>
      <c r="Q5826">
        <v>-44.891694000000001</v>
      </c>
      <c r="R5826" s="2" t="str">
        <f>HYPERLINK("https://www.google.com/maps?q=-20.1320690,-44.8916940","Abrir no Google Maps")</f>
        <v>Abrir no Google Maps</v>
      </c>
      <c r="S5826">
        <v>3</v>
      </c>
      <c r="T5826">
        <v>463.84477613866852</v>
      </c>
      <c r="U5826">
        <v>2</v>
      </c>
      <c r="V5826">
        <v>1</v>
      </c>
      <c r="W5826">
        <v>0.85</v>
      </c>
      <c r="X5826">
        <v>0.85</v>
      </c>
      <c r="Y5826">
        <v>564</v>
      </c>
      <c r="Z5826">
        <v>349.6044774510159</v>
      </c>
      <c r="AA5826">
        <v>198</v>
      </c>
      <c r="AB5826">
        <v>332</v>
      </c>
      <c r="AC5826">
        <v>536</v>
      </c>
      <c r="AD5826">
        <v>27.77</v>
      </c>
      <c r="AE5826">
        <v>542</v>
      </c>
      <c r="AF5826">
        <v>26</v>
      </c>
      <c r="AG5826">
        <v>163</v>
      </c>
      <c r="AH5826">
        <v>129</v>
      </c>
      <c r="AI5826">
        <v>4.8</v>
      </c>
      <c r="AJ5826">
        <v>30.07</v>
      </c>
      <c r="AK5826">
        <v>23.8</v>
      </c>
      <c r="AL5826">
        <v>-20.131860799999941</v>
      </c>
      <c r="AM5826">
        <v>-44.891643045551348</v>
      </c>
      <c r="AN5826">
        <v>-20.131860799999941</v>
      </c>
      <c r="AO5826">
        <v>-44.891643045551348</v>
      </c>
      <c r="AP5826">
        <v>-20.132069000000001</v>
      </c>
      <c r="AQ5826">
        <v>-44.891694000000001</v>
      </c>
      <c r="AR5826">
        <v>23.780836080569209</v>
      </c>
      <c r="AS5826" t="s">
        <v>65</v>
      </c>
      <c r="AT5826">
        <v>1</v>
      </c>
      <c r="AU5826" t="s">
        <v>1433</v>
      </c>
      <c r="AV5826" t="s">
        <v>1434</v>
      </c>
      <c r="AW5826" t="s">
        <v>60</v>
      </c>
      <c r="AX5826" t="s">
        <v>68</v>
      </c>
      <c r="AY5826" t="s">
        <v>69</v>
      </c>
      <c r="AZ5826" t="b">
        <v>1</v>
      </c>
    </row>
    <row r="5827" spans="1:52" x14ac:dyDescent="0.3">
      <c r="A5827" t="s">
        <v>52</v>
      </c>
      <c r="B5827" t="s">
        <v>53</v>
      </c>
      <c r="C5827" t="s">
        <v>54</v>
      </c>
      <c r="D5827" t="s">
        <v>55</v>
      </c>
      <c r="E5827" t="s">
        <v>2280</v>
      </c>
      <c r="F5827" t="s">
        <v>1247</v>
      </c>
      <c r="G5827" t="s">
        <v>649</v>
      </c>
      <c r="H5827" t="s">
        <v>885</v>
      </c>
      <c r="I5827" t="s">
        <v>885</v>
      </c>
      <c r="J5827" t="s">
        <v>60</v>
      </c>
      <c r="K5827" t="s">
        <v>886</v>
      </c>
      <c r="L5827" t="s">
        <v>62</v>
      </c>
      <c r="M5827" t="s">
        <v>886</v>
      </c>
      <c r="N5827" t="s">
        <v>652</v>
      </c>
      <c r="O5827" t="s">
        <v>887</v>
      </c>
      <c r="P5827">
        <v>-20.132252000000001</v>
      </c>
      <c r="Q5827">
        <v>-44.894159000000002</v>
      </c>
      <c r="R5827" s="2" t="str">
        <f>HYPERLINK("https://www.google.com/maps?q=-20.1322520,-44.8941590","Abrir no Google Maps")</f>
        <v>Abrir no Google Maps</v>
      </c>
      <c r="S5827">
        <v>3</v>
      </c>
      <c r="T5827">
        <v>699.5004749448899</v>
      </c>
      <c r="U5827">
        <v>2</v>
      </c>
      <c r="V5827">
        <v>1</v>
      </c>
      <c r="W5827">
        <v>0.85</v>
      </c>
      <c r="X5827">
        <v>0.85</v>
      </c>
      <c r="Y5827">
        <v>564</v>
      </c>
      <c r="Z5827">
        <v>522.21103586457991</v>
      </c>
      <c r="AA5827">
        <v>198</v>
      </c>
      <c r="AB5827">
        <v>332</v>
      </c>
      <c r="AC5827">
        <v>536</v>
      </c>
      <c r="AD5827">
        <v>27.77</v>
      </c>
      <c r="AE5827">
        <v>542</v>
      </c>
      <c r="AF5827">
        <v>26</v>
      </c>
      <c r="AG5827">
        <v>163</v>
      </c>
      <c r="AH5827">
        <v>129</v>
      </c>
      <c r="AI5827">
        <v>4.8</v>
      </c>
      <c r="AJ5827">
        <v>30.07</v>
      </c>
      <c r="AK5827">
        <v>23.8</v>
      </c>
      <c r="AL5827">
        <v>-20.132285999999969</v>
      </c>
      <c r="AM5827">
        <v>-44.894119001288672</v>
      </c>
      <c r="AN5827">
        <v>-20.132285999999969</v>
      </c>
      <c r="AO5827">
        <v>-44.894119001288672</v>
      </c>
      <c r="AP5827">
        <v>-20.132252000000001</v>
      </c>
      <c r="AQ5827">
        <v>-44.894159000000002</v>
      </c>
      <c r="AR5827">
        <v>5.6393921063261629</v>
      </c>
      <c r="AS5827" t="s">
        <v>65</v>
      </c>
      <c r="AT5827">
        <v>1</v>
      </c>
      <c r="AU5827" t="s">
        <v>888</v>
      </c>
      <c r="AV5827" t="s">
        <v>889</v>
      </c>
      <c r="AW5827" t="s">
        <v>60</v>
      </c>
      <c r="AX5827" t="s">
        <v>68</v>
      </c>
      <c r="AY5827" t="s">
        <v>69</v>
      </c>
      <c r="AZ5827" t="b">
        <v>1</v>
      </c>
    </row>
    <row r="5828" spans="1:52" x14ac:dyDescent="0.3">
      <c r="A5828" t="s">
        <v>52</v>
      </c>
      <c r="B5828" t="s">
        <v>53</v>
      </c>
      <c r="C5828" t="s">
        <v>54</v>
      </c>
      <c r="D5828" t="s">
        <v>55</v>
      </c>
      <c r="E5828" t="s">
        <v>2280</v>
      </c>
      <c r="F5828" t="s">
        <v>1247</v>
      </c>
      <c r="G5828" t="s">
        <v>1435</v>
      </c>
      <c r="H5828" t="s">
        <v>1436</v>
      </c>
      <c r="I5828" t="s">
        <v>1436</v>
      </c>
      <c r="J5828" t="s">
        <v>60</v>
      </c>
      <c r="K5828" t="s">
        <v>886</v>
      </c>
      <c r="L5828" t="s">
        <v>62</v>
      </c>
      <c r="M5828" t="s">
        <v>886</v>
      </c>
      <c r="N5828" t="s">
        <v>1437</v>
      </c>
      <c r="O5828" t="s">
        <v>1438</v>
      </c>
      <c r="P5828">
        <v>-20.131108000000001</v>
      </c>
      <c r="Q5828">
        <v>-44.893228000000001</v>
      </c>
      <c r="R5828" s="2" t="str">
        <f>HYPERLINK("https://www.google.com/maps?q=-20.1311080,-44.8932280","Abrir no Google Maps")</f>
        <v>Abrir no Google Maps</v>
      </c>
      <c r="S5828">
        <v>3</v>
      </c>
      <c r="T5828">
        <v>548.07497919430136</v>
      </c>
      <c r="U5828">
        <v>2</v>
      </c>
      <c r="V5828">
        <v>0.97169811320754718</v>
      </c>
      <c r="W5828">
        <v>0.85</v>
      </c>
      <c r="X5828">
        <v>0.82594339622641511</v>
      </c>
      <c r="Y5828">
        <v>564</v>
      </c>
      <c r="Z5828">
        <v>369.17139216388432</v>
      </c>
      <c r="AA5828">
        <v>198</v>
      </c>
      <c r="AB5828">
        <v>332</v>
      </c>
      <c r="AC5828">
        <v>536</v>
      </c>
      <c r="AD5828">
        <v>27.77</v>
      </c>
      <c r="AE5828">
        <v>542</v>
      </c>
      <c r="AF5828">
        <v>26</v>
      </c>
      <c r="AG5828">
        <v>163</v>
      </c>
      <c r="AH5828">
        <v>129</v>
      </c>
      <c r="AI5828">
        <v>4.8</v>
      </c>
      <c r="AJ5828">
        <v>30.07</v>
      </c>
      <c r="AK5828">
        <v>23.8</v>
      </c>
      <c r="AL5828">
        <v>-20.13103294999997</v>
      </c>
      <c r="AM5828">
        <v>-44.89318457893738</v>
      </c>
      <c r="AN5828">
        <v>-20.13103294999997</v>
      </c>
      <c r="AO5828">
        <v>-44.89318457893738</v>
      </c>
      <c r="AP5828">
        <v>-20.131108000000001</v>
      </c>
      <c r="AQ5828">
        <v>-44.893228000000001</v>
      </c>
      <c r="AR5828">
        <v>9.5076426885244203</v>
      </c>
      <c r="AS5828" t="s">
        <v>65</v>
      </c>
      <c r="AT5828">
        <v>1</v>
      </c>
      <c r="AU5828" t="s">
        <v>1439</v>
      </c>
      <c r="AV5828" t="s">
        <v>1440</v>
      </c>
      <c r="AW5828" t="s">
        <v>60</v>
      </c>
      <c r="AX5828" t="s">
        <v>68</v>
      </c>
      <c r="AY5828" t="s">
        <v>69</v>
      </c>
      <c r="AZ5828" t="b">
        <v>1</v>
      </c>
    </row>
    <row r="5829" spans="1:52" x14ac:dyDescent="0.3">
      <c r="A5829" t="s">
        <v>52</v>
      </c>
      <c r="B5829" t="s">
        <v>53</v>
      </c>
      <c r="C5829" t="s">
        <v>54</v>
      </c>
      <c r="D5829" t="s">
        <v>55</v>
      </c>
      <c r="E5829" t="s">
        <v>2280</v>
      </c>
      <c r="F5829" t="s">
        <v>1247</v>
      </c>
      <c r="G5829" t="s">
        <v>503</v>
      </c>
      <c r="H5829" t="s">
        <v>1441</v>
      </c>
      <c r="I5829" t="s">
        <v>1441</v>
      </c>
      <c r="J5829" t="s">
        <v>60</v>
      </c>
      <c r="K5829" t="s">
        <v>512</v>
      </c>
      <c r="L5829" t="s">
        <v>62</v>
      </c>
      <c r="M5829" t="s">
        <v>512</v>
      </c>
      <c r="N5829" t="s">
        <v>506</v>
      </c>
      <c r="O5829" t="s">
        <v>1442</v>
      </c>
      <c r="P5829">
        <v>-20.13036</v>
      </c>
      <c r="Q5829">
        <v>-44.891019</v>
      </c>
      <c r="R5829" s="2" t="str">
        <f>HYPERLINK("https://www.google.com/maps?q=-20.1303600,-44.8910190","Abrir no Google Maps")</f>
        <v>Abrir no Google Maps</v>
      </c>
      <c r="S5829">
        <v>3</v>
      </c>
      <c r="T5829">
        <v>313.17410616307359</v>
      </c>
      <c r="U5829">
        <v>2</v>
      </c>
      <c r="V5829">
        <v>1</v>
      </c>
      <c r="W5829">
        <v>0.85</v>
      </c>
      <c r="X5829">
        <v>0.85</v>
      </c>
      <c r="Y5829">
        <v>564</v>
      </c>
      <c r="Z5829">
        <v>208.43159293494489</v>
      </c>
      <c r="AA5829">
        <v>198</v>
      </c>
      <c r="AB5829">
        <v>332</v>
      </c>
      <c r="AC5829">
        <v>536</v>
      </c>
      <c r="AD5829">
        <v>27.77</v>
      </c>
      <c r="AE5829">
        <v>542</v>
      </c>
      <c r="AF5829">
        <v>26</v>
      </c>
      <c r="AG5829">
        <v>163</v>
      </c>
      <c r="AH5829">
        <v>129</v>
      </c>
      <c r="AI5829">
        <v>4.8</v>
      </c>
      <c r="AJ5829">
        <v>30.07</v>
      </c>
      <c r="AK5829">
        <v>23.8</v>
      </c>
      <c r="AL5829">
        <v>-20.130100449999961</v>
      </c>
      <c r="AM5829">
        <v>-44.891163633475301</v>
      </c>
      <c r="AN5829">
        <v>-20.130100449999961</v>
      </c>
      <c r="AO5829">
        <v>-44.891163633475301</v>
      </c>
      <c r="AP5829">
        <v>-20.13036</v>
      </c>
      <c r="AQ5829">
        <v>-44.891019</v>
      </c>
      <c r="AR5829">
        <v>32.608854575381159</v>
      </c>
      <c r="AS5829" t="s">
        <v>65</v>
      </c>
      <c r="AT5829">
        <v>1</v>
      </c>
      <c r="AU5829" t="s">
        <v>1443</v>
      </c>
      <c r="AV5829" t="s">
        <v>1444</v>
      </c>
      <c r="AW5829" t="s">
        <v>60</v>
      </c>
      <c r="AX5829" t="s">
        <v>68</v>
      </c>
      <c r="AY5829" t="s">
        <v>69</v>
      </c>
      <c r="AZ5829" t="b">
        <v>1</v>
      </c>
    </row>
    <row r="5830" spans="1:52" x14ac:dyDescent="0.3">
      <c r="A5830" t="s">
        <v>52</v>
      </c>
      <c r="B5830" t="s">
        <v>53</v>
      </c>
      <c r="C5830" t="s">
        <v>54</v>
      </c>
      <c r="D5830" t="s">
        <v>55</v>
      </c>
      <c r="E5830" t="s">
        <v>2280</v>
      </c>
      <c r="F5830" t="s">
        <v>1247</v>
      </c>
      <c r="G5830" t="s">
        <v>1408</v>
      </c>
      <c r="H5830" t="s">
        <v>1409</v>
      </c>
      <c r="I5830" t="s">
        <v>1409</v>
      </c>
      <c r="J5830" t="s">
        <v>60</v>
      </c>
      <c r="K5830" t="s">
        <v>200</v>
      </c>
      <c r="L5830" t="s">
        <v>62</v>
      </c>
      <c r="M5830" t="s">
        <v>200</v>
      </c>
      <c r="N5830" t="s">
        <v>1410</v>
      </c>
      <c r="O5830" t="s">
        <v>1001</v>
      </c>
      <c r="P5830">
        <v>-20.126062999999998</v>
      </c>
      <c r="Q5830">
        <v>-44.894936999999999</v>
      </c>
      <c r="R5830" s="2" t="str">
        <f>HYPERLINK("https://www.google.com/maps?q=-20.1260630,-44.8949370","Abrir no Google Maps")</f>
        <v>Abrir no Google Maps</v>
      </c>
      <c r="S5830">
        <v>3</v>
      </c>
      <c r="T5830">
        <v>747.3122077966558</v>
      </c>
      <c r="U5830">
        <v>2</v>
      </c>
      <c r="V5830">
        <v>0.983108108108108</v>
      </c>
      <c r="W5830">
        <v>0.85</v>
      </c>
      <c r="X5830">
        <v>0.83564189189189175</v>
      </c>
      <c r="Y5830">
        <v>564</v>
      </c>
      <c r="Z5830">
        <v>693.80888866206885</v>
      </c>
      <c r="AA5830">
        <v>198</v>
      </c>
      <c r="AB5830">
        <v>332</v>
      </c>
      <c r="AC5830">
        <v>536</v>
      </c>
      <c r="AD5830">
        <v>27.77</v>
      </c>
      <c r="AE5830">
        <v>542</v>
      </c>
      <c r="AF5830">
        <v>26</v>
      </c>
      <c r="AG5830">
        <v>163</v>
      </c>
      <c r="AH5830">
        <v>129</v>
      </c>
      <c r="AI5830">
        <v>4.8</v>
      </c>
      <c r="AJ5830">
        <v>30.07</v>
      </c>
      <c r="AK5830">
        <v>23.8</v>
      </c>
      <c r="AL5830">
        <v>-20.126099149999959</v>
      </c>
      <c r="AM5830">
        <v>-44.894866076436763</v>
      </c>
      <c r="AN5830">
        <v>-20.126099149999959</v>
      </c>
      <c r="AO5830">
        <v>-44.894866076436749</v>
      </c>
      <c r="AP5830">
        <v>-20.126062999999998</v>
      </c>
      <c r="AQ5830">
        <v>-44.894936999999999</v>
      </c>
      <c r="AR5830">
        <v>8.4349593682699737</v>
      </c>
      <c r="AS5830" t="s">
        <v>65</v>
      </c>
      <c r="AT5830">
        <v>1</v>
      </c>
      <c r="AU5830" t="s">
        <v>1411</v>
      </c>
      <c r="AV5830" t="s">
        <v>1003</v>
      </c>
      <c r="AW5830" t="s">
        <v>60</v>
      </c>
      <c r="AX5830" t="s">
        <v>68</v>
      </c>
      <c r="AY5830" t="s">
        <v>69</v>
      </c>
      <c r="AZ5830" t="b">
        <v>1</v>
      </c>
    </row>
    <row r="5831" spans="1:52" x14ac:dyDescent="0.3">
      <c r="A5831" t="s">
        <v>52</v>
      </c>
      <c r="B5831" t="s">
        <v>53</v>
      </c>
      <c r="C5831" t="s">
        <v>54</v>
      </c>
      <c r="D5831" t="s">
        <v>55</v>
      </c>
      <c r="E5831" t="s">
        <v>2280</v>
      </c>
      <c r="F5831" t="s">
        <v>1247</v>
      </c>
      <c r="G5831" t="s">
        <v>473</v>
      </c>
      <c r="H5831" t="s">
        <v>1445</v>
      </c>
      <c r="I5831" t="s">
        <v>1445</v>
      </c>
      <c r="J5831" t="s">
        <v>60</v>
      </c>
      <c r="K5831" t="s">
        <v>892</v>
      </c>
      <c r="L5831" t="s">
        <v>62</v>
      </c>
      <c r="M5831" t="s">
        <v>892</v>
      </c>
      <c r="N5831" t="s">
        <v>406</v>
      </c>
      <c r="O5831" t="s">
        <v>1446</v>
      </c>
      <c r="P5831">
        <v>-20.14941</v>
      </c>
      <c r="Q5831">
        <v>-44.899535</v>
      </c>
      <c r="R5831" s="2" t="str">
        <f>HYPERLINK("https://www.google.com/maps?q=-20.1494100,-44.8995350","Abrir no Google Maps")</f>
        <v>Abrir no Google Maps</v>
      </c>
      <c r="S5831">
        <v>3</v>
      </c>
      <c r="T5831">
        <v>249.83945591849931</v>
      </c>
      <c r="U5831">
        <v>2</v>
      </c>
      <c r="V5831">
        <v>0.95598591549295764</v>
      </c>
      <c r="W5831">
        <v>0.85</v>
      </c>
      <c r="X5831">
        <v>0.81258802816901399</v>
      </c>
      <c r="Y5831">
        <v>556</v>
      </c>
      <c r="Z5831">
        <v>156.62360082488701</v>
      </c>
      <c r="AA5831">
        <v>198</v>
      </c>
      <c r="AB5831">
        <v>332</v>
      </c>
      <c r="AC5831">
        <v>536</v>
      </c>
      <c r="AD5831">
        <v>27.77</v>
      </c>
      <c r="AE5831">
        <v>542</v>
      </c>
      <c r="AF5831">
        <v>26</v>
      </c>
      <c r="AG5831">
        <v>163</v>
      </c>
      <c r="AH5831">
        <v>129</v>
      </c>
      <c r="AI5831">
        <v>4.8</v>
      </c>
      <c r="AJ5831">
        <v>30.07</v>
      </c>
      <c r="AK5831">
        <v>23.8</v>
      </c>
      <c r="AL5831">
        <v>-20.149341899999939</v>
      </c>
      <c r="AM5831">
        <v>-44.899575902083967</v>
      </c>
      <c r="AN5831">
        <v>-20.149341899999939</v>
      </c>
      <c r="AO5831">
        <v>-44.899575902083967</v>
      </c>
      <c r="AP5831">
        <v>-20.14941</v>
      </c>
      <c r="AQ5831">
        <v>-44.899535</v>
      </c>
      <c r="AR5831">
        <v>8.7029725999778709</v>
      </c>
      <c r="AS5831" t="s">
        <v>65</v>
      </c>
      <c r="AT5831">
        <v>1</v>
      </c>
      <c r="AU5831" t="s">
        <v>1447</v>
      </c>
      <c r="AV5831" t="s">
        <v>1448</v>
      </c>
      <c r="AW5831" t="s">
        <v>60</v>
      </c>
      <c r="AX5831" t="s">
        <v>68</v>
      </c>
      <c r="AY5831" t="s">
        <v>69</v>
      </c>
      <c r="AZ5831" t="b">
        <v>1</v>
      </c>
    </row>
    <row r="5832" spans="1:52" x14ac:dyDescent="0.3">
      <c r="A5832" t="s">
        <v>52</v>
      </c>
      <c r="B5832" t="s">
        <v>53</v>
      </c>
      <c r="C5832" t="s">
        <v>54</v>
      </c>
      <c r="D5832" t="s">
        <v>55</v>
      </c>
      <c r="E5832" t="s">
        <v>2280</v>
      </c>
      <c r="F5832" t="s">
        <v>1247</v>
      </c>
      <c r="G5832" t="s">
        <v>1412</v>
      </c>
      <c r="H5832" t="s">
        <v>1413</v>
      </c>
      <c r="I5832" t="s">
        <v>1413</v>
      </c>
      <c r="J5832" t="s">
        <v>60</v>
      </c>
      <c r="K5832" t="s">
        <v>892</v>
      </c>
      <c r="L5832" t="s">
        <v>62</v>
      </c>
      <c r="M5832" t="s">
        <v>892</v>
      </c>
      <c r="N5832" t="s">
        <v>1414</v>
      </c>
      <c r="O5832" t="s">
        <v>293</v>
      </c>
      <c r="P5832">
        <v>-20.150780999999998</v>
      </c>
      <c r="Q5832">
        <v>-44.897972000000003</v>
      </c>
      <c r="R5832" s="2" t="str">
        <f>HYPERLINK("https://www.google.com/maps?q=-20.1507810,-44.8979720","Abrir no Google Maps")</f>
        <v>Abrir no Google Maps</v>
      </c>
      <c r="S5832">
        <v>3</v>
      </c>
      <c r="T5832">
        <v>306.36394634674508</v>
      </c>
      <c r="U5832">
        <v>2</v>
      </c>
      <c r="V5832">
        <v>0.97043010752688164</v>
      </c>
      <c r="W5832">
        <v>0.85</v>
      </c>
      <c r="X5832">
        <v>0.82486559139784932</v>
      </c>
      <c r="Y5832">
        <v>556</v>
      </c>
      <c r="Z5832">
        <v>233.85692443628571</v>
      </c>
      <c r="AA5832">
        <v>198</v>
      </c>
      <c r="AB5832">
        <v>332</v>
      </c>
      <c r="AC5832">
        <v>536</v>
      </c>
      <c r="AD5832">
        <v>27.77</v>
      </c>
      <c r="AE5832">
        <v>542</v>
      </c>
      <c r="AF5832">
        <v>26</v>
      </c>
      <c r="AG5832">
        <v>163</v>
      </c>
      <c r="AH5832">
        <v>129</v>
      </c>
      <c r="AI5832">
        <v>4.8</v>
      </c>
      <c r="AJ5832">
        <v>30.07</v>
      </c>
      <c r="AK5832">
        <v>23.8</v>
      </c>
      <c r="AL5832">
        <v>-20.15074609999996</v>
      </c>
      <c r="AM5832">
        <v>-44.89795774234689</v>
      </c>
      <c r="AN5832">
        <v>-20.15074609999996</v>
      </c>
      <c r="AO5832">
        <v>-44.89795774234689</v>
      </c>
      <c r="AP5832">
        <v>-20.150780999999998</v>
      </c>
      <c r="AQ5832">
        <v>-44.897972000000003</v>
      </c>
      <c r="AR5832">
        <v>4.160995809097348</v>
      </c>
      <c r="AS5832" t="s">
        <v>65</v>
      </c>
      <c r="AT5832">
        <v>1</v>
      </c>
      <c r="AU5832" t="s">
        <v>1415</v>
      </c>
      <c r="AV5832" t="s">
        <v>1416</v>
      </c>
      <c r="AW5832" t="s">
        <v>60</v>
      </c>
      <c r="AX5832" t="s">
        <v>68</v>
      </c>
      <c r="AY5832" t="s">
        <v>69</v>
      </c>
      <c r="AZ5832" t="b">
        <v>1</v>
      </c>
    </row>
    <row r="5833" spans="1:52" x14ac:dyDescent="0.3">
      <c r="A5833" t="s">
        <v>52</v>
      </c>
      <c r="B5833" t="s">
        <v>53</v>
      </c>
      <c r="C5833" t="s">
        <v>54</v>
      </c>
      <c r="D5833" t="s">
        <v>55</v>
      </c>
      <c r="E5833" t="s">
        <v>2280</v>
      </c>
      <c r="F5833" t="s">
        <v>1247</v>
      </c>
      <c r="G5833" t="s">
        <v>1127</v>
      </c>
      <c r="H5833" t="s">
        <v>1449</v>
      </c>
      <c r="I5833" t="s">
        <v>1449</v>
      </c>
      <c r="J5833" t="s">
        <v>60</v>
      </c>
      <c r="K5833" t="s">
        <v>1450</v>
      </c>
      <c r="L5833" t="s">
        <v>62</v>
      </c>
      <c r="M5833" t="s">
        <v>1450</v>
      </c>
      <c r="N5833" t="s">
        <v>1451</v>
      </c>
      <c r="O5833" t="s">
        <v>1452</v>
      </c>
      <c r="P5833">
        <v>-20.152612000000001</v>
      </c>
      <c r="Q5833">
        <v>-44.897098</v>
      </c>
      <c r="R5833" s="2" t="str">
        <f>HYPERLINK("https://www.google.com/maps?q=-20.1526120,-44.8970980","Abrir no Google Maps")</f>
        <v>Abrir no Google Maps</v>
      </c>
      <c r="S5833">
        <v>3</v>
      </c>
      <c r="T5833">
        <v>418.6283592063233</v>
      </c>
      <c r="U5833">
        <v>2</v>
      </c>
      <c r="V5833">
        <v>0.98097826086956519</v>
      </c>
      <c r="W5833">
        <v>0.85</v>
      </c>
      <c r="X5833">
        <v>0.83383152173913044</v>
      </c>
      <c r="Y5833">
        <v>556</v>
      </c>
      <c r="Z5833">
        <v>387.16462225830952</v>
      </c>
      <c r="AA5833">
        <v>198</v>
      </c>
      <c r="AB5833">
        <v>332</v>
      </c>
      <c r="AC5833">
        <v>536</v>
      </c>
      <c r="AD5833">
        <v>27.77</v>
      </c>
      <c r="AE5833">
        <v>542</v>
      </c>
      <c r="AF5833">
        <v>26</v>
      </c>
      <c r="AG5833">
        <v>163</v>
      </c>
      <c r="AH5833">
        <v>129</v>
      </c>
      <c r="AI5833">
        <v>4.8</v>
      </c>
      <c r="AJ5833">
        <v>30.07</v>
      </c>
      <c r="AK5833">
        <v>23.8</v>
      </c>
      <c r="AL5833">
        <v>-20.15253669999996</v>
      </c>
      <c r="AM5833">
        <v>-44.897068126936119</v>
      </c>
      <c r="AN5833">
        <v>-20.15253669999996</v>
      </c>
      <c r="AO5833">
        <v>-44.897068126936119</v>
      </c>
      <c r="AP5833">
        <v>-20.152612000000001</v>
      </c>
      <c r="AQ5833">
        <v>-44.897098</v>
      </c>
      <c r="AR5833">
        <v>8.9448699164987104</v>
      </c>
      <c r="AS5833" t="s">
        <v>65</v>
      </c>
      <c r="AT5833">
        <v>1</v>
      </c>
      <c r="AU5833" t="s">
        <v>1453</v>
      </c>
      <c r="AV5833" t="s">
        <v>1454</v>
      </c>
      <c r="AW5833" t="s">
        <v>60</v>
      </c>
      <c r="AX5833" t="s">
        <v>68</v>
      </c>
      <c r="AY5833" t="s">
        <v>69</v>
      </c>
      <c r="AZ5833" t="b">
        <v>1</v>
      </c>
    </row>
    <row r="5834" spans="1:52" x14ac:dyDescent="0.3">
      <c r="A5834" t="s">
        <v>52</v>
      </c>
      <c r="B5834" t="s">
        <v>53</v>
      </c>
      <c r="C5834" t="s">
        <v>54</v>
      </c>
      <c r="D5834" t="s">
        <v>55</v>
      </c>
      <c r="E5834" t="s">
        <v>2280</v>
      </c>
      <c r="F5834" t="s">
        <v>1247</v>
      </c>
      <c r="G5834" t="s">
        <v>568</v>
      </c>
      <c r="H5834" t="s">
        <v>569</v>
      </c>
      <c r="I5834" t="s">
        <v>569</v>
      </c>
      <c r="J5834" t="s">
        <v>60</v>
      </c>
      <c r="K5834" t="s">
        <v>61</v>
      </c>
      <c r="L5834" t="s">
        <v>62</v>
      </c>
      <c r="M5834" t="s">
        <v>61</v>
      </c>
      <c r="N5834" t="s">
        <v>570</v>
      </c>
      <c r="O5834" t="s">
        <v>548</v>
      </c>
      <c r="P5834">
        <v>-20.151508</v>
      </c>
      <c r="Q5834">
        <v>-44.907826</v>
      </c>
      <c r="R5834" s="2" t="str">
        <f>HYPERLINK("https://www.google.com/maps?q=-20.1515080,-44.9078260","Abrir no Google Maps")</f>
        <v>Abrir no Google Maps</v>
      </c>
      <c r="S5834">
        <v>3</v>
      </c>
      <c r="T5834">
        <v>567.15905416240514</v>
      </c>
      <c r="U5834">
        <v>2</v>
      </c>
      <c r="V5834">
        <v>0.99242424242424243</v>
      </c>
      <c r="W5834">
        <v>0.85</v>
      </c>
      <c r="X5834">
        <v>0.84356060606060601</v>
      </c>
      <c r="Y5834">
        <v>548</v>
      </c>
      <c r="Z5834">
        <v>560.49158010771464</v>
      </c>
      <c r="AA5834">
        <v>198</v>
      </c>
      <c r="AB5834">
        <v>332</v>
      </c>
      <c r="AC5834">
        <v>536</v>
      </c>
      <c r="AD5834">
        <v>27.77</v>
      </c>
      <c r="AE5834">
        <v>542</v>
      </c>
      <c r="AF5834">
        <v>26</v>
      </c>
      <c r="AG5834">
        <v>163</v>
      </c>
      <c r="AH5834">
        <v>129</v>
      </c>
      <c r="AI5834">
        <v>4.8</v>
      </c>
      <c r="AJ5834">
        <v>30.07</v>
      </c>
      <c r="AK5834">
        <v>23.8</v>
      </c>
      <c r="AL5834">
        <v>-20.15211779999996</v>
      </c>
      <c r="AM5834">
        <v>-44.907597469593128</v>
      </c>
      <c r="AN5834">
        <v>-20.15211779999996</v>
      </c>
      <c r="AO5834">
        <v>-44.907597469593128</v>
      </c>
      <c r="AP5834">
        <v>-20.151508</v>
      </c>
      <c r="AQ5834">
        <v>-44.907826</v>
      </c>
      <c r="AR5834">
        <v>71.961597929314735</v>
      </c>
      <c r="AS5834" t="s">
        <v>65</v>
      </c>
      <c r="AT5834">
        <v>1</v>
      </c>
      <c r="AU5834" t="s">
        <v>571</v>
      </c>
      <c r="AV5834" t="s">
        <v>572</v>
      </c>
      <c r="AW5834" t="s">
        <v>60</v>
      </c>
      <c r="AX5834" t="s">
        <v>68</v>
      </c>
      <c r="AY5834" t="s">
        <v>69</v>
      </c>
      <c r="AZ5834" t="b">
        <v>1</v>
      </c>
    </row>
    <row r="5835" spans="1:52" x14ac:dyDescent="0.3">
      <c r="A5835" t="s">
        <v>52</v>
      </c>
      <c r="B5835" t="s">
        <v>53</v>
      </c>
      <c r="C5835" t="s">
        <v>54</v>
      </c>
      <c r="D5835" t="s">
        <v>55</v>
      </c>
      <c r="E5835" t="s">
        <v>2280</v>
      </c>
      <c r="F5835" t="s">
        <v>1247</v>
      </c>
      <c r="G5835" t="s">
        <v>1307</v>
      </c>
      <c r="H5835" t="s">
        <v>1308</v>
      </c>
      <c r="I5835" t="s">
        <v>1308</v>
      </c>
      <c r="J5835" t="s">
        <v>60</v>
      </c>
      <c r="K5835" t="s">
        <v>1302</v>
      </c>
      <c r="L5835" t="s">
        <v>62</v>
      </c>
      <c r="M5835" t="s">
        <v>1302</v>
      </c>
      <c r="N5835" t="s">
        <v>558</v>
      </c>
      <c r="O5835" t="s">
        <v>1309</v>
      </c>
      <c r="P5835">
        <v>-20.169051</v>
      </c>
      <c r="Q5835">
        <v>-44.910093000000003</v>
      </c>
      <c r="R5835" s="2" t="str">
        <f>HYPERLINK("https://www.google.com/maps?q=-20.1690510,-44.9100930","Abrir no Google Maps")</f>
        <v>Abrir no Google Maps</v>
      </c>
      <c r="S5835">
        <v>3</v>
      </c>
      <c r="T5835">
        <v>375.90504489887479</v>
      </c>
      <c r="U5835">
        <v>1</v>
      </c>
      <c r="V5835">
        <v>0.89915966386554613</v>
      </c>
      <c r="W5835">
        <v>0.85</v>
      </c>
      <c r="X5835">
        <v>0.76428571428571423</v>
      </c>
      <c r="Y5835">
        <v>723</v>
      </c>
      <c r="Z5835">
        <v>456.19893675176831</v>
      </c>
      <c r="AA5835">
        <v>198</v>
      </c>
      <c r="AB5835">
        <v>332</v>
      </c>
      <c r="AC5835">
        <v>536</v>
      </c>
      <c r="AD5835">
        <v>27.77</v>
      </c>
      <c r="AE5835">
        <v>542</v>
      </c>
      <c r="AF5835">
        <v>26</v>
      </c>
      <c r="AG5835">
        <v>163</v>
      </c>
      <c r="AH5835">
        <v>129</v>
      </c>
      <c r="AI5835">
        <v>4.8</v>
      </c>
      <c r="AJ5835">
        <v>30.07</v>
      </c>
      <c r="AK5835">
        <v>23.8</v>
      </c>
      <c r="AL5835">
        <v>-20.168810949999941</v>
      </c>
      <c r="AM5835">
        <v>-44.910156475447927</v>
      </c>
      <c r="AN5835">
        <v>-20.168810949999941</v>
      </c>
      <c r="AO5835">
        <v>-44.910156475447927</v>
      </c>
      <c r="AP5835">
        <v>-20.169051</v>
      </c>
      <c r="AQ5835">
        <v>-44.910093000000003</v>
      </c>
      <c r="AR5835">
        <v>27.533232396417059</v>
      </c>
      <c r="AS5835" t="s">
        <v>65</v>
      </c>
      <c r="AT5835">
        <v>1</v>
      </c>
      <c r="AU5835" t="s">
        <v>1310</v>
      </c>
      <c r="AV5835" t="s">
        <v>1311</v>
      </c>
      <c r="AW5835" t="s">
        <v>60</v>
      </c>
      <c r="AX5835" t="s">
        <v>68</v>
      </c>
      <c r="AY5835" t="s">
        <v>69</v>
      </c>
      <c r="AZ5835" t="b">
        <v>1</v>
      </c>
    </row>
    <row r="5836" spans="1:52" x14ac:dyDescent="0.3">
      <c r="A5836" t="s">
        <v>52</v>
      </c>
      <c r="B5836" t="s">
        <v>53</v>
      </c>
      <c r="C5836" t="s">
        <v>54</v>
      </c>
      <c r="D5836" t="s">
        <v>55</v>
      </c>
      <c r="E5836" t="s">
        <v>2280</v>
      </c>
      <c r="F5836" t="s">
        <v>1247</v>
      </c>
      <c r="G5836" t="s">
        <v>429</v>
      </c>
      <c r="H5836" t="s">
        <v>430</v>
      </c>
      <c r="I5836" t="s">
        <v>430</v>
      </c>
      <c r="J5836" t="s">
        <v>60</v>
      </c>
      <c r="K5836" t="s">
        <v>431</v>
      </c>
      <c r="L5836" t="s">
        <v>62</v>
      </c>
      <c r="M5836" t="s">
        <v>431</v>
      </c>
      <c r="N5836" t="s">
        <v>432</v>
      </c>
      <c r="O5836" t="s">
        <v>315</v>
      </c>
      <c r="P5836">
        <v>-20.172698</v>
      </c>
      <c r="Q5836">
        <v>-44.923842</v>
      </c>
      <c r="R5836" s="2" t="str">
        <f>HYPERLINK("https://www.google.com/maps?q=-20.1726980,-44.9238420","Abrir no Google Maps")</f>
        <v>Abrir no Google Maps</v>
      </c>
      <c r="S5836">
        <v>3</v>
      </c>
      <c r="T5836">
        <v>1376.1843173402931</v>
      </c>
      <c r="U5836">
        <v>1</v>
      </c>
      <c r="V5836">
        <v>0.79064039408866993</v>
      </c>
      <c r="W5836">
        <v>0.85</v>
      </c>
      <c r="X5836">
        <v>0.67204433497536942</v>
      </c>
      <c r="Y5836">
        <v>723</v>
      </c>
      <c r="Z5836">
        <v>1101.340635002096</v>
      </c>
      <c r="AA5836">
        <v>198</v>
      </c>
      <c r="AB5836">
        <v>332</v>
      </c>
      <c r="AC5836">
        <v>536</v>
      </c>
      <c r="AD5836">
        <v>27.77</v>
      </c>
      <c r="AE5836">
        <v>542</v>
      </c>
      <c r="AF5836">
        <v>26</v>
      </c>
      <c r="AG5836">
        <v>163</v>
      </c>
      <c r="AH5836">
        <v>129</v>
      </c>
      <c r="AI5836">
        <v>4.8</v>
      </c>
      <c r="AJ5836">
        <v>30.07</v>
      </c>
      <c r="AK5836">
        <v>23.8</v>
      </c>
      <c r="AL5836">
        <v>-20.172942799999959</v>
      </c>
      <c r="AM5836">
        <v>-44.923585372665762</v>
      </c>
      <c r="AN5836">
        <v>-20.172942799999959</v>
      </c>
      <c r="AO5836">
        <v>-44.923585372665762</v>
      </c>
      <c r="AP5836">
        <v>-20.172698</v>
      </c>
      <c r="AQ5836">
        <v>-44.923842</v>
      </c>
      <c r="AR5836">
        <v>38.231981408478958</v>
      </c>
      <c r="AS5836" t="s">
        <v>65</v>
      </c>
      <c r="AT5836">
        <v>1</v>
      </c>
      <c r="AU5836" t="s">
        <v>433</v>
      </c>
      <c r="AV5836" t="s">
        <v>434</v>
      </c>
      <c r="AW5836" t="s">
        <v>60</v>
      </c>
      <c r="AX5836" t="s">
        <v>68</v>
      </c>
      <c r="AY5836" t="s">
        <v>69</v>
      </c>
      <c r="AZ5836" t="b">
        <v>1</v>
      </c>
    </row>
    <row r="5837" spans="1:52" x14ac:dyDescent="0.3">
      <c r="A5837" t="s">
        <v>52</v>
      </c>
      <c r="B5837" t="s">
        <v>53</v>
      </c>
      <c r="C5837" t="s">
        <v>54</v>
      </c>
      <c r="D5837" t="s">
        <v>55</v>
      </c>
      <c r="E5837" t="s">
        <v>2280</v>
      </c>
      <c r="F5837" t="s">
        <v>1247</v>
      </c>
      <c r="G5837" t="s">
        <v>1364</v>
      </c>
      <c r="H5837" t="s">
        <v>1369</v>
      </c>
      <c r="I5837" t="s">
        <v>1369</v>
      </c>
      <c r="J5837" t="s">
        <v>60</v>
      </c>
      <c r="K5837" t="s">
        <v>1370</v>
      </c>
      <c r="L5837" t="s">
        <v>62</v>
      </c>
      <c r="M5837" t="s">
        <v>1370</v>
      </c>
      <c r="N5837" t="s">
        <v>1366</v>
      </c>
      <c r="O5837" t="s">
        <v>989</v>
      </c>
      <c r="P5837">
        <v>-20.141185</v>
      </c>
      <c r="Q5837">
        <v>-44.914200999999998</v>
      </c>
      <c r="R5837" s="2" t="str">
        <f>HYPERLINK("https://www.google.com/maps?q=-20.1411850,-44.9142010","Abrir no Google Maps")</f>
        <v>Abrir no Google Maps</v>
      </c>
      <c r="S5837">
        <v>3</v>
      </c>
      <c r="T5837">
        <v>512.52588459346453</v>
      </c>
      <c r="U5837">
        <v>1</v>
      </c>
      <c r="V5837">
        <v>0.92962962962962958</v>
      </c>
      <c r="W5837">
        <v>0.85</v>
      </c>
      <c r="X5837">
        <v>0.7901851851851851</v>
      </c>
      <c r="Y5837">
        <v>581</v>
      </c>
      <c r="Z5837">
        <v>473.10673043319349</v>
      </c>
      <c r="AA5837">
        <v>198</v>
      </c>
      <c r="AB5837">
        <v>332</v>
      </c>
      <c r="AC5837">
        <v>536</v>
      </c>
      <c r="AD5837">
        <v>27.77</v>
      </c>
      <c r="AE5837">
        <v>542</v>
      </c>
      <c r="AF5837">
        <v>26</v>
      </c>
      <c r="AG5837">
        <v>163</v>
      </c>
      <c r="AH5837">
        <v>129</v>
      </c>
      <c r="AI5837">
        <v>4.8</v>
      </c>
      <c r="AJ5837">
        <v>30.07</v>
      </c>
      <c r="AK5837">
        <v>23.8</v>
      </c>
      <c r="AL5837">
        <v>-20.14133909999995</v>
      </c>
      <c r="AM5837">
        <v>-44.913910219286038</v>
      </c>
      <c r="AN5837">
        <v>-20.14133909999995</v>
      </c>
      <c r="AO5837">
        <v>-44.913910219286038</v>
      </c>
      <c r="AP5837">
        <v>-20.141185</v>
      </c>
      <c r="AQ5837">
        <v>-44.914200999999998</v>
      </c>
      <c r="AR5837">
        <v>34.897514361429593</v>
      </c>
      <c r="AS5837" t="s">
        <v>65</v>
      </c>
      <c r="AT5837">
        <v>1</v>
      </c>
      <c r="AU5837" t="s">
        <v>1371</v>
      </c>
      <c r="AV5837" t="s">
        <v>863</v>
      </c>
      <c r="AW5837" t="s">
        <v>60</v>
      </c>
      <c r="AX5837" t="s">
        <v>68</v>
      </c>
      <c r="AY5837" t="s">
        <v>69</v>
      </c>
      <c r="AZ5837" t="b">
        <v>1</v>
      </c>
    </row>
    <row r="5838" spans="1:52" x14ac:dyDescent="0.3">
      <c r="A5838" t="s">
        <v>52</v>
      </c>
      <c r="B5838" t="s">
        <v>53</v>
      </c>
      <c r="C5838" t="s">
        <v>54</v>
      </c>
      <c r="D5838" t="s">
        <v>55</v>
      </c>
      <c r="E5838" t="s">
        <v>2280</v>
      </c>
      <c r="F5838" t="s">
        <v>1247</v>
      </c>
      <c r="G5838" t="s">
        <v>1424</v>
      </c>
      <c r="H5838" t="s">
        <v>1425</v>
      </c>
      <c r="I5838" t="s">
        <v>1425</v>
      </c>
      <c r="J5838" t="s">
        <v>60</v>
      </c>
      <c r="K5838" t="s">
        <v>1324</v>
      </c>
      <c r="L5838" t="s">
        <v>62</v>
      </c>
      <c r="M5838" t="s">
        <v>1324</v>
      </c>
      <c r="N5838" t="s">
        <v>1426</v>
      </c>
      <c r="O5838" t="s">
        <v>938</v>
      </c>
      <c r="P5838">
        <v>-20.172844999999999</v>
      </c>
      <c r="Q5838">
        <v>-44.909215000000003</v>
      </c>
      <c r="R5838" s="2" t="str">
        <f>HYPERLINK("https://www.google.com/maps?q=-20.1728450,-44.9092150","Abrir no Google Maps")</f>
        <v>Abrir no Google Maps</v>
      </c>
      <c r="S5838">
        <v>3</v>
      </c>
      <c r="T5838">
        <v>0</v>
      </c>
      <c r="U5838">
        <v>1</v>
      </c>
      <c r="V5838">
        <v>0.95</v>
      </c>
      <c r="W5838">
        <v>0.85</v>
      </c>
      <c r="X5838">
        <v>0.8075</v>
      </c>
      <c r="Y5838">
        <v>578</v>
      </c>
      <c r="Z5838">
        <v>365.56549317689053</v>
      </c>
      <c r="AA5838">
        <v>198</v>
      </c>
      <c r="AB5838">
        <v>332</v>
      </c>
      <c r="AC5838">
        <v>536</v>
      </c>
      <c r="AD5838">
        <v>27.77</v>
      </c>
      <c r="AE5838">
        <v>542</v>
      </c>
      <c r="AF5838">
        <v>26</v>
      </c>
      <c r="AG5838">
        <v>163</v>
      </c>
      <c r="AH5838">
        <v>129</v>
      </c>
      <c r="AI5838">
        <v>4.8</v>
      </c>
      <c r="AJ5838">
        <v>30.07</v>
      </c>
      <c r="AK5838">
        <v>23.8</v>
      </c>
      <c r="AL5838">
        <v>-20.172197349999941</v>
      </c>
      <c r="AM5838">
        <v>-44.910438675762883</v>
      </c>
      <c r="AN5838">
        <v>-20.172197349999941</v>
      </c>
      <c r="AO5838">
        <v>-44.910438675762883</v>
      </c>
      <c r="AP5838">
        <v>-20.172844999999999</v>
      </c>
      <c r="AQ5838">
        <v>-44.909215000000003</v>
      </c>
      <c r="AR5838">
        <v>146.78922919749749</v>
      </c>
      <c r="AS5838" t="s">
        <v>65</v>
      </c>
      <c r="AT5838">
        <v>1</v>
      </c>
      <c r="AU5838" t="s">
        <v>1427</v>
      </c>
      <c r="AV5838" t="s">
        <v>1428</v>
      </c>
      <c r="AW5838" t="s">
        <v>60</v>
      </c>
      <c r="AX5838" t="s">
        <v>68</v>
      </c>
      <c r="AY5838" t="s">
        <v>69</v>
      </c>
      <c r="AZ5838" t="b">
        <v>1</v>
      </c>
    </row>
    <row r="5839" spans="1:52" x14ac:dyDescent="0.3">
      <c r="A5839" t="s">
        <v>52</v>
      </c>
      <c r="B5839" t="s">
        <v>53</v>
      </c>
      <c r="C5839" t="s">
        <v>54</v>
      </c>
      <c r="D5839" t="s">
        <v>55</v>
      </c>
      <c r="E5839" t="s">
        <v>2280</v>
      </c>
      <c r="F5839" t="s">
        <v>1247</v>
      </c>
      <c r="G5839" t="s">
        <v>1388</v>
      </c>
      <c r="H5839" t="s">
        <v>1389</v>
      </c>
      <c r="I5839" t="s">
        <v>1389</v>
      </c>
      <c r="J5839" t="s">
        <v>60</v>
      </c>
      <c r="K5839" t="s">
        <v>475</v>
      </c>
      <c r="L5839" t="s">
        <v>62</v>
      </c>
      <c r="M5839" t="s">
        <v>475</v>
      </c>
      <c r="N5839" t="s">
        <v>1390</v>
      </c>
      <c r="O5839" t="s">
        <v>855</v>
      </c>
      <c r="P5839">
        <v>-20.173748</v>
      </c>
      <c r="Q5839">
        <v>-44.894596999999997</v>
      </c>
      <c r="R5839" s="2" t="str">
        <f>HYPERLINK("https://www.google.com/maps?q=-20.1737480,-44.8945970","Abrir no Google Maps")</f>
        <v>Abrir no Google Maps</v>
      </c>
      <c r="S5839">
        <v>3</v>
      </c>
      <c r="T5839">
        <v>1217.388518792701</v>
      </c>
      <c r="U5839">
        <v>1</v>
      </c>
      <c r="V5839">
        <v>0.91666666666666663</v>
      </c>
      <c r="W5839">
        <v>0.85</v>
      </c>
      <c r="X5839">
        <v>0.77916666666666656</v>
      </c>
      <c r="Y5839">
        <v>578</v>
      </c>
      <c r="Z5839">
        <v>1268.0048337091989</v>
      </c>
      <c r="AA5839">
        <v>198</v>
      </c>
      <c r="AB5839">
        <v>332</v>
      </c>
      <c r="AC5839">
        <v>536</v>
      </c>
      <c r="AD5839">
        <v>27.77</v>
      </c>
      <c r="AE5839">
        <v>542</v>
      </c>
      <c r="AF5839">
        <v>26</v>
      </c>
      <c r="AG5839">
        <v>163</v>
      </c>
      <c r="AH5839">
        <v>129</v>
      </c>
      <c r="AI5839">
        <v>4.8</v>
      </c>
      <c r="AJ5839">
        <v>30.07</v>
      </c>
      <c r="AK5839">
        <v>23.8</v>
      </c>
      <c r="AL5839">
        <v>-20.173821999999941</v>
      </c>
      <c r="AM5839">
        <v>-44.894306105833543</v>
      </c>
      <c r="AN5839">
        <v>-20.173821999999941</v>
      </c>
      <c r="AO5839">
        <v>-44.894306105833543</v>
      </c>
      <c r="AP5839">
        <v>-20.173748</v>
      </c>
      <c r="AQ5839">
        <v>-44.894596999999997</v>
      </c>
      <c r="AR5839">
        <v>31.492193006406161</v>
      </c>
      <c r="AS5839" t="s">
        <v>65</v>
      </c>
      <c r="AT5839">
        <v>1</v>
      </c>
      <c r="AU5839" t="s">
        <v>1391</v>
      </c>
      <c r="AV5839" t="s">
        <v>1392</v>
      </c>
      <c r="AW5839" t="s">
        <v>60</v>
      </c>
      <c r="AX5839" t="s">
        <v>68</v>
      </c>
      <c r="AY5839" t="s">
        <v>69</v>
      </c>
      <c r="AZ5839" t="b">
        <v>1</v>
      </c>
    </row>
    <row r="5840" spans="1:52" x14ac:dyDescent="0.3">
      <c r="A5840" t="s">
        <v>52</v>
      </c>
      <c r="B5840" t="s">
        <v>53</v>
      </c>
      <c r="C5840" t="s">
        <v>54</v>
      </c>
      <c r="D5840" t="s">
        <v>55</v>
      </c>
      <c r="E5840" t="s">
        <v>2280</v>
      </c>
      <c r="F5840" t="s">
        <v>1247</v>
      </c>
      <c r="G5840" t="s">
        <v>1399</v>
      </c>
      <c r="H5840" t="s">
        <v>1400</v>
      </c>
      <c r="I5840" t="s">
        <v>1400</v>
      </c>
      <c r="J5840" t="s">
        <v>60</v>
      </c>
      <c r="K5840" t="s">
        <v>475</v>
      </c>
      <c r="L5840" t="s">
        <v>62</v>
      </c>
      <c r="M5840" t="s">
        <v>475</v>
      </c>
      <c r="N5840" t="s">
        <v>1401</v>
      </c>
      <c r="O5840" t="s">
        <v>1080</v>
      </c>
      <c r="P5840">
        <v>-20.178809000000001</v>
      </c>
      <c r="Q5840">
        <v>-44.900204000000002</v>
      </c>
      <c r="R5840" s="2" t="str">
        <f>HYPERLINK("https://www.google.com/maps?q=-20.1788090,-44.9002040","Abrir no Google Maps")</f>
        <v>Abrir no Google Maps</v>
      </c>
      <c r="S5840">
        <v>3</v>
      </c>
      <c r="T5840">
        <v>1015.86498565614</v>
      </c>
      <c r="U5840">
        <v>1</v>
      </c>
      <c r="V5840">
        <v>0.92125984251968518</v>
      </c>
      <c r="W5840">
        <v>0.85</v>
      </c>
      <c r="X5840">
        <v>0.78307086614173238</v>
      </c>
      <c r="Y5840">
        <v>578</v>
      </c>
      <c r="Z5840">
        <v>954.77111474428102</v>
      </c>
      <c r="AA5840">
        <v>198</v>
      </c>
      <c r="AB5840">
        <v>332</v>
      </c>
      <c r="AC5840">
        <v>536</v>
      </c>
      <c r="AD5840">
        <v>27.77</v>
      </c>
      <c r="AE5840">
        <v>542</v>
      </c>
      <c r="AF5840">
        <v>26</v>
      </c>
      <c r="AG5840">
        <v>163</v>
      </c>
      <c r="AH5840">
        <v>129</v>
      </c>
      <c r="AI5840">
        <v>4.8</v>
      </c>
      <c r="AJ5840">
        <v>30.07</v>
      </c>
      <c r="AK5840">
        <v>23.8</v>
      </c>
      <c r="AL5840">
        <v>-20.178590099999951</v>
      </c>
      <c r="AM5840">
        <v>-44.90029029928732</v>
      </c>
      <c r="AN5840">
        <v>-20.178590099999951</v>
      </c>
      <c r="AO5840">
        <v>-44.90029029928732</v>
      </c>
      <c r="AP5840">
        <v>-20.178809000000001</v>
      </c>
      <c r="AQ5840">
        <v>-44.900204000000002</v>
      </c>
      <c r="AR5840">
        <v>25.982812999798391</v>
      </c>
      <c r="AS5840" t="s">
        <v>65</v>
      </c>
      <c r="AT5840">
        <v>1</v>
      </c>
      <c r="AU5840" t="s">
        <v>1402</v>
      </c>
      <c r="AV5840" t="s">
        <v>1403</v>
      </c>
      <c r="AW5840" t="s">
        <v>60</v>
      </c>
      <c r="AX5840" t="s">
        <v>68</v>
      </c>
      <c r="AY5840" t="s">
        <v>69</v>
      </c>
      <c r="AZ5840" t="b">
        <v>1</v>
      </c>
    </row>
    <row r="5841" spans="1:52" x14ac:dyDescent="0.3">
      <c r="A5841" t="s">
        <v>52</v>
      </c>
      <c r="B5841" t="s">
        <v>53</v>
      </c>
      <c r="C5841" t="s">
        <v>54</v>
      </c>
      <c r="D5841" t="s">
        <v>55</v>
      </c>
      <c r="E5841" t="s">
        <v>2280</v>
      </c>
      <c r="F5841" t="s">
        <v>1247</v>
      </c>
      <c r="G5841" t="s">
        <v>1464</v>
      </c>
      <c r="H5841" t="s">
        <v>1485</v>
      </c>
      <c r="I5841" t="s">
        <v>1485</v>
      </c>
      <c r="J5841" t="s">
        <v>60</v>
      </c>
      <c r="K5841" t="s">
        <v>1486</v>
      </c>
      <c r="L5841" t="s">
        <v>62</v>
      </c>
      <c r="M5841" t="s">
        <v>1486</v>
      </c>
      <c r="N5841" t="s">
        <v>1467</v>
      </c>
      <c r="O5841" t="s">
        <v>1487</v>
      </c>
      <c r="P5841">
        <v>-20.162842000000001</v>
      </c>
      <c r="Q5841">
        <v>-44.883769999999998</v>
      </c>
      <c r="R5841" s="2" t="str">
        <f>HYPERLINK("https://www.google.com/maps?q=-20.1628420,-44.8837700","Abrir no Google Maps")</f>
        <v>Abrir no Google Maps</v>
      </c>
      <c r="S5841">
        <v>2</v>
      </c>
      <c r="T5841">
        <v>659.67909450906006</v>
      </c>
      <c r="U5841">
        <v>4</v>
      </c>
      <c r="V5841">
        <v>0.99884792626728125</v>
      </c>
      <c r="W5841">
        <v>1</v>
      </c>
      <c r="X5841">
        <v>0.99884792626728125</v>
      </c>
      <c r="Y5841">
        <v>671</v>
      </c>
      <c r="Z5841">
        <v>566.23107864368092</v>
      </c>
      <c r="AA5841">
        <v>198</v>
      </c>
      <c r="AB5841">
        <v>332</v>
      </c>
      <c r="AC5841">
        <v>536</v>
      </c>
      <c r="AD5841">
        <v>27.77</v>
      </c>
      <c r="AE5841">
        <v>542</v>
      </c>
      <c r="AF5841">
        <v>26</v>
      </c>
      <c r="AG5841">
        <v>163</v>
      </c>
      <c r="AH5841">
        <v>129</v>
      </c>
      <c r="AI5841">
        <v>4.8</v>
      </c>
      <c r="AJ5841">
        <v>30.07</v>
      </c>
      <c r="AK5841">
        <v>23.8</v>
      </c>
      <c r="AL5841">
        <v>-20.162791299999949</v>
      </c>
      <c r="AM5841">
        <v>-44.883966852092939</v>
      </c>
      <c r="AN5841">
        <v>-20.162791299999949</v>
      </c>
      <c r="AO5841">
        <v>-44.883966852092939</v>
      </c>
      <c r="AP5841">
        <v>-20.162842000000001</v>
      </c>
      <c r="AQ5841">
        <v>-44.883769999999998</v>
      </c>
      <c r="AR5841">
        <v>21.33085532825611</v>
      </c>
      <c r="AS5841" t="s">
        <v>65</v>
      </c>
      <c r="AT5841">
        <v>1</v>
      </c>
      <c r="AU5841" t="s">
        <v>1488</v>
      </c>
      <c r="AV5841" t="s">
        <v>1489</v>
      </c>
      <c r="AW5841" t="s">
        <v>60</v>
      </c>
      <c r="AX5841" t="s">
        <v>68</v>
      </c>
      <c r="AY5841" t="s">
        <v>69</v>
      </c>
      <c r="AZ5841" t="b">
        <v>1</v>
      </c>
    </row>
    <row r="5842" spans="1:52" x14ac:dyDescent="0.3">
      <c r="A5842" t="s">
        <v>52</v>
      </c>
      <c r="B5842" t="s">
        <v>53</v>
      </c>
      <c r="C5842" t="s">
        <v>54</v>
      </c>
      <c r="D5842" t="s">
        <v>55</v>
      </c>
      <c r="E5842" t="s">
        <v>2280</v>
      </c>
      <c r="F5842" t="s">
        <v>1247</v>
      </c>
      <c r="G5842" t="s">
        <v>1464</v>
      </c>
      <c r="H5842" t="s">
        <v>1465</v>
      </c>
      <c r="I5842" t="s">
        <v>1465</v>
      </c>
      <c r="J5842" t="s">
        <v>60</v>
      </c>
      <c r="K5842" t="s">
        <v>1466</v>
      </c>
      <c r="L5842" t="s">
        <v>62</v>
      </c>
      <c r="M5842" t="s">
        <v>1466</v>
      </c>
      <c r="N5842" t="s">
        <v>1467</v>
      </c>
      <c r="O5842" t="s">
        <v>145</v>
      </c>
      <c r="P5842">
        <v>-20.160509999999999</v>
      </c>
      <c r="Q5842">
        <v>-44.884123000000002</v>
      </c>
      <c r="R5842" s="2" t="str">
        <f>HYPERLINK("https://www.google.com/maps?q=-20.1605100,-44.8841230","Abrir no Google Maps")</f>
        <v>Abrir no Google Maps</v>
      </c>
      <c r="S5842">
        <v>2</v>
      </c>
      <c r="T5842">
        <v>650.04961276595373</v>
      </c>
      <c r="U5842">
        <v>4</v>
      </c>
      <c r="V5842">
        <v>0.99838709677419357</v>
      </c>
      <c r="W5842">
        <v>1</v>
      </c>
      <c r="X5842">
        <v>0.99838709677419357</v>
      </c>
      <c r="Y5842">
        <v>671</v>
      </c>
      <c r="Z5842">
        <v>591.49066685698506</v>
      </c>
      <c r="AA5842">
        <v>198</v>
      </c>
      <c r="AB5842">
        <v>332</v>
      </c>
      <c r="AC5842">
        <v>536</v>
      </c>
      <c r="AD5842">
        <v>27.77</v>
      </c>
      <c r="AE5842">
        <v>542</v>
      </c>
      <c r="AF5842">
        <v>26</v>
      </c>
      <c r="AG5842">
        <v>163</v>
      </c>
      <c r="AH5842">
        <v>129</v>
      </c>
      <c r="AI5842">
        <v>4.8</v>
      </c>
      <c r="AJ5842">
        <v>30.07</v>
      </c>
      <c r="AK5842">
        <v>23.8</v>
      </c>
      <c r="AL5842">
        <v>-20.16056479999995</v>
      </c>
      <c r="AM5842">
        <v>-44.88424978393428</v>
      </c>
      <c r="AN5842">
        <v>-20.160564799999939</v>
      </c>
      <c r="AO5842">
        <v>-44.88424978393428</v>
      </c>
      <c r="AP5842">
        <v>-20.160509999999999</v>
      </c>
      <c r="AQ5842">
        <v>-44.884123000000002</v>
      </c>
      <c r="AR5842">
        <v>14.585823463739541</v>
      </c>
      <c r="AS5842" t="s">
        <v>65</v>
      </c>
      <c r="AT5842">
        <v>1</v>
      </c>
      <c r="AU5842" t="s">
        <v>1468</v>
      </c>
      <c r="AV5842" t="s">
        <v>1469</v>
      </c>
      <c r="AW5842" t="s">
        <v>60</v>
      </c>
      <c r="AX5842" t="s">
        <v>68</v>
      </c>
      <c r="AY5842" t="s">
        <v>69</v>
      </c>
      <c r="AZ5842" t="b">
        <v>1</v>
      </c>
    </row>
    <row r="5843" spans="1:52" x14ac:dyDescent="0.3">
      <c r="A5843" t="s">
        <v>52</v>
      </c>
      <c r="B5843" t="s">
        <v>53</v>
      </c>
      <c r="C5843" t="s">
        <v>54</v>
      </c>
      <c r="D5843" t="s">
        <v>55</v>
      </c>
      <c r="E5843" t="s">
        <v>2280</v>
      </c>
      <c r="F5843" t="s">
        <v>1247</v>
      </c>
      <c r="G5843" t="s">
        <v>1501</v>
      </c>
      <c r="H5843" t="s">
        <v>1502</v>
      </c>
      <c r="I5843" t="s">
        <v>1502</v>
      </c>
      <c r="J5843" t="s">
        <v>60</v>
      </c>
      <c r="K5843" t="s">
        <v>1466</v>
      </c>
      <c r="L5843" t="s">
        <v>62</v>
      </c>
      <c r="M5843" t="s">
        <v>1466</v>
      </c>
      <c r="N5843" t="s">
        <v>1503</v>
      </c>
      <c r="O5843" t="s">
        <v>1504</v>
      </c>
      <c r="P5843">
        <v>-20.159618999999999</v>
      </c>
      <c r="Q5843">
        <v>-44.880065000000002</v>
      </c>
      <c r="R5843" s="2" t="str">
        <f>HYPERLINK("https://www.google.com/maps?q=-20.1596190,-44.8800650","Abrir no Google Maps")</f>
        <v>Abrir no Google Maps</v>
      </c>
      <c r="S5843">
        <v>2</v>
      </c>
      <c r="T5843">
        <v>243.9950282285559</v>
      </c>
      <c r="U5843">
        <v>4</v>
      </c>
      <c r="V5843">
        <v>0.99776785714285721</v>
      </c>
      <c r="W5843">
        <v>1</v>
      </c>
      <c r="X5843">
        <v>0.99776785714285721</v>
      </c>
      <c r="Y5843">
        <v>671</v>
      </c>
      <c r="Z5843">
        <v>265.31354384517681</v>
      </c>
      <c r="AA5843">
        <v>198</v>
      </c>
      <c r="AB5843">
        <v>332</v>
      </c>
      <c r="AC5843">
        <v>536</v>
      </c>
      <c r="AD5843">
        <v>27.77</v>
      </c>
      <c r="AE5843">
        <v>542</v>
      </c>
      <c r="AF5843">
        <v>26</v>
      </c>
      <c r="AG5843">
        <v>163</v>
      </c>
      <c r="AH5843">
        <v>129</v>
      </c>
      <c r="AI5843">
        <v>4.8</v>
      </c>
      <c r="AJ5843">
        <v>30.07</v>
      </c>
      <c r="AK5843">
        <v>23.8</v>
      </c>
      <c r="AL5843">
        <v>-20.159689949999969</v>
      </c>
      <c r="AM5843">
        <v>-44.880075072344489</v>
      </c>
      <c r="AN5843">
        <v>-20.159689949999969</v>
      </c>
      <c r="AO5843">
        <v>-44.880075072344489</v>
      </c>
      <c r="AP5843">
        <v>-20.159618999999999</v>
      </c>
      <c r="AQ5843">
        <v>-44.880065000000002</v>
      </c>
      <c r="AR5843">
        <v>7.9679809486040876</v>
      </c>
      <c r="AS5843" t="s">
        <v>65</v>
      </c>
      <c r="AT5843">
        <v>1</v>
      </c>
      <c r="AU5843" t="s">
        <v>1505</v>
      </c>
      <c r="AV5843" t="s">
        <v>1506</v>
      </c>
      <c r="AW5843" t="s">
        <v>60</v>
      </c>
      <c r="AX5843" t="s">
        <v>68</v>
      </c>
      <c r="AY5843" t="s">
        <v>69</v>
      </c>
      <c r="AZ5843" t="b">
        <v>1</v>
      </c>
    </row>
    <row r="5844" spans="1:52" x14ac:dyDescent="0.3">
      <c r="A5844" t="s">
        <v>52</v>
      </c>
      <c r="B5844" t="s">
        <v>53</v>
      </c>
      <c r="C5844" t="s">
        <v>54</v>
      </c>
      <c r="D5844" t="s">
        <v>55</v>
      </c>
      <c r="E5844" t="s">
        <v>2280</v>
      </c>
      <c r="F5844" t="s">
        <v>1247</v>
      </c>
      <c r="G5844" t="s">
        <v>1507</v>
      </c>
      <c r="H5844" t="s">
        <v>1508</v>
      </c>
      <c r="I5844" t="s">
        <v>1508</v>
      </c>
      <c r="J5844" t="s">
        <v>60</v>
      </c>
      <c r="K5844" t="s">
        <v>1466</v>
      </c>
      <c r="L5844" t="s">
        <v>62</v>
      </c>
      <c r="M5844" t="s">
        <v>1466</v>
      </c>
      <c r="N5844" t="s">
        <v>1509</v>
      </c>
      <c r="O5844" t="s">
        <v>270</v>
      </c>
      <c r="P5844">
        <v>-20.164501999999999</v>
      </c>
      <c r="Q5844">
        <v>-44.883226999999998</v>
      </c>
      <c r="R5844" s="2" t="str">
        <f>HYPERLINK("https://www.google.com/maps?q=-20.1645020,-44.8832270","Abrir no Google Maps")</f>
        <v>Abrir no Google Maps</v>
      </c>
      <c r="S5844">
        <v>2</v>
      </c>
      <c r="T5844">
        <v>691.62667420887726</v>
      </c>
      <c r="U5844">
        <v>4</v>
      </c>
      <c r="V5844">
        <v>0.9990234375</v>
      </c>
      <c r="W5844">
        <v>1</v>
      </c>
      <c r="X5844">
        <v>0.9990234375</v>
      </c>
      <c r="Y5844">
        <v>671</v>
      </c>
      <c r="Z5844">
        <v>591.13935302436732</v>
      </c>
      <c r="AA5844">
        <v>198</v>
      </c>
      <c r="AB5844">
        <v>332</v>
      </c>
      <c r="AC5844">
        <v>536</v>
      </c>
      <c r="AD5844">
        <v>27.77</v>
      </c>
      <c r="AE5844">
        <v>542</v>
      </c>
      <c r="AF5844">
        <v>26</v>
      </c>
      <c r="AG5844">
        <v>163</v>
      </c>
      <c r="AH5844">
        <v>129</v>
      </c>
      <c r="AI5844">
        <v>4.8</v>
      </c>
      <c r="AJ5844">
        <v>30.07</v>
      </c>
      <c r="AK5844">
        <v>23.8</v>
      </c>
      <c r="AL5844">
        <v>-20.164470149999939</v>
      </c>
      <c r="AM5844">
        <v>-44.883357321672527</v>
      </c>
      <c r="AN5844">
        <v>-20.164470149999939</v>
      </c>
      <c r="AO5844">
        <v>-44.883357321672527</v>
      </c>
      <c r="AP5844">
        <v>-20.164501999999999</v>
      </c>
      <c r="AQ5844">
        <v>-44.883226999999998</v>
      </c>
      <c r="AR5844">
        <v>14.072184947340521</v>
      </c>
      <c r="AS5844" t="s">
        <v>65</v>
      </c>
      <c r="AT5844">
        <v>1</v>
      </c>
      <c r="AU5844" t="s">
        <v>1510</v>
      </c>
      <c r="AV5844" t="s">
        <v>1511</v>
      </c>
      <c r="AW5844" t="s">
        <v>60</v>
      </c>
      <c r="AX5844" t="s">
        <v>68</v>
      </c>
      <c r="AY5844" t="s">
        <v>69</v>
      </c>
      <c r="AZ5844" t="b">
        <v>1</v>
      </c>
    </row>
    <row r="5845" spans="1:52" x14ac:dyDescent="0.3">
      <c r="A5845" t="s">
        <v>52</v>
      </c>
      <c r="B5845" t="s">
        <v>53</v>
      </c>
      <c r="C5845" t="s">
        <v>54</v>
      </c>
      <c r="D5845" t="s">
        <v>55</v>
      </c>
      <c r="E5845" t="s">
        <v>2280</v>
      </c>
      <c r="F5845" t="s">
        <v>1247</v>
      </c>
      <c r="G5845" t="s">
        <v>1479</v>
      </c>
      <c r="H5845" t="s">
        <v>1480</v>
      </c>
      <c r="I5845" t="s">
        <v>1480</v>
      </c>
      <c r="J5845" t="s">
        <v>60</v>
      </c>
      <c r="K5845" t="s">
        <v>1302</v>
      </c>
      <c r="L5845" t="s">
        <v>62</v>
      </c>
      <c r="M5845" t="s">
        <v>1302</v>
      </c>
      <c r="N5845" t="s">
        <v>1481</v>
      </c>
      <c r="O5845" t="s">
        <v>1482</v>
      </c>
      <c r="P5845">
        <v>-20.164655</v>
      </c>
      <c r="Q5845">
        <v>-44.912697000000001</v>
      </c>
      <c r="R5845" s="2" t="str">
        <f>HYPERLINK("https://www.google.com/maps?q=-20.1646550,-44.9126970","Abrir no Google Maps")</f>
        <v>Abrir no Google Maps</v>
      </c>
      <c r="S5845">
        <v>2</v>
      </c>
      <c r="T5845">
        <v>441.50274004930441</v>
      </c>
      <c r="U5845">
        <v>4</v>
      </c>
      <c r="V5845">
        <v>0.99831649831649838</v>
      </c>
      <c r="W5845">
        <v>1</v>
      </c>
      <c r="X5845">
        <v>0.99831649831649838</v>
      </c>
      <c r="Y5845">
        <v>639</v>
      </c>
      <c r="Z5845">
        <v>311.03317029936522</v>
      </c>
      <c r="AA5845">
        <v>198</v>
      </c>
      <c r="AB5845">
        <v>332</v>
      </c>
      <c r="AC5845">
        <v>536</v>
      </c>
      <c r="AD5845">
        <v>27.77</v>
      </c>
      <c r="AE5845">
        <v>542</v>
      </c>
      <c r="AF5845">
        <v>26</v>
      </c>
      <c r="AG5845">
        <v>163</v>
      </c>
      <c r="AH5845">
        <v>129</v>
      </c>
      <c r="AI5845">
        <v>4.8</v>
      </c>
      <c r="AJ5845">
        <v>30.07</v>
      </c>
      <c r="AK5845">
        <v>23.8</v>
      </c>
      <c r="AL5845">
        <v>-20.164702999999971</v>
      </c>
      <c r="AM5845">
        <v>-44.912418857911163</v>
      </c>
      <c r="AN5845">
        <v>-20.164702999999971</v>
      </c>
      <c r="AO5845">
        <v>-44.912418857911163</v>
      </c>
      <c r="AP5845">
        <v>-20.164655</v>
      </c>
      <c r="AQ5845">
        <v>-44.912697000000001</v>
      </c>
      <c r="AR5845">
        <v>29.552017409892429</v>
      </c>
      <c r="AS5845" t="s">
        <v>65</v>
      </c>
      <c r="AT5845">
        <v>1</v>
      </c>
      <c r="AU5845" t="s">
        <v>1483</v>
      </c>
      <c r="AV5845" t="s">
        <v>1484</v>
      </c>
      <c r="AW5845" t="s">
        <v>60</v>
      </c>
      <c r="AX5845" t="s">
        <v>68</v>
      </c>
      <c r="AY5845" t="s">
        <v>69</v>
      </c>
      <c r="AZ5845" t="b">
        <v>1</v>
      </c>
    </row>
    <row r="5846" spans="1:52" x14ac:dyDescent="0.3">
      <c r="A5846" t="s">
        <v>52</v>
      </c>
      <c r="B5846" t="s">
        <v>53</v>
      </c>
      <c r="C5846" t="s">
        <v>54</v>
      </c>
      <c r="D5846" t="s">
        <v>55</v>
      </c>
      <c r="E5846" t="s">
        <v>2280</v>
      </c>
      <c r="F5846" t="s">
        <v>1247</v>
      </c>
      <c r="G5846" t="s">
        <v>1518</v>
      </c>
      <c r="H5846" t="s">
        <v>1519</v>
      </c>
      <c r="I5846" t="s">
        <v>1519</v>
      </c>
      <c r="J5846" t="s">
        <v>60</v>
      </c>
      <c r="K5846" t="s">
        <v>1302</v>
      </c>
      <c r="L5846" t="s">
        <v>62</v>
      </c>
      <c r="M5846" t="s">
        <v>1302</v>
      </c>
      <c r="N5846" t="s">
        <v>1520</v>
      </c>
      <c r="O5846" t="s">
        <v>1521</v>
      </c>
      <c r="P5846">
        <v>-20.16263</v>
      </c>
      <c r="Q5846">
        <v>-44.910342999999997</v>
      </c>
      <c r="R5846" s="2" t="str">
        <f>HYPERLINK("https://www.google.com/maps?q=-20.1626300,-44.9103430","Abrir no Google Maps")</f>
        <v>Abrir no Google Maps</v>
      </c>
      <c r="S5846">
        <v>2</v>
      </c>
      <c r="T5846">
        <v>492.63980270666781</v>
      </c>
      <c r="U5846">
        <v>4</v>
      </c>
      <c r="V5846">
        <v>0.99897959183673479</v>
      </c>
      <c r="W5846">
        <v>1</v>
      </c>
      <c r="X5846">
        <v>0.99897959183673479</v>
      </c>
      <c r="Y5846">
        <v>639</v>
      </c>
      <c r="Z5846">
        <v>412.49960371731271</v>
      </c>
      <c r="AA5846">
        <v>198</v>
      </c>
      <c r="AB5846">
        <v>332</v>
      </c>
      <c r="AC5846">
        <v>536</v>
      </c>
      <c r="AD5846">
        <v>27.77</v>
      </c>
      <c r="AE5846">
        <v>542</v>
      </c>
      <c r="AF5846">
        <v>26</v>
      </c>
      <c r="AG5846">
        <v>163</v>
      </c>
      <c r="AH5846">
        <v>129</v>
      </c>
      <c r="AI5846">
        <v>4.8</v>
      </c>
      <c r="AJ5846">
        <v>30.07</v>
      </c>
      <c r="AK5846">
        <v>23.8</v>
      </c>
      <c r="AL5846">
        <v>-20.162579949999952</v>
      </c>
      <c r="AM5846">
        <v>-44.910101148008863</v>
      </c>
      <c r="AN5846">
        <v>-20.162579949999952</v>
      </c>
      <c r="AO5846">
        <v>-44.910101148008863</v>
      </c>
      <c r="AP5846">
        <v>-20.16263</v>
      </c>
      <c r="AQ5846">
        <v>-44.910342999999997</v>
      </c>
      <c r="AR5846">
        <v>25.879932474893501</v>
      </c>
      <c r="AS5846" t="s">
        <v>65</v>
      </c>
      <c r="AT5846">
        <v>1</v>
      </c>
      <c r="AU5846" t="s">
        <v>1522</v>
      </c>
      <c r="AV5846" t="s">
        <v>1523</v>
      </c>
      <c r="AW5846" t="s">
        <v>60</v>
      </c>
      <c r="AX5846" t="s">
        <v>68</v>
      </c>
      <c r="AY5846" t="s">
        <v>69</v>
      </c>
      <c r="AZ5846" t="b">
        <v>1</v>
      </c>
    </row>
    <row r="5847" spans="1:52" x14ac:dyDescent="0.3">
      <c r="A5847" t="s">
        <v>52</v>
      </c>
      <c r="B5847" t="s">
        <v>53</v>
      </c>
      <c r="C5847" t="s">
        <v>54</v>
      </c>
      <c r="D5847" t="s">
        <v>55</v>
      </c>
      <c r="E5847" t="s">
        <v>2280</v>
      </c>
      <c r="F5847" t="s">
        <v>1247</v>
      </c>
      <c r="G5847" t="s">
        <v>1490</v>
      </c>
      <c r="H5847" t="s">
        <v>1491</v>
      </c>
      <c r="I5847" t="s">
        <v>1491</v>
      </c>
      <c r="J5847" t="s">
        <v>60</v>
      </c>
      <c r="K5847" t="s">
        <v>336</v>
      </c>
      <c r="L5847" t="s">
        <v>62</v>
      </c>
      <c r="M5847" t="s">
        <v>336</v>
      </c>
      <c r="N5847" t="s">
        <v>1492</v>
      </c>
      <c r="O5847" t="s">
        <v>842</v>
      </c>
      <c r="P5847">
        <v>-20.164228999999999</v>
      </c>
      <c r="Q5847">
        <v>-44.876455999999997</v>
      </c>
      <c r="R5847" s="2" t="str">
        <f>HYPERLINK("https://www.google.com/maps?q=-20.1642290,-44.8764560","Abrir no Google Maps")</f>
        <v>Abrir no Google Maps</v>
      </c>
      <c r="S5847">
        <v>2</v>
      </c>
      <c r="T5847">
        <v>420.00990411628987</v>
      </c>
      <c r="U5847">
        <v>3</v>
      </c>
      <c r="V5847">
        <v>0.98750000000000004</v>
      </c>
      <c r="W5847">
        <v>1</v>
      </c>
      <c r="X5847">
        <v>0.98750000000000004</v>
      </c>
      <c r="Y5847">
        <v>671</v>
      </c>
      <c r="Z5847">
        <v>375.90194920648611</v>
      </c>
      <c r="AA5847">
        <v>198</v>
      </c>
      <c r="AB5847">
        <v>332</v>
      </c>
      <c r="AC5847">
        <v>536</v>
      </c>
      <c r="AD5847">
        <v>27.77</v>
      </c>
      <c r="AE5847">
        <v>542</v>
      </c>
      <c r="AF5847">
        <v>26</v>
      </c>
      <c r="AG5847">
        <v>163</v>
      </c>
      <c r="AH5847">
        <v>129</v>
      </c>
      <c r="AI5847">
        <v>4.8</v>
      </c>
      <c r="AJ5847">
        <v>30.07</v>
      </c>
      <c r="AK5847">
        <v>23.8</v>
      </c>
      <c r="AL5847">
        <v>-20.164255749999938</v>
      </c>
      <c r="AM5847">
        <v>-44.876471676086922</v>
      </c>
      <c r="AN5847">
        <v>-20.164255749999938</v>
      </c>
      <c r="AO5847">
        <v>-44.876471676086922</v>
      </c>
      <c r="AP5847">
        <v>-20.164228999999999</v>
      </c>
      <c r="AQ5847">
        <v>-44.876455999999997</v>
      </c>
      <c r="AR5847">
        <v>3.3986375813953771</v>
      </c>
      <c r="AS5847" t="s">
        <v>65</v>
      </c>
      <c r="AT5847">
        <v>1</v>
      </c>
      <c r="AU5847" t="s">
        <v>1493</v>
      </c>
      <c r="AV5847" t="s">
        <v>1494</v>
      </c>
      <c r="AW5847" t="s">
        <v>60</v>
      </c>
      <c r="AX5847" t="s">
        <v>68</v>
      </c>
      <c r="AY5847" t="s">
        <v>69</v>
      </c>
      <c r="AZ5847" t="b">
        <v>1</v>
      </c>
    </row>
    <row r="5848" spans="1:52" x14ac:dyDescent="0.3">
      <c r="A5848" t="s">
        <v>52</v>
      </c>
      <c r="B5848" t="s">
        <v>53</v>
      </c>
      <c r="C5848" t="s">
        <v>54</v>
      </c>
      <c r="D5848" t="s">
        <v>55</v>
      </c>
      <c r="E5848" t="s">
        <v>2280</v>
      </c>
      <c r="F5848" t="s">
        <v>1247</v>
      </c>
      <c r="G5848" t="s">
        <v>1495</v>
      </c>
      <c r="H5848" t="s">
        <v>1496</v>
      </c>
      <c r="I5848" t="s">
        <v>1496</v>
      </c>
      <c r="J5848" t="s">
        <v>60</v>
      </c>
      <c r="K5848" t="s">
        <v>1466</v>
      </c>
      <c r="L5848" t="s">
        <v>62</v>
      </c>
      <c r="M5848" t="s">
        <v>1466</v>
      </c>
      <c r="N5848" t="s">
        <v>1497</v>
      </c>
      <c r="O5848" t="s">
        <v>1498</v>
      </c>
      <c r="P5848">
        <v>-20.163160999999999</v>
      </c>
      <c r="Q5848">
        <v>-44.880460999999997</v>
      </c>
      <c r="R5848" s="2" t="str">
        <f>HYPERLINK("https://www.google.com/maps?q=-20.1631610,-44.8804610","Abrir no Google Maps")</f>
        <v>Abrir no Google Maps</v>
      </c>
      <c r="S5848">
        <v>2</v>
      </c>
      <c r="T5848">
        <v>372.63783804650222</v>
      </c>
      <c r="U5848">
        <v>3</v>
      </c>
      <c r="V5848">
        <v>0.98529411764705876</v>
      </c>
      <c r="W5848">
        <v>1</v>
      </c>
      <c r="X5848">
        <v>0.98529411764705876</v>
      </c>
      <c r="Y5848">
        <v>671</v>
      </c>
      <c r="Z5848">
        <v>250.43144487082299</v>
      </c>
      <c r="AA5848">
        <v>198</v>
      </c>
      <c r="AB5848">
        <v>332</v>
      </c>
      <c r="AC5848">
        <v>536</v>
      </c>
      <c r="AD5848">
        <v>27.77</v>
      </c>
      <c r="AE5848">
        <v>542</v>
      </c>
      <c r="AF5848">
        <v>26</v>
      </c>
      <c r="AG5848">
        <v>163</v>
      </c>
      <c r="AH5848">
        <v>129</v>
      </c>
      <c r="AI5848">
        <v>4.8</v>
      </c>
      <c r="AJ5848">
        <v>30.07</v>
      </c>
      <c r="AK5848">
        <v>23.8</v>
      </c>
      <c r="AL5848">
        <v>-20.163296749999969</v>
      </c>
      <c r="AM5848">
        <v>-44.88037544059182</v>
      </c>
      <c r="AN5848">
        <v>-20.163296749999969</v>
      </c>
      <c r="AO5848">
        <v>-44.88037544059182</v>
      </c>
      <c r="AP5848">
        <v>-20.163160999999999</v>
      </c>
      <c r="AQ5848">
        <v>-44.880460999999997</v>
      </c>
      <c r="AR5848">
        <v>17.558482416121191</v>
      </c>
      <c r="AS5848" t="s">
        <v>65</v>
      </c>
      <c r="AT5848">
        <v>1</v>
      </c>
      <c r="AU5848" t="s">
        <v>1499</v>
      </c>
      <c r="AV5848" t="s">
        <v>1500</v>
      </c>
      <c r="AW5848" t="s">
        <v>60</v>
      </c>
      <c r="AX5848" t="s">
        <v>68</v>
      </c>
      <c r="AY5848" t="s">
        <v>69</v>
      </c>
      <c r="AZ5848" t="b">
        <v>1</v>
      </c>
    </row>
    <row r="5849" spans="1:52" x14ac:dyDescent="0.3">
      <c r="A5849" t="s">
        <v>52</v>
      </c>
      <c r="B5849" t="s">
        <v>53</v>
      </c>
      <c r="C5849" t="s">
        <v>54</v>
      </c>
      <c r="D5849" t="s">
        <v>55</v>
      </c>
      <c r="E5849" t="s">
        <v>2280</v>
      </c>
      <c r="F5849" t="s">
        <v>1247</v>
      </c>
      <c r="G5849" t="s">
        <v>1333</v>
      </c>
      <c r="H5849" t="s">
        <v>1470</v>
      </c>
      <c r="I5849" t="s">
        <v>1470</v>
      </c>
      <c r="J5849" t="s">
        <v>60</v>
      </c>
      <c r="K5849" t="s">
        <v>437</v>
      </c>
      <c r="L5849" t="s">
        <v>62</v>
      </c>
      <c r="M5849" t="s">
        <v>437</v>
      </c>
      <c r="N5849" t="s">
        <v>1335</v>
      </c>
      <c r="O5849" t="s">
        <v>900</v>
      </c>
      <c r="P5849">
        <v>-20.147047000000001</v>
      </c>
      <c r="Q5849">
        <v>-44.883921999999998</v>
      </c>
      <c r="R5849" s="2" t="str">
        <f>HYPERLINK("https://www.google.com/maps?q=-20.1470470,-44.8839220","Abrir no Google Maps")</f>
        <v>Abrir no Google Maps</v>
      </c>
      <c r="S5849">
        <v>2</v>
      </c>
      <c r="T5849">
        <v>296.4098018832658</v>
      </c>
      <c r="U5849">
        <v>3</v>
      </c>
      <c r="V5849">
        <v>0.98897058823529416</v>
      </c>
      <c r="W5849">
        <v>1</v>
      </c>
      <c r="X5849">
        <v>0.98897058823529416</v>
      </c>
      <c r="Y5849">
        <v>653</v>
      </c>
      <c r="Z5849">
        <v>299.72271006042178</v>
      </c>
      <c r="AA5849">
        <v>198</v>
      </c>
      <c r="AB5849">
        <v>332</v>
      </c>
      <c r="AC5849">
        <v>536</v>
      </c>
      <c r="AD5849">
        <v>27.77</v>
      </c>
      <c r="AE5849">
        <v>542</v>
      </c>
      <c r="AF5849">
        <v>26</v>
      </c>
      <c r="AG5849">
        <v>163</v>
      </c>
      <c r="AH5849">
        <v>129</v>
      </c>
      <c r="AI5849">
        <v>4.8</v>
      </c>
      <c r="AJ5849">
        <v>30.07</v>
      </c>
      <c r="AK5849">
        <v>23.8</v>
      </c>
      <c r="AL5849">
        <v>-20.147074949999929</v>
      </c>
      <c r="AM5849">
        <v>-44.883796511502347</v>
      </c>
      <c r="AN5849">
        <v>-20.147074949999929</v>
      </c>
      <c r="AO5849">
        <v>-44.883796511502347</v>
      </c>
      <c r="AP5849">
        <v>-20.147047000000001</v>
      </c>
      <c r="AQ5849">
        <v>-44.883921999999998</v>
      </c>
      <c r="AR5849">
        <v>13.47864632994</v>
      </c>
      <c r="AS5849" t="s">
        <v>65</v>
      </c>
      <c r="AT5849">
        <v>1</v>
      </c>
      <c r="AU5849" t="s">
        <v>1471</v>
      </c>
      <c r="AV5849" t="s">
        <v>1472</v>
      </c>
      <c r="AW5849" t="s">
        <v>60</v>
      </c>
      <c r="AX5849" t="s">
        <v>68</v>
      </c>
      <c r="AY5849" t="s">
        <v>69</v>
      </c>
      <c r="AZ5849" t="b">
        <v>1</v>
      </c>
    </row>
    <row r="5850" spans="1:52" x14ac:dyDescent="0.3">
      <c r="A5850" t="s">
        <v>52</v>
      </c>
      <c r="B5850" t="s">
        <v>53</v>
      </c>
      <c r="C5850" t="s">
        <v>54</v>
      </c>
      <c r="D5850" t="s">
        <v>55</v>
      </c>
      <c r="E5850" t="s">
        <v>2280</v>
      </c>
      <c r="F5850" t="s">
        <v>1247</v>
      </c>
      <c r="G5850" t="s">
        <v>1512</v>
      </c>
      <c r="H5850" t="s">
        <v>1513</v>
      </c>
      <c r="I5850" t="s">
        <v>1513</v>
      </c>
      <c r="J5850" t="s">
        <v>60</v>
      </c>
      <c r="K5850" t="s">
        <v>1302</v>
      </c>
      <c r="L5850" t="s">
        <v>62</v>
      </c>
      <c r="M5850" t="s">
        <v>1302</v>
      </c>
      <c r="N5850" t="s">
        <v>1514</v>
      </c>
      <c r="O5850" t="s">
        <v>1515</v>
      </c>
      <c r="P5850">
        <v>-20.163709000000001</v>
      </c>
      <c r="Q5850">
        <v>-44.916074999999999</v>
      </c>
      <c r="R5850" s="2" t="str">
        <f>HYPERLINK("https://www.google.com/maps?q=-20.1637090,-44.9160750","Abrir no Google Maps")</f>
        <v>Abrir no Google Maps</v>
      </c>
      <c r="S5850">
        <v>2</v>
      </c>
      <c r="T5850">
        <v>305.09593452131332</v>
      </c>
      <c r="U5850">
        <v>3</v>
      </c>
      <c r="V5850">
        <v>0.90303030303030318</v>
      </c>
      <c r="W5850">
        <v>1</v>
      </c>
      <c r="X5850">
        <v>0.90303030303030318</v>
      </c>
      <c r="Y5850">
        <v>639</v>
      </c>
      <c r="Z5850">
        <v>289.37841230131949</v>
      </c>
      <c r="AA5850">
        <v>198</v>
      </c>
      <c r="AB5850">
        <v>332</v>
      </c>
      <c r="AC5850">
        <v>536</v>
      </c>
      <c r="AD5850">
        <v>27.77</v>
      </c>
      <c r="AE5850">
        <v>542</v>
      </c>
      <c r="AF5850">
        <v>26</v>
      </c>
      <c r="AG5850">
        <v>163</v>
      </c>
      <c r="AH5850">
        <v>129</v>
      </c>
      <c r="AI5850">
        <v>4.8</v>
      </c>
      <c r="AJ5850">
        <v>30.07</v>
      </c>
      <c r="AK5850">
        <v>23.8</v>
      </c>
      <c r="AL5850">
        <v>-20.163666449999969</v>
      </c>
      <c r="AM5850">
        <v>-44.916102906827042</v>
      </c>
      <c r="AN5850">
        <v>-20.163666449999969</v>
      </c>
      <c r="AO5850">
        <v>-44.916102906827042</v>
      </c>
      <c r="AP5850">
        <v>-20.163709000000001</v>
      </c>
      <c r="AQ5850">
        <v>-44.916074999999999</v>
      </c>
      <c r="AR5850">
        <v>5.5623892025550603</v>
      </c>
      <c r="AS5850" t="s">
        <v>65</v>
      </c>
      <c r="AT5850">
        <v>1</v>
      </c>
      <c r="AU5850" t="s">
        <v>1516</v>
      </c>
      <c r="AV5850" t="s">
        <v>1517</v>
      </c>
      <c r="AW5850" t="s">
        <v>60</v>
      </c>
      <c r="AX5850" t="s">
        <v>68</v>
      </c>
      <c r="AY5850" t="s">
        <v>69</v>
      </c>
      <c r="AZ5850" t="b">
        <v>1</v>
      </c>
    </row>
    <row r="5851" spans="1:52" x14ac:dyDescent="0.3">
      <c r="A5851" t="s">
        <v>52</v>
      </c>
      <c r="B5851" t="s">
        <v>53</v>
      </c>
      <c r="C5851" t="s">
        <v>54</v>
      </c>
      <c r="D5851" t="s">
        <v>55</v>
      </c>
      <c r="E5851" t="s">
        <v>2280</v>
      </c>
      <c r="F5851" t="s">
        <v>1247</v>
      </c>
      <c r="G5851" t="s">
        <v>1473</v>
      </c>
      <c r="H5851" t="s">
        <v>1474</v>
      </c>
      <c r="I5851" t="s">
        <v>1474</v>
      </c>
      <c r="J5851" t="s">
        <v>60</v>
      </c>
      <c r="K5851" t="s">
        <v>1302</v>
      </c>
      <c r="L5851" t="s">
        <v>62</v>
      </c>
      <c r="M5851" t="s">
        <v>1302</v>
      </c>
      <c r="N5851" t="s">
        <v>1475</v>
      </c>
      <c r="O5851" t="s">
        <v>1476</v>
      </c>
      <c r="P5851">
        <v>-20.161372</v>
      </c>
      <c r="Q5851">
        <v>-44.914636999999999</v>
      </c>
      <c r="R5851" s="2" t="str">
        <f>HYPERLINK("https://www.google.com/maps?q=-20.1613720,-44.9146370","Abrir no Google Maps")</f>
        <v>Abrir no Google Maps</v>
      </c>
      <c r="S5851">
        <v>2</v>
      </c>
      <c r="T5851">
        <v>0</v>
      </c>
      <c r="U5851">
        <v>3</v>
      </c>
      <c r="V5851">
        <v>0.95454545454545436</v>
      </c>
      <c r="W5851">
        <v>1</v>
      </c>
      <c r="X5851">
        <v>0.95454545454545436</v>
      </c>
      <c r="Y5851">
        <v>639</v>
      </c>
      <c r="Z5851">
        <v>81.742669907651447</v>
      </c>
      <c r="AA5851">
        <v>198</v>
      </c>
      <c r="AB5851">
        <v>332</v>
      </c>
      <c r="AC5851">
        <v>536</v>
      </c>
      <c r="AD5851">
        <v>27.77</v>
      </c>
      <c r="AE5851">
        <v>542</v>
      </c>
      <c r="AF5851">
        <v>26</v>
      </c>
      <c r="AG5851">
        <v>163</v>
      </c>
      <c r="AH5851">
        <v>129</v>
      </c>
      <c r="AI5851">
        <v>4.8</v>
      </c>
      <c r="AJ5851">
        <v>30.07</v>
      </c>
      <c r="AK5851">
        <v>23.8</v>
      </c>
      <c r="AL5851">
        <v>-20.161294499999961</v>
      </c>
      <c r="AM5851">
        <v>-44.914614684493202</v>
      </c>
      <c r="AN5851">
        <v>-20.161294499999961</v>
      </c>
      <c r="AO5851">
        <v>-44.914614684493202</v>
      </c>
      <c r="AP5851">
        <v>-20.161372</v>
      </c>
      <c r="AQ5851">
        <v>-44.914636999999999</v>
      </c>
      <c r="AR5851">
        <v>8.9369058443944862</v>
      </c>
      <c r="AS5851" t="s">
        <v>65</v>
      </c>
      <c r="AT5851">
        <v>1</v>
      </c>
      <c r="AU5851" t="s">
        <v>1477</v>
      </c>
      <c r="AV5851" t="s">
        <v>1478</v>
      </c>
      <c r="AW5851" t="s">
        <v>60</v>
      </c>
      <c r="AX5851" t="s">
        <v>68</v>
      </c>
      <c r="AY5851" t="s">
        <v>69</v>
      </c>
      <c r="AZ5851" t="b">
        <v>1</v>
      </c>
    </row>
    <row r="5852" spans="1:52" x14ac:dyDescent="0.3">
      <c r="A5852" t="s">
        <v>52</v>
      </c>
      <c r="B5852" t="s">
        <v>53</v>
      </c>
      <c r="C5852" t="s">
        <v>54</v>
      </c>
      <c r="D5852" t="s">
        <v>55</v>
      </c>
      <c r="E5852" t="s">
        <v>2280</v>
      </c>
      <c r="F5852" t="s">
        <v>1247</v>
      </c>
      <c r="G5852" t="s">
        <v>1524</v>
      </c>
      <c r="H5852" t="s">
        <v>1525</v>
      </c>
      <c r="I5852" t="s">
        <v>1525</v>
      </c>
      <c r="J5852" t="s">
        <v>60</v>
      </c>
      <c r="K5852" t="s">
        <v>1302</v>
      </c>
      <c r="L5852" t="s">
        <v>62</v>
      </c>
      <c r="M5852" t="s">
        <v>1302</v>
      </c>
      <c r="N5852" t="s">
        <v>1526</v>
      </c>
      <c r="O5852" t="s">
        <v>303</v>
      </c>
      <c r="P5852">
        <v>-20.159873000000001</v>
      </c>
      <c r="Q5852">
        <v>-44.911431999999998</v>
      </c>
      <c r="R5852" s="2" t="str">
        <f>HYPERLINK("https://www.google.com/maps?q=-20.1598730,-44.9114320","Abrir no Google Maps")</f>
        <v>Abrir no Google Maps</v>
      </c>
      <c r="S5852">
        <v>2</v>
      </c>
      <c r="T5852">
        <v>359.34785817593553</v>
      </c>
      <c r="U5852">
        <v>3</v>
      </c>
      <c r="V5852">
        <v>0.90950226244343879</v>
      </c>
      <c r="W5852">
        <v>1</v>
      </c>
      <c r="X5852">
        <v>0.90950226244343879</v>
      </c>
      <c r="Y5852">
        <v>639</v>
      </c>
      <c r="Z5852">
        <v>388.13505700247691</v>
      </c>
      <c r="AA5852">
        <v>198</v>
      </c>
      <c r="AB5852">
        <v>332</v>
      </c>
      <c r="AC5852">
        <v>536</v>
      </c>
      <c r="AD5852">
        <v>27.77</v>
      </c>
      <c r="AE5852">
        <v>542</v>
      </c>
      <c r="AF5852">
        <v>26</v>
      </c>
      <c r="AG5852">
        <v>163</v>
      </c>
      <c r="AH5852">
        <v>129</v>
      </c>
      <c r="AI5852">
        <v>4.8</v>
      </c>
      <c r="AJ5852">
        <v>30.07</v>
      </c>
      <c r="AK5852">
        <v>23.8</v>
      </c>
      <c r="AL5852">
        <v>-20.159583599999969</v>
      </c>
      <c r="AM5852">
        <v>-44.911691929105316</v>
      </c>
      <c r="AN5852">
        <v>-20.159583599999969</v>
      </c>
      <c r="AO5852">
        <v>-44.911691929105316</v>
      </c>
      <c r="AP5852">
        <v>-20.159873000000001</v>
      </c>
      <c r="AQ5852">
        <v>-44.911431999999998</v>
      </c>
      <c r="AR5852">
        <v>42.138811218570019</v>
      </c>
      <c r="AS5852" t="s">
        <v>65</v>
      </c>
      <c r="AT5852">
        <v>1</v>
      </c>
      <c r="AU5852" t="s">
        <v>1527</v>
      </c>
      <c r="AV5852" t="s">
        <v>1528</v>
      </c>
      <c r="AW5852" t="s">
        <v>60</v>
      </c>
      <c r="AX5852" t="s">
        <v>68</v>
      </c>
      <c r="AY5852" t="s">
        <v>69</v>
      </c>
      <c r="AZ5852" t="b">
        <v>1</v>
      </c>
    </row>
    <row r="5853" spans="1:52" x14ac:dyDescent="0.3">
      <c r="A5853" t="s">
        <v>52</v>
      </c>
      <c r="B5853" t="s">
        <v>53</v>
      </c>
      <c r="C5853" t="s">
        <v>54</v>
      </c>
      <c r="D5853" t="s">
        <v>55</v>
      </c>
      <c r="E5853" t="s">
        <v>2280</v>
      </c>
      <c r="F5853" t="s">
        <v>1247</v>
      </c>
      <c r="G5853" t="s">
        <v>1554</v>
      </c>
      <c r="H5853" t="s">
        <v>1555</v>
      </c>
      <c r="I5853" t="s">
        <v>1555</v>
      </c>
      <c r="J5853" t="s">
        <v>60</v>
      </c>
      <c r="K5853" t="s">
        <v>1466</v>
      </c>
      <c r="L5853" t="s">
        <v>62</v>
      </c>
      <c r="M5853" t="s">
        <v>1466</v>
      </c>
      <c r="N5853" t="s">
        <v>1556</v>
      </c>
      <c r="O5853" t="s">
        <v>989</v>
      </c>
      <c r="P5853">
        <v>-20.160997999999999</v>
      </c>
      <c r="Q5853">
        <v>-44.878385999999999</v>
      </c>
      <c r="R5853" s="2" t="str">
        <f>HYPERLINK("https://www.google.com/maps?q=-20.1609980,-44.8783860","Abrir no Google Maps")</f>
        <v>Abrir no Google Maps</v>
      </c>
      <c r="S5853">
        <v>2</v>
      </c>
      <c r="T5853">
        <v>0</v>
      </c>
      <c r="U5853">
        <v>2</v>
      </c>
      <c r="V5853">
        <v>0.98230088495575218</v>
      </c>
      <c r="W5853">
        <v>0.85</v>
      </c>
      <c r="X5853">
        <v>0.83495575221238938</v>
      </c>
      <c r="Y5853">
        <v>671</v>
      </c>
      <c r="Z5853">
        <v>74.014802531188664</v>
      </c>
      <c r="AA5853">
        <v>198</v>
      </c>
      <c r="AB5853">
        <v>332</v>
      </c>
      <c r="AC5853">
        <v>536</v>
      </c>
      <c r="AD5853">
        <v>27.77</v>
      </c>
      <c r="AE5853">
        <v>542</v>
      </c>
      <c r="AF5853">
        <v>26</v>
      </c>
      <c r="AG5853">
        <v>163</v>
      </c>
      <c r="AH5853">
        <v>129</v>
      </c>
      <c r="AI5853">
        <v>4.8</v>
      </c>
      <c r="AJ5853">
        <v>30.07</v>
      </c>
      <c r="AK5853">
        <v>23.8</v>
      </c>
      <c r="AL5853">
        <v>-20.160758199999979</v>
      </c>
      <c r="AM5853">
        <v>-44.878032519747983</v>
      </c>
      <c r="AN5853">
        <v>-20.160758199999979</v>
      </c>
      <c r="AO5853">
        <v>-44.878032519747983</v>
      </c>
      <c r="AP5853">
        <v>-20.160997999999999</v>
      </c>
      <c r="AQ5853">
        <v>-44.878385999999999</v>
      </c>
      <c r="AR5853">
        <v>45.574638830261883</v>
      </c>
      <c r="AS5853" t="s">
        <v>65</v>
      </c>
      <c r="AT5853">
        <v>1</v>
      </c>
      <c r="AU5853" t="s">
        <v>1557</v>
      </c>
      <c r="AV5853" t="s">
        <v>1558</v>
      </c>
      <c r="AW5853" t="s">
        <v>60</v>
      </c>
      <c r="AX5853" t="s">
        <v>68</v>
      </c>
      <c r="AY5853" t="s">
        <v>69</v>
      </c>
      <c r="AZ5853" t="b">
        <v>1</v>
      </c>
    </row>
    <row r="5854" spans="1:52" x14ac:dyDescent="0.3">
      <c r="A5854" t="s">
        <v>52</v>
      </c>
      <c r="B5854" t="s">
        <v>53</v>
      </c>
      <c r="C5854" t="s">
        <v>54</v>
      </c>
      <c r="D5854" t="s">
        <v>55</v>
      </c>
      <c r="E5854" t="s">
        <v>2280</v>
      </c>
      <c r="F5854" t="s">
        <v>1247</v>
      </c>
      <c r="G5854" t="s">
        <v>1529</v>
      </c>
      <c r="H5854" t="s">
        <v>1530</v>
      </c>
      <c r="I5854" t="s">
        <v>1530</v>
      </c>
      <c r="J5854" t="s">
        <v>60</v>
      </c>
      <c r="K5854" t="s">
        <v>1466</v>
      </c>
      <c r="L5854" t="s">
        <v>62</v>
      </c>
      <c r="M5854" t="s">
        <v>1466</v>
      </c>
      <c r="N5854" t="s">
        <v>1531</v>
      </c>
      <c r="O5854" t="s">
        <v>145</v>
      </c>
      <c r="P5854">
        <v>-20.162952000000001</v>
      </c>
      <c r="Q5854">
        <v>-44.877612999999997</v>
      </c>
      <c r="R5854" s="2" t="str">
        <f>HYPERLINK("https://www.google.com/maps?q=-20.1629520,-44.8776130","Abrir no Google Maps")</f>
        <v>Abrir no Google Maps</v>
      </c>
      <c r="S5854">
        <v>2</v>
      </c>
      <c r="T5854">
        <v>229.91388913695721</v>
      </c>
      <c r="U5854">
        <v>2</v>
      </c>
      <c r="V5854">
        <v>0.99810606060606055</v>
      </c>
      <c r="W5854">
        <v>0.85</v>
      </c>
      <c r="X5854">
        <v>0.8483901515151514</v>
      </c>
      <c r="Y5854">
        <v>671</v>
      </c>
      <c r="Z5854">
        <v>157.6775523644973</v>
      </c>
      <c r="AA5854">
        <v>198</v>
      </c>
      <c r="AB5854">
        <v>332</v>
      </c>
      <c r="AC5854">
        <v>536</v>
      </c>
      <c r="AD5854">
        <v>27.77</v>
      </c>
      <c r="AE5854">
        <v>542</v>
      </c>
      <c r="AF5854">
        <v>26</v>
      </c>
      <c r="AG5854">
        <v>163</v>
      </c>
      <c r="AH5854">
        <v>129</v>
      </c>
      <c r="AI5854">
        <v>4.8</v>
      </c>
      <c r="AJ5854">
        <v>30.07</v>
      </c>
      <c r="AK5854">
        <v>23.8</v>
      </c>
      <c r="AL5854">
        <v>-20.16278829999996</v>
      </c>
      <c r="AM5854">
        <v>-44.877564655204168</v>
      </c>
      <c r="AN5854">
        <v>-20.16278829999996</v>
      </c>
      <c r="AO5854">
        <v>-44.877564655204168</v>
      </c>
      <c r="AP5854">
        <v>-20.162952000000001</v>
      </c>
      <c r="AQ5854">
        <v>-44.877612999999997</v>
      </c>
      <c r="AR5854">
        <v>18.91038935762678</v>
      </c>
      <c r="AS5854" t="s">
        <v>65</v>
      </c>
      <c r="AT5854">
        <v>1</v>
      </c>
      <c r="AU5854" t="s">
        <v>1532</v>
      </c>
      <c r="AV5854" t="s">
        <v>1533</v>
      </c>
      <c r="AW5854" t="s">
        <v>60</v>
      </c>
      <c r="AX5854" t="s">
        <v>68</v>
      </c>
      <c r="AY5854" t="s">
        <v>69</v>
      </c>
      <c r="AZ5854" t="b">
        <v>1</v>
      </c>
    </row>
    <row r="5855" spans="1:52" x14ac:dyDescent="0.3">
      <c r="A5855" t="s">
        <v>52</v>
      </c>
      <c r="B5855" t="s">
        <v>53</v>
      </c>
      <c r="C5855" t="s">
        <v>54</v>
      </c>
      <c r="D5855" t="s">
        <v>55</v>
      </c>
      <c r="E5855" t="s">
        <v>2280</v>
      </c>
      <c r="F5855" t="s">
        <v>1247</v>
      </c>
      <c r="G5855" t="s">
        <v>1541</v>
      </c>
      <c r="H5855" t="s">
        <v>1542</v>
      </c>
      <c r="I5855" t="s">
        <v>1542</v>
      </c>
      <c r="J5855" t="s">
        <v>60</v>
      </c>
      <c r="K5855" t="s">
        <v>1302</v>
      </c>
      <c r="L5855" t="s">
        <v>62</v>
      </c>
      <c r="M5855" t="s">
        <v>1302</v>
      </c>
      <c r="N5855" t="s">
        <v>1543</v>
      </c>
      <c r="O5855" t="s">
        <v>1544</v>
      </c>
      <c r="P5855">
        <v>-20.166267999999999</v>
      </c>
      <c r="Q5855">
        <v>-44.916902</v>
      </c>
      <c r="R5855" s="2" t="str">
        <f>HYPERLINK("https://www.google.com/maps?q=-20.1662680,-44.9169020","Abrir no Google Maps")</f>
        <v>Abrir no Google Maps</v>
      </c>
      <c r="S5855">
        <v>2</v>
      </c>
      <c r="T5855">
        <v>580.14556008922216</v>
      </c>
      <c r="U5855">
        <v>2</v>
      </c>
      <c r="V5855">
        <v>0.96317829457364323</v>
      </c>
      <c r="W5855">
        <v>0.85</v>
      </c>
      <c r="X5855">
        <v>0.81870155038759673</v>
      </c>
      <c r="Y5855">
        <v>639</v>
      </c>
      <c r="Z5855">
        <v>590.87477783185614</v>
      </c>
      <c r="AA5855">
        <v>198</v>
      </c>
      <c r="AB5855">
        <v>332</v>
      </c>
      <c r="AC5855">
        <v>536</v>
      </c>
      <c r="AD5855">
        <v>27.77</v>
      </c>
      <c r="AE5855">
        <v>542</v>
      </c>
      <c r="AF5855">
        <v>26</v>
      </c>
      <c r="AG5855">
        <v>163</v>
      </c>
      <c r="AH5855">
        <v>129</v>
      </c>
      <c r="AI5855">
        <v>4.8</v>
      </c>
      <c r="AJ5855">
        <v>30.07</v>
      </c>
      <c r="AK5855">
        <v>23.8</v>
      </c>
      <c r="AL5855">
        <v>-20.165891749999961</v>
      </c>
      <c r="AM5855">
        <v>-44.917283075074913</v>
      </c>
      <c r="AN5855">
        <v>-20.165891749999961</v>
      </c>
      <c r="AO5855">
        <v>-44.917283075074913</v>
      </c>
      <c r="AP5855">
        <v>-20.166267999999999</v>
      </c>
      <c r="AQ5855">
        <v>-44.916902</v>
      </c>
      <c r="AR5855">
        <v>57.792534087281872</v>
      </c>
      <c r="AS5855" t="s">
        <v>65</v>
      </c>
      <c r="AT5855">
        <v>1</v>
      </c>
      <c r="AU5855" t="s">
        <v>1545</v>
      </c>
      <c r="AV5855" t="s">
        <v>1546</v>
      </c>
      <c r="AW5855" t="s">
        <v>60</v>
      </c>
      <c r="AX5855" t="s">
        <v>68</v>
      </c>
      <c r="AY5855" t="s">
        <v>69</v>
      </c>
      <c r="AZ5855" t="b">
        <v>1</v>
      </c>
    </row>
    <row r="5856" spans="1:52" x14ac:dyDescent="0.3">
      <c r="A5856" t="s">
        <v>52</v>
      </c>
      <c r="B5856" t="s">
        <v>53</v>
      </c>
      <c r="C5856" t="s">
        <v>54</v>
      </c>
      <c r="D5856" t="s">
        <v>55</v>
      </c>
      <c r="E5856" t="s">
        <v>2280</v>
      </c>
      <c r="F5856" t="s">
        <v>1247</v>
      </c>
      <c r="G5856" t="s">
        <v>1547</v>
      </c>
      <c r="H5856" t="s">
        <v>1548</v>
      </c>
      <c r="I5856" t="s">
        <v>1548</v>
      </c>
      <c r="J5856" t="s">
        <v>60</v>
      </c>
      <c r="K5856" t="s">
        <v>1549</v>
      </c>
      <c r="L5856" t="s">
        <v>62</v>
      </c>
      <c r="M5856" t="s">
        <v>1549</v>
      </c>
      <c r="N5856" t="s">
        <v>1550</v>
      </c>
      <c r="O5856" t="s">
        <v>1551</v>
      </c>
      <c r="P5856">
        <v>-20.173258000000001</v>
      </c>
      <c r="Q5856">
        <v>-44.930354000000001</v>
      </c>
      <c r="R5856" s="2" t="str">
        <f>HYPERLINK("https://www.google.com/maps?q=-20.1732580,-44.9303540","Abrir no Google Maps")</f>
        <v>Abrir no Google Maps</v>
      </c>
      <c r="S5856">
        <v>2</v>
      </c>
      <c r="T5856">
        <v>2023.802197028052</v>
      </c>
      <c r="U5856">
        <v>1</v>
      </c>
      <c r="V5856">
        <v>0.85370370370370363</v>
      </c>
      <c r="W5856">
        <v>0.85</v>
      </c>
      <c r="X5856">
        <v>0.72564814814814804</v>
      </c>
      <c r="Y5856">
        <v>723</v>
      </c>
      <c r="Z5856">
        <v>1727.7445576555911</v>
      </c>
      <c r="AA5856">
        <v>198</v>
      </c>
      <c r="AB5856">
        <v>332</v>
      </c>
      <c r="AC5856">
        <v>536</v>
      </c>
      <c r="AD5856">
        <v>27.77</v>
      </c>
      <c r="AE5856">
        <v>542</v>
      </c>
      <c r="AF5856">
        <v>26</v>
      </c>
      <c r="AG5856">
        <v>163</v>
      </c>
      <c r="AH5856">
        <v>129</v>
      </c>
      <c r="AI5856">
        <v>4.8</v>
      </c>
      <c r="AJ5856">
        <v>30.07</v>
      </c>
      <c r="AK5856">
        <v>23.8</v>
      </c>
      <c r="AL5856">
        <v>-20.172996449999939</v>
      </c>
      <c r="AM5856">
        <v>-44.930058436825973</v>
      </c>
      <c r="AN5856">
        <v>-20.172996449999939</v>
      </c>
      <c r="AO5856">
        <v>-44.930058436825973</v>
      </c>
      <c r="AP5856">
        <v>-20.173258000000001</v>
      </c>
      <c r="AQ5856">
        <v>-44.930354000000001</v>
      </c>
      <c r="AR5856">
        <v>42.444455141884362</v>
      </c>
      <c r="AS5856" t="s">
        <v>65</v>
      </c>
      <c r="AT5856">
        <v>1</v>
      </c>
      <c r="AU5856" t="s">
        <v>1552</v>
      </c>
      <c r="AV5856" t="s">
        <v>1553</v>
      </c>
      <c r="AW5856" t="s">
        <v>60</v>
      </c>
      <c r="AX5856" t="s">
        <v>68</v>
      </c>
      <c r="AY5856" t="s">
        <v>69</v>
      </c>
      <c r="AZ5856" t="b">
        <v>1</v>
      </c>
    </row>
    <row r="5857" spans="1:52" x14ac:dyDescent="0.3">
      <c r="A5857" t="s">
        <v>52</v>
      </c>
      <c r="B5857" t="s">
        <v>53</v>
      </c>
      <c r="C5857" t="s">
        <v>54</v>
      </c>
      <c r="D5857" t="s">
        <v>55</v>
      </c>
      <c r="E5857" t="s">
        <v>2280</v>
      </c>
      <c r="F5857" t="s">
        <v>1247</v>
      </c>
      <c r="G5857" t="s">
        <v>1127</v>
      </c>
      <c r="H5857" t="s">
        <v>1455</v>
      </c>
      <c r="I5857" t="s">
        <v>1455</v>
      </c>
      <c r="J5857" t="s">
        <v>60</v>
      </c>
      <c r="K5857" t="s">
        <v>431</v>
      </c>
      <c r="L5857" t="s">
        <v>62</v>
      </c>
      <c r="M5857" t="s">
        <v>431</v>
      </c>
      <c r="N5857" t="s">
        <v>1456</v>
      </c>
      <c r="O5857" t="s">
        <v>1001</v>
      </c>
      <c r="P5857">
        <v>-20.168237999999999</v>
      </c>
      <c r="Q5857">
        <v>-44.924250999999998</v>
      </c>
      <c r="R5857" s="2" t="str">
        <f>HYPERLINK("https://www.google.com/maps?q=-20.1682380,-44.9242510","Abrir no Google Maps")</f>
        <v>Abrir no Google Maps</v>
      </c>
      <c r="S5857">
        <v>2</v>
      </c>
      <c r="T5857">
        <v>1220.188820430971</v>
      </c>
      <c r="U5857">
        <v>1</v>
      </c>
      <c r="V5857">
        <v>0.93371212121212122</v>
      </c>
      <c r="W5857">
        <v>0.85</v>
      </c>
      <c r="X5857">
        <v>0.79365530303030296</v>
      </c>
      <c r="Y5857">
        <v>723</v>
      </c>
      <c r="Z5857">
        <v>1092.4377883150901</v>
      </c>
      <c r="AA5857">
        <v>198</v>
      </c>
      <c r="AB5857">
        <v>332</v>
      </c>
      <c r="AC5857">
        <v>536</v>
      </c>
      <c r="AD5857">
        <v>27.77</v>
      </c>
      <c r="AE5857">
        <v>542</v>
      </c>
      <c r="AF5857">
        <v>26</v>
      </c>
      <c r="AG5857">
        <v>163</v>
      </c>
      <c r="AH5857">
        <v>129</v>
      </c>
      <c r="AI5857">
        <v>4.8</v>
      </c>
      <c r="AJ5857">
        <v>30.07</v>
      </c>
      <c r="AK5857">
        <v>23.8</v>
      </c>
      <c r="AL5857">
        <v>-20.168394999999951</v>
      </c>
      <c r="AM5857">
        <v>-44.923548168580673</v>
      </c>
      <c r="AN5857">
        <v>-20.168394999999951</v>
      </c>
      <c r="AO5857">
        <v>-44.923548168580673</v>
      </c>
      <c r="AP5857">
        <v>-20.168237999999999</v>
      </c>
      <c r="AQ5857">
        <v>-44.924250999999998</v>
      </c>
      <c r="AR5857">
        <v>75.492755104934275</v>
      </c>
      <c r="AS5857" t="s">
        <v>65</v>
      </c>
      <c r="AT5857">
        <v>1</v>
      </c>
      <c r="AU5857" t="s">
        <v>1457</v>
      </c>
      <c r="AV5857" t="s">
        <v>1458</v>
      </c>
      <c r="AW5857" t="s">
        <v>60</v>
      </c>
      <c r="AX5857" t="s">
        <v>68</v>
      </c>
      <c r="AY5857" t="s">
        <v>69</v>
      </c>
      <c r="AZ5857" t="b">
        <v>1</v>
      </c>
    </row>
    <row r="5858" spans="1:52" x14ac:dyDescent="0.3">
      <c r="A5858" t="s">
        <v>52</v>
      </c>
      <c r="B5858" t="s">
        <v>53</v>
      </c>
      <c r="C5858" t="s">
        <v>54</v>
      </c>
      <c r="D5858" t="s">
        <v>55</v>
      </c>
      <c r="E5858" t="s">
        <v>2280</v>
      </c>
      <c r="F5858" t="s">
        <v>1247</v>
      </c>
      <c r="G5858" t="s">
        <v>1459</v>
      </c>
      <c r="H5858" t="s">
        <v>1460</v>
      </c>
      <c r="I5858" t="s">
        <v>1460</v>
      </c>
      <c r="J5858" t="s">
        <v>60</v>
      </c>
      <c r="K5858" t="s">
        <v>431</v>
      </c>
      <c r="L5858" t="s">
        <v>62</v>
      </c>
      <c r="M5858" t="s">
        <v>431</v>
      </c>
      <c r="N5858" t="s">
        <v>1461</v>
      </c>
      <c r="O5858" t="s">
        <v>1462</v>
      </c>
      <c r="P5858">
        <v>-20.170182</v>
      </c>
      <c r="Q5858">
        <v>-44.922556999999998</v>
      </c>
      <c r="R5858" s="2" t="str">
        <f>HYPERLINK("https://www.google.com/maps?q=-20.1701820,-44.9225570","Abrir no Google Maps")</f>
        <v>Abrir no Google Maps</v>
      </c>
      <c r="S5858">
        <v>2</v>
      </c>
      <c r="T5858">
        <v>1189.3885679843149</v>
      </c>
      <c r="U5858">
        <v>1</v>
      </c>
      <c r="V5858">
        <v>0.92964071856287445</v>
      </c>
      <c r="W5858">
        <v>0.85</v>
      </c>
      <c r="X5858">
        <v>0.79019461077844322</v>
      </c>
      <c r="Y5858">
        <v>723</v>
      </c>
      <c r="Z5858">
        <v>961.89164604479117</v>
      </c>
      <c r="AA5858">
        <v>198</v>
      </c>
      <c r="AB5858">
        <v>332</v>
      </c>
      <c r="AC5858">
        <v>536</v>
      </c>
      <c r="AD5858">
        <v>27.77</v>
      </c>
      <c r="AE5858">
        <v>542</v>
      </c>
      <c r="AF5858">
        <v>26</v>
      </c>
      <c r="AG5858">
        <v>163</v>
      </c>
      <c r="AH5858">
        <v>129</v>
      </c>
      <c r="AI5858">
        <v>4.8</v>
      </c>
      <c r="AJ5858">
        <v>30.07</v>
      </c>
      <c r="AK5858">
        <v>23.8</v>
      </c>
      <c r="AL5858">
        <v>-20.169385449999961</v>
      </c>
      <c r="AM5858">
        <v>-44.922107101898007</v>
      </c>
      <c r="AN5858">
        <v>-20.169385449999961</v>
      </c>
      <c r="AO5858">
        <v>-44.922107101898007</v>
      </c>
      <c r="AP5858">
        <v>-20.170182</v>
      </c>
      <c r="AQ5858">
        <v>-44.922556999999998</v>
      </c>
      <c r="AR5858">
        <v>100.36329580049031</v>
      </c>
      <c r="AS5858" t="s">
        <v>65</v>
      </c>
      <c r="AT5858">
        <v>1</v>
      </c>
      <c r="AU5858" t="s">
        <v>1463</v>
      </c>
      <c r="AV5858" t="s">
        <v>1458</v>
      </c>
      <c r="AW5858" t="s">
        <v>60</v>
      </c>
      <c r="AX5858" t="s">
        <v>68</v>
      </c>
      <c r="AY5858" t="s">
        <v>69</v>
      </c>
      <c r="AZ5858" t="b">
        <v>1</v>
      </c>
    </row>
    <row r="5859" spans="1:52" x14ac:dyDescent="0.3">
      <c r="A5859" t="s">
        <v>52</v>
      </c>
      <c r="B5859" t="s">
        <v>53</v>
      </c>
      <c r="C5859" t="s">
        <v>54</v>
      </c>
      <c r="D5859" t="s">
        <v>55</v>
      </c>
      <c r="E5859" t="s">
        <v>2280</v>
      </c>
      <c r="F5859" t="s">
        <v>1247</v>
      </c>
      <c r="G5859" t="s">
        <v>1534</v>
      </c>
      <c r="H5859" t="s">
        <v>1535</v>
      </c>
      <c r="I5859" t="s">
        <v>1535</v>
      </c>
      <c r="J5859" t="s">
        <v>60</v>
      </c>
      <c r="K5859" t="s">
        <v>1536</v>
      </c>
      <c r="L5859" t="s">
        <v>62</v>
      </c>
      <c r="M5859" t="s">
        <v>1536</v>
      </c>
      <c r="N5859" t="s">
        <v>1537</v>
      </c>
      <c r="O5859" t="s">
        <v>1538</v>
      </c>
      <c r="P5859">
        <v>-20.164618999999998</v>
      </c>
      <c r="Q5859">
        <v>-44.921776999999999</v>
      </c>
      <c r="R5859" s="2" t="str">
        <f>HYPERLINK("https://www.google.com/maps?q=-20.1646190,-44.9217770","Abrir no Google Maps")</f>
        <v>Abrir no Google Maps</v>
      </c>
      <c r="S5859">
        <v>2</v>
      </c>
      <c r="T5859">
        <v>835.70698013544222</v>
      </c>
      <c r="U5859">
        <v>1</v>
      </c>
      <c r="V5859">
        <v>0.9407894736842104</v>
      </c>
      <c r="W5859">
        <v>0.85</v>
      </c>
      <c r="X5859">
        <v>0.79967105263157878</v>
      </c>
      <c r="Y5859">
        <v>639</v>
      </c>
      <c r="Z5859">
        <v>821.59880323911125</v>
      </c>
      <c r="AA5859">
        <v>198</v>
      </c>
      <c r="AB5859">
        <v>332</v>
      </c>
      <c r="AC5859">
        <v>536</v>
      </c>
      <c r="AD5859">
        <v>27.77</v>
      </c>
      <c r="AE5859">
        <v>542</v>
      </c>
      <c r="AF5859">
        <v>26</v>
      </c>
      <c r="AG5859">
        <v>163</v>
      </c>
      <c r="AH5859">
        <v>129</v>
      </c>
      <c r="AI5859">
        <v>4.8</v>
      </c>
      <c r="AJ5859">
        <v>30.07</v>
      </c>
      <c r="AK5859">
        <v>23.8</v>
      </c>
      <c r="AL5859">
        <v>-20.164312499999969</v>
      </c>
      <c r="AM5859">
        <v>-44.921945691824099</v>
      </c>
      <c r="AN5859">
        <v>-20.164312499999969</v>
      </c>
      <c r="AO5859">
        <v>-44.921945691824099</v>
      </c>
      <c r="AP5859">
        <v>-20.164618999999998</v>
      </c>
      <c r="AQ5859">
        <v>-44.921776999999999</v>
      </c>
      <c r="AR5859">
        <v>38.404224975746608</v>
      </c>
      <c r="AS5859" t="s">
        <v>65</v>
      </c>
      <c r="AT5859">
        <v>1</v>
      </c>
      <c r="AU5859" t="s">
        <v>1539</v>
      </c>
      <c r="AV5859" t="s">
        <v>1540</v>
      </c>
      <c r="AW5859" t="s">
        <v>60</v>
      </c>
      <c r="AX5859" t="s">
        <v>68</v>
      </c>
      <c r="AY5859" t="s">
        <v>69</v>
      </c>
      <c r="AZ5859" t="b">
        <v>1</v>
      </c>
    </row>
    <row r="5860" spans="1:52" x14ac:dyDescent="0.3">
      <c r="A5860" t="s">
        <v>52</v>
      </c>
      <c r="B5860" t="s">
        <v>53</v>
      </c>
      <c r="C5860" t="s">
        <v>54</v>
      </c>
      <c r="D5860" t="s">
        <v>55</v>
      </c>
      <c r="E5860" t="s">
        <v>2280</v>
      </c>
      <c r="F5860" t="s">
        <v>1247</v>
      </c>
      <c r="G5860" t="s">
        <v>1559</v>
      </c>
      <c r="H5860" t="s">
        <v>1560</v>
      </c>
      <c r="I5860" t="s">
        <v>1560</v>
      </c>
      <c r="J5860" t="s">
        <v>60</v>
      </c>
      <c r="K5860" t="s">
        <v>61</v>
      </c>
      <c r="L5860" t="s">
        <v>62</v>
      </c>
      <c r="M5860" t="s">
        <v>61</v>
      </c>
      <c r="N5860" t="s">
        <v>1561</v>
      </c>
      <c r="O5860" t="s">
        <v>1562</v>
      </c>
      <c r="P5860">
        <v>-20.154959000000002</v>
      </c>
      <c r="Q5860">
        <v>-44.91525</v>
      </c>
      <c r="R5860" s="2" t="str">
        <f>HYPERLINK("https://www.google.com/maps?q=-20.1549590,-44.9152500","Abrir no Google Maps")</f>
        <v>Abrir no Google Maps</v>
      </c>
      <c r="S5860">
        <v>2</v>
      </c>
      <c r="T5860">
        <v>738.36411213380245</v>
      </c>
      <c r="U5860">
        <v>1</v>
      </c>
      <c r="V5860">
        <v>0.25</v>
      </c>
      <c r="W5860">
        <v>0.85</v>
      </c>
      <c r="X5860">
        <v>0.21249999999999999</v>
      </c>
      <c r="Y5860">
        <v>639</v>
      </c>
      <c r="Z5860">
        <v>860.82840850294542</v>
      </c>
      <c r="AA5860">
        <v>198</v>
      </c>
      <c r="AB5860">
        <v>332</v>
      </c>
      <c r="AC5860">
        <v>536</v>
      </c>
      <c r="AD5860">
        <v>27.77</v>
      </c>
      <c r="AE5860">
        <v>542</v>
      </c>
      <c r="AF5860">
        <v>26</v>
      </c>
      <c r="AG5860">
        <v>163</v>
      </c>
      <c r="AH5860">
        <v>129</v>
      </c>
      <c r="AI5860">
        <v>4.8</v>
      </c>
      <c r="AJ5860">
        <v>30.07</v>
      </c>
      <c r="AK5860">
        <v>23.8</v>
      </c>
      <c r="AL5860">
        <v>-20.154629849999939</v>
      </c>
      <c r="AM5860">
        <v>-44.914951620624052</v>
      </c>
      <c r="AN5860">
        <v>-20.154629849999939</v>
      </c>
      <c r="AO5860">
        <v>-44.914951620624052</v>
      </c>
      <c r="AP5860">
        <v>-20.154959000000002</v>
      </c>
      <c r="AQ5860">
        <v>-44.91525</v>
      </c>
      <c r="AR5860">
        <v>48.11297170616912</v>
      </c>
      <c r="AS5860" t="s">
        <v>65</v>
      </c>
      <c r="AT5860">
        <v>1</v>
      </c>
      <c r="AU5860" t="s">
        <v>1563</v>
      </c>
      <c r="AV5860" t="s">
        <v>1564</v>
      </c>
      <c r="AW5860" t="s">
        <v>60</v>
      </c>
      <c r="AX5860" t="s">
        <v>68</v>
      </c>
      <c r="AY5860" t="s">
        <v>69</v>
      </c>
      <c r="AZ5860" t="b">
        <v>1</v>
      </c>
    </row>
    <row r="5861" spans="1:52" x14ac:dyDescent="0.3">
      <c r="A5861" t="s">
        <v>52</v>
      </c>
      <c r="B5861" t="s">
        <v>53</v>
      </c>
      <c r="C5861" t="s">
        <v>54</v>
      </c>
      <c r="D5861" t="s">
        <v>55</v>
      </c>
      <c r="E5861" t="s">
        <v>2280</v>
      </c>
      <c r="F5861" t="s">
        <v>1247</v>
      </c>
      <c r="G5861" t="s">
        <v>1607</v>
      </c>
      <c r="H5861" t="s">
        <v>1608</v>
      </c>
      <c r="I5861" t="s">
        <v>1608</v>
      </c>
      <c r="J5861" t="s">
        <v>60</v>
      </c>
      <c r="K5861" t="s">
        <v>1486</v>
      </c>
      <c r="L5861" t="s">
        <v>62</v>
      </c>
      <c r="M5861" t="s">
        <v>1486</v>
      </c>
      <c r="N5861" t="s">
        <v>1609</v>
      </c>
      <c r="O5861" t="s">
        <v>1255</v>
      </c>
      <c r="P5861">
        <v>-20.157689000000001</v>
      </c>
      <c r="Q5861">
        <v>-44.883887000000001</v>
      </c>
      <c r="R5861" s="2" t="str">
        <f>HYPERLINK("https://www.google.com/maps?q=-20.1576890,-44.8838870","Abrir no Google Maps")</f>
        <v>Abrir no Google Maps</v>
      </c>
      <c r="S5861">
        <v>1</v>
      </c>
      <c r="T5861">
        <v>603.38424821205774</v>
      </c>
      <c r="U5861">
        <v>4</v>
      </c>
      <c r="V5861">
        <v>0.9991103202846976</v>
      </c>
      <c r="W5861">
        <v>1</v>
      </c>
      <c r="X5861">
        <v>0.9991103202846976</v>
      </c>
      <c r="Y5861">
        <v>671</v>
      </c>
      <c r="Z5861">
        <v>682.48636898467089</v>
      </c>
      <c r="AA5861">
        <v>198</v>
      </c>
      <c r="AB5861">
        <v>332</v>
      </c>
      <c r="AC5861">
        <v>536</v>
      </c>
      <c r="AD5861">
        <v>27.77</v>
      </c>
      <c r="AE5861">
        <v>542</v>
      </c>
      <c r="AF5861">
        <v>26</v>
      </c>
      <c r="AG5861">
        <v>163</v>
      </c>
      <c r="AH5861">
        <v>129</v>
      </c>
      <c r="AI5861">
        <v>4.8</v>
      </c>
      <c r="AJ5861">
        <v>30.07</v>
      </c>
      <c r="AK5861">
        <v>23.8</v>
      </c>
      <c r="AL5861">
        <v>-20.157732249999949</v>
      </c>
      <c r="AM5861">
        <v>-44.883829923283272</v>
      </c>
      <c r="AN5861">
        <v>-20.157732249999949</v>
      </c>
      <c r="AO5861">
        <v>-44.883829923283272</v>
      </c>
      <c r="AP5861">
        <v>-20.157689000000001</v>
      </c>
      <c r="AQ5861">
        <v>-44.883887000000001</v>
      </c>
      <c r="AR5861">
        <v>7.6652901074925257</v>
      </c>
      <c r="AS5861" t="s">
        <v>65</v>
      </c>
      <c r="AT5861">
        <v>1</v>
      </c>
      <c r="AU5861" t="s">
        <v>1610</v>
      </c>
      <c r="AV5861" t="s">
        <v>1611</v>
      </c>
      <c r="AW5861" t="s">
        <v>60</v>
      </c>
      <c r="AX5861" t="s">
        <v>68</v>
      </c>
      <c r="AY5861" t="s">
        <v>69</v>
      </c>
      <c r="AZ5861" t="b">
        <v>1</v>
      </c>
    </row>
    <row r="5862" spans="1:52" x14ac:dyDescent="0.3">
      <c r="A5862" t="s">
        <v>52</v>
      </c>
      <c r="B5862" t="s">
        <v>53</v>
      </c>
      <c r="C5862" t="s">
        <v>54</v>
      </c>
      <c r="D5862" t="s">
        <v>55</v>
      </c>
      <c r="E5862" t="s">
        <v>2280</v>
      </c>
      <c r="F5862" t="s">
        <v>1247</v>
      </c>
      <c r="G5862" t="s">
        <v>631</v>
      </c>
      <c r="H5862" t="s">
        <v>1565</v>
      </c>
      <c r="I5862" t="s">
        <v>1565</v>
      </c>
      <c r="J5862" t="s">
        <v>60</v>
      </c>
      <c r="K5862" t="s">
        <v>530</v>
      </c>
      <c r="L5862" t="s">
        <v>62</v>
      </c>
      <c r="M5862" t="s">
        <v>530</v>
      </c>
      <c r="N5862" t="s">
        <v>633</v>
      </c>
      <c r="O5862" t="s">
        <v>1566</v>
      </c>
      <c r="P5862">
        <v>-20.143915</v>
      </c>
      <c r="Q5862">
        <v>-44.8947</v>
      </c>
      <c r="R5862" s="2" t="str">
        <f>HYPERLINK("https://www.google.com/maps?q=-20.1439150,-44.8947000","Abrir no Google Maps")</f>
        <v>Abrir no Google Maps</v>
      </c>
      <c r="S5862">
        <v>1</v>
      </c>
      <c r="T5862">
        <v>327.74435325417051</v>
      </c>
      <c r="U5862">
        <v>4</v>
      </c>
      <c r="V5862">
        <v>0.99875000000000003</v>
      </c>
      <c r="W5862">
        <v>1</v>
      </c>
      <c r="X5862">
        <v>0.99875000000000003</v>
      </c>
      <c r="Y5862">
        <v>602</v>
      </c>
      <c r="Z5862">
        <v>236.41345279429891</v>
      </c>
      <c r="AA5862">
        <v>198</v>
      </c>
      <c r="AB5862">
        <v>332</v>
      </c>
      <c r="AC5862">
        <v>536</v>
      </c>
      <c r="AD5862">
        <v>27.77</v>
      </c>
      <c r="AE5862">
        <v>542</v>
      </c>
      <c r="AF5862">
        <v>26</v>
      </c>
      <c r="AG5862">
        <v>163</v>
      </c>
      <c r="AH5862">
        <v>129</v>
      </c>
      <c r="AI5862">
        <v>4.8</v>
      </c>
      <c r="AJ5862">
        <v>30.07</v>
      </c>
      <c r="AK5862">
        <v>23.8</v>
      </c>
      <c r="AL5862">
        <v>-20.143900549999959</v>
      </c>
      <c r="AM5862">
        <v>-44.894835636584318</v>
      </c>
      <c r="AN5862">
        <v>-20.143900549999959</v>
      </c>
      <c r="AO5862">
        <v>-44.894835636584318</v>
      </c>
      <c r="AP5862">
        <v>-20.143915</v>
      </c>
      <c r="AQ5862">
        <v>-44.8947</v>
      </c>
      <c r="AR5862">
        <v>14.266440053785869</v>
      </c>
      <c r="AS5862" t="s">
        <v>65</v>
      </c>
      <c r="AT5862">
        <v>1</v>
      </c>
      <c r="AU5862" t="s">
        <v>1567</v>
      </c>
      <c r="AV5862" t="s">
        <v>1568</v>
      </c>
      <c r="AW5862" t="s">
        <v>60</v>
      </c>
      <c r="AX5862" t="s">
        <v>68</v>
      </c>
      <c r="AY5862" t="s">
        <v>69</v>
      </c>
      <c r="AZ5862" t="b">
        <v>1</v>
      </c>
    </row>
    <row r="5863" spans="1:52" x14ac:dyDescent="0.3">
      <c r="A5863" t="s">
        <v>52</v>
      </c>
      <c r="B5863" t="s">
        <v>53</v>
      </c>
      <c r="C5863" t="s">
        <v>54</v>
      </c>
      <c r="D5863" t="s">
        <v>55</v>
      </c>
      <c r="E5863" t="s">
        <v>2280</v>
      </c>
      <c r="F5863" t="s">
        <v>1247</v>
      </c>
      <c r="G5863" t="s">
        <v>1569</v>
      </c>
      <c r="H5863" t="s">
        <v>1574</v>
      </c>
      <c r="I5863" t="s">
        <v>1574</v>
      </c>
      <c r="J5863" t="s">
        <v>60</v>
      </c>
      <c r="K5863" t="s">
        <v>530</v>
      </c>
      <c r="L5863" t="s">
        <v>62</v>
      </c>
      <c r="M5863" t="s">
        <v>530</v>
      </c>
      <c r="N5863" t="s">
        <v>1571</v>
      </c>
      <c r="O5863" t="s">
        <v>1575</v>
      </c>
      <c r="P5863">
        <v>-20.14554</v>
      </c>
      <c r="Q5863">
        <v>-44.895606000000001</v>
      </c>
      <c r="R5863" s="2" t="str">
        <f>HYPERLINK("https://www.google.com/maps?q=-20.1455400,-44.8956060","Abrir no Google Maps")</f>
        <v>Abrir no Google Maps</v>
      </c>
      <c r="S5863">
        <v>1</v>
      </c>
      <c r="T5863">
        <v>218.66647838959381</v>
      </c>
      <c r="U5863">
        <v>4</v>
      </c>
      <c r="V5863">
        <v>1</v>
      </c>
      <c r="W5863">
        <v>1</v>
      </c>
      <c r="X5863">
        <v>1</v>
      </c>
      <c r="Y5863">
        <v>602</v>
      </c>
      <c r="Z5863">
        <v>263.6501043391637</v>
      </c>
      <c r="AA5863">
        <v>198</v>
      </c>
      <c r="AB5863">
        <v>332</v>
      </c>
      <c r="AC5863">
        <v>536</v>
      </c>
      <c r="AD5863">
        <v>27.77</v>
      </c>
      <c r="AE5863">
        <v>542</v>
      </c>
      <c r="AF5863">
        <v>26</v>
      </c>
      <c r="AG5863">
        <v>163</v>
      </c>
      <c r="AH5863">
        <v>129</v>
      </c>
      <c r="AI5863">
        <v>4.8</v>
      </c>
      <c r="AJ5863">
        <v>30.07</v>
      </c>
      <c r="AK5863">
        <v>23.8</v>
      </c>
      <c r="AL5863">
        <v>-20.145504749999962</v>
      </c>
      <c r="AM5863">
        <v>-44.89561499588882</v>
      </c>
      <c r="AN5863">
        <v>-20.145504749999962</v>
      </c>
      <c r="AO5863">
        <v>-44.89561499588882</v>
      </c>
      <c r="AP5863">
        <v>-20.14554</v>
      </c>
      <c r="AQ5863">
        <v>-44.895606000000001</v>
      </c>
      <c r="AR5863">
        <v>4.0350843151508604</v>
      </c>
      <c r="AS5863" t="s">
        <v>65</v>
      </c>
      <c r="AT5863">
        <v>1</v>
      </c>
      <c r="AU5863" t="s">
        <v>1576</v>
      </c>
      <c r="AV5863" t="s">
        <v>1577</v>
      </c>
      <c r="AW5863" t="s">
        <v>60</v>
      </c>
      <c r="AX5863" t="s">
        <v>68</v>
      </c>
      <c r="AY5863" t="s">
        <v>69</v>
      </c>
      <c r="AZ5863" t="b">
        <v>1</v>
      </c>
    </row>
    <row r="5864" spans="1:52" x14ac:dyDescent="0.3">
      <c r="A5864" t="s">
        <v>52</v>
      </c>
      <c r="B5864" t="s">
        <v>53</v>
      </c>
      <c r="C5864" t="s">
        <v>54</v>
      </c>
      <c r="D5864" t="s">
        <v>55</v>
      </c>
      <c r="E5864" t="s">
        <v>2280</v>
      </c>
      <c r="F5864" t="s">
        <v>1247</v>
      </c>
      <c r="G5864" t="s">
        <v>1578</v>
      </c>
      <c r="H5864" t="s">
        <v>1579</v>
      </c>
      <c r="I5864" t="s">
        <v>1579</v>
      </c>
      <c r="J5864" t="s">
        <v>60</v>
      </c>
      <c r="K5864" t="s">
        <v>530</v>
      </c>
      <c r="L5864" t="s">
        <v>62</v>
      </c>
      <c r="M5864" t="s">
        <v>530</v>
      </c>
      <c r="N5864" t="s">
        <v>1580</v>
      </c>
      <c r="O5864" t="s">
        <v>1581</v>
      </c>
      <c r="P5864">
        <v>-20.143713999999999</v>
      </c>
      <c r="Q5864">
        <v>-44.897387999999999</v>
      </c>
      <c r="R5864" s="2" t="str">
        <f>HYPERLINK("https://www.google.com/maps?q=-20.1437140,-44.8973880","Abrir no Google Maps")</f>
        <v>Abrir no Google Maps</v>
      </c>
      <c r="S5864">
        <v>1</v>
      </c>
      <c r="T5864">
        <v>354.74438118735611</v>
      </c>
      <c r="U5864">
        <v>4</v>
      </c>
      <c r="V5864">
        <v>0.99787234042553197</v>
      </c>
      <c r="W5864">
        <v>1</v>
      </c>
      <c r="X5864">
        <v>0.99787234042553197</v>
      </c>
      <c r="Y5864">
        <v>588</v>
      </c>
      <c r="Z5864">
        <v>336.29881064197872</v>
      </c>
      <c r="AA5864">
        <v>198</v>
      </c>
      <c r="AB5864">
        <v>332</v>
      </c>
      <c r="AC5864">
        <v>536</v>
      </c>
      <c r="AD5864">
        <v>27.77</v>
      </c>
      <c r="AE5864">
        <v>542</v>
      </c>
      <c r="AF5864">
        <v>26</v>
      </c>
      <c r="AG5864">
        <v>163</v>
      </c>
      <c r="AH5864">
        <v>129</v>
      </c>
      <c r="AI5864">
        <v>4.8</v>
      </c>
      <c r="AJ5864">
        <v>30.07</v>
      </c>
      <c r="AK5864">
        <v>23.8</v>
      </c>
      <c r="AL5864">
        <v>-20.14371329999997</v>
      </c>
      <c r="AM5864">
        <v>-44.897384604125257</v>
      </c>
      <c r="AN5864">
        <v>-20.14371329999997</v>
      </c>
      <c r="AO5864">
        <v>-44.897384604125257</v>
      </c>
      <c r="AP5864">
        <v>-20.143713999999999</v>
      </c>
      <c r="AQ5864">
        <v>-44.897387999999999</v>
      </c>
      <c r="AR5864">
        <v>0.36335934693921551</v>
      </c>
      <c r="AS5864" t="s">
        <v>65</v>
      </c>
      <c r="AT5864">
        <v>1</v>
      </c>
      <c r="AU5864" t="s">
        <v>1582</v>
      </c>
      <c r="AV5864" t="s">
        <v>1583</v>
      </c>
      <c r="AW5864" t="s">
        <v>60</v>
      </c>
      <c r="AX5864" t="s">
        <v>68</v>
      </c>
      <c r="AY5864" t="s">
        <v>69</v>
      </c>
      <c r="AZ5864" t="b">
        <v>1</v>
      </c>
    </row>
    <row r="5865" spans="1:52" x14ac:dyDescent="0.3">
      <c r="A5865" t="s">
        <v>52</v>
      </c>
      <c r="B5865" t="s">
        <v>53</v>
      </c>
      <c r="C5865" t="s">
        <v>54</v>
      </c>
      <c r="D5865" t="s">
        <v>55</v>
      </c>
      <c r="E5865" t="s">
        <v>2280</v>
      </c>
      <c r="F5865" t="s">
        <v>1247</v>
      </c>
      <c r="G5865" t="s">
        <v>1584</v>
      </c>
      <c r="H5865" t="s">
        <v>1585</v>
      </c>
      <c r="I5865" t="s">
        <v>1585</v>
      </c>
      <c r="J5865" t="s">
        <v>60</v>
      </c>
      <c r="K5865" t="s">
        <v>530</v>
      </c>
      <c r="L5865" t="s">
        <v>62</v>
      </c>
      <c r="M5865" t="s">
        <v>530</v>
      </c>
      <c r="N5865" t="s">
        <v>406</v>
      </c>
      <c r="O5865" t="s">
        <v>1586</v>
      </c>
      <c r="P5865">
        <v>-20.141316</v>
      </c>
      <c r="Q5865">
        <v>-44.896424000000003</v>
      </c>
      <c r="R5865" s="2" t="str">
        <f>HYPERLINK("https://www.google.com/maps?q=-20.1413160,-44.8964240","Abrir no Google Maps")</f>
        <v>Abrir no Google Maps</v>
      </c>
      <c r="S5865">
        <v>1</v>
      </c>
      <c r="T5865">
        <v>236.6687095166524</v>
      </c>
      <c r="U5865">
        <v>4</v>
      </c>
      <c r="V5865">
        <v>0.99932249322493238</v>
      </c>
      <c r="W5865">
        <v>1</v>
      </c>
      <c r="X5865">
        <v>0.99932249322493238</v>
      </c>
      <c r="Y5865">
        <v>588</v>
      </c>
      <c r="Z5865">
        <v>255.50729797374251</v>
      </c>
      <c r="AA5865">
        <v>198</v>
      </c>
      <c r="AB5865">
        <v>332</v>
      </c>
      <c r="AC5865">
        <v>536</v>
      </c>
      <c r="AD5865">
        <v>27.77</v>
      </c>
      <c r="AE5865">
        <v>542</v>
      </c>
      <c r="AF5865">
        <v>26</v>
      </c>
      <c r="AG5865">
        <v>163</v>
      </c>
      <c r="AH5865">
        <v>129</v>
      </c>
      <c r="AI5865">
        <v>4.8</v>
      </c>
      <c r="AJ5865">
        <v>30.07</v>
      </c>
      <c r="AK5865">
        <v>23.8</v>
      </c>
      <c r="AL5865">
        <v>-20.141468299999961</v>
      </c>
      <c r="AM5865">
        <v>-44.896566678331098</v>
      </c>
      <c r="AN5865">
        <v>-20.141468299999961</v>
      </c>
      <c r="AO5865">
        <v>-44.896566678331098</v>
      </c>
      <c r="AP5865">
        <v>-20.141316</v>
      </c>
      <c r="AQ5865">
        <v>-44.896424000000003</v>
      </c>
      <c r="AR5865">
        <v>22.578666373759301</v>
      </c>
      <c r="AS5865" t="s">
        <v>65</v>
      </c>
      <c r="AT5865">
        <v>1</v>
      </c>
      <c r="AU5865" t="s">
        <v>1587</v>
      </c>
      <c r="AV5865" t="s">
        <v>1588</v>
      </c>
      <c r="AW5865" t="s">
        <v>60</v>
      </c>
      <c r="AX5865" t="s">
        <v>68</v>
      </c>
      <c r="AY5865" t="s">
        <v>69</v>
      </c>
      <c r="AZ5865" t="b">
        <v>1</v>
      </c>
    </row>
    <row r="5866" spans="1:52" x14ac:dyDescent="0.3">
      <c r="A5866" t="s">
        <v>52</v>
      </c>
      <c r="B5866" t="s">
        <v>53</v>
      </c>
      <c r="C5866" t="s">
        <v>54</v>
      </c>
      <c r="D5866" t="s">
        <v>55</v>
      </c>
      <c r="E5866" t="s">
        <v>2280</v>
      </c>
      <c r="F5866" t="s">
        <v>1247</v>
      </c>
      <c r="G5866" t="s">
        <v>1589</v>
      </c>
      <c r="H5866" t="s">
        <v>1590</v>
      </c>
      <c r="I5866" t="s">
        <v>1590</v>
      </c>
      <c r="J5866" t="s">
        <v>60</v>
      </c>
      <c r="K5866" t="s">
        <v>1591</v>
      </c>
      <c r="L5866" t="s">
        <v>62</v>
      </c>
      <c r="M5866" t="s">
        <v>1591</v>
      </c>
      <c r="N5866" t="s">
        <v>1592</v>
      </c>
      <c r="O5866" t="s">
        <v>659</v>
      </c>
      <c r="P5866">
        <v>-20.140789000000002</v>
      </c>
      <c r="Q5866">
        <v>-44.898631000000002</v>
      </c>
      <c r="R5866" s="2" t="str">
        <f>HYPERLINK("https://www.google.com/maps?q=-20.1407890,-44.8986310","Abrir no Google Maps")</f>
        <v>Abrir no Google Maps</v>
      </c>
      <c r="S5866">
        <v>1</v>
      </c>
      <c r="T5866">
        <v>0</v>
      </c>
      <c r="U5866">
        <v>4</v>
      </c>
      <c r="V5866">
        <v>0.99819494584837543</v>
      </c>
      <c r="W5866">
        <v>1</v>
      </c>
      <c r="X5866">
        <v>0.99819494584837543</v>
      </c>
      <c r="Y5866">
        <v>588</v>
      </c>
      <c r="Z5866">
        <v>51.152636251897107</v>
      </c>
      <c r="AA5866">
        <v>198</v>
      </c>
      <c r="AB5866">
        <v>332</v>
      </c>
      <c r="AC5866">
        <v>536</v>
      </c>
      <c r="AD5866">
        <v>27.77</v>
      </c>
      <c r="AE5866">
        <v>542</v>
      </c>
      <c r="AF5866">
        <v>26</v>
      </c>
      <c r="AG5866">
        <v>163</v>
      </c>
      <c r="AH5866">
        <v>129</v>
      </c>
      <c r="AI5866">
        <v>4.8</v>
      </c>
      <c r="AJ5866">
        <v>30.07</v>
      </c>
      <c r="AK5866">
        <v>23.8</v>
      </c>
      <c r="AL5866">
        <v>-20.140759399999951</v>
      </c>
      <c r="AM5866">
        <v>-44.898703172474903</v>
      </c>
      <c r="AN5866">
        <v>-20.140759399999951</v>
      </c>
      <c r="AO5866">
        <v>-44.898703172474903</v>
      </c>
      <c r="AP5866">
        <v>-20.140789000000002</v>
      </c>
      <c r="AQ5866">
        <v>-44.898631000000002</v>
      </c>
      <c r="AR5866">
        <v>8.2312502179962053</v>
      </c>
      <c r="AS5866" t="s">
        <v>65</v>
      </c>
      <c r="AT5866">
        <v>1</v>
      </c>
      <c r="AU5866" t="s">
        <v>1593</v>
      </c>
      <c r="AV5866" t="s">
        <v>1594</v>
      </c>
      <c r="AW5866" t="s">
        <v>60</v>
      </c>
      <c r="AX5866" t="s">
        <v>68</v>
      </c>
      <c r="AY5866" t="s">
        <v>69</v>
      </c>
      <c r="AZ5866" t="b">
        <v>1</v>
      </c>
    </row>
    <row r="5867" spans="1:52" x14ac:dyDescent="0.3">
      <c r="A5867" t="s">
        <v>52</v>
      </c>
      <c r="B5867" t="s">
        <v>53</v>
      </c>
      <c r="C5867" t="s">
        <v>54</v>
      </c>
      <c r="D5867" t="s">
        <v>55</v>
      </c>
      <c r="E5867" t="s">
        <v>2280</v>
      </c>
      <c r="F5867" t="s">
        <v>1247</v>
      </c>
      <c r="G5867" t="s">
        <v>1595</v>
      </c>
      <c r="H5867" t="s">
        <v>1596</v>
      </c>
      <c r="I5867" t="s">
        <v>1596</v>
      </c>
      <c r="J5867" t="s">
        <v>60</v>
      </c>
      <c r="K5867" t="s">
        <v>530</v>
      </c>
      <c r="L5867" t="s">
        <v>62</v>
      </c>
      <c r="M5867" t="s">
        <v>530</v>
      </c>
      <c r="N5867" t="s">
        <v>1006</v>
      </c>
      <c r="O5867" t="s">
        <v>1597</v>
      </c>
      <c r="P5867">
        <v>-20.139135</v>
      </c>
      <c r="Q5867">
        <v>-44.895907000000001</v>
      </c>
      <c r="R5867" s="2" t="str">
        <f>HYPERLINK("https://www.google.com/maps?q=-20.1391350,-44.8959070","Abrir no Google Maps")</f>
        <v>Abrir no Google Maps</v>
      </c>
      <c r="S5867">
        <v>1</v>
      </c>
      <c r="T5867">
        <v>324.98342996447241</v>
      </c>
      <c r="U5867">
        <v>4</v>
      </c>
      <c r="V5867">
        <v>1</v>
      </c>
      <c r="W5867">
        <v>1</v>
      </c>
      <c r="X5867">
        <v>1</v>
      </c>
      <c r="Y5867">
        <v>588</v>
      </c>
      <c r="Z5867">
        <v>411.69998599301618</v>
      </c>
      <c r="AA5867">
        <v>198</v>
      </c>
      <c r="AB5867">
        <v>332</v>
      </c>
      <c r="AC5867">
        <v>536</v>
      </c>
      <c r="AD5867">
        <v>27.77</v>
      </c>
      <c r="AE5867">
        <v>542</v>
      </c>
      <c r="AF5867">
        <v>26</v>
      </c>
      <c r="AG5867">
        <v>163</v>
      </c>
      <c r="AH5867">
        <v>129</v>
      </c>
      <c r="AI5867">
        <v>4.8</v>
      </c>
      <c r="AJ5867">
        <v>30.07</v>
      </c>
      <c r="AK5867">
        <v>23.8</v>
      </c>
      <c r="AL5867">
        <v>-20.139299649999941</v>
      </c>
      <c r="AM5867">
        <v>-44.896005009217312</v>
      </c>
      <c r="AN5867">
        <v>-20.139299649999941</v>
      </c>
      <c r="AO5867">
        <v>-44.896005009217312</v>
      </c>
      <c r="AP5867">
        <v>-20.139135</v>
      </c>
      <c r="AQ5867">
        <v>-44.895907000000001</v>
      </c>
      <c r="AR5867">
        <v>20.996943428875841</v>
      </c>
      <c r="AS5867" t="s">
        <v>65</v>
      </c>
      <c r="AT5867">
        <v>1</v>
      </c>
      <c r="AU5867" t="s">
        <v>1598</v>
      </c>
      <c r="AV5867" t="s">
        <v>1599</v>
      </c>
      <c r="AW5867" t="s">
        <v>60</v>
      </c>
      <c r="AX5867" t="s">
        <v>68</v>
      </c>
      <c r="AY5867" t="s">
        <v>69</v>
      </c>
      <c r="AZ5867" t="b">
        <v>1</v>
      </c>
    </row>
    <row r="5868" spans="1:52" x14ac:dyDescent="0.3">
      <c r="A5868" t="s">
        <v>52</v>
      </c>
      <c r="B5868" t="s">
        <v>53</v>
      </c>
      <c r="C5868" t="s">
        <v>54</v>
      </c>
      <c r="D5868" t="s">
        <v>55</v>
      </c>
      <c r="E5868" t="s">
        <v>2280</v>
      </c>
      <c r="F5868" t="s">
        <v>1247</v>
      </c>
      <c r="G5868" t="s">
        <v>1342</v>
      </c>
      <c r="H5868" t="s">
        <v>1600</v>
      </c>
      <c r="I5868" t="s">
        <v>1600</v>
      </c>
      <c r="J5868" t="s">
        <v>60</v>
      </c>
      <c r="K5868" t="s">
        <v>462</v>
      </c>
      <c r="L5868" t="s">
        <v>62</v>
      </c>
      <c r="M5868" t="s">
        <v>462</v>
      </c>
      <c r="N5868" t="s">
        <v>921</v>
      </c>
      <c r="O5868" t="s">
        <v>1601</v>
      </c>
      <c r="P5868">
        <v>-20.140741999999999</v>
      </c>
      <c r="Q5868">
        <v>-44.902729000000001</v>
      </c>
      <c r="R5868" s="2" t="str">
        <f>HYPERLINK("https://www.google.com/maps?q=-20.1407420,-44.9027290","Abrir no Google Maps")</f>
        <v>Abrir no Google Maps</v>
      </c>
      <c r="S5868">
        <v>1</v>
      </c>
      <c r="T5868">
        <v>373.97936588503438</v>
      </c>
      <c r="U5868">
        <v>4</v>
      </c>
      <c r="V5868">
        <v>0.99872448979591844</v>
      </c>
      <c r="W5868">
        <v>1</v>
      </c>
      <c r="X5868">
        <v>0.99872448979591844</v>
      </c>
      <c r="Y5868">
        <v>588</v>
      </c>
      <c r="Z5868">
        <v>427.55758539734131</v>
      </c>
      <c r="AA5868">
        <v>198</v>
      </c>
      <c r="AB5868">
        <v>332</v>
      </c>
      <c r="AC5868">
        <v>536</v>
      </c>
      <c r="AD5868">
        <v>27.77</v>
      </c>
      <c r="AE5868">
        <v>542</v>
      </c>
      <c r="AF5868">
        <v>26</v>
      </c>
      <c r="AG5868">
        <v>163</v>
      </c>
      <c r="AH5868">
        <v>129</v>
      </c>
      <c r="AI5868">
        <v>4.8</v>
      </c>
      <c r="AJ5868">
        <v>30.07</v>
      </c>
      <c r="AK5868">
        <v>23.8</v>
      </c>
      <c r="AL5868">
        <v>-20.140729549999971</v>
      </c>
      <c r="AM5868">
        <v>-44.902779454814521</v>
      </c>
      <c r="AN5868">
        <v>-20.140729549999971</v>
      </c>
      <c r="AO5868">
        <v>-44.902779454814521</v>
      </c>
      <c r="AP5868">
        <v>-20.140741999999999</v>
      </c>
      <c r="AQ5868">
        <v>-44.902729000000001</v>
      </c>
      <c r="AR5868">
        <v>5.4522610212697993</v>
      </c>
      <c r="AS5868" t="s">
        <v>65</v>
      </c>
      <c r="AT5868">
        <v>1</v>
      </c>
      <c r="AU5868" t="s">
        <v>1602</v>
      </c>
      <c r="AV5868" t="s">
        <v>1603</v>
      </c>
      <c r="AW5868" t="s">
        <v>60</v>
      </c>
      <c r="AX5868" t="s">
        <v>68</v>
      </c>
      <c r="AY5868" t="s">
        <v>69</v>
      </c>
      <c r="AZ5868" t="b">
        <v>1</v>
      </c>
    </row>
    <row r="5869" spans="1:52" x14ac:dyDescent="0.3">
      <c r="A5869" t="s">
        <v>52</v>
      </c>
      <c r="B5869" t="s">
        <v>53</v>
      </c>
      <c r="C5869" t="s">
        <v>54</v>
      </c>
      <c r="D5869" t="s">
        <v>55</v>
      </c>
      <c r="E5869" t="s">
        <v>2280</v>
      </c>
      <c r="F5869" t="s">
        <v>1247</v>
      </c>
      <c r="G5869" t="s">
        <v>1584</v>
      </c>
      <c r="H5869" t="s">
        <v>1604</v>
      </c>
      <c r="I5869" t="s">
        <v>1604</v>
      </c>
      <c r="J5869" t="s">
        <v>60</v>
      </c>
      <c r="K5869" t="s">
        <v>530</v>
      </c>
      <c r="L5869" t="s">
        <v>62</v>
      </c>
      <c r="M5869" t="s">
        <v>530</v>
      </c>
      <c r="N5869" t="s">
        <v>406</v>
      </c>
      <c r="O5869" t="s">
        <v>1267</v>
      </c>
      <c r="P5869">
        <v>-20.147068000000001</v>
      </c>
      <c r="Q5869">
        <v>-44.898629999999997</v>
      </c>
      <c r="R5869" s="2" t="str">
        <f>HYPERLINK("https://www.google.com/maps?q=-20.1470680,-44.8986300","Abrir no Google Maps")</f>
        <v>Abrir no Google Maps</v>
      </c>
      <c r="S5869">
        <v>1</v>
      </c>
      <c r="T5869">
        <v>468.5580266389448</v>
      </c>
      <c r="U5869">
        <v>4</v>
      </c>
      <c r="V5869">
        <v>1</v>
      </c>
      <c r="W5869">
        <v>1</v>
      </c>
      <c r="X5869">
        <v>1</v>
      </c>
      <c r="Y5869">
        <v>556</v>
      </c>
      <c r="Z5869">
        <v>447.77738134922419</v>
      </c>
      <c r="AA5869">
        <v>198</v>
      </c>
      <c r="AB5869">
        <v>332</v>
      </c>
      <c r="AC5869">
        <v>536</v>
      </c>
      <c r="AD5869">
        <v>27.77</v>
      </c>
      <c r="AE5869">
        <v>542</v>
      </c>
      <c r="AF5869">
        <v>26</v>
      </c>
      <c r="AG5869">
        <v>163</v>
      </c>
      <c r="AH5869">
        <v>129</v>
      </c>
      <c r="AI5869">
        <v>4.8</v>
      </c>
      <c r="AJ5869">
        <v>30.07</v>
      </c>
      <c r="AK5869">
        <v>23.8</v>
      </c>
      <c r="AL5869">
        <v>-20.14701759999997</v>
      </c>
      <c r="AM5869">
        <v>-44.898633710342303</v>
      </c>
      <c r="AN5869">
        <v>-20.14701759999997</v>
      </c>
      <c r="AO5869">
        <v>-44.898633710342303</v>
      </c>
      <c r="AP5869">
        <v>-20.147068000000001</v>
      </c>
      <c r="AQ5869">
        <v>-44.898629999999997</v>
      </c>
      <c r="AR5869">
        <v>5.6239118246064832</v>
      </c>
      <c r="AS5869" t="s">
        <v>65</v>
      </c>
      <c r="AT5869">
        <v>1</v>
      </c>
      <c r="AU5869" t="s">
        <v>1605</v>
      </c>
      <c r="AV5869" t="s">
        <v>1606</v>
      </c>
      <c r="AW5869" t="s">
        <v>60</v>
      </c>
      <c r="AX5869" t="s">
        <v>68</v>
      </c>
      <c r="AY5869" t="s">
        <v>69</v>
      </c>
      <c r="AZ5869" t="b">
        <v>1</v>
      </c>
    </row>
    <row r="5870" spans="1:52" x14ac:dyDescent="0.3">
      <c r="A5870" t="s">
        <v>52</v>
      </c>
      <c r="B5870" t="s">
        <v>53</v>
      </c>
      <c r="C5870" t="s">
        <v>54</v>
      </c>
      <c r="D5870" t="s">
        <v>55</v>
      </c>
      <c r="E5870" t="s">
        <v>2280</v>
      </c>
      <c r="F5870" t="s">
        <v>1247</v>
      </c>
      <c r="G5870" t="s">
        <v>1569</v>
      </c>
      <c r="H5870" t="s">
        <v>1570</v>
      </c>
      <c r="I5870" t="s">
        <v>1570</v>
      </c>
      <c r="J5870" t="s">
        <v>60</v>
      </c>
      <c r="K5870" t="s">
        <v>530</v>
      </c>
      <c r="L5870" t="s">
        <v>62</v>
      </c>
      <c r="M5870" t="s">
        <v>530</v>
      </c>
      <c r="N5870" t="s">
        <v>1571</v>
      </c>
      <c r="O5870" t="s">
        <v>598</v>
      </c>
      <c r="P5870">
        <v>-20.146418000000001</v>
      </c>
      <c r="Q5870">
        <v>-44.893861999999999</v>
      </c>
      <c r="R5870" s="2" t="str">
        <f>HYPERLINK("https://www.google.com/maps?q=-20.1464180,-44.8938620","Abrir no Google Maps")</f>
        <v>Abrir no Google Maps</v>
      </c>
      <c r="S5870">
        <v>1</v>
      </c>
      <c r="T5870">
        <v>0</v>
      </c>
      <c r="U5870">
        <v>2</v>
      </c>
      <c r="V5870">
        <v>1</v>
      </c>
      <c r="W5870">
        <v>0.85</v>
      </c>
      <c r="X5870">
        <v>0.85</v>
      </c>
      <c r="Y5870">
        <v>602</v>
      </c>
      <c r="Z5870">
        <v>124.5475134899211</v>
      </c>
      <c r="AA5870">
        <v>198</v>
      </c>
      <c r="AB5870">
        <v>332</v>
      </c>
      <c r="AC5870">
        <v>536</v>
      </c>
      <c r="AD5870">
        <v>27.77</v>
      </c>
      <c r="AE5870">
        <v>542</v>
      </c>
      <c r="AF5870">
        <v>26</v>
      </c>
      <c r="AG5870">
        <v>163</v>
      </c>
      <c r="AH5870">
        <v>129</v>
      </c>
      <c r="AI5870">
        <v>4.8</v>
      </c>
      <c r="AJ5870">
        <v>30.07</v>
      </c>
      <c r="AK5870">
        <v>23.8</v>
      </c>
      <c r="AL5870">
        <v>-20.146753399999941</v>
      </c>
      <c r="AM5870">
        <v>-44.893993355901941</v>
      </c>
      <c r="AN5870">
        <v>-20.146753399999941</v>
      </c>
      <c r="AO5870">
        <v>-44.893993355901941</v>
      </c>
      <c r="AP5870">
        <v>-20.146418000000001</v>
      </c>
      <c r="AQ5870">
        <v>-44.893861999999999</v>
      </c>
      <c r="AR5870">
        <v>39.780457157851913</v>
      </c>
      <c r="AS5870" t="s">
        <v>65</v>
      </c>
      <c r="AT5870">
        <v>1</v>
      </c>
      <c r="AU5870" t="s">
        <v>1572</v>
      </c>
      <c r="AV5870" t="s">
        <v>1573</v>
      </c>
      <c r="AW5870" t="s">
        <v>60</v>
      </c>
      <c r="AX5870" t="s">
        <v>68</v>
      </c>
      <c r="AY5870" t="s">
        <v>69</v>
      </c>
      <c r="AZ5870" t="b">
        <v>1</v>
      </c>
    </row>
    <row r="5871" spans="1:52" x14ac:dyDescent="0.3">
      <c r="A5871" t="s">
        <v>52</v>
      </c>
      <c r="B5871" t="s">
        <v>53</v>
      </c>
      <c r="C5871" t="s">
        <v>54</v>
      </c>
      <c r="D5871" t="s">
        <v>55</v>
      </c>
      <c r="E5871" t="s">
        <v>2280</v>
      </c>
      <c r="F5871" t="s">
        <v>1247</v>
      </c>
      <c r="G5871" t="s">
        <v>1612</v>
      </c>
      <c r="H5871" t="s">
        <v>1613</v>
      </c>
      <c r="I5871" t="s">
        <v>1613</v>
      </c>
      <c r="J5871" t="s">
        <v>60</v>
      </c>
      <c r="K5871" t="s">
        <v>1349</v>
      </c>
      <c r="L5871" t="s">
        <v>62</v>
      </c>
      <c r="M5871" t="s">
        <v>1349</v>
      </c>
      <c r="N5871" t="s">
        <v>1614</v>
      </c>
      <c r="O5871" t="s">
        <v>710</v>
      </c>
      <c r="P5871">
        <v>-20.141335999999999</v>
      </c>
      <c r="Q5871">
        <v>-44.901133000000002</v>
      </c>
      <c r="R5871" s="2" t="str">
        <f>HYPERLINK("https://www.google.com/maps?q=-20.1413360,-44.9011330","Abrir no Google Maps")</f>
        <v>Abrir no Google Maps</v>
      </c>
      <c r="S5871">
        <v>1</v>
      </c>
      <c r="T5871">
        <v>257.92927430829218</v>
      </c>
      <c r="U5871">
        <v>2</v>
      </c>
      <c r="V5871">
        <v>1</v>
      </c>
      <c r="W5871">
        <v>0.85</v>
      </c>
      <c r="X5871">
        <v>0.85</v>
      </c>
      <c r="Y5871">
        <v>588</v>
      </c>
      <c r="Z5871">
        <v>252.62617475231269</v>
      </c>
      <c r="AA5871">
        <v>198</v>
      </c>
      <c r="AB5871">
        <v>332</v>
      </c>
      <c r="AC5871">
        <v>536</v>
      </c>
      <c r="AD5871">
        <v>27.77</v>
      </c>
      <c r="AE5871">
        <v>542</v>
      </c>
      <c r="AF5871">
        <v>26</v>
      </c>
      <c r="AG5871">
        <v>163</v>
      </c>
      <c r="AH5871">
        <v>129</v>
      </c>
      <c r="AI5871">
        <v>4.8</v>
      </c>
      <c r="AJ5871">
        <v>30.07</v>
      </c>
      <c r="AK5871">
        <v>23.8</v>
      </c>
      <c r="AL5871">
        <v>-20.141297649999959</v>
      </c>
      <c r="AM5871">
        <v>-44.901104406351408</v>
      </c>
      <c r="AN5871">
        <v>-20.141297649999959</v>
      </c>
      <c r="AO5871">
        <v>-44.901104406351408</v>
      </c>
      <c r="AP5871">
        <v>-20.141335999999999</v>
      </c>
      <c r="AQ5871">
        <v>-44.901133000000002</v>
      </c>
      <c r="AR5871">
        <v>5.211130154459668</v>
      </c>
      <c r="AS5871" t="s">
        <v>65</v>
      </c>
      <c r="AT5871">
        <v>1</v>
      </c>
      <c r="AU5871" t="s">
        <v>1615</v>
      </c>
      <c r="AV5871" t="s">
        <v>1616</v>
      </c>
      <c r="AW5871" t="s">
        <v>60</v>
      </c>
      <c r="AX5871" t="s">
        <v>68</v>
      </c>
      <c r="AY5871" t="s">
        <v>69</v>
      </c>
      <c r="AZ5871" t="b">
        <v>1</v>
      </c>
    </row>
    <row r="5872" spans="1:52" x14ac:dyDescent="0.3">
      <c r="A5872" t="s">
        <v>52</v>
      </c>
      <c r="B5872" t="s">
        <v>53</v>
      </c>
      <c r="C5872" t="s">
        <v>54</v>
      </c>
      <c r="D5872" t="s">
        <v>55</v>
      </c>
      <c r="E5872" t="s">
        <v>2281</v>
      </c>
      <c r="F5872" t="s">
        <v>57</v>
      </c>
      <c r="G5872" t="s">
        <v>58</v>
      </c>
      <c r="H5872" t="s">
        <v>59</v>
      </c>
      <c r="I5872" t="s">
        <v>59</v>
      </c>
      <c r="J5872" t="s">
        <v>60</v>
      </c>
      <c r="K5872" t="s">
        <v>61</v>
      </c>
      <c r="L5872" t="s">
        <v>62</v>
      </c>
      <c r="M5872" t="s">
        <v>61</v>
      </c>
      <c r="N5872" t="s">
        <v>63</v>
      </c>
      <c r="O5872" t="s">
        <v>64</v>
      </c>
      <c r="P5872">
        <v>-20.147940999999999</v>
      </c>
      <c r="Q5872">
        <v>-44.906514000000001</v>
      </c>
      <c r="R5872" s="2" t="str">
        <f>HYPERLINK("https://www.google.com/maps?q=-20.1479410,-44.9065140","Abrir no Google Maps")</f>
        <v>Abrir no Google Maps</v>
      </c>
      <c r="S5872">
        <v>4</v>
      </c>
      <c r="T5872">
        <v>308.67004994113421</v>
      </c>
      <c r="U5872">
        <v>4</v>
      </c>
      <c r="V5872">
        <v>0.14728682170542631</v>
      </c>
      <c r="W5872">
        <v>1</v>
      </c>
      <c r="X5872">
        <v>0.14728682170542631</v>
      </c>
      <c r="Y5872">
        <v>747</v>
      </c>
      <c r="Z5872">
        <v>274.71440454502522</v>
      </c>
      <c r="AA5872">
        <v>198</v>
      </c>
      <c r="AB5872">
        <v>332</v>
      </c>
      <c r="AC5872">
        <v>536</v>
      </c>
      <c r="AD5872">
        <v>26.22</v>
      </c>
      <c r="AE5872">
        <v>542</v>
      </c>
      <c r="AF5872">
        <v>11</v>
      </c>
      <c r="AG5872">
        <v>181</v>
      </c>
      <c r="AH5872">
        <v>129</v>
      </c>
      <c r="AI5872">
        <v>2.0299999999999998</v>
      </c>
      <c r="AJ5872">
        <v>33.39</v>
      </c>
      <c r="AK5872">
        <v>23.8</v>
      </c>
      <c r="AL5872">
        <v>-20.147947799999969</v>
      </c>
      <c r="AM5872">
        <v>-44.906591596129203</v>
      </c>
      <c r="AN5872">
        <v>-20.147947799999969</v>
      </c>
      <c r="AO5872">
        <v>-44.906591596129203</v>
      </c>
      <c r="AP5872">
        <v>-20.147940999999999</v>
      </c>
      <c r="AQ5872">
        <v>-44.906514000000001</v>
      </c>
      <c r="AR5872">
        <v>8.1446636170570326</v>
      </c>
      <c r="AS5872" t="s">
        <v>65</v>
      </c>
      <c r="AT5872">
        <v>1</v>
      </c>
      <c r="AU5872" t="s">
        <v>66</v>
      </c>
      <c r="AV5872" t="s">
        <v>67</v>
      </c>
      <c r="AW5872" t="s">
        <v>60</v>
      </c>
      <c r="AX5872" t="s">
        <v>68</v>
      </c>
      <c r="AY5872" t="s">
        <v>69</v>
      </c>
      <c r="AZ5872" t="b">
        <v>1</v>
      </c>
    </row>
    <row r="5873" spans="1:52" x14ac:dyDescent="0.3">
      <c r="A5873" t="s">
        <v>52</v>
      </c>
      <c r="B5873" t="s">
        <v>53</v>
      </c>
      <c r="C5873" t="s">
        <v>54</v>
      </c>
      <c r="D5873" t="s">
        <v>55</v>
      </c>
      <c r="E5873" t="s">
        <v>2281</v>
      </c>
      <c r="F5873" t="s">
        <v>57</v>
      </c>
      <c r="G5873" t="s">
        <v>70</v>
      </c>
      <c r="H5873" t="s">
        <v>71</v>
      </c>
      <c r="I5873" t="s">
        <v>71</v>
      </c>
      <c r="J5873" t="s">
        <v>60</v>
      </c>
      <c r="K5873" t="s">
        <v>72</v>
      </c>
      <c r="L5873" t="s">
        <v>62</v>
      </c>
      <c r="M5873" t="s">
        <v>72</v>
      </c>
      <c r="N5873" t="s">
        <v>73</v>
      </c>
      <c r="O5873" t="s">
        <v>74</v>
      </c>
      <c r="P5873">
        <v>-20.149349000000001</v>
      </c>
      <c r="Q5873">
        <v>-44.910784</v>
      </c>
      <c r="R5873" s="2" t="str">
        <f>HYPERLINK("https://www.google.com/maps?q=-20.1493490,-44.9107840","Abrir no Google Maps")</f>
        <v>Abrir no Google Maps</v>
      </c>
      <c r="S5873">
        <v>4</v>
      </c>
      <c r="T5873">
        <v>472.43876549769578</v>
      </c>
      <c r="U5873">
        <v>4</v>
      </c>
      <c r="V5873">
        <v>0.1337209302325581</v>
      </c>
      <c r="W5873">
        <v>1</v>
      </c>
      <c r="X5873">
        <v>0.1337209302325581</v>
      </c>
      <c r="Y5873">
        <v>747</v>
      </c>
      <c r="Z5873">
        <v>441.03921887407779</v>
      </c>
      <c r="AA5873">
        <v>198</v>
      </c>
      <c r="AB5873">
        <v>332</v>
      </c>
      <c r="AC5873">
        <v>536</v>
      </c>
      <c r="AD5873">
        <v>26.22</v>
      </c>
      <c r="AE5873">
        <v>542</v>
      </c>
      <c r="AF5873">
        <v>11</v>
      </c>
      <c r="AG5873">
        <v>181</v>
      </c>
      <c r="AH5873">
        <v>129</v>
      </c>
      <c r="AI5873">
        <v>2.0299999999999998</v>
      </c>
      <c r="AJ5873">
        <v>33.39</v>
      </c>
      <c r="AK5873">
        <v>23.8</v>
      </c>
      <c r="AL5873">
        <v>-20.149403999999951</v>
      </c>
      <c r="AM5873">
        <v>-44.91080895147438</v>
      </c>
      <c r="AN5873">
        <v>-20.149403999999951</v>
      </c>
      <c r="AO5873">
        <v>-44.91080895147438</v>
      </c>
      <c r="AP5873">
        <v>-20.149349000000001</v>
      </c>
      <c r="AQ5873">
        <v>-44.910784</v>
      </c>
      <c r="AR5873">
        <v>6.6547592699416382</v>
      </c>
      <c r="AS5873" t="s">
        <v>65</v>
      </c>
      <c r="AT5873">
        <v>1</v>
      </c>
      <c r="AU5873" t="s">
        <v>75</v>
      </c>
      <c r="AV5873" t="s">
        <v>76</v>
      </c>
      <c r="AW5873" t="s">
        <v>60</v>
      </c>
      <c r="AX5873" t="s">
        <v>68</v>
      </c>
      <c r="AY5873" t="s">
        <v>69</v>
      </c>
      <c r="AZ5873" t="b">
        <v>1</v>
      </c>
    </row>
    <row r="5874" spans="1:52" x14ac:dyDescent="0.3">
      <c r="A5874" t="s">
        <v>52</v>
      </c>
      <c r="B5874" t="s">
        <v>53</v>
      </c>
      <c r="C5874" t="s">
        <v>54</v>
      </c>
      <c r="D5874" t="s">
        <v>55</v>
      </c>
      <c r="E5874" t="s">
        <v>2281</v>
      </c>
      <c r="F5874" t="s">
        <v>57</v>
      </c>
      <c r="G5874" t="s">
        <v>77</v>
      </c>
      <c r="H5874" t="s">
        <v>78</v>
      </c>
      <c r="I5874" t="s">
        <v>78</v>
      </c>
      <c r="J5874" t="s">
        <v>60</v>
      </c>
      <c r="K5874" t="s">
        <v>72</v>
      </c>
      <c r="L5874" t="s">
        <v>62</v>
      </c>
      <c r="M5874" t="s">
        <v>72</v>
      </c>
      <c r="N5874" t="s">
        <v>79</v>
      </c>
      <c r="O5874" t="s">
        <v>80</v>
      </c>
      <c r="P5874">
        <v>-20.147821</v>
      </c>
      <c r="Q5874">
        <v>-44.908887</v>
      </c>
      <c r="R5874" s="2" t="str">
        <f>HYPERLINK("https://www.google.com/maps?q=-20.1478210,-44.9088870","Abrir no Google Maps")</f>
        <v>Abrir no Google Maps</v>
      </c>
      <c r="S5874">
        <v>4</v>
      </c>
      <c r="T5874">
        <v>232.2893841532152</v>
      </c>
      <c r="U5874">
        <v>4</v>
      </c>
      <c r="V5874">
        <v>0.22543352601156069</v>
      </c>
      <c r="W5874">
        <v>1</v>
      </c>
      <c r="X5874">
        <v>0.22543352601156069</v>
      </c>
      <c r="Y5874">
        <v>747</v>
      </c>
      <c r="Z5874">
        <v>195.3668648953757</v>
      </c>
      <c r="AA5874">
        <v>198</v>
      </c>
      <c r="AB5874">
        <v>332</v>
      </c>
      <c r="AC5874">
        <v>536</v>
      </c>
      <c r="AD5874">
        <v>26.22</v>
      </c>
      <c r="AE5874">
        <v>542</v>
      </c>
      <c r="AF5874">
        <v>11</v>
      </c>
      <c r="AG5874">
        <v>181</v>
      </c>
      <c r="AH5874">
        <v>129</v>
      </c>
      <c r="AI5874">
        <v>2.0299999999999998</v>
      </c>
      <c r="AJ5874">
        <v>33.39</v>
      </c>
      <c r="AK5874">
        <v>23.8</v>
      </c>
      <c r="AL5874">
        <v>-20.147802849999952</v>
      </c>
      <c r="AM5874">
        <v>-44.908989919229477</v>
      </c>
      <c r="AN5874">
        <v>-20.147802849999952</v>
      </c>
      <c r="AO5874">
        <v>-44.908989919229491</v>
      </c>
      <c r="AP5874">
        <v>-20.147821</v>
      </c>
      <c r="AQ5874">
        <v>-44.908887</v>
      </c>
      <c r="AR5874">
        <v>10.944007761262529</v>
      </c>
      <c r="AS5874" t="s">
        <v>65</v>
      </c>
      <c r="AT5874">
        <v>1</v>
      </c>
      <c r="AU5874" t="s">
        <v>81</v>
      </c>
      <c r="AV5874" t="s">
        <v>82</v>
      </c>
      <c r="AW5874" t="s">
        <v>60</v>
      </c>
      <c r="AX5874" t="s">
        <v>68</v>
      </c>
      <c r="AY5874" t="s">
        <v>69</v>
      </c>
      <c r="AZ5874" t="b">
        <v>1</v>
      </c>
    </row>
    <row r="5875" spans="1:52" x14ac:dyDescent="0.3">
      <c r="A5875" t="s">
        <v>52</v>
      </c>
      <c r="B5875" t="s">
        <v>53</v>
      </c>
      <c r="C5875" t="s">
        <v>54</v>
      </c>
      <c r="D5875" t="s">
        <v>55</v>
      </c>
      <c r="E5875" t="s">
        <v>2281</v>
      </c>
      <c r="F5875" t="s">
        <v>57</v>
      </c>
      <c r="G5875" t="s">
        <v>89</v>
      </c>
      <c r="H5875" t="s">
        <v>90</v>
      </c>
      <c r="I5875" t="s">
        <v>90</v>
      </c>
      <c r="J5875" t="s">
        <v>60</v>
      </c>
      <c r="K5875" t="s">
        <v>72</v>
      </c>
      <c r="L5875" t="s">
        <v>62</v>
      </c>
      <c r="M5875" t="s">
        <v>72</v>
      </c>
      <c r="N5875" t="s">
        <v>91</v>
      </c>
      <c r="O5875" t="s">
        <v>92</v>
      </c>
      <c r="P5875">
        <v>-20.145848999999998</v>
      </c>
      <c r="Q5875">
        <v>-44.908419000000002</v>
      </c>
      <c r="R5875" s="2" t="str">
        <f>HYPERLINK("https://www.google.com/maps?q=-20.1458490,-44.9084190","Abrir no Google Maps")</f>
        <v>Abrir no Google Maps</v>
      </c>
      <c r="S5875">
        <v>4</v>
      </c>
      <c r="T5875">
        <v>0</v>
      </c>
      <c r="U5875">
        <v>4</v>
      </c>
      <c r="V5875">
        <v>0.1376811594202898</v>
      </c>
      <c r="W5875">
        <v>1</v>
      </c>
      <c r="X5875">
        <v>0.1376811594202898</v>
      </c>
      <c r="Y5875">
        <v>747</v>
      </c>
      <c r="Z5875">
        <v>136.08168502765241</v>
      </c>
      <c r="AA5875">
        <v>198</v>
      </c>
      <c r="AB5875">
        <v>332</v>
      </c>
      <c r="AC5875">
        <v>536</v>
      </c>
      <c r="AD5875">
        <v>26.22</v>
      </c>
      <c r="AE5875">
        <v>542</v>
      </c>
      <c r="AF5875">
        <v>11</v>
      </c>
      <c r="AG5875">
        <v>181</v>
      </c>
      <c r="AH5875">
        <v>129</v>
      </c>
      <c r="AI5875">
        <v>2.0299999999999998</v>
      </c>
      <c r="AJ5875">
        <v>33.39</v>
      </c>
      <c r="AK5875">
        <v>23.8</v>
      </c>
      <c r="AL5875">
        <v>-20.14576979999995</v>
      </c>
      <c r="AM5875">
        <v>-44.908436775053183</v>
      </c>
      <c r="AN5875">
        <v>-20.14576979999995</v>
      </c>
      <c r="AO5875">
        <v>-44.908436775053183</v>
      </c>
      <c r="AP5875">
        <v>-20.145848999999998</v>
      </c>
      <c r="AQ5875">
        <v>-44.908419000000002</v>
      </c>
      <c r="AR5875">
        <v>9.0101247482327356</v>
      </c>
      <c r="AS5875" t="s">
        <v>65</v>
      </c>
      <c r="AT5875">
        <v>1</v>
      </c>
      <c r="AU5875" t="s">
        <v>93</v>
      </c>
      <c r="AV5875" t="s">
        <v>94</v>
      </c>
      <c r="AW5875" t="s">
        <v>60</v>
      </c>
      <c r="AX5875" t="s">
        <v>68</v>
      </c>
      <c r="AY5875" t="s">
        <v>69</v>
      </c>
      <c r="AZ5875" t="b">
        <v>1</v>
      </c>
    </row>
    <row r="5876" spans="1:52" x14ac:dyDescent="0.3">
      <c r="A5876" t="s">
        <v>52</v>
      </c>
      <c r="B5876" t="s">
        <v>53</v>
      </c>
      <c r="C5876" t="s">
        <v>54</v>
      </c>
      <c r="D5876" t="s">
        <v>55</v>
      </c>
      <c r="E5876" t="s">
        <v>2281</v>
      </c>
      <c r="F5876" t="s">
        <v>57</v>
      </c>
      <c r="G5876" t="s">
        <v>95</v>
      </c>
      <c r="H5876" t="s">
        <v>96</v>
      </c>
      <c r="I5876" t="s">
        <v>96</v>
      </c>
      <c r="J5876" t="s">
        <v>60</v>
      </c>
      <c r="K5876" t="s">
        <v>72</v>
      </c>
      <c r="L5876" t="s">
        <v>62</v>
      </c>
      <c r="M5876" t="s">
        <v>72</v>
      </c>
      <c r="N5876" t="s">
        <v>97</v>
      </c>
      <c r="O5876" t="s">
        <v>98</v>
      </c>
      <c r="P5876">
        <v>-20.144062999999999</v>
      </c>
      <c r="Q5876">
        <v>-44.909627999999998</v>
      </c>
      <c r="R5876" s="2" t="str">
        <f>HYPERLINK("https://www.google.com/maps?q=-20.1440630,-44.9096280","Abrir no Google Maps")</f>
        <v>Abrir no Google Maps</v>
      </c>
      <c r="S5876">
        <v>4</v>
      </c>
      <c r="T5876">
        <v>205.27083326529291</v>
      </c>
      <c r="U5876">
        <v>4</v>
      </c>
      <c r="V5876">
        <v>0.12941176470588231</v>
      </c>
      <c r="W5876">
        <v>1</v>
      </c>
      <c r="X5876">
        <v>0.12941176470588231</v>
      </c>
      <c r="Y5876">
        <v>747</v>
      </c>
      <c r="Z5876">
        <v>336.75785483480968</v>
      </c>
      <c r="AA5876">
        <v>198</v>
      </c>
      <c r="AB5876">
        <v>332</v>
      </c>
      <c r="AC5876">
        <v>536</v>
      </c>
      <c r="AD5876">
        <v>26.22</v>
      </c>
      <c r="AE5876">
        <v>542</v>
      </c>
      <c r="AF5876">
        <v>11</v>
      </c>
      <c r="AG5876">
        <v>181</v>
      </c>
      <c r="AH5876">
        <v>129</v>
      </c>
      <c r="AI5876">
        <v>2.0299999999999998</v>
      </c>
      <c r="AJ5876">
        <v>33.39</v>
      </c>
      <c r="AK5876">
        <v>23.8</v>
      </c>
      <c r="AL5876">
        <v>-20.144164099999951</v>
      </c>
      <c r="AM5876">
        <v>-44.909420167767642</v>
      </c>
      <c r="AN5876">
        <v>-20.144164099999951</v>
      </c>
      <c r="AO5876">
        <v>-44.909420167767642</v>
      </c>
      <c r="AP5876">
        <v>-20.144062999999999</v>
      </c>
      <c r="AQ5876">
        <v>-44.909627999999998</v>
      </c>
      <c r="AR5876">
        <v>24.46321571724976</v>
      </c>
      <c r="AS5876" t="s">
        <v>65</v>
      </c>
      <c r="AT5876">
        <v>1</v>
      </c>
      <c r="AU5876" t="s">
        <v>99</v>
      </c>
      <c r="AV5876" t="s">
        <v>94</v>
      </c>
      <c r="AW5876" t="s">
        <v>60</v>
      </c>
      <c r="AX5876" t="s">
        <v>68</v>
      </c>
      <c r="AY5876" t="s">
        <v>69</v>
      </c>
      <c r="AZ5876" t="b">
        <v>1</v>
      </c>
    </row>
    <row r="5877" spans="1:52" x14ac:dyDescent="0.3">
      <c r="A5877" t="s">
        <v>52</v>
      </c>
      <c r="B5877" t="s">
        <v>53</v>
      </c>
      <c r="C5877" t="s">
        <v>54</v>
      </c>
      <c r="D5877" t="s">
        <v>55</v>
      </c>
      <c r="E5877" t="s">
        <v>2281</v>
      </c>
      <c r="F5877" t="s">
        <v>57</v>
      </c>
      <c r="G5877" t="s">
        <v>100</v>
      </c>
      <c r="H5877" t="s">
        <v>101</v>
      </c>
      <c r="I5877" t="s">
        <v>101</v>
      </c>
      <c r="J5877" t="s">
        <v>60</v>
      </c>
      <c r="K5877" t="s">
        <v>61</v>
      </c>
      <c r="L5877" t="s">
        <v>62</v>
      </c>
      <c r="M5877" t="s">
        <v>61</v>
      </c>
      <c r="N5877" t="s">
        <v>102</v>
      </c>
      <c r="O5877" t="s">
        <v>103</v>
      </c>
      <c r="P5877">
        <v>-20.151098999999999</v>
      </c>
      <c r="Q5877">
        <v>-44.909699000000003</v>
      </c>
      <c r="R5877" s="2" t="str">
        <f>HYPERLINK("https://www.google.com/maps?q=-20.1510990,-44.9096990","Abrir no Google Maps")</f>
        <v>Abrir no Google Maps</v>
      </c>
      <c r="S5877">
        <v>4</v>
      </c>
      <c r="T5877">
        <v>628.5023128813533</v>
      </c>
      <c r="U5877">
        <v>4</v>
      </c>
      <c r="V5877">
        <v>0.33333333333333331</v>
      </c>
      <c r="W5877">
        <v>1</v>
      </c>
      <c r="X5877">
        <v>0.33333333333333331</v>
      </c>
      <c r="Y5877">
        <v>747</v>
      </c>
      <c r="Z5877">
        <v>563.16456625265948</v>
      </c>
      <c r="AA5877">
        <v>198</v>
      </c>
      <c r="AB5877">
        <v>332</v>
      </c>
      <c r="AC5877">
        <v>536</v>
      </c>
      <c r="AD5877">
        <v>26.22</v>
      </c>
      <c r="AE5877">
        <v>542</v>
      </c>
      <c r="AF5877">
        <v>11</v>
      </c>
      <c r="AG5877">
        <v>181</v>
      </c>
      <c r="AH5877">
        <v>129</v>
      </c>
      <c r="AI5877">
        <v>2.0299999999999998</v>
      </c>
      <c r="AJ5877">
        <v>33.39</v>
      </c>
      <c r="AK5877">
        <v>23.8</v>
      </c>
      <c r="AL5877">
        <v>-20.151307349999971</v>
      </c>
      <c r="AM5877">
        <v>-44.909772836123523</v>
      </c>
      <c r="AN5877">
        <v>-20.151307349999971</v>
      </c>
      <c r="AO5877">
        <v>-44.909772836123523</v>
      </c>
      <c r="AP5877">
        <v>-20.151098999999999</v>
      </c>
      <c r="AQ5877">
        <v>-44.909699000000003</v>
      </c>
      <c r="AR5877">
        <v>24.443417349564811</v>
      </c>
      <c r="AS5877" t="s">
        <v>65</v>
      </c>
      <c r="AT5877">
        <v>1</v>
      </c>
      <c r="AU5877" t="s">
        <v>104</v>
      </c>
      <c r="AV5877" t="s">
        <v>105</v>
      </c>
      <c r="AW5877" t="s">
        <v>60</v>
      </c>
      <c r="AX5877" t="s">
        <v>68</v>
      </c>
      <c r="AY5877" t="s">
        <v>69</v>
      </c>
      <c r="AZ5877" t="b">
        <v>1</v>
      </c>
    </row>
    <row r="5878" spans="1:52" x14ac:dyDescent="0.3">
      <c r="A5878" t="s">
        <v>52</v>
      </c>
      <c r="B5878" t="s">
        <v>53</v>
      </c>
      <c r="C5878" t="s">
        <v>54</v>
      </c>
      <c r="D5878" t="s">
        <v>55</v>
      </c>
      <c r="E5878" t="s">
        <v>2281</v>
      </c>
      <c r="F5878" t="s">
        <v>57</v>
      </c>
      <c r="G5878" t="s">
        <v>100</v>
      </c>
      <c r="H5878" t="s">
        <v>106</v>
      </c>
      <c r="I5878" t="s">
        <v>106</v>
      </c>
      <c r="J5878" t="s">
        <v>60</v>
      </c>
      <c r="K5878" t="s">
        <v>61</v>
      </c>
      <c r="L5878" t="s">
        <v>62</v>
      </c>
      <c r="M5878" t="s">
        <v>61</v>
      </c>
      <c r="N5878" t="s">
        <v>102</v>
      </c>
      <c r="O5878" t="s">
        <v>103</v>
      </c>
      <c r="P5878">
        <v>-20.151107</v>
      </c>
      <c r="Q5878">
        <v>-44.908918</v>
      </c>
      <c r="R5878" s="2" t="str">
        <f>HYPERLINK("https://www.google.com/maps?q=-20.1511070,-44.9089180","Abrir no Google Maps")</f>
        <v>Abrir no Google Maps</v>
      </c>
      <c r="S5878">
        <v>4</v>
      </c>
      <c r="T5878">
        <v>615.86400245321579</v>
      </c>
      <c r="U5878">
        <v>4</v>
      </c>
      <c r="V5878">
        <v>0.33333333333333331</v>
      </c>
      <c r="W5878">
        <v>0.85</v>
      </c>
      <c r="X5878">
        <v>0.28333333333333333</v>
      </c>
      <c r="Y5878">
        <v>747</v>
      </c>
      <c r="Z5878">
        <v>535.34543763764702</v>
      </c>
      <c r="AA5878">
        <v>198</v>
      </c>
      <c r="AB5878">
        <v>332</v>
      </c>
      <c r="AC5878">
        <v>536</v>
      </c>
      <c r="AD5878">
        <v>26.22</v>
      </c>
      <c r="AE5878">
        <v>542</v>
      </c>
      <c r="AF5878">
        <v>11</v>
      </c>
      <c r="AG5878">
        <v>181</v>
      </c>
      <c r="AH5878">
        <v>129</v>
      </c>
      <c r="AI5878">
        <v>2.0299999999999998</v>
      </c>
      <c r="AJ5878">
        <v>33.39</v>
      </c>
      <c r="AK5878">
        <v>23.8</v>
      </c>
      <c r="AL5878">
        <v>-20.151307349999971</v>
      </c>
      <c r="AM5878">
        <v>-44.909024234051429</v>
      </c>
      <c r="AN5878">
        <v>-20.151307349999971</v>
      </c>
      <c r="AO5878">
        <v>-44.909024234051429</v>
      </c>
      <c r="AP5878">
        <v>-20.151107</v>
      </c>
      <c r="AQ5878">
        <v>-44.908918</v>
      </c>
      <c r="AR5878">
        <v>24.91340747371116</v>
      </c>
      <c r="AS5878" t="s">
        <v>65</v>
      </c>
      <c r="AT5878">
        <v>1</v>
      </c>
      <c r="AU5878" t="s">
        <v>107</v>
      </c>
      <c r="AV5878" t="s">
        <v>105</v>
      </c>
      <c r="AW5878" t="s">
        <v>60</v>
      </c>
      <c r="AX5878" t="s">
        <v>68</v>
      </c>
      <c r="AY5878" t="s">
        <v>69</v>
      </c>
      <c r="AZ5878" t="b">
        <v>1</v>
      </c>
    </row>
    <row r="5879" spans="1:52" x14ac:dyDescent="0.3">
      <c r="A5879" t="s">
        <v>52</v>
      </c>
      <c r="B5879" t="s">
        <v>53</v>
      </c>
      <c r="C5879" t="s">
        <v>54</v>
      </c>
      <c r="D5879" t="s">
        <v>55</v>
      </c>
      <c r="E5879" t="s">
        <v>2281</v>
      </c>
      <c r="F5879" t="s">
        <v>57</v>
      </c>
      <c r="G5879" t="s">
        <v>108</v>
      </c>
      <c r="H5879" t="s">
        <v>109</v>
      </c>
      <c r="I5879" t="s">
        <v>109</v>
      </c>
      <c r="J5879" t="s">
        <v>60</v>
      </c>
      <c r="K5879" t="s">
        <v>110</v>
      </c>
      <c r="L5879" t="s">
        <v>62</v>
      </c>
      <c r="M5879" t="s">
        <v>110</v>
      </c>
      <c r="N5879" t="s">
        <v>111</v>
      </c>
      <c r="O5879" t="s">
        <v>112</v>
      </c>
      <c r="P5879">
        <v>-20.122233999999999</v>
      </c>
      <c r="Q5879">
        <v>-44.909194999999997</v>
      </c>
      <c r="R5879" s="2" t="str">
        <f>HYPERLINK("https://www.google.com/maps?q=-20.1222340,-44.9091950","Abrir no Google Maps")</f>
        <v>Abrir no Google Maps</v>
      </c>
      <c r="S5879">
        <v>4</v>
      </c>
      <c r="T5879">
        <v>1171.396020763932</v>
      </c>
      <c r="U5879">
        <v>4</v>
      </c>
      <c r="V5879">
        <v>0.1361111111111111</v>
      </c>
      <c r="W5879">
        <v>0.85</v>
      </c>
      <c r="X5879">
        <v>0.11569444444444441</v>
      </c>
      <c r="Y5879">
        <v>567</v>
      </c>
      <c r="Z5879">
        <v>1238.711234283244</v>
      </c>
      <c r="AA5879">
        <v>198</v>
      </c>
      <c r="AB5879">
        <v>332</v>
      </c>
      <c r="AC5879">
        <v>536</v>
      </c>
      <c r="AD5879">
        <v>26.22</v>
      </c>
      <c r="AE5879">
        <v>542</v>
      </c>
      <c r="AF5879">
        <v>11</v>
      </c>
      <c r="AG5879">
        <v>181</v>
      </c>
      <c r="AH5879">
        <v>129</v>
      </c>
      <c r="AI5879">
        <v>2.0299999999999998</v>
      </c>
      <c r="AJ5879">
        <v>33.39</v>
      </c>
      <c r="AK5879">
        <v>23.8</v>
      </c>
      <c r="AL5879">
        <v>-20.121881249999941</v>
      </c>
      <c r="AM5879">
        <v>-44.909273766094323</v>
      </c>
      <c r="AN5879">
        <v>-20.121881249999941</v>
      </c>
      <c r="AO5879">
        <v>-44.909273766094323</v>
      </c>
      <c r="AP5879">
        <v>-20.122233999999999</v>
      </c>
      <c r="AQ5879">
        <v>-44.909194999999997</v>
      </c>
      <c r="AR5879">
        <v>40.12192930593006</v>
      </c>
      <c r="AS5879" t="s">
        <v>65</v>
      </c>
      <c r="AT5879">
        <v>1</v>
      </c>
      <c r="AU5879" t="s">
        <v>113</v>
      </c>
      <c r="AV5879" t="s">
        <v>114</v>
      </c>
      <c r="AW5879" t="s">
        <v>60</v>
      </c>
      <c r="AX5879" t="s">
        <v>68</v>
      </c>
      <c r="AY5879" t="s">
        <v>69</v>
      </c>
      <c r="AZ5879" t="b">
        <v>1</v>
      </c>
    </row>
    <row r="5880" spans="1:52" x14ac:dyDescent="0.3">
      <c r="A5880" t="s">
        <v>52</v>
      </c>
      <c r="B5880" t="s">
        <v>53</v>
      </c>
      <c r="C5880" t="s">
        <v>54</v>
      </c>
      <c r="D5880" t="s">
        <v>55</v>
      </c>
      <c r="E5880" t="s">
        <v>2281</v>
      </c>
      <c r="F5880" t="s">
        <v>57</v>
      </c>
      <c r="G5880" t="s">
        <v>198</v>
      </c>
      <c r="H5880" t="s">
        <v>199</v>
      </c>
      <c r="I5880" t="s">
        <v>199</v>
      </c>
      <c r="J5880" t="s">
        <v>60</v>
      </c>
      <c r="K5880" t="s">
        <v>200</v>
      </c>
      <c r="L5880" t="s">
        <v>62</v>
      </c>
      <c r="M5880" t="s">
        <v>200</v>
      </c>
      <c r="N5880" t="s">
        <v>201</v>
      </c>
      <c r="O5880" t="s">
        <v>202</v>
      </c>
      <c r="P5880">
        <v>-20.122433000000001</v>
      </c>
      <c r="Q5880">
        <v>-44.897013999999999</v>
      </c>
      <c r="R5880" s="2" t="str">
        <f>HYPERLINK("https://www.google.com/maps?q=-20.1224330,-44.8970140","Abrir no Google Maps")</f>
        <v>Abrir no Google Maps</v>
      </c>
      <c r="S5880">
        <v>4</v>
      </c>
      <c r="T5880">
        <v>616.04759279207849</v>
      </c>
      <c r="U5880">
        <v>4</v>
      </c>
      <c r="V5880">
        <v>0.1431924882629107</v>
      </c>
      <c r="W5880">
        <v>0.85</v>
      </c>
      <c r="X5880">
        <v>0.12171361502347409</v>
      </c>
      <c r="Y5880">
        <v>567</v>
      </c>
      <c r="Z5880">
        <v>655.51024138861465</v>
      </c>
      <c r="AA5880">
        <v>198</v>
      </c>
      <c r="AB5880">
        <v>332</v>
      </c>
      <c r="AC5880">
        <v>536</v>
      </c>
      <c r="AD5880">
        <v>26.22</v>
      </c>
      <c r="AE5880">
        <v>542</v>
      </c>
      <c r="AF5880">
        <v>11</v>
      </c>
      <c r="AG5880">
        <v>181</v>
      </c>
      <c r="AH5880">
        <v>129</v>
      </c>
      <c r="AI5880">
        <v>2.0299999999999998</v>
      </c>
      <c r="AJ5880">
        <v>33.39</v>
      </c>
      <c r="AK5880">
        <v>23.8</v>
      </c>
      <c r="AL5880">
        <v>-20.122144949999949</v>
      </c>
      <c r="AM5880">
        <v>-44.896761973125983</v>
      </c>
      <c r="AN5880">
        <v>-20.122144949999949</v>
      </c>
      <c r="AO5880">
        <v>-44.896761973125983</v>
      </c>
      <c r="AP5880">
        <v>-20.122433000000001</v>
      </c>
      <c r="AQ5880">
        <v>-44.897013999999999</v>
      </c>
      <c r="AR5880">
        <v>41.499066772735389</v>
      </c>
      <c r="AS5880" t="s">
        <v>65</v>
      </c>
      <c r="AT5880">
        <v>1</v>
      </c>
      <c r="AU5880" t="s">
        <v>203</v>
      </c>
      <c r="AV5880" t="s">
        <v>204</v>
      </c>
      <c r="AW5880" t="s">
        <v>60</v>
      </c>
      <c r="AX5880" t="s">
        <v>68</v>
      </c>
      <c r="AY5880" t="s">
        <v>69</v>
      </c>
      <c r="AZ5880" t="b">
        <v>1</v>
      </c>
    </row>
    <row r="5881" spans="1:52" x14ac:dyDescent="0.3">
      <c r="A5881" t="s">
        <v>52</v>
      </c>
      <c r="B5881" t="s">
        <v>53</v>
      </c>
      <c r="C5881" t="s">
        <v>54</v>
      </c>
      <c r="D5881" t="s">
        <v>55</v>
      </c>
      <c r="E5881" t="s">
        <v>2281</v>
      </c>
      <c r="F5881" t="s">
        <v>57</v>
      </c>
      <c r="G5881" t="s">
        <v>205</v>
      </c>
      <c r="H5881" t="s">
        <v>206</v>
      </c>
      <c r="I5881" t="s">
        <v>206</v>
      </c>
      <c r="J5881" t="s">
        <v>60</v>
      </c>
      <c r="K5881" t="s">
        <v>207</v>
      </c>
      <c r="L5881" t="s">
        <v>62</v>
      </c>
      <c r="M5881" t="s">
        <v>207</v>
      </c>
      <c r="N5881" t="s">
        <v>208</v>
      </c>
      <c r="O5881" t="s">
        <v>209</v>
      </c>
      <c r="P5881">
        <v>-20.117533999999999</v>
      </c>
      <c r="Q5881">
        <v>-44.892943000000002</v>
      </c>
      <c r="R5881" s="2" t="str">
        <f>HYPERLINK("https://www.google.com/maps?q=-20.1175340,-44.8929430","Abrir no Google Maps")</f>
        <v>Abrir no Google Maps</v>
      </c>
      <c r="S5881">
        <v>4</v>
      </c>
      <c r="T5881">
        <v>601.98486688021592</v>
      </c>
      <c r="U5881">
        <v>4</v>
      </c>
      <c r="V5881">
        <v>0.1231884057971014</v>
      </c>
      <c r="W5881">
        <v>0.85</v>
      </c>
      <c r="X5881">
        <v>0.10471014492753621</v>
      </c>
      <c r="Y5881">
        <v>567</v>
      </c>
      <c r="Z5881">
        <v>574.59225706016446</v>
      </c>
      <c r="AA5881">
        <v>198</v>
      </c>
      <c r="AB5881">
        <v>332</v>
      </c>
      <c r="AC5881">
        <v>536</v>
      </c>
      <c r="AD5881">
        <v>26.22</v>
      </c>
      <c r="AE5881">
        <v>542</v>
      </c>
      <c r="AF5881">
        <v>11</v>
      </c>
      <c r="AG5881">
        <v>181</v>
      </c>
      <c r="AH5881">
        <v>129</v>
      </c>
      <c r="AI5881">
        <v>2.0299999999999998</v>
      </c>
      <c r="AJ5881">
        <v>33.39</v>
      </c>
      <c r="AK5881">
        <v>23.8</v>
      </c>
      <c r="AL5881">
        <v>-20.11671494999996</v>
      </c>
      <c r="AM5881">
        <v>-44.89352717833448</v>
      </c>
      <c r="AN5881">
        <v>-20.11671494999996</v>
      </c>
      <c r="AO5881">
        <v>-44.89352717833448</v>
      </c>
      <c r="AP5881">
        <v>-20.117533999999999</v>
      </c>
      <c r="AQ5881">
        <v>-44.892943000000002</v>
      </c>
      <c r="AR5881">
        <v>109.7357164799156</v>
      </c>
      <c r="AS5881" t="s">
        <v>65</v>
      </c>
      <c r="AT5881">
        <v>1</v>
      </c>
      <c r="AU5881" t="s">
        <v>210</v>
      </c>
      <c r="AV5881" t="s">
        <v>211</v>
      </c>
      <c r="AW5881" t="s">
        <v>60</v>
      </c>
      <c r="AX5881" t="s">
        <v>68</v>
      </c>
      <c r="AY5881" t="s">
        <v>69</v>
      </c>
      <c r="AZ5881" t="b">
        <v>1</v>
      </c>
    </row>
    <row r="5882" spans="1:52" x14ac:dyDescent="0.3">
      <c r="A5882" t="s">
        <v>52</v>
      </c>
      <c r="B5882" t="s">
        <v>53</v>
      </c>
      <c r="C5882" t="s">
        <v>54</v>
      </c>
      <c r="D5882" t="s">
        <v>55</v>
      </c>
      <c r="E5882" t="s">
        <v>2281</v>
      </c>
      <c r="F5882" t="s">
        <v>57</v>
      </c>
      <c r="G5882" t="s">
        <v>169</v>
      </c>
      <c r="H5882" t="s">
        <v>170</v>
      </c>
      <c r="I5882" t="s">
        <v>170</v>
      </c>
      <c r="J5882" t="s">
        <v>60</v>
      </c>
      <c r="K5882" t="s">
        <v>171</v>
      </c>
      <c r="L5882" t="s">
        <v>62</v>
      </c>
      <c r="M5882" t="s">
        <v>171</v>
      </c>
      <c r="N5882" t="s">
        <v>172</v>
      </c>
      <c r="O5882" t="s">
        <v>173</v>
      </c>
      <c r="P5882">
        <v>-20.15334</v>
      </c>
      <c r="Q5882">
        <v>-44.891691000000002</v>
      </c>
      <c r="R5882" s="2" t="str">
        <f>HYPERLINK("https://www.google.com/maps?q=-20.1533400,-44.8916910","Abrir no Google Maps")</f>
        <v>Abrir no Google Maps</v>
      </c>
      <c r="S5882">
        <v>4</v>
      </c>
      <c r="T5882">
        <v>263.82013116084107</v>
      </c>
      <c r="U5882">
        <v>4</v>
      </c>
      <c r="V5882">
        <v>0.1056910569105691</v>
      </c>
      <c r="W5882">
        <v>1</v>
      </c>
      <c r="X5882">
        <v>0.1056910569105691</v>
      </c>
      <c r="Y5882">
        <v>129</v>
      </c>
      <c r="Z5882">
        <v>72.771047355993247</v>
      </c>
      <c r="AA5882">
        <v>198</v>
      </c>
      <c r="AB5882">
        <v>332</v>
      </c>
      <c r="AC5882">
        <v>536</v>
      </c>
      <c r="AD5882">
        <v>26.22</v>
      </c>
      <c r="AE5882">
        <v>542</v>
      </c>
      <c r="AF5882">
        <v>11</v>
      </c>
      <c r="AG5882">
        <v>181</v>
      </c>
      <c r="AH5882">
        <v>129</v>
      </c>
      <c r="AI5882">
        <v>2.0299999999999998</v>
      </c>
      <c r="AJ5882">
        <v>33.39</v>
      </c>
      <c r="AK5882">
        <v>23.8</v>
      </c>
      <c r="AL5882">
        <v>-20.153531799999971</v>
      </c>
      <c r="AM5882">
        <v>-44.89196779651779</v>
      </c>
      <c r="AN5882">
        <v>-20.153531799999971</v>
      </c>
      <c r="AO5882">
        <v>-44.89196779651779</v>
      </c>
      <c r="AP5882">
        <v>-20.15334</v>
      </c>
      <c r="AQ5882">
        <v>-44.891691000000002</v>
      </c>
      <c r="AR5882">
        <v>35.952871813310509</v>
      </c>
      <c r="AS5882" t="s">
        <v>65</v>
      </c>
      <c r="AT5882">
        <v>1</v>
      </c>
      <c r="AU5882" t="s">
        <v>174</v>
      </c>
      <c r="AV5882" t="s">
        <v>175</v>
      </c>
      <c r="AW5882" t="s">
        <v>60</v>
      </c>
      <c r="AX5882" t="s">
        <v>68</v>
      </c>
      <c r="AY5882" t="s">
        <v>69</v>
      </c>
      <c r="AZ5882" t="b">
        <v>1</v>
      </c>
    </row>
    <row r="5883" spans="1:52" x14ac:dyDescent="0.3">
      <c r="A5883" t="s">
        <v>52</v>
      </c>
      <c r="B5883" t="s">
        <v>53</v>
      </c>
      <c r="C5883" t="s">
        <v>54</v>
      </c>
      <c r="D5883" t="s">
        <v>55</v>
      </c>
      <c r="E5883" t="s">
        <v>2281</v>
      </c>
      <c r="F5883" t="s">
        <v>190</v>
      </c>
      <c r="G5883" t="s">
        <v>191</v>
      </c>
      <c r="H5883" t="s">
        <v>192</v>
      </c>
      <c r="I5883" t="s">
        <v>192</v>
      </c>
      <c r="J5883" t="s">
        <v>60</v>
      </c>
      <c r="K5883" t="s">
        <v>193</v>
      </c>
      <c r="L5883" t="s">
        <v>62</v>
      </c>
      <c r="M5883" t="s">
        <v>193</v>
      </c>
      <c r="N5883" t="s">
        <v>194</v>
      </c>
      <c r="O5883" t="s">
        <v>195</v>
      </c>
      <c r="P5883">
        <v>-20.143266000000001</v>
      </c>
      <c r="Q5883">
        <v>-44.912075000000002</v>
      </c>
      <c r="R5883" s="2" t="str">
        <f>HYPERLINK("https://www.google.com/maps?q=-20.1432660,-44.9120750","Abrir no Google Maps")</f>
        <v>Abrir no Google Maps</v>
      </c>
      <c r="S5883">
        <v>4</v>
      </c>
      <c r="T5883">
        <v>467.04339396175408</v>
      </c>
      <c r="U5883">
        <v>3</v>
      </c>
      <c r="V5883">
        <v>5.3719008264462798E-2</v>
      </c>
      <c r="W5883">
        <v>1</v>
      </c>
      <c r="X5883">
        <v>5.3719008264462798E-2</v>
      </c>
      <c r="Y5883">
        <v>747</v>
      </c>
      <c r="Z5883">
        <v>585.1742452866996</v>
      </c>
      <c r="AA5883">
        <v>198</v>
      </c>
      <c r="AB5883">
        <v>332</v>
      </c>
      <c r="AC5883">
        <v>536</v>
      </c>
      <c r="AD5883">
        <v>26.22</v>
      </c>
      <c r="AE5883">
        <v>542</v>
      </c>
      <c r="AF5883">
        <v>11</v>
      </c>
      <c r="AG5883">
        <v>181</v>
      </c>
      <c r="AH5883">
        <v>129</v>
      </c>
      <c r="AI5883">
        <v>2.0299999999999998</v>
      </c>
      <c r="AJ5883">
        <v>33.39</v>
      </c>
      <c r="AK5883">
        <v>23.8</v>
      </c>
      <c r="AL5883">
        <v>-20.143307949999951</v>
      </c>
      <c r="AM5883">
        <v>-44.912066629431067</v>
      </c>
      <c r="AN5883">
        <v>-20.143307949999951</v>
      </c>
      <c r="AO5883">
        <v>-44.912066629431067</v>
      </c>
      <c r="AP5883">
        <v>-20.143266000000001</v>
      </c>
      <c r="AQ5883">
        <v>-44.912075000000002</v>
      </c>
      <c r="AR5883">
        <v>4.751108024498329</v>
      </c>
      <c r="AS5883" t="s">
        <v>65</v>
      </c>
      <c r="AT5883">
        <v>1</v>
      </c>
      <c r="AU5883" t="s">
        <v>196</v>
      </c>
      <c r="AV5883" t="s">
        <v>197</v>
      </c>
      <c r="AW5883" t="s">
        <v>60</v>
      </c>
      <c r="AX5883" t="s">
        <v>68</v>
      </c>
      <c r="AY5883" t="s">
        <v>69</v>
      </c>
      <c r="AZ5883" t="b">
        <v>1</v>
      </c>
    </row>
    <row r="5884" spans="1:52" x14ac:dyDescent="0.3">
      <c r="A5884" t="s">
        <v>52</v>
      </c>
      <c r="B5884" t="s">
        <v>53</v>
      </c>
      <c r="C5884" t="s">
        <v>54</v>
      </c>
      <c r="D5884" t="s">
        <v>55</v>
      </c>
      <c r="E5884" t="s">
        <v>2281</v>
      </c>
      <c r="F5884" t="s">
        <v>190</v>
      </c>
      <c r="G5884" t="s">
        <v>1248</v>
      </c>
      <c r="H5884" t="s">
        <v>1249</v>
      </c>
      <c r="I5884" t="s">
        <v>1249</v>
      </c>
      <c r="J5884" t="s">
        <v>60</v>
      </c>
      <c r="K5884" t="s">
        <v>61</v>
      </c>
      <c r="L5884" t="s">
        <v>62</v>
      </c>
      <c r="M5884" t="s">
        <v>61</v>
      </c>
      <c r="N5884" t="s">
        <v>1250</v>
      </c>
      <c r="O5884" t="s">
        <v>202</v>
      </c>
      <c r="P5884">
        <v>-20.145337999999999</v>
      </c>
      <c r="Q5884">
        <v>-44.906260000000003</v>
      </c>
      <c r="R5884" s="2" t="str">
        <f>HYPERLINK("https://www.google.com/maps?q=-20.1453380,-44.9062600","Abrir no Google Maps")</f>
        <v>Abrir no Google Maps</v>
      </c>
      <c r="S5884">
        <v>4</v>
      </c>
      <c r="T5884">
        <v>231.8105263092443</v>
      </c>
      <c r="U5884">
        <v>3</v>
      </c>
      <c r="V5884">
        <v>3.4013605442176797E-2</v>
      </c>
      <c r="W5884">
        <v>0.85</v>
      </c>
      <c r="X5884">
        <v>2.8911564625850279E-2</v>
      </c>
      <c r="Y5884">
        <v>747</v>
      </c>
      <c r="Z5884">
        <v>210.09098260239841</v>
      </c>
      <c r="AA5884">
        <v>198</v>
      </c>
      <c r="AB5884">
        <v>332</v>
      </c>
      <c r="AC5884">
        <v>536</v>
      </c>
      <c r="AD5884">
        <v>26.22</v>
      </c>
      <c r="AE5884">
        <v>542</v>
      </c>
      <c r="AF5884">
        <v>11</v>
      </c>
      <c r="AG5884">
        <v>181</v>
      </c>
      <c r="AH5884">
        <v>129</v>
      </c>
      <c r="AI5884">
        <v>2.0299999999999998</v>
      </c>
      <c r="AJ5884">
        <v>33.39</v>
      </c>
      <c r="AK5884">
        <v>23.8</v>
      </c>
      <c r="AL5884">
        <v>-20.14545934999995</v>
      </c>
      <c r="AM5884">
        <v>-44.906243174283489</v>
      </c>
      <c r="AN5884">
        <v>-20.14545934999995</v>
      </c>
      <c r="AO5884">
        <v>-44.906243174283489</v>
      </c>
      <c r="AP5884">
        <v>-20.145337999999999</v>
      </c>
      <c r="AQ5884">
        <v>-44.906260000000003</v>
      </c>
      <c r="AR5884">
        <v>13.622651392262521</v>
      </c>
      <c r="AS5884" t="s">
        <v>65</v>
      </c>
      <c r="AT5884">
        <v>1</v>
      </c>
      <c r="AU5884" t="s">
        <v>1251</v>
      </c>
      <c r="AV5884" t="s">
        <v>1252</v>
      </c>
      <c r="AW5884" t="s">
        <v>60</v>
      </c>
      <c r="AX5884" t="s">
        <v>68</v>
      </c>
      <c r="AY5884" t="s">
        <v>69</v>
      </c>
      <c r="AZ5884" t="b">
        <v>1</v>
      </c>
    </row>
    <row r="5885" spans="1:52" x14ac:dyDescent="0.3">
      <c r="A5885" t="s">
        <v>52</v>
      </c>
      <c r="B5885" t="s">
        <v>53</v>
      </c>
      <c r="C5885" t="s">
        <v>54</v>
      </c>
      <c r="D5885" t="s">
        <v>55</v>
      </c>
      <c r="E5885" t="s">
        <v>2281</v>
      </c>
      <c r="F5885" t="s">
        <v>190</v>
      </c>
      <c r="G5885" t="s">
        <v>83</v>
      </c>
      <c r="H5885" t="s">
        <v>1253</v>
      </c>
      <c r="I5885" t="s">
        <v>1253</v>
      </c>
      <c r="J5885" t="s">
        <v>60</v>
      </c>
      <c r="K5885" t="s">
        <v>72</v>
      </c>
      <c r="L5885" t="s">
        <v>62</v>
      </c>
      <c r="M5885" t="s">
        <v>72</v>
      </c>
      <c r="N5885" t="s">
        <v>1254</v>
      </c>
      <c r="O5885" t="s">
        <v>1255</v>
      </c>
      <c r="P5885">
        <v>-20.147164</v>
      </c>
      <c r="Q5885">
        <v>-44.905259000000001</v>
      </c>
      <c r="R5885" s="2" t="str">
        <f>HYPERLINK("https://www.google.com/maps?q=-20.1471640,-44.9052590","Abrir no Google Maps")</f>
        <v>Abrir no Google Maps</v>
      </c>
      <c r="S5885">
        <v>4</v>
      </c>
      <c r="T5885">
        <v>364.08569180502712</v>
      </c>
      <c r="U5885">
        <v>3</v>
      </c>
      <c r="V5885">
        <v>4.6376811594202899E-2</v>
      </c>
      <c r="W5885">
        <v>0.85</v>
      </c>
      <c r="X5885">
        <v>3.9420289855072461E-2</v>
      </c>
      <c r="Y5885">
        <v>747</v>
      </c>
      <c r="Z5885">
        <v>309.89238988435022</v>
      </c>
      <c r="AA5885">
        <v>198</v>
      </c>
      <c r="AB5885">
        <v>332</v>
      </c>
      <c r="AC5885">
        <v>536</v>
      </c>
      <c r="AD5885">
        <v>26.22</v>
      </c>
      <c r="AE5885">
        <v>542</v>
      </c>
      <c r="AF5885">
        <v>11</v>
      </c>
      <c r="AG5885">
        <v>181</v>
      </c>
      <c r="AH5885">
        <v>129</v>
      </c>
      <c r="AI5885">
        <v>2.0299999999999998</v>
      </c>
      <c r="AJ5885">
        <v>33.39</v>
      </c>
      <c r="AK5885">
        <v>23.8</v>
      </c>
      <c r="AL5885">
        <v>-20.14718674999995</v>
      </c>
      <c r="AM5885">
        <v>-44.905292621565764</v>
      </c>
      <c r="AN5885">
        <v>-20.147186749999939</v>
      </c>
      <c r="AO5885">
        <v>-44.905292621565764</v>
      </c>
      <c r="AP5885">
        <v>-20.147164</v>
      </c>
      <c r="AQ5885">
        <v>-44.905259000000001</v>
      </c>
      <c r="AR5885">
        <v>4.3312880650984971</v>
      </c>
      <c r="AS5885" t="s">
        <v>65</v>
      </c>
      <c r="AT5885">
        <v>1</v>
      </c>
      <c r="AU5885" t="s">
        <v>1256</v>
      </c>
      <c r="AV5885" t="s">
        <v>1257</v>
      </c>
      <c r="AW5885" t="s">
        <v>60</v>
      </c>
      <c r="AX5885" t="s">
        <v>68</v>
      </c>
      <c r="AY5885" t="s">
        <v>69</v>
      </c>
      <c r="AZ5885" t="b">
        <v>1</v>
      </c>
    </row>
    <row r="5886" spans="1:52" x14ac:dyDescent="0.3">
      <c r="A5886" t="s">
        <v>52</v>
      </c>
      <c r="B5886" t="s">
        <v>53</v>
      </c>
      <c r="C5886" t="s">
        <v>54</v>
      </c>
      <c r="D5886" t="s">
        <v>55</v>
      </c>
      <c r="E5886" t="s">
        <v>2281</v>
      </c>
      <c r="F5886" t="s">
        <v>190</v>
      </c>
      <c r="G5886" t="s">
        <v>83</v>
      </c>
      <c r="H5886" t="s">
        <v>84</v>
      </c>
      <c r="I5886" t="s">
        <v>84</v>
      </c>
      <c r="J5886" t="s">
        <v>60</v>
      </c>
      <c r="K5886" t="s">
        <v>61</v>
      </c>
      <c r="L5886" t="s">
        <v>62</v>
      </c>
      <c r="M5886" t="s">
        <v>61</v>
      </c>
      <c r="N5886" t="s">
        <v>85</v>
      </c>
      <c r="O5886" t="s">
        <v>86</v>
      </c>
      <c r="P5886">
        <v>-20.149799000000002</v>
      </c>
      <c r="Q5886">
        <v>-44.906517000000001</v>
      </c>
      <c r="R5886" s="2" t="str">
        <f>HYPERLINK("https://www.google.com/maps?q=-20.1497990,-44.9065170","Abrir no Google Maps")</f>
        <v>Abrir no Google Maps</v>
      </c>
      <c r="S5886">
        <v>4</v>
      </c>
      <c r="T5886">
        <v>487.90051105537998</v>
      </c>
      <c r="U5886">
        <v>3</v>
      </c>
      <c r="V5886">
        <v>5.9171597633136001E-2</v>
      </c>
      <c r="W5886">
        <v>1</v>
      </c>
      <c r="X5886">
        <v>5.9171597633136001E-2</v>
      </c>
      <c r="Y5886">
        <v>747</v>
      </c>
      <c r="Z5886">
        <v>365.93785960107078</v>
      </c>
      <c r="AA5886">
        <v>198</v>
      </c>
      <c r="AB5886">
        <v>332</v>
      </c>
      <c r="AC5886">
        <v>536</v>
      </c>
      <c r="AD5886">
        <v>26.22</v>
      </c>
      <c r="AE5886">
        <v>542</v>
      </c>
      <c r="AF5886">
        <v>11</v>
      </c>
      <c r="AG5886">
        <v>181</v>
      </c>
      <c r="AH5886">
        <v>129</v>
      </c>
      <c r="AI5886">
        <v>2.0299999999999998</v>
      </c>
      <c r="AJ5886">
        <v>33.39</v>
      </c>
      <c r="AK5886">
        <v>23.8</v>
      </c>
      <c r="AL5886">
        <v>-20.149879599999959</v>
      </c>
      <c r="AM5886">
        <v>-44.906746466068469</v>
      </c>
      <c r="AN5886">
        <v>-20.149879599999959</v>
      </c>
      <c r="AO5886">
        <v>-44.906746466068469</v>
      </c>
      <c r="AP5886">
        <v>-20.149799000000002</v>
      </c>
      <c r="AQ5886">
        <v>-44.906517000000001</v>
      </c>
      <c r="AR5886">
        <v>25.604276856970429</v>
      </c>
      <c r="AS5886" t="s">
        <v>65</v>
      </c>
      <c r="AT5886">
        <v>1</v>
      </c>
      <c r="AU5886" t="s">
        <v>87</v>
      </c>
      <c r="AV5886" t="s">
        <v>88</v>
      </c>
      <c r="AW5886" t="s">
        <v>60</v>
      </c>
      <c r="AX5886" t="s">
        <v>68</v>
      </c>
      <c r="AY5886" t="s">
        <v>69</v>
      </c>
      <c r="AZ5886" t="b">
        <v>1</v>
      </c>
    </row>
    <row r="5887" spans="1:52" x14ac:dyDescent="0.3">
      <c r="A5887" t="s">
        <v>52</v>
      </c>
      <c r="B5887" t="s">
        <v>53</v>
      </c>
      <c r="C5887" t="s">
        <v>54</v>
      </c>
      <c r="D5887" t="s">
        <v>55</v>
      </c>
      <c r="E5887" t="s">
        <v>2281</v>
      </c>
      <c r="F5887" t="s">
        <v>190</v>
      </c>
      <c r="G5887" t="s">
        <v>115</v>
      </c>
      <c r="H5887" t="s">
        <v>116</v>
      </c>
      <c r="I5887" t="s">
        <v>116</v>
      </c>
      <c r="J5887" t="s">
        <v>60</v>
      </c>
      <c r="K5887" t="s">
        <v>117</v>
      </c>
      <c r="L5887" t="s">
        <v>62</v>
      </c>
      <c r="M5887" t="s">
        <v>117</v>
      </c>
      <c r="N5887" t="s">
        <v>118</v>
      </c>
      <c r="O5887" t="s">
        <v>119</v>
      </c>
      <c r="P5887">
        <v>-20.116992</v>
      </c>
      <c r="Q5887">
        <v>-44.899355</v>
      </c>
      <c r="R5887" s="2" t="str">
        <f>HYPERLINK("https://www.google.com/maps?q=-20.1169920,-44.8993550","Abrir no Google Maps")</f>
        <v>Abrir no Google Maps</v>
      </c>
      <c r="S5887">
        <v>4</v>
      </c>
      <c r="T5887">
        <v>0</v>
      </c>
      <c r="U5887">
        <v>3</v>
      </c>
      <c r="V5887">
        <v>6.9518716577540093E-2</v>
      </c>
      <c r="W5887">
        <v>1</v>
      </c>
      <c r="X5887">
        <v>6.9518716577540093E-2</v>
      </c>
      <c r="Y5887">
        <v>567</v>
      </c>
      <c r="Z5887">
        <v>54.913678078353321</v>
      </c>
      <c r="AA5887">
        <v>198</v>
      </c>
      <c r="AB5887">
        <v>332</v>
      </c>
      <c r="AC5887">
        <v>536</v>
      </c>
      <c r="AD5887">
        <v>26.22</v>
      </c>
      <c r="AE5887">
        <v>542</v>
      </c>
      <c r="AF5887">
        <v>11</v>
      </c>
      <c r="AG5887">
        <v>181</v>
      </c>
      <c r="AH5887">
        <v>129</v>
      </c>
      <c r="AI5887">
        <v>2.0299999999999998</v>
      </c>
      <c r="AJ5887">
        <v>33.39</v>
      </c>
      <c r="AK5887">
        <v>23.8</v>
      </c>
      <c r="AL5887">
        <v>-20.117107749999949</v>
      </c>
      <c r="AM5887">
        <v>-44.899271226243108</v>
      </c>
      <c r="AN5887">
        <v>-20.117107749999949</v>
      </c>
      <c r="AO5887">
        <v>-44.899271226243108</v>
      </c>
      <c r="AP5887">
        <v>-20.116992</v>
      </c>
      <c r="AQ5887">
        <v>-44.899355</v>
      </c>
      <c r="AR5887">
        <v>15.579196044083419</v>
      </c>
      <c r="AS5887" t="s">
        <v>65</v>
      </c>
      <c r="AT5887">
        <v>1</v>
      </c>
      <c r="AU5887" t="s">
        <v>120</v>
      </c>
      <c r="AV5887" t="s">
        <v>121</v>
      </c>
      <c r="AW5887" t="s">
        <v>60</v>
      </c>
      <c r="AX5887" t="s">
        <v>68</v>
      </c>
      <c r="AY5887" t="s">
        <v>69</v>
      </c>
      <c r="AZ5887" t="b">
        <v>1</v>
      </c>
    </row>
    <row r="5888" spans="1:52" x14ac:dyDescent="0.3">
      <c r="A5888" t="s">
        <v>52</v>
      </c>
      <c r="B5888" t="s">
        <v>53</v>
      </c>
      <c r="C5888" t="s">
        <v>54</v>
      </c>
      <c r="D5888" t="s">
        <v>55</v>
      </c>
      <c r="E5888" t="s">
        <v>2281</v>
      </c>
      <c r="F5888" t="s">
        <v>190</v>
      </c>
      <c r="G5888" t="s">
        <v>122</v>
      </c>
      <c r="H5888" t="s">
        <v>123</v>
      </c>
      <c r="I5888" t="s">
        <v>123</v>
      </c>
      <c r="J5888" t="s">
        <v>60</v>
      </c>
      <c r="K5888" t="s">
        <v>117</v>
      </c>
      <c r="L5888" t="s">
        <v>62</v>
      </c>
      <c r="M5888" t="s">
        <v>117</v>
      </c>
      <c r="N5888" t="s">
        <v>124</v>
      </c>
      <c r="O5888" t="s">
        <v>125</v>
      </c>
      <c r="P5888">
        <v>-20.11853</v>
      </c>
      <c r="Q5888">
        <v>-44.896925000000003</v>
      </c>
      <c r="R5888" s="2" t="str">
        <f>HYPERLINK("https://www.google.com/maps?q=-20.1185300,-44.8969250","Abrir no Google Maps")</f>
        <v>Abrir no Google Maps</v>
      </c>
      <c r="S5888">
        <v>4</v>
      </c>
      <c r="T5888">
        <v>325.32255721093247</v>
      </c>
      <c r="U5888">
        <v>3</v>
      </c>
      <c r="V5888">
        <v>7.2016460905349702E-2</v>
      </c>
      <c r="W5888">
        <v>1</v>
      </c>
      <c r="X5888">
        <v>7.2016460905349702E-2</v>
      </c>
      <c r="Y5888">
        <v>567</v>
      </c>
      <c r="Z5888">
        <v>306.04423478678871</v>
      </c>
      <c r="AA5888">
        <v>198</v>
      </c>
      <c r="AB5888">
        <v>332</v>
      </c>
      <c r="AC5888">
        <v>536</v>
      </c>
      <c r="AD5888">
        <v>26.22</v>
      </c>
      <c r="AE5888">
        <v>542</v>
      </c>
      <c r="AF5888">
        <v>11</v>
      </c>
      <c r="AG5888">
        <v>181</v>
      </c>
      <c r="AH5888">
        <v>129</v>
      </c>
      <c r="AI5888">
        <v>2.0299999999999998</v>
      </c>
      <c r="AJ5888">
        <v>33.39</v>
      </c>
      <c r="AK5888">
        <v>23.8</v>
      </c>
      <c r="AL5888">
        <v>-20.118682499999949</v>
      </c>
      <c r="AM5888">
        <v>-44.896643089287927</v>
      </c>
      <c r="AN5888">
        <v>-20.118682499999949</v>
      </c>
      <c r="AO5888">
        <v>-44.896643089287927</v>
      </c>
      <c r="AP5888">
        <v>-20.11853</v>
      </c>
      <c r="AQ5888">
        <v>-44.896925000000003</v>
      </c>
      <c r="AR5888">
        <v>34.007698996886518</v>
      </c>
      <c r="AS5888" t="s">
        <v>65</v>
      </c>
      <c r="AT5888">
        <v>1</v>
      </c>
      <c r="AU5888" t="s">
        <v>126</v>
      </c>
      <c r="AV5888" t="s">
        <v>121</v>
      </c>
      <c r="AW5888" t="s">
        <v>60</v>
      </c>
      <c r="AX5888" t="s">
        <v>68</v>
      </c>
      <c r="AY5888" t="s">
        <v>69</v>
      </c>
      <c r="AZ5888" t="b">
        <v>1</v>
      </c>
    </row>
    <row r="5889" spans="1:52" x14ac:dyDescent="0.3">
      <c r="A5889" t="s">
        <v>52</v>
      </c>
      <c r="B5889" t="s">
        <v>53</v>
      </c>
      <c r="C5889" t="s">
        <v>54</v>
      </c>
      <c r="D5889" t="s">
        <v>55</v>
      </c>
      <c r="E5889" t="s">
        <v>2281</v>
      </c>
      <c r="F5889" t="s">
        <v>190</v>
      </c>
      <c r="G5889" t="s">
        <v>212</v>
      </c>
      <c r="H5889" t="s">
        <v>213</v>
      </c>
      <c r="I5889" t="s">
        <v>213</v>
      </c>
      <c r="J5889" t="s">
        <v>60</v>
      </c>
      <c r="K5889" t="s">
        <v>214</v>
      </c>
      <c r="L5889" t="s">
        <v>62</v>
      </c>
      <c r="M5889" t="s">
        <v>214</v>
      </c>
      <c r="N5889" t="s">
        <v>215</v>
      </c>
      <c r="O5889" t="s">
        <v>216</v>
      </c>
      <c r="P5889">
        <v>-20.158149000000002</v>
      </c>
      <c r="Q5889">
        <v>-44.872593000000002</v>
      </c>
      <c r="R5889" s="2" t="str">
        <f>HYPERLINK("https://www.google.com/maps?q=-20.1581490,-44.8725930","Abrir no Google Maps")</f>
        <v>Abrir no Google Maps</v>
      </c>
      <c r="S5889">
        <v>4</v>
      </c>
      <c r="T5889">
        <v>0</v>
      </c>
      <c r="U5889">
        <v>3</v>
      </c>
      <c r="V5889">
        <v>4.2212518195050903E-2</v>
      </c>
      <c r="W5889">
        <v>1</v>
      </c>
      <c r="X5889">
        <v>4.2212518195050903E-2</v>
      </c>
      <c r="Y5889">
        <v>531</v>
      </c>
      <c r="Z5889">
        <v>127.8805352974544</v>
      </c>
      <c r="AA5889">
        <v>198</v>
      </c>
      <c r="AB5889">
        <v>332</v>
      </c>
      <c r="AC5889">
        <v>536</v>
      </c>
      <c r="AD5889">
        <v>26.22</v>
      </c>
      <c r="AE5889">
        <v>542</v>
      </c>
      <c r="AF5889">
        <v>11</v>
      </c>
      <c r="AG5889">
        <v>181</v>
      </c>
      <c r="AH5889">
        <v>129</v>
      </c>
      <c r="AI5889">
        <v>2.0299999999999998</v>
      </c>
      <c r="AJ5889">
        <v>33.39</v>
      </c>
      <c r="AK5889">
        <v>23.8</v>
      </c>
      <c r="AL5889">
        <v>-20.158114249999951</v>
      </c>
      <c r="AM5889">
        <v>-44.872583123264782</v>
      </c>
      <c r="AN5889">
        <v>-20.158114249999951</v>
      </c>
      <c r="AO5889">
        <v>-44.872583123264782</v>
      </c>
      <c r="AP5889">
        <v>-20.158149000000002</v>
      </c>
      <c r="AQ5889">
        <v>-44.872593000000002</v>
      </c>
      <c r="AR5889">
        <v>4.0036956087599238</v>
      </c>
      <c r="AS5889" t="s">
        <v>65</v>
      </c>
      <c r="AT5889">
        <v>1</v>
      </c>
      <c r="AU5889" t="s">
        <v>217</v>
      </c>
      <c r="AV5889" t="s">
        <v>218</v>
      </c>
      <c r="AW5889" t="s">
        <v>60</v>
      </c>
      <c r="AX5889" t="s">
        <v>68</v>
      </c>
      <c r="AY5889" t="s">
        <v>69</v>
      </c>
      <c r="AZ5889" t="b">
        <v>1</v>
      </c>
    </row>
    <row r="5890" spans="1:52" x14ac:dyDescent="0.3">
      <c r="A5890" t="s">
        <v>52</v>
      </c>
      <c r="B5890" t="s">
        <v>53</v>
      </c>
      <c r="C5890" t="s">
        <v>54</v>
      </c>
      <c r="D5890" t="s">
        <v>55</v>
      </c>
      <c r="E5890" t="s">
        <v>2281</v>
      </c>
      <c r="F5890" t="s">
        <v>190</v>
      </c>
      <c r="G5890" t="s">
        <v>219</v>
      </c>
      <c r="H5890" t="s">
        <v>220</v>
      </c>
      <c r="I5890" t="s">
        <v>220</v>
      </c>
      <c r="J5890" t="s">
        <v>60</v>
      </c>
      <c r="K5890" t="s">
        <v>214</v>
      </c>
      <c r="L5890" t="s">
        <v>62</v>
      </c>
      <c r="M5890" t="s">
        <v>214</v>
      </c>
      <c r="N5890" t="s">
        <v>221</v>
      </c>
      <c r="O5890" t="s">
        <v>222</v>
      </c>
      <c r="P5890">
        <v>-20.158049999999999</v>
      </c>
      <c r="Q5890">
        <v>-44.868823999999996</v>
      </c>
      <c r="R5890" s="2" t="str">
        <f>HYPERLINK("https://www.google.com/maps?q=-20.1580500,-44.8688240","Abrir no Google Maps")</f>
        <v>Abrir no Google Maps</v>
      </c>
      <c r="S5890">
        <v>4</v>
      </c>
      <c r="T5890">
        <v>400.85705002223079</v>
      </c>
      <c r="U5890">
        <v>3</v>
      </c>
      <c r="V5890">
        <v>2.5960539979231499E-2</v>
      </c>
      <c r="W5890">
        <v>1</v>
      </c>
      <c r="X5890">
        <v>2.5960539979231499E-2</v>
      </c>
      <c r="Y5890">
        <v>531</v>
      </c>
      <c r="Z5890">
        <v>493.98501624607121</v>
      </c>
      <c r="AA5890">
        <v>198</v>
      </c>
      <c r="AB5890">
        <v>332</v>
      </c>
      <c r="AC5890">
        <v>536</v>
      </c>
      <c r="AD5890">
        <v>26.22</v>
      </c>
      <c r="AE5890">
        <v>542</v>
      </c>
      <c r="AF5890">
        <v>11</v>
      </c>
      <c r="AG5890">
        <v>181</v>
      </c>
      <c r="AH5890">
        <v>129</v>
      </c>
      <c r="AI5890">
        <v>2.0299999999999998</v>
      </c>
      <c r="AJ5890">
        <v>33.39</v>
      </c>
      <c r="AK5890">
        <v>23.8</v>
      </c>
      <c r="AL5890">
        <v>-20.158020649999969</v>
      </c>
      <c r="AM5890">
        <v>-44.868748475381317</v>
      </c>
      <c r="AN5890">
        <v>-20.158020649999969</v>
      </c>
      <c r="AO5890">
        <v>-44.868748475381331</v>
      </c>
      <c r="AP5890">
        <v>-20.158049999999999</v>
      </c>
      <c r="AQ5890">
        <v>-44.868823999999996</v>
      </c>
      <c r="AR5890">
        <v>8.5419571471718818</v>
      </c>
      <c r="AS5890" t="s">
        <v>65</v>
      </c>
      <c r="AT5890">
        <v>1</v>
      </c>
      <c r="AU5890" t="s">
        <v>223</v>
      </c>
      <c r="AV5890" t="s">
        <v>224</v>
      </c>
      <c r="AW5890" t="s">
        <v>60</v>
      </c>
      <c r="AX5890" t="s">
        <v>68</v>
      </c>
      <c r="AY5890" t="s">
        <v>69</v>
      </c>
      <c r="AZ5890" t="b">
        <v>1</v>
      </c>
    </row>
    <row r="5891" spans="1:52" x14ac:dyDescent="0.3">
      <c r="A5891" t="s">
        <v>52</v>
      </c>
      <c r="B5891" t="s">
        <v>53</v>
      </c>
      <c r="C5891" t="s">
        <v>54</v>
      </c>
      <c r="D5891" t="s">
        <v>55</v>
      </c>
      <c r="E5891" t="s">
        <v>2281</v>
      </c>
      <c r="F5891" t="s">
        <v>190</v>
      </c>
      <c r="G5891" t="s">
        <v>225</v>
      </c>
      <c r="H5891" t="s">
        <v>226</v>
      </c>
      <c r="I5891" t="s">
        <v>226</v>
      </c>
      <c r="J5891" t="s">
        <v>60</v>
      </c>
      <c r="K5891" t="s">
        <v>227</v>
      </c>
      <c r="L5891" t="s">
        <v>62</v>
      </c>
      <c r="M5891" t="s">
        <v>227</v>
      </c>
      <c r="N5891" t="s">
        <v>228</v>
      </c>
      <c r="O5891" t="s">
        <v>229</v>
      </c>
      <c r="P5891">
        <v>-20.156986</v>
      </c>
      <c r="Q5891">
        <v>-44.857474000000003</v>
      </c>
      <c r="R5891" s="2" t="str">
        <f>HYPERLINK("https://www.google.com/maps?q=-20.1569860,-44.8574740","Abrir no Google Maps")</f>
        <v>Abrir no Google Maps</v>
      </c>
      <c r="S5891">
        <v>4</v>
      </c>
      <c r="T5891">
        <v>270.52797591847911</v>
      </c>
      <c r="U5891">
        <v>3</v>
      </c>
      <c r="V5891">
        <v>4.2424242424242399E-2</v>
      </c>
      <c r="W5891">
        <v>1</v>
      </c>
      <c r="X5891">
        <v>4.2424242424242399E-2</v>
      </c>
      <c r="Y5891">
        <v>518</v>
      </c>
      <c r="Z5891">
        <v>441.86584449256071</v>
      </c>
      <c r="AA5891">
        <v>198</v>
      </c>
      <c r="AB5891">
        <v>332</v>
      </c>
      <c r="AC5891">
        <v>536</v>
      </c>
      <c r="AD5891">
        <v>26.22</v>
      </c>
      <c r="AE5891">
        <v>542</v>
      </c>
      <c r="AF5891">
        <v>11</v>
      </c>
      <c r="AG5891">
        <v>181</v>
      </c>
      <c r="AH5891">
        <v>129</v>
      </c>
      <c r="AI5891">
        <v>2.0299999999999998</v>
      </c>
      <c r="AJ5891">
        <v>33.39</v>
      </c>
      <c r="AK5891">
        <v>23.8</v>
      </c>
      <c r="AL5891">
        <v>-20.156957249999952</v>
      </c>
      <c r="AM5891">
        <v>-44.857396682659299</v>
      </c>
      <c r="AN5891">
        <v>-20.156957249999952</v>
      </c>
      <c r="AO5891">
        <v>-44.857396682659299</v>
      </c>
      <c r="AP5891">
        <v>-20.156986</v>
      </c>
      <c r="AQ5891">
        <v>-44.857474000000003</v>
      </c>
      <c r="AR5891">
        <v>8.6905800579264607</v>
      </c>
      <c r="AS5891" t="s">
        <v>65</v>
      </c>
      <c r="AT5891">
        <v>1</v>
      </c>
      <c r="AU5891" t="s">
        <v>230</v>
      </c>
      <c r="AV5891" t="s">
        <v>231</v>
      </c>
      <c r="AW5891" t="s">
        <v>60</v>
      </c>
      <c r="AX5891" t="s">
        <v>68</v>
      </c>
      <c r="AY5891" t="s">
        <v>69</v>
      </c>
      <c r="AZ5891" t="b">
        <v>1</v>
      </c>
    </row>
    <row r="5892" spans="1:52" x14ac:dyDescent="0.3">
      <c r="A5892" t="s">
        <v>52</v>
      </c>
      <c r="B5892" t="s">
        <v>53</v>
      </c>
      <c r="C5892" t="s">
        <v>54</v>
      </c>
      <c r="D5892" t="s">
        <v>55</v>
      </c>
      <c r="E5892" t="s">
        <v>2281</v>
      </c>
      <c r="F5892" t="s">
        <v>190</v>
      </c>
      <c r="G5892" t="s">
        <v>232</v>
      </c>
      <c r="H5892" t="s">
        <v>233</v>
      </c>
      <c r="I5892" t="s">
        <v>233</v>
      </c>
      <c r="J5892" t="s">
        <v>60</v>
      </c>
      <c r="K5892" t="s">
        <v>227</v>
      </c>
      <c r="L5892" t="s">
        <v>62</v>
      </c>
      <c r="M5892" t="s">
        <v>227</v>
      </c>
      <c r="N5892" t="s">
        <v>234</v>
      </c>
      <c r="O5892" t="s">
        <v>235</v>
      </c>
      <c r="P5892">
        <v>-20.158666</v>
      </c>
      <c r="Q5892">
        <v>-44.861398999999999</v>
      </c>
      <c r="R5892" s="2" t="str">
        <f>HYPERLINK("https://www.google.com/maps?q=-20.1586660,-44.8613990","Abrir no Google Maps")</f>
        <v>Abrir no Google Maps</v>
      </c>
      <c r="S5892">
        <v>4</v>
      </c>
      <c r="T5892">
        <v>330.01505397941582</v>
      </c>
      <c r="U5892">
        <v>3</v>
      </c>
      <c r="V5892">
        <v>4.7619047619047603E-2</v>
      </c>
      <c r="W5892">
        <v>1</v>
      </c>
      <c r="X5892">
        <v>4.7619047619047603E-2</v>
      </c>
      <c r="Y5892">
        <v>518</v>
      </c>
      <c r="Z5892">
        <v>251.8092920281106</v>
      </c>
      <c r="AA5892">
        <v>198</v>
      </c>
      <c r="AB5892">
        <v>332</v>
      </c>
      <c r="AC5892">
        <v>536</v>
      </c>
      <c r="AD5892">
        <v>26.22</v>
      </c>
      <c r="AE5892">
        <v>542</v>
      </c>
      <c r="AF5892">
        <v>11</v>
      </c>
      <c r="AG5892">
        <v>181</v>
      </c>
      <c r="AH5892">
        <v>129</v>
      </c>
      <c r="AI5892">
        <v>2.0299999999999998</v>
      </c>
      <c r="AJ5892">
        <v>33.39</v>
      </c>
      <c r="AK5892">
        <v>23.8</v>
      </c>
      <c r="AL5892">
        <v>-20.158631449999969</v>
      </c>
      <c r="AM5892">
        <v>-44.861424574758061</v>
      </c>
      <c r="AN5892">
        <v>-20.158631449999969</v>
      </c>
      <c r="AO5892">
        <v>-44.861424574758061</v>
      </c>
      <c r="AP5892">
        <v>-20.158666</v>
      </c>
      <c r="AQ5892">
        <v>-44.861398999999999</v>
      </c>
      <c r="AR5892">
        <v>4.6835056709567411</v>
      </c>
      <c r="AS5892" t="s">
        <v>65</v>
      </c>
      <c r="AT5892">
        <v>1</v>
      </c>
      <c r="AU5892" t="s">
        <v>236</v>
      </c>
      <c r="AV5892" t="s">
        <v>237</v>
      </c>
      <c r="AW5892" t="s">
        <v>60</v>
      </c>
      <c r="AX5892" t="s">
        <v>68</v>
      </c>
      <c r="AY5892" t="s">
        <v>69</v>
      </c>
      <c r="AZ5892" t="b">
        <v>1</v>
      </c>
    </row>
    <row r="5893" spans="1:52" x14ac:dyDescent="0.3">
      <c r="A5893" t="s">
        <v>52</v>
      </c>
      <c r="B5893" t="s">
        <v>53</v>
      </c>
      <c r="C5893" t="s">
        <v>54</v>
      </c>
      <c r="D5893" t="s">
        <v>55</v>
      </c>
      <c r="E5893" t="s">
        <v>2281</v>
      </c>
      <c r="F5893" t="s">
        <v>190</v>
      </c>
      <c r="G5893" t="s">
        <v>2207</v>
      </c>
      <c r="H5893" t="s">
        <v>2208</v>
      </c>
      <c r="I5893" t="s">
        <v>2208</v>
      </c>
      <c r="J5893" t="s">
        <v>60</v>
      </c>
      <c r="K5893" t="s">
        <v>227</v>
      </c>
      <c r="L5893" t="s">
        <v>62</v>
      </c>
      <c r="M5893" t="s">
        <v>227</v>
      </c>
      <c r="N5893" t="s">
        <v>2209</v>
      </c>
      <c r="O5893" t="s">
        <v>2210</v>
      </c>
      <c r="P5893">
        <v>-20.159182999999999</v>
      </c>
      <c r="Q5893">
        <v>-44.858448000000003</v>
      </c>
      <c r="R5893" s="2" t="str">
        <f>HYPERLINK("https://www.google.com/maps?q=-20.1591830,-44.8584480","Abrir no Google Maps")</f>
        <v>Abrir no Google Maps</v>
      </c>
      <c r="S5893">
        <v>4</v>
      </c>
      <c r="T5893">
        <v>0</v>
      </c>
      <c r="U5893">
        <v>3</v>
      </c>
      <c r="V5893">
        <v>3.1531531531531501E-2</v>
      </c>
      <c r="W5893">
        <v>0.85</v>
      </c>
      <c r="X5893">
        <v>2.6801801801801771E-2</v>
      </c>
      <c r="Y5893">
        <v>518</v>
      </c>
      <c r="Z5893">
        <v>134.5083704691157</v>
      </c>
      <c r="AA5893">
        <v>198</v>
      </c>
      <c r="AB5893">
        <v>332</v>
      </c>
      <c r="AC5893">
        <v>536</v>
      </c>
      <c r="AD5893">
        <v>26.22</v>
      </c>
      <c r="AE5893">
        <v>542</v>
      </c>
      <c r="AF5893">
        <v>11</v>
      </c>
      <c r="AG5893">
        <v>181</v>
      </c>
      <c r="AH5893">
        <v>129</v>
      </c>
      <c r="AI5893">
        <v>2.0299999999999998</v>
      </c>
      <c r="AJ5893">
        <v>33.39</v>
      </c>
      <c r="AK5893">
        <v>23.8</v>
      </c>
      <c r="AL5893">
        <v>-20.159236649999961</v>
      </c>
      <c r="AM5893">
        <v>-44.858332253616709</v>
      </c>
      <c r="AN5893">
        <v>-20.159236649999961</v>
      </c>
      <c r="AO5893">
        <v>-44.858332253616709</v>
      </c>
      <c r="AP5893">
        <v>-20.159182999999999</v>
      </c>
      <c r="AQ5893">
        <v>-44.858448000000003</v>
      </c>
      <c r="AR5893">
        <v>13.48964977008214</v>
      </c>
      <c r="AS5893" t="s">
        <v>65</v>
      </c>
      <c r="AT5893">
        <v>1</v>
      </c>
      <c r="AU5893" t="s">
        <v>2211</v>
      </c>
      <c r="AV5893" t="s">
        <v>2212</v>
      </c>
      <c r="AW5893" t="s">
        <v>60</v>
      </c>
      <c r="AX5893" t="s">
        <v>68</v>
      </c>
      <c r="AY5893" t="s">
        <v>69</v>
      </c>
      <c r="AZ5893" t="b">
        <v>1</v>
      </c>
    </row>
    <row r="5894" spans="1:52" x14ac:dyDescent="0.3">
      <c r="A5894" t="s">
        <v>52</v>
      </c>
      <c r="B5894" t="s">
        <v>53</v>
      </c>
      <c r="C5894" t="s">
        <v>54</v>
      </c>
      <c r="D5894" t="s">
        <v>55</v>
      </c>
      <c r="E5894" t="s">
        <v>2281</v>
      </c>
      <c r="F5894" t="s">
        <v>190</v>
      </c>
      <c r="G5894" t="s">
        <v>238</v>
      </c>
      <c r="H5894" t="s">
        <v>239</v>
      </c>
      <c r="I5894" t="s">
        <v>239</v>
      </c>
      <c r="J5894" t="s">
        <v>60</v>
      </c>
      <c r="K5894" t="s">
        <v>227</v>
      </c>
      <c r="L5894" t="s">
        <v>62</v>
      </c>
      <c r="M5894" t="s">
        <v>227</v>
      </c>
      <c r="N5894" t="s">
        <v>240</v>
      </c>
      <c r="O5894" t="s">
        <v>202</v>
      </c>
      <c r="P5894">
        <v>-20.155833999999999</v>
      </c>
      <c r="Q5894">
        <v>-44.859437999999997</v>
      </c>
      <c r="R5894" s="2" t="str">
        <f>HYPERLINK("https://www.google.com/maps?q=-20.1558340,-44.8594380","Abrir no Google Maps")</f>
        <v>Abrir no Google Maps</v>
      </c>
      <c r="S5894">
        <v>4</v>
      </c>
      <c r="T5894">
        <v>381.00646482339403</v>
      </c>
      <c r="U5894">
        <v>3</v>
      </c>
      <c r="V5894">
        <v>2.72904483430799E-2</v>
      </c>
      <c r="W5894">
        <v>1</v>
      </c>
      <c r="X5894">
        <v>2.72904483430799E-2</v>
      </c>
      <c r="Y5894">
        <v>518</v>
      </c>
      <c r="Z5894">
        <v>484.9275363207239</v>
      </c>
      <c r="AA5894">
        <v>198</v>
      </c>
      <c r="AB5894">
        <v>332</v>
      </c>
      <c r="AC5894">
        <v>536</v>
      </c>
      <c r="AD5894">
        <v>26.22</v>
      </c>
      <c r="AE5894">
        <v>542</v>
      </c>
      <c r="AF5894">
        <v>11</v>
      </c>
      <c r="AG5894">
        <v>181</v>
      </c>
      <c r="AH5894">
        <v>129</v>
      </c>
      <c r="AI5894">
        <v>2.0299999999999998</v>
      </c>
      <c r="AJ5894">
        <v>33.39</v>
      </c>
      <c r="AK5894">
        <v>23.8</v>
      </c>
      <c r="AL5894">
        <v>-20.155935399999979</v>
      </c>
      <c r="AM5894">
        <v>-44.859367525422847</v>
      </c>
      <c r="AN5894">
        <v>-20.155935399999979</v>
      </c>
      <c r="AO5894">
        <v>-44.859367525422847</v>
      </c>
      <c r="AP5894">
        <v>-20.155833999999999</v>
      </c>
      <c r="AQ5894">
        <v>-44.859437999999997</v>
      </c>
      <c r="AR5894">
        <v>13.477960508152201</v>
      </c>
      <c r="AS5894" t="s">
        <v>65</v>
      </c>
      <c r="AT5894">
        <v>1</v>
      </c>
      <c r="AU5894" t="s">
        <v>241</v>
      </c>
      <c r="AV5894" t="s">
        <v>242</v>
      </c>
      <c r="AW5894" t="s">
        <v>60</v>
      </c>
      <c r="AX5894" t="s">
        <v>68</v>
      </c>
      <c r="AY5894" t="s">
        <v>69</v>
      </c>
      <c r="AZ5894" t="b">
        <v>1</v>
      </c>
    </row>
    <row r="5895" spans="1:52" x14ac:dyDescent="0.3">
      <c r="A5895" t="s">
        <v>52</v>
      </c>
      <c r="B5895" t="s">
        <v>53</v>
      </c>
      <c r="C5895" t="s">
        <v>54</v>
      </c>
      <c r="D5895" t="s">
        <v>55</v>
      </c>
      <c r="E5895" t="s">
        <v>2281</v>
      </c>
      <c r="F5895" t="s">
        <v>190</v>
      </c>
      <c r="G5895" t="s">
        <v>127</v>
      </c>
      <c r="H5895" t="s">
        <v>128</v>
      </c>
      <c r="I5895" t="s">
        <v>128</v>
      </c>
      <c r="J5895" t="s">
        <v>60</v>
      </c>
      <c r="K5895" t="s">
        <v>129</v>
      </c>
      <c r="L5895" t="s">
        <v>62</v>
      </c>
      <c r="M5895" t="s">
        <v>129</v>
      </c>
      <c r="N5895" t="s">
        <v>130</v>
      </c>
      <c r="O5895" t="s">
        <v>131</v>
      </c>
      <c r="P5895">
        <v>-20.130752000000001</v>
      </c>
      <c r="Q5895">
        <v>-44.865676999999998</v>
      </c>
      <c r="R5895" s="2" t="str">
        <f>HYPERLINK("https://www.google.com/maps?q=-20.1307520,-44.8656770","Abrir no Google Maps")</f>
        <v>Abrir no Google Maps</v>
      </c>
      <c r="S5895">
        <v>4</v>
      </c>
      <c r="T5895">
        <v>666.25741128624747</v>
      </c>
      <c r="U5895">
        <v>3</v>
      </c>
      <c r="V5895">
        <v>6.4150943396226401E-2</v>
      </c>
      <c r="W5895">
        <v>1</v>
      </c>
      <c r="X5895">
        <v>6.4150943396226401E-2</v>
      </c>
      <c r="Y5895">
        <v>387</v>
      </c>
      <c r="Z5895">
        <v>838.7193965949632</v>
      </c>
      <c r="AA5895">
        <v>198</v>
      </c>
      <c r="AB5895">
        <v>332</v>
      </c>
      <c r="AC5895">
        <v>536</v>
      </c>
      <c r="AD5895">
        <v>26.22</v>
      </c>
      <c r="AE5895">
        <v>542</v>
      </c>
      <c r="AF5895">
        <v>11</v>
      </c>
      <c r="AG5895">
        <v>181</v>
      </c>
      <c r="AH5895">
        <v>129</v>
      </c>
      <c r="AI5895">
        <v>2.0299999999999998</v>
      </c>
      <c r="AJ5895">
        <v>33.39</v>
      </c>
      <c r="AK5895">
        <v>23.8</v>
      </c>
      <c r="AL5895">
        <v>-20.130734049999969</v>
      </c>
      <c r="AM5895">
        <v>-44.86564904282416</v>
      </c>
      <c r="AN5895">
        <v>-20.130734049999969</v>
      </c>
      <c r="AO5895">
        <v>-44.86564904282416</v>
      </c>
      <c r="AP5895">
        <v>-20.130752000000001</v>
      </c>
      <c r="AQ5895">
        <v>-44.865676999999998</v>
      </c>
      <c r="AR5895">
        <v>3.539952280780454</v>
      </c>
      <c r="AS5895" t="s">
        <v>65</v>
      </c>
      <c r="AT5895">
        <v>1</v>
      </c>
      <c r="AU5895" t="s">
        <v>132</v>
      </c>
      <c r="AV5895" t="s">
        <v>133</v>
      </c>
      <c r="AW5895" t="s">
        <v>60</v>
      </c>
      <c r="AX5895" t="s">
        <v>68</v>
      </c>
      <c r="AY5895" t="s">
        <v>69</v>
      </c>
      <c r="AZ5895" t="b">
        <v>1</v>
      </c>
    </row>
    <row r="5896" spans="1:52" x14ac:dyDescent="0.3">
      <c r="A5896" t="s">
        <v>52</v>
      </c>
      <c r="B5896" t="s">
        <v>53</v>
      </c>
      <c r="C5896" t="s">
        <v>54</v>
      </c>
      <c r="D5896" t="s">
        <v>55</v>
      </c>
      <c r="E5896" t="s">
        <v>2281</v>
      </c>
      <c r="F5896" t="s">
        <v>190</v>
      </c>
      <c r="G5896" t="s">
        <v>243</v>
      </c>
      <c r="H5896" t="s">
        <v>244</v>
      </c>
      <c r="I5896" t="s">
        <v>244</v>
      </c>
      <c r="J5896" t="s">
        <v>60</v>
      </c>
      <c r="K5896" t="s">
        <v>214</v>
      </c>
      <c r="L5896" t="s">
        <v>62</v>
      </c>
      <c r="M5896" t="s">
        <v>214</v>
      </c>
      <c r="N5896" t="s">
        <v>245</v>
      </c>
      <c r="O5896" t="s">
        <v>246</v>
      </c>
      <c r="P5896">
        <v>-20.156296999999999</v>
      </c>
      <c r="Q5896">
        <v>-44.873035999999999</v>
      </c>
      <c r="R5896" s="2" t="str">
        <f>HYPERLINK("https://www.google.com/maps?q=-20.1562970,-44.8730360","Abrir no Google Maps")</f>
        <v>Abrir no Google Maps</v>
      </c>
      <c r="S5896">
        <v>4</v>
      </c>
      <c r="T5896">
        <v>198.04479306725889</v>
      </c>
      <c r="U5896">
        <v>3</v>
      </c>
      <c r="V5896">
        <v>5.6944444444444402E-2</v>
      </c>
      <c r="W5896">
        <v>1</v>
      </c>
      <c r="X5896">
        <v>5.6944444444444402E-2</v>
      </c>
      <c r="Y5896">
        <v>305</v>
      </c>
      <c r="Z5896">
        <v>267.7765515134916</v>
      </c>
      <c r="AA5896">
        <v>198</v>
      </c>
      <c r="AB5896">
        <v>332</v>
      </c>
      <c r="AC5896">
        <v>536</v>
      </c>
      <c r="AD5896">
        <v>26.22</v>
      </c>
      <c r="AE5896">
        <v>542</v>
      </c>
      <c r="AF5896">
        <v>11</v>
      </c>
      <c r="AG5896">
        <v>181</v>
      </c>
      <c r="AH5896">
        <v>129</v>
      </c>
      <c r="AI5896">
        <v>2.0299999999999998</v>
      </c>
      <c r="AJ5896">
        <v>33.39</v>
      </c>
      <c r="AK5896">
        <v>23.8</v>
      </c>
      <c r="AL5896">
        <v>-20.156361349999941</v>
      </c>
      <c r="AM5896">
        <v>-44.87296512500793</v>
      </c>
      <c r="AN5896">
        <v>-20.156361349999941</v>
      </c>
      <c r="AO5896">
        <v>-44.87296512500793</v>
      </c>
      <c r="AP5896">
        <v>-20.156296999999999</v>
      </c>
      <c r="AQ5896">
        <v>-44.873035999999999</v>
      </c>
      <c r="AR5896">
        <v>10.304009356726979</v>
      </c>
      <c r="AS5896" t="s">
        <v>65</v>
      </c>
      <c r="AT5896">
        <v>1</v>
      </c>
      <c r="AU5896" t="s">
        <v>247</v>
      </c>
      <c r="AV5896" t="s">
        <v>248</v>
      </c>
      <c r="AW5896" t="s">
        <v>60</v>
      </c>
      <c r="AX5896" t="s">
        <v>68</v>
      </c>
      <c r="AY5896" t="s">
        <v>69</v>
      </c>
      <c r="AZ5896" t="b">
        <v>1</v>
      </c>
    </row>
    <row r="5897" spans="1:52" x14ac:dyDescent="0.3">
      <c r="A5897" t="s">
        <v>52</v>
      </c>
      <c r="B5897" t="s">
        <v>53</v>
      </c>
      <c r="C5897" t="s">
        <v>54</v>
      </c>
      <c r="D5897" t="s">
        <v>55</v>
      </c>
      <c r="E5897" t="s">
        <v>2281</v>
      </c>
      <c r="F5897" t="s">
        <v>190</v>
      </c>
      <c r="G5897" t="s">
        <v>212</v>
      </c>
      <c r="H5897" t="s">
        <v>249</v>
      </c>
      <c r="I5897" t="s">
        <v>249</v>
      </c>
      <c r="J5897" t="s">
        <v>60</v>
      </c>
      <c r="K5897" t="s">
        <v>214</v>
      </c>
      <c r="L5897" t="s">
        <v>62</v>
      </c>
      <c r="M5897" t="s">
        <v>214</v>
      </c>
      <c r="N5897" t="s">
        <v>215</v>
      </c>
      <c r="O5897" t="s">
        <v>250</v>
      </c>
      <c r="P5897">
        <v>-20.153901000000001</v>
      </c>
      <c r="Q5897">
        <v>-44.873201000000002</v>
      </c>
      <c r="R5897" s="2" t="str">
        <f>HYPERLINK("https://www.google.com/maps?q=-20.1539010,-44.8732010","Abrir no Google Maps")</f>
        <v>Abrir no Google Maps</v>
      </c>
      <c r="S5897">
        <v>4</v>
      </c>
      <c r="T5897">
        <v>478.23282142593177</v>
      </c>
      <c r="U5897">
        <v>3</v>
      </c>
      <c r="V5897">
        <v>4.2087542087542E-2</v>
      </c>
      <c r="W5897">
        <v>1</v>
      </c>
      <c r="X5897">
        <v>4.2087542087542E-2</v>
      </c>
      <c r="Y5897">
        <v>305</v>
      </c>
      <c r="Z5897">
        <v>392.82025973713081</v>
      </c>
      <c r="AA5897">
        <v>198</v>
      </c>
      <c r="AB5897">
        <v>332</v>
      </c>
      <c r="AC5897">
        <v>536</v>
      </c>
      <c r="AD5897">
        <v>26.22</v>
      </c>
      <c r="AE5897">
        <v>542</v>
      </c>
      <c r="AF5897">
        <v>11</v>
      </c>
      <c r="AG5897">
        <v>181</v>
      </c>
      <c r="AH5897">
        <v>129</v>
      </c>
      <c r="AI5897">
        <v>2.0299999999999998</v>
      </c>
      <c r="AJ5897">
        <v>33.39</v>
      </c>
      <c r="AK5897">
        <v>23.8</v>
      </c>
      <c r="AL5897">
        <v>-20.153814849999971</v>
      </c>
      <c r="AM5897">
        <v>-44.87304592111829</v>
      </c>
      <c r="AN5897">
        <v>-20.153814849999971</v>
      </c>
      <c r="AO5897">
        <v>-44.87304592111829</v>
      </c>
      <c r="AP5897">
        <v>-20.153901000000001</v>
      </c>
      <c r="AQ5897">
        <v>-44.873201000000002</v>
      </c>
      <c r="AR5897">
        <v>18.831316146831309</v>
      </c>
      <c r="AS5897" t="s">
        <v>65</v>
      </c>
      <c r="AT5897">
        <v>1</v>
      </c>
      <c r="AU5897" t="s">
        <v>251</v>
      </c>
      <c r="AV5897" t="s">
        <v>252</v>
      </c>
      <c r="AW5897" t="s">
        <v>60</v>
      </c>
      <c r="AX5897" t="s">
        <v>68</v>
      </c>
      <c r="AY5897" t="s">
        <v>69</v>
      </c>
      <c r="AZ5897" t="b">
        <v>1</v>
      </c>
    </row>
    <row r="5898" spans="1:52" x14ac:dyDescent="0.3">
      <c r="A5898" t="s">
        <v>52</v>
      </c>
      <c r="B5898" t="s">
        <v>53</v>
      </c>
      <c r="C5898" t="s">
        <v>54</v>
      </c>
      <c r="D5898" t="s">
        <v>55</v>
      </c>
      <c r="E5898" t="s">
        <v>2281</v>
      </c>
      <c r="F5898" t="s">
        <v>190</v>
      </c>
      <c r="G5898" t="s">
        <v>134</v>
      </c>
      <c r="H5898" t="s">
        <v>135</v>
      </c>
      <c r="I5898" t="s">
        <v>135</v>
      </c>
      <c r="J5898" t="s">
        <v>60</v>
      </c>
      <c r="K5898" t="s">
        <v>136</v>
      </c>
      <c r="L5898" t="s">
        <v>62</v>
      </c>
      <c r="M5898" t="s">
        <v>136</v>
      </c>
      <c r="N5898" t="s">
        <v>137</v>
      </c>
      <c r="O5898" t="s">
        <v>138</v>
      </c>
      <c r="P5898">
        <v>-20.165773000000002</v>
      </c>
      <c r="Q5898">
        <v>-44.847566999999998</v>
      </c>
      <c r="R5898" s="2" t="str">
        <f>HYPERLINK("https://www.google.com/maps?q=-20.1657730,-44.8475670","Abrir no Google Maps")</f>
        <v>Abrir no Google Maps</v>
      </c>
      <c r="S5898">
        <v>4</v>
      </c>
      <c r="T5898">
        <v>0</v>
      </c>
      <c r="U5898">
        <v>3</v>
      </c>
      <c r="V5898">
        <v>4.1966426858513102E-2</v>
      </c>
      <c r="W5898">
        <v>1</v>
      </c>
      <c r="X5898">
        <v>4.1966426858513102E-2</v>
      </c>
      <c r="Y5898">
        <v>292</v>
      </c>
      <c r="Z5898">
        <v>98.987346341524855</v>
      </c>
      <c r="AA5898">
        <v>198</v>
      </c>
      <c r="AB5898">
        <v>332</v>
      </c>
      <c r="AC5898">
        <v>536</v>
      </c>
      <c r="AD5898">
        <v>26.22</v>
      </c>
      <c r="AE5898">
        <v>542</v>
      </c>
      <c r="AF5898">
        <v>11</v>
      </c>
      <c r="AG5898">
        <v>181</v>
      </c>
      <c r="AH5898">
        <v>129</v>
      </c>
      <c r="AI5898">
        <v>2.0299999999999998</v>
      </c>
      <c r="AJ5898">
        <v>33.39</v>
      </c>
      <c r="AK5898">
        <v>23.8</v>
      </c>
      <c r="AL5898">
        <v>-20.16565029999995</v>
      </c>
      <c r="AM5898">
        <v>-44.847556627666897</v>
      </c>
      <c r="AN5898">
        <v>-20.16565029999995</v>
      </c>
      <c r="AO5898">
        <v>-44.847556627666897</v>
      </c>
      <c r="AP5898">
        <v>-20.165773000000002</v>
      </c>
      <c r="AQ5898">
        <v>-44.847566999999998</v>
      </c>
      <c r="AR5898">
        <v>13.701900146251189</v>
      </c>
      <c r="AS5898" t="s">
        <v>65</v>
      </c>
      <c r="AT5898">
        <v>1</v>
      </c>
      <c r="AU5898" t="s">
        <v>139</v>
      </c>
      <c r="AV5898" t="s">
        <v>140</v>
      </c>
      <c r="AW5898" t="s">
        <v>60</v>
      </c>
      <c r="AX5898" t="s">
        <v>68</v>
      </c>
      <c r="AY5898" t="s">
        <v>69</v>
      </c>
      <c r="AZ5898" t="b">
        <v>1</v>
      </c>
    </row>
    <row r="5899" spans="1:52" x14ac:dyDescent="0.3">
      <c r="A5899" t="s">
        <v>52</v>
      </c>
      <c r="B5899" t="s">
        <v>53</v>
      </c>
      <c r="C5899" t="s">
        <v>54</v>
      </c>
      <c r="D5899" t="s">
        <v>55</v>
      </c>
      <c r="E5899" t="s">
        <v>2281</v>
      </c>
      <c r="F5899" t="s">
        <v>190</v>
      </c>
      <c r="G5899" t="s">
        <v>141</v>
      </c>
      <c r="H5899" t="s">
        <v>142</v>
      </c>
      <c r="I5899" t="s">
        <v>142</v>
      </c>
      <c r="J5899" t="s">
        <v>60</v>
      </c>
      <c r="K5899" t="s">
        <v>143</v>
      </c>
      <c r="L5899" t="s">
        <v>62</v>
      </c>
      <c r="M5899" t="s">
        <v>143</v>
      </c>
      <c r="N5899" t="s">
        <v>144</v>
      </c>
      <c r="O5899" t="s">
        <v>145</v>
      </c>
      <c r="P5899">
        <v>-20.163377000000001</v>
      </c>
      <c r="Q5899">
        <v>-44.843598</v>
      </c>
      <c r="R5899" s="2" t="str">
        <f>HYPERLINK("https://www.google.com/maps?q=-20.1633770,-44.8435980","Abrir no Google Maps")</f>
        <v>Abrir no Google Maps</v>
      </c>
      <c r="S5899">
        <v>4</v>
      </c>
      <c r="T5899">
        <v>481.58374128635978</v>
      </c>
      <c r="U5899">
        <v>3</v>
      </c>
      <c r="V5899">
        <v>3.04761904761904E-2</v>
      </c>
      <c r="W5899">
        <v>1</v>
      </c>
      <c r="X5899">
        <v>3.04761904761904E-2</v>
      </c>
      <c r="Y5899">
        <v>292</v>
      </c>
      <c r="Z5899">
        <v>575.44522663909652</v>
      </c>
      <c r="AA5899">
        <v>198</v>
      </c>
      <c r="AB5899">
        <v>332</v>
      </c>
      <c r="AC5899">
        <v>536</v>
      </c>
      <c r="AD5899">
        <v>26.22</v>
      </c>
      <c r="AE5899">
        <v>542</v>
      </c>
      <c r="AF5899">
        <v>11</v>
      </c>
      <c r="AG5899">
        <v>181</v>
      </c>
      <c r="AH5899">
        <v>129</v>
      </c>
      <c r="AI5899">
        <v>2.0299999999999998</v>
      </c>
      <c r="AJ5899">
        <v>33.39</v>
      </c>
      <c r="AK5899">
        <v>23.8</v>
      </c>
      <c r="AL5899">
        <v>-20.16343344999996</v>
      </c>
      <c r="AM5899">
        <v>-44.843590796247732</v>
      </c>
      <c r="AN5899">
        <v>-20.16343344999996</v>
      </c>
      <c r="AO5899">
        <v>-44.843590796247732</v>
      </c>
      <c r="AP5899">
        <v>-20.163377000000001</v>
      </c>
      <c r="AQ5899">
        <v>-44.843598</v>
      </c>
      <c r="AR5899">
        <v>6.3289415646640057</v>
      </c>
      <c r="AS5899" t="s">
        <v>65</v>
      </c>
      <c r="AT5899">
        <v>1</v>
      </c>
      <c r="AU5899" t="s">
        <v>146</v>
      </c>
      <c r="AV5899" t="s">
        <v>147</v>
      </c>
      <c r="AW5899" t="s">
        <v>60</v>
      </c>
      <c r="AX5899" t="s">
        <v>68</v>
      </c>
      <c r="AY5899" t="s">
        <v>69</v>
      </c>
      <c r="AZ5899" t="b">
        <v>1</v>
      </c>
    </row>
    <row r="5900" spans="1:52" x14ac:dyDescent="0.3">
      <c r="A5900" t="s">
        <v>52</v>
      </c>
      <c r="B5900" t="s">
        <v>53</v>
      </c>
      <c r="C5900" t="s">
        <v>54</v>
      </c>
      <c r="D5900" t="s">
        <v>55</v>
      </c>
      <c r="E5900" t="s">
        <v>2281</v>
      </c>
      <c r="F5900" t="s">
        <v>190</v>
      </c>
      <c r="G5900" t="s">
        <v>300</v>
      </c>
      <c r="H5900" t="s">
        <v>301</v>
      </c>
      <c r="I5900" t="s">
        <v>301</v>
      </c>
      <c r="J5900" t="s">
        <v>60</v>
      </c>
      <c r="K5900" t="s">
        <v>150</v>
      </c>
      <c r="L5900" t="s">
        <v>62</v>
      </c>
      <c r="M5900" t="s">
        <v>150</v>
      </c>
      <c r="N5900" t="s">
        <v>302</v>
      </c>
      <c r="O5900" t="s">
        <v>303</v>
      </c>
      <c r="P5900">
        <v>-20.172993000000002</v>
      </c>
      <c r="Q5900">
        <v>-44.853588999999999</v>
      </c>
      <c r="R5900" s="2" t="str">
        <f>HYPERLINK("https://www.google.com/maps?q=-20.1729930,-44.8535890","Abrir no Google Maps")</f>
        <v>Abrir no Google Maps</v>
      </c>
      <c r="S5900">
        <v>4</v>
      </c>
      <c r="T5900">
        <v>1041.446216907221</v>
      </c>
      <c r="U5900">
        <v>3</v>
      </c>
      <c r="V5900">
        <v>3.9930555555555497E-2</v>
      </c>
      <c r="W5900">
        <v>1</v>
      </c>
      <c r="X5900">
        <v>3.9930555555555497E-2</v>
      </c>
      <c r="Y5900">
        <v>292</v>
      </c>
      <c r="Z5900">
        <v>978.86270909763937</v>
      </c>
      <c r="AA5900">
        <v>198</v>
      </c>
      <c r="AB5900">
        <v>332</v>
      </c>
      <c r="AC5900">
        <v>536</v>
      </c>
      <c r="AD5900">
        <v>26.22</v>
      </c>
      <c r="AE5900">
        <v>542</v>
      </c>
      <c r="AF5900">
        <v>11</v>
      </c>
      <c r="AG5900">
        <v>181</v>
      </c>
      <c r="AH5900">
        <v>129</v>
      </c>
      <c r="AI5900">
        <v>2.0299999999999998</v>
      </c>
      <c r="AJ5900">
        <v>33.39</v>
      </c>
      <c r="AK5900">
        <v>23.8</v>
      </c>
      <c r="AL5900">
        <v>-20.173142449999968</v>
      </c>
      <c r="AM5900">
        <v>-44.853588035903172</v>
      </c>
      <c r="AN5900">
        <v>-20.173142449999968</v>
      </c>
      <c r="AO5900">
        <v>-44.853588035903172</v>
      </c>
      <c r="AP5900">
        <v>-20.172993000000002</v>
      </c>
      <c r="AQ5900">
        <v>-44.853588999999999</v>
      </c>
      <c r="AR5900">
        <v>16.637078994259841</v>
      </c>
      <c r="AS5900" t="s">
        <v>65</v>
      </c>
      <c r="AT5900">
        <v>1</v>
      </c>
      <c r="AU5900" t="s">
        <v>304</v>
      </c>
      <c r="AV5900" t="s">
        <v>305</v>
      </c>
      <c r="AW5900" t="s">
        <v>60</v>
      </c>
      <c r="AX5900" t="s">
        <v>68</v>
      </c>
      <c r="AY5900" t="s">
        <v>69</v>
      </c>
      <c r="AZ5900" t="b">
        <v>1</v>
      </c>
    </row>
    <row r="5901" spans="1:52" x14ac:dyDescent="0.3">
      <c r="A5901" t="s">
        <v>52</v>
      </c>
      <c r="B5901" t="s">
        <v>53</v>
      </c>
      <c r="C5901" t="s">
        <v>54</v>
      </c>
      <c r="D5901" t="s">
        <v>55</v>
      </c>
      <c r="E5901" t="s">
        <v>2281</v>
      </c>
      <c r="F5901" t="s">
        <v>190</v>
      </c>
      <c r="G5901" t="s">
        <v>1702</v>
      </c>
      <c r="H5901" t="s">
        <v>1703</v>
      </c>
      <c r="I5901" t="s">
        <v>1703</v>
      </c>
      <c r="J5901" t="s">
        <v>60</v>
      </c>
      <c r="K5901" t="s">
        <v>143</v>
      </c>
      <c r="L5901" t="s">
        <v>62</v>
      </c>
      <c r="M5901" t="s">
        <v>143</v>
      </c>
      <c r="N5901" t="s">
        <v>1704</v>
      </c>
      <c r="O5901" t="s">
        <v>1705</v>
      </c>
      <c r="P5901">
        <v>-20.166733000000001</v>
      </c>
      <c r="Q5901">
        <v>-44.837273000000003</v>
      </c>
      <c r="R5901" s="2" t="str">
        <f>HYPERLINK("https://www.google.com/maps?q=-20.1667330,-44.8372730","Abrir no Google Maps")</f>
        <v>Abrir no Google Maps</v>
      </c>
      <c r="S5901">
        <v>4</v>
      </c>
      <c r="T5901">
        <v>1092.9004991941661</v>
      </c>
      <c r="U5901">
        <v>3</v>
      </c>
      <c r="V5901">
        <v>4.40251572327044E-2</v>
      </c>
      <c r="W5901">
        <v>0.85</v>
      </c>
      <c r="X5901">
        <v>3.7421383647798741E-2</v>
      </c>
      <c r="Y5901">
        <v>292</v>
      </c>
      <c r="Z5901">
        <v>1132.696229139676</v>
      </c>
      <c r="AA5901">
        <v>198</v>
      </c>
      <c r="AB5901">
        <v>332</v>
      </c>
      <c r="AC5901">
        <v>536</v>
      </c>
      <c r="AD5901">
        <v>26.22</v>
      </c>
      <c r="AE5901">
        <v>542</v>
      </c>
      <c r="AF5901">
        <v>11</v>
      </c>
      <c r="AG5901">
        <v>181</v>
      </c>
      <c r="AH5901">
        <v>129</v>
      </c>
      <c r="AI5901">
        <v>2.0299999999999998</v>
      </c>
      <c r="AJ5901">
        <v>33.39</v>
      </c>
      <c r="AK5901">
        <v>23.8</v>
      </c>
      <c r="AL5901">
        <v>-20.166934899999941</v>
      </c>
      <c r="AM5901">
        <v>-44.837186632575722</v>
      </c>
      <c r="AN5901">
        <v>-20.166934899999941</v>
      </c>
      <c r="AO5901">
        <v>-44.837186632575722</v>
      </c>
      <c r="AP5901">
        <v>-20.166733000000001</v>
      </c>
      <c r="AQ5901">
        <v>-44.837273000000003</v>
      </c>
      <c r="AR5901">
        <v>24.219800989920522</v>
      </c>
      <c r="AS5901" t="s">
        <v>65</v>
      </c>
      <c r="AT5901">
        <v>1</v>
      </c>
      <c r="AU5901" t="s">
        <v>1706</v>
      </c>
      <c r="AV5901" t="s">
        <v>1707</v>
      </c>
      <c r="AW5901" t="s">
        <v>60</v>
      </c>
      <c r="AX5901" t="s">
        <v>68</v>
      </c>
      <c r="AY5901" t="s">
        <v>69</v>
      </c>
      <c r="AZ5901" t="b">
        <v>1</v>
      </c>
    </row>
    <row r="5902" spans="1:52" x14ac:dyDescent="0.3">
      <c r="A5902" t="s">
        <v>52</v>
      </c>
      <c r="B5902" t="s">
        <v>53</v>
      </c>
      <c r="C5902" t="s">
        <v>54</v>
      </c>
      <c r="D5902" t="s">
        <v>55</v>
      </c>
      <c r="E5902" t="s">
        <v>2281</v>
      </c>
      <c r="F5902" t="s">
        <v>190</v>
      </c>
      <c r="G5902" t="s">
        <v>260</v>
      </c>
      <c r="H5902" t="s">
        <v>317</v>
      </c>
      <c r="I5902" t="s">
        <v>317</v>
      </c>
      <c r="J5902" t="s">
        <v>60</v>
      </c>
      <c r="K5902" t="s">
        <v>255</v>
      </c>
      <c r="L5902" t="s">
        <v>62</v>
      </c>
      <c r="M5902" t="s">
        <v>255</v>
      </c>
      <c r="N5902" t="s">
        <v>263</v>
      </c>
      <c r="O5902" t="s">
        <v>318</v>
      </c>
      <c r="P5902">
        <v>-20.163532</v>
      </c>
      <c r="Q5902">
        <v>-44.846910999999999</v>
      </c>
      <c r="R5902" s="2" t="str">
        <f>HYPERLINK("https://www.google.com/maps?q=-20.1635320,-44.8469110","Abrir no Google Maps")</f>
        <v>Abrir no Google Maps</v>
      </c>
      <c r="S5902">
        <v>4</v>
      </c>
      <c r="T5902">
        <v>259.92389401636012</v>
      </c>
      <c r="U5902">
        <v>3</v>
      </c>
      <c r="V5902">
        <v>3.03030303030303E-2</v>
      </c>
      <c r="W5902">
        <v>1</v>
      </c>
      <c r="X5902">
        <v>3.03030303030303E-2</v>
      </c>
      <c r="Y5902">
        <v>292</v>
      </c>
      <c r="Z5902">
        <v>316.26738966059708</v>
      </c>
      <c r="AA5902">
        <v>198</v>
      </c>
      <c r="AB5902">
        <v>332</v>
      </c>
      <c r="AC5902">
        <v>536</v>
      </c>
      <c r="AD5902">
        <v>26.22</v>
      </c>
      <c r="AE5902">
        <v>542</v>
      </c>
      <c r="AF5902">
        <v>11</v>
      </c>
      <c r="AG5902">
        <v>181</v>
      </c>
      <c r="AH5902">
        <v>129</v>
      </c>
      <c r="AI5902">
        <v>2.0299999999999998</v>
      </c>
      <c r="AJ5902">
        <v>33.39</v>
      </c>
      <c r="AK5902">
        <v>23.8</v>
      </c>
      <c r="AL5902">
        <v>-20.16343344999996</v>
      </c>
      <c r="AM5902">
        <v>-44.846734659744428</v>
      </c>
      <c r="AN5902">
        <v>-20.16343344999996</v>
      </c>
      <c r="AO5902">
        <v>-44.846734659744428</v>
      </c>
      <c r="AP5902">
        <v>-20.163532</v>
      </c>
      <c r="AQ5902">
        <v>-44.846910999999999</v>
      </c>
      <c r="AR5902">
        <v>21.445575432006599</v>
      </c>
      <c r="AS5902" t="s">
        <v>65</v>
      </c>
      <c r="AT5902">
        <v>1</v>
      </c>
      <c r="AU5902" t="s">
        <v>319</v>
      </c>
      <c r="AV5902" t="s">
        <v>320</v>
      </c>
      <c r="AW5902" t="s">
        <v>60</v>
      </c>
      <c r="AX5902" t="s">
        <v>68</v>
      </c>
      <c r="AY5902" t="s">
        <v>69</v>
      </c>
      <c r="AZ5902" t="b">
        <v>1</v>
      </c>
    </row>
    <row r="5903" spans="1:52" x14ac:dyDescent="0.3">
      <c r="A5903" t="s">
        <v>52</v>
      </c>
      <c r="B5903" t="s">
        <v>53</v>
      </c>
      <c r="C5903" t="s">
        <v>54</v>
      </c>
      <c r="D5903" t="s">
        <v>55</v>
      </c>
      <c r="E5903" t="s">
        <v>2281</v>
      </c>
      <c r="F5903" t="s">
        <v>190</v>
      </c>
      <c r="G5903" t="s">
        <v>328</v>
      </c>
      <c r="H5903" t="s">
        <v>329</v>
      </c>
      <c r="I5903" t="s">
        <v>329</v>
      </c>
      <c r="J5903" t="s">
        <v>60</v>
      </c>
      <c r="K5903" t="s">
        <v>157</v>
      </c>
      <c r="L5903" t="s">
        <v>62</v>
      </c>
      <c r="M5903" t="s">
        <v>157</v>
      </c>
      <c r="N5903" t="s">
        <v>330</v>
      </c>
      <c r="O5903" t="s">
        <v>331</v>
      </c>
      <c r="P5903">
        <v>-20.167981999999999</v>
      </c>
      <c r="Q5903">
        <v>-44.885706999999996</v>
      </c>
      <c r="R5903" s="2" t="str">
        <f>HYPERLINK("https://www.google.com/maps?q=-20.1679820,-44.8857070","Abrir no Google Maps")</f>
        <v>Abrir no Google Maps</v>
      </c>
      <c r="S5903">
        <v>4</v>
      </c>
      <c r="T5903">
        <v>594.70112534633722</v>
      </c>
      <c r="U5903">
        <v>3</v>
      </c>
      <c r="V5903">
        <v>2.2082018927444699E-2</v>
      </c>
      <c r="W5903">
        <v>1</v>
      </c>
      <c r="X5903">
        <v>2.2082018927444699E-2</v>
      </c>
      <c r="Y5903">
        <v>232</v>
      </c>
      <c r="Z5903">
        <v>560.38516624860983</v>
      </c>
      <c r="AA5903">
        <v>198</v>
      </c>
      <c r="AB5903">
        <v>332</v>
      </c>
      <c r="AC5903">
        <v>536</v>
      </c>
      <c r="AD5903">
        <v>26.22</v>
      </c>
      <c r="AE5903">
        <v>542</v>
      </c>
      <c r="AF5903">
        <v>11</v>
      </c>
      <c r="AG5903">
        <v>181</v>
      </c>
      <c r="AH5903">
        <v>129</v>
      </c>
      <c r="AI5903">
        <v>2.0299999999999998</v>
      </c>
      <c r="AJ5903">
        <v>33.39</v>
      </c>
      <c r="AK5903">
        <v>23.8</v>
      </c>
      <c r="AL5903">
        <v>-20.167931149999959</v>
      </c>
      <c r="AM5903">
        <v>-44.885606821741909</v>
      </c>
      <c r="AN5903">
        <v>-20.167931149999959</v>
      </c>
      <c r="AO5903">
        <v>-44.885606821741909</v>
      </c>
      <c r="AP5903">
        <v>-20.167981999999999</v>
      </c>
      <c r="AQ5903">
        <v>-44.885706999999996</v>
      </c>
      <c r="AR5903">
        <v>11.90056149590643</v>
      </c>
      <c r="AS5903" t="s">
        <v>65</v>
      </c>
      <c r="AT5903">
        <v>1</v>
      </c>
      <c r="AU5903" t="s">
        <v>332</v>
      </c>
      <c r="AV5903" t="s">
        <v>333</v>
      </c>
      <c r="AW5903" t="s">
        <v>60</v>
      </c>
      <c r="AX5903" t="s">
        <v>68</v>
      </c>
      <c r="AY5903" t="s">
        <v>69</v>
      </c>
      <c r="AZ5903" t="b">
        <v>1</v>
      </c>
    </row>
    <row r="5904" spans="1:52" x14ac:dyDescent="0.3">
      <c r="A5904" t="s">
        <v>52</v>
      </c>
      <c r="B5904" t="s">
        <v>53</v>
      </c>
      <c r="C5904" t="s">
        <v>54</v>
      </c>
      <c r="D5904" t="s">
        <v>55</v>
      </c>
      <c r="E5904" t="s">
        <v>2281</v>
      </c>
      <c r="F5904" t="s">
        <v>190</v>
      </c>
      <c r="G5904" t="s">
        <v>341</v>
      </c>
      <c r="H5904" t="s">
        <v>342</v>
      </c>
      <c r="I5904" t="s">
        <v>342</v>
      </c>
      <c r="J5904" t="s">
        <v>60</v>
      </c>
      <c r="K5904" t="s">
        <v>164</v>
      </c>
      <c r="L5904" t="s">
        <v>62</v>
      </c>
      <c r="M5904" t="s">
        <v>164</v>
      </c>
      <c r="N5904" t="s">
        <v>343</v>
      </c>
      <c r="O5904" t="s">
        <v>344</v>
      </c>
      <c r="P5904">
        <v>-20.17606</v>
      </c>
      <c r="Q5904">
        <v>-44.880409999999998</v>
      </c>
      <c r="R5904" s="2" t="str">
        <f>HYPERLINK("https://www.google.com/maps?q=-20.1760600,-44.8804100","Abrir no Google Maps")</f>
        <v>Abrir no Google Maps</v>
      </c>
      <c r="S5904">
        <v>4</v>
      </c>
      <c r="T5904">
        <v>556.35468246023754</v>
      </c>
      <c r="U5904">
        <v>3</v>
      </c>
      <c r="V5904">
        <v>2.5490196078431299E-2</v>
      </c>
      <c r="W5904">
        <v>1</v>
      </c>
      <c r="X5904">
        <v>2.5490196078431299E-2</v>
      </c>
      <c r="Y5904">
        <v>232</v>
      </c>
      <c r="Z5904">
        <v>674.22003156100322</v>
      </c>
      <c r="AA5904">
        <v>198</v>
      </c>
      <c r="AB5904">
        <v>332</v>
      </c>
      <c r="AC5904">
        <v>536</v>
      </c>
      <c r="AD5904">
        <v>26.22</v>
      </c>
      <c r="AE5904">
        <v>542</v>
      </c>
      <c r="AF5904">
        <v>11</v>
      </c>
      <c r="AG5904">
        <v>181</v>
      </c>
      <c r="AH5904">
        <v>129</v>
      </c>
      <c r="AI5904">
        <v>2.0299999999999998</v>
      </c>
      <c r="AJ5904">
        <v>33.39</v>
      </c>
      <c r="AK5904">
        <v>23.8</v>
      </c>
      <c r="AL5904">
        <v>-20.176226899999961</v>
      </c>
      <c r="AM5904">
        <v>-44.880527903427911</v>
      </c>
      <c r="AN5904">
        <v>-20.176226899999961</v>
      </c>
      <c r="AO5904">
        <v>-44.880527903427911</v>
      </c>
      <c r="AP5904">
        <v>-20.17606</v>
      </c>
      <c r="AQ5904">
        <v>-44.880409999999998</v>
      </c>
      <c r="AR5904">
        <v>22.292677247804349</v>
      </c>
      <c r="AS5904" t="s">
        <v>65</v>
      </c>
      <c r="AT5904">
        <v>1</v>
      </c>
      <c r="AU5904" t="s">
        <v>345</v>
      </c>
      <c r="AV5904" t="s">
        <v>346</v>
      </c>
      <c r="AW5904" t="s">
        <v>60</v>
      </c>
      <c r="AX5904" t="s">
        <v>68</v>
      </c>
      <c r="AY5904" t="s">
        <v>69</v>
      </c>
      <c r="AZ5904" t="b">
        <v>1</v>
      </c>
    </row>
    <row r="5905" spans="1:52" x14ac:dyDescent="0.3">
      <c r="A5905" t="s">
        <v>52</v>
      </c>
      <c r="B5905" t="s">
        <v>53</v>
      </c>
      <c r="C5905" t="s">
        <v>54</v>
      </c>
      <c r="D5905" t="s">
        <v>55</v>
      </c>
      <c r="E5905" t="s">
        <v>2281</v>
      </c>
      <c r="F5905" t="s">
        <v>190</v>
      </c>
      <c r="G5905" t="s">
        <v>353</v>
      </c>
      <c r="H5905" t="s">
        <v>354</v>
      </c>
      <c r="I5905" t="s">
        <v>354</v>
      </c>
      <c r="J5905" t="s">
        <v>60</v>
      </c>
      <c r="K5905" t="s">
        <v>355</v>
      </c>
      <c r="L5905" t="s">
        <v>62</v>
      </c>
      <c r="M5905" t="s">
        <v>355</v>
      </c>
      <c r="N5905" t="s">
        <v>356</v>
      </c>
      <c r="O5905" t="s">
        <v>357</v>
      </c>
      <c r="P5905">
        <v>-20.147373999999999</v>
      </c>
      <c r="Q5905">
        <v>-44.875141999999997</v>
      </c>
      <c r="R5905" s="2" t="str">
        <f>HYPERLINK("https://www.google.com/maps?q=-20.1473740,-44.8751420","Abrir no Google Maps")</f>
        <v>Abrir no Google Maps</v>
      </c>
      <c r="S5905">
        <v>4</v>
      </c>
      <c r="T5905">
        <v>394.29708169591709</v>
      </c>
      <c r="U5905">
        <v>3</v>
      </c>
      <c r="V5905">
        <v>7.8260869565217397E-2</v>
      </c>
      <c r="W5905">
        <v>1</v>
      </c>
      <c r="X5905">
        <v>7.8260869565217397E-2</v>
      </c>
      <c r="Y5905">
        <v>209</v>
      </c>
      <c r="Z5905">
        <v>326.95034461828868</v>
      </c>
      <c r="AA5905">
        <v>198</v>
      </c>
      <c r="AB5905">
        <v>332</v>
      </c>
      <c r="AC5905">
        <v>536</v>
      </c>
      <c r="AD5905">
        <v>26.22</v>
      </c>
      <c r="AE5905">
        <v>542</v>
      </c>
      <c r="AF5905">
        <v>11</v>
      </c>
      <c r="AG5905">
        <v>181</v>
      </c>
      <c r="AH5905">
        <v>129</v>
      </c>
      <c r="AI5905">
        <v>2.0299999999999998</v>
      </c>
      <c r="AJ5905">
        <v>33.39</v>
      </c>
      <c r="AK5905">
        <v>23.8</v>
      </c>
      <c r="AL5905">
        <v>-20.147207999999949</v>
      </c>
      <c r="AM5905">
        <v>-44.875152120336942</v>
      </c>
      <c r="AN5905">
        <v>-20.147207999999949</v>
      </c>
      <c r="AO5905">
        <v>-44.875152120336942</v>
      </c>
      <c r="AP5905">
        <v>-20.147373999999999</v>
      </c>
      <c r="AQ5905">
        <v>-44.875141999999997</v>
      </c>
      <c r="AR5905">
        <v>18.509363081081169</v>
      </c>
      <c r="AS5905" t="s">
        <v>65</v>
      </c>
      <c r="AT5905">
        <v>1</v>
      </c>
      <c r="AU5905" t="s">
        <v>358</v>
      </c>
      <c r="AV5905" t="s">
        <v>359</v>
      </c>
      <c r="AW5905" t="s">
        <v>60</v>
      </c>
      <c r="AX5905" t="s">
        <v>68</v>
      </c>
      <c r="AY5905" t="s">
        <v>69</v>
      </c>
      <c r="AZ5905" t="b">
        <v>1</v>
      </c>
    </row>
    <row r="5906" spans="1:52" x14ac:dyDescent="0.3">
      <c r="A5906" t="s">
        <v>52</v>
      </c>
      <c r="B5906" t="s">
        <v>53</v>
      </c>
      <c r="C5906" t="s">
        <v>54</v>
      </c>
      <c r="D5906" t="s">
        <v>55</v>
      </c>
      <c r="E5906" t="s">
        <v>2281</v>
      </c>
      <c r="F5906" t="s">
        <v>190</v>
      </c>
      <c r="G5906" t="s">
        <v>360</v>
      </c>
      <c r="H5906" t="s">
        <v>361</v>
      </c>
      <c r="I5906" t="s">
        <v>361</v>
      </c>
      <c r="J5906" t="s">
        <v>60</v>
      </c>
      <c r="K5906" t="s">
        <v>362</v>
      </c>
      <c r="L5906" t="s">
        <v>62</v>
      </c>
      <c r="M5906" t="s">
        <v>362</v>
      </c>
      <c r="N5906" t="s">
        <v>363</v>
      </c>
      <c r="O5906" t="s">
        <v>235</v>
      </c>
      <c r="P5906">
        <v>-20.143716999999999</v>
      </c>
      <c r="Q5906">
        <v>-44.875278000000002</v>
      </c>
      <c r="R5906" s="2" t="str">
        <f>HYPERLINK("https://www.google.com/maps?q=-20.1437170,-44.8752780","Abrir no Google Maps")</f>
        <v>Abrir no Google Maps</v>
      </c>
      <c r="S5906">
        <v>4</v>
      </c>
      <c r="T5906">
        <v>0</v>
      </c>
      <c r="U5906">
        <v>3</v>
      </c>
      <c r="V5906">
        <v>5.3030303030302997E-2</v>
      </c>
      <c r="W5906">
        <v>1</v>
      </c>
      <c r="X5906">
        <v>5.3030303030302997E-2</v>
      </c>
      <c r="Y5906">
        <v>209</v>
      </c>
      <c r="Z5906">
        <v>121.8438559354383</v>
      </c>
      <c r="AA5906">
        <v>198</v>
      </c>
      <c r="AB5906">
        <v>332</v>
      </c>
      <c r="AC5906">
        <v>536</v>
      </c>
      <c r="AD5906">
        <v>26.22</v>
      </c>
      <c r="AE5906">
        <v>542</v>
      </c>
      <c r="AF5906">
        <v>11</v>
      </c>
      <c r="AG5906">
        <v>181</v>
      </c>
      <c r="AH5906">
        <v>129</v>
      </c>
      <c r="AI5906">
        <v>2.0299999999999998</v>
      </c>
      <c r="AJ5906">
        <v>33.39</v>
      </c>
      <c r="AK5906">
        <v>23.8</v>
      </c>
      <c r="AL5906">
        <v>-20.143665999999961</v>
      </c>
      <c r="AM5906">
        <v>-44.875561853046079</v>
      </c>
      <c r="AN5906">
        <v>-20.143665999999961</v>
      </c>
      <c r="AO5906">
        <v>-44.875561853046079</v>
      </c>
      <c r="AP5906">
        <v>-20.143716999999999</v>
      </c>
      <c r="AQ5906">
        <v>-44.875278000000002</v>
      </c>
      <c r="AR5906">
        <v>30.20407282671313</v>
      </c>
      <c r="AS5906" t="s">
        <v>65</v>
      </c>
      <c r="AT5906">
        <v>1</v>
      </c>
      <c r="AU5906" t="s">
        <v>364</v>
      </c>
      <c r="AV5906" t="s">
        <v>365</v>
      </c>
      <c r="AW5906" t="s">
        <v>60</v>
      </c>
      <c r="AX5906" t="s">
        <v>68</v>
      </c>
      <c r="AY5906" t="s">
        <v>69</v>
      </c>
      <c r="AZ5906" t="b">
        <v>1</v>
      </c>
    </row>
    <row r="5907" spans="1:52" x14ac:dyDescent="0.3">
      <c r="A5907" t="s">
        <v>52</v>
      </c>
      <c r="B5907" t="s">
        <v>53</v>
      </c>
      <c r="C5907" t="s">
        <v>54</v>
      </c>
      <c r="D5907" t="s">
        <v>55</v>
      </c>
      <c r="E5907" t="s">
        <v>2281</v>
      </c>
      <c r="F5907" t="s">
        <v>190</v>
      </c>
      <c r="G5907" t="s">
        <v>366</v>
      </c>
      <c r="H5907" t="s">
        <v>367</v>
      </c>
      <c r="I5907" t="s">
        <v>367</v>
      </c>
      <c r="J5907" t="s">
        <v>60</v>
      </c>
      <c r="K5907" t="s">
        <v>368</v>
      </c>
      <c r="L5907" t="s">
        <v>62</v>
      </c>
      <c r="M5907" t="s">
        <v>368</v>
      </c>
      <c r="N5907" t="s">
        <v>369</v>
      </c>
      <c r="O5907" t="s">
        <v>370</v>
      </c>
      <c r="P5907">
        <v>-20.144553999999999</v>
      </c>
      <c r="Q5907">
        <v>-44.868183000000002</v>
      </c>
      <c r="R5907" s="2" t="str">
        <f>HYPERLINK("https://www.google.com/maps?q=-20.1445540,-44.8681830","Abrir no Google Maps")</f>
        <v>Abrir no Google Maps</v>
      </c>
      <c r="S5907">
        <v>4</v>
      </c>
      <c r="T5907">
        <v>783.87848835431373</v>
      </c>
      <c r="U5907">
        <v>3</v>
      </c>
      <c r="V5907">
        <v>4.13533834586466E-2</v>
      </c>
      <c r="W5907">
        <v>1</v>
      </c>
      <c r="X5907">
        <v>4.13533834586466E-2</v>
      </c>
      <c r="Y5907">
        <v>198</v>
      </c>
      <c r="Z5907">
        <v>360.68413994394842</v>
      </c>
      <c r="AA5907">
        <v>198</v>
      </c>
      <c r="AB5907">
        <v>332</v>
      </c>
      <c r="AC5907">
        <v>536</v>
      </c>
      <c r="AD5907">
        <v>26.22</v>
      </c>
      <c r="AE5907">
        <v>542</v>
      </c>
      <c r="AF5907">
        <v>11</v>
      </c>
      <c r="AG5907">
        <v>181</v>
      </c>
      <c r="AH5907">
        <v>129</v>
      </c>
      <c r="AI5907">
        <v>2.0299999999999998</v>
      </c>
      <c r="AJ5907">
        <v>33.39</v>
      </c>
      <c r="AK5907">
        <v>23.8</v>
      </c>
      <c r="AL5907">
        <v>-20.144487399999949</v>
      </c>
      <c r="AM5907">
        <v>-44.868111936674481</v>
      </c>
      <c r="AN5907">
        <v>-20.144487399999939</v>
      </c>
      <c r="AO5907">
        <v>-44.868111936674481</v>
      </c>
      <c r="AP5907">
        <v>-20.144553999999999</v>
      </c>
      <c r="AQ5907">
        <v>-44.868183000000002</v>
      </c>
      <c r="AR5907">
        <v>10.49400387332288</v>
      </c>
      <c r="AS5907" t="s">
        <v>65</v>
      </c>
      <c r="AT5907">
        <v>1</v>
      </c>
      <c r="AU5907" t="s">
        <v>371</v>
      </c>
      <c r="AV5907" t="s">
        <v>372</v>
      </c>
      <c r="AW5907" t="s">
        <v>60</v>
      </c>
      <c r="AX5907" t="s">
        <v>68</v>
      </c>
      <c r="AY5907" t="s">
        <v>69</v>
      </c>
      <c r="AZ5907" t="b">
        <v>1</v>
      </c>
    </row>
    <row r="5908" spans="1:52" x14ac:dyDescent="0.3">
      <c r="A5908" t="s">
        <v>52</v>
      </c>
      <c r="B5908" t="s">
        <v>53</v>
      </c>
      <c r="C5908" t="s">
        <v>54</v>
      </c>
      <c r="D5908" t="s">
        <v>55</v>
      </c>
      <c r="E5908" t="s">
        <v>2281</v>
      </c>
      <c r="F5908" t="s">
        <v>190</v>
      </c>
      <c r="G5908" t="s">
        <v>1728</v>
      </c>
      <c r="H5908" t="s">
        <v>1729</v>
      </c>
      <c r="I5908" t="s">
        <v>1729</v>
      </c>
      <c r="J5908" t="s">
        <v>60</v>
      </c>
      <c r="K5908" t="s">
        <v>171</v>
      </c>
      <c r="L5908" t="s">
        <v>62</v>
      </c>
      <c r="M5908" t="s">
        <v>171</v>
      </c>
      <c r="N5908" t="s">
        <v>1730</v>
      </c>
      <c r="O5908" t="s">
        <v>1731</v>
      </c>
      <c r="P5908">
        <v>-20.153237000000001</v>
      </c>
      <c r="Q5908">
        <v>-44.893830999999999</v>
      </c>
      <c r="R5908" s="2" t="str">
        <f>HYPERLINK("https://www.google.com/maps?q=-20.1532370,-44.8938310","Abrir no Google Maps")</f>
        <v>Abrir no Google Maps</v>
      </c>
      <c r="S5908">
        <v>4</v>
      </c>
      <c r="T5908">
        <v>413.69072684661631</v>
      </c>
      <c r="U5908">
        <v>3</v>
      </c>
      <c r="V5908">
        <v>5.5059523809523801E-2</v>
      </c>
      <c r="W5908">
        <v>1</v>
      </c>
      <c r="X5908">
        <v>5.5059523809523801E-2</v>
      </c>
      <c r="Y5908">
        <v>129</v>
      </c>
      <c r="Z5908">
        <v>276.95856023076033</v>
      </c>
      <c r="AA5908">
        <v>198</v>
      </c>
      <c r="AB5908">
        <v>332</v>
      </c>
      <c r="AC5908">
        <v>536</v>
      </c>
      <c r="AD5908">
        <v>26.22</v>
      </c>
      <c r="AE5908">
        <v>542</v>
      </c>
      <c r="AF5908">
        <v>11</v>
      </c>
      <c r="AG5908">
        <v>181</v>
      </c>
      <c r="AH5908">
        <v>129</v>
      </c>
      <c r="AI5908">
        <v>2.0299999999999998</v>
      </c>
      <c r="AJ5908">
        <v>33.39</v>
      </c>
      <c r="AK5908">
        <v>23.8</v>
      </c>
      <c r="AL5908">
        <v>-20.15278304999995</v>
      </c>
      <c r="AM5908">
        <v>-44.894325691070982</v>
      </c>
      <c r="AN5908">
        <v>-20.15278304999995</v>
      </c>
      <c r="AO5908">
        <v>-44.894325691070982</v>
      </c>
      <c r="AP5908">
        <v>-20.153237000000001</v>
      </c>
      <c r="AQ5908">
        <v>-44.893830999999999</v>
      </c>
      <c r="AR5908">
        <v>72.293093135883012</v>
      </c>
      <c r="AS5908" t="s">
        <v>65</v>
      </c>
      <c r="AT5908">
        <v>1</v>
      </c>
      <c r="AU5908" t="s">
        <v>1732</v>
      </c>
      <c r="AV5908" t="s">
        <v>1733</v>
      </c>
      <c r="AW5908" t="s">
        <v>60</v>
      </c>
      <c r="AX5908" t="s">
        <v>68</v>
      </c>
      <c r="AY5908" t="s">
        <v>69</v>
      </c>
      <c r="AZ5908" t="b">
        <v>1</v>
      </c>
    </row>
    <row r="5909" spans="1:52" x14ac:dyDescent="0.3">
      <c r="A5909" t="s">
        <v>52</v>
      </c>
      <c r="B5909" t="s">
        <v>53</v>
      </c>
      <c r="C5909" t="s">
        <v>54</v>
      </c>
      <c r="D5909" t="s">
        <v>55</v>
      </c>
      <c r="E5909" t="s">
        <v>2281</v>
      </c>
      <c r="F5909" t="s">
        <v>190</v>
      </c>
      <c r="G5909" t="s">
        <v>2164</v>
      </c>
      <c r="H5909" t="s">
        <v>2165</v>
      </c>
      <c r="I5909" t="s">
        <v>2165</v>
      </c>
      <c r="J5909" t="s">
        <v>60</v>
      </c>
      <c r="K5909" t="s">
        <v>171</v>
      </c>
      <c r="L5909" t="s">
        <v>62</v>
      </c>
      <c r="M5909" t="s">
        <v>171</v>
      </c>
      <c r="N5909" t="s">
        <v>2166</v>
      </c>
      <c r="O5909" t="s">
        <v>2167</v>
      </c>
      <c r="P5909">
        <v>-20.155996999999999</v>
      </c>
      <c r="Q5909">
        <v>-44.888176000000001</v>
      </c>
      <c r="R5909" s="2" t="str">
        <f>HYPERLINK("https://www.google.com/maps?q=-20.1559970,-44.8881760","Abrir no Google Maps")</f>
        <v>Abrir no Google Maps</v>
      </c>
      <c r="S5909">
        <v>4</v>
      </c>
      <c r="T5909">
        <v>403.08038332223549</v>
      </c>
      <c r="U5909">
        <v>3</v>
      </c>
      <c r="V5909">
        <v>6.6666666666666596E-2</v>
      </c>
      <c r="W5909">
        <v>0.85</v>
      </c>
      <c r="X5909">
        <v>5.6666666666666608E-2</v>
      </c>
      <c r="Y5909">
        <v>129</v>
      </c>
      <c r="Z5909">
        <v>412.52134593699662</v>
      </c>
      <c r="AA5909">
        <v>198</v>
      </c>
      <c r="AB5909">
        <v>332</v>
      </c>
      <c r="AC5909">
        <v>536</v>
      </c>
      <c r="AD5909">
        <v>26.22</v>
      </c>
      <c r="AE5909">
        <v>542</v>
      </c>
      <c r="AF5909">
        <v>11</v>
      </c>
      <c r="AG5909">
        <v>181</v>
      </c>
      <c r="AH5909">
        <v>129</v>
      </c>
      <c r="AI5909">
        <v>2.0299999999999998</v>
      </c>
      <c r="AJ5909">
        <v>33.39</v>
      </c>
      <c r="AK5909">
        <v>23.8</v>
      </c>
      <c r="AL5909">
        <v>-20.155924449999961</v>
      </c>
      <c r="AM5909">
        <v>-44.88829789676695</v>
      </c>
      <c r="AN5909">
        <v>-20.155924449999961</v>
      </c>
      <c r="AO5909">
        <v>-44.88829789676695</v>
      </c>
      <c r="AP5909">
        <v>-20.155996999999999</v>
      </c>
      <c r="AQ5909">
        <v>-44.888176000000001</v>
      </c>
      <c r="AR5909">
        <v>15.08297514010393</v>
      </c>
      <c r="AS5909" t="s">
        <v>65</v>
      </c>
      <c r="AT5909">
        <v>1</v>
      </c>
      <c r="AU5909" t="s">
        <v>2168</v>
      </c>
      <c r="AV5909" t="s">
        <v>2169</v>
      </c>
      <c r="AW5909" t="s">
        <v>60</v>
      </c>
      <c r="AX5909" t="s">
        <v>68</v>
      </c>
      <c r="AY5909" t="s">
        <v>69</v>
      </c>
      <c r="AZ5909" t="b">
        <v>1</v>
      </c>
    </row>
    <row r="5910" spans="1:52" x14ac:dyDescent="0.3">
      <c r="A5910" t="s">
        <v>52</v>
      </c>
      <c r="B5910" t="s">
        <v>53</v>
      </c>
      <c r="C5910" t="s">
        <v>54</v>
      </c>
      <c r="D5910" t="s">
        <v>55</v>
      </c>
      <c r="E5910" t="s">
        <v>2281</v>
      </c>
      <c r="F5910" t="s">
        <v>190</v>
      </c>
      <c r="G5910" t="s">
        <v>1212</v>
      </c>
      <c r="H5910" t="s">
        <v>2170</v>
      </c>
      <c r="I5910" t="s">
        <v>2170</v>
      </c>
      <c r="J5910" t="s">
        <v>60</v>
      </c>
      <c r="K5910" t="s">
        <v>171</v>
      </c>
      <c r="L5910" t="s">
        <v>62</v>
      </c>
      <c r="M5910" t="s">
        <v>171</v>
      </c>
      <c r="N5910" t="s">
        <v>1214</v>
      </c>
      <c r="O5910" t="s">
        <v>617</v>
      </c>
      <c r="P5910">
        <v>-20.155850000000001</v>
      </c>
      <c r="Q5910">
        <v>-44.892339999999997</v>
      </c>
      <c r="R5910" s="2" t="str">
        <f>HYPERLINK("https://www.google.com/maps?q=-20.1558500,-44.8923400","Abrir no Google Maps")</f>
        <v>Abrir no Google Maps</v>
      </c>
      <c r="S5910">
        <v>4</v>
      </c>
      <c r="T5910">
        <v>0</v>
      </c>
      <c r="U5910">
        <v>3</v>
      </c>
      <c r="V5910">
        <v>7.3260073260073194E-2</v>
      </c>
      <c r="W5910">
        <v>0.85</v>
      </c>
      <c r="X5910">
        <v>6.2271062271062223E-2</v>
      </c>
      <c r="Y5910">
        <v>129</v>
      </c>
      <c r="Z5910">
        <v>201.87604905413269</v>
      </c>
      <c r="AA5910">
        <v>198</v>
      </c>
      <c r="AB5910">
        <v>332</v>
      </c>
      <c r="AC5910">
        <v>536</v>
      </c>
      <c r="AD5910">
        <v>26.22</v>
      </c>
      <c r="AE5910">
        <v>542</v>
      </c>
      <c r="AF5910">
        <v>11</v>
      </c>
      <c r="AG5910">
        <v>181</v>
      </c>
      <c r="AH5910">
        <v>129</v>
      </c>
      <c r="AI5910">
        <v>2.0299999999999998</v>
      </c>
      <c r="AJ5910">
        <v>33.39</v>
      </c>
      <c r="AK5910">
        <v>23.8</v>
      </c>
      <c r="AL5910">
        <v>-20.155909249999979</v>
      </c>
      <c r="AM5910">
        <v>-44.892155017263562</v>
      </c>
      <c r="AN5910">
        <v>-20.155909249999979</v>
      </c>
      <c r="AO5910">
        <v>-44.892155017263562</v>
      </c>
      <c r="AP5910">
        <v>-20.155850000000001</v>
      </c>
      <c r="AQ5910">
        <v>-44.892339999999997</v>
      </c>
      <c r="AR5910">
        <v>20.425418813653319</v>
      </c>
      <c r="AS5910" t="s">
        <v>65</v>
      </c>
      <c r="AT5910">
        <v>1</v>
      </c>
      <c r="AU5910" t="s">
        <v>2171</v>
      </c>
      <c r="AV5910" t="s">
        <v>2172</v>
      </c>
      <c r="AW5910" t="s">
        <v>60</v>
      </c>
      <c r="AX5910" t="s">
        <v>68</v>
      </c>
      <c r="AY5910" t="s">
        <v>69</v>
      </c>
      <c r="AZ5910" t="b">
        <v>1</v>
      </c>
    </row>
    <row r="5911" spans="1:52" x14ac:dyDescent="0.3">
      <c r="A5911" t="s">
        <v>52</v>
      </c>
      <c r="B5911" t="s">
        <v>53</v>
      </c>
      <c r="C5911" t="s">
        <v>54</v>
      </c>
      <c r="D5911" t="s">
        <v>55</v>
      </c>
      <c r="E5911" t="s">
        <v>2281</v>
      </c>
      <c r="F5911" t="s">
        <v>190</v>
      </c>
      <c r="G5911" t="s">
        <v>386</v>
      </c>
      <c r="H5911" t="s">
        <v>387</v>
      </c>
      <c r="I5911" t="s">
        <v>387</v>
      </c>
      <c r="J5911" t="s">
        <v>60</v>
      </c>
      <c r="K5911" t="s">
        <v>388</v>
      </c>
      <c r="L5911" t="s">
        <v>62</v>
      </c>
      <c r="M5911" t="s">
        <v>388</v>
      </c>
      <c r="N5911" t="s">
        <v>389</v>
      </c>
      <c r="O5911" t="s">
        <v>357</v>
      </c>
      <c r="P5911">
        <v>-20.161041999999998</v>
      </c>
      <c r="Q5911">
        <v>-44.901242000000003</v>
      </c>
      <c r="R5911" s="2" t="str">
        <f>HYPERLINK("https://www.google.com/maps?q=-20.1610420,-44.9012420","Abrir no Google Maps")</f>
        <v>Abrir no Google Maps</v>
      </c>
      <c r="S5911">
        <v>3</v>
      </c>
      <c r="T5911">
        <v>440.22183232279212</v>
      </c>
      <c r="U5911">
        <v>4</v>
      </c>
      <c r="V5911">
        <v>9.00900900900901E-2</v>
      </c>
      <c r="W5911">
        <v>1</v>
      </c>
      <c r="X5911">
        <v>9.00900900900901E-2</v>
      </c>
      <c r="Y5911">
        <v>729</v>
      </c>
      <c r="Z5911">
        <v>398.48306829302379</v>
      </c>
      <c r="AA5911">
        <v>198</v>
      </c>
      <c r="AB5911">
        <v>332</v>
      </c>
      <c r="AC5911">
        <v>536</v>
      </c>
      <c r="AD5911">
        <v>26.22</v>
      </c>
      <c r="AE5911">
        <v>542</v>
      </c>
      <c r="AF5911">
        <v>11</v>
      </c>
      <c r="AG5911">
        <v>181</v>
      </c>
      <c r="AH5911">
        <v>129</v>
      </c>
      <c r="AI5911">
        <v>2.0299999999999998</v>
      </c>
      <c r="AJ5911">
        <v>33.39</v>
      </c>
      <c r="AK5911">
        <v>23.8</v>
      </c>
      <c r="AL5911">
        <v>-20.16176629999995</v>
      </c>
      <c r="AM5911">
        <v>-44.901582787827898</v>
      </c>
      <c r="AN5911">
        <v>-20.16176629999995</v>
      </c>
      <c r="AO5911">
        <v>-44.901582787827898</v>
      </c>
      <c r="AP5911">
        <v>-20.161041999999998</v>
      </c>
      <c r="AQ5911">
        <v>-44.901242000000003</v>
      </c>
      <c r="AR5911">
        <v>88.143369157892835</v>
      </c>
      <c r="AS5911" t="s">
        <v>65</v>
      </c>
      <c r="AT5911">
        <v>1</v>
      </c>
      <c r="AU5911" t="s">
        <v>390</v>
      </c>
      <c r="AV5911" t="s">
        <v>391</v>
      </c>
      <c r="AW5911" t="s">
        <v>60</v>
      </c>
      <c r="AX5911" t="s">
        <v>68</v>
      </c>
      <c r="AY5911" t="s">
        <v>69</v>
      </c>
      <c r="AZ5911" t="b">
        <v>1</v>
      </c>
    </row>
    <row r="5912" spans="1:52" x14ac:dyDescent="0.3">
      <c r="A5912" t="s">
        <v>52</v>
      </c>
      <c r="B5912" t="s">
        <v>53</v>
      </c>
      <c r="C5912" t="s">
        <v>54</v>
      </c>
      <c r="D5912" t="s">
        <v>55</v>
      </c>
      <c r="E5912" t="s">
        <v>2281</v>
      </c>
      <c r="F5912" t="s">
        <v>190</v>
      </c>
      <c r="G5912" t="s">
        <v>398</v>
      </c>
      <c r="H5912" t="s">
        <v>399</v>
      </c>
      <c r="I5912" t="s">
        <v>399</v>
      </c>
      <c r="J5912" t="s">
        <v>60</v>
      </c>
      <c r="K5912" t="s">
        <v>388</v>
      </c>
      <c r="L5912" t="s">
        <v>62</v>
      </c>
      <c r="M5912" t="s">
        <v>388</v>
      </c>
      <c r="N5912" t="s">
        <v>400</v>
      </c>
      <c r="O5912" t="s">
        <v>401</v>
      </c>
      <c r="P5912">
        <v>-20.160157000000002</v>
      </c>
      <c r="Q5912">
        <v>-44.904347999999999</v>
      </c>
      <c r="R5912" s="2" t="str">
        <f>HYPERLINK("https://www.google.com/maps?q=-20.1601570,-44.9043480","Abrir no Google Maps")</f>
        <v>Abrir no Google Maps</v>
      </c>
      <c r="S5912">
        <v>3</v>
      </c>
      <c r="T5912">
        <v>469.26088527154809</v>
      </c>
      <c r="U5912">
        <v>4</v>
      </c>
      <c r="V5912">
        <v>0.13043478260869559</v>
      </c>
      <c r="W5912">
        <v>1</v>
      </c>
      <c r="X5912">
        <v>0.13043478260869559</v>
      </c>
      <c r="Y5912">
        <v>729</v>
      </c>
      <c r="Z5912">
        <v>253.57832452309071</v>
      </c>
      <c r="AA5912">
        <v>198</v>
      </c>
      <c r="AB5912">
        <v>332</v>
      </c>
      <c r="AC5912">
        <v>536</v>
      </c>
      <c r="AD5912">
        <v>26.22</v>
      </c>
      <c r="AE5912">
        <v>542</v>
      </c>
      <c r="AF5912">
        <v>11</v>
      </c>
      <c r="AG5912">
        <v>181</v>
      </c>
      <c r="AH5912">
        <v>129</v>
      </c>
      <c r="AI5912">
        <v>2.0299999999999998</v>
      </c>
      <c r="AJ5912">
        <v>33.39</v>
      </c>
      <c r="AK5912">
        <v>23.8</v>
      </c>
      <c r="AL5912">
        <v>-20.160007949999969</v>
      </c>
      <c r="AM5912">
        <v>-44.904396608560482</v>
      </c>
      <c r="AN5912">
        <v>-20.160007949999969</v>
      </c>
      <c r="AO5912">
        <v>-44.904396608560482</v>
      </c>
      <c r="AP5912">
        <v>-20.160157000000002</v>
      </c>
      <c r="AQ5912">
        <v>-44.904347999999999</v>
      </c>
      <c r="AR5912">
        <v>17.35237255387942</v>
      </c>
      <c r="AS5912" t="s">
        <v>65</v>
      </c>
      <c r="AT5912">
        <v>1</v>
      </c>
      <c r="AU5912" t="s">
        <v>402</v>
      </c>
      <c r="AV5912" t="s">
        <v>403</v>
      </c>
      <c r="AW5912" t="s">
        <v>60</v>
      </c>
      <c r="AX5912" t="s">
        <v>68</v>
      </c>
      <c r="AY5912" t="s">
        <v>69</v>
      </c>
      <c r="AZ5912" t="b">
        <v>1</v>
      </c>
    </row>
    <row r="5913" spans="1:52" x14ac:dyDescent="0.3">
      <c r="A5913" t="s">
        <v>52</v>
      </c>
      <c r="B5913" t="s">
        <v>53</v>
      </c>
      <c r="C5913" t="s">
        <v>54</v>
      </c>
      <c r="D5913" t="s">
        <v>55</v>
      </c>
      <c r="E5913" t="s">
        <v>2281</v>
      </c>
      <c r="F5913" t="s">
        <v>190</v>
      </c>
      <c r="G5913" t="s">
        <v>404</v>
      </c>
      <c r="H5913" t="s">
        <v>405</v>
      </c>
      <c r="I5913" t="s">
        <v>405</v>
      </c>
      <c r="J5913" t="s">
        <v>60</v>
      </c>
      <c r="K5913" t="s">
        <v>388</v>
      </c>
      <c r="L5913" t="s">
        <v>62</v>
      </c>
      <c r="M5913" t="s">
        <v>388</v>
      </c>
      <c r="N5913" t="s">
        <v>406</v>
      </c>
      <c r="O5913" t="s">
        <v>407</v>
      </c>
      <c r="P5913">
        <v>-20.162780999999999</v>
      </c>
      <c r="Q5913">
        <v>-44.904437999999999</v>
      </c>
      <c r="R5913" s="2" t="str">
        <f>HYPERLINK("https://www.google.com/maps?q=-20.1627810,-44.9044380","Abrir no Google Maps")</f>
        <v>Abrir no Google Maps</v>
      </c>
      <c r="S5913">
        <v>3</v>
      </c>
      <c r="T5913">
        <v>681.0891377731482</v>
      </c>
      <c r="U5913">
        <v>4</v>
      </c>
      <c r="V5913">
        <v>0.138401559454191</v>
      </c>
      <c r="W5913">
        <v>1</v>
      </c>
      <c r="X5913">
        <v>0.138401559454191</v>
      </c>
      <c r="Y5913">
        <v>729</v>
      </c>
      <c r="Z5913">
        <v>564.17713687218622</v>
      </c>
      <c r="AA5913">
        <v>198</v>
      </c>
      <c r="AB5913">
        <v>332</v>
      </c>
      <c r="AC5913">
        <v>536</v>
      </c>
      <c r="AD5913">
        <v>26.22</v>
      </c>
      <c r="AE5913">
        <v>542</v>
      </c>
      <c r="AF5913">
        <v>11</v>
      </c>
      <c r="AG5913">
        <v>181</v>
      </c>
      <c r="AH5913">
        <v>129</v>
      </c>
      <c r="AI5913">
        <v>2.0299999999999998</v>
      </c>
      <c r="AJ5913">
        <v>33.39</v>
      </c>
      <c r="AK5913">
        <v>23.8</v>
      </c>
      <c r="AL5913">
        <v>-20.16295434999995</v>
      </c>
      <c r="AM5913">
        <v>-44.904242686956152</v>
      </c>
      <c r="AN5913">
        <v>-20.16295434999995</v>
      </c>
      <c r="AO5913">
        <v>-44.904242686956152</v>
      </c>
      <c r="AP5913">
        <v>-20.162780999999999</v>
      </c>
      <c r="AQ5913">
        <v>-44.904437999999999</v>
      </c>
      <c r="AR5913">
        <v>28.088191280523411</v>
      </c>
      <c r="AS5913" t="s">
        <v>65</v>
      </c>
      <c r="AT5913">
        <v>1</v>
      </c>
      <c r="AU5913" t="s">
        <v>408</v>
      </c>
      <c r="AV5913" t="s">
        <v>409</v>
      </c>
      <c r="AW5913" t="s">
        <v>60</v>
      </c>
      <c r="AX5913" t="s">
        <v>68</v>
      </c>
      <c r="AY5913" t="s">
        <v>69</v>
      </c>
      <c r="AZ5913" t="b">
        <v>1</v>
      </c>
    </row>
    <row r="5914" spans="1:52" x14ac:dyDescent="0.3">
      <c r="A5914" t="s">
        <v>52</v>
      </c>
      <c r="B5914" t="s">
        <v>53</v>
      </c>
      <c r="C5914" t="s">
        <v>54</v>
      </c>
      <c r="D5914" t="s">
        <v>55</v>
      </c>
      <c r="E5914" t="s">
        <v>2281</v>
      </c>
      <c r="F5914" t="s">
        <v>190</v>
      </c>
      <c r="G5914" t="s">
        <v>410</v>
      </c>
      <c r="H5914" t="s">
        <v>411</v>
      </c>
      <c r="I5914" t="s">
        <v>411</v>
      </c>
      <c r="J5914" t="s">
        <v>60</v>
      </c>
      <c r="K5914" t="s">
        <v>388</v>
      </c>
      <c r="L5914" t="s">
        <v>62</v>
      </c>
      <c r="M5914" t="s">
        <v>388</v>
      </c>
      <c r="N5914" t="s">
        <v>412</v>
      </c>
      <c r="O5914" t="s">
        <v>413</v>
      </c>
      <c r="P5914">
        <v>-20.161394000000001</v>
      </c>
      <c r="Q5914">
        <v>-44.906725999999999</v>
      </c>
      <c r="R5914" s="2" t="str">
        <f>HYPERLINK("https://www.google.com/maps?q=-20.1613940,-44.9067260","Abrir no Google Maps")</f>
        <v>Abrir no Google Maps</v>
      </c>
      <c r="S5914">
        <v>3</v>
      </c>
      <c r="T5914">
        <v>763.68157548493457</v>
      </c>
      <c r="U5914">
        <v>4</v>
      </c>
      <c r="V5914">
        <v>0.1510416666666666</v>
      </c>
      <c r="W5914">
        <v>1</v>
      </c>
      <c r="X5914">
        <v>0.1510416666666666</v>
      </c>
      <c r="Y5914">
        <v>729</v>
      </c>
      <c r="Z5914">
        <v>551.70379325948545</v>
      </c>
      <c r="AA5914">
        <v>198</v>
      </c>
      <c r="AB5914">
        <v>332</v>
      </c>
      <c r="AC5914">
        <v>536</v>
      </c>
      <c r="AD5914">
        <v>26.22</v>
      </c>
      <c r="AE5914">
        <v>542</v>
      </c>
      <c r="AF5914">
        <v>11</v>
      </c>
      <c r="AG5914">
        <v>181</v>
      </c>
      <c r="AH5914">
        <v>129</v>
      </c>
      <c r="AI5914">
        <v>2.0299999999999998</v>
      </c>
      <c r="AJ5914">
        <v>33.39</v>
      </c>
      <c r="AK5914">
        <v>23.8</v>
      </c>
      <c r="AL5914">
        <v>-20.161371049999929</v>
      </c>
      <c r="AM5914">
        <v>-44.906816797310228</v>
      </c>
      <c r="AN5914">
        <v>-20.161371049999929</v>
      </c>
      <c r="AO5914">
        <v>-44.906816797310228</v>
      </c>
      <c r="AP5914">
        <v>-20.161394000000001</v>
      </c>
      <c r="AQ5914">
        <v>-44.906725999999999</v>
      </c>
      <c r="AR5914">
        <v>9.8261555662022495</v>
      </c>
      <c r="AS5914" t="s">
        <v>65</v>
      </c>
      <c r="AT5914">
        <v>1</v>
      </c>
      <c r="AU5914" t="s">
        <v>414</v>
      </c>
      <c r="AV5914" t="s">
        <v>415</v>
      </c>
      <c r="AW5914" t="s">
        <v>60</v>
      </c>
      <c r="AX5914" t="s">
        <v>68</v>
      </c>
      <c r="AY5914" t="s">
        <v>69</v>
      </c>
      <c r="AZ5914" t="b">
        <v>1</v>
      </c>
    </row>
    <row r="5915" spans="1:52" x14ac:dyDescent="0.3">
      <c r="A5915" t="s">
        <v>52</v>
      </c>
      <c r="B5915" t="s">
        <v>53</v>
      </c>
      <c r="C5915" t="s">
        <v>54</v>
      </c>
      <c r="D5915" t="s">
        <v>55</v>
      </c>
      <c r="E5915" t="s">
        <v>2281</v>
      </c>
      <c r="F5915" t="s">
        <v>190</v>
      </c>
      <c r="G5915" t="s">
        <v>416</v>
      </c>
      <c r="H5915" t="s">
        <v>417</v>
      </c>
      <c r="I5915" t="s">
        <v>417</v>
      </c>
      <c r="J5915" t="s">
        <v>60</v>
      </c>
      <c r="K5915" t="s">
        <v>418</v>
      </c>
      <c r="L5915" t="s">
        <v>62</v>
      </c>
      <c r="M5915" t="s">
        <v>418</v>
      </c>
      <c r="N5915" t="s">
        <v>419</v>
      </c>
      <c r="O5915" t="s">
        <v>202</v>
      </c>
      <c r="P5915">
        <v>-20.169886000000002</v>
      </c>
      <c r="Q5915">
        <v>-44.913288000000001</v>
      </c>
      <c r="R5915" s="2" t="str">
        <f>HYPERLINK("https://www.google.com/maps?q=-20.1698860,-44.9132880","Abrir no Google Maps")</f>
        <v>Abrir no Google Maps</v>
      </c>
      <c r="S5915">
        <v>3</v>
      </c>
      <c r="T5915">
        <v>422.88733632898152</v>
      </c>
      <c r="U5915">
        <v>4</v>
      </c>
      <c r="V5915">
        <v>8.8669950738916203E-2</v>
      </c>
      <c r="W5915">
        <v>1</v>
      </c>
      <c r="X5915">
        <v>8.8669950738916203E-2</v>
      </c>
      <c r="Y5915">
        <v>723</v>
      </c>
      <c r="Z5915">
        <v>128.65003864232261</v>
      </c>
      <c r="AA5915">
        <v>198</v>
      </c>
      <c r="AB5915">
        <v>332</v>
      </c>
      <c r="AC5915">
        <v>536</v>
      </c>
      <c r="AD5915">
        <v>26.22</v>
      </c>
      <c r="AE5915">
        <v>542</v>
      </c>
      <c r="AF5915">
        <v>11</v>
      </c>
      <c r="AG5915">
        <v>181</v>
      </c>
      <c r="AH5915">
        <v>129</v>
      </c>
      <c r="AI5915">
        <v>2.0299999999999998</v>
      </c>
      <c r="AJ5915">
        <v>33.39</v>
      </c>
      <c r="AK5915">
        <v>23.8</v>
      </c>
      <c r="AL5915">
        <v>-20.16970024999998</v>
      </c>
      <c r="AM5915">
        <v>-44.913502201257437</v>
      </c>
      <c r="AN5915">
        <v>-20.16970024999998</v>
      </c>
      <c r="AO5915">
        <v>-44.913502201257437</v>
      </c>
      <c r="AP5915">
        <v>-20.169886000000002</v>
      </c>
      <c r="AQ5915">
        <v>-44.913288000000001</v>
      </c>
      <c r="AR5915">
        <v>30.47208587597606</v>
      </c>
      <c r="AS5915" t="s">
        <v>65</v>
      </c>
      <c r="AT5915">
        <v>1</v>
      </c>
      <c r="AU5915" t="s">
        <v>420</v>
      </c>
      <c r="AV5915" t="s">
        <v>421</v>
      </c>
      <c r="AW5915" t="s">
        <v>60</v>
      </c>
      <c r="AX5915" t="s">
        <v>68</v>
      </c>
      <c r="AY5915" t="s">
        <v>69</v>
      </c>
      <c r="AZ5915" t="b">
        <v>1</v>
      </c>
    </row>
    <row r="5916" spans="1:52" x14ac:dyDescent="0.3">
      <c r="A5916" t="s">
        <v>52</v>
      </c>
      <c r="B5916" t="s">
        <v>53</v>
      </c>
      <c r="C5916" t="s">
        <v>54</v>
      </c>
      <c r="D5916" t="s">
        <v>55</v>
      </c>
      <c r="E5916" t="s">
        <v>2281</v>
      </c>
      <c r="F5916" t="s">
        <v>190</v>
      </c>
      <c r="G5916" t="s">
        <v>1307</v>
      </c>
      <c r="H5916" t="s">
        <v>1308</v>
      </c>
      <c r="I5916" t="s">
        <v>1308</v>
      </c>
      <c r="J5916" t="s">
        <v>60</v>
      </c>
      <c r="K5916" t="s">
        <v>1302</v>
      </c>
      <c r="L5916" t="s">
        <v>62</v>
      </c>
      <c r="M5916" t="s">
        <v>1302</v>
      </c>
      <c r="N5916" t="s">
        <v>558</v>
      </c>
      <c r="O5916" t="s">
        <v>1309</v>
      </c>
      <c r="P5916">
        <v>-20.169051</v>
      </c>
      <c r="Q5916">
        <v>-44.910093000000003</v>
      </c>
      <c r="R5916" s="2" t="str">
        <f>HYPERLINK("https://www.google.com/maps?q=-20.1690510,-44.9100930","Abrir no Google Maps")</f>
        <v>Abrir no Google Maps</v>
      </c>
      <c r="S5916">
        <v>3</v>
      </c>
      <c r="T5916">
        <v>375.90504489887479</v>
      </c>
      <c r="U5916">
        <v>4</v>
      </c>
      <c r="V5916">
        <v>0.19047619047619041</v>
      </c>
      <c r="W5916">
        <v>0.85</v>
      </c>
      <c r="X5916">
        <v>0.16190476190476191</v>
      </c>
      <c r="Y5916">
        <v>723</v>
      </c>
      <c r="Z5916">
        <v>456.19893675176831</v>
      </c>
      <c r="AA5916">
        <v>198</v>
      </c>
      <c r="AB5916">
        <v>332</v>
      </c>
      <c r="AC5916">
        <v>536</v>
      </c>
      <c r="AD5916">
        <v>26.22</v>
      </c>
      <c r="AE5916">
        <v>542</v>
      </c>
      <c r="AF5916">
        <v>11</v>
      </c>
      <c r="AG5916">
        <v>181</v>
      </c>
      <c r="AH5916">
        <v>129</v>
      </c>
      <c r="AI5916">
        <v>2.0299999999999998</v>
      </c>
      <c r="AJ5916">
        <v>33.39</v>
      </c>
      <c r="AK5916">
        <v>23.8</v>
      </c>
      <c r="AL5916">
        <v>-20.168810949999941</v>
      </c>
      <c r="AM5916">
        <v>-44.910156475447927</v>
      </c>
      <c r="AN5916">
        <v>-20.168810949999941</v>
      </c>
      <c r="AO5916">
        <v>-44.910156475447927</v>
      </c>
      <c r="AP5916">
        <v>-20.169051</v>
      </c>
      <c r="AQ5916">
        <v>-44.910093000000003</v>
      </c>
      <c r="AR5916">
        <v>27.533232396417059</v>
      </c>
      <c r="AS5916" t="s">
        <v>65</v>
      </c>
      <c r="AT5916">
        <v>1</v>
      </c>
      <c r="AU5916" t="s">
        <v>1310</v>
      </c>
      <c r="AV5916" t="s">
        <v>1311</v>
      </c>
      <c r="AW5916" t="s">
        <v>60</v>
      </c>
      <c r="AX5916" t="s">
        <v>68</v>
      </c>
      <c r="AY5916" t="s">
        <v>69</v>
      </c>
      <c r="AZ5916" t="b">
        <v>1</v>
      </c>
    </row>
    <row r="5917" spans="1:52" x14ac:dyDescent="0.3">
      <c r="A5917" t="s">
        <v>52</v>
      </c>
      <c r="B5917" t="s">
        <v>53</v>
      </c>
      <c r="C5917" t="s">
        <v>54</v>
      </c>
      <c r="D5917" t="s">
        <v>55</v>
      </c>
      <c r="E5917" t="s">
        <v>2281</v>
      </c>
      <c r="F5917" t="s">
        <v>190</v>
      </c>
      <c r="G5917" t="s">
        <v>845</v>
      </c>
      <c r="H5917" t="s">
        <v>846</v>
      </c>
      <c r="I5917" t="s">
        <v>846</v>
      </c>
      <c r="J5917" t="s">
        <v>60</v>
      </c>
      <c r="K5917" t="s">
        <v>424</v>
      </c>
      <c r="L5917" t="s">
        <v>62</v>
      </c>
      <c r="M5917" t="s">
        <v>424</v>
      </c>
      <c r="N5917" t="s">
        <v>847</v>
      </c>
      <c r="O5917" t="s">
        <v>848</v>
      </c>
      <c r="P5917">
        <v>-20.175523999999999</v>
      </c>
      <c r="Q5917">
        <v>-44.918016999999999</v>
      </c>
      <c r="R5917" s="2" t="str">
        <f>HYPERLINK("https://www.google.com/maps?q=-20.1755240,-44.9180170","Abrir no Google Maps")</f>
        <v>Abrir no Google Maps</v>
      </c>
      <c r="S5917">
        <v>3</v>
      </c>
      <c r="T5917">
        <v>833.59191671824021</v>
      </c>
      <c r="U5917">
        <v>4</v>
      </c>
      <c r="V5917">
        <v>0.1375661375661375</v>
      </c>
      <c r="W5917">
        <v>0.85</v>
      </c>
      <c r="X5917">
        <v>0.1169312169312169</v>
      </c>
      <c r="Y5917">
        <v>723</v>
      </c>
      <c r="Z5917">
        <v>701.05790658871581</v>
      </c>
      <c r="AA5917">
        <v>198</v>
      </c>
      <c r="AB5917">
        <v>332</v>
      </c>
      <c r="AC5917">
        <v>536</v>
      </c>
      <c r="AD5917">
        <v>26.22</v>
      </c>
      <c r="AE5917">
        <v>542</v>
      </c>
      <c r="AF5917">
        <v>11</v>
      </c>
      <c r="AG5917">
        <v>181</v>
      </c>
      <c r="AH5917">
        <v>129</v>
      </c>
      <c r="AI5917">
        <v>2.0299999999999998</v>
      </c>
      <c r="AJ5917">
        <v>33.39</v>
      </c>
      <c r="AK5917">
        <v>23.8</v>
      </c>
      <c r="AL5917">
        <v>-20.17533859999995</v>
      </c>
      <c r="AM5917">
        <v>-44.917689627873088</v>
      </c>
      <c r="AN5917">
        <v>-20.17533859999995</v>
      </c>
      <c r="AO5917">
        <v>-44.917689627873088</v>
      </c>
      <c r="AP5917">
        <v>-20.175523999999999</v>
      </c>
      <c r="AQ5917">
        <v>-44.918016999999999</v>
      </c>
      <c r="AR5917">
        <v>39.950898228213873</v>
      </c>
      <c r="AS5917" t="s">
        <v>65</v>
      </c>
      <c r="AT5917">
        <v>1</v>
      </c>
      <c r="AU5917" t="s">
        <v>849</v>
      </c>
      <c r="AV5917" t="s">
        <v>850</v>
      </c>
      <c r="AW5917" t="s">
        <v>60</v>
      </c>
      <c r="AX5917" t="s">
        <v>68</v>
      </c>
      <c r="AY5917" t="s">
        <v>69</v>
      </c>
      <c r="AZ5917" t="b">
        <v>1</v>
      </c>
    </row>
    <row r="5918" spans="1:52" x14ac:dyDescent="0.3">
      <c r="A5918" t="s">
        <v>52</v>
      </c>
      <c r="B5918" t="s">
        <v>53</v>
      </c>
      <c r="C5918" t="s">
        <v>54</v>
      </c>
      <c r="D5918" t="s">
        <v>55</v>
      </c>
      <c r="E5918" t="s">
        <v>2281</v>
      </c>
      <c r="F5918" t="s">
        <v>190</v>
      </c>
      <c r="G5918" t="s">
        <v>429</v>
      </c>
      <c r="H5918" t="s">
        <v>430</v>
      </c>
      <c r="I5918" t="s">
        <v>430</v>
      </c>
      <c r="J5918" t="s">
        <v>60</v>
      </c>
      <c r="K5918" t="s">
        <v>431</v>
      </c>
      <c r="L5918" t="s">
        <v>62</v>
      </c>
      <c r="M5918" t="s">
        <v>431</v>
      </c>
      <c r="N5918" t="s">
        <v>432</v>
      </c>
      <c r="O5918" t="s">
        <v>315</v>
      </c>
      <c r="P5918">
        <v>-20.172698</v>
      </c>
      <c r="Q5918">
        <v>-44.923842</v>
      </c>
      <c r="R5918" s="2" t="str">
        <f>HYPERLINK("https://www.google.com/maps?q=-20.1726980,-44.9238420","Abrir no Google Maps")</f>
        <v>Abrir no Google Maps</v>
      </c>
      <c r="S5918">
        <v>3</v>
      </c>
      <c r="T5918">
        <v>1376.1843173402931</v>
      </c>
      <c r="U5918">
        <v>4</v>
      </c>
      <c r="V5918">
        <v>0.29556650246305421</v>
      </c>
      <c r="W5918">
        <v>0.85</v>
      </c>
      <c r="X5918">
        <v>0.25123152709359609</v>
      </c>
      <c r="Y5918">
        <v>723</v>
      </c>
      <c r="Z5918">
        <v>1101.340635002096</v>
      </c>
      <c r="AA5918">
        <v>198</v>
      </c>
      <c r="AB5918">
        <v>332</v>
      </c>
      <c r="AC5918">
        <v>536</v>
      </c>
      <c r="AD5918">
        <v>26.22</v>
      </c>
      <c r="AE5918">
        <v>542</v>
      </c>
      <c r="AF5918">
        <v>11</v>
      </c>
      <c r="AG5918">
        <v>181</v>
      </c>
      <c r="AH5918">
        <v>129</v>
      </c>
      <c r="AI5918">
        <v>2.0299999999999998</v>
      </c>
      <c r="AJ5918">
        <v>33.39</v>
      </c>
      <c r="AK5918">
        <v>23.8</v>
      </c>
      <c r="AL5918">
        <v>-20.172942799999959</v>
      </c>
      <c r="AM5918">
        <v>-44.923585372665762</v>
      </c>
      <c r="AN5918">
        <v>-20.172942799999959</v>
      </c>
      <c r="AO5918">
        <v>-44.923585372665762</v>
      </c>
      <c r="AP5918">
        <v>-20.172698</v>
      </c>
      <c r="AQ5918">
        <v>-44.923842</v>
      </c>
      <c r="AR5918">
        <v>38.231981408478958</v>
      </c>
      <c r="AS5918" t="s">
        <v>65</v>
      </c>
      <c r="AT5918">
        <v>1</v>
      </c>
      <c r="AU5918" t="s">
        <v>433</v>
      </c>
      <c r="AV5918" t="s">
        <v>434</v>
      </c>
      <c r="AW5918" t="s">
        <v>60</v>
      </c>
      <c r="AX5918" t="s">
        <v>68</v>
      </c>
      <c r="AY5918" t="s">
        <v>69</v>
      </c>
      <c r="AZ5918" t="b">
        <v>1</v>
      </c>
    </row>
    <row r="5919" spans="1:52" x14ac:dyDescent="0.3">
      <c r="A5919" t="s">
        <v>52</v>
      </c>
      <c r="B5919" t="s">
        <v>53</v>
      </c>
      <c r="C5919" t="s">
        <v>54</v>
      </c>
      <c r="D5919" t="s">
        <v>55</v>
      </c>
      <c r="E5919" t="s">
        <v>2281</v>
      </c>
      <c r="F5919" t="s">
        <v>190</v>
      </c>
      <c r="G5919" t="s">
        <v>435</v>
      </c>
      <c r="H5919" t="s">
        <v>436</v>
      </c>
      <c r="I5919" t="s">
        <v>436</v>
      </c>
      <c r="J5919" t="s">
        <v>60</v>
      </c>
      <c r="K5919" t="s">
        <v>437</v>
      </c>
      <c r="L5919" t="s">
        <v>62</v>
      </c>
      <c r="M5919" t="s">
        <v>437</v>
      </c>
      <c r="N5919" t="s">
        <v>438</v>
      </c>
      <c r="O5919" t="s">
        <v>439</v>
      </c>
      <c r="P5919">
        <v>-20.145613000000001</v>
      </c>
      <c r="Q5919">
        <v>-44.882375000000003</v>
      </c>
      <c r="R5919" s="2" t="str">
        <f>HYPERLINK("https://www.google.com/maps?q=-20.1456130,-44.8823750","Abrir no Google Maps")</f>
        <v>Abrir no Google Maps</v>
      </c>
      <c r="S5919">
        <v>3</v>
      </c>
      <c r="T5919">
        <v>305.65092112314198</v>
      </c>
      <c r="U5919">
        <v>4</v>
      </c>
      <c r="V5919">
        <v>0.10279001468428781</v>
      </c>
      <c r="W5919">
        <v>1</v>
      </c>
      <c r="X5919">
        <v>0.10279001468428781</v>
      </c>
      <c r="Y5919">
        <v>653</v>
      </c>
      <c r="Z5919">
        <v>349.55297035282501</v>
      </c>
      <c r="AA5919">
        <v>198</v>
      </c>
      <c r="AB5919">
        <v>332</v>
      </c>
      <c r="AC5919">
        <v>536</v>
      </c>
      <c r="AD5919">
        <v>26.22</v>
      </c>
      <c r="AE5919">
        <v>542</v>
      </c>
      <c r="AF5919">
        <v>11</v>
      </c>
      <c r="AG5919">
        <v>181</v>
      </c>
      <c r="AH5919">
        <v>129</v>
      </c>
      <c r="AI5919">
        <v>2.0299999999999998</v>
      </c>
      <c r="AJ5919">
        <v>33.39</v>
      </c>
      <c r="AK5919">
        <v>23.8</v>
      </c>
      <c r="AL5919">
        <v>-20.14550464999996</v>
      </c>
      <c r="AM5919">
        <v>-44.882157007077737</v>
      </c>
      <c r="AN5919">
        <v>-20.14550464999996</v>
      </c>
      <c r="AO5919">
        <v>-44.882157007077737</v>
      </c>
      <c r="AP5919">
        <v>-20.145613000000001</v>
      </c>
      <c r="AQ5919">
        <v>-44.882375000000003</v>
      </c>
      <c r="AR5919">
        <v>25.77819791856259</v>
      </c>
      <c r="AS5919" t="s">
        <v>65</v>
      </c>
      <c r="AT5919">
        <v>1</v>
      </c>
      <c r="AU5919" t="s">
        <v>440</v>
      </c>
      <c r="AV5919" t="s">
        <v>441</v>
      </c>
      <c r="AW5919" t="s">
        <v>60</v>
      </c>
      <c r="AX5919" t="s">
        <v>68</v>
      </c>
      <c r="AY5919" t="s">
        <v>69</v>
      </c>
      <c r="AZ5919" t="b">
        <v>1</v>
      </c>
    </row>
    <row r="5920" spans="1:52" x14ac:dyDescent="0.3">
      <c r="A5920" t="s">
        <v>52</v>
      </c>
      <c r="B5920" t="s">
        <v>53</v>
      </c>
      <c r="C5920" t="s">
        <v>54</v>
      </c>
      <c r="D5920" t="s">
        <v>55</v>
      </c>
      <c r="E5920" t="s">
        <v>2281</v>
      </c>
      <c r="F5920" t="s">
        <v>190</v>
      </c>
      <c r="G5920" t="s">
        <v>442</v>
      </c>
      <c r="H5920" t="s">
        <v>443</v>
      </c>
      <c r="I5920" t="s">
        <v>443</v>
      </c>
      <c r="J5920" t="s">
        <v>60</v>
      </c>
      <c r="K5920" t="s">
        <v>437</v>
      </c>
      <c r="L5920" t="s">
        <v>62</v>
      </c>
      <c r="M5920" t="s">
        <v>437</v>
      </c>
      <c r="N5920" t="s">
        <v>444</v>
      </c>
      <c r="O5920" t="s">
        <v>445</v>
      </c>
      <c r="P5920">
        <v>-20.149744999999999</v>
      </c>
      <c r="Q5920">
        <v>-44.881385000000002</v>
      </c>
      <c r="R5920" s="2" t="str">
        <f>HYPERLINK("https://www.google.com/maps?q=-20.1497450,-44.8813850","Abrir no Google Maps")</f>
        <v>Abrir no Google Maps</v>
      </c>
      <c r="S5920">
        <v>3</v>
      </c>
      <c r="T5920">
        <v>188.80690546111239</v>
      </c>
      <c r="U5920">
        <v>4</v>
      </c>
      <c r="V5920">
        <v>0.1727395411605937</v>
      </c>
      <c r="W5920">
        <v>1</v>
      </c>
      <c r="X5920">
        <v>0.1727395411605937</v>
      </c>
      <c r="Y5920">
        <v>653</v>
      </c>
      <c r="Z5920">
        <v>86.575080390731017</v>
      </c>
      <c r="AA5920">
        <v>198</v>
      </c>
      <c r="AB5920">
        <v>332</v>
      </c>
      <c r="AC5920">
        <v>536</v>
      </c>
      <c r="AD5920">
        <v>26.22</v>
      </c>
      <c r="AE5920">
        <v>542</v>
      </c>
      <c r="AF5920">
        <v>11</v>
      </c>
      <c r="AG5920">
        <v>181</v>
      </c>
      <c r="AH5920">
        <v>129</v>
      </c>
      <c r="AI5920">
        <v>2.0299999999999998</v>
      </c>
      <c r="AJ5920">
        <v>33.39</v>
      </c>
      <c r="AK5920">
        <v>23.8</v>
      </c>
      <c r="AL5920">
        <v>-20.149645149999941</v>
      </c>
      <c r="AM5920">
        <v>-44.881504585149607</v>
      </c>
      <c r="AN5920">
        <v>-20.149645149999941</v>
      </c>
      <c r="AO5920">
        <v>-44.881504585149607</v>
      </c>
      <c r="AP5920">
        <v>-20.149744999999999</v>
      </c>
      <c r="AQ5920">
        <v>-44.881385000000002</v>
      </c>
      <c r="AR5920">
        <v>16.725323110840389</v>
      </c>
      <c r="AS5920" t="s">
        <v>65</v>
      </c>
      <c r="AT5920">
        <v>1</v>
      </c>
      <c r="AU5920" t="s">
        <v>446</v>
      </c>
      <c r="AV5920" t="s">
        <v>447</v>
      </c>
      <c r="AW5920" t="s">
        <v>60</v>
      </c>
      <c r="AX5920" t="s">
        <v>68</v>
      </c>
      <c r="AY5920" t="s">
        <v>69</v>
      </c>
      <c r="AZ5920" t="b">
        <v>1</v>
      </c>
    </row>
    <row r="5921" spans="1:52" x14ac:dyDescent="0.3">
      <c r="A5921" t="s">
        <v>52</v>
      </c>
      <c r="B5921" t="s">
        <v>53</v>
      </c>
      <c r="C5921" t="s">
        <v>54</v>
      </c>
      <c r="D5921" t="s">
        <v>55</v>
      </c>
      <c r="E5921" t="s">
        <v>2281</v>
      </c>
      <c r="F5921" t="s">
        <v>190</v>
      </c>
      <c r="G5921" t="s">
        <v>448</v>
      </c>
      <c r="H5921" t="s">
        <v>449</v>
      </c>
      <c r="I5921" t="s">
        <v>449</v>
      </c>
      <c r="J5921" t="s">
        <v>60</v>
      </c>
      <c r="K5921" t="s">
        <v>388</v>
      </c>
      <c r="L5921" t="s">
        <v>62</v>
      </c>
      <c r="M5921" t="s">
        <v>388</v>
      </c>
      <c r="N5921" t="s">
        <v>450</v>
      </c>
      <c r="O5921" t="s">
        <v>451</v>
      </c>
      <c r="P5921">
        <v>-20.163981</v>
      </c>
      <c r="Q5921">
        <v>-44.907128999999998</v>
      </c>
      <c r="R5921" s="2" t="str">
        <f>HYPERLINK("https://www.google.com/maps?q=-20.1639810,-44.9071290","Abrir no Google Maps")</f>
        <v>Abrir no Google Maps</v>
      </c>
      <c r="S5921">
        <v>3</v>
      </c>
      <c r="T5921">
        <v>782.50730806588319</v>
      </c>
      <c r="U5921">
        <v>4</v>
      </c>
      <c r="V5921">
        <v>0.1567796610169491</v>
      </c>
      <c r="W5921">
        <v>1</v>
      </c>
      <c r="X5921">
        <v>0.1567796610169491</v>
      </c>
      <c r="Y5921">
        <v>639</v>
      </c>
      <c r="Z5921">
        <v>710.90621453796166</v>
      </c>
      <c r="AA5921">
        <v>198</v>
      </c>
      <c r="AB5921">
        <v>332</v>
      </c>
      <c r="AC5921">
        <v>536</v>
      </c>
      <c r="AD5921">
        <v>26.22</v>
      </c>
      <c r="AE5921">
        <v>542</v>
      </c>
      <c r="AF5921">
        <v>11</v>
      </c>
      <c r="AG5921">
        <v>181</v>
      </c>
      <c r="AH5921">
        <v>129</v>
      </c>
      <c r="AI5921">
        <v>2.0299999999999998</v>
      </c>
      <c r="AJ5921">
        <v>33.39</v>
      </c>
      <c r="AK5921">
        <v>23.8</v>
      </c>
      <c r="AL5921">
        <v>-20.163958349999969</v>
      </c>
      <c r="AM5921">
        <v>-44.907180923930973</v>
      </c>
      <c r="AN5921">
        <v>-20.163958349999969</v>
      </c>
      <c r="AO5921">
        <v>-44.907180923930973</v>
      </c>
      <c r="AP5921">
        <v>-20.163981</v>
      </c>
      <c r="AQ5921">
        <v>-44.907128999999998</v>
      </c>
      <c r="AR5921">
        <v>5.9831345092457884</v>
      </c>
      <c r="AS5921" t="s">
        <v>65</v>
      </c>
      <c r="AT5921">
        <v>1</v>
      </c>
      <c r="AU5921" t="s">
        <v>452</v>
      </c>
      <c r="AV5921" t="s">
        <v>453</v>
      </c>
      <c r="AW5921" t="s">
        <v>60</v>
      </c>
      <c r="AX5921" t="s">
        <v>68</v>
      </c>
      <c r="AY5921" t="s">
        <v>69</v>
      </c>
      <c r="AZ5921" t="b">
        <v>1</v>
      </c>
    </row>
    <row r="5922" spans="1:52" x14ac:dyDescent="0.3">
      <c r="A5922" t="s">
        <v>52</v>
      </c>
      <c r="B5922" t="s">
        <v>53</v>
      </c>
      <c r="C5922" t="s">
        <v>54</v>
      </c>
      <c r="D5922" t="s">
        <v>55</v>
      </c>
      <c r="E5922" t="s">
        <v>2281</v>
      </c>
      <c r="F5922" t="s">
        <v>190</v>
      </c>
      <c r="G5922" t="s">
        <v>454</v>
      </c>
      <c r="H5922" t="s">
        <v>455</v>
      </c>
      <c r="I5922" t="s">
        <v>455</v>
      </c>
      <c r="J5922" t="s">
        <v>60</v>
      </c>
      <c r="K5922" t="s">
        <v>456</v>
      </c>
      <c r="L5922" t="s">
        <v>62</v>
      </c>
      <c r="M5922" t="s">
        <v>456</v>
      </c>
      <c r="N5922" t="s">
        <v>102</v>
      </c>
      <c r="O5922" t="s">
        <v>457</v>
      </c>
      <c r="P5922">
        <v>-20.138373999999999</v>
      </c>
      <c r="Q5922">
        <v>-44.903756999999999</v>
      </c>
      <c r="R5922" s="2" t="str">
        <f>HYPERLINK("https://www.google.com/maps?q=-20.1383740,-44.9037570","Abrir no Google Maps")</f>
        <v>Abrir no Google Maps</v>
      </c>
      <c r="S5922">
        <v>3</v>
      </c>
      <c r="T5922">
        <v>357.59466273594461</v>
      </c>
      <c r="U5922">
        <v>4</v>
      </c>
      <c r="V5922">
        <v>0.1712962962962962</v>
      </c>
      <c r="W5922">
        <v>1</v>
      </c>
      <c r="X5922">
        <v>0.1712962962962962</v>
      </c>
      <c r="Y5922">
        <v>581</v>
      </c>
      <c r="Z5922">
        <v>406.92482694505992</v>
      </c>
      <c r="AA5922">
        <v>198</v>
      </c>
      <c r="AB5922">
        <v>332</v>
      </c>
      <c r="AC5922">
        <v>536</v>
      </c>
      <c r="AD5922">
        <v>26.22</v>
      </c>
      <c r="AE5922">
        <v>542</v>
      </c>
      <c r="AF5922">
        <v>11</v>
      </c>
      <c r="AG5922">
        <v>181</v>
      </c>
      <c r="AH5922">
        <v>129</v>
      </c>
      <c r="AI5922">
        <v>2.0299999999999998</v>
      </c>
      <c r="AJ5922">
        <v>33.39</v>
      </c>
      <c r="AK5922">
        <v>23.8</v>
      </c>
      <c r="AL5922">
        <v>-20.138338199999961</v>
      </c>
      <c r="AM5922">
        <v>-44.903768618976301</v>
      </c>
      <c r="AN5922">
        <v>-20.138338199999961</v>
      </c>
      <c r="AO5922">
        <v>-44.903768618976301</v>
      </c>
      <c r="AP5922">
        <v>-20.138373999999999</v>
      </c>
      <c r="AQ5922">
        <v>-44.903756999999999</v>
      </c>
      <c r="AR5922">
        <v>4.1661625938922704</v>
      </c>
      <c r="AS5922" t="s">
        <v>65</v>
      </c>
      <c r="AT5922">
        <v>1</v>
      </c>
      <c r="AU5922" t="s">
        <v>458</v>
      </c>
      <c r="AV5922" t="s">
        <v>459</v>
      </c>
      <c r="AW5922" t="s">
        <v>60</v>
      </c>
      <c r="AX5922" t="s">
        <v>68</v>
      </c>
      <c r="AY5922" t="s">
        <v>69</v>
      </c>
      <c r="AZ5922" t="b">
        <v>1</v>
      </c>
    </row>
    <row r="5923" spans="1:52" x14ac:dyDescent="0.3">
      <c r="A5923" t="s">
        <v>52</v>
      </c>
      <c r="B5923" t="s">
        <v>53</v>
      </c>
      <c r="C5923" t="s">
        <v>54</v>
      </c>
      <c r="D5923" t="s">
        <v>55</v>
      </c>
      <c r="E5923" t="s">
        <v>2281</v>
      </c>
      <c r="F5923" t="s">
        <v>190</v>
      </c>
      <c r="G5923" t="s">
        <v>460</v>
      </c>
      <c r="H5923" t="s">
        <v>461</v>
      </c>
      <c r="I5923" t="s">
        <v>461</v>
      </c>
      <c r="J5923" t="s">
        <v>60</v>
      </c>
      <c r="K5923" t="s">
        <v>462</v>
      </c>
      <c r="L5923" t="s">
        <v>62</v>
      </c>
      <c r="M5923" t="s">
        <v>462</v>
      </c>
      <c r="N5923" t="s">
        <v>463</v>
      </c>
      <c r="O5923" t="s">
        <v>464</v>
      </c>
      <c r="P5923">
        <v>-20.137919</v>
      </c>
      <c r="Q5923">
        <v>-44.905591000000001</v>
      </c>
      <c r="R5923" s="2" t="str">
        <f>HYPERLINK("https://www.google.com/maps?q=-20.1379190,-44.9055910","Abrir no Google Maps")</f>
        <v>Abrir no Google Maps</v>
      </c>
      <c r="S5923">
        <v>3</v>
      </c>
      <c r="T5923">
        <v>262.01115919461103</v>
      </c>
      <c r="U5923">
        <v>4</v>
      </c>
      <c r="V5923">
        <v>0.18322295805739511</v>
      </c>
      <c r="W5923">
        <v>1</v>
      </c>
      <c r="X5923">
        <v>0.18322295805739511</v>
      </c>
      <c r="Y5923">
        <v>581</v>
      </c>
      <c r="Z5923">
        <v>318.63337303219271</v>
      </c>
      <c r="AA5923">
        <v>198</v>
      </c>
      <c r="AB5923">
        <v>332</v>
      </c>
      <c r="AC5923">
        <v>536</v>
      </c>
      <c r="AD5923">
        <v>26.22</v>
      </c>
      <c r="AE5923">
        <v>542</v>
      </c>
      <c r="AF5923">
        <v>11</v>
      </c>
      <c r="AG5923">
        <v>181</v>
      </c>
      <c r="AH5923">
        <v>129</v>
      </c>
      <c r="AI5923">
        <v>2.0299999999999998</v>
      </c>
      <c r="AJ5923">
        <v>33.39</v>
      </c>
      <c r="AK5923">
        <v>23.8</v>
      </c>
      <c r="AL5923">
        <v>-20.13789079999998</v>
      </c>
      <c r="AM5923">
        <v>-44.90548593520333</v>
      </c>
      <c r="AN5923">
        <v>-20.13789079999998</v>
      </c>
      <c r="AO5923">
        <v>-44.90548593520333</v>
      </c>
      <c r="AP5923">
        <v>-20.137919</v>
      </c>
      <c r="AQ5923">
        <v>-44.905591000000001</v>
      </c>
      <c r="AR5923">
        <v>11.42072348298178</v>
      </c>
      <c r="AS5923" t="s">
        <v>65</v>
      </c>
      <c r="AT5923">
        <v>1</v>
      </c>
      <c r="AU5923" t="s">
        <v>465</v>
      </c>
      <c r="AV5923" t="s">
        <v>466</v>
      </c>
      <c r="AW5923" t="s">
        <v>60</v>
      </c>
      <c r="AX5923" t="s">
        <v>68</v>
      </c>
      <c r="AY5923" t="s">
        <v>69</v>
      </c>
      <c r="AZ5923" t="b">
        <v>1</v>
      </c>
    </row>
    <row r="5924" spans="1:52" x14ac:dyDescent="0.3">
      <c r="A5924" t="s">
        <v>52</v>
      </c>
      <c r="B5924" t="s">
        <v>53</v>
      </c>
      <c r="C5924" t="s">
        <v>54</v>
      </c>
      <c r="D5924" t="s">
        <v>55</v>
      </c>
      <c r="E5924" t="s">
        <v>2281</v>
      </c>
      <c r="F5924" t="s">
        <v>190</v>
      </c>
      <c r="G5924" t="s">
        <v>1342</v>
      </c>
      <c r="H5924" t="s">
        <v>1343</v>
      </c>
      <c r="I5924" t="s">
        <v>1343</v>
      </c>
      <c r="J5924" t="s">
        <v>60</v>
      </c>
      <c r="K5924" t="s">
        <v>462</v>
      </c>
      <c r="L5924" t="s">
        <v>62</v>
      </c>
      <c r="M5924" t="s">
        <v>462</v>
      </c>
      <c r="N5924" t="s">
        <v>921</v>
      </c>
      <c r="O5924" t="s">
        <v>1344</v>
      </c>
      <c r="P5924">
        <v>-20.137526000000001</v>
      </c>
      <c r="Q5924">
        <v>-44.912452999999999</v>
      </c>
      <c r="R5924" s="2" t="str">
        <f>HYPERLINK("https://www.google.com/maps?q=-20.1375260,-44.9124530","Abrir no Google Maps")</f>
        <v>Abrir no Google Maps</v>
      </c>
      <c r="S5924">
        <v>3</v>
      </c>
      <c r="T5924">
        <v>446.95091416730708</v>
      </c>
      <c r="U5924">
        <v>4</v>
      </c>
      <c r="V5924">
        <v>0.1152263374485596</v>
      </c>
      <c r="W5924">
        <v>0.85</v>
      </c>
      <c r="X5924">
        <v>9.7942386831275666E-2</v>
      </c>
      <c r="Y5924">
        <v>581</v>
      </c>
      <c r="Z5924">
        <v>507.4747778269288</v>
      </c>
      <c r="AA5924">
        <v>198</v>
      </c>
      <c r="AB5924">
        <v>332</v>
      </c>
      <c r="AC5924">
        <v>536</v>
      </c>
      <c r="AD5924">
        <v>26.22</v>
      </c>
      <c r="AE5924">
        <v>542</v>
      </c>
      <c r="AF5924">
        <v>11</v>
      </c>
      <c r="AG5924">
        <v>181</v>
      </c>
      <c r="AH5924">
        <v>129</v>
      </c>
      <c r="AI5924">
        <v>2.0299999999999998</v>
      </c>
      <c r="AJ5924">
        <v>33.39</v>
      </c>
      <c r="AK5924">
        <v>23.8</v>
      </c>
      <c r="AL5924">
        <v>-20.136672649999959</v>
      </c>
      <c r="AM5924">
        <v>-44.911825104396357</v>
      </c>
      <c r="AN5924">
        <v>-20.136672649999959</v>
      </c>
      <c r="AO5924">
        <v>-44.911825104396357</v>
      </c>
      <c r="AP5924">
        <v>-20.137526000000001</v>
      </c>
      <c r="AQ5924">
        <v>-44.912452999999999</v>
      </c>
      <c r="AR5924">
        <v>115.45843265992529</v>
      </c>
      <c r="AS5924" t="s">
        <v>65</v>
      </c>
      <c r="AT5924">
        <v>1</v>
      </c>
      <c r="AU5924" t="s">
        <v>1345</v>
      </c>
      <c r="AV5924" t="s">
        <v>1346</v>
      </c>
      <c r="AW5924" t="s">
        <v>60</v>
      </c>
      <c r="AX5924" t="s">
        <v>68</v>
      </c>
      <c r="AY5924" t="s">
        <v>69</v>
      </c>
      <c r="AZ5924" t="b">
        <v>1</v>
      </c>
    </row>
    <row r="5925" spans="1:52" x14ac:dyDescent="0.3">
      <c r="A5925" t="s">
        <v>52</v>
      </c>
      <c r="B5925" t="s">
        <v>53</v>
      </c>
      <c r="C5925" t="s">
        <v>54</v>
      </c>
      <c r="D5925" t="s">
        <v>55</v>
      </c>
      <c r="E5925" t="s">
        <v>2281</v>
      </c>
      <c r="F5925" t="s">
        <v>190</v>
      </c>
      <c r="G5925" t="s">
        <v>1347</v>
      </c>
      <c r="H5925" t="s">
        <v>1348</v>
      </c>
      <c r="I5925" t="s">
        <v>1348</v>
      </c>
      <c r="J5925" t="s">
        <v>60</v>
      </c>
      <c r="K5925" t="s">
        <v>1349</v>
      </c>
      <c r="L5925" t="s">
        <v>62</v>
      </c>
      <c r="M5925" t="s">
        <v>1349</v>
      </c>
      <c r="N5925" t="s">
        <v>1350</v>
      </c>
      <c r="O5925" t="s">
        <v>1351</v>
      </c>
      <c r="P5925">
        <v>-20.140426999999999</v>
      </c>
      <c r="Q5925">
        <v>-44.905327999999997</v>
      </c>
      <c r="R5925" s="2" t="str">
        <f>HYPERLINK("https://www.google.com/maps?q=-20.1404270,-44.9053280","Abrir no Google Maps")</f>
        <v>Abrir no Google Maps</v>
      </c>
      <c r="S5925">
        <v>3</v>
      </c>
      <c r="T5925">
        <v>359.5810968231857</v>
      </c>
      <c r="U5925">
        <v>4</v>
      </c>
      <c r="V5925">
        <v>0.19519519519519521</v>
      </c>
      <c r="W5925">
        <v>0.85</v>
      </c>
      <c r="X5925">
        <v>0.1659159159159159</v>
      </c>
      <c r="Y5925">
        <v>581</v>
      </c>
      <c r="Z5925">
        <v>292.370097058873</v>
      </c>
      <c r="AA5925">
        <v>198</v>
      </c>
      <c r="AB5925">
        <v>332</v>
      </c>
      <c r="AC5925">
        <v>536</v>
      </c>
      <c r="AD5925">
        <v>26.22</v>
      </c>
      <c r="AE5925">
        <v>542</v>
      </c>
      <c r="AF5925">
        <v>11</v>
      </c>
      <c r="AG5925">
        <v>181</v>
      </c>
      <c r="AH5925">
        <v>129</v>
      </c>
      <c r="AI5925">
        <v>2.0299999999999998</v>
      </c>
      <c r="AJ5925">
        <v>33.39</v>
      </c>
      <c r="AK5925">
        <v>23.8</v>
      </c>
      <c r="AL5925">
        <v>-20.140465449999969</v>
      </c>
      <c r="AM5925">
        <v>-44.905317129037229</v>
      </c>
      <c r="AN5925">
        <v>-20.140465449999969</v>
      </c>
      <c r="AO5925">
        <v>-44.905317129037229</v>
      </c>
      <c r="AP5925">
        <v>-20.140426999999999</v>
      </c>
      <c r="AQ5925">
        <v>-44.905327999999997</v>
      </c>
      <c r="AR5925">
        <v>4.4284788644958706</v>
      </c>
      <c r="AS5925" t="s">
        <v>65</v>
      </c>
      <c r="AT5925">
        <v>1</v>
      </c>
      <c r="AU5925" t="s">
        <v>1352</v>
      </c>
      <c r="AV5925" t="s">
        <v>1353</v>
      </c>
      <c r="AW5925" t="s">
        <v>60</v>
      </c>
      <c r="AX5925" t="s">
        <v>68</v>
      </c>
      <c r="AY5925" t="s">
        <v>69</v>
      </c>
      <c r="AZ5925" t="b">
        <v>1</v>
      </c>
    </row>
    <row r="5926" spans="1:52" x14ac:dyDescent="0.3">
      <c r="A5926" t="s">
        <v>52</v>
      </c>
      <c r="B5926" t="s">
        <v>53</v>
      </c>
      <c r="C5926" t="s">
        <v>54</v>
      </c>
      <c r="D5926" t="s">
        <v>55</v>
      </c>
      <c r="E5926" t="s">
        <v>2281</v>
      </c>
      <c r="F5926" t="s">
        <v>190</v>
      </c>
      <c r="G5926" t="s">
        <v>467</v>
      </c>
      <c r="H5926" t="s">
        <v>468</v>
      </c>
      <c r="I5926" t="s">
        <v>468</v>
      </c>
      <c r="J5926" t="s">
        <v>60</v>
      </c>
      <c r="K5926" t="s">
        <v>462</v>
      </c>
      <c r="L5926" t="s">
        <v>62</v>
      </c>
      <c r="M5926" t="s">
        <v>462</v>
      </c>
      <c r="N5926" t="s">
        <v>469</v>
      </c>
      <c r="O5926" t="s">
        <v>470</v>
      </c>
      <c r="P5926">
        <v>-20.138233</v>
      </c>
      <c r="Q5926">
        <v>-44.908200000000001</v>
      </c>
      <c r="R5926" s="2" t="str">
        <f>HYPERLINK("https://www.google.com/maps?q=-20.1382330,-44.9082000","Abrir no Google Maps")</f>
        <v>Abrir no Google Maps</v>
      </c>
      <c r="S5926">
        <v>3</v>
      </c>
      <c r="T5926">
        <v>0</v>
      </c>
      <c r="U5926">
        <v>4</v>
      </c>
      <c r="V5926">
        <v>0.17820512820512821</v>
      </c>
      <c r="W5926">
        <v>1</v>
      </c>
      <c r="X5926">
        <v>0.17820512820512821</v>
      </c>
      <c r="Y5926">
        <v>581</v>
      </c>
      <c r="Z5926">
        <v>153.18688302958171</v>
      </c>
      <c r="AA5926">
        <v>198</v>
      </c>
      <c r="AB5926">
        <v>332</v>
      </c>
      <c r="AC5926">
        <v>536</v>
      </c>
      <c r="AD5926">
        <v>26.22</v>
      </c>
      <c r="AE5926">
        <v>542</v>
      </c>
      <c r="AF5926">
        <v>11</v>
      </c>
      <c r="AG5926">
        <v>181</v>
      </c>
      <c r="AH5926">
        <v>129</v>
      </c>
      <c r="AI5926">
        <v>2.0299999999999998</v>
      </c>
      <c r="AJ5926">
        <v>33.39</v>
      </c>
      <c r="AK5926">
        <v>23.8</v>
      </c>
      <c r="AL5926">
        <v>-20.138364899999971</v>
      </c>
      <c r="AM5926">
        <v>-44.907942114873997</v>
      </c>
      <c r="AN5926">
        <v>-20.138364899999971</v>
      </c>
      <c r="AO5926">
        <v>-44.907942114873997</v>
      </c>
      <c r="AP5926">
        <v>-20.138233</v>
      </c>
      <c r="AQ5926">
        <v>-44.908200000000001</v>
      </c>
      <c r="AR5926">
        <v>30.692690617986941</v>
      </c>
      <c r="AS5926" t="s">
        <v>65</v>
      </c>
      <c r="AT5926">
        <v>1</v>
      </c>
      <c r="AU5926" t="s">
        <v>471</v>
      </c>
      <c r="AV5926" t="s">
        <v>472</v>
      </c>
      <c r="AW5926" t="s">
        <v>60</v>
      </c>
      <c r="AX5926" t="s">
        <v>68</v>
      </c>
      <c r="AY5926" t="s">
        <v>69</v>
      </c>
      <c r="AZ5926" t="b">
        <v>1</v>
      </c>
    </row>
    <row r="5927" spans="1:52" x14ac:dyDescent="0.3">
      <c r="A5927" t="s">
        <v>52</v>
      </c>
      <c r="B5927" t="s">
        <v>53</v>
      </c>
      <c r="C5927" t="s">
        <v>54</v>
      </c>
      <c r="D5927" t="s">
        <v>55</v>
      </c>
      <c r="E5927" t="s">
        <v>2281</v>
      </c>
      <c r="F5927" t="s">
        <v>190</v>
      </c>
      <c r="G5927" t="s">
        <v>858</v>
      </c>
      <c r="H5927" t="s">
        <v>1360</v>
      </c>
      <c r="I5927" t="s">
        <v>1360</v>
      </c>
      <c r="J5927" t="s">
        <v>60</v>
      </c>
      <c r="K5927" t="s">
        <v>1356</v>
      </c>
      <c r="L5927" t="s">
        <v>62</v>
      </c>
      <c r="M5927" t="s">
        <v>1356</v>
      </c>
      <c r="N5927" t="s">
        <v>860</v>
      </c>
      <c r="O5927" t="s">
        <v>1361</v>
      </c>
      <c r="P5927">
        <v>-20.134969000000002</v>
      </c>
      <c r="Q5927">
        <v>-44.909384000000003</v>
      </c>
      <c r="R5927" s="2" t="str">
        <f>HYPERLINK("https://www.google.com/maps?q=-20.1349690,-44.9093840","Abrir no Google Maps")</f>
        <v>Abrir no Google Maps</v>
      </c>
      <c r="S5927">
        <v>3</v>
      </c>
      <c r="T5927">
        <v>413.6655911675532</v>
      </c>
      <c r="U5927">
        <v>4</v>
      </c>
      <c r="V5927">
        <v>0.1063394683026584</v>
      </c>
      <c r="W5927">
        <v>0.85</v>
      </c>
      <c r="X5927">
        <v>9.0388548057259641E-2</v>
      </c>
      <c r="Y5927">
        <v>581</v>
      </c>
      <c r="Z5927">
        <v>555.30228470489919</v>
      </c>
      <c r="AA5927">
        <v>198</v>
      </c>
      <c r="AB5927">
        <v>332</v>
      </c>
      <c r="AC5927">
        <v>536</v>
      </c>
      <c r="AD5927">
        <v>26.22</v>
      </c>
      <c r="AE5927">
        <v>542</v>
      </c>
      <c r="AF5927">
        <v>11</v>
      </c>
      <c r="AG5927">
        <v>181</v>
      </c>
      <c r="AH5927">
        <v>129</v>
      </c>
      <c r="AI5927">
        <v>2.0299999999999998</v>
      </c>
      <c r="AJ5927">
        <v>33.39</v>
      </c>
      <c r="AK5927">
        <v>23.8</v>
      </c>
      <c r="AL5927">
        <v>-20.134922099999951</v>
      </c>
      <c r="AM5927">
        <v>-44.909483975879112</v>
      </c>
      <c r="AN5927">
        <v>-20.134922099999951</v>
      </c>
      <c r="AO5927">
        <v>-44.909483975879112</v>
      </c>
      <c r="AP5927">
        <v>-20.134969000000002</v>
      </c>
      <c r="AQ5927">
        <v>-44.909384000000003</v>
      </c>
      <c r="AR5927">
        <v>11.68085867639515</v>
      </c>
      <c r="AS5927" t="s">
        <v>65</v>
      </c>
      <c r="AT5927">
        <v>1</v>
      </c>
      <c r="AU5927" t="s">
        <v>1362</v>
      </c>
      <c r="AV5927" t="s">
        <v>1363</v>
      </c>
      <c r="AW5927" t="s">
        <v>60</v>
      </c>
      <c r="AX5927" t="s">
        <v>68</v>
      </c>
      <c r="AY5927" t="s">
        <v>69</v>
      </c>
      <c r="AZ5927" t="b">
        <v>1</v>
      </c>
    </row>
    <row r="5928" spans="1:52" x14ac:dyDescent="0.3">
      <c r="A5928" t="s">
        <v>52</v>
      </c>
      <c r="B5928" t="s">
        <v>53</v>
      </c>
      <c r="C5928" t="s">
        <v>54</v>
      </c>
      <c r="D5928" t="s">
        <v>55</v>
      </c>
      <c r="E5928" t="s">
        <v>2281</v>
      </c>
      <c r="F5928" t="s">
        <v>190</v>
      </c>
      <c r="G5928" t="s">
        <v>858</v>
      </c>
      <c r="H5928" t="s">
        <v>859</v>
      </c>
      <c r="I5928" t="s">
        <v>859</v>
      </c>
      <c r="J5928" t="s">
        <v>60</v>
      </c>
      <c r="K5928" t="s">
        <v>462</v>
      </c>
      <c r="L5928" t="s">
        <v>62</v>
      </c>
      <c r="M5928" t="s">
        <v>462</v>
      </c>
      <c r="N5928" t="s">
        <v>860</v>
      </c>
      <c r="O5928" t="s">
        <v>861</v>
      </c>
      <c r="P5928">
        <v>-20.139693999999999</v>
      </c>
      <c r="Q5928">
        <v>-44.911256000000002</v>
      </c>
      <c r="R5928" s="2" t="str">
        <f>HYPERLINK("https://www.google.com/maps?q=-20.1396940,-44.9112560","Abrir no Google Maps")</f>
        <v>Abrir no Google Maps</v>
      </c>
      <c r="S5928">
        <v>3</v>
      </c>
      <c r="T5928">
        <v>380.48036838042862</v>
      </c>
      <c r="U5928">
        <v>4</v>
      </c>
      <c r="V5928">
        <v>0.25958702064896749</v>
      </c>
      <c r="W5928">
        <v>0.85</v>
      </c>
      <c r="X5928">
        <v>0.22064896755162239</v>
      </c>
      <c r="Y5928">
        <v>581</v>
      </c>
      <c r="Z5928">
        <v>374.61146000000178</v>
      </c>
      <c r="AA5928">
        <v>198</v>
      </c>
      <c r="AB5928">
        <v>332</v>
      </c>
      <c r="AC5928">
        <v>536</v>
      </c>
      <c r="AD5928">
        <v>26.22</v>
      </c>
      <c r="AE5928">
        <v>542</v>
      </c>
      <c r="AF5928">
        <v>11</v>
      </c>
      <c r="AG5928">
        <v>181</v>
      </c>
      <c r="AH5928">
        <v>129</v>
      </c>
      <c r="AI5928">
        <v>2.0299999999999998</v>
      </c>
      <c r="AJ5928">
        <v>33.39</v>
      </c>
      <c r="AK5928">
        <v>23.8</v>
      </c>
      <c r="AL5928">
        <v>-20.139768699999959</v>
      </c>
      <c r="AM5928">
        <v>-44.911265351587588</v>
      </c>
      <c r="AN5928">
        <v>-20.139768699999959</v>
      </c>
      <c r="AO5928">
        <v>-44.911265351587588</v>
      </c>
      <c r="AP5928">
        <v>-20.139693999999999</v>
      </c>
      <c r="AQ5928">
        <v>-44.911256000000002</v>
      </c>
      <c r="AR5928">
        <v>8.3728438666521061</v>
      </c>
      <c r="AS5928" t="s">
        <v>65</v>
      </c>
      <c r="AT5928">
        <v>1</v>
      </c>
      <c r="AU5928" t="s">
        <v>862</v>
      </c>
      <c r="AV5928" t="s">
        <v>863</v>
      </c>
      <c r="AW5928" t="s">
        <v>60</v>
      </c>
      <c r="AX5928" t="s">
        <v>68</v>
      </c>
      <c r="AY5928" t="s">
        <v>69</v>
      </c>
      <c r="AZ5928" t="b">
        <v>1</v>
      </c>
    </row>
    <row r="5929" spans="1:52" x14ac:dyDescent="0.3">
      <c r="A5929" t="s">
        <v>52</v>
      </c>
      <c r="B5929" t="s">
        <v>53</v>
      </c>
      <c r="C5929" t="s">
        <v>54</v>
      </c>
      <c r="D5929" t="s">
        <v>55</v>
      </c>
      <c r="E5929" t="s">
        <v>2281</v>
      </c>
      <c r="F5929" t="s">
        <v>190</v>
      </c>
      <c r="G5929" t="s">
        <v>1300</v>
      </c>
      <c r="H5929" t="s">
        <v>1372</v>
      </c>
      <c r="I5929" t="s">
        <v>1372</v>
      </c>
      <c r="J5929" t="s">
        <v>60</v>
      </c>
      <c r="K5929" t="s">
        <v>486</v>
      </c>
      <c r="L5929" t="s">
        <v>62</v>
      </c>
      <c r="M5929" t="s">
        <v>486</v>
      </c>
      <c r="N5929" t="s">
        <v>1303</v>
      </c>
      <c r="O5929" t="s">
        <v>1373</v>
      </c>
      <c r="P5929">
        <v>-20.170458</v>
      </c>
      <c r="Q5929">
        <v>-44.900936000000002</v>
      </c>
      <c r="R5929" s="2" t="str">
        <f>HYPERLINK("https://www.google.com/maps?q=-20.1704580,-44.9009360","Abrir no Google Maps")</f>
        <v>Abrir no Google Maps</v>
      </c>
      <c r="S5929">
        <v>3</v>
      </c>
      <c r="T5929">
        <v>470.55793133653339</v>
      </c>
      <c r="U5929">
        <v>4</v>
      </c>
      <c r="V5929">
        <v>0.1048951048951049</v>
      </c>
      <c r="W5929">
        <v>0.85</v>
      </c>
      <c r="X5929">
        <v>8.9160839160839153E-2</v>
      </c>
      <c r="Y5929">
        <v>578</v>
      </c>
      <c r="Z5929">
        <v>645.48909402437766</v>
      </c>
      <c r="AA5929">
        <v>198</v>
      </c>
      <c r="AB5929">
        <v>332</v>
      </c>
      <c r="AC5929">
        <v>536</v>
      </c>
      <c r="AD5929">
        <v>26.22</v>
      </c>
      <c r="AE5929">
        <v>542</v>
      </c>
      <c r="AF5929">
        <v>11</v>
      </c>
      <c r="AG5929">
        <v>181</v>
      </c>
      <c r="AH5929">
        <v>129</v>
      </c>
      <c r="AI5929">
        <v>2.0299999999999998</v>
      </c>
      <c r="AJ5929">
        <v>33.39</v>
      </c>
      <c r="AK5929">
        <v>23.8</v>
      </c>
      <c r="AL5929">
        <v>-20.17025029999996</v>
      </c>
      <c r="AM5929">
        <v>-44.901067235372473</v>
      </c>
      <c r="AN5929">
        <v>-20.17025029999996</v>
      </c>
      <c r="AO5929">
        <v>-44.901067235372473</v>
      </c>
      <c r="AP5929">
        <v>-20.170458</v>
      </c>
      <c r="AQ5929">
        <v>-44.900936000000002</v>
      </c>
      <c r="AR5929">
        <v>26.88195352459519</v>
      </c>
      <c r="AS5929" t="s">
        <v>65</v>
      </c>
      <c r="AT5929">
        <v>1</v>
      </c>
      <c r="AU5929" t="s">
        <v>1374</v>
      </c>
      <c r="AV5929" t="s">
        <v>1375</v>
      </c>
      <c r="AW5929" t="s">
        <v>60</v>
      </c>
      <c r="AX5929" t="s">
        <v>68</v>
      </c>
      <c r="AY5929" t="s">
        <v>69</v>
      </c>
      <c r="AZ5929" t="b">
        <v>1</v>
      </c>
    </row>
    <row r="5930" spans="1:52" x14ac:dyDescent="0.3">
      <c r="A5930" t="s">
        <v>52</v>
      </c>
      <c r="B5930" t="s">
        <v>53</v>
      </c>
      <c r="C5930" t="s">
        <v>54</v>
      </c>
      <c r="D5930" t="s">
        <v>55</v>
      </c>
      <c r="E5930" t="s">
        <v>2281</v>
      </c>
      <c r="F5930" t="s">
        <v>190</v>
      </c>
      <c r="G5930" t="s">
        <v>1393</v>
      </c>
      <c r="H5930" t="s">
        <v>1394</v>
      </c>
      <c r="I5930" t="s">
        <v>1394</v>
      </c>
      <c r="J5930" t="s">
        <v>60</v>
      </c>
      <c r="K5930" t="s">
        <v>388</v>
      </c>
      <c r="L5930" t="s">
        <v>62</v>
      </c>
      <c r="M5930" t="s">
        <v>388</v>
      </c>
      <c r="N5930" t="s">
        <v>1395</v>
      </c>
      <c r="O5930" t="s">
        <v>1396</v>
      </c>
      <c r="P5930">
        <v>-20.167425000000001</v>
      </c>
      <c r="Q5930">
        <v>-44.907733999999998</v>
      </c>
      <c r="R5930" s="2" t="str">
        <f>HYPERLINK("https://www.google.com/maps?q=-20.1674250,-44.9077340","Abrir no Google Maps")</f>
        <v>Abrir no Google Maps</v>
      </c>
      <c r="S5930">
        <v>3</v>
      </c>
      <c r="T5930">
        <v>424.62372109792739</v>
      </c>
      <c r="U5930">
        <v>4</v>
      </c>
      <c r="V5930">
        <v>0.1059190031152648</v>
      </c>
      <c r="W5930">
        <v>0.85</v>
      </c>
      <c r="X5930">
        <v>9.003115264797508E-2</v>
      </c>
      <c r="Y5930">
        <v>578</v>
      </c>
      <c r="Z5930">
        <v>559.08337206965382</v>
      </c>
      <c r="AA5930">
        <v>198</v>
      </c>
      <c r="AB5930">
        <v>332</v>
      </c>
      <c r="AC5930">
        <v>536</v>
      </c>
      <c r="AD5930">
        <v>26.22</v>
      </c>
      <c r="AE5930">
        <v>542</v>
      </c>
      <c r="AF5930">
        <v>11</v>
      </c>
      <c r="AG5930">
        <v>181</v>
      </c>
      <c r="AH5930">
        <v>129</v>
      </c>
      <c r="AI5930">
        <v>2.0299999999999998</v>
      </c>
      <c r="AJ5930">
        <v>33.39</v>
      </c>
      <c r="AK5930">
        <v>23.8</v>
      </c>
      <c r="AL5930">
        <v>-20.167592099999951</v>
      </c>
      <c r="AM5930">
        <v>-44.907664214502859</v>
      </c>
      <c r="AN5930">
        <v>-20.167592099999951</v>
      </c>
      <c r="AO5930">
        <v>-44.907664214502859</v>
      </c>
      <c r="AP5930">
        <v>-20.167425000000001</v>
      </c>
      <c r="AQ5930">
        <v>-44.907733999999998</v>
      </c>
      <c r="AR5930">
        <v>19.979863459652229</v>
      </c>
      <c r="AS5930" t="s">
        <v>65</v>
      </c>
      <c r="AT5930">
        <v>1</v>
      </c>
      <c r="AU5930" t="s">
        <v>1397</v>
      </c>
      <c r="AV5930" t="s">
        <v>1398</v>
      </c>
      <c r="AW5930" t="s">
        <v>60</v>
      </c>
      <c r="AX5930" t="s">
        <v>68</v>
      </c>
      <c r="AY5930" t="s">
        <v>69</v>
      </c>
      <c r="AZ5930" t="b">
        <v>1</v>
      </c>
    </row>
    <row r="5931" spans="1:52" x14ac:dyDescent="0.3">
      <c r="A5931" t="s">
        <v>52</v>
      </c>
      <c r="B5931" t="s">
        <v>53</v>
      </c>
      <c r="C5931" t="s">
        <v>54</v>
      </c>
      <c r="D5931" t="s">
        <v>55</v>
      </c>
      <c r="E5931" t="s">
        <v>2281</v>
      </c>
      <c r="F5931" t="s">
        <v>190</v>
      </c>
      <c r="G5931" t="s">
        <v>503</v>
      </c>
      <c r="H5931" t="s">
        <v>504</v>
      </c>
      <c r="I5931" t="s">
        <v>504</v>
      </c>
      <c r="J5931" t="s">
        <v>60</v>
      </c>
      <c r="K5931" t="s">
        <v>505</v>
      </c>
      <c r="L5931" t="s">
        <v>62</v>
      </c>
      <c r="M5931" t="s">
        <v>505</v>
      </c>
      <c r="N5931" t="s">
        <v>506</v>
      </c>
      <c r="O5931" t="s">
        <v>507</v>
      </c>
      <c r="P5931">
        <v>-20.131428</v>
      </c>
      <c r="Q5931">
        <v>-44.888921000000003</v>
      </c>
      <c r="R5931" s="2" t="str">
        <f>HYPERLINK("https://www.google.com/maps?q=-20.1314280,-44.8889210","Abrir no Google Maps")</f>
        <v>Abrir no Google Maps</v>
      </c>
      <c r="S5931">
        <v>3</v>
      </c>
      <c r="T5931">
        <v>250.64150698244501</v>
      </c>
      <c r="U5931">
        <v>4</v>
      </c>
      <c r="V5931">
        <v>9.3663911845730002E-2</v>
      </c>
      <c r="W5931">
        <v>1</v>
      </c>
      <c r="X5931">
        <v>9.3663911845730002E-2</v>
      </c>
      <c r="Y5931">
        <v>564</v>
      </c>
      <c r="Z5931">
        <v>189.93933888952441</v>
      </c>
      <c r="AA5931">
        <v>198</v>
      </c>
      <c r="AB5931">
        <v>332</v>
      </c>
      <c r="AC5931">
        <v>536</v>
      </c>
      <c r="AD5931">
        <v>26.22</v>
      </c>
      <c r="AE5931">
        <v>542</v>
      </c>
      <c r="AF5931">
        <v>11</v>
      </c>
      <c r="AG5931">
        <v>181</v>
      </c>
      <c r="AH5931">
        <v>129</v>
      </c>
      <c r="AI5931">
        <v>2.0299999999999998</v>
      </c>
      <c r="AJ5931">
        <v>33.39</v>
      </c>
      <c r="AK5931">
        <v>23.8</v>
      </c>
      <c r="AL5931">
        <v>-20.13123589999995</v>
      </c>
      <c r="AM5931">
        <v>-44.888742396501762</v>
      </c>
      <c r="AN5931">
        <v>-20.13123589999995</v>
      </c>
      <c r="AO5931">
        <v>-44.888742396501762</v>
      </c>
      <c r="AP5931">
        <v>-20.131428</v>
      </c>
      <c r="AQ5931">
        <v>-44.888921000000003</v>
      </c>
      <c r="AR5931">
        <v>28.386169462917032</v>
      </c>
      <c r="AS5931" t="s">
        <v>65</v>
      </c>
      <c r="AT5931">
        <v>1</v>
      </c>
      <c r="AU5931" t="s">
        <v>508</v>
      </c>
      <c r="AV5931" t="s">
        <v>509</v>
      </c>
      <c r="AW5931" t="s">
        <v>60</v>
      </c>
      <c r="AX5931" t="s">
        <v>68</v>
      </c>
      <c r="AY5931" t="s">
        <v>69</v>
      </c>
      <c r="AZ5931" t="b">
        <v>1</v>
      </c>
    </row>
    <row r="5932" spans="1:52" x14ac:dyDescent="0.3">
      <c r="A5932" t="s">
        <v>52</v>
      </c>
      <c r="B5932" t="s">
        <v>53</v>
      </c>
      <c r="C5932" t="s">
        <v>54</v>
      </c>
      <c r="D5932" t="s">
        <v>55</v>
      </c>
      <c r="E5932" t="s">
        <v>2281</v>
      </c>
      <c r="F5932" t="s">
        <v>190</v>
      </c>
      <c r="G5932" t="s">
        <v>516</v>
      </c>
      <c r="H5932" t="s">
        <v>517</v>
      </c>
      <c r="I5932" t="s">
        <v>517</v>
      </c>
      <c r="J5932" t="s">
        <v>60</v>
      </c>
      <c r="K5932" t="s">
        <v>518</v>
      </c>
      <c r="L5932" t="s">
        <v>62</v>
      </c>
      <c r="M5932" t="s">
        <v>518</v>
      </c>
      <c r="N5932" t="s">
        <v>519</v>
      </c>
      <c r="O5932" t="s">
        <v>520</v>
      </c>
      <c r="P5932">
        <v>-20.124502</v>
      </c>
      <c r="Q5932">
        <v>-44.888424000000001</v>
      </c>
      <c r="R5932" s="2" t="str">
        <f>HYPERLINK("https://www.google.com/maps?q=-20.1245020,-44.8884240","Abrir no Google Maps")</f>
        <v>Abrir no Google Maps</v>
      </c>
      <c r="S5932">
        <v>3</v>
      </c>
      <c r="T5932">
        <v>483.42298121929559</v>
      </c>
      <c r="U5932">
        <v>4</v>
      </c>
      <c r="V5932">
        <v>0.1844262295081967</v>
      </c>
      <c r="W5932">
        <v>1</v>
      </c>
      <c r="X5932">
        <v>0.1844262295081967</v>
      </c>
      <c r="Y5932">
        <v>564</v>
      </c>
      <c r="Z5932">
        <v>565.43074237076587</v>
      </c>
      <c r="AA5932">
        <v>198</v>
      </c>
      <c r="AB5932">
        <v>332</v>
      </c>
      <c r="AC5932">
        <v>536</v>
      </c>
      <c r="AD5932">
        <v>26.22</v>
      </c>
      <c r="AE5932">
        <v>542</v>
      </c>
      <c r="AF5932">
        <v>11</v>
      </c>
      <c r="AG5932">
        <v>181</v>
      </c>
      <c r="AH5932">
        <v>129</v>
      </c>
      <c r="AI5932">
        <v>2.0299999999999998</v>
      </c>
      <c r="AJ5932">
        <v>33.39</v>
      </c>
      <c r="AK5932">
        <v>23.8</v>
      </c>
      <c r="AL5932">
        <v>-20.124624949999941</v>
      </c>
      <c r="AM5932">
        <v>-44.888432821777258</v>
      </c>
      <c r="AN5932">
        <v>-20.124624949999941</v>
      </c>
      <c r="AO5932">
        <v>-44.888432821777258</v>
      </c>
      <c r="AP5932">
        <v>-20.124502</v>
      </c>
      <c r="AQ5932">
        <v>-44.888424000000001</v>
      </c>
      <c r="AR5932">
        <v>13.717819333897451</v>
      </c>
      <c r="AS5932" t="s">
        <v>65</v>
      </c>
      <c r="AT5932">
        <v>1</v>
      </c>
      <c r="AU5932" t="s">
        <v>521</v>
      </c>
      <c r="AV5932" t="s">
        <v>522</v>
      </c>
      <c r="AW5932" t="s">
        <v>60</v>
      </c>
      <c r="AX5932" t="s">
        <v>68</v>
      </c>
      <c r="AY5932" t="s">
        <v>69</v>
      </c>
      <c r="AZ5932" t="b">
        <v>1</v>
      </c>
    </row>
    <row r="5933" spans="1:52" x14ac:dyDescent="0.3">
      <c r="A5933" t="s">
        <v>52</v>
      </c>
      <c r="B5933" t="s">
        <v>53</v>
      </c>
      <c r="C5933" t="s">
        <v>54</v>
      </c>
      <c r="D5933" t="s">
        <v>55</v>
      </c>
      <c r="E5933" t="s">
        <v>2281</v>
      </c>
      <c r="F5933" t="s">
        <v>190</v>
      </c>
      <c r="G5933" t="s">
        <v>879</v>
      </c>
      <c r="H5933" t="s">
        <v>880</v>
      </c>
      <c r="I5933" t="s">
        <v>880</v>
      </c>
      <c r="J5933" t="s">
        <v>60</v>
      </c>
      <c r="K5933" t="s">
        <v>505</v>
      </c>
      <c r="L5933" t="s">
        <v>62</v>
      </c>
      <c r="M5933" t="s">
        <v>505</v>
      </c>
      <c r="N5933" t="s">
        <v>881</v>
      </c>
      <c r="O5933" t="s">
        <v>882</v>
      </c>
      <c r="P5933">
        <v>-20.133452999999999</v>
      </c>
      <c r="Q5933">
        <v>-44.890571999999999</v>
      </c>
      <c r="R5933" s="2" t="str">
        <f>HYPERLINK("https://www.google.com/maps?q=-20.1334530,-44.8905720","Abrir no Google Maps")</f>
        <v>Abrir no Google Maps</v>
      </c>
      <c r="S5933">
        <v>3</v>
      </c>
      <c r="T5933">
        <v>373.51332104809921</v>
      </c>
      <c r="U5933">
        <v>4</v>
      </c>
      <c r="V5933">
        <v>0.10427350427350419</v>
      </c>
      <c r="W5933">
        <v>1</v>
      </c>
      <c r="X5933">
        <v>0.10427350427350419</v>
      </c>
      <c r="Y5933">
        <v>564</v>
      </c>
      <c r="Z5933">
        <v>422.34693311930448</v>
      </c>
      <c r="AA5933">
        <v>198</v>
      </c>
      <c r="AB5933">
        <v>332</v>
      </c>
      <c r="AC5933">
        <v>536</v>
      </c>
      <c r="AD5933">
        <v>26.22</v>
      </c>
      <c r="AE5933">
        <v>542</v>
      </c>
      <c r="AF5933">
        <v>11</v>
      </c>
      <c r="AG5933">
        <v>181</v>
      </c>
      <c r="AH5933">
        <v>129</v>
      </c>
      <c r="AI5933">
        <v>2.0299999999999998</v>
      </c>
      <c r="AJ5933">
        <v>33.39</v>
      </c>
      <c r="AK5933">
        <v>23.8</v>
      </c>
      <c r="AL5933">
        <v>-20.133421549999952</v>
      </c>
      <c r="AM5933">
        <v>-44.890623456009052</v>
      </c>
      <c r="AN5933">
        <v>-20.133421549999952</v>
      </c>
      <c r="AO5933">
        <v>-44.890623456009052</v>
      </c>
      <c r="AP5933">
        <v>-20.133452999999999</v>
      </c>
      <c r="AQ5933">
        <v>-44.890571999999999</v>
      </c>
      <c r="AR5933">
        <v>6.4172139275452773</v>
      </c>
      <c r="AS5933" t="s">
        <v>65</v>
      </c>
      <c r="AT5933">
        <v>1</v>
      </c>
      <c r="AU5933" t="s">
        <v>883</v>
      </c>
      <c r="AV5933" t="s">
        <v>884</v>
      </c>
      <c r="AW5933" t="s">
        <v>60</v>
      </c>
      <c r="AX5933" t="s">
        <v>68</v>
      </c>
      <c r="AY5933" t="s">
        <v>69</v>
      </c>
      <c r="AZ5933" t="b">
        <v>1</v>
      </c>
    </row>
    <row r="5934" spans="1:52" x14ac:dyDescent="0.3">
      <c r="A5934" t="s">
        <v>52</v>
      </c>
      <c r="B5934" t="s">
        <v>53</v>
      </c>
      <c r="C5934" t="s">
        <v>54</v>
      </c>
      <c r="D5934" t="s">
        <v>55</v>
      </c>
      <c r="E5934" t="s">
        <v>2281</v>
      </c>
      <c r="F5934" t="s">
        <v>190</v>
      </c>
      <c r="G5934" t="s">
        <v>815</v>
      </c>
      <c r="H5934" t="s">
        <v>1404</v>
      </c>
      <c r="I5934" t="s">
        <v>1404</v>
      </c>
      <c r="J5934" t="s">
        <v>60</v>
      </c>
      <c r="K5934" t="s">
        <v>512</v>
      </c>
      <c r="L5934" t="s">
        <v>62</v>
      </c>
      <c r="M5934" t="s">
        <v>512</v>
      </c>
      <c r="N5934" t="s">
        <v>817</v>
      </c>
      <c r="O5934" t="s">
        <v>1405</v>
      </c>
      <c r="P5934">
        <v>-20.129069999999999</v>
      </c>
      <c r="Q5934">
        <v>-44.888452000000001</v>
      </c>
      <c r="R5934" s="2" t="str">
        <f>HYPERLINK("https://www.google.com/maps?q=-20.1290700,-44.8884520","Abrir no Google Maps")</f>
        <v>Abrir no Google Maps</v>
      </c>
      <c r="S5934">
        <v>3</v>
      </c>
      <c r="T5934">
        <v>0</v>
      </c>
      <c r="U5934">
        <v>4</v>
      </c>
      <c r="V5934">
        <v>0.12592592592592591</v>
      </c>
      <c r="W5934">
        <v>0.85</v>
      </c>
      <c r="X5934">
        <v>0.107037037037037</v>
      </c>
      <c r="Y5934">
        <v>564</v>
      </c>
      <c r="Z5934">
        <v>95.870354837220688</v>
      </c>
      <c r="AA5934">
        <v>198</v>
      </c>
      <c r="AB5934">
        <v>332</v>
      </c>
      <c r="AC5934">
        <v>536</v>
      </c>
      <c r="AD5934">
        <v>26.22</v>
      </c>
      <c r="AE5934">
        <v>542</v>
      </c>
      <c r="AF5934">
        <v>11</v>
      </c>
      <c r="AG5934">
        <v>181</v>
      </c>
      <c r="AH5934">
        <v>129</v>
      </c>
      <c r="AI5934">
        <v>2.0299999999999998</v>
      </c>
      <c r="AJ5934">
        <v>33.39</v>
      </c>
      <c r="AK5934">
        <v>23.8</v>
      </c>
      <c r="AL5934">
        <v>-20.12899334999997</v>
      </c>
      <c r="AM5934">
        <v>-44.888406102471222</v>
      </c>
      <c r="AN5934">
        <v>-20.12899334999997</v>
      </c>
      <c r="AO5934">
        <v>-44.888406102471222</v>
      </c>
      <c r="AP5934">
        <v>-20.129069999999999</v>
      </c>
      <c r="AQ5934">
        <v>-44.888452000000001</v>
      </c>
      <c r="AR5934">
        <v>9.7887731150376265</v>
      </c>
      <c r="AS5934" t="s">
        <v>65</v>
      </c>
      <c r="AT5934">
        <v>1</v>
      </c>
      <c r="AU5934" t="s">
        <v>1406</v>
      </c>
      <c r="AV5934" t="s">
        <v>1407</v>
      </c>
      <c r="AW5934" t="s">
        <v>60</v>
      </c>
      <c r="AX5934" t="s">
        <v>68</v>
      </c>
      <c r="AY5934" t="s">
        <v>69</v>
      </c>
      <c r="AZ5934" t="b">
        <v>1</v>
      </c>
    </row>
    <row r="5935" spans="1:52" x14ac:dyDescent="0.3">
      <c r="A5935" t="s">
        <v>52</v>
      </c>
      <c r="B5935" t="s">
        <v>53</v>
      </c>
      <c r="C5935" t="s">
        <v>54</v>
      </c>
      <c r="D5935" t="s">
        <v>55</v>
      </c>
      <c r="E5935" t="s">
        <v>2281</v>
      </c>
      <c r="F5935" t="s">
        <v>190</v>
      </c>
      <c r="G5935" t="s">
        <v>523</v>
      </c>
      <c r="H5935" t="s">
        <v>524</v>
      </c>
      <c r="I5935" t="s">
        <v>524</v>
      </c>
      <c r="J5935" t="s">
        <v>60</v>
      </c>
      <c r="K5935" t="s">
        <v>518</v>
      </c>
      <c r="L5935" t="s">
        <v>62</v>
      </c>
      <c r="M5935" t="s">
        <v>518</v>
      </c>
      <c r="N5935" t="s">
        <v>525</v>
      </c>
      <c r="O5935" t="s">
        <v>331</v>
      </c>
      <c r="P5935">
        <v>-20.126553000000001</v>
      </c>
      <c r="Q5935">
        <v>-44.888599999999997</v>
      </c>
      <c r="R5935" s="2" t="str">
        <f>HYPERLINK("https://www.google.com/maps?q=-20.1265530,-44.8886000","Abrir no Google Maps")</f>
        <v>Abrir no Google Maps</v>
      </c>
      <c r="S5935">
        <v>3</v>
      </c>
      <c r="T5935">
        <v>256.34043440603853</v>
      </c>
      <c r="U5935">
        <v>4</v>
      </c>
      <c r="V5935">
        <v>0.1303630363036303</v>
      </c>
      <c r="W5935">
        <v>1</v>
      </c>
      <c r="X5935">
        <v>0.1303630363036303</v>
      </c>
      <c r="Y5935">
        <v>564</v>
      </c>
      <c r="Z5935">
        <v>325.4404273055876</v>
      </c>
      <c r="AA5935">
        <v>198</v>
      </c>
      <c r="AB5935">
        <v>332</v>
      </c>
      <c r="AC5935">
        <v>536</v>
      </c>
      <c r="AD5935">
        <v>26.22</v>
      </c>
      <c r="AE5935">
        <v>542</v>
      </c>
      <c r="AF5935">
        <v>11</v>
      </c>
      <c r="AG5935">
        <v>181</v>
      </c>
      <c r="AH5935">
        <v>129</v>
      </c>
      <c r="AI5935">
        <v>2.0299999999999998</v>
      </c>
      <c r="AJ5935">
        <v>33.39</v>
      </c>
      <c r="AK5935">
        <v>23.8</v>
      </c>
      <c r="AL5935">
        <v>-20.12669049999997</v>
      </c>
      <c r="AM5935">
        <v>-44.888671289876577</v>
      </c>
      <c r="AN5935">
        <v>-20.12669049999997</v>
      </c>
      <c r="AO5935">
        <v>-44.888671289876577</v>
      </c>
      <c r="AP5935">
        <v>-20.126553000000001</v>
      </c>
      <c r="AQ5935">
        <v>-44.888599999999997</v>
      </c>
      <c r="AR5935">
        <v>17.023861591720589</v>
      </c>
      <c r="AS5935" t="s">
        <v>65</v>
      </c>
      <c r="AT5935">
        <v>1</v>
      </c>
      <c r="AU5935" t="s">
        <v>526</v>
      </c>
      <c r="AV5935" t="s">
        <v>527</v>
      </c>
      <c r="AW5935" t="s">
        <v>60</v>
      </c>
      <c r="AX5935" t="s">
        <v>68</v>
      </c>
      <c r="AY5935" t="s">
        <v>69</v>
      </c>
      <c r="AZ5935" t="b">
        <v>1</v>
      </c>
    </row>
    <row r="5936" spans="1:52" x14ac:dyDescent="0.3">
      <c r="A5936" t="s">
        <v>52</v>
      </c>
      <c r="B5936" t="s">
        <v>53</v>
      </c>
      <c r="C5936" t="s">
        <v>54</v>
      </c>
      <c r="D5936" t="s">
        <v>55</v>
      </c>
      <c r="E5936" t="s">
        <v>2281</v>
      </c>
      <c r="F5936" t="s">
        <v>190</v>
      </c>
      <c r="G5936" t="s">
        <v>649</v>
      </c>
      <c r="H5936" t="s">
        <v>885</v>
      </c>
      <c r="I5936" t="s">
        <v>885</v>
      </c>
      <c r="J5936" t="s">
        <v>60</v>
      </c>
      <c r="K5936" t="s">
        <v>886</v>
      </c>
      <c r="L5936" t="s">
        <v>62</v>
      </c>
      <c r="M5936" t="s">
        <v>886</v>
      </c>
      <c r="N5936" t="s">
        <v>652</v>
      </c>
      <c r="O5936" t="s">
        <v>887</v>
      </c>
      <c r="P5936">
        <v>-20.132252000000001</v>
      </c>
      <c r="Q5936">
        <v>-44.894159000000002</v>
      </c>
      <c r="R5936" s="2" t="str">
        <f>HYPERLINK("https://www.google.com/maps?q=-20.1322520,-44.8941590","Abrir no Google Maps")</f>
        <v>Abrir no Google Maps</v>
      </c>
      <c r="S5936">
        <v>3</v>
      </c>
      <c r="T5936">
        <v>699.5004749448899</v>
      </c>
      <c r="U5936">
        <v>4</v>
      </c>
      <c r="V5936">
        <v>0.18124999999999999</v>
      </c>
      <c r="W5936">
        <v>0.85</v>
      </c>
      <c r="X5936">
        <v>0.15406249999999999</v>
      </c>
      <c r="Y5936">
        <v>564</v>
      </c>
      <c r="Z5936">
        <v>522.21103586457991</v>
      </c>
      <c r="AA5936">
        <v>198</v>
      </c>
      <c r="AB5936">
        <v>332</v>
      </c>
      <c r="AC5936">
        <v>536</v>
      </c>
      <c r="AD5936">
        <v>26.22</v>
      </c>
      <c r="AE5936">
        <v>542</v>
      </c>
      <c r="AF5936">
        <v>11</v>
      </c>
      <c r="AG5936">
        <v>181</v>
      </c>
      <c r="AH5936">
        <v>129</v>
      </c>
      <c r="AI5936">
        <v>2.0299999999999998</v>
      </c>
      <c r="AJ5936">
        <v>33.39</v>
      </c>
      <c r="AK5936">
        <v>23.8</v>
      </c>
      <c r="AL5936">
        <v>-20.132285999999969</v>
      </c>
      <c r="AM5936">
        <v>-44.894119001288672</v>
      </c>
      <c r="AN5936">
        <v>-20.132285999999969</v>
      </c>
      <c r="AO5936">
        <v>-44.894119001288672</v>
      </c>
      <c r="AP5936">
        <v>-20.132252000000001</v>
      </c>
      <c r="AQ5936">
        <v>-44.894159000000002</v>
      </c>
      <c r="AR5936">
        <v>5.6393921063261629</v>
      </c>
      <c r="AS5936" t="s">
        <v>65</v>
      </c>
      <c r="AT5936">
        <v>1</v>
      </c>
      <c r="AU5936" t="s">
        <v>888</v>
      </c>
      <c r="AV5936" t="s">
        <v>889</v>
      </c>
      <c r="AW5936" t="s">
        <v>60</v>
      </c>
      <c r="AX5936" t="s">
        <v>68</v>
      </c>
      <c r="AY5936" t="s">
        <v>69</v>
      </c>
      <c r="AZ5936" t="b">
        <v>1</v>
      </c>
    </row>
    <row r="5937" spans="1:52" x14ac:dyDescent="0.3">
      <c r="A5937" t="s">
        <v>52</v>
      </c>
      <c r="B5937" t="s">
        <v>53</v>
      </c>
      <c r="C5937" t="s">
        <v>54</v>
      </c>
      <c r="D5937" t="s">
        <v>55</v>
      </c>
      <c r="E5937" t="s">
        <v>2281</v>
      </c>
      <c r="F5937" t="s">
        <v>190</v>
      </c>
      <c r="G5937" t="s">
        <v>528</v>
      </c>
      <c r="H5937" t="s">
        <v>529</v>
      </c>
      <c r="I5937" t="s">
        <v>529</v>
      </c>
      <c r="J5937" t="s">
        <v>60</v>
      </c>
      <c r="K5937" t="s">
        <v>530</v>
      </c>
      <c r="L5937" t="s">
        <v>62</v>
      </c>
      <c r="M5937" t="s">
        <v>530</v>
      </c>
      <c r="N5937" t="s">
        <v>531</v>
      </c>
      <c r="O5937" t="s">
        <v>532</v>
      </c>
      <c r="P5937">
        <v>-20.142457</v>
      </c>
      <c r="Q5937">
        <v>-44.891688000000002</v>
      </c>
      <c r="R5937" s="2" t="str">
        <f>HYPERLINK("https://www.google.com/maps?q=-20.1424570,-44.8916880","Abrir no Google Maps")</f>
        <v>Abrir no Google Maps</v>
      </c>
      <c r="S5937">
        <v>3</v>
      </c>
      <c r="T5937">
        <v>0</v>
      </c>
      <c r="U5937">
        <v>4</v>
      </c>
      <c r="V5937">
        <v>0.32876712328767121</v>
      </c>
      <c r="W5937">
        <v>1</v>
      </c>
      <c r="X5937">
        <v>0.32876712328767121</v>
      </c>
      <c r="Y5937">
        <v>557</v>
      </c>
      <c r="Z5937">
        <v>42.611952255679803</v>
      </c>
      <c r="AA5937">
        <v>198</v>
      </c>
      <c r="AB5937">
        <v>332</v>
      </c>
      <c r="AC5937">
        <v>536</v>
      </c>
      <c r="AD5937">
        <v>26.22</v>
      </c>
      <c r="AE5937">
        <v>542</v>
      </c>
      <c r="AF5937">
        <v>11</v>
      </c>
      <c r="AG5937">
        <v>181</v>
      </c>
      <c r="AH5937">
        <v>129</v>
      </c>
      <c r="AI5937">
        <v>2.0299999999999998</v>
      </c>
      <c r="AJ5937">
        <v>33.39</v>
      </c>
      <c r="AK5937">
        <v>23.8</v>
      </c>
      <c r="AL5937">
        <v>-20.142523099999948</v>
      </c>
      <c r="AM5937">
        <v>-44.891523817588819</v>
      </c>
      <c r="AN5937">
        <v>-20.142523099999948</v>
      </c>
      <c r="AO5937">
        <v>-44.891523817588819</v>
      </c>
      <c r="AP5937">
        <v>-20.142457</v>
      </c>
      <c r="AQ5937">
        <v>-44.891688000000002</v>
      </c>
      <c r="AR5937">
        <v>18.670129248632971</v>
      </c>
      <c r="AS5937" t="s">
        <v>65</v>
      </c>
      <c r="AT5937">
        <v>1</v>
      </c>
      <c r="AU5937" t="s">
        <v>533</v>
      </c>
      <c r="AV5937" t="s">
        <v>534</v>
      </c>
      <c r="AW5937" t="s">
        <v>60</v>
      </c>
      <c r="AX5937" t="s">
        <v>68</v>
      </c>
      <c r="AY5937" t="s">
        <v>69</v>
      </c>
      <c r="AZ5937" t="b">
        <v>1</v>
      </c>
    </row>
    <row r="5938" spans="1:52" x14ac:dyDescent="0.3">
      <c r="A5938" t="s">
        <v>52</v>
      </c>
      <c r="B5938" t="s">
        <v>53</v>
      </c>
      <c r="C5938" t="s">
        <v>54</v>
      </c>
      <c r="D5938" t="s">
        <v>55</v>
      </c>
      <c r="E5938" t="s">
        <v>2281</v>
      </c>
      <c r="F5938" t="s">
        <v>190</v>
      </c>
      <c r="G5938" t="s">
        <v>535</v>
      </c>
      <c r="H5938" t="s">
        <v>536</v>
      </c>
      <c r="I5938" t="s">
        <v>536</v>
      </c>
      <c r="J5938" t="s">
        <v>60</v>
      </c>
      <c r="K5938" t="s">
        <v>388</v>
      </c>
      <c r="L5938" t="s">
        <v>62</v>
      </c>
      <c r="M5938" t="s">
        <v>388</v>
      </c>
      <c r="N5938" t="s">
        <v>537</v>
      </c>
      <c r="O5938" t="s">
        <v>538</v>
      </c>
      <c r="P5938">
        <v>-20.150061999999998</v>
      </c>
      <c r="Q5938">
        <v>-44.903379000000001</v>
      </c>
      <c r="R5938" s="2" t="str">
        <f>HYPERLINK("https://www.google.com/maps?q=-20.1500620,-44.9033790","Abrir no Google Maps")</f>
        <v>Abrir no Google Maps</v>
      </c>
      <c r="S5938">
        <v>3</v>
      </c>
      <c r="T5938">
        <v>286.20313674219977</v>
      </c>
      <c r="U5938">
        <v>4</v>
      </c>
      <c r="V5938">
        <v>0.18644067796610159</v>
      </c>
      <c r="W5938">
        <v>1</v>
      </c>
      <c r="X5938">
        <v>0.18644067796610159</v>
      </c>
      <c r="Y5938">
        <v>556</v>
      </c>
      <c r="Z5938">
        <v>315.81851898667401</v>
      </c>
      <c r="AA5938">
        <v>198</v>
      </c>
      <c r="AB5938">
        <v>332</v>
      </c>
      <c r="AC5938">
        <v>536</v>
      </c>
      <c r="AD5938">
        <v>26.22</v>
      </c>
      <c r="AE5938">
        <v>542</v>
      </c>
      <c r="AF5938">
        <v>11</v>
      </c>
      <c r="AG5938">
        <v>181</v>
      </c>
      <c r="AH5938">
        <v>129</v>
      </c>
      <c r="AI5938">
        <v>2.0299999999999998</v>
      </c>
      <c r="AJ5938">
        <v>33.39</v>
      </c>
      <c r="AK5938">
        <v>23.8</v>
      </c>
      <c r="AL5938">
        <v>-20.150084299999971</v>
      </c>
      <c r="AM5938">
        <v>-44.903278407568479</v>
      </c>
      <c r="AN5938">
        <v>-20.150084299999971</v>
      </c>
      <c r="AO5938">
        <v>-44.903278407568479</v>
      </c>
      <c r="AP5938">
        <v>-20.150061999999998</v>
      </c>
      <c r="AQ5938">
        <v>-44.903379000000001</v>
      </c>
      <c r="AR5938">
        <v>10.801687336134639</v>
      </c>
      <c r="AS5938" t="s">
        <v>65</v>
      </c>
      <c r="AT5938">
        <v>1</v>
      </c>
      <c r="AU5938" t="s">
        <v>539</v>
      </c>
      <c r="AV5938" t="s">
        <v>540</v>
      </c>
      <c r="AW5938" t="s">
        <v>60</v>
      </c>
      <c r="AX5938" t="s">
        <v>68</v>
      </c>
      <c r="AY5938" t="s">
        <v>69</v>
      </c>
      <c r="AZ5938" t="b">
        <v>1</v>
      </c>
    </row>
    <row r="5939" spans="1:52" x14ac:dyDescent="0.3">
      <c r="A5939" t="s">
        <v>52</v>
      </c>
      <c r="B5939" t="s">
        <v>53</v>
      </c>
      <c r="C5939" t="s">
        <v>54</v>
      </c>
      <c r="D5939" t="s">
        <v>55</v>
      </c>
      <c r="E5939" t="s">
        <v>2281</v>
      </c>
      <c r="F5939" t="s">
        <v>190</v>
      </c>
      <c r="G5939" t="s">
        <v>398</v>
      </c>
      <c r="H5939" t="s">
        <v>541</v>
      </c>
      <c r="I5939" t="s">
        <v>541</v>
      </c>
      <c r="J5939" t="s">
        <v>60</v>
      </c>
      <c r="K5939" t="s">
        <v>388</v>
      </c>
      <c r="L5939" t="s">
        <v>62</v>
      </c>
      <c r="M5939" t="s">
        <v>388</v>
      </c>
      <c r="N5939" t="s">
        <v>400</v>
      </c>
      <c r="O5939" t="s">
        <v>542</v>
      </c>
      <c r="P5939">
        <v>-20.151335</v>
      </c>
      <c r="Q5939">
        <v>-44.901041999999997</v>
      </c>
      <c r="R5939" s="2" t="str">
        <f>HYPERLINK("https://www.google.com/maps?q=-20.1513350,-44.9010420","Abrir no Google Maps")</f>
        <v>Abrir no Google Maps</v>
      </c>
      <c r="S5939">
        <v>3</v>
      </c>
      <c r="T5939">
        <v>0</v>
      </c>
      <c r="U5939">
        <v>4</v>
      </c>
      <c r="V5939">
        <v>0.1333333333333333</v>
      </c>
      <c r="W5939">
        <v>1</v>
      </c>
      <c r="X5939">
        <v>0.1333333333333333</v>
      </c>
      <c r="Y5939">
        <v>556</v>
      </c>
      <c r="Z5939">
        <v>137.71609036908939</v>
      </c>
      <c r="AA5939">
        <v>198</v>
      </c>
      <c r="AB5939">
        <v>332</v>
      </c>
      <c r="AC5939">
        <v>536</v>
      </c>
      <c r="AD5939">
        <v>26.22</v>
      </c>
      <c r="AE5939">
        <v>542</v>
      </c>
      <c r="AF5939">
        <v>11</v>
      </c>
      <c r="AG5939">
        <v>181</v>
      </c>
      <c r="AH5939">
        <v>129</v>
      </c>
      <c r="AI5939">
        <v>2.0299999999999998</v>
      </c>
      <c r="AJ5939">
        <v>33.39</v>
      </c>
      <c r="AK5939">
        <v>23.8</v>
      </c>
      <c r="AL5939">
        <v>-20.15125899999995</v>
      </c>
      <c r="AM5939">
        <v>-44.900838557594433</v>
      </c>
      <c r="AN5939">
        <v>-20.15125899999995</v>
      </c>
      <c r="AO5939">
        <v>-44.900838557594433</v>
      </c>
      <c r="AP5939">
        <v>-20.151335</v>
      </c>
      <c r="AQ5939">
        <v>-44.901041999999997</v>
      </c>
      <c r="AR5939">
        <v>22.882363139483491</v>
      </c>
      <c r="AS5939" t="s">
        <v>65</v>
      </c>
      <c r="AT5939">
        <v>1</v>
      </c>
      <c r="AU5939" t="s">
        <v>543</v>
      </c>
      <c r="AV5939" t="s">
        <v>544</v>
      </c>
      <c r="AW5939" t="s">
        <v>60</v>
      </c>
      <c r="AX5939" t="s">
        <v>68</v>
      </c>
      <c r="AY5939" t="s">
        <v>69</v>
      </c>
      <c r="AZ5939" t="b">
        <v>1</v>
      </c>
    </row>
    <row r="5940" spans="1:52" x14ac:dyDescent="0.3">
      <c r="A5940" t="s">
        <v>52</v>
      </c>
      <c r="B5940" t="s">
        <v>53</v>
      </c>
      <c r="C5940" t="s">
        <v>54</v>
      </c>
      <c r="D5940" t="s">
        <v>55</v>
      </c>
      <c r="E5940" t="s">
        <v>2281</v>
      </c>
      <c r="F5940" t="s">
        <v>190</v>
      </c>
      <c r="G5940" t="s">
        <v>545</v>
      </c>
      <c r="H5940" t="s">
        <v>546</v>
      </c>
      <c r="I5940" t="s">
        <v>546</v>
      </c>
      <c r="J5940" t="s">
        <v>60</v>
      </c>
      <c r="K5940" t="s">
        <v>388</v>
      </c>
      <c r="L5940" t="s">
        <v>62</v>
      </c>
      <c r="M5940" t="s">
        <v>388</v>
      </c>
      <c r="N5940" t="s">
        <v>547</v>
      </c>
      <c r="O5940" t="s">
        <v>548</v>
      </c>
      <c r="P5940">
        <v>-20.155839</v>
      </c>
      <c r="Q5940">
        <v>-44.905655000000003</v>
      </c>
      <c r="R5940" s="2" t="str">
        <f>HYPERLINK("https://www.google.com/maps?q=-20.1558390,-44.9056550","Abrir no Google Maps")</f>
        <v>Abrir no Google Maps</v>
      </c>
      <c r="S5940">
        <v>3</v>
      </c>
      <c r="T5940">
        <v>309.7643089121122</v>
      </c>
      <c r="U5940">
        <v>4</v>
      </c>
      <c r="V5940">
        <v>0.12575757575757571</v>
      </c>
      <c r="W5940">
        <v>1</v>
      </c>
      <c r="X5940">
        <v>0.12575757575757571</v>
      </c>
      <c r="Y5940">
        <v>548</v>
      </c>
      <c r="Z5940">
        <v>284.24281731793161</v>
      </c>
      <c r="AA5940">
        <v>198</v>
      </c>
      <c r="AB5940">
        <v>332</v>
      </c>
      <c r="AC5940">
        <v>536</v>
      </c>
      <c r="AD5940">
        <v>26.22</v>
      </c>
      <c r="AE5940">
        <v>542</v>
      </c>
      <c r="AF5940">
        <v>11</v>
      </c>
      <c r="AG5940">
        <v>181</v>
      </c>
      <c r="AH5940">
        <v>129</v>
      </c>
      <c r="AI5940">
        <v>2.0299999999999998</v>
      </c>
      <c r="AJ5940">
        <v>33.39</v>
      </c>
      <c r="AK5940">
        <v>23.8</v>
      </c>
      <c r="AL5940">
        <v>-20.155913549999951</v>
      </c>
      <c r="AM5940">
        <v>-44.905554508392683</v>
      </c>
      <c r="AN5940">
        <v>-20.155913549999951</v>
      </c>
      <c r="AO5940">
        <v>-44.905554508392669</v>
      </c>
      <c r="AP5940">
        <v>-20.155839</v>
      </c>
      <c r="AQ5940">
        <v>-44.905655000000003</v>
      </c>
      <c r="AR5940">
        <v>13.384922093797449</v>
      </c>
      <c r="AS5940" t="s">
        <v>65</v>
      </c>
      <c r="AT5940">
        <v>1</v>
      </c>
      <c r="AU5940" t="s">
        <v>549</v>
      </c>
      <c r="AV5940" t="s">
        <v>550</v>
      </c>
      <c r="AW5940" t="s">
        <v>60</v>
      </c>
      <c r="AX5940" t="s">
        <v>68</v>
      </c>
      <c r="AY5940" t="s">
        <v>69</v>
      </c>
      <c r="AZ5940" t="b">
        <v>1</v>
      </c>
    </row>
    <row r="5941" spans="1:52" x14ac:dyDescent="0.3">
      <c r="A5941" t="s">
        <v>52</v>
      </c>
      <c r="B5941" t="s">
        <v>53</v>
      </c>
      <c r="C5941" t="s">
        <v>54</v>
      </c>
      <c r="D5941" t="s">
        <v>55</v>
      </c>
      <c r="E5941" t="s">
        <v>2281</v>
      </c>
      <c r="F5941" t="s">
        <v>190</v>
      </c>
      <c r="G5941" t="s">
        <v>551</v>
      </c>
      <c r="H5941" t="s">
        <v>552</v>
      </c>
      <c r="I5941" t="s">
        <v>552</v>
      </c>
      <c r="J5941" t="s">
        <v>60</v>
      </c>
      <c r="K5941" t="s">
        <v>388</v>
      </c>
      <c r="L5941" t="s">
        <v>62</v>
      </c>
      <c r="M5941" t="s">
        <v>388</v>
      </c>
      <c r="N5941" t="s">
        <v>553</v>
      </c>
      <c r="O5941" t="s">
        <v>315</v>
      </c>
      <c r="P5941">
        <v>-20.153086999999999</v>
      </c>
      <c r="Q5941">
        <v>-44.905451999999997</v>
      </c>
      <c r="R5941" s="2" t="str">
        <f>HYPERLINK("https://www.google.com/maps?q=-20.1530870,-44.9054520","Abrir no Google Maps")</f>
        <v>Abrir no Google Maps</v>
      </c>
      <c r="S5941">
        <v>3</v>
      </c>
      <c r="T5941">
        <v>313.69387682409018</v>
      </c>
      <c r="U5941">
        <v>4</v>
      </c>
      <c r="V5941">
        <v>0.1228070175438596</v>
      </c>
      <c r="W5941">
        <v>1</v>
      </c>
      <c r="X5941">
        <v>0.1228070175438596</v>
      </c>
      <c r="Y5941">
        <v>548</v>
      </c>
      <c r="Z5941">
        <v>319.51605309906859</v>
      </c>
      <c r="AA5941">
        <v>198</v>
      </c>
      <c r="AB5941">
        <v>332</v>
      </c>
      <c r="AC5941">
        <v>536</v>
      </c>
      <c r="AD5941">
        <v>26.22</v>
      </c>
      <c r="AE5941">
        <v>542</v>
      </c>
      <c r="AF5941">
        <v>11</v>
      </c>
      <c r="AG5941">
        <v>181</v>
      </c>
      <c r="AH5941">
        <v>129</v>
      </c>
      <c r="AI5941">
        <v>2.0299999999999998</v>
      </c>
      <c r="AJ5941">
        <v>33.39</v>
      </c>
      <c r="AK5941">
        <v>23.8</v>
      </c>
      <c r="AL5941">
        <v>-20.153043049999951</v>
      </c>
      <c r="AM5941">
        <v>-44.905348275899513</v>
      </c>
      <c r="AN5941">
        <v>-20.153043049999951</v>
      </c>
      <c r="AO5941">
        <v>-44.905348275899513</v>
      </c>
      <c r="AP5941">
        <v>-20.153086999999999</v>
      </c>
      <c r="AQ5941">
        <v>-44.905451999999997</v>
      </c>
      <c r="AR5941">
        <v>11.892619975648341</v>
      </c>
      <c r="AS5941" t="s">
        <v>65</v>
      </c>
      <c r="AT5941">
        <v>1</v>
      </c>
      <c r="AU5941" t="s">
        <v>554</v>
      </c>
      <c r="AV5941" t="s">
        <v>555</v>
      </c>
      <c r="AW5941" t="s">
        <v>60</v>
      </c>
      <c r="AX5941" t="s">
        <v>68</v>
      </c>
      <c r="AY5941" t="s">
        <v>69</v>
      </c>
      <c r="AZ5941" t="b">
        <v>1</v>
      </c>
    </row>
    <row r="5942" spans="1:52" x14ac:dyDescent="0.3">
      <c r="A5942" t="s">
        <v>52</v>
      </c>
      <c r="B5942" t="s">
        <v>53</v>
      </c>
      <c r="C5942" t="s">
        <v>54</v>
      </c>
      <c r="D5942" t="s">
        <v>55</v>
      </c>
      <c r="E5942" t="s">
        <v>2281</v>
      </c>
      <c r="F5942" t="s">
        <v>190</v>
      </c>
      <c r="G5942" t="s">
        <v>556</v>
      </c>
      <c r="H5942" t="s">
        <v>557</v>
      </c>
      <c r="I5942" t="s">
        <v>557</v>
      </c>
      <c r="J5942" t="s">
        <v>60</v>
      </c>
      <c r="K5942" t="s">
        <v>388</v>
      </c>
      <c r="L5942" t="s">
        <v>62</v>
      </c>
      <c r="M5942" t="s">
        <v>388</v>
      </c>
      <c r="N5942" t="s">
        <v>558</v>
      </c>
      <c r="O5942" t="s">
        <v>559</v>
      </c>
      <c r="P5942">
        <v>-20.152670000000001</v>
      </c>
      <c r="Q5942">
        <v>-44.902557999999999</v>
      </c>
      <c r="R5942" s="2" t="str">
        <f>HYPERLINK("https://www.google.com/maps?q=-20.1526700,-44.9025580","Abrir no Google Maps")</f>
        <v>Abrir no Google Maps</v>
      </c>
      <c r="S5942">
        <v>3</v>
      </c>
      <c r="T5942">
        <v>228.56195217678911</v>
      </c>
      <c r="U5942">
        <v>4</v>
      </c>
      <c r="V5942">
        <v>0.1062271062271062</v>
      </c>
      <c r="W5942">
        <v>1</v>
      </c>
      <c r="X5942">
        <v>0.1062271062271062</v>
      </c>
      <c r="Y5942">
        <v>548</v>
      </c>
      <c r="Z5942">
        <v>250.63133895224919</v>
      </c>
      <c r="AA5942">
        <v>198</v>
      </c>
      <c r="AB5942">
        <v>332</v>
      </c>
      <c r="AC5942">
        <v>536</v>
      </c>
      <c r="AD5942">
        <v>26.22</v>
      </c>
      <c r="AE5942">
        <v>542</v>
      </c>
      <c r="AF5942">
        <v>11</v>
      </c>
      <c r="AG5942">
        <v>181</v>
      </c>
      <c r="AH5942">
        <v>129</v>
      </c>
      <c r="AI5942">
        <v>2.0299999999999998</v>
      </c>
      <c r="AJ5942">
        <v>33.39</v>
      </c>
      <c r="AK5942">
        <v>23.8</v>
      </c>
      <c r="AL5942">
        <v>-20.152629799999939</v>
      </c>
      <c r="AM5942">
        <v>-44.902604744705201</v>
      </c>
      <c r="AN5942">
        <v>-20.152629799999939</v>
      </c>
      <c r="AO5942">
        <v>-44.902604744705201</v>
      </c>
      <c r="AP5942">
        <v>-20.152670000000001</v>
      </c>
      <c r="AQ5942">
        <v>-44.902557999999999</v>
      </c>
      <c r="AR5942">
        <v>6.6249428037111509</v>
      </c>
      <c r="AS5942" t="s">
        <v>65</v>
      </c>
      <c r="AT5942">
        <v>1</v>
      </c>
      <c r="AU5942" t="s">
        <v>560</v>
      </c>
      <c r="AV5942" t="s">
        <v>561</v>
      </c>
      <c r="AW5942" t="s">
        <v>60</v>
      </c>
      <c r="AX5942" t="s">
        <v>68</v>
      </c>
      <c r="AY5942" t="s">
        <v>69</v>
      </c>
      <c r="AZ5942" t="b">
        <v>1</v>
      </c>
    </row>
    <row r="5943" spans="1:52" x14ac:dyDescent="0.3">
      <c r="A5943" t="s">
        <v>52</v>
      </c>
      <c r="B5943" t="s">
        <v>53</v>
      </c>
      <c r="C5943" t="s">
        <v>54</v>
      </c>
      <c r="D5943" t="s">
        <v>55</v>
      </c>
      <c r="E5943" t="s">
        <v>2281</v>
      </c>
      <c r="F5943" t="s">
        <v>190</v>
      </c>
      <c r="G5943" t="s">
        <v>562</v>
      </c>
      <c r="H5943" t="s">
        <v>563</v>
      </c>
      <c r="I5943" t="s">
        <v>563</v>
      </c>
      <c r="J5943" t="s">
        <v>60</v>
      </c>
      <c r="K5943" t="s">
        <v>388</v>
      </c>
      <c r="L5943" t="s">
        <v>62</v>
      </c>
      <c r="M5943" t="s">
        <v>388</v>
      </c>
      <c r="N5943" t="s">
        <v>564</v>
      </c>
      <c r="O5943" t="s">
        <v>565</v>
      </c>
      <c r="P5943">
        <v>-20.154432</v>
      </c>
      <c r="Q5943">
        <v>-44.902977999999997</v>
      </c>
      <c r="R5943" s="2" t="str">
        <f>HYPERLINK("https://www.google.com/maps?q=-20.1544320,-44.9029780","Abrir no Google Maps")</f>
        <v>Abrir no Google Maps</v>
      </c>
      <c r="S5943">
        <v>3</v>
      </c>
      <c r="T5943">
        <v>0</v>
      </c>
      <c r="U5943">
        <v>4</v>
      </c>
      <c r="V5943">
        <v>0.15660919540229881</v>
      </c>
      <c r="W5943">
        <v>1</v>
      </c>
      <c r="X5943">
        <v>0.15660919540229881</v>
      </c>
      <c r="Y5943">
        <v>548</v>
      </c>
      <c r="Z5943">
        <v>29.424211042533759</v>
      </c>
      <c r="AA5943">
        <v>198</v>
      </c>
      <c r="AB5943">
        <v>332</v>
      </c>
      <c r="AC5943">
        <v>536</v>
      </c>
      <c r="AD5943">
        <v>26.22</v>
      </c>
      <c r="AE5943">
        <v>542</v>
      </c>
      <c r="AF5943">
        <v>11</v>
      </c>
      <c r="AG5943">
        <v>181</v>
      </c>
      <c r="AH5943">
        <v>129</v>
      </c>
      <c r="AI5943">
        <v>2.0299999999999998</v>
      </c>
      <c r="AJ5943">
        <v>33.39</v>
      </c>
      <c r="AK5943">
        <v>23.8</v>
      </c>
      <c r="AL5943">
        <v>-20.15467689999997</v>
      </c>
      <c r="AM5943">
        <v>-44.902895281771222</v>
      </c>
      <c r="AN5943">
        <v>-20.15467689999997</v>
      </c>
      <c r="AO5943">
        <v>-44.902895281771222</v>
      </c>
      <c r="AP5943">
        <v>-20.154432</v>
      </c>
      <c r="AQ5943">
        <v>-44.902977999999997</v>
      </c>
      <c r="AR5943">
        <v>28.5999270636025</v>
      </c>
      <c r="AS5943" t="s">
        <v>65</v>
      </c>
      <c r="AT5943">
        <v>1</v>
      </c>
      <c r="AU5943" t="s">
        <v>566</v>
      </c>
      <c r="AV5943" t="s">
        <v>567</v>
      </c>
      <c r="AW5943" t="s">
        <v>60</v>
      </c>
      <c r="AX5943" t="s">
        <v>68</v>
      </c>
      <c r="AY5943" t="s">
        <v>69</v>
      </c>
      <c r="AZ5943" t="b">
        <v>1</v>
      </c>
    </row>
    <row r="5944" spans="1:52" x14ac:dyDescent="0.3">
      <c r="A5944" t="s">
        <v>52</v>
      </c>
      <c r="B5944" t="s">
        <v>53</v>
      </c>
      <c r="C5944" t="s">
        <v>54</v>
      </c>
      <c r="D5944" t="s">
        <v>55</v>
      </c>
      <c r="E5944" t="s">
        <v>2281</v>
      </c>
      <c r="F5944" t="s">
        <v>190</v>
      </c>
      <c r="G5944" t="s">
        <v>568</v>
      </c>
      <c r="H5944" t="s">
        <v>569</v>
      </c>
      <c r="I5944" t="s">
        <v>569</v>
      </c>
      <c r="J5944" t="s">
        <v>60</v>
      </c>
      <c r="K5944" t="s">
        <v>61</v>
      </c>
      <c r="L5944" t="s">
        <v>62</v>
      </c>
      <c r="M5944" t="s">
        <v>61</v>
      </c>
      <c r="N5944" t="s">
        <v>570</v>
      </c>
      <c r="O5944" t="s">
        <v>548</v>
      </c>
      <c r="P5944">
        <v>-20.151508</v>
      </c>
      <c r="Q5944">
        <v>-44.907826</v>
      </c>
      <c r="R5944" s="2" t="str">
        <f>HYPERLINK("https://www.google.com/maps?q=-20.1515080,-44.9078260","Abrir no Google Maps")</f>
        <v>Abrir no Google Maps</v>
      </c>
      <c r="S5944">
        <v>3</v>
      </c>
      <c r="T5944">
        <v>567.15905416240514</v>
      </c>
      <c r="U5944">
        <v>4</v>
      </c>
      <c r="V5944">
        <v>0.3198653198653198</v>
      </c>
      <c r="W5944">
        <v>0.85</v>
      </c>
      <c r="X5944">
        <v>0.27188552188552179</v>
      </c>
      <c r="Y5944">
        <v>548</v>
      </c>
      <c r="Z5944">
        <v>560.49158010771464</v>
      </c>
      <c r="AA5944">
        <v>198</v>
      </c>
      <c r="AB5944">
        <v>332</v>
      </c>
      <c r="AC5944">
        <v>536</v>
      </c>
      <c r="AD5944">
        <v>26.22</v>
      </c>
      <c r="AE5944">
        <v>542</v>
      </c>
      <c r="AF5944">
        <v>11</v>
      </c>
      <c r="AG5944">
        <v>181</v>
      </c>
      <c r="AH5944">
        <v>129</v>
      </c>
      <c r="AI5944">
        <v>2.0299999999999998</v>
      </c>
      <c r="AJ5944">
        <v>33.39</v>
      </c>
      <c r="AK5944">
        <v>23.8</v>
      </c>
      <c r="AL5944">
        <v>-20.15211779999996</v>
      </c>
      <c r="AM5944">
        <v>-44.907597469593128</v>
      </c>
      <c r="AN5944">
        <v>-20.15211779999996</v>
      </c>
      <c r="AO5944">
        <v>-44.907597469593128</v>
      </c>
      <c r="AP5944">
        <v>-20.151508</v>
      </c>
      <c r="AQ5944">
        <v>-44.907826</v>
      </c>
      <c r="AR5944">
        <v>71.961597929314735</v>
      </c>
      <c r="AS5944" t="s">
        <v>65</v>
      </c>
      <c r="AT5944">
        <v>1</v>
      </c>
      <c r="AU5944" t="s">
        <v>571</v>
      </c>
      <c r="AV5944" t="s">
        <v>572</v>
      </c>
      <c r="AW5944" t="s">
        <v>60</v>
      </c>
      <c r="AX5944" t="s">
        <v>68</v>
      </c>
      <c r="AY5944" t="s">
        <v>69</v>
      </c>
      <c r="AZ5944" t="b">
        <v>1</v>
      </c>
    </row>
    <row r="5945" spans="1:52" x14ac:dyDescent="0.3">
      <c r="A5945" t="s">
        <v>52</v>
      </c>
      <c r="B5945" t="s">
        <v>53</v>
      </c>
      <c r="C5945" t="s">
        <v>54</v>
      </c>
      <c r="D5945" t="s">
        <v>55</v>
      </c>
      <c r="E5945" t="s">
        <v>2281</v>
      </c>
      <c r="F5945" t="s">
        <v>190</v>
      </c>
      <c r="G5945" t="s">
        <v>573</v>
      </c>
      <c r="H5945" t="s">
        <v>574</v>
      </c>
      <c r="I5945" t="s">
        <v>574</v>
      </c>
      <c r="J5945" t="s">
        <v>60</v>
      </c>
      <c r="K5945" t="s">
        <v>207</v>
      </c>
      <c r="L5945" t="s">
        <v>62</v>
      </c>
      <c r="M5945" t="s">
        <v>207</v>
      </c>
      <c r="N5945" t="s">
        <v>575</v>
      </c>
      <c r="O5945" t="s">
        <v>576</v>
      </c>
      <c r="P5945">
        <v>-20.121252999999999</v>
      </c>
      <c r="Q5945">
        <v>-44.887988999999997</v>
      </c>
      <c r="R5945" s="2" t="str">
        <f>HYPERLINK("https://www.google.com/maps?q=-20.1212530,-44.8879890","Abrir no Google Maps")</f>
        <v>Abrir no Google Maps</v>
      </c>
      <c r="S5945">
        <v>3</v>
      </c>
      <c r="T5945">
        <v>310.5511884274041</v>
      </c>
      <c r="U5945">
        <v>4</v>
      </c>
      <c r="V5945">
        <v>0.17936507936507931</v>
      </c>
      <c r="W5945">
        <v>1</v>
      </c>
      <c r="X5945">
        <v>0.17936507936507931</v>
      </c>
      <c r="Y5945">
        <v>536</v>
      </c>
      <c r="Z5945">
        <v>292.13362593122162</v>
      </c>
      <c r="AA5945">
        <v>198</v>
      </c>
      <c r="AB5945">
        <v>332</v>
      </c>
      <c r="AC5945">
        <v>536</v>
      </c>
      <c r="AD5945">
        <v>26.22</v>
      </c>
      <c r="AE5945">
        <v>542</v>
      </c>
      <c r="AF5945">
        <v>11</v>
      </c>
      <c r="AG5945">
        <v>181</v>
      </c>
      <c r="AH5945">
        <v>129</v>
      </c>
      <c r="AI5945">
        <v>2.0299999999999998</v>
      </c>
      <c r="AJ5945">
        <v>33.39</v>
      </c>
      <c r="AK5945">
        <v>23.8</v>
      </c>
      <c r="AL5945">
        <v>-20.121103699999939</v>
      </c>
      <c r="AM5945">
        <v>-44.888116617806723</v>
      </c>
      <c r="AN5945">
        <v>-20.121103699999939</v>
      </c>
      <c r="AO5945">
        <v>-44.888116617806723</v>
      </c>
      <c r="AP5945">
        <v>-20.121252999999999</v>
      </c>
      <c r="AQ5945">
        <v>-44.887988999999997</v>
      </c>
      <c r="AR5945">
        <v>21.311159673382519</v>
      </c>
      <c r="AS5945" t="s">
        <v>65</v>
      </c>
      <c r="AT5945">
        <v>1</v>
      </c>
      <c r="AU5945" t="s">
        <v>577</v>
      </c>
      <c r="AV5945" t="s">
        <v>578</v>
      </c>
      <c r="AW5945" t="s">
        <v>60</v>
      </c>
      <c r="AX5945" t="s">
        <v>68</v>
      </c>
      <c r="AY5945" t="s">
        <v>69</v>
      </c>
      <c r="AZ5945" t="b">
        <v>1</v>
      </c>
    </row>
    <row r="5946" spans="1:52" x14ac:dyDescent="0.3">
      <c r="A5946" t="s">
        <v>52</v>
      </c>
      <c r="B5946" t="s">
        <v>53</v>
      </c>
      <c r="C5946" t="s">
        <v>54</v>
      </c>
      <c r="D5946" t="s">
        <v>55</v>
      </c>
      <c r="E5946" t="s">
        <v>2281</v>
      </c>
      <c r="F5946" t="s">
        <v>190</v>
      </c>
      <c r="G5946" t="s">
        <v>584</v>
      </c>
      <c r="H5946" t="s">
        <v>585</v>
      </c>
      <c r="I5946" t="s">
        <v>585</v>
      </c>
      <c r="J5946" t="s">
        <v>60</v>
      </c>
      <c r="K5946" t="s">
        <v>207</v>
      </c>
      <c r="L5946" t="s">
        <v>62</v>
      </c>
      <c r="M5946" t="s">
        <v>207</v>
      </c>
      <c r="N5946" t="s">
        <v>586</v>
      </c>
      <c r="O5946" t="s">
        <v>587</v>
      </c>
      <c r="P5946">
        <v>-20.122596999999999</v>
      </c>
      <c r="Q5946">
        <v>-44.889994999999999</v>
      </c>
      <c r="R5946" s="2" t="str">
        <f>HYPERLINK("https://www.google.com/maps?q=-20.1225970,-44.8899950","Abrir no Google Maps")</f>
        <v>Abrir no Google Maps</v>
      </c>
      <c r="S5946">
        <v>3</v>
      </c>
      <c r="T5946">
        <v>548.23336486960989</v>
      </c>
      <c r="U5946">
        <v>4</v>
      </c>
      <c r="V5946">
        <v>9.2250922509225106E-2</v>
      </c>
      <c r="W5946">
        <v>1</v>
      </c>
      <c r="X5946">
        <v>9.2250922509225106E-2</v>
      </c>
      <c r="Y5946">
        <v>536</v>
      </c>
      <c r="Z5946">
        <v>547.28307523929982</v>
      </c>
      <c r="AA5946">
        <v>198</v>
      </c>
      <c r="AB5946">
        <v>332</v>
      </c>
      <c r="AC5946">
        <v>536</v>
      </c>
      <c r="AD5946">
        <v>26.22</v>
      </c>
      <c r="AE5946">
        <v>542</v>
      </c>
      <c r="AF5946">
        <v>11</v>
      </c>
      <c r="AG5946">
        <v>181</v>
      </c>
      <c r="AH5946">
        <v>129</v>
      </c>
      <c r="AI5946">
        <v>2.0299999999999998</v>
      </c>
      <c r="AJ5946">
        <v>33.39</v>
      </c>
      <c r="AK5946">
        <v>23.8</v>
      </c>
      <c r="AL5946">
        <v>-20.122693899999941</v>
      </c>
      <c r="AM5946">
        <v>-44.890039706276887</v>
      </c>
      <c r="AN5946">
        <v>-20.122693899999941</v>
      </c>
      <c r="AO5946">
        <v>-44.890039706276887</v>
      </c>
      <c r="AP5946">
        <v>-20.122596999999999</v>
      </c>
      <c r="AQ5946">
        <v>-44.889994999999999</v>
      </c>
      <c r="AR5946">
        <v>11.75557400261394</v>
      </c>
      <c r="AS5946" t="s">
        <v>65</v>
      </c>
      <c r="AT5946">
        <v>1</v>
      </c>
      <c r="AU5946" t="s">
        <v>588</v>
      </c>
      <c r="AV5946" t="s">
        <v>589</v>
      </c>
      <c r="AW5946" t="s">
        <v>60</v>
      </c>
      <c r="AX5946" t="s">
        <v>68</v>
      </c>
      <c r="AY5946" t="s">
        <v>69</v>
      </c>
      <c r="AZ5946" t="b">
        <v>1</v>
      </c>
    </row>
    <row r="5947" spans="1:52" x14ac:dyDescent="0.3">
      <c r="A5947" t="s">
        <v>52</v>
      </c>
      <c r="B5947" t="s">
        <v>53</v>
      </c>
      <c r="C5947" t="s">
        <v>54</v>
      </c>
      <c r="D5947" t="s">
        <v>55</v>
      </c>
      <c r="E5947" t="s">
        <v>2281</v>
      </c>
      <c r="F5947" t="s">
        <v>190</v>
      </c>
      <c r="G5947" t="s">
        <v>595</v>
      </c>
      <c r="H5947" t="s">
        <v>596</v>
      </c>
      <c r="I5947" t="s">
        <v>596</v>
      </c>
      <c r="J5947" t="s">
        <v>60</v>
      </c>
      <c r="K5947" t="s">
        <v>207</v>
      </c>
      <c r="L5947" t="s">
        <v>62</v>
      </c>
      <c r="M5947" t="s">
        <v>207</v>
      </c>
      <c r="N5947" t="s">
        <v>597</v>
      </c>
      <c r="O5947" t="s">
        <v>598</v>
      </c>
      <c r="P5947">
        <v>-20.118335999999999</v>
      </c>
      <c r="Q5947">
        <v>-44.887441000000003</v>
      </c>
      <c r="R5947" s="2" t="str">
        <f>HYPERLINK("https://www.google.com/maps?q=-20.1183360,-44.8874410","Abrir no Google Maps")</f>
        <v>Abrir no Google Maps</v>
      </c>
      <c r="S5947">
        <v>3</v>
      </c>
      <c r="T5947">
        <v>0</v>
      </c>
      <c r="U5947">
        <v>4</v>
      </c>
      <c r="V5947">
        <v>0.11580594679186219</v>
      </c>
      <c r="W5947">
        <v>1</v>
      </c>
      <c r="X5947">
        <v>0.11580594679186219</v>
      </c>
      <c r="Y5947">
        <v>536</v>
      </c>
      <c r="Z5947">
        <v>70.729031566967279</v>
      </c>
      <c r="AA5947">
        <v>198</v>
      </c>
      <c r="AB5947">
        <v>332</v>
      </c>
      <c r="AC5947">
        <v>536</v>
      </c>
      <c r="AD5947">
        <v>26.22</v>
      </c>
      <c r="AE5947">
        <v>542</v>
      </c>
      <c r="AF5947">
        <v>11</v>
      </c>
      <c r="AG5947">
        <v>181</v>
      </c>
      <c r="AH5947">
        <v>129</v>
      </c>
      <c r="AI5947">
        <v>2.0299999999999998</v>
      </c>
      <c r="AJ5947">
        <v>33.39</v>
      </c>
      <c r="AK5947">
        <v>23.8</v>
      </c>
      <c r="AL5947">
        <v>-20.118357999999969</v>
      </c>
      <c r="AM5947">
        <v>-44.88750246616479</v>
      </c>
      <c r="AN5947">
        <v>-20.118357999999969</v>
      </c>
      <c r="AO5947">
        <v>-44.88750246616479</v>
      </c>
      <c r="AP5947">
        <v>-20.118335999999999</v>
      </c>
      <c r="AQ5947">
        <v>-44.887441000000003</v>
      </c>
      <c r="AR5947">
        <v>6.875853437004074</v>
      </c>
      <c r="AS5947" t="s">
        <v>65</v>
      </c>
      <c r="AT5947">
        <v>1</v>
      </c>
      <c r="AU5947" t="s">
        <v>599</v>
      </c>
      <c r="AV5947" t="s">
        <v>600</v>
      </c>
      <c r="AW5947" t="s">
        <v>60</v>
      </c>
      <c r="AX5947" t="s">
        <v>68</v>
      </c>
      <c r="AY5947" t="s">
        <v>69</v>
      </c>
      <c r="AZ5947" t="b">
        <v>1</v>
      </c>
    </row>
    <row r="5948" spans="1:52" x14ac:dyDescent="0.3">
      <c r="A5948" t="s">
        <v>52</v>
      </c>
      <c r="B5948" t="s">
        <v>53</v>
      </c>
      <c r="C5948" t="s">
        <v>54</v>
      </c>
      <c r="D5948" t="s">
        <v>55</v>
      </c>
      <c r="E5948" t="s">
        <v>2281</v>
      </c>
      <c r="F5948" t="s">
        <v>190</v>
      </c>
      <c r="G5948" t="s">
        <v>2150</v>
      </c>
      <c r="H5948" t="s">
        <v>2151</v>
      </c>
      <c r="I5948" t="s">
        <v>2151</v>
      </c>
      <c r="J5948" t="s">
        <v>60</v>
      </c>
      <c r="K5948" t="s">
        <v>207</v>
      </c>
      <c r="L5948" t="s">
        <v>62</v>
      </c>
      <c r="M5948" t="s">
        <v>207</v>
      </c>
      <c r="N5948" t="s">
        <v>2152</v>
      </c>
      <c r="O5948" t="s">
        <v>325</v>
      </c>
      <c r="P5948">
        <v>-20.123899999999999</v>
      </c>
      <c r="Q5948">
        <v>-44.883932999999999</v>
      </c>
      <c r="R5948" s="2" t="str">
        <f>HYPERLINK("https://www.google.com/maps?q=-20.1239000,-44.8839330","Abrir no Google Maps")</f>
        <v>Abrir no Google Maps</v>
      </c>
      <c r="S5948">
        <v>3</v>
      </c>
      <c r="T5948">
        <v>716.43785561804941</v>
      </c>
      <c r="U5948">
        <v>4</v>
      </c>
      <c r="V5948">
        <v>0.13580246913580241</v>
      </c>
      <c r="W5948">
        <v>0.85</v>
      </c>
      <c r="X5948">
        <v>0.11543209876543201</v>
      </c>
      <c r="Y5948">
        <v>536</v>
      </c>
      <c r="Z5948">
        <v>680.78895299280759</v>
      </c>
      <c r="AA5948">
        <v>198</v>
      </c>
      <c r="AB5948">
        <v>332</v>
      </c>
      <c r="AC5948">
        <v>536</v>
      </c>
      <c r="AD5948">
        <v>26.22</v>
      </c>
      <c r="AE5948">
        <v>542</v>
      </c>
      <c r="AF5948">
        <v>11</v>
      </c>
      <c r="AG5948">
        <v>181</v>
      </c>
      <c r="AH5948">
        <v>129</v>
      </c>
      <c r="AI5948">
        <v>2.0299999999999998</v>
      </c>
      <c r="AJ5948">
        <v>33.39</v>
      </c>
      <c r="AK5948">
        <v>23.8</v>
      </c>
      <c r="AL5948">
        <v>-20.12393434999996</v>
      </c>
      <c r="AM5948">
        <v>-44.884020194978177</v>
      </c>
      <c r="AN5948">
        <v>-20.12393434999996</v>
      </c>
      <c r="AO5948">
        <v>-44.884020194978177</v>
      </c>
      <c r="AP5948">
        <v>-20.123899999999999</v>
      </c>
      <c r="AQ5948">
        <v>-44.883932999999999</v>
      </c>
      <c r="AR5948">
        <v>9.8836304106829154</v>
      </c>
      <c r="AS5948" t="s">
        <v>65</v>
      </c>
      <c r="AT5948">
        <v>1</v>
      </c>
      <c r="AU5948" t="s">
        <v>2153</v>
      </c>
      <c r="AV5948" t="s">
        <v>2154</v>
      </c>
      <c r="AW5948" t="s">
        <v>60</v>
      </c>
      <c r="AX5948" t="s">
        <v>68</v>
      </c>
      <c r="AY5948" t="s">
        <v>69</v>
      </c>
      <c r="AZ5948" t="b">
        <v>1</v>
      </c>
    </row>
    <row r="5949" spans="1:52" x14ac:dyDescent="0.3">
      <c r="A5949" t="s">
        <v>52</v>
      </c>
      <c r="B5949" t="s">
        <v>53</v>
      </c>
      <c r="C5949" t="s">
        <v>54</v>
      </c>
      <c r="D5949" t="s">
        <v>55</v>
      </c>
      <c r="E5949" t="s">
        <v>2281</v>
      </c>
      <c r="F5949" t="s">
        <v>190</v>
      </c>
      <c r="G5949" t="s">
        <v>614</v>
      </c>
      <c r="H5949" t="s">
        <v>615</v>
      </c>
      <c r="I5949" t="s">
        <v>615</v>
      </c>
      <c r="J5949" t="s">
        <v>60</v>
      </c>
      <c r="K5949" t="s">
        <v>207</v>
      </c>
      <c r="L5949" t="s">
        <v>62</v>
      </c>
      <c r="M5949" t="s">
        <v>207</v>
      </c>
      <c r="N5949" t="s">
        <v>616</v>
      </c>
      <c r="O5949" t="s">
        <v>617</v>
      </c>
      <c r="P5949">
        <v>-20.123118999999999</v>
      </c>
      <c r="Q5949">
        <v>-44.886259000000003</v>
      </c>
      <c r="R5949" s="2" t="str">
        <f>HYPERLINK("https://www.google.com/maps?q=-20.1231190,-44.8862590","Abrir no Google Maps")</f>
        <v>Abrir no Google Maps</v>
      </c>
      <c r="S5949">
        <v>3</v>
      </c>
      <c r="T5949">
        <v>534.91642326845545</v>
      </c>
      <c r="U5949">
        <v>4</v>
      </c>
      <c r="V5949">
        <v>0.17417417417417411</v>
      </c>
      <c r="W5949">
        <v>1</v>
      </c>
      <c r="X5949">
        <v>0.17417417417417411</v>
      </c>
      <c r="Y5949">
        <v>536</v>
      </c>
      <c r="Z5949">
        <v>478.9192959851456</v>
      </c>
      <c r="AA5949">
        <v>198</v>
      </c>
      <c r="AB5949">
        <v>332</v>
      </c>
      <c r="AC5949">
        <v>536</v>
      </c>
      <c r="AD5949">
        <v>26.22</v>
      </c>
      <c r="AE5949">
        <v>542</v>
      </c>
      <c r="AF5949">
        <v>11</v>
      </c>
      <c r="AG5949">
        <v>181</v>
      </c>
      <c r="AH5949">
        <v>129</v>
      </c>
      <c r="AI5949">
        <v>2.0299999999999998</v>
      </c>
      <c r="AJ5949">
        <v>33.39</v>
      </c>
      <c r="AK5949">
        <v>23.8</v>
      </c>
      <c r="AL5949">
        <v>-20.12305974999995</v>
      </c>
      <c r="AM5949">
        <v>-44.886314469108633</v>
      </c>
      <c r="AN5949">
        <v>-20.12305974999995</v>
      </c>
      <c r="AO5949">
        <v>-44.886314469108633</v>
      </c>
      <c r="AP5949">
        <v>-20.123118999999999</v>
      </c>
      <c r="AQ5949">
        <v>-44.886259000000003</v>
      </c>
      <c r="AR5949">
        <v>8.7817342078334093</v>
      </c>
      <c r="AS5949" t="s">
        <v>65</v>
      </c>
      <c r="AT5949">
        <v>1</v>
      </c>
      <c r="AU5949" t="s">
        <v>618</v>
      </c>
      <c r="AV5949" t="s">
        <v>619</v>
      </c>
      <c r="AW5949" t="s">
        <v>60</v>
      </c>
      <c r="AX5949" t="s">
        <v>68</v>
      </c>
      <c r="AY5949" t="s">
        <v>69</v>
      </c>
      <c r="AZ5949" t="b">
        <v>1</v>
      </c>
    </row>
    <row r="5950" spans="1:52" x14ac:dyDescent="0.3">
      <c r="A5950" t="s">
        <v>52</v>
      </c>
      <c r="B5950" t="s">
        <v>53</v>
      </c>
      <c r="C5950" t="s">
        <v>54</v>
      </c>
      <c r="D5950" t="s">
        <v>55</v>
      </c>
      <c r="E5950" t="s">
        <v>2281</v>
      </c>
      <c r="F5950" t="s">
        <v>190</v>
      </c>
      <c r="G5950" t="s">
        <v>620</v>
      </c>
      <c r="H5950" t="s">
        <v>621</v>
      </c>
      <c r="I5950" t="s">
        <v>621</v>
      </c>
      <c r="J5950" t="s">
        <v>60</v>
      </c>
      <c r="K5950" t="s">
        <v>207</v>
      </c>
      <c r="L5950" t="s">
        <v>62</v>
      </c>
      <c r="M5950" t="s">
        <v>207</v>
      </c>
      <c r="N5950" t="s">
        <v>622</v>
      </c>
      <c r="O5950" t="s">
        <v>623</v>
      </c>
      <c r="P5950">
        <v>-20.120775999999999</v>
      </c>
      <c r="Q5950">
        <v>-44.885562999999998</v>
      </c>
      <c r="R5950" s="2" t="str">
        <f>HYPERLINK("https://www.google.com/maps?q=-20.1207760,-44.8855630","Abrir no Google Maps")</f>
        <v>Abrir no Google Maps</v>
      </c>
      <c r="S5950">
        <v>3</v>
      </c>
      <c r="T5950">
        <v>332.24231777761912</v>
      </c>
      <c r="U5950">
        <v>4</v>
      </c>
      <c r="V5950">
        <v>0.15574963609898099</v>
      </c>
      <c r="W5950">
        <v>1</v>
      </c>
      <c r="X5950">
        <v>0.15574963609898099</v>
      </c>
      <c r="Y5950">
        <v>536</v>
      </c>
      <c r="Z5950">
        <v>255.48165096313261</v>
      </c>
      <c r="AA5950">
        <v>198</v>
      </c>
      <c r="AB5950">
        <v>332</v>
      </c>
      <c r="AC5950">
        <v>536</v>
      </c>
      <c r="AD5950">
        <v>26.22</v>
      </c>
      <c r="AE5950">
        <v>542</v>
      </c>
      <c r="AF5950">
        <v>11</v>
      </c>
      <c r="AG5950">
        <v>181</v>
      </c>
      <c r="AH5950">
        <v>129</v>
      </c>
      <c r="AI5950">
        <v>2.0299999999999998</v>
      </c>
      <c r="AJ5950">
        <v>33.39</v>
      </c>
      <c r="AK5950">
        <v>23.8</v>
      </c>
      <c r="AL5950">
        <v>-20.120783799999941</v>
      </c>
      <c r="AM5950">
        <v>-44.885629603396453</v>
      </c>
      <c r="AN5950">
        <v>-20.120783799999941</v>
      </c>
      <c r="AO5950">
        <v>-44.885629603396453</v>
      </c>
      <c r="AP5950">
        <v>-20.120775999999999</v>
      </c>
      <c r="AQ5950">
        <v>-44.885562999999998</v>
      </c>
      <c r="AR5950">
        <v>7.0157317818911196</v>
      </c>
      <c r="AS5950" t="s">
        <v>65</v>
      </c>
      <c r="AT5950">
        <v>1</v>
      </c>
      <c r="AU5950" t="s">
        <v>624</v>
      </c>
      <c r="AV5950" t="s">
        <v>619</v>
      </c>
      <c r="AW5950" t="s">
        <v>60</v>
      </c>
      <c r="AX5950" t="s">
        <v>68</v>
      </c>
      <c r="AY5950" t="s">
        <v>69</v>
      </c>
      <c r="AZ5950" t="b">
        <v>1</v>
      </c>
    </row>
    <row r="5951" spans="1:52" x14ac:dyDescent="0.3">
      <c r="A5951" t="s">
        <v>52</v>
      </c>
      <c r="B5951" t="s">
        <v>53</v>
      </c>
      <c r="C5951" t="s">
        <v>54</v>
      </c>
      <c r="D5951" t="s">
        <v>55</v>
      </c>
      <c r="E5951" t="s">
        <v>2281</v>
      </c>
      <c r="F5951" t="s">
        <v>190</v>
      </c>
      <c r="G5951" t="s">
        <v>637</v>
      </c>
      <c r="H5951" t="s">
        <v>915</v>
      </c>
      <c r="I5951" t="s">
        <v>915</v>
      </c>
      <c r="J5951" t="s">
        <v>60</v>
      </c>
      <c r="K5951" t="s">
        <v>530</v>
      </c>
      <c r="L5951" t="s">
        <v>62</v>
      </c>
      <c r="M5951" t="s">
        <v>530</v>
      </c>
      <c r="N5951" t="s">
        <v>639</v>
      </c>
      <c r="O5951" t="s">
        <v>916</v>
      </c>
      <c r="P5951">
        <v>-20.144821</v>
      </c>
      <c r="Q5951">
        <v>-44.88937</v>
      </c>
      <c r="R5951" s="2" t="str">
        <f>HYPERLINK("https://www.google.com/maps?q=-20.1448210,-44.8893700","Abrir no Google Maps")</f>
        <v>Abrir no Google Maps</v>
      </c>
      <c r="S5951">
        <v>3</v>
      </c>
      <c r="T5951">
        <v>256.58219197259177</v>
      </c>
      <c r="U5951">
        <v>4</v>
      </c>
      <c r="V5951">
        <v>0.28157349896480333</v>
      </c>
      <c r="W5951">
        <v>0.85</v>
      </c>
      <c r="X5951">
        <v>0.2393374741200828</v>
      </c>
      <c r="Y5951">
        <v>527</v>
      </c>
      <c r="Z5951">
        <v>177.1895281295705</v>
      </c>
      <c r="AA5951">
        <v>198</v>
      </c>
      <c r="AB5951">
        <v>332</v>
      </c>
      <c r="AC5951">
        <v>536</v>
      </c>
      <c r="AD5951">
        <v>26.22</v>
      </c>
      <c r="AE5951">
        <v>542</v>
      </c>
      <c r="AF5951">
        <v>11</v>
      </c>
      <c r="AG5951">
        <v>181</v>
      </c>
      <c r="AH5951">
        <v>129</v>
      </c>
      <c r="AI5951">
        <v>2.0299999999999998</v>
      </c>
      <c r="AJ5951">
        <v>33.39</v>
      </c>
      <c r="AK5951">
        <v>23.8</v>
      </c>
      <c r="AL5951">
        <v>-20.144812799999951</v>
      </c>
      <c r="AM5951">
        <v>-44.8892780390361</v>
      </c>
      <c r="AN5951">
        <v>-20.144812799999951</v>
      </c>
      <c r="AO5951">
        <v>-44.8892780390361</v>
      </c>
      <c r="AP5951">
        <v>-20.144821</v>
      </c>
      <c r="AQ5951">
        <v>-44.88937</v>
      </c>
      <c r="AR5951">
        <v>9.6540941010892158</v>
      </c>
      <c r="AS5951" t="s">
        <v>65</v>
      </c>
      <c r="AT5951">
        <v>1</v>
      </c>
      <c r="AU5951" t="s">
        <v>917</v>
      </c>
      <c r="AV5951" t="s">
        <v>918</v>
      </c>
      <c r="AW5951" t="s">
        <v>60</v>
      </c>
      <c r="AX5951" t="s">
        <v>68</v>
      </c>
      <c r="AY5951" t="s">
        <v>69</v>
      </c>
      <c r="AZ5951" t="b">
        <v>1</v>
      </c>
    </row>
    <row r="5952" spans="1:52" x14ac:dyDescent="0.3">
      <c r="A5952" t="s">
        <v>52</v>
      </c>
      <c r="B5952" t="s">
        <v>53</v>
      </c>
      <c r="C5952" t="s">
        <v>54</v>
      </c>
      <c r="D5952" t="s">
        <v>55</v>
      </c>
      <c r="E5952" t="s">
        <v>2281</v>
      </c>
      <c r="F5952" t="s">
        <v>190</v>
      </c>
      <c r="G5952" t="s">
        <v>919</v>
      </c>
      <c r="H5952" t="s">
        <v>920</v>
      </c>
      <c r="I5952" t="s">
        <v>920</v>
      </c>
      <c r="J5952" t="s">
        <v>60</v>
      </c>
      <c r="K5952" t="s">
        <v>530</v>
      </c>
      <c r="L5952" t="s">
        <v>62</v>
      </c>
      <c r="M5952" t="s">
        <v>530</v>
      </c>
      <c r="N5952" t="s">
        <v>921</v>
      </c>
      <c r="O5952" t="s">
        <v>922</v>
      </c>
      <c r="P5952">
        <v>-20.144537</v>
      </c>
      <c r="Q5952">
        <v>-44.891530000000003</v>
      </c>
      <c r="R5952" s="2" t="str">
        <f>HYPERLINK("https://www.google.com/maps?q=-20.1445370,-44.8915300","Abrir no Google Maps")</f>
        <v>Abrir no Google Maps</v>
      </c>
      <c r="S5952">
        <v>3</v>
      </c>
      <c r="T5952">
        <v>0</v>
      </c>
      <c r="U5952">
        <v>4</v>
      </c>
      <c r="V5952">
        <v>0.27564102564102561</v>
      </c>
      <c r="W5952">
        <v>0.85</v>
      </c>
      <c r="X5952">
        <v>0.2342948717948718</v>
      </c>
      <c r="Y5952">
        <v>527</v>
      </c>
      <c r="Z5952">
        <v>80.350679251421383</v>
      </c>
      <c r="AA5952">
        <v>198</v>
      </c>
      <c r="AB5952">
        <v>332</v>
      </c>
      <c r="AC5952">
        <v>536</v>
      </c>
      <c r="AD5952">
        <v>26.22</v>
      </c>
      <c r="AE5952">
        <v>542</v>
      </c>
      <c r="AF5952">
        <v>11</v>
      </c>
      <c r="AG5952">
        <v>181</v>
      </c>
      <c r="AH5952">
        <v>129</v>
      </c>
      <c r="AI5952">
        <v>2.0299999999999998</v>
      </c>
      <c r="AJ5952">
        <v>33.39</v>
      </c>
      <c r="AK5952">
        <v>23.8</v>
      </c>
      <c r="AL5952">
        <v>-20.144700699999959</v>
      </c>
      <c r="AM5952">
        <v>-44.891730278075883</v>
      </c>
      <c r="AN5952">
        <v>-20.144700699999959</v>
      </c>
      <c r="AO5952">
        <v>-44.891730278075883</v>
      </c>
      <c r="AP5952">
        <v>-20.144537</v>
      </c>
      <c r="AQ5952">
        <v>-44.891530000000003</v>
      </c>
      <c r="AR5952">
        <v>27.752313800143739</v>
      </c>
      <c r="AS5952" t="s">
        <v>65</v>
      </c>
      <c r="AT5952">
        <v>1</v>
      </c>
      <c r="AU5952" t="s">
        <v>923</v>
      </c>
      <c r="AV5952" t="s">
        <v>924</v>
      </c>
      <c r="AW5952" t="s">
        <v>60</v>
      </c>
      <c r="AX5952" t="s">
        <v>68</v>
      </c>
      <c r="AY5952" t="s">
        <v>69</v>
      </c>
      <c r="AZ5952" t="b">
        <v>1</v>
      </c>
    </row>
    <row r="5953" spans="1:52" x14ac:dyDescent="0.3">
      <c r="A5953" t="s">
        <v>52</v>
      </c>
      <c r="B5953" t="s">
        <v>53</v>
      </c>
      <c r="C5953" t="s">
        <v>54</v>
      </c>
      <c r="D5953" t="s">
        <v>55</v>
      </c>
      <c r="E5953" t="s">
        <v>2281</v>
      </c>
      <c r="F5953" t="s">
        <v>190</v>
      </c>
      <c r="G5953" t="s">
        <v>631</v>
      </c>
      <c r="H5953" t="s">
        <v>632</v>
      </c>
      <c r="I5953" t="s">
        <v>632</v>
      </c>
      <c r="J5953" t="s">
        <v>60</v>
      </c>
      <c r="K5953" t="s">
        <v>530</v>
      </c>
      <c r="L5953" t="s">
        <v>62</v>
      </c>
      <c r="M5953" t="s">
        <v>530</v>
      </c>
      <c r="N5953" t="s">
        <v>633</v>
      </c>
      <c r="O5953" t="s">
        <v>634</v>
      </c>
      <c r="P5953">
        <v>-20.142136000000001</v>
      </c>
      <c r="Q5953">
        <v>-44.893895999999998</v>
      </c>
      <c r="R5953" s="2" t="str">
        <f>HYPERLINK("https://www.google.com/maps?q=-20.1421360,-44.8938960","Abrir no Google Maps")</f>
        <v>Abrir no Google Maps</v>
      </c>
      <c r="S5953">
        <v>3</v>
      </c>
      <c r="T5953">
        <v>252.77776243958951</v>
      </c>
      <c r="U5953">
        <v>4</v>
      </c>
      <c r="V5953">
        <v>0.30293159609120518</v>
      </c>
      <c r="W5953">
        <v>1</v>
      </c>
      <c r="X5953">
        <v>0.30293159609120518</v>
      </c>
      <c r="Y5953">
        <v>505</v>
      </c>
      <c r="Z5953">
        <v>331.79497003706751</v>
      </c>
      <c r="AA5953">
        <v>198</v>
      </c>
      <c r="AB5953">
        <v>332</v>
      </c>
      <c r="AC5953">
        <v>536</v>
      </c>
      <c r="AD5953">
        <v>26.22</v>
      </c>
      <c r="AE5953">
        <v>542</v>
      </c>
      <c r="AF5953">
        <v>11</v>
      </c>
      <c r="AG5953">
        <v>181</v>
      </c>
      <c r="AH5953">
        <v>129</v>
      </c>
      <c r="AI5953">
        <v>2.0299999999999998</v>
      </c>
      <c r="AJ5953">
        <v>33.39</v>
      </c>
      <c r="AK5953">
        <v>23.8</v>
      </c>
      <c r="AL5953">
        <v>-20.142209999999949</v>
      </c>
      <c r="AM5953">
        <v>-44.893919659400702</v>
      </c>
      <c r="AN5953">
        <v>-20.142209999999949</v>
      </c>
      <c r="AO5953">
        <v>-44.893919659400702</v>
      </c>
      <c r="AP5953">
        <v>-20.142136000000001</v>
      </c>
      <c r="AQ5953">
        <v>-44.893895999999998</v>
      </c>
      <c r="AR5953">
        <v>8.6007875127343159</v>
      </c>
      <c r="AS5953" t="s">
        <v>65</v>
      </c>
      <c r="AT5953">
        <v>1</v>
      </c>
      <c r="AU5953" t="s">
        <v>635</v>
      </c>
      <c r="AV5953" t="s">
        <v>636</v>
      </c>
      <c r="AW5953" t="s">
        <v>60</v>
      </c>
      <c r="AX5953" t="s">
        <v>68</v>
      </c>
      <c r="AY5953" t="s">
        <v>69</v>
      </c>
      <c r="AZ5953" t="b">
        <v>1</v>
      </c>
    </row>
    <row r="5954" spans="1:52" x14ac:dyDescent="0.3">
      <c r="A5954" t="s">
        <v>52</v>
      </c>
      <c r="B5954" t="s">
        <v>53</v>
      </c>
      <c r="C5954" t="s">
        <v>54</v>
      </c>
      <c r="D5954" t="s">
        <v>55</v>
      </c>
      <c r="E5954" t="s">
        <v>2281</v>
      </c>
      <c r="F5954" t="s">
        <v>190</v>
      </c>
      <c r="G5954" t="s">
        <v>637</v>
      </c>
      <c r="H5954" t="s">
        <v>638</v>
      </c>
      <c r="I5954" t="s">
        <v>638</v>
      </c>
      <c r="J5954" t="s">
        <v>60</v>
      </c>
      <c r="K5954" t="s">
        <v>530</v>
      </c>
      <c r="L5954" t="s">
        <v>62</v>
      </c>
      <c r="M5954" t="s">
        <v>530</v>
      </c>
      <c r="N5954" t="s">
        <v>639</v>
      </c>
      <c r="O5954" t="s">
        <v>640</v>
      </c>
      <c r="P5954">
        <v>-20.143090000000001</v>
      </c>
      <c r="Q5954">
        <v>-44.888948999999997</v>
      </c>
      <c r="R5954" s="2" t="str">
        <f>HYPERLINK("https://www.google.com/maps?q=-20.1430900,-44.8889490","Abrir no Google Maps")</f>
        <v>Abrir no Google Maps</v>
      </c>
      <c r="S5954">
        <v>3</v>
      </c>
      <c r="T5954">
        <v>264.88903234377068</v>
      </c>
      <c r="U5954">
        <v>4</v>
      </c>
      <c r="V5954">
        <v>0.30288461538461531</v>
      </c>
      <c r="W5954">
        <v>1</v>
      </c>
      <c r="X5954">
        <v>0.30288461538461531</v>
      </c>
      <c r="Y5954">
        <v>478</v>
      </c>
      <c r="Z5954">
        <v>216.60886577490871</v>
      </c>
      <c r="AA5954">
        <v>198</v>
      </c>
      <c r="AB5954">
        <v>332</v>
      </c>
      <c r="AC5954">
        <v>536</v>
      </c>
      <c r="AD5954">
        <v>26.22</v>
      </c>
      <c r="AE5954">
        <v>542</v>
      </c>
      <c r="AF5954">
        <v>11</v>
      </c>
      <c r="AG5954">
        <v>181</v>
      </c>
      <c r="AH5954">
        <v>129</v>
      </c>
      <c r="AI5954">
        <v>2.0299999999999998</v>
      </c>
      <c r="AJ5954">
        <v>33.39</v>
      </c>
      <c r="AK5954">
        <v>23.8</v>
      </c>
      <c r="AL5954">
        <v>-20.14306029999997</v>
      </c>
      <c r="AM5954">
        <v>-44.889053908028878</v>
      </c>
      <c r="AN5954">
        <v>-20.14306029999997</v>
      </c>
      <c r="AO5954">
        <v>-44.889053908028878</v>
      </c>
      <c r="AP5954">
        <v>-20.143090000000001</v>
      </c>
      <c r="AQ5954">
        <v>-44.888948999999997</v>
      </c>
      <c r="AR5954">
        <v>11.451710102611671</v>
      </c>
      <c r="AS5954" t="s">
        <v>65</v>
      </c>
      <c r="AT5954">
        <v>1</v>
      </c>
      <c r="AU5954" t="s">
        <v>641</v>
      </c>
      <c r="AV5954" t="s">
        <v>642</v>
      </c>
      <c r="AW5954" t="s">
        <v>60</v>
      </c>
      <c r="AX5954" t="s">
        <v>68</v>
      </c>
      <c r="AY5954" t="s">
        <v>69</v>
      </c>
      <c r="AZ5954" t="b">
        <v>1</v>
      </c>
    </row>
    <row r="5955" spans="1:52" x14ac:dyDescent="0.3">
      <c r="A5955" t="s">
        <v>52</v>
      </c>
      <c r="B5955" t="s">
        <v>53</v>
      </c>
      <c r="C5955" t="s">
        <v>54</v>
      </c>
      <c r="D5955" t="s">
        <v>55</v>
      </c>
      <c r="E5955" t="s">
        <v>2281</v>
      </c>
      <c r="F5955" t="s">
        <v>190</v>
      </c>
      <c r="G5955" t="s">
        <v>992</v>
      </c>
      <c r="H5955" t="s">
        <v>993</v>
      </c>
      <c r="I5955" t="s">
        <v>993</v>
      </c>
      <c r="J5955" t="s">
        <v>60</v>
      </c>
      <c r="K5955" t="s">
        <v>530</v>
      </c>
      <c r="L5955" t="s">
        <v>62</v>
      </c>
      <c r="M5955" t="s">
        <v>530</v>
      </c>
      <c r="N5955" t="s">
        <v>994</v>
      </c>
      <c r="O5955" t="s">
        <v>995</v>
      </c>
      <c r="P5955">
        <v>-20.144141000000001</v>
      </c>
      <c r="Q5955">
        <v>-44.884635000000003</v>
      </c>
      <c r="R5955" s="2" t="str">
        <f>HYPERLINK("https://www.google.com/maps?q=-20.1441410,-44.8846350","Abrir no Google Maps")</f>
        <v>Abrir no Google Maps</v>
      </c>
      <c r="S5955">
        <v>3</v>
      </c>
      <c r="T5955">
        <v>0</v>
      </c>
      <c r="U5955">
        <v>4</v>
      </c>
      <c r="V5955">
        <v>0.2375886524822694</v>
      </c>
      <c r="W5955">
        <v>0.85</v>
      </c>
      <c r="X5955">
        <v>0.20195035460992899</v>
      </c>
      <c r="Y5955">
        <v>478</v>
      </c>
      <c r="Z5955">
        <v>252.29400768218821</v>
      </c>
      <c r="AA5955">
        <v>198</v>
      </c>
      <c r="AB5955">
        <v>332</v>
      </c>
      <c r="AC5955">
        <v>536</v>
      </c>
      <c r="AD5955">
        <v>26.22</v>
      </c>
      <c r="AE5955">
        <v>542</v>
      </c>
      <c r="AF5955">
        <v>11</v>
      </c>
      <c r="AG5955">
        <v>181</v>
      </c>
      <c r="AH5955">
        <v>129</v>
      </c>
      <c r="AI5955">
        <v>2.0299999999999998</v>
      </c>
      <c r="AJ5955">
        <v>33.39</v>
      </c>
      <c r="AK5955">
        <v>23.8</v>
      </c>
      <c r="AL5955">
        <v>-20.144119999999951</v>
      </c>
      <c r="AM5955">
        <v>-44.884814928637752</v>
      </c>
      <c r="AN5955">
        <v>-20.144119999999951</v>
      </c>
      <c r="AO5955">
        <v>-44.884814928637752</v>
      </c>
      <c r="AP5955">
        <v>-20.144141000000001</v>
      </c>
      <c r="AQ5955">
        <v>-44.884635000000003</v>
      </c>
      <c r="AR5955">
        <v>18.949181367223549</v>
      </c>
      <c r="AS5955" t="s">
        <v>65</v>
      </c>
      <c r="AT5955">
        <v>1</v>
      </c>
      <c r="AU5955" t="s">
        <v>996</v>
      </c>
      <c r="AV5955" t="s">
        <v>997</v>
      </c>
      <c r="AW5955" t="s">
        <v>60</v>
      </c>
      <c r="AX5955" t="s">
        <v>68</v>
      </c>
      <c r="AY5955" t="s">
        <v>69</v>
      </c>
      <c r="AZ5955" t="b">
        <v>1</v>
      </c>
    </row>
    <row r="5956" spans="1:52" x14ac:dyDescent="0.3">
      <c r="A5956" t="s">
        <v>52</v>
      </c>
      <c r="B5956" t="s">
        <v>53</v>
      </c>
      <c r="C5956" t="s">
        <v>54</v>
      </c>
      <c r="D5956" t="s">
        <v>55</v>
      </c>
      <c r="E5956" t="s">
        <v>2281</v>
      </c>
      <c r="F5956" t="s">
        <v>190</v>
      </c>
      <c r="G5956" t="s">
        <v>643</v>
      </c>
      <c r="H5956" t="s">
        <v>644</v>
      </c>
      <c r="I5956" t="s">
        <v>644</v>
      </c>
      <c r="J5956" t="s">
        <v>60</v>
      </c>
      <c r="K5956" t="s">
        <v>462</v>
      </c>
      <c r="L5956" t="s">
        <v>62</v>
      </c>
      <c r="M5956" t="s">
        <v>462</v>
      </c>
      <c r="N5956" t="s">
        <v>645</v>
      </c>
      <c r="O5956" t="s">
        <v>646</v>
      </c>
      <c r="P5956">
        <v>-20.138680000000001</v>
      </c>
      <c r="Q5956">
        <v>-44.901313000000002</v>
      </c>
      <c r="R5956" s="2" t="str">
        <f>HYPERLINK("https://www.google.com/maps?q=-20.1386800,-44.9013130","Abrir no Google Maps")</f>
        <v>Abrir no Google Maps</v>
      </c>
      <c r="S5956">
        <v>3</v>
      </c>
      <c r="T5956">
        <v>322.91859681380862</v>
      </c>
      <c r="U5956">
        <v>4</v>
      </c>
      <c r="V5956">
        <v>0.1863295880149812</v>
      </c>
      <c r="W5956">
        <v>1</v>
      </c>
      <c r="X5956">
        <v>0.1863295880149812</v>
      </c>
      <c r="Y5956">
        <v>435</v>
      </c>
      <c r="Z5956">
        <v>299.891766434874</v>
      </c>
      <c r="AA5956">
        <v>198</v>
      </c>
      <c r="AB5956">
        <v>332</v>
      </c>
      <c r="AC5956">
        <v>536</v>
      </c>
      <c r="AD5956">
        <v>26.22</v>
      </c>
      <c r="AE5956">
        <v>542</v>
      </c>
      <c r="AF5956">
        <v>11</v>
      </c>
      <c r="AG5956">
        <v>181</v>
      </c>
      <c r="AH5956">
        <v>129</v>
      </c>
      <c r="AI5956">
        <v>2.0299999999999998</v>
      </c>
      <c r="AJ5956">
        <v>33.39</v>
      </c>
      <c r="AK5956">
        <v>23.8</v>
      </c>
      <c r="AL5956">
        <v>-20.13865734999996</v>
      </c>
      <c r="AM5956">
        <v>-44.901255803238627</v>
      </c>
      <c r="AN5956">
        <v>-20.13865734999996</v>
      </c>
      <c r="AO5956">
        <v>-44.901255803238627</v>
      </c>
      <c r="AP5956">
        <v>-20.138680000000001</v>
      </c>
      <c r="AQ5956">
        <v>-44.901313000000002</v>
      </c>
      <c r="AR5956">
        <v>6.4878640135702481</v>
      </c>
      <c r="AS5956" t="s">
        <v>65</v>
      </c>
      <c r="AT5956">
        <v>1</v>
      </c>
      <c r="AU5956" t="s">
        <v>647</v>
      </c>
      <c r="AV5956" t="s">
        <v>648</v>
      </c>
      <c r="AW5956" t="s">
        <v>60</v>
      </c>
      <c r="AX5956" t="s">
        <v>68</v>
      </c>
      <c r="AY5956" t="s">
        <v>69</v>
      </c>
      <c r="AZ5956" t="b">
        <v>1</v>
      </c>
    </row>
    <row r="5957" spans="1:52" x14ac:dyDescent="0.3">
      <c r="A5957" t="s">
        <v>52</v>
      </c>
      <c r="B5957" t="s">
        <v>53</v>
      </c>
      <c r="C5957" t="s">
        <v>54</v>
      </c>
      <c r="D5957" t="s">
        <v>55</v>
      </c>
      <c r="E5957" t="s">
        <v>2281</v>
      </c>
      <c r="F5957" t="s">
        <v>190</v>
      </c>
      <c r="G5957" t="s">
        <v>649</v>
      </c>
      <c r="H5957" t="s">
        <v>650</v>
      </c>
      <c r="I5957" t="s">
        <v>650</v>
      </c>
      <c r="J5957" t="s">
        <v>60</v>
      </c>
      <c r="K5957" t="s">
        <v>651</v>
      </c>
      <c r="L5957" t="s">
        <v>62</v>
      </c>
      <c r="M5957" t="s">
        <v>651</v>
      </c>
      <c r="N5957" t="s">
        <v>652</v>
      </c>
      <c r="O5957" t="s">
        <v>653</v>
      </c>
      <c r="P5957">
        <v>-20.134566</v>
      </c>
      <c r="Q5957">
        <v>-44.894970999999998</v>
      </c>
      <c r="R5957" s="2" t="str">
        <f>HYPERLINK("https://www.google.com/maps?q=-20.1345660,-44.8949710","Abrir no Google Maps")</f>
        <v>Abrir no Google Maps</v>
      </c>
      <c r="S5957">
        <v>3</v>
      </c>
      <c r="T5957">
        <v>722.088947634291</v>
      </c>
      <c r="U5957">
        <v>4</v>
      </c>
      <c r="V5957">
        <v>0.21185185185185179</v>
      </c>
      <c r="W5957">
        <v>1</v>
      </c>
      <c r="X5957">
        <v>0.21185185185185179</v>
      </c>
      <c r="Y5957">
        <v>435</v>
      </c>
      <c r="Z5957">
        <v>510.93480096112631</v>
      </c>
      <c r="AA5957">
        <v>198</v>
      </c>
      <c r="AB5957">
        <v>332</v>
      </c>
      <c r="AC5957">
        <v>536</v>
      </c>
      <c r="AD5957">
        <v>26.22</v>
      </c>
      <c r="AE5957">
        <v>542</v>
      </c>
      <c r="AF5957">
        <v>11</v>
      </c>
      <c r="AG5957">
        <v>181</v>
      </c>
      <c r="AH5957">
        <v>129</v>
      </c>
      <c r="AI5957">
        <v>2.0299999999999998</v>
      </c>
      <c r="AJ5957">
        <v>33.39</v>
      </c>
      <c r="AK5957">
        <v>23.8</v>
      </c>
      <c r="AL5957">
        <v>-20.134477649999951</v>
      </c>
      <c r="AM5957">
        <v>-44.894921468906077</v>
      </c>
      <c r="AN5957">
        <v>-20.134477649999951</v>
      </c>
      <c r="AO5957">
        <v>-44.894921468906077</v>
      </c>
      <c r="AP5957">
        <v>-20.134566</v>
      </c>
      <c r="AQ5957">
        <v>-44.894970999999998</v>
      </c>
      <c r="AR5957">
        <v>11.114372522967921</v>
      </c>
      <c r="AS5957" t="s">
        <v>65</v>
      </c>
      <c r="AT5957">
        <v>1</v>
      </c>
      <c r="AU5957" t="s">
        <v>654</v>
      </c>
      <c r="AV5957" t="s">
        <v>655</v>
      </c>
      <c r="AW5957" t="s">
        <v>60</v>
      </c>
      <c r="AX5957" t="s">
        <v>68</v>
      </c>
      <c r="AY5957" t="s">
        <v>69</v>
      </c>
      <c r="AZ5957" t="b">
        <v>1</v>
      </c>
    </row>
    <row r="5958" spans="1:52" x14ac:dyDescent="0.3">
      <c r="A5958" t="s">
        <v>52</v>
      </c>
      <c r="B5958" t="s">
        <v>53</v>
      </c>
      <c r="C5958" t="s">
        <v>54</v>
      </c>
      <c r="D5958" t="s">
        <v>55</v>
      </c>
      <c r="E5958" t="s">
        <v>2281</v>
      </c>
      <c r="F5958" t="s">
        <v>190</v>
      </c>
      <c r="G5958" t="s">
        <v>656</v>
      </c>
      <c r="H5958" t="s">
        <v>657</v>
      </c>
      <c r="I5958" t="s">
        <v>657</v>
      </c>
      <c r="J5958" t="s">
        <v>60</v>
      </c>
      <c r="K5958" t="s">
        <v>651</v>
      </c>
      <c r="L5958" t="s">
        <v>62</v>
      </c>
      <c r="M5958" t="s">
        <v>651</v>
      </c>
      <c r="N5958" t="s">
        <v>658</v>
      </c>
      <c r="O5958" t="s">
        <v>659</v>
      </c>
      <c r="P5958">
        <v>-20.134922</v>
      </c>
      <c r="Q5958">
        <v>-44.893098000000002</v>
      </c>
      <c r="R5958" s="2" t="str">
        <f>HYPERLINK("https://www.google.com/maps?q=-20.1349220,-44.8930980","Abrir no Google Maps")</f>
        <v>Abrir no Google Maps</v>
      </c>
      <c r="S5958">
        <v>3</v>
      </c>
      <c r="T5958">
        <v>589.83980259734562</v>
      </c>
      <c r="U5958">
        <v>4</v>
      </c>
      <c r="V5958">
        <v>0.25401322001888571</v>
      </c>
      <c r="W5958">
        <v>1</v>
      </c>
      <c r="X5958">
        <v>0.25401322001888571</v>
      </c>
      <c r="Y5958">
        <v>435</v>
      </c>
      <c r="Z5958">
        <v>663.80986080131709</v>
      </c>
      <c r="AA5958">
        <v>198</v>
      </c>
      <c r="AB5958">
        <v>332</v>
      </c>
      <c r="AC5958">
        <v>536</v>
      </c>
      <c r="AD5958">
        <v>26.22</v>
      </c>
      <c r="AE5958">
        <v>542</v>
      </c>
      <c r="AF5958">
        <v>11</v>
      </c>
      <c r="AG5958">
        <v>181</v>
      </c>
      <c r="AH5958">
        <v>129</v>
      </c>
      <c r="AI5958">
        <v>2.0299999999999998</v>
      </c>
      <c r="AJ5958">
        <v>33.39</v>
      </c>
      <c r="AK5958">
        <v>23.8</v>
      </c>
      <c r="AL5958">
        <v>-20.135021049999949</v>
      </c>
      <c r="AM5958">
        <v>-44.893227478208203</v>
      </c>
      <c r="AN5958">
        <v>-20.135021049999949</v>
      </c>
      <c r="AO5958">
        <v>-44.893227478208203</v>
      </c>
      <c r="AP5958">
        <v>-20.134922</v>
      </c>
      <c r="AQ5958">
        <v>-44.893098000000002</v>
      </c>
      <c r="AR5958">
        <v>17.455940349902249</v>
      </c>
      <c r="AS5958" t="s">
        <v>65</v>
      </c>
      <c r="AT5958">
        <v>1</v>
      </c>
      <c r="AU5958" t="s">
        <v>660</v>
      </c>
      <c r="AV5958" t="s">
        <v>661</v>
      </c>
      <c r="AW5958" t="s">
        <v>60</v>
      </c>
      <c r="AX5958" t="s">
        <v>68</v>
      </c>
      <c r="AY5958" t="s">
        <v>69</v>
      </c>
      <c r="AZ5958" t="b">
        <v>1</v>
      </c>
    </row>
    <row r="5959" spans="1:52" x14ac:dyDescent="0.3">
      <c r="A5959" t="s">
        <v>52</v>
      </c>
      <c r="B5959" t="s">
        <v>53</v>
      </c>
      <c r="C5959" t="s">
        <v>54</v>
      </c>
      <c r="D5959" t="s">
        <v>55</v>
      </c>
      <c r="E5959" t="s">
        <v>2281</v>
      </c>
      <c r="F5959" t="s">
        <v>190</v>
      </c>
      <c r="G5959" t="s">
        <v>998</v>
      </c>
      <c r="H5959" t="s">
        <v>999</v>
      </c>
      <c r="I5959" t="s">
        <v>999</v>
      </c>
      <c r="J5959" t="s">
        <v>60</v>
      </c>
      <c r="K5959" t="s">
        <v>200</v>
      </c>
      <c r="L5959" t="s">
        <v>62</v>
      </c>
      <c r="M5959" t="s">
        <v>200</v>
      </c>
      <c r="N5959" t="s">
        <v>1000</v>
      </c>
      <c r="O5959" t="s">
        <v>1001</v>
      </c>
      <c r="P5959">
        <v>-20.128198000000001</v>
      </c>
      <c r="Q5959">
        <v>-44.897989000000003</v>
      </c>
      <c r="R5959" s="2" t="str">
        <f>HYPERLINK("https://www.google.com/maps?q=-20.1281980,-44.8979890","Abrir no Google Maps")</f>
        <v>Abrir no Google Maps</v>
      </c>
      <c r="S5959">
        <v>3</v>
      </c>
      <c r="T5959">
        <v>764.99274209740315</v>
      </c>
      <c r="U5959">
        <v>4</v>
      </c>
      <c r="V5959">
        <v>0.23015873015873009</v>
      </c>
      <c r="W5959">
        <v>0.85</v>
      </c>
      <c r="X5959">
        <v>0.19563492063492061</v>
      </c>
      <c r="Y5959">
        <v>435</v>
      </c>
      <c r="Z5959">
        <v>666.56370235056943</v>
      </c>
      <c r="AA5959">
        <v>198</v>
      </c>
      <c r="AB5959">
        <v>332</v>
      </c>
      <c r="AC5959">
        <v>536</v>
      </c>
      <c r="AD5959">
        <v>26.22</v>
      </c>
      <c r="AE5959">
        <v>542</v>
      </c>
      <c r="AF5959">
        <v>11</v>
      </c>
      <c r="AG5959">
        <v>181</v>
      </c>
      <c r="AH5959">
        <v>129</v>
      </c>
      <c r="AI5959">
        <v>2.0299999999999998</v>
      </c>
      <c r="AJ5959">
        <v>33.39</v>
      </c>
      <c r="AK5959">
        <v>23.8</v>
      </c>
      <c r="AL5959">
        <v>-20.129869449999941</v>
      </c>
      <c r="AM5959">
        <v>-44.897878269453869</v>
      </c>
      <c r="AN5959">
        <v>-20.129869449999941</v>
      </c>
      <c r="AO5959">
        <v>-44.897878269453869</v>
      </c>
      <c r="AP5959">
        <v>-20.128198000000001</v>
      </c>
      <c r="AQ5959">
        <v>-44.897989000000003</v>
      </c>
      <c r="AR5959">
        <v>186.42541239811899</v>
      </c>
      <c r="AS5959" t="s">
        <v>65</v>
      </c>
      <c r="AT5959">
        <v>1</v>
      </c>
      <c r="AU5959" t="s">
        <v>1002</v>
      </c>
      <c r="AV5959" t="s">
        <v>1003</v>
      </c>
      <c r="AW5959" t="s">
        <v>60</v>
      </c>
      <c r="AX5959" t="s">
        <v>68</v>
      </c>
      <c r="AY5959" t="s">
        <v>69</v>
      </c>
      <c r="AZ5959" t="b">
        <v>1</v>
      </c>
    </row>
    <row r="5960" spans="1:52" x14ac:dyDescent="0.3">
      <c r="A5960" t="s">
        <v>52</v>
      </c>
      <c r="B5960" t="s">
        <v>53</v>
      </c>
      <c r="C5960" t="s">
        <v>54</v>
      </c>
      <c r="D5960" t="s">
        <v>55</v>
      </c>
      <c r="E5960" t="s">
        <v>2281</v>
      </c>
      <c r="F5960" t="s">
        <v>190</v>
      </c>
      <c r="G5960" t="s">
        <v>1004</v>
      </c>
      <c r="H5960" t="s">
        <v>1005</v>
      </c>
      <c r="I5960" t="s">
        <v>1005</v>
      </c>
      <c r="J5960" t="s">
        <v>60</v>
      </c>
      <c r="K5960" t="s">
        <v>664</v>
      </c>
      <c r="L5960" t="s">
        <v>62</v>
      </c>
      <c r="M5960" t="s">
        <v>664</v>
      </c>
      <c r="N5960" t="s">
        <v>1006</v>
      </c>
      <c r="O5960" t="s">
        <v>1007</v>
      </c>
      <c r="P5960">
        <v>-20.136424000000002</v>
      </c>
      <c r="Q5960">
        <v>-44.902287999999999</v>
      </c>
      <c r="R5960" s="2" t="str">
        <f>HYPERLINK("https://www.google.com/maps?q=-20.1364240,-44.9022880","Abrir no Google Maps")</f>
        <v>Abrir no Google Maps</v>
      </c>
      <c r="S5960">
        <v>3</v>
      </c>
      <c r="T5960">
        <v>0</v>
      </c>
      <c r="U5960">
        <v>4</v>
      </c>
      <c r="V5960">
        <v>0.2031963470319634</v>
      </c>
      <c r="W5960">
        <v>0.85</v>
      </c>
      <c r="X5960">
        <v>0.17271689497716891</v>
      </c>
      <c r="Y5960">
        <v>435</v>
      </c>
      <c r="Z5960">
        <v>273.7310860392941</v>
      </c>
      <c r="AA5960">
        <v>198</v>
      </c>
      <c r="AB5960">
        <v>332</v>
      </c>
      <c r="AC5960">
        <v>536</v>
      </c>
      <c r="AD5960">
        <v>26.22</v>
      </c>
      <c r="AE5960">
        <v>542</v>
      </c>
      <c r="AF5960">
        <v>11</v>
      </c>
      <c r="AG5960">
        <v>181</v>
      </c>
      <c r="AH5960">
        <v>129</v>
      </c>
      <c r="AI5960">
        <v>2.0299999999999998</v>
      </c>
      <c r="AJ5960">
        <v>33.39</v>
      </c>
      <c r="AK5960">
        <v>23.8</v>
      </c>
      <c r="AL5960">
        <v>-20.135768749999951</v>
      </c>
      <c r="AM5960">
        <v>-44.901693772064696</v>
      </c>
      <c r="AN5960">
        <v>-20.135768749999951</v>
      </c>
      <c r="AO5960">
        <v>-44.901693772064696</v>
      </c>
      <c r="AP5960">
        <v>-20.136424000000002</v>
      </c>
      <c r="AQ5960">
        <v>-44.902287999999999</v>
      </c>
      <c r="AR5960">
        <v>95.800830031045166</v>
      </c>
      <c r="AS5960" t="s">
        <v>65</v>
      </c>
      <c r="AT5960">
        <v>1</v>
      </c>
      <c r="AU5960" t="s">
        <v>1008</v>
      </c>
      <c r="AV5960" t="s">
        <v>668</v>
      </c>
      <c r="AW5960" t="s">
        <v>60</v>
      </c>
      <c r="AX5960" t="s">
        <v>68</v>
      </c>
      <c r="AY5960" t="s">
        <v>69</v>
      </c>
      <c r="AZ5960" t="b">
        <v>1</v>
      </c>
    </row>
    <row r="5961" spans="1:52" x14ac:dyDescent="0.3">
      <c r="A5961" t="s">
        <v>52</v>
      </c>
      <c r="B5961" t="s">
        <v>53</v>
      </c>
      <c r="C5961" t="s">
        <v>54</v>
      </c>
      <c r="D5961" t="s">
        <v>55</v>
      </c>
      <c r="E5961" t="s">
        <v>2281</v>
      </c>
      <c r="F5961" t="s">
        <v>190</v>
      </c>
      <c r="G5961" t="s">
        <v>662</v>
      </c>
      <c r="H5961" t="s">
        <v>663</v>
      </c>
      <c r="I5961" t="s">
        <v>663</v>
      </c>
      <c r="J5961" t="s">
        <v>60</v>
      </c>
      <c r="K5961" t="s">
        <v>664</v>
      </c>
      <c r="L5961" t="s">
        <v>62</v>
      </c>
      <c r="M5961" t="s">
        <v>664</v>
      </c>
      <c r="N5961" t="s">
        <v>665</v>
      </c>
      <c r="O5961" t="s">
        <v>666</v>
      </c>
      <c r="P5961">
        <v>-20.13401</v>
      </c>
      <c r="Q5961">
        <v>-44.896515999999998</v>
      </c>
      <c r="R5961" s="2" t="str">
        <f>HYPERLINK("https://www.google.com/maps?q=-20.1340100,-44.8965160","Abrir no Google Maps")</f>
        <v>Abrir no Google Maps</v>
      </c>
      <c r="S5961">
        <v>3</v>
      </c>
      <c r="T5961">
        <v>577.93085469739992</v>
      </c>
      <c r="U5961">
        <v>4</v>
      </c>
      <c r="V5961">
        <v>0.2718253968253968</v>
      </c>
      <c r="W5961">
        <v>0.85</v>
      </c>
      <c r="X5961">
        <v>0.23105158730158731</v>
      </c>
      <c r="Y5961">
        <v>435</v>
      </c>
      <c r="Z5961">
        <v>334.84976208093428</v>
      </c>
      <c r="AA5961">
        <v>198</v>
      </c>
      <c r="AB5961">
        <v>332</v>
      </c>
      <c r="AC5961">
        <v>536</v>
      </c>
      <c r="AD5961">
        <v>26.22</v>
      </c>
      <c r="AE5961">
        <v>542</v>
      </c>
      <c r="AF5961">
        <v>11</v>
      </c>
      <c r="AG5961">
        <v>181</v>
      </c>
      <c r="AH5961">
        <v>129</v>
      </c>
      <c r="AI5961">
        <v>2.0299999999999998</v>
      </c>
      <c r="AJ5961">
        <v>33.39</v>
      </c>
      <c r="AK5961">
        <v>23.8</v>
      </c>
      <c r="AL5961">
        <v>-20.134194999999949</v>
      </c>
      <c r="AM5961">
        <v>-44.896421210298939</v>
      </c>
      <c r="AN5961">
        <v>-20.134194999999949</v>
      </c>
      <c r="AO5961">
        <v>-44.896421210298939</v>
      </c>
      <c r="AP5961">
        <v>-20.13401</v>
      </c>
      <c r="AQ5961">
        <v>-44.896515999999998</v>
      </c>
      <c r="AR5961">
        <v>22.853284872316269</v>
      </c>
      <c r="AS5961" t="s">
        <v>65</v>
      </c>
      <c r="AT5961">
        <v>1</v>
      </c>
      <c r="AU5961" t="s">
        <v>667</v>
      </c>
      <c r="AV5961" t="s">
        <v>668</v>
      </c>
      <c r="AW5961" t="s">
        <v>60</v>
      </c>
      <c r="AX5961" t="s">
        <v>68</v>
      </c>
      <c r="AY5961" t="s">
        <v>69</v>
      </c>
      <c r="AZ5961" t="b">
        <v>1</v>
      </c>
    </row>
    <row r="5962" spans="1:52" x14ac:dyDescent="0.3">
      <c r="A5962" t="s">
        <v>52</v>
      </c>
      <c r="B5962" t="s">
        <v>53</v>
      </c>
      <c r="C5962" t="s">
        <v>54</v>
      </c>
      <c r="D5962" t="s">
        <v>55</v>
      </c>
      <c r="E5962" t="s">
        <v>2281</v>
      </c>
      <c r="F5962" t="s">
        <v>190</v>
      </c>
      <c r="G5962" t="s">
        <v>669</v>
      </c>
      <c r="H5962" t="s">
        <v>670</v>
      </c>
      <c r="I5962" t="s">
        <v>670</v>
      </c>
      <c r="J5962" t="s">
        <v>60</v>
      </c>
      <c r="K5962" t="s">
        <v>530</v>
      </c>
      <c r="L5962" t="s">
        <v>62</v>
      </c>
      <c r="M5962" t="s">
        <v>530</v>
      </c>
      <c r="N5962" t="s">
        <v>671</v>
      </c>
      <c r="O5962" t="s">
        <v>672</v>
      </c>
      <c r="P5962">
        <v>-20.139036999999998</v>
      </c>
      <c r="Q5962">
        <v>-44.889187</v>
      </c>
      <c r="R5962" s="2" t="str">
        <f>HYPERLINK("https://www.google.com/maps?q=-20.1390370,-44.8891870","Abrir no Google Maps")</f>
        <v>Abrir no Google Maps</v>
      </c>
      <c r="S5962">
        <v>3</v>
      </c>
      <c r="T5962">
        <v>162.03713995333371</v>
      </c>
      <c r="U5962">
        <v>4</v>
      </c>
      <c r="V5962">
        <v>0.27083333333333331</v>
      </c>
      <c r="W5962">
        <v>1</v>
      </c>
      <c r="X5962">
        <v>0.27083333333333331</v>
      </c>
      <c r="Y5962">
        <v>428</v>
      </c>
      <c r="Z5962">
        <v>126.21352118044651</v>
      </c>
      <c r="AA5962">
        <v>198</v>
      </c>
      <c r="AB5962">
        <v>332</v>
      </c>
      <c r="AC5962">
        <v>536</v>
      </c>
      <c r="AD5962">
        <v>26.22</v>
      </c>
      <c r="AE5962">
        <v>542</v>
      </c>
      <c r="AF5962">
        <v>11</v>
      </c>
      <c r="AG5962">
        <v>181</v>
      </c>
      <c r="AH5962">
        <v>129</v>
      </c>
      <c r="AI5962">
        <v>2.0299999999999998</v>
      </c>
      <c r="AJ5962">
        <v>33.39</v>
      </c>
      <c r="AK5962">
        <v>23.8</v>
      </c>
      <c r="AL5962">
        <v>-20.13900394999996</v>
      </c>
      <c r="AM5962">
        <v>-44.889298503583859</v>
      </c>
      <c r="AN5962">
        <v>-20.13900394999996</v>
      </c>
      <c r="AO5962">
        <v>-44.889298503583859</v>
      </c>
      <c r="AP5962">
        <v>-20.139036999999998</v>
      </c>
      <c r="AQ5962">
        <v>-44.889187</v>
      </c>
      <c r="AR5962">
        <v>12.220642731957311</v>
      </c>
      <c r="AS5962" t="s">
        <v>65</v>
      </c>
      <c r="AT5962">
        <v>1</v>
      </c>
      <c r="AU5962" t="s">
        <v>673</v>
      </c>
      <c r="AV5962" t="s">
        <v>674</v>
      </c>
      <c r="AW5962" t="s">
        <v>60</v>
      </c>
      <c r="AX5962" t="s">
        <v>68</v>
      </c>
      <c r="AY5962" t="s">
        <v>69</v>
      </c>
      <c r="AZ5962" t="b">
        <v>1</v>
      </c>
    </row>
    <row r="5963" spans="1:52" x14ac:dyDescent="0.3">
      <c r="A5963" t="s">
        <v>52</v>
      </c>
      <c r="B5963" t="s">
        <v>53</v>
      </c>
      <c r="C5963" t="s">
        <v>54</v>
      </c>
      <c r="D5963" t="s">
        <v>55</v>
      </c>
      <c r="E5963" t="s">
        <v>2281</v>
      </c>
      <c r="F5963" t="s">
        <v>190</v>
      </c>
      <c r="G5963" t="s">
        <v>675</v>
      </c>
      <c r="H5963" t="s">
        <v>676</v>
      </c>
      <c r="I5963" t="s">
        <v>676</v>
      </c>
      <c r="J5963" t="s">
        <v>60</v>
      </c>
      <c r="K5963" t="s">
        <v>530</v>
      </c>
      <c r="L5963" t="s">
        <v>62</v>
      </c>
      <c r="M5963" t="s">
        <v>530</v>
      </c>
      <c r="N5963" t="s">
        <v>677</v>
      </c>
      <c r="O5963" t="s">
        <v>678</v>
      </c>
      <c r="P5963">
        <v>-20.140103</v>
      </c>
      <c r="Q5963">
        <v>-44.887059999999998</v>
      </c>
      <c r="R5963" s="2" t="str">
        <f>HYPERLINK("https://www.google.com/maps?q=-20.1401030,-44.8870600","Abrir no Google Maps")</f>
        <v>Abrir no Google Maps</v>
      </c>
      <c r="S5963">
        <v>3</v>
      </c>
      <c r="T5963">
        <v>202.19329492684349</v>
      </c>
      <c r="U5963">
        <v>4</v>
      </c>
      <c r="V5963">
        <v>0.30855018587360589</v>
      </c>
      <c r="W5963">
        <v>1</v>
      </c>
      <c r="X5963">
        <v>0.30855018587360589</v>
      </c>
      <c r="Y5963">
        <v>428</v>
      </c>
      <c r="Z5963">
        <v>144.95603883960419</v>
      </c>
      <c r="AA5963">
        <v>198</v>
      </c>
      <c r="AB5963">
        <v>332</v>
      </c>
      <c r="AC5963">
        <v>536</v>
      </c>
      <c r="AD5963">
        <v>26.22</v>
      </c>
      <c r="AE5963">
        <v>542</v>
      </c>
      <c r="AF5963">
        <v>11</v>
      </c>
      <c r="AG5963">
        <v>181</v>
      </c>
      <c r="AH5963">
        <v>129</v>
      </c>
      <c r="AI5963">
        <v>2.0299999999999998</v>
      </c>
      <c r="AJ5963">
        <v>33.39</v>
      </c>
      <c r="AK5963">
        <v>23.8</v>
      </c>
      <c r="AL5963">
        <v>-20.13997164999995</v>
      </c>
      <c r="AM5963">
        <v>-44.887075246455773</v>
      </c>
      <c r="AN5963">
        <v>-20.13997164999995</v>
      </c>
      <c r="AO5963">
        <v>-44.887075246455773</v>
      </c>
      <c r="AP5963">
        <v>-20.140103</v>
      </c>
      <c r="AQ5963">
        <v>-44.887059999999998</v>
      </c>
      <c r="AR5963">
        <v>14.7084512385181</v>
      </c>
      <c r="AS5963" t="s">
        <v>65</v>
      </c>
      <c r="AT5963">
        <v>1</v>
      </c>
      <c r="AU5963" t="s">
        <v>679</v>
      </c>
      <c r="AV5963" t="s">
        <v>680</v>
      </c>
      <c r="AW5963" t="s">
        <v>60</v>
      </c>
      <c r="AX5963" t="s">
        <v>68</v>
      </c>
      <c r="AY5963" t="s">
        <v>69</v>
      </c>
      <c r="AZ5963" t="b">
        <v>1</v>
      </c>
    </row>
    <row r="5964" spans="1:52" x14ac:dyDescent="0.3">
      <c r="A5964" t="s">
        <v>52</v>
      </c>
      <c r="B5964" t="s">
        <v>53</v>
      </c>
      <c r="C5964" t="s">
        <v>54</v>
      </c>
      <c r="D5964" t="s">
        <v>55</v>
      </c>
      <c r="E5964" t="s">
        <v>2281</v>
      </c>
      <c r="F5964" t="s">
        <v>190</v>
      </c>
      <c r="G5964" t="s">
        <v>1009</v>
      </c>
      <c r="H5964" t="s">
        <v>1010</v>
      </c>
      <c r="I5964" t="s">
        <v>1010</v>
      </c>
      <c r="J5964" t="s">
        <v>60</v>
      </c>
      <c r="K5964" t="s">
        <v>530</v>
      </c>
      <c r="L5964" t="s">
        <v>62</v>
      </c>
      <c r="M5964" t="s">
        <v>530</v>
      </c>
      <c r="N5964" t="s">
        <v>1011</v>
      </c>
      <c r="O5964" t="s">
        <v>315</v>
      </c>
      <c r="P5964">
        <v>-20.141300999999999</v>
      </c>
      <c r="Q5964">
        <v>-44.887509999999999</v>
      </c>
      <c r="R5964" s="2" t="str">
        <f>HYPERLINK("https://www.google.com/maps?q=-20.1413010,-44.8875100","Abrir no Google Maps")</f>
        <v>Abrir no Google Maps</v>
      </c>
      <c r="S5964">
        <v>3</v>
      </c>
      <c r="T5964">
        <v>351.30731383872319</v>
      </c>
      <c r="U5964">
        <v>4</v>
      </c>
      <c r="V5964">
        <v>0.29931972789115641</v>
      </c>
      <c r="W5964">
        <v>0.85</v>
      </c>
      <c r="X5964">
        <v>0.25442176870748301</v>
      </c>
      <c r="Y5964">
        <v>428</v>
      </c>
      <c r="Z5964">
        <v>285.79917278216982</v>
      </c>
      <c r="AA5964">
        <v>198</v>
      </c>
      <c r="AB5964">
        <v>332</v>
      </c>
      <c r="AC5964">
        <v>536</v>
      </c>
      <c r="AD5964">
        <v>26.22</v>
      </c>
      <c r="AE5964">
        <v>542</v>
      </c>
      <c r="AF5964">
        <v>11</v>
      </c>
      <c r="AG5964">
        <v>181</v>
      </c>
      <c r="AH5964">
        <v>129</v>
      </c>
      <c r="AI5964">
        <v>2.0299999999999998</v>
      </c>
      <c r="AJ5964">
        <v>33.39</v>
      </c>
      <c r="AK5964">
        <v>23.8</v>
      </c>
      <c r="AL5964">
        <v>-20.141454249999949</v>
      </c>
      <c r="AM5964">
        <v>-44.887331612944081</v>
      </c>
      <c r="AN5964">
        <v>-20.141454249999949</v>
      </c>
      <c r="AO5964">
        <v>-44.887331612944081</v>
      </c>
      <c r="AP5964">
        <v>-20.141300999999999</v>
      </c>
      <c r="AQ5964">
        <v>-44.887509999999999</v>
      </c>
      <c r="AR5964">
        <v>25.270963110561588</v>
      </c>
      <c r="AS5964" t="s">
        <v>65</v>
      </c>
      <c r="AT5964">
        <v>1</v>
      </c>
      <c r="AU5964" t="s">
        <v>1012</v>
      </c>
      <c r="AV5964" t="s">
        <v>1013</v>
      </c>
      <c r="AW5964" t="s">
        <v>60</v>
      </c>
      <c r="AX5964" t="s">
        <v>68</v>
      </c>
      <c r="AY5964" t="s">
        <v>69</v>
      </c>
      <c r="AZ5964" t="b">
        <v>1</v>
      </c>
    </row>
    <row r="5965" spans="1:52" x14ac:dyDescent="0.3">
      <c r="A5965" t="s">
        <v>52</v>
      </c>
      <c r="B5965" t="s">
        <v>53</v>
      </c>
      <c r="C5965" t="s">
        <v>54</v>
      </c>
      <c r="D5965" t="s">
        <v>55</v>
      </c>
      <c r="E5965" t="s">
        <v>2281</v>
      </c>
      <c r="F5965" t="s">
        <v>190</v>
      </c>
      <c r="G5965" t="s">
        <v>681</v>
      </c>
      <c r="H5965" t="s">
        <v>682</v>
      </c>
      <c r="I5965" t="s">
        <v>682</v>
      </c>
      <c r="J5965" t="s">
        <v>60</v>
      </c>
      <c r="K5965" t="s">
        <v>530</v>
      </c>
      <c r="L5965" t="s">
        <v>62</v>
      </c>
      <c r="M5965" t="s">
        <v>530</v>
      </c>
      <c r="N5965" t="s">
        <v>683</v>
      </c>
      <c r="O5965" t="s">
        <v>173</v>
      </c>
      <c r="P5965">
        <v>-20.138342999999999</v>
      </c>
      <c r="Q5965">
        <v>-44.887732</v>
      </c>
      <c r="R5965" s="2" t="str">
        <f>HYPERLINK("https://www.google.com/maps?q=-20.1383430,-44.8877320","Abrir no Google Maps")</f>
        <v>Abrir no Google Maps</v>
      </c>
      <c r="S5965">
        <v>3</v>
      </c>
      <c r="T5965">
        <v>0</v>
      </c>
      <c r="U5965">
        <v>4</v>
      </c>
      <c r="V5965">
        <v>0.27546296296296291</v>
      </c>
      <c r="W5965">
        <v>1</v>
      </c>
      <c r="X5965">
        <v>0.27546296296296291</v>
      </c>
      <c r="Y5965">
        <v>428</v>
      </c>
      <c r="Z5965">
        <v>82.685534812530861</v>
      </c>
      <c r="AA5965">
        <v>198</v>
      </c>
      <c r="AB5965">
        <v>332</v>
      </c>
      <c r="AC5965">
        <v>536</v>
      </c>
      <c r="AD5965">
        <v>26.22</v>
      </c>
      <c r="AE5965">
        <v>542</v>
      </c>
      <c r="AF5965">
        <v>11</v>
      </c>
      <c r="AG5965">
        <v>181</v>
      </c>
      <c r="AH5965">
        <v>129</v>
      </c>
      <c r="AI5965">
        <v>2.0299999999999998</v>
      </c>
      <c r="AJ5965">
        <v>33.39</v>
      </c>
      <c r="AK5965">
        <v>23.8</v>
      </c>
      <c r="AL5965">
        <v>-20.138329099999961</v>
      </c>
      <c r="AM5965">
        <v>-44.887922589375549</v>
      </c>
      <c r="AN5965">
        <v>-20.138329099999961</v>
      </c>
      <c r="AO5965">
        <v>-44.887922589375549</v>
      </c>
      <c r="AP5965">
        <v>-20.138342999999999</v>
      </c>
      <c r="AQ5965">
        <v>-44.887732</v>
      </c>
      <c r="AR5965">
        <v>19.979335127307191</v>
      </c>
      <c r="AS5965" t="s">
        <v>65</v>
      </c>
      <c r="AT5965">
        <v>1</v>
      </c>
      <c r="AU5965" t="s">
        <v>684</v>
      </c>
      <c r="AV5965" t="s">
        <v>685</v>
      </c>
      <c r="AW5965" t="s">
        <v>60</v>
      </c>
      <c r="AX5965" t="s">
        <v>68</v>
      </c>
      <c r="AY5965" t="s">
        <v>69</v>
      </c>
      <c r="AZ5965" t="b">
        <v>1</v>
      </c>
    </row>
    <row r="5966" spans="1:52" x14ac:dyDescent="0.3">
      <c r="A5966" t="s">
        <v>52</v>
      </c>
      <c r="B5966" t="s">
        <v>53</v>
      </c>
      <c r="C5966" t="s">
        <v>54</v>
      </c>
      <c r="D5966" t="s">
        <v>55</v>
      </c>
      <c r="E5966" t="s">
        <v>2281</v>
      </c>
      <c r="F5966" t="s">
        <v>190</v>
      </c>
      <c r="G5966" t="s">
        <v>686</v>
      </c>
      <c r="H5966" t="s">
        <v>687</v>
      </c>
      <c r="I5966" t="s">
        <v>687</v>
      </c>
      <c r="J5966" t="s">
        <v>60</v>
      </c>
      <c r="K5966" t="s">
        <v>688</v>
      </c>
      <c r="L5966" t="s">
        <v>62</v>
      </c>
      <c r="M5966" t="s">
        <v>688</v>
      </c>
      <c r="N5966" t="s">
        <v>689</v>
      </c>
      <c r="O5966" t="s">
        <v>690</v>
      </c>
      <c r="P5966">
        <v>-20.136451999999998</v>
      </c>
      <c r="Q5966">
        <v>-44.891254000000004</v>
      </c>
      <c r="R5966" s="2" t="str">
        <f>HYPERLINK("https://www.google.com/maps?q=-20.1364520,-44.8912540","Abrir no Google Maps")</f>
        <v>Abrir no Google Maps</v>
      </c>
      <c r="S5966">
        <v>3</v>
      </c>
      <c r="T5966">
        <v>397.58661308638909</v>
      </c>
      <c r="U5966">
        <v>4</v>
      </c>
      <c r="V5966">
        <v>0.2951653944020356</v>
      </c>
      <c r="W5966">
        <v>1</v>
      </c>
      <c r="X5966">
        <v>0.2951653944020356</v>
      </c>
      <c r="Y5966">
        <v>428</v>
      </c>
      <c r="Z5966">
        <v>449.62002896840892</v>
      </c>
      <c r="AA5966">
        <v>198</v>
      </c>
      <c r="AB5966">
        <v>332</v>
      </c>
      <c r="AC5966">
        <v>536</v>
      </c>
      <c r="AD5966">
        <v>26.22</v>
      </c>
      <c r="AE5966">
        <v>542</v>
      </c>
      <c r="AF5966">
        <v>11</v>
      </c>
      <c r="AG5966">
        <v>181</v>
      </c>
      <c r="AH5966">
        <v>129</v>
      </c>
      <c r="AI5966">
        <v>2.0299999999999998</v>
      </c>
      <c r="AJ5966">
        <v>33.39</v>
      </c>
      <c r="AK5966">
        <v>23.8</v>
      </c>
      <c r="AL5966">
        <v>-20.136400499999951</v>
      </c>
      <c r="AM5966">
        <v>-44.891173264034883</v>
      </c>
      <c r="AN5966">
        <v>-20.136400499999951</v>
      </c>
      <c r="AO5966">
        <v>-44.891173264034883</v>
      </c>
      <c r="AP5966">
        <v>-20.136451999999998</v>
      </c>
      <c r="AQ5966">
        <v>-44.891254000000004</v>
      </c>
      <c r="AR5966">
        <v>10.20146066113916</v>
      </c>
      <c r="AS5966" t="s">
        <v>65</v>
      </c>
      <c r="AT5966">
        <v>1</v>
      </c>
      <c r="AU5966" t="s">
        <v>691</v>
      </c>
      <c r="AV5966" t="s">
        <v>692</v>
      </c>
      <c r="AW5966" t="s">
        <v>60</v>
      </c>
      <c r="AX5966" t="s">
        <v>68</v>
      </c>
      <c r="AY5966" t="s">
        <v>69</v>
      </c>
      <c r="AZ5966" t="b">
        <v>1</v>
      </c>
    </row>
    <row r="5967" spans="1:52" x14ac:dyDescent="0.3">
      <c r="A5967" t="s">
        <v>52</v>
      </c>
      <c r="B5967" t="s">
        <v>53</v>
      </c>
      <c r="C5967" t="s">
        <v>54</v>
      </c>
      <c r="D5967" t="s">
        <v>55</v>
      </c>
      <c r="E5967" t="s">
        <v>2281</v>
      </c>
      <c r="F5967" t="s">
        <v>190</v>
      </c>
      <c r="G5967" t="s">
        <v>706</v>
      </c>
      <c r="H5967" t="s">
        <v>707</v>
      </c>
      <c r="I5967" t="s">
        <v>707</v>
      </c>
      <c r="J5967" t="s">
        <v>60</v>
      </c>
      <c r="K5967" t="s">
        <v>708</v>
      </c>
      <c r="L5967" t="s">
        <v>62</v>
      </c>
      <c r="M5967" t="s">
        <v>708</v>
      </c>
      <c r="N5967" t="s">
        <v>709</v>
      </c>
      <c r="O5967" t="s">
        <v>710</v>
      </c>
      <c r="P5967">
        <v>-20.127054999999999</v>
      </c>
      <c r="Q5967">
        <v>-44.872073</v>
      </c>
      <c r="R5967" s="2" t="str">
        <f>HYPERLINK("https://www.google.com/maps?q=-20.1270550,-44.8720730","Abrir no Google Maps")</f>
        <v>Abrir no Google Maps</v>
      </c>
      <c r="S5967">
        <v>3</v>
      </c>
      <c r="T5967">
        <v>395.91108553086929</v>
      </c>
      <c r="U5967">
        <v>4</v>
      </c>
      <c r="V5967">
        <v>0.10232558139534879</v>
      </c>
      <c r="W5967">
        <v>1</v>
      </c>
      <c r="X5967">
        <v>0.10232558139534879</v>
      </c>
      <c r="Y5967">
        <v>387</v>
      </c>
      <c r="Z5967">
        <v>518.31496622382247</v>
      </c>
      <c r="AA5967">
        <v>198</v>
      </c>
      <c r="AB5967">
        <v>332</v>
      </c>
      <c r="AC5967">
        <v>536</v>
      </c>
      <c r="AD5967">
        <v>26.22</v>
      </c>
      <c r="AE5967">
        <v>542</v>
      </c>
      <c r="AF5967">
        <v>11</v>
      </c>
      <c r="AG5967">
        <v>181</v>
      </c>
      <c r="AH5967">
        <v>129</v>
      </c>
      <c r="AI5967">
        <v>2.0299999999999998</v>
      </c>
      <c r="AJ5967">
        <v>33.39</v>
      </c>
      <c r="AK5967">
        <v>23.8</v>
      </c>
      <c r="AL5967">
        <v>-20.126854749999978</v>
      </c>
      <c r="AM5967">
        <v>-44.871712455027861</v>
      </c>
      <c r="AN5967">
        <v>-20.126854749999978</v>
      </c>
      <c r="AO5967">
        <v>-44.871712455027861</v>
      </c>
      <c r="AP5967">
        <v>-20.127054999999999</v>
      </c>
      <c r="AQ5967">
        <v>-44.872073</v>
      </c>
      <c r="AR5967">
        <v>43.784435535392717</v>
      </c>
      <c r="AS5967" t="s">
        <v>65</v>
      </c>
      <c r="AT5967">
        <v>1</v>
      </c>
      <c r="AU5967" t="s">
        <v>711</v>
      </c>
      <c r="AV5967" t="s">
        <v>712</v>
      </c>
      <c r="AW5967" t="s">
        <v>60</v>
      </c>
      <c r="AX5967" t="s">
        <v>68</v>
      </c>
      <c r="AY5967" t="s">
        <v>69</v>
      </c>
      <c r="AZ5967" t="b">
        <v>1</v>
      </c>
    </row>
    <row r="5968" spans="1:52" x14ac:dyDescent="0.3">
      <c r="A5968" t="s">
        <v>52</v>
      </c>
      <c r="B5968" t="s">
        <v>53</v>
      </c>
      <c r="C5968" t="s">
        <v>54</v>
      </c>
      <c r="D5968" t="s">
        <v>55</v>
      </c>
      <c r="E5968" t="s">
        <v>2281</v>
      </c>
      <c r="F5968" t="s">
        <v>190</v>
      </c>
      <c r="G5968" t="s">
        <v>713</v>
      </c>
      <c r="H5968" t="s">
        <v>714</v>
      </c>
      <c r="I5968" t="s">
        <v>714</v>
      </c>
      <c r="J5968" t="s">
        <v>60</v>
      </c>
      <c r="K5968" t="s">
        <v>708</v>
      </c>
      <c r="L5968" t="s">
        <v>62</v>
      </c>
      <c r="M5968" t="s">
        <v>708</v>
      </c>
      <c r="N5968" t="s">
        <v>715</v>
      </c>
      <c r="O5968" t="s">
        <v>604</v>
      </c>
      <c r="P5968">
        <v>-20.133372000000001</v>
      </c>
      <c r="Q5968">
        <v>-44.878864</v>
      </c>
      <c r="R5968" s="2" t="str">
        <f>HYPERLINK("https://www.google.com/maps?q=-20.1333720,-44.8788640","Abrir no Google Maps")</f>
        <v>Abrir no Google Maps</v>
      </c>
      <c r="S5968">
        <v>3</v>
      </c>
      <c r="T5968">
        <v>719.22842848296966</v>
      </c>
      <c r="U5968">
        <v>4</v>
      </c>
      <c r="V5968">
        <v>0.1499272197962154</v>
      </c>
      <c r="W5968">
        <v>1</v>
      </c>
      <c r="X5968">
        <v>0.1499272197962154</v>
      </c>
      <c r="Y5968">
        <v>387</v>
      </c>
      <c r="Z5968">
        <v>630.8628365125652</v>
      </c>
      <c r="AA5968">
        <v>198</v>
      </c>
      <c r="AB5968">
        <v>332</v>
      </c>
      <c r="AC5968">
        <v>536</v>
      </c>
      <c r="AD5968">
        <v>26.22</v>
      </c>
      <c r="AE5968">
        <v>542</v>
      </c>
      <c r="AF5968">
        <v>11</v>
      </c>
      <c r="AG5968">
        <v>181</v>
      </c>
      <c r="AH5968">
        <v>129</v>
      </c>
      <c r="AI5968">
        <v>2.0299999999999998</v>
      </c>
      <c r="AJ5968">
        <v>33.39</v>
      </c>
      <c r="AK5968">
        <v>23.8</v>
      </c>
      <c r="AL5968">
        <v>-20.133312349999951</v>
      </c>
      <c r="AM5968">
        <v>-44.879452111094892</v>
      </c>
      <c r="AN5968">
        <v>-20.133312349999951</v>
      </c>
      <c r="AO5968">
        <v>-44.879452111094892</v>
      </c>
      <c r="AP5968">
        <v>-20.133372000000001</v>
      </c>
      <c r="AQ5968">
        <v>-44.878864</v>
      </c>
      <c r="AR5968">
        <v>61.825649864116713</v>
      </c>
      <c r="AS5968" t="s">
        <v>65</v>
      </c>
      <c r="AT5968">
        <v>1</v>
      </c>
      <c r="AU5968" t="s">
        <v>716</v>
      </c>
      <c r="AV5968" t="s">
        <v>717</v>
      </c>
      <c r="AW5968" t="s">
        <v>60</v>
      </c>
      <c r="AX5968" t="s">
        <v>68</v>
      </c>
      <c r="AY5968" t="s">
        <v>69</v>
      </c>
      <c r="AZ5968" t="b">
        <v>1</v>
      </c>
    </row>
    <row r="5969" spans="1:52" x14ac:dyDescent="0.3">
      <c r="A5969" t="s">
        <v>52</v>
      </c>
      <c r="B5969" t="s">
        <v>53</v>
      </c>
      <c r="C5969" t="s">
        <v>54</v>
      </c>
      <c r="D5969" t="s">
        <v>55</v>
      </c>
      <c r="E5969" t="s">
        <v>2281</v>
      </c>
      <c r="F5969" t="s">
        <v>190</v>
      </c>
      <c r="G5969" t="s">
        <v>718</v>
      </c>
      <c r="H5969" t="s">
        <v>719</v>
      </c>
      <c r="I5969" t="s">
        <v>719</v>
      </c>
      <c r="J5969" t="s">
        <v>60</v>
      </c>
      <c r="K5969" t="s">
        <v>708</v>
      </c>
      <c r="L5969" t="s">
        <v>62</v>
      </c>
      <c r="M5969" t="s">
        <v>708</v>
      </c>
      <c r="N5969" t="s">
        <v>720</v>
      </c>
      <c r="O5969" t="s">
        <v>721</v>
      </c>
      <c r="P5969">
        <v>-20.130344000000001</v>
      </c>
      <c r="Q5969">
        <v>-44.878869000000002</v>
      </c>
      <c r="R5969" s="2" t="str">
        <f>HYPERLINK("https://www.google.com/maps?q=-20.1303440,-44.8788690","Abrir no Google Maps")</f>
        <v>Abrir no Google Maps</v>
      </c>
      <c r="S5969">
        <v>3</v>
      </c>
      <c r="T5969">
        <v>556.14753541089829</v>
      </c>
      <c r="U5969">
        <v>4</v>
      </c>
      <c r="V5969">
        <v>0.2269841269841269</v>
      </c>
      <c r="W5969">
        <v>1</v>
      </c>
      <c r="X5969">
        <v>0.2269841269841269</v>
      </c>
      <c r="Y5969">
        <v>387</v>
      </c>
      <c r="Z5969">
        <v>521.53850378132177</v>
      </c>
      <c r="AA5969">
        <v>198</v>
      </c>
      <c r="AB5969">
        <v>332</v>
      </c>
      <c r="AC5969">
        <v>536</v>
      </c>
      <c r="AD5969">
        <v>26.22</v>
      </c>
      <c r="AE5969">
        <v>542</v>
      </c>
      <c r="AF5969">
        <v>11</v>
      </c>
      <c r="AG5969">
        <v>181</v>
      </c>
      <c r="AH5969">
        <v>129</v>
      </c>
      <c r="AI5969">
        <v>2.0299999999999998</v>
      </c>
      <c r="AJ5969">
        <v>33.39</v>
      </c>
      <c r="AK5969">
        <v>23.8</v>
      </c>
      <c r="AL5969">
        <v>-20.13050289999995</v>
      </c>
      <c r="AM5969">
        <v>-44.878831282856943</v>
      </c>
      <c r="AN5969">
        <v>-20.13050289999995</v>
      </c>
      <c r="AO5969">
        <v>-44.878831282856943</v>
      </c>
      <c r="AP5969">
        <v>-20.130344000000001</v>
      </c>
      <c r="AQ5969">
        <v>-44.878869000000002</v>
      </c>
      <c r="AR5969">
        <v>18.122709277240279</v>
      </c>
      <c r="AS5969" t="s">
        <v>65</v>
      </c>
      <c r="AT5969">
        <v>1</v>
      </c>
      <c r="AU5969" t="s">
        <v>722</v>
      </c>
      <c r="AV5969" t="s">
        <v>723</v>
      </c>
      <c r="AW5969" t="s">
        <v>60</v>
      </c>
      <c r="AX5969" t="s">
        <v>68</v>
      </c>
      <c r="AY5969" t="s">
        <v>69</v>
      </c>
      <c r="AZ5969" t="b">
        <v>1</v>
      </c>
    </row>
    <row r="5970" spans="1:52" x14ac:dyDescent="0.3">
      <c r="A5970" t="s">
        <v>52</v>
      </c>
      <c r="B5970" t="s">
        <v>53</v>
      </c>
      <c r="C5970" t="s">
        <v>54</v>
      </c>
      <c r="D5970" t="s">
        <v>55</v>
      </c>
      <c r="E5970" t="s">
        <v>2281</v>
      </c>
      <c r="F5970" t="s">
        <v>190</v>
      </c>
      <c r="G5970" t="s">
        <v>724</v>
      </c>
      <c r="H5970" t="s">
        <v>725</v>
      </c>
      <c r="I5970" t="s">
        <v>725</v>
      </c>
      <c r="J5970" t="s">
        <v>60</v>
      </c>
      <c r="K5970" t="s">
        <v>708</v>
      </c>
      <c r="L5970" t="s">
        <v>62</v>
      </c>
      <c r="M5970" t="s">
        <v>708</v>
      </c>
      <c r="N5970" t="s">
        <v>726</v>
      </c>
      <c r="O5970" t="s">
        <v>727</v>
      </c>
      <c r="P5970">
        <v>-20.131702000000001</v>
      </c>
      <c r="Q5970">
        <v>-44.873930999999999</v>
      </c>
      <c r="R5970" s="2" t="str">
        <f>HYPERLINK("https://www.google.com/maps?q=-20.1317020,-44.8739310","Abrir no Google Maps")</f>
        <v>Abrir no Google Maps</v>
      </c>
      <c r="S5970">
        <v>3</v>
      </c>
      <c r="T5970">
        <v>207.9085436463628</v>
      </c>
      <c r="U5970">
        <v>4</v>
      </c>
      <c r="V5970">
        <v>0.10165484633569739</v>
      </c>
      <c r="W5970">
        <v>1</v>
      </c>
      <c r="X5970">
        <v>0.10165484633569739</v>
      </c>
      <c r="Y5970">
        <v>387</v>
      </c>
      <c r="Z5970">
        <v>213.98086855276571</v>
      </c>
      <c r="AA5970">
        <v>198</v>
      </c>
      <c r="AB5970">
        <v>332</v>
      </c>
      <c r="AC5970">
        <v>536</v>
      </c>
      <c r="AD5970">
        <v>26.22</v>
      </c>
      <c r="AE5970">
        <v>542</v>
      </c>
      <c r="AF5970">
        <v>11</v>
      </c>
      <c r="AG5970">
        <v>181</v>
      </c>
      <c r="AH5970">
        <v>129</v>
      </c>
      <c r="AI5970">
        <v>2.0299999999999998</v>
      </c>
      <c r="AJ5970">
        <v>33.39</v>
      </c>
      <c r="AK5970">
        <v>23.8</v>
      </c>
      <c r="AL5970">
        <v>-20.131807549999959</v>
      </c>
      <c r="AM5970">
        <v>-44.874039553784442</v>
      </c>
      <c r="AN5970">
        <v>-20.131807549999959</v>
      </c>
      <c r="AO5970">
        <v>-44.874039553784442</v>
      </c>
      <c r="AP5970">
        <v>-20.131702000000001</v>
      </c>
      <c r="AQ5970">
        <v>-44.873930999999999</v>
      </c>
      <c r="AR5970">
        <v>16.333643574998401</v>
      </c>
      <c r="AS5970" t="s">
        <v>65</v>
      </c>
      <c r="AT5970">
        <v>1</v>
      </c>
      <c r="AU5970" t="s">
        <v>728</v>
      </c>
      <c r="AV5970" t="s">
        <v>729</v>
      </c>
      <c r="AW5970" t="s">
        <v>60</v>
      </c>
      <c r="AX5970" t="s">
        <v>68</v>
      </c>
      <c r="AY5970" t="s">
        <v>69</v>
      </c>
      <c r="AZ5970" t="b">
        <v>1</v>
      </c>
    </row>
    <row r="5971" spans="1:52" x14ac:dyDescent="0.3">
      <c r="A5971" t="s">
        <v>52</v>
      </c>
      <c r="B5971" t="s">
        <v>53</v>
      </c>
      <c r="C5971" t="s">
        <v>54</v>
      </c>
      <c r="D5971" t="s">
        <v>55</v>
      </c>
      <c r="E5971" t="s">
        <v>2281</v>
      </c>
      <c r="F5971" t="s">
        <v>190</v>
      </c>
      <c r="G5971" t="s">
        <v>1054</v>
      </c>
      <c r="H5971" t="s">
        <v>1055</v>
      </c>
      <c r="I5971" t="s">
        <v>1055</v>
      </c>
      <c r="J5971" t="s">
        <v>60</v>
      </c>
      <c r="K5971" t="s">
        <v>708</v>
      </c>
      <c r="L5971" t="s">
        <v>62</v>
      </c>
      <c r="M5971" t="s">
        <v>708</v>
      </c>
      <c r="N5971" t="s">
        <v>1056</v>
      </c>
      <c r="O5971" t="s">
        <v>315</v>
      </c>
      <c r="P5971">
        <v>-20.130849000000001</v>
      </c>
      <c r="Q5971">
        <v>-44.870922999999998</v>
      </c>
      <c r="R5971" s="2" t="str">
        <f>HYPERLINK("https://www.google.com/maps?q=-20.1308490,-44.8709230","Abrir no Google Maps")</f>
        <v>Abrir no Google Maps</v>
      </c>
      <c r="S5971">
        <v>3</v>
      </c>
      <c r="T5971">
        <v>288.83865075380498</v>
      </c>
      <c r="U5971">
        <v>4</v>
      </c>
      <c r="V5971">
        <v>0.1619585687382297</v>
      </c>
      <c r="W5971">
        <v>0.85</v>
      </c>
      <c r="X5971">
        <v>0.13766478342749519</v>
      </c>
      <c r="Y5971">
        <v>387</v>
      </c>
      <c r="Z5971">
        <v>347.59283577270531</v>
      </c>
      <c r="AA5971">
        <v>198</v>
      </c>
      <c r="AB5971">
        <v>332</v>
      </c>
      <c r="AC5971">
        <v>536</v>
      </c>
      <c r="AD5971">
        <v>26.22</v>
      </c>
      <c r="AE5971">
        <v>542</v>
      </c>
      <c r="AF5971">
        <v>11</v>
      </c>
      <c r="AG5971">
        <v>181</v>
      </c>
      <c r="AH5971">
        <v>129</v>
      </c>
      <c r="AI5971">
        <v>2.0299999999999998</v>
      </c>
      <c r="AJ5971">
        <v>33.39</v>
      </c>
      <c r="AK5971">
        <v>23.8</v>
      </c>
      <c r="AL5971">
        <v>-20.130950899999959</v>
      </c>
      <c r="AM5971">
        <v>-44.87096892838121</v>
      </c>
      <c r="AN5971">
        <v>-20.130950899999959</v>
      </c>
      <c r="AO5971">
        <v>-44.87096892838121</v>
      </c>
      <c r="AP5971">
        <v>-20.130849000000001</v>
      </c>
      <c r="AQ5971">
        <v>-44.870922999999998</v>
      </c>
      <c r="AR5971">
        <v>12.31742795843153</v>
      </c>
      <c r="AS5971" t="s">
        <v>65</v>
      </c>
      <c r="AT5971">
        <v>1</v>
      </c>
      <c r="AU5971" t="s">
        <v>1057</v>
      </c>
      <c r="AV5971" t="s">
        <v>1058</v>
      </c>
      <c r="AW5971" t="s">
        <v>60</v>
      </c>
      <c r="AX5971" t="s">
        <v>68</v>
      </c>
      <c r="AY5971" t="s">
        <v>69</v>
      </c>
      <c r="AZ5971" t="b">
        <v>1</v>
      </c>
    </row>
    <row r="5972" spans="1:52" x14ac:dyDescent="0.3">
      <c r="A5972" t="s">
        <v>52</v>
      </c>
      <c r="B5972" t="s">
        <v>53</v>
      </c>
      <c r="C5972" t="s">
        <v>54</v>
      </c>
      <c r="D5972" t="s">
        <v>55</v>
      </c>
      <c r="E5972" t="s">
        <v>2281</v>
      </c>
      <c r="F5972" t="s">
        <v>190</v>
      </c>
      <c r="G5972" t="s">
        <v>706</v>
      </c>
      <c r="H5972" t="s">
        <v>730</v>
      </c>
      <c r="I5972" t="s">
        <v>730</v>
      </c>
      <c r="J5972" t="s">
        <v>60</v>
      </c>
      <c r="K5972" t="s">
        <v>708</v>
      </c>
      <c r="L5972" t="s">
        <v>62</v>
      </c>
      <c r="M5972" t="s">
        <v>708</v>
      </c>
      <c r="N5972" t="s">
        <v>709</v>
      </c>
      <c r="O5972" t="s">
        <v>731</v>
      </c>
      <c r="P5972">
        <v>-20.130037999999999</v>
      </c>
      <c r="Q5972">
        <v>-44.873514</v>
      </c>
      <c r="R5972" s="2" t="str">
        <f>HYPERLINK("https://www.google.com/maps?q=-20.1300380,-44.8735140","Abrir no Google Maps")</f>
        <v>Abrir no Google Maps</v>
      </c>
      <c r="S5972">
        <v>3</v>
      </c>
      <c r="T5972">
        <v>0</v>
      </c>
      <c r="U5972">
        <v>4</v>
      </c>
      <c r="V5972">
        <v>0.1377410468319559</v>
      </c>
      <c r="W5972">
        <v>1</v>
      </c>
      <c r="X5972">
        <v>0.1377410468319559</v>
      </c>
      <c r="Y5972">
        <v>387</v>
      </c>
      <c r="Z5972">
        <v>108.0014931591698</v>
      </c>
      <c r="AA5972">
        <v>198</v>
      </c>
      <c r="AB5972">
        <v>332</v>
      </c>
      <c r="AC5972">
        <v>536</v>
      </c>
      <c r="AD5972">
        <v>26.22</v>
      </c>
      <c r="AE5972">
        <v>542</v>
      </c>
      <c r="AF5972">
        <v>11</v>
      </c>
      <c r="AG5972">
        <v>181</v>
      </c>
      <c r="AH5972">
        <v>129</v>
      </c>
      <c r="AI5972">
        <v>2.0299999999999998</v>
      </c>
      <c r="AJ5972">
        <v>33.39</v>
      </c>
      <c r="AK5972">
        <v>23.8</v>
      </c>
      <c r="AL5972">
        <v>-20.12998944999995</v>
      </c>
      <c r="AM5972">
        <v>-44.873538114227337</v>
      </c>
      <c r="AN5972">
        <v>-20.12998944999995</v>
      </c>
      <c r="AO5972">
        <v>-44.873538114227337</v>
      </c>
      <c r="AP5972">
        <v>-20.130037999999999</v>
      </c>
      <c r="AQ5972">
        <v>-44.873514</v>
      </c>
      <c r="AR5972">
        <v>5.9633928268280867</v>
      </c>
      <c r="AS5972" t="s">
        <v>65</v>
      </c>
      <c r="AT5972">
        <v>1</v>
      </c>
      <c r="AU5972" t="s">
        <v>732</v>
      </c>
      <c r="AV5972" t="s">
        <v>733</v>
      </c>
      <c r="AW5972" t="s">
        <v>60</v>
      </c>
      <c r="AX5972" t="s">
        <v>68</v>
      </c>
      <c r="AY5972" t="s">
        <v>69</v>
      </c>
      <c r="AZ5972" t="b">
        <v>1</v>
      </c>
    </row>
    <row r="5973" spans="1:52" x14ac:dyDescent="0.3">
      <c r="A5973" t="s">
        <v>52</v>
      </c>
      <c r="B5973" t="s">
        <v>53</v>
      </c>
      <c r="C5973" t="s">
        <v>54</v>
      </c>
      <c r="D5973" t="s">
        <v>55</v>
      </c>
      <c r="E5973" t="s">
        <v>2281</v>
      </c>
      <c r="F5973" t="s">
        <v>190</v>
      </c>
      <c r="G5973" t="s">
        <v>741</v>
      </c>
      <c r="H5973" t="s">
        <v>742</v>
      </c>
      <c r="I5973" t="s">
        <v>742</v>
      </c>
      <c r="J5973" t="s">
        <v>60</v>
      </c>
      <c r="K5973" t="s">
        <v>688</v>
      </c>
      <c r="L5973" t="s">
        <v>62</v>
      </c>
      <c r="M5973" t="s">
        <v>688</v>
      </c>
      <c r="N5973" t="s">
        <v>743</v>
      </c>
      <c r="O5973" t="s">
        <v>744</v>
      </c>
      <c r="P5973">
        <v>-20.136733</v>
      </c>
      <c r="Q5973">
        <v>-44.888140999999997</v>
      </c>
      <c r="R5973" s="2" t="str">
        <f>HYPERLINK("https://www.google.com/maps?q=-20.1367330,-44.8881410","Abrir no Google Maps")</f>
        <v>Abrir no Google Maps</v>
      </c>
      <c r="S5973">
        <v>3</v>
      </c>
      <c r="T5973">
        <v>175.84339996559589</v>
      </c>
      <c r="U5973">
        <v>4</v>
      </c>
      <c r="V5973">
        <v>0.2112112112112112</v>
      </c>
      <c r="W5973">
        <v>1</v>
      </c>
      <c r="X5973">
        <v>0.2112112112112112</v>
      </c>
      <c r="Y5973">
        <v>350</v>
      </c>
      <c r="Z5973">
        <v>171.90575296051961</v>
      </c>
      <c r="AA5973">
        <v>198</v>
      </c>
      <c r="AB5973">
        <v>332</v>
      </c>
      <c r="AC5973">
        <v>536</v>
      </c>
      <c r="AD5973">
        <v>26.22</v>
      </c>
      <c r="AE5973">
        <v>542</v>
      </c>
      <c r="AF5973">
        <v>11</v>
      </c>
      <c r="AG5973">
        <v>181</v>
      </c>
      <c r="AH5973">
        <v>129</v>
      </c>
      <c r="AI5973">
        <v>2.0299999999999998</v>
      </c>
      <c r="AJ5973">
        <v>33.39</v>
      </c>
      <c r="AK5973">
        <v>23.8</v>
      </c>
      <c r="AL5973">
        <v>-20.136726099999979</v>
      </c>
      <c r="AM5973">
        <v>-44.888062077766982</v>
      </c>
      <c r="AN5973">
        <v>-20.136726099999979</v>
      </c>
      <c r="AO5973">
        <v>-44.888062077766982</v>
      </c>
      <c r="AP5973">
        <v>-20.136733</v>
      </c>
      <c r="AQ5973">
        <v>-44.888140999999997</v>
      </c>
      <c r="AR5973">
        <v>8.2842769013797852</v>
      </c>
      <c r="AS5973" t="s">
        <v>65</v>
      </c>
      <c r="AT5973">
        <v>1</v>
      </c>
      <c r="AU5973" t="s">
        <v>745</v>
      </c>
      <c r="AV5973" t="s">
        <v>746</v>
      </c>
      <c r="AW5973" t="s">
        <v>60</v>
      </c>
      <c r="AX5973" t="s">
        <v>68</v>
      </c>
      <c r="AY5973" t="s">
        <v>69</v>
      </c>
      <c r="AZ5973" t="b">
        <v>1</v>
      </c>
    </row>
    <row r="5974" spans="1:52" x14ac:dyDescent="0.3">
      <c r="A5974" t="s">
        <v>52</v>
      </c>
      <c r="B5974" t="s">
        <v>53</v>
      </c>
      <c r="C5974" t="s">
        <v>54</v>
      </c>
      <c r="D5974" t="s">
        <v>55</v>
      </c>
      <c r="E5974" t="s">
        <v>2281</v>
      </c>
      <c r="F5974" t="s">
        <v>190</v>
      </c>
      <c r="G5974" t="s">
        <v>1009</v>
      </c>
      <c r="H5974" t="s">
        <v>1073</v>
      </c>
      <c r="I5974" t="s">
        <v>1073</v>
      </c>
      <c r="J5974" t="s">
        <v>60</v>
      </c>
      <c r="K5974" t="s">
        <v>805</v>
      </c>
      <c r="L5974" t="s">
        <v>62</v>
      </c>
      <c r="M5974" t="s">
        <v>805</v>
      </c>
      <c r="N5974" t="s">
        <v>1011</v>
      </c>
      <c r="O5974" t="s">
        <v>1074</v>
      </c>
      <c r="P5974">
        <v>-20.137049000000001</v>
      </c>
      <c r="Q5974">
        <v>-44.885832000000001</v>
      </c>
      <c r="R5974" s="2" t="str">
        <f>HYPERLINK("https://www.google.com/maps?q=-20.1370490,-44.8858320","Abrir no Google Maps")</f>
        <v>Abrir no Google Maps</v>
      </c>
      <c r="S5974">
        <v>3</v>
      </c>
      <c r="T5974">
        <v>255.2207994789398</v>
      </c>
      <c r="U5974">
        <v>4</v>
      </c>
      <c r="V5974">
        <v>0.2587412587412587</v>
      </c>
      <c r="W5974">
        <v>0.85</v>
      </c>
      <c r="X5974">
        <v>0.21993006993006989</v>
      </c>
      <c r="Y5974">
        <v>350</v>
      </c>
      <c r="Z5974">
        <v>122.85075315998721</v>
      </c>
      <c r="AA5974">
        <v>198</v>
      </c>
      <c r="AB5974">
        <v>332</v>
      </c>
      <c r="AC5974">
        <v>536</v>
      </c>
      <c r="AD5974">
        <v>26.22</v>
      </c>
      <c r="AE5974">
        <v>542</v>
      </c>
      <c r="AF5974">
        <v>11</v>
      </c>
      <c r="AG5974">
        <v>181</v>
      </c>
      <c r="AH5974">
        <v>129</v>
      </c>
      <c r="AI5974">
        <v>2.0299999999999998</v>
      </c>
      <c r="AJ5974">
        <v>33.39</v>
      </c>
      <c r="AK5974">
        <v>23.8</v>
      </c>
      <c r="AL5974">
        <v>-20.136876799999978</v>
      </c>
      <c r="AM5974">
        <v>-44.885908665033703</v>
      </c>
      <c r="AN5974">
        <v>-20.136876799999989</v>
      </c>
      <c r="AO5974">
        <v>-44.885908665033703</v>
      </c>
      <c r="AP5974">
        <v>-20.137049000000001</v>
      </c>
      <c r="AQ5974">
        <v>-44.885832000000001</v>
      </c>
      <c r="AR5974">
        <v>20.776552041735069</v>
      </c>
      <c r="AS5974" t="s">
        <v>65</v>
      </c>
      <c r="AT5974">
        <v>1</v>
      </c>
      <c r="AU5974" t="s">
        <v>1075</v>
      </c>
      <c r="AV5974" t="s">
        <v>1076</v>
      </c>
      <c r="AW5974" t="s">
        <v>60</v>
      </c>
      <c r="AX5974" t="s">
        <v>68</v>
      </c>
      <c r="AY5974" t="s">
        <v>69</v>
      </c>
      <c r="AZ5974" t="b">
        <v>1</v>
      </c>
    </row>
    <row r="5975" spans="1:52" x14ac:dyDescent="0.3">
      <c r="A5975" t="s">
        <v>52</v>
      </c>
      <c r="B5975" t="s">
        <v>53</v>
      </c>
      <c r="C5975" t="s">
        <v>54</v>
      </c>
      <c r="D5975" t="s">
        <v>55</v>
      </c>
      <c r="E5975" t="s">
        <v>2281</v>
      </c>
      <c r="F5975" t="s">
        <v>190</v>
      </c>
      <c r="G5975" t="s">
        <v>747</v>
      </c>
      <c r="H5975" t="s">
        <v>748</v>
      </c>
      <c r="I5975" t="s">
        <v>748</v>
      </c>
      <c r="J5975" t="s">
        <v>60</v>
      </c>
      <c r="K5975" t="s">
        <v>505</v>
      </c>
      <c r="L5975" t="s">
        <v>62</v>
      </c>
      <c r="M5975" t="s">
        <v>505</v>
      </c>
      <c r="N5975" t="s">
        <v>749</v>
      </c>
      <c r="O5975" t="s">
        <v>750</v>
      </c>
      <c r="P5975">
        <v>-20.135107000000001</v>
      </c>
      <c r="Q5975">
        <v>-44.887521</v>
      </c>
      <c r="R5975" s="2" t="str">
        <f>HYPERLINK("https://www.google.com/maps?q=-20.1351070,-44.8875210","Abrir no Google Maps")</f>
        <v>Abrir no Google Maps</v>
      </c>
      <c r="S5975">
        <v>3</v>
      </c>
      <c r="T5975">
        <v>0</v>
      </c>
      <c r="U5975">
        <v>4</v>
      </c>
      <c r="V5975">
        <v>0.1356209150326797</v>
      </c>
      <c r="W5975">
        <v>1</v>
      </c>
      <c r="X5975">
        <v>0.1356209150326797</v>
      </c>
      <c r="Y5975">
        <v>350</v>
      </c>
      <c r="Z5975">
        <v>162.3716242776689</v>
      </c>
      <c r="AA5975">
        <v>198</v>
      </c>
      <c r="AB5975">
        <v>332</v>
      </c>
      <c r="AC5975">
        <v>536</v>
      </c>
      <c r="AD5975">
        <v>26.22</v>
      </c>
      <c r="AE5975">
        <v>542</v>
      </c>
      <c r="AF5975">
        <v>11</v>
      </c>
      <c r="AG5975">
        <v>181</v>
      </c>
      <c r="AH5975">
        <v>129</v>
      </c>
      <c r="AI5975">
        <v>2.0299999999999998</v>
      </c>
      <c r="AJ5975">
        <v>33.39</v>
      </c>
      <c r="AK5975">
        <v>23.8</v>
      </c>
      <c r="AL5975">
        <v>-20.13520169999995</v>
      </c>
      <c r="AM5975">
        <v>-44.887587176802917</v>
      </c>
      <c r="AN5975">
        <v>-20.13520169999995</v>
      </c>
      <c r="AO5975">
        <v>-44.887587176802931</v>
      </c>
      <c r="AP5975">
        <v>-20.135107000000001</v>
      </c>
      <c r="AQ5975">
        <v>-44.887521</v>
      </c>
      <c r="AR5975">
        <v>12.608438103029821</v>
      </c>
      <c r="AS5975" t="s">
        <v>65</v>
      </c>
      <c r="AT5975">
        <v>1</v>
      </c>
      <c r="AU5975" t="s">
        <v>751</v>
      </c>
      <c r="AV5975" t="s">
        <v>752</v>
      </c>
      <c r="AW5975" t="s">
        <v>60</v>
      </c>
      <c r="AX5975" t="s">
        <v>68</v>
      </c>
      <c r="AY5975" t="s">
        <v>69</v>
      </c>
      <c r="AZ5975" t="b">
        <v>1</v>
      </c>
    </row>
    <row r="5976" spans="1:52" x14ac:dyDescent="0.3">
      <c r="A5976" t="s">
        <v>52</v>
      </c>
      <c r="B5976" t="s">
        <v>53</v>
      </c>
      <c r="C5976" t="s">
        <v>54</v>
      </c>
      <c r="D5976" t="s">
        <v>55</v>
      </c>
      <c r="E5976" t="s">
        <v>2281</v>
      </c>
      <c r="F5976" t="s">
        <v>190</v>
      </c>
      <c r="G5976" t="s">
        <v>753</v>
      </c>
      <c r="H5976" t="s">
        <v>754</v>
      </c>
      <c r="I5976" t="s">
        <v>754</v>
      </c>
      <c r="J5976" t="s">
        <v>60</v>
      </c>
      <c r="K5976" t="s">
        <v>688</v>
      </c>
      <c r="L5976" t="s">
        <v>62</v>
      </c>
      <c r="M5976" t="s">
        <v>688</v>
      </c>
      <c r="N5976" t="s">
        <v>755</v>
      </c>
      <c r="O5976" t="s">
        <v>756</v>
      </c>
      <c r="P5976">
        <v>-20.135238000000001</v>
      </c>
      <c r="Q5976">
        <v>-44.890405999999999</v>
      </c>
      <c r="R5976" s="2" t="str">
        <f>HYPERLINK("https://www.google.com/maps?q=-20.1352380,-44.8904060","Abrir no Google Maps")</f>
        <v>Abrir no Google Maps</v>
      </c>
      <c r="S5976">
        <v>3</v>
      </c>
      <c r="T5976">
        <v>314.49904475975598</v>
      </c>
      <c r="U5976">
        <v>4</v>
      </c>
      <c r="V5976">
        <v>0.1887125220458554</v>
      </c>
      <c r="W5976">
        <v>1</v>
      </c>
      <c r="X5976">
        <v>0.1887125220458554</v>
      </c>
      <c r="Y5976">
        <v>350</v>
      </c>
      <c r="Z5976">
        <v>443.96798796176353</v>
      </c>
      <c r="AA5976">
        <v>198</v>
      </c>
      <c r="AB5976">
        <v>332</v>
      </c>
      <c r="AC5976">
        <v>536</v>
      </c>
      <c r="AD5976">
        <v>26.22</v>
      </c>
      <c r="AE5976">
        <v>542</v>
      </c>
      <c r="AF5976">
        <v>11</v>
      </c>
      <c r="AG5976">
        <v>181</v>
      </c>
      <c r="AH5976">
        <v>129</v>
      </c>
      <c r="AI5976">
        <v>2.0299999999999998</v>
      </c>
      <c r="AJ5976">
        <v>33.39</v>
      </c>
      <c r="AK5976">
        <v>23.8</v>
      </c>
      <c r="AL5976">
        <v>-20.134851099999931</v>
      </c>
      <c r="AM5976">
        <v>-44.890573293408117</v>
      </c>
      <c r="AN5976">
        <v>-20.134851099999931</v>
      </c>
      <c r="AO5976">
        <v>-44.890573293408131</v>
      </c>
      <c r="AP5976">
        <v>-20.135238000000001</v>
      </c>
      <c r="AQ5976">
        <v>-44.890405999999999</v>
      </c>
      <c r="AR5976">
        <v>46.483580940434933</v>
      </c>
      <c r="AS5976" t="s">
        <v>65</v>
      </c>
      <c r="AT5976">
        <v>1</v>
      </c>
      <c r="AU5976" t="s">
        <v>757</v>
      </c>
      <c r="AV5976" t="s">
        <v>758</v>
      </c>
      <c r="AW5976" t="s">
        <v>60</v>
      </c>
      <c r="AX5976" t="s">
        <v>68</v>
      </c>
      <c r="AY5976" t="s">
        <v>69</v>
      </c>
      <c r="AZ5976" t="b">
        <v>1</v>
      </c>
    </row>
    <row r="5977" spans="1:52" x14ac:dyDescent="0.3">
      <c r="A5977" t="s">
        <v>52</v>
      </c>
      <c r="B5977" t="s">
        <v>53</v>
      </c>
      <c r="C5977" t="s">
        <v>54</v>
      </c>
      <c r="D5977" t="s">
        <v>55</v>
      </c>
      <c r="E5977" t="s">
        <v>2281</v>
      </c>
      <c r="F5977" t="s">
        <v>190</v>
      </c>
      <c r="G5977" t="s">
        <v>766</v>
      </c>
      <c r="H5977" t="s">
        <v>767</v>
      </c>
      <c r="I5977" t="s">
        <v>767</v>
      </c>
      <c r="J5977" t="s">
        <v>60</v>
      </c>
      <c r="K5977" t="s">
        <v>768</v>
      </c>
      <c r="L5977" t="s">
        <v>62</v>
      </c>
      <c r="M5977" t="s">
        <v>768</v>
      </c>
      <c r="N5977" t="s">
        <v>769</v>
      </c>
      <c r="O5977" t="s">
        <v>770</v>
      </c>
      <c r="P5977">
        <v>-20.135211000000002</v>
      </c>
      <c r="Q5977">
        <v>-44.875359000000003</v>
      </c>
      <c r="R5977" s="2" t="str">
        <f>HYPERLINK("https://www.google.com/maps?q=-20.1352110,-44.8753590","Abrir no Google Maps")</f>
        <v>Abrir no Google Maps</v>
      </c>
      <c r="S5977">
        <v>3</v>
      </c>
      <c r="T5977">
        <v>383.44405482521267</v>
      </c>
      <c r="U5977">
        <v>4</v>
      </c>
      <c r="V5977">
        <v>0.12925170068027211</v>
      </c>
      <c r="W5977">
        <v>1</v>
      </c>
      <c r="X5977">
        <v>0.12925170068027211</v>
      </c>
      <c r="Y5977">
        <v>332</v>
      </c>
      <c r="Z5977">
        <v>219.0766044611764</v>
      </c>
      <c r="AA5977">
        <v>198</v>
      </c>
      <c r="AB5977">
        <v>332</v>
      </c>
      <c r="AC5977">
        <v>536</v>
      </c>
      <c r="AD5977">
        <v>26.22</v>
      </c>
      <c r="AE5977">
        <v>542</v>
      </c>
      <c r="AF5977">
        <v>11</v>
      </c>
      <c r="AG5977">
        <v>181</v>
      </c>
      <c r="AH5977">
        <v>129</v>
      </c>
      <c r="AI5977">
        <v>2.0299999999999998</v>
      </c>
      <c r="AJ5977">
        <v>33.39</v>
      </c>
      <c r="AK5977">
        <v>23.8</v>
      </c>
      <c r="AL5977">
        <v>-20.135125549999941</v>
      </c>
      <c r="AM5977">
        <v>-44.875534947489427</v>
      </c>
      <c r="AN5977">
        <v>-20.135125549999941</v>
      </c>
      <c r="AO5977">
        <v>-44.875534947489427</v>
      </c>
      <c r="AP5977">
        <v>-20.135211000000002</v>
      </c>
      <c r="AQ5977">
        <v>-44.875359000000003</v>
      </c>
      <c r="AR5977">
        <v>20.703969313709418</v>
      </c>
      <c r="AS5977" t="s">
        <v>65</v>
      </c>
      <c r="AT5977">
        <v>1</v>
      </c>
      <c r="AU5977" t="s">
        <v>771</v>
      </c>
      <c r="AV5977" t="s">
        <v>772</v>
      </c>
      <c r="AW5977" t="s">
        <v>60</v>
      </c>
      <c r="AX5977" t="s">
        <v>68</v>
      </c>
      <c r="AY5977" t="s">
        <v>69</v>
      </c>
      <c r="AZ5977" t="b">
        <v>1</v>
      </c>
    </row>
    <row r="5978" spans="1:52" x14ac:dyDescent="0.3">
      <c r="A5978" t="s">
        <v>52</v>
      </c>
      <c r="B5978" t="s">
        <v>53</v>
      </c>
      <c r="C5978" t="s">
        <v>54</v>
      </c>
      <c r="D5978" t="s">
        <v>55</v>
      </c>
      <c r="E5978" t="s">
        <v>2281</v>
      </c>
      <c r="F5978" t="s">
        <v>190</v>
      </c>
      <c r="G5978" t="s">
        <v>1099</v>
      </c>
      <c r="H5978" t="s">
        <v>1100</v>
      </c>
      <c r="I5978" t="s">
        <v>1100</v>
      </c>
      <c r="J5978" t="s">
        <v>60</v>
      </c>
      <c r="K5978" t="s">
        <v>781</v>
      </c>
      <c r="L5978" t="s">
        <v>62</v>
      </c>
      <c r="M5978" t="s">
        <v>781</v>
      </c>
      <c r="N5978" t="s">
        <v>1101</v>
      </c>
      <c r="O5978" t="s">
        <v>235</v>
      </c>
      <c r="P5978">
        <v>-20.136811999999999</v>
      </c>
      <c r="Q5978">
        <v>-44.872388000000001</v>
      </c>
      <c r="R5978" s="2" t="str">
        <f>HYPERLINK("https://www.google.com/maps?q=-20.1368120,-44.8723880","Abrir no Google Maps")</f>
        <v>Abrir no Google Maps</v>
      </c>
      <c r="S5978">
        <v>3</v>
      </c>
      <c r="T5978">
        <v>0</v>
      </c>
      <c r="U5978">
        <v>4</v>
      </c>
      <c r="V5978">
        <v>9.6045197740112997E-2</v>
      </c>
      <c r="W5978">
        <v>1</v>
      </c>
      <c r="X5978">
        <v>9.6045197740112997E-2</v>
      </c>
      <c r="Y5978">
        <v>332</v>
      </c>
      <c r="Z5978">
        <v>121.0319884418894</v>
      </c>
      <c r="AA5978">
        <v>198</v>
      </c>
      <c r="AB5978">
        <v>332</v>
      </c>
      <c r="AC5978">
        <v>536</v>
      </c>
      <c r="AD5978">
        <v>26.22</v>
      </c>
      <c r="AE5978">
        <v>542</v>
      </c>
      <c r="AF5978">
        <v>11</v>
      </c>
      <c r="AG5978">
        <v>181</v>
      </c>
      <c r="AH5978">
        <v>129</v>
      </c>
      <c r="AI5978">
        <v>2.0299999999999998</v>
      </c>
      <c r="AJ5978">
        <v>33.39</v>
      </c>
      <c r="AK5978">
        <v>23.8</v>
      </c>
      <c r="AL5978">
        <v>-20.136943099999939</v>
      </c>
      <c r="AM5978">
        <v>-44.872411407897907</v>
      </c>
      <c r="AN5978">
        <v>-20.136943099999939</v>
      </c>
      <c r="AO5978">
        <v>-44.872411407897907</v>
      </c>
      <c r="AP5978">
        <v>-20.136811999999999</v>
      </c>
      <c r="AQ5978">
        <v>-44.872388000000001</v>
      </c>
      <c r="AR5978">
        <v>14.79769012694347</v>
      </c>
      <c r="AS5978" t="s">
        <v>65</v>
      </c>
      <c r="AT5978">
        <v>1</v>
      </c>
      <c r="AU5978" t="s">
        <v>1102</v>
      </c>
      <c r="AV5978" t="s">
        <v>1103</v>
      </c>
      <c r="AW5978" t="s">
        <v>60</v>
      </c>
      <c r="AX5978" t="s">
        <v>68</v>
      </c>
      <c r="AY5978" t="s">
        <v>69</v>
      </c>
      <c r="AZ5978" t="b">
        <v>1</v>
      </c>
    </row>
    <row r="5979" spans="1:52" x14ac:dyDescent="0.3">
      <c r="A5979" t="s">
        <v>52</v>
      </c>
      <c r="B5979" t="s">
        <v>53</v>
      </c>
      <c r="C5979" t="s">
        <v>54</v>
      </c>
      <c r="D5979" t="s">
        <v>55</v>
      </c>
      <c r="E5979" t="s">
        <v>2281</v>
      </c>
      <c r="F5979" t="s">
        <v>190</v>
      </c>
      <c r="G5979" t="s">
        <v>1757</v>
      </c>
      <c r="H5979" t="s">
        <v>1758</v>
      </c>
      <c r="I5979" t="s">
        <v>1758</v>
      </c>
      <c r="J5979" t="s">
        <v>60</v>
      </c>
      <c r="K5979" t="s">
        <v>362</v>
      </c>
      <c r="L5979" t="s">
        <v>62</v>
      </c>
      <c r="M5979" t="s">
        <v>362</v>
      </c>
      <c r="N5979" t="s">
        <v>1759</v>
      </c>
      <c r="O5979" t="s">
        <v>1760</v>
      </c>
      <c r="P5979">
        <v>-20.140051</v>
      </c>
      <c r="Q5979">
        <v>-44.871685999999997</v>
      </c>
      <c r="R5979" s="2" t="str">
        <f>HYPERLINK("https://www.google.com/maps?q=-20.1400510,-44.8716860","Abrir no Google Maps")</f>
        <v>Abrir no Google Maps</v>
      </c>
      <c r="S5979">
        <v>3</v>
      </c>
      <c r="T5979">
        <v>352.31744538617551</v>
      </c>
      <c r="U5979">
        <v>4</v>
      </c>
      <c r="V5979">
        <v>0.10679611650485429</v>
      </c>
      <c r="W5979">
        <v>0.85</v>
      </c>
      <c r="X5979">
        <v>9.0776699029126148E-2</v>
      </c>
      <c r="Y5979">
        <v>332</v>
      </c>
      <c r="Z5979">
        <v>504.25252355351739</v>
      </c>
      <c r="AA5979">
        <v>198</v>
      </c>
      <c r="AB5979">
        <v>332</v>
      </c>
      <c r="AC5979">
        <v>536</v>
      </c>
      <c r="AD5979">
        <v>26.22</v>
      </c>
      <c r="AE5979">
        <v>542</v>
      </c>
      <c r="AF5979">
        <v>11</v>
      </c>
      <c r="AG5979">
        <v>181</v>
      </c>
      <c r="AH5979">
        <v>129</v>
      </c>
      <c r="AI5979">
        <v>2.0299999999999998</v>
      </c>
      <c r="AJ5979">
        <v>33.39</v>
      </c>
      <c r="AK5979">
        <v>23.8</v>
      </c>
      <c r="AL5979">
        <v>-20.140052049999959</v>
      </c>
      <c r="AM5979">
        <v>-44.871685093874923</v>
      </c>
      <c r="AN5979">
        <v>-20.140052049999959</v>
      </c>
      <c r="AO5979">
        <v>-44.871685093874909</v>
      </c>
      <c r="AP5979">
        <v>-20.140051</v>
      </c>
      <c r="AQ5979">
        <v>-44.871685999999997</v>
      </c>
      <c r="AR5979">
        <v>0.1504354058892336</v>
      </c>
      <c r="AS5979" t="s">
        <v>65</v>
      </c>
      <c r="AT5979">
        <v>1</v>
      </c>
      <c r="AU5979" t="s">
        <v>1761</v>
      </c>
      <c r="AV5979" t="s">
        <v>1762</v>
      </c>
      <c r="AW5979" t="s">
        <v>60</v>
      </c>
      <c r="AX5979" t="s">
        <v>68</v>
      </c>
      <c r="AY5979" t="s">
        <v>69</v>
      </c>
      <c r="AZ5979" t="b">
        <v>1</v>
      </c>
    </row>
    <row r="5980" spans="1:52" x14ac:dyDescent="0.3">
      <c r="A5980" t="s">
        <v>52</v>
      </c>
      <c r="B5980" t="s">
        <v>53</v>
      </c>
      <c r="C5980" t="s">
        <v>54</v>
      </c>
      <c r="D5980" t="s">
        <v>55</v>
      </c>
      <c r="E5980" t="s">
        <v>2281</v>
      </c>
      <c r="F5980" t="s">
        <v>190</v>
      </c>
      <c r="G5980" t="s">
        <v>1115</v>
      </c>
      <c r="H5980" t="s">
        <v>1116</v>
      </c>
      <c r="I5980" t="s">
        <v>1116</v>
      </c>
      <c r="J5980" t="s">
        <v>60</v>
      </c>
      <c r="K5980" t="s">
        <v>1117</v>
      </c>
      <c r="L5980" t="s">
        <v>62</v>
      </c>
      <c r="M5980" t="s">
        <v>1117</v>
      </c>
      <c r="N5980" t="s">
        <v>1118</v>
      </c>
      <c r="O5980" t="s">
        <v>74</v>
      </c>
      <c r="P5980">
        <v>-20.171123000000001</v>
      </c>
      <c r="Q5980">
        <v>-44.944929999999999</v>
      </c>
      <c r="R5980" s="2" t="str">
        <f>HYPERLINK("https://www.google.com/maps?q=-20.1711230,-44.9449300","Abrir no Google Maps")</f>
        <v>Abrir no Google Maps</v>
      </c>
      <c r="S5980">
        <v>3</v>
      </c>
      <c r="T5980">
        <v>2450.5355520785151</v>
      </c>
      <c r="U5980">
        <v>4</v>
      </c>
      <c r="V5980">
        <v>0.33333333333333331</v>
      </c>
      <c r="W5980">
        <v>0.85</v>
      </c>
      <c r="X5980">
        <v>0.28333333333333333</v>
      </c>
      <c r="Y5980">
        <v>331</v>
      </c>
      <c r="Z5980">
        <v>2306.317072968428</v>
      </c>
      <c r="AA5980">
        <v>198</v>
      </c>
      <c r="AB5980">
        <v>332</v>
      </c>
      <c r="AC5980">
        <v>536</v>
      </c>
      <c r="AD5980">
        <v>26.22</v>
      </c>
      <c r="AE5980">
        <v>542</v>
      </c>
      <c r="AF5980">
        <v>11</v>
      </c>
      <c r="AG5980">
        <v>181</v>
      </c>
      <c r="AH5980">
        <v>129</v>
      </c>
      <c r="AI5980">
        <v>2.0299999999999998</v>
      </c>
      <c r="AJ5980">
        <v>33.39</v>
      </c>
      <c r="AK5980">
        <v>23.8</v>
      </c>
      <c r="AL5980">
        <v>-20.170858699999972</v>
      </c>
      <c r="AM5980">
        <v>-44.945018498005382</v>
      </c>
      <c r="AN5980">
        <v>-20.170858699999972</v>
      </c>
      <c r="AO5980">
        <v>-44.945018498005382</v>
      </c>
      <c r="AP5980">
        <v>-20.171123000000001</v>
      </c>
      <c r="AQ5980">
        <v>-44.944929999999999</v>
      </c>
      <c r="AR5980">
        <v>30.840896798881371</v>
      </c>
      <c r="AS5980" t="s">
        <v>65</v>
      </c>
      <c r="AT5980">
        <v>1</v>
      </c>
      <c r="AU5980" t="s">
        <v>1119</v>
      </c>
      <c r="AV5980" t="s">
        <v>1120</v>
      </c>
      <c r="AW5980" t="s">
        <v>60</v>
      </c>
      <c r="AX5980" t="s">
        <v>68</v>
      </c>
      <c r="AY5980" t="s">
        <v>69</v>
      </c>
      <c r="AZ5980" t="b">
        <v>1</v>
      </c>
    </row>
    <row r="5981" spans="1:52" x14ac:dyDescent="0.3">
      <c r="A5981" t="s">
        <v>52</v>
      </c>
      <c r="B5981" t="s">
        <v>53</v>
      </c>
      <c r="C5981" t="s">
        <v>54</v>
      </c>
      <c r="D5981" t="s">
        <v>55</v>
      </c>
      <c r="E5981" t="s">
        <v>2281</v>
      </c>
      <c r="F5981" t="s">
        <v>190</v>
      </c>
      <c r="G5981" t="s">
        <v>2201</v>
      </c>
      <c r="H5981" t="s">
        <v>2202</v>
      </c>
      <c r="I5981" t="s">
        <v>2202</v>
      </c>
      <c r="J5981" t="s">
        <v>60</v>
      </c>
      <c r="K5981" t="s">
        <v>1123</v>
      </c>
      <c r="L5981" t="s">
        <v>62</v>
      </c>
      <c r="M5981" t="s">
        <v>1123</v>
      </c>
      <c r="N5981" t="s">
        <v>2203</v>
      </c>
      <c r="O5981" t="s">
        <v>125</v>
      </c>
      <c r="P5981">
        <v>-20.098407000000002</v>
      </c>
      <c r="Q5981">
        <v>-44.878131000000003</v>
      </c>
      <c r="R5981" s="2" t="str">
        <f>HYPERLINK("https://www.google.com/maps?q=-20.0984070,-44.8781310","Abrir no Google Maps")</f>
        <v>Abrir no Google Maps</v>
      </c>
      <c r="S5981">
        <v>3</v>
      </c>
      <c r="T5981">
        <v>859.51107665183554</v>
      </c>
      <c r="U5981">
        <v>4</v>
      </c>
      <c r="V5981">
        <v>0.1141141141141141</v>
      </c>
      <c r="W5981">
        <v>0.85</v>
      </c>
      <c r="X5981">
        <v>9.6996996996996973E-2</v>
      </c>
      <c r="Y5981">
        <v>314</v>
      </c>
      <c r="Z5981">
        <v>773.95456912091106</v>
      </c>
      <c r="AA5981">
        <v>198</v>
      </c>
      <c r="AB5981">
        <v>332</v>
      </c>
      <c r="AC5981">
        <v>536</v>
      </c>
      <c r="AD5981">
        <v>26.22</v>
      </c>
      <c r="AE5981">
        <v>542</v>
      </c>
      <c r="AF5981">
        <v>11</v>
      </c>
      <c r="AG5981">
        <v>181</v>
      </c>
      <c r="AH5981">
        <v>129</v>
      </c>
      <c r="AI5981">
        <v>2.0299999999999998</v>
      </c>
      <c r="AJ5981">
        <v>33.39</v>
      </c>
      <c r="AK5981">
        <v>23.8</v>
      </c>
      <c r="AL5981">
        <v>-20.098590499999979</v>
      </c>
      <c r="AM5981">
        <v>-44.878024949589523</v>
      </c>
      <c r="AN5981">
        <v>-20.098590499999979</v>
      </c>
      <c r="AO5981">
        <v>-44.878024949589523</v>
      </c>
      <c r="AP5981">
        <v>-20.098407000000002</v>
      </c>
      <c r="AQ5981">
        <v>-44.878131000000003</v>
      </c>
      <c r="AR5981">
        <v>23.24186236676552</v>
      </c>
      <c r="AS5981" t="s">
        <v>65</v>
      </c>
      <c r="AT5981">
        <v>1</v>
      </c>
      <c r="AU5981" t="s">
        <v>2204</v>
      </c>
      <c r="AV5981" t="s">
        <v>1922</v>
      </c>
      <c r="AW5981" t="s">
        <v>60</v>
      </c>
      <c r="AX5981" t="s">
        <v>68</v>
      </c>
      <c r="AY5981" t="s">
        <v>69</v>
      </c>
      <c r="AZ5981" t="b">
        <v>1</v>
      </c>
    </row>
    <row r="5982" spans="1:52" x14ac:dyDescent="0.3">
      <c r="A5982" t="s">
        <v>52</v>
      </c>
      <c r="B5982" t="s">
        <v>53</v>
      </c>
      <c r="C5982" t="s">
        <v>54</v>
      </c>
      <c r="D5982" t="s">
        <v>55</v>
      </c>
      <c r="E5982" t="s">
        <v>2281</v>
      </c>
      <c r="F5982" t="s">
        <v>190</v>
      </c>
      <c r="G5982" t="s">
        <v>803</v>
      </c>
      <c r="H5982" t="s">
        <v>804</v>
      </c>
      <c r="I5982" t="s">
        <v>804</v>
      </c>
      <c r="J5982" t="s">
        <v>60</v>
      </c>
      <c r="K5982" t="s">
        <v>805</v>
      </c>
      <c r="L5982" t="s">
        <v>62</v>
      </c>
      <c r="M5982" t="s">
        <v>805</v>
      </c>
      <c r="N5982" t="s">
        <v>806</v>
      </c>
      <c r="O5982" t="s">
        <v>807</v>
      </c>
      <c r="P5982">
        <v>-20.133293999999999</v>
      </c>
      <c r="Q5982">
        <v>-44.886302000000001</v>
      </c>
      <c r="R5982" s="2" t="str">
        <f>HYPERLINK("https://www.google.com/maps?q=-20.1332940,-44.8863020","Abrir no Google Maps")</f>
        <v>Abrir no Google Maps</v>
      </c>
      <c r="S5982">
        <v>3</v>
      </c>
      <c r="T5982">
        <v>0</v>
      </c>
      <c r="U5982">
        <v>4</v>
      </c>
      <c r="V5982">
        <v>0.1294871794871795</v>
      </c>
      <c r="W5982">
        <v>1</v>
      </c>
      <c r="X5982">
        <v>0.1294871794871795</v>
      </c>
      <c r="Y5982">
        <v>259</v>
      </c>
      <c r="Z5982">
        <v>76.358812960729097</v>
      </c>
      <c r="AA5982">
        <v>198</v>
      </c>
      <c r="AB5982">
        <v>332</v>
      </c>
      <c r="AC5982">
        <v>536</v>
      </c>
      <c r="AD5982">
        <v>26.22</v>
      </c>
      <c r="AE5982">
        <v>542</v>
      </c>
      <c r="AF5982">
        <v>11</v>
      </c>
      <c r="AG5982">
        <v>181</v>
      </c>
      <c r="AH5982">
        <v>129</v>
      </c>
      <c r="AI5982">
        <v>2.0299999999999998</v>
      </c>
      <c r="AJ5982">
        <v>33.39</v>
      </c>
      <c r="AK5982">
        <v>23.8</v>
      </c>
      <c r="AL5982">
        <v>-20.133281749999949</v>
      </c>
      <c r="AM5982">
        <v>-44.886395047959027</v>
      </c>
      <c r="AN5982">
        <v>-20.133281749999949</v>
      </c>
      <c r="AO5982">
        <v>-44.886395047959027</v>
      </c>
      <c r="AP5982">
        <v>-20.133293999999999</v>
      </c>
      <c r="AQ5982">
        <v>-44.886302000000001</v>
      </c>
      <c r="AR5982">
        <v>9.8203037443031231</v>
      </c>
      <c r="AS5982" t="s">
        <v>65</v>
      </c>
      <c r="AT5982">
        <v>1</v>
      </c>
      <c r="AU5982" t="s">
        <v>808</v>
      </c>
      <c r="AV5982" t="s">
        <v>809</v>
      </c>
      <c r="AW5982" t="s">
        <v>60</v>
      </c>
      <c r="AX5982" t="s">
        <v>68</v>
      </c>
      <c r="AY5982" t="s">
        <v>69</v>
      </c>
      <c r="AZ5982" t="b">
        <v>1</v>
      </c>
    </row>
    <row r="5983" spans="1:52" x14ac:dyDescent="0.3">
      <c r="A5983" t="s">
        <v>52</v>
      </c>
      <c r="B5983" t="s">
        <v>53</v>
      </c>
      <c r="C5983" t="s">
        <v>54</v>
      </c>
      <c r="D5983" t="s">
        <v>55</v>
      </c>
      <c r="E5983" t="s">
        <v>2281</v>
      </c>
      <c r="F5983" t="s">
        <v>190</v>
      </c>
      <c r="G5983" t="s">
        <v>2194</v>
      </c>
      <c r="H5983" t="s">
        <v>2195</v>
      </c>
      <c r="I5983" t="s">
        <v>2195</v>
      </c>
      <c r="J5983" t="s">
        <v>60</v>
      </c>
      <c r="K5983" t="s">
        <v>805</v>
      </c>
      <c r="L5983" t="s">
        <v>62</v>
      </c>
      <c r="M5983" t="s">
        <v>805</v>
      </c>
      <c r="N5983" t="s">
        <v>2196</v>
      </c>
      <c r="O5983" t="s">
        <v>2197</v>
      </c>
      <c r="P5983">
        <v>-20.132123</v>
      </c>
      <c r="Q5983">
        <v>-44.883763000000002</v>
      </c>
      <c r="R5983" s="2" t="str">
        <f>HYPERLINK("https://www.google.com/maps?q=-20.1321230,-44.8837630","Abrir no Google Maps")</f>
        <v>Abrir no Google Maps</v>
      </c>
      <c r="S5983">
        <v>3</v>
      </c>
      <c r="T5983">
        <v>296.38508902412269</v>
      </c>
      <c r="U5983">
        <v>4</v>
      </c>
      <c r="V5983">
        <v>0.1197604790419161</v>
      </c>
      <c r="W5983">
        <v>0.85</v>
      </c>
      <c r="X5983">
        <v>0.1017964071856287</v>
      </c>
      <c r="Y5983">
        <v>259</v>
      </c>
      <c r="Z5983">
        <v>250.76457563973119</v>
      </c>
      <c r="AA5983">
        <v>198</v>
      </c>
      <c r="AB5983">
        <v>332</v>
      </c>
      <c r="AC5983">
        <v>536</v>
      </c>
      <c r="AD5983">
        <v>26.22</v>
      </c>
      <c r="AE5983">
        <v>542</v>
      </c>
      <c r="AF5983">
        <v>11</v>
      </c>
      <c r="AG5983">
        <v>181</v>
      </c>
      <c r="AH5983">
        <v>129</v>
      </c>
      <c r="AI5983">
        <v>2.0299999999999998</v>
      </c>
      <c r="AJ5983">
        <v>33.39</v>
      </c>
      <c r="AK5983">
        <v>23.8</v>
      </c>
      <c r="AL5983">
        <v>-20.13228164999995</v>
      </c>
      <c r="AM5983">
        <v>-44.883764418762581</v>
      </c>
      <c r="AN5983">
        <v>-20.13228164999995</v>
      </c>
      <c r="AO5983">
        <v>-44.883764418762581</v>
      </c>
      <c r="AP5983">
        <v>-20.132123</v>
      </c>
      <c r="AQ5983">
        <v>-44.883763000000002</v>
      </c>
      <c r="AR5983">
        <v>17.661540515852561</v>
      </c>
      <c r="AS5983" t="s">
        <v>65</v>
      </c>
      <c r="AT5983">
        <v>1</v>
      </c>
      <c r="AU5983" t="s">
        <v>2198</v>
      </c>
      <c r="AV5983" t="s">
        <v>2199</v>
      </c>
      <c r="AW5983" t="s">
        <v>60</v>
      </c>
      <c r="AX5983" t="s">
        <v>68</v>
      </c>
      <c r="AY5983" t="s">
        <v>69</v>
      </c>
      <c r="AZ5983" t="b">
        <v>1</v>
      </c>
    </row>
    <row r="5984" spans="1:52" x14ac:dyDescent="0.3">
      <c r="A5984" t="s">
        <v>52</v>
      </c>
      <c r="B5984" t="s">
        <v>53</v>
      </c>
      <c r="C5984" t="s">
        <v>54</v>
      </c>
      <c r="D5984" t="s">
        <v>55</v>
      </c>
      <c r="E5984" t="s">
        <v>2281</v>
      </c>
      <c r="F5984" t="s">
        <v>190</v>
      </c>
      <c r="G5984" t="s">
        <v>1182</v>
      </c>
      <c r="H5984" t="s">
        <v>1183</v>
      </c>
      <c r="I5984" t="s">
        <v>1183</v>
      </c>
      <c r="J5984" t="s">
        <v>60</v>
      </c>
      <c r="K5984" t="s">
        <v>207</v>
      </c>
      <c r="L5984" t="s">
        <v>62</v>
      </c>
      <c r="M5984" t="s">
        <v>207</v>
      </c>
      <c r="N5984" t="s">
        <v>1184</v>
      </c>
      <c r="O5984" t="s">
        <v>257</v>
      </c>
      <c r="P5984">
        <v>-20.126885000000001</v>
      </c>
      <c r="Q5984">
        <v>-44.884162000000003</v>
      </c>
      <c r="R5984" s="2" t="str">
        <f>HYPERLINK("https://www.google.com/maps?q=-20.1268850,-44.8841620","Abrir no Google Maps")</f>
        <v>Abrir no Google Maps</v>
      </c>
      <c r="S5984">
        <v>3</v>
      </c>
      <c r="T5984">
        <v>514.13587937491741</v>
      </c>
      <c r="U5984">
        <v>4</v>
      </c>
      <c r="V5984">
        <v>0.2178649237472767</v>
      </c>
      <c r="W5984">
        <v>0.85</v>
      </c>
      <c r="X5984">
        <v>0.1851851851851852</v>
      </c>
      <c r="Y5984">
        <v>259</v>
      </c>
      <c r="Z5984">
        <v>611.64962394743804</v>
      </c>
      <c r="AA5984">
        <v>198</v>
      </c>
      <c r="AB5984">
        <v>332</v>
      </c>
      <c r="AC5984">
        <v>536</v>
      </c>
      <c r="AD5984">
        <v>26.22</v>
      </c>
      <c r="AE5984">
        <v>542</v>
      </c>
      <c r="AF5984">
        <v>11</v>
      </c>
      <c r="AG5984">
        <v>181</v>
      </c>
      <c r="AH5984">
        <v>129</v>
      </c>
      <c r="AI5984">
        <v>2.0299999999999998</v>
      </c>
      <c r="AJ5984">
        <v>33.39</v>
      </c>
      <c r="AK5984">
        <v>23.8</v>
      </c>
      <c r="AL5984">
        <v>-20.12682359999997</v>
      </c>
      <c r="AM5984">
        <v>-44.884056486492632</v>
      </c>
      <c r="AN5984">
        <v>-20.12682359999997</v>
      </c>
      <c r="AO5984">
        <v>-44.884056486492632</v>
      </c>
      <c r="AP5984">
        <v>-20.126885000000001</v>
      </c>
      <c r="AQ5984">
        <v>-44.884162000000003</v>
      </c>
      <c r="AR5984">
        <v>12.97479989794236</v>
      </c>
      <c r="AS5984" t="s">
        <v>65</v>
      </c>
      <c r="AT5984">
        <v>1</v>
      </c>
      <c r="AU5984" t="s">
        <v>1185</v>
      </c>
      <c r="AV5984" t="s">
        <v>1186</v>
      </c>
      <c r="AW5984" t="s">
        <v>60</v>
      </c>
      <c r="AX5984" t="s">
        <v>68</v>
      </c>
      <c r="AY5984" t="s">
        <v>69</v>
      </c>
      <c r="AZ5984" t="b">
        <v>1</v>
      </c>
    </row>
    <row r="5985" spans="1:52" x14ac:dyDescent="0.3">
      <c r="A5985" t="s">
        <v>52</v>
      </c>
      <c r="B5985" t="s">
        <v>53</v>
      </c>
      <c r="C5985" t="s">
        <v>54</v>
      </c>
      <c r="D5985" t="s">
        <v>55</v>
      </c>
      <c r="E5985" t="s">
        <v>2281</v>
      </c>
      <c r="F5985" t="s">
        <v>190</v>
      </c>
      <c r="G5985" t="s">
        <v>810</v>
      </c>
      <c r="H5985" t="s">
        <v>811</v>
      </c>
      <c r="I5985" t="s">
        <v>811</v>
      </c>
      <c r="J5985" t="s">
        <v>60</v>
      </c>
      <c r="K5985" t="s">
        <v>805</v>
      </c>
      <c r="L5985" t="s">
        <v>62</v>
      </c>
      <c r="M5985" t="s">
        <v>805</v>
      </c>
      <c r="N5985" t="s">
        <v>812</v>
      </c>
      <c r="O5985" t="s">
        <v>309</v>
      </c>
      <c r="P5985">
        <v>-20.129868999999999</v>
      </c>
      <c r="Q5985">
        <v>-44.884247999999999</v>
      </c>
      <c r="R5985" s="2" t="str">
        <f>HYPERLINK("https://www.google.com/maps?q=-20.1298690,-44.8842480","Abrir no Google Maps")</f>
        <v>Abrir no Google Maps</v>
      </c>
      <c r="S5985">
        <v>3</v>
      </c>
      <c r="T5985">
        <v>434.82198084080329</v>
      </c>
      <c r="U5985">
        <v>4</v>
      </c>
      <c r="V5985">
        <v>0.23063063063063061</v>
      </c>
      <c r="W5985">
        <v>1</v>
      </c>
      <c r="X5985">
        <v>0.23063063063063061</v>
      </c>
      <c r="Y5985">
        <v>259</v>
      </c>
      <c r="Z5985">
        <v>281.76247768049842</v>
      </c>
      <c r="AA5985">
        <v>198</v>
      </c>
      <c r="AB5985">
        <v>332</v>
      </c>
      <c r="AC5985">
        <v>536</v>
      </c>
      <c r="AD5985">
        <v>26.22</v>
      </c>
      <c r="AE5985">
        <v>542</v>
      </c>
      <c r="AF5985">
        <v>11</v>
      </c>
      <c r="AG5985">
        <v>181</v>
      </c>
      <c r="AH5985">
        <v>129</v>
      </c>
      <c r="AI5985">
        <v>2.0299999999999998</v>
      </c>
      <c r="AJ5985">
        <v>33.39</v>
      </c>
      <c r="AK5985">
        <v>23.8</v>
      </c>
      <c r="AL5985">
        <v>-20.129927549999959</v>
      </c>
      <c r="AM5985">
        <v>-44.884228133573217</v>
      </c>
      <c r="AN5985">
        <v>-20.129927549999959</v>
      </c>
      <c r="AO5985">
        <v>-44.884228133573217</v>
      </c>
      <c r="AP5985">
        <v>-20.129868999999999</v>
      </c>
      <c r="AQ5985">
        <v>-44.884247999999999</v>
      </c>
      <c r="AR5985">
        <v>6.8405504803478081</v>
      </c>
      <c r="AS5985" t="s">
        <v>65</v>
      </c>
      <c r="AT5985">
        <v>1</v>
      </c>
      <c r="AU5985" t="s">
        <v>813</v>
      </c>
      <c r="AV5985" t="s">
        <v>814</v>
      </c>
      <c r="AW5985" t="s">
        <v>60</v>
      </c>
      <c r="AX5985" t="s">
        <v>68</v>
      </c>
      <c r="AY5985" t="s">
        <v>69</v>
      </c>
      <c r="AZ5985" t="b">
        <v>1</v>
      </c>
    </row>
    <row r="5986" spans="1:52" x14ac:dyDescent="0.3">
      <c r="A5986" t="s">
        <v>52</v>
      </c>
      <c r="B5986" t="s">
        <v>53</v>
      </c>
      <c r="C5986" t="s">
        <v>54</v>
      </c>
      <c r="D5986" t="s">
        <v>55</v>
      </c>
      <c r="E5986" t="s">
        <v>2281</v>
      </c>
      <c r="F5986" t="s">
        <v>190</v>
      </c>
      <c r="G5986" t="s">
        <v>815</v>
      </c>
      <c r="H5986" t="s">
        <v>816</v>
      </c>
      <c r="I5986" t="s">
        <v>816</v>
      </c>
      <c r="J5986" t="s">
        <v>60</v>
      </c>
      <c r="K5986" t="s">
        <v>805</v>
      </c>
      <c r="L5986" t="s">
        <v>62</v>
      </c>
      <c r="M5986" t="s">
        <v>805</v>
      </c>
      <c r="N5986" t="s">
        <v>817</v>
      </c>
      <c r="O5986" t="s">
        <v>818</v>
      </c>
      <c r="P5986">
        <v>-20.129894</v>
      </c>
      <c r="Q5986">
        <v>-44.886285000000001</v>
      </c>
      <c r="R5986" s="2" t="str">
        <f>HYPERLINK("https://www.google.com/maps?q=-20.1298940,-44.8862850","Abrir no Google Maps")</f>
        <v>Abrir no Google Maps</v>
      </c>
      <c r="S5986">
        <v>3</v>
      </c>
      <c r="T5986">
        <v>245.88570896460399</v>
      </c>
      <c r="U5986">
        <v>4</v>
      </c>
      <c r="V5986">
        <v>0.28299776286353467</v>
      </c>
      <c r="W5986">
        <v>1</v>
      </c>
      <c r="X5986">
        <v>0.28299776286353467</v>
      </c>
      <c r="Y5986">
        <v>259</v>
      </c>
      <c r="Z5986">
        <v>274.53833463725539</v>
      </c>
      <c r="AA5986">
        <v>198</v>
      </c>
      <c r="AB5986">
        <v>332</v>
      </c>
      <c r="AC5986">
        <v>536</v>
      </c>
      <c r="AD5986">
        <v>26.22</v>
      </c>
      <c r="AE5986">
        <v>542</v>
      </c>
      <c r="AF5986">
        <v>11</v>
      </c>
      <c r="AG5986">
        <v>181</v>
      </c>
      <c r="AH5986">
        <v>129</v>
      </c>
      <c r="AI5986">
        <v>2.0299999999999998</v>
      </c>
      <c r="AJ5986">
        <v>33.39</v>
      </c>
      <c r="AK5986">
        <v>23.8</v>
      </c>
      <c r="AL5986">
        <v>-20.129900749999969</v>
      </c>
      <c r="AM5986">
        <v>-44.886258682425179</v>
      </c>
      <c r="AN5986">
        <v>-20.129900749999969</v>
      </c>
      <c r="AO5986">
        <v>-44.886258682425179</v>
      </c>
      <c r="AP5986">
        <v>-20.129894</v>
      </c>
      <c r="AQ5986">
        <v>-44.886285000000001</v>
      </c>
      <c r="AR5986">
        <v>2.851497427576585</v>
      </c>
      <c r="AS5986" t="s">
        <v>65</v>
      </c>
      <c r="AT5986">
        <v>1</v>
      </c>
      <c r="AU5986" t="s">
        <v>819</v>
      </c>
      <c r="AV5986" t="s">
        <v>814</v>
      </c>
      <c r="AW5986" t="s">
        <v>60</v>
      </c>
      <c r="AX5986" t="s">
        <v>68</v>
      </c>
      <c r="AY5986" t="s">
        <v>69</v>
      </c>
      <c r="AZ5986" t="b">
        <v>1</v>
      </c>
    </row>
    <row r="5987" spans="1:52" x14ac:dyDescent="0.3">
      <c r="A5987" t="s">
        <v>52</v>
      </c>
      <c r="B5987" t="s">
        <v>53</v>
      </c>
      <c r="C5987" t="s">
        <v>54</v>
      </c>
      <c r="D5987" t="s">
        <v>55</v>
      </c>
      <c r="E5987" t="s">
        <v>2281</v>
      </c>
      <c r="F5987" t="s">
        <v>190</v>
      </c>
      <c r="G5987" t="s">
        <v>820</v>
      </c>
      <c r="H5987" t="s">
        <v>821</v>
      </c>
      <c r="I5987" t="s">
        <v>821</v>
      </c>
      <c r="J5987" t="s">
        <v>60</v>
      </c>
      <c r="K5987" t="s">
        <v>822</v>
      </c>
      <c r="L5987" t="s">
        <v>62</v>
      </c>
      <c r="M5987" t="s">
        <v>822</v>
      </c>
      <c r="N5987" t="s">
        <v>823</v>
      </c>
      <c r="O5987" t="s">
        <v>187</v>
      </c>
      <c r="P5987">
        <v>-20.182960999999999</v>
      </c>
      <c r="Q5987">
        <v>-44.902512999999999</v>
      </c>
      <c r="R5987" s="2" t="str">
        <f>HYPERLINK("https://www.google.com/maps?q=-20.1829610,-44.9025130","Abrir no Google Maps")</f>
        <v>Abrir no Google Maps</v>
      </c>
      <c r="S5987">
        <v>3</v>
      </c>
      <c r="T5987">
        <v>908.09917748271926</v>
      </c>
      <c r="U5987">
        <v>4</v>
      </c>
      <c r="V5987">
        <v>0.33333333333333331</v>
      </c>
      <c r="W5987">
        <v>1</v>
      </c>
      <c r="X5987">
        <v>0.33333333333333331</v>
      </c>
      <c r="Y5987">
        <v>135</v>
      </c>
      <c r="Z5987">
        <v>562.42494356837676</v>
      </c>
      <c r="AA5987">
        <v>198</v>
      </c>
      <c r="AB5987">
        <v>332</v>
      </c>
      <c r="AC5987">
        <v>536</v>
      </c>
      <c r="AD5987">
        <v>26.22</v>
      </c>
      <c r="AE5987">
        <v>542</v>
      </c>
      <c r="AF5987">
        <v>11</v>
      </c>
      <c r="AG5987">
        <v>181</v>
      </c>
      <c r="AH5987">
        <v>129</v>
      </c>
      <c r="AI5987">
        <v>2.0299999999999998</v>
      </c>
      <c r="AJ5987">
        <v>33.39</v>
      </c>
      <c r="AK5987">
        <v>23.8</v>
      </c>
      <c r="AL5987">
        <v>-20.18277184999997</v>
      </c>
      <c r="AM5987">
        <v>-44.902421436048833</v>
      </c>
      <c r="AN5987">
        <v>-20.18277184999997</v>
      </c>
      <c r="AO5987">
        <v>-44.902421436048833</v>
      </c>
      <c r="AP5987">
        <v>-20.182960999999999</v>
      </c>
      <c r="AQ5987">
        <v>-44.902512999999999</v>
      </c>
      <c r="AR5987">
        <v>23.127700959037089</v>
      </c>
      <c r="AS5987" t="s">
        <v>65</v>
      </c>
      <c r="AT5987">
        <v>1</v>
      </c>
      <c r="AU5987" t="s">
        <v>824</v>
      </c>
      <c r="AV5987" t="s">
        <v>825</v>
      </c>
      <c r="AW5987" t="s">
        <v>60</v>
      </c>
      <c r="AX5987" t="s">
        <v>68</v>
      </c>
      <c r="AY5987" t="s">
        <v>69</v>
      </c>
      <c r="AZ5987" t="b">
        <v>1</v>
      </c>
    </row>
    <row r="5988" spans="1:52" x14ac:dyDescent="0.3">
      <c r="A5988" t="s">
        <v>52</v>
      </c>
      <c r="B5988" t="s">
        <v>53</v>
      </c>
      <c r="C5988" t="s">
        <v>54</v>
      </c>
      <c r="D5988" t="s">
        <v>55</v>
      </c>
      <c r="E5988" t="s">
        <v>2281</v>
      </c>
      <c r="F5988" t="s">
        <v>190</v>
      </c>
      <c r="G5988" t="s">
        <v>380</v>
      </c>
      <c r="H5988" t="s">
        <v>381</v>
      </c>
      <c r="I5988" t="s">
        <v>381</v>
      </c>
      <c r="J5988" t="s">
        <v>60</v>
      </c>
      <c r="K5988" t="s">
        <v>72</v>
      </c>
      <c r="L5988" t="s">
        <v>62</v>
      </c>
      <c r="M5988" t="s">
        <v>72</v>
      </c>
      <c r="N5988" t="s">
        <v>382</v>
      </c>
      <c r="O5988" t="s">
        <v>383</v>
      </c>
      <c r="P5988">
        <v>-20.147182000000001</v>
      </c>
      <c r="Q5988">
        <v>-44.912728999999999</v>
      </c>
      <c r="R5988" s="2" t="str">
        <f>HYPERLINK("https://www.google.com/maps?q=-20.1471820,-44.9127290","Abrir no Google Maps")</f>
        <v>Abrir no Google Maps</v>
      </c>
      <c r="S5988">
        <v>3</v>
      </c>
      <c r="T5988">
        <v>478.0141981540923</v>
      </c>
      <c r="U5988">
        <v>3</v>
      </c>
      <c r="V5988">
        <v>6.5920398009950198E-2</v>
      </c>
      <c r="W5988">
        <v>1</v>
      </c>
      <c r="X5988">
        <v>6.5920398009950198E-2</v>
      </c>
      <c r="Y5988">
        <v>747</v>
      </c>
      <c r="Z5988">
        <v>494.0254290673729</v>
      </c>
      <c r="AA5988">
        <v>198</v>
      </c>
      <c r="AB5988">
        <v>332</v>
      </c>
      <c r="AC5988">
        <v>536</v>
      </c>
      <c r="AD5988">
        <v>26.22</v>
      </c>
      <c r="AE5988">
        <v>542</v>
      </c>
      <c r="AF5988">
        <v>11</v>
      </c>
      <c r="AG5988">
        <v>181</v>
      </c>
      <c r="AH5988">
        <v>129</v>
      </c>
      <c r="AI5988">
        <v>2.0299999999999998</v>
      </c>
      <c r="AJ5988">
        <v>33.39</v>
      </c>
      <c r="AK5988">
        <v>23.8</v>
      </c>
      <c r="AL5988">
        <v>-20.147375599999979</v>
      </c>
      <c r="AM5988">
        <v>-44.912907472879468</v>
      </c>
      <c r="AN5988">
        <v>-20.147375599999979</v>
      </c>
      <c r="AO5988">
        <v>-44.912907472879468</v>
      </c>
      <c r="AP5988">
        <v>-20.147182000000001</v>
      </c>
      <c r="AQ5988">
        <v>-44.912728999999999</v>
      </c>
      <c r="AR5988">
        <v>28.50197694184326</v>
      </c>
      <c r="AS5988" t="s">
        <v>65</v>
      </c>
      <c r="AT5988">
        <v>1</v>
      </c>
      <c r="AU5988" t="s">
        <v>384</v>
      </c>
      <c r="AV5988" t="s">
        <v>385</v>
      </c>
      <c r="AW5988" t="s">
        <v>60</v>
      </c>
      <c r="AX5988" t="s">
        <v>68</v>
      </c>
      <c r="AY5988" t="s">
        <v>69</v>
      </c>
      <c r="AZ5988" t="b">
        <v>1</v>
      </c>
    </row>
    <row r="5989" spans="1:52" x14ac:dyDescent="0.3">
      <c r="A5989" t="s">
        <v>52</v>
      </c>
      <c r="B5989" t="s">
        <v>53</v>
      </c>
      <c r="C5989" t="s">
        <v>54</v>
      </c>
      <c r="D5989" t="s">
        <v>55</v>
      </c>
      <c r="E5989" t="s">
        <v>2281</v>
      </c>
      <c r="F5989" t="s">
        <v>190</v>
      </c>
      <c r="G5989" t="s">
        <v>833</v>
      </c>
      <c r="H5989" t="s">
        <v>834</v>
      </c>
      <c r="I5989" t="s">
        <v>834</v>
      </c>
      <c r="J5989" t="s">
        <v>60</v>
      </c>
      <c r="K5989" t="s">
        <v>388</v>
      </c>
      <c r="L5989" t="s">
        <v>62</v>
      </c>
      <c r="M5989" t="s">
        <v>388</v>
      </c>
      <c r="N5989" t="s">
        <v>835</v>
      </c>
      <c r="O5989" t="s">
        <v>836</v>
      </c>
      <c r="P5989">
        <v>-20.157906000000001</v>
      </c>
      <c r="Q5989">
        <v>-44.900458999999998</v>
      </c>
      <c r="R5989" s="2" t="str">
        <f>HYPERLINK("https://www.google.com/maps?q=-20.1579060,-44.9004590","Abrir no Google Maps")</f>
        <v>Abrir no Google Maps</v>
      </c>
      <c r="S5989">
        <v>3</v>
      </c>
      <c r="T5989">
        <v>0</v>
      </c>
      <c r="U5989">
        <v>3</v>
      </c>
      <c r="V5989">
        <v>4.7413793103448197E-2</v>
      </c>
      <c r="W5989">
        <v>1</v>
      </c>
      <c r="X5989">
        <v>4.7413793103448197E-2</v>
      </c>
      <c r="Y5989">
        <v>729</v>
      </c>
      <c r="Z5989">
        <v>203.63168486652771</v>
      </c>
      <c r="AA5989">
        <v>198</v>
      </c>
      <c r="AB5989">
        <v>332</v>
      </c>
      <c r="AC5989">
        <v>536</v>
      </c>
      <c r="AD5989">
        <v>26.22</v>
      </c>
      <c r="AE5989">
        <v>542</v>
      </c>
      <c r="AF5989">
        <v>11</v>
      </c>
      <c r="AG5989">
        <v>181</v>
      </c>
      <c r="AH5989">
        <v>129</v>
      </c>
      <c r="AI5989">
        <v>2.0299999999999998</v>
      </c>
      <c r="AJ5989">
        <v>33.39</v>
      </c>
      <c r="AK5989">
        <v>23.8</v>
      </c>
      <c r="AL5989">
        <v>-20.157925749999951</v>
      </c>
      <c r="AM5989">
        <v>-44.900484707799812</v>
      </c>
      <c r="AN5989">
        <v>-20.157925749999951</v>
      </c>
      <c r="AO5989">
        <v>-44.900484707799812</v>
      </c>
      <c r="AP5989">
        <v>-20.157906000000001</v>
      </c>
      <c r="AQ5989">
        <v>-44.900458999999998</v>
      </c>
      <c r="AR5989">
        <v>3.4714515960382508</v>
      </c>
      <c r="AS5989" t="s">
        <v>65</v>
      </c>
      <c r="AT5989">
        <v>1</v>
      </c>
      <c r="AU5989" t="s">
        <v>837</v>
      </c>
      <c r="AV5989" t="s">
        <v>838</v>
      </c>
      <c r="AW5989" t="s">
        <v>60</v>
      </c>
      <c r="AX5989" t="s">
        <v>68</v>
      </c>
      <c r="AY5989" t="s">
        <v>69</v>
      </c>
      <c r="AZ5989" t="b">
        <v>1</v>
      </c>
    </row>
    <row r="5990" spans="1:52" x14ac:dyDescent="0.3">
      <c r="A5990" t="s">
        <v>52</v>
      </c>
      <c r="B5990" t="s">
        <v>53</v>
      </c>
      <c r="C5990" t="s">
        <v>54</v>
      </c>
      <c r="D5990" t="s">
        <v>55</v>
      </c>
      <c r="E5990" t="s">
        <v>2281</v>
      </c>
      <c r="F5990" t="s">
        <v>190</v>
      </c>
      <c r="G5990" t="s">
        <v>839</v>
      </c>
      <c r="H5990" t="s">
        <v>840</v>
      </c>
      <c r="I5990" t="s">
        <v>840</v>
      </c>
      <c r="J5990" t="s">
        <v>60</v>
      </c>
      <c r="K5990" t="s">
        <v>388</v>
      </c>
      <c r="L5990" t="s">
        <v>62</v>
      </c>
      <c r="M5990" t="s">
        <v>388</v>
      </c>
      <c r="N5990" t="s">
        <v>841</v>
      </c>
      <c r="O5990" t="s">
        <v>842</v>
      </c>
      <c r="P5990">
        <v>-20.159977999999999</v>
      </c>
      <c r="Q5990">
        <v>-44.900207000000002</v>
      </c>
      <c r="R5990" s="2" t="str">
        <f>HYPERLINK("https://www.google.com/maps?q=-20.1599780,-44.9002070","Abrir no Google Maps")</f>
        <v>Abrir no Google Maps</v>
      </c>
      <c r="S5990">
        <v>3</v>
      </c>
      <c r="T5990">
        <v>213.24333517300789</v>
      </c>
      <c r="U5990">
        <v>3</v>
      </c>
      <c r="V5990">
        <v>5.8608058608058601E-2</v>
      </c>
      <c r="W5990">
        <v>1</v>
      </c>
      <c r="X5990">
        <v>5.8608058608058601E-2</v>
      </c>
      <c r="Y5990">
        <v>729</v>
      </c>
      <c r="Z5990">
        <v>315.47173727880028</v>
      </c>
      <c r="AA5990">
        <v>198</v>
      </c>
      <c r="AB5990">
        <v>332</v>
      </c>
      <c r="AC5990">
        <v>536</v>
      </c>
      <c r="AD5990">
        <v>26.22</v>
      </c>
      <c r="AE5990">
        <v>542</v>
      </c>
      <c r="AF5990">
        <v>11</v>
      </c>
      <c r="AG5990">
        <v>181</v>
      </c>
      <c r="AH5990">
        <v>129</v>
      </c>
      <c r="AI5990">
        <v>2.0299999999999998</v>
      </c>
      <c r="AJ5990">
        <v>33.39</v>
      </c>
      <c r="AK5990">
        <v>23.8</v>
      </c>
      <c r="AL5990">
        <v>-20.159825649999959</v>
      </c>
      <c r="AM5990">
        <v>-44.900143828909613</v>
      </c>
      <c r="AN5990">
        <v>-20.159825649999959</v>
      </c>
      <c r="AO5990">
        <v>-44.900143828909613</v>
      </c>
      <c r="AP5990">
        <v>-20.159977999999999</v>
      </c>
      <c r="AQ5990">
        <v>-44.900207000000002</v>
      </c>
      <c r="AR5990">
        <v>18.199073573580371</v>
      </c>
      <c r="AS5990" t="s">
        <v>65</v>
      </c>
      <c r="AT5990">
        <v>1</v>
      </c>
      <c r="AU5990" t="s">
        <v>843</v>
      </c>
      <c r="AV5990" t="s">
        <v>844</v>
      </c>
      <c r="AW5990" t="s">
        <v>60</v>
      </c>
      <c r="AX5990" t="s">
        <v>68</v>
      </c>
      <c r="AY5990" t="s">
        <v>69</v>
      </c>
      <c r="AZ5990" t="b">
        <v>1</v>
      </c>
    </row>
    <row r="5991" spans="1:52" x14ac:dyDescent="0.3">
      <c r="A5991" t="s">
        <v>52</v>
      </c>
      <c r="B5991" t="s">
        <v>53</v>
      </c>
      <c r="C5991" t="s">
        <v>54</v>
      </c>
      <c r="D5991" t="s">
        <v>55</v>
      </c>
      <c r="E5991" t="s">
        <v>2281</v>
      </c>
      <c r="F5991" t="s">
        <v>190</v>
      </c>
      <c r="G5991" t="s">
        <v>392</v>
      </c>
      <c r="H5991" t="s">
        <v>393</v>
      </c>
      <c r="I5991" t="s">
        <v>393</v>
      </c>
      <c r="J5991" t="s">
        <v>60</v>
      </c>
      <c r="K5991" t="s">
        <v>388</v>
      </c>
      <c r="L5991" t="s">
        <v>62</v>
      </c>
      <c r="M5991" t="s">
        <v>388</v>
      </c>
      <c r="N5991" t="s">
        <v>394</v>
      </c>
      <c r="O5991" t="s">
        <v>395</v>
      </c>
      <c r="P5991">
        <v>-20.158066999999999</v>
      </c>
      <c r="Q5991">
        <v>-44.908164999999997</v>
      </c>
      <c r="R5991" s="2" t="str">
        <f>HYPERLINK("https://www.google.com/maps?q=-20.1580670,-44.9081650","Abrir no Google Maps")</f>
        <v>Abrir no Google Maps</v>
      </c>
      <c r="S5991">
        <v>3</v>
      </c>
      <c r="T5991">
        <v>666.74434317993041</v>
      </c>
      <c r="U5991">
        <v>3</v>
      </c>
      <c r="V5991">
        <v>4.7254150702426501E-2</v>
      </c>
      <c r="W5991">
        <v>1</v>
      </c>
      <c r="X5991">
        <v>4.7254150702426501E-2</v>
      </c>
      <c r="Y5991">
        <v>729</v>
      </c>
      <c r="Z5991">
        <v>612.4323328215396</v>
      </c>
      <c r="AA5991">
        <v>198</v>
      </c>
      <c r="AB5991">
        <v>332</v>
      </c>
      <c r="AC5991">
        <v>536</v>
      </c>
      <c r="AD5991">
        <v>26.22</v>
      </c>
      <c r="AE5991">
        <v>542</v>
      </c>
      <c r="AF5991">
        <v>11</v>
      </c>
      <c r="AG5991">
        <v>181</v>
      </c>
      <c r="AH5991">
        <v>129</v>
      </c>
      <c r="AI5991">
        <v>2.0299999999999998</v>
      </c>
      <c r="AJ5991">
        <v>33.39</v>
      </c>
      <c r="AK5991">
        <v>23.8</v>
      </c>
      <c r="AL5991">
        <v>-20.158151449999959</v>
      </c>
      <c r="AM5991">
        <v>-44.908107718360938</v>
      </c>
      <c r="AN5991">
        <v>-20.158151449999959</v>
      </c>
      <c r="AO5991">
        <v>-44.908107718360938</v>
      </c>
      <c r="AP5991">
        <v>-20.158066999999999</v>
      </c>
      <c r="AQ5991">
        <v>-44.908164999999997</v>
      </c>
      <c r="AR5991">
        <v>11.14497345894574</v>
      </c>
      <c r="AS5991" t="s">
        <v>65</v>
      </c>
      <c r="AT5991">
        <v>1</v>
      </c>
      <c r="AU5991" t="s">
        <v>396</v>
      </c>
      <c r="AV5991" t="s">
        <v>397</v>
      </c>
      <c r="AW5991" t="s">
        <v>60</v>
      </c>
      <c r="AX5991" t="s">
        <v>68</v>
      </c>
      <c r="AY5991" t="s">
        <v>69</v>
      </c>
      <c r="AZ5991" t="b">
        <v>1</v>
      </c>
    </row>
    <row r="5992" spans="1:52" x14ac:dyDescent="0.3">
      <c r="A5992" t="s">
        <v>52</v>
      </c>
      <c r="B5992" t="s">
        <v>53</v>
      </c>
      <c r="C5992" t="s">
        <v>54</v>
      </c>
      <c r="D5992" t="s">
        <v>55</v>
      </c>
      <c r="E5992" t="s">
        <v>2281</v>
      </c>
      <c r="F5992" t="s">
        <v>190</v>
      </c>
      <c r="G5992" t="s">
        <v>839</v>
      </c>
      <c r="H5992" t="s">
        <v>1274</v>
      </c>
      <c r="I5992" t="s">
        <v>1274</v>
      </c>
      <c r="J5992" t="s">
        <v>60</v>
      </c>
      <c r="K5992" t="s">
        <v>388</v>
      </c>
      <c r="L5992" t="s">
        <v>62</v>
      </c>
      <c r="M5992" t="s">
        <v>388</v>
      </c>
      <c r="N5992" t="s">
        <v>841</v>
      </c>
      <c r="O5992" t="s">
        <v>1275</v>
      </c>
      <c r="P5992">
        <v>-20.157979999999998</v>
      </c>
      <c r="Q5992">
        <v>-44.906365999999998</v>
      </c>
      <c r="R5992" s="2" t="str">
        <f>HYPERLINK("https://www.google.com/maps?q=-20.1579800,-44.9063660","Abrir no Google Maps")</f>
        <v>Abrir no Google Maps</v>
      </c>
      <c r="S5992">
        <v>3</v>
      </c>
      <c r="T5992">
        <v>519.48953004348823</v>
      </c>
      <c r="U5992">
        <v>3</v>
      </c>
      <c r="V5992">
        <v>8.8578088578088507E-2</v>
      </c>
      <c r="W5992">
        <v>0.85</v>
      </c>
      <c r="X5992">
        <v>7.5291375291375223E-2</v>
      </c>
      <c r="Y5992">
        <v>729</v>
      </c>
      <c r="Z5992">
        <v>393.22938248316768</v>
      </c>
      <c r="AA5992">
        <v>198</v>
      </c>
      <c r="AB5992">
        <v>332</v>
      </c>
      <c r="AC5992">
        <v>536</v>
      </c>
      <c r="AD5992">
        <v>26.22</v>
      </c>
      <c r="AE5992">
        <v>542</v>
      </c>
      <c r="AF5992">
        <v>11</v>
      </c>
      <c r="AG5992">
        <v>181</v>
      </c>
      <c r="AH5992">
        <v>129</v>
      </c>
      <c r="AI5992">
        <v>2.0299999999999998</v>
      </c>
      <c r="AJ5992">
        <v>33.39</v>
      </c>
      <c r="AK5992">
        <v>23.8</v>
      </c>
      <c r="AL5992">
        <v>-20.157977799999941</v>
      </c>
      <c r="AM5992">
        <v>-44.906429896327573</v>
      </c>
      <c r="AN5992">
        <v>-20.157977799999941</v>
      </c>
      <c r="AO5992">
        <v>-44.906429896327573</v>
      </c>
      <c r="AP5992">
        <v>-20.157979999999998</v>
      </c>
      <c r="AQ5992">
        <v>-44.906365999999998</v>
      </c>
      <c r="AR5992">
        <v>6.6817330699236734</v>
      </c>
      <c r="AS5992" t="s">
        <v>65</v>
      </c>
      <c r="AT5992">
        <v>1</v>
      </c>
      <c r="AU5992" t="s">
        <v>1276</v>
      </c>
      <c r="AV5992" t="s">
        <v>1277</v>
      </c>
      <c r="AW5992" t="s">
        <v>60</v>
      </c>
      <c r="AX5992" t="s">
        <v>68</v>
      </c>
      <c r="AY5992" t="s">
        <v>69</v>
      </c>
      <c r="AZ5992" t="b">
        <v>1</v>
      </c>
    </row>
    <row r="5993" spans="1:52" x14ac:dyDescent="0.3">
      <c r="A5993" t="s">
        <v>52</v>
      </c>
      <c r="B5993" t="s">
        <v>53</v>
      </c>
      <c r="C5993" t="s">
        <v>54</v>
      </c>
      <c r="D5993" t="s">
        <v>55</v>
      </c>
      <c r="E5993" t="s">
        <v>2281</v>
      </c>
      <c r="F5993" t="s">
        <v>190</v>
      </c>
      <c r="G5993" t="s">
        <v>1278</v>
      </c>
      <c r="H5993" t="s">
        <v>1279</v>
      </c>
      <c r="I5993" t="s">
        <v>1279</v>
      </c>
      <c r="J5993" t="s">
        <v>60</v>
      </c>
      <c r="K5993" t="s">
        <v>388</v>
      </c>
      <c r="L5993" t="s">
        <v>62</v>
      </c>
      <c r="M5993" t="s">
        <v>388</v>
      </c>
      <c r="N5993" t="s">
        <v>1280</v>
      </c>
      <c r="O5993" t="s">
        <v>216</v>
      </c>
      <c r="P5993">
        <v>-20.15681</v>
      </c>
      <c r="Q5993">
        <v>-44.899290999999998</v>
      </c>
      <c r="R5993" s="2" t="str">
        <f>HYPERLINK("https://www.google.com/maps?q=-20.1568100,-44.8992910","Abrir no Google Maps")</f>
        <v>Abrir no Google Maps</v>
      </c>
      <c r="S5993">
        <v>3</v>
      </c>
      <c r="T5993">
        <v>180.10162979749811</v>
      </c>
      <c r="U5993">
        <v>3</v>
      </c>
      <c r="V5993">
        <v>4.9999999999999899E-2</v>
      </c>
      <c r="W5993">
        <v>0.85</v>
      </c>
      <c r="X5993">
        <v>4.2499999999999913E-2</v>
      </c>
      <c r="Y5993">
        <v>729</v>
      </c>
      <c r="Z5993">
        <v>368.06065118133841</v>
      </c>
      <c r="AA5993">
        <v>198</v>
      </c>
      <c r="AB5993">
        <v>332</v>
      </c>
      <c r="AC5993">
        <v>536</v>
      </c>
      <c r="AD5993">
        <v>26.22</v>
      </c>
      <c r="AE5993">
        <v>542</v>
      </c>
      <c r="AF5993">
        <v>11</v>
      </c>
      <c r="AG5993">
        <v>181</v>
      </c>
      <c r="AH5993">
        <v>129</v>
      </c>
      <c r="AI5993">
        <v>2.0299999999999998</v>
      </c>
      <c r="AJ5993">
        <v>33.39</v>
      </c>
      <c r="AK5993">
        <v>23.8</v>
      </c>
      <c r="AL5993">
        <v>-20.156785649999961</v>
      </c>
      <c r="AM5993">
        <v>-44.899254812291332</v>
      </c>
      <c r="AN5993">
        <v>-20.156785649999961</v>
      </c>
      <c r="AO5993">
        <v>-44.899254812291332</v>
      </c>
      <c r="AP5993">
        <v>-20.15681</v>
      </c>
      <c r="AQ5993">
        <v>-44.899290999999998</v>
      </c>
      <c r="AR5993">
        <v>4.6528211992813118</v>
      </c>
      <c r="AS5993" t="s">
        <v>65</v>
      </c>
      <c r="AT5993">
        <v>1</v>
      </c>
      <c r="AU5993" t="s">
        <v>1281</v>
      </c>
      <c r="AV5993" t="s">
        <v>1282</v>
      </c>
      <c r="AW5993" t="s">
        <v>60</v>
      </c>
      <c r="AX5993" t="s">
        <v>68</v>
      </c>
      <c r="AY5993" t="s">
        <v>69</v>
      </c>
      <c r="AZ5993" t="b">
        <v>1</v>
      </c>
    </row>
    <row r="5994" spans="1:52" x14ac:dyDescent="0.3">
      <c r="A5994" t="s">
        <v>52</v>
      </c>
      <c r="B5994" t="s">
        <v>53</v>
      </c>
      <c r="C5994" t="s">
        <v>54</v>
      </c>
      <c r="D5994" t="s">
        <v>55</v>
      </c>
      <c r="E5994" t="s">
        <v>2281</v>
      </c>
      <c r="F5994" t="s">
        <v>190</v>
      </c>
      <c r="G5994" t="s">
        <v>1283</v>
      </c>
      <c r="H5994" t="s">
        <v>1284</v>
      </c>
      <c r="I5994" t="s">
        <v>1284</v>
      </c>
      <c r="J5994" t="s">
        <v>60</v>
      </c>
      <c r="K5994" t="s">
        <v>388</v>
      </c>
      <c r="L5994" t="s">
        <v>62</v>
      </c>
      <c r="M5994" t="s">
        <v>388</v>
      </c>
      <c r="N5994" t="s">
        <v>400</v>
      </c>
      <c r="O5994" t="s">
        <v>1285</v>
      </c>
      <c r="P5994">
        <v>-20.156977999999999</v>
      </c>
      <c r="Q5994">
        <v>-44.90325</v>
      </c>
      <c r="R5994" s="2" t="str">
        <f>HYPERLINK("https://www.google.com/maps?q=-20.1569780,-44.9032500","Abrir no Google Maps")</f>
        <v>Abrir no Google Maps</v>
      </c>
      <c r="S5994">
        <v>3</v>
      </c>
      <c r="T5994">
        <v>256.05633739092571</v>
      </c>
      <c r="U5994">
        <v>3</v>
      </c>
      <c r="V5994">
        <v>7.9470198675496595E-2</v>
      </c>
      <c r="W5994">
        <v>0.85</v>
      </c>
      <c r="X5994">
        <v>6.7549668874172103E-2</v>
      </c>
      <c r="Y5994">
        <v>729</v>
      </c>
      <c r="Z5994">
        <v>162.99447055889971</v>
      </c>
      <c r="AA5994">
        <v>198</v>
      </c>
      <c r="AB5994">
        <v>332</v>
      </c>
      <c r="AC5994">
        <v>536</v>
      </c>
      <c r="AD5994">
        <v>26.22</v>
      </c>
      <c r="AE5994">
        <v>542</v>
      </c>
      <c r="AF5994">
        <v>11</v>
      </c>
      <c r="AG5994">
        <v>181</v>
      </c>
      <c r="AH5994">
        <v>129</v>
      </c>
      <c r="AI5994">
        <v>2.0299999999999998</v>
      </c>
      <c r="AJ5994">
        <v>33.39</v>
      </c>
      <c r="AK5994">
        <v>23.8</v>
      </c>
      <c r="AL5994">
        <v>-20.15696524999996</v>
      </c>
      <c r="AM5994">
        <v>-44.903258102626708</v>
      </c>
      <c r="AN5994">
        <v>-20.15696524999996</v>
      </c>
      <c r="AO5994">
        <v>-44.903258102626708</v>
      </c>
      <c r="AP5994">
        <v>-20.156977999999999</v>
      </c>
      <c r="AQ5994">
        <v>-44.90325</v>
      </c>
      <c r="AR5994">
        <v>1.6527147033629741</v>
      </c>
      <c r="AS5994" t="s">
        <v>65</v>
      </c>
      <c r="AT5994">
        <v>1</v>
      </c>
      <c r="AU5994" t="s">
        <v>1286</v>
      </c>
      <c r="AV5994" t="s">
        <v>1287</v>
      </c>
      <c r="AW5994" t="s">
        <v>60</v>
      </c>
      <c r="AX5994" t="s">
        <v>68</v>
      </c>
      <c r="AY5994" t="s">
        <v>69</v>
      </c>
      <c r="AZ5994" t="b">
        <v>1</v>
      </c>
    </row>
    <row r="5995" spans="1:52" x14ac:dyDescent="0.3">
      <c r="A5995" t="s">
        <v>52</v>
      </c>
      <c r="B5995" t="s">
        <v>53</v>
      </c>
      <c r="C5995" t="s">
        <v>54</v>
      </c>
      <c r="D5995" t="s">
        <v>55</v>
      </c>
      <c r="E5995" t="s">
        <v>2281</v>
      </c>
      <c r="F5995" t="s">
        <v>190</v>
      </c>
      <c r="G5995" t="s">
        <v>1417</v>
      </c>
      <c r="H5995" t="s">
        <v>1418</v>
      </c>
      <c r="I5995" t="s">
        <v>1418</v>
      </c>
      <c r="J5995" t="s">
        <v>60</v>
      </c>
      <c r="K5995" t="s">
        <v>1419</v>
      </c>
      <c r="L5995" t="s">
        <v>62</v>
      </c>
      <c r="M5995" t="s">
        <v>1419</v>
      </c>
      <c r="N5995" t="s">
        <v>1420</v>
      </c>
      <c r="O5995" t="s">
        <v>1421</v>
      </c>
      <c r="P5995">
        <v>-20.159427000000001</v>
      </c>
      <c r="Q5995">
        <v>-44.897143</v>
      </c>
      <c r="R5995" s="2" t="str">
        <f>HYPERLINK("https://www.google.com/maps?q=-20.1594270,-44.8971430","Abrir no Google Maps")</f>
        <v>Abrir no Google Maps</v>
      </c>
      <c r="S5995">
        <v>3</v>
      </c>
      <c r="T5995">
        <v>392.64349875646298</v>
      </c>
      <c r="U5995">
        <v>3</v>
      </c>
      <c r="V5995">
        <v>3.1914893617021198E-2</v>
      </c>
      <c r="W5995">
        <v>0.85</v>
      </c>
      <c r="X5995">
        <v>2.712765957446802E-2</v>
      </c>
      <c r="Y5995">
        <v>729</v>
      </c>
      <c r="Z5995">
        <v>550.20062797366995</v>
      </c>
      <c r="AA5995">
        <v>198</v>
      </c>
      <c r="AB5995">
        <v>332</v>
      </c>
      <c r="AC5995">
        <v>536</v>
      </c>
      <c r="AD5995">
        <v>26.22</v>
      </c>
      <c r="AE5995">
        <v>542</v>
      </c>
      <c r="AF5995">
        <v>11</v>
      </c>
      <c r="AG5995">
        <v>181</v>
      </c>
      <c r="AH5995">
        <v>129</v>
      </c>
      <c r="AI5995">
        <v>2.0299999999999998</v>
      </c>
      <c r="AJ5995">
        <v>33.39</v>
      </c>
      <c r="AK5995">
        <v>23.8</v>
      </c>
      <c r="AL5995">
        <v>-20.15946549999995</v>
      </c>
      <c r="AM5995">
        <v>-44.89709959354267</v>
      </c>
      <c r="AN5995">
        <v>-20.15946549999995</v>
      </c>
      <c r="AO5995">
        <v>-44.89709959354267</v>
      </c>
      <c r="AP5995">
        <v>-20.159427000000001</v>
      </c>
      <c r="AQ5995">
        <v>-44.897143</v>
      </c>
      <c r="AR5995">
        <v>6.2404649979039286</v>
      </c>
      <c r="AS5995" t="s">
        <v>65</v>
      </c>
      <c r="AT5995">
        <v>1</v>
      </c>
      <c r="AU5995" t="s">
        <v>1422</v>
      </c>
      <c r="AV5995" t="s">
        <v>1423</v>
      </c>
      <c r="AW5995" t="s">
        <v>60</v>
      </c>
      <c r="AX5995" t="s">
        <v>68</v>
      </c>
      <c r="AY5995" t="s">
        <v>69</v>
      </c>
      <c r="AZ5995" t="b">
        <v>1</v>
      </c>
    </row>
    <row r="5996" spans="1:52" x14ac:dyDescent="0.3">
      <c r="A5996" t="s">
        <v>52</v>
      </c>
      <c r="B5996" t="s">
        <v>53</v>
      </c>
      <c r="C5996" t="s">
        <v>54</v>
      </c>
      <c r="D5996" t="s">
        <v>55</v>
      </c>
      <c r="E5996" t="s">
        <v>2281</v>
      </c>
      <c r="F5996" t="s">
        <v>190</v>
      </c>
      <c r="G5996" t="s">
        <v>1288</v>
      </c>
      <c r="H5996" t="s">
        <v>1289</v>
      </c>
      <c r="I5996" t="s">
        <v>1289</v>
      </c>
      <c r="J5996" t="s">
        <v>60</v>
      </c>
      <c r="K5996" t="s">
        <v>1290</v>
      </c>
      <c r="L5996" t="s">
        <v>62</v>
      </c>
      <c r="M5996" t="s">
        <v>1290</v>
      </c>
      <c r="N5996" t="s">
        <v>1291</v>
      </c>
      <c r="O5996" t="s">
        <v>315</v>
      </c>
      <c r="P5996">
        <v>-20.171008</v>
      </c>
      <c r="Q5996">
        <v>-44.918908999999999</v>
      </c>
      <c r="R5996" s="2" t="str">
        <f>HYPERLINK("https://www.google.com/maps?q=-20.1710080,-44.9189090","Abrir no Google Maps")</f>
        <v>Abrir no Google Maps</v>
      </c>
      <c r="S5996">
        <v>3</v>
      </c>
      <c r="T5996">
        <v>972.86786700299888</v>
      </c>
      <c r="U5996">
        <v>3</v>
      </c>
      <c r="V5996">
        <v>7.5163398692810399E-2</v>
      </c>
      <c r="W5996">
        <v>0.85</v>
      </c>
      <c r="X5996">
        <v>6.3888888888888842E-2</v>
      </c>
      <c r="Y5996">
        <v>723</v>
      </c>
      <c r="Z5996">
        <v>690.55600110253613</v>
      </c>
      <c r="AA5996">
        <v>198</v>
      </c>
      <c r="AB5996">
        <v>332</v>
      </c>
      <c r="AC5996">
        <v>536</v>
      </c>
      <c r="AD5996">
        <v>26.22</v>
      </c>
      <c r="AE5996">
        <v>542</v>
      </c>
      <c r="AF5996">
        <v>11</v>
      </c>
      <c r="AG5996">
        <v>181</v>
      </c>
      <c r="AH5996">
        <v>129</v>
      </c>
      <c r="AI5996">
        <v>2.0299999999999998</v>
      </c>
      <c r="AJ5996">
        <v>33.39</v>
      </c>
      <c r="AK5996">
        <v>23.8</v>
      </c>
      <c r="AL5996">
        <v>-20.171738249999979</v>
      </c>
      <c r="AM5996">
        <v>-44.919736490382917</v>
      </c>
      <c r="AN5996">
        <v>-20.171738249999979</v>
      </c>
      <c r="AO5996">
        <v>-44.919736490382931</v>
      </c>
      <c r="AP5996">
        <v>-20.171008</v>
      </c>
      <c r="AQ5996">
        <v>-44.918908999999999</v>
      </c>
      <c r="AR5996">
        <v>118.678920061485</v>
      </c>
      <c r="AS5996" t="s">
        <v>65</v>
      </c>
      <c r="AT5996">
        <v>1</v>
      </c>
      <c r="AU5996" t="s">
        <v>1292</v>
      </c>
      <c r="AV5996" t="s">
        <v>1293</v>
      </c>
      <c r="AW5996" t="s">
        <v>60</v>
      </c>
      <c r="AX5996" t="s">
        <v>68</v>
      </c>
      <c r="AY5996" t="s">
        <v>69</v>
      </c>
      <c r="AZ5996" t="b">
        <v>1</v>
      </c>
    </row>
    <row r="5997" spans="1:52" x14ac:dyDescent="0.3">
      <c r="A5997" t="s">
        <v>52</v>
      </c>
      <c r="B5997" t="s">
        <v>53</v>
      </c>
      <c r="C5997" t="s">
        <v>54</v>
      </c>
      <c r="D5997" t="s">
        <v>55</v>
      </c>
      <c r="E5997" t="s">
        <v>2281</v>
      </c>
      <c r="F5997" t="s">
        <v>190</v>
      </c>
      <c r="G5997" t="s">
        <v>1294</v>
      </c>
      <c r="H5997" t="s">
        <v>1295</v>
      </c>
      <c r="I5997" t="s">
        <v>1295</v>
      </c>
      <c r="J5997" t="s">
        <v>60</v>
      </c>
      <c r="K5997" t="s">
        <v>418</v>
      </c>
      <c r="L5997" t="s">
        <v>62</v>
      </c>
      <c r="M5997" t="s">
        <v>418</v>
      </c>
      <c r="N5997" t="s">
        <v>1296</v>
      </c>
      <c r="O5997" t="s">
        <v>1297</v>
      </c>
      <c r="P5997">
        <v>-20.169899999999998</v>
      </c>
      <c r="Q5997">
        <v>-44.916176999999998</v>
      </c>
      <c r="R5997" s="2" t="str">
        <f>HYPERLINK("https://www.google.com/maps?q=-20.1699000,-44.9161770","Abrir no Google Maps")</f>
        <v>Abrir no Google Maps</v>
      </c>
      <c r="S5997">
        <v>3</v>
      </c>
      <c r="T5997">
        <v>658.15251036568407</v>
      </c>
      <c r="U5997">
        <v>3</v>
      </c>
      <c r="V5997">
        <v>5.4373522458628802E-2</v>
      </c>
      <c r="W5997">
        <v>0.85</v>
      </c>
      <c r="X5997">
        <v>4.6217494089834478E-2</v>
      </c>
      <c r="Y5997">
        <v>723</v>
      </c>
      <c r="Z5997">
        <v>400.39092274559039</v>
      </c>
      <c r="AA5997">
        <v>198</v>
      </c>
      <c r="AB5997">
        <v>332</v>
      </c>
      <c r="AC5997">
        <v>536</v>
      </c>
      <c r="AD5997">
        <v>26.22</v>
      </c>
      <c r="AE5997">
        <v>542</v>
      </c>
      <c r="AF5997">
        <v>11</v>
      </c>
      <c r="AG5997">
        <v>181</v>
      </c>
      <c r="AH5997">
        <v>129</v>
      </c>
      <c r="AI5997">
        <v>2.0299999999999998</v>
      </c>
      <c r="AJ5997">
        <v>33.39</v>
      </c>
      <c r="AK5997">
        <v>23.8</v>
      </c>
      <c r="AL5997">
        <v>-20.169898399999941</v>
      </c>
      <c r="AM5997">
        <v>-44.916247682868359</v>
      </c>
      <c r="AN5997">
        <v>-20.169898399999941</v>
      </c>
      <c r="AO5997">
        <v>-44.916247682868359</v>
      </c>
      <c r="AP5997">
        <v>-20.169899999999998</v>
      </c>
      <c r="AQ5997">
        <v>-44.916176999999998</v>
      </c>
      <c r="AR5997">
        <v>7.388028048308902</v>
      </c>
      <c r="AS5997" t="s">
        <v>65</v>
      </c>
      <c r="AT5997">
        <v>1</v>
      </c>
      <c r="AU5997" t="s">
        <v>1298</v>
      </c>
      <c r="AV5997" t="s">
        <v>1299</v>
      </c>
      <c r="AW5997" t="s">
        <v>60</v>
      </c>
      <c r="AX5997" t="s">
        <v>68</v>
      </c>
      <c r="AY5997" t="s">
        <v>69</v>
      </c>
      <c r="AZ5997" t="b">
        <v>1</v>
      </c>
    </row>
    <row r="5998" spans="1:52" x14ac:dyDescent="0.3">
      <c r="A5998" t="s">
        <v>52</v>
      </c>
      <c r="B5998" t="s">
        <v>53</v>
      </c>
      <c r="C5998" t="s">
        <v>54</v>
      </c>
      <c r="D5998" t="s">
        <v>55</v>
      </c>
      <c r="E5998" t="s">
        <v>2281</v>
      </c>
      <c r="F5998" t="s">
        <v>190</v>
      </c>
      <c r="G5998" t="s">
        <v>1300</v>
      </c>
      <c r="H5998" t="s">
        <v>1301</v>
      </c>
      <c r="I5998" t="s">
        <v>1301</v>
      </c>
      <c r="J5998" t="s">
        <v>60</v>
      </c>
      <c r="K5998" t="s">
        <v>1302</v>
      </c>
      <c r="L5998" t="s">
        <v>62</v>
      </c>
      <c r="M5998" t="s">
        <v>1302</v>
      </c>
      <c r="N5998" t="s">
        <v>1303</v>
      </c>
      <c r="O5998" t="s">
        <v>1304</v>
      </c>
      <c r="P5998">
        <v>-20.166618</v>
      </c>
      <c r="Q5998">
        <v>-44.912920999999997</v>
      </c>
      <c r="R5998" s="2" t="str">
        <f>HYPERLINK("https://www.google.com/maps?q=-20.1666180,-44.9129210","Abrir no Google Maps")</f>
        <v>Abrir no Google Maps</v>
      </c>
      <c r="S5998">
        <v>3</v>
      </c>
      <c r="T5998">
        <v>636.32880156364706</v>
      </c>
      <c r="U5998">
        <v>3</v>
      </c>
      <c r="V5998">
        <v>3.9215686274509803E-2</v>
      </c>
      <c r="W5998">
        <v>0.85</v>
      </c>
      <c r="X5998">
        <v>3.3333333333333333E-2</v>
      </c>
      <c r="Y5998">
        <v>723</v>
      </c>
      <c r="Z5998">
        <v>407.62145176971592</v>
      </c>
      <c r="AA5998">
        <v>198</v>
      </c>
      <c r="AB5998">
        <v>332</v>
      </c>
      <c r="AC5998">
        <v>536</v>
      </c>
      <c r="AD5998">
        <v>26.22</v>
      </c>
      <c r="AE5998">
        <v>542</v>
      </c>
      <c r="AF5998">
        <v>11</v>
      </c>
      <c r="AG5998">
        <v>181</v>
      </c>
      <c r="AH5998">
        <v>129</v>
      </c>
      <c r="AI5998">
        <v>2.0299999999999998</v>
      </c>
      <c r="AJ5998">
        <v>33.39</v>
      </c>
      <c r="AK5998">
        <v>23.8</v>
      </c>
      <c r="AL5998">
        <v>-20.166924799999951</v>
      </c>
      <c r="AM5998">
        <v>-44.912868681724092</v>
      </c>
      <c r="AN5998">
        <v>-20.166924799999951</v>
      </c>
      <c r="AO5998">
        <v>-44.912868681724092</v>
      </c>
      <c r="AP5998">
        <v>-20.166618</v>
      </c>
      <c r="AQ5998">
        <v>-44.912920999999997</v>
      </c>
      <c r="AR5998">
        <v>34.587771860198139</v>
      </c>
      <c r="AS5998" t="s">
        <v>65</v>
      </c>
      <c r="AT5998">
        <v>1</v>
      </c>
      <c r="AU5998" t="s">
        <v>1305</v>
      </c>
      <c r="AV5998" t="s">
        <v>1306</v>
      </c>
      <c r="AW5998" t="s">
        <v>60</v>
      </c>
      <c r="AX5998" t="s">
        <v>68</v>
      </c>
      <c r="AY5998" t="s">
        <v>69</v>
      </c>
      <c r="AZ5998" t="b">
        <v>1</v>
      </c>
    </row>
    <row r="5999" spans="1:52" x14ac:dyDescent="0.3">
      <c r="A5999" t="s">
        <v>52</v>
      </c>
      <c r="B5999" t="s">
        <v>53</v>
      </c>
      <c r="C5999" t="s">
        <v>54</v>
      </c>
      <c r="D5999" t="s">
        <v>55</v>
      </c>
      <c r="E5999" t="s">
        <v>2281</v>
      </c>
      <c r="F5999" t="s">
        <v>190</v>
      </c>
      <c r="G5999" t="s">
        <v>422</v>
      </c>
      <c r="H5999" t="s">
        <v>423</v>
      </c>
      <c r="I5999" t="s">
        <v>423</v>
      </c>
      <c r="J5999" t="s">
        <v>60</v>
      </c>
      <c r="K5999" t="s">
        <v>424</v>
      </c>
      <c r="L5999" t="s">
        <v>62</v>
      </c>
      <c r="M5999" t="s">
        <v>424</v>
      </c>
      <c r="N5999" t="s">
        <v>425</v>
      </c>
      <c r="O5999" t="s">
        <v>426</v>
      </c>
      <c r="P5999">
        <v>-20.177748000000001</v>
      </c>
      <c r="Q5999">
        <v>-44.912475000000001</v>
      </c>
      <c r="R5999" s="2" t="str">
        <f>HYPERLINK("https://www.google.com/maps?q=-20.1777480,-44.9124750","Abrir no Google Maps")</f>
        <v>Abrir no Google Maps</v>
      </c>
      <c r="S5999">
        <v>3</v>
      </c>
      <c r="T5999">
        <v>657.07560140436533</v>
      </c>
      <c r="U5999">
        <v>3</v>
      </c>
      <c r="V5999">
        <v>4.25844346549192E-2</v>
      </c>
      <c r="W5999">
        <v>1</v>
      </c>
      <c r="X5999">
        <v>4.25844346549192E-2</v>
      </c>
      <c r="Y5999">
        <v>723</v>
      </c>
      <c r="Z5999">
        <v>796.94198000561175</v>
      </c>
      <c r="AA5999">
        <v>198</v>
      </c>
      <c r="AB5999">
        <v>332</v>
      </c>
      <c r="AC5999">
        <v>536</v>
      </c>
      <c r="AD5999">
        <v>26.22</v>
      </c>
      <c r="AE5999">
        <v>542</v>
      </c>
      <c r="AF5999">
        <v>11</v>
      </c>
      <c r="AG5999">
        <v>181</v>
      </c>
      <c r="AH5999">
        <v>129</v>
      </c>
      <c r="AI5999">
        <v>2.0299999999999998</v>
      </c>
      <c r="AJ5999">
        <v>33.39</v>
      </c>
      <c r="AK5999">
        <v>23.8</v>
      </c>
      <c r="AL5999">
        <v>-20.177761749999949</v>
      </c>
      <c r="AM5999">
        <v>-44.91263311624418</v>
      </c>
      <c r="AN5999">
        <v>-20.177761749999949</v>
      </c>
      <c r="AO5999">
        <v>-44.91263311624418</v>
      </c>
      <c r="AP5999">
        <v>-20.177748000000001</v>
      </c>
      <c r="AQ5999">
        <v>-44.912475000000001</v>
      </c>
      <c r="AR5999">
        <v>16.591996803075372</v>
      </c>
      <c r="AS5999" t="s">
        <v>65</v>
      </c>
      <c r="AT5999">
        <v>1</v>
      </c>
      <c r="AU5999" t="s">
        <v>427</v>
      </c>
      <c r="AV5999" t="s">
        <v>428</v>
      </c>
      <c r="AW5999" t="s">
        <v>60</v>
      </c>
      <c r="AX5999" t="s">
        <v>68</v>
      </c>
      <c r="AY5999" t="s">
        <v>69</v>
      </c>
      <c r="AZ5999" t="b">
        <v>1</v>
      </c>
    </row>
    <row r="6000" spans="1:52" x14ac:dyDescent="0.3">
      <c r="A6000" t="s">
        <v>52</v>
      </c>
      <c r="B6000" t="s">
        <v>53</v>
      </c>
      <c r="C6000" t="s">
        <v>54</v>
      </c>
      <c r="D6000" t="s">
        <v>55</v>
      </c>
      <c r="E6000" t="s">
        <v>2281</v>
      </c>
      <c r="F6000" t="s">
        <v>190</v>
      </c>
      <c r="G6000" t="s">
        <v>422</v>
      </c>
      <c r="H6000" t="s">
        <v>1323</v>
      </c>
      <c r="I6000" t="s">
        <v>1323</v>
      </c>
      <c r="J6000" t="s">
        <v>60</v>
      </c>
      <c r="K6000" t="s">
        <v>1324</v>
      </c>
      <c r="L6000" t="s">
        <v>62</v>
      </c>
      <c r="M6000" t="s">
        <v>1324</v>
      </c>
      <c r="N6000" t="s">
        <v>425</v>
      </c>
      <c r="O6000" t="s">
        <v>1325</v>
      </c>
      <c r="P6000">
        <v>-20.175142000000001</v>
      </c>
      <c r="Q6000">
        <v>-44.913783000000002</v>
      </c>
      <c r="R6000" s="2" t="str">
        <f>HYPERLINK("https://www.google.com/maps?q=-20.1751420,-44.9137830","Abrir no Google Maps")</f>
        <v>Abrir no Google Maps</v>
      </c>
      <c r="S6000">
        <v>3</v>
      </c>
      <c r="T6000">
        <v>495.73888273066677</v>
      </c>
      <c r="U6000">
        <v>3</v>
      </c>
      <c r="V6000">
        <v>4.0650406504064998E-2</v>
      </c>
      <c r="W6000">
        <v>0.85</v>
      </c>
      <c r="X6000">
        <v>3.455284552845525E-2</v>
      </c>
      <c r="Y6000">
        <v>723</v>
      </c>
      <c r="Z6000">
        <v>488.51574748236328</v>
      </c>
      <c r="AA6000">
        <v>198</v>
      </c>
      <c r="AB6000">
        <v>332</v>
      </c>
      <c r="AC6000">
        <v>536</v>
      </c>
      <c r="AD6000">
        <v>26.22</v>
      </c>
      <c r="AE6000">
        <v>542</v>
      </c>
      <c r="AF6000">
        <v>11</v>
      </c>
      <c r="AG6000">
        <v>181</v>
      </c>
      <c r="AH6000">
        <v>129</v>
      </c>
      <c r="AI6000">
        <v>2.0299999999999998</v>
      </c>
      <c r="AJ6000">
        <v>33.39</v>
      </c>
      <c r="AK6000">
        <v>23.8</v>
      </c>
      <c r="AL6000">
        <v>-20.175195199999958</v>
      </c>
      <c r="AM6000">
        <v>-44.913964122548052</v>
      </c>
      <c r="AN6000">
        <v>-20.175195199999958</v>
      </c>
      <c r="AO6000">
        <v>-44.913964122548052</v>
      </c>
      <c r="AP6000">
        <v>-20.175142000000001</v>
      </c>
      <c r="AQ6000">
        <v>-44.913783000000002</v>
      </c>
      <c r="AR6000">
        <v>19.830402633152101</v>
      </c>
      <c r="AS6000" t="s">
        <v>65</v>
      </c>
      <c r="AT6000">
        <v>1</v>
      </c>
      <c r="AU6000" t="s">
        <v>1326</v>
      </c>
      <c r="AV6000" t="s">
        <v>1327</v>
      </c>
      <c r="AW6000" t="s">
        <v>60</v>
      </c>
      <c r="AX6000" t="s">
        <v>68</v>
      </c>
      <c r="AY6000" t="s">
        <v>69</v>
      </c>
      <c r="AZ6000" t="b">
        <v>1</v>
      </c>
    </row>
    <row r="6001" spans="1:52" x14ac:dyDescent="0.3">
      <c r="A6001" t="s">
        <v>52</v>
      </c>
      <c r="B6001" t="s">
        <v>53</v>
      </c>
      <c r="C6001" t="s">
        <v>54</v>
      </c>
      <c r="D6001" t="s">
        <v>55</v>
      </c>
      <c r="E6001" t="s">
        <v>2281</v>
      </c>
      <c r="F6001" t="s">
        <v>190</v>
      </c>
      <c r="G6001" t="s">
        <v>1328</v>
      </c>
      <c r="H6001" t="s">
        <v>1329</v>
      </c>
      <c r="I6001" t="s">
        <v>1329</v>
      </c>
      <c r="J6001" t="s">
        <v>60</v>
      </c>
      <c r="K6001" t="s">
        <v>1324</v>
      </c>
      <c r="L6001" t="s">
        <v>62</v>
      </c>
      <c r="M6001" t="s">
        <v>1324</v>
      </c>
      <c r="N6001" t="s">
        <v>1330</v>
      </c>
      <c r="O6001" t="s">
        <v>1331</v>
      </c>
      <c r="P6001">
        <v>-20.172984</v>
      </c>
      <c r="Q6001">
        <v>-44.915225999999997</v>
      </c>
      <c r="R6001" s="2" t="str">
        <f>HYPERLINK("https://www.google.com/maps?q=-20.1729840,-44.9152260","Abrir no Google Maps")</f>
        <v>Abrir no Google Maps</v>
      </c>
      <c r="S6001">
        <v>3</v>
      </c>
      <c r="T6001">
        <v>498.21203543103741</v>
      </c>
      <c r="U6001">
        <v>3</v>
      </c>
      <c r="V6001">
        <v>9.2592592592592601E-2</v>
      </c>
      <c r="W6001">
        <v>0.85</v>
      </c>
      <c r="X6001">
        <v>7.8703703703703706E-2</v>
      </c>
      <c r="Y6001">
        <v>723</v>
      </c>
      <c r="Z6001">
        <v>297.36167326949931</v>
      </c>
      <c r="AA6001">
        <v>198</v>
      </c>
      <c r="AB6001">
        <v>332</v>
      </c>
      <c r="AC6001">
        <v>536</v>
      </c>
      <c r="AD6001">
        <v>26.22</v>
      </c>
      <c r="AE6001">
        <v>542</v>
      </c>
      <c r="AF6001">
        <v>11</v>
      </c>
      <c r="AG6001">
        <v>181</v>
      </c>
      <c r="AH6001">
        <v>129</v>
      </c>
      <c r="AI6001">
        <v>2.0299999999999998</v>
      </c>
      <c r="AJ6001">
        <v>33.39</v>
      </c>
      <c r="AK6001">
        <v>23.8</v>
      </c>
      <c r="AL6001">
        <v>-20.172838899999959</v>
      </c>
      <c r="AM6001">
        <v>-44.915158011603552</v>
      </c>
      <c r="AN6001">
        <v>-20.172838899999959</v>
      </c>
      <c r="AO6001">
        <v>-44.915158011603552</v>
      </c>
      <c r="AP6001">
        <v>-20.172984</v>
      </c>
      <c r="AQ6001">
        <v>-44.915225999999997</v>
      </c>
      <c r="AR6001">
        <v>17.645788305942119</v>
      </c>
      <c r="AS6001" t="s">
        <v>65</v>
      </c>
      <c r="AT6001">
        <v>1</v>
      </c>
      <c r="AU6001" t="s">
        <v>1332</v>
      </c>
      <c r="AV6001" t="s">
        <v>1327</v>
      </c>
      <c r="AW6001" t="s">
        <v>60</v>
      </c>
      <c r="AX6001" t="s">
        <v>68</v>
      </c>
      <c r="AY6001" t="s">
        <v>69</v>
      </c>
      <c r="AZ6001" t="b">
        <v>1</v>
      </c>
    </row>
    <row r="6002" spans="1:52" x14ac:dyDescent="0.3">
      <c r="A6002" t="s">
        <v>52</v>
      </c>
      <c r="B6002" t="s">
        <v>53</v>
      </c>
      <c r="C6002" t="s">
        <v>54</v>
      </c>
      <c r="D6002" t="s">
        <v>55</v>
      </c>
      <c r="E6002" t="s">
        <v>2281</v>
      </c>
      <c r="F6002" t="s">
        <v>190</v>
      </c>
      <c r="G6002" t="s">
        <v>1333</v>
      </c>
      <c r="H6002" t="s">
        <v>1334</v>
      </c>
      <c r="I6002" t="s">
        <v>1334</v>
      </c>
      <c r="J6002" t="s">
        <v>60</v>
      </c>
      <c r="K6002" t="s">
        <v>437</v>
      </c>
      <c r="L6002" t="s">
        <v>62</v>
      </c>
      <c r="M6002" t="s">
        <v>437</v>
      </c>
      <c r="N6002" t="s">
        <v>1335</v>
      </c>
      <c r="O6002" t="s">
        <v>807</v>
      </c>
      <c r="P6002">
        <v>-20.148</v>
      </c>
      <c r="Q6002">
        <v>-44.880944999999997</v>
      </c>
      <c r="R6002" s="2" t="str">
        <f>HYPERLINK("https://www.google.com/maps?q=-20.1480000,-44.8809450","Abrir no Google Maps")</f>
        <v>Abrir no Google Maps</v>
      </c>
      <c r="S6002">
        <v>3</v>
      </c>
      <c r="T6002">
        <v>0</v>
      </c>
      <c r="U6002">
        <v>3</v>
      </c>
      <c r="V6002">
        <v>7.5506445672191502E-2</v>
      </c>
      <c r="W6002">
        <v>0.85</v>
      </c>
      <c r="X6002">
        <v>6.4180478821362769E-2</v>
      </c>
      <c r="Y6002">
        <v>653</v>
      </c>
      <c r="Z6002">
        <v>108.2792411420544</v>
      </c>
      <c r="AA6002">
        <v>198</v>
      </c>
      <c r="AB6002">
        <v>332</v>
      </c>
      <c r="AC6002">
        <v>536</v>
      </c>
      <c r="AD6002">
        <v>26.22</v>
      </c>
      <c r="AE6002">
        <v>542</v>
      </c>
      <c r="AF6002">
        <v>11</v>
      </c>
      <c r="AG6002">
        <v>181</v>
      </c>
      <c r="AH6002">
        <v>129</v>
      </c>
      <c r="AI6002">
        <v>2.0299999999999998</v>
      </c>
      <c r="AJ6002">
        <v>33.39</v>
      </c>
      <c r="AK6002">
        <v>23.8</v>
      </c>
      <c r="AL6002">
        <v>-20.14802099999994</v>
      </c>
      <c r="AM6002">
        <v>-44.880951206225959</v>
      </c>
      <c r="AN6002">
        <v>-20.14802099999994</v>
      </c>
      <c r="AO6002">
        <v>-44.880951206225959</v>
      </c>
      <c r="AP6002">
        <v>-20.148</v>
      </c>
      <c r="AQ6002">
        <v>-44.880944999999997</v>
      </c>
      <c r="AR6002">
        <v>2.4260288619737169</v>
      </c>
      <c r="AS6002" t="s">
        <v>65</v>
      </c>
      <c r="AT6002">
        <v>1</v>
      </c>
      <c r="AU6002" t="s">
        <v>1336</v>
      </c>
      <c r="AV6002" t="s">
        <v>1337</v>
      </c>
      <c r="AW6002" t="s">
        <v>60</v>
      </c>
      <c r="AX6002" t="s">
        <v>68</v>
      </c>
      <c r="AY6002" t="s">
        <v>69</v>
      </c>
      <c r="AZ6002" t="b">
        <v>1</v>
      </c>
    </row>
    <row r="6003" spans="1:52" x14ac:dyDescent="0.3">
      <c r="A6003" t="s">
        <v>52</v>
      </c>
      <c r="B6003" t="s">
        <v>53</v>
      </c>
      <c r="C6003" t="s">
        <v>54</v>
      </c>
      <c r="D6003" t="s">
        <v>55</v>
      </c>
      <c r="E6003" t="s">
        <v>2281</v>
      </c>
      <c r="F6003" t="s">
        <v>190</v>
      </c>
      <c r="G6003" t="s">
        <v>479</v>
      </c>
      <c r="H6003" t="s">
        <v>1338</v>
      </c>
      <c r="I6003" t="s">
        <v>1338</v>
      </c>
      <c r="J6003" t="s">
        <v>60</v>
      </c>
      <c r="K6003" t="s">
        <v>1302</v>
      </c>
      <c r="L6003" t="s">
        <v>62</v>
      </c>
      <c r="M6003" t="s">
        <v>1302</v>
      </c>
      <c r="N6003" t="s">
        <v>481</v>
      </c>
      <c r="O6003" t="s">
        <v>1339</v>
      </c>
      <c r="P6003">
        <v>-20.165590000000002</v>
      </c>
      <c r="Q6003">
        <v>-44.907876000000002</v>
      </c>
      <c r="R6003" s="2" t="str">
        <f>HYPERLINK("https://www.google.com/maps?q=-20.1655900,-44.9078760","Abrir no Google Maps")</f>
        <v>Abrir no Google Maps</v>
      </c>
      <c r="S6003">
        <v>3</v>
      </c>
      <c r="T6003">
        <v>626.07643944893005</v>
      </c>
      <c r="U6003">
        <v>3</v>
      </c>
      <c r="V6003">
        <v>9.6491228070175405E-2</v>
      </c>
      <c r="W6003">
        <v>0.85</v>
      </c>
      <c r="X6003">
        <v>8.2017543859649086E-2</v>
      </c>
      <c r="Y6003">
        <v>639</v>
      </c>
      <c r="Z6003">
        <v>723.2656461789519</v>
      </c>
      <c r="AA6003">
        <v>198</v>
      </c>
      <c r="AB6003">
        <v>332</v>
      </c>
      <c r="AC6003">
        <v>536</v>
      </c>
      <c r="AD6003">
        <v>26.22</v>
      </c>
      <c r="AE6003">
        <v>542</v>
      </c>
      <c r="AF6003">
        <v>11</v>
      </c>
      <c r="AG6003">
        <v>181</v>
      </c>
      <c r="AH6003">
        <v>129</v>
      </c>
      <c r="AI6003">
        <v>2.0299999999999998</v>
      </c>
      <c r="AJ6003">
        <v>33.39</v>
      </c>
      <c r="AK6003">
        <v>23.8</v>
      </c>
      <c r="AL6003">
        <v>-20.16561419999994</v>
      </c>
      <c r="AM6003">
        <v>-44.907783360572083</v>
      </c>
      <c r="AN6003">
        <v>-20.16561419999994</v>
      </c>
      <c r="AO6003">
        <v>-44.907783360572083</v>
      </c>
      <c r="AP6003">
        <v>-20.165590000000002</v>
      </c>
      <c r="AQ6003">
        <v>-44.907876000000002</v>
      </c>
      <c r="AR6003">
        <v>10.04831364257741</v>
      </c>
      <c r="AS6003" t="s">
        <v>65</v>
      </c>
      <c r="AT6003">
        <v>1</v>
      </c>
      <c r="AU6003" t="s">
        <v>1340</v>
      </c>
      <c r="AV6003" t="s">
        <v>1341</v>
      </c>
      <c r="AW6003" t="s">
        <v>60</v>
      </c>
      <c r="AX6003" t="s">
        <v>68</v>
      </c>
      <c r="AY6003" t="s">
        <v>69</v>
      </c>
      <c r="AZ6003" t="b">
        <v>1</v>
      </c>
    </row>
    <row r="6004" spans="1:52" x14ac:dyDescent="0.3">
      <c r="A6004" t="s">
        <v>52</v>
      </c>
      <c r="B6004" t="s">
        <v>53</v>
      </c>
      <c r="C6004" t="s">
        <v>54</v>
      </c>
      <c r="D6004" t="s">
        <v>55</v>
      </c>
      <c r="E6004" t="s">
        <v>2281</v>
      </c>
      <c r="F6004" t="s">
        <v>190</v>
      </c>
      <c r="G6004" t="s">
        <v>1354</v>
      </c>
      <c r="H6004" t="s">
        <v>1355</v>
      </c>
      <c r="I6004" t="s">
        <v>1355</v>
      </c>
      <c r="J6004" t="s">
        <v>60</v>
      </c>
      <c r="K6004" t="s">
        <v>1356</v>
      </c>
      <c r="L6004" t="s">
        <v>62</v>
      </c>
      <c r="M6004" t="s">
        <v>1356</v>
      </c>
      <c r="N6004" t="s">
        <v>1357</v>
      </c>
      <c r="O6004" t="s">
        <v>315</v>
      </c>
      <c r="P6004">
        <v>-20.132080999999999</v>
      </c>
      <c r="Q6004">
        <v>-44.908614</v>
      </c>
      <c r="R6004" s="2" t="str">
        <f>HYPERLINK("https://www.google.com/maps?q=-20.1320810,-44.9086140","Abrir no Google Maps")</f>
        <v>Abrir no Google Maps</v>
      </c>
      <c r="S6004">
        <v>3</v>
      </c>
      <c r="T6004">
        <v>701.02570959373259</v>
      </c>
      <c r="U6004">
        <v>3</v>
      </c>
      <c r="V6004">
        <v>2.7956989247311801E-2</v>
      </c>
      <c r="W6004">
        <v>0.85</v>
      </c>
      <c r="X6004">
        <v>2.3763440860215031E-2</v>
      </c>
      <c r="Y6004">
        <v>581</v>
      </c>
      <c r="Z6004">
        <v>811.38061352229215</v>
      </c>
      <c r="AA6004">
        <v>198</v>
      </c>
      <c r="AB6004">
        <v>332</v>
      </c>
      <c r="AC6004">
        <v>536</v>
      </c>
      <c r="AD6004">
        <v>26.22</v>
      </c>
      <c r="AE6004">
        <v>542</v>
      </c>
      <c r="AF6004">
        <v>11</v>
      </c>
      <c r="AG6004">
        <v>181</v>
      </c>
      <c r="AH6004">
        <v>129</v>
      </c>
      <c r="AI6004">
        <v>2.0299999999999998</v>
      </c>
      <c r="AJ6004">
        <v>33.39</v>
      </c>
      <c r="AK6004">
        <v>23.8</v>
      </c>
      <c r="AL6004">
        <v>-20.132063499999951</v>
      </c>
      <c r="AM6004">
        <v>-44.908630454878519</v>
      </c>
      <c r="AN6004">
        <v>-20.132063499999951</v>
      </c>
      <c r="AO6004">
        <v>-44.908630454878519</v>
      </c>
      <c r="AP6004">
        <v>-20.132080999999999</v>
      </c>
      <c r="AQ6004">
        <v>-44.908614</v>
      </c>
      <c r="AR6004">
        <v>2.5986425761911551</v>
      </c>
      <c r="AS6004" t="s">
        <v>65</v>
      </c>
      <c r="AT6004">
        <v>1</v>
      </c>
      <c r="AU6004" t="s">
        <v>1358</v>
      </c>
      <c r="AV6004" t="s">
        <v>1359</v>
      </c>
      <c r="AW6004" t="s">
        <v>60</v>
      </c>
      <c r="AX6004" t="s">
        <v>68</v>
      </c>
      <c r="AY6004" t="s">
        <v>69</v>
      </c>
      <c r="AZ6004" t="b">
        <v>1</v>
      </c>
    </row>
    <row r="6005" spans="1:52" x14ac:dyDescent="0.3">
      <c r="A6005" t="s">
        <v>52</v>
      </c>
      <c r="B6005" t="s">
        <v>53</v>
      </c>
      <c r="C6005" t="s">
        <v>54</v>
      </c>
      <c r="D6005" t="s">
        <v>55</v>
      </c>
      <c r="E6005" t="s">
        <v>2281</v>
      </c>
      <c r="F6005" t="s">
        <v>190</v>
      </c>
      <c r="G6005" t="s">
        <v>1364</v>
      </c>
      <c r="H6005" t="s">
        <v>1365</v>
      </c>
      <c r="I6005" t="s">
        <v>1365</v>
      </c>
      <c r="J6005" t="s">
        <v>60</v>
      </c>
      <c r="K6005" t="s">
        <v>1356</v>
      </c>
      <c r="L6005" t="s">
        <v>62</v>
      </c>
      <c r="M6005" t="s">
        <v>1356</v>
      </c>
      <c r="N6005" t="s">
        <v>1366</v>
      </c>
      <c r="O6005" t="s">
        <v>548</v>
      </c>
      <c r="P6005">
        <v>-20.131240999999999</v>
      </c>
      <c r="Q6005">
        <v>-44.910567999999998</v>
      </c>
      <c r="R6005" s="2" t="str">
        <f>HYPERLINK("https://www.google.com/maps?q=-20.1312410,-44.9105680","Abrir no Google Maps")</f>
        <v>Abrir no Google Maps</v>
      </c>
      <c r="S6005">
        <v>3</v>
      </c>
      <c r="T6005">
        <v>822.61354861726704</v>
      </c>
      <c r="U6005">
        <v>3</v>
      </c>
      <c r="V6005">
        <v>3.2258064516128997E-2</v>
      </c>
      <c r="W6005">
        <v>0.85</v>
      </c>
      <c r="X6005">
        <v>2.741935483870965E-2</v>
      </c>
      <c r="Y6005">
        <v>581</v>
      </c>
      <c r="Z6005">
        <v>982.3990834787046</v>
      </c>
      <c r="AA6005">
        <v>198</v>
      </c>
      <c r="AB6005">
        <v>332</v>
      </c>
      <c r="AC6005">
        <v>536</v>
      </c>
      <c r="AD6005">
        <v>26.22</v>
      </c>
      <c r="AE6005">
        <v>542</v>
      </c>
      <c r="AF6005">
        <v>11</v>
      </c>
      <c r="AG6005">
        <v>181</v>
      </c>
      <c r="AH6005">
        <v>129</v>
      </c>
      <c r="AI6005">
        <v>2.0299999999999998</v>
      </c>
      <c r="AJ6005">
        <v>33.39</v>
      </c>
      <c r="AK6005">
        <v>23.8</v>
      </c>
      <c r="AL6005">
        <v>-20.131367099999981</v>
      </c>
      <c r="AM6005">
        <v>-44.910597350758543</v>
      </c>
      <c r="AN6005">
        <v>-20.131367099999981</v>
      </c>
      <c r="AO6005">
        <v>-44.910597350758543</v>
      </c>
      <c r="AP6005">
        <v>-20.131240999999999</v>
      </c>
      <c r="AQ6005">
        <v>-44.910567999999998</v>
      </c>
      <c r="AR6005">
        <v>14.36874794070623</v>
      </c>
      <c r="AS6005" t="s">
        <v>65</v>
      </c>
      <c r="AT6005">
        <v>1</v>
      </c>
      <c r="AU6005" t="s">
        <v>1367</v>
      </c>
      <c r="AV6005" t="s">
        <v>1368</v>
      </c>
      <c r="AW6005" t="s">
        <v>60</v>
      </c>
      <c r="AX6005" t="s">
        <v>68</v>
      </c>
      <c r="AY6005" t="s">
        <v>69</v>
      </c>
      <c r="AZ6005" t="b">
        <v>1</v>
      </c>
    </row>
    <row r="6006" spans="1:52" x14ac:dyDescent="0.3">
      <c r="A6006" t="s">
        <v>52</v>
      </c>
      <c r="B6006" t="s">
        <v>53</v>
      </c>
      <c r="C6006" t="s">
        <v>54</v>
      </c>
      <c r="D6006" t="s">
        <v>55</v>
      </c>
      <c r="E6006" t="s">
        <v>2281</v>
      </c>
      <c r="F6006" t="s">
        <v>190</v>
      </c>
      <c r="G6006" t="s">
        <v>1364</v>
      </c>
      <c r="H6006" t="s">
        <v>1369</v>
      </c>
      <c r="I6006" t="s">
        <v>1369</v>
      </c>
      <c r="J6006" t="s">
        <v>60</v>
      </c>
      <c r="K6006" t="s">
        <v>1370</v>
      </c>
      <c r="L6006" t="s">
        <v>62</v>
      </c>
      <c r="M6006" t="s">
        <v>1370</v>
      </c>
      <c r="N6006" t="s">
        <v>1366</v>
      </c>
      <c r="O6006" t="s">
        <v>989</v>
      </c>
      <c r="P6006">
        <v>-20.141185</v>
      </c>
      <c r="Q6006">
        <v>-44.914200999999998</v>
      </c>
      <c r="R6006" s="2" t="str">
        <f>HYPERLINK("https://www.google.com/maps?q=-20.1411850,-44.9142010","Abrir no Google Maps")</f>
        <v>Abrir no Google Maps</v>
      </c>
      <c r="S6006">
        <v>3</v>
      </c>
      <c r="T6006">
        <v>512.52588459346453</v>
      </c>
      <c r="U6006">
        <v>3</v>
      </c>
      <c r="V6006">
        <v>7.1604938271604898E-2</v>
      </c>
      <c r="W6006">
        <v>0.85</v>
      </c>
      <c r="X6006">
        <v>6.086419753086416E-2</v>
      </c>
      <c r="Y6006">
        <v>581</v>
      </c>
      <c r="Z6006">
        <v>473.10673043319349</v>
      </c>
      <c r="AA6006">
        <v>198</v>
      </c>
      <c r="AB6006">
        <v>332</v>
      </c>
      <c r="AC6006">
        <v>536</v>
      </c>
      <c r="AD6006">
        <v>26.22</v>
      </c>
      <c r="AE6006">
        <v>542</v>
      </c>
      <c r="AF6006">
        <v>11</v>
      </c>
      <c r="AG6006">
        <v>181</v>
      </c>
      <c r="AH6006">
        <v>129</v>
      </c>
      <c r="AI6006">
        <v>2.0299999999999998</v>
      </c>
      <c r="AJ6006">
        <v>33.39</v>
      </c>
      <c r="AK6006">
        <v>23.8</v>
      </c>
      <c r="AL6006">
        <v>-20.14133909999995</v>
      </c>
      <c r="AM6006">
        <v>-44.913910219286038</v>
      </c>
      <c r="AN6006">
        <v>-20.14133909999995</v>
      </c>
      <c r="AO6006">
        <v>-44.913910219286038</v>
      </c>
      <c r="AP6006">
        <v>-20.141185</v>
      </c>
      <c r="AQ6006">
        <v>-44.914200999999998</v>
      </c>
      <c r="AR6006">
        <v>34.897514361429593</v>
      </c>
      <c r="AS6006" t="s">
        <v>65</v>
      </c>
      <c r="AT6006">
        <v>1</v>
      </c>
      <c r="AU6006" t="s">
        <v>1371</v>
      </c>
      <c r="AV6006" t="s">
        <v>863</v>
      </c>
      <c r="AW6006" t="s">
        <v>60</v>
      </c>
      <c r="AX6006" t="s">
        <v>68</v>
      </c>
      <c r="AY6006" t="s">
        <v>69</v>
      </c>
      <c r="AZ6006" t="b">
        <v>1</v>
      </c>
    </row>
    <row r="6007" spans="1:52" x14ac:dyDescent="0.3">
      <c r="A6007" t="s">
        <v>52</v>
      </c>
      <c r="B6007" t="s">
        <v>53</v>
      </c>
      <c r="C6007" t="s">
        <v>54</v>
      </c>
      <c r="D6007" t="s">
        <v>55</v>
      </c>
      <c r="E6007" t="s">
        <v>2281</v>
      </c>
      <c r="F6007" t="s">
        <v>190</v>
      </c>
      <c r="G6007" t="s">
        <v>864</v>
      </c>
      <c r="H6007" t="s">
        <v>865</v>
      </c>
      <c r="I6007" t="s">
        <v>865</v>
      </c>
      <c r="J6007" t="s">
        <v>60</v>
      </c>
      <c r="K6007" t="s">
        <v>486</v>
      </c>
      <c r="L6007" t="s">
        <v>62</v>
      </c>
      <c r="M6007" t="s">
        <v>486</v>
      </c>
      <c r="N6007" t="s">
        <v>866</v>
      </c>
      <c r="O6007" t="s">
        <v>867</v>
      </c>
      <c r="P6007">
        <v>-20.170919000000001</v>
      </c>
      <c r="Q6007">
        <v>-44.905451999999997</v>
      </c>
      <c r="R6007" s="2" t="str">
        <f>HYPERLINK("https://www.google.com/maps?q=-20.1709190,-44.9054520","Abrir no Google Maps")</f>
        <v>Abrir no Google Maps</v>
      </c>
      <c r="S6007">
        <v>3</v>
      </c>
      <c r="T6007">
        <v>0</v>
      </c>
      <c r="U6007">
        <v>3</v>
      </c>
      <c r="V6007">
        <v>6.9498069498069498E-2</v>
      </c>
      <c r="W6007">
        <v>1</v>
      </c>
      <c r="X6007">
        <v>6.9498069498069498E-2</v>
      </c>
      <c r="Y6007">
        <v>578</v>
      </c>
      <c r="Z6007">
        <v>205.34598855748419</v>
      </c>
      <c r="AA6007">
        <v>198</v>
      </c>
      <c r="AB6007">
        <v>332</v>
      </c>
      <c r="AC6007">
        <v>536</v>
      </c>
      <c r="AD6007">
        <v>26.22</v>
      </c>
      <c r="AE6007">
        <v>542</v>
      </c>
      <c r="AF6007">
        <v>11</v>
      </c>
      <c r="AG6007">
        <v>181</v>
      </c>
      <c r="AH6007">
        <v>129</v>
      </c>
      <c r="AI6007">
        <v>2.0299999999999998</v>
      </c>
      <c r="AJ6007">
        <v>33.39</v>
      </c>
      <c r="AK6007">
        <v>23.8</v>
      </c>
      <c r="AL6007">
        <v>-20.170854399999939</v>
      </c>
      <c r="AM6007">
        <v>-44.905524839633358</v>
      </c>
      <c r="AN6007">
        <v>-20.170854399999939</v>
      </c>
      <c r="AO6007">
        <v>-44.905524839633358</v>
      </c>
      <c r="AP6007">
        <v>-20.170919000000001</v>
      </c>
      <c r="AQ6007">
        <v>-44.905451999999997</v>
      </c>
      <c r="AR6007">
        <v>10.471140355179269</v>
      </c>
      <c r="AS6007" t="s">
        <v>65</v>
      </c>
      <c r="AT6007">
        <v>1</v>
      </c>
      <c r="AU6007" t="s">
        <v>868</v>
      </c>
      <c r="AV6007" t="s">
        <v>869</v>
      </c>
      <c r="AW6007" t="s">
        <v>60</v>
      </c>
      <c r="AX6007" t="s">
        <v>68</v>
      </c>
      <c r="AY6007" t="s">
        <v>69</v>
      </c>
      <c r="AZ6007" t="b">
        <v>1</v>
      </c>
    </row>
    <row r="6008" spans="1:52" x14ac:dyDescent="0.3">
      <c r="A6008" t="s">
        <v>52</v>
      </c>
      <c r="B6008" t="s">
        <v>53</v>
      </c>
      <c r="C6008" t="s">
        <v>54</v>
      </c>
      <c r="D6008" t="s">
        <v>55</v>
      </c>
      <c r="E6008" t="s">
        <v>2281</v>
      </c>
      <c r="F6008" t="s">
        <v>190</v>
      </c>
      <c r="G6008" t="s">
        <v>479</v>
      </c>
      <c r="H6008" t="s">
        <v>480</v>
      </c>
      <c r="I6008" t="s">
        <v>480</v>
      </c>
      <c r="J6008" t="s">
        <v>60</v>
      </c>
      <c r="K6008" t="s">
        <v>388</v>
      </c>
      <c r="L6008" t="s">
        <v>62</v>
      </c>
      <c r="M6008" t="s">
        <v>388</v>
      </c>
      <c r="N6008" t="s">
        <v>481</v>
      </c>
      <c r="O6008" t="s">
        <v>315</v>
      </c>
      <c r="P6008">
        <v>-20.166903999999999</v>
      </c>
      <c r="Q6008">
        <v>-44.903492</v>
      </c>
      <c r="R6008" s="2" t="str">
        <f>HYPERLINK("https://www.google.com/maps?q=-20.1669040,-44.9034920","Abrir no Google Maps")</f>
        <v>Abrir no Google Maps</v>
      </c>
      <c r="S6008">
        <v>3</v>
      </c>
      <c r="T6008">
        <v>517.12253532511602</v>
      </c>
      <c r="U6008">
        <v>3</v>
      </c>
      <c r="V6008">
        <v>8.3832335329341298E-2</v>
      </c>
      <c r="W6008">
        <v>1</v>
      </c>
      <c r="X6008">
        <v>8.3832335329341298E-2</v>
      </c>
      <c r="Y6008">
        <v>578</v>
      </c>
      <c r="Z6008">
        <v>721.79551240050432</v>
      </c>
      <c r="AA6008">
        <v>198</v>
      </c>
      <c r="AB6008">
        <v>332</v>
      </c>
      <c r="AC6008">
        <v>536</v>
      </c>
      <c r="AD6008">
        <v>26.22</v>
      </c>
      <c r="AE6008">
        <v>542</v>
      </c>
      <c r="AF6008">
        <v>11</v>
      </c>
      <c r="AG6008">
        <v>181</v>
      </c>
      <c r="AH6008">
        <v>129</v>
      </c>
      <c r="AI6008">
        <v>2.0299999999999998</v>
      </c>
      <c r="AJ6008">
        <v>33.39</v>
      </c>
      <c r="AK6008">
        <v>23.8</v>
      </c>
      <c r="AL6008">
        <v>-20.166610649999971</v>
      </c>
      <c r="AM6008">
        <v>-44.903452988928308</v>
      </c>
      <c r="AN6008">
        <v>-20.166610649999971</v>
      </c>
      <c r="AO6008">
        <v>-44.903452988928308</v>
      </c>
      <c r="AP6008">
        <v>-20.166903999999999</v>
      </c>
      <c r="AQ6008">
        <v>-44.903492</v>
      </c>
      <c r="AR6008">
        <v>32.909175876856217</v>
      </c>
      <c r="AS6008" t="s">
        <v>65</v>
      </c>
      <c r="AT6008">
        <v>1</v>
      </c>
      <c r="AU6008" t="s">
        <v>482</v>
      </c>
      <c r="AV6008" t="s">
        <v>483</v>
      </c>
      <c r="AW6008" t="s">
        <v>60</v>
      </c>
      <c r="AX6008" t="s">
        <v>68</v>
      </c>
      <c r="AY6008" t="s">
        <v>69</v>
      </c>
      <c r="AZ6008" t="b">
        <v>1</v>
      </c>
    </row>
    <row r="6009" spans="1:52" x14ac:dyDescent="0.3">
      <c r="A6009" t="s">
        <v>52</v>
      </c>
      <c r="B6009" t="s">
        <v>53</v>
      </c>
      <c r="C6009" t="s">
        <v>54</v>
      </c>
      <c r="D6009" t="s">
        <v>55</v>
      </c>
      <c r="E6009" t="s">
        <v>2281</v>
      </c>
      <c r="F6009" t="s">
        <v>190</v>
      </c>
      <c r="G6009" t="s">
        <v>484</v>
      </c>
      <c r="H6009" t="s">
        <v>485</v>
      </c>
      <c r="I6009" t="s">
        <v>485</v>
      </c>
      <c r="J6009" t="s">
        <v>60</v>
      </c>
      <c r="K6009" t="s">
        <v>486</v>
      </c>
      <c r="L6009" t="s">
        <v>62</v>
      </c>
      <c r="M6009" t="s">
        <v>486</v>
      </c>
      <c r="N6009" t="s">
        <v>487</v>
      </c>
      <c r="O6009" t="s">
        <v>488</v>
      </c>
      <c r="P6009">
        <v>-20.173000999999999</v>
      </c>
      <c r="Q6009">
        <v>-44.901876999999999</v>
      </c>
      <c r="R6009" s="2" t="str">
        <f>HYPERLINK("https://www.google.com/maps?q=-20.1730010,-44.9018770","Abrir no Google Maps")</f>
        <v>Abrir no Google Maps</v>
      </c>
      <c r="S6009">
        <v>3</v>
      </c>
      <c r="T6009">
        <v>437.59695450783011</v>
      </c>
      <c r="U6009">
        <v>3</v>
      </c>
      <c r="V6009">
        <v>4.8048048048047999E-2</v>
      </c>
      <c r="W6009">
        <v>1</v>
      </c>
      <c r="X6009">
        <v>4.8048048048047999E-2</v>
      </c>
      <c r="Y6009">
        <v>578</v>
      </c>
      <c r="Z6009">
        <v>440.53629183653243</v>
      </c>
      <c r="AA6009">
        <v>198</v>
      </c>
      <c r="AB6009">
        <v>332</v>
      </c>
      <c r="AC6009">
        <v>536</v>
      </c>
      <c r="AD6009">
        <v>26.22</v>
      </c>
      <c r="AE6009">
        <v>542</v>
      </c>
      <c r="AF6009">
        <v>11</v>
      </c>
      <c r="AG6009">
        <v>181</v>
      </c>
      <c r="AH6009">
        <v>129</v>
      </c>
      <c r="AI6009">
        <v>2.0299999999999998</v>
      </c>
      <c r="AJ6009">
        <v>33.39</v>
      </c>
      <c r="AK6009">
        <v>23.8</v>
      </c>
      <c r="AL6009">
        <v>-20.173065299999969</v>
      </c>
      <c r="AM6009">
        <v>-44.902052686008687</v>
      </c>
      <c r="AN6009">
        <v>-20.173065299999969</v>
      </c>
      <c r="AO6009">
        <v>-44.902052686008687</v>
      </c>
      <c r="AP6009">
        <v>-20.173000999999999</v>
      </c>
      <c r="AQ6009">
        <v>-44.901876999999999</v>
      </c>
      <c r="AR6009">
        <v>19.703745070768829</v>
      </c>
      <c r="AS6009" t="s">
        <v>65</v>
      </c>
      <c r="AT6009">
        <v>1</v>
      </c>
      <c r="AU6009" t="s">
        <v>489</v>
      </c>
      <c r="AV6009" t="s">
        <v>490</v>
      </c>
      <c r="AW6009" t="s">
        <v>60</v>
      </c>
      <c r="AX6009" t="s">
        <v>68</v>
      </c>
      <c r="AY6009" t="s">
        <v>69</v>
      </c>
      <c r="AZ6009" t="b">
        <v>1</v>
      </c>
    </row>
    <row r="6010" spans="1:52" x14ac:dyDescent="0.3">
      <c r="A6010" t="s">
        <v>52</v>
      </c>
      <c r="B6010" t="s">
        <v>53</v>
      </c>
      <c r="C6010" t="s">
        <v>54</v>
      </c>
      <c r="D6010" t="s">
        <v>55</v>
      </c>
      <c r="E6010" t="s">
        <v>2281</v>
      </c>
      <c r="F6010" t="s">
        <v>190</v>
      </c>
      <c r="G6010" t="s">
        <v>491</v>
      </c>
      <c r="H6010" t="s">
        <v>492</v>
      </c>
      <c r="I6010" t="s">
        <v>492</v>
      </c>
      <c r="J6010" t="s">
        <v>60</v>
      </c>
      <c r="K6010" t="s">
        <v>475</v>
      </c>
      <c r="L6010" t="s">
        <v>62</v>
      </c>
      <c r="M6010" t="s">
        <v>475</v>
      </c>
      <c r="N6010" t="s">
        <v>493</v>
      </c>
      <c r="O6010" t="s">
        <v>494</v>
      </c>
      <c r="P6010">
        <v>-20.175250999999999</v>
      </c>
      <c r="Q6010">
        <v>-44.897357</v>
      </c>
      <c r="R6010" s="2" t="str">
        <f>HYPERLINK("https://www.google.com/maps?q=-20.1752510,-44.8973570","Abrir no Google Maps")</f>
        <v>Abrir no Google Maps</v>
      </c>
      <c r="S6010">
        <v>3</v>
      </c>
      <c r="T6010">
        <v>992.29631678149951</v>
      </c>
      <c r="U6010">
        <v>3</v>
      </c>
      <c r="V6010">
        <v>2.8571428571428501E-2</v>
      </c>
      <c r="W6010">
        <v>1</v>
      </c>
      <c r="X6010">
        <v>2.8571428571428501E-2</v>
      </c>
      <c r="Y6010">
        <v>578</v>
      </c>
      <c r="Z6010">
        <v>1008.5871064168319</v>
      </c>
      <c r="AA6010">
        <v>198</v>
      </c>
      <c r="AB6010">
        <v>332</v>
      </c>
      <c r="AC6010">
        <v>536</v>
      </c>
      <c r="AD6010">
        <v>26.22</v>
      </c>
      <c r="AE6010">
        <v>542</v>
      </c>
      <c r="AF6010">
        <v>11</v>
      </c>
      <c r="AG6010">
        <v>181</v>
      </c>
      <c r="AH6010">
        <v>129</v>
      </c>
      <c r="AI6010">
        <v>2.0299999999999998</v>
      </c>
      <c r="AJ6010">
        <v>33.39</v>
      </c>
      <c r="AK6010">
        <v>23.8</v>
      </c>
      <c r="AL6010">
        <v>-20.175290599999951</v>
      </c>
      <c r="AM6010">
        <v>-44.897271931010721</v>
      </c>
      <c r="AN6010">
        <v>-20.175290599999951</v>
      </c>
      <c r="AO6010">
        <v>-44.897271931010721</v>
      </c>
      <c r="AP6010">
        <v>-20.175250999999999</v>
      </c>
      <c r="AQ6010">
        <v>-44.897357</v>
      </c>
      <c r="AR6010">
        <v>9.921899108467926</v>
      </c>
      <c r="AS6010" t="s">
        <v>65</v>
      </c>
      <c r="AT6010">
        <v>1</v>
      </c>
      <c r="AU6010" t="s">
        <v>495</v>
      </c>
      <c r="AV6010" t="s">
        <v>496</v>
      </c>
      <c r="AW6010" t="s">
        <v>60</v>
      </c>
      <c r="AX6010" t="s">
        <v>68</v>
      </c>
      <c r="AY6010" t="s">
        <v>69</v>
      </c>
      <c r="AZ6010" t="b">
        <v>1</v>
      </c>
    </row>
    <row r="6011" spans="1:52" x14ac:dyDescent="0.3">
      <c r="A6011" t="s">
        <v>52</v>
      </c>
      <c r="B6011" t="s">
        <v>53</v>
      </c>
      <c r="C6011" t="s">
        <v>54</v>
      </c>
      <c r="D6011" t="s">
        <v>55</v>
      </c>
      <c r="E6011" t="s">
        <v>2281</v>
      </c>
      <c r="F6011" t="s">
        <v>190</v>
      </c>
      <c r="G6011" t="s">
        <v>1388</v>
      </c>
      <c r="H6011" t="s">
        <v>1389</v>
      </c>
      <c r="I6011" t="s">
        <v>1389</v>
      </c>
      <c r="J6011" t="s">
        <v>60</v>
      </c>
      <c r="K6011" t="s">
        <v>475</v>
      </c>
      <c r="L6011" t="s">
        <v>62</v>
      </c>
      <c r="M6011" t="s">
        <v>475</v>
      </c>
      <c r="N6011" t="s">
        <v>1390</v>
      </c>
      <c r="O6011" t="s">
        <v>855</v>
      </c>
      <c r="P6011">
        <v>-20.173748</v>
      </c>
      <c r="Q6011">
        <v>-44.894596999999997</v>
      </c>
      <c r="R6011" s="2" t="str">
        <f>HYPERLINK("https://www.google.com/maps?q=-20.1737480,-44.8945970","Abrir no Google Maps")</f>
        <v>Abrir no Google Maps</v>
      </c>
      <c r="S6011">
        <v>3</v>
      </c>
      <c r="T6011">
        <v>1217.388518792701</v>
      </c>
      <c r="U6011">
        <v>3</v>
      </c>
      <c r="V6011">
        <v>2.61437908496732E-2</v>
      </c>
      <c r="W6011">
        <v>0.85</v>
      </c>
      <c r="X6011">
        <v>2.222222222222222E-2</v>
      </c>
      <c r="Y6011">
        <v>578</v>
      </c>
      <c r="Z6011">
        <v>1268.0048337091989</v>
      </c>
      <c r="AA6011">
        <v>198</v>
      </c>
      <c r="AB6011">
        <v>332</v>
      </c>
      <c r="AC6011">
        <v>536</v>
      </c>
      <c r="AD6011">
        <v>26.22</v>
      </c>
      <c r="AE6011">
        <v>542</v>
      </c>
      <c r="AF6011">
        <v>11</v>
      </c>
      <c r="AG6011">
        <v>181</v>
      </c>
      <c r="AH6011">
        <v>129</v>
      </c>
      <c r="AI6011">
        <v>2.0299999999999998</v>
      </c>
      <c r="AJ6011">
        <v>33.39</v>
      </c>
      <c r="AK6011">
        <v>23.8</v>
      </c>
      <c r="AL6011">
        <v>-20.173821999999941</v>
      </c>
      <c r="AM6011">
        <v>-44.894306105833543</v>
      </c>
      <c r="AN6011">
        <v>-20.173821999999941</v>
      </c>
      <c r="AO6011">
        <v>-44.894306105833543</v>
      </c>
      <c r="AP6011">
        <v>-20.173748</v>
      </c>
      <c r="AQ6011">
        <v>-44.894596999999997</v>
      </c>
      <c r="AR6011">
        <v>31.492193006406161</v>
      </c>
      <c r="AS6011" t="s">
        <v>65</v>
      </c>
      <c r="AT6011">
        <v>1</v>
      </c>
      <c r="AU6011" t="s">
        <v>1391</v>
      </c>
      <c r="AV6011" t="s">
        <v>1392</v>
      </c>
      <c r="AW6011" t="s">
        <v>60</v>
      </c>
      <c r="AX6011" t="s">
        <v>68</v>
      </c>
      <c r="AY6011" t="s">
        <v>69</v>
      </c>
      <c r="AZ6011" t="b">
        <v>1</v>
      </c>
    </row>
    <row r="6012" spans="1:52" x14ac:dyDescent="0.3">
      <c r="A6012" t="s">
        <v>52</v>
      </c>
      <c r="B6012" t="s">
        <v>53</v>
      </c>
      <c r="C6012" t="s">
        <v>54</v>
      </c>
      <c r="D6012" t="s">
        <v>55</v>
      </c>
      <c r="E6012" t="s">
        <v>2281</v>
      </c>
      <c r="F6012" t="s">
        <v>190</v>
      </c>
      <c r="G6012" t="s">
        <v>497</v>
      </c>
      <c r="H6012" t="s">
        <v>498</v>
      </c>
      <c r="I6012" t="s">
        <v>498</v>
      </c>
      <c r="J6012" t="s">
        <v>60</v>
      </c>
      <c r="K6012" t="s">
        <v>475</v>
      </c>
      <c r="L6012" t="s">
        <v>62</v>
      </c>
      <c r="M6012" t="s">
        <v>475</v>
      </c>
      <c r="N6012" t="s">
        <v>499</v>
      </c>
      <c r="O6012" t="s">
        <v>500</v>
      </c>
      <c r="P6012">
        <v>-20.175492999999999</v>
      </c>
      <c r="Q6012">
        <v>-44.900759000000001</v>
      </c>
      <c r="R6012" s="2" t="str">
        <f>HYPERLINK("https://www.google.com/maps?q=-20.1754930,-44.9007590","Abrir no Google Maps")</f>
        <v>Abrir no Google Maps</v>
      </c>
      <c r="S6012">
        <v>3</v>
      </c>
      <c r="T6012">
        <v>753.30732354720431</v>
      </c>
      <c r="U6012">
        <v>3</v>
      </c>
      <c r="V6012">
        <v>4.3071161048689098E-2</v>
      </c>
      <c r="W6012">
        <v>1</v>
      </c>
      <c r="X6012">
        <v>4.3071161048689098E-2</v>
      </c>
      <c r="Y6012">
        <v>578</v>
      </c>
      <c r="Z6012">
        <v>695.28903655431702</v>
      </c>
      <c r="AA6012">
        <v>198</v>
      </c>
      <c r="AB6012">
        <v>332</v>
      </c>
      <c r="AC6012">
        <v>536</v>
      </c>
      <c r="AD6012">
        <v>26.22</v>
      </c>
      <c r="AE6012">
        <v>542</v>
      </c>
      <c r="AF6012">
        <v>11</v>
      </c>
      <c r="AG6012">
        <v>181</v>
      </c>
      <c r="AH6012">
        <v>129</v>
      </c>
      <c r="AI6012">
        <v>2.0299999999999998</v>
      </c>
      <c r="AJ6012">
        <v>33.39</v>
      </c>
      <c r="AK6012">
        <v>23.8</v>
      </c>
      <c r="AL6012">
        <v>-20.175825999999969</v>
      </c>
      <c r="AM6012">
        <v>-44.900600234646973</v>
      </c>
      <c r="AN6012">
        <v>-20.175825999999969</v>
      </c>
      <c r="AO6012">
        <v>-44.900600234646973</v>
      </c>
      <c r="AP6012">
        <v>-20.175492999999999</v>
      </c>
      <c r="AQ6012">
        <v>-44.900759000000001</v>
      </c>
      <c r="AR6012">
        <v>40.612267304645073</v>
      </c>
      <c r="AS6012" t="s">
        <v>65</v>
      </c>
      <c r="AT6012">
        <v>1</v>
      </c>
      <c r="AU6012" t="s">
        <v>501</v>
      </c>
      <c r="AV6012" t="s">
        <v>502</v>
      </c>
      <c r="AW6012" t="s">
        <v>60</v>
      </c>
      <c r="AX6012" t="s">
        <v>68</v>
      </c>
      <c r="AY6012" t="s">
        <v>69</v>
      </c>
      <c r="AZ6012" t="b">
        <v>1</v>
      </c>
    </row>
    <row r="6013" spans="1:52" x14ac:dyDescent="0.3">
      <c r="A6013" t="s">
        <v>52</v>
      </c>
      <c r="B6013" t="s">
        <v>53</v>
      </c>
      <c r="C6013" t="s">
        <v>54</v>
      </c>
      <c r="D6013" t="s">
        <v>55</v>
      </c>
      <c r="E6013" t="s">
        <v>2281</v>
      </c>
      <c r="F6013" t="s">
        <v>190</v>
      </c>
      <c r="G6013" t="s">
        <v>510</v>
      </c>
      <c r="H6013" t="s">
        <v>511</v>
      </c>
      <c r="I6013" t="s">
        <v>511</v>
      </c>
      <c r="J6013" t="s">
        <v>60</v>
      </c>
      <c r="K6013" t="s">
        <v>512</v>
      </c>
      <c r="L6013" t="s">
        <v>62</v>
      </c>
      <c r="M6013" t="s">
        <v>512</v>
      </c>
      <c r="N6013" t="s">
        <v>406</v>
      </c>
      <c r="O6013" t="s">
        <v>513</v>
      </c>
      <c r="P6013">
        <v>-20.127853000000002</v>
      </c>
      <c r="Q6013">
        <v>-44.891415000000002</v>
      </c>
      <c r="R6013" s="2" t="str">
        <f>HYPERLINK("https://www.google.com/maps?q=-20.1278530,-44.8914150","Abrir no Google Maps")</f>
        <v>Abrir no Google Maps</v>
      </c>
      <c r="S6013">
        <v>3</v>
      </c>
      <c r="T6013">
        <v>340.86994528233612</v>
      </c>
      <c r="U6013">
        <v>3</v>
      </c>
      <c r="V6013">
        <v>8.7912087912087905E-2</v>
      </c>
      <c r="W6013">
        <v>1</v>
      </c>
      <c r="X6013">
        <v>8.7912087912087905E-2</v>
      </c>
      <c r="Y6013">
        <v>564</v>
      </c>
      <c r="Z6013">
        <v>294.18108015916812</v>
      </c>
      <c r="AA6013">
        <v>198</v>
      </c>
      <c r="AB6013">
        <v>332</v>
      </c>
      <c r="AC6013">
        <v>536</v>
      </c>
      <c r="AD6013">
        <v>26.22</v>
      </c>
      <c r="AE6013">
        <v>542</v>
      </c>
      <c r="AF6013">
        <v>11</v>
      </c>
      <c r="AG6013">
        <v>181</v>
      </c>
      <c r="AH6013">
        <v>129</v>
      </c>
      <c r="AI6013">
        <v>2.0299999999999998</v>
      </c>
      <c r="AJ6013">
        <v>33.39</v>
      </c>
      <c r="AK6013">
        <v>23.8</v>
      </c>
      <c r="AL6013">
        <v>-20.12777399999996</v>
      </c>
      <c r="AM6013">
        <v>-44.891400975758501</v>
      </c>
      <c r="AN6013">
        <v>-20.12777399999996</v>
      </c>
      <c r="AO6013">
        <v>-44.891400975758501</v>
      </c>
      <c r="AP6013">
        <v>-20.127853000000002</v>
      </c>
      <c r="AQ6013">
        <v>-44.891415000000002</v>
      </c>
      <c r="AR6013">
        <v>8.9156059162975616</v>
      </c>
      <c r="AS6013" t="s">
        <v>65</v>
      </c>
      <c r="AT6013">
        <v>1</v>
      </c>
      <c r="AU6013" t="s">
        <v>514</v>
      </c>
      <c r="AV6013" t="s">
        <v>515</v>
      </c>
      <c r="AW6013" t="s">
        <v>60</v>
      </c>
      <c r="AX6013" t="s">
        <v>68</v>
      </c>
      <c r="AY6013" t="s">
        <v>69</v>
      </c>
      <c r="AZ6013" t="b">
        <v>1</v>
      </c>
    </row>
    <row r="6014" spans="1:52" x14ac:dyDescent="0.3">
      <c r="A6014" t="s">
        <v>52</v>
      </c>
      <c r="B6014" t="s">
        <v>53</v>
      </c>
      <c r="C6014" t="s">
        <v>54</v>
      </c>
      <c r="D6014" t="s">
        <v>55</v>
      </c>
      <c r="E6014" t="s">
        <v>2281</v>
      </c>
      <c r="F6014" t="s">
        <v>190</v>
      </c>
      <c r="G6014" t="s">
        <v>1429</v>
      </c>
      <c r="H6014" t="s">
        <v>1430</v>
      </c>
      <c r="I6014" t="s">
        <v>1430</v>
      </c>
      <c r="J6014" t="s">
        <v>60</v>
      </c>
      <c r="K6014" t="s">
        <v>505</v>
      </c>
      <c r="L6014" t="s">
        <v>62</v>
      </c>
      <c r="M6014" t="s">
        <v>505</v>
      </c>
      <c r="N6014" t="s">
        <v>1431</v>
      </c>
      <c r="O6014" t="s">
        <v>1432</v>
      </c>
      <c r="P6014">
        <v>-20.132069000000001</v>
      </c>
      <c r="Q6014">
        <v>-44.891694000000001</v>
      </c>
      <c r="R6014" s="2" t="str">
        <f>HYPERLINK("https://www.google.com/maps?q=-20.1320690,-44.8916940","Abrir no Google Maps")</f>
        <v>Abrir no Google Maps</v>
      </c>
      <c r="S6014">
        <v>3</v>
      </c>
      <c r="T6014">
        <v>463.84477613866852</v>
      </c>
      <c r="U6014">
        <v>3</v>
      </c>
      <c r="V6014">
        <v>5.0179211469534003E-2</v>
      </c>
      <c r="W6014">
        <v>0.85</v>
      </c>
      <c r="X6014">
        <v>4.26523297491039E-2</v>
      </c>
      <c r="Y6014">
        <v>564</v>
      </c>
      <c r="Z6014">
        <v>349.6044774510159</v>
      </c>
      <c r="AA6014">
        <v>198</v>
      </c>
      <c r="AB6014">
        <v>332</v>
      </c>
      <c r="AC6014">
        <v>536</v>
      </c>
      <c r="AD6014">
        <v>26.22</v>
      </c>
      <c r="AE6014">
        <v>542</v>
      </c>
      <c r="AF6014">
        <v>11</v>
      </c>
      <c r="AG6014">
        <v>181</v>
      </c>
      <c r="AH6014">
        <v>129</v>
      </c>
      <c r="AI6014">
        <v>2.0299999999999998</v>
      </c>
      <c r="AJ6014">
        <v>33.39</v>
      </c>
      <c r="AK6014">
        <v>23.8</v>
      </c>
      <c r="AL6014">
        <v>-20.131860799999941</v>
      </c>
      <c r="AM6014">
        <v>-44.891643045551348</v>
      </c>
      <c r="AN6014">
        <v>-20.131860799999941</v>
      </c>
      <c r="AO6014">
        <v>-44.891643045551348</v>
      </c>
      <c r="AP6014">
        <v>-20.132069000000001</v>
      </c>
      <c r="AQ6014">
        <v>-44.891694000000001</v>
      </c>
      <c r="AR6014">
        <v>23.780836080569209</v>
      </c>
      <c r="AS6014" t="s">
        <v>65</v>
      </c>
      <c r="AT6014">
        <v>1</v>
      </c>
      <c r="AU6014" t="s">
        <v>1433</v>
      </c>
      <c r="AV6014" t="s">
        <v>1434</v>
      </c>
      <c r="AW6014" t="s">
        <v>60</v>
      </c>
      <c r="AX6014" t="s">
        <v>68</v>
      </c>
      <c r="AY6014" t="s">
        <v>69</v>
      </c>
      <c r="AZ6014" t="b">
        <v>1</v>
      </c>
    </row>
    <row r="6015" spans="1:52" x14ac:dyDescent="0.3">
      <c r="A6015" t="s">
        <v>52</v>
      </c>
      <c r="B6015" t="s">
        <v>53</v>
      </c>
      <c r="C6015" t="s">
        <v>54</v>
      </c>
      <c r="D6015" t="s">
        <v>55</v>
      </c>
      <c r="E6015" t="s">
        <v>2281</v>
      </c>
      <c r="F6015" t="s">
        <v>190</v>
      </c>
      <c r="G6015" t="s">
        <v>503</v>
      </c>
      <c r="H6015" t="s">
        <v>1441</v>
      </c>
      <c r="I6015" t="s">
        <v>1441</v>
      </c>
      <c r="J6015" t="s">
        <v>60</v>
      </c>
      <c r="K6015" t="s">
        <v>512</v>
      </c>
      <c r="L6015" t="s">
        <v>62</v>
      </c>
      <c r="M6015" t="s">
        <v>512</v>
      </c>
      <c r="N6015" t="s">
        <v>506</v>
      </c>
      <c r="O6015" t="s">
        <v>1442</v>
      </c>
      <c r="P6015">
        <v>-20.13036</v>
      </c>
      <c r="Q6015">
        <v>-44.891019</v>
      </c>
      <c r="R6015" s="2" t="str">
        <f>HYPERLINK("https://www.google.com/maps?q=-20.1303600,-44.8910190","Abrir no Google Maps")</f>
        <v>Abrir no Google Maps</v>
      </c>
      <c r="S6015">
        <v>3</v>
      </c>
      <c r="T6015">
        <v>313.17410616307359</v>
      </c>
      <c r="U6015">
        <v>3</v>
      </c>
      <c r="V6015">
        <v>3.4120734908136399E-2</v>
      </c>
      <c r="W6015">
        <v>0.85</v>
      </c>
      <c r="X6015">
        <v>2.9002624671915941E-2</v>
      </c>
      <c r="Y6015">
        <v>564</v>
      </c>
      <c r="Z6015">
        <v>208.43159293494489</v>
      </c>
      <c r="AA6015">
        <v>198</v>
      </c>
      <c r="AB6015">
        <v>332</v>
      </c>
      <c r="AC6015">
        <v>536</v>
      </c>
      <c r="AD6015">
        <v>26.22</v>
      </c>
      <c r="AE6015">
        <v>542</v>
      </c>
      <c r="AF6015">
        <v>11</v>
      </c>
      <c r="AG6015">
        <v>181</v>
      </c>
      <c r="AH6015">
        <v>129</v>
      </c>
      <c r="AI6015">
        <v>2.0299999999999998</v>
      </c>
      <c r="AJ6015">
        <v>33.39</v>
      </c>
      <c r="AK6015">
        <v>23.8</v>
      </c>
      <c r="AL6015">
        <v>-20.130100449999961</v>
      </c>
      <c r="AM6015">
        <v>-44.891163633475301</v>
      </c>
      <c r="AN6015">
        <v>-20.130100449999961</v>
      </c>
      <c r="AO6015">
        <v>-44.891163633475301</v>
      </c>
      <c r="AP6015">
        <v>-20.13036</v>
      </c>
      <c r="AQ6015">
        <v>-44.891019</v>
      </c>
      <c r="AR6015">
        <v>32.608854575381159</v>
      </c>
      <c r="AS6015" t="s">
        <v>65</v>
      </c>
      <c r="AT6015">
        <v>1</v>
      </c>
      <c r="AU6015" t="s">
        <v>1443</v>
      </c>
      <c r="AV6015" t="s">
        <v>1444</v>
      </c>
      <c r="AW6015" t="s">
        <v>60</v>
      </c>
      <c r="AX6015" t="s">
        <v>68</v>
      </c>
      <c r="AY6015" t="s">
        <v>69</v>
      </c>
      <c r="AZ6015" t="b">
        <v>1</v>
      </c>
    </row>
    <row r="6016" spans="1:52" x14ac:dyDescent="0.3">
      <c r="A6016" t="s">
        <v>52</v>
      </c>
      <c r="B6016" t="s">
        <v>53</v>
      </c>
      <c r="C6016" t="s">
        <v>54</v>
      </c>
      <c r="D6016" t="s">
        <v>55</v>
      </c>
      <c r="E6016" t="s">
        <v>2281</v>
      </c>
      <c r="F6016" t="s">
        <v>190</v>
      </c>
      <c r="G6016" t="s">
        <v>1408</v>
      </c>
      <c r="H6016" t="s">
        <v>1409</v>
      </c>
      <c r="I6016" t="s">
        <v>1409</v>
      </c>
      <c r="J6016" t="s">
        <v>60</v>
      </c>
      <c r="K6016" t="s">
        <v>200</v>
      </c>
      <c r="L6016" t="s">
        <v>62</v>
      </c>
      <c r="M6016" t="s">
        <v>200</v>
      </c>
      <c r="N6016" t="s">
        <v>1410</v>
      </c>
      <c r="O6016" t="s">
        <v>1001</v>
      </c>
      <c r="P6016">
        <v>-20.126062999999998</v>
      </c>
      <c r="Q6016">
        <v>-44.894936999999999</v>
      </c>
      <c r="R6016" s="2" t="str">
        <f>HYPERLINK("https://www.google.com/maps?q=-20.1260630,-44.8949370","Abrir no Google Maps")</f>
        <v>Abrir no Google Maps</v>
      </c>
      <c r="S6016">
        <v>3</v>
      </c>
      <c r="T6016">
        <v>747.3122077966558</v>
      </c>
      <c r="U6016">
        <v>3</v>
      </c>
      <c r="V6016">
        <v>3.6036036036036001E-2</v>
      </c>
      <c r="W6016">
        <v>0.85</v>
      </c>
      <c r="X6016">
        <v>3.0630630630630599E-2</v>
      </c>
      <c r="Y6016">
        <v>564</v>
      </c>
      <c r="Z6016">
        <v>693.80888866206885</v>
      </c>
      <c r="AA6016">
        <v>198</v>
      </c>
      <c r="AB6016">
        <v>332</v>
      </c>
      <c r="AC6016">
        <v>536</v>
      </c>
      <c r="AD6016">
        <v>26.22</v>
      </c>
      <c r="AE6016">
        <v>542</v>
      </c>
      <c r="AF6016">
        <v>11</v>
      </c>
      <c r="AG6016">
        <v>181</v>
      </c>
      <c r="AH6016">
        <v>129</v>
      </c>
      <c r="AI6016">
        <v>2.0299999999999998</v>
      </c>
      <c r="AJ6016">
        <v>33.39</v>
      </c>
      <c r="AK6016">
        <v>23.8</v>
      </c>
      <c r="AL6016">
        <v>-20.126099149999959</v>
      </c>
      <c r="AM6016">
        <v>-44.894866076436763</v>
      </c>
      <c r="AN6016">
        <v>-20.126099149999959</v>
      </c>
      <c r="AO6016">
        <v>-44.894866076436749</v>
      </c>
      <c r="AP6016">
        <v>-20.126062999999998</v>
      </c>
      <c r="AQ6016">
        <v>-44.894936999999999</v>
      </c>
      <c r="AR6016">
        <v>8.4349593682699737</v>
      </c>
      <c r="AS6016" t="s">
        <v>65</v>
      </c>
      <c r="AT6016">
        <v>1</v>
      </c>
      <c r="AU6016" t="s">
        <v>1411</v>
      </c>
      <c r="AV6016" t="s">
        <v>1003</v>
      </c>
      <c r="AW6016" t="s">
        <v>60</v>
      </c>
      <c r="AX6016" t="s">
        <v>68</v>
      </c>
      <c r="AY6016" t="s">
        <v>69</v>
      </c>
      <c r="AZ6016" t="b">
        <v>1</v>
      </c>
    </row>
    <row r="6017" spans="1:52" x14ac:dyDescent="0.3">
      <c r="A6017" t="s">
        <v>52</v>
      </c>
      <c r="B6017" t="s">
        <v>53</v>
      </c>
      <c r="C6017" t="s">
        <v>54</v>
      </c>
      <c r="D6017" t="s">
        <v>55</v>
      </c>
      <c r="E6017" t="s">
        <v>2281</v>
      </c>
      <c r="F6017" t="s">
        <v>190</v>
      </c>
      <c r="G6017" t="s">
        <v>473</v>
      </c>
      <c r="H6017" t="s">
        <v>1445</v>
      </c>
      <c r="I6017" t="s">
        <v>1445</v>
      </c>
      <c r="J6017" t="s">
        <v>60</v>
      </c>
      <c r="K6017" t="s">
        <v>892</v>
      </c>
      <c r="L6017" t="s">
        <v>62</v>
      </c>
      <c r="M6017" t="s">
        <v>892</v>
      </c>
      <c r="N6017" t="s">
        <v>406</v>
      </c>
      <c r="O6017" t="s">
        <v>1446</v>
      </c>
      <c r="P6017">
        <v>-20.14941</v>
      </c>
      <c r="Q6017">
        <v>-44.899535</v>
      </c>
      <c r="R6017" s="2" t="str">
        <f>HYPERLINK("https://www.google.com/maps?q=-20.1494100,-44.8995350","Abrir no Google Maps")</f>
        <v>Abrir no Google Maps</v>
      </c>
      <c r="S6017">
        <v>3</v>
      </c>
      <c r="T6017">
        <v>249.83945591849931</v>
      </c>
      <c r="U6017">
        <v>3</v>
      </c>
      <c r="V6017">
        <v>3.5211267605633798E-2</v>
      </c>
      <c r="W6017">
        <v>0.85</v>
      </c>
      <c r="X6017">
        <v>2.9929577464788731E-2</v>
      </c>
      <c r="Y6017">
        <v>556</v>
      </c>
      <c r="Z6017">
        <v>156.62360082488701</v>
      </c>
      <c r="AA6017">
        <v>198</v>
      </c>
      <c r="AB6017">
        <v>332</v>
      </c>
      <c r="AC6017">
        <v>536</v>
      </c>
      <c r="AD6017">
        <v>26.22</v>
      </c>
      <c r="AE6017">
        <v>542</v>
      </c>
      <c r="AF6017">
        <v>11</v>
      </c>
      <c r="AG6017">
        <v>181</v>
      </c>
      <c r="AH6017">
        <v>129</v>
      </c>
      <c r="AI6017">
        <v>2.0299999999999998</v>
      </c>
      <c r="AJ6017">
        <v>33.39</v>
      </c>
      <c r="AK6017">
        <v>23.8</v>
      </c>
      <c r="AL6017">
        <v>-20.149341899999939</v>
      </c>
      <c r="AM6017">
        <v>-44.899575902083967</v>
      </c>
      <c r="AN6017">
        <v>-20.149341899999939</v>
      </c>
      <c r="AO6017">
        <v>-44.899575902083967</v>
      </c>
      <c r="AP6017">
        <v>-20.14941</v>
      </c>
      <c r="AQ6017">
        <v>-44.899535</v>
      </c>
      <c r="AR6017">
        <v>8.7029725999778709</v>
      </c>
      <c r="AS6017" t="s">
        <v>65</v>
      </c>
      <c r="AT6017">
        <v>1</v>
      </c>
      <c r="AU6017" t="s">
        <v>1447</v>
      </c>
      <c r="AV6017" t="s">
        <v>1448</v>
      </c>
      <c r="AW6017" t="s">
        <v>60</v>
      </c>
      <c r="AX6017" t="s">
        <v>68</v>
      </c>
      <c r="AY6017" t="s">
        <v>69</v>
      </c>
      <c r="AZ6017" t="b">
        <v>1</v>
      </c>
    </row>
    <row r="6018" spans="1:52" x14ac:dyDescent="0.3">
      <c r="A6018" t="s">
        <v>52</v>
      </c>
      <c r="B6018" t="s">
        <v>53</v>
      </c>
      <c r="C6018" t="s">
        <v>54</v>
      </c>
      <c r="D6018" t="s">
        <v>55</v>
      </c>
      <c r="E6018" t="s">
        <v>2281</v>
      </c>
      <c r="F6018" t="s">
        <v>190</v>
      </c>
      <c r="G6018" t="s">
        <v>890</v>
      </c>
      <c r="H6018" t="s">
        <v>891</v>
      </c>
      <c r="I6018" t="s">
        <v>891</v>
      </c>
      <c r="J6018" t="s">
        <v>60</v>
      </c>
      <c r="K6018" t="s">
        <v>892</v>
      </c>
      <c r="L6018" t="s">
        <v>62</v>
      </c>
      <c r="M6018" t="s">
        <v>892</v>
      </c>
      <c r="N6018" t="s">
        <v>893</v>
      </c>
      <c r="O6018" t="s">
        <v>894</v>
      </c>
      <c r="P6018">
        <v>-20.152519000000002</v>
      </c>
      <c r="Q6018">
        <v>-44.899177000000002</v>
      </c>
      <c r="R6018" s="2" t="str">
        <f>HYPERLINK("https://www.google.com/maps?q=-20.1525190,-44.8991770","Abrir no Google Maps")</f>
        <v>Abrir no Google Maps</v>
      </c>
      <c r="S6018">
        <v>3</v>
      </c>
      <c r="T6018">
        <v>211.80188552994721</v>
      </c>
      <c r="U6018">
        <v>3</v>
      </c>
      <c r="V6018">
        <v>3.3582089552238799E-2</v>
      </c>
      <c r="W6018">
        <v>1</v>
      </c>
      <c r="X6018">
        <v>3.3582089552238799E-2</v>
      </c>
      <c r="Y6018">
        <v>556</v>
      </c>
      <c r="Z6018">
        <v>290.34804137107091</v>
      </c>
      <c r="AA6018">
        <v>198</v>
      </c>
      <c r="AB6018">
        <v>332</v>
      </c>
      <c r="AC6018">
        <v>536</v>
      </c>
      <c r="AD6018">
        <v>26.22</v>
      </c>
      <c r="AE6018">
        <v>542</v>
      </c>
      <c r="AF6018">
        <v>11</v>
      </c>
      <c r="AG6018">
        <v>181</v>
      </c>
      <c r="AH6018">
        <v>129</v>
      </c>
      <c r="AI6018">
        <v>2.0299999999999998</v>
      </c>
      <c r="AJ6018">
        <v>33.39</v>
      </c>
      <c r="AK6018">
        <v>23.8</v>
      </c>
      <c r="AL6018">
        <v>-20.152516249999959</v>
      </c>
      <c r="AM6018">
        <v>-44.899310431333959</v>
      </c>
      <c r="AN6018">
        <v>-20.152516249999959</v>
      </c>
      <c r="AO6018">
        <v>-44.899310431333959</v>
      </c>
      <c r="AP6018">
        <v>-20.152519000000002</v>
      </c>
      <c r="AQ6018">
        <v>-44.899177000000002</v>
      </c>
      <c r="AR6018">
        <v>13.947583284957719</v>
      </c>
      <c r="AS6018" t="s">
        <v>65</v>
      </c>
      <c r="AT6018">
        <v>1</v>
      </c>
      <c r="AU6018" t="s">
        <v>895</v>
      </c>
      <c r="AV6018" t="s">
        <v>896</v>
      </c>
      <c r="AW6018" t="s">
        <v>60</v>
      </c>
      <c r="AX6018" t="s">
        <v>68</v>
      </c>
      <c r="AY6018" t="s">
        <v>69</v>
      </c>
      <c r="AZ6018" t="b">
        <v>1</v>
      </c>
    </row>
    <row r="6019" spans="1:52" x14ac:dyDescent="0.3">
      <c r="A6019" t="s">
        <v>52</v>
      </c>
      <c r="B6019" t="s">
        <v>53</v>
      </c>
      <c r="C6019" t="s">
        <v>54</v>
      </c>
      <c r="D6019" t="s">
        <v>55</v>
      </c>
      <c r="E6019" t="s">
        <v>2281</v>
      </c>
      <c r="F6019" t="s">
        <v>190</v>
      </c>
      <c r="G6019" t="s">
        <v>1412</v>
      </c>
      <c r="H6019" t="s">
        <v>1413</v>
      </c>
      <c r="I6019" t="s">
        <v>1413</v>
      </c>
      <c r="J6019" t="s">
        <v>60</v>
      </c>
      <c r="K6019" t="s">
        <v>892</v>
      </c>
      <c r="L6019" t="s">
        <v>62</v>
      </c>
      <c r="M6019" t="s">
        <v>892</v>
      </c>
      <c r="N6019" t="s">
        <v>1414</v>
      </c>
      <c r="O6019" t="s">
        <v>293</v>
      </c>
      <c r="P6019">
        <v>-20.150780999999998</v>
      </c>
      <c r="Q6019">
        <v>-44.897972000000003</v>
      </c>
      <c r="R6019" s="2" t="str">
        <f>HYPERLINK("https://www.google.com/maps?q=-20.1507810,-44.8979720","Abrir no Google Maps")</f>
        <v>Abrir no Google Maps</v>
      </c>
      <c r="S6019">
        <v>3</v>
      </c>
      <c r="T6019">
        <v>306.36394634674508</v>
      </c>
      <c r="U6019">
        <v>3</v>
      </c>
      <c r="V6019">
        <v>6.0931899641576998E-2</v>
      </c>
      <c r="W6019">
        <v>0.85</v>
      </c>
      <c r="X6019">
        <v>5.1792114695340452E-2</v>
      </c>
      <c r="Y6019">
        <v>556</v>
      </c>
      <c r="Z6019">
        <v>233.85692443628571</v>
      </c>
      <c r="AA6019">
        <v>198</v>
      </c>
      <c r="AB6019">
        <v>332</v>
      </c>
      <c r="AC6019">
        <v>536</v>
      </c>
      <c r="AD6019">
        <v>26.22</v>
      </c>
      <c r="AE6019">
        <v>542</v>
      </c>
      <c r="AF6019">
        <v>11</v>
      </c>
      <c r="AG6019">
        <v>181</v>
      </c>
      <c r="AH6019">
        <v>129</v>
      </c>
      <c r="AI6019">
        <v>2.0299999999999998</v>
      </c>
      <c r="AJ6019">
        <v>33.39</v>
      </c>
      <c r="AK6019">
        <v>23.8</v>
      </c>
      <c r="AL6019">
        <v>-20.15074609999996</v>
      </c>
      <c r="AM6019">
        <v>-44.89795774234689</v>
      </c>
      <c r="AN6019">
        <v>-20.15074609999996</v>
      </c>
      <c r="AO6019">
        <v>-44.89795774234689</v>
      </c>
      <c r="AP6019">
        <v>-20.150780999999998</v>
      </c>
      <c r="AQ6019">
        <v>-44.897972000000003</v>
      </c>
      <c r="AR6019">
        <v>4.160995809097348</v>
      </c>
      <c r="AS6019" t="s">
        <v>65</v>
      </c>
      <c r="AT6019">
        <v>1</v>
      </c>
      <c r="AU6019" t="s">
        <v>1415</v>
      </c>
      <c r="AV6019" t="s">
        <v>1416</v>
      </c>
      <c r="AW6019" t="s">
        <v>60</v>
      </c>
      <c r="AX6019" t="s">
        <v>68</v>
      </c>
      <c r="AY6019" t="s">
        <v>69</v>
      </c>
      <c r="AZ6019" t="b">
        <v>1</v>
      </c>
    </row>
    <row r="6020" spans="1:52" x14ac:dyDescent="0.3">
      <c r="A6020" t="s">
        <v>52</v>
      </c>
      <c r="B6020" t="s">
        <v>53</v>
      </c>
      <c r="C6020" t="s">
        <v>54</v>
      </c>
      <c r="D6020" t="s">
        <v>55</v>
      </c>
      <c r="E6020" t="s">
        <v>2281</v>
      </c>
      <c r="F6020" t="s">
        <v>190</v>
      </c>
      <c r="G6020" t="s">
        <v>1127</v>
      </c>
      <c r="H6020" t="s">
        <v>1449</v>
      </c>
      <c r="I6020" t="s">
        <v>1449</v>
      </c>
      <c r="J6020" t="s">
        <v>60</v>
      </c>
      <c r="K6020" t="s">
        <v>1450</v>
      </c>
      <c r="L6020" t="s">
        <v>62</v>
      </c>
      <c r="M6020" t="s">
        <v>1450</v>
      </c>
      <c r="N6020" t="s">
        <v>1451</v>
      </c>
      <c r="O6020" t="s">
        <v>1452</v>
      </c>
      <c r="P6020">
        <v>-20.152612000000001</v>
      </c>
      <c r="Q6020">
        <v>-44.897098</v>
      </c>
      <c r="R6020" s="2" t="str">
        <f>HYPERLINK("https://www.google.com/maps?q=-20.1526120,-44.8970980","Abrir no Google Maps")</f>
        <v>Abrir no Google Maps</v>
      </c>
      <c r="S6020">
        <v>3</v>
      </c>
      <c r="T6020">
        <v>418.6283592063233</v>
      </c>
      <c r="U6020">
        <v>3</v>
      </c>
      <c r="V6020">
        <v>4.3478260869565202E-2</v>
      </c>
      <c r="W6020">
        <v>0.85</v>
      </c>
      <c r="X6020">
        <v>3.6956521739130423E-2</v>
      </c>
      <c r="Y6020">
        <v>556</v>
      </c>
      <c r="Z6020">
        <v>387.16462225830952</v>
      </c>
      <c r="AA6020">
        <v>198</v>
      </c>
      <c r="AB6020">
        <v>332</v>
      </c>
      <c r="AC6020">
        <v>536</v>
      </c>
      <c r="AD6020">
        <v>26.22</v>
      </c>
      <c r="AE6020">
        <v>542</v>
      </c>
      <c r="AF6020">
        <v>11</v>
      </c>
      <c r="AG6020">
        <v>181</v>
      </c>
      <c r="AH6020">
        <v>129</v>
      </c>
      <c r="AI6020">
        <v>2.0299999999999998</v>
      </c>
      <c r="AJ6020">
        <v>33.39</v>
      </c>
      <c r="AK6020">
        <v>23.8</v>
      </c>
      <c r="AL6020">
        <v>-20.15253669999996</v>
      </c>
      <c r="AM6020">
        <v>-44.897068126936119</v>
      </c>
      <c r="AN6020">
        <v>-20.15253669999996</v>
      </c>
      <c r="AO6020">
        <v>-44.897068126936119</v>
      </c>
      <c r="AP6020">
        <v>-20.152612000000001</v>
      </c>
      <c r="AQ6020">
        <v>-44.897098</v>
      </c>
      <c r="AR6020">
        <v>8.9448699164987104</v>
      </c>
      <c r="AS6020" t="s">
        <v>65</v>
      </c>
      <c r="AT6020">
        <v>1</v>
      </c>
      <c r="AU6020" t="s">
        <v>1453</v>
      </c>
      <c r="AV6020" t="s">
        <v>1454</v>
      </c>
      <c r="AW6020" t="s">
        <v>60</v>
      </c>
      <c r="AX6020" t="s">
        <v>68</v>
      </c>
      <c r="AY6020" t="s">
        <v>69</v>
      </c>
      <c r="AZ6020" t="b">
        <v>1</v>
      </c>
    </row>
    <row r="6021" spans="1:52" x14ac:dyDescent="0.3">
      <c r="A6021" t="s">
        <v>52</v>
      </c>
      <c r="B6021" t="s">
        <v>53</v>
      </c>
      <c r="C6021" t="s">
        <v>54</v>
      </c>
      <c r="D6021" t="s">
        <v>55</v>
      </c>
      <c r="E6021" t="s">
        <v>2281</v>
      </c>
      <c r="F6021" t="s">
        <v>190</v>
      </c>
      <c r="G6021" t="s">
        <v>897</v>
      </c>
      <c r="H6021" t="s">
        <v>898</v>
      </c>
      <c r="I6021" t="s">
        <v>898</v>
      </c>
      <c r="J6021" t="s">
        <v>60</v>
      </c>
      <c r="K6021" t="s">
        <v>892</v>
      </c>
      <c r="L6021" t="s">
        <v>62</v>
      </c>
      <c r="M6021" t="s">
        <v>892</v>
      </c>
      <c r="N6021" t="s">
        <v>899</v>
      </c>
      <c r="O6021" t="s">
        <v>900</v>
      </c>
      <c r="P6021">
        <v>-20.154885</v>
      </c>
      <c r="Q6021">
        <v>-44.899890999999997</v>
      </c>
      <c r="R6021" s="2" t="str">
        <f>HYPERLINK("https://www.google.com/maps?q=-20.1548850,-44.8998910","Abrir no Google Maps")</f>
        <v>Abrir no Google Maps</v>
      </c>
      <c r="S6021">
        <v>3</v>
      </c>
      <c r="T6021">
        <v>314.66339661014308</v>
      </c>
      <c r="U6021">
        <v>3</v>
      </c>
      <c r="V6021">
        <v>3.9617486338797803E-2</v>
      </c>
      <c r="W6021">
        <v>1</v>
      </c>
      <c r="X6021">
        <v>3.9617486338797803E-2</v>
      </c>
      <c r="Y6021">
        <v>548</v>
      </c>
      <c r="Z6021">
        <v>319.02252584834253</v>
      </c>
      <c r="AA6021">
        <v>198</v>
      </c>
      <c r="AB6021">
        <v>332</v>
      </c>
      <c r="AC6021">
        <v>536</v>
      </c>
      <c r="AD6021">
        <v>26.22</v>
      </c>
      <c r="AE6021">
        <v>542</v>
      </c>
      <c r="AF6021">
        <v>11</v>
      </c>
      <c r="AG6021">
        <v>181</v>
      </c>
      <c r="AH6021">
        <v>129</v>
      </c>
      <c r="AI6021">
        <v>2.0299999999999998</v>
      </c>
      <c r="AJ6021">
        <v>33.39</v>
      </c>
      <c r="AK6021">
        <v>23.8</v>
      </c>
      <c r="AL6021">
        <v>-20.154906649999951</v>
      </c>
      <c r="AM6021">
        <v>-44.899894072543653</v>
      </c>
      <c r="AN6021">
        <v>-20.154906649999951</v>
      </c>
      <c r="AO6021">
        <v>-44.899894072543653</v>
      </c>
      <c r="AP6021">
        <v>-20.154885</v>
      </c>
      <c r="AQ6021">
        <v>-44.899890999999997</v>
      </c>
      <c r="AR6021">
        <v>2.431373123904943</v>
      </c>
      <c r="AS6021" t="s">
        <v>65</v>
      </c>
      <c r="AT6021">
        <v>1</v>
      </c>
      <c r="AU6021" t="s">
        <v>901</v>
      </c>
      <c r="AV6021" t="s">
        <v>902</v>
      </c>
      <c r="AW6021" t="s">
        <v>60</v>
      </c>
      <c r="AX6021" t="s">
        <v>68</v>
      </c>
      <c r="AY6021" t="s">
        <v>69</v>
      </c>
      <c r="AZ6021" t="b">
        <v>1</v>
      </c>
    </row>
    <row r="6022" spans="1:52" x14ac:dyDescent="0.3">
      <c r="A6022" t="s">
        <v>52</v>
      </c>
      <c r="B6022" t="s">
        <v>53</v>
      </c>
      <c r="C6022" t="s">
        <v>54</v>
      </c>
      <c r="D6022" t="s">
        <v>55</v>
      </c>
      <c r="E6022" t="s">
        <v>2281</v>
      </c>
      <c r="F6022" t="s">
        <v>190</v>
      </c>
      <c r="G6022" t="s">
        <v>579</v>
      </c>
      <c r="H6022" t="s">
        <v>580</v>
      </c>
      <c r="I6022" t="s">
        <v>580</v>
      </c>
      <c r="J6022" t="s">
        <v>60</v>
      </c>
      <c r="K6022" t="s">
        <v>117</v>
      </c>
      <c r="L6022" t="s">
        <v>62</v>
      </c>
      <c r="M6022" t="s">
        <v>117</v>
      </c>
      <c r="N6022" t="s">
        <v>581</v>
      </c>
      <c r="O6022" t="s">
        <v>338</v>
      </c>
      <c r="P6022">
        <v>-20.119333000000001</v>
      </c>
      <c r="Q6022">
        <v>-44.892454999999998</v>
      </c>
      <c r="R6022" s="2" t="str">
        <f>HYPERLINK("https://www.google.com/maps?q=-20.1193330,-44.8924550","Abrir no Google Maps")</f>
        <v>Abrir no Google Maps</v>
      </c>
      <c r="S6022">
        <v>3</v>
      </c>
      <c r="T6022">
        <v>545.06582215852734</v>
      </c>
      <c r="U6022">
        <v>3</v>
      </c>
      <c r="V6022">
        <v>5.8965102286401901E-2</v>
      </c>
      <c r="W6022">
        <v>1</v>
      </c>
      <c r="X6022">
        <v>5.8965102286401901E-2</v>
      </c>
      <c r="Y6022">
        <v>536</v>
      </c>
      <c r="Z6022">
        <v>583.72689769042404</v>
      </c>
      <c r="AA6022">
        <v>198</v>
      </c>
      <c r="AB6022">
        <v>332</v>
      </c>
      <c r="AC6022">
        <v>536</v>
      </c>
      <c r="AD6022">
        <v>26.22</v>
      </c>
      <c r="AE6022">
        <v>542</v>
      </c>
      <c r="AF6022">
        <v>11</v>
      </c>
      <c r="AG6022">
        <v>181</v>
      </c>
      <c r="AH6022">
        <v>129</v>
      </c>
      <c r="AI6022">
        <v>2.0299999999999998</v>
      </c>
      <c r="AJ6022">
        <v>33.39</v>
      </c>
      <c r="AK6022">
        <v>23.8</v>
      </c>
      <c r="AL6022">
        <v>-20.11966729999995</v>
      </c>
      <c r="AM6022">
        <v>-44.892529474102908</v>
      </c>
      <c r="AN6022">
        <v>-20.119667299999939</v>
      </c>
      <c r="AO6022">
        <v>-44.892529474102908</v>
      </c>
      <c r="AP6022">
        <v>-20.119333000000001</v>
      </c>
      <c r="AQ6022">
        <v>-44.892454999999998</v>
      </c>
      <c r="AR6022">
        <v>38.019750592693072</v>
      </c>
      <c r="AS6022" t="s">
        <v>65</v>
      </c>
      <c r="AT6022">
        <v>1</v>
      </c>
      <c r="AU6022" t="s">
        <v>582</v>
      </c>
      <c r="AV6022" t="s">
        <v>583</v>
      </c>
      <c r="AW6022" t="s">
        <v>60</v>
      </c>
      <c r="AX6022" t="s">
        <v>68</v>
      </c>
      <c r="AY6022" t="s">
        <v>69</v>
      </c>
      <c r="AZ6022" t="b">
        <v>1</v>
      </c>
    </row>
    <row r="6023" spans="1:52" x14ac:dyDescent="0.3">
      <c r="A6023" t="s">
        <v>52</v>
      </c>
      <c r="B6023" t="s">
        <v>53</v>
      </c>
      <c r="C6023" t="s">
        <v>54</v>
      </c>
      <c r="D6023" t="s">
        <v>55</v>
      </c>
      <c r="E6023" t="s">
        <v>2281</v>
      </c>
      <c r="F6023" t="s">
        <v>190</v>
      </c>
      <c r="G6023" t="s">
        <v>910</v>
      </c>
      <c r="H6023" t="s">
        <v>911</v>
      </c>
      <c r="I6023" t="s">
        <v>911</v>
      </c>
      <c r="J6023" t="s">
        <v>60</v>
      </c>
      <c r="K6023" t="s">
        <v>207</v>
      </c>
      <c r="L6023" t="s">
        <v>62</v>
      </c>
      <c r="M6023" t="s">
        <v>207</v>
      </c>
      <c r="N6023" t="s">
        <v>912</v>
      </c>
      <c r="O6023" t="s">
        <v>548</v>
      </c>
      <c r="P6023">
        <v>-20.116987000000002</v>
      </c>
      <c r="Q6023">
        <v>-44.885240000000003</v>
      </c>
      <c r="R6023" s="2" t="str">
        <f>HYPERLINK("https://www.google.com/maps?q=-20.1169870,-44.8852400","Abrir no Google Maps")</f>
        <v>Abrir no Google Maps</v>
      </c>
      <c r="S6023">
        <v>3</v>
      </c>
      <c r="T6023">
        <v>283.94804862214067</v>
      </c>
      <c r="U6023">
        <v>3</v>
      </c>
      <c r="V6023">
        <v>5.7189542483660101E-2</v>
      </c>
      <c r="W6023">
        <v>1</v>
      </c>
      <c r="X6023">
        <v>5.7189542483660101E-2</v>
      </c>
      <c r="Y6023">
        <v>536</v>
      </c>
      <c r="Z6023">
        <v>297.39410031170689</v>
      </c>
      <c r="AA6023">
        <v>198</v>
      </c>
      <c r="AB6023">
        <v>332</v>
      </c>
      <c r="AC6023">
        <v>536</v>
      </c>
      <c r="AD6023">
        <v>26.22</v>
      </c>
      <c r="AE6023">
        <v>542</v>
      </c>
      <c r="AF6023">
        <v>11</v>
      </c>
      <c r="AG6023">
        <v>181</v>
      </c>
      <c r="AH6023">
        <v>129</v>
      </c>
      <c r="AI6023">
        <v>2.0299999999999998</v>
      </c>
      <c r="AJ6023">
        <v>33.39</v>
      </c>
      <c r="AK6023">
        <v>23.8</v>
      </c>
      <c r="AL6023">
        <v>-20.116999599999961</v>
      </c>
      <c r="AM6023">
        <v>-44.885197873315192</v>
      </c>
      <c r="AN6023">
        <v>-20.116999599999961</v>
      </c>
      <c r="AO6023">
        <v>-44.885197873315192</v>
      </c>
      <c r="AP6023">
        <v>-20.116987000000002</v>
      </c>
      <c r="AQ6023">
        <v>-44.885240000000003</v>
      </c>
      <c r="AR6023">
        <v>4.6214387870334246</v>
      </c>
      <c r="AS6023" t="s">
        <v>65</v>
      </c>
      <c r="AT6023">
        <v>1</v>
      </c>
      <c r="AU6023" t="s">
        <v>913</v>
      </c>
      <c r="AV6023" t="s">
        <v>914</v>
      </c>
      <c r="AW6023" t="s">
        <v>60</v>
      </c>
      <c r="AX6023" t="s">
        <v>68</v>
      </c>
      <c r="AY6023" t="s">
        <v>69</v>
      </c>
      <c r="AZ6023" t="b">
        <v>1</v>
      </c>
    </row>
    <row r="6024" spans="1:52" x14ac:dyDescent="0.3">
      <c r="A6024" t="s">
        <v>52</v>
      </c>
      <c r="B6024" t="s">
        <v>53</v>
      </c>
      <c r="C6024" t="s">
        <v>54</v>
      </c>
      <c r="D6024" t="s">
        <v>55</v>
      </c>
      <c r="E6024" t="s">
        <v>2281</v>
      </c>
      <c r="F6024" t="s">
        <v>190</v>
      </c>
      <c r="G6024" t="s">
        <v>590</v>
      </c>
      <c r="H6024" t="s">
        <v>591</v>
      </c>
      <c r="I6024" t="s">
        <v>591</v>
      </c>
      <c r="J6024" t="s">
        <v>60</v>
      </c>
      <c r="K6024" t="s">
        <v>207</v>
      </c>
      <c r="L6024" t="s">
        <v>62</v>
      </c>
      <c r="M6024" t="s">
        <v>207</v>
      </c>
      <c r="N6024" t="s">
        <v>592</v>
      </c>
      <c r="O6024" t="s">
        <v>565</v>
      </c>
      <c r="P6024">
        <v>-20.118652000000001</v>
      </c>
      <c r="Q6024">
        <v>-44.890574999999998</v>
      </c>
      <c r="R6024" s="2" t="str">
        <f>HYPERLINK("https://www.google.com/maps?q=-20.1186520,-44.8905750","Abrir no Google Maps")</f>
        <v>Abrir no Google Maps</v>
      </c>
      <c r="S6024">
        <v>3</v>
      </c>
      <c r="T6024">
        <v>305.97870753615422</v>
      </c>
      <c r="U6024">
        <v>3</v>
      </c>
      <c r="V6024">
        <v>8.7336244541484698E-2</v>
      </c>
      <c r="W6024">
        <v>1</v>
      </c>
      <c r="X6024">
        <v>8.7336244541484698E-2</v>
      </c>
      <c r="Y6024">
        <v>536</v>
      </c>
      <c r="Z6024">
        <v>368.07356795447242</v>
      </c>
      <c r="AA6024">
        <v>198</v>
      </c>
      <c r="AB6024">
        <v>332</v>
      </c>
      <c r="AC6024">
        <v>536</v>
      </c>
      <c r="AD6024">
        <v>26.22</v>
      </c>
      <c r="AE6024">
        <v>542</v>
      </c>
      <c r="AF6024">
        <v>11</v>
      </c>
      <c r="AG6024">
        <v>181</v>
      </c>
      <c r="AH6024">
        <v>129</v>
      </c>
      <c r="AI6024">
        <v>2.0299999999999998</v>
      </c>
      <c r="AJ6024">
        <v>33.39</v>
      </c>
      <c r="AK6024">
        <v>23.8</v>
      </c>
      <c r="AL6024">
        <v>-20.118589699999941</v>
      </c>
      <c r="AM6024">
        <v>-44.890419442196389</v>
      </c>
      <c r="AN6024">
        <v>-20.118589699999941</v>
      </c>
      <c r="AO6024">
        <v>-44.890419442196389</v>
      </c>
      <c r="AP6024">
        <v>-20.118652000000001</v>
      </c>
      <c r="AQ6024">
        <v>-44.890574999999998</v>
      </c>
      <c r="AR6024">
        <v>17.67731866347437</v>
      </c>
      <c r="AS6024" t="s">
        <v>65</v>
      </c>
      <c r="AT6024">
        <v>1</v>
      </c>
      <c r="AU6024" t="s">
        <v>593</v>
      </c>
      <c r="AV6024" t="s">
        <v>594</v>
      </c>
      <c r="AW6024" t="s">
        <v>60</v>
      </c>
      <c r="AX6024" t="s">
        <v>68</v>
      </c>
      <c r="AY6024" t="s">
        <v>69</v>
      </c>
      <c r="AZ6024" t="b">
        <v>1</v>
      </c>
    </row>
    <row r="6025" spans="1:52" x14ac:dyDescent="0.3">
      <c r="A6025" t="s">
        <v>52</v>
      </c>
      <c r="B6025" t="s">
        <v>53</v>
      </c>
      <c r="C6025" t="s">
        <v>54</v>
      </c>
      <c r="D6025" t="s">
        <v>55</v>
      </c>
      <c r="E6025" t="s">
        <v>2281</v>
      </c>
      <c r="F6025" t="s">
        <v>190</v>
      </c>
      <c r="G6025" t="s">
        <v>601</v>
      </c>
      <c r="H6025" t="s">
        <v>602</v>
      </c>
      <c r="I6025" t="s">
        <v>602</v>
      </c>
      <c r="J6025" t="s">
        <v>60</v>
      </c>
      <c r="K6025" t="s">
        <v>117</v>
      </c>
      <c r="L6025" t="s">
        <v>62</v>
      </c>
      <c r="M6025" t="s">
        <v>117</v>
      </c>
      <c r="N6025" t="s">
        <v>603</v>
      </c>
      <c r="O6025" t="s">
        <v>604</v>
      </c>
      <c r="P6025">
        <v>-20.122198999999998</v>
      </c>
      <c r="Q6025">
        <v>-44.893118999999999</v>
      </c>
      <c r="R6025" s="2" t="str">
        <f>HYPERLINK("https://www.google.com/maps?q=-20.1221990,-44.8931190","Abrir no Google Maps")</f>
        <v>Abrir no Google Maps</v>
      </c>
      <c r="S6025">
        <v>3</v>
      </c>
      <c r="T6025">
        <v>737.41475740297403</v>
      </c>
      <c r="U6025">
        <v>3</v>
      </c>
      <c r="V6025">
        <v>7.7709611451942703E-2</v>
      </c>
      <c r="W6025">
        <v>1</v>
      </c>
      <c r="X6025">
        <v>7.7709611451942703E-2</v>
      </c>
      <c r="Y6025">
        <v>536</v>
      </c>
      <c r="Z6025">
        <v>753.81321098979549</v>
      </c>
      <c r="AA6025">
        <v>198</v>
      </c>
      <c r="AB6025">
        <v>332</v>
      </c>
      <c r="AC6025">
        <v>536</v>
      </c>
      <c r="AD6025">
        <v>26.22</v>
      </c>
      <c r="AE6025">
        <v>542</v>
      </c>
      <c r="AF6025">
        <v>11</v>
      </c>
      <c r="AG6025">
        <v>181</v>
      </c>
      <c r="AH6025">
        <v>129</v>
      </c>
      <c r="AI6025">
        <v>2.0299999999999998</v>
      </c>
      <c r="AJ6025">
        <v>33.39</v>
      </c>
      <c r="AK6025">
        <v>23.8</v>
      </c>
      <c r="AL6025">
        <v>-20.122192249999959</v>
      </c>
      <c r="AM6025">
        <v>-44.893272469204263</v>
      </c>
      <c r="AN6025">
        <v>-20.122192249999959</v>
      </c>
      <c r="AO6025">
        <v>-44.893272469204263</v>
      </c>
      <c r="AP6025">
        <v>-20.122198999999998</v>
      </c>
      <c r="AQ6025">
        <v>-44.893118999999999</v>
      </c>
      <c r="AR6025">
        <v>16.058980187178161</v>
      </c>
      <c r="AS6025" t="s">
        <v>65</v>
      </c>
      <c r="AT6025">
        <v>1</v>
      </c>
      <c r="AU6025" t="s">
        <v>605</v>
      </c>
      <c r="AV6025" t="s">
        <v>606</v>
      </c>
      <c r="AW6025" t="s">
        <v>60</v>
      </c>
      <c r="AX6025" t="s">
        <v>68</v>
      </c>
      <c r="AY6025" t="s">
        <v>69</v>
      </c>
      <c r="AZ6025" t="b">
        <v>1</v>
      </c>
    </row>
    <row r="6026" spans="1:52" x14ac:dyDescent="0.3">
      <c r="A6026" t="s">
        <v>52</v>
      </c>
      <c r="B6026" t="s">
        <v>53</v>
      </c>
      <c r="C6026" t="s">
        <v>54</v>
      </c>
      <c r="D6026" t="s">
        <v>55</v>
      </c>
      <c r="E6026" t="s">
        <v>2281</v>
      </c>
      <c r="F6026" t="s">
        <v>190</v>
      </c>
      <c r="G6026" t="s">
        <v>579</v>
      </c>
      <c r="H6026" t="s">
        <v>2282</v>
      </c>
      <c r="I6026" t="s">
        <v>2282</v>
      </c>
      <c r="J6026" t="s">
        <v>60</v>
      </c>
      <c r="K6026" t="s">
        <v>207</v>
      </c>
      <c r="L6026" t="s">
        <v>62</v>
      </c>
      <c r="M6026" t="s">
        <v>207</v>
      </c>
      <c r="N6026" t="s">
        <v>581</v>
      </c>
      <c r="O6026" t="s">
        <v>1070</v>
      </c>
      <c r="P6026">
        <v>-20.116637999999998</v>
      </c>
      <c r="Q6026">
        <v>-44.889324000000002</v>
      </c>
      <c r="R6026" s="2" t="str">
        <f>HYPERLINK("https://www.google.com/maps?q=-20.1166380,-44.8893240","Abrir no Google Maps")</f>
        <v>Abrir no Google Maps</v>
      </c>
      <c r="S6026">
        <v>3</v>
      </c>
      <c r="T6026">
        <v>277.71042987789349</v>
      </c>
      <c r="U6026">
        <v>3</v>
      </c>
      <c r="V6026">
        <v>3.5714285714285698E-2</v>
      </c>
      <c r="W6026">
        <v>0.85</v>
      </c>
      <c r="X6026">
        <v>3.0357142857142839E-2</v>
      </c>
      <c r="Y6026">
        <v>536</v>
      </c>
      <c r="Z6026">
        <v>359.22666644545211</v>
      </c>
      <c r="AA6026">
        <v>198</v>
      </c>
      <c r="AB6026">
        <v>332</v>
      </c>
      <c r="AC6026">
        <v>536</v>
      </c>
      <c r="AD6026">
        <v>26.22</v>
      </c>
      <c r="AE6026">
        <v>542</v>
      </c>
      <c r="AF6026">
        <v>11</v>
      </c>
      <c r="AG6026">
        <v>181</v>
      </c>
      <c r="AH6026">
        <v>129</v>
      </c>
      <c r="AI6026">
        <v>2.0299999999999998</v>
      </c>
      <c r="AJ6026">
        <v>33.39</v>
      </c>
      <c r="AK6026">
        <v>23.8</v>
      </c>
      <c r="AL6026">
        <v>-20.11655904999995</v>
      </c>
      <c r="AM6026">
        <v>-44.889354889036767</v>
      </c>
      <c r="AN6026">
        <v>-20.11655904999995</v>
      </c>
      <c r="AO6026">
        <v>-44.889354889036767</v>
      </c>
      <c r="AP6026">
        <v>-20.116637999999998</v>
      </c>
      <c r="AQ6026">
        <v>-44.889324000000002</v>
      </c>
      <c r="AR6026">
        <v>9.3630457879879607</v>
      </c>
      <c r="AS6026" t="s">
        <v>65</v>
      </c>
      <c r="AT6026">
        <v>1</v>
      </c>
      <c r="AU6026" t="s">
        <v>2283</v>
      </c>
      <c r="AV6026" t="s">
        <v>2284</v>
      </c>
      <c r="AW6026" t="s">
        <v>60</v>
      </c>
      <c r="AX6026" t="s">
        <v>68</v>
      </c>
      <c r="AY6026" t="s">
        <v>69</v>
      </c>
      <c r="AZ6026" t="b">
        <v>1</v>
      </c>
    </row>
    <row r="6027" spans="1:52" x14ac:dyDescent="0.3">
      <c r="A6027" t="s">
        <v>52</v>
      </c>
      <c r="B6027" t="s">
        <v>53</v>
      </c>
      <c r="C6027" t="s">
        <v>54</v>
      </c>
      <c r="D6027" t="s">
        <v>55</v>
      </c>
      <c r="E6027" t="s">
        <v>2281</v>
      </c>
      <c r="F6027" t="s">
        <v>190</v>
      </c>
      <c r="G6027" t="s">
        <v>607</v>
      </c>
      <c r="H6027" t="s">
        <v>608</v>
      </c>
      <c r="I6027" t="s">
        <v>608</v>
      </c>
      <c r="J6027" t="s">
        <v>60</v>
      </c>
      <c r="K6027" t="s">
        <v>609</v>
      </c>
      <c r="L6027" t="s">
        <v>62</v>
      </c>
      <c r="M6027" t="s">
        <v>609</v>
      </c>
      <c r="N6027" t="s">
        <v>610</v>
      </c>
      <c r="O6027" t="s">
        <v>611</v>
      </c>
      <c r="P6027">
        <v>-20.110476999999999</v>
      </c>
      <c r="Q6027">
        <v>-44.887531000000003</v>
      </c>
      <c r="R6027" s="2" t="str">
        <f>HYPERLINK("https://www.google.com/maps?q=-20.1104770,-44.8875310","Abrir no Google Maps")</f>
        <v>Abrir no Google Maps</v>
      </c>
      <c r="S6027">
        <v>3</v>
      </c>
      <c r="T6027">
        <v>862.67854008986569</v>
      </c>
      <c r="U6027">
        <v>3</v>
      </c>
      <c r="V6027">
        <v>5.6179775280898799E-2</v>
      </c>
      <c r="W6027">
        <v>1</v>
      </c>
      <c r="X6027">
        <v>5.6179775280898799E-2</v>
      </c>
      <c r="Y6027">
        <v>536</v>
      </c>
      <c r="Z6027">
        <v>797.51469292431113</v>
      </c>
      <c r="AA6027">
        <v>198</v>
      </c>
      <c r="AB6027">
        <v>332</v>
      </c>
      <c r="AC6027">
        <v>536</v>
      </c>
      <c r="AD6027">
        <v>26.22</v>
      </c>
      <c r="AE6027">
        <v>542</v>
      </c>
      <c r="AF6027">
        <v>11</v>
      </c>
      <c r="AG6027">
        <v>181</v>
      </c>
      <c r="AH6027">
        <v>129</v>
      </c>
      <c r="AI6027">
        <v>2.0299999999999998</v>
      </c>
      <c r="AJ6027">
        <v>33.39</v>
      </c>
      <c r="AK6027">
        <v>23.8</v>
      </c>
      <c r="AL6027">
        <v>-20.11057859999994</v>
      </c>
      <c r="AM6027">
        <v>-44.888034950185293</v>
      </c>
      <c r="AN6027">
        <v>-20.11057859999994</v>
      </c>
      <c r="AO6027">
        <v>-44.888034950185293</v>
      </c>
      <c r="AP6027">
        <v>-20.110476999999999</v>
      </c>
      <c r="AQ6027">
        <v>-44.887531000000003</v>
      </c>
      <c r="AR6027">
        <v>53.879824494602957</v>
      </c>
      <c r="AS6027" t="s">
        <v>65</v>
      </c>
      <c r="AT6027">
        <v>1</v>
      </c>
      <c r="AU6027" t="s">
        <v>612</v>
      </c>
      <c r="AV6027" t="s">
        <v>613</v>
      </c>
      <c r="AW6027" t="s">
        <v>60</v>
      </c>
      <c r="AX6027" t="s">
        <v>68</v>
      </c>
      <c r="AY6027" t="s">
        <v>69</v>
      </c>
      <c r="AZ6027" t="b">
        <v>1</v>
      </c>
    </row>
    <row r="6028" spans="1:52" x14ac:dyDescent="0.3">
      <c r="A6028" t="s">
        <v>52</v>
      </c>
      <c r="B6028" t="s">
        <v>53</v>
      </c>
      <c r="C6028" t="s">
        <v>54</v>
      </c>
      <c r="D6028" t="s">
        <v>55</v>
      </c>
      <c r="E6028" t="s">
        <v>2281</v>
      </c>
      <c r="F6028" t="s">
        <v>190</v>
      </c>
      <c r="G6028" t="s">
        <v>2179</v>
      </c>
      <c r="H6028" t="s">
        <v>2180</v>
      </c>
      <c r="I6028" t="s">
        <v>2180</v>
      </c>
      <c r="J6028" t="s">
        <v>60</v>
      </c>
      <c r="K6028" t="s">
        <v>207</v>
      </c>
      <c r="L6028" t="s">
        <v>62</v>
      </c>
      <c r="M6028" t="s">
        <v>207</v>
      </c>
      <c r="N6028" t="s">
        <v>2181</v>
      </c>
      <c r="O6028" t="s">
        <v>488</v>
      </c>
      <c r="P6028">
        <v>-20.118973</v>
      </c>
      <c r="Q6028">
        <v>-44.884065</v>
      </c>
      <c r="R6028" s="2" t="str">
        <f>HYPERLINK("https://www.google.com/maps?q=-20.1189730,-44.8840650","Abrir no Google Maps")</f>
        <v>Abrir no Google Maps</v>
      </c>
      <c r="S6028">
        <v>3</v>
      </c>
      <c r="T6028">
        <v>356.38828672017752</v>
      </c>
      <c r="U6028">
        <v>3</v>
      </c>
      <c r="V6028">
        <v>6.4257028112449793E-2</v>
      </c>
      <c r="W6028">
        <v>0.85</v>
      </c>
      <c r="X6028">
        <v>5.4618473895582317E-2</v>
      </c>
      <c r="Y6028">
        <v>536</v>
      </c>
      <c r="Z6028">
        <v>324.27803269306071</v>
      </c>
      <c r="AA6028">
        <v>198</v>
      </c>
      <c r="AB6028">
        <v>332</v>
      </c>
      <c r="AC6028">
        <v>536</v>
      </c>
      <c r="AD6028">
        <v>26.22</v>
      </c>
      <c r="AE6028">
        <v>542</v>
      </c>
      <c r="AF6028">
        <v>11</v>
      </c>
      <c r="AG6028">
        <v>181</v>
      </c>
      <c r="AH6028">
        <v>129</v>
      </c>
      <c r="AI6028">
        <v>2.0299999999999998</v>
      </c>
      <c r="AJ6028">
        <v>33.39</v>
      </c>
      <c r="AK6028">
        <v>23.8</v>
      </c>
      <c r="AL6028">
        <v>-20.119171499999961</v>
      </c>
      <c r="AM6028">
        <v>-44.884203491969302</v>
      </c>
      <c r="AN6028">
        <v>-20.119171499999961</v>
      </c>
      <c r="AO6028">
        <v>-44.884203491969302</v>
      </c>
      <c r="AP6028">
        <v>-20.118973</v>
      </c>
      <c r="AQ6028">
        <v>-44.884065</v>
      </c>
      <c r="AR6028">
        <v>26.416621235303019</v>
      </c>
      <c r="AS6028" t="s">
        <v>65</v>
      </c>
      <c r="AT6028">
        <v>1</v>
      </c>
      <c r="AU6028" t="s">
        <v>2182</v>
      </c>
      <c r="AV6028" t="s">
        <v>2183</v>
      </c>
      <c r="AW6028" t="s">
        <v>60</v>
      </c>
      <c r="AX6028" t="s">
        <v>68</v>
      </c>
      <c r="AY6028" t="s">
        <v>69</v>
      </c>
      <c r="AZ6028" t="b">
        <v>1</v>
      </c>
    </row>
    <row r="6029" spans="1:52" x14ac:dyDescent="0.3">
      <c r="A6029" t="s">
        <v>52</v>
      </c>
      <c r="B6029" t="s">
        <v>53</v>
      </c>
      <c r="C6029" t="s">
        <v>54</v>
      </c>
      <c r="D6029" t="s">
        <v>55</v>
      </c>
      <c r="E6029" t="s">
        <v>2281</v>
      </c>
      <c r="F6029" t="s">
        <v>190</v>
      </c>
      <c r="G6029" t="s">
        <v>232</v>
      </c>
      <c r="H6029" t="s">
        <v>925</v>
      </c>
      <c r="I6029" t="s">
        <v>925</v>
      </c>
      <c r="J6029" t="s">
        <v>60</v>
      </c>
      <c r="K6029" t="s">
        <v>702</v>
      </c>
      <c r="L6029" t="s">
        <v>62</v>
      </c>
      <c r="M6029" t="s">
        <v>702</v>
      </c>
      <c r="N6029" t="s">
        <v>234</v>
      </c>
      <c r="O6029" t="s">
        <v>926</v>
      </c>
      <c r="P6029">
        <v>-20.165887999999999</v>
      </c>
      <c r="Q6029">
        <v>-44.865220000000001</v>
      </c>
      <c r="R6029" s="2" t="str">
        <f>HYPERLINK("https://www.google.com/maps?q=-20.1658880,-44.8652200","Abrir no Google Maps")</f>
        <v>Abrir no Google Maps</v>
      </c>
      <c r="S6029">
        <v>3</v>
      </c>
      <c r="T6029">
        <v>711.71706763776342</v>
      </c>
      <c r="U6029">
        <v>3</v>
      </c>
      <c r="V6029">
        <v>3.6879432624113397E-2</v>
      </c>
      <c r="W6029">
        <v>1</v>
      </c>
      <c r="X6029">
        <v>3.6879432624113397E-2</v>
      </c>
      <c r="Y6029">
        <v>518</v>
      </c>
      <c r="Z6029">
        <v>801.45781285603209</v>
      </c>
      <c r="AA6029">
        <v>198</v>
      </c>
      <c r="AB6029">
        <v>332</v>
      </c>
      <c r="AC6029">
        <v>536</v>
      </c>
      <c r="AD6029">
        <v>26.22</v>
      </c>
      <c r="AE6029">
        <v>542</v>
      </c>
      <c r="AF6029">
        <v>11</v>
      </c>
      <c r="AG6029">
        <v>181</v>
      </c>
      <c r="AH6029">
        <v>129</v>
      </c>
      <c r="AI6029">
        <v>2.0299999999999998</v>
      </c>
      <c r="AJ6029">
        <v>33.39</v>
      </c>
      <c r="AK6029">
        <v>23.8</v>
      </c>
      <c r="AL6029">
        <v>-20.165865449999959</v>
      </c>
      <c r="AM6029">
        <v>-44.865240434761468</v>
      </c>
      <c r="AN6029">
        <v>-20.165865449999959</v>
      </c>
      <c r="AO6029">
        <v>-44.865240434761468</v>
      </c>
      <c r="AP6029">
        <v>-20.165887999999999</v>
      </c>
      <c r="AQ6029">
        <v>-44.865220000000001</v>
      </c>
      <c r="AR6029">
        <v>3.2956262004279409</v>
      </c>
      <c r="AS6029" t="s">
        <v>65</v>
      </c>
      <c r="AT6029">
        <v>1</v>
      </c>
      <c r="AU6029" t="s">
        <v>927</v>
      </c>
      <c r="AV6029" t="s">
        <v>928</v>
      </c>
      <c r="AW6029" t="s">
        <v>60</v>
      </c>
      <c r="AX6029" t="s">
        <v>68</v>
      </c>
      <c r="AY6029" t="s">
        <v>69</v>
      </c>
      <c r="AZ6029" t="b">
        <v>1</v>
      </c>
    </row>
    <row r="6030" spans="1:52" x14ac:dyDescent="0.3">
      <c r="A6030" t="s">
        <v>52</v>
      </c>
      <c r="B6030" t="s">
        <v>53</v>
      </c>
      <c r="C6030" t="s">
        <v>54</v>
      </c>
      <c r="D6030" t="s">
        <v>55</v>
      </c>
      <c r="E6030" t="s">
        <v>2281</v>
      </c>
      <c r="F6030" t="s">
        <v>190</v>
      </c>
      <c r="G6030" t="s">
        <v>929</v>
      </c>
      <c r="H6030" t="s">
        <v>930</v>
      </c>
      <c r="I6030" t="s">
        <v>930</v>
      </c>
      <c r="J6030" t="s">
        <v>60</v>
      </c>
      <c r="K6030" t="s">
        <v>72</v>
      </c>
      <c r="L6030" t="s">
        <v>62</v>
      </c>
      <c r="M6030" t="s">
        <v>72</v>
      </c>
      <c r="N6030" t="s">
        <v>931</v>
      </c>
      <c r="O6030" t="s">
        <v>932</v>
      </c>
      <c r="P6030">
        <v>-20.144780999999998</v>
      </c>
      <c r="Q6030">
        <v>-44.914259000000001</v>
      </c>
      <c r="R6030" s="2" t="str">
        <f>HYPERLINK("https://www.google.com/maps?q=-20.1447810,-44.9142590","Abrir no Google Maps")</f>
        <v>Abrir no Google Maps</v>
      </c>
      <c r="S6030">
        <v>3</v>
      </c>
      <c r="T6030">
        <v>256.09363485874093</v>
      </c>
      <c r="U6030">
        <v>3</v>
      </c>
      <c r="V6030">
        <v>3.9603960396039598E-2</v>
      </c>
      <c r="W6030">
        <v>1</v>
      </c>
      <c r="X6030">
        <v>3.9603960396039598E-2</v>
      </c>
      <c r="Y6030">
        <v>508</v>
      </c>
      <c r="Z6030">
        <v>318.29766547935321</v>
      </c>
      <c r="AA6030">
        <v>198</v>
      </c>
      <c r="AB6030">
        <v>332</v>
      </c>
      <c r="AC6030">
        <v>536</v>
      </c>
      <c r="AD6030">
        <v>26.22</v>
      </c>
      <c r="AE6030">
        <v>542</v>
      </c>
      <c r="AF6030">
        <v>11</v>
      </c>
      <c r="AG6030">
        <v>181</v>
      </c>
      <c r="AH6030">
        <v>129</v>
      </c>
      <c r="AI6030">
        <v>2.0299999999999998</v>
      </c>
      <c r="AJ6030">
        <v>33.39</v>
      </c>
      <c r="AK6030">
        <v>23.8</v>
      </c>
      <c r="AL6030">
        <v>-20.144721899999951</v>
      </c>
      <c r="AM6030">
        <v>-44.914368749511411</v>
      </c>
      <c r="AN6030">
        <v>-20.144721899999951</v>
      </c>
      <c r="AO6030">
        <v>-44.914368749511411</v>
      </c>
      <c r="AP6030">
        <v>-20.144780999999998</v>
      </c>
      <c r="AQ6030">
        <v>-44.914259000000001</v>
      </c>
      <c r="AR6030">
        <v>13.22280973360979</v>
      </c>
      <c r="AS6030" t="s">
        <v>65</v>
      </c>
      <c r="AT6030">
        <v>1</v>
      </c>
      <c r="AU6030" t="s">
        <v>933</v>
      </c>
      <c r="AV6030" t="s">
        <v>934</v>
      </c>
      <c r="AW6030" t="s">
        <v>60</v>
      </c>
      <c r="AX6030" t="s">
        <v>68</v>
      </c>
      <c r="AY6030" t="s">
        <v>69</v>
      </c>
      <c r="AZ6030" t="b">
        <v>1</v>
      </c>
    </row>
    <row r="6031" spans="1:52" x14ac:dyDescent="0.3">
      <c r="A6031" t="s">
        <v>52</v>
      </c>
      <c r="B6031" t="s">
        <v>53</v>
      </c>
      <c r="C6031" t="s">
        <v>54</v>
      </c>
      <c r="D6031" t="s">
        <v>55</v>
      </c>
      <c r="E6031" t="s">
        <v>2281</v>
      </c>
      <c r="F6031" t="s">
        <v>190</v>
      </c>
      <c r="G6031" t="s">
        <v>935</v>
      </c>
      <c r="H6031" t="s">
        <v>936</v>
      </c>
      <c r="I6031" t="s">
        <v>936</v>
      </c>
      <c r="J6031" t="s">
        <v>60</v>
      </c>
      <c r="K6031" t="s">
        <v>193</v>
      </c>
      <c r="L6031" t="s">
        <v>62</v>
      </c>
      <c r="M6031" t="s">
        <v>193</v>
      </c>
      <c r="N6031" t="s">
        <v>937</v>
      </c>
      <c r="O6031" t="s">
        <v>938</v>
      </c>
      <c r="P6031">
        <v>-20.144727</v>
      </c>
      <c r="Q6031">
        <v>-44.919978999999998</v>
      </c>
      <c r="R6031" s="2" t="str">
        <f>HYPERLINK("https://www.google.com/maps?q=-20.1447270,-44.9199790","Abrir no Google Maps")</f>
        <v>Abrir no Google Maps</v>
      </c>
      <c r="S6031">
        <v>3</v>
      </c>
      <c r="T6031">
        <v>341.13992759662477</v>
      </c>
      <c r="U6031">
        <v>3</v>
      </c>
      <c r="V6031">
        <v>4.3715846994535498E-2</v>
      </c>
      <c r="W6031">
        <v>1</v>
      </c>
      <c r="X6031">
        <v>4.3715846994535498E-2</v>
      </c>
      <c r="Y6031">
        <v>508</v>
      </c>
      <c r="Z6031">
        <v>274.58151985101409</v>
      </c>
      <c r="AA6031">
        <v>198</v>
      </c>
      <c r="AB6031">
        <v>332</v>
      </c>
      <c r="AC6031">
        <v>536</v>
      </c>
      <c r="AD6031">
        <v>26.22</v>
      </c>
      <c r="AE6031">
        <v>542</v>
      </c>
      <c r="AF6031">
        <v>11</v>
      </c>
      <c r="AG6031">
        <v>181</v>
      </c>
      <c r="AH6031">
        <v>129</v>
      </c>
      <c r="AI6031">
        <v>2.0299999999999998</v>
      </c>
      <c r="AJ6031">
        <v>33.39</v>
      </c>
      <c r="AK6031">
        <v>23.8</v>
      </c>
      <c r="AL6031">
        <v>-20.144771099999961</v>
      </c>
      <c r="AM6031">
        <v>-44.92003491095209</v>
      </c>
      <c r="AN6031">
        <v>-20.144771099999961</v>
      </c>
      <c r="AO6031">
        <v>-44.92003491095209</v>
      </c>
      <c r="AP6031">
        <v>-20.144727</v>
      </c>
      <c r="AQ6031">
        <v>-44.919978999999998</v>
      </c>
      <c r="AR6031">
        <v>7.6317760459664177</v>
      </c>
      <c r="AS6031" t="s">
        <v>65</v>
      </c>
      <c r="AT6031">
        <v>1</v>
      </c>
      <c r="AU6031" t="s">
        <v>939</v>
      </c>
      <c r="AV6031" t="s">
        <v>940</v>
      </c>
      <c r="AW6031" t="s">
        <v>60</v>
      </c>
      <c r="AX6031" t="s">
        <v>68</v>
      </c>
      <c r="AY6031" t="s">
        <v>69</v>
      </c>
      <c r="AZ6031" t="b">
        <v>1</v>
      </c>
    </row>
    <row r="6032" spans="1:52" x14ac:dyDescent="0.3">
      <c r="A6032" t="s">
        <v>52</v>
      </c>
      <c r="B6032" t="s">
        <v>53</v>
      </c>
      <c r="C6032" t="s">
        <v>54</v>
      </c>
      <c r="D6032" t="s">
        <v>55</v>
      </c>
      <c r="E6032" t="s">
        <v>2281</v>
      </c>
      <c r="F6032" t="s">
        <v>190</v>
      </c>
      <c r="G6032" t="s">
        <v>2133</v>
      </c>
      <c r="H6032" t="s">
        <v>2134</v>
      </c>
      <c r="I6032" t="s">
        <v>2134</v>
      </c>
      <c r="J6032" t="s">
        <v>60</v>
      </c>
      <c r="K6032" t="s">
        <v>1370</v>
      </c>
      <c r="L6032" t="s">
        <v>62</v>
      </c>
      <c r="M6032" t="s">
        <v>1370</v>
      </c>
      <c r="N6032" t="s">
        <v>2135</v>
      </c>
      <c r="O6032" t="s">
        <v>2136</v>
      </c>
      <c r="P6032">
        <v>-20.138978999999999</v>
      </c>
      <c r="Q6032">
        <v>-44.918754999999997</v>
      </c>
      <c r="R6032" s="2" t="str">
        <f>HYPERLINK("https://www.google.com/maps?q=-20.1389790,-44.9187550","Abrir no Google Maps")</f>
        <v>Abrir no Google Maps</v>
      </c>
      <c r="S6032">
        <v>3</v>
      </c>
      <c r="T6032">
        <v>608.26540925727613</v>
      </c>
      <c r="U6032">
        <v>3</v>
      </c>
      <c r="V6032">
        <v>3.5211267605633798E-2</v>
      </c>
      <c r="W6032">
        <v>0.85</v>
      </c>
      <c r="X6032">
        <v>2.9929577464788731E-2</v>
      </c>
      <c r="Y6032">
        <v>508</v>
      </c>
      <c r="Z6032">
        <v>572.45888642102534</v>
      </c>
      <c r="AA6032">
        <v>198</v>
      </c>
      <c r="AB6032">
        <v>332</v>
      </c>
      <c r="AC6032">
        <v>536</v>
      </c>
      <c r="AD6032">
        <v>26.22</v>
      </c>
      <c r="AE6032">
        <v>542</v>
      </c>
      <c r="AF6032">
        <v>11</v>
      </c>
      <c r="AG6032">
        <v>181</v>
      </c>
      <c r="AH6032">
        <v>129</v>
      </c>
      <c r="AI6032">
        <v>2.0299999999999998</v>
      </c>
      <c r="AJ6032">
        <v>33.39</v>
      </c>
      <c r="AK6032">
        <v>23.8</v>
      </c>
      <c r="AL6032">
        <v>-20.13984584999994</v>
      </c>
      <c r="AM6032">
        <v>-44.918534442060277</v>
      </c>
      <c r="AN6032">
        <v>-20.13984584999994</v>
      </c>
      <c r="AO6032">
        <v>-44.918534442060277</v>
      </c>
      <c r="AP6032">
        <v>-20.138978999999999</v>
      </c>
      <c r="AQ6032">
        <v>-44.918754999999997</v>
      </c>
      <c r="AR6032">
        <v>99.212772439621006</v>
      </c>
      <c r="AS6032" t="s">
        <v>65</v>
      </c>
      <c r="AT6032">
        <v>1</v>
      </c>
      <c r="AU6032" t="s">
        <v>2137</v>
      </c>
      <c r="AV6032" t="s">
        <v>2138</v>
      </c>
      <c r="AW6032" t="s">
        <v>60</v>
      </c>
      <c r="AX6032" t="s">
        <v>68</v>
      </c>
      <c r="AY6032" t="s">
        <v>69</v>
      </c>
      <c r="AZ6032" t="b">
        <v>1</v>
      </c>
    </row>
    <row r="6033" spans="1:52" x14ac:dyDescent="0.3">
      <c r="A6033" t="s">
        <v>52</v>
      </c>
      <c r="B6033" t="s">
        <v>53</v>
      </c>
      <c r="C6033" t="s">
        <v>54</v>
      </c>
      <c r="D6033" t="s">
        <v>55</v>
      </c>
      <c r="E6033" t="s">
        <v>2281</v>
      </c>
      <c r="F6033" t="s">
        <v>190</v>
      </c>
      <c r="G6033" t="s">
        <v>625</v>
      </c>
      <c r="H6033" t="s">
        <v>626</v>
      </c>
      <c r="I6033" t="s">
        <v>626</v>
      </c>
      <c r="J6033" t="s">
        <v>60</v>
      </c>
      <c r="K6033" t="s">
        <v>193</v>
      </c>
      <c r="L6033" t="s">
        <v>62</v>
      </c>
      <c r="M6033" t="s">
        <v>193</v>
      </c>
      <c r="N6033" t="s">
        <v>627</v>
      </c>
      <c r="O6033" t="s">
        <v>628</v>
      </c>
      <c r="P6033">
        <v>-20.145171999999999</v>
      </c>
      <c r="Q6033">
        <v>-44.916764000000001</v>
      </c>
      <c r="R6033" s="2" t="str">
        <f>HYPERLINK("https://www.google.com/maps?q=-20.1451720,-44.9167640","Abrir no Google Maps")</f>
        <v>Abrir no Google Maps</v>
      </c>
      <c r="S6033">
        <v>3</v>
      </c>
      <c r="T6033">
        <v>0</v>
      </c>
      <c r="U6033">
        <v>3</v>
      </c>
      <c r="V6033">
        <v>6.3116370808678504E-2</v>
      </c>
      <c r="W6033">
        <v>1</v>
      </c>
      <c r="X6033">
        <v>6.3116370808678504E-2</v>
      </c>
      <c r="Y6033">
        <v>508</v>
      </c>
      <c r="Z6033">
        <v>79.403393114466795</v>
      </c>
      <c r="AA6033">
        <v>198</v>
      </c>
      <c r="AB6033">
        <v>332</v>
      </c>
      <c r="AC6033">
        <v>536</v>
      </c>
      <c r="AD6033">
        <v>26.22</v>
      </c>
      <c r="AE6033">
        <v>542</v>
      </c>
      <c r="AF6033">
        <v>11</v>
      </c>
      <c r="AG6033">
        <v>181</v>
      </c>
      <c r="AH6033">
        <v>129</v>
      </c>
      <c r="AI6033">
        <v>2.0299999999999998</v>
      </c>
      <c r="AJ6033">
        <v>33.39</v>
      </c>
      <c r="AK6033">
        <v>23.8</v>
      </c>
      <c r="AL6033">
        <v>-20.145089199999969</v>
      </c>
      <c r="AM6033">
        <v>-44.916788127791321</v>
      </c>
      <c r="AN6033">
        <v>-20.145089199999969</v>
      </c>
      <c r="AO6033">
        <v>-44.916788127791321</v>
      </c>
      <c r="AP6033">
        <v>-20.145171999999999</v>
      </c>
      <c r="AQ6033">
        <v>-44.916764000000001</v>
      </c>
      <c r="AR6033">
        <v>9.555991267747272</v>
      </c>
      <c r="AS6033" t="s">
        <v>65</v>
      </c>
      <c r="AT6033">
        <v>1</v>
      </c>
      <c r="AU6033" t="s">
        <v>629</v>
      </c>
      <c r="AV6033" t="s">
        <v>630</v>
      </c>
      <c r="AW6033" t="s">
        <v>60</v>
      </c>
      <c r="AX6033" t="s">
        <v>68</v>
      </c>
      <c r="AY6033" t="s">
        <v>69</v>
      </c>
      <c r="AZ6033" t="b">
        <v>1</v>
      </c>
    </row>
    <row r="6034" spans="1:52" x14ac:dyDescent="0.3">
      <c r="A6034" t="s">
        <v>52</v>
      </c>
      <c r="B6034" t="s">
        <v>53</v>
      </c>
      <c r="C6034" t="s">
        <v>54</v>
      </c>
      <c r="D6034" t="s">
        <v>55</v>
      </c>
      <c r="E6034" t="s">
        <v>2281</v>
      </c>
      <c r="F6034" t="s">
        <v>190</v>
      </c>
      <c r="G6034" t="s">
        <v>935</v>
      </c>
      <c r="H6034" t="s">
        <v>952</v>
      </c>
      <c r="I6034" t="s">
        <v>952</v>
      </c>
      <c r="J6034" t="s">
        <v>60</v>
      </c>
      <c r="K6034" t="s">
        <v>953</v>
      </c>
      <c r="L6034" t="s">
        <v>62</v>
      </c>
      <c r="M6034" t="s">
        <v>953</v>
      </c>
      <c r="N6034" t="s">
        <v>937</v>
      </c>
      <c r="O6034" t="s">
        <v>954</v>
      </c>
      <c r="P6034">
        <v>-20.147273999999999</v>
      </c>
      <c r="Q6034">
        <v>-44.920006000000001</v>
      </c>
      <c r="R6034" s="2" t="str">
        <f>HYPERLINK("https://www.google.com/maps?q=-20.1472740,-44.9200060","Abrir no Google Maps")</f>
        <v>Abrir no Google Maps</v>
      </c>
      <c r="S6034">
        <v>3</v>
      </c>
      <c r="T6034">
        <v>459.0606352701667</v>
      </c>
      <c r="U6034">
        <v>3</v>
      </c>
      <c r="V6034">
        <v>9.8245614035087706E-2</v>
      </c>
      <c r="W6034">
        <v>0.85</v>
      </c>
      <c r="X6034">
        <v>8.3508771929824546E-2</v>
      </c>
      <c r="Y6034">
        <v>508</v>
      </c>
      <c r="Z6034">
        <v>450.79650119449559</v>
      </c>
      <c r="AA6034">
        <v>198</v>
      </c>
      <c r="AB6034">
        <v>332</v>
      </c>
      <c r="AC6034">
        <v>536</v>
      </c>
      <c r="AD6034">
        <v>26.22</v>
      </c>
      <c r="AE6034">
        <v>542</v>
      </c>
      <c r="AF6034">
        <v>11</v>
      </c>
      <c r="AG6034">
        <v>181</v>
      </c>
      <c r="AH6034">
        <v>129</v>
      </c>
      <c r="AI6034">
        <v>2.0299999999999998</v>
      </c>
      <c r="AJ6034">
        <v>33.39</v>
      </c>
      <c r="AK6034">
        <v>23.8</v>
      </c>
      <c r="AL6034">
        <v>-20.14804539999994</v>
      </c>
      <c r="AM6034">
        <v>-44.919869714952483</v>
      </c>
      <c r="AN6034">
        <v>-20.14804539999994</v>
      </c>
      <c r="AO6034">
        <v>-44.919869714952483</v>
      </c>
      <c r="AP6034">
        <v>-20.147273999999999</v>
      </c>
      <c r="AQ6034">
        <v>-44.920006000000001</v>
      </c>
      <c r="AR6034">
        <v>87.045401840517783</v>
      </c>
      <c r="AS6034" t="s">
        <v>65</v>
      </c>
      <c r="AT6034">
        <v>1</v>
      </c>
      <c r="AU6034" t="s">
        <v>955</v>
      </c>
      <c r="AV6034" t="s">
        <v>956</v>
      </c>
      <c r="AW6034" t="s">
        <v>60</v>
      </c>
      <c r="AX6034" t="s">
        <v>68</v>
      </c>
      <c r="AY6034" t="s">
        <v>69</v>
      </c>
      <c r="AZ6034" t="b">
        <v>1</v>
      </c>
    </row>
    <row r="6035" spans="1:52" x14ac:dyDescent="0.3">
      <c r="A6035" t="s">
        <v>52</v>
      </c>
      <c r="B6035" t="s">
        <v>53</v>
      </c>
      <c r="C6035" t="s">
        <v>54</v>
      </c>
      <c r="D6035" t="s">
        <v>55</v>
      </c>
      <c r="E6035" t="s">
        <v>2281</v>
      </c>
      <c r="F6035" t="s">
        <v>190</v>
      </c>
      <c r="G6035" t="s">
        <v>963</v>
      </c>
      <c r="H6035" t="s">
        <v>964</v>
      </c>
      <c r="I6035" t="s">
        <v>964</v>
      </c>
      <c r="J6035" t="s">
        <v>60</v>
      </c>
      <c r="K6035" t="s">
        <v>702</v>
      </c>
      <c r="L6035" t="s">
        <v>62</v>
      </c>
      <c r="M6035" t="s">
        <v>702</v>
      </c>
      <c r="N6035" t="s">
        <v>965</v>
      </c>
      <c r="O6035" t="s">
        <v>960</v>
      </c>
      <c r="P6035">
        <v>-20.164622000000001</v>
      </c>
      <c r="Q6035">
        <v>-44.860289999999999</v>
      </c>
      <c r="R6035" s="2" t="str">
        <f>HYPERLINK("https://www.google.com/maps?q=-20.1646220,-44.8602900","Abrir no Google Maps")</f>
        <v>Abrir no Google Maps</v>
      </c>
      <c r="S6035">
        <v>3</v>
      </c>
      <c r="T6035">
        <v>393.43725605569188</v>
      </c>
      <c r="U6035">
        <v>3</v>
      </c>
      <c r="V6035">
        <v>3.64842454394693E-2</v>
      </c>
      <c r="W6035">
        <v>1</v>
      </c>
      <c r="X6035">
        <v>3.64842454394693E-2</v>
      </c>
      <c r="Y6035">
        <v>491</v>
      </c>
      <c r="Z6035">
        <v>358.96336458076678</v>
      </c>
      <c r="AA6035">
        <v>198</v>
      </c>
      <c r="AB6035">
        <v>332</v>
      </c>
      <c r="AC6035">
        <v>536</v>
      </c>
      <c r="AD6035">
        <v>26.22</v>
      </c>
      <c r="AE6035">
        <v>542</v>
      </c>
      <c r="AF6035">
        <v>11</v>
      </c>
      <c r="AG6035">
        <v>181</v>
      </c>
      <c r="AH6035">
        <v>129</v>
      </c>
      <c r="AI6035">
        <v>2.0299999999999998</v>
      </c>
      <c r="AJ6035">
        <v>33.39</v>
      </c>
      <c r="AK6035">
        <v>23.8</v>
      </c>
      <c r="AL6035">
        <v>-20.164560849999951</v>
      </c>
      <c r="AM6035">
        <v>-44.860330680844072</v>
      </c>
      <c r="AN6035">
        <v>-20.164560849999951</v>
      </c>
      <c r="AO6035">
        <v>-44.860330680844072</v>
      </c>
      <c r="AP6035">
        <v>-20.164622000000001</v>
      </c>
      <c r="AQ6035">
        <v>-44.860289999999999</v>
      </c>
      <c r="AR6035">
        <v>8.0255448908437454</v>
      </c>
      <c r="AS6035" t="s">
        <v>65</v>
      </c>
      <c r="AT6035">
        <v>1</v>
      </c>
      <c r="AU6035" t="s">
        <v>966</v>
      </c>
      <c r="AV6035" t="s">
        <v>967</v>
      </c>
      <c r="AW6035" t="s">
        <v>60</v>
      </c>
      <c r="AX6035" t="s">
        <v>68</v>
      </c>
      <c r="AY6035" t="s">
        <v>69</v>
      </c>
      <c r="AZ6035" t="b">
        <v>1</v>
      </c>
    </row>
    <row r="6036" spans="1:52" x14ac:dyDescent="0.3">
      <c r="A6036" t="s">
        <v>52</v>
      </c>
      <c r="B6036" t="s">
        <v>53</v>
      </c>
      <c r="C6036" t="s">
        <v>54</v>
      </c>
      <c r="D6036" t="s">
        <v>55</v>
      </c>
      <c r="E6036" t="s">
        <v>2281</v>
      </c>
      <c r="F6036" t="s">
        <v>190</v>
      </c>
      <c r="G6036" t="s">
        <v>968</v>
      </c>
      <c r="H6036" t="s">
        <v>969</v>
      </c>
      <c r="I6036" t="s">
        <v>969</v>
      </c>
      <c r="J6036" t="s">
        <v>60</v>
      </c>
      <c r="K6036" t="s">
        <v>262</v>
      </c>
      <c r="L6036" t="s">
        <v>62</v>
      </c>
      <c r="M6036" t="s">
        <v>262</v>
      </c>
      <c r="N6036" t="s">
        <v>970</v>
      </c>
      <c r="O6036" t="s">
        <v>971</v>
      </c>
      <c r="P6036">
        <v>-20.163060999999999</v>
      </c>
      <c r="Q6036">
        <v>-44.854047000000001</v>
      </c>
      <c r="R6036" s="2" t="str">
        <f>HYPERLINK("https://www.google.com/maps?q=-20.1630610,-44.8540470","Abrir no Google Maps")</f>
        <v>Abrir no Google Maps</v>
      </c>
      <c r="S6036">
        <v>3</v>
      </c>
      <c r="T6036">
        <v>418.63868463200271</v>
      </c>
      <c r="U6036">
        <v>3</v>
      </c>
      <c r="V6036">
        <v>2.6234567901234501E-2</v>
      </c>
      <c r="W6036">
        <v>1</v>
      </c>
      <c r="X6036">
        <v>2.6234567901234501E-2</v>
      </c>
      <c r="Y6036">
        <v>491</v>
      </c>
      <c r="Z6036">
        <v>339.19068595447408</v>
      </c>
      <c r="AA6036">
        <v>198</v>
      </c>
      <c r="AB6036">
        <v>332</v>
      </c>
      <c r="AC6036">
        <v>536</v>
      </c>
      <c r="AD6036">
        <v>26.22</v>
      </c>
      <c r="AE6036">
        <v>542</v>
      </c>
      <c r="AF6036">
        <v>11</v>
      </c>
      <c r="AG6036">
        <v>181</v>
      </c>
      <c r="AH6036">
        <v>129</v>
      </c>
      <c r="AI6036">
        <v>2.0299999999999998</v>
      </c>
      <c r="AJ6036">
        <v>33.39</v>
      </c>
      <c r="AK6036">
        <v>23.8</v>
      </c>
      <c r="AL6036">
        <v>-20.163118949999959</v>
      </c>
      <c r="AM6036">
        <v>-44.854106723889032</v>
      </c>
      <c r="AN6036">
        <v>-20.163118949999959</v>
      </c>
      <c r="AO6036">
        <v>-44.854106723889032</v>
      </c>
      <c r="AP6036">
        <v>-20.163060999999999</v>
      </c>
      <c r="AQ6036">
        <v>-44.854047000000001</v>
      </c>
      <c r="AR6036">
        <v>8.9758322935491428</v>
      </c>
      <c r="AS6036" t="s">
        <v>65</v>
      </c>
      <c r="AT6036">
        <v>1</v>
      </c>
      <c r="AU6036" t="s">
        <v>972</v>
      </c>
      <c r="AV6036" t="s">
        <v>973</v>
      </c>
      <c r="AW6036" t="s">
        <v>60</v>
      </c>
      <c r="AX6036" t="s">
        <v>68</v>
      </c>
      <c r="AY6036" t="s">
        <v>69</v>
      </c>
      <c r="AZ6036" t="b">
        <v>1</v>
      </c>
    </row>
    <row r="6037" spans="1:52" x14ac:dyDescent="0.3">
      <c r="A6037" t="s">
        <v>52</v>
      </c>
      <c r="B6037" t="s">
        <v>53</v>
      </c>
      <c r="C6037" t="s">
        <v>54</v>
      </c>
      <c r="D6037" t="s">
        <v>55</v>
      </c>
      <c r="E6037" t="s">
        <v>2281</v>
      </c>
      <c r="F6037" t="s">
        <v>190</v>
      </c>
      <c r="G6037" t="s">
        <v>1856</v>
      </c>
      <c r="H6037" t="s">
        <v>1857</v>
      </c>
      <c r="I6037" t="s">
        <v>1857</v>
      </c>
      <c r="J6037" t="s">
        <v>60</v>
      </c>
      <c r="K6037" t="s">
        <v>982</v>
      </c>
      <c r="L6037" t="s">
        <v>62</v>
      </c>
      <c r="M6037" t="s">
        <v>982</v>
      </c>
      <c r="N6037" t="s">
        <v>1858</v>
      </c>
      <c r="O6037" t="s">
        <v>1859</v>
      </c>
      <c r="P6037">
        <v>-20.170065000000001</v>
      </c>
      <c r="Q6037">
        <v>-44.856502999999996</v>
      </c>
      <c r="R6037" s="2" t="str">
        <f>HYPERLINK("https://www.google.com/maps?q=-20.1700650,-44.8565030","Abrir no Google Maps")</f>
        <v>Abrir no Google Maps</v>
      </c>
      <c r="S6037">
        <v>3</v>
      </c>
      <c r="T6037">
        <v>924.49628970405706</v>
      </c>
      <c r="U6037">
        <v>3</v>
      </c>
      <c r="V6037">
        <v>3.5714285714285698E-2</v>
      </c>
      <c r="W6037">
        <v>0.85</v>
      </c>
      <c r="X6037">
        <v>3.0357142857142839E-2</v>
      </c>
      <c r="Y6037">
        <v>491</v>
      </c>
      <c r="Z6037">
        <v>781.19994751508341</v>
      </c>
      <c r="AA6037">
        <v>198</v>
      </c>
      <c r="AB6037">
        <v>332</v>
      </c>
      <c r="AC6037">
        <v>536</v>
      </c>
      <c r="AD6037">
        <v>26.22</v>
      </c>
      <c r="AE6037">
        <v>542</v>
      </c>
      <c r="AF6037">
        <v>11</v>
      </c>
      <c r="AG6037">
        <v>181</v>
      </c>
      <c r="AH6037">
        <v>129</v>
      </c>
      <c r="AI6037">
        <v>2.0299999999999998</v>
      </c>
      <c r="AJ6037">
        <v>33.39</v>
      </c>
      <c r="AK6037">
        <v>23.8</v>
      </c>
      <c r="AL6037">
        <v>-20.170106749999949</v>
      </c>
      <c r="AM6037">
        <v>-44.856479111371733</v>
      </c>
      <c r="AN6037">
        <v>-20.170106749999949</v>
      </c>
      <c r="AO6037">
        <v>-44.856479111371733</v>
      </c>
      <c r="AP6037">
        <v>-20.170065000000001</v>
      </c>
      <c r="AQ6037">
        <v>-44.856502999999996</v>
      </c>
      <c r="AR6037">
        <v>5.275535546946946</v>
      </c>
      <c r="AS6037" t="s">
        <v>65</v>
      </c>
      <c r="AT6037">
        <v>1</v>
      </c>
      <c r="AU6037" t="s">
        <v>1860</v>
      </c>
      <c r="AV6037" t="s">
        <v>1861</v>
      </c>
      <c r="AW6037" t="s">
        <v>60</v>
      </c>
      <c r="AX6037" t="s">
        <v>68</v>
      </c>
      <c r="AY6037" t="s">
        <v>69</v>
      </c>
      <c r="AZ6037" t="b">
        <v>1</v>
      </c>
    </row>
    <row r="6038" spans="1:52" x14ac:dyDescent="0.3">
      <c r="A6038" t="s">
        <v>52</v>
      </c>
      <c r="B6038" t="s">
        <v>53</v>
      </c>
      <c r="C6038" t="s">
        <v>54</v>
      </c>
      <c r="D6038" t="s">
        <v>55</v>
      </c>
      <c r="E6038" t="s">
        <v>2281</v>
      </c>
      <c r="F6038" t="s">
        <v>190</v>
      </c>
      <c r="G6038" t="s">
        <v>2285</v>
      </c>
      <c r="H6038" t="s">
        <v>2286</v>
      </c>
      <c r="I6038" t="s">
        <v>2286</v>
      </c>
      <c r="J6038" t="s">
        <v>60</v>
      </c>
      <c r="K6038" t="s">
        <v>530</v>
      </c>
      <c r="L6038" t="s">
        <v>62</v>
      </c>
      <c r="M6038" t="s">
        <v>530</v>
      </c>
      <c r="N6038" t="s">
        <v>994</v>
      </c>
      <c r="O6038" t="s">
        <v>315</v>
      </c>
      <c r="P6038">
        <v>-20.149338</v>
      </c>
      <c r="Q6038">
        <v>-44.887977999999997</v>
      </c>
      <c r="R6038" s="2" t="str">
        <f>HYPERLINK("https://www.google.com/maps?q=-20.1493380,-44.8879780","Abrir no Google Maps")</f>
        <v>Abrir no Google Maps</v>
      </c>
      <c r="S6038">
        <v>3</v>
      </c>
      <c r="T6038">
        <v>0</v>
      </c>
      <c r="U6038">
        <v>3</v>
      </c>
      <c r="V6038">
        <v>4.3956043956043897E-2</v>
      </c>
      <c r="W6038">
        <v>0.85</v>
      </c>
      <c r="X6038">
        <v>3.7362637362637313E-2</v>
      </c>
      <c r="Y6038">
        <v>480</v>
      </c>
      <c r="Z6038">
        <v>155.91055641606701</v>
      </c>
      <c r="AA6038">
        <v>198</v>
      </c>
      <c r="AB6038">
        <v>332</v>
      </c>
      <c r="AC6038">
        <v>536</v>
      </c>
      <c r="AD6038">
        <v>26.22</v>
      </c>
      <c r="AE6038">
        <v>542</v>
      </c>
      <c r="AF6038">
        <v>11</v>
      </c>
      <c r="AG6038">
        <v>181</v>
      </c>
      <c r="AH6038">
        <v>129</v>
      </c>
      <c r="AI6038">
        <v>2.0299999999999998</v>
      </c>
      <c r="AJ6038">
        <v>33.39</v>
      </c>
      <c r="AK6038">
        <v>23.8</v>
      </c>
      <c r="AL6038">
        <v>-20.14943094999995</v>
      </c>
      <c r="AM6038">
        <v>-44.888512016862911</v>
      </c>
      <c r="AN6038">
        <v>-20.14943094999995</v>
      </c>
      <c r="AO6038">
        <v>-44.888512016862911</v>
      </c>
      <c r="AP6038">
        <v>-20.149338</v>
      </c>
      <c r="AQ6038">
        <v>-44.887977999999997</v>
      </c>
      <c r="AR6038">
        <v>56.759570634761729</v>
      </c>
      <c r="AS6038" t="s">
        <v>65</v>
      </c>
      <c r="AT6038">
        <v>1</v>
      </c>
      <c r="AU6038" t="s">
        <v>2287</v>
      </c>
      <c r="AV6038" t="s">
        <v>2288</v>
      </c>
      <c r="AW6038" t="s">
        <v>60</v>
      </c>
      <c r="AX6038" t="s">
        <v>68</v>
      </c>
      <c r="AY6038" t="s">
        <v>69</v>
      </c>
      <c r="AZ6038" t="b">
        <v>1</v>
      </c>
    </row>
    <row r="6039" spans="1:52" x14ac:dyDescent="0.3">
      <c r="A6039" t="s">
        <v>52</v>
      </c>
      <c r="B6039" t="s">
        <v>53</v>
      </c>
      <c r="C6039" t="s">
        <v>54</v>
      </c>
      <c r="D6039" t="s">
        <v>55</v>
      </c>
      <c r="E6039" t="s">
        <v>2281</v>
      </c>
      <c r="F6039" t="s">
        <v>190</v>
      </c>
      <c r="G6039" t="s">
        <v>2241</v>
      </c>
      <c r="H6039" t="s">
        <v>2242</v>
      </c>
      <c r="I6039" t="s">
        <v>2242</v>
      </c>
      <c r="J6039" t="s">
        <v>60</v>
      </c>
      <c r="K6039" t="s">
        <v>437</v>
      </c>
      <c r="L6039" t="s">
        <v>62</v>
      </c>
      <c r="M6039" t="s">
        <v>437</v>
      </c>
      <c r="N6039" t="s">
        <v>2243</v>
      </c>
      <c r="O6039" t="s">
        <v>2244</v>
      </c>
      <c r="P6039">
        <v>-20.151775000000001</v>
      </c>
      <c r="Q6039">
        <v>-44.888402999999997</v>
      </c>
      <c r="R6039" s="2" t="str">
        <f>HYPERLINK("https://www.google.com/maps?q=-20.1517750,-44.8884030","Abrir no Google Maps")</f>
        <v>Abrir no Google Maps</v>
      </c>
      <c r="S6039">
        <v>3</v>
      </c>
      <c r="T6039">
        <v>261.71979049841048</v>
      </c>
      <c r="U6039">
        <v>3</v>
      </c>
      <c r="V6039">
        <v>5.59610705596107E-2</v>
      </c>
      <c r="W6039">
        <v>0.85</v>
      </c>
      <c r="X6039">
        <v>4.7566909975669092E-2</v>
      </c>
      <c r="Y6039">
        <v>480</v>
      </c>
      <c r="Z6039">
        <v>313.0121183250086</v>
      </c>
      <c r="AA6039">
        <v>198</v>
      </c>
      <c r="AB6039">
        <v>332</v>
      </c>
      <c r="AC6039">
        <v>536</v>
      </c>
      <c r="AD6039">
        <v>26.22</v>
      </c>
      <c r="AE6039">
        <v>542</v>
      </c>
      <c r="AF6039">
        <v>11</v>
      </c>
      <c r="AG6039">
        <v>181</v>
      </c>
      <c r="AH6039">
        <v>129</v>
      </c>
      <c r="AI6039">
        <v>2.0299999999999998</v>
      </c>
      <c r="AJ6039">
        <v>33.39</v>
      </c>
      <c r="AK6039">
        <v>23.8</v>
      </c>
      <c r="AL6039">
        <v>-20.151784049999971</v>
      </c>
      <c r="AM6039">
        <v>-44.88826072813751</v>
      </c>
      <c r="AN6039">
        <v>-20.151784049999971</v>
      </c>
      <c r="AO6039">
        <v>-44.88826072813751</v>
      </c>
      <c r="AP6039">
        <v>-20.151775000000001</v>
      </c>
      <c r="AQ6039">
        <v>-44.888402999999997</v>
      </c>
      <c r="AR6039">
        <v>14.9022637328369</v>
      </c>
      <c r="AS6039" t="s">
        <v>65</v>
      </c>
      <c r="AT6039">
        <v>1</v>
      </c>
      <c r="AU6039" t="s">
        <v>2245</v>
      </c>
      <c r="AV6039" t="s">
        <v>2246</v>
      </c>
      <c r="AW6039" t="s">
        <v>60</v>
      </c>
      <c r="AX6039" t="s">
        <v>68</v>
      </c>
      <c r="AY6039" t="s">
        <v>69</v>
      </c>
      <c r="AZ6039" t="b">
        <v>1</v>
      </c>
    </row>
    <row r="6040" spans="1:52" x14ac:dyDescent="0.3">
      <c r="A6040" t="s">
        <v>52</v>
      </c>
      <c r="B6040" t="s">
        <v>53</v>
      </c>
      <c r="C6040" t="s">
        <v>54</v>
      </c>
      <c r="D6040" t="s">
        <v>55</v>
      </c>
      <c r="E6040" t="s">
        <v>2281</v>
      </c>
      <c r="F6040" t="s">
        <v>190</v>
      </c>
      <c r="G6040" t="s">
        <v>1028</v>
      </c>
      <c r="H6040" t="s">
        <v>1029</v>
      </c>
      <c r="I6040" t="s">
        <v>1029</v>
      </c>
      <c r="J6040" t="s">
        <v>60</v>
      </c>
      <c r="K6040" t="s">
        <v>1016</v>
      </c>
      <c r="L6040" t="s">
        <v>62</v>
      </c>
      <c r="M6040" t="s">
        <v>1016</v>
      </c>
      <c r="N6040" t="s">
        <v>1030</v>
      </c>
      <c r="O6040" t="s">
        <v>855</v>
      </c>
      <c r="P6040">
        <v>-20.169778000000001</v>
      </c>
      <c r="Q6040">
        <v>-44.871940000000002</v>
      </c>
      <c r="R6040" s="2" t="str">
        <f>HYPERLINK("https://www.google.com/maps?q=-20.1697780,-44.8719400","Abrir no Google Maps")</f>
        <v>Abrir no Google Maps</v>
      </c>
      <c r="S6040">
        <v>3</v>
      </c>
      <c r="T6040">
        <v>730.45462447863167</v>
      </c>
      <c r="U6040">
        <v>3</v>
      </c>
      <c r="V6040">
        <v>3.3333333333333298E-2</v>
      </c>
      <c r="W6040">
        <v>1</v>
      </c>
      <c r="X6040">
        <v>3.3333333333333298E-2</v>
      </c>
      <c r="Y6040">
        <v>422</v>
      </c>
      <c r="Z6040">
        <v>600.74952959765801</v>
      </c>
      <c r="AA6040">
        <v>198</v>
      </c>
      <c r="AB6040">
        <v>332</v>
      </c>
      <c r="AC6040">
        <v>536</v>
      </c>
      <c r="AD6040">
        <v>26.22</v>
      </c>
      <c r="AE6040">
        <v>542</v>
      </c>
      <c r="AF6040">
        <v>11</v>
      </c>
      <c r="AG6040">
        <v>181</v>
      </c>
      <c r="AH6040">
        <v>129</v>
      </c>
      <c r="AI6040">
        <v>2.0299999999999998</v>
      </c>
      <c r="AJ6040">
        <v>33.39</v>
      </c>
      <c r="AK6040">
        <v>23.8</v>
      </c>
      <c r="AL6040">
        <v>-20.169770599999961</v>
      </c>
      <c r="AM6040">
        <v>-44.871857291666629</v>
      </c>
      <c r="AN6040">
        <v>-20.169770599999961</v>
      </c>
      <c r="AO6040">
        <v>-44.871857291666629</v>
      </c>
      <c r="AP6040">
        <v>-20.169778000000001</v>
      </c>
      <c r="AQ6040">
        <v>-44.871940000000002</v>
      </c>
      <c r="AR6040">
        <v>8.6816379320830315</v>
      </c>
      <c r="AS6040" t="s">
        <v>65</v>
      </c>
      <c r="AT6040">
        <v>1</v>
      </c>
      <c r="AU6040" t="s">
        <v>1031</v>
      </c>
      <c r="AV6040" t="s">
        <v>1032</v>
      </c>
      <c r="AW6040" t="s">
        <v>60</v>
      </c>
      <c r="AX6040" t="s">
        <v>68</v>
      </c>
      <c r="AY6040" t="s">
        <v>69</v>
      </c>
      <c r="AZ6040" t="b">
        <v>1</v>
      </c>
    </row>
    <row r="6041" spans="1:52" x14ac:dyDescent="0.3">
      <c r="A6041" t="s">
        <v>52</v>
      </c>
      <c r="B6041" t="s">
        <v>53</v>
      </c>
      <c r="C6041" t="s">
        <v>54</v>
      </c>
      <c r="D6041" t="s">
        <v>55</v>
      </c>
      <c r="E6041" t="s">
        <v>2281</v>
      </c>
      <c r="F6041" t="s">
        <v>190</v>
      </c>
      <c r="G6041" t="s">
        <v>1039</v>
      </c>
      <c r="H6041" t="s">
        <v>1040</v>
      </c>
      <c r="I6041" t="s">
        <v>1040</v>
      </c>
      <c r="J6041" t="s">
        <v>60</v>
      </c>
      <c r="K6041" t="s">
        <v>1023</v>
      </c>
      <c r="L6041" t="s">
        <v>62</v>
      </c>
      <c r="M6041" t="s">
        <v>1023</v>
      </c>
      <c r="N6041" t="s">
        <v>1041</v>
      </c>
      <c r="O6041" t="s">
        <v>738</v>
      </c>
      <c r="P6041">
        <v>-20.172284000000001</v>
      </c>
      <c r="Q6041">
        <v>-44.865392999999997</v>
      </c>
      <c r="R6041" s="2" t="str">
        <f>HYPERLINK("https://www.google.com/maps?q=-20.1722840,-44.8653930","Abrir no Google Maps")</f>
        <v>Abrir no Google Maps</v>
      </c>
      <c r="S6041">
        <v>3</v>
      </c>
      <c r="T6041">
        <v>0</v>
      </c>
      <c r="U6041">
        <v>3</v>
      </c>
      <c r="V6041">
        <v>2.51572327044025E-2</v>
      </c>
      <c r="W6041">
        <v>1</v>
      </c>
      <c r="X6041">
        <v>2.51572327044025E-2</v>
      </c>
      <c r="Y6041">
        <v>422</v>
      </c>
      <c r="Z6041">
        <v>202.96804500763591</v>
      </c>
      <c r="AA6041">
        <v>198</v>
      </c>
      <c r="AB6041">
        <v>332</v>
      </c>
      <c r="AC6041">
        <v>536</v>
      </c>
      <c r="AD6041">
        <v>26.22</v>
      </c>
      <c r="AE6041">
        <v>542</v>
      </c>
      <c r="AF6041">
        <v>11</v>
      </c>
      <c r="AG6041">
        <v>181</v>
      </c>
      <c r="AH6041">
        <v>129</v>
      </c>
      <c r="AI6041">
        <v>2.0299999999999998</v>
      </c>
      <c r="AJ6041">
        <v>33.39</v>
      </c>
      <c r="AK6041">
        <v>23.8</v>
      </c>
      <c r="AL6041">
        <v>-20.17229514999994</v>
      </c>
      <c r="AM6041">
        <v>-44.865398249858011</v>
      </c>
      <c r="AN6041">
        <v>-20.17229514999994</v>
      </c>
      <c r="AO6041">
        <v>-44.865398249858011</v>
      </c>
      <c r="AP6041">
        <v>-20.172284000000001</v>
      </c>
      <c r="AQ6041">
        <v>-44.865392999999997</v>
      </c>
      <c r="AR6041">
        <v>1.357036084497409</v>
      </c>
      <c r="AS6041" t="s">
        <v>65</v>
      </c>
      <c r="AT6041">
        <v>1</v>
      </c>
      <c r="AU6041" t="s">
        <v>1042</v>
      </c>
      <c r="AV6041" t="s">
        <v>1043</v>
      </c>
      <c r="AW6041" t="s">
        <v>60</v>
      </c>
      <c r="AX6041" t="s">
        <v>68</v>
      </c>
      <c r="AY6041" t="s">
        <v>69</v>
      </c>
      <c r="AZ6041" t="b">
        <v>1</v>
      </c>
    </row>
    <row r="6042" spans="1:52" x14ac:dyDescent="0.3">
      <c r="A6042" t="s">
        <v>52</v>
      </c>
      <c r="B6042" t="s">
        <v>53</v>
      </c>
      <c r="C6042" t="s">
        <v>54</v>
      </c>
      <c r="D6042" t="s">
        <v>55</v>
      </c>
      <c r="E6042" t="s">
        <v>2281</v>
      </c>
      <c r="F6042" t="s">
        <v>190</v>
      </c>
      <c r="G6042" t="s">
        <v>1044</v>
      </c>
      <c r="H6042" t="s">
        <v>1045</v>
      </c>
      <c r="I6042" t="s">
        <v>1045</v>
      </c>
      <c r="J6042" t="s">
        <v>60</v>
      </c>
      <c r="K6042" t="s">
        <v>702</v>
      </c>
      <c r="L6042" t="s">
        <v>62</v>
      </c>
      <c r="M6042" t="s">
        <v>702</v>
      </c>
      <c r="N6042" t="s">
        <v>983</v>
      </c>
      <c r="O6042" t="s">
        <v>1046</v>
      </c>
      <c r="P6042">
        <v>-20.172056000000001</v>
      </c>
      <c r="Q6042">
        <v>-44.861556999999998</v>
      </c>
      <c r="R6042" s="2" t="str">
        <f>HYPERLINK("https://www.google.com/maps?q=-20.1720560,-44.8615570","Abrir no Google Maps")</f>
        <v>Abrir no Google Maps</v>
      </c>
      <c r="S6042">
        <v>3</v>
      </c>
      <c r="T6042">
        <v>387.50881633442719</v>
      </c>
      <c r="U6042">
        <v>3</v>
      </c>
      <c r="V6042">
        <v>2.92682926829268E-2</v>
      </c>
      <c r="W6042">
        <v>1</v>
      </c>
      <c r="X6042">
        <v>2.92682926829268E-2</v>
      </c>
      <c r="Y6042">
        <v>422</v>
      </c>
      <c r="Z6042">
        <v>592.01060063884404</v>
      </c>
      <c r="AA6042">
        <v>198</v>
      </c>
      <c r="AB6042">
        <v>332</v>
      </c>
      <c r="AC6042">
        <v>536</v>
      </c>
      <c r="AD6042">
        <v>26.22</v>
      </c>
      <c r="AE6042">
        <v>542</v>
      </c>
      <c r="AF6042">
        <v>11</v>
      </c>
      <c r="AG6042">
        <v>181</v>
      </c>
      <c r="AH6042">
        <v>129</v>
      </c>
      <c r="AI6042">
        <v>2.0299999999999998</v>
      </c>
      <c r="AJ6042">
        <v>33.39</v>
      </c>
      <c r="AK6042">
        <v>23.8</v>
      </c>
      <c r="AL6042">
        <v>-20.171880149999961</v>
      </c>
      <c r="AM6042">
        <v>-44.861715860253369</v>
      </c>
      <c r="AN6042">
        <v>-20.171880149999961</v>
      </c>
      <c r="AO6042">
        <v>-44.861715860253369</v>
      </c>
      <c r="AP6042">
        <v>-20.172056000000001</v>
      </c>
      <c r="AQ6042">
        <v>-44.861556999999998</v>
      </c>
      <c r="AR6042">
        <v>25.66616443825145</v>
      </c>
      <c r="AS6042" t="s">
        <v>65</v>
      </c>
      <c r="AT6042">
        <v>1</v>
      </c>
      <c r="AU6042" t="s">
        <v>1047</v>
      </c>
      <c r="AV6042" t="s">
        <v>705</v>
      </c>
      <c r="AW6042" t="s">
        <v>60</v>
      </c>
      <c r="AX6042" t="s">
        <v>68</v>
      </c>
      <c r="AY6042" t="s">
        <v>69</v>
      </c>
      <c r="AZ6042" t="b">
        <v>1</v>
      </c>
    </row>
    <row r="6043" spans="1:52" x14ac:dyDescent="0.3">
      <c r="A6043" t="s">
        <v>52</v>
      </c>
      <c r="B6043" t="s">
        <v>53</v>
      </c>
      <c r="C6043" t="s">
        <v>54</v>
      </c>
      <c r="D6043" t="s">
        <v>55</v>
      </c>
      <c r="E6043" t="s">
        <v>2281</v>
      </c>
      <c r="F6043" t="s">
        <v>190</v>
      </c>
      <c r="G6043" t="s">
        <v>1048</v>
      </c>
      <c r="H6043" t="s">
        <v>1049</v>
      </c>
      <c r="I6043" t="s">
        <v>1049</v>
      </c>
      <c r="J6043" t="s">
        <v>60</v>
      </c>
      <c r="K6043" t="s">
        <v>708</v>
      </c>
      <c r="L6043" t="s">
        <v>62</v>
      </c>
      <c r="M6043" t="s">
        <v>708</v>
      </c>
      <c r="N6043" t="s">
        <v>1050</v>
      </c>
      <c r="O6043" t="s">
        <v>1051</v>
      </c>
      <c r="P6043">
        <v>-20.128316000000002</v>
      </c>
      <c r="Q6043">
        <v>-44.878137000000002</v>
      </c>
      <c r="R6043" s="2" t="str">
        <f>HYPERLINK("https://www.google.com/maps?q=-20.1283160,-44.8781370","Abrir no Google Maps")</f>
        <v>Abrir no Google Maps</v>
      </c>
      <c r="S6043">
        <v>3</v>
      </c>
      <c r="T6043">
        <v>513.28053815499243</v>
      </c>
      <c r="U6043">
        <v>3</v>
      </c>
      <c r="V6043">
        <v>4.9019607843137199E-2</v>
      </c>
      <c r="W6043">
        <v>1</v>
      </c>
      <c r="X6043">
        <v>4.9019607843137199E-2</v>
      </c>
      <c r="Y6043">
        <v>387</v>
      </c>
      <c r="Z6043">
        <v>385.74604528561741</v>
      </c>
      <c r="AA6043">
        <v>198</v>
      </c>
      <c r="AB6043">
        <v>332</v>
      </c>
      <c r="AC6043">
        <v>536</v>
      </c>
      <c r="AD6043">
        <v>26.22</v>
      </c>
      <c r="AE6043">
        <v>542</v>
      </c>
      <c r="AF6043">
        <v>11</v>
      </c>
      <c r="AG6043">
        <v>181</v>
      </c>
      <c r="AH6043">
        <v>129</v>
      </c>
      <c r="AI6043">
        <v>2.0299999999999998</v>
      </c>
      <c r="AJ6043">
        <v>33.39</v>
      </c>
      <c r="AK6043">
        <v>23.8</v>
      </c>
      <c r="AL6043">
        <v>-20.128308349999969</v>
      </c>
      <c r="AM6043">
        <v>-44.878115052779357</v>
      </c>
      <c r="AN6043">
        <v>-20.128308349999969</v>
      </c>
      <c r="AO6043">
        <v>-44.878115052779357</v>
      </c>
      <c r="AP6043">
        <v>-20.128316000000002</v>
      </c>
      <c r="AQ6043">
        <v>-44.878137000000002</v>
      </c>
      <c r="AR6043">
        <v>2.4469186172207671</v>
      </c>
      <c r="AS6043" t="s">
        <v>65</v>
      </c>
      <c r="AT6043">
        <v>1</v>
      </c>
      <c r="AU6043" t="s">
        <v>1052</v>
      </c>
      <c r="AV6043" t="s">
        <v>1053</v>
      </c>
      <c r="AW6043" t="s">
        <v>60</v>
      </c>
      <c r="AX6043" t="s">
        <v>68</v>
      </c>
      <c r="AY6043" t="s">
        <v>69</v>
      </c>
      <c r="AZ6043" t="b">
        <v>1</v>
      </c>
    </row>
    <row r="6044" spans="1:52" x14ac:dyDescent="0.3">
      <c r="A6044" t="s">
        <v>52</v>
      </c>
      <c r="B6044" t="s">
        <v>53</v>
      </c>
      <c r="C6044" t="s">
        <v>54</v>
      </c>
      <c r="D6044" t="s">
        <v>55</v>
      </c>
      <c r="E6044" t="s">
        <v>2281</v>
      </c>
      <c r="F6044" t="s">
        <v>190</v>
      </c>
      <c r="G6044" t="s">
        <v>127</v>
      </c>
      <c r="H6044" t="s">
        <v>2100</v>
      </c>
      <c r="I6044" t="s">
        <v>2100</v>
      </c>
      <c r="J6044" t="s">
        <v>60</v>
      </c>
      <c r="K6044" t="s">
        <v>708</v>
      </c>
      <c r="L6044" t="s">
        <v>62</v>
      </c>
      <c r="M6044" t="s">
        <v>708</v>
      </c>
      <c r="N6044" t="s">
        <v>130</v>
      </c>
      <c r="O6044" t="s">
        <v>2101</v>
      </c>
      <c r="P6044">
        <v>-20.126211000000001</v>
      </c>
      <c r="Q6044">
        <v>-44.876140999999997</v>
      </c>
      <c r="R6044" s="2" t="str">
        <f>HYPERLINK("https://www.google.com/maps?q=-20.1262110,-44.8761410","Abrir no Google Maps")</f>
        <v>Abrir no Google Maps</v>
      </c>
      <c r="S6044">
        <v>3</v>
      </c>
      <c r="T6044">
        <v>491.23729716823732</v>
      </c>
      <c r="U6044">
        <v>3</v>
      </c>
      <c r="V6044">
        <v>7.7844311377245498E-2</v>
      </c>
      <c r="W6044">
        <v>0.85</v>
      </c>
      <c r="X6044">
        <v>6.6167664670658669E-2</v>
      </c>
      <c r="Y6044">
        <v>387</v>
      </c>
      <c r="Z6044">
        <v>484.37443137695487</v>
      </c>
      <c r="AA6044">
        <v>198</v>
      </c>
      <c r="AB6044">
        <v>332</v>
      </c>
      <c r="AC6044">
        <v>536</v>
      </c>
      <c r="AD6044">
        <v>26.22</v>
      </c>
      <c r="AE6044">
        <v>542</v>
      </c>
      <c r="AF6044">
        <v>11</v>
      </c>
      <c r="AG6044">
        <v>181</v>
      </c>
      <c r="AH6044">
        <v>129</v>
      </c>
      <c r="AI6044">
        <v>2.0299999999999998</v>
      </c>
      <c r="AJ6044">
        <v>33.39</v>
      </c>
      <c r="AK6044">
        <v>23.8</v>
      </c>
      <c r="AL6044">
        <v>-20.126304899999951</v>
      </c>
      <c r="AM6044">
        <v>-44.876159380076217</v>
      </c>
      <c r="AN6044">
        <v>-20.126304899999951</v>
      </c>
      <c r="AO6044">
        <v>-44.876159380076217</v>
      </c>
      <c r="AP6044">
        <v>-20.126211000000001</v>
      </c>
      <c r="AQ6044">
        <v>-44.876140999999997</v>
      </c>
      <c r="AR6044">
        <v>10.628022432940419</v>
      </c>
      <c r="AS6044" t="s">
        <v>65</v>
      </c>
      <c r="AT6044">
        <v>1</v>
      </c>
      <c r="AU6044" t="s">
        <v>2102</v>
      </c>
      <c r="AV6044" t="s">
        <v>2103</v>
      </c>
      <c r="AW6044" t="s">
        <v>60</v>
      </c>
      <c r="AX6044" t="s">
        <v>68</v>
      </c>
      <c r="AY6044" t="s">
        <v>69</v>
      </c>
      <c r="AZ6044" t="b">
        <v>1</v>
      </c>
    </row>
    <row r="6045" spans="1:52" x14ac:dyDescent="0.3">
      <c r="A6045" t="s">
        <v>52</v>
      </c>
      <c r="B6045" t="s">
        <v>53</v>
      </c>
      <c r="C6045" t="s">
        <v>54</v>
      </c>
      <c r="D6045" t="s">
        <v>55</v>
      </c>
      <c r="E6045" t="s">
        <v>2281</v>
      </c>
      <c r="F6045" t="s">
        <v>190</v>
      </c>
      <c r="G6045" t="s">
        <v>127</v>
      </c>
      <c r="H6045" t="s">
        <v>2184</v>
      </c>
      <c r="I6045" t="s">
        <v>2184</v>
      </c>
      <c r="J6045" t="s">
        <v>60</v>
      </c>
      <c r="K6045" t="s">
        <v>708</v>
      </c>
      <c r="L6045" t="s">
        <v>62</v>
      </c>
      <c r="M6045" t="s">
        <v>708</v>
      </c>
      <c r="N6045" t="s">
        <v>130</v>
      </c>
      <c r="O6045" t="s">
        <v>2185</v>
      </c>
      <c r="P6045">
        <v>-20.126859</v>
      </c>
      <c r="Q6045">
        <v>-44.874597000000001</v>
      </c>
      <c r="R6045" s="2" t="str">
        <f>HYPERLINK("https://www.google.com/maps?q=-20.1268590,-44.8745970","Abrir no Google Maps")</f>
        <v>Abrir no Google Maps</v>
      </c>
      <c r="S6045">
        <v>3</v>
      </c>
      <c r="T6045">
        <v>358.22675401518308</v>
      </c>
      <c r="U6045">
        <v>3</v>
      </c>
      <c r="V6045">
        <v>4.3678160919540202E-2</v>
      </c>
      <c r="W6045">
        <v>0.85</v>
      </c>
      <c r="X6045">
        <v>3.7126436781609172E-2</v>
      </c>
      <c r="Y6045">
        <v>387</v>
      </c>
      <c r="Z6045">
        <v>343.7492501899834</v>
      </c>
      <c r="AA6045">
        <v>198</v>
      </c>
      <c r="AB6045">
        <v>332</v>
      </c>
      <c r="AC6045">
        <v>536</v>
      </c>
      <c r="AD6045">
        <v>26.22</v>
      </c>
      <c r="AE6045">
        <v>542</v>
      </c>
      <c r="AF6045">
        <v>11</v>
      </c>
      <c r="AG6045">
        <v>181</v>
      </c>
      <c r="AH6045">
        <v>129</v>
      </c>
      <c r="AI6045">
        <v>2.0299999999999998</v>
      </c>
      <c r="AJ6045">
        <v>33.39</v>
      </c>
      <c r="AK6045">
        <v>23.8</v>
      </c>
      <c r="AL6045">
        <v>-20.126927849999959</v>
      </c>
      <c r="AM6045">
        <v>-44.87465137995278</v>
      </c>
      <c r="AN6045">
        <v>-20.126927849999959</v>
      </c>
      <c r="AO6045">
        <v>-44.87465137995278</v>
      </c>
      <c r="AP6045">
        <v>-20.126859</v>
      </c>
      <c r="AQ6045">
        <v>-44.874597000000001</v>
      </c>
      <c r="AR6045">
        <v>9.5419848567578072</v>
      </c>
      <c r="AS6045" t="s">
        <v>65</v>
      </c>
      <c r="AT6045">
        <v>1</v>
      </c>
      <c r="AU6045" t="s">
        <v>2186</v>
      </c>
      <c r="AV6045" t="s">
        <v>2187</v>
      </c>
      <c r="AW6045" t="s">
        <v>60</v>
      </c>
      <c r="AX6045" t="s">
        <v>68</v>
      </c>
      <c r="AY6045" t="s">
        <v>69</v>
      </c>
      <c r="AZ6045" t="b">
        <v>1</v>
      </c>
    </row>
    <row r="6046" spans="1:52" x14ac:dyDescent="0.3">
      <c r="A6046" t="s">
        <v>52</v>
      </c>
      <c r="B6046" t="s">
        <v>53</v>
      </c>
      <c r="C6046" t="s">
        <v>54</v>
      </c>
      <c r="D6046" t="s">
        <v>55</v>
      </c>
      <c r="E6046" t="s">
        <v>2281</v>
      </c>
      <c r="F6046" t="s">
        <v>190</v>
      </c>
      <c r="G6046" t="s">
        <v>734</v>
      </c>
      <c r="H6046" t="s">
        <v>1059</v>
      </c>
      <c r="I6046" t="s">
        <v>1059</v>
      </c>
      <c r="J6046" t="s">
        <v>60</v>
      </c>
      <c r="K6046" t="s">
        <v>736</v>
      </c>
      <c r="L6046" t="s">
        <v>62</v>
      </c>
      <c r="M6046" t="s">
        <v>736</v>
      </c>
      <c r="N6046" t="s">
        <v>1060</v>
      </c>
      <c r="O6046" t="s">
        <v>1061</v>
      </c>
      <c r="P6046">
        <v>-20.104700000000001</v>
      </c>
      <c r="Q6046">
        <v>-44.972988000000001</v>
      </c>
      <c r="R6046" s="2" t="str">
        <f>HYPERLINK("https://www.google.com/maps?q=-20.1047000,-44.9729880","Abrir no Google Maps")</f>
        <v>Abrir no Google Maps</v>
      </c>
      <c r="S6046">
        <v>3</v>
      </c>
      <c r="T6046">
        <v>0</v>
      </c>
      <c r="U6046">
        <v>3</v>
      </c>
      <c r="V6046">
        <v>5.8823529411764698E-2</v>
      </c>
      <c r="W6046">
        <v>1</v>
      </c>
      <c r="X6046">
        <v>5.8823529411764698E-2</v>
      </c>
      <c r="Y6046">
        <v>385</v>
      </c>
      <c r="Z6046">
        <v>130.87424695814411</v>
      </c>
      <c r="AA6046">
        <v>198</v>
      </c>
      <c r="AB6046">
        <v>332</v>
      </c>
      <c r="AC6046">
        <v>536</v>
      </c>
      <c r="AD6046">
        <v>26.22</v>
      </c>
      <c r="AE6046">
        <v>542</v>
      </c>
      <c r="AF6046">
        <v>11</v>
      </c>
      <c r="AG6046">
        <v>181</v>
      </c>
      <c r="AH6046">
        <v>129</v>
      </c>
      <c r="AI6046">
        <v>2.0299999999999998</v>
      </c>
      <c r="AJ6046">
        <v>33.39</v>
      </c>
      <c r="AK6046">
        <v>23.8</v>
      </c>
      <c r="AL6046">
        <v>-20.104640449999948</v>
      </c>
      <c r="AM6046">
        <v>-44.972990283032523</v>
      </c>
      <c r="AN6046">
        <v>-20.104640449999948</v>
      </c>
      <c r="AO6046">
        <v>-44.972990283032509</v>
      </c>
      <c r="AP6046">
        <v>-20.104700000000001</v>
      </c>
      <c r="AQ6046">
        <v>-44.972988000000001</v>
      </c>
      <c r="AR6046">
        <v>6.6334007529191332</v>
      </c>
      <c r="AS6046" t="s">
        <v>65</v>
      </c>
      <c r="AT6046">
        <v>1</v>
      </c>
      <c r="AU6046" t="s">
        <v>1062</v>
      </c>
      <c r="AV6046" t="s">
        <v>1063</v>
      </c>
      <c r="AW6046" t="s">
        <v>60</v>
      </c>
      <c r="AX6046" t="s">
        <v>68</v>
      </c>
      <c r="AY6046" t="s">
        <v>69</v>
      </c>
      <c r="AZ6046" t="b">
        <v>1</v>
      </c>
    </row>
    <row r="6047" spans="1:52" x14ac:dyDescent="0.3">
      <c r="A6047" t="s">
        <v>52</v>
      </c>
      <c r="B6047" t="s">
        <v>53</v>
      </c>
      <c r="C6047" t="s">
        <v>54</v>
      </c>
      <c r="D6047" t="s">
        <v>55</v>
      </c>
      <c r="E6047" t="s">
        <v>2281</v>
      </c>
      <c r="F6047" t="s">
        <v>190</v>
      </c>
      <c r="G6047" t="s">
        <v>734</v>
      </c>
      <c r="H6047" t="s">
        <v>1064</v>
      </c>
      <c r="I6047" t="s">
        <v>1064</v>
      </c>
      <c r="J6047" t="s">
        <v>60</v>
      </c>
      <c r="K6047" t="s">
        <v>530</v>
      </c>
      <c r="L6047" t="s">
        <v>62</v>
      </c>
      <c r="M6047" t="s">
        <v>530</v>
      </c>
      <c r="N6047" t="s">
        <v>1060</v>
      </c>
      <c r="O6047" t="s">
        <v>1065</v>
      </c>
      <c r="P6047">
        <v>-20.102878</v>
      </c>
      <c r="Q6047">
        <v>-44.974297</v>
      </c>
      <c r="R6047" s="2" t="str">
        <f>HYPERLINK("https://www.google.com/maps?q=-20.1028780,-44.9742970","Abrir no Google Maps")</f>
        <v>Abrir no Google Maps</v>
      </c>
      <c r="S6047">
        <v>3</v>
      </c>
      <c r="T6047">
        <v>261.64376156647683</v>
      </c>
      <c r="U6047">
        <v>3</v>
      </c>
      <c r="V6047">
        <v>4.5977011494252797E-2</v>
      </c>
      <c r="W6047">
        <v>1</v>
      </c>
      <c r="X6047">
        <v>4.5977011494252797E-2</v>
      </c>
      <c r="Y6047">
        <v>385</v>
      </c>
      <c r="Z6047">
        <v>272.78931550338098</v>
      </c>
      <c r="AA6047">
        <v>198</v>
      </c>
      <c r="AB6047">
        <v>332</v>
      </c>
      <c r="AC6047">
        <v>536</v>
      </c>
      <c r="AD6047">
        <v>26.22</v>
      </c>
      <c r="AE6047">
        <v>542</v>
      </c>
      <c r="AF6047">
        <v>11</v>
      </c>
      <c r="AG6047">
        <v>181</v>
      </c>
      <c r="AH6047">
        <v>129</v>
      </c>
      <c r="AI6047">
        <v>2.0299999999999998</v>
      </c>
      <c r="AJ6047">
        <v>33.39</v>
      </c>
      <c r="AK6047">
        <v>23.8</v>
      </c>
      <c r="AL6047">
        <v>-20.102914199999962</v>
      </c>
      <c r="AM6047">
        <v>-44.974700580584418</v>
      </c>
      <c r="AN6047">
        <v>-20.102914199999962</v>
      </c>
      <c r="AO6047">
        <v>-44.974700580584418</v>
      </c>
      <c r="AP6047">
        <v>-20.102878</v>
      </c>
      <c r="AQ6047">
        <v>-44.974297</v>
      </c>
      <c r="AR6047">
        <v>42.381535645626968</v>
      </c>
      <c r="AS6047" t="s">
        <v>65</v>
      </c>
      <c r="AT6047">
        <v>1</v>
      </c>
      <c r="AU6047" t="s">
        <v>1066</v>
      </c>
      <c r="AV6047" t="s">
        <v>1067</v>
      </c>
      <c r="AW6047" t="s">
        <v>60</v>
      </c>
      <c r="AX6047" t="s">
        <v>68</v>
      </c>
      <c r="AY6047" t="s">
        <v>69</v>
      </c>
      <c r="AZ6047" t="b">
        <v>1</v>
      </c>
    </row>
    <row r="6048" spans="1:52" x14ac:dyDescent="0.3">
      <c r="A6048" t="s">
        <v>52</v>
      </c>
      <c r="B6048" t="s">
        <v>53</v>
      </c>
      <c r="C6048" t="s">
        <v>54</v>
      </c>
      <c r="D6048" t="s">
        <v>55</v>
      </c>
      <c r="E6048" t="s">
        <v>2281</v>
      </c>
      <c r="F6048" t="s">
        <v>190</v>
      </c>
      <c r="G6048" t="s">
        <v>759</v>
      </c>
      <c r="H6048" t="s">
        <v>760</v>
      </c>
      <c r="I6048" t="s">
        <v>760</v>
      </c>
      <c r="J6048" t="s">
        <v>60</v>
      </c>
      <c r="K6048" t="s">
        <v>761</v>
      </c>
      <c r="L6048" t="s">
        <v>62</v>
      </c>
      <c r="M6048" t="s">
        <v>761</v>
      </c>
      <c r="N6048" t="s">
        <v>762</v>
      </c>
      <c r="O6048" t="s">
        <v>763</v>
      </c>
      <c r="P6048">
        <v>-20.118755</v>
      </c>
      <c r="Q6048">
        <v>-44.850627000000003</v>
      </c>
      <c r="R6048" s="2" t="str">
        <f>HYPERLINK("https://www.google.com/maps?q=-20.1187550,-44.8506270","Abrir no Google Maps")</f>
        <v>Abrir no Google Maps</v>
      </c>
      <c r="S6048">
        <v>3</v>
      </c>
      <c r="T6048">
        <v>848.81670834514034</v>
      </c>
      <c r="U6048">
        <v>3</v>
      </c>
      <c r="V6048">
        <v>2.33333333333333E-2</v>
      </c>
      <c r="W6048">
        <v>1</v>
      </c>
      <c r="X6048">
        <v>2.33333333333333E-2</v>
      </c>
      <c r="Y6048">
        <v>350</v>
      </c>
      <c r="Z6048">
        <v>443.51354125420028</v>
      </c>
      <c r="AA6048">
        <v>198</v>
      </c>
      <c r="AB6048">
        <v>332</v>
      </c>
      <c r="AC6048">
        <v>536</v>
      </c>
      <c r="AD6048">
        <v>26.22</v>
      </c>
      <c r="AE6048">
        <v>542</v>
      </c>
      <c r="AF6048">
        <v>11</v>
      </c>
      <c r="AG6048">
        <v>181</v>
      </c>
      <c r="AH6048">
        <v>129</v>
      </c>
      <c r="AI6048">
        <v>2.0299999999999998</v>
      </c>
      <c r="AJ6048">
        <v>33.39</v>
      </c>
      <c r="AK6048">
        <v>23.8</v>
      </c>
      <c r="AL6048">
        <v>-20.11882464999994</v>
      </c>
      <c r="AM6048">
        <v>-44.850497004056017</v>
      </c>
      <c r="AN6048">
        <v>-20.11882464999994</v>
      </c>
      <c r="AO6048">
        <v>-44.850497004056017</v>
      </c>
      <c r="AP6048">
        <v>-20.118755</v>
      </c>
      <c r="AQ6048">
        <v>-44.850627000000003</v>
      </c>
      <c r="AR6048">
        <v>15.6445928866994</v>
      </c>
      <c r="AS6048" t="s">
        <v>65</v>
      </c>
      <c r="AT6048">
        <v>1</v>
      </c>
      <c r="AU6048" t="s">
        <v>764</v>
      </c>
      <c r="AV6048" t="s">
        <v>765</v>
      </c>
      <c r="AW6048" t="s">
        <v>60</v>
      </c>
      <c r="AX6048" t="s">
        <v>68</v>
      </c>
      <c r="AY6048" t="s">
        <v>69</v>
      </c>
      <c r="AZ6048" t="b">
        <v>1</v>
      </c>
    </row>
    <row r="6049" spans="1:52" x14ac:dyDescent="0.3">
      <c r="A6049" t="s">
        <v>52</v>
      </c>
      <c r="B6049" t="s">
        <v>53</v>
      </c>
      <c r="C6049" t="s">
        <v>54</v>
      </c>
      <c r="D6049" t="s">
        <v>55</v>
      </c>
      <c r="E6049" t="s">
        <v>2281</v>
      </c>
      <c r="F6049" t="s">
        <v>190</v>
      </c>
      <c r="G6049" t="s">
        <v>1077</v>
      </c>
      <c r="H6049" t="s">
        <v>2219</v>
      </c>
      <c r="I6049" t="s">
        <v>2219</v>
      </c>
      <c r="J6049" t="s">
        <v>60</v>
      </c>
      <c r="K6049" t="s">
        <v>761</v>
      </c>
      <c r="L6049" t="s">
        <v>62</v>
      </c>
      <c r="M6049" t="s">
        <v>761</v>
      </c>
      <c r="N6049" t="s">
        <v>1079</v>
      </c>
      <c r="O6049" t="s">
        <v>2220</v>
      </c>
      <c r="P6049">
        <v>-20.121144999999999</v>
      </c>
      <c r="Q6049">
        <v>-44.851453999999997</v>
      </c>
      <c r="R6049" s="2" t="str">
        <f>HYPERLINK("https://www.google.com/maps?q=-20.1211450,-44.8514540","Abrir no Google Maps")</f>
        <v>Abrir no Google Maps</v>
      </c>
      <c r="S6049">
        <v>3</v>
      </c>
      <c r="T6049">
        <v>578.73267975801093</v>
      </c>
      <c r="U6049">
        <v>3</v>
      </c>
      <c r="V6049">
        <v>4.5112781954887202E-2</v>
      </c>
      <c r="W6049">
        <v>0.85</v>
      </c>
      <c r="X6049">
        <v>3.8345864661654121E-2</v>
      </c>
      <c r="Y6049">
        <v>350</v>
      </c>
      <c r="Z6049">
        <v>213.3195465810166</v>
      </c>
      <c r="AA6049">
        <v>198</v>
      </c>
      <c r="AB6049">
        <v>332</v>
      </c>
      <c r="AC6049">
        <v>536</v>
      </c>
      <c r="AD6049">
        <v>26.22</v>
      </c>
      <c r="AE6049">
        <v>542</v>
      </c>
      <c r="AF6049">
        <v>11</v>
      </c>
      <c r="AG6049">
        <v>181</v>
      </c>
      <c r="AH6049">
        <v>129</v>
      </c>
      <c r="AI6049">
        <v>2.0299999999999998</v>
      </c>
      <c r="AJ6049">
        <v>33.39</v>
      </c>
      <c r="AK6049">
        <v>23.8</v>
      </c>
      <c r="AL6049">
        <v>-20.121127199999961</v>
      </c>
      <c r="AM6049">
        <v>-44.851440578985603</v>
      </c>
      <c r="AN6049">
        <v>-20.121127199999961</v>
      </c>
      <c r="AO6049">
        <v>-44.851440578985603</v>
      </c>
      <c r="AP6049">
        <v>-20.121144999999999</v>
      </c>
      <c r="AQ6049">
        <v>-44.851453999999997</v>
      </c>
      <c r="AR6049">
        <v>2.4278169290048641</v>
      </c>
      <c r="AS6049" t="s">
        <v>65</v>
      </c>
      <c r="AT6049">
        <v>1</v>
      </c>
      <c r="AU6049" t="s">
        <v>2221</v>
      </c>
      <c r="AV6049" t="s">
        <v>765</v>
      </c>
      <c r="AW6049" t="s">
        <v>60</v>
      </c>
      <c r="AX6049" t="s">
        <v>68</v>
      </c>
      <c r="AY6049" t="s">
        <v>69</v>
      </c>
      <c r="AZ6049" t="b">
        <v>1</v>
      </c>
    </row>
    <row r="6050" spans="1:52" x14ac:dyDescent="0.3">
      <c r="A6050" t="s">
        <v>52</v>
      </c>
      <c r="B6050" t="s">
        <v>53</v>
      </c>
      <c r="C6050" t="s">
        <v>54</v>
      </c>
      <c r="D6050" t="s">
        <v>55</v>
      </c>
      <c r="E6050" t="s">
        <v>2281</v>
      </c>
      <c r="F6050" t="s">
        <v>190</v>
      </c>
      <c r="G6050" t="s">
        <v>773</v>
      </c>
      <c r="H6050" t="s">
        <v>774</v>
      </c>
      <c r="I6050" t="s">
        <v>774</v>
      </c>
      <c r="J6050" t="s">
        <v>60</v>
      </c>
      <c r="K6050" t="s">
        <v>775</v>
      </c>
      <c r="L6050" t="s">
        <v>62</v>
      </c>
      <c r="M6050" t="s">
        <v>775</v>
      </c>
      <c r="N6050" t="s">
        <v>776</v>
      </c>
      <c r="O6050" t="s">
        <v>250</v>
      </c>
      <c r="P6050">
        <v>-20.135413</v>
      </c>
      <c r="Q6050">
        <v>-44.868969999999997</v>
      </c>
      <c r="R6050" s="2" t="str">
        <f>HYPERLINK("https://www.google.com/maps?q=-20.1354130,-44.8689700","Abrir no Google Maps")</f>
        <v>Abrir no Google Maps</v>
      </c>
      <c r="S6050">
        <v>3</v>
      </c>
      <c r="T6050">
        <v>403.5118397372845</v>
      </c>
      <c r="U6050">
        <v>3</v>
      </c>
      <c r="V6050">
        <v>7.25806451612903E-2</v>
      </c>
      <c r="W6050">
        <v>1</v>
      </c>
      <c r="X6050">
        <v>7.25806451612903E-2</v>
      </c>
      <c r="Y6050">
        <v>332</v>
      </c>
      <c r="Z6050">
        <v>455.74614750795899</v>
      </c>
      <c r="AA6050">
        <v>198</v>
      </c>
      <c r="AB6050">
        <v>332</v>
      </c>
      <c r="AC6050">
        <v>536</v>
      </c>
      <c r="AD6050">
        <v>26.22</v>
      </c>
      <c r="AE6050">
        <v>542</v>
      </c>
      <c r="AF6050">
        <v>11</v>
      </c>
      <c r="AG6050">
        <v>181</v>
      </c>
      <c r="AH6050">
        <v>129</v>
      </c>
      <c r="AI6050">
        <v>2.0299999999999998</v>
      </c>
      <c r="AJ6050">
        <v>33.39</v>
      </c>
      <c r="AK6050">
        <v>23.8</v>
      </c>
      <c r="AL6050">
        <v>-20.13561149999995</v>
      </c>
      <c r="AM6050">
        <v>-44.868817260088647</v>
      </c>
      <c r="AN6050">
        <v>-20.13561149999995</v>
      </c>
      <c r="AO6050">
        <v>-44.868817260088647</v>
      </c>
      <c r="AP6050">
        <v>-20.135413</v>
      </c>
      <c r="AQ6050">
        <v>-44.868969999999997</v>
      </c>
      <c r="AR6050">
        <v>27.26024434808955</v>
      </c>
      <c r="AS6050" t="s">
        <v>65</v>
      </c>
      <c r="AT6050">
        <v>1</v>
      </c>
      <c r="AU6050" t="s">
        <v>777</v>
      </c>
      <c r="AV6050" t="s">
        <v>778</v>
      </c>
      <c r="AW6050" t="s">
        <v>60</v>
      </c>
      <c r="AX6050" t="s">
        <v>68</v>
      </c>
      <c r="AY6050" t="s">
        <v>69</v>
      </c>
      <c r="AZ6050" t="b">
        <v>1</v>
      </c>
    </row>
    <row r="6051" spans="1:52" x14ac:dyDescent="0.3">
      <c r="A6051" t="s">
        <v>52</v>
      </c>
      <c r="B6051" t="s">
        <v>53</v>
      </c>
      <c r="C6051" t="s">
        <v>54</v>
      </c>
      <c r="D6051" t="s">
        <v>55</v>
      </c>
      <c r="E6051" t="s">
        <v>2281</v>
      </c>
      <c r="F6051" t="s">
        <v>190</v>
      </c>
      <c r="G6051" t="s">
        <v>779</v>
      </c>
      <c r="H6051" t="s">
        <v>780</v>
      </c>
      <c r="I6051" t="s">
        <v>780</v>
      </c>
      <c r="J6051" t="s">
        <v>60</v>
      </c>
      <c r="K6051" t="s">
        <v>781</v>
      </c>
      <c r="L6051" t="s">
        <v>62</v>
      </c>
      <c r="M6051" t="s">
        <v>781</v>
      </c>
      <c r="N6051" t="s">
        <v>782</v>
      </c>
      <c r="O6051" t="s">
        <v>783</v>
      </c>
      <c r="P6051">
        <v>-20.137938999999999</v>
      </c>
      <c r="Q6051">
        <v>-44.865873000000001</v>
      </c>
      <c r="R6051" s="2" t="str">
        <f>HYPERLINK("https://www.google.com/maps?q=-20.1379390,-44.8658730","Abrir no Google Maps")</f>
        <v>Abrir no Google Maps</v>
      </c>
      <c r="S6051">
        <v>3</v>
      </c>
      <c r="T6051">
        <v>663.24596349877265</v>
      </c>
      <c r="U6051">
        <v>3</v>
      </c>
      <c r="V6051">
        <v>3.31753554502369E-2</v>
      </c>
      <c r="W6051">
        <v>1</v>
      </c>
      <c r="X6051">
        <v>3.31753554502369E-2</v>
      </c>
      <c r="Y6051">
        <v>332</v>
      </c>
      <c r="Z6051">
        <v>724.72470227972997</v>
      </c>
      <c r="AA6051">
        <v>198</v>
      </c>
      <c r="AB6051">
        <v>332</v>
      </c>
      <c r="AC6051">
        <v>536</v>
      </c>
      <c r="AD6051">
        <v>26.22</v>
      </c>
      <c r="AE6051">
        <v>542</v>
      </c>
      <c r="AF6051">
        <v>11</v>
      </c>
      <c r="AG6051">
        <v>181</v>
      </c>
      <c r="AH6051">
        <v>129</v>
      </c>
      <c r="AI6051">
        <v>2.0299999999999998</v>
      </c>
      <c r="AJ6051">
        <v>33.39</v>
      </c>
      <c r="AK6051">
        <v>23.8</v>
      </c>
      <c r="AL6051">
        <v>-20.137865449999961</v>
      </c>
      <c r="AM6051">
        <v>-44.866141027847057</v>
      </c>
      <c r="AN6051">
        <v>-20.137865449999961</v>
      </c>
      <c r="AO6051">
        <v>-44.866141027847057</v>
      </c>
      <c r="AP6051">
        <v>-20.137938999999999</v>
      </c>
      <c r="AQ6051">
        <v>-44.865873000000001</v>
      </c>
      <c r="AR6051">
        <v>29.184856191831059</v>
      </c>
      <c r="AS6051" t="s">
        <v>65</v>
      </c>
      <c r="AT6051">
        <v>1</v>
      </c>
      <c r="AU6051" t="s">
        <v>784</v>
      </c>
      <c r="AV6051" t="s">
        <v>785</v>
      </c>
      <c r="AW6051" t="s">
        <v>60</v>
      </c>
      <c r="AX6051" t="s">
        <v>68</v>
      </c>
      <c r="AY6051" t="s">
        <v>69</v>
      </c>
      <c r="AZ6051" t="b">
        <v>1</v>
      </c>
    </row>
    <row r="6052" spans="1:52" x14ac:dyDescent="0.3">
      <c r="A6052" t="s">
        <v>52</v>
      </c>
      <c r="B6052" t="s">
        <v>53</v>
      </c>
      <c r="C6052" t="s">
        <v>54</v>
      </c>
      <c r="D6052" t="s">
        <v>55</v>
      </c>
      <c r="E6052" t="s">
        <v>2281</v>
      </c>
      <c r="F6052" t="s">
        <v>190</v>
      </c>
      <c r="G6052" t="s">
        <v>1104</v>
      </c>
      <c r="H6052" t="s">
        <v>1105</v>
      </c>
      <c r="I6052" t="s">
        <v>1105</v>
      </c>
      <c r="J6052" t="s">
        <v>60</v>
      </c>
      <c r="K6052" t="s">
        <v>781</v>
      </c>
      <c r="L6052" t="s">
        <v>62</v>
      </c>
      <c r="M6052" t="s">
        <v>781</v>
      </c>
      <c r="N6052" t="s">
        <v>1106</v>
      </c>
      <c r="O6052" t="s">
        <v>1080</v>
      </c>
      <c r="P6052">
        <v>-20.138683</v>
      </c>
      <c r="Q6052">
        <v>-44.868507999999999</v>
      </c>
      <c r="R6052" s="2" t="str">
        <f>HYPERLINK("https://www.google.com/maps?q=-20.1386830,-44.8685080","Abrir no Google Maps")</f>
        <v>Abrir no Google Maps</v>
      </c>
      <c r="S6052">
        <v>3</v>
      </c>
      <c r="T6052">
        <v>450.88210098833099</v>
      </c>
      <c r="U6052">
        <v>3</v>
      </c>
      <c r="V6052">
        <v>3.2879818594104299E-2</v>
      </c>
      <c r="W6052">
        <v>1</v>
      </c>
      <c r="X6052">
        <v>3.2879818594104299E-2</v>
      </c>
      <c r="Y6052">
        <v>332</v>
      </c>
      <c r="Z6052">
        <v>601.27669048153166</v>
      </c>
      <c r="AA6052">
        <v>198</v>
      </c>
      <c r="AB6052">
        <v>332</v>
      </c>
      <c r="AC6052">
        <v>536</v>
      </c>
      <c r="AD6052">
        <v>26.22</v>
      </c>
      <c r="AE6052">
        <v>542</v>
      </c>
      <c r="AF6052">
        <v>11</v>
      </c>
      <c r="AG6052">
        <v>181</v>
      </c>
      <c r="AH6052">
        <v>129</v>
      </c>
      <c r="AI6052">
        <v>2.0299999999999998</v>
      </c>
      <c r="AJ6052">
        <v>33.39</v>
      </c>
      <c r="AK6052">
        <v>23.8</v>
      </c>
      <c r="AL6052">
        <v>-20.13870544999995</v>
      </c>
      <c r="AM6052">
        <v>-44.868521774012208</v>
      </c>
      <c r="AN6052">
        <v>-20.138705449999939</v>
      </c>
      <c r="AO6052">
        <v>-44.868521774012208</v>
      </c>
      <c r="AP6052">
        <v>-20.138683</v>
      </c>
      <c r="AQ6052">
        <v>-44.868507999999999</v>
      </c>
      <c r="AR6052">
        <v>2.8841042175322271</v>
      </c>
      <c r="AS6052" t="s">
        <v>65</v>
      </c>
      <c r="AT6052">
        <v>1</v>
      </c>
      <c r="AU6052" t="s">
        <v>1107</v>
      </c>
      <c r="AV6052" t="s">
        <v>1108</v>
      </c>
      <c r="AW6052" t="s">
        <v>60</v>
      </c>
      <c r="AX6052" t="s">
        <v>68</v>
      </c>
      <c r="AY6052" t="s">
        <v>69</v>
      </c>
      <c r="AZ6052" t="b">
        <v>1</v>
      </c>
    </row>
    <row r="6053" spans="1:52" x14ac:dyDescent="0.3">
      <c r="A6053" t="s">
        <v>52</v>
      </c>
      <c r="B6053" t="s">
        <v>53</v>
      </c>
      <c r="C6053" t="s">
        <v>54</v>
      </c>
      <c r="D6053" t="s">
        <v>55</v>
      </c>
      <c r="E6053" t="s">
        <v>2281</v>
      </c>
      <c r="F6053" t="s">
        <v>190</v>
      </c>
      <c r="G6053" t="s">
        <v>1906</v>
      </c>
      <c r="H6053" t="s">
        <v>1907</v>
      </c>
      <c r="I6053" t="s">
        <v>1907</v>
      </c>
      <c r="J6053" t="s">
        <v>60</v>
      </c>
      <c r="K6053" t="s">
        <v>362</v>
      </c>
      <c r="L6053" t="s">
        <v>62</v>
      </c>
      <c r="M6053" t="s">
        <v>362</v>
      </c>
      <c r="N6053" t="s">
        <v>1908</v>
      </c>
      <c r="O6053" t="s">
        <v>1909</v>
      </c>
      <c r="P6053">
        <v>-20.138714</v>
      </c>
      <c r="Q6053">
        <v>-44.872736000000003</v>
      </c>
      <c r="R6053" s="2" t="str">
        <f>HYPERLINK("https://www.google.com/maps?q=-20.1387140,-44.8727360","Abrir no Google Maps")</f>
        <v>Abrir no Google Maps</v>
      </c>
      <c r="S6053">
        <v>3</v>
      </c>
      <c r="T6053">
        <v>204.03161929799671</v>
      </c>
      <c r="U6053">
        <v>3</v>
      </c>
      <c r="V6053">
        <v>3.1609195402298798E-2</v>
      </c>
      <c r="W6053">
        <v>0.85</v>
      </c>
      <c r="X6053">
        <v>2.6867816091953978E-2</v>
      </c>
      <c r="Y6053">
        <v>332</v>
      </c>
      <c r="Z6053">
        <v>318.98956929839972</v>
      </c>
      <c r="AA6053">
        <v>198</v>
      </c>
      <c r="AB6053">
        <v>332</v>
      </c>
      <c r="AC6053">
        <v>536</v>
      </c>
      <c r="AD6053">
        <v>26.22</v>
      </c>
      <c r="AE6053">
        <v>542</v>
      </c>
      <c r="AF6053">
        <v>11</v>
      </c>
      <c r="AG6053">
        <v>181</v>
      </c>
      <c r="AH6053">
        <v>129</v>
      </c>
      <c r="AI6053">
        <v>2.0299999999999998</v>
      </c>
      <c r="AJ6053">
        <v>33.39</v>
      </c>
      <c r="AK6053">
        <v>23.8</v>
      </c>
      <c r="AL6053">
        <v>-20.138752749999949</v>
      </c>
      <c r="AM6053">
        <v>-44.872785060765217</v>
      </c>
      <c r="AN6053">
        <v>-20.138752749999949</v>
      </c>
      <c r="AO6053">
        <v>-44.872785060765217</v>
      </c>
      <c r="AP6053">
        <v>-20.138714</v>
      </c>
      <c r="AQ6053">
        <v>-44.872736000000003</v>
      </c>
      <c r="AR6053">
        <v>6.7006900304588592</v>
      </c>
      <c r="AS6053" t="s">
        <v>65</v>
      </c>
      <c r="AT6053">
        <v>1</v>
      </c>
      <c r="AU6053" t="s">
        <v>1910</v>
      </c>
      <c r="AV6053" t="s">
        <v>1911</v>
      </c>
      <c r="AW6053" t="s">
        <v>60</v>
      </c>
      <c r="AX6053" t="s">
        <v>68</v>
      </c>
      <c r="AY6053" t="s">
        <v>69</v>
      </c>
      <c r="AZ6053" t="b">
        <v>1</v>
      </c>
    </row>
    <row r="6054" spans="1:52" x14ac:dyDescent="0.3">
      <c r="A6054" t="s">
        <v>52</v>
      </c>
      <c r="B6054" t="s">
        <v>53</v>
      </c>
      <c r="C6054" t="s">
        <v>54</v>
      </c>
      <c r="D6054" t="s">
        <v>55</v>
      </c>
      <c r="E6054" t="s">
        <v>2281</v>
      </c>
      <c r="F6054" t="s">
        <v>190</v>
      </c>
      <c r="G6054" t="s">
        <v>1109</v>
      </c>
      <c r="H6054" t="s">
        <v>1110</v>
      </c>
      <c r="I6054" t="s">
        <v>1110</v>
      </c>
      <c r="J6054" t="s">
        <v>60</v>
      </c>
      <c r="K6054" t="s">
        <v>768</v>
      </c>
      <c r="L6054" t="s">
        <v>62</v>
      </c>
      <c r="M6054" t="s">
        <v>768</v>
      </c>
      <c r="N6054" t="s">
        <v>1111</v>
      </c>
      <c r="O6054" t="s">
        <v>1112</v>
      </c>
      <c r="P6054">
        <v>-20.135508000000002</v>
      </c>
      <c r="Q6054">
        <v>-44.871786999999998</v>
      </c>
      <c r="R6054" s="2" t="str">
        <f>HYPERLINK("https://www.google.com/maps?q=-20.1355080,-44.8717870","Abrir no Google Maps")</f>
        <v>Abrir no Google Maps</v>
      </c>
      <c r="S6054">
        <v>3</v>
      </c>
      <c r="T6054">
        <v>167.5382405548801</v>
      </c>
      <c r="U6054">
        <v>3</v>
      </c>
      <c r="V6054">
        <v>3.8095238095238002E-2</v>
      </c>
      <c r="W6054">
        <v>1</v>
      </c>
      <c r="X6054">
        <v>3.8095238095238002E-2</v>
      </c>
      <c r="Y6054">
        <v>332</v>
      </c>
      <c r="Z6054">
        <v>179.76671916562941</v>
      </c>
      <c r="AA6054">
        <v>198</v>
      </c>
      <c r="AB6054">
        <v>332</v>
      </c>
      <c r="AC6054">
        <v>536</v>
      </c>
      <c r="AD6054">
        <v>26.22</v>
      </c>
      <c r="AE6054">
        <v>542</v>
      </c>
      <c r="AF6054">
        <v>11</v>
      </c>
      <c r="AG6054">
        <v>181</v>
      </c>
      <c r="AH6054">
        <v>129</v>
      </c>
      <c r="AI6054">
        <v>2.0299999999999998</v>
      </c>
      <c r="AJ6054">
        <v>33.39</v>
      </c>
      <c r="AK6054">
        <v>23.8</v>
      </c>
      <c r="AL6054">
        <v>-20.135532899999959</v>
      </c>
      <c r="AM6054">
        <v>-44.871828172735903</v>
      </c>
      <c r="AN6054">
        <v>-20.135532899999959</v>
      </c>
      <c r="AO6054">
        <v>-44.871828172735903</v>
      </c>
      <c r="AP6054">
        <v>-20.135508000000002</v>
      </c>
      <c r="AQ6054">
        <v>-44.871786999999998</v>
      </c>
      <c r="AR6054">
        <v>5.1186859635787858</v>
      </c>
      <c r="AS6054" t="s">
        <v>65</v>
      </c>
      <c r="AT6054">
        <v>1</v>
      </c>
      <c r="AU6054" t="s">
        <v>1113</v>
      </c>
      <c r="AV6054" t="s">
        <v>1114</v>
      </c>
      <c r="AW6054" t="s">
        <v>60</v>
      </c>
      <c r="AX6054" t="s">
        <v>68</v>
      </c>
      <c r="AY6054" t="s">
        <v>69</v>
      </c>
      <c r="AZ6054" t="b">
        <v>1</v>
      </c>
    </row>
    <row r="6055" spans="1:52" x14ac:dyDescent="0.3">
      <c r="A6055" t="s">
        <v>52</v>
      </c>
      <c r="B6055" t="s">
        <v>53</v>
      </c>
      <c r="C6055" t="s">
        <v>54</v>
      </c>
      <c r="D6055" t="s">
        <v>55</v>
      </c>
      <c r="E6055" t="s">
        <v>2281</v>
      </c>
      <c r="F6055" t="s">
        <v>190</v>
      </c>
      <c r="G6055" t="s">
        <v>1133</v>
      </c>
      <c r="H6055" t="s">
        <v>1134</v>
      </c>
      <c r="I6055" t="s">
        <v>1134</v>
      </c>
      <c r="J6055" t="s">
        <v>60</v>
      </c>
      <c r="K6055" t="s">
        <v>1123</v>
      </c>
      <c r="L6055" t="s">
        <v>62</v>
      </c>
      <c r="M6055" t="s">
        <v>1123</v>
      </c>
      <c r="N6055" t="s">
        <v>1135</v>
      </c>
      <c r="O6055" t="s">
        <v>138</v>
      </c>
      <c r="P6055">
        <v>-20.106113000000001</v>
      </c>
      <c r="Q6055">
        <v>-44.876035999999999</v>
      </c>
      <c r="R6055" s="2" t="str">
        <f>HYPERLINK("https://www.google.com/maps?q=-20.1061130,-44.8760360","Abrir no Google Maps")</f>
        <v>Abrir no Google Maps</v>
      </c>
      <c r="S6055">
        <v>3</v>
      </c>
      <c r="T6055">
        <v>0</v>
      </c>
      <c r="U6055">
        <v>3</v>
      </c>
      <c r="V6055">
        <v>2.4038461538461502E-2</v>
      </c>
      <c r="W6055">
        <v>1</v>
      </c>
      <c r="X6055">
        <v>2.4038461538461502E-2</v>
      </c>
      <c r="Y6055">
        <v>314</v>
      </c>
      <c r="Z6055">
        <v>98.504848991092999</v>
      </c>
      <c r="AA6055">
        <v>198</v>
      </c>
      <c r="AB6055">
        <v>332</v>
      </c>
      <c r="AC6055">
        <v>536</v>
      </c>
      <c r="AD6055">
        <v>26.22</v>
      </c>
      <c r="AE6055">
        <v>542</v>
      </c>
      <c r="AF6055">
        <v>11</v>
      </c>
      <c r="AG6055">
        <v>181</v>
      </c>
      <c r="AH6055">
        <v>129</v>
      </c>
      <c r="AI6055">
        <v>2.0299999999999998</v>
      </c>
      <c r="AJ6055">
        <v>33.39</v>
      </c>
      <c r="AK6055">
        <v>23.8</v>
      </c>
      <c r="AL6055">
        <v>-20.106190249999941</v>
      </c>
      <c r="AM6055">
        <v>-44.876327742253288</v>
      </c>
      <c r="AN6055">
        <v>-20.106190249999941</v>
      </c>
      <c r="AO6055">
        <v>-44.876327742253288</v>
      </c>
      <c r="AP6055">
        <v>-20.106113000000001</v>
      </c>
      <c r="AQ6055">
        <v>-44.876035999999999</v>
      </c>
      <c r="AR6055">
        <v>31.686742853465731</v>
      </c>
      <c r="AS6055" t="s">
        <v>65</v>
      </c>
      <c r="AT6055">
        <v>1</v>
      </c>
      <c r="AU6055" t="s">
        <v>1136</v>
      </c>
      <c r="AV6055" t="s">
        <v>1137</v>
      </c>
      <c r="AW6055" t="s">
        <v>60</v>
      </c>
      <c r="AX6055" t="s">
        <v>68</v>
      </c>
      <c r="AY6055" t="s">
        <v>69</v>
      </c>
      <c r="AZ6055" t="b">
        <v>1</v>
      </c>
    </row>
    <row r="6056" spans="1:52" x14ac:dyDescent="0.3">
      <c r="A6056" t="s">
        <v>52</v>
      </c>
      <c r="B6056" t="s">
        <v>53</v>
      </c>
      <c r="C6056" t="s">
        <v>54</v>
      </c>
      <c r="D6056" t="s">
        <v>55</v>
      </c>
      <c r="E6056" t="s">
        <v>2281</v>
      </c>
      <c r="F6056" t="s">
        <v>190</v>
      </c>
      <c r="G6056" t="s">
        <v>2114</v>
      </c>
      <c r="H6056" t="s">
        <v>2115</v>
      </c>
      <c r="I6056" t="s">
        <v>2115</v>
      </c>
      <c r="J6056" t="s">
        <v>60</v>
      </c>
      <c r="K6056" t="s">
        <v>1123</v>
      </c>
      <c r="L6056" t="s">
        <v>62</v>
      </c>
      <c r="M6056" t="s">
        <v>1123</v>
      </c>
      <c r="N6056" t="s">
        <v>2116</v>
      </c>
      <c r="O6056" t="s">
        <v>2117</v>
      </c>
      <c r="P6056">
        <v>-20.102357000000001</v>
      </c>
      <c r="Q6056">
        <v>-44.876989000000002</v>
      </c>
      <c r="R6056" s="2" t="str">
        <f>HYPERLINK("https://www.google.com/maps?q=-20.1023570,-44.8769890","Abrir no Google Maps")</f>
        <v>Abrir no Google Maps</v>
      </c>
      <c r="S6056">
        <v>3</v>
      </c>
      <c r="T6056">
        <v>454.11282395638511</v>
      </c>
      <c r="U6056">
        <v>3</v>
      </c>
      <c r="V6056">
        <v>3.11111111111111E-2</v>
      </c>
      <c r="W6056">
        <v>0.85</v>
      </c>
      <c r="X6056">
        <v>2.644444444444443E-2</v>
      </c>
      <c r="Y6056">
        <v>314</v>
      </c>
      <c r="Z6056">
        <v>352.26842550518722</v>
      </c>
      <c r="AA6056">
        <v>198</v>
      </c>
      <c r="AB6056">
        <v>332</v>
      </c>
      <c r="AC6056">
        <v>536</v>
      </c>
      <c r="AD6056">
        <v>26.22</v>
      </c>
      <c r="AE6056">
        <v>542</v>
      </c>
      <c r="AF6056">
        <v>11</v>
      </c>
      <c r="AG6056">
        <v>181</v>
      </c>
      <c r="AH6056">
        <v>129</v>
      </c>
      <c r="AI6056">
        <v>2.0299999999999998</v>
      </c>
      <c r="AJ6056">
        <v>33.39</v>
      </c>
      <c r="AK6056">
        <v>23.8</v>
      </c>
      <c r="AL6056">
        <v>-20.10213364999996</v>
      </c>
      <c r="AM6056">
        <v>-44.876983461947091</v>
      </c>
      <c r="AN6056">
        <v>-20.10213364999996</v>
      </c>
      <c r="AO6056">
        <v>-44.876983461947091</v>
      </c>
      <c r="AP6056">
        <v>-20.102357000000001</v>
      </c>
      <c r="AQ6056">
        <v>-44.876989000000002</v>
      </c>
      <c r="AR6056">
        <v>24.870061372191081</v>
      </c>
      <c r="AS6056" t="s">
        <v>65</v>
      </c>
      <c r="AT6056">
        <v>1</v>
      </c>
      <c r="AU6056" t="s">
        <v>2118</v>
      </c>
      <c r="AV6056" t="s">
        <v>1146</v>
      </c>
      <c r="AW6056" t="s">
        <v>60</v>
      </c>
      <c r="AX6056" t="s">
        <v>68</v>
      </c>
      <c r="AY6056" t="s">
        <v>69</v>
      </c>
      <c r="AZ6056" t="b">
        <v>1</v>
      </c>
    </row>
    <row r="6057" spans="1:52" x14ac:dyDescent="0.3">
      <c r="A6057" t="s">
        <v>52</v>
      </c>
      <c r="B6057" t="s">
        <v>53</v>
      </c>
      <c r="C6057" t="s">
        <v>54</v>
      </c>
      <c r="D6057" t="s">
        <v>55</v>
      </c>
      <c r="E6057" t="s">
        <v>2281</v>
      </c>
      <c r="F6057" t="s">
        <v>190</v>
      </c>
      <c r="G6057" t="s">
        <v>2188</v>
      </c>
      <c r="H6057" t="s">
        <v>2189</v>
      </c>
      <c r="I6057" t="s">
        <v>2189</v>
      </c>
      <c r="J6057" t="s">
        <v>60</v>
      </c>
      <c r="K6057" t="s">
        <v>2190</v>
      </c>
      <c r="L6057" t="s">
        <v>62</v>
      </c>
      <c r="M6057" t="s">
        <v>2190</v>
      </c>
      <c r="N6057" t="s">
        <v>2191</v>
      </c>
      <c r="O6057" t="s">
        <v>315</v>
      </c>
      <c r="P6057">
        <v>-20.132472</v>
      </c>
      <c r="Q6057">
        <v>-44.912818999999999</v>
      </c>
      <c r="R6057" s="2" t="str">
        <f>HYPERLINK("https://www.google.com/maps?q=-20.1324720,-44.9128190","Abrir no Google Maps")</f>
        <v>Abrir no Google Maps</v>
      </c>
      <c r="S6057">
        <v>3</v>
      </c>
      <c r="T6057">
        <v>825.45561411863662</v>
      </c>
      <c r="U6057">
        <v>3</v>
      </c>
      <c r="V6057">
        <v>6.9306930693069299E-2</v>
      </c>
      <c r="W6057">
        <v>0.85</v>
      </c>
      <c r="X6057">
        <v>5.8910891089108901E-2</v>
      </c>
      <c r="Y6057">
        <v>277</v>
      </c>
      <c r="Z6057">
        <v>874.14453205298469</v>
      </c>
      <c r="AA6057">
        <v>198</v>
      </c>
      <c r="AB6057">
        <v>332</v>
      </c>
      <c r="AC6057">
        <v>536</v>
      </c>
      <c r="AD6057">
        <v>26.22</v>
      </c>
      <c r="AE6057">
        <v>542</v>
      </c>
      <c r="AF6057">
        <v>11</v>
      </c>
      <c r="AG6057">
        <v>181</v>
      </c>
      <c r="AH6057">
        <v>129</v>
      </c>
      <c r="AI6057">
        <v>2.0299999999999998</v>
      </c>
      <c r="AJ6057">
        <v>33.39</v>
      </c>
      <c r="AK6057">
        <v>23.8</v>
      </c>
      <c r="AL6057">
        <v>-20.132673899999961</v>
      </c>
      <c r="AM6057">
        <v>-44.913047842225232</v>
      </c>
      <c r="AN6057">
        <v>-20.132673899999961</v>
      </c>
      <c r="AO6057">
        <v>-44.913047842225232</v>
      </c>
      <c r="AP6057">
        <v>-20.132472</v>
      </c>
      <c r="AQ6057">
        <v>-44.912818999999999</v>
      </c>
      <c r="AR6057">
        <v>32.821136542650258</v>
      </c>
      <c r="AS6057" t="s">
        <v>65</v>
      </c>
      <c r="AT6057">
        <v>1</v>
      </c>
      <c r="AU6057" t="s">
        <v>2192</v>
      </c>
      <c r="AV6057" t="s">
        <v>2193</v>
      </c>
      <c r="AW6057" t="s">
        <v>60</v>
      </c>
      <c r="AX6057" t="s">
        <v>68</v>
      </c>
      <c r="AY6057" t="s">
        <v>69</v>
      </c>
      <c r="AZ6057" t="b">
        <v>1</v>
      </c>
    </row>
    <row r="6058" spans="1:52" x14ac:dyDescent="0.3">
      <c r="A6058" t="s">
        <v>52</v>
      </c>
      <c r="B6058" t="s">
        <v>53</v>
      </c>
      <c r="C6058" t="s">
        <v>54</v>
      </c>
      <c r="D6058" t="s">
        <v>55</v>
      </c>
      <c r="E6058" t="s">
        <v>2281</v>
      </c>
      <c r="F6058" t="s">
        <v>190</v>
      </c>
      <c r="G6058" t="s">
        <v>2289</v>
      </c>
      <c r="H6058" t="s">
        <v>2290</v>
      </c>
      <c r="I6058" t="s">
        <v>2290</v>
      </c>
      <c r="J6058" t="s">
        <v>60</v>
      </c>
      <c r="K6058" t="s">
        <v>505</v>
      </c>
      <c r="L6058" t="s">
        <v>62</v>
      </c>
      <c r="M6058" t="s">
        <v>505</v>
      </c>
      <c r="N6058" t="s">
        <v>2291</v>
      </c>
      <c r="O6058" t="s">
        <v>2292</v>
      </c>
      <c r="P6058">
        <v>-20.132954999999999</v>
      </c>
      <c r="Q6058">
        <v>-44.888852999999997</v>
      </c>
      <c r="R6058" s="2" t="str">
        <f>HYPERLINK("https://www.google.com/maps?q=-20.1329550,-44.8888530","Abrir no Google Maps")</f>
        <v>Abrir no Google Maps</v>
      </c>
      <c r="S6058">
        <v>3</v>
      </c>
      <c r="T6058">
        <v>250.18383689574131</v>
      </c>
      <c r="U6058">
        <v>3</v>
      </c>
      <c r="V6058">
        <v>3.98322851153039E-2</v>
      </c>
      <c r="W6058">
        <v>0.85</v>
      </c>
      <c r="X6058">
        <v>3.3857442348008311E-2</v>
      </c>
      <c r="Y6058">
        <v>259</v>
      </c>
      <c r="Z6058">
        <v>310.03896956992747</v>
      </c>
      <c r="AA6058">
        <v>198</v>
      </c>
      <c r="AB6058">
        <v>332</v>
      </c>
      <c r="AC6058">
        <v>536</v>
      </c>
      <c r="AD6058">
        <v>26.22</v>
      </c>
      <c r="AE6058">
        <v>542</v>
      </c>
      <c r="AF6058">
        <v>11</v>
      </c>
      <c r="AG6058">
        <v>181</v>
      </c>
      <c r="AH6058">
        <v>129</v>
      </c>
      <c r="AI6058">
        <v>2.0299999999999998</v>
      </c>
      <c r="AJ6058">
        <v>33.39</v>
      </c>
      <c r="AK6058">
        <v>23.8</v>
      </c>
      <c r="AL6058">
        <v>-20.133031699999979</v>
      </c>
      <c r="AM6058">
        <v>-44.888774072354579</v>
      </c>
      <c r="AN6058">
        <v>-20.133031699999979</v>
      </c>
      <c r="AO6058">
        <v>-44.888774072354579</v>
      </c>
      <c r="AP6058">
        <v>-20.132954999999999</v>
      </c>
      <c r="AQ6058">
        <v>-44.888852999999997</v>
      </c>
      <c r="AR6058">
        <v>11.872380316252711</v>
      </c>
      <c r="AS6058" t="s">
        <v>65</v>
      </c>
      <c r="AT6058">
        <v>1</v>
      </c>
      <c r="AU6058" t="s">
        <v>2293</v>
      </c>
      <c r="AV6058" t="s">
        <v>2294</v>
      </c>
      <c r="AW6058" t="s">
        <v>60</v>
      </c>
      <c r="AX6058" t="s">
        <v>68</v>
      </c>
      <c r="AY6058" t="s">
        <v>69</v>
      </c>
      <c r="AZ6058" t="b">
        <v>1</v>
      </c>
    </row>
    <row r="6059" spans="1:52" x14ac:dyDescent="0.3">
      <c r="A6059" t="s">
        <v>52</v>
      </c>
      <c r="B6059" t="s">
        <v>53</v>
      </c>
      <c r="C6059" t="s">
        <v>54</v>
      </c>
      <c r="D6059" t="s">
        <v>55</v>
      </c>
      <c r="E6059" t="s">
        <v>2281</v>
      </c>
      <c r="F6059" t="s">
        <v>190</v>
      </c>
      <c r="G6059" t="s">
        <v>1790</v>
      </c>
      <c r="H6059" t="s">
        <v>1791</v>
      </c>
      <c r="I6059" t="s">
        <v>1791</v>
      </c>
      <c r="J6059" t="s">
        <v>60</v>
      </c>
      <c r="K6059" t="s">
        <v>781</v>
      </c>
      <c r="L6059" t="s">
        <v>62</v>
      </c>
      <c r="M6059" t="s">
        <v>781</v>
      </c>
      <c r="N6059" t="s">
        <v>1792</v>
      </c>
      <c r="O6059" t="s">
        <v>1438</v>
      </c>
      <c r="P6059">
        <v>-20.140640999999999</v>
      </c>
      <c r="Q6059">
        <v>-44.865606999999997</v>
      </c>
      <c r="R6059" s="2" t="str">
        <f>HYPERLINK("https://www.google.com/maps?q=-20.1406410,-44.8656070","Abrir no Google Maps")</f>
        <v>Abrir no Google Maps</v>
      </c>
      <c r="S6059">
        <v>3</v>
      </c>
      <c r="T6059">
        <v>718.83674500124857</v>
      </c>
      <c r="U6059">
        <v>3</v>
      </c>
      <c r="V6059">
        <v>2.6041666666666598E-2</v>
      </c>
      <c r="W6059">
        <v>1</v>
      </c>
      <c r="X6059">
        <v>2.6041666666666598E-2</v>
      </c>
      <c r="Y6059">
        <v>198</v>
      </c>
      <c r="Z6059">
        <v>796.27455839490824</v>
      </c>
      <c r="AA6059">
        <v>198</v>
      </c>
      <c r="AB6059">
        <v>332</v>
      </c>
      <c r="AC6059">
        <v>536</v>
      </c>
      <c r="AD6059">
        <v>26.22</v>
      </c>
      <c r="AE6059">
        <v>542</v>
      </c>
      <c r="AF6059">
        <v>11</v>
      </c>
      <c r="AG6059">
        <v>181</v>
      </c>
      <c r="AH6059">
        <v>129</v>
      </c>
      <c r="AI6059">
        <v>2.0299999999999998</v>
      </c>
      <c r="AJ6059">
        <v>33.39</v>
      </c>
      <c r="AK6059">
        <v>23.8</v>
      </c>
      <c r="AL6059">
        <v>-20.14068544999995</v>
      </c>
      <c r="AM6059">
        <v>-44.865682971258813</v>
      </c>
      <c r="AN6059">
        <v>-20.140685449999939</v>
      </c>
      <c r="AO6059">
        <v>-44.865682971258813</v>
      </c>
      <c r="AP6059">
        <v>-20.140640999999999</v>
      </c>
      <c r="AQ6059">
        <v>-44.865606999999997</v>
      </c>
      <c r="AR6059">
        <v>9.3556137916774258</v>
      </c>
      <c r="AS6059" t="s">
        <v>65</v>
      </c>
      <c r="AT6059">
        <v>1</v>
      </c>
      <c r="AU6059" t="s">
        <v>1793</v>
      </c>
      <c r="AV6059" t="s">
        <v>1794</v>
      </c>
      <c r="AW6059" t="s">
        <v>60</v>
      </c>
      <c r="AX6059" t="s">
        <v>68</v>
      </c>
      <c r="AY6059" t="s">
        <v>69</v>
      </c>
      <c r="AZ6059" t="b">
        <v>1</v>
      </c>
    </row>
    <row r="6060" spans="1:52" x14ac:dyDescent="0.3">
      <c r="A6060" t="s">
        <v>52</v>
      </c>
      <c r="B6060" t="s">
        <v>53</v>
      </c>
      <c r="C6060" t="s">
        <v>54</v>
      </c>
      <c r="D6060" t="s">
        <v>55</v>
      </c>
      <c r="E6060" t="s">
        <v>2281</v>
      </c>
      <c r="F6060" t="s">
        <v>190</v>
      </c>
      <c r="G6060" t="s">
        <v>1200</v>
      </c>
      <c r="H6060" t="s">
        <v>2139</v>
      </c>
      <c r="I6060" t="s">
        <v>2139</v>
      </c>
      <c r="J6060" t="s">
        <v>60</v>
      </c>
      <c r="K6060" t="s">
        <v>822</v>
      </c>
      <c r="L6060" t="s">
        <v>62</v>
      </c>
      <c r="M6060" t="s">
        <v>822</v>
      </c>
      <c r="N6060" t="s">
        <v>1203</v>
      </c>
      <c r="O6060" t="s">
        <v>1438</v>
      </c>
      <c r="P6060">
        <v>-20.184719999999999</v>
      </c>
      <c r="Q6060">
        <v>-44.906370000000003</v>
      </c>
      <c r="R6060" s="2" t="str">
        <f>HYPERLINK("https://www.google.com/maps?q=-20.1847200,-44.9063700","Abrir no Google Maps")</f>
        <v>Abrir no Google Maps</v>
      </c>
      <c r="S6060">
        <v>3</v>
      </c>
      <c r="T6060">
        <v>449.57787654629061</v>
      </c>
      <c r="U6060">
        <v>3</v>
      </c>
      <c r="V6060">
        <v>6.4599483204134306E-2</v>
      </c>
      <c r="W6060">
        <v>0.85</v>
      </c>
      <c r="X6060">
        <v>5.4909560723514161E-2</v>
      </c>
      <c r="Y6060">
        <v>135</v>
      </c>
      <c r="Z6060">
        <v>137.4655678931708</v>
      </c>
      <c r="AA6060">
        <v>198</v>
      </c>
      <c r="AB6060">
        <v>332</v>
      </c>
      <c r="AC6060">
        <v>536</v>
      </c>
      <c r="AD6060">
        <v>26.22</v>
      </c>
      <c r="AE6060">
        <v>542</v>
      </c>
      <c r="AF6060">
        <v>11</v>
      </c>
      <c r="AG6060">
        <v>181</v>
      </c>
      <c r="AH6060">
        <v>129</v>
      </c>
      <c r="AI6060">
        <v>2.0299999999999998</v>
      </c>
      <c r="AJ6060">
        <v>33.39</v>
      </c>
      <c r="AK6060">
        <v>23.8</v>
      </c>
      <c r="AL6060">
        <v>-20.184714349999979</v>
      </c>
      <c r="AM6060">
        <v>-44.906364103234253</v>
      </c>
      <c r="AN6060">
        <v>-20.184714349999979</v>
      </c>
      <c r="AO6060">
        <v>-44.906364103234253</v>
      </c>
      <c r="AP6060">
        <v>-20.184719999999999</v>
      </c>
      <c r="AQ6060">
        <v>-44.906370000000003</v>
      </c>
      <c r="AR6060">
        <v>0.88044535780078881</v>
      </c>
      <c r="AS6060" t="s">
        <v>65</v>
      </c>
      <c r="AT6060">
        <v>1</v>
      </c>
      <c r="AU6060" t="s">
        <v>2140</v>
      </c>
      <c r="AV6060" t="s">
        <v>2141</v>
      </c>
      <c r="AW6060" t="s">
        <v>60</v>
      </c>
      <c r="AX6060" t="s">
        <v>68</v>
      </c>
      <c r="AY6060" t="s">
        <v>69</v>
      </c>
      <c r="AZ6060" t="b">
        <v>1</v>
      </c>
    </row>
    <row r="6061" spans="1:52" x14ac:dyDescent="0.3">
      <c r="A6061" t="s">
        <v>52</v>
      </c>
      <c r="B6061" t="s">
        <v>53</v>
      </c>
      <c r="C6061" t="s">
        <v>54</v>
      </c>
      <c r="D6061" t="s">
        <v>55</v>
      </c>
      <c r="E6061" t="s">
        <v>2281</v>
      </c>
      <c r="F6061" t="s">
        <v>190</v>
      </c>
      <c r="G6061" t="s">
        <v>845</v>
      </c>
      <c r="H6061" t="s">
        <v>2124</v>
      </c>
      <c r="I6061" t="s">
        <v>2124</v>
      </c>
      <c r="J6061" t="s">
        <v>60</v>
      </c>
      <c r="K6061" t="s">
        <v>424</v>
      </c>
      <c r="L6061" t="s">
        <v>62</v>
      </c>
      <c r="M6061" t="s">
        <v>424</v>
      </c>
      <c r="N6061" t="s">
        <v>847</v>
      </c>
      <c r="O6061" t="s">
        <v>2125</v>
      </c>
      <c r="P6061">
        <v>-20.180002999999999</v>
      </c>
      <c r="Q6061">
        <v>-44.915557999999997</v>
      </c>
      <c r="R6061" s="2" t="str">
        <f>HYPERLINK("https://www.google.com/maps?q=-20.1800030,-44.9155580","Abrir no Google Maps")</f>
        <v>Abrir no Google Maps</v>
      </c>
      <c r="S6061">
        <v>3</v>
      </c>
      <c r="T6061">
        <v>849.07837312552761</v>
      </c>
      <c r="U6061">
        <v>3</v>
      </c>
      <c r="V6061">
        <v>6.7183462532299704E-2</v>
      </c>
      <c r="W6061">
        <v>0.85</v>
      </c>
      <c r="X6061">
        <v>5.710594315245475E-2</v>
      </c>
      <c r="Y6061">
        <v>135</v>
      </c>
      <c r="Z6061">
        <v>1017.379067015247</v>
      </c>
      <c r="AA6061">
        <v>198</v>
      </c>
      <c r="AB6061">
        <v>332</v>
      </c>
      <c r="AC6061">
        <v>536</v>
      </c>
      <c r="AD6061">
        <v>26.22</v>
      </c>
      <c r="AE6061">
        <v>542</v>
      </c>
      <c r="AF6061">
        <v>11</v>
      </c>
      <c r="AG6061">
        <v>181</v>
      </c>
      <c r="AH6061">
        <v>129</v>
      </c>
      <c r="AI6061">
        <v>2.0299999999999998</v>
      </c>
      <c r="AJ6061">
        <v>33.39</v>
      </c>
      <c r="AK6061">
        <v>23.8</v>
      </c>
      <c r="AL6061">
        <v>-20.180131649999961</v>
      </c>
      <c r="AM6061">
        <v>-44.916107332085438</v>
      </c>
      <c r="AN6061">
        <v>-20.180131649999961</v>
      </c>
      <c r="AO6061">
        <v>-44.916107332085438</v>
      </c>
      <c r="AP6061">
        <v>-20.180002999999999</v>
      </c>
      <c r="AQ6061">
        <v>-44.915557999999997</v>
      </c>
      <c r="AR6061">
        <v>59.157397370141183</v>
      </c>
      <c r="AS6061" t="s">
        <v>65</v>
      </c>
      <c r="AT6061">
        <v>1</v>
      </c>
      <c r="AU6061" t="s">
        <v>2126</v>
      </c>
      <c r="AV6061" t="s">
        <v>2127</v>
      </c>
      <c r="AW6061" t="s">
        <v>60</v>
      </c>
      <c r="AX6061" t="s">
        <v>68</v>
      </c>
      <c r="AY6061" t="s">
        <v>69</v>
      </c>
      <c r="AZ6061" t="b">
        <v>1</v>
      </c>
    </row>
    <row r="6062" spans="1:52" x14ac:dyDescent="0.3">
      <c r="A6062" t="s">
        <v>52</v>
      </c>
      <c r="B6062" t="s">
        <v>53</v>
      </c>
      <c r="C6062" t="s">
        <v>54</v>
      </c>
      <c r="D6062" t="s">
        <v>55</v>
      </c>
      <c r="E6062" t="s">
        <v>2281</v>
      </c>
      <c r="F6062" t="s">
        <v>190</v>
      </c>
      <c r="G6062" t="s">
        <v>1212</v>
      </c>
      <c r="H6062" t="s">
        <v>1213</v>
      </c>
      <c r="I6062" t="s">
        <v>1213</v>
      </c>
      <c r="J6062" t="s">
        <v>60</v>
      </c>
      <c r="K6062" t="s">
        <v>171</v>
      </c>
      <c r="L6062" t="s">
        <v>62</v>
      </c>
      <c r="M6062" t="s">
        <v>171</v>
      </c>
      <c r="N6062" t="s">
        <v>1214</v>
      </c>
      <c r="O6062" t="s">
        <v>1215</v>
      </c>
      <c r="P6062">
        <v>-20.152812999999998</v>
      </c>
      <c r="Q6062">
        <v>-44.889853000000002</v>
      </c>
      <c r="R6062" s="2" t="str">
        <f>HYPERLINK("https://www.google.com/maps?q=-20.1528130,-44.8898530","Abrir no Google Maps")</f>
        <v>Abrir no Google Maps</v>
      </c>
      <c r="S6062">
        <v>3</v>
      </c>
      <c r="T6062">
        <v>404.11054739579231</v>
      </c>
      <c r="U6062">
        <v>3</v>
      </c>
      <c r="V6062">
        <v>6.7039106145251395E-2</v>
      </c>
      <c r="W6062">
        <v>1</v>
      </c>
      <c r="X6062">
        <v>6.7039106145251395E-2</v>
      </c>
      <c r="Y6062">
        <v>129</v>
      </c>
      <c r="Z6062">
        <v>222.94297160630171</v>
      </c>
      <c r="AA6062">
        <v>198</v>
      </c>
      <c r="AB6062">
        <v>332</v>
      </c>
      <c r="AC6062">
        <v>536</v>
      </c>
      <c r="AD6062">
        <v>26.22</v>
      </c>
      <c r="AE6062">
        <v>542</v>
      </c>
      <c r="AF6062">
        <v>11</v>
      </c>
      <c r="AG6062">
        <v>181</v>
      </c>
      <c r="AH6062">
        <v>129</v>
      </c>
      <c r="AI6062">
        <v>2.0299999999999998</v>
      </c>
      <c r="AJ6062">
        <v>33.39</v>
      </c>
      <c r="AK6062">
        <v>23.8</v>
      </c>
      <c r="AL6062">
        <v>-20.152851999999971</v>
      </c>
      <c r="AM6062">
        <v>-44.889864659228088</v>
      </c>
      <c r="AN6062">
        <v>-20.152851999999971</v>
      </c>
      <c r="AO6062">
        <v>-44.889864659228088</v>
      </c>
      <c r="AP6062">
        <v>-20.152812999999998</v>
      </c>
      <c r="AQ6062">
        <v>-44.889853000000002</v>
      </c>
      <c r="AR6062">
        <v>4.5092186597325066</v>
      </c>
      <c r="AS6062" t="s">
        <v>65</v>
      </c>
      <c r="AT6062">
        <v>1</v>
      </c>
      <c r="AU6062" t="s">
        <v>1216</v>
      </c>
      <c r="AV6062" t="s">
        <v>1217</v>
      </c>
      <c r="AW6062" t="s">
        <v>60</v>
      </c>
      <c r="AX6062" t="s">
        <v>68</v>
      </c>
      <c r="AY6062" t="s">
        <v>69</v>
      </c>
      <c r="AZ6062" t="b">
        <v>1</v>
      </c>
    </row>
    <row r="6063" spans="1:52" x14ac:dyDescent="0.3">
      <c r="A6063" t="s">
        <v>52</v>
      </c>
      <c r="B6063" t="s">
        <v>53</v>
      </c>
      <c r="C6063" t="s">
        <v>54</v>
      </c>
      <c r="D6063" t="s">
        <v>55</v>
      </c>
      <c r="E6063" t="s">
        <v>2281</v>
      </c>
      <c r="F6063" t="s">
        <v>190</v>
      </c>
      <c r="G6063" t="s">
        <v>1801</v>
      </c>
      <c r="H6063" t="s">
        <v>1802</v>
      </c>
      <c r="I6063" t="s">
        <v>1802</v>
      </c>
      <c r="J6063" t="s">
        <v>60</v>
      </c>
      <c r="K6063" t="s">
        <v>1803</v>
      </c>
      <c r="L6063" t="s">
        <v>62</v>
      </c>
      <c r="M6063" t="s">
        <v>1803</v>
      </c>
      <c r="N6063" t="s">
        <v>1804</v>
      </c>
      <c r="O6063" t="s">
        <v>1805</v>
      </c>
      <c r="P6063">
        <v>-20.131599000000001</v>
      </c>
      <c r="Q6063">
        <v>-44.839945</v>
      </c>
      <c r="R6063" s="2" t="str">
        <f>HYPERLINK("https://www.google.com/maps?q=-20.1315990,-44.8399450","Abrir no Google Maps")</f>
        <v>Abrir no Google Maps</v>
      </c>
      <c r="S6063">
        <v>3</v>
      </c>
      <c r="T6063">
        <v>480.67866935083049</v>
      </c>
      <c r="U6063">
        <v>3</v>
      </c>
      <c r="V6063">
        <v>2.2222222222222199E-2</v>
      </c>
      <c r="W6063">
        <v>1</v>
      </c>
      <c r="X6063">
        <v>2.2222222222222199E-2</v>
      </c>
      <c r="Y6063">
        <v>118</v>
      </c>
      <c r="Z6063">
        <v>505.26312452494989</v>
      </c>
      <c r="AA6063">
        <v>198</v>
      </c>
      <c r="AB6063">
        <v>332</v>
      </c>
      <c r="AC6063">
        <v>536</v>
      </c>
      <c r="AD6063">
        <v>26.22</v>
      </c>
      <c r="AE6063">
        <v>542</v>
      </c>
      <c r="AF6063">
        <v>11</v>
      </c>
      <c r="AG6063">
        <v>181</v>
      </c>
      <c r="AH6063">
        <v>129</v>
      </c>
      <c r="AI6063">
        <v>2.0299999999999998</v>
      </c>
      <c r="AJ6063">
        <v>33.39</v>
      </c>
      <c r="AK6063">
        <v>23.8</v>
      </c>
      <c r="AL6063">
        <v>-20.131561999999949</v>
      </c>
      <c r="AM6063">
        <v>-44.839930272274998</v>
      </c>
      <c r="AN6063">
        <v>-20.131561999999949</v>
      </c>
      <c r="AO6063">
        <v>-44.839930272274998</v>
      </c>
      <c r="AP6063">
        <v>-20.131599000000001</v>
      </c>
      <c r="AQ6063">
        <v>-44.839945</v>
      </c>
      <c r="AR6063">
        <v>4.3970860299791923</v>
      </c>
      <c r="AS6063" t="s">
        <v>65</v>
      </c>
      <c r="AT6063">
        <v>1</v>
      </c>
      <c r="AU6063" t="s">
        <v>1806</v>
      </c>
      <c r="AV6063" t="s">
        <v>1807</v>
      </c>
      <c r="AW6063" t="s">
        <v>60</v>
      </c>
      <c r="AX6063" t="s">
        <v>68</v>
      </c>
      <c r="AY6063" t="s">
        <v>69</v>
      </c>
      <c r="AZ6063" t="b">
        <v>1</v>
      </c>
    </row>
    <row r="6064" spans="1:52" x14ac:dyDescent="0.3">
      <c r="A6064" t="s">
        <v>52</v>
      </c>
      <c r="B6064" t="s">
        <v>53</v>
      </c>
      <c r="C6064" t="s">
        <v>54</v>
      </c>
      <c r="D6064" t="s">
        <v>55</v>
      </c>
      <c r="E6064" t="s">
        <v>2281</v>
      </c>
      <c r="F6064" t="s">
        <v>1247</v>
      </c>
      <c r="G6064" t="s">
        <v>58</v>
      </c>
      <c r="H6064" t="s">
        <v>59</v>
      </c>
      <c r="I6064" t="s">
        <v>59</v>
      </c>
      <c r="J6064" t="s">
        <v>60</v>
      </c>
      <c r="K6064" t="s">
        <v>61</v>
      </c>
      <c r="L6064" t="s">
        <v>62</v>
      </c>
      <c r="M6064" t="s">
        <v>61</v>
      </c>
      <c r="N6064" t="s">
        <v>63</v>
      </c>
      <c r="O6064" t="s">
        <v>64</v>
      </c>
      <c r="P6064">
        <v>-20.147940999999999</v>
      </c>
      <c r="Q6064">
        <v>-44.906514000000001</v>
      </c>
      <c r="R6064" s="2" t="str">
        <f>HYPERLINK("https://www.google.com/maps?q=-20.1479410,-44.9065140","Abrir no Google Maps")</f>
        <v>Abrir no Google Maps</v>
      </c>
      <c r="S6064">
        <v>4</v>
      </c>
      <c r="T6064">
        <v>308.67004994113421</v>
      </c>
      <c r="U6064">
        <v>4</v>
      </c>
      <c r="V6064">
        <v>0.14728682170542631</v>
      </c>
      <c r="W6064">
        <v>1</v>
      </c>
      <c r="X6064">
        <v>0.14728682170542631</v>
      </c>
      <c r="Y6064">
        <v>747</v>
      </c>
      <c r="Z6064">
        <v>274.71440454502522</v>
      </c>
      <c r="AA6064">
        <v>198</v>
      </c>
      <c r="AB6064">
        <v>332</v>
      </c>
      <c r="AC6064">
        <v>536</v>
      </c>
      <c r="AD6064">
        <v>26.22</v>
      </c>
      <c r="AE6064">
        <v>542</v>
      </c>
      <c r="AF6064">
        <v>11</v>
      </c>
      <c r="AG6064">
        <v>181</v>
      </c>
      <c r="AH6064">
        <v>129</v>
      </c>
      <c r="AI6064">
        <v>2.0299999999999998</v>
      </c>
      <c r="AJ6064">
        <v>33.39</v>
      </c>
      <c r="AK6064">
        <v>23.8</v>
      </c>
      <c r="AL6064">
        <v>-20.147947799999969</v>
      </c>
      <c r="AM6064">
        <v>-44.906591596129203</v>
      </c>
      <c r="AN6064">
        <v>-20.147947799999969</v>
      </c>
      <c r="AO6064">
        <v>-44.906591596129203</v>
      </c>
      <c r="AP6064">
        <v>-20.147940999999999</v>
      </c>
      <c r="AQ6064">
        <v>-44.906514000000001</v>
      </c>
      <c r="AR6064">
        <v>8.1446636170570326</v>
      </c>
      <c r="AS6064" t="s">
        <v>65</v>
      </c>
      <c r="AT6064">
        <v>1</v>
      </c>
      <c r="AU6064" t="s">
        <v>66</v>
      </c>
      <c r="AV6064" t="s">
        <v>67</v>
      </c>
      <c r="AW6064" t="s">
        <v>60</v>
      </c>
      <c r="AX6064" t="s">
        <v>68</v>
      </c>
      <c r="AY6064" t="s">
        <v>69</v>
      </c>
      <c r="AZ6064" t="b">
        <v>1</v>
      </c>
    </row>
    <row r="6065" spans="1:52" x14ac:dyDescent="0.3">
      <c r="A6065" t="s">
        <v>52</v>
      </c>
      <c r="B6065" t="s">
        <v>53</v>
      </c>
      <c r="C6065" t="s">
        <v>54</v>
      </c>
      <c r="D6065" t="s">
        <v>55</v>
      </c>
      <c r="E6065" t="s">
        <v>2281</v>
      </c>
      <c r="F6065" t="s">
        <v>1247</v>
      </c>
      <c r="G6065" t="s">
        <v>70</v>
      </c>
      <c r="H6065" t="s">
        <v>71</v>
      </c>
      <c r="I6065" t="s">
        <v>71</v>
      </c>
      <c r="J6065" t="s">
        <v>60</v>
      </c>
      <c r="K6065" t="s">
        <v>72</v>
      </c>
      <c r="L6065" t="s">
        <v>62</v>
      </c>
      <c r="M6065" t="s">
        <v>72</v>
      </c>
      <c r="N6065" t="s">
        <v>73</v>
      </c>
      <c r="O6065" t="s">
        <v>74</v>
      </c>
      <c r="P6065">
        <v>-20.149349000000001</v>
      </c>
      <c r="Q6065">
        <v>-44.910784</v>
      </c>
      <c r="R6065" s="2" t="str">
        <f>HYPERLINK("https://www.google.com/maps?q=-20.1493490,-44.9107840","Abrir no Google Maps")</f>
        <v>Abrir no Google Maps</v>
      </c>
      <c r="S6065">
        <v>4</v>
      </c>
      <c r="T6065">
        <v>472.43876549769578</v>
      </c>
      <c r="U6065">
        <v>4</v>
      </c>
      <c r="V6065">
        <v>0.1337209302325581</v>
      </c>
      <c r="W6065">
        <v>1</v>
      </c>
      <c r="X6065">
        <v>0.1337209302325581</v>
      </c>
      <c r="Y6065">
        <v>747</v>
      </c>
      <c r="Z6065">
        <v>441.03921887407779</v>
      </c>
      <c r="AA6065">
        <v>198</v>
      </c>
      <c r="AB6065">
        <v>332</v>
      </c>
      <c r="AC6065">
        <v>536</v>
      </c>
      <c r="AD6065">
        <v>26.22</v>
      </c>
      <c r="AE6065">
        <v>542</v>
      </c>
      <c r="AF6065">
        <v>11</v>
      </c>
      <c r="AG6065">
        <v>181</v>
      </c>
      <c r="AH6065">
        <v>129</v>
      </c>
      <c r="AI6065">
        <v>2.0299999999999998</v>
      </c>
      <c r="AJ6065">
        <v>33.39</v>
      </c>
      <c r="AK6065">
        <v>23.8</v>
      </c>
      <c r="AL6065">
        <v>-20.149403999999951</v>
      </c>
      <c r="AM6065">
        <v>-44.91080895147438</v>
      </c>
      <c r="AN6065">
        <v>-20.149403999999951</v>
      </c>
      <c r="AO6065">
        <v>-44.91080895147438</v>
      </c>
      <c r="AP6065">
        <v>-20.149349000000001</v>
      </c>
      <c r="AQ6065">
        <v>-44.910784</v>
      </c>
      <c r="AR6065">
        <v>6.6547592699416382</v>
      </c>
      <c r="AS6065" t="s">
        <v>65</v>
      </c>
      <c r="AT6065">
        <v>1</v>
      </c>
      <c r="AU6065" t="s">
        <v>75</v>
      </c>
      <c r="AV6065" t="s">
        <v>76</v>
      </c>
      <c r="AW6065" t="s">
        <v>60</v>
      </c>
      <c r="AX6065" t="s">
        <v>68</v>
      </c>
      <c r="AY6065" t="s">
        <v>69</v>
      </c>
      <c r="AZ6065" t="b">
        <v>1</v>
      </c>
    </row>
    <row r="6066" spans="1:52" x14ac:dyDescent="0.3">
      <c r="A6066" t="s">
        <v>52</v>
      </c>
      <c r="B6066" t="s">
        <v>53</v>
      </c>
      <c r="C6066" t="s">
        <v>54</v>
      </c>
      <c r="D6066" t="s">
        <v>55</v>
      </c>
      <c r="E6066" t="s">
        <v>2281</v>
      </c>
      <c r="F6066" t="s">
        <v>1247</v>
      </c>
      <c r="G6066" t="s">
        <v>77</v>
      </c>
      <c r="H6066" t="s">
        <v>78</v>
      </c>
      <c r="I6066" t="s">
        <v>78</v>
      </c>
      <c r="J6066" t="s">
        <v>60</v>
      </c>
      <c r="K6066" t="s">
        <v>72</v>
      </c>
      <c r="L6066" t="s">
        <v>62</v>
      </c>
      <c r="M6066" t="s">
        <v>72</v>
      </c>
      <c r="N6066" t="s">
        <v>79</v>
      </c>
      <c r="O6066" t="s">
        <v>80</v>
      </c>
      <c r="P6066">
        <v>-20.147821</v>
      </c>
      <c r="Q6066">
        <v>-44.908887</v>
      </c>
      <c r="R6066" s="2" t="str">
        <f>HYPERLINK("https://www.google.com/maps?q=-20.1478210,-44.9088870","Abrir no Google Maps")</f>
        <v>Abrir no Google Maps</v>
      </c>
      <c r="S6066">
        <v>4</v>
      </c>
      <c r="T6066">
        <v>232.2893841532152</v>
      </c>
      <c r="U6066">
        <v>4</v>
      </c>
      <c r="V6066">
        <v>0.22543352601156069</v>
      </c>
      <c r="W6066">
        <v>1</v>
      </c>
      <c r="X6066">
        <v>0.22543352601156069</v>
      </c>
      <c r="Y6066">
        <v>747</v>
      </c>
      <c r="Z6066">
        <v>195.3668648953757</v>
      </c>
      <c r="AA6066">
        <v>198</v>
      </c>
      <c r="AB6066">
        <v>332</v>
      </c>
      <c r="AC6066">
        <v>536</v>
      </c>
      <c r="AD6066">
        <v>26.22</v>
      </c>
      <c r="AE6066">
        <v>542</v>
      </c>
      <c r="AF6066">
        <v>11</v>
      </c>
      <c r="AG6066">
        <v>181</v>
      </c>
      <c r="AH6066">
        <v>129</v>
      </c>
      <c r="AI6066">
        <v>2.0299999999999998</v>
      </c>
      <c r="AJ6066">
        <v>33.39</v>
      </c>
      <c r="AK6066">
        <v>23.8</v>
      </c>
      <c r="AL6066">
        <v>-20.147802849999952</v>
      </c>
      <c r="AM6066">
        <v>-44.908989919229477</v>
      </c>
      <c r="AN6066">
        <v>-20.147802849999952</v>
      </c>
      <c r="AO6066">
        <v>-44.908989919229491</v>
      </c>
      <c r="AP6066">
        <v>-20.147821</v>
      </c>
      <c r="AQ6066">
        <v>-44.908887</v>
      </c>
      <c r="AR6066">
        <v>10.944007761262529</v>
      </c>
      <c r="AS6066" t="s">
        <v>65</v>
      </c>
      <c r="AT6066">
        <v>1</v>
      </c>
      <c r="AU6066" t="s">
        <v>81</v>
      </c>
      <c r="AV6066" t="s">
        <v>82</v>
      </c>
      <c r="AW6066" t="s">
        <v>60</v>
      </c>
      <c r="AX6066" t="s">
        <v>68</v>
      </c>
      <c r="AY6066" t="s">
        <v>69</v>
      </c>
      <c r="AZ6066" t="b">
        <v>1</v>
      </c>
    </row>
    <row r="6067" spans="1:52" x14ac:dyDescent="0.3">
      <c r="A6067" t="s">
        <v>52</v>
      </c>
      <c r="B6067" t="s">
        <v>53</v>
      </c>
      <c r="C6067" t="s">
        <v>54</v>
      </c>
      <c r="D6067" t="s">
        <v>55</v>
      </c>
      <c r="E6067" t="s">
        <v>2281</v>
      </c>
      <c r="F6067" t="s">
        <v>1247</v>
      </c>
      <c r="G6067" t="s">
        <v>89</v>
      </c>
      <c r="H6067" t="s">
        <v>90</v>
      </c>
      <c r="I6067" t="s">
        <v>90</v>
      </c>
      <c r="J6067" t="s">
        <v>60</v>
      </c>
      <c r="K6067" t="s">
        <v>72</v>
      </c>
      <c r="L6067" t="s">
        <v>62</v>
      </c>
      <c r="M6067" t="s">
        <v>72</v>
      </c>
      <c r="N6067" t="s">
        <v>91</v>
      </c>
      <c r="O6067" t="s">
        <v>92</v>
      </c>
      <c r="P6067">
        <v>-20.145848999999998</v>
      </c>
      <c r="Q6067">
        <v>-44.908419000000002</v>
      </c>
      <c r="R6067" s="2" t="str">
        <f>HYPERLINK("https://www.google.com/maps?q=-20.1458490,-44.9084190","Abrir no Google Maps")</f>
        <v>Abrir no Google Maps</v>
      </c>
      <c r="S6067">
        <v>4</v>
      </c>
      <c r="T6067">
        <v>0</v>
      </c>
      <c r="U6067">
        <v>4</v>
      </c>
      <c r="V6067">
        <v>0.1376811594202898</v>
      </c>
      <c r="W6067">
        <v>1</v>
      </c>
      <c r="X6067">
        <v>0.1376811594202898</v>
      </c>
      <c r="Y6067">
        <v>747</v>
      </c>
      <c r="Z6067">
        <v>136.08168502765241</v>
      </c>
      <c r="AA6067">
        <v>198</v>
      </c>
      <c r="AB6067">
        <v>332</v>
      </c>
      <c r="AC6067">
        <v>536</v>
      </c>
      <c r="AD6067">
        <v>26.22</v>
      </c>
      <c r="AE6067">
        <v>542</v>
      </c>
      <c r="AF6067">
        <v>11</v>
      </c>
      <c r="AG6067">
        <v>181</v>
      </c>
      <c r="AH6067">
        <v>129</v>
      </c>
      <c r="AI6067">
        <v>2.0299999999999998</v>
      </c>
      <c r="AJ6067">
        <v>33.39</v>
      </c>
      <c r="AK6067">
        <v>23.8</v>
      </c>
      <c r="AL6067">
        <v>-20.14576979999995</v>
      </c>
      <c r="AM6067">
        <v>-44.908436775053183</v>
      </c>
      <c r="AN6067">
        <v>-20.14576979999995</v>
      </c>
      <c r="AO6067">
        <v>-44.908436775053183</v>
      </c>
      <c r="AP6067">
        <v>-20.145848999999998</v>
      </c>
      <c r="AQ6067">
        <v>-44.908419000000002</v>
      </c>
      <c r="AR6067">
        <v>9.0101247482327356</v>
      </c>
      <c r="AS6067" t="s">
        <v>65</v>
      </c>
      <c r="AT6067">
        <v>1</v>
      </c>
      <c r="AU6067" t="s">
        <v>93</v>
      </c>
      <c r="AV6067" t="s">
        <v>94</v>
      </c>
      <c r="AW6067" t="s">
        <v>60</v>
      </c>
      <c r="AX6067" t="s">
        <v>68</v>
      </c>
      <c r="AY6067" t="s">
        <v>69</v>
      </c>
      <c r="AZ6067" t="b">
        <v>1</v>
      </c>
    </row>
    <row r="6068" spans="1:52" x14ac:dyDescent="0.3">
      <c r="A6068" t="s">
        <v>52</v>
      </c>
      <c r="B6068" t="s">
        <v>53</v>
      </c>
      <c r="C6068" t="s">
        <v>54</v>
      </c>
      <c r="D6068" t="s">
        <v>55</v>
      </c>
      <c r="E6068" t="s">
        <v>2281</v>
      </c>
      <c r="F6068" t="s">
        <v>1247</v>
      </c>
      <c r="G6068" t="s">
        <v>95</v>
      </c>
      <c r="H6068" t="s">
        <v>96</v>
      </c>
      <c r="I6068" t="s">
        <v>96</v>
      </c>
      <c r="J6068" t="s">
        <v>60</v>
      </c>
      <c r="K6068" t="s">
        <v>72</v>
      </c>
      <c r="L6068" t="s">
        <v>62</v>
      </c>
      <c r="M6068" t="s">
        <v>72</v>
      </c>
      <c r="N6068" t="s">
        <v>97</v>
      </c>
      <c r="O6068" t="s">
        <v>98</v>
      </c>
      <c r="P6068">
        <v>-20.144062999999999</v>
      </c>
      <c r="Q6068">
        <v>-44.909627999999998</v>
      </c>
      <c r="R6068" s="2" t="str">
        <f>HYPERLINK("https://www.google.com/maps?q=-20.1440630,-44.9096280","Abrir no Google Maps")</f>
        <v>Abrir no Google Maps</v>
      </c>
      <c r="S6068">
        <v>4</v>
      </c>
      <c r="T6068">
        <v>205.27083326529291</v>
      </c>
      <c r="U6068">
        <v>4</v>
      </c>
      <c r="V6068">
        <v>0.12941176470588231</v>
      </c>
      <c r="W6068">
        <v>1</v>
      </c>
      <c r="X6068">
        <v>0.12941176470588231</v>
      </c>
      <c r="Y6068">
        <v>747</v>
      </c>
      <c r="Z6068">
        <v>336.75785483480968</v>
      </c>
      <c r="AA6068">
        <v>198</v>
      </c>
      <c r="AB6068">
        <v>332</v>
      </c>
      <c r="AC6068">
        <v>536</v>
      </c>
      <c r="AD6068">
        <v>26.22</v>
      </c>
      <c r="AE6068">
        <v>542</v>
      </c>
      <c r="AF6068">
        <v>11</v>
      </c>
      <c r="AG6068">
        <v>181</v>
      </c>
      <c r="AH6068">
        <v>129</v>
      </c>
      <c r="AI6068">
        <v>2.0299999999999998</v>
      </c>
      <c r="AJ6068">
        <v>33.39</v>
      </c>
      <c r="AK6068">
        <v>23.8</v>
      </c>
      <c r="AL6068">
        <v>-20.144164099999951</v>
      </c>
      <c r="AM6068">
        <v>-44.909420167767642</v>
      </c>
      <c r="AN6068">
        <v>-20.144164099999951</v>
      </c>
      <c r="AO6068">
        <v>-44.909420167767642</v>
      </c>
      <c r="AP6068">
        <v>-20.144062999999999</v>
      </c>
      <c r="AQ6068">
        <v>-44.909627999999998</v>
      </c>
      <c r="AR6068">
        <v>24.46321571724976</v>
      </c>
      <c r="AS6068" t="s">
        <v>65</v>
      </c>
      <c r="AT6068">
        <v>1</v>
      </c>
      <c r="AU6068" t="s">
        <v>99</v>
      </c>
      <c r="AV6068" t="s">
        <v>94</v>
      </c>
      <c r="AW6068" t="s">
        <v>60</v>
      </c>
      <c r="AX6068" t="s">
        <v>68</v>
      </c>
      <c r="AY6068" t="s">
        <v>69</v>
      </c>
      <c r="AZ6068" t="b">
        <v>1</v>
      </c>
    </row>
    <row r="6069" spans="1:52" x14ac:dyDescent="0.3">
      <c r="A6069" t="s">
        <v>52</v>
      </c>
      <c r="B6069" t="s">
        <v>53</v>
      </c>
      <c r="C6069" t="s">
        <v>54</v>
      </c>
      <c r="D6069" t="s">
        <v>55</v>
      </c>
      <c r="E6069" t="s">
        <v>2281</v>
      </c>
      <c r="F6069" t="s">
        <v>1247</v>
      </c>
      <c r="G6069" t="s">
        <v>100</v>
      </c>
      <c r="H6069" t="s">
        <v>101</v>
      </c>
      <c r="I6069" t="s">
        <v>101</v>
      </c>
      <c r="J6069" t="s">
        <v>60</v>
      </c>
      <c r="K6069" t="s">
        <v>61</v>
      </c>
      <c r="L6069" t="s">
        <v>62</v>
      </c>
      <c r="M6069" t="s">
        <v>61</v>
      </c>
      <c r="N6069" t="s">
        <v>102</v>
      </c>
      <c r="O6069" t="s">
        <v>103</v>
      </c>
      <c r="P6069">
        <v>-20.151098999999999</v>
      </c>
      <c r="Q6069">
        <v>-44.909699000000003</v>
      </c>
      <c r="R6069" s="2" t="str">
        <f>HYPERLINK("https://www.google.com/maps?q=-20.1510990,-44.9096990","Abrir no Google Maps")</f>
        <v>Abrir no Google Maps</v>
      </c>
      <c r="S6069">
        <v>4</v>
      </c>
      <c r="T6069">
        <v>628.5023128813533</v>
      </c>
      <c r="U6069">
        <v>4</v>
      </c>
      <c r="V6069">
        <v>0.33333333333333331</v>
      </c>
      <c r="W6069">
        <v>1</v>
      </c>
      <c r="X6069">
        <v>0.33333333333333331</v>
      </c>
      <c r="Y6069">
        <v>747</v>
      </c>
      <c r="Z6069">
        <v>563.16456625265948</v>
      </c>
      <c r="AA6069">
        <v>198</v>
      </c>
      <c r="AB6069">
        <v>332</v>
      </c>
      <c r="AC6069">
        <v>536</v>
      </c>
      <c r="AD6069">
        <v>26.22</v>
      </c>
      <c r="AE6069">
        <v>542</v>
      </c>
      <c r="AF6069">
        <v>11</v>
      </c>
      <c r="AG6069">
        <v>181</v>
      </c>
      <c r="AH6069">
        <v>129</v>
      </c>
      <c r="AI6069">
        <v>2.0299999999999998</v>
      </c>
      <c r="AJ6069">
        <v>33.39</v>
      </c>
      <c r="AK6069">
        <v>23.8</v>
      </c>
      <c r="AL6069">
        <v>-20.151307349999971</v>
      </c>
      <c r="AM6069">
        <v>-44.909772836123523</v>
      </c>
      <c r="AN6069">
        <v>-20.151307349999971</v>
      </c>
      <c r="AO6069">
        <v>-44.909772836123523</v>
      </c>
      <c r="AP6069">
        <v>-20.151098999999999</v>
      </c>
      <c r="AQ6069">
        <v>-44.909699000000003</v>
      </c>
      <c r="AR6069">
        <v>24.443417349564811</v>
      </c>
      <c r="AS6069" t="s">
        <v>65</v>
      </c>
      <c r="AT6069">
        <v>1</v>
      </c>
      <c r="AU6069" t="s">
        <v>104</v>
      </c>
      <c r="AV6069" t="s">
        <v>105</v>
      </c>
      <c r="AW6069" t="s">
        <v>60</v>
      </c>
      <c r="AX6069" t="s">
        <v>68</v>
      </c>
      <c r="AY6069" t="s">
        <v>69</v>
      </c>
      <c r="AZ6069" t="b">
        <v>1</v>
      </c>
    </row>
    <row r="6070" spans="1:52" x14ac:dyDescent="0.3">
      <c r="A6070" t="s">
        <v>52</v>
      </c>
      <c r="B6070" t="s">
        <v>53</v>
      </c>
      <c r="C6070" t="s">
        <v>54</v>
      </c>
      <c r="D6070" t="s">
        <v>55</v>
      </c>
      <c r="E6070" t="s">
        <v>2281</v>
      </c>
      <c r="F6070" t="s">
        <v>1247</v>
      </c>
      <c r="G6070" t="s">
        <v>100</v>
      </c>
      <c r="H6070" t="s">
        <v>106</v>
      </c>
      <c r="I6070" t="s">
        <v>106</v>
      </c>
      <c r="J6070" t="s">
        <v>60</v>
      </c>
      <c r="K6070" t="s">
        <v>61</v>
      </c>
      <c r="L6070" t="s">
        <v>62</v>
      </c>
      <c r="M6070" t="s">
        <v>61</v>
      </c>
      <c r="N6070" t="s">
        <v>102</v>
      </c>
      <c r="O6070" t="s">
        <v>103</v>
      </c>
      <c r="P6070">
        <v>-20.151107</v>
      </c>
      <c r="Q6070">
        <v>-44.908918</v>
      </c>
      <c r="R6070" s="2" t="str">
        <f>HYPERLINK("https://www.google.com/maps?q=-20.1511070,-44.9089180","Abrir no Google Maps")</f>
        <v>Abrir no Google Maps</v>
      </c>
      <c r="S6070">
        <v>4</v>
      </c>
      <c r="T6070">
        <v>615.86400245321579</v>
      </c>
      <c r="U6070">
        <v>4</v>
      </c>
      <c r="V6070">
        <v>0.33333333333333331</v>
      </c>
      <c r="W6070">
        <v>0.85</v>
      </c>
      <c r="X6070">
        <v>0.28333333333333333</v>
      </c>
      <c r="Y6070">
        <v>747</v>
      </c>
      <c r="Z6070">
        <v>535.34543763764702</v>
      </c>
      <c r="AA6070">
        <v>198</v>
      </c>
      <c r="AB6070">
        <v>332</v>
      </c>
      <c r="AC6070">
        <v>536</v>
      </c>
      <c r="AD6070">
        <v>26.22</v>
      </c>
      <c r="AE6070">
        <v>542</v>
      </c>
      <c r="AF6070">
        <v>11</v>
      </c>
      <c r="AG6070">
        <v>181</v>
      </c>
      <c r="AH6070">
        <v>129</v>
      </c>
      <c r="AI6070">
        <v>2.0299999999999998</v>
      </c>
      <c r="AJ6070">
        <v>33.39</v>
      </c>
      <c r="AK6070">
        <v>23.8</v>
      </c>
      <c r="AL6070">
        <v>-20.151307349999971</v>
      </c>
      <c r="AM6070">
        <v>-44.909024234051429</v>
      </c>
      <c r="AN6070">
        <v>-20.151307349999971</v>
      </c>
      <c r="AO6070">
        <v>-44.909024234051429</v>
      </c>
      <c r="AP6070">
        <v>-20.151107</v>
      </c>
      <c r="AQ6070">
        <v>-44.908918</v>
      </c>
      <c r="AR6070">
        <v>24.91340747371116</v>
      </c>
      <c r="AS6070" t="s">
        <v>65</v>
      </c>
      <c r="AT6070">
        <v>1</v>
      </c>
      <c r="AU6070" t="s">
        <v>107</v>
      </c>
      <c r="AV6070" t="s">
        <v>105</v>
      </c>
      <c r="AW6070" t="s">
        <v>60</v>
      </c>
      <c r="AX6070" t="s">
        <v>68</v>
      </c>
      <c r="AY6070" t="s">
        <v>69</v>
      </c>
      <c r="AZ6070" t="b">
        <v>1</v>
      </c>
    </row>
    <row r="6071" spans="1:52" x14ac:dyDescent="0.3">
      <c r="A6071" t="s">
        <v>52</v>
      </c>
      <c r="B6071" t="s">
        <v>53</v>
      </c>
      <c r="C6071" t="s">
        <v>54</v>
      </c>
      <c r="D6071" t="s">
        <v>55</v>
      </c>
      <c r="E6071" t="s">
        <v>2281</v>
      </c>
      <c r="F6071" t="s">
        <v>1247</v>
      </c>
      <c r="G6071" t="s">
        <v>108</v>
      </c>
      <c r="H6071" t="s">
        <v>109</v>
      </c>
      <c r="I6071" t="s">
        <v>109</v>
      </c>
      <c r="J6071" t="s">
        <v>60</v>
      </c>
      <c r="K6071" t="s">
        <v>110</v>
      </c>
      <c r="L6071" t="s">
        <v>62</v>
      </c>
      <c r="M6071" t="s">
        <v>110</v>
      </c>
      <c r="N6071" t="s">
        <v>111</v>
      </c>
      <c r="O6071" t="s">
        <v>112</v>
      </c>
      <c r="P6071">
        <v>-20.122233999999999</v>
      </c>
      <c r="Q6071">
        <v>-44.909194999999997</v>
      </c>
      <c r="R6071" s="2" t="str">
        <f>HYPERLINK("https://www.google.com/maps?q=-20.1222340,-44.9091950","Abrir no Google Maps")</f>
        <v>Abrir no Google Maps</v>
      </c>
      <c r="S6071">
        <v>4</v>
      </c>
      <c r="T6071">
        <v>1171.396020763932</v>
      </c>
      <c r="U6071">
        <v>4</v>
      </c>
      <c r="V6071">
        <v>0.1361111111111111</v>
      </c>
      <c r="W6071">
        <v>0.85</v>
      </c>
      <c r="X6071">
        <v>0.11569444444444441</v>
      </c>
      <c r="Y6071">
        <v>567</v>
      </c>
      <c r="Z6071">
        <v>1238.711234283244</v>
      </c>
      <c r="AA6071">
        <v>198</v>
      </c>
      <c r="AB6071">
        <v>332</v>
      </c>
      <c r="AC6071">
        <v>536</v>
      </c>
      <c r="AD6071">
        <v>26.22</v>
      </c>
      <c r="AE6071">
        <v>542</v>
      </c>
      <c r="AF6071">
        <v>11</v>
      </c>
      <c r="AG6071">
        <v>181</v>
      </c>
      <c r="AH6071">
        <v>129</v>
      </c>
      <c r="AI6071">
        <v>2.0299999999999998</v>
      </c>
      <c r="AJ6071">
        <v>33.39</v>
      </c>
      <c r="AK6071">
        <v>23.8</v>
      </c>
      <c r="AL6071">
        <v>-20.121881249999941</v>
      </c>
      <c r="AM6071">
        <v>-44.909273766094323</v>
      </c>
      <c r="AN6071">
        <v>-20.121881249999941</v>
      </c>
      <c r="AO6071">
        <v>-44.909273766094323</v>
      </c>
      <c r="AP6071">
        <v>-20.122233999999999</v>
      </c>
      <c r="AQ6071">
        <v>-44.909194999999997</v>
      </c>
      <c r="AR6071">
        <v>40.12192930593006</v>
      </c>
      <c r="AS6071" t="s">
        <v>65</v>
      </c>
      <c r="AT6071">
        <v>1</v>
      </c>
      <c r="AU6071" t="s">
        <v>113</v>
      </c>
      <c r="AV6071" t="s">
        <v>114</v>
      </c>
      <c r="AW6071" t="s">
        <v>60</v>
      </c>
      <c r="AX6071" t="s">
        <v>68</v>
      </c>
      <c r="AY6071" t="s">
        <v>69</v>
      </c>
      <c r="AZ6071" t="b">
        <v>1</v>
      </c>
    </row>
    <row r="6072" spans="1:52" x14ac:dyDescent="0.3">
      <c r="A6072" t="s">
        <v>52</v>
      </c>
      <c r="B6072" t="s">
        <v>53</v>
      </c>
      <c r="C6072" t="s">
        <v>54</v>
      </c>
      <c r="D6072" t="s">
        <v>55</v>
      </c>
      <c r="E6072" t="s">
        <v>2281</v>
      </c>
      <c r="F6072" t="s">
        <v>1247</v>
      </c>
      <c r="G6072" t="s">
        <v>198</v>
      </c>
      <c r="H6072" t="s">
        <v>199</v>
      </c>
      <c r="I6072" t="s">
        <v>199</v>
      </c>
      <c r="J6072" t="s">
        <v>60</v>
      </c>
      <c r="K6072" t="s">
        <v>200</v>
      </c>
      <c r="L6072" t="s">
        <v>62</v>
      </c>
      <c r="M6072" t="s">
        <v>200</v>
      </c>
      <c r="N6072" t="s">
        <v>201</v>
      </c>
      <c r="O6072" t="s">
        <v>202</v>
      </c>
      <c r="P6072">
        <v>-20.122433000000001</v>
      </c>
      <c r="Q6072">
        <v>-44.897013999999999</v>
      </c>
      <c r="R6072" s="2" t="str">
        <f>HYPERLINK("https://www.google.com/maps?q=-20.1224330,-44.8970140","Abrir no Google Maps")</f>
        <v>Abrir no Google Maps</v>
      </c>
      <c r="S6072">
        <v>4</v>
      </c>
      <c r="T6072">
        <v>616.04759279207849</v>
      </c>
      <c r="U6072">
        <v>4</v>
      </c>
      <c r="V6072">
        <v>0.1431924882629107</v>
      </c>
      <c r="W6072">
        <v>0.85</v>
      </c>
      <c r="X6072">
        <v>0.12171361502347409</v>
      </c>
      <c r="Y6072">
        <v>567</v>
      </c>
      <c r="Z6072">
        <v>655.51024138861465</v>
      </c>
      <c r="AA6072">
        <v>198</v>
      </c>
      <c r="AB6072">
        <v>332</v>
      </c>
      <c r="AC6072">
        <v>536</v>
      </c>
      <c r="AD6072">
        <v>26.22</v>
      </c>
      <c r="AE6072">
        <v>542</v>
      </c>
      <c r="AF6072">
        <v>11</v>
      </c>
      <c r="AG6072">
        <v>181</v>
      </c>
      <c r="AH6072">
        <v>129</v>
      </c>
      <c r="AI6072">
        <v>2.0299999999999998</v>
      </c>
      <c r="AJ6072">
        <v>33.39</v>
      </c>
      <c r="AK6072">
        <v>23.8</v>
      </c>
      <c r="AL6072">
        <v>-20.122144949999949</v>
      </c>
      <c r="AM6072">
        <v>-44.896761973125983</v>
      </c>
      <c r="AN6072">
        <v>-20.122144949999949</v>
      </c>
      <c r="AO6072">
        <v>-44.896761973125983</v>
      </c>
      <c r="AP6072">
        <v>-20.122433000000001</v>
      </c>
      <c r="AQ6072">
        <v>-44.897013999999999</v>
      </c>
      <c r="AR6072">
        <v>41.499066772735389</v>
      </c>
      <c r="AS6072" t="s">
        <v>65</v>
      </c>
      <c r="AT6072">
        <v>1</v>
      </c>
      <c r="AU6072" t="s">
        <v>203</v>
      </c>
      <c r="AV6072" t="s">
        <v>204</v>
      </c>
      <c r="AW6072" t="s">
        <v>60</v>
      </c>
      <c r="AX6072" t="s">
        <v>68</v>
      </c>
      <c r="AY6072" t="s">
        <v>69</v>
      </c>
      <c r="AZ6072" t="b">
        <v>1</v>
      </c>
    </row>
    <row r="6073" spans="1:52" x14ac:dyDescent="0.3">
      <c r="A6073" t="s">
        <v>52</v>
      </c>
      <c r="B6073" t="s">
        <v>53</v>
      </c>
      <c r="C6073" t="s">
        <v>54</v>
      </c>
      <c r="D6073" t="s">
        <v>55</v>
      </c>
      <c r="E6073" t="s">
        <v>2281</v>
      </c>
      <c r="F6073" t="s">
        <v>1247</v>
      </c>
      <c r="G6073" t="s">
        <v>205</v>
      </c>
      <c r="H6073" t="s">
        <v>206</v>
      </c>
      <c r="I6073" t="s">
        <v>206</v>
      </c>
      <c r="J6073" t="s">
        <v>60</v>
      </c>
      <c r="K6073" t="s">
        <v>207</v>
      </c>
      <c r="L6073" t="s">
        <v>62</v>
      </c>
      <c r="M6073" t="s">
        <v>207</v>
      </c>
      <c r="N6073" t="s">
        <v>208</v>
      </c>
      <c r="O6073" t="s">
        <v>209</v>
      </c>
      <c r="P6073">
        <v>-20.117533999999999</v>
      </c>
      <c r="Q6073">
        <v>-44.892943000000002</v>
      </c>
      <c r="R6073" s="2" t="str">
        <f>HYPERLINK("https://www.google.com/maps?q=-20.1175340,-44.8929430","Abrir no Google Maps")</f>
        <v>Abrir no Google Maps</v>
      </c>
      <c r="S6073">
        <v>4</v>
      </c>
      <c r="T6073">
        <v>601.98486688021592</v>
      </c>
      <c r="U6073">
        <v>4</v>
      </c>
      <c r="V6073">
        <v>0.1231884057971014</v>
      </c>
      <c r="W6073">
        <v>0.85</v>
      </c>
      <c r="X6073">
        <v>0.10471014492753621</v>
      </c>
      <c r="Y6073">
        <v>567</v>
      </c>
      <c r="Z6073">
        <v>574.59225706016446</v>
      </c>
      <c r="AA6073">
        <v>198</v>
      </c>
      <c r="AB6073">
        <v>332</v>
      </c>
      <c r="AC6073">
        <v>536</v>
      </c>
      <c r="AD6073">
        <v>26.22</v>
      </c>
      <c r="AE6073">
        <v>542</v>
      </c>
      <c r="AF6073">
        <v>11</v>
      </c>
      <c r="AG6073">
        <v>181</v>
      </c>
      <c r="AH6073">
        <v>129</v>
      </c>
      <c r="AI6073">
        <v>2.0299999999999998</v>
      </c>
      <c r="AJ6073">
        <v>33.39</v>
      </c>
      <c r="AK6073">
        <v>23.8</v>
      </c>
      <c r="AL6073">
        <v>-20.11671494999996</v>
      </c>
      <c r="AM6073">
        <v>-44.89352717833448</v>
      </c>
      <c r="AN6073">
        <v>-20.11671494999996</v>
      </c>
      <c r="AO6073">
        <v>-44.89352717833448</v>
      </c>
      <c r="AP6073">
        <v>-20.117533999999999</v>
      </c>
      <c r="AQ6073">
        <v>-44.892943000000002</v>
      </c>
      <c r="AR6073">
        <v>109.7357164799156</v>
      </c>
      <c r="AS6073" t="s">
        <v>65</v>
      </c>
      <c r="AT6073">
        <v>1</v>
      </c>
      <c r="AU6073" t="s">
        <v>210</v>
      </c>
      <c r="AV6073" t="s">
        <v>211</v>
      </c>
      <c r="AW6073" t="s">
        <v>60</v>
      </c>
      <c r="AX6073" t="s">
        <v>68</v>
      </c>
      <c r="AY6073" t="s">
        <v>69</v>
      </c>
      <c r="AZ6073" t="b">
        <v>1</v>
      </c>
    </row>
    <row r="6074" spans="1:52" x14ac:dyDescent="0.3">
      <c r="A6074" t="s">
        <v>52</v>
      </c>
      <c r="B6074" t="s">
        <v>53</v>
      </c>
      <c r="C6074" t="s">
        <v>54</v>
      </c>
      <c r="D6074" t="s">
        <v>55</v>
      </c>
      <c r="E6074" t="s">
        <v>2281</v>
      </c>
      <c r="F6074" t="s">
        <v>1247</v>
      </c>
      <c r="G6074" t="s">
        <v>191</v>
      </c>
      <c r="H6074" t="s">
        <v>192</v>
      </c>
      <c r="I6074" t="s">
        <v>192</v>
      </c>
      <c r="J6074" t="s">
        <v>60</v>
      </c>
      <c r="K6074" t="s">
        <v>193</v>
      </c>
      <c r="L6074" t="s">
        <v>62</v>
      </c>
      <c r="M6074" t="s">
        <v>193</v>
      </c>
      <c r="N6074" t="s">
        <v>194</v>
      </c>
      <c r="O6074" t="s">
        <v>195</v>
      </c>
      <c r="P6074">
        <v>-20.143266000000001</v>
      </c>
      <c r="Q6074">
        <v>-44.912075000000002</v>
      </c>
      <c r="R6074" s="2" t="str">
        <f>HYPERLINK("https://www.google.com/maps?q=-20.1432660,-44.9120750","Abrir no Google Maps")</f>
        <v>Abrir no Google Maps</v>
      </c>
      <c r="S6074">
        <v>4</v>
      </c>
      <c r="T6074">
        <v>467.04339396175408</v>
      </c>
      <c r="U6074">
        <v>3</v>
      </c>
      <c r="V6074">
        <v>5.3719008264462798E-2</v>
      </c>
      <c r="W6074">
        <v>1</v>
      </c>
      <c r="X6074">
        <v>5.3719008264462798E-2</v>
      </c>
      <c r="Y6074">
        <v>747</v>
      </c>
      <c r="Z6074">
        <v>585.1742452866996</v>
      </c>
      <c r="AA6074">
        <v>198</v>
      </c>
      <c r="AB6074">
        <v>332</v>
      </c>
      <c r="AC6074">
        <v>536</v>
      </c>
      <c r="AD6074">
        <v>26.22</v>
      </c>
      <c r="AE6074">
        <v>542</v>
      </c>
      <c r="AF6074">
        <v>11</v>
      </c>
      <c r="AG6074">
        <v>181</v>
      </c>
      <c r="AH6074">
        <v>129</v>
      </c>
      <c r="AI6074">
        <v>2.0299999999999998</v>
      </c>
      <c r="AJ6074">
        <v>33.39</v>
      </c>
      <c r="AK6074">
        <v>23.8</v>
      </c>
      <c r="AL6074">
        <v>-20.143307949999951</v>
      </c>
      <c r="AM6074">
        <v>-44.912066629431067</v>
      </c>
      <c r="AN6074">
        <v>-20.143307949999951</v>
      </c>
      <c r="AO6074">
        <v>-44.912066629431067</v>
      </c>
      <c r="AP6074">
        <v>-20.143266000000001</v>
      </c>
      <c r="AQ6074">
        <v>-44.912075000000002</v>
      </c>
      <c r="AR6074">
        <v>4.751108024498329</v>
      </c>
      <c r="AS6074" t="s">
        <v>65</v>
      </c>
      <c r="AT6074">
        <v>1</v>
      </c>
      <c r="AU6074" t="s">
        <v>196</v>
      </c>
      <c r="AV6074" t="s">
        <v>197</v>
      </c>
      <c r="AW6074" t="s">
        <v>60</v>
      </c>
      <c r="AX6074" t="s">
        <v>68</v>
      </c>
      <c r="AY6074" t="s">
        <v>69</v>
      </c>
      <c r="AZ6074" t="b">
        <v>1</v>
      </c>
    </row>
    <row r="6075" spans="1:52" x14ac:dyDescent="0.3">
      <c r="A6075" t="s">
        <v>52</v>
      </c>
      <c r="B6075" t="s">
        <v>53</v>
      </c>
      <c r="C6075" t="s">
        <v>54</v>
      </c>
      <c r="D6075" t="s">
        <v>55</v>
      </c>
      <c r="E6075" t="s">
        <v>2281</v>
      </c>
      <c r="F6075" t="s">
        <v>1247</v>
      </c>
      <c r="G6075" t="s">
        <v>1248</v>
      </c>
      <c r="H6075" t="s">
        <v>1249</v>
      </c>
      <c r="I6075" t="s">
        <v>1249</v>
      </c>
      <c r="J6075" t="s">
        <v>60</v>
      </c>
      <c r="K6075" t="s">
        <v>61</v>
      </c>
      <c r="L6075" t="s">
        <v>62</v>
      </c>
      <c r="M6075" t="s">
        <v>61</v>
      </c>
      <c r="N6075" t="s">
        <v>1250</v>
      </c>
      <c r="O6075" t="s">
        <v>202</v>
      </c>
      <c r="P6075">
        <v>-20.145337999999999</v>
      </c>
      <c r="Q6075">
        <v>-44.906260000000003</v>
      </c>
      <c r="R6075" s="2" t="str">
        <f>HYPERLINK("https://www.google.com/maps?q=-20.1453380,-44.9062600","Abrir no Google Maps")</f>
        <v>Abrir no Google Maps</v>
      </c>
      <c r="S6075">
        <v>4</v>
      </c>
      <c r="T6075">
        <v>231.8105263092443</v>
      </c>
      <c r="U6075">
        <v>3</v>
      </c>
      <c r="V6075">
        <v>3.4013605442176797E-2</v>
      </c>
      <c r="W6075">
        <v>0.85</v>
      </c>
      <c r="X6075">
        <v>2.8911564625850279E-2</v>
      </c>
      <c r="Y6075">
        <v>747</v>
      </c>
      <c r="Z6075">
        <v>210.09098260239841</v>
      </c>
      <c r="AA6075">
        <v>198</v>
      </c>
      <c r="AB6075">
        <v>332</v>
      </c>
      <c r="AC6075">
        <v>536</v>
      </c>
      <c r="AD6075">
        <v>26.22</v>
      </c>
      <c r="AE6075">
        <v>542</v>
      </c>
      <c r="AF6075">
        <v>11</v>
      </c>
      <c r="AG6075">
        <v>181</v>
      </c>
      <c r="AH6075">
        <v>129</v>
      </c>
      <c r="AI6075">
        <v>2.0299999999999998</v>
      </c>
      <c r="AJ6075">
        <v>33.39</v>
      </c>
      <c r="AK6075">
        <v>23.8</v>
      </c>
      <c r="AL6075">
        <v>-20.14545934999995</v>
      </c>
      <c r="AM6075">
        <v>-44.906243174283489</v>
      </c>
      <c r="AN6075">
        <v>-20.14545934999995</v>
      </c>
      <c r="AO6075">
        <v>-44.906243174283489</v>
      </c>
      <c r="AP6075">
        <v>-20.145337999999999</v>
      </c>
      <c r="AQ6075">
        <v>-44.906260000000003</v>
      </c>
      <c r="AR6075">
        <v>13.622651392262521</v>
      </c>
      <c r="AS6075" t="s">
        <v>65</v>
      </c>
      <c r="AT6075">
        <v>1</v>
      </c>
      <c r="AU6075" t="s">
        <v>1251</v>
      </c>
      <c r="AV6075" t="s">
        <v>1252</v>
      </c>
      <c r="AW6075" t="s">
        <v>60</v>
      </c>
      <c r="AX6075" t="s">
        <v>68</v>
      </c>
      <c r="AY6075" t="s">
        <v>69</v>
      </c>
      <c r="AZ6075" t="b">
        <v>1</v>
      </c>
    </row>
    <row r="6076" spans="1:52" x14ac:dyDescent="0.3">
      <c r="A6076" t="s">
        <v>52</v>
      </c>
      <c r="B6076" t="s">
        <v>53</v>
      </c>
      <c r="C6076" t="s">
        <v>54</v>
      </c>
      <c r="D6076" t="s">
        <v>55</v>
      </c>
      <c r="E6076" t="s">
        <v>2281</v>
      </c>
      <c r="F6076" t="s">
        <v>1247</v>
      </c>
      <c r="G6076" t="s">
        <v>83</v>
      </c>
      <c r="H6076" t="s">
        <v>1253</v>
      </c>
      <c r="I6076" t="s">
        <v>1253</v>
      </c>
      <c r="J6076" t="s">
        <v>60</v>
      </c>
      <c r="K6076" t="s">
        <v>72</v>
      </c>
      <c r="L6076" t="s">
        <v>62</v>
      </c>
      <c r="M6076" t="s">
        <v>72</v>
      </c>
      <c r="N6076" t="s">
        <v>1254</v>
      </c>
      <c r="O6076" t="s">
        <v>1255</v>
      </c>
      <c r="P6076">
        <v>-20.147164</v>
      </c>
      <c r="Q6076">
        <v>-44.905259000000001</v>
      </c>
      <c r="R6076" s="2" t="str">
        <f>HYPERLINK("https://www.google.com/maps?q=-20.1471640,-44.9052590","Abrir no Google Maps")</f>
        <v>Abrir no Google Maps</v>
      </c>
      <c r="S6076">
        <v>4</v>
      </c>
      <c r="T6076">
        <v>364.08569180502712</v>
      </c>
      <c r="U6076">
        <v>3</v>
      </c>
      <c r="V6076">
        <v>4.6376811594202899E-2</v>
      </c>
      <c r="W6076">
        <v>0.85</v>
      </c>
      <c r="X6076">
        <v>3.9420289855072461E-2</v>
      </c>
      <c r="Y6076">
        <v>747</v>
      </c>
      <c r="Z6076">
        <v>309.89238988435022</v>
      </c>
      <c r="AA6076">
        <v>198</v>
      </c>
      <c r="AB6076">
        <v>332</v>
      </c>
      <c r="AC6076">
        <v>536</v>
      </c>
      <c r="AD6076">
        <v>26.22</v>
      </c>
      <c r="AE6076">
        <v>542</v>
      </c>
      <c r="AF6076">
        <v>11</v>
      </c>
      <c r="AG6076">
        <v>181</v>
      </c>
      <c r="AH6076">
        <v>129</v>
      </c>
      <c r="AI6076">
        <v>2.0299999999999998</v>
      </c>
      <c r="AJ6076">
        <v>33.39</v>
      </c>
      <c r="AK6076">
        <v>23.8</v>
      </c>
      <c r="AL6076">
        <v>-20.14718674999995</v>
      </c>
      <c r="AM6076">
        <v>-44.905292621565764</v>
      </c>
      <c r="AN6076">
        <v>-20.147186749999939</v>
      </c>
      <c r="AO6076">
        <v>-44.905292621565764</v>
      </c>
      <c r="AP6076">
        <v>-20.147164</v>
      </c>
      <c r="AQ6076">
        <v>-44.905259000000001</v>
      </c>
      <c r="AR6076">
        <v>4.3312880650984971</v>
      </c>
      <c r="AS6076" t="s">
        <v>65</v>
      </c>
      <c r="AT6076">
        <v>1</v>
      </c>
      <c r="AU6076" t="s">
        <v>1256</v>
      </c>
      <c r="AV6076" t="s">
        <v>1257</v>
      </c>
      <c r="AW6076" t="s">
        <v>60</v>
      </c>
      <c r="AX6076" t="s">
        <v>68</v>
      </c>
      <c r="AY6076" t="s">
        <v>69</v>
      </c>
      <c r="AZ6076" t="b">
        <v>1</v>
      </c>
    </row>
    <row r="6077" spans="1:52" x14ac:dyDescent="0.3">
      <c r="A6077" t="s">
        <v>52</v>
      </c>
      <c r="B6077" t="s">
        <v>53</v>
      </c>
      <c r="C6077" t="s">
        <v>54</v>
      </c>
      <c r="D6077" t="s">
        <v>55</v>
      </c>
      <c r="E6077" t="s">
        <v>2281</v>
      </c>
      <c r="F6077" t="s">
        <v>1247</v>
      </c>
      <c r="G6077" t="s">
        <v>83</v>
      </c>
      <c r="H6077" t="s">
        <v>84</v>
      </c>
      <c r="I6077" t="s">
        <v>84</v>
      </c>
      <c r="J6077" t="s">
        <v>60</v>
      </c>
      <c r="K6077" t="s">
        <v>61</v>
      </c>
      <c r="L6077" t="s">
        <v>62</v>
      </c>
      <c r="M6077" t="s">
        <v>61</v>
      </c>
      <c r="N6077" t="s">
        <v>85</v>
      </c>
      <c r="O6077" t="s">
        <v>86</v>
      </c>
      <c r="P6077">
        <v>-20.149799000000002</v>
      </c>
      <c r="Q6077">
        <v>-44.906517000000001</v>
      </c>
      <c r="R6077" s="2" t="str">
        <f>HYPERLINK("https://www.google.com/maps?q=-20.1497990,-44.9065170","Abrir no Google Maps")</f>
        <v>Abrir no Google Maps</v>
      </c>
      <c r="S6077">
        <v>4</v>
      </c>
      <c r="T6077">
        <v>487.90051105537998</v>
      </c>
      <c r="U6077">
        <v>3</v>
      </c>
      <c r="V6077">
        <v>5.9171597633136001E-2</v>
      </c>
      <c r="W6077">
        <v>1</v>
      </c>
      <c r="X6077">
        <v>5.9171597633136001E-2</v>
      </c>
      <c r="Y6077">
        <v>747</v>
      </c>
      <c r="Z6077">
        <v>365.93785960107078</v>
      </c>
      <c r="AA6077">
        <v>198</v>
      </c>
      <c r="AB6077">
        <v>332</v>
      </c>
      <c r="AC6077">
        <v>536</v>
      </c>
      <c r="AD6077">
        <v>26.22</v>
      </c>
      <c r="AE6077">
        <v>542</v>
      </c>
      <c r="AF6077">
        <v>11</v>
      </c>
      <c r="AG6077">
        <v>181</v>
      </c>
      <c r="AH6077">
        <v>129</v>
      </c>
      <c r="AI6077">
        <v>2.0299999999999998</v>
      </c>
      <c r="AJ6077">
        <v>33.39</v>
      </c>
      <c r="AK6077">
        <v>23.8</v>
      </c>
      <c r="AL6077">
        <v>-20.149879599999959</v>
      </c>
      <c r="AM6077">
        <v>-44.906746466068469</v>
      </c>
      <c r="AN6077">
        <v>-20.149879599999959</v>
      </c>
      <c r="AO6077">
        <v>-44.906746466068469</v>
      </c>
      <c r="AP6077">
        <v>-20.149799000000002</v>
      </c>
      <c r="AQ6077">
        <v>-44.906517000000001</v>
      </c>
      <c r="AR6077">
        <v>25.604276856970429</v>
      </c>
      <c r="AS6077" t="s">
        <v>65</v>
      </c>
      <c r="AT6077">
        <v>1</v>
      </c>
      <c r="AU6077" t="s">
        <v>87</v>
      </c>
      <c r="AV6077" t="s">
        <v>88</v>
      </c>
      <c r="AW6077" t="s">
        <v>60</v>
      </c>
      <c r="AX6077" t="s">
        <v>68</v>
      </c>
      <c r="AY6077" t="s">
        <v>69</v>
      </c>
      <c r="AZ6077" t="b">
        <v>1</v>
      </c>
    </row>
    <row r="6078" spans="1:52" x14ac:dyDescent="0.3">
      <c r="A6078" t="s">
        <v>52</v>
      </c>
      <c r="B6078" t="s">
        <v>53</v>
      </c>
      <c r="C6078" t="s">
        <v>54</v>
      </c>
      <c r="D6078" t="s">
        <v>55</v>
      </c>
      <c r="E6078" t="s">
        <v>2281</v>
      </c>
      <c r="F6078" t="s">
        <v>1247</v>
      </c>
      <c r="G6078" t="s">
        <v>115</v>
      </c>
      <c r="H6078" t="s">
        <v>116</v>
      </c>
      <c r="I6078" t="s">
        <v>116</v>
      </c>
      <c r="J6078" t="s">
        <v>60</v>
      </c>
      <c r="K6078" t="s">
        <v>117</v>
      </c>
      <c r="L6078" t="s">
        <v>62</v>
      </c>
      <c r="M6078" t="s">
        <v>117</v>
      </c>
      <c r="N6078" t="s">
        <v>118</v>
      </c>
      <c r="O6078" t="s">
        <v>119</v>
      </c>
      <c r="P6078">
        <v>-20.116992</v>
      </c>
      <c r="Q6078">
        <v>-44.899355</v>
      </c>
      <c r="R6078" s="2" t="str">
        <f>HYPERLINK("https://www.google.com/maps?q=-20.1169920,-44.8993550","Abrir no Google Maps")</f>
        <v>Abrir no Google Maps</v>
      </c>
      <c r="S6078">
        <v>4</v>
      </c>
      <c r="T6078">
        <v>0</v>
      </c>
      <c r="U6078">
        <v>3</v>
      </c>
      <c r="V6078">
        <v>6.9518716577540093E-2</v>
      </c>
      <c r="W6078">
        <v>1</v>
      </c>
      <c r="X6078">
        <v>6.9518716577540093E-2</v>
      </c>
      <c r="Y6078">
        <v>567</v>
      </c>
      <c r="Z6078">
        <v>54.913678078353321</v>
      </c>
      <c r="AA6078">
        <v>198</v>
      </c>
      <c r="AB6078">
        <v>332</v>
      </c>
      <c r="AC6078">
        <v>536</v>
      </c>
      <c r="AD6078">
        <v>26.22</v>
      </c>
      <c r="AE6078">
        <v>542</v>
      </c>
      <c r="AF6078">
        <v>11</v>
      </c>
      <c r="AG6078">
        <v>181</v>
      </c>
      <c r="AH6078">
        <v>129</v>
      </c>
      <c r="AI6078">
        <v>2.0299999999999998</v>
      </c>
      <c r="AJ6078">
        <v>33.39</v>
      </c>
      <c r="AK6078">
        <v>23.8</v>
      </c>
      <c r="AL6078">
        <v>-20.117107749999949</v>
      </c>
      <c r="AM6078">
        <v>-44.899271226243108</v>
      </c>
      <c r="AN6078">
        <v>-20.117107749999949</v>
      </c>
      <c r="AO6078">
        <v>-44.899271226243108</v>
      </c>
      <c r="AP6078">
        <v>-20.116992</v>
      </c>
      <c r="AQ6078">
        <v>-44.899355</v>
      </c>
      <c r="AR6078">
        <v>15.579196044083419</v>
      </c>
      <c r="AS6078" t="s">
        <v>65</v>
      </c>
      <c r="AT6078">
        <v>1</v>
      </c>
      <c r="AU6078" t="s">
        <v>120</v>
      </c>
      <c r="AV6078" t="s">
        <v>121</v>
      </c>
      <c r="AW6078" t="s">
        <v>60</v>
      </c>
      <c r="AX6078" t="s">
        <v>68</v>
      </c>
      <c r="AY6078" t="s">
        <v>69</v>
      </c>
      <c r="AZ6078" t="b">
        <v>1</v>
      </c>
    </row>
    <row r="6079" spans="1:52" x14ac:dyDescent="0.3">
      <c r="A6079" t="s">
        <v>52</v>
      </c>
      <c r="B6079" t="s">
        <v>53</v>
      </c>
      <c r="C6079" t="s">
        <v>54</v>
      </c>
      <c r="D6079" t="s">
        <v>55</v>
      </c>
      <c r="E6079" t="s">
        <v>2281</v>
      </c>
      <c r="F6079" t="s">
        <v>1247</v>
      </c>
      <c r="G6079" t="s">
        <v>122</v>
      </c>
      <c r="H6079" t="s">
        <v>123</v>
      </c>
      <c r="I6079" t="s">
        <v>123</v>
      </c>
      <c r="J6079" t="s">
        <v>60</v>
      </c>
      <c r="K6079" t="s">
        <v>117</v>
      </c>
      <c r="L6079" t="s">
        <v>62</v>
      </c>
      <c r="M6079" t="s">
        <v>117</v>
      </c>
      <c r="N6079" t="s">
        <v>124</v>
      </c>
      <c r="O6079" t="s">
        <v>125</v>
      </c>
      <c r="P6079">
        <v>-20.11853</v>
      </c>
      <c r="Q6079">
        <v>-44.896925000000003</v>
      </c>
      <c r="R6079" s="2" t="str">
        <f>HYPERLINK("https://www.google.com/maps?q=-20.1185300,-44.8969250","Abrir no Google Maps")</f>
        <v>Abrir no Google Maps</v>
      </c>
      <c r="S6079">
        <v>4</v>
      </c>
      <c r="T6079">
        <v>325.32255721093247</v>
      </c>
      <c r="U6079">
        <v>3</v>
      </c>
      <c r="V6079">
        <v>7.2016460905349702E-2</v>
      </c>
      <c r="W6079">
        <v>1</v>
      </c>
      <c r="X6079">
        <v>7.2016460905349702E-2</v>
      </c>
      <c r="Y6079">
        <v>567</v>
      </c>
      <c r="Z6079">
        <v>306.04423478678871</v>
      </c>
      <c r="AA6079">
        <v>198</v>
      </c>
      <c r="AB6079">
        <v>332</v>
      </c>
      <c r="AC6079">
        <v>536</v>
      </c>
      <c r="AD6079">
        <v>26.22</v>
      </c>
      <c r="AE6079">
        <v>542</v>
      </c>
      <c r="AF6079">
        <v>11</v>
      </c>
      <c r="AG6079">
        <v>181</v>
      </c>
      <c r="AH6079">
        <v>129</v>
      </c>
      <c r="AI6079">
        <v>2.0299999999999998</v>
      </c>
      <c r="AJ6079">
        <v>33.39</v>
      </c>
      <c r="AK6079">
        <v>23.8</v>
      </c>
      <c r="AL6079">
        <v>-20.118682499999949</v>
      </c>
      <c r="AM6079">
        <v>-44.896643089287927</v>
      </c>
      <c r="AN6079">
        <v>-20.118682499999949</v>
      </c>
      <c r="AO6079">
        <v>-44.896643089287927</v>
      </c>
      <c r="AP6079">
        <v>-20.11853</v>
      </c>
      <c r="AQ6079">
        <v>-44.896925000000003</v>
      </c>
      <c r="AR6079">
        <v>34.007698996886518</v>
      </c>
      <c r="AS6079" t="s">
        <v>65</v>
      </c>
      <c r="AT6079">
        <v>1</v>
      </c>
      <c r="AU6079" t="s">
        <v>126</v>
      </c>
      <c r="AV6079" t="s">
        <v>121</v>
      </c>
      <c r="AW6079" t="s">
        <v>60</v>
      </c>
      <c r="AX6079" t="s">
        <v>68</v>
      </c>
      <c r="AY6079" t="s">
        <v>69</v>
      </c>
      <c r="AZ6079" t="b">
        <v>1</v>
      </c>
    </row>
    <row r="6080" spans="1:52" x14ac:dyDescent="0.3">
      <c r="A6080" t="s">
        <v>52</v>
      </c>
      <c r="B6080" t="s">
        <v>53</v>
      </c>
      <c r="C6080" t="s">
        <v>54</v>
      </c>
      <c r="D6080" t="s">
        <v>55</v>
      </c>
      <c r="E6080" t="s">
        <v>2281</v>
      </c>
      <c r="F6080" t="s">
        <v>1247</v>
      </c>
      <c r="G6080" t="s">
        <v>1258</v>
      </c>
      <c r="H6080" t="s">
        <v>1259</v>
      </c>
      <c r="I6080" t="s">
        <v>1259</v>
      </c>
      <c r="J6080" t="s">
        <v>60</v>
      </c>
      <c r="K6080" t="s">
        <v>905</v>
      </c>
      <c r="L6080" t="s">
        <v>62</v>
      </c>
      <c r="M6080" t="s">
        <v>905</v>
      </c>
      <c r="N6080" t="s">
        <v>1260</v>
      </c>
      <c r="O6080" t="s">
        <v>628</v>
      </c>
      <c r="P6080">
        <v>-20.113569999999999</v>
      </c>
      <c r="Q6080">
        <v>-44.897216</v>
      </c>
      <c r="R6080" s="2" t="str">
        <f>HYPERLINK("https://www.google.com/maps?q=-20.1135700,-44.8972160","Abrir no Google Maps")</f>
        <v>Abrir no Google Maps</v>
      </c>
      <c r="S6080">
        <v>4</v>
      </c>
      <c r="T6080">
        <v>418.54368277643368</v>
      </c>
      <c r="U6080">
        <v>2</v>
      </c>
      <c r="V6080">
        <v>1.5250544662309301E-2</v>
      </c>
      <c r="W6080">
        <v>0.85</v>
      </c>
      <c r="X6080">
        <v>1.2962962962962911E-2</v>
      </c>
      <c r="Y6080">
        <v>567</v>
      </c>
      <c r="Z6080">
        <v>315.02989622191018</v>
      </c>
      <c r="AA6080">
        <v>198</v>
      </c>
      <c r="AB6080">
        <v>332</v>
      </c>
      <c r="AC6080">
        <v>536</v>
      </c>
      <c r="AD6080">
        <v>26.22</v>
      </c>
      <c r="AE6080">
        <v>542</v>
      </c>
      <c r="AF6080">
        <v>11</v>
      </c>
      <c r="AG6080">
        <v>181</v>
      </c>
      <c r="AH6080">
        <v>129</v>
      </c>
      <c r="AI6080">
        <v>2.0299999999999998</v>
      </c>
      <c r="AJ6080">
        <v>33.39</v>
      </c>
      <c r="AK6080">
        <v>23.8</v>
      </c>
      <c r="AL6080">
        <v>-20.113750149999959</v>
      </c>
      <c r="AM6080">
        <v>-44.897427949999937</v>
      </c>
      <c r="AN6080">
        <v>-20.113750149999959</v>
      </c>
      <c r="AO6080">
        <v>-44.897427949999937</v>
      </c>
      <c r="AP6080">
        <v>-20.113569999999999</v>
      </c>
      <c r="AQ6080">
        <v>-44.897216</v>
      </c>
      <c r="AR6080">
        <v>29.883644534822711</v>
      </c>
      <c r="AS6080" t="s">
        <v>65</v>
      </c>
      <c r="AT6080">
        <v>1</v>
      </c>
      <c r="AU6080" t="s">
        <v>1261</v>
      </c>
      <c r="AV6080" t="s">
        <v>1262</v>
      </c>
      <c r="AW6080" t="s">
        <v>60</v>
      </c>
      <c r="AX6080" t="s">
        <v>68</v>
      </c>
      <c r="AY6080" t="s">
        <v>69</v>
      </c>
      <c r="AZ6080" t="b">
        <v>1</v>
      </c>
    </row>
    <row r="6081" spans="1:52" x14ac:dyDescent="0.3">
      <c r="A6081" t="s">
        <v>52</v>
      </c>
      <c r="B6081" t="s">
        <v>53</v>
      </c>
      <c r="C6081" t="s">
        <v>54</v>
      </c>
      <c r="D6081" t="s">
        <v>55</v>
      </c>
      <c r="E6081" t="s">
        <v>2281</v>
      </c>
      <c r="F6081" t="s">
        <v>1247</v>
      </c>
      <c r="G6081" t="s">
        <v>1263</v>
      </c>
      <c r="H6081" t="s">
        <v>1264</v>
      </c>
      <c r="I6081" t="s">
        <v>1264</v>
      </c>
      <c r="J6081" t="s">
        <v>60</v>
      </c>
      <c r="K6081" t="s">
        <v>1265</v>
      </c>
      <c r="L6081" t="s">
        <v>62</v>
      </c>
      <c r="M6081" t="s">
        <v>1265</v>
      </c>
      <c r="N6081" t="s">
        <v>1266</v>
      </c>
      <c r="O6081" t="s">
        <v>1267</v>
      </c>
      <c r="P6081">
        <v>-20.116924000000001</v>
      </c>
      <c r="Q6081">
        <v>-44.906587000000002</v>
      </c>
      <c r="R6081" s="2" t="str">
        <f>HYPERLINK("https://www.google.com/maps?q=-20.1169240,-44.9065870","Abrir no Google Maps")</f>
        <v>Abrir no Google Maps</v>
      </c>
      <c r="S6081">
        <v>4</v>
      </c>
      <c r="T6081">
        <v>745.10453961787857</v>
      </c>
      <c r="U6081">
        <v>1</v>
      </c>
      <c r="V6081">
        <v>0</v>
      </c>
      <c r="W6081">
        <v>0.85</v>
      </c>
      <c r="X6081">
        <v>0</v>
      </c>
      <c r="Y6081">
        <v>567</v>
      </c>
      <c r="Z6081">
        <v>816.44456345071217</v>
      </c>
      <c r="AA6081">
        <v>198</v>
      </c>
      <c r="AB6081">
        <v>332</v>
      </c>
      <c r="AC6081">
        <v>536</v>
      </c>
      <c r="AD6081">
        <v>26.22</v>
      </c>
      <c r="AE6081">
        <v>542</v>
      </c>
      <c r="AF6081">
        <v>11</v>
      </c>
      <c r="AG6081">
        <v>181</v>
      </c>
      <c r="AH6081">
        <v>129</v>
      </c>
      <c r="AI6081">
        <v>2.0299999999999998</v>
      </c>
      <c r="AJ6081">
        <v>33.39</v>
      </c>
      <c r="AK6081">
        <v>23.8</v>
      </c>
      <c r="AL6081">
        <v>-20.117279149999941</v>
      </c>
      <c r="AM6081">
        <v>-44.906397211815133</v>
      </c>
      <c r="AN6081">
        <v>-20.117279149999941</v>
      </c>
      <c r="AO6081">
        <v>-44.906397211815133</v>
      </c>
      <c r="AP6081">
        <v>-20.116924000000001</v>
      </c>
      <c r="AQ6081">
        <v>-44.906587000000002</v>
      </c>
      <c r="AR6081">
        <v>44.233430660980403</v>
      </c>
      <c r="AS6081" t="s">
        <v>65</v>
      </c>
      <c r="AT6081">
        <v>1</v>
      </c>
      <c r="AU6081" t="s">
        <v>1268</v>
      </c>
      <c r="AV6081" t="s">
        <v>1269</v>
      </c>
      <c r="AW6081" t="s">
        <v>60</v>
      </c>
      <c r="AX6081" t="s">
        <v>68</v>
      </c>
      <c r="AY6081" t="s">
        <v>69</v>
      </c>
      <c r="AZ6081" t="b">
        <v>1</v>
      </c>
    </row>
    <row r="6082" spans="1:52" x14ac:dyDescent="0.3">
      <c r="A6082" t="s">
        <v>52</v>
      </c>
      <c r="B6082" t="s">
        <v>53</v>
      </c>
      <c r="C6082" t="s">
        <v>54</v>
      </c>
      <c r="D6082" t="s">
        <v>55</v>
      </c>
      <c r="E6082" t="s">
        <v>2281</v>
      </c>
      <c r="F6082" t="s">
        <v>1247</v>
      </c>
      <c r="G6082" t="s">
        <v>1127</v>
      </c>
      <c r="H6082" t="s">
        <v>1270</v>
      </c>
      <c r="I6082" t="s">
        <v>1270</v>
      </c>
      <c r="J6082" t="s">
        <v>60</v>
      </c>
      <c r="K6082" t="s">
        <v>200</v>
      </c>
      <c r="L6082" t="s">
        <v>62</v>
      </c>
      <c r="M6082" t="s">
        <v>200</v>
      </c>
      <c r="N6082" t="s">
        <v>1271</v>
      </c>
      <c r="O6082" t="s">
        <v>315</v>
      </c>
      <c r="P6082">
        <v>-20.123483</v>
      </c>
      <c r="Q6082">
        <v>-44.904159</v>
      </c>
      <c r="R6082" s="2" t="str">
        <f>HYPERLINK("https://www.google.com/maps?q=-20.1234830,-44.9041590","Abrir no Google Maps")</f>
        <v>Abrir no Google Maps</v>
      </c>
      <c r="S6082">
        <v>4</v>
      </c>
      <c r="T6082">
        <v>1046.2792913459141</v>
      </c>
      <c r="U6082">
        <v>1</v>
      </c>
      <c r="V6082">
        <v>0</v>
      </c>
      <c r="W6082">
        <v>0.85</v>
      </c>
      <c r="X6082">
        <v>0</v>
      </c>
      <c r="Y6082">
        <v>567</v>
      </c>
      <c r="Z6082">
        <v>1072.1273144328541</v>
      </c>
      <c r="AA6082">
        <v>198</v>
      </c>
      <c r="AB6082">
        <v>332</v>
      </c>
      <c r="AC6082">
        <v>536</v>
      </c>
      <c r="AD6082">
        <v>26.22</v>
      </c>
      <c r="AE6082">
        <v>542</v>
      </c>
      <c r="AF6082">
        <v>11</v>
      </c>
      <c r="AG6082">
        <v>181</v>
      </c>
      <c r="AH6082">
        <v>129</v>
      </c>
      <c r="AI6082">
        <v>2.0299999999999998</v>
      </c>
      <c r="AJ6082">
        <v>33.39</v>
      </c>
      <c r="AK6082">
        <v>23.8</v>
      </c>
      <c r="AL6082">
        <v>-20.12548399999994</v>
      </c>
      <c r="AM6082">
        <v>-44.903913990586467</v>
      </c>
      <c r="AN6082">
        <v>-20.12548399999994</v>
      </c>
      <c r="AO6082">
        <v>-44.903913990586467</v>
      </c>
      <c r="AP6082">
        <v>-20.123483</v>
      </c>
      <c r="AQ6082">
        <v>-44.904159</v>
      </c>
      <c r="AR6082">
        <v>224.218591682908</v>
      </c>
      <c r="AS6082" t="s">
        <v>65</v>
      </c>
      <c r="AT6082">
        <v>1</v>
      </c>
      <c r="AU6082" t="s">
        <v>1272</v>
      </c>
      <c r="AV6082" t="s">
        <v>1273</v>
      </c>
      <c r="AW6082" t="s">
        <v>60</v>
      </c>
      <c r="AX6082" t="s">
        <v>68</v>
      </c>
      <c r="AY6082" t="s">
        <v>69</v>
      </c>
      <c r="AZ6082" t="b">
        <v>1</v>
      </c>
    </row>
    <row r="6083" spans="1:52" x14ac:dyDescent="0.3">
      <c r="A6083" t="s">
        <v>52</v>
      </c>
      <c r="B6083" t="s">
        <v>53</v>
      </c>
      <c r="C6083" t="s">
        <v>54</v>
      </c>
      <c r="D6083" t="s">
        <v>55</v>
      </c>
      <c r="E6083" t="s">
        <v>2281</v>
      </c>
      <c r="F6083" t="s">
        <v>1247</v>
      </c>
      <c r="G6083" t="s">
        <v>386</v>
      </c>
      <c r="H6083" t="s">
        <v>387</v>
      </c>
      <c r="I6083" t="s">
        <v>387</v>
      </c>
      <c r="J6083" t="s">
        <v>60</v>
      </c>
      <c r="K6083" t="s">
        <v>388</v>
      </c>
      <c r="L6083" t="s">
        <v>62</v>
      </c>
      <c r="M6083" t="s">
        <v>388</v>
      </c>
      <c r="N6083" t="s">
        <v>389</v>
      </c>
      <c r="O6083" t="s">
        <v>357</v>
      </c>
      <c r="P6083">
        <v>-20.161041999999998</v>
      </c>
      <c r="Q6083">
        <v>-44.901242000000003</v>
      </c>
      <c r="R6083" s="2" t="str">
        <f>HYPERLINK("https://www.google.com/maps?q=-20.1610420,-44.9012420","Abrir no Google Maps")</f>
        <v>Abrir no Google Maps</v>
      </c>
      <c r="S6083">
        <v>3</v>
      </c>
      <c r="T6083">
        <v>440.22183232279212</v>
      </c>
      <c r="U6083">
        <v>4</v>
      </c>
      <c r="V6083">
        <v>9.00900900900901E-2</v>
      </c>
      <c r="W6083">
        <v>1</v>
      </c>
      <c r="X6083">
        <v>9.00900900900901E-2</v>
      </c>
      <c r="Y6083">
        <v>729</v>
      </c>
      <c r="Z6083">
        <v>398.48306829302379</v>
      </c>
      <c r="AA6083">
        <v>198</v>
      </c>
      <c r="AB6083">
        <v>332</v>
      </c>
      <c r="AC6083">
        <v>536</v>
      </c>
      <c r="AD6083">
        <v>26.22</v>
      </c>
      <c r="AE6083">
        <v>542</v>
      </c>
      <c r="AF6083">
        <v>11</v>
      </c>
      <c r="AG6083">
        <v>181</v>
      </c>
      <c r="AH6083">
        <v>129</v>
      </c>
      <c r="AI6083">
        <v>2.0299999999999998</v>
      </c>
      <c r="AJ6083">
        <v>33.39</v>
      </c>
      <c r="AK6083">
        <v>23.8</v>
      </c>
      <c r="AL6083">
        <v>-20.16176629999995</v>
      </c>
      <c r="AM6083">
        <v>-44.901582787827898</v>
      </c>
      <c r="AN6083">
        <v>-20.16176629999995</v>
      </c>
      <c r="AO6083">
        <v>-44.901582787827898</v>
      </c>
      <c r="AP6083">
        <v>-20.161041999999998</v>
      </c>
      <c r="AQ6083">
        <v>-44.901242000000003</v>
      </c>
      <c r="AR6083">
        <v>88.143369157892835</v>
      </c>
      <c r="AS6083" t="s">
        <v>65</v>
      </c>
      <c r="AT6083">
        <v>1</v>
      </c>
      <c r="AU6083" t="s">
        <v>390</v>
      </c>
      <c r="AV6083" t="s">
        <v>391</v>
      </c>
      <c r="AW6083" t="s">
        <v>60</v>
      </c>
      <c r="AX6083" t="s">
        <v>68</v>
      </c>
      <c r="AY6083" t="s">
        <v>69</v>
      </c>
      <c r="AZ6083" t="b">
        <v>1</v>
      </c>
    </row>
    <row r="6084" spans="1:52" x14ac:dyDescent="0.3">
      <c r="A6084" t="s">
        <v>52</v>
      </c>
      <c r="B6084" t="s">
        <v>53</v>
      </c>
      <c r="C6084" t="s">
        <v>54</v>
      </c>
      <c r="D6084" t="s">
        <v>55</v>
      </c>
      <c r="E6084" t="s">
        <v>2281</v>
      </c>
      <c r="F6084" t="s">
        <v>1247</v>
      </c>
      <c r="G6084" t="s">
        <v>398</v>
      </c>
      <c r="H6084" t="s">
        <v>399</v>
      </c>
      <c r="I6084" t="s">
        <v>399</v>
      </c>
      <c r="J6084" t="s">
        <v>60</v>
      </c>
      <c r="K6084" t="s">
        <v>388</v>
      </c>
      <c r="L6084" t="s">
        <v>62</v>
      </c>
      <c r="M6084" t="s">
        <v>388</v>
      </c>
      <c r="N6084" t="s">
        <v>400</v>
      </c>
      <c r="O6084" t="s">
        <v>401</v>
      </c>
      <c r="P6084">
        <v>-20.160157000000002</v>
      </c>
      <c r="Q6084">
        <v>-44.904347999999999</v>
      </c>
      <c r="R6084" s="2" t="str">
        <f>HYPERLINK("https://www.google.com/maps?q=-20.1601570,-44.9043480","Abrir no Google Maps")</f>
        <v>Abrir no Google Maps</v>
      </c>
      <c r="S6084">
        <v>3</v>
      </c>
      <c r="T6084">
        <v>469.26088527154809</v>
      </c>
      <c r="U6084">
        <v>4</v>
      </c>
      <c r="V6084">
        <v>0.13043478260869559</v>
      </c>
      <c r="W6084">
        <v>1</v>
      </c>
      <c r="X6084">
        <v>0.13043478260869559</v>
      </c>
      <c r="Y6084">
        <v>729</v>
      </c>
      <c r="Z6084">
        <v>253.57832452309071</v>
      </c>
      <c r="AA6084">
        <v>198</v>
      </c>
      <c r="AB6084">
        <v>332</v>
      </c>
      <c r="AC6084">
        <v>536</v>
      </c>
      <c r="AD6084">
        <v>26.22</v>
      </c>
      <c r="AE6084">
        <v>542</v>
      </c>
      <c r="AF6084">
        <v>11</v>
      </c>
      <c r="AG6084">
        <v>181</v>
      </c>
      <c r="AH6084">
        <v>129</v>
      </c>
      <c r="AI6084">
        <v>2.0299999999999998</v>
      </c>
      <c r="AJ6084">
        <v>33.39</v>
      </c>
      <c r="AK6084">
        <v>23.8</v>
      </c>
      <c r="AL6084">
        <v>-20.160007949999969</v>
      </c>
      <c r="AM6084">
        <v>-44.904396608560482</v>
      </c>
      <c r="AN6084">
        <v>-20.160007949999969</v>
      </c>
      <c r="AO6084">
        <v>-44.904396608560482</v>
      </c>
      <c r="AP6084">
        <v>-20.160157000000002</v>
      </c>
      <c r="AQ6084">
        <v>-44.904347999999999</v>
      </c>
      <c r="AR6084">
        <v>17.35237255387942</v>
      </c>
      <c r="AS6084" t="s">
        <v>65</v>
      </c>
      <c r="AT6084">
        <v>1</v>
      </c>
      <c r="AU6084" t="s">
        <v>402</v>
      </c>
      <c r="AV6084" t="s">
        <v>403</v>
      </c>
      <c r="AW6084" t="s">
        <v>60</v>
      </c>
      <c r="AX6084" t="s">
        <v>68</v>
      </c>
      <c r="AY6084" t="s">
        <v>69</v>
      </c>
      <c r="AZ6084" t="b">
        <v>1</v>
      </c>
    </row>
    <row r="6085" spans="1:52" x14ac:dyDescent="0.3">
      <c r="A6085" t="s">
        <v>52</v>
      </c>
      <c r="B6085" t="s">
        <v>53</v>
      </c>
      <c r="C6085" t="s">
        <v>54</v>
      </c>
      <c r="D6085" t="s">
        <v>55</v>
      </c>
      <c r="E6085" t="s">
        <v>2281</v>
      </c>
      <c r="F6085" t="s">
        <v>1247</v>
      </c>
      <c r="G6085" t="s">
        <v>404</v>
      </c>
      <c r="H6085" t="s">
        <v>405</v>
      </c>
      <c r="I6085" t="s">
        <v>405</v>
      </c>
      <c r="J6085" t="s">
        <v>60</v>
      </c>
      <c r="K6085" t="s">
        <v>388</v>
      </c>
      <c r="L6085" t="s">
        <v>62</v>
      </c>
      <c r="M6085" t="s">
        <v>388</v>
      </c>
      <c r="N6085" t="s">
        <v>406</v>
      </c>
      <c r="O6085" t="s">
        <v>407</v>
      </c>
      <c r="P6085">
        <v>-20.162780999999999</v>
      </c>
      <c r="Q6085">
        <v>-44.904437999999999</v>
      </c>
      <c r="R6085" s="2" t="str">
        <f>HYPERLINK("https://www.google.com/maps?q=-20.1627810,-44.9044380","Abrir no Google Maps")</f>
        <v>Abrir no Google Maps</v>
      </c>
      <c r="S6085">
        <v>3</v>
      </c>
      <c r="T6085">
        <v>681.0891377731482</v>
      </c>
      <c r="U6085">
        <v>4</v>
      </c>
      <c r="V6085">
        <v>0.138401559454191</v>
      </c>
      <c r="W6085">
        <v>1</v>
      </c>
      <c r="X6085">
        <v>0.138401559454191</v>
      </c>
      <c r="Y6085">
        <v>729</v>
      </c>
      <c r="Z6085">
        <v>564.17713687218622</v>
      </c>
      <c r="AA6085">
        <v>198</v>
      </c>
      <c r="AB6085">
        <v>332</v>
      </c>
      <c r="AC6085">
        <v>536</v>
      </c>
      <c r="AD6085">
        <v>26.22</v>
      </c>
      <c r="AE6085">
        <v>542</v>
      </c>
      <c r="AF6085">
        <v>11</v>
      </c>
      <c r="AG6085">
        <v>181</v>
      </c>
      <c r="AH6085">
        <v>129</v>
      </c>
      <c r="AI6085">
        <v>2.0299999999999998</v>
      </c>
      <c r="AJ6085">
        <v>33.39</v>
      </c>
      <c r="AK6085">
        <v>23.8</v>
      </c>
      <c r="AL6085">
        <v>-20.16295434999995</v>
      </c>
      <c r="AM6085">
        <v>-44.904242686956152</v>
      </c>
      <c r="AN6085">
        <v>-20.16295434999995</v>
      </c>
      <c r="AO6085">
        <v>-44.904242686956152</v>
      </c>
      <c r="AP6085">
        <v>-20.162780999999999</v>
      </c>
      <c r="AQ6085">
        <v>-44.904437999999999</v>
      </c>
      <c r="AR6085">
        <v>28.088191280523411</v>
      </c>
      <c r="AS6085" t="s">
        <v>65</v>
      </c>
      <c r="AT6085">
        <v>1</v>
      </c>
      <c r="AU6085" t="s">
        <v>408</v>
      </c>
      <c r="AV6085" t="s">
        <v>409</v>
      </c>
      <c r="AW6085" t="s">
        <v>60</v>
      </c>
      <c r="AX6085" t="s">
        <v>68</v>
      </c>
      <c r="AY6085" t="s">
        <v>69</v>
      </c>
      <c r="AZ6085" t="b">
        <v>1</v>
      </c>
    </row>
    <row r="6086" spans="1:52" x14ac:dyDescent="0.3">
      <c r="A6086" t="s">
        <v>52</v>
      </c>
      <c r="B6086" t="s">
        <v>53</v>
      </c>
      <c r="C6086" t="s">
        <v>54</v>
      </c>
      <c r="D6086" t="s">
        <v>55</v>
      </c>
      <c r="E6086" t="s">
        <v>2281</v>
      </c>
      <c r="F6086" t="s">
        <v>1247</v>
      </c>
      <c r="G6086" t="s">
        <v>410</v>
      </c>
      <c r="H6086" t="s">
        <v>411</v>
      </c>
      <c r="I6086" t="s">
        <v>411</v>
      </c>
      <c r="J6086" t="s">
        <v>60</v>
      </c>
      <c r="K6086" t="s">
        <v>388</v>
      </c>
      <c r="L6086" t="s">
        <v>62</v>
      </c>
      <c r="M6086" t="s">
        <v>388</v>
      </c>
      <c r="N6086" t="s">
        <v>412</v>
      </c>
      <c r="O6086" t="s">
        <v>413</v>
      </c>
      <c r="P6086">
        <v>-20.161394000000001</v>
      </c>
      <c r="Q6086">
        <v>-44.906725999999999</v>
      </c>
      <c r="R6086" s="2" t="str">
        <f>HYPERLINK("https://www.google.com/maps?q=-20.1613940,-44.9067260","Abrir no Google Maps")</f>
        <v>Abrir no Google Maps</v>
      </c>
      <c r="S6086">
        <v>3</v>
      </c>
      <c r="T6086">
        <v>763.68157548493457</v>
      </c>
      <c r="U6086">
        <v>4</v>
      </c>
      <c r="V6086">
        <v>0.1510416666666666</v>
      </c>
      <c r="W6086">
        <v>1</v>
      </c>
      <c r="X6086">
        <v>0.1510416666666666</v>
      </c>
      <c r="Y6086">
        <v>729</v>
      </c>
      <c r="Z6086">
        <v>551.70379325948545</v>
      </c>
      <c r="AA6086">
        <v>198</v>
      </c>
      <c r="AB6086">
        <v>332</v>
      </c>
      <c r="AC6086">
        <v>536</v>
      </c>
      <c r="AD6086">
        <v>26.22</v>
      </c>
      <c r="AE6086">
        <v>542</v>
      </c>
      <c r="AF6086">
        <v>11</v>
      </c>
      <c r="AG6086">
        <v>181</v>
      </c>
      <c r="AH6086">
        <v>129</v>
      </c>
      <c r="AI6086">
        <v>2.0299999999999998</v>
      </c>
      <c r="AJ6086">
        <v>33.39</v>
      </c>
      <c r="AK6086">
        <v>23.8</v>
      </c>
      <c r="AL6086">
        <v>-20.161371049999929</v>
      </c>
      <c r="AM6086">
        <v>-44.906816797310228</v>
      </c>
      <c r="AN6086">
        <v>-20.161371049999929</v>
      </c>
      <c r="AO6086">
        <v>-44.906816797310228</v>
      </c>
      <c r="AP6086">
        <v>-20.161394000000001</v>
      </c>
      <c r="AQ6086">
        <v>-44.906725999999999</v>
      </c>
      <c r="AR6086">
        <v>9.8261555662022495</v>
      </c>
      <c r="AS6086" t="s">
        <v>65</v>
      </c>
      <c r="AT6086">
        <v>1</v>
      </c>
      <c r="AU6086" t="s">
        <v>414</v>
      </c>
      <c r="AV6086" t="s">
        <v>415</v>
      </c>
      <c r="AW6086" t="s">
        <v>60</v>
      </c>
      <c r="AX6086" t="s">
        <v>68</v>
      </c>
      <c r="AY6086" t="s">
        <v>69</v>
      </c>
      <c r="AZ6086" t="b">
        <v>1</v>
      </c>
    </row>
    <row r="6087" spans="1:52" x14ac:dyDescent="0.3">
      <c r="A6087" t="s">
        <v>52</v>
      </c>
      <c r="B6087" t="s">
        <v>53</v>
      </c>
      <c r="C6087" t="s">
        <v>54</v>
      </c>
      <c r="D6087" t="s">
        <v>55</v>
      </c>
      <c r="E6087" t="s">
        <v>2281</v>
      </c>
      <c r="F6087" t="s">
        <v>1247</v>
      </c>
      <c r="G6087" t="s">
        <v>416</v>
      </c>
      <c r="H6087" t="s">
        <v>417</v>
      </c>
      <c r="I6087" t="s">
        <v>417</v>
      </c>
      <c r="J6087" t="s">
        <v>60</v>
      </c>
      <c r="K6087" t="s">
        <v>418</v>
      </c>
      <c r="L6087" t="s">
        <v>62</v>
      </c>
      <c r="M6087" t="s">
        <v>418</v>
      </c>
      <c r="N6087" t="s">
        <v>419</v>
      </c>
      <c r="O6087" t="s">
        <v>202</v>
      </c>
      <c r="P6087">
        <v>-20.169886000000002</v>
      </c>
      <c r="Q6087">
        <v>-44.913288000000001</v>
      </c>
      <c r="R6087" s="2" t="str">
        <f>HYPERLINK("https://www.google.com/maps?q=-20.1698860,-44.9132880","Abrir no Google Maps")</f>
        <v>Abrir no Google Maps</v>
      </c>
      <c r="S6087">
        <v>3</v>
      </c>
      <c r="T6087">
        <v>422.88733632898152</v>
      </c>
      <c r="U6087">
        <v>4</v>
      </c>
      <c r="V6087">
        <v>8.8669950738916203E-2</v>
      </c>
      <c r="W6087">
        <v>1</v>
      </c>
      <c r="X6087">
        <v>8.8669950738916203E-2</v>
      </c>
      <c r="Y6087">
        <v>723</v>
      </c>
      <c r="Z6087">
        <v>128.65003864232261</v>
      </c>
      <c r="AA6087">
        <v>198</v>
      </c>
      <c r="AB6087">
        <v>332</v>
      </c>
      <c r="AC6087">
        <v>536</v>
      </c>
      <c r="AD6087">
        <v>26.22</v>
      </c>
      <c r="AE6087">
        <v>542</v>
      </c>
      <c r="AF6087">
        <v>11</v>
      </c>
      <c r="AG6087">
        <v>181</v>
      </c>
      <c r="AH6087">
        <v>129</v>
      </c>
      <c r="AI6087">
        <v>2.0299999999999998</v>
      </c>
      <c r="AJ6087">
        <v>33.39</v>
      </c>
      <c r="AK6087">
        <v>23.8</v>
      </c>
      <c r="AL6087">
        <v>-20.16970024999998</v>
      </c>
      <c r="AM6087">
        <v>-44.913502201257437</v>
      </c>
      <c r="AN6087">
        <v>-20.16970024999998</v>
      </c>
      <c r="AO6087">
        <v>-44.913502201257437</v>
      </c>
      <c r="AP6087">
        <v>-20.169886000000002</v>
      </c>
      <c r="AQ6087">
        <v>-44.913288000000001</v>
      </c>
      <c r="AR6087">
        <v>30.47208587597606</v>
      </c>
      <c r="AS6087" t="s">
        <v>65</v>
      </c>
      <c r="AT6087">
        <v>1</v>
      </c>
      <c r="AU6087" t="s">
        <v>420</v>
      </c>
      <c r="AV6087" t="s">
        <v>421</v>
      </c>
      <c r="AW6087" t="s">
        <v>60</v>
      </c>
      <c r="AX6087" t="s">
        <v>68</v>
      </c>
      <c r="AY6087" t="s">
        <v>69</v>
      </c>
      <c r="AZ6087" t="b">
        <v>1</v>
      </c>
    </row>
    <row r="6088" spans="1:52" x14ac:dyDescent="0.3">
      <c r="A6088" t="s">
        <v>52</v>
      </c>
      <c r="B6088" t="s">
        <v>53</v>
      </c>
      <c r="C6088" t="s">
        <v>54</v>
      </c>
      <c r="D6088" t="s">
        <v>55</v>
      </c>
      <c r="E6088" t="s">
        <v>2281</v>
      </c>
      <c r="F6088" t="s">
        <v>1247</v>
      </c>
      <c r="G6088" t="s">
        <v>1307</v>
      </c>
      <c r="H6088" t="s">
        <v>1308</v>
      </c>
      <c r="I6088" t="s">
        <v>1308</v>
      </c>
      <c r="J6088" t="s">
        <v>60</v>
      </c>
      <c r="K6088" t="s">
        <v>1302</v>
      </c>
      <c r="L6088" t="s">
        <v>62</v>
      </c>
      <c r="M6088" t="s">
        <v>1302</v>
      </c>
      <c r="N6088" t="s">
        <v>558</v>
      </c>
      <c r="O6088" t="s">
        <v>1309</v>
      </c>
      <c r="P6088">
        <v>-20.169051</v>
      </c>
      <c r="Q6088">
        <v>-44.910093000000003</v>
      </c>
      <c r="R6088" s="2" t="str">
        <f>HYPERLINK("https://www.google.com/maps?q=-20.1690510,-44.9100930","Abrir no Google Maps")</f>
        <v>Abrir no Google Maps</v>
      </c>
      <c r="S6088">
        <v>3</v>
      </c>
      <c r="T6088">
        <v>375.90504489887479</v>
      </c>
      <c r="U6088">
        <v>4</v>
      </c>
      <c r="V6088">
        <v>0.19047619047619041</v>
      </c>
      <c r="W6088">
        <v>0.85</v>
      </c>
      <c r="X6088">
        <v>0.16190476190476191</v>
      </c>
      <c r="Y6088">
        <v>723</v>
      </c>
      <c r="Z6088">
        <v>456.19893675176831</v>
      </c>
      <c r="AA6088">
        <v>198</v>
      </c>
      <c r="AB6088">
        <v>332</v>
      </c>
      <c r="AC6088">
        <v>536</v>
      </c>
      <c r="AD6088">
        <v>26.22</v>
      </c>
      <c r="AE6088">
        <v>542</v>
      </c>
      <c r="AF6088">
        <v>11</v>
      </c>
      <c r="AG6088">
        <v>181</v>
      </c>
      <c r="AH6088">
        <v>129</v>
      </c>
      <c r="AI6088">
        <v>2.0299999999999998</v>
      </c>
      <c r="AJ6088">
        <v>33.39</v>
      </c>
      <c r="AK6088">
        <v>23.8</v>
      </c>
      <c r="AL6088">
        <v>-20.168810949999941</v>
      </c>
      <c r="AM6088">
        <v>-44.910156475447927</v>
      </c>
      <c r="AN6088">
        <v>-20.168810949999941</v>
      </c>
      <c r="AO6088">
        <v>-44.910156475447927</v>
      </c>
      <c r="AP6088">
        <v>-20.169051</v>
      </c>
      <c r="AQ6088">
        <v>-44.910093000000003</v>
      </c>
      <c r="AR6088">
        <v>27.533232396417059</v>
      </c>
      <c r="AS6088" t="s">
        <v>65</v>
      </c>
      <c r="AT6088">
        <v>1</v>
      </c>
      <c r="AU6088" t="s">
        <v>1310</v>
      </c>
      <c r="AV6088" t="s">
        <v>1311</v>
      </c>
      <c r="AW6088" t="s">
        <v>60</v>
      </c>
      <c r="AX6088" t="s">
        <v>68</v>
      </c>
      <c r="AY6088" t="s">
        <v>69</v>
      </c>
      <c r="AZ6088" t="b">
        <v>1</v>
      </c>
    </row>
    <row r="6089" spans="1:52" x14ac:dyDescent="0.3">
      <c r="A6089" t="s">
        <v>52</v>
      </c>
      <c r="B6089" t="s">
        <v>53</v>
      </c>
      <c r="C6089" t="s">
        <v>54</v>
      </c>
      <c r="D6089" t="s">
        <v>55</v>
      </c>
      <c r="E6089" t="s">
        <v>2281</v>
      </c>
      <c r="F6089" t="s">
        <v>1247</v>
      </c>
      <c r="G6089" t="s">
        <v>845</v>
      </c>
      <c r="H6089" t="s">
        <v>846</v>
      </c>
      <c r="I6089" t="s">
        <v>846</v>
      </c>
      <c r="J6089" t="s">
        <v>60</v>
      </c>
      <c r="K6089" t="s">
        <v>424</v>
      </c>
      <c r="L6089" t="s">
        <v>62</v>
      </c>
      <c r="M6089" t="s">
        <v>424</v>
      </c>
      <c r="N6089" t="s">
        <v>847</v>
      </c>
      <c r="O6089" t="s">
        <v>848</v>
      </c>
      <c r="P6089">
        <v>-20.175523999999999</v>
      </c>
      <c r="Q6089">
        <v>-44.918016999999999</v>
      </c>
      <c r="R6089" s="2" t="str">
        <f>HYPERLINK("https://www.google.com/maps?q=-20.1755240,-44.9180170","Abrir no Google Maps")</f>
        <v>Abrir no Google Maps</v>
      </c>
      <c r="S6089">
        <v>3</v>
      </c>
      <c r="T6089">
        <v>833.59191671824021</v>
      </c>
      <c r="U6089">
        <v>4</v>
      </c>
      <c r="V6089">
        <v>0.1375661375661375</v>
      </c>
      <c r="W6089">
        <v>0.85</v>
      </c>
      <c r="X6089">
        <v>0.1169312169312169</v>
      </c>
      <c r="Y6089">
        <v>723</v>
      </c>
      <c r="Z6089">
        <v>701.05790658871581</v>
      </c>
      <c r="AA6089">
        <v>198</v>
      </c>
      <c r="AB6089">
        <v>332</v>
      </c>
      <c r="AC6089">
        <v>536</v>
      </c>
      <c r="AD6089">
        <v>26.22</v>
      </c>
      <c r="AE6089">
        <v>542</v>
      </c>
      <c r="AF6089">
        <v>11</v>
      </c>
      <c r="AG6089">
        <v>181</v>
      </c>
      <c r="AH6089">
        <v>129</v>
      </c>
      <c r="AI6089">
        <v>2.0299999999999998</v>
      </c>
      <c r="AJ6089">
        <v>33.39</v>
      </c>
      <c r="AK6089">
        <v>23.8</v>
      </c>
      <c r="AL6089">
        <v>-20.17533859999995</v>
      </c>
      <c r="AM6089">
        <v>-44.917689627873088</v>
      </c>
      <c r="AN6089">
        <v>-20.17533859999995</v>
      </c>
      <c r="AO6089">
        <v>-44.917689627873088</v>
      </c>
      <c r="AP6089">
        <v>-20.175523999999999</v>
      </c>
      <c r="AQ6089">
        <v>-44.918016999999999</v>
      </c>
      <c r="AR6089">
        <v>39.950898228213873</v>
      </c>
      <c r="AS6089" t="s">
        <v>65</v>
      </c>
      <c r="AT6089">
        <v>1</v>
      </c>
      <c r="AU6089" t="s">
        <v>849</v>
      </c>
      <c r="AV6089" t="s">
        <v>850</v>
      </c>
      <c r="AW6089" t="s">
        <v>60</v>
      </c>
      <c r="AX6089" t="s">
        <v>68</v>
      </c>
      <c r="AY6089" t="s">
        <v>69</v>
      </c>
      <c r="AZ6089" t="b">
        <v>1</v>
      </c>
    </row>
    <row r="6090" spans="1:52" x14ac:dyDescent="0.3">
      <c r="A6090" t="s">
        <v>52</v>
      </c>
      <c r="B6090" t="s">
        <v>53</v>
      </c>
      <c r="C6090" t="s">
        <v>54</v>
      </c>
      <c r="D6090" t="s">
        <v>55</v>
      </c>
      <c r="E6090" t="s">
        <v>2281</v>
      </c>
      <c r="F6090" t="s">
        <v>1247</v>
      </c>
      <c r="G6090" t="s">
        <v>429</v>
      </c>
      <c r="H6090" t="s">
        <v>430</v>
      </c>
      <c r="I6090" t="s">
        <v>430</v>
      </c>
      <c r="J6090" t="s">
        <v>60</v>
      </c>
      <c r="K6090" t="s">
        <v>431</v>
      </c>
      <c r="L6090" t="s">
        <v>62</v>
      </c>
      <c r="M6090" t="s">
        <v>431</v>
      </c>
      <c r="N6090" t="s">
        <v>432</v>
      </c>
      <c r="O6090" t="s">
        <v>315</v>
      </c>
      <c r="P6090">
        <v>-20.172698</v>
      </c>
      <c r="Q6090">
        <v>-44.923842</v>
      </c>
      <c r="R6090" s="2" t="str">
        <f>HYPERLINK("https://www.google.com/maps?q=-20.1726980,-44.9238420","Abrir no Google Maps")</f>
        <v>Abrir no Google Maps</v>
      </c>
      <c r="S6090">
        <v>3</v>
      </c>
      <c r="T6090">
        <v>1376.1843173402931</v>
      </c>
      <c r="U6090">
        <v>4</v>
      </c>
      <c r="V6090">
        <v>0.29556650246305421</v>
      </c>
      <c r="W6090">
        <v>0.85</v>
      </c>
      <c r="X6090">
        <v>0.25123152709359609</v>
      </c>
      <c r="Y6090">
        <v>723</v>
      </c>
      <c r="Z6090">
        <v>1101.340635002096</v>
      </c>
      <c r="AA6090">
        <v>198</v>
      </c>
      <c r="AB6090">
        <v>332</v>
      </c>
      <c r="AC6090">
        <v>536</v>
      </c>
      <c r="AD6090">
        <v>26.22</v>
      </c>
      <c r="AE6090">
        <v>542</v>
      </c>
      <c r="AF6090">
        <v>11</v>
      </c>
      <c r="AG6090">
        <v>181</v>
      </c>
      <c r="AH6090">
        <v>129</v>
      </c>
      <c r="AI6090">
        <v>2.0299999999999998</v>
      </c>
      <c r="AJ6090">
        <v>33.39</v>
      </c>
      <c r="AK6090">
        <v>23.8</v>
      </c>
      <c r="AL6090">
        <v>-20.172942799999959</v>
      </c>
      <c r="AM6090">
        <v>-44.923585372665762</v>
      </c>
      <c r="AN6090">
        <v>-20.172942799999959</v>
      </c>
      <c r="AO6090">
        <v>-44.923585372665762</v>
      </c>
      <c r="AP6090">
        <v>-20.172698</v>
      </c>
      <c r="AQ6090">
        <v>-44.923842</v>
      </c>
      <c r="AR6090">
        <v>38.231981408478958</v>
      </c>
      <c r="AS6090" t="s">
        <v>65</v>
      </c>
      <c r="AT6090">
        <v>1</v>
      </c>
      <c r="AU6090" t="s">
        <v>433</v>
      </c>
      <c r="AV6090" t="s">
        <v>434</v>
      </c>
      <c r="AW6090" t="s">
        <v>60</v>
      </c>
      <c r="AX6090" t="s">
        <v>68</v>
      </c>
      <c r="AY6090" t="s">
        <v>69</v>
      </c>
      <c r="AZ6090" t="b">
        <v>1</v>
      </c>
    </row>
    <row r="6091" spans="1:52" x14ac:dyDescent="0.3">
      <c r="A6091" t="s">
        <v>52</v>
      </c>
      <c r="B6091" t="s">
        <v>53</v>
      </c>
      <c r="C6091" t="s">
        <v>54</v>
      </c>
      <c r="D6091" t="s">
        <v>55</v>
      </c>
      <c r="E6091" t="s">
        <v>2281</v>
      </c>
      <c r="F6091" t="s">
        <v>1247</v>
      </c>
      <c r="G6091" t="s">
        <v>435</v>
      </c>
      <c r="H6091" t="s">
        <v>436</v>
      </c>
      <c r="I6091" t="s">
        <v>436</v>
      </c>
      <c r="J6091" t="s">
        <v>60</v>
      </c>
      <c r="K6091" t="s">
        <v>437</v>
      </c>
      <c r="L6091" t="s">
        <v>62</v>
      </c>
      <c r="M6091" t="s">
        <v>437</v>
      </c>
      <c r="N6091" t="s">
        <v>438</v>
      </c>
      <c r="O6091" t="s">
        <v>439</v>
      </c>
      <c r="P6091">
        <v>-20.145613000000001</v>
      </c>
      <c r="Q6091">
        <v>-44.882375000000003</v>
      </c>
      <c r="R6091" s="2" t="str">
        <f>HYPERLINK("https://www.google.com/maps?q=-20.1456130,-44.8823750","Abrir no Google Maps")</f>
        <v>Abrir no Google Maps</v>
      </c>
      <c r="S6091">
        <v>3</v>
      </c>
      <c r="T6091">
        <v>305.65092112314198</v>
      </c>
      <c r="U6091">
        <v>4</v>
      </c>
      <c r="V6091">
        <v>0.10279001468428781</v>
      </c>
      <c r="W6091">
        <v>1</v>
      </c>
      <c r="X6091">
        <v>0.10279001468428781</v>
      </c>
      <c r="Y6091">
        <v>653</v>
      </c>
      <c r="Z6091">
        <v>349.55297035282501</v>
      </c>
      <c r="AA6091">
        <v>198</v>
      </c>
      <c r="AB6091">
        <v>332</v>
      </c>
      <c r="AC6091">
        <v>536</v>
      </c>
      <c r="AD6091">
        <v>26.22</v>
      </c>
      <c r="AE6091">
        <v>542</v>
      </c>
      <c r="AF6091">
        <v>11</v>
      </c>
      <c r="AG6091">
        <v>181</v>
      </c>
      <c r="AH6091">
        <v>129</v>
      </c>
      <c r="AI6091">
        <v>2.0299999999999998</v>
      </c>
      <c r="AJ6091">
        <v>33.39</v>
      </c>
      <c r="AK6091">
        <v>23.8</v>
      </c>
      <c r="AL6091">
        <v>-20.14550464999996</v>
      </c>
      <c r="AM6091">
        <v>-44.882157007077737</v>
      </c>
      <c r="AN6091">
        <v>-20.14550464999996</v>
      </c>
      <c r="AO6091">
        <v>-44.882157007077737</v>
      </c>
      <c r="AP6091">
        <v>-20.145613000000001</v>
      </c>
      <c r="AQ6091">
        <v>-44.882375000000003</v>
      </c>
      <c r="AR6091">
        <v>25.77819791856259</v>
      </c>
      <c r="AS6091" t="s">
        <v>65</v>
      </c>
      <c r="AT6091">
        <v>1</v>
      </c>
      <c r="AU6091" t="s">
        <v>440</v>
      </c>
      <c r="AV6091" t="s">
        <v>441</v>
      </c>
      <c r="AW6091" t="s">
        <v>60</v>
      </c>
      <c r="AX6091" t="s">
        <v>68</v>
      </c>
      <c r="AY6091" t="s">
        <v>69</v>
      </c>
      <c r="AZ6091" t="b">
        <v>1</v>
      </c>
    </row>
    <row r="6092" spans="1:52" x14ac:dyDescent="0.3">
      <c r="A6092" t="s">
        <v>52</v>
      </c>
      <c r="B6092" t="s">
        <v>53</v>
      </c>
      <c r="C6092" t="s">
        <v>54</v>
      </c>
      <c r="D6092" t="s">
        <v>55</v>
      </c>
      <c r="E6092" t="s">
        <v>2281</v>
      </c>
      <c r="F6092" t="s">
        <v>1247</v>
      </c>
      <c r="G6092" t="s">
        <v>442</v>
      </c>
      <c r="H6092" t="s">
        <v>443</v>
      </c>
      <c r="I6092" t="s">
        <v>443</v>
      </c>
      <c r="J6092" t="s">
        <v>60</v>
      </c>
      <c r="K6092" t="s">
        <v>437</v>
      </c>
      <c r="L6092" t="s">
        <v>62</v>
      </c>
      <c r="M6092" t="s">
        <v>437</v>
      </c>
      <c r="N6092" t="s">
        <v>444</v>
      </c>
      <c r="O6092" t="s">
        <v>445</v>
      </c>
      <c r="P6092">
        <v>-20.149744999999999</v>
      </c>
      <c r="Q6092">
        <v>-44.881385000000002</v>
      </c>
      <c r="R6092" s="2" t="str">
        <f>HYPERLINK("https://www.google.com/maps?q=-20.1497450,-44.8813850","Abrir no Google Maps")</f>
        <v>Abrir no Google Maps</v>
      </c>
      <c r="S6092">
        <v>3</v>
      </c>
      <c r="T6092">
        <v>188.80690546111239</v>
      </c>
      <c r="U6092">
        <v>4</v>
      </c>
      <c r="V6092">
        <v>0.1727395411605937</v>
      </c>
      <c r="W6092">
        <v>1</v>
      </c>
      <c r="X6092">
        <v>0.1727395411605937</v>
      </c>
      <c r="Y6092">
        <v>653</v>
      </c>
      <c r="Z6092">
        <v>86.575080390731017</v>
      </c>
      <c r="AA6092">
        <v>198</v>
      </c>
      <c r="AB6092">
        <v>332</v>
      </c>
      <c r="AC6092">
        <v>536</v>
      </c>
      <c r="AD6092">
        <v>26.22</v>
      </c>
      <c r="AE6092">
        <v>542</v>
      </c>
      <c r="AF6092">
        <v>11</v>
      </c>
      <c r="AG6092">
        <v>181</v>
      </c>
      <c r="AH6092">
        <v>129</v>
      </c>
      <c r="AI6092">
        <v>2.0299999999999998</v>
      </c>
      <c r="AJ6092">
        <v>33.39</v>
      </c>
      <c r="AK6092">
        <v>23.8</v>
      </c>
      <c r="AL6092">
        <v>-20.149645149999941</v>
      </c>
      <c r="AM6092">
        <v>-44.881504585149607</v>
      </c>
      <c r="AN6092">
        <v>-20.149645149999941</v>
      </c>
      <c r="AO6092">
        <v>-44.881504585149607</v>
      </c>
      <c r="AP6092">
        <v>-20.149744999999999</v>
      </c>
      <c r="AQ6092">
        <v>-44.881385000000002</v>
      </c>
      <c r="AR6092">
        <v>16.725323110840389</v>
      </c>
      <c r="AS6092" t="s">
        <v>65</v>
      </c>
      <c r="AT6092">
        <v>1</v>
      </c>
      <c r="AU6092" t="s">
        <v>446</v>
      </c>
      <c r="AV6092" t="s">
        <v>447</v>
      </c>
      <c r="AW6092" t="s">
        <v>60</v>
      </c>
      <c r="AX6092" t="s">
        <v>68</v>
      </c>
      <c r="AY6092" t="s">
        <v>69</v>
      </c>
      <c r="AZ6092" t="b">
        <v>1</v>
      </c>
    </row>
    <row r="6093" spans="1:52" x14ac:dyDescent="0.3">
      <c r="A6093" t="s">
        <v>52</v>
      </c>
      <c r="B6093" t="s">
        <v>53</v>
      </c>
      <c r="C6093" t="s">
        <v>54</v>
      </c>
      <c r="D6093" t="s">
        <v>55</v>
      </c>
      <c r="E6093" t="s">
        <v>2281</v>
      </c>
      <c r="F6093" t="s">
        <v>1247</v>
      </c>
      <c r="G6093" t="s">
        <v>448</v>
      </c>
      <c r="H6093" t="s">
        <v>449</v>
      </c>
      <c r="I6093" t="s">
        <v>449</v>
      </c>
      <c r="J6093" t="s">
        <v>60</v>
      </c>
      <c r="K6093" t="s">
        <v>388</v>
      </c>
      <c r="L6093" t="s">
        <v>62</v>
      </c>
      <c r="M6093" t="s">
        <v>388</v>
      </c>
      <c r="N6093" t="s">
        <v>450</v>
      </c>
      <c r="O6093" t="s">
        <v>451</v>
      </c>
      <c r="P6093">
        <v>-20.163981</v>
      </c>
      <c r="Q6093">
        <v>-44.907128999999998</v>
      </c>
      <c r="R6093" s="2" t="str">
        <f>HYPERLINK("https://www.google.com/maps?q=-20.1639810,-44.9071290","Abrir no Google Maps")</f>
        <v>Abrir no Google Maps</v>
      </c>
      <c r="S6093">
        <v>3</v>
      </c>
      <c r="T6093">
        <v>782.50730806588319</v>
      </c>
      <c r="U6093">
        <v>4</v>
      </c>
      <c r="V6093">
        <v>0.1567796610169491</v>
      </c>
      <c r="W6093">
        <v>1</v>
      </c>
      <c r="X6093">
        <v>0.1567796610169491</v>
      </c>
      <c r="Y6093">
        <v>639</v>
      </c>
      <c r="Z6093">
        <v>710.90621453796166</v>
      </c>
      <c r="AA6093">
        <v>198</v>
      </c>
      <c r="AB6093">
        <v>332</v>
      </c>
      <c r="AC6093">
        <v>536</v>
      </c>
      <c r="AD6093">
        <v>26.22</v>
      </c>
      <c r="AE6093">
        <v>542</v>
      </c>
      <c r="AF6093">
        <v>11</v>
      </c>
      <c r="AG6093">
        <v>181</v>
      </c>
      <c r="AH6093">
        <v>129</v>
      </c>
      <c r="AI6093">
        <v>2.0299999999999998</v>
      </c>
      <c r="AJ6093">
        <v>33.39</v>
      </c>
      <c r="AK6093">
        <v>23.8</v>
      </c>
      <c r="AL6093">
        <v>-20.163958349999969</v>
      </c>
      <c r="AM6093">
        <v>-44.907180923930973</v>
      </c>
      <c r="AN6093">
        <v>-20.163958349999969</v>
      </c>
      <c r="AO6093">
        <v>-44.907180923930973</v>
      </c>
      <c r="AP6093">
        <v>-20.163981</v>
      </c>
      <c r="AQ6093">
        <v>-44.907128999999998</v>
      </c>
      <c r="AR6093">
        <v>5.9831345092457884</v>
      </c>
      <c r="AS6093" t="s">
        <v>65</v>
      </c>
      <c r="AT6093">
        <v>1</v>
      </c>
      <c r="AU6093" t="s">
        <v>452</v>
      </c>
      <c r="AV6093" t="s">
        <v>453</v>
      </c>
      <c r="AW6093" t="s">
        <v>60</v>
      </c>
      <c r="AX6093" t="s">
        <v>68</v>
      </c>
      <c r="AY6093" t="s">
        <v>69</v>
      </c>
      <c r="AZ6093" t="b">
        <v>1</v>
      </c>
    </row>
    <row r="6094" spans="1:52" x14ac:dyDescent="0.3">
      <c r="A6094" t="s">
        <v>52</v>
      </c>
      <c r="B6094" t="s">
        <v>53</v>
      </c>
      <c r="C6094" t="s">
        <v>54</v>
      </c>
      <c r="D6094" t="s">
        <v>55</v>
      </c>
      <c r="E6094" t="s">
        <v>2281</v>
      </c>
      <c r="F6094" t="s">
        <v>1247</v>
      </c>
      <c r="G6094" t="s">
        <v>454</v>
      </c>
      <c r="H6094" t="s">
        <v>455</v>
      </c>
      <c r="I6094" t="s">
        <v>455</v>
      </c>
      <c r="J6094" t="s">
        <v>60</v>
      </c>
      <c r="K6094" t="s">
        <v>456</v>
      </c>
      <c r="L6094" t="s">
        <v>62</v>
      </c>
      <c r="M6094" t="s">
        <v>456</v>
      </c>
      <c r="N6094" t="s">
        <v>102</v>
      </c>
      <c r="O6094" t="s">
        <v>457</v>
      </c>
      <c r="P6094">
        <v>-20.138373999999999</v>
      </c>
      <c r="Q6094">
        <v>-44.903756999999999</v>
      </c>
      <c r="R6094" s="2" t="str">
        <f>HYPERLINK("https://www.google.com/maps?q=-20.1383740,-44.9037570","Abrir no Google Maps")</f>
        <v>Abrir no Google Maps</v>
      </c>
      <c r="S6094">
        <v>3</v>
      </c>
      <c r="T6094">
        <v>357.59466273594461</v>
      </c>
      <c r="U6094">
        <v>4</v>
      </c>
      <c r="V6094">
        <v>0.1712962962962962</v>
      </c>
      <c r="W6094">
        <v>1</v>
      </c>
      <c r="X6094">
        <v>0.1712962962962962</v>
      </c>
      <c r="Y6094">
        <v>581</v>
      </c>
      <c r="Z6094">
        <v>406.92482694505992</v>
      </c>
      <c r="AA6094">
        <v>198</v>
      </c>
      <c r="AB6094">
        <v>332</v>
      </c>
      <c r="AC6094">
        <v>536</v>
      </c>
      <c r="AD6094">
        <v>26.22</v>
      </c>
      <c r="AE6094">
        <v>542</v>
      </c>
      <c r="AF6094">
        <v>11</v>
      </c>
      <c r="AG6094">
        <v>181</v>
      </c>
      <c r="AH6094">
        <v>129</v>
      </c>
      <c r="AI6094">
        <v>2.0299999999999998</v>
      </c>
      <c r="AJ6094">
        <v>33.39</v>
      </c>
      <c r="AK6094">
        <v>23.8</v>
      </c>
      <c r="AL6094">
        <v>-20.138338199999961</v>
      </c>
      <c r="AM6094">
        <v>-44.903768618976301</v>
      </c>
      <c r="AN6094">
        <v>-20.138338199999961</v>
      </c>
      <c r="AO6094">
        <v>-44.903768618976301</v>
      </c>
      <c r="AP6094">
        <v>-20.138373999999999</v>
      </c>
      <c r="AQ6094">
        <v>-44.903756999999999</v>
      </c>
      <c r="AR6094">
        <v>4.1661625938922704</v>
      </c>
      <c r="AS6094" t="s">
        <v>65</v>
      </c>
      <c r="AT6094">
        <v>1</v>
      </c>
      <c r="AU6094" t="s">
        <v>458</v>
      </c>
      <c r="AV6094" t="s">
        <v>459</v>
      </c>
      <c r="AW6094" t="s">
        <v>60</v>
      </c>
      <c r="AX6094" t="s">
        <v>68</v>
      </c>
      <c r="AY6094" t="s">
        <v>69</v>
      </c>
      <c r="AZ6094" t="b">
        <v>1</v>
      </c>
    </row>
    <row r="6095" spans="1:52" x14ac:dyDescent="0.3">
      <c r="A6095" t="s">
        <v>52</v>
      </c>
      <c r="B6095" t="s">
        <v>53</v>
      </c>
      <c r="C6095" t="s">
        <v>54</v>
      </c>
      <c r="D6095" t="s">
        <v>55</v>
      </c>
      <c r="E6095" t="s">
        <v>2281</v>
      </c>
      <c r="F6095" t="s">
        <v>1247</v>
      </c>
      <c r="G6095" t="s">
        <v>460</v>
      </c>
      <c r="H6095" t="s">
        <v>461</v>
      </c>
      <c r="I6095" t="s">
        <v>461</v>
      </c>
      <c r="J6095" t="s">
        <v>60</v>
      </c>
      <c r="K6095" t="s">
        <v>462</v>
      </c>
      <c r="L6095" t="s">
        <v>62</v>
      </c>
      <c r="M6095" t="s">
        <v>462</v>
      </c>
      <c r="N6095" t="s">
        <v>463</v>
      </c>
      <c r="O6095" t="s">
        <v>464</v>
      </c>
      <c r="P6095">
        <v>-20.137919</v>
      </c>
      <c r="Q6095">
        <v>-44.905591000000001</v>
      </c>
      <c r="R6095" s="2" t="str">
        <f>HYPERLINK("https://www.google.com/maps?q=-20.1379190,-44.9055910","Abrir no Google Maps")</f>
        <v>Abrir no Google Maps</v>
      </c>
      <c r="S6095">
        <v>3</v>
      </c>
      <c r="T6095">
        <v>262.01115919461103</v>
      </c>
      <c r="U6095">
        <v>4</v>
      </c>
      <c r="V6095">
        <v>0.18322295805739511</v>
      </c>
      <c r="W6095">
        <v>1</v>
      </c>
      <c r="X6095">
        <v>0.18322295805739511</v>
      </c>
      <c r="Y6095">
        <v>581</v>
      </c>
      <c r="Z6095">
        <v>318.63337303219271</v>
      </c>
      <c r="AA6095">
        <v>198</v>
      </c>
      <c r="AB6095">
        <v>332</v>
      </c>
      <c r="AC6095">
        <v>536</v>
      </c>
      <c r="AD6095">
        <v>26.22</v>
      </c>
      <c r="AE6095">
        <v>542</v>
      </c>
      <c r="AF6095">
        <v>11</v>
      </c>
      <c r="AG6095">
        <v>181</v>
      </c>
      <c r="AH6095">
        <v>129</v>
      </c>
      <c r="AI6095">
        <v>2.0299999999999998</v>
      </c>
      <c r="AJ6095">
        <v>33.39</v>
      </c>
      <c r="AK6095">
        <v>23.8</v>
      </c>
      <c r="AL6095">
        <v>-20.13789079999998</v>
      </c>
      <c r="AM6095">
        <v>-44.90548593520333</v>
      </c>
      <c r="AN6095">
        <v>-20.13789079999998</v>
      </c>
      <c r="AO6095">
        <v>-44.90548593520333</v>
      </c>
      <c r="AP6095">
        <v>-20.137919</v>
      </c>
      <c r="AQ6095">
        <v>-44.905591000000001</v>
      </c>
      <c r="AR6095">
        <v>11.42072348298178</v>
      </c>
      <c r="AS6095" t="s">
        <v>65</v>
      </c>
      <c r="AT6095">
        <v>1</v>
      </c>
      <c r="AU6095" t="s">
        <v>465</v>
      </c>
      <c r="AV6095" t="s">
        <v>466</v>
      </c>
      <c r="AW6095" t="s">
        <v>60</v>
      </c>
      <c r="AX6095" t="s">
        <v>68</v>
      </c>
      <c r="AY6095" t="s">
        <v>69</v>
      </c>
      <c r="AZ6095" t="b">
        <v>1</v>
      </c>
    </row>
    <row r="6096" spans="1:52" x14ac:dyDescent="0.3">
      <c r="A6096" t="s">
        <v>52</v>
      </c>
      <c r="B6096" t="s">
        <v>53</v>
      </c>
      <c r="C6096" t="s">
        <v>54</v>
      </c>
      <c r="D6096" t="s">
        <v>55</v>
      </c>
      <c r="E6096" t="s">
        <v>2281</v>
      </c>
      <c r="F6096" t="s">
        <v>1247</v>
      </c>
      <c r="G6096" t="s">
        <v>1342</v>
      </c>
      <c r="H6096" t="s">
        <v>1343</v>
      </c>
      <c r="I6096" t="s">
        <v>1343</v>
      </c>
      <c r="J6096" t="s">
        <v>60</v>
      </c>
      <c r="K6096" t="s">
        <v>462</v>
      </c>
      <c r="L6096" t="s">
        <v>62</v>
      </c>
      <c r="M6096" t="s">
        <v>462</v>
      </c>
      <c r="N6096" t="s">
        <v>921</v>
      </c>
      <c r="O6096" t="s">
        <v>1344</v>
      </c>
      <c r="P6096">
        <v>-20.137526000000001</v>
      </c>
      <c r="Q6096">
        <v>-44.912452999999999</v>
      </c>
      <c r="R6096" s="2" t="str">
        <f>HYPERLINK("https://www.google.com/maps?q=-20.1375260,-44.9124530","Abrir no Google Maps")</f>
        <v>Abrir no Google Maps</v>
      </c>
      <c r="S6096">
        <v>3</v>
      </c>
      <c r="T6096">
        <v>446.95091416730708</v>
      </c>
      <c r="U6096">
        <v>4</v>
      </c>
      <c r="V6096">
        <v>0.1152263374485596</v>
      </c>
      <c r="W6096">
        <v>0.85</v>
      </c>
      <c r="X6096">
        <v>9.7942386831275666E-2</v>
      </c>
      <c r="Y6096">
        <v>581</v>
      </c>
      <c r="Z6096">
        <v>507.4747778269288</v>
      </c>
      <c r="AA6096">
        <v>198</v>
      </c>
      <c r="AB6096">
        <v>332</v>
      </c>
      <c r="AC6096">
        <v>536</v>
      </c>
      <c r="AD6096">
        <v>26.22</v>
      </c>
      <c r="AE6096">
        <v>542</v>
      </c>
      <c r="AF6096">
        <v>11</v>
      </c>
      <c r="AG6096">
        <v>181</v>
      </c>
      <c r="AH6096">
        <v>129</v>
      </c>
      <c r="AI6096">
        <v>2.0299999999999998</v>
      </c>
      <c r="AJ6096">
        <v>33.39</v>
      </c>
      <c r="AK6096">
        <v>23.8</v>
      </c>
      <c r="AL6096">
        <v>-20.136672649999959</v>
      </c>
      <c r="AM6096">
        <v>-44.911825104396357</v>
      </c>
      <c r="AN6096">
        <v>-20.136672649999959</v>
      </c>
      <c r="AO6096">
        <v>-44.911825104396357</v>
      </c>
      <c r="AP6096">
        <v>-20.137526000000001</v>
      </c>
      <c r="AQ6096">
        <v>-44.912452999999999</v>
      </c>
      <c r="AR6096">
        <v>115.45843265992529</v>
      </c>
      <c r="AS6096" t="s">
        <v>65</v>
      </c>
      <c r="AT6096">
        <v>1</v>
      </c>
      <c r="AU6096" t="s">
        <v>1345</v>
      </c>
      <c r="AV6096" t="s">
        <v>1346</v>
      </c>
      <c r="AW6096" t="s">
        <v>60</v>
      </c>
      <c r="AX6096" t="s">
        <v>68</v>
      </c>
      <c r="AY6096" t="s">
        <v>69</v>
      </c>
      <c r="AZ6096" t="b">
        <v>1</v>
      </c>
    </row>
    <row r="6097" spans="1:52" x14ac:dyDescent="0.3">
      <c r="A6097" t="s">
        <v>52</v>
      </c>
      <c r="B6097" t="s">
        <v>53</v>
      </c>
      <c r="C6097" t="s">
        <v>54</v>
      </c>
      <c r="D6097" t="s">
        <v>55</v>
      </c>
      <c r="E6097" t="s">
        <v>2281</v>
      </c>
      <c r="F6097" t="s">
        <v>1247</v>
      </c>
      <c r="G6097" t="s">
        <v>1347</v>
      </c>
      <c r="H6097" t="s">
        <v>1348</v>
      </c>
      <c r="I6097" t="s">
        <v>1348</v>
      </c>
      <c r="J6097" t="s">
        <v>60</v>
      </c>
      <c r="K6097" t="s">
        <v>1349</v>
      </c>
      <c r="L6097" t="s">
        <v>62</v>
      </c>
      <c r="M6097" t="s">
        <v>1349</v>
      </c>
      <c r="N6097" t="s">
        <v>1350</v>
      </c>
      <c r="O6097" t="s">
        <v>1351</v>
      </c>
      <c r="P6097">
        <v>-20.140426999999999</v>
      </c>
      <c r="Q6097">
        <v>-44.905327999999997</v>
      </c>
      <c r="R6097" s="2" t="str">
        <f>HYPERLINK("https://www.google.com/maps?q=-20.1404270,-44.9053280","Abrir no Google Maps")</f>
        <v>Abrir no Google Maps</v>
      </c>
      <c r="S6097">
        <v>3</v>
      </c>
      <c r="T6097">
        <v>359.5810968231857</v>
      </c>
      <c r="U6097">
        <v>4</v>
      </c>
      <c r="V6097">
        <v>0.19519519519519521</v>
      </c>
      <c r="W6097">
        <v>0.85</v>
      </c>
      <c r="X6097">
        <v>0.1659159159159159</v>
      </c>
      <c r="Y6097">
        <v>581</v>
      </c>
      <c r="Z6097">
        <v>292.370097058873</v>
      </c>
      <c r="AA6097">
        <v>198</v>
      </c>
      <c r="AB6097">
        <v>332</v>
      </c>
      <c r="AC6097">
        <v>536</v>
      </c>
      <c r="AD6097">
        <v>26.22</v>
      </c>
      <c r="AE6097">
        <v>542</v>
      </c>
      <c r="AF6097">
        <v>11</v>
      </c>
      <c r="AG6097">
        <v>181</v>
      </c>
      <c r="AH6097">
        <v>129</v>
      </c>
      <c r="AI6097">
        <v>2.0299999999999998</v>
      </c>
      <c r="AJ6097">
        <v>33.39</v>
      </c>
      <c r="AK6097">
        <v>23.8</v>
      </c>
      <c r="AL6097">
        <v>-20.140465449999969</v>
      </c>
      <c r="AM6097">
        <v>-44.905317129037229</v>
      </c>
      <c r="AN6097">
        <v>-20.140465449999969</v>
      </c>
      <c r="AO6097">
        <v>-44.905317129037229</v>
      </c>
      <c r="AP6097">
        <v>-20.140426999999999</v>
      </c>
      <c r="AQ6097">
        <v>-44.905327999999997</v>
      </c>
      <c r="AR6097">
        <v>4.4284788644958706</v>
      </c>
      <c r="AS6097" t="s">
        <v>65</v>
      </c>
      <c r="AT6097">
        <v>1</v>
      </c>
      <c r="AU6097" t="s">
        <v>1352</v>
      </c>
      <c r="AV6097" t="s">
        <v>1353</v>
      </c>
      <c r="AW6097" t="s">
        <v>60</v>
      </c>
      <c r="AX6097" t="s">
        <v>68</v>
      </c>
      <c r="AY6097" t="s">
        <v>69</v>
      </c>
      <c r="AZ6097" t="b">
        <v>1</v>
      </c>
    </row>
    <row r="6098" spans="1:52" x14ac:dyDescent="0.3">
      <c r="A6098" t="s">
        <v>52</v>
      </c>
      <c r="B6098" t="s">
        <v>53</v>
      </c>
      <c r="C6098" t="s">
        <v>54</v>
      </c>
      <c r="D6098" t="s">
        <v>55</v>
      </c>
      <c r="E6098" t="s">
        <v>2281</v>
      </c>
      <c r="F6098" t="s">
        <v>1247</v>
      </c>
      <c r="G6098" t="s">
        <v>467</v>
      </c>
      <c r="H6098" t="s">
        <v>468</v>
      </c>
      <c r="I6098" t="s">
        <v>468</v>
      </c>
      <c r="J6098" t="s">
        <v>60</v>
      </c>
      <c r="K6098" t="s">
        <v>462</v>
      </c>
      <c r="L6098" t="s">
        <v>62</v>
      </c>
      <c r="M6098" t="s">
        <v>462</v>
      </c>
      <c r="N6098" t="s">
        <v>469</v>
      </c>
      <c r="O6098" t="s">
        <v>470</v>
      </c>
      <c r="P6098">
        <v>-20.138233</v>
      </c>
      <c r="Q6098">
        <v>-44.908200000000001</v>
      </c>
      <c r="R6098" s="2" t="str">
        <f>HYPERLINK("https://www.google.com/maps?q=-20.1382330,-44.9082000","Abrir no Google Maps")</f>
        <v>Abrir no Google Maps</v>
      </c>
      <c r="S6098">
        <v>3</v>
      </c>
      <c r="T6098">
        <v>0</v>
      </c>
      <c r="U6098">
        <v>4</v>
      </c>
      <c r="V6098">
        <v>0.17820512820512821</v>
      </c>
      <c r="W6098">
        <v>1</v>
      </c>
      <c r="X6098">
        <v>0.17820512820512821</v>
      </c>
      <c r="Y6098">
        <v>581</v>
      </c>
      <c r="Z6098">
        <v>153.18688302958171</v>
      </c>
      <c r="AA6098">
        <v>198</v>
      </c>
      <c r="AB6098">
        <v>332</v>
      </c>
      <c r="AC6098">
        <v>536</v>
      </c>
      <c r="AD6098">
        <v>26.22</v>
      </c>
      <c r="AE6098">
        <v>542</v>
      </c>
      <c r="AF6098">
        <v>11</v>
      </c>
      <c r="AG6098">
        <v>181</v>
      </c>
      <c r="AH6098">
        <v>129</v>
      </c>
      <c r="AI6098">
        <v>2.0299999999999998</v>
      </c>
      <c r="AJ6098">
        <v>33.39</v>
      </c>
      <c r="AK6098">
        <v>23.8</v>
      </c>
      <c r="AL6098">
        <v>-20.138364899999971</v>
      </c>
      <c r="AM6098">
        <v>-44.907942114873997</v>
      </c>
      <c r="AN6098">
        <v>-20.138364899999971</v>
      </c>
      <c r="AO6098">
        <v>-44.907942114873997</v>
      </c>
      <c r="AP6098">
        <v>-20.138233</v>
      </c>
      <c r="AQ6098">
        <v>-44.908200000000001</v>
      </c>
      <c r="AR6098">
        <v>30.692690617986941</v>
      </c>
      <c r="AS6098" t="s">
        <v>65</v>
      </c>
      <c r="AT6098">
        <v>1</v>
      </c>
      <c r="AU6098" t="s">
        <v>471</v>
      </c>
      <c r="AV6098" t="s">
        <v>472</v>
      </c>
      <c r="AW6098" t="s">
        <v>60</v>
      </c>
      <c r="AX6098" t="s">
        <v>68</v>
      </c>
      <c r="AY6098" t="s">
        <v>69</v>
      </c>
      <c r="AZ6098" t="b">
        <v>1</v>
      </c>
    </row>
    <row r="6099" spans="1:52" x14ac:dyDescent="0.3">
      <c r="A6099" t="s">
        <v>52</v>
      </c>
      <c r="B6099" t="s">
        <v>53</v>
      </c>
      <c r="C6099" t="s">
        <v>54</v>
      </c>
      <c r="D6099" t="s">
        <v>55</v>
      </c>
      <c r="E6099" t="s">
        <v>2281</v>
      </c>
      <c r="F6099" t="s">
        <v>1247</v>
      </c>
      <c r="G6099" t="s">
        <v>858</v>
      </c>
      <c r="H6099" t="s">
        <v>1360</v>
      </c>
      <c r="I6099" t="s">
        <v>1360</v>
      </c>
      <c r="J6099" t="s">
        <v>60</v>
      </c>
      <c r="K6099" t="s">
        <v>1356</v>
      </c>
      <c r="L6099" t="s">
        <v>62</v>
      </c>
      <c r="M6099" t="s">
        <v>1356</v>
      </c>
      <c r="N6099" t="s">
        <v>860</v>
      </c>
      <c r="O6099" t="s">
        <v>1361</v>
      </c>
      <c r="P6099">
        <v>-20.134969000000002</v>
      </c>
      <c r="Q6099">
        <v>-44.909384000000003</v>
      </c>
      <c r="R6099" s="2" t="str">
        <f>HYPERLINK("https://www.google.com/maps?q=-20.1349690,-44.9093840","Abrir no Google Maps")</f>
        <v>Abrir no Google Maps</v>
      </c>
      <c r="S6099">
        <v>3</v>
      </c>
      <c r="T6099">
        <v>413.6655911675532</v>
      </c>
      <c r="U6099">
        <v>4</v>
      </c>
      <c r="V6099">
        <v>0.1063394683026584</v>
      </c>
      <c r="W6099">
        <v>0.85</v>
      </c>
      <c r="X6099">
        <v>9.0388548057259641E-2</v>
      </c>
      <c r="Y6099">
        <v>581</v>
      </c>
      <c r="Z6099">
        <v>555.30228470489919</v>
      </c>
      <c r="AA6099">
        <v>198</v>
      </c>
      <c r="AB6099">
        <v>332</v>
      </c>
      <c r="AC6099">
        <v>536</v>
      </c>
      <c r="AD6099">
        <v>26.22</v>
      </c>
      <c r="AE6099">
        <v>542</v>
      </c>
      <c r="AF6099">
        <v>11</v>
      </c>
      <c r="AG6099">
        <v>181</v>
      </c>
      <c r="AH6099">
        <v>129</v>
      </c>
      <c r="AI6099">
        <v>2.0299999999999998</v>
      </c>
      <c r="AJ6099">
        <v>33.39</v>
      </c>
      <c r="AK6099">
        <v>23.8</v>
      </c>
      <c r="AL6099">
        <v>-20.134922099999951</v>
      </c>
      <c r="AM6099">
        <v>-44.909483975879112</v>
      </c>
      <c r="AN6099">
        <v>-20.134922099999951</v>
      </c>
      <c r="AO6099">
        <v>-44.909483975879112</v>
      </c>
      <c r="AP6099">
        <v>-20.134969000000002</v>
      </c>
      <c r="AQ6099">
        <v>-44.909384000000003</v>
      </c>
      <c r="AR6099">
        <v>11.68085867639515</v>
      </c>
      <c r="AS6099" t="s">
        <v>65</v>
      </c>
      <c r="AT6099">
        <v>1</v>
      </c>
      <c r="AU6099" t="s">
        <v>1362</v>
      </c>
      <c r="AV6099" t="s">
        <v>1363</v>
      </c>
      <c r="AW6099" t="s">
        <v>60</v>
      </c>
      <c r="AX6099" t="s">
        <v>68</v>
      </c>
      <c r="AY6099" t="s">
        <v>69</v>
      </c>
      <c r="AZ6099" t="b">
        <v>1</v>
      </c>
    </row>
    <row r="6100" spans="1:52" x14ac:dyDescent="0.3">
      <c r="A6100" t="s">
        <v>52</v>
      </c>
      <c r="B6100" t="s">
        <v>53</v>
      </c>
      <c r="C6100" t="s">
        <v>54</v>
      </c>
      <c r="D6100" t="s">
        <v>55</v>
      </c>
      <c r="E6100" t="s">
        <v>2281</v>
      </c>
      <c r="F6100" t="s">
        <v>1247</v>
      </c>
      <c r="G6100" t="s">
        <v>858</v>
      </c>
      <c r="H6100" t="s">
        <v>859</v>
      </c>
      <c r="I6100" t="s">
        <v>859</v>
      </c>
      <c r="J6100" t="s">
        <v>60</v>
      </c>
      <c r="K6100" t="s">
        <v>462</v>
      </c>
      <c r="L6100" t="s">
        <v>62</v>
      </c>
      <c r="M6100" t="s">
        <v>462</v>
      </c>
      <c r="N6100" t="s">
        <v>860</v>
      </c>
      <c r="O6100" t="s">
        <v>861</v>
      </c>
      <c r="P6100">
        <v>-20.139693999999999</v>
      </c>
      <c r="Q6100">
        <v>-44.911256000000002</v>
      </c>
      <c r="R6100" s="2" t="str">
        <f>HYPERLINK("https://www.google.com/maps?q=-20.1396940,-44.9112560","Abrir no Google Maps")</f>
        <v>Abrir no Google Maps</v>
      </c>
      <c r="S6100">
        <v>3</v>
      </c>
      <c r="T6100">
        <v>380.48036838042862</v>
      </c>
      <c r="U6100">
        <v>4</v>
      </c>
      <c r="V6100">
        <v>0.25958702064896749</v>
      </c>
      <c r="W6100">
        <v>0.85</v>
      </c>
      <c r="X6100">
        <v>0.22064896755162239</v>
      </c>
      <c r="Y6100">
        <v>581</v>
      </c>
      <c r="Z6100">
        <v>374.61146000000178</v>
      </c>
      <c r="AA6100">
        <v>198</v>
      </c>
      <c r="AB6100">
        <v>332</v>
      </c>
      <c r="AC6100">
        <v>536</v>
      </c>
      <c r="AD6100">
        <v>26.22</v>
      </c>
      <c r="AE6100">
        <v>542</v>
      </c>
      <c r="AF6100">
        <v>11</v>
      </c>
      <c r="AG6100">
        <v>181</v>
      </c>
      <c r="AH6100">
        <v>129</v>
      </c>
      <c r="AI6100">
        <v>2.0299999999999998</v>
      </c>
      <c r="AJ6100">
        <v>33.39</v>
      </c>
      <c r="AK6100">
        <v>23.8</v>
      </c>
      <c r="AL6100">
        <v>-20.139768699999959</v>
      </c>
      <c r="AM6100">
        <v>-44.911265351587588</v>
      </c>
      <c r="AN6100">
        <v>-20.139768699999959</v>
      </c>
      <c r="AO6100">
        <v>-44.911265351587588</v>
      </c>
      <c r="AP6100">
        <v>-20.139693999999999</v>
      </c>
      <c r="AQ6100">
        <v>-44.911256000000002</v>
      </c>
      <c r="AR6100">
        <v>8.3728438666521061</v>
      </c>
      <c r="AS6100" t="s">
        <v>65</v>
      </c>
      <c r="AT6100">
        <v>1</v>
      </c>
      <c r="AU6100" t="s">
        <v>862</v>
      </c>
      <c r="AV6100" t="s">
        <v>863</v>
      </c>
      <c r="AW6100" t="s">
        <v>60</v>
      </c>
      <c r="AX6100" t="s">
        <v>68</v>
      </c>
      <c r="AY6100" t="s">
        <v>69</v>
      </c>
      <c r="AZ6100" t="b">
        <v>1</v>
      </c>
    </row>
    <row r="6101" spans="1:52" x14ac:dyDescent="0.3">
      <c r="A6101" t="s">
        <v>52</v>
      </c>
      <c r="B6101" t="s">
        <v>53</v>
      </c>
      <c r="C6101" t="s">
        <v>54</v>
      </c>
      <c r="D6101" t="s">
        <v>55</v>
      </c>
      <c r="E6101" t="s">
        <v>2281</v>
      </c>
      <c r="F6101" t="s">
        <v>1247</v>
      </c>
      <c r="G6101" t="s">
        <v>1300</v>
      </c>
      <c r="H6101" t="s">
        <v>1372</v>
      </c>
      <c r="I6101" t="s">
        <v>1372</v>
      </c>
      <c r="J6101" t="s">
        <v>60</v>
      </c>
      <c r="K6101" t="s">
        <v>486</v>
      </c>
      <c r="L6101" t="s">
        <v>62</v>
      </c>
      <c r="M6101" t="s">
        <v>486</v>
      </c>
      <c r="N6101" t="s">
        <v>1303</v>
      </c>
      <c r="O6101" t="s">
        <v>1373</v>
      </c>
      <c r="P6101">
        <v>-20.170458</v>
      </c>
      <c r="Q6101">
        <v>-44.900936000000002</v>
      </c>
      <c r="R6101" s="2" t="str">
        <f>HYPERLINK("https://www.google.com/maps?q=-20.1704580,-44.9009360","Abrir no Google Maps")</f>
        <v>Abrir no Google Maps</v>
      </c>
      <c r="S6101">
        <v>3</v>
      </c>
      <c r="T6101">
        <v>470.55793133653339</v>
      </c>
      <c r="U6101">
        <v>4</v>
      </c>
      <c r="V6101">
        <v>0.1048951048951049</v>
      </c>
      <c r="W6101">
        <v>0.85</v>
      </c>
      <c r="X6101">
        <v>8.9160839160839153E-2</v>
      </c>
      <c r="Y6101">
        <v>578</v>
      </c>
      <c r="Z6101">
        <v>645.48909402437766</v>
      </c>
      <c r="AA6101">
        <v>198</v>
      </c>
      <c r="AB6101">
        <v>332</v>
      </c>
      <c r="AC6101">
        <v>536</v>
      </c>
      <c r="AD6101">
        <v>26.22</v>
      </c>
      <c r="AE6101">
        <v>542</v>
      </c>
      <c r="AF6101">
        <v>11</v>
      </c>
      <c r="AG6101">
        <v>181</v>
      </c>
      <c r="AH6101">
        <v>129</v>
      </c>
      <c r="AI6101">
        <v>2.0299999999999998</v>
      </c>
      <c r="AJ6101">
        <v>33.39</v>
      </c>
      <c r="AK6101">
        <v>23.8</v>
      </c>
      <c r="AL6101">
        <v>-20.17025029999996</v>
      </c>
      <c r="AM6101">
        <v>-44.901067235372473</v>
      </c>
      <c r="AN6101">
        <v>-20.17025029999996</v>
      </c>
      <c r="AO6101">
        <v>-44.901067235372473</v>
      </c>
      <c r="AP6101">
        <v>-20.170458</v>
      </c>
      <c r="AQ6101">
        <v>-44.900936000000002</v>
      </c>
      <c r="AR6101">
        <v>26.88195352459519</v>
      </c>
      <c r="AS6101" t="s">
        <v>65</v>
      </c>
      <c r="AT6101">
        <v>1</v>
      </c>
      <c r="AU6101" t="s">
        <v>1374</v>
      </c>
      <c r="AV6101" t="s">
        <v>1375</v>
      </c>
      <c r="AW6101" t="s">
        <v>60</v>
      </c>
      <c r="AX6101" t="s">
        <v>68</v>
      </c>
      <c r="AY6101" t="s">
        <v>69</v>
      </c>
      <c r="AZ6101" t="b">
        <v>1</v>
      </c>
    </row>
    <row r="6102" spans="1:52" x14ac:dyDescent="0.3">
      <c r="A6102" t="s">
        <v>52</v>
      </c>
      <c r="B6102" t="s">
        <v>53</v>
      </c>
      <c r="C6102" t="s">
        <v>54</v>
      </c>
      <c r="D6102" t="s">
        <v>55</v>
      </c>
      <c r="E6102" t="s">
        <v>2281</v>
      </c>
      <c r="F6102" t="s">
        <v>1247</v>
      </c>
      <c r="G6102" t="s">
        <v>1393</v>
      </c>
      <c r="H6102" t="s">
        <v>1394</v>
      </c>
      <c r="I6102" t="s">
        <v>1394</v>
      </c>
      <c r="J6102" t="s">
        <v>60</v>
      </c>
      <c r="K6102" t="s">
        <v>388</v>
      </c>
      <c r="L6102" t="s">
        <v>62</v>
      </c>
      <c r="M6102" t="s">
        <v>388</v>
      </c>
      <c r="N6102" t="s">
        <v>1395</v>
      </c>
      <c r="O6102" t="s">
        <v>1396</v>
      </c>
      <c r="P6102">
        <v>-20.167425000000001</v>
      </c>
      <c r="Q6102">
        <v>-44.907733999999998</v>
      </c>
      <c r="R6102" s="2" t="str">
        <f>HYPERLINK("https://www.google.com/maps?q=-20.1674250,-44.9077340","Abrir no Google Maps")</f>
        <v>Abrir no Google Maps</v>
      </c>
      <c r="S6102">
        <v>3</v>
      </c>
      <c r="T6102">
        <v>424.62372109792739</v>
      </c>
      <c r="U6102">
        <v>4</v>
      </c>
      <c r="V6102">
        <v>0.1059190031152648</v>
      </c>
      <c r="W6102">
        <v>0.85</v>
      </c>
      <c r="X6102">
        <v>9.003115264797508E-2</v>
      </c>
      <c r="Y6102">
        <v>578</v>
      </c>
      <c r="Z6102">
        <v>559.08337206965382</v>
      </c>
      <c r="AA6102">
        <v>198</v>
      </c>
      <c r="AB6102">
        <v>332</v>
      </c>
      <c r="AC6102">
        <v>536</v>
      </c>
      <c r="AD6102">
        <v>26.22</v>
      </c>
      <c r="AE6102">
        <v>542</v>
      </c>
      <c r="AF6102">
        <v>11</v>
      </c>
      <c r="AG6102">
        <v>181</v>
      </c>
      <c r="AH6102">
        <v>129</v>
      </c>
      <c r="AI6102">
        <v>2.0299999999999998</v>
      </c>
      <c r="AJ6102">
        <v>33.39</v>
      </c>
      <c r="AK6102">
        <v>23.8</v>
      </c>
      <c r="AL6102">
        <v>-20.167592099999951</v>
      </c>
      <c r="AM6102">
        <v>-44.907664214502859</v>
      </c>
      <c r="AN6102">
        <v>-20.167592099999951</v>
      </c>
      <c r="AO6102">
        <v>-44.907664214502859</v>
      </c>
      <c r="AP6102">
        <v>-20.167425000000001</v>
      </c>
      <c r="AQ6102">
        <v>-44.907733999999998</v>
      </c>
      <c r="AR6102">
        <v>19.979863459652229</v>
      </c>
      <c r="AS6102" t="s">
        <v>65</v>
      </c>
      <c r="AT6102">
        <v>1</v>
      </c>
      <c r="AU6102" t="s">
        <v>1397</v>
      </c>
      <c r="AV6102" t="s">
        <v>1398</v>
      </c>
      <c r="AW6102" t="s">
        <v>60</v>
      </c>
      <c r="AX6102" t="s">
        <v>68</v>
      </c>
      <c r="AY6102" t="s">
        <v>69</v>
      </c>
      <c r="AZ6102" t="b">
        <v>1</v>
      </c>
    </row>
    <row r="6103" spans="1:52" x14ac:dyDescent="0.3">
      <c r="A6103" t="s">
        <v>52</v>
      </c>
      <c r="B6103" t="s">
        <v>53</v>
      </c>
      <c r="C6103" t="s">
        <v>54</v>
      </c>
      <c r="D6103" t="s">
        <v>55</v>
      </c>
      <c r="E6103" t="s">
        <v>2281</v>
      </c>
      <c r="F6103" t="s">
        <v>1247</v>
      </c>
      <c r="G6103" t="s">
        <v>503</v>
      </c>
      <c r="H6103" t="s">
        <v>504</v>
      </c>
      <c r="I6103" t="s">
        <v>504</v>
      </c>
      <c r="J6103" t="s">
        <v>60</v>
      </c>
      <c r="K6103" t="s">
        <v>505</v>
      </c>
      <c r="L6103" t="s">
        <v>62</v>
      </c>
      <c r="M6103" t="s">
        <v>505</v>
      </c>
      <c r="N6103" t="s">
        <v>506</v>
      </c>
      <c r="O6103" t="s">
        <v>507</v>
      </c>
      <c r="P6103">
        <v>-20.131428</v>
      </c>
      <c r="Q6103">
        <v>-44.888921000000003</v>
      </c>
      <c r="R6103" s="2" t="str">
        <f>HYPERLINK("https://www.google.com/maps?q=-20.1314280,-44.8889210","Abrir no Google Maps")</f>
        <v>Abrir no Google Maps</v>
      </c>
      <c r="S6103">
        <v>3</v>
      </c>
      <c r="T6103">
        <v>250.64150698244501</v>
      </c>
      <c r="U6103">
        <v>4</v>
      </c>
      <c r="V6103">
        <v>9.3663911845730002E-2</v>
      </c>
      <c r="W6103">
        <v>1</v>
      </c>
      <c r="X6103">
        <v>9.3663911845730002E-2</v>
      </c>
      <c r="Y6103">
        <v>564</v>
      </c>
      <c r="Z6103">
        <v>189.93933888952441</v>
      </c>
      <c r="AA6103">
        <v>198</v>
      </c>
      <c r="AB6103">
        <v>332</v>
      </c>
      <c r="AC6103">
        <v>536</v>
      </c>
      <c r="AD6103">
        <v>26.22</v>
      </c>
      <c r="AE6103">
        <v>542</v>
      </c>
      <c r="AF6103">
        <v>11</v>
      </c>
      <c r="AG6103">
        <v>181</v>
      </c>
      <c r="AH6103">
        <v>129</v>
      </c>
      <c r="AI6103">
        <v>2.0299999999999998</v>
      </c>
      <c r="AJ6103">
        <v>33.39</v>
      </c>
      <c r="AK6103">
        <v>23.8</v>
      </c>
      <c r="AL6103">
        <v>-20.13123589999995</v>
      </c>
      <c r="AM6103">
        <v>-44.888742396501762</v>
      </c>
      <c r="AN6103">
        <v>-20.13123589999995</v>
      </c>
      <c r="AO6103">
        <v>-44.888742396501762</v>
      </c>
      <c r="AP6103">
        <v>-20.131428</v>
      </c>
      <c r="AQ6103">
        <v>-44.888921000000003</v>
      </c>
      <c r="AR6103">
        <v>28.386169462917032</v>
      </c>
      <c r="AS6103" t="s">
        <v>65</v>
      </c>
      <c r="AT6103">
        <v>1</v>
      </c>
      <c r="AU6103" t="s">
        <v>508</v>
      </c>
      <c r="AV6103" t="s">
        <v>509</v>
      </c>
      <c r="AW6103" t="s">
        <v>60</v>
      </c>
      <c r="AX6103" t="s">
        <v>68</v>
      </c>
      <c r="AY6103" t="s">
        <v>69</v>
      </c>
      <c r="AZ6103" t="b">
        <v>1</v>
      </c>
    </row>
    <row r="6104" spans="1:52" x14ac:dyDescent="0.3">
      <c r="A6104" t="s">
        <v>52</v>
      </c>
      <c r="B6104" t="s">
        <v>53</v>
      </c>
      <c r="C6104" t="s">
        <v>54</v>
      </c>
      <c r="D6104" t="s">
        <v>55</v>
      </c>
      <c r="E6104" t="s">
        <v>2281</v>
      </c>
      <c r="F6104" t="s">
        <v>1247</v>
      </c>
      <c r="G6104" t="s">
        <v>516</v>
      </c>
      <c r="H6104" t="s">
        <v>517</v>
      </c>
      <c r="I6104" t="s">
        <v>517</v>
      </c>
      <c r="J6104" t="s">
        <v>60</v>
      </c>
      <c r="K6104" t="s">
        <v>518</v>
      </c>
      <c r="L6104" t="s">
        <v>62</v>
      </c>
      <c r="M6104" t="s">
        <v>518</v>
      </c>
      <c r="N6104" t="s">
        <v>519</v>
      </c>
      <c r="O6104" t="s">
        <v>520</v>
      </c>
      <c r="P6104">
        <v>-20.124502</v>
      </c>
      <c r="Q6104">
        <v>-44.888424000000001</v>
      </c>
      <c r="R6104" s="2" t="str">
        <f>HYPERLINK("https://www.google.com/maps?q=-20.1245020,-44.8884240","Abrir no Google Maps")</f>
        <v>Abrir no Google Maps</v>
      </c>
      <c r="S6104">
        <v>3</v>
      </c>
      <c r="T6104">
        <v>483.42298121929559</v>
      </c>
      <c r="U6104">
        <v>4</v>
      </c>
      <c r="V6104">
        <v>0.1844262295081967</v>
      </c>
      <c r="W6104">
        <v>1</v>
      </c>
      <c r="X6104">
        <v>0.1844262295081967</v>
      </c>
      <c r="Y6104">
        <v>564</v>
      </c>
      <c r="Z6104">
        <v>565.43074237076587</v>
      </c>
      <c r="AA6104">
        <v>198</v>
      </c>
      <c r="AB6104">
        <v>332</v>
      </c>
      <c r="AC6104">
        <v>536</v>
      </c>
      <c r="AD6104">
        <v>26.22</v>
      </c>
      <c r="AE6104">
        <v>542</v>
      </c>
      <c r="AF6104">
        <v>11</v>
      </c>
      <c r="AG6104">
        <v>181</v>
      </c>
      <c r="AH6104">
        <v>129</v>
      </c>
      <c r="AI6104">
        <v>2.0299999999999998</v>
      </c>
      <c r="AJ6104">
        <v>33.39</v>
      </c>
      <c r="AK6104">
        <v>23.8</v>
      </c>
      <c r="AL6104">
        <v>-20.124624949999941</v>
      </c>
      <c r="AM6104">
        <v>-44.888432821777258</v>
      </c>
      <c r="AN6104">
        <v>-20.124624949999941</v>
      </c>
      <c r="AO6104">
        <v>-44.888432821777258</v>
      </c>
      <c r="AP6104">
        <v>-20.124502</v>
      </c>
      <c r="AQ6104">
        <v>-44.888424000000001</v>
      </c>
      <c r="AR6104">
        <v>13.717819333897451</v>
      </c>
      <c r="AS6104" t="s">
        <v>65</v>
      </c>
      <c r="AT6104">
        <v>1</v>
      </c>
      <c r="AU6104" t="s">
        <v>521</v>
      </c>
      <c r="AV6104" t="s">
        <v>522</v>
      </c>
      <c r="AW6104" t="s">
        <v>60</v>
      </c>
      <c r="AX6104" t="s">
        <v>68</v>
      </c>
      <c r="AY6104" t="s">
        <v>69</v>
      </c>
      <c r="AZ6104" t="b">
        <v>1</v>
      </c>
    </row>
    <row r="6105" spans="1:52" x14ac:dyDescent="0.3">
      <c r="A6105" t="s">
        <v>52</v>
      </c>
      <c r="B6105" t="s">
        <v>53</v>
      </c>
      <c r="C6105" t="s">
        <v>54</v>
      </c>
      <c r="D6105" t="s">
        <v>55</v>
      </c>
      <c r="E6105" t="s">
        <v>2281</v>
      </c>
      <c r="F6105" t="s">
        <v>1247</v>
      </c>
      <c r="G6105" t="s">
        <v>879</v>
      </c>
      <c r="H6105" t="s">
        <v>880</v>
      </c>
      <c r="I6105" t="s">
        <v>880</v>
      </c>
      <c r="J6105" t="s">
        <v>60</v>
      </c>
      <c r="K6105" t="s">
        <v>505</v>
      </c>
      <c r="L6105" t="s">
        <v>62</v>
      </c>
      <c r="M6105" t="s">
        <v>505</v>
      </c>
      <c r="N6105" t="s">
        <v>881</v>
      </c>
      <c r="O6105" t="s">
        <v>882</v>
      </c>
      <c r="P6105">
        <v>-20.133452999999999</v>
      </c>
      <c r="Q6105">
        <v>-44.890571999999999</v>
      </c>
      <c r="R6105" s="2" t="str">
        <f>HYPERLINK("https://www.google.com/maps?q=-20.1334530,-44.8905720","Abrir no Google Maps")</f>
        <v>Abrir no Google Maps</v>
      </c>
      <c r="S6105">
        <v>3</v>
      </c>
      <c r="T6105">
        <v>373.51332104809921</v>
      </c>
      <c r="U6105">
        <v>4</v>
      </c>
      <c r="V6105">
        <v>0.10427350427350419</v>
      </c>
      <c r="W6105">
        <v>1</v>
      </c>
      <c r="X6105">
        <v>0.10427350427350419</v>
      </c>
      <c r="Y6105">
        <v>564</v>
      </c>
      <c r="Z6105">
        <v>422.34693311930448</v>
      </c>
      <c r="AA6105">
        <v>198</v>
      </c>
      <c r="AB6105">
        <v>332</v>
      </c>
      <c r="AC6105">
        <v>536</v>
      </c>
      <c r="AD6105">
        <v>26.22</v>
      </c>
      <c r="AE6105">
        <v>542</v>
      </c>
      <c r="AF6105">
        <v>11</v>
      </c>
      <c r="AG6105">
        <v>181</v>
      </c>
      <c r="AH6105">
        <v>129</v>
      </c>
      <c r="AI6105">
        <v>2.0299999999999998</v>
      </c>
      <c r="AJ6105">
        <v>33.39</v>
      </c>
      <c r="AK6105">
        <v>23.8</v>
      </c>
      <c r="AL6105">
        <v>-20.133421549999952</v>
      </c>
      <c r="AM6105">
        <v>-44.890623456009052</v>
      </c>
      <c r="AN6105">
        <v>-20.133421549999952</v>
      </c>
      <c r="AO6105">
        <v>-44.890623456009052</v>
      </c>
      <c r="AP6105">
        <v>-20.133452999999999</v>
      </c>
      <c r="AQ6105">
        <v>-44.890571999999999</v>
      </c>
      <c r="AR6105">
        <v>6.4172139275452773</v>
      </c>
      <c r="AS6105" t="s">
        <v>65</v>
      </c>
      <c r="AT6105">
        <v>1</v>
      </c>
      <c r="AU6105" t="s">
        <v>883</v>
      </c>
      <c r="AV6105" t="s">
        <v>884</v>
      </c>
      <c r="AW6105" t="s">
        <v>60</v>
      </c>
      <c r="AX6105" t="s">
        <v>68</v>
      </c>
      <c r="AY6105" t="s">
        <v>69</v>
      </c>
      <c r="AZ6105" t="b">
        <v>1</v>
      </c>
    </row>
    <row r="6106" spans="1:52" x14ac:dyDescent="0.3">
      <c r="A6106" t="s">
        <v>52</v>
      </c>
      <c r="B6106" t="s">
        <v>53</v>
      </c>
      <c r="C6106" t="s">
        <v>54</v>
      </c>
      <c r="D6106" t="s">
        <v>55</v>
      </c>
      <c r="E6106" t="s">
        <v>2281</v>
      </c>
      <c r="F6106" t="s">
        <v>1247</v>
      </c>
      <c r="G6106" t="s">
        <v>815</v>
      </c>
      <c r="H6106" t="s">
        <v>1404</v>
      </c>
      <c r="I6106" t="s">
        <v>1404</v>
      </c>
      <c r="J6106" t="s">
        <v>60</v>
      </c>
      <c r="K6106" t="s">
        <v>512</v>
      </c>
      <c r="L6106" t="s">
        <v>62</v>
      </c>
      <c r="M6106" t="s">
        <v>512</v>
      </c>
      <c r="N6106" t="s">
        <v>817</v>
      </c>
      <c r="O6106" t="s">
        <v>1405</v>
      </c>
      <c r="P6106">
        <v>-20.129069999999999</v>
      </c>
      <c r="Q6106">
        <v>-44.888452000000001</v>
      </c>
      <c r="R6106" s="2" t="str">
        <f>HYPERLINK("https://www.google.com/maps?q=-20.1290700,-44.8884520","Abrir no Google Maps")</f>
        <v>Abrir no Google Maps</v>
      </c>
      <c r="S6106">
        <v>3</v>
      </c>
      <c r="T6106">
        <v>0</v>
      </c>
      <c r="U6106">
        <v>4</v>
      </c>
      <c r="V6106">
        <v>0.12592592592592591</v>
      </c>
      <c r="W6106">
        <v>0.85</v>
      </c>
      <c r="X6106">
        <v>0.107037037037037</v>
      </c>
      <c r="Y6106">
        <v>564</v>
      </c>
      <c r="Z6106">
        <v>95.870354837220688</v>
      </c>
      <c r="AA6106">
        <v>198</v>
      </c>
      <c r="AB6106">
        <v>332</v>
      </c>
      <c r="AC6106">
        <v>536</v>
      </c>
      <c r="AD6106">
        <v>26.22</v>
      </c>
      <c r="AE6106">
        <v>542</v>
      </c>
      <c r="AF6106">
        <v>11</v>
      </c>
      <c r="AG6106">
        <v>181</v>
      </c>
      <c r="AH6106">
        <v>129</v>
      </c>
      <c r="AI6106">
        <v>2.0299999999999998</v>
      </c>
      <c r="AJ6106">
        <v>33.39</v>
      </c>
      <c r="AK6106">
        <v>23.8</v>
      </c>
      <c r="AL6106">
        <v>-20.12899334999997</v>
      </c>
      <c r="AM6106">
        <v>-44.888406102471222</v>
      </c>
      <c r="AN6106">
        <v>-20.12899334999997</v>
      </c>
      <c r="AO6106">
        <v>-44.888406102471222</v>
      </c>
      <c r="AP6106">
        <v>-20.129069999999999</v>
      </c>
      <c r="AQ6106">
        <v>-44.888452000000001</v>
      </c>
      <c r="AR6106">
        <v>9.7887731150376265</v>
      </c>
      <c r="AS6106" t="s">
        <v>65</v>
      </c>
      <c r="AT6106">
        <v>1</v>
      </c>
      <c r="AU6106" t="s">
        <v>1406</v>
      </c>
      <c r="AV6106" t="s">
        <v>1407</v>
      </c>
      <c r="AW6106" t="s">
        <v>60</v>
      </c>
      <c r="AX6106" t="s">
        <v>68</v>
      </c>
      <c r="AY6106" t="s">
        <v>69</v>
      </c>
      <c r="AZ6106" t="b">
        <v>1</v>
      </c>
    </row>
    <row r="6107" spans="1:52" x14ac:dyDescent="0.3">
      <c r="A6107" t="s">
        <v>52</v>
      </c>
      <c r="B6107" t="s">
        <v>53</v>
      </c>
      <c r="C6107" t="s">
        <v>54</v>
      </c>
      <c r="D6107" t="s">
        <v>55</v>
      </c>
      <c r="E6107" t="s">
        <v>2281</v>
      </c>
      <c r="F6107" t="s">
        <v>1247</v>
      </c>
      <c r="G6107" t="s">
        <v>523</v>
      </c>
      <c r="H6107" t="s">
        <v>524</v>
      </c>
      <c r="I6107" t="s">
        <v>524</v>
      </c>
      <c r="J6107" t="s">
        <v>60</v>
      </c>
      <c r="K6107" t="s">
        <v>518</v>
      </c>
      <c r="L6107" t="s">
        <v>62</v>
      </c>
      <c r="M6107" t="s">
        <v>518</v>
      </c>
      <c r="N6107" t="s">
        <v>525</v>
      </c>
      <c r="O6107" t="s">
        <v>331</v>
      </c>
      <c r="P6107">
        <v>-20.126553000000001</v>
      </c>
      <c r="Q6107">
        <v>-44.888599999999997</v>
      </c>
      <c r="R6107" s="2" t="str">
        <f>HYPERLINK("https://www.google.com/maps?q=-20.1265530,-44.8886000","Abrir no Google Maps")</f>
        <v>Abrir no Google Maps</v>
      </c>
      <c r="S6107">
        <v>3</v>
      </c>
      <c r="T6107">
        <v>256.34043440603853</v>
      </c>
      <c r="U6107">
        <v>4</v>
      </c>
      <c r="V6107">
        <v>0.1303630363036303</v>
      </c>
      <c r="W6107">
        <v>1</v>
      </c>
      <c r="X6107">
        <v>0.1303630363036303</v>
      </c>
      <c r="Y6107">
        <v>564</v>
      </c>
      <c r="Z6107">
        <v>325.4404273055876</v>
      </c>
      <c r="AA6107">
        <v>198</v>
      </c>
      <c r="AB6107">
        <v>332</v>
      </c>
      <c r="AC6107">
        <v>536</v>
      </c>
      <c r="AD6107">
        <v>26.22</v>
      </c>
      <c r="AE6107">
        <v>542</v>
      </c>
      <c r="AF6107">
        <v>11</v>
      </c>
      <c r="AG6107">
        <v>181</v>
      </c>
      <c r="AH6107">
        <v>129</v>
      </c>
      <c r="AI6107">
        <v>2.0299999999999998</v>
      </c>
      <c r="AJ6107">
        <v>33.39</v>
      </c>
      <c r="AK6107">
        <v>23.8</v>
      </c>
      <c r="AL6107">
        <v>-20.12669049999997</v>
      </c>
      <c r="AM6107">
        <v>-44.888671289876577</v>
      </c>
      <c r="AN6107">
        <v>-20.12669049999997</v>
      </c>
      <c r="AO6107">
        <v>-44.888671289876577</v>
      </c>
      <c r="AP6107">
        <v>-20.126553000000001</v>
      </c>
      <c r="AQ6107">
        <v>-44.888599999999997</v>
      </c>
      <c r="AR6107">
        <v>17.023861591720589</v>
      </c>
      <c r="AS6107" t="s">
        <v>65</v>
      </c>
      <c r="AT6107">
        <v>1</v>
      </c>
      <c r="AU6107" t="s">
        <v>526</v>
      </c>
      <c r="AV6107" t="s">
        <v>527</v>
      </c>
      <c r="AW6107" t="s">
        <v>60</v>
      </c>
      <c r="AX6107" t="s">
        <v>68</v>
      </c>
      <c r="AY6107" t="s">
        <v>69</v>
      </c>
      <c r="AZ6107" t="b">
        <v>1</v>
      </c>
    </row>
    <row r="6108" spans="1:52" x14ac:dyDescent="0.3">
      <c r="A6108" t="s">
        <v>52</v>
      </c>
      <c r="B6108" t="s">
        <v>53</v>
      </c>
      <c r="C6108" t="s">
        <v>54</v>
      </c>
      <c r="D6108" t="s">
        <v>55</v>
      </c>
      <c r="E6108" t="s">
        <v>2281</v>
      </c>
      <c r="F6108" t="s">
        <v>1247</v>
      </c>
      <c r="G6108" t="s">
        <v>649</v>
      </c>
      <c r="H6108" t="s">
        <v>885</v>
      </c>
      <c r="I6108" t="s">
        <v>885</v>
      </c>
      <c r="J6108" t="s">
        <v>60</v>
      </c>
      <c r="K6108" t="s">
        <v>886</v>
      </c>
      <c r="L6108" t="s">
        <v>62</v>
      </c>
      <c r="M6108" t="s">
        <v>886</v>
      </c>
      <c r="N6108" t="s">
        <v>652</v>
      </c>
      <c r="O6108" t="s">
        <v>887</v>
      </c>
      <c r="P6108">
        <v>-20.132252000000001</v>
      </c>
      <c r="Q6108">
        <v>-44.894159000000002</v>
      </c>
      <c r="R6108" s="2" t="str">
        <f>HYPERLINK("https://www.google.com/maps?q=-20.1322520,-44.8941590","Abrir no Google Maps")</f>
        <v>Abrir no Google Maps</v>
      </c>
      <c r="S6108">
        <v>3</v>
      </c>
      <c r="T6108">
        <v>699.5004749448899</v>
      </c>
      <c r="U6108">
        <v>4</v>
      </c>
      <c r="V6108">
        <v>0.18124999999999999</v>
      </c>
      <c r="W6108">
        <v>0.85</v>
      </c>
      <c r="X6108">
        <v>0.15406249999999999</v>
      </c>
      <c r="Y6108">
        <v>564</v>
      </c>
      <c r="Z6108">
        <v>522.21103586457991</v>
      </c>
      <c r="AA6108">
        <v>198</v>
      </c>
      <c r="AB6108">
        <v>332</v>
      </c>
      <c r="AC6108">
        <v>536</v>
      </c>
      <c r="AD6108">
        <v>26.22</v>
      </c>
      <c r="AE6108">
        <v>542</v>
      </c>
      <c r="AF6108">
        <v>11</v>
      </c>
      <c r="AG6108">
        <v>181</v>
      </c>
      <c r="AH6108">
        <v>129</v>
      </c>
      <c r="AI6108">
        <v>2.0299999999999998</v>
      </c>
      <c r="AJ6108">
        <v>33.39</v>
      </c>
      <c r="AK6108">
        <v>23.8</v>
      </c>
      <c r="AL6108">
        <v>-20.132285999999969</v>
      </c>
      <c r="AM6108">
        <v>-44.894119001288672</v>
      </c>
      <c r="AN6108">
        <v>-20.132285999999969</v>
      </c>
      <c r="AO6108">
        <v>-44.894119001288672</v>
      </c>
      <c r="AP6108">
        <v>-20.132252000000001</v>
      </c>
      <c r="AQ6108">
        <v>-44.894159000000002</v>
      </c>
      <c r="AR6108">
        <v>5.6393921063261629</v>
      </c>
      <c r="AS6108" t="s">
        <v>65</v>
      </c>
      <c r="AT6108">
        <v>1</v>
      </c>
      <c r="AU6108" t="s">
        <v>888</v>
      </c>
      <c r="AV6108" t="s">
        <v>889</v>
      </c>
      <c r="AW6108" t="s">
        <v>60</v>
      </c>
      <c r="AX6108" t="s">
        <v>68</v>
      </c>
      <c r="AY6108" t="s">
        <v>69</v>
      </c>
      <c r="AZ6108" t="b">
        <v>1</v>
      </c>
    </row>
    <row r="6109" spans="1:52" x14ac:dyDescent="0.3">
      <c r="A6109" t="s">
        <v>52</v>
      </c>
      <c r="B6109" t="s">
        <v>53</v>
      </c>
      <c r="C6109" t="s">
        <v>54</v>
      </c>
      <c r="D6109" t="s">
        <v>55</v>
      </c>
      <c r="E6109" t="s">
        <v>2281</v>
      </c>
      <c r="F6109" t="s">
        <v>1247</v>
      </c>
      <c r="G6109" t="s">
        <v>528</v>
      </c>
      <c r="H6109" t="s">
        <v>529</v>
      </c>
      <c r="I6109" t="s">
        <v>529</v>
      </c>
      <c r="J6109" t="s">
        <v>60</v>
      </c>
      <c r="K6109" t="s">
        <v>530</v>
      </c>
      <c r="L6109" t="s">
        <v>62</v>
      </c>
      <c r="M6109" t="s">
        <v>530</v>
      </c>
      <c r="N6109" t="s">
        <v>531</v>
      </c>
      <c r="O6109" t="s">
        <v>532</v>
      </c>
      <c r="P6109">
        <v>-20.142457</v>
      </c>
      <c r="Q6109">
        <v>-44.891688000000002</v>
      </c>
      <c r="R6109" s="2" t="str">
        <f>HYPERLINK("https://www.google.com/maps?q=-20.1424570,-44.8916880","Abrir no Google Maps")</f>
        <v>Abrir no Google Maps</v>
      </c>
      <c r="S6109">
        <v>3</v>
      </c>
      <c r="T6109">
        <v>0</v>
      </c>
      <c r="U6109">
        <v>4</v>
      </c>
      <c r="V6109">
        <v>0.32876712328767121</v>
      </c>
      <c r="W6109">
        <v>1</v>
      </c>
      <c r="X6109">
        <v>0.32876712328767121</v>
      </c>
      <c r="Y6109">
        <v>557</v>
      </c>
      <c r="Z6109">
        <v>42.611952255679803</v>
      </c>
      <c r="AA6109">
        <v>198</v>
      </c>
      <c r="AB6109">
        <v>332</v>
      </c>
      <c r="AC6109">
        <v>536</v>
      </c>
      <c r="AD6109">
        <v>26.22</v>
      </c>
      <c r="AE6109">
        <v>542</v>
      </c>
      <c r="AF6109">
        <v>11</v>
      </c>
      <c r="AG6109">
        <v>181</v>
      </c>
      <c r="AH6109">
        <v>129</v>
      </c>
      <c r="AI6109">
        <v>2.0299999999999998</v>
      </c>
      <c r="AJ6109">
        <v>33.39</v>
      </c>
      <c r="AK6109">
        <v>23.8</v>
      </c>
      <c r="AL6109">
        <v>-20.142523099999948</v>
      </c>
      <c r="AM6109">
        <v>-44.891523817588819</v>
      </c>
      <c r="AN6109">
        <v>-20.142523099999948</v>
      </c>
      <c r="AO6109">
        <v>-44.891523817588819</v>
      </c>
      <c r="AP6109">
        <v>-20.142457</v>
      </c>
      <c r="AQ6109">
        <v>-44.891688000000002</v>
      </c>
      <c r="AR6109">
        <v>18.670129248632971</v>
      </c>
      <c r="AS6109" t="s">
        <v>65</v>
      </c>
      <c r="AT6109">
        <v>1</v>
      </c>
      <c r="AU6109" t="s">
        <v>533</v>
      </c>
      <c r="AV6109" t="s">
        <v>534</v>
      </c>
      <c r="AW6109" t="s">
        <v>60</v>
      </c>
      <c r="AX6109" t="s">
        <v>68</v>
      </c>
      <c r="AY6109" t="s">
        <v>69</v>
      </c>
      <c r="AZ6109" t="b">
        <v>1</v>
      </c>
    </row>
    <row r="6110" spans="1:52" x14ac:dyDescent="0.3">
      <c r="A6110" t="s">
        <v>52</v>
      </c>
      <c r="B6110" t="s">
        <v>53</v>
      </c>
      <c r="C6110" t="s">
        <v>54</v>
      </c>
      <c r="D6110" t="s">
        <v>55</v>
      </c>
      <c r="E6110" t="s">
        <v>2281</v>
      </c>
      <c r="F6110" t="s">
        <v>1247</v>
      </c>
      <c r="G6110" t="s">
        <v>535</v>
      </c>
      <c r="H6110" t="s">
        <v>536</v>
      </c>
      <c r="I6110" t="s">
        <v>536</v>
      </c>
      <c r="J6110" t="s">
        <v>60</v>
      </c>
      <c r="K6110" t="s">
        <v>388</v>
      </c>
      <c r="L6110" t="s">
        <v>62</v>
      </c>
      <c r="M6110" t="s">
        <v>388</v>
      </c>
      <c r="N6110" t="s">
        <v>537</v>
      </c>
      <c r="O6110" t="s">
        <v>538</v>
      </c>
      <c r="P6110">
        <v>-20.150061999999998</v>
      </c>
      <c r="Q6110">
        <v>-44.903379000000001</v>
      </c>
      <c r="R6110" s="2" t="str">
        <f>HYPERLINK("https://www.google.com/maps?q=-20.1500620,-44.9033790","Abrir no Google Maps")</f>
        <v>Abrir no Google Maps</v>
      </c>
      <c r="S6110">
        <v>3</v>
      </c>
      <c r="T6110">
        <v>286.20313674219977</v>
      </c>
      <c r="U6110">
        <v>4</v>
      </c>
      <c r="V6110">
        <v>0.18644067796610159</v>
      </c>
      <c r="W6110">
        <v>1</v>
      </c>
      <c r="X6110">
        <v>0.18644067796610159</v>
      </c>
      <c r="Y6110">
        <v>556</v>
      </c>
      <c r="Z6110">
        <v>315.81851898667401</v>
      </c>
      <c r="AA6110">
        <v>198</v>
      </c>
      <c r="AB6110">
        <v>332</v>
      </c>
      <c r="AC6110">
        <v>536</v>
      </c>
      <c r="AD6110">
        <v>26.22</v>
      </c>
      <c r="AE6110">
        <v>542</v>
      </c>
      <c r="AF6110">
        <v>11</v>
      </c>
      <c r="AG6110">
        <v>181</v>
      </c>
      <c r="AH6110">
        <v>129</v>
      </c>
      <c r="AI6110">
        <v>2.0299999999999998</v>
      </c>
      <c r="AJ6110">
        <v>33.39</v>
      </c>
      <c r="AK6110">
        <v>23.8</v>
      </c>
      <c r="AL6110">
        <v>-20.150084299999971</v>
      </c>
      <c r="AM6110">
        <v>-44.903278407568479</v>
      </c>
      <c r="AN6110">
        <v>-20.150084299999971</v>
      </c>
      <c r="AO6110">
        <v>-44.903278407568479</v>
      </c>
      <c r="AP6110">
        <v>-20.150061999999998</v>
      </c>
      <c r="AQ6110">
        <v>-44.903379000000001</v>
      </c>
      <c r="AR6110">
        <v>10.801687336134639</v>
      </c>
      <c r="AS6110" t="s">
        <v>65</v>
      </c>
      <c r="AT6110">
        <v>1</v>
      </c>
      <c r="AU6110" t="s">
        <v>539</v>
      </c>
      <c r="AV6110" t="s">
        <v>540</v>
      </c>
      <c r="AW6110" t="s">
        <v>60</v>
      </c>
      <c r="AX6110" t="s">
        <v>68</v>
      </c>
      <c r="AY6110" t="s">
        <v>69</v>
      </c>
      <c r="AZ6110" t="b">
        <v>1</v>
      </c>
    </row>
    <row r="6111" spans="1:52" x14ac:dyDescent="0.3">
      <c r="A6111" t="s">
        <v>52</v>
      </c>
      <c r="B6111" t="s">
        <v>53</v>
      </c>
      <c r="C6111" t="s">
        <v>54</v>
      </c>
      <c r="D6111" t="s">
        <v>55</v>
      </c>
      <c r="E6111" t="s">
        <v>2281</v>
      </c>
      <c r="F6111" t="s">
        <v>1247</v>
      </c>
      <c r="G6111" t="s">
        <v>398</v>
      </c>
      <c r="H6111" t="s">
        <v>541</v>
      </c>
      <c r="I6111" t="s">
        <v>541</v>
      </c>
      <c r="J6111" t="s">
        <v>60</v>
      </c>
      <c r="K6111" t="s">
        <v>388</v>
      </c>
      <c r="L6111" t="s">
        <v>62</v>
      </c>
      <c r="M6111" t="s">
        <v>388</v>
      </c>
      <c r="N6111" t="s">
        <v>400</v>
      </c>
      <c r="O6111" t="s">
        <v>542</v>
      </c>
      <c r="P6111">
        <v>-20.151335</v>
      </c>
      <c r="Q6111">
        <v>-44.901041999999997</v>
      </c>
      <c r="R6111" s="2" t="str">
        <f>HYPERLINK("https://www.google.com/maps?q=-20.1513350,-44.9010420","Abrir no Google Maps")</f>
        <v>Abrir no Google Maps</v>
      </c>
      <c r="S6111">
        <v>3</v>
      </c>
      <c r="T6111">
        <v>0</v>
      </c>
      <c r="U6111">
        <v>4</v>
      </c>
      <c r="V6111">
        <v>0.1333333333333333</v>
      </c>
      <c r="W6111">
        <v>1</v>
      </c>
      <c r="X6111">
        <v>0.1333333333333333</v>
      </c>
      <c r="Y6111">
        <v>556</v>
      </c>
      <c r="Z6111">
        <v>137.71609036908939</v>
      </c>
      <c r="AA6111">
        <v>198</v>
      </c>
      <c r="AB6111">
        <v>332</v>
      </c>
      <c r="AC6111">
        <v>536</v>
      </c>
      <c r="AD6111">
        <v>26.22</v>
      </c>
      <c r="AE6111">
        <v>542</v>
      </c>
      <c r="AF6111">
        <v>11</v>
      </c>
      <c r="AG6111">
        <v>181</v>
      </c>
      <c r="AH6111">
        <v>129</v>
      </c>
      <c r="AI6111">
        <v>2.0299999999999998</v>
      </c>
      <c r="AJ6111">
        <v>33.39</v>
      </c>
      <c r="AK6111">
        <v>23.8</v>
      </c>
      <c r="AL6111">
        <v>-20.15125899999995</v>
      </c>
      <c r="AM6111">
        <v>-44.900838557594433</v>
      </c>
      <c r="AN6111">
        <v>-20.15125899999995</v>
      </c>
      <c r="AO6111">
        <v>-44.900838557594433</v>
      </c>
      <c r="AP6111">
        <v>-20.151335</v>
      </c>
      <c r="AQ6111">
        <v>-44.901041999999997</v>
      </c>
      <c r="AR6111">
        <v>22.882363139483491</v>
      </c>
      <c r="AS6111" t="s">
        <v>65</v>
      </c>
      <c r="AT6111">
        <v>1</v>
      </c>
      <c r="AU6111" t="s">
        <v>543</v>
      </c>
      <c r="AV6111" t="s">
        <v>544</v>
      </c>
      <c r="AW6111" t="s">
        <v>60</v>
      </c>
      <c r="AX6111" t="s">
        <v>68</v>
      </c>
      <c r="AY6111" t="s">
        <v>69</v>
      </c>
      <c r="AZ6111" t="b">
        <v>1</v>
      </c>
    </row>
    <row r="6112" spans="1:52" x14ac:dyDescent="0.3">
      <c r="A6112" t="s">
        <v>52</v>
      </c>
      <c r="B6112" t="s">
        <v>53</v>
      </c>
      <c r="C6112" t="s">
        <v>54</v>
      </c>
      <c r="D6112" t="s">
        <v>55</v>
      </c>
      <c r="E6112" t="s">
        <v>2281</v>
      </c>
      <c r="F6112" t="s">
        <v>1247</v>
      </c>
      <c r="G6112" t="s">
        <v>545</v>
      </c>
      <c r="H6112" t="s">
        <v>546</v>
      </c>
      <c r="I6112" t="s">
        <v>546</v>
      </c>
      <c r="J6112" t="s">
        <v>60</v>
      </c>
      <c r="K6112" t="s">
        <v>388</v>
      </c>
      <c r="L6112" t="s">
        <v>62</v>
      </c>
      <c r="M6112" t="s">
        <v>388</v>
      </c>
      <c r="N6112" t="s">
        <v>547</v>
      </c>
      <c r="O6112" t="s">
        <v>548</v>
      </c>
      <c r="P6112">
        <v>-20.155839</v>
      </c>
      <c r="Q6112">
        <v>-44.905655000000003</v>
      </c>
      <c r="R6112" s="2" t="str">
        <f>HYPERLINK("https://www.google.com/maps?q=-20.1558390,-44.9056550","Abrir no Google Maps")</f>
        <v>Abrir no Google Maps</v>
      </c>
      <c r="S6112">
        <v>3</v>
      </c>
      <c r="T6112">
        <v>309.7643089121122</v>
      </c>
      <c r="U6112">
        <v>4</v>
      </c>
      <c r="V6112">
        <v>0.12575757575757571</v>
      </c>
      <c r="W6112">
        <v>1</v>
      </c>
      <c r="X6112">
        <v>0.12575757575757571</v>
      </c>
      <c r="Y6112">
        <v>548</v>
      </c>
      <c r="Z6112">
        <v>284.24281731793161</v>
      </c>
      <c r="AA6112">
        <v>198</v>
      </c>
      <c r="AB6112">
        <v>332</v>
      </c>
      <c r="AC6112">
        <v>536</v>
      </c>
      <c r="AD6112">
        <v>26.22</v>
      </c>
      <c r="AE6112">
        <v>542</v>
      </c>
      <c r="AF6112">
        <v>11</v>
      </c>
      <c r="AG6112">
        <v>181</v>
      </c>
      <c r="AH6112">
        <v>129</v>
      </c>
      <c r="AI6112">
        <v>2.0299999999999998</v>
      </c>
      <c r="AJ6112">
        <v>33.39</v>
      </c>
      <c r="AK6112">
        <v>23.8</v>
      </c>
      <c r="AL6112">
        <v>-20.155913549999951</v>
      </c>
      <c r="AM6112">
        <v>-44.905554508392683</v>
      </c>
      <c r="AN6112">
        <v>-20.155913549999951</v>
      </c>
      <c r="AO6112">
        <v>-44.905554508392669</v>
      </c>
      <c r="AP6112">
        <v>-20.155839</v>
      </c>
      <c r="AQ6112">
        <v>-44.905655000000003</v>
      </c>
      <c r="AR6112">
        <v>13.384922093797449</v>
      </c>
      <c r="AS6112" t="s">
        <v>65</v>
      </c>
      <c r="AT6112">
        <v>1</v>
      </c>
      <c r="AU6112" t="s">
        <v>549</v>
      </c>
      <c r="AV6112" t="s">
        <v>550</v>
      </c>
      <c r="AW6112" t="s">
        <v>60</v>
      </c>
      <c r="AX6112" t="s">
        <v>68</v>
      </c>
      <c r="AY6112" t="s">
        <v>69</v>
      </c>
      <c r="AZ6112" t="b">
        <v>1</v>
      </c>
    </row>
    <row r="6113" spans="1:52" x14ac:dyDescent="0.3">
      <c r="A6113" t="s">
        <v>52</v>
      </c>
      <c r="B6113" t="s">
        <v>53</v>
      </c>
      <c r="C6113" t="s">
        <v>54</v>
      </c>
      <c r="D6113" t="s">
        <v>55</v>
      </c>
      <c r="E6113" t="s">
        <v>2281</v>
      </c>
      <c r="F6113" t="s">
        <v>1247</v>
      </c>
      <c r="G6113" t="s">
        <v>551</v>
      </c>
      <c r="H6113" t="s">
        <v>552</v>
      </c>
      <c r="I6113" t="s">
        <v>552</v>
      </c>
      <c r="J6113" t="s">
        <v>60</v>
      </c>
      <c r="K6113" t="s">
        <v>388</v>
      </c>
      <c r="L6113" t="s">
        <v>62</v>
      </c>
      <c r="M6113" t="s">
        <v>388</v>
      </c>
      <c r="N6113" t="s">
        <v>553</v>
      </c>
      <c r="O6113" t="s">
        <v>315</v>
      </c>
      <c r="P6113">
        <v>-20.153086999999999</v>
      </c>
      <c r="Q6113">
        <v>-44.905451999999997</v>
      </c>
      <c r="R6113" s="2" t="str">
        <f>HYPERLINK("https://www.google.com/maps?q=-20.1530870,-44.9054520","Abrir no Google Maps")</f>
        <v>Abrir no Google Maps</v>
      </c>
      <c r="S6113">
        <v>3</v>
      </c>
      <c r="T6113">
        <v>313.69387682409018</v>
      </c>
      <c r="U6113">
        <v>4</v>
      </c>
      <c r="V6113">
        <v>0.1228070175438596</v>
      </c>
      <c r="W6113">
        <v>1</v>
      </c>
      <c r="X6113">
        <v>0.1228070175438596</v>
      </c>
      <c r="Y6113">
        <v>548</v>
      </c>
      <c r="Z6113">
        <v>319.51605309906859</v>
      </c>
      <c r="AA6113">
        <v>198</v>
      </c>
      <c r="AB6113">
        <v>332</v>
      </c>
      <c r="AC6113">
        <v>536</v>
      </c>
      <c r="AD6113">
        <v>26.22</v>
      </c>
      <c r="AE6113">
        <v>542</v>
      </c>
      <c r="AF6113">
        <v>11</v>
      </c>
      <c r="AG6113">
        <v>181</v>
      </c>
      <c r="AH6113">
        <v>129</v>
      </c>
      <c r="AI6113">
        <v>2.0299999999999998</v>
      </c>
      <c r="AJ6113">
        <v>33.39</v>
      </c>
      <c r="AK6113">
        <v>23.8</v>
      </c>
      <c r="AL6113">
        <v>-20.153043049999951</v>
      </c>
      <c r="AM6113">
        <v>-44.905348275899513</v>
      </c>
      <c r="AN6113">
        <v>-20.153043049999951</v>
      </c>
      <c r="AO6113">
        <v>-44.905348275899513</v>
      </c>
      <c r="AP6113">
        <v>-20.153086999999999</v>
      </c>
      <c r="AQ6113">
        <v>-44.905451999999997</v>
      </c>
      <c r="AR6113">
        <v>11.892619975648341</v>
      </c>
      <c r="AS6113" t="s">
        <v>65</v>
      </c>
      <c r="AT6113">
        <v>1</v>
      </c>
      <c r="AU6113" t="s">
        <v>554</v>
      </c>
      <c r="AV6113" t="s">
        <v>555</v>
      </c>
      <c r="AW6113" t="s">
        <v>60</v>
      </c>
      <c r="AX6113" t="s">
        <v>68</v>
      </c>
      <c r="AY6113" t="s">
        <v>69</v>
      </c>
      <c r="AZ6113" t="b">
        <v>1</v>
      </c>
    </row>
    <row r="6114" spans="1:52" x14ac:dyDescent="0.3">
      <c r="A6114" t="s">
        <v>52</v>
      </c>
      <c r="B6114" t="s">
        <v>53</v>
      </c>
      <c r="C6114" t="s">
        <v>54</v>
      </c>
      <c r="D6114" t="s">
        <v>55</v>
      </c>
      <c r="E6114" t="s">
        <v>2281</v>
      </c>
      <c r="F6114" t="s">
        <v>1247</v>
      </c>
      <c r="G6114" t="s">
        <v>556</v>
      </c>
      <c r="H6114" t="s">
        <v>557</v>
      </c>
      <c r="I6114" t="s">
        <v>557</v>
      </c>
      <c r="J6114" t="s">
        <v>60</v>
      </c>
      <c r="K6114" t="s">
        <v>388</v>
      </c>
      <c r="L6114" t="s">
        <v>62</v>
      </c>
      <c r="M6114" t="s">
        <v>388</v>
      </c>
      <c r="N6114" t="s">
        <v>558</v>
      </c>
      <c r="O6114" t="s">
        <v>559</v>
      </c>
      <c r="P6114">
        <v>-20.152670000000001</v>
      </c>
      <c r="Q6114">
        <v>-44.902557999999999</v>
      </c>
      <c r="R6114" s="2" t="str">
        <f>HYPERLINK("https://www.google.com/maps?q=-20.1526700,-44.9025580","Abrir no Google Maps")</f>
        <v>Abrir no Google Maps</v>
      </c>
      <c r="S6114">
        <v>3</v>
      </c>
      <c r="T6114">
        <v>228.56195217678911</v>
      </c>
      <c r="U6114">
        <v>4</v>
      </c>
      <c r="V6114">
        <v>0.1062271062271062</v>
      </c>
      <c r="W6114">
        <v>1</v>
      </c>
      <c r="X6114">
        <v>0.1062271062271062</v>
      </c>
      <c r="Y6114">
        <v>548</v>
      </c>
      <c r="Z6114">
        <v>250.63133895224919</v>
      </c>
      <c r="AA6114">
        <v>198</v>
      </c>
      <c r="AB6114">
        <v>332</v>
      </c>
      <c r="AC6114">
        <v>536</v>
      </c>
      <c r="AD6114">
        <v>26.22</v>
      </c>
      <c r="AE6114">
        <v>542</v>
      </c>
      <c r="AF6114">
        <v>11</v>
      </c>
      <c r="AG6114">
        <v>181</v>
      </c>
      <c r="AH6114">
        <v>129</v>
      </c>
      <c r="AI6114">
        <v>2.0299999999999998</v>
      </c>
      <c r="AJ6114">
        <v>33.39</v>
      </c>
      <c r="AK6114">
        <v>23.8</v>
      </c>
      <c r="AL6114">
        <v>-20.152629799999939</v>
      </c>
      <c r="AM6114">
        <v>-44.902604744705201</v>
      </c>
      <c r="AN6114">
        <v>-20.152629799999939</v>
      </c>
      <c r="AO6114">
        <v>-44.902604744705201</v>
      </c>
      <c r="AP6114">
        <v>-20.152670000000001</v>
      </c>
      <c r="AQ6114">
        <v>-44.902557999999999</v>
      </c>
      <c r="AR6114">
        <v>6.6249428037111509</v>
      </c>
      <c r="AS6114" t="s">
        <v>65</v>
      </c>
      <c r="AT6114">
        <v>1</v>
      </c>
      <c r="AU6114" t="s">
        <v>560</v>
      </c>
      <c r="AV6114" t="s">
        <v>561</v>
      </c>
      <c r="AW6114" t="s">
        <v>60</v>
      </c>
      <c r="AX6114" t="s">
        <v>68</v>
      </c>
      <c r="AY6114" t="s">
        <v>69</v>
      </c>
      <c r="AZ6114" t="b">
        <v>1</v>
      </c>
    </row>
    <row r="6115" spans="1:52" x14ac:dyDescent="0.3">
      <c r="A6115" t="s">
        <v>52</v>
      </c>
      <c r="B6115" t="s">
        <v>53</v>
      </c>
      <c r="C6115" t="s">
        <v>54</v>
      </c>
      <c r="D6115" t="s">
        <v>55</v>
      </c>
      <c r="E6115" t="s">
        <v>2281</v>
      </c>
      <c r="F6115" t="s">
        <v>1247</v>
      </c>
      <c r="G6115" t="s">
        <v>562</v>
      </c>
      <c r="H6115" t="s">
        <v>563</v>
      </c>
      <c r="I6115" t="s">
        <v>563</v>
      </c>
      <c r="J6115" t="s">
        <v>60</v>
      </c>
      <c r="K6115" t="s">
        <v>388</v>
      </c>
      <c r="L6115" t="s">
        <v>62</v>
      </c>
      <c r="M6115" t="s">
        <v>388</v>
      </c>
      <c r="N6115" t="s">
        <v>564</v>
      </c>
      <c r="O6115" t="s">
        <v>565</v>
      </c>
      <c r="P6115">
        <v>-20.154432</v>
      </c>
      <c r="Q6115">
        <v>-44.902977999999997</v>
      </c>
      <c r="R6115" s="2" t="str">
        <f>HYPERLINK("https://www.google.com/maps?q=-20.1544320,-44.9029780","Abrir no Google Maps")</f>
        <v>Abrir no Google Maps</v>
      </c>
      <c r="S6115">
        <v>3</v>
      </c>
      <c r="T6115">
        <v>0</v>
      </c>
      <c r="U6115">
        <v>4</v>
      </c>
      <c r="V6115">
        <v>0.15660919540229881</v>
      </c>
      <c r="W6115">
        <v>1</v>
      </c>
      <c r="X6115">
        <v>0.15660919540229881</v>
      </c>
      <c r="Y6115">
        <v>548</v>
      </c>
      <c r="Z6115">
        <v>29.424211042533759</v>
      </c>
      <c r="AA6115">
        <v>198</v>
      </c>
      <c r="AB6115">
        <v>332</v>
      </c>
      <c r="AC6115">
        <v>536</v>
      </c>
      <c r="AD6115">
        <v>26.22</v>
      </c>
      <c r="AE6115">
        <v>542</v>
      </c>
      <c r="AF6115">
        <v>11</v>
      </c>
      <c r="AG6115">
        <v>181</v>
      </c>
      <c r="AH6115">
        <v>129</v>
      </c>
      <c r="AI6115">
        <v>2.0299999999999998</v>
      </c>
      <c r="AJ6115">
        <v>33.39</v>
      </c>
      <c r="AK6115">
        <v>23.8</v>
      </c>
      <c r="AL6115">
        <v>-20.15467689999997</v>
      </c>
      <c r="AM6115">
        <v>-44.902895281771222</v>
      </c>
      <c r="AN6115">
        <v>-20.15467689999997</v>
      </c>
      <c r="AO6115">
        <v>-44.902895281771222</v>
      </c>
      <c r="AP6115">
        <v>-20.154432</v>
      </c>
      <c r="AQ6115">
        <v>-44.902977999999997</v>
      </c>
      <c r="AR6115">
        <v>28.5999270636025</v>
      </c>
      <c r="AS6115" t="s">
        <v>65</v>
      </c>
      <c r="AT6115">
        <v>1</v>
      </c>
      <c r="AU6115" t="s">
        <v>566</v>
      </c>
      <c r="AV6115" t="s">
        <v>567</v>
      </c>
      <c r="AW6115" t="s">
        <v>60</v>
      </c>
      <c r="AX6115" t="s">
        <v>68</v>
      </c>
      <c r="AY6115" t="s">
        <v>69</v>
      </c>
      <c r="AZ6115" t="b">
        <v>1</v>
      </c>
    </row>
    <row r="6116" spans="1:52" x14ac:dyDescent="0.3">
      <c r="A6116" t="s">
        <v>52</v>
      </c>
      <c r="B6116" t="s">
        <v>53</v>
      </c>
      <c r="C6116" t="s">
        <v>54</v>
      </c>
      <c r="D6116" t="s">
        <v>55</v>
      </c>
      <c r="E6116" t="s">
        <v>2281</v>
      </c>
      <c r="F6116" t="s">
        <v>1247</v>
      </c>
      <c r="G6116" t="s">
        <v>568</v>
      </c>
      <c r="H6116" t="s">
        <v>569</v>
      </c>
      <c r="I6116" t="s">
        <v>569</v>
      </c>
      <c r="J6116" t="s">
        <v>60</v>
      </c>
      <c r="K6116" t="s">
        <v>61</v>
      </c>
      <c r="L6116" t="s">
        <v>62</v>
      </c>
      <c r="M6116" t="s">
        <v>61</v>
      </c>
      <c r="N6116" t="s">
        <v>570</v>
      </c>
      <c r="O6116" t="s">
        <v>548</v>
      </c>
      <c r="P6116">
        <v>-20.151508</v>
      </c>
      <c r="Q6116">
        <v>-44.907826</v>
      </c>
      <c r="R6116" s="2" t="str">
        <f>HYPERLINK("https://www.google.com/maps?q=-20.1515080,-44.9078260","Abrir no Google Maps")</f>
        <v>Abrir no Google Maps</v>
      </c>
      <c r="S6116">
        <v>3</v>
      </c>
      <c r="T6116">
        <v>567.15905416240514</v>
      </c>
      <c r="U6116">
        <v>4</v>
      </c>
      <c r="V6116">
        <v>0.3198653198653198</v>
      </c>
      <c r="W6116">
        <v>0.85</v>
      </c>
      <c r="X6116">
        <v>0.27188552188552179</v>
      </c>
      <c r="Y6116">
        <v>548</v>
      </c>
      <c r="Z6116">
        <v>560.49158010771464</v>
      </c>
      <c r="AA6116">
        <v>198</v>
      </c>
      <c r="AB6116">
        <v>332</v>
      </c>
      <c r="AC6116">
        <v>536</v>
      </c>
      <c r="AD6116">
        <v>26.22</v>
      </c>
      <c r="AE6116">
        <v>542</v>
      </c>
      <c r="AF6116">
        <v>11</v>
      </c>
      <c r="AG6116">
        <v>181</v>
      </c>
      <c r="AH6116">
        <v>129</v>
      </c>
      <c r="AI6116">
        <v>2.0299999999999998</v>
      </c>
      <c r="AJ6116">
        <v>33.39</v>
      </c>
      <c r="AK6116">
        <v>23.8</v>
      </c>
      <c r="AL6116">
        <v>-20.15211779999996</v>
      </c>
      <c r="AM6116">
        <v>-44.907597469593128</v>
      </c>
      <c r="AN6116">
        <v>-20.15211779999996</v>
      </c>
      <c r="AO6116">
        <v>-44.907597469593128</v>
      </c>
      <c r="AP6116">
        <v>-20.151508</v>
      </c>
      <c r="AQ6116">
        <v>-44.907826</v>
      </c>
      <c r="AR6116">
        <v>71.961597929314735</v>
      </c>
      <c r="AS6116" t="s">
        <v>65</v>
      </c>
      <c r="AT6116">
        <v>1</v>
      </c>
      <c r="AU6116" t="s">
        <v>571</v>
      </c>
      <c r="AV6116" t="s">
        <v>572</v>
      </c>
      <c r="AW6116" t="s">
        <v>60</v>
      </c>
      <c r="AX6116" t="s">
        <v>68</v>
      </c>
      <c r="AY6116" t="s">
        <v>69</v>
      </c>
      <c r="AZ6116" t="b">
        <v>1</v>
      </c>
    </row>
    <row r="6117" spans="1:52" x14ac:dyDescent="0.3">
      <c r="A6117" t="s">
        <v>52</v>
      </c>
      <c r="B6117" t="s">
        <v>53</v>
      </c>
      <c r="C6117" t="s">
        <v>54</v>
      </c>
      <c r="D6117" t="s">
        <v>55</v>
      </c>
      <c r="E6117" t="s">
        <v>2281</v>
      </c>
      <c r="F6117" t="s">
        <v>1247</v>
      </c>
      <c r="G6117" t="s">
        <v>380</v>
      </c>
      <c r="H6117" t="s">
        <v>381</v>
      </c>
      <c r="I6117" t="s">
        <v>381</v>
      </c>
      <c r="J6117" t="s">
        <v>60</v>
      </c>
      <c r="K6117" t="s">
        <v>72</v>
      </c>
      <c r="L6117" t="s">
        <v>62</v>
      </c>
      <c r="M6117" t="s">
        <v>72</v>
      </c>
      <c r="N6117" t="s">
        <v>382</v>
      </c>
      <c r="O6117" t="s">
        <v>383</v>
      </c>
      <c r="P6117">
        <v>-20.147182000000001</v>
      </c>
      <c r="Q6117">
        <v>-44.912728999999999</v>
      </c>
      <c r="R6117" s="2" t="str">
        <f>HYPERLINK("https://www.google.com/maps?q=-20.1471820,-44.9127290","Abrir no Google Maps")</f>
        <v>Abrir no Google Maps</v>
      </c>
      <c r="S6117">
        <v>3</v>
      </c>
      <c r="T6117">
        <v>478.0141981540923</v>
      </c>
      <c r="U6117">
        <v>3</v>
      </c>
      <c r="V6117">
        <v>6.5920398009950198E-2</v>
      </c>
      <c r="W6117">
        <v>1</v>
      </c>
      <c r="X6117">
        <v>6.5920398009950198E-2</v>
      </c>
      <c r="Y6117">
        <v>747</v>
      </c>
      <c r="Z6117">
        <v>494.0254290673729</v>
      </c>
      <c r="AA6117">
        <v>198</v>
      </c>
      <c r="AB6117">
        <v>332</v>
      </c>
      <c r="AC6117">
        <v>536</v>
      </c>
      <c r="AD6117">
        <v>26.22</v>
      </c>
      <c r="AE6117">
        <v>542</v>
      </c>
      <c r="AF6117">
        <v>11</v>
      </c>
      <c r="AG6117">
        <v>181</v>
      </c>
      <c r="AH6117">
        <v>129</v>
      </c>
      <c r="AI6117">
        <v>2.0299999999999998</v>
      </c>
      <c r="AJ6117">
        <v>33.39</v>
      </c>
      <c r="AK6117">
        <v>23.8</v>
      </c>
      <c r="AL6117">
        <v>-20.147375599999979</v>
      </c>
      <c r="AM6117">
        <v>-44.912907472879468</v>
      </c>
      <c r="AN6117">
        <v>-20.147375599999979</v>
      </c>
      <c r="AO6117">
        <v>-44.912907472879468</v>
      </c>
      <c r="AP6117">
        <v>-20.147182000000001</v>
      </c>
      <c r="AQ6117">
        <v>-44.912728999999999</v>
      </c>
      <c r="AR6117">
        <v>28.50197694184326</v>
      </c>
      <c r="AS6117" t="s">
        <v>65</v>
      </c>
      <c r="AT6117">
        <v>1</v>
      </c>
      <c r="AU6117" t="s">
        <v>384</v>
      </c>
      <c r="AV6117" t="s">
        <v>385</v>
      </c>
      <c r="AW6117" t="s">
        <v>60</v>
      </c>
      <c r="AX6117" t="s">
        <v>68</v>
      </c>
      <c r="AY6117" t="s">
        <v>69</v>
      </c>
      <c r="AZ6117" t="b">
        <v>1</v>
      </c>
    </row>
    <row r="6118" spans="1:52" x14ac:dyDescent="0.3">
      <c r="A6118" t="s">
        <v>52</v>
      </c>
      <c r="B6118" t="s">
        <v>53</v>
      </c>
      <c r="C6118" t="s">
        <v>54</v>
      </c>
      <c r="D6118" t="s">
        <v>55</v>
      </c>
      <c r="E6118" t="s">
        <v>2281</v>
      </c>
      <c r="F6118" t="s">
        <v>1247</v>
      </c>
      <c r="G6118" t="s">
        <v>833</v>
      </c>
      <c r="H6118" t="s">
        <v>834</v>
      </c>
      <c r="I6118" t="s">
        <v>834</v>
      </c>
      <c r="J6118" t="s">
        <v>60</v>
      </c>
      <c r="K6118" t="s">
        <v>388</v>
      </c>
      <c r="L6118" t="s">
        <v>62</v>
      </c>
      <c r="M6118" t="s">
        <v>388</v>
      </c>
      <c r="N6118" t="s">
        <v>835</v>
      </c>
      <c r="O6118" t="s">
        <v>836</v>
      </c>
      <c r="P6118">
        <v>-20.157906000000001</v>
      </c>
      <c r="Q6118">
        <v>-44.900458999999998</v>
      </c>
      <c r="R6118" s="2" t="str">
        <f>HYPERLINK("https://www.google.com/maps?q=-20.1579060,-44.9004590","Abrir no Google Maps")</f>
        <v>Abrir no Google Maps</v>
      </c>
      <c r="S6118">
        <v>3</v>
      </c>
      <c r="T6118">
        <v>0</v>
      </c>
      <c r="U6118">
        <v>3</v>
      </c>
      <c r="V6118">
        <v>4.7413793103448197E-2</v>
      </c>
      <c r="W6118">
        <v>1</v>
      </c>
      <c r="X6118">
        <v>4.7413793103448197E-2</v>
      </c>
      <c r="Y6118">
        <v>729</v>
      </c>
      <c r="Z6118">
        <v>203.63168486652771</v>
      </c>
      <c r="AA6118">
        <v>198</v>
      </c>
      <c r="AB6118">
        <v>332</v>
      </c>
      <c r="AC6118">
        <v>536</v>
      </c>
      <c r="AD6118">
        <v>26.22</v>
      </c>
      <c r="AE6118">
        <v>542</v>
      </c>
      <c r="AF6118">
        <v>11</v>
      </c>
      <c r="AG6118">
        <v>181</v>
      </c>
      <c r="AH6118">
        <v>129</v>
      </c>
      <c r="AI6118">
        <v>2.0299999999999998</v>
      </c>
      <c r="AJ6118">
        <v>33.39</v>
      </c>
      <c r="AK6118">
        <v>23.8</v>
      </c>
      <c r="AL6118">
        <v>-20.157925749999951</v>
      </c>
      <c r="AM6118">
        <v>-44.900484707799812</v>
      </c>
      <c r="AN6118">
        <v>-20.157925749999951</v>
      </c>
      <c r="AO6118">
        <v>-44.900484707799812</v>
      </c>
      <c r="AP6118">
        <v>-20.157906000000001</v>
      </c>
      <c r="AQ6118">
        <v>-44.900458999999998</v>
      </c>
      <c r="AR6118">
        <v>3.4714515960382508</v>
      </c>
      <c r="AS6118" t="s">
        <v>65</v>
      </c>
      <c r="AT6118">
        <v>1</v>
      </c>
      <c r="AU6118" t="s">
        <v>837</v>
      </c>
      <c r="AV6118" t="s">
        <v>838</v>
      </c>
      <c r="AW6118" t="s">
        <v>60</v>
      </c>
      <c r="AX6118" t="s">
        <v>68</v>
      </c>
      <c r="AY6118" t="s">
        <v>69</v>
      </c>
      <c r="AZ6118" t="b">
        <v>1</v>
      </c>
    </row>
    <row r="6119" spans="1:52" x14ac:dyDescent="0.3">
      <c r="A6119" t="s">
        <v>52</v>
      </c>
      <c r="B6119" t="s">
        <v>53</v>
      </c>
      <c r="C6119" t="s">
        <v>54</v>
      </c>
      <c r="D6119" t="s">
        <v>55</v>
      </c>
      <c r="E6119" t="s">
        <v>2281</v>
      </c>
      <c r="F6119" t="s">
        <v>1247</v>
      </c>
      <c r="G6119" t="s">
        <v>839</v>
      </c>
      <c r="H6119" t="s">
        <v>840</v>
      </c>
      <c r="I6119" t="s">
        <v>840</v>
      </c>
      <c r="J6119" t="s">
        <v>60</v>
      </c>
      <c r="K6119" t="s">
        <v>388</v>
      </c>
      <c r="L6119" t="s">
        <v>62</v>
      </c>
      <c r="M6119" t="s">
        <v>388</v>
      </c>
      <c r="N6119" t="s">
        <v>841</v>
      </c>
      <c r="O6119" t="s">
        <v>842</v>
      </c>
      <c r="P6119">
        <v>-20.159977999999999</v>
      </c>
      <c r="Q6119">
        <v>-44.900207000000002</v>
      </c>
      <c r="R6119" s="2" t="str">
        <f>HYPERLINK("https://www.google.com/maps?q=-20.1599780,-44.9002070","Abrir no Google Maps")</f>
        <v>Abrir no Google Maps</v>
      </c>
      <c r="S6119">
        <v>3</v>
      </c>
      <c r="T6119">
        <v>213.24333517300789</v>
      </c>
      <c r="U6119">
        <v>3</v>
      </c>
      <c r="V6119">
        <v>5.8608058608058601E-2</v>
      </c>
      <c r="W6119">
        <v>1</v>
      </c>
      <c r="X6119">
        <v>5.8608058608058601E-2</v>
      </c>
      <c r="Y6119">
        <v>729</v>
      </c>
      <c r="Z6119">
        <v>315.47173727880028</v>
      </c>
      <c r="AA6119">
        <v>198</v>
      </c>
      <c r="AB6119">
        <v>332</v>
      </c>
      <c r="AC6119">
        <v>536</v>
      </c>
      <c r="AD6119">
        <v>26.22</v>
      </c>
      <c r="AE6119">
        <v>542</v>
      </c>
      <c r="AF6119">
        <v>11</v>
      </c>
      <c r="AG6119">
        <v>181</v>
      </c>
      <c r="AH6119">
        <v>129</v>
      </c>
      <c r="AI6119">
        <v>2.0299999999999998</v>
      </c>
      <c r="AJ6119">
        <v>33.39</v>
      </c>
      <c r="AK6119">
        <v>23.8</v>
      </c>
      <c r="AL6119">
        <v>-20.159825649999959</v>
      </c>
      <c r="AM6119">
        <v>-44.900143828909613</v>
      </c>
      <c r="AN6119">
        <v>-20.159825649999959</v>
      </c>
      <c r="AO6119">
        <v>-44.900143828909613</v>
      </c>
      <c r="AP6119">
        <v>-20.159977999999999</v>
      </c>
      <c r="AQ6119">
        <v>-44.900207000000002</v>
      </c>
      <c r="AR6119">
        <v>18.199073573580371</v>
      </c>
      <c r="AS6119" t="s">
        <v>65</v>
      </c>
      <c r="AT6119">
        <v>1</v>
      </c>
      <c r="AU6119" t="s">
        <v>843</v>
      </c>
      <c r="AV6119" t="s">
        <v>844</v>
      </c>
      <c r="AW6119" t="s">
        <v>60</v>
      </c>
      <c r="AX6119" t="s">
        <v>68</v>
      </c>
      <c r="AY6119" t="s">
        <v>69</v>
      </c>
      <c r="AZ6119" t="b">
        <v>1</v>
      </c>
    </row>
    <row r="6120" spans="1:52" x14ac:dyDescent="0.3">
      <c r="A6120" t="s">
        <v>52</v>
      </c>
      <c r="B6120" t="s">
        <v>53</v>
      </c>
      <c r="C6120" t="s">
        <v>54</v>
      </c>
      <c r="D6120" t="s">
        <v>55</v>
      </c>
      <c r="E6120" t="s">
        <v>2281</v>
      </c>
      <c r="F6120" t="s">
        <v>1247</v>
      </c>
      <c r="G6120" t="s">
        <v>392</v>
      </c>
      <c r="H6120" t="s">
        <v>393</v>
      </c>
      <c r="I6120" t="s">
        <v>393</v>
      </c>
      <c r="J6120" t="s">
        <v>60</v>
      </c>
      <c r="K6120" t="s">
        <v>388</v>
      </c>
      <c r="L6120" t="s">
        <v>62</v>
      </c>
      <c r="M6120" t="s">
        <v>388</v>
      </c>
      <c r="N6120" t="s">
        <v>394</v>
      </c>
      <c r="O6120" t="s">
        <v>395</v>
      </c>
      <c r="P6120">
        <v>-20.158066999999999</v>
      </c>
      <c r="Q6120">
        <v>-44.908164999999997</v>
      </c>
      <c r="R6120" s="2" t="str">
        <f>HYPERLINK("https://www.google.com/maps?q=-20.1580670,-44.9081650","Abrir no Google Maps")</f>
        <v>Abrir no Google Maps</v>
      </c>
      <c r="S6120">
        <v>3</v>
      </c>
      <c r="T6120">
        <v>666.74434317993041</v>
      </c>
      <c r="U6120">
        <v>3</v>
      </c>
      <c r="V6120">
        <v>4.7254150702426501E-2</v>
      </c>
      <c r="W6120">
        <v>1</v>
      </c>
      <c r="X6120">
        <v>4.7254150702426501E-2</v>
      </c>
      <c r="Y6120">
        <v>729</v>
      </c>
      <c r="Z6120">
        <v>612.4323328215396</v>
      </c>
      <c r="AA6120">
        <v>198</v>
      </c>
      <c r="AB6120">
        <v>332</v>
      </c>
      <c r="AC6120">
        <v>536</v>
      </c>
      <c r="AD6120">
        <v>26.22</v>
      </c>
      <c r="AE6120">
        <v>542</v>
      </c>
      <c r="AF6120">
        <v>11</v>
      </c>
      <c r="AG6120">
        <v>181</v>
      </c>
      <c r="AH6120">
        <v>129</v>
      </c>
      <c r="AI6120">
        <v>2.0299999999999998</v>
      </c>
      <c r="AJ6120">
        <v>33.39</v>
      </c>
      <c r="AK6120">
        <v>23.8</v>
      </c>
      <c r="AL6120">
        <v>-20.158151449999959</v>
      </c>
      <c r="AM6120">
        <v>-44.908107718360938</v>
      </c>
      <c r="AN6120">
        <v>-20.158151449999959</v>
      </c>
      <c r="AO6120">
        <v>-44.908107718360938</v>
      </c>
      <c r="AP6120">
        <v>-20.158066999999999</v>
      </c>
      <c r="AQ6120">
        <v>-44.908164999999997</v>
      </c>
      <c r="AR6120">
        <v>11.14497345894574</v>
      </c>
      <c r="AS6120" t="s">
        <v>65</v>
      </c>
      <c r="AT6120">
        <v>1</v>
      </c>
      <c r="AU6120" t="s">
        <v>396</v>
      </c>
      <c r="AV6120" t="s">
        <v>397</v>
      </c>
      <c r="AW6120" t="s">
        <v>60</v>
      </c>
      <c r="AX6120" t="s">
        <v>68</v>
      </c>
      <c r="AY6120" t="s">
        <v>69</v>
      </c>
      <c r="AZ6120" t="b">
        <v>1</v>
      </c>
    </row>
    <row r="6121" spans="1:52" x14ac:dyDescent="0.3">
      <c r="A6121" t="s">
        <v>52</v>
      </c>
      <c r="B6121" t="s">
        <v>53</v>
      </c>
      <c r="C6121" t="s">
        <v>54</v>
      </c>
      <c r="D6121" t="s">
        <v>55</v>
      </c>
      <c r="E6121" t="s">
        <v>2281</v>
      </c>
      <c r="F6121" t="s">
        <v>1247</v>
      </c>
      <c r="G6121" t="s">
        <v>839</v>
      </c>
      <c r="H6121" t="s">
        <v>1274</v>
      </c>
      <c r="I6121" t="s">
        <v>1274</v>
      </c>
      <c r="J6121" t="s">
        <v>60</v>
      </c>
      <c r="K6121" t="s">
        <v>388</v>
      </c>
      <c r="L6121" t="s">
        <v>62</v>
      </c>
      <c r="M6121" t="s">
        <v>388</v>
      </c>
      <c r="N6121" t="s">
        <v>841</v>
      </c>
      <c r="O6121" t="s">
        <v>1275</v>
      </c>
      <c r="P6121">
        <v>-20.157979999999998</v>
      </c>
      <c r="Q6121">
        <v>-44.906365999999998</v>
      </c>
      <c r="R6121" s="2" t="str">
        <f>HYPERLINK("https://www.google.com/maps?q=-20.1579800,-44.9063660","Abrir no Google Maps")</f>
        <v>Abrir no Google Maps</v>
      </c>
      <c r="S6121">
        <v>3</v>
      </c>
      <c r="T6121">
        <v>519.48953004348823</v>
      </c>
      <c r="U6121">
        <v>3</v>
      </c>
      <c r="V6121">
        <v>8.8578088578088507E-2</v>
      </c>
      <c r="W6121">
        <v>0.85</v>
      </c>
      <c r="X6121">
        <v>7.5291375291375223E-2</v>
      </c>
      <c r="Y6121">
        <v>729</v>
      </c>
      <c r="Z6121">
        <v>393.22938248316768</v>
      </c>
      <c r="AA6121">
        <v>198</v>
      </c>
      <c r="AB6121">
        <v>332</v>
      </c>
      <c r="AC6121">
        <v>536</v>
      </c>
      <c r="AD6121">
        <v>26.22</v>
      </c>
      <c r="AE6121">
        <v>542</v>
      </c>
      <c r="AF6121">
        <v>11</v>
      </c>
      <c r="AG6121">
        <v>181</v>
      </c>
      <c r="AH6121">
        <v>129</v>
      </c>
      <c r="AI6121">
        <v>2.0299999999999998</v>
      </c>
      <c r="AJ6121">
        <v>33.39</v>
      </c>
      <c r="AK6121">
        <v>23.8</v>
      </c>
      <c r="AL6121">
        <v>-20.157977799999941</v>
      </c>
      <c r="AM6121">
        <v>-44.906429896327573</v>
      </c>
      <c r="AN6121">
        <v>-20.157977799999941</v>
      </c>
      <c r="AO6121">
        <v>-44.906429896327573</v>
      </c>
      <c r="AP6121">
        <v>-20.157979999999998</v>
      </c>
      <c r="AQ6121">
        <v>-44.906365999999998</v>
      </c>
      <c r="AR6121">
        <v>6.6817330699236734</v>
      </c>
      <c r="AS6121" t="s">
        <v>65</v>
      </c>
      <c r="AT6121">
        <v>1</v>
      </c>
      <c r="AU6121" t="s">
        <v>1276</v>
      </c>
      <c r="AV6121" t="s">
        <v>1277</v>
      </c>
      <c r="AW6121" t="s">
        <v>60</v>
      </c>
      <c r="AX6121" t="s">
        <v>68</v>
      </c>
      <c r="AY6121" t="s">
        <v>69</v>
      </c>
      <c r="AZ6121" t="b">
        <v>1</v>
      </c>
    </row>
    <row r="6122" spans="1:52" x14ac:dyDescent="0.3">
      <c r="A6122" t="s">
        <v>52</v>
      </c>
      <c r="B6122" t="s">
        <v>53</v>
      </c>
      <c r="C6122" t="s">
        <v>54</v>
      </c>
      <c r="D6122" t="s">
        <v>55</v>
      </c>
      <c r="E6122" t="s">
        <v>2281</v>
      </c>
      <c r="F6122" t="s">
        <v>1247</v>
      </c>
      <c r="G6122" t="s">
        <v>1278</v>
      </c>
      <c r="H6122" t="s">
        <v>1279</v>
      </c>
      <c r="I6122" t="s">
        <v>1279</v>
      </c>
      <c r="J6122" t="s">
        <v>60</v>
      </c>
      <c r="K6122" t="s">
        <v>388</v>
      </c>
      <c r="L6122" t="s">
        <v>62</v>
      </c>
      <c r="M6122" t="s">
        <v>388</v>
      </c>
      <c r="N6122" t="s">
        <v>1280</v>
      </c>
      <c r="O6122" t="s">
        <v>216</v>
      </c>
      <c r="P6122">
        <v>-20.15681</v>
      </c>
      <c r="Q6122">
        <v>-44.899290999999998</v>
      </c>
      <c r="R6122" s="2" t="str">
        <f>HYPERLINK("https://www.google.com/maps?q=-20.1568100,-44.8992910","Abrir no Google Maps")</f>
        <v>Abrir no Google Maps</v>
      </c>
      <c r="S6122">
        <v>3</v>
      </c>
      <c r="T6122">
        <v>180.10162979749811</v>
      </c>
      <c r="U6122">
        <v>3</v>
      </c>
      <c r="V6122">
        <v>4.9999999999999899E-2</v>
      </c>
      <c r="W6122">
        <v>0.85</v>
      </c>
      <c r="X6122">
        <v>4.2499999999999913E-2</v>
      </c>
      <c r="Y6122">
        <v>729</v>
      </c>
      <c r="Z6122">
        <v>368.06065118133841</v>
      </c>
      <c r="AA6122">
        <v>198</v>
      </c>
      <c r="AB6122">
        <v>332</v>
      </c>
      <c r="AC6122">
        <v>536</v>
      </c>
      <c r="AD6122">
        <v>26.22</v>
      </c>
      <c r="AE6122">
        <v>542</v>
      </c>
      <c r="AF6122">
        <v>11</v>
      </c>
      <c r="AG6122">
        <v>181</v>
      </c>
      <c r="AH6122">
        <v>129</v>
      </c>
      <c r="AI6122">
        <v>2.0299999999999998</v>
      </c>
      <c r="AJ6122">
        <v>33.39</v>
      </c>
      <c r="AK6122">
        <v>23.8</v>
      </c>
      <c r="AL6122">
        <v>-20.156785649999961</v>
      </c>
      <c r="AM6122">
        <v>-44.899254812291332</v>
      </c>
      <c r="AN6122">
        <v>-20.156785649999961</v>
      </c>
      <c r="AO6122">
        <v>-44.899254812291332</v>
      </c>
      <c r="AP6122">
        <v>-20.15681</v>
      </c>
      <c r="AQ6122">
        <v>-44.899290999999998</v>
      </c>
      <c r="AR6122">
        <v>4.6528211992813118</v>
      </c>
      <c r="AS6122" t="s">
        <v>65</v>
      </c>
      <c r="AT6122">
        <v>1</v>
      </c>
      <c r="AU6122" t="s">
        <v>1281</v>
      </c>
      <c r="AV6122" t="s">
        <v>1282</v>
      </c>
      <c r="AW6122" t="s">
        <v>60</v>
      </c>
      <c r="AX6122" t="s">
        <v>68</v>
      </c>
      <c r="AY6122" t="s">
        <v>69</v>
      </c>
      <c r="AZ6122" t="b">
        <v>1</v>
      </c>
    </row>
    <row r="6123" spans="1:52" x14ac:dyDescent="0.3">
      <c r="A6123" t="s">
        <v>52</v>
      </c>
      <c r="B6123" t="s">
        <v>53</v>
      </c>
      <c r="C6123" t="s">
        <v>54</v>
      </c>
      <c r="D6123" t="s">
        <v>55</v>
      </c>
      <c r="E6123" t="s">
        <v>2281</v>
      </c>
      <c r="F6123" t="s">
        <v>1247</v>
      </c>
      <c r="G6123" t="s">
        <v>1283</v>
      </c>
      <c r="H6123" t="s">
        <v>1284</v>
      </c>
      <c r="I6123" t="s">
        <v>1284</v>
      </c>
      <c r="J6123" t="s">
        <v>60</v>
      </c>
      <c r="K6123" t="s">
        <v>388</v>
      </c>
      <c r="L6123" t="s">
        <v>62</v>
      </c>
      <c r="M6123" t="s">
        <v>388</v>
      </c>
      <c r="N6123" t="s">
        <v>400</v>
      </c>
      <c r="O6123" t="s">
        <v>1285</v>
      </c>
      <c r="P6123">
        <v>-20.156977999999999</v>
      </c>
      <c r="Q6123">
        <v>-44.90325</v>
      </c>
      <c r="R6123" s="2" t="str">
        <f>HYPERLINK("https://www.google.com/maps?q=-20.1569780,-44.9032500","Abrir no Google Maps")</f>
        <v>Abrir no Google Maps</v>
      </c>
      <c r="S6123">
        <v>3</v>
      </c>
      <c r="T6123">
        <v>256.05633739092571</v>
      </c>
      <c r="U6123">
        <v>3</v>
      </c>
      <c r="V6123">
        <v>7.9470198675496595E-2</v>
      </c>
      <c r="W6123">
        <v>0.85</v>
      </c>
      <c r="X6123">
        <v>6.7549668874172103E-2</v>
      </c>
      <c r="Y6123">
        <v>729</v>
      </c>
      <c r="Z6123">
        <v>162.99447055889971</v>
      </c>
      <c r="AA6123">
        <v>198</v>
      </c>
      <c r="AB6123">
        <v>332</v>
      </c>
      <c r="AC6123">
        <v>536</v>
      </c>
      <c r="AD6123">
        <v>26.22</v>
      </c>
      <c r="AE6123">
        <v>542</v>
      </c>
      <c r="AF6123">
        <v>11</v>
      </c>
      <c r="AG6123">
        <v>181</v>
      </c>
      <c r="AH6123">
        <v>129</v>
      </c>
      <c r="AI6123">
        <v>2.0299999999999998</v>
      </c>
      <c r="AJ6123">
        <v>33.39</v>
      </c>
      <c r="AK6123">
        <v>23.8</v>
      </c>
      <c r="AL6123">
        <v>-20.15696524999996</v>
      </c>
      <c r="AM6123">
        <v>-44.903258102626708</v>
      </c>
      <c r="AN6123">
        <v>-20.15696524999996</v>
      </c>
      <c r="AO6123">
        <v>-44.903258102626708</v>
      </c>
      <c r="AP6123">
        <v>-20.156977999999999</v>
      </c>
      <c r="AQ6123">
        <v>-44.90325</v>
      </c>
      <c r="AR6123">
        <v>1.6527147033629741</v>
      </c>
      <c r="AS6123" t="s">
        <v>65</v>
      </c>
      <c r="AT6123">
        <v>1</v>
      </c>
      <c r="AU6123" t="s">
        <v>1286</v>
      </c>
      <c r="AV6123" t="s">
        <v>1287</v>
      </c>
      <c r="AW6123" t="s">
        <v>60</v>
      </c>
      <c r="AX6123" t="s">
        <v>68</v>
      </c>
      <c r="AY6123" t="s">
        <v>69</v>
      </c>
      <c r="AZ6123" t="b">
        <v>1</v>
      </c>
    </row>
    <row r="6124" spans="1:52" x14ac:dyDescent="0.3">
      <c r="A6124" t="s">
        <v>52</v>
      </c>
      <c r="B6124" t="s">
        <v>53</v>
      </c>
      <c r="C6124" t="s">
        <v>54</v>
      </c>
      <c r="D6124" t="s">
        <v>55</v>
      </c>
      <c r="E6124" t="s">
        <v>2281</v>
      </c>
      <c r="F6124" t="s">
        <v>1247</v>
      </c>
      <c r="G6124" t="s">
        <v>1417</v>
      </c>
      <c r="H6124" t="s">
        <v>1418</v>
      </c>
      <c r="I6124" t="s">
        <v>1418</v>
      </c>
      <c r="J6124" t="s">
        <v>60</v>
      </c>
      <c r="K6124" t="s">
        <v>1419</v>
      </c>
      <c r="L6124" t="s">
        <v>62</v>
      </c>
      <c r="M6124" t="s">
        <v>1419</v>
      </c>
      <c r="N6124" t="s">
        <v>1420</v>
      </c>
      <c r="O6124" t="s">
        <v>1421</v>
      </c>
      <c r="P6124">
        <v>-20.159427000000001</v>
      </c>
      <c r="Q6124">
        <v>-44.897143</v>
      </c>
      <c r="R6124" s="2" t="str">
        <f>HYPERLINK("https://www.google.com/maps?q=-20.1594270,-44.8971430","Abrir no Google Maps")</f>
        <v>Abrir no Google Maps</v>
      </c>
      <c r="S6124">
        <v>3</v>
      </c>
      <c r="T6124">
        <v>392.64349875646298</v>
      </c>
      <c r="U6124">
        <v>3</v>
      </c>
      <c r="V6124">
        <v>3.1914893617021198E-2</v>
      </c>
      <c r="W6124">
        <v>0.85</v>
      </c>
      <c r="X6124">
        <v>2.712765957446802E-2</v>
      </c>
      <c r="Y6124">
        <v>729</v>
      </c>
      <c r="Z6124">
        <v>550.20062797366995</v>
      </c>
      <c r="AA6124">
        <v>198</v>
      </c>
      <c r="AB6124">
        <v>332</v>
      </c>
      <c r="AC6124">
        <v>536</v>
      </c>
      <c r="AD6124">
        <v>26.22</v>
      </c>
      <c r="AE6124">
        <v>542</v>
      </c>
      <c r="AF6124">
        <v>11</v>
      </c>
      <c r="AG6124">
        <v>181</v>
      </c>
      <c r="AH6124">
        <v>129</v>
      </c>
      <c r="AI6124">
        <v>2.0299999999999998</v>
      </c>
      <c r="AJ6124">
        <v>33.39</v>
      </c>
      <c r="AK6124">
        <v>23.8</v>
      </c>
      <c r="AL6124">
        <v>-20.15946549999995</v>
      </c>
      <c r="AM6124">
        <v>-44.89709959354267</v>
      </c>
      <c r="AN6124">
        <v>-20.15946549999995</v>
      </c>
      <c r="AO6124">
        <v>-44.89709959354267</v>
      </c>
      <c r="AP6124">
        <v>-20.159427000000001</v>
      </c>
      <c r="AQ6124">
        <v>-44.897143</v>
      </c>
      <c r="AR6124">
        <v>6.2404649979039286</v>
      </c>
      <c r="AS6124" t="s">
        <v>65</v>
      </c>
      <c r="AT6124">
        <v>1</v>
      </c>
      <c r="AU6124" t="s">
        <v>1422</v>
      </c>
      <c r="AV6124" t="s">
        <v>1423</v>
      </c>
      <c r="AW6124" t="s">
        <v>60</v>
      </c>
      <c r="AX6124" t="s">
        <v>68</v>
      </c>
      <c r="AY6124" t="s">
        <v>69</v>
      </c>
      <c r="AZ6124" t="b">
        <v>1</v>
      </c>
    </row>
    <row r="6125" spans="1:52" x14ac:dyDescent="0.3">
      <c r="A6125" t="s">
        <v>52</v>
      </c>
      <c r="B6125" t="s">
        <v>53</v>
      </c>
      <c r="C6125" t="s">
        <v>54</v>
      </c>
      <c r="D6125" t="s">
        <v>55</v>
      </c>
      <c r="E6125" t="s">
        <v>2281</v>
      </c>
      <c r="F6125" t="s">
        <v>1247</v>
      </c>
      <c r="G6125" t="s">
        <v>1288</v>
      </c>
      <c r="H6125" t="s">
        <v>1289</v>
      </c>
      <c r="I6125" t="s">
        <v>1289</v>
      </c>
      <c r="J6125" t="s">
        <v>60</v>
      </c>
      <c r="K6125" t="s">
        <v>1290</v>
      </c>
      <c r="L6125" t="s">
        <v>62</v>
      </c>
      <c r="M6125" t="s">
        <v>1290</v>
      </c>
      <c r="N6125" t="s">
        <v>1291</v>
      </c>
      <c r="O6125" t="s">
        <v>315</v>
      </c>
      <c r="P6125">
        <v>-20.171008</v>
      </c>
      <c r="Q6125">
        <v>-44.918908999999999</v>
      </c>
      <c r="R6125" s="2" t="str">
        <f>HYPERLINK("https://www.google.com/maps?q=-20.1710080,-44.9189090","Abrir no Google Maps")</f>
        <v>Abrir no Google Maps</v>
      </c>
      <c r="S6125">
        <v>3</v>
      </c>
      <c r="T6125">
        <v>972.86786700299888</v>
      </c>
      <c r="U6125">
        <v>3</v>
      </c>
      <c r="V6125">
        <v>7.5163398692810399E-2</v>
      </c>
      <c r="W6125">
        <v>0.85</v>
      </c>
      <c r="X6125">
        <v>6.3888888888888842E-2</v>
      </c>
      <c r="Y6125">
        <v>723</v>
      </c>
      <c r="Z6125">
        <v>690.55600110253613</v>
      </c>
      <c r="AA6125">
        <v>198</v>
      </c>
      <c r="AB6125">
        <v>332</v>
      </c>
      <c r="AC6125">
        <v>536</v>
      </c>
      <c r="AD6125">
        <v>26.22</v>
      </c>
      <c r="AE6125">
        <v>542</v>
      </c>
      <c r="AF6125">
        <v>11</v>
      </c>
      <c r="AG6125">
        <v>181</v>
      </c>
      <c r="AH6125">
        <v>129</v>
      </c>
      <c r="AI6125">
        <v>2.0299999999999998</v>
      </c>
      <c r="AJ6125">
        <v>33.39</v>
      </c>
      <c r="AK6125">
        <v>23.8</v>
      </c>
      <c r="AL6125">
        <v>-20.171738249999979</v>
      </c>
      <c r="AM6125">
        <v>-44.919736490382917</v>
      </c>
      <c r="AN6125">
        <v>-20.171738249999979</v>
      </c>
      <c r="AO6125">
        <v>-44.919736490382931</v>
      </c>
      <c r="AP6125">
        <v>-20.171008</v>
      </c>
      <c r="AQ6125">
        <v>-44.918908999999999</v>
      </c>
      <c r="AR6125">
        <v>118.678920061485</v>
      </c>
      <c r="AS6125" t="s">
        <v>65</v>
      </c>
      <c r="AT6125">
        <v>1</v>
      </c>
      <c r="AU6125" t="s">
        <v>1292</v>
      </c>
      <c r="AV6125" t="s">
        <v>1293</v>
      </c>
      <c r="AW6125" t="s">
        <v>60</v>
      </c>
      <c r="AX6125" t="s">
        <v>68</v>
      </c>
      <c r="AY6125" t="s">
        <v>69</v>
      </c>
      <c r="AZ6125" t="b">
        <v>1</v>
      </c>
    </row>
    <row r="6126" spans="1:52" x14ac:dyDescent="0.3">
      <c r="A6126" t="s">
        <v>52</v>
      </c>
      <c r="B6126" t="s">
        <v>53</v>
      </c>
      <c r="C6126" t="s">
        <v>54</v>
      </c>
      <c r="D6126" t="s">
        <v>55</v>
      </c>
      <c r="E6126" t="s">
        <v>2281</v>
      </c>
      <c r="F6126" t="s">
        <v>1247</v>
      </c>
      <c r="G6126" t="s">
        <v>1294</v>
      </c>
      <c r="H6126" t="s">
        <v>1295</v>
      </c>
      <c r="I6126" t="s">
        <v>1295</v>
      </c>
      <c r="J6126" t="s">
        <v>60</v>
      </c>
      <c r="K6126" t="s">
        <v>418</v>
      </c>
      <c r="L6126" t="s">
        <v>62</v>
      </c>
      <c r="M6126" t="s">
        <v>418</v>
      </c>
      <c r="N6126" t="s">
        <v>1296</v>
      </c>
      <c r="O6126" t="s">
        <v>1297</v>
      </c>
      <c r="P6126">
        <v>-20.169899999999998</v>
      </c>
      <c r="Q6126">
        <v>-44.916176999999998</v>
      </c>
      <c r="R6126" s="2" t="str">
        <f>HYPERLINK("https://www.google.com/maps?q=-20.1699000,-44.9161770","Abrir no Google Maps")</f>
        <v>Abrir no Google Maps</v>
      </c>
      <c r="S6126">
        <v>3</v>
      </c>
      <c r="T6126">
        <v>658.15251036568407</v>
      </c>
      <c r="U6126">
        <v>3</v>
      </c>
      <c r="V6126">
        <v>5.4373522458628802E-2</v>
      </c>
      <c r="W6126">
        <v>0.85</v>
      </c>
      <c r="X6126">
        <v>4.6217494089834478E-2</v>
      </c>
      <c r="Y6126">
        <v>723</v>
      </c>
      <c r="Z6126">
        <v>400.39092274559039</v>
      </c>
      <c r="AA6126">
        <v>198</v>
      </c>
      <c r="AB6126">
        <v>332</v>
      </c>
      <c r="AC6126">
        <v>536</v>
      </c>
      <c r="AD6126">
        <v>26.22</v>
      </c>
      <c r="AE6126">
        <v>542</v>
      </c>
      <c r="AF6126">
        <v>11</v>
      </c>
      <c r="AG6126">
        <v>181</v>
      </c>
      <c r="AH6126">
        <v>129</v>
      </c>
      <c r="AI6126">
        <v>2.0299999999999998</v>
      </c>
      <c r="AJ6126">
        <v>33.39</v>
      </c>
      <c r="AK6126">
        <v>23.8</v>
      </c>
      <c r="AL6126">
        <v>-20.169898399999941</v>
      </c>
      <c r="AM6126">
        <v>-44.916247682868359</v>
      </c>
      <c r="AN6126">
        <v>-20.169898399999941</v>
      </c>
      <c r="AO6126">
        <v>-44.916247682868359</v>
      </c>
      <c r="AP6126">
        <v>-20.169899999999998</v>
      </c>
      <c r="AQ6126">
        <v>-44.916176999999998</v>
      </c>
      <c r="AR6126">
        <v>7.388028048308902</v>
      </c>
      <c r="AS6126" t="s">
        <v>65</v>
      </c>
      <c r="AT6126">
        <v>1</v>
      </c>
      <c r="AU6126" t="s">
        <v>1298</v>
      </c>
      <c r="AV6126" t="s">
        <v>1299</v>
      </c>
      <c r="AW6126" t="s">
        <v>60</v>
      </c>
      <c r="AX6126" t="s">
        <v>68</v>
      </c>
      <c r="AY6126" t="s">
        <v>69</v>
      </c>
      <c r="AZ6126" t="b">
        <v>1</v>
      </c>
    </row>
    <row r="6127" spans="1:52" x14ac:dyDescent="0.3">
      <c r="A6127" t="s">
        <v>52</v>
      </c>
      <c r="B6127" t="s">
        <v>53</v>
      </c>
      <c r="C6127" t="s">
        <v>54</v>
      </c>
      <c r="D6127" t="s">
        <v>55</v>
      </c>
      <c r="E6127" t="s">
        <v>2281</v>
      </c>
      <c r="F6127" t="s">
        <v>1247</v>
      </c>
      <c r="G6127" t="s">
        <v>1300</v>
      </c>
      <c r="H6127" t="s">
        <v>1301</v>
      </c>
      <c r="I6127" t="s">
        <v>1301</v>
      </c>
      <c r="J6127" t="s">
        <v>60</v>
      </c>
      <c r="K6127" t="s">
        <v>1302</v>
      </c>
      <c r="L6127" t="s">
        <v>62</v>
      </c>
      <c r="M6127" t="s">
        <v>1302</v>
      </c>
      <c r="N6127" t="s">
        <v>1303</v>
      </c>
      <c r="O6127" t="s">
        <v>1304</v>
      </c>
      <c r="P6127">
        <v>-20.166618</v>
      </c>
      <c r="Q6127">
        <v>-44.912920999999997</v>
      </c>
      <c r="R6127" s="2" t="str">
        <f>HYPERLINK("https://www.google.com/maps?q=-20.1666180,-44.9129210","Abrir no Google Maps")</f>
        <v>Abrir no Google Maps</v>
      </c>
      <c r="S6127">
        <v>3</v>
      </c>
      <c r="T6127">
        <v>636.32880156364706</v>
      </c>
      <c r="U6127">
        <v>3</v>
      </c>
      <c r="V6127">
        <v>3.9215686274509803E-2</v>
      </c>
      <c r="W6127">
        <v>0.85</v>
      </c>
      <c r="X6127">
        <v>3.3333333333333333E-2</v>
      </c>
      <c r="Y6127">
        <v>723</v>
      </c>
      <c r="Z6127">
        <v>407.62145176971592</v>
      </c>
      <c r="AA6127">
        <v>198</v>
      </c>
      <c r="AB6127">
        <v>332</v>
      </c>
      <c r="AC6127">
        <v>536</v>
      </c>
      <c r="AD6127">
        <v>26.22</v>
      </c>
      <c r="AE6127">
        <v>542</v>
      </c>
      <c r="AF6127">
        <v>11</v>
      </c>
      <c r="AG6127">
        <v>181</v>
      </c>
      <c r="AH6127">
        <v>129</v>
      </c>
      <c r="AI6127">
        <v>2.0299999999999998</v>
      </c>
      <c r="AJ6127">
        <v>33.39</v>
      </c>
      <c r="AK6127">
        <v>23.8</v>
      </c>
      <c r="AL6127">
        <v>-20.166924799999951</v>
      </c>
      <c r="AM6127">
        <v>-44.912868681724092</v>
      </c>
      <c r="AN6127">
        <v>-20.166924799999951</v>
      </c>
      <c r="AO6127">
        <v>-44.912868681724092</v>
      </c>
      <c r="AP6127">
        <v>-20.166618</v>
      </c>
      <c r="AQ6127">
        <v>-44.912920999999997</v>
      </c>
      <c r="AR6127">
        <v>34.587771860198139</v>
      </c>
      <c r="AS6127" t="s">
        <v>65</v>
      </c>
      <c r="AT6127">
        <v>1</v>
      </c>
      <c r="AU6127" t="s">
        <v>1305</v>
      </c>
      <c r="AV6127" t="s">
        <v>1306</v>
      </c>
      <c r="AW6127" t="s">
        <v>60</v>
      </c>
      <c r="AX6127" t="s">
        <v>68</v>
      </c>
      <c r="AY6127" t="s">
        <v>69</v>
      </c>
      <c r="AZ6127" t="b">
        <v>1</v>
      </c>
    </row>
    <row r="6128" spans="1:52" x14ac:dyDescent="0.3">
      <c r="A6128" t="s">
        <v>52</v>
      </c>
      <c r="B6128" t="s">
        <v>53</v>
      </c>
      <c r="C6128" t="s">
        <v>54</v>
      </c>
      <c r="D6128" t="s">
        <v>55</v>
      </c>
      <c r="E6128" t="s">
        <v>2281</v>
      </c>
      <c r="F6128" t="s">
        <v>1247</v>
      </c>
      <c r="G6128" t="s">
        <v>422</v>
      </c>
      <c r="H6128" t="s">
        <v>423</v>
      </c>
      <c r="I6128" t="s">
        <v>423</v>
      </c>
      <c r="J6128" t="s">
        <v>60</v>
      </c>
      <c r="K6128" t="s">
        <v>424</v>
      </c>
      <c r="L6128" t="s">
        <v>62</v>
      </c>
      <c r="M6128" t="s">
        <v>424</v>
      </c>
      <c r="N6128" t="s">
        <v>425</v>
      </c>
      <c r="O6128" t="s">
        <v>426</v>
      </c>
      <c r="P6128">
        <v>-20.177748000000001</v>
      </c>
      <c r="Q6128">
        <v>-44.912475000000001</v>
      </c>
      <c r="R6128" s="2" t="str">
        <f>HYPERLINK("https://www.google.com/maps?q=-20.1777480,-44.9124750","Abrir no Google Maps")</f>
        <v>Abrir no Google Maps</v>
      </c>
      <c r="S6128">
        <v>3</v>
      </c>
      <c r="T6128">
        <v>657.07560140436533</v>
      </c>
      <c r="U6128">
        <v>3</v>
      </c>
      <c r="V6128">
        <v>4.25844346549192E-2</v>
      </c>
      <c r="W6128">
        <v>1</v>
      </c>
      <c r="X6128">
        <v>4.25844346549192E-2</v>
      </c>
      <c r="Y6128">
        <v>723</v>
      </c>
      <c r="Z6128">
        <v>796.94198000561175</v>
      </c>
      <c r="AA6128">
        <v>198</v>
      </c>
      <c r="AB6128">
        <v>332</v>
      </c>
      <c r="AC6128">
        <v>536</v>
      </c>
      <c r="AD6128">
        <v>26.22</v>
      </c>
      <c r="AE6128">
        <v>542</v>
      </c>
      <c r="AF6128">
        <v>11</v>
      </c>
      <c r="AG6128">
        <v>181</v>
      </c>
      <c r="AH6128">
        <v>129</v>
      </c>
      <c r="AI6128">
        <v>2.0299999999999998</v>
      </c>
      <c r="AJ6128">
        <v>33.39</v>
      </c>
      <c r="AK6128">
        <v>23.8</v>
      </c>
      <c r="AL6128">
        <v>-20.177761749999949</v>
      </c>
      <c r="AM6128">
        <v>-44.91263311624418</v>
      </c>
      <c r="AN6128">
        <v>-20.177761749999949</v>
      </c>
      <c r="AO6128">
        <v>-44.91263311624418</v>
      </c>
      <c r="AP6128">
        <v>-20.177748000000001</v>
      </c>
      <c r="AQ6128">
        <v>-44.912475000000001</v>
      </c>
      <c r="AR6128">
        <v>16.591996803075372</v>
      </c>
      <c r="AS6128" t="s">
        <v>65</v>
      </c>
      <c r="AT6128">
        <v>1</v>
      </c>
      <c r="AU6128" t="s">
        <v>427</v>
      </c>
      <c r="AV6128" t="s">
        <v>428</v>
      </c>
      <c r="AW6128" t="s">
        <v>60</v>
      </c>
      <c r="AX6128" t="s">
        <v>68</v>
      </c>
      <c r="AY6128" t="s">
        <v>69</v>
      </c>
      <c r="AZ6128" t="b">
        <v>1</v>
      </c>
    </row>
    <row r="6129" spans="1:52" x14ac:dyDescent="0.3">
      <c r="A6129" t="s">
        <v>52</v>
      </c>
      <c r="B6129" t="s">
        <v>53</v>
      </c>
      <c r="C6129" t="s">
        <v>54</v>
      </c>
      <c r="D6129" t="s">
        <v>55</v>
      </c>
      <c r="E6129" t="s">
        <v>2281</v>
      </c>
      <c r="F6129" t="s">
        <v>1247</v>
      </c>
      <c r="G6129" t="s">
        <v>422</v>
      </c>
      <c r="H6129" t="s">
        <v>1323</v>
      </c>
      <c r="I6129" t="s">
        <v>1323</v>
      </c>
      <c r="J6129" t="s">
        <v>60</v>
      </c>
      <c r="K6129" t="s">
        <v>1324</v>
      </c>
      <c r="L6129" t="s">
        <v>62</v>
      </c>
      <c r="M6129" t="s">
        <v>1324</v>
      </c>
      <c r="N6129" t="s">
        <v>425</v>
      </c>
      <c r="O6129" t="s">
        <v>1325</v>
      </c>
      <c r="P6129">
        <v>-20.175142000000001</v>
      </c>
      <c r="Q6129">
        <v>-44.913783000000002</v>
      </c>
      <c r="R6129" s="2" t="str">
        <f>HYPERLINK("https://www.google.com/maps?q=-20.1751420,-44.9137830","Abrir no Google Maps")</f>
        <v>Abrir no Google Maps</v>
      </c>
      <c r="S6129">
        <v>3</v>
      </c>
      <c r="T6129">
        <v>495.73888273066677</v>
      </c>
      <c r="U6129">
        <v>3</v>
      </c>
      <c r="V6129">
        <v>4.0650406504064998E-2</v>
      </c>
      <c r="W6129">
        <v>0.85</v>
      </c>
      <c r="X6129">
        <v>3.455284552845525E-2</v>
      </c>
      <c r="Y6129">
        <v>723</v>
      </c>
      <c r="Z6129">
        <v>488.51574748236328</v>
      </c>
      <c r="AA6129">
        <v>198</v>
      </c>
      <c r="AB6129">
        <v>332</v>
      </c>
      <c r="AC6129">
        <v>536</v>
      </c>
      <c r="AD6129">
        <v>26.22</v>
      </c>
      <c r="AE6129">
        <v>542</v>
      </c>
      <c r="AF6129">
        <v>11</v>
      </c>
      <c r="AG6129">
        <v>181</v>
      </c>
      <c r="AH6129">
        <v>129</v>
      </c>
      <c r="AI6129">
        <v>2.0299999999999998</v>
      </c>
      <c r="AJ6129">
        <v>33.39</v>
      </c>
      <c r="AK6129">
        <v>23.8</v>
      </c>
      <c r="AL6129">
        <v>-20.175195199999958</v>
      </c>
      <c r="AM6129">
        <v>-44.913964122548052</v>
      </c>
      <c r="AN6129">
        <v>-20.175195199999958</v>
      </c>
      <c r="AO6129">
        <v>-44.913964122548052</v>
      </c>
      <c r="AP6129">
        <v>-20.175142000000001</v>
      </c>
      <c r="AQ6129">
        <v>-44.913783000000002</v>
      </c>
      <c r="AR6129">
        <v>19.830402633152101</v>
      </c>
      <c r="AS6129" t="s">
        <v>65</v>
      </c>
      <c r="AT6129">
        <v>1</v>
      </c>
      <c r="AU6129" t="s">
        <v>1326</v>
      </c>
      <c r="AV6129" t="s">
        <v>1327</v>
      </c>
      <c r="AW6129" t="s">
        <v>60</v>
      </c>
      <c r="AX6129" t="s">
        <v>68</v>
      </c>
      <c r="AY6129" t="s">
        <v>69</v>
      </c>
      <c r="AZ6129" t="b">
        <v>1</v>
      </c>
    </row>
    <row r="6130" spans="1:52" x14ac:dyDescent="0.3">
      <c r="A6130" t="s">
        <v>52</v>
      </c>
      <c r="B6130" t="s">
        <v>53</v>
      </c>
      <c r="C6130" t="s">
        <v>54</v>
      </c>
      <c r="D6130" t="s">
        <v>55</v>
      </c>
      <c r="E6130" t="s">
        <v>2281</v>
      </c>
      <c r="F6130" t="s">
        <v>1247</v>
      </c>
      <c r="G6130" t="s">
        <v>1328</v>
      </c>
      <c r="H6130" t="s">
        <v>1329</v>
      </c>
      <c r="I6130" t="s">
        <v>1329</v>
      </c>
      <c r="J6130" t="s">
        <v>60</v>
      </c>
      <c r="K6130" t="s">
        <v>1324</v>
      </c>
      <c r="L6130" t="s">
        <v>62</v>
      </c>
      <c r="M6130" t="s">
        <v>1324</v>
      </c>
      <c r="N6130" t="s">
        <v>1330</v>
      </c>
      <c r="O6130" t="s">
        <v>1331</v>
      </c>
      <c r="P6130">
        <v>-20.172984</v>
      </c>
      <c r="Q6130">
        <v>-44.915225999999997</v>
      </c>
      <c r="R6130" s="2" t="str">
        <f>HYPERLINK("https://www.google.com/maps?q=-20.1729840,-44.9152260","Abrir no Google Maps")</f>
        <v>Abrir no Google Maps</v>
      </c>
      <c r="S6130">
        <v>3</v>
      </c>
      <c r="T6130">
        <v>498.21203543103741</v>
      </c>
      <c r="U6130">
        <v>3</v>
      </c>
      <c r="V6130">
        <v>9.2592592592592601E-2</v>
      </c>
      <c r="W6130">
        <v>0.85</v>
      </c>
      <c r="X6130">
        <v>7.8703703703703706E-2</v>
      </c>
      <c r="Y6130">
        <v>723</v>
      </c>
      <c r="Z6130">
        <v>297.36167326949931</v>
      </c>
      <c r="AA6130">
        <v>198</v>
      </c>
      <c r="AB6130">
        <v>332</v>
      </c>
      <c r="AC6130">
        <v>536</v>
      </c>
      <c r="AD6130">
        <v>26.22</v>
      </c>
      <c r="AE6130">
        <v>542</v>
      </c>
      <c r="AF6130">
        <v>11</v>
      </c>
      <c r="AG6130">
        <v>181</v>
      </c>
      <c r="AH6130">
        <v>129</v>
      </c>
      <c r="AI6130">
        <v>2.0299999999999998</v>
      </c>
      <c r="AJ6130">
        <v>33.39</v>
      </c>
      <c r="AK6130">
        <v>23.8</v>
      </c>
      <c r="AL6130">
        <v>-20.172838899999959</v>
      </c>
      <c r="AM6130">
        <v>-44.915158011603552</v>
      </c>
      <c r="AN6130">
        <v>-20.172838899999959</v>
      </c>
      <c r="AO6130">
        <v>-44.915158011603552</v>
      </c>
      <c r="AP6130">
        <v>-20.172984</v>
      </c>
      <c r="AQ6130">
        <v>-44.915225999999997</v>
      </c>
      <c r="AR6130">
        <v>17.645788305942119</v>
      </c>
      <c r="AS6130" t="s">
        <v>65</v>
      </c>
      <c r="AT6130">
        <v>1</v>
      </c>
      <c r="AU6130" t="s">
        <v>1332</v>
      </c>
      <c r="AV6130" t="s">
        <v>1327</v>
      </c>
      <c r="AW6130" t="s">
        <v>60</v>
      </c>
      <c r="AX6130" t="s">
        <v>68</v>
      </c>
      <c r="AY6130" t="s">
        <v>69</v>
      </c>
      <c r="AZ6130" t="b">
        <v>1</v>
      </c>
    </row>
    <row r="6131" spans="1:52" x14ac:dyDescent="0.3">
      <c r="A6131" t="s">
        <v>52</v>
      </c>
      <c r="B6131" t="s">
        <v>53</v>
      </c>
      <c r="C6131" t="s">
        <v>54</v>
      </c>
      <c r="D6131" t="s">
        <v>55</v>
      </c>
      <c r="E6131" t="s">
        <v>2281</v>
      </c>
      <c r="F6131" t="s">
        <v>1247</v>
      </c>
      <c r="G6131" t="s">
        <v>1333</v>
      </c>
      <c r="H6131" t="s">
        <v>1334</v>
      </c>
      <c r="I6131" t="s">
        <v>1334</v>
      </c>
      <c r="J6131" t="s">
        <v>60</v>
      </c>
      <c r="K6131" t="s">
        <v>437</v>
      </c>
      <c r="L6131" t="s">
        <v>62</v>
      </c>
      <c r="M6131" t="s">
        <v>437</v>
      </c>
      <c r="N6131" t="s">
        <v>1335</v>
      </c>
      <c r="O6131" t="s">
        <v>807</v>
      </c>
      <c r="P6131">
        <v>-20.148</v>
      </c>
      <c r="Q6131">
        <v>-44.880944999999997</v>
      </c>
      <c r="R6131" s="2" t="str">
        <f>HYPERLINK("https://www.google.com/maps?q=-20.1480000,-44.8809450","Abrir no Google Maps")</f>
        <v>Abrir no Google Maps</v>
      </c>
      <c r="S6131">
        <v>3</v>
      </c>
      <c r="T6131">
        <v>0</v>
      </c>
      <c r="U6131">
        <v>3</v>
      </c>
      <c r="V6131">
        <v>7.5506445672191502E-2</v>
      </c>
      <c r="W6131">
        <v>0.85</v>
      </c>
      <c r="X6131">
        <v>6.4180478821362769E-2</v>
      </c>
      <c r="Y6131">
        <v>653</v>
      </c>
      <c r="Z6131">
        <v>108.2792411420544</v>
      </c>
      <c r="AA6131">
        <v>198</v>
      </c>
      <c r="AB6131">
        <v>332</v>
      </c>
      <c r="AC6131">
        <v>536</v>
      </c>
      <c r="AD6131">
        <v>26.22</v>
      </c>
      <c r="AE6131">
        <v>542</v>
      </c>
      <c r="AF6131">
        <v>11</v>
      </c>
      <c r="AG6131">
        <v>181</v>
      </c>
      <c r="AH6131">
        <v>129</v>
      </c>
      <c r="AI6131">
        <v>2.0299999999999998</v>
      </c>
      <c r="AJ6131">
        <v>33.39</v>
      </c>
      <c r="AK6131">
        <v>23.8</v>
      </c>
      <c r="AL6131">
        <v>-20.14802099999994</v>
      </c>
      <c r="AM6131">
        <v>-44.880951206225959</v>
      </c>
      <c r="AN6131">
        <v>-20.14802099999994</v>
      </c>
      <c r="AO6131">
        <v>-44.880951206225959</v>
      </c>
      <c r="AP6131">
        <v>-20.148</v>
      </c>
      <c r="AQ6131">
        <v>-44.880944999999997</v>
      </c>
      <c r="AR6131">
        <v>2.4260288619737169</v>
      </c>
      <c r="AS6131" t="s">
        <v>65</v>
      </c>
      <c r="AT6131">
        <v>1</v>
      </c>
      <c r="AU6131" t="s">
        <v>1336</v>
      </c>
      <c r="AV6131" t="s">
        <v>1337</v>
      </c>
      <c r="AW6131" t="s">
        <v>60</v>
      </c>
      <c r="AX6131" t="s">
        <v>68</v>
      </c>
      <c r="AY6131" t="s">
        <v>69</v>
      </c>
      <c r="AZ6131" t="b">
        <v>1</v>
      </c>
    </row>
    <row r="6132" spans="1:52" x14ac:dyDescent="0.3">
      <c r="A6132" t="s">
        <v>52</v>
      </c>
      <c r="B6132" t="s">
        <v>53</v>
      </c>
      <c r="C6132" t="s">
        <v>54</v>
      </c>
      <c r="D6132" t="s">
        <v>55</v>
      </c>
      <c r="E6132" t="s">
        <v>2281</v>
      </c>
      <c r="F6132" t="s">
        <v>1247</v>
      </c>
      <c r="G6132" t="s">
        <v>479</v>
      </c>
      <c r="H6132" t="s">
        <v>1338</v>
      </c>
      <c r="I6132" t="s">
        <v>1338</v>
      </c>
      <c r="J6132" t="s">
        <v>60</v>
      </c>
      <c r="K6132" t="s">
        <v>1302</v>
      </c>
      <c r="L6132" t="s">
        <v>62</v>
      </c>
      <c r="M6132" t="s">
        <v>1302</v>
      </c>
      <c r="N6132" t="s">
        <v>481</v>
      </c>
      <c r="O6132" t="s">
        <v>1339</v>
      </c>
      <c r="P6132">
        <v>-20.165590000000002</v>
      </c>
      <c r="Q6132">
        <v>-44.907876000000002</v>
      </c>
      <c r="R6132" s="2" t="str">
        <f>HYPERLINK("https://www.google.com/maps?q=-20.1655900,-44.9078760","Abrir no Google Maps")</f>
        <v>Abrir no Google Maps</v>
      </c>
      <c r="S6132">
        <v>3</v>
      </c>
      <c r="T6132">
        <v>626.07643944893005</v>
      </c>
      <c r="U6132">
        <v>3</v>
      </c>
      <c r="V6132">
        <v>9.6491228070175405E-2</v>
      </c>
      <c r="W6132">
        <v>0.85</v>
      </c>
      <c r="X6132">
        <v>8.2017543859649086E-2</v>
      </c>
      <c r="Y6132">
        <v>639</v>
      </c>
      <c r="Z6132">
        <v>723.2656461789519</v>
      </c>
      <c r="AA6132">
        <v>198</v>
      </c>
      <c r="AB6132">
        <v>332</v>
      </c>
      <c r="AC6132">
        <v>536</v>
      </c>
      <c r="AD6132">
        <v>26.22</v>
      </c>
      <c r="AE6132">
        <v>542</v>
      </c>
      <c r="AF6132">
        <v>11</v>
      </c>
      <c r="AG6132">
        <v>181</v>
      </c>
      <c r="AH6132">
        <v>129</v>
      </c>
      <c r="AI6132">
        <v>2.0299999999999998</v>
      </c>
      <c r="AJ6132">
        <v>33.39</v>
      </c>
      <c r="AK6132">
        <v>23.8</v>
      </c>
      <c r="AL6132">
        <v>-20.16561419999994</v>
      </c>
      <c r="AM6132">
        <v>-44.907783360572083</v>
      </c>
      <c r="AN6132">
        <v>-20.16561419999994</v>
      </c>
      <c r="AO6132">
        <v>-44.907783360572083</v>
      </c>
      <c r="AP6132">
        <v>-20.165590000000002</v>
      </c>
      <c r="AQ6132">
        <v>-44.907876000000002</v>
      </c>
      <c r="AR6132">
        <v>10.04831364257741</v>
      </c>
      <c r="AS6132" t="s">
        <v>65</v>
      </c>
      <c r="AT6132">
        <v>1</v>
      </c>
      <c r="AU6132" t="s">
        <v>1340</v>
      </c>
      <c r="AV6132" t="s">
        <v>1341</v>
      </c>
      <c r="AW6132" t="s">
        <v>60</v>
      </c>
      <c r="AX6132" t="s">
        <v>68</v>
      </c>
      <c r="AY6132" t="s">
        <v>69</v>
      </c>
      <c r="AZ6132" t="b">
        <v>1</v>
      </c>
    </row>
    <row r="6133" spans="1:52" x14ac:dyDescent="0.3">
      <c r="A6133" t="s">
        <v>52</v>
      </c>
      <c r="B6133" t="s">
        <v>53</v>
      </c>
      <c r="C6133" t="s">
        <v>54</v>
      </c>
      <c r="D6133" t="s">
        <v>55</v>
      </c>
      <c r="E6133" t="s">
        <v>2281</v>
      </c>
      <c r="F6133" t="s">
        <v>1247</v>
      </c>
      <c r="G6133" t="s">
        <v>1354</v>
      </c>
      <c r="H6133" t="s">
        <v>1355</v>
      </c>
      <c r="I6133" t="s">
        <v>1355</v>
      </c>
      <c r="J6133" t="s">
        <v>60</v>
      </c>
      <c r="K6133" t="s">
        <v>1356</v>
      </c>
      <c r="L6133" t="s">
        <v>62</v>
      </c>
      <c r="M6133" t="s">
        <v>1356</v>
      </c>
      <c r="N6133" t="s">
        <v>1357</v>
      </c>
      <c r="O6133" t="s">
        <v>315</v>
      </c>
      <c r="P6133">
        <v>-20.132080999999999</v>
      </c>
      <c r="Q6133">
        <v>-44.908614</v>
      </c>
      <c r="R6133" s="2" t="str">
        <f>HYPERLINK("https://www.google.com/maps?q=-20.1320810,-44.9086140","Abrir no Google Maps")</f>
        <v>Abrir no Google Maps</v>
      </c>
      <c r="S6133">
        <v>3</v>
      </c>
      <c r="T6133">
        <v>701.02570959373259</v>
      </c>
      <c r="U6133">
        <v>3</v>
      </c>
      <c r="V6133">
        <v>2.7956989247311801E-2</v>
      </c>
      <c r="W6133">
        <v>0.85</v>
      </c>
      <c r="X6133">
        <v>2.3763440860215031E-2</v>
      </c>
      <c r="Y6133">
        <v>581</v>
      </c>
      <c r="Z6133">
        <v>811.38061352229215</v>
      </c>
      <c r="AA6133">
        <v>198</v>
      </c>
      <c r="AB6133">
        <v>332</v>
      </c>
      <c r="AC6133">
        <v>536</v>
      </c>
      <c r="AD6133">
        <v>26.22</v>
      </c>
      <c r="AE6133">
        <v>542</v>
      </c>
      <c r="AF6133">
        <v>11</v>
      </c>
      <c r="AG6133">
        <v>181</v>
      </c>
      <c r="AH6133">
        <v>129</v>
      </c>
      <c r="AI6133">
        <v>2.0299999999999998</v>
      </c>
      <c r="AJ6133">
        <v>33.39</v>
      </c>
      <c r="AK6133">
        <v>23.8</v>
      </c>
      <c r="AL6133">
        <v>-20.132063499999951</v>
      </c>
      <c r="AM6133">
        <v>-44.908630454878519</v>
      </c>
      <c r="AN6133">
        <v>-20.132063499999951</v>
      </c>
      <c r="AO6133">
        <v>-44.908630454878519</v>
      </c>
      <c r="AP6133">
        <v>-20.132080999999999</v>
      </c>
      <c r="AQ6133">
        <v>-44.908614</v>
      </c>
      <c r="AR6133">
        <v>2.5986425761911551</v>
      </c>
      <c r="AS6133" t="s">
        <v>65</v>
      </c>
      <c r="AT6133">
        <v>1</v>
      </c>
      <c r="AU6133" t="s">
        <v>1358</v>
      </c>
      <c r="AV6133" t="s">
        <v>1359</v>
      </c>
      <c r="AW6133" t="s">
        <v>60</v>
      </c>
      <c r="AX6133" t="s">
        <v>68</v>
      </c>
      <c r="AY6133" t="s">
        <v>69</v>
      </c>
      <c r="AZ6133" t="b">
        <v>1</v>
      </c>
    </row>
    <row r="6134" spans="1:52" x14ac:dyDescent="0.3">
      <c r="A6134" t="s">
        <v>52</v>
      </c>
      <c r="B6134" t="s">
        <v>53</v>
      </c>
      <c r="C6134" t="s">
        <v>54</v>
      </c>
      <c r="D6134" t="s">
        <v>55</v>
      </c>
      <c r="E6134" t="s">
        <v>2281</v>
      </c>
      <c r="F6134" t="s">
        <v>1247</v>
      </c>
      <c r="G6134" t="s">
        <v>1364</v>
      </c>
      <c r="H6134" t="s">
        <v>1365</v>
      </c>
      <c r="I6134" t="s">
        <v>1365</v>
      </c>
      <c r="J6134" t="s">
        <v>60</v>
      </c>
      <c r="K6134" t="s">
        <v>1356</v>
      </c>
      <c r="L6134" t="s">
        <v>62</v>
      </c>
      <c r="M6134" t="s">
        <v>1356</v>
      </c>
      <c r="N6134" t="s">
        <v>1366</v>
      </c>
      <c r="O6134" t="s">
        <v>548</v>
      </c>
      <c r="P6134">
        <v>-20.131240999999999</v>
      </c>
      <c r="Q6134">
        <v>-44.910567999999998</v>
      </c>
      <c r="R6134" s="2" t="str">
        <f>HYPERLINK("https://www.google.com/maps?q=-20.1312410,-44.9105680","Abrir no Google Maps")</f>
        <v>Abrir no Google Maps</v>
      </c>
      <c r="S6134">
        <v>3</v>
      </c>
      <c r="T6134">
        <v>822.61354861726704</v>
      </c>
      <c r="U6134">
        <v>3</v>
      </c>
      <c r="V6134">
        <v>3.2258064516128997E-2</v>
      </c>
      <c r="W6134">
        <v>0.85</v>
      </c>
      <c r="X6134">
        <v>2.741935483870965E-2</v>
      </c>
      <c r="Y6134">
        <v>581</v>
      </c>
      <c r="Z6134">
        <v>982.3990834787046</v>
      </c>
      <c r="AA6134">
        <v>198</v>
      </c>
      <c r="AB6134">
        <v>332</v>
      </c>
      <c r="AC6134">
        <v>536</v>
      </c>
      <c r="AD6134">
        <v>26.22</v>
      </c>
      <c r="AE6134">
        <v>542</v>
      </c>
      <c r="AF6134">
        <v>11</v>
      </c>
      <c r="AG6134">
        <v>181</v>
      </c>
      <c r="AH6134">
        <v>129</v>
      </c>
      <c r="AI6134">
        <v>2.0299999999999998</v>
      </c>
      <c r="AJ6134">
        <v>33.39</v>
      </c>
      <c r="AK6134">
        <v>23.8</v>
      </c>
      <c r="AL6134">
        <v>-20.131367099999981</v>
      </c>
      <c r="AM6134">
        <v>-44.910597350758543</v>
      </c>
      <c r="AN6134">
        <v>-20.131367099999981</v>
      </c>
      <c r="AO6134">
        <v>-44.910597350758543</v>
      </c>
      <c r="AP6134">
        <v>-20.131240999999999</v>
      </c>
      <c r="AQ6134">
        <v>-44.910567999999998</v>
      </c>
      <c r="AR6134">
        <v>14.36874794070623</v>
      </c>
      <c r="AS6134" t="s">
        <v>65</v>
      </c>
      <c r="AT6134">
        <v>1</v>
      </c>
      <c r="AU6134" t="s">
        <v>1367</v>
      </c>
      <c r="AV6134" t="s">
        <v>1368</v>
      </c>
      <c r="AW6134" t="s">
        <v>60</v>
      </c>
      <c r="AX6134" t="s">
        <v>68</v>
      </c>
      <c r="AY6134" t="s">
        <v>69</v>
      </c>
      <c r="AZ6134" t="b">
        <v>1</v>
      </c>
    </row>
    <row r="6135" spans="1:52" x14ac:dyDescent="0.3">
      <c r="A6135" t="s">
        <v>52</v>
      </c>
      <c r="B6135" t="s">
        <v>53</v>
      </c>
      <c r="C6135" t="s">
        <v>54</v>
      </c>
      <c r="D6135" t="s">
        <v>55</v>
      </c>
      <c r="E6135" t="s">
        <v>2281</v>
      </c>
      <c r="F6135" t="s">
        <v>1247</v>
      </c>
      <c r="G6135" t="s">
        <v>1364</v>
      </c>
      <c r="H6135" t="s">
        <v>1369</v>
      </c>
      <c r="I6135" t="s">
        <v>1369</v>
      </c>
      <c r="J6135" t="s">
        <v>60</v>
      </c>
      <c r="K6135" t="s">
        <v>1370</v>
      </c>
      <c r="L6135" t="s">
        <v>62</v>
      </c>
      <c r="M6135" t="s">
        <v>1370</v>
      </c>
      <c r="N6135" t="s">
        <v>1366</v>
      </c>
      <c r="O6135" t="s">
        <v>989</v>
      </c>
      <c r="P6135">
        <v>-20.141185</v>
      </c>
      <c r="Q6135">
        <v>-44.914200999999998</v>
      </c>
      <c r="R6135" s="2" t="str">
        <f>HYPERLINK("https://www.google.com/maps?q=-20.1411850,-44.9142010","Abrir no Google Maps")</f>
        <v>Abrir no Google Maps</v>
      </c>
      <c r="S6135">
        <v>3</v>
      </c>
      <c r="T6135">
        <v>512.52588459346453</v>
      </c>
      <c r="U6135">
        <v>3</v>
      </c>
      <c r="V6135">
        <v>7.1604938271604898E-2</v>
      </c>
      <c r="W6135">
        <v>0.85</v>
      </c>
      <c r="X6135">
        <v>6.086419753086416E-2</v>
      </c>
      <c r="Y6135">
        <v>581</v>
      </c>
      <c r="Z6135">
        <v>473.10673043319349</v>
      </c>
      <c r="AA6135">
        <v>198</v>
      </c>
      <c r="AB6135">
        <v>332</v>
      </c>
      <c r="AC6135">
        <v>536</v>
      </c>
      <c r="AD6135">
        <v>26.22</v>
      </c>
      <c r="AE6135">
        <v>542</v>
      </c>
      <c r="AF6135">
        <v>11</v>
      </c>
      <c r="AG6135">
        <v>181</v>
      </c>
      <c r="AH6135">
        <v>129</v>
      </c>
      <c r="AI6135">
        <v>2.0299999999999998</v>
      </c>
      <c r="AJ6135">
        <v>33.39</v>
      </c>
      <c r="AK6135">
        <v>23.8</v>
      </c>
      <c r="AL6135">
        <v>-20.14133909999995</v>
      </c>
      <c r="AM6135">
        <v>-44.913910219286038</v>
      </c>
      <c r="AN6135">
        <v>-20.14133909999995</v>
      </c>
      <c r="AO6135">
        <v>-44.913910219286038</v>
      </c>
      <c r="AP6135">
        <v>-20.141185</v>
      </c>
      <c r="AQ6135">
        <v>-44.914200999999998</v>
      </c>
      <c r="AR6135">
        <v>34.897514361429593</v>
      </c>
      <c r="AS6135" t="s">
        <v>65</v>
      </c>
      <c r="AT6135">
        <v>1</v>
      </c>
      <c r="AU6135" t="s">
        <v>1371</v>
      </c>
      <c r="AV6135" t="s">
        <v>863</v>
      </c>
      <c r="AW6135" t="s">
        <v>60</v>
      </c>
      <c r="AX6135" t="s">
        <v>68</v>
      </c>
      <c r="AY6135" t="s">
        <v>69</v>
      </c>
      <c r="AZ6135" t="b">
        <v>1</v>
      </c>
    </row>
    <row r="6136" spans="1:52" x14ac:dyDescent="0.3">
      <c r="A6136" t="s">
        <v>52</v>
      </c>
      <c r="B6136" t="s">
        <v>53</v>
      </c>
      <c r="C6136" t="s">
        <v>54</v>
      </c>
      <c r="D6136" t="s">
        <v>55</v>
      </c>
      <c r="E6136" t="s">
        <v>2281</v>
      </c>
      <c r="F6136" t="s">
        <v>1247</v>
      </c>
      <c r="G6136" t="s">
        <v>864</v>
      </c>
      <c r="H6136" t="s">
        <v>865</v>
      </c>
      <c r="I6136" t="s">
        <v>865</v>
      </c>
      <c r="J6136" t="s">
        <v>60</v>
      </c>
      <c r="K6136" t="s">
        <v>486</v>
      </c>
      <c r="L6136" t="s">
        <v>62</v>
      </c>
      <c r="M6136" t="s">
        <v>486</v>
      </c>
      <c r="N6136" t="s">
        <v>866</v>
      </c>
      <c r="O6136" t="s">
        <v>867</v>
      </c>
      <c r="P6136">
        <v>-20.170919000000001</v>
      </c>
      <c r="Q6136">
        <v>-44.905451999999997</v>
      </c>
      <c r="R6136" s="2" t="str">
        <f>HYPERLINK("https://www.google.com/maps?q=-20.1709190,-44.9054520","Abrir no Google Maps")</f>
        <v>Abrir no Google Maps</v>
      </c>
      <c r="S6136">
        <v>3</v>
      </c>
      <c r="T6136">
        <v>0</v>
      </c>
      <c r="U6136">
        <v>3</v>
      </c>
      <c r="V6136">
        <v>6.9498069498069498E-2</v>
      </c>
      <c r="W6136">
        <v>1</v>
      </c>
      <c r="X6136">
        <v>6.9498069498069498E-2</v>
      </c>
      <c r="Y6136">
        <v>578</v>
      </c>
      <c r="Z6136">
        <v>205.34598855748419</v>
      </c>
      <c r="AA6136">
        <v>198</v>
      </c>
      <c r="AB6136">
        <v>332</v>
      </c>
      <c r="AC6136">
        <v>536</v>
      </c>
      <c r="AD6136">
        <v>26.22</v>
      </c>
      <c r="AE6136">
        <v>542</v>
      </c>
      <c r="AF6136">
        <v>11</v>
      </c>
      <c r="AG6136">
        <v>181</v>
      </c>
      <c r="AH6136">
        <v>129</v>
      </c>
      <c r="AI6136">
        <v>2.0299999999999998</v>
      </c>
      <c r="AJ6136">
        <v>33.39</v>
      </c>
      <c r="AK6136">
        <v>23.8</v>
      </c>
      <c r="AL6136">
        <v>-20.170854399999939</v>
      </c>
      <c r="AM6136">
        <v>-44.905524839633358</v>
      </c>
      <c r="AN6136">
        <v>-20.170854399999939</v>
      </c>
      <c r="AO6136">
        <v>-44.905524839633358</v>
      </c>
      <c r="AP6136">
        <v>-20.170919000000001</v>
      </c>
      <c r="AQ6136">
        <v>-44.905451999999997</v>
      </c>
      <c r="AR6136">
        <v>10.471140355179269</v>
      </c>
      <c r="AS6136" t="s">
        <v>65</v>
      </c>
      <c r="AT6136">
        <v>1</v>
      </c>
      <c r="AU6136" t="s">
        <v>868</v>
      </c>
      <c r="AV6136" t="s">
        <v>869</v>
      </c>
      <c r="AW6136" t="s">
        <v>60</v>
      </c>
      <c r="AX6136" t="s">
        <v>68</v>
      </c>
      <c r="AY6136" t="s">
        <v>69</v>
      </c>
      <c r="AZ6136" t="b">
        <v>1</v>
      </c>
    </row>
    <row r="6137" spans="1:52" x14ac:dyDescent="0.3">
      <c r="A6137" t="s">
        <v>52</v>
      </c>
      <c r="B6137" t="s">
        <v>53</v>
      </c>
      <c r="C6137" t="s">
        <v>54</v>
      </c>
      <c r="D6137" t="s">
        <v>55</v>
      </c>
      <c r="E6137" t="s">
        <v>2281</v>
      </c>
      <c r="F6137" t="s">
        <v>1247</v>
      </c>
      <c r="G6137" t="s">
        <v>479</v>
      </c>
      <c r="H6137" t="s">
        <v>480</v>
      </c>
      <c r="I6137" t="s">
        <v>480</v>
      </c>
      <c r="J6137" t="s">
        <v>60</v>
      </c>
      <c r="K6137" t="s">
        <v>388</v>
      </c>
      <c r="L6137" t="s">
        <v>62</v>
      </c>
      <c r="M6137" t="s">
        <v>388</v>
      </c>
      <c r="N6137" t="s">
        <v>481</v>
      </c>
      <c r="O6137" t="s">
        <v>315</v>
      </c>
      <c r="P6137">
        <v>-20.166903999999999</v>
      </c>
      <c r="Q6137">
        <v>-44.903492</v>
      </c>
      <c r="R6137" s="2" t="str">
        <f>HYPERLINK("https://www.google.com/maps?q=-20.1669040,-44.9034920","Abrir no Google Maps")</f>
        <v>Abrir no Google Maps</v>
      </c>
      <c r="S6137">
        <v>3</v>
      </c>
      <c r="T6137">
        <v>517.12253532511602</v>
      </c>
      <c r="U6137">
        <v>3</v>
      </c>
      <c r="V6137">
        <v>8.3832335329341298E-2</v>
      </c>
      <c r="W6137">
        <v>1</v>
      </c>
      <c r="X6137">
        <v>8.3832335329341298E-2</v>
      </c>
      <c r="Y6137">
        <v>578</v>
      </c>
      <c r="Z6137">
        <v>721.79551240050432</v>
      </c>
      <c r="AA6137">
        <v>198</v>
      </c>
      <c r="AB6137">
        <v>332</v>
      </c>
      <c r="AC6137">
        <v>536</v>
      </c>
      <c r="AD6137">
        <v>26.22</v>
      </c>
      <c r="AE6137">
        <v>542</v>
      </c>
      <c r="AF6137">
        <v>11</v>
      </c>
      <c r="AG6137">
        <v>181</v>
      </c>
      <c r="AH6137">
        <v>129</v>
      </c>
      <c r="AI6137">
        <v>2.0299999999999998</v>
      </c>
      <c r="AJ6137">
        <v>33.39</v>
      </c>
      <c r="AK6137">
        <v>23.8</v>
      </c>
      <c r="AL6137">
        <v>-20.166610649999971</v>
      </c>
      <c r="AM6137">
        <v>-44.903452988928308</v>
      </c>
      <c r="AN6137">
        <v>-20.166610649999971</v>
      </c>
      <c r="AO6137">
        <v>-44.903452988928308</v>
      </c>
      <c r="AP6137">
        <v>-20.166903999999999</v>
      </c>
      <c r="AQ6137">
        <v>-44.903492</v>
      </c>
      <c r="AR6137">
        <v>32.909175876856217</v>
      </c>
      <c r="AS6137" t="s">
        <v>65</v>
      </c>
      <c r="AT6137">
        <v>1</v>
      </c>
      <c r="AU6137" t="s">
        <v>482</v>
      </c>
      <c r="AV6137" t="s">
        <v>483</v>
      </c>
      <c r="AW6137" t="s">
        <v>60</v>
      </c>
      <c r="AX6137" t="s">
        <v>68</v>
      </c>
      <c r="AY6137" t="s">
        <v>69</v>
      </c>
      <c r="AZ6137" t="b">
        <v>1</v>
      </c>
    </row>
    <row r="6138" spans="1:52" x14ac:dyDescent="0.3">
      <c r="A6138" t="s">
        <v>52</v>
      </c>
      <c r="B6138" t="s">
        <v>53</v>
      </c>
      <c r="C6138" t="s">
        <v>54</v>
      </c>
      <c r="D6138" t="s">
        <v>55</v>
      </c>
      <c r="E6138" t="s">
        <v>2281</v>
      </c>
      <c r="F6138" t="s">
        <v>1247</v>
      </c>
      <c r="G6138" t="s">
        <v>484</v>
      </c>
      <c r="H6138" t="s">
        <v>485</v>
      </c>
      <c r="I6138" t="s">
        <v>485</v>
      </c>
      <c r="J6138" t="s">
        <v>60</v>
      </c>
      <c r="K6138" t="s">
        <v>486</v>
      </c>
      <c r="L6138" t="s">
        <v>62</v>
      </c>
      <c r="M6138" t="s">
        <v>486</v>
      </c>
      <c r="N6138" t="s">
        <v>487</v>
      </c>
      <c r="O6138" t="s">
        <v>488</v>
      </c>
      <c r="P6138">
        <v>-20.173000999999999</v>
      </c>
      <c r="Q6138">
        <v>-44.901876999999999</v>
      </c>
      <c r="R6138" s="2" t="str">
        <f>HYPERLINK("https://www.google.com/maps?q=-20.1730010,-44.9018770","Abrir no Google Maps")</f>
        <v>Abrir no Google Maps</v>
      </c>
      <c r="S6138">
        <v>3</v>
      </c>
      <c r="T6138">
        <v>437.59695450783011</v>
      </c>
      <c r="U6138">
        <v>3</v>
      </c>
      <c r="V6138">
        <v>4.8048048048047999E-2</v>
      </c>
      <c r="W6138">
        <v>1</v>
      </c>
      <c r="X6138">
        <v>4.8048048048047999E-2</v>
      </c>
      <c r="Y6138">
        <v>578</v>
      </c>
      <c r="Z6138">
        <v>440.53629183653243</v>
      </c>
      <c r="AA6138">
        <v>198</v>
      </c>
      <c r="AB6138">
        <v>332</v>
      </c>
      <c r="AC6138">
        <v>536</v>
      </c>
      <c r="AD6138">
        <v>26.22</v>
      </c>
      <c r="AE6138">
        <v>542</v>
      </c>
      <c r="AF6138">
        <v>11</v>
      </c>
      <c r="AG6138">
        <v>181</v>
      </c>
      <c r="AH6138">
        <v>129</v>
      </c>
      <c r="AI6138">
        <v>2.0299999999999998</v>
      </c>
      <c r="AJ6138">
        <v>33.39</v>
      </c>
      <c r="AK6138">
        <v>23.8</v>
      </c>
      <c r="AL6138">
        <v>-20.173065299999969</v>
      </c>
      <c r="AM6138">
        <v>-44.902052686008687</v>
      </c>
      <c r="AN6138">
        <v>-20.173065299999969</v>
      </c>
      <c r="AO6138">
        <v>-44.902052686008687</v>
      </c>
      <c r="AP6138">
        <v>-20.173000999999999</v>
      </c>
      <c r="AQ6138">
        <v>-44.901876999999999</v>
      </c>
      <c r="AR6138">
        <v>19.703745070768829</v>
      </c>
      <c r="AS6138" t="s">
        <v>65</v>
      </c>
      <c r="AT6138">
        <v>1</v>
      </c>
      <c r="AU6138" t="s">
        <v>489</v>
      </c>
      <c r="AV6138" t="s">
        <v>490</v>
      </c>
      <c r="AW6138" t="s">
        <v>60</v>
      </c>
      <c r="AX6138" t="s">
        <v>68</v>
      </c>
      <c r="AY6138" t="s">
        <v>69</v>
      </c>
      <c r="AZ6138" t="b">
        <v>1</v>
      </c>
    </row>
    <row r="6139" spans="1:52" x14ac:dyDescent="0.3">
      <c r="A6139" t="s">
        <v>52</v>
      </c>
      <c r="B6139" t="s">
        <v>53</v>
      </c>
      <c r="C6139" t="s">
        <v>54</v>
      </c>
      <c r="D6139" t="s">
        <v>55</v>
      </c>
      <c r="E6139" t="s">
        <v>2281</v>
      </c>
      <c r="F6139" t="s">
        <v>1247</v>
      </c>
      <c r="G6139" t="s">
        <v>491</v>
      </c>
      <c r="H6139" t="s">
        <v>492</v>
      </c>
      <c r="I6139" t="s">
        <v>492</v>
      </c>
      <c r="J6139" t="s">
        <v>60</v>
      </c>
      <c r="K6139" t="s">
        <v>475</v>
      </c>
      <c r="L6139" t="s">
        <v>62</v>
      </c>
      <c r="M6139" t="s">
        <v>475</v>
      </c>
      <c r="N6139" t="s">
        <v>493</v>
      </c>
      <c r="O6139" t="s">
        <v>494</v>
      </c>
      <c r="P6139">
        <v>-20.175250999999999</v>
      </c>
      <c r="Q6139">
        <v>-44.897357</v>
      </c>
      <c r="R6139" s="2" t="str">
        <f>HYPERLINK("https://www.google.com/maps?q=-20.1752510,-44.8973570","Abrir no Google Maps")</f>
        <v>Abrir no Google Maps</v>
      </c>
      <c r="S6139">
        <v>3</v>
      </c>
      <c r="T6139">
        <v>992.29631678149951</v>
      </c>
      <c r="U6139">
        <v>3</v>
      </c>
      <c r="V6139">
        <v>2.8571428571428501E-2</v>
      </c>
      <c r="W6139">
        <v>1</v>
      </c>
      <c r="X6139">
        <v>2.8571428571428501E-2</v>
      </c>
      <c r="Y6139">
        <v>578</v>
      </c>
      <c r="Z6139">
        <v>1008.5871064168319</v>
      </c>
      <c r="AA6139">
        <v>198</v>
      </c>
      <c r="AB6139">
        <v>332</v>
      </c>
      <c r="AC6139">
        <v>536</v>
      </c>
      <c r="AD6139">
        <v>26.22</v>
      </c>
      <c r="AE6139">
        <v>542</v>
      </c>
      <c r="AF6139">
        <v>11</v>
      </c>
      <c r="AG6139">
        <v>181</v>
      </c>
      <c r="AH6139">
        <v>129</v>
      </c>
      <c r="AI6139">
        <v>2.0299999999999998</v>
      </c>
      <c r="AJ6139">
        <v>33.39</v>
      </c>
      <c r="AK6139">
        <v>23.8</v>
      </c>
      <c r="AL6139">
        <v>-20.175290599999951</v>
      </c>
      <c r="AM6139">
        <v>-44.897271931010721</v>
      </c>
      <c r="AN6139">
        <v>-20.175290599999951</v>
      </c>
      <c r="AO6139">
        <v>-44.897271931010721</v>
      </c>
      <c r="AP6139">
        <v>-20.175250999999999</v>
      </c>
      <c r="AQ6139">
        <v>-44.897357</v>
      </c>
      <c r="AR6139">
        <v>9.921899108467926</v>
      </c>
      <c r="AS6139" t="s">
        <v>65</v>
      </c>
      <c r="AT6139">
        <v>1</v>
      </c>
      <c r="AU6139" t="s">
        <v>495</v>
      </c>
      <c r="AV6139" t="s">
        <v>496</v>
      </c>
      <c r="AW6139" t="s">
        <v>60</v>
      </c>
      <c r="AX6139" t="s">
        <v>68</v>
      </c>
      <c r="AY6139" t="s">
        <v>69</v>
      </c>
      <c r="AZ6139" t="b">
        <v>1</v>
      </c>
    </row>
    <row r="6140" spans="1:52" x14ac:dyDescent="0.3">
      <c r="A6140" t="s">
        <v>52</v>
      </c>
      <c r="B6140" t="s">
        <v>53</v>
      </c>
      <c r="C6140" t="s">
        <v>54</v>
      </c>
      <c r="D6140" t="s">
        <v>55</v>
      </c>
      <c r="E6140" t="s">
        <v>2281</v>
      </c>
      <c r="F6140" t="s">
        <v>1247</v>
      </c>
      <c r="G6140" t="s">
        <v>1388</v>
      </c>
      <c r="H6140" t="s">
        <v>1389</v>
      </c>
      <c r="I6140" t="s">
        <v>1389</v>
      </c>
      <c r="J6140" t="s">
        <v>60</v>
      </c>
      <c r="K6140" t="s">
        <v>475</v>
      </c>
      <c r="L6140" t="s">
        <v>62</v>
      </c>
      <c r="M6140" t="s">
        <v>475</v>
      </c>
      <c r="N6140" t="s">
        <v>1390</v>
      </c>
      <c r="O6140" t="s">
        <v>855</v>
      </c>
      <c r="P6140">
        <v>-20.173748</v>
      </c>
      <c r="Q6140">
        <v>-44.894596999999997</v>
      </c>
      <c r="R6140" s="2" t="str">
        <f>HYPERLINK("https://www.google.com/maps?q=-20.1737480,-44.8945970","Abrir no Google Maps")</f>
        <v>Abrir no Google Maps</v>
      </c>
      <c r="S6140">
        <v>3</v>
      </c>
      <c r="T6140">
        <v>1217.388518792701</v>
      </c>
      <c r="U6140">
        <v>3</v>
      </c>
      <c r="V6140">
        <v>2.61437908496732E-2</v>
      </c>
      <c r="W6140">
        <v>0.85</v>
      </c>
      <c r="X6140">
        <v>2.222222222222222E-2</v>
      </c>
      <c r="Y6140">
        <v>578</v>
      </c>
      <c r="Z6140">
        <v>1268.0048337091989</v>
      </c>
      <c r="AA6140">
        <v>198</v>
      </c>
      <c r="AB6140">
        <v>332</v>
      </c>
      <c r="AC6140">
        <v>536</v>
      </c>
      <c r="AD6140">
        <v>26.22</v>
      </c>
      <c r="AE6140">
        <v>542</v>
      </c>
      <c r="AF6140">
        <v>11</v>
      </c>
      <c r="AG6140">
        <v>181</v>
      </c>
      <c r="AH6140">
        <v>129</v>
      </c>
      <c r="AI6140">
        <v>2.0299999999999998</v>
      </c>
      <c r="AJ6140">
        <v>33.39</v>
      </c>
      <c r="AK6140">
        <v>23.8</v>
      </c>
      <c r="AL6140">
        <v>-20.173821999999941</v>
      </c>
      <c r="AM6140">
        <v>-44.894306105833543</v>
      </c>
      <c r="AN6140">
        <v>-20.173821999999941</v>
      </c>
      <c r="AO6140">
        <v>-44.894306105833543</v>
      </c>
      <c r="AP6140">
        <v>-20.173748</v>
      </c>
      <c r="AQ6140">
        <v>-44.894596999999997</v>
      </c>
      <c r="AR6140">
        <v>31.492193006406161</v>
      </c>
      <c r="AS6140" t="s">
        <v>65</v>
      </c>
      <c r="AT6140">
        <v>1</v>
      </c>
      <c r="AU6140" t="s">
        <v>1391</v>
      </c>
      <c r="AV6140" t="s">
        <v>1392</v>
      </c>
      <c r="AW6140" t="s">
        <v>60</v>
      </c>
      <c r="AX6140" t="s">
        <v>68</v>
      </c>
      <c r="AY6140" t="s">
        <v>69</v>
      </c>
      <c r="AZ6140" t="b">
        <v>1</v>
      </c>
    </row>
    <row r="6141" spans="1:52" x14ac:dyDescent="0.3">
      <c r="A6141" t="s">
        <v>52</v>
      </c>
      <c r="B6141" t="s">
        <v>53</v>
      </c>
      <c r="C6141" t="s">
        <v>54</v>
      </c>
      <c r="D6141" t="s">
        <v>55</v>
      </c>
      <c r="E6141" t="s">
        <v>2281</v>
      </c>
      <c r="F6141" t="s">
        <v>1247</v>
      </c>
      <c r="G6141" t="s">
        <v>497</v>
      </c>
      <c r="H6141" t="s">
        <v>498</v>
      </c>
      <c r="I6141" t="s">
        <v>498</v>
      </c>
      <c r="J6141" t="s">
        <v>60</v>
      </c>
      <c r="K6141" t="s">
        <v>475</v>
      </c>
      <c r="L6141" t="s">
        <v>62</v>
      </c>
      <c r="M6141" t="s">
        <v>475</v>
      </c>
      <c r="N6141" t="s">
        <v>499</v>
      </c>
      <c r="O6141" t="s">
        <v>500</v>
      </c>
      <c r="P6141">
        <v>-20.175492999999999</v>
      </c>
      <c r="Q6141">
        <v>-44.900759000000001</v>
      </c>
      <c r="R6141" s="2" t="str">
        <f>HYPERLINK("https://www.google.com/maps?q=-20.1754930,-44.9007590","Abrir no Google Maps")</f>
        <v>Abrir no Google Maps</v>
      </c>
      <c r="S6141">
        <v>3</v>
      </c>
      <c r="T6141">
        <v>753.30732354720431</v>
      </c>
      <c r="U6141">
        <v>3</v>
      </c>
      <c r="V6141">
        <v>4.3071161048689098E-2</v>
      </c>
      <c r="W6141">
        <v>1</v>
      </c>
      <c r="X6141">
        <v>4.3071161048689098E-2</v>
      </c>
      <c r="Y6141">
        <v>578</v>
      </c>
      <c r="Z6141">
        <v>695.28903655431702</v>
      </c>
      <c r="AA6141">
        <v>198</v>
      </c>
      <c r="AB6141">
        <v>332</v>
      </c>
      <c r="AC6141">
        <v>536</v>
      </c>
      <c r="AD6141">
        <v>26.22</v>
      </c>
      <c r="AE6141">
        <v>542</v>
      </c>
      <c r="AF6141">
        <v>11</v>
      </c>
      <c r="AG6141">
        <v>181</v>
      </c>
      <c r="AH6141">
        <v>129</v>
      </c>
      <c r="AI6141">
        <v>2.0299999999999998</v>
      </c>
      <c r="AJ6141">
        <v>33.39</v>
      </c>
      <c r="AK6141">
        <v>23.8</v>
      </c>
      <c r="AL6141">
        <v>-20.175825999999969</v>
      </c>
      <c r="AM6141">
        <v>-44.900600234646973</v>
      </c>
      <c r="AN6141">
        <v>-20.175825999999969</v>
      </c>
      <c r="AO6141">
        <v>-44.900600234646973</v>
      </c>
      <c r="AP6141">
        <v>-20.175492999999999</v>
      </c>
      <c r="AQ6141">
        <v>-44.900759000000001</v>
      </c>
      <c r="AR6141">
        <v>40.612267304645073</v>
      </c>
      <c r="AS6141" t="s">
        <v>65</v>
      </c>
      <c r="AT6141">
        <v>1</v>
      </c>
      <c r="AU6141" t="s">
        <v>501</v>
      </c>
      <c r="AV6141" t="s">
        <v>502</v>
      </c>
      <c r="AW6141" t="s">
        <v>60</v>
      </c>
      <c r="AX6141" t="s">
        <v>68</v>
      </c>
      <c r="AY6141" t="s">
        <v>69</v>
      </c>
      <c r="AZ6141" t="b">
        <v>1</v>
      </c>
    </row>
    <row r="6142" spans="1:52" x14ac:dyDescent="0.3">
      <c r="A6142" t="s">
        <v>52</v>
      </c>
      <c r="B6142" t="s">
        <v>53</v>
      </c>
      <c r="C6142" t="s">
        <v>54</v>
      </c>
      <c r="D6142" t="s">
        <v>55</v>
      </c>
      <c r="E6142" t="s">
        <v>2281</v>
      </c>
      <c r="F6142" t="s">
        <v>1247</v>
      </c>
      <c r="G6142" t="s">
        <v>510</v>
      </c>
      <c r="H6142" t="s">
        <v>511</v>
      </c>
      <c r="I6142" t="s">
        <v>511</v>
      </c>
      <c r="J6142" t="s">
        <v>60</v>
      </c>
      <c r="K6142" t="s">
        <v>512</v>
      </c>
      <c r="L6142" t="s">
        <v>62</v>
      </c>
      <c r="M6142" t="s">
        <v>512</v>
      </c>
      <c r="N6142" t="s">
        <v>406</v>
      </c>
      <c r="O6142" t="s">
        <v>513</v>
      </c>
      <c r="P6142">
        <v>-20.127853000000002</v>
      </c>
      <c r="Q6142">
        <v>-44.891415000000002</v>
      </c>
      <c r="R6142" s="2" t="str">
        <f>HYPERLINK("https://www.google.com/maps?q=-20.1278530,-44.8914150","Abrir no Google Maps")</f>
        <v>Abrir no Google Maps</v>
      </c>
      <c r="S6142">
        <v>3</v>
      </c>
      <c r="T6142">
        <v>340.86994528233612</v>
      </c>
      <c r="U6142">
        <v>3</v>
      </c>
      <c r="V6142">
        <v>8.7912087912087905E-2</v>
      </c>
      <c r="W6142">
        <v>1</v>
      </c>
      <c r="X6142">
        <v>8.7912087912087905E-2</v>
      </c>
      <c r="Y6142">
        <v>564</v>
      </c>
      <c r="Z6142">
        <v>294.18108015916812</v>
      </c>
      <c r="AA6142">
        <v>198</v>
      </c>
      <c r="AB6142">
        <v>332</v>
      </c>
      <c r="AC6142">
        <v>536</v>
      </c>
      <c r="AD6142">
        <v>26.22</v>
      </c>
      <c r="AE6142">
        <v>542</v>
      </c>
      <c r="AF6142">
        <v>11</v>
      </c>
      <c r="AG6142">
        <v>181</v>
      </c>
      <c r="AH6142">
        <v>129</v>
      </c>
      <c r="AI6142">
        <v>2.0299999999999998</v>
      </c>
      <c r="AJ6142">
        <v>33.39</v>
      </c>
      <c r="AK6142">
        <v>23.8</v>
      </c>
      <c r="AL6142">
        <v>-20.12777399999996</v>
      </c>
      <c r="AM6142">
        <v>-44.891400975758501</v>
      </c>
      <c r="AN6142">
        <v>-20.12777399999996</v>
      </c>
      <c r="AO6142">
        <v>-44.891400975758501</v>
      </c>
      <c r="AP6142">
        <v>-20.127853000000002</v>
      </c>
      <c r="AQ6142">
        <v>-44.891415000000002</v>
      </c>
      <c r="AR6142">
        <v>8.9156059162975616</v>
      </c>
      <c r="AS6142" t="s">
        <v>65</v>
      </c>
      <c r="AT6142">
        <v>1</v>
      </c>
      <c r="AU6142" t="s">
        <v>514</v>
      </c>
      <c r="AV6142" t="s">
        <v>515</v>
      </c>
      <c r="AW6142" t="s">
        <v>60</v>
      </c>
      <c r="AX6142" t="s">
        <v>68</v>
      </c>
      <c r="AY6142" t="s">
        <v>69</v>
      </c>
      <c r="AZ6142" t="b">
        <v>1</v>
      </c>
    </row>
    <row r="6143" spans="1:52" x14ac:dyDescent="0.3">
      <c r="A6143" t="s">
        <v>52</v>
      </c>
      <c r="B6143" t="s">
        <v>53</v>
      </c>
      <c r="C6143" t="s">
        <v>54</v>
      </c>
      <c r="D6143" t="s">
        <v>55</v>
      </c>
      <c r="E6143" t="s">
        <v>2281</v>
      </c>
      <c r="F6143" t="s">
        <v>1247</v>
      </c>
      <c r="G6143" t="s">
        <v>1429</v>
      </c>
      <c r="H6143" t="s">
        <v>1430</v>
      </c>
      <c r="I6143" t="s">
        <v>1430</v>
      </c>
      <c r="J6143" t="s">
        <v>60</v>
      </c>
      <c r="K6143" t="s">
        <v>505</v>
      </c>
      <c r="L6143" t="s">
        <v>62</v>
      </c>
      <c r="M6143" t="s">
        <v>505</v>
      </c>
      <c r="N6143" t="s">
        <v>1431</v>
      </c>
      <c r="O6143" t="s">
        <v>1432</v>
      </c>
      <c r="P6143">
        <v>-20.132069000000001</v>
      </c>
      <c r="Q6143">
        <v>-44.891694000000001</v>
      </c>
      <c r="R6143" s="2" t="str">
        <f>HYPERLINK("https://www.google.com/maps?q=-20.1320690,-44.8916940","Abrir no Google Maps")</f>
        <v>Abrir no Google Maps</v>
      </c>
      <c r="S6143">
        <v>3</v>
      </c>
      <c r="T6143">
        <v>463.84477613866852</v>
      </c>
      <c r="U6143">
        <v>3</v>
      </c>
      <c r="V6143">
        <v>5.0179211469534003E-2</v>
      </c>
      <c r="W6143">
        <v>0.85</v>
      </c>
      <c r="X6143">
        <v>4.26523297491039E-2</v>
      </c>
      <c r="Y6143">
        <v>564</v>
      </c>
      <c r="Z6143">
        <v>349.6044774510159</v>
      </c>
      <c r="AA6143">
        <v>198</v>
      </c>
      <c r="AB6143">
        <v>332</v>
      </c>
      <c r="AC6143">
        <v>536</v>
      </c>
      <c r="AD6143">
        <v>26.22</v>
      </c>
      <c r="AE6143">
        <v>542</v>
      </c>
      <c r="AF6143">
        <v>11</v>
      </c>
      <c r="AG6143">
        <v>181</v>
      </c>
      <c r="AH6143">
        <v>129</v>
      </c>
      <c r="AI6143">
        <v>2.0299999999999998</v>
      </c>
      <c r="AJ6143">
        <v>33.39</v>
      </c>
      <c r="AK6143">
        <v>23.8</v>
      </c>
      <c r="AL6143">
        <v>-20.131860799999941</v>
      </c>
      <c r="AM6143">
        <v>-44.891643045551348</v>
      </c>
      <c r="AN6143">
        <v>-20.131860799999941</v>
      </c>
      <c r="AO6143">
        <v>-44.891643045551348</v>
      </c>
      <c r="AP6143">
        <v>-20.132069000000001</v>
      </c>
      <c r="AQ6143">
        <v>-44.891694000000001</v>
      </c>
      <c r="AR6143">
        <v>23.780836080569209</v>
      </c>
      <c r="AS6143" t="s">
        <v>65</v>
      </c>
      <c r="AT6143">
        <v>1</v>
      </c>
      <c r="AU6143" t="s">
        <v>1433</v>
      </c>
      <c r="AV6143" t="s">
        <v>1434</v>
      </c>
      <c r="AW6143" t="s">
        <v>60</v>
      </c>
      <c r="AX6143" t="s">
        <v>68</v>
      </c>
      <c r="AY6143" t="s">
        <v>69</v>
      </c>
      <c r="AZ6143" t="b">
        <v>1</v>
      </c>
    </row>
    <row r="6144" spans="1:52" x14ac:dyDescent="0.3">
      <c r="A6144" t="s">
        <v>52</v>
      </c>
      <c r="B6144" t="s">
        <v>53</v>
      </c>
      <c r="C6144" t="s">
        <v>54</v>
      </c>
      <c r="D6144" t="s">
        <v>55</v>
      </c>
      <c r="E6144" t="s">
        <v>2281</v>
      </c>
      <c r="F6144" t="s">
        <v>1247</v>
      </c>
      <c r="G6144" t="s">
        <v>503</v>
      </c>
      <c r="H6144" t="s">
        <v>1441</v>
      </c>
      <c r="I6144" t="s">
        <v>1441</v>
      </c>
      <c r="J6144" t="s">
        <v>60</v>
      </c>
      <c r="K6144" t="s">
        <v>512</v>
      </c>
      <c r="L6144" t="s">
        <v>62</v>
      </c>
      <c r="M6144" t="s">
        <v>512</v>
      </c>
      <c r="N6144" t="s">
        <v>506</v>
      </c>
      <c r="O6144" t="s">
        <v>1442</v>
      </c>
      <c r="P6144">
        <v>-20.13036</v>
      </c>
      <c r="Q6144">
        <v>-44.891019</v>
      </c>
      <c r="R6144" s="2" t="str">
        <f>HYPERLINK("https://www.google.com/maps?q=-20.1303600,-44.8910190","Abrir no Google Maps")</f>
        <v>Abrir no Google Maps</v>
      </c>
      <c r="S6144">
        <v>3</v>
      </c>
      <c r="T6144">
        <v>313.17410616307359</v>
      </c>
      <c r="U6144">
        <v>3</v>
      </c>
      <c r="V6144">
        <v>3.4120734908136399E-2</v>
      </c>
      <c r="W6144">
        <v>0.85</v>
      </c>
      <c r="X6144">
        <v>2.9002624671915941E-2</v>
      </c>
      <c r="Y6144">
        <v>564</v>
      </c>
      <c r="Z6144">
        <v>208.43159293494489</v>
      </c>
      <c r="AA6144">
        <v>198</v>
      </c>
      <c r="AB6144">
        <v>332</v>
      </c>
      <c r="AC6144">
        <v>536</v>
      </c>
      <c r="AD6144">
        <v>26.22</v>
      </c>
      <c r="AE6144">
        <v>542</v>
      </c>
      <c r="AF6144">
        <v>11</v>
      </c>
      <c r="AG6144">
        <v>181</v>
      </c>
      <c r="AH6144">
        <v>129</v>
      </c>
      <c r="AI6144">
        <v>2.0299999999999998</v>
      </c>
      <c r="AJ6144">
        <v>33.39</v>
      </c>
      <c r="AK6144">
        <v>23.8</v>
      </c>
      <c r="AL6144">
        <v>-20.130100449999961</v>
      </c>
      <c r="AM6144">
        <v>-44.891163633475301</v>
      </c>
      <c r="AN6144">
        <v>-20.130100449999961</v>
      </c>
      <c r="AO6144">
        <v>-44.891163633475301</v>
      </c>
      <c r="AP6144">
        <v>-20.13036</v>
      </c>
      <c r="AQ6144">
        <v>-44.891019</v>
      </c>
      <c r="AR6144">
        <v>32.608854575381159</v>
      </c>
      <c r="AS6144" t="s">
        <v>65</v>
      </c>
      <c r="AT6144">
        <v>1</v>
      </c>
      <c r="AU6144" t="s">
        <v>1443</v>
      </c>
      <c r="AV6144" t="s">
        <v>1444</v>
      </c>
      <c r="AW6144" t="s">
        <v>60</v>
      </c>
      <c r="AX6144" t="s">
        <v>68</v>
      </c>
      <c r="AY6144" t="s">
        <v>69</v>
      </c>
      <c r="AZ6144" t="b">
        <v>1</v>
      </c>
    </row>
    <row r="6145" spans="1:52" x14ac:dyDescent="0.3">
      <c r="A6145" t="s">
        <v>52</v>
      </c>
      <c r="B6145" t="s">
        <v>53</v>
      </c>
      <c r="C6145" t="s">
        <v>54</v>
      </c>
      <c r="D6145" t="s">
        <v>55</v>
      </c>
      <c r="E6145" t="s">
        <v>2281</v>
      </c>
      <c r="F6145" t="s">
        <v>1247</v>
      </c>
      <c r="G6145" t="s">
        <v>1408</v>
      </c>
      <c r="H6145" t="s">
        <v>1409</v>
      </c>
      <c r="I6145" t="s">
        <v>1409</v>
      </c>
      <c r="J6145" t="s">
        <v>60</v>
      </c>
      <c r="K6145" t="s">
        <v>200</v>
      </c>
      <c r="L6145" t="s">
        <v>62</v>
      </c>
      <c r="M6145" t="s">
        <v>200</v>
      </c>
      <c r="N6145" t="s">
        <v>1410</v>
      </c>
      <c r="O6145" t="s">
        <v>1001</v>
      </c>
      <c r="P6145">
        <v>-20.126062999999998</v>
      </c>
      <c r="Q6145">
        <v>-44.894936999999999</v>
      </c>
      <c r="R6145" s="2" t="str">
        <f>HYPERLINK("https://www.google.com/maps?q=-20.1260630,-44.8949370","Abrir no Google Maps")</f>
        <v>Abrir no Google Maps</v>
      </c>
      <c r="S6145">
        <v>3</v>
      </c>
      <c r="T6145">
        <v>747.3122077966558</v>
      </c>
      <c r="U6145">
        <v>3</v>
      </c>
      <c r="V6145">
        <v>3.6036036036036001E-2</v>
      </c>
      <c r="W6145">
        <v>0.85</v>
      </c>
      <c r="X6145">
        <v>3.0630630630630599E-2</v>
      </c>
      <c r="Y6145">
        <v>564</v>
      </c>
      <c r="Z6145">
        <v>693.80888866206885</v>
      </c>
      <c r="AA6145">
        <v>198</v>
      </c>
      <c r="AB6145">
        <v>332</v>
      </c>
      <c r="AC6145">
        <v>536</v>
      </c>
      <c r="AD6145">
        <v>26.22</v>
      </c>
      <c r="AE6145">
        <v>542</v>
      </c>
      <c r="AF6145">
        <v>11</v>
      </c>
      <c r="AG6145">
        <v>181</v>
      </c>
      <c r="AH6145">
        <v>129</v>
      </c>
      <c r="AI6145">
        <v>2.0299999999999998</v>
      </c>
      <c r="AJ6145">
        <v>33.39</v>
      </c>
      <c r="AK6145">
        <v>23.8</v>
      </c>
      <c r="AL6145">
        <v>-20.126099149999959</v>
      </c>
      <c r="AM6145">
        <v>-44.894866076436763</v>
      </c>
      <c r="AN6145">
        <v>-20.126099149999959</v>
      </c>
      <c r="AO6145">
        <v>-44.894866076436749</v>
      </c>
      <c r="AP6145">
        <v>-20.126062999999998</v>
      </c>
      <c r="AQ6145">
        <v>-44.894936999999999</v>
      </c>
      <c r="AR6145">
        <v>8.4349593682699737</v>
      </c>
      <c r="AS6145" t="s">
        <v>65</v>
      </c>
      <c r="AT6145">
        <v>1</v>
      </c>
      <c r="AU6145" t="s">
        <v>1411</v>
      </c>
      <c r="AV6145" t="s">
        <v>1003</v>
      </c>
      <c r="AW6145" t="s">
        <v>60</v>
      </c>
      <c r="AX6145" t="s">
        <v>68</v>
      </c>
      <c r="AY6145" t="s">
        <v>69</v>
      </c>
      <c r="AZ6145" t="b">
        <v>1</v>
      </c>
    </row>
    <row r="6146" spans="1:52" x14ac:dyDescent="0.3">
      <c r="A6146" t="s">
        <v>52</v>
      </c>
      <c r="B6146" t="s">
        <v>53</v>
      </c>
      <c r="C6146" t="s">
        <v>54</v>
      </c>
      <c r="D6146" t="s">
        <v>55</v>
      </c>
      <c r="E6146" t="s">
        <v>2281</v>
      </c>
      <c r="F6146" t="s">
        <v>1247</v>
      </c>
      <c r="G6146" t="s">
        <v>473</v>
      </c>
      <c r="H6146" t="s">
        <v>1445</v>
      </c>
      <c r="I6146" t="s">
        <v>1445</v>
      </c>
      <c r="J6146" t="s">
        <v>60</v>
      </c>
      <c r="K6146" t="s">
        <v>892</v>
      </c>
      <c r="L6146" t="s">
        <v>62</v>
      </c>
      <c r="M6146" t="s">
        <v>892</v>
      </c>
      <c r="N6146" t="s">
        <v>406</v>
      </c>
      <c r="O6146" t="s">
        <v>1446</v>
      </c>
      <c r="P6146">
        <v>-20.14941</v>
      </c>
      <c r="Q6146">
        <v>-44.899535</v>
      </c>
      <c r="R6146" s="2" t="str">
        <f>HYPERLINK("https://www.google.com/maps?q=-20.1494100,-44.8995350","Abrir no Google Maps")</f>
        <v>Abrir no Google Maps</v>
      </c>
      <c r="S6146">
        <v>3</v>
      </c>
      <c r="T6146">
        <v>249.83945591849931</v>
      </c>
      <c r="U6146">
        <v>3</v>
      </c>
      <c r="V6146">
        <v>3.5211267605633798E-2</v>
      </c>
      <c r="W6146">
        <v>0.85</v>
      </c>
      <c r="X6146">
        <v>2.9929577464788731E-2</v>
      </c>
      <c r="Y6146">
        <v>556</v>
      </c>
      <c r="Z6146">
        <v>156.62360082488701</v>
      </c>
      <c r="AA6146">
        <v>198</v>
      </c>
      <c r="AB6146">
        <v>332</v>
      </c>
      <c r="AC6146">
        <v>536</v>
      </c>
      <c r="AD6146">
        <v>26.22</v>
      </c>
      <c r="AE6146">
        <v>542</v>
      </c>
      <c r="AF6146">
        <v>11</v>
      </c>
      <c r="AG6146">
        <v>181</v>
      </c>
      <c r="AH6146">
        <v>129</v>
      </c>
      <c r="AI6146">
        <v>2.0299999999999998</v>
      </c>
      <c r="AJ6146">
        <v>33.39</v>
      </c>
      <c r="AK6146">
        <v>23.8</v>
      </c>
      <c r="AL6146">
        <v>-20.149341899999939</v>
      </c>
      <c r="AM6146">
        <v>-44.899575902083967</v>
      </c>
      <c r="AN6146">
        <v>-20.149341899999939</v>
      </c>
      <c r="AO6146">
        <v>-44.899575902083967</v>
      </c>
      <c r="AP6146">
        <v>-20.14941</v>
      </c>
      <c r="AQ6146">
        <v>-44.899535</v>
      </c>
      <c r="AR6146">
        <v>8.7029725999778709</v>
      </c>
      <c r="AS6146" t="s">
        <v>65</v>
      </c>
      <c r="AT6146">
        <v>1</v>
      </c>
      <c r="AU6146" t="s">
        <v>1447</v>
      </c>
      <c r="AV6146" t="s">
        <v>1448</v>
      </c>
      <c r="AW6146" t="s">
        <v>60</v>
      </c>
      <c r="AX6146" t="s">
        <v>68</v>
      </c>
      <c r="AY6146" t="s">
        <v>69</v>
      </c>
      <c r="AZ6146" t="b">
        <v>1</v>
      </c>
    </row>
    <row r="6147" spans="1:52" x14ac:dyDescent="0.3">
      <c r="A6147" t="s">
        <v>52</v>
      </c>
      <c r="B6147" t="s">
        <v>53</v>
      </c>
      <c r="C6147" t="s">
        <v>54</v>
      </c>
      <c r="D6147" t="s">
        <v>55</v>
      </c>
      <c r="E6147" t="s">
        <v>2281</v>
      </c>
      <c r="F6147" t="s">
        <v>1247</v>
      </c>
      <c r="G6147" t="s">
        <v>890</v>
      </c>
      <c r="H6147" t="s">
        <v>891</v>
      </c>
      <c r="I6147" t="s">
        <v>891</v>
      </c>
      <c r="J6147" t="s">
        <v>60</v>
      </c>
      <c r="K6147" t="s">
        <v>892</v>
      </c>
      <c r="L6147" t="s">
        <v>62</v>
      </c>
      <c r="M6147" t="s">
        <v>892</v>
      </c>
      <c r="N6147" t="s">
        <v>893</v>
      </c>
      <c r="O6147" t="s">
        <v>894</v>
      </c>
      <c r="P6147">
        <v>-20.152519000000002</v>
      </c>
      <c r="Q6147">
        <v>-44.899177000000002</v>
      </c>
      <c r="R6147" s="2" t="str">
        <f>HYPERLINK("https://www.google.com/maps?q=-20.1525190,-44.8991770","Abrir no Google Maps")</f>
        <v>Abrir no Google Maps</v>
      </c>
      <c r="S6147">
        <v>3</v>
      </c>
      <c r="T6147">
        <v>211.80188552994721</v>
      </c>
      <c r="U6147">
        <v>3</v>
      </c>
      <c r="V6147">
        <v>3.3582089552238799E-2</v>
      </c>
      <c r="W6147">
        <v>1</v>
      </c>
      <c r="X6147">
        <v>3.3582089552238799E-2</v>
      </c>
      <c r="Y6147">
        <v>556</v>
      </c>
      <c r="Z6147">
        <v>290.34804137107091</v>
      </c>
      <c r="AA6147">
        <v>198</v>
      </c>
      <c r="AB6147">
        <v>332</v>
      </c>
      <c r="AC6147">
        <v>536</v>
      </c>
      <c r="AD6147">
        <v>26.22</v>
      </c>
      <c r="AE6147">
        <v>542</v>
      </c>
      <c r="AF6147">
        <v>11</v>
      </c>
      <c r="AG6147">
        <v>181</v>
      </c>
      <c r="AH6147">
        <v>129</v>
      </c>
      <c r="AI6147">
        <v>2.0299999999999998</v>
      </c>
      <c r="AJ6147">
        <v>33.39</v>
      </c>
      <c r="AK6147">
        <v>23.8</v>
      </c>
      <c r="AL6147">
        <v>-20.152516249999959</v>
      </c>
      <c r="AM6147">
        <v>-44.899310431333959</v>
      </c>
      <c r="AN6147">
        <v>-20.152516249999959</v>
      </c>
      <c r="AO6147">
        <v>-44.899310431333959</v>
      </c>
      <c r="AP6147">
        <v>-20.152519000000002</v>
      </c>
      <c r="AQ6147">
        <v>-44.899177000000002</v>
      </c>
      <c r="AR6147">
        <v>13.947583284957719</v>
      </c>
      <c r="AS6147" t="s">
        <v>65</v>
      </c>
      <c r="AT6147">
        <v>1</v>
      </c>
      <c r="AU6147" t="s">
        <v>895</v>
      </c>
      <c r="AV6147" t="s">
        <v>896</v>
      </c>
      <c r="AW6147" t="s">
        <v>60</v>
      </c>
      <c r="AX6147" t="s">
        <v>68</v>
      </c>
      <c r="AY6147" t="s">
        <v>69</v>
      </c>
      <c r="AZ6147" t="b">
        <v>1</v>
      </c>
    </row>
    <row r="6148" spans="1:52" x14ac:dyDescent="0.3">
      <c r="A6148" t="s">
        <v>52</v>
      </c>
      <c r="B6148" t="s">
        <v>53</v>
      </c>
      <c r="C6148" t="s">
        <v>54</v>
      </c>
      <c r="D6148" t="s">
        <v>55</v>
      </c>
      <c r="E6148" t="s">
        <v>2281</v>
      </c>
      <c r="F6148" t="s">
        <v>1247</v>
      </c>
      <c r="G6148" t="s">
        <v>1412</v>
      </c>
      <c r="H6148" t="s">
        <v>1413</v>
      </c>
      <c r="I6148" t="s">
        <v>1413</v>
      </c>
      <c r="J6148" t="s">
        <v>60</v>
      </c>
      <c r="K6148" t="s">
        <v>892</v>
      </c>
      <c r="L6148" t="s">
        <v>62</v>
      </c>
      <c r="M6148" t="s">
        <v>892</v>
      </c>
      <c r="N6148" t="s">
        <v>1414</v>
      </c>
      <c r="O6148" t="s">
        <v>293</v>
      </c>
      <c r="P6148">
        <v>-20.150780999999998</v>
      </c>
      <c r="Q6148">
        <v>-44.897972000000003</v>
      </c>
      <c r="R6148" s="2" t="str">
        <f>HYPERLINK("https://www.google.com/maps?q=-20.1507810,-44.8979720","Abrir no Google Maps")</f>
        <v>Abrir no Google Maps</v>
      </c>
      <c r="S6148">
        <v>3</v>
      </c>
      <c r="T6148">
        <v>306.36394634674508</v>
      </c>
      <c r="U6148">
        <v>3</v>
      </c>
      <c r="V6148">
        <v>6.0931899641576998E-2</v>
      </c>
      <c r="W6148">
        <v>0.85</v>
      </c>
      <c r="X6148">
        <v>5.1792114695340452E-2</v>
      </c>
      <c r="Y6148">
        <v>556</v>
      </c>
      <c r="Z6148">
        <v>233.85692443628571</v>
      </c>
      <c r="AA6148">
        <v>198</v>
      </c>
      <c r="AB6148">
        <v>332</v>
      </c>
      <c r="AC6148">
        <v>536</v>
      </c>
      <c r="AD6148">
        <v>26.22</v>
      </c>
      <c r="AE6148">
        <v>542</v>
      </c>
      <c r="AF6148">
        <v>11</v>
      </c>
      <c r="AG6148">
        <v>181</v>
      </c>
      <c r="AH6148">
        <v>129</v>
      </c>
      <c r="AI6148">
        <v>2.0299999999999998</v>
      </c>
      <c r="AJ6148">
        <v>33.39</v>
      </c>
      <c r="AK6148">
        <v>23.8</v>
      </c>
      <c r="AL6148">
        <v>-20.15074609999996</v>
      </c>
      <c r="AM6148">
        <v>-44.89795774234689</v>
      </c>
      <c r="AN6148">
        <v>-20.15074609999996</v>
      </c>
      <c r="AO6148">
        <v>-44.89795774234689</v>
      </c>
      <c r="AP6148">
        <v>-20.150780999999998</v>
      </c>
      <c r="AQ6148">
        <v>-44.897972000000003</v>
      </c>
      <c r="AR6148">
        <v>4.160995809097348</v>
      </c>
      <c r="AS6148" t="s">
        <v>65</v>
      </c>
      <c r="AT6148">
        <v>1</v>
      </c>
      <c r="AU6148" t="s">
        <v>1415</v>
      </c>
      <c r="AV6148" t="s">
        <v>1416</v>
      </c>
      <c r="AW6148" t="s">
        <v>60</v>
      </c>
      <c r="AX6148" t="s">
        <v>68</v>
      </c>
      <c r="AY6148" t="s">
        <v>69</v>
      </c>
      <c r="AZ6148" t="b">
        <v>1</v>
      </c>
    </row>
    <row r="6149" spans="1:52" x14ac:dyDescent="0.3">
      <c r="A6149" t="s">
        <v>52</v>
      </c>
      <c r="B6149" t="s">
        <v>53</v>
      </c>
      <c r="C6149" t="s">
        <v>54</v>
      </c>
      <c r="D6149" t="s">
        <v>55</v>
      </c>
      <c r="E6149" t="s">
        <v>2281</v>
      </c>
      <c r="F6149" t="s">
        <v>1247</v>
      </c>
      <c r="G6149" t="s">
        <v>1127</v>
      </c>
      <c r="H6149" t="s">
        <v>1449</v>
      </c>
      <c r="I6149" t="s">
        <v>1449</v>
      </c>
      <c r="J6149" t="s">
        <v>60</v>
      </c>
      <c r="K6149" t="s">
        <v>1450</v>
      </c>
      <c r="L6149" t="s">
        <v>62</v>
      </c>
      <c r="M6149" t="s">
        <v>1450</v>
      </c>
      <c r="N6149" t="s">
        <v>1451</v>
      </c>
      <c r="O6149" t="s">
        <v>1452</v>
      </c>
      <c r="P6149">
        <v>-20.152612000000001</v>
      </c>
      <c r="Q6149">
        <v>-44.897098</v>
      </c>
      <c r="R6149" s="2" t="str">
        <f>HYPERLINK("https://www.google.com/maps?q=-20.1526120,-44.8970980","Abrir no Google Maps")</f>
        <v>Abrir no Google Maps</v>
      </c>
      <c r="S6149">
        <v>3</v>
      </c>
      <c r="T6149">
        <v>418.6283592063233</v>
      </c>
      <c r="U6149">
        <v>3</v>
      </c>
      <c r="V6149">
        <v>4.3478260869565202E-2</v>
      </c>
      <c r="W6149">
        <v>0.85</v>
      </c>
      <c r="X6149">
        <v>3.6956521739130423E-2</v>
      </c>
      <c r="Y6149">
        <v>556</v>
      </c>
      <c r="Z6149">
        <v>387.16462225830952</v>
      </c>
      <c r="AA6149">
        <v>198</v>
      </c>
      <c r="AB6149">
        <v>332</v>
      </c>
      <c r="AC6149">
        <v>536</v>
      </c>
      <c r="AD6149">
        <v>26.22</v>
      </c>
      <c r="AE6149">
        <v>542</v>
      </c>
      <c r="AF6149">
        <v>11</v>
      </c>
      <c r="AG6149">
        <v>181</v>
      </c>
      <c r="AH6149">
        <v>129</v>
      </c>
      <c r="AI6149">
        <v>2.0299999999999998</v>
      </c>
      <c r="AJ6149">
        <v>33.39</v>
      </c>
      <c r="AK6149">
        <v>23.8</v>
      </c>
      <c r="AL6149">
        <v>-20.15253669999996</v>
      </c>
      <c r="AM6149">
        <v>-44.897068126936119</v>
      </c>
      <c r="AN6149">
        <v>-20.15253669999996</v>
      </c>
      <c r="AO6149">
        <v>-44.897068126936119</v>
      </c>
      <c r="AP6149">
        <v>-20.152612000000001</v>
      </c>
      <c r="AQ6149">
        <v>-44.897098</v>
      </c>
      <c r="AR6149">
        <v>8.9448699164987104</v>
      </c>
      <c r="AS6149" t="s">
        <v>65</v>
      </c>
      <c r="AT6149">
        <v>1</v>
      </c>
      <c r="AU6149" t="s">
        <v>1453</v>
      </c>
      <c r="AV6149" t="s">
        <v>1454</v>
      </c>
      <c r="AW6149" t="s">
        <v>60</v>
      </c>
      <c r="AX6149" t="s">
        <v>68</v>
      </c>
      <c r="AY6149" t="s">
        <v>69</v>
      </c>
      <c r="AZ6149" t="b">
        <v>1</v>
      </c>
    </row>
    <row r="6150" spans="1:52" x14ac:dyDescent="0.3">
      <c r="A6150" t="s">
        <v>52</v>
      </c>
      <c r="B6150" t="s">
        <v>53</v>
      </c>
      <c r="C6150" t="s">
        <v>54</v>
      </c>
      <c r="D6150" t="s">
        <v>55</v>
      </c>
      <c r="E6150" t="s">
        <v>2281</v>
      </c>
      <c r="F6150" t="s">
        <v>1247</v>
      </c>
      <c r="G6150" t="s">
        <v>897</v>
      </c>
      <c r="H6150" t="s">
        <v>898</v>
      </c>
      <c r="I6150" t="s">
        <v>898</v>
      </c>
      <c r="J6150" t="s">
        <v>60</v>
      </c>
      <c r="K6150" t="s">
        <v>892</v>
      </c>
      <c r="L6150" t="s">
        <v>62</v>
      </c>
      <c r="M6150" t="s">
        <v>892</v>
      </c>
      <c r="N6150" t="s">
        <v>899</v>
      </c>
      <c r="O6150" t="s">
        <v>900</v>
      </c>
      <c r="P6150">
        <v>-20.154885</v>
      </c>
      <c r="Q6150">
        <v>-44.899890999999997</v>
      </c>
      <c r="R6150" s="2" t="str">
        <f>HYPERLINK("https://www.google.com/maps?q=-20.1548850,-44.8998910","Abrir no Google Maps")</f>
        <v>Abrir no Google Maps</v>
      </c>
      <c r="S6150">
        <v>3</v>
      </c>
      <c r="T6150">
        <v>314.66339661014308</v>
      </c>
      <c r="U6150">
        <v>3</v>
      </c>
      <c r="V6150">
        <v>3.9617486338797803E-2</v>
      </c>
      <c r="W6150">
        <v>1</v>
      </c>
      <c r="X6150">
        <v>3.9617486338797803E-2</v>
      </c>
      <c r="Y6150">
        <v>548</v>
      </c>
      <c r="Z6150">
        <v>319.02252584834253</v>
      </c>
      <c r="AA6150">
        <v>198</v>
      </c>
      <c r="AB6150">
        <v>332</v>
      </c>
      <c r="AC6150">
        <v>536</v>
      </c>
      <c r="AD6150">
        <v>26.22</v>
      </c>
      <c r="AE6150">
        <v>542</v>
      </c>
      <c r="AF6150">
        <v>11</v>
      </c>
      <c r="AG6150">
        <v>181</v>
      </c>
      <c r="AH6150">
        <v>129</v>
      </c>
      <c r="AI6150">
        <v>2.0299999999999998</v>
      </c>
      <c r="AJ6150">
        <v>33.39</v>
      </c>
      <c r="AK6150">
        <v>23.8</v>
      </c>
      <c r="AL6150">
        <v>-20.154906649999951</v>
      </c>
      <c r="AM6150">
        <v>-44.899894072543653</v>
      </c>
      <c r="AN6150">
        <v>-20.154906649999951</v>
      </c>
      <c r="AO6150">
        <v>-44.899894072543653</v>
      </c>
      <c r="AP6150">
        <v>-20.154885</v>
      </c>
      <c r="AQ6150">
        <v>-44.899890999999997</v>
      </c>
      <c r="AR6150">
        <v>2.431373123904943</v>
      </c>
      <c r="AS6150" t="s">
        <v>65</v>
      </c>
      <c r="AT6150">
        <v>1</v>
      </c>
      <c r="AU6150" t="s">
        <v>901</v>
      </c>
      <c r="AV6150" t="s">
        <v>902</v>
      </c>
      <c r="AW6150" t="s">
        <v>60</v>
      </c>
      <c r="AX6150" t="s">
        <v>68</v>
      </c>
      <c r="AY6150" t="s">
        <v>69</v>
      </c>
      <c r="AZ6150" t="b">
        <v>1</v>
      </c>
    </row>
    <row r="6151" spans="1:52" x14ac:dyDescent="0.3">
      <c r="A6151" t="s">
        <v>52</v>
      </c>
      <c r="B6151" t="s">
        <v>53</v>
      </c>
      <c r="C6151" t="s">
        <v>54</v>
      </c>
      <c r="D6151" t="s">
        <v>55</v>
      </c>
      <c r="E6151" t="s">
        <v>2281</v>
      </c>
      <c r="F6151" t="s">
        <v>1247</v>
      </c>
      <c r="G6151" t="s">
        <v>1312</v>
      </c>
      <c r="H6151" t="s">
        <v>1313</v>
      </c>
      <c r="I6151" t="s">
        <v>1313</v>
      </c>
      <c r="J6151" t="s">
        <v>60</v>
      </c>
      <c r="K6151" t="s">
        <v>1314</v>
      </c>
      <c r="L6151" t="s">
        <v>62</v>
      </c>
      <c r="M6151" t="s">
        <v>1314</v>
      </c>
      <c r="N6151" t="s">
        <v>1315</v>
      </c>
      <c r="O6151" t="s">
        <v>315</v>
      </c>
      <c r="P6151">
        <v>-20.179649999999999</v>
      </c>
      <c r="Q6151">
        <v>-44.927177</v>
      </c>
      <c r="R6151" s="2" t="str">
        <f>HYPERLINK("https://www.google.com/maps?q=-20.1796500,-44.9271770","Abrir no Google Maps")</f>
        <v>Abrir no Google Maps</v>
      </c>
      <c r="S6151">
        <v>3</v>
      </c>
      <c r="T6151">
        <v>1742.181438658615</v>
      </c>
      <c r="U6151">
        <v>2</v>
      </c>
      <c r="V6151">
        <v>2.2831050228310501E-2</v>
      </c>
      <c r="W6151">
        <v>0.85</v>
      </c>
      <c r="X6151">
        <v>1.9406392694063929E-2</v>
      </c>
      <c r="Y6151">
        <v>723</v>
      </c>
      <c r="Z6151">
        <v>1801.262037027635</v>
      </c>
      <c r="AA6151">
        <v>198</v>
      </c>
      <c r="AB6151">
        <v>332</v>
      </c>
      <c r="AC6151">
        <v>536</v>
      </c>
      <c r="AD6151">
        <v>26.22</v>
      </c>
      <c r="AE6151">
        <v>542</v>
      </c>
      <c r="AF6151">
        <v>11</v>
      </c>
      <c r="AG6151">
        <v>181</v>
      </c>
      <c r="AH6151">
        <v>129</v>
      </c>
      <c r="AI6151">
        <v>2.0299999999999998</v>
      </c>
      <c r="AJ6151">
        <v>33.39</v>
      </c>
      <c r="AK6151">
        <v>23.8</v>
      </c>
      <c r="AL6151">
        <v>-20.18058599999998</v>
      </c>
      <c r="AM6151">
        <v>-44.926708474999977</v>
      </c>
      <c r="AN6151">
        <v>-20.18058599999998</v>
      </c>
      <c r="AO6151">
        <v>-44.926708474999977</v>
      </c>
      <c r="AP6151">
        <v>-20.179649999999999</v>
      </c>
      <c r="AQ6151">
        <v>-44.927177</v>
      </c>
      <c r="AR6151">
        <v>115.1226868075416</v>
      </c>
      <c r="AS6151" t="s">
        <v>65</v>
      </c>
      <c r="AT6151">
        <v>1</v>
      </c>
      <c r="AU6151" t="s">
        <v>1316</v>
      </c>
      <c r="AV6151" t="s">
        <v>1317</v>
      </c>
      <c r="AW6151" t="s">
        <v>60</v>
      </c>
      <c r="AX6151" t="s">
        <v>68</v>
      </c>
      <c r="AY6151" t="s">
        <v>69</v>
      </c>
      <c r="AZ6151" t="b">
        <v>1</v>
      </c>
    </row>
    <row r="6152" spans="1:52" x14ac:dyDescent="0.3">
      <c r="A6152" t="s">
        <v>52</v>
      </c>
      <c r="B6152" t="s">
        <v>53</v>
      </c>
      <c r="C6152" t="s">
        <v>54</v>
      </c>
      <c r="D6152" t="s">
        <v>55</v>
      </c>
      <c r="E6152" t="s">
        <v>2281</v>
      </c>
      <c r="F6152" t="s">
        <v>1247</v>
      </c>
      <c r="G6152" t="s">
        <v>1318</v>
      </c>
      <c r="H6152" t="s">
        <v>1319</v>
      </c>
      <c r="I6152" t="s">
        <v>1319</v>
      </c>
      <c r="J6152" t="s">
        <v>60</v>
      </c>
      <c r="K6152" t="s">
        <v>1314</v>
      </c>
      <c r="L6152" t="s">
        <v>62</v>
      </c>
      <c r="M6152" t="s">
        <v>1314</v>
      </c>
      <c r="N6152" t="s">
        <v>1320</v>
      </c>
      <c r="O6152" t="s">
        <v>1321</v>
      </c>
      <c r="P6152">
        <v>-20.178615000000001</v>
      </c>
      <c r="Q6152">
        <v>-44.924697999999999</v>
      </c>
      <c r="R6152" s="2" t="str">
        <f>HYPERLINK("https://www.google.com/maps?q=-20.1786150,-44.9246980","Abrir no Google Maps")</f>
        <v>Abrir no Google Maps</v>
      </c>
      <c r="S6152">
        <v>3</v>
      </c>
      <c r="T6152">
        <v>1583.462557226148</v>
      </c>
      <c r="U6152">
        <v>2</v>
      </c>
      <c r="V6152">
        <v>1.2012012012012E-2</v>
      </c>
      <c r="W6152">
        <v>0.85</v>
      </c>
      <c r="X6152">
        <v>1.0210210210210201E-2</v>
      </c>
      <c r="Y6152">
        <v>723</v>
      </c>
      <c r="Z6152">
        <v>1414.1542726995031</v>
      </c>
      <c r="AA6152">
        <v>198</v>
      </c>
      <c r="AB6152">
        <v>332</v>
      </c>
      <c r="AC6152">
        <v>536</v>
      </c>
      <c r="AD6152">
        <v>26.22</v>
      </c>
      <c r="AE6152">
        <v>542</v>
      </c>
      <c r="AF6152">
        <v>11</v>
      </c>
      <c r="AG6152">
        <v>181</v>
      </c>
      <c r="AH6152">
        <v>129</v>
      </c>
      <c r="AI6152">
        <v>2.0299999999999998</v>
      </c>
      <c r="AJ6152">
        <v>33.39</v>
      </c>
      <c r="AK6152">
        <v>23.8</v>
      </c>
      <c r="AL6152">
        <v>-20.17821329999995</v>
      </c>
      <c r="AM6152">
        <v>-44.924188563452951</v>
      </c>
      <c r="AN6152">
        <v>-20.17821329999995</v>
      </c>
      <c r="AO6152">
        <v>-44.924188563452951</v>
      </c>
      <c r="AP6152">
        <v>-20.178615000000001</v>
      </c>
      <c r="AQ6152">
        <v>-44.924697999999999</v>
      </c>
      <c r="AR6152">
        <v>69.520116290580319</v>
      </c>
      <c r="AS6152" t="s">
        <v>65</v>
      </c>
      <c r="AT6152">
        <v>1</v>
      </c>
      <c r="AU6152" t="s">
        <v>1322</v>
      </c>
      <c r="AV6152" t="s">
        <v>1317</v>
      </c>
      <c r="AW6152" t="s">
        <v>60</v>
      </c>
      <c r="AX6152" t="s">
        <v>68</v>
      </c>
      <c r="AY6152" t="s">
        <v>69</v>
      </c>
      <c r="AZ6152" t="b">
        <v>1</v>
      </c>
    </row>
    <row r="6153" spans="1:52" x14ac:dyDescent="0.3">
      <c r="A6153" t="s">
        <v>52</v>
      </c>
      <c r="B6153" t="s">
        <v>53</v>
      </c>
      <c r="C6153" t="s">
        <v>54</v>
      </c>
      <c r="D6153" t="s">
        <v>55</v>
      </c>
      <c r="E6153" t="s">
        <v>2281</v>
      </c>
      <c r="F6153" t="s">
        <v>1247</v>
      </c>
      <c r="G6153" t="s">
        <v>1376</v>
      </c>
      <c r="H6153" t="s">
        <v>1377</v>
      </c>
      <c r="I6153" t="s">
        <v>1377</v>
      </c>
      <c r="J6153" t="s">
        <v>60</v>
      </c>
      <c r="K6153" t="s">
        <v>475</v>
      </c>
      <c r="L6153" t="s">
        <v>62</v>
      </c>
      <c r="M6153" t="s">
        <v>475</v>
      </c>
      <c r="N6153" t="s">
        <v>1378</v>
      </c>
      <c r="O6153" t="s">
        <v>1379</v>
      </c>
      <c r="P6153">
        <v>-20.175298000000002</v>
      </c>
      <c r="Q6153">
        <v>-44.904794000000003</v>
      </c>
      <c r="R6153" s="2" t="str">
        <f>HYPERLINK("https://www.google.com/maps?q=-20.1752980,-44.9047940","Abrir no Google Maps")</f>
        <v>Abrir no Google Maps</v>
      </c>
      <c r="S6153">
        <v>3</v>
      </c>
      <c r="T6153">
        <v>497.7557906927301</v>
      </c>
      <c r="U6153">
        <v>2</v>
      </c>
      <c r="V6153">
        <v>1.8087855297157601E-2</v>
      </c>
      <c r="W6153">
        <v>0.85</v>
      </c>
      <c r="X6153">
        <v>1.5374677002583961E-2</v>
      </c>
      <c r="Y6153">
        <v>578</v>
      </c>
      <c r="Z6153">
        <v>363.80816567363502</v>
      </c>
      <c r="AA6153">
        <v>198</v>
      </c>
      <c r="AB6153">
        <v>332</v>
      </c>
      <c r="AC6153">
        <v>536</v>
      </c>
      <c r="AD6153">
        <v>26.22</v>
      </c>
      <c r="AE6153">
        <v>542</v>
      </c>
      <c r="AF6153">
        <v>11</v>
      </c>
      <c r="AG6153">
        <v>181</v>
      </c>
      <c r="AH6153">
        <v>129</v>
      </c>
      <c r="AI6153">
        <v>2.0299999999999998</v>
      </c>
      <c r="AJ6153">
        <v>33.39</v>
      </c>
      <c r="AK6153">
        <v>23.8</v>
      </c>
      <c r="AL6153">
        <v>-20.17530484999995</v>
      </c>
      <c r="AM6153">
        <v>-44.904834224351781</v>
      </c>
      <c r="AN6153">
        <v>-20.17530484999995</v>
      </c>
      <c r="AO6153">
        <v>-44.904834224351781</v>
      </c>
      <c r="AP6153">
        <v>-20.175298000000002</v>
      </c>
      <c r="AQ6153">
        <v>-44.904794000000003</v>
      </c>
      <c r="AR6153">
        <v>4.2716392411563806</v>
      </c>
      <c r="AS6153" t="s">
        <v>65</v>
      </c>
      <c r="AT6153">
        <v>1</v>
      </c>
      <c r="AU6153" t="s">
        <v>1380</v>
      </c>
      <c r="AV6153" t="s">
        <v>1381</v>
      </c>
      <c r="AW6153" t="s">
        <v>60</v>
      </c>
      <c r="AX6153" t="s">
        <v>68</v>
      </c>
      <c r="AY6153" t="s">
        <v>69</v>
      </c>
      <c r="AZ6153" t="b">
        <v>1</v>
      </c>
    </row>
    <row r="6154" spans="1:52" x14ac:dyDescent="0.3">
      <c r="A6154" t="s">
        <v>52</v>
      </c>
      <c r="B6154" t="s">
        <v>53</v>
      </c>
      <c r="C6154" t="s">
        <v>54</v>
      </c>
      <c r="D6154" t="s">
        <v>55</v>
      </c>
      <c r="E6154" t="s">
        <v>2281</v>
      </c>
      <c r="F6154" t="s">
        <v>1247</v>
      </c>
      <c r="G6154" t="s">
        <v>870</v>
      </c>
      <c r="H6154" t="s">
        <v>871</v>
      </c>
      <c r="I6154" t="s">
        <v>871</v>
      </c>
      <c r="J6154" t="s">
        <v>60</v>
      </c>
      <c r="K6154" t="s">
        <v>475</v>
      </c>
      <c r="L6154" t="s">
        <v>62</v>
      </c>
      <c r="M6154" t="s">
        <v>475</v>
      </c>
      <c r="N6154" t="s">
        <v>872</v>
      </c>
      <c r="O6154" t="s">
        <v>507</v>
      </c>
      <c r="P6154">
        <v>-20.176269999999999</v>
      </c>
      <c r="Q6154">
        <v>-44.909323999999998</v>
      </c>
      <c r="R6154" s="2" t="str">
        <f>HYPERLINK("https://www.google.com/maps?q=-20.1762700,-44.9093240","Abrir no Google Maps")</f>
        <v>Abrir no Google Maps</v>
      </c>
      <c r="S6154">
        <v>3</v>
      </c>
      <c r="T6154">
        <v>472.42731136821368</v>
      </c>
      <c r="U6154">
        <v>2</v>
      </c>
      <c r="V6154">
        <v>8.8888888888888004E-3</v>
      </c>
      <c r="W6154">
        <v>1</v>
      </c>
      <c r="X6154">
        <v>8.8888888888888004E-3</v>
      </c>
      <c r="Y6154">
        <v>578</v>
      </c>
      <c r="Z6154">
        <v>495.19726726344601</v>
      </c>
      <c r="AA6154">
        <v>198</v>
      </c>
      <c r="AB6154">
        <v>332</v>
      </c>
      <c r="AC6154">
        <v>536</v>
      </c>
      <c r="AD6154">
        <v>26.22</v>
      </c>
      <c r="AE6154">
        <v>542</v>
      </c>
      <c r="AF6154">
        <v>11</v>
      </c>
      <c r="AG6154">
        <v>181</v>
      </c>
      <c r="AH6154">
        <v>129</v>
      </c>
      <c r="AI6154">
        <v>2.0299999999999998</v>
      </c>
      <c r="AJ6154">
        <v>33.39</v>
      </c>
      <c r="AK6154">
        <v>23.8</v>
      </c>
      <c r="AL6154">
        <v>-20.17630284999996</v>
      </c>
      <c r="AM6154">
        <v>-44.909199064318948</v>
      </c>
      <c r="AN6154">
        <v>-20.17630284999996</v>
      </c>
      <c r="AO6154">
        <v>-44.909199064318948</v>
      </c>
      <c r="AP6154">
        <v>-20.176269999999999</v>
      </c>
      <c r="AQ6154">
        <v>-44.909323999999998</v>
      </c>
      <c r="AR6154">
        <v>13.55691308737447</v>
      </c>
      <c r="AS6154" t="s">
        <v>65</v>
      </c>
      <c r="AT6154">
        <v>1</v>
      </c>
      <c r="AU6154" t="s">
        <v>873</v>
      </c>
      <c r="AV6154" t="s">
        <v>874</v>
      </c>
      <c r="AW6154" t="s">
        <v>60</v>
      </c>
      <c r="AX6154" t="s">
        <v>68</v>
      </c>
      <c r="AY6154" t="s">
        <v>69</v>
      </c>
      <c r="AZ6154" t="b">
        <v>1</v>
      </c>
    </row>
    <row r="6155" spans="1:52" x14ac:dyDescent="0.3">
      <c r="A6155" t="s">
        <v>52</v>
      </c>
      <c r="B6155" t="s">
        <v>53</v>
      </c>
      <c r="C6155" t="s">
        <v>54</v>
      </c>
      <c r="D6155" t="s">
        <v>55</v>
      </c>
      <c r="E6155" t="s">
        <v>2281</v>
      </c>
      <c r="F6155" t="s">
        <v>1247</v>
      </c>
      <c r="G6155" t="s">
        <v>1382</v>
      </c>
      <c r="H6155" t="s">
        <v>1383</v>
      </c>
      <c r="I6155" t="s">
        <v>1383</v>
      </c>
      <c r="J6155" t="s">
        <v>60</v>
      </c>
      <c r="K6155" t="s">
        <v>1384</v>
      </c>
      <c r="L6155" t="s">
        <v>62</v>
      </c>
      <c r="M6155" t="s">
        <v>1384</v>
      </c>
      <c r="N6155" t="s">
        <v>1385</v>
      </c>
      <c r="O6155" t="s">
        <v>1379</v>
      </c>
      <c r="P6155">
        <v>-20.168914999999998</v>
      </c>
      <c r="Q6155">
        <v>-44.897015000000003</v>
      </c>
      <c r="R6155" s="2" t="str">
        <f>HYPERLINK("https://www.google.com/maps?q=-20.1689150,-44.8970150","Abrir no Google Maps")</f>
        <v>Abrir no Google Maps</v>
      </c>
      <c r="S6155">
        <v>3</v>
      </c>
      <c r="T6155">
        <v>1082.4313448281291</v>
      </c>
      <c r="U6155">
        <v>2</v>
      </c>
      <c r="V6155">
        <v>2.41545893719806E-2</v>
      </c>
      <c r="W6155">
        <v>0.85</v>
      </c>
      <c r="X6155">
        <v>2.053140096618351E-2</v>
      </c>
      <c r="Y6155">
        <v>578</v>
      </c>
      <c r="Z6155">
        <v>1085.6751638476369</v>
      </c>
      <c r="AA6155">
        <v>198</v>
      </c>
      <c r="AB6155">
        <v>332</v>
      </c>
      <c r="AC6155">
        <v>536</v>
      </c>
      <c r="AD6155">
        <v>26.22</v>
      </c>
      <c r="AE6155">
        <v>542</v>
      </c>
      <c r="AF6155">
        <v>11</v>
      </c>
      <c r="AG6155">
        <v>181</v>
      </c>
      <c r="AH6155">
        <v>129</v>
      </c>
      <c r="AI6155">
        <v>2.0299999999999998</v>
      </c>
      <c r="AJ6155">
        <v>33.39</v>
      </c>
      <c r="AK6155">
        <v>23.8</v>
      </c>
      <c r="AL6155">
        <v>-20.168195549999979</v>
      </c>
      <c r="AM6155">
        <v>-44.895555997240763</v>
      </c>
      <c r="AN6155">
        <v>-20.168195549999979</v>
      </c>
      <c r="AO6155">
        <v>-44.895555997240763</v>
      </c>
      <c r="AP6155">
        <v>-20.168914999999998</v>
      </c>
      <c r="AQ6155">
        <v>-44.897015000000003</v>
      </c>
      <c r="AR6155">
        <v>172.21377736735809</v>
      </c>
      <c r="AS6155" t="s">
        <v>65</v>
      </c>
      <c r="AT6155">
        <v>1</v>
      </c>
      <c r="AU6155" t="s">
        <v>1386</v>
      </c>
      <c r="AV6155" t="s">
        <v>1387</v>
      </c>
      <c r="AW6155" t="s">
        <v>60</v>
      </c>
      <c r="AX6155" t="s">
        <v>68</v>
      </c>
      <c r="AY6155" t="s">
        <v>69</v>
      </c>
      <c r="AZ6155" t="b">
        <v>1</v>
      </c>
    </row>
    <row r="6156" spans="1:52" x14ac:dyDescent="0.3">
      <c r="A6156" t="s">
        <v>52</v>
      </c>
      <c r="B6156" t="s">
        <v>53</v>
      </c>
      <c r="C6156" t="s">
        <v>54</v>
      </c>
      <c r="D6156" t="s">
        <v>55</v>
      </c>
      <c r="E6156" t="s">
        <v>2281</v>
      </c>
      <c r="F6156" t="s">
        <v>1247</v>
      </c>
      <c r="G6156" t="s">
        <v>473</v>
      </c>
      <c r="H6156" t="s">
        <v>474</v>
      </c>
      <c r="I6156" t="s">
        <v>474</v>
      </c>
      <c r="J6156" t="s">
        <v>60</v>
      </c>
      <c r="K6156" t="s">
        <v>475</v>
      </c>
      <c r="L6156" t="s">
        <v>62</v>
      </c>
      <c r="M6156" t="s">
        <v>475</v>
      </c>
      <c r="N6156" t="s">
        <v>406</v>
      </c>
      <c r="O6156" t="s">
        <v>476</v>
      </c>
      <c r="P6156">
        <v>-20.177902</v>
      </c>
      <c r="Q6156">
        <v>-44.908504000000001</v>
      </c>
      <c r="R6156" s="2" t="str">
        <f>HYPERLINK("https://www.google.com/maps?q=-20.1779020,-44.9085040","Abrir no Google Maps")</f>
        <v>Abrir no Google Maps</v>
      </c>
      <c r="S6156">
        <v>3</v>
      </c>
      <c r="T6156">
        <v>656.92307673247149</v>
      </c>
      <c r="U6156">
        <v>2</v>
      </c>
      <c r="V6156">
        <v>2.1558872305140898E-2</v>
      </c>
      <c r="W6156">
        <v>1</v>
      </c>
      <c r="X6156">
        <v>2.1558872305140898E-2</v>
      </c>
      <c r="Y6156">
        <v>578</v>
      </c>
      <c r="Z6156">
        <v>635.01982153722327</v>
      </c>
      <c r="AA6156">
        <v>198</v>
      </c>
      <c r="AB6156">
        <v>332</v>
      </c>
      <c r="AC6156">
        <v>536</v>
      </c>
      <c r="AD6156">
        <v>26.22</v>
      </c>
      <c r="AE6156">
        <v>542</v>
      </c>
      <c r="AF6156">
        <v>11</v>
      </c>
      <c r="AG6156">
        <v>181</v>
      </c>
      <c r="AH6156">
        <v>129</v>
      </c>
      <c r="AI6156">
        <v>2.0299999999999998</v>
      </c>
      <c r="AJ6156">
        <v>33.39</v>
      </c>
      <c r="AK6156">
        <v>23.8</v>
      </c>
      <c r="AL6156">
        <v>-20.177800399999938</v>
      </c>
      <c r="AM6156">
        <v>-44.908361879701268</v>
      </c>
      <c r="AN6156">
        <v>-20.177800399999938</v>
      </c>
      <c r="AO6156">
        <v>-44.908361879701268</v>
      </c>
      <c r="AP6156">
        <v>-20.177902</v>
      </c>
      <c r="AQ6156">
        <v>-44.908504000000001</v>
      </c>
      <c r="AR6156">
        <v>18.666463141775541</v>
      </c>
      <c r="AS6156" t="s">
        <v>65</v>
      </c>
      <c r="AT6156">
        <v>1</v>
      </c>
      <c r="AU6156" t="s">
        <v>477</v>
      </c>
      <c r="AV6156" t="s">
        <v>478</v>
      </c>
      <c r="AW6156" t="s">
        <v>60</v>
      </c>
      <c r="AX6156" t="s">
        <v>68</v>
      </c>
      <c r="AY6156" t="s">
        <v>69</v>
      </c>
      <c r="AZ6156" t="b">
        <v>1</v>
      </c>
    </row>
    <row r="6157" spans="1:52" x14ac:dyDescent="0.3">
      <c r="A6157" t="s">
        <v>52</v>
      </c>
      <c r="B6157" t="s">
        <v>53</v>
      </c>
      <c r="C6157" t="s">
        <v>54</v>
      </c>
      <c r="D6157" t="s">
        <v>55</v>
      </c>
      <c r="E6157" t="s">
        <v>2281</v>
      </c>
      <c r="F6157" t="s">
        <v>1247</v>
      </c>
      <c r="G6157" t="s">
        <v>497</v>
      </c>
      <c r="H6157" t="s">
        <v>875</v>
      </c>
      <c r="I6157" t="s">
        <v>875</v>
      </c>
      <c r="J6157" t="s">
        <v>60</v>
      </c>
      <c r="K6157" t="s">
        <v>475</v>
      </c>
      <c r="L6157" t="s">
        <v>62</v>
      </c>
      <c r="M6157" t="s">
        <v>475</v>
      </c>
      <c r="N6157" t="s">
        <v>499</v>
      </c>
      <c r="O6157" t="s">
        <v>876</v>
      </c>
      <c r="P6157">
        <v>-20.177212999999998</v>
      </c>
      <c r="Q6157">
        <v>-44.904026999999999</v>
      </c>
      <c r="R6157" s="2" t="str">
        <f>HYPERLINK("https://www.google.com/maps?q=-20.1772130,-44.9040270","Abrir no Google Maps")</f>
        <v>Abrir no Google Maps</v>
      </c>
      <c r="S6157">
        <v>3</v>
      </c>
      <c r="T6157">
        <v>706.4159561113795</v>
      </c>
      <c r="U6157">
        <v>2</v>
      </c>
      <c r="V6157">
        <v>1.3972055888223501E-2</v>
      </c>
      <c r="W6157">
        <v>1</v>
      </c>
      <c r="X6157">
        <v>1.3972055888223501E-2</v>
      </c>
      <c r="Y6157">
        <v>578</v>
      </c>
      <c r="Z6157">
        <v>588.7160518608398</v>
      </c>
      <c r="AA6157">
        <v>198</v>
      </c>
      <c r="AB6157">
        <v>332</v>
      </c>
      <c r="AC6157">
        <v>536</v>
      </c>
      <c r="AD6157">
        <v>26.22</v>
      </c>
      <c r="AE6157">
        <v>542</v>
      </c>
      <c r="AF6157">
        <v>11</v>
      </c>
      <c r="AG6157">
        <v>181</v>
      </c>
      <c r="AH6157">
        <v>129</v>
      </c>
      <c r="AI6157">
        <v>2.0299999999999998</v>
      </c>
      <c r="AJ6157">
        <v>33.39</v>
      </c>
      <c r="AK6157">
        <v>23.8</v>
      </c>
      <c r="AL6157">
        <v>-20.177090199999949</v>
      </c>
      <c r="AM6157">
        <v>-44.904078820930181</v>
      </c>
      <c r="AN6157">
        <v>-20.177090199999949</v>
      </c>
      <c r="AO6157">
        <v>-44.904078820930181</v>
      </c>
      <c r="AP6157">
        <v>-20.177212999999998</v>
      </c>
      <c r="AQ6157">
        <v>-44.904026999999999</v>
      </c>
      <c r="AR6157">
        <v>14.7034129632295</v>
      </c>
      <c r="AS6157" t="s">
        <v>65</v>
      </c>
      <c r="AT6157">
        <v>1</v>
      </c>
      <c r="AU6157" t="s">
        <v>877</v>
      </c>
      <c r="AV6157" t="s">
        <v>878</v>
      </c>
      <c r="AW6157" t="s">
        <v>60</v>
      </c>
      <c r="AX6157" t="s">
        <v>68</v>
      </c>
      <c r="AY6157" t="s">
        <v>69</v>
      </c>
      <c r="AZ6157" t="b">
        <v>1</v>
      </c>
    </row>
    <row r="6158" spans="1:52" x14ac:dyDescent="0.3">
      <c r="A6158" t="s">
        <v>52</v>
      </c>
      <c r="B6158" t="s">
        <v>53</v>
      </c>
      <c r="C6158" t="s">
        <v>54</v>
      </c>
      <c r="D6158" t="s">
        <v>55</v>
      </c>
      <c r="E6158" t="s">
        <v>2281</v>
      </c>
      <c r="F6158" t="s">
        <v>1247</v>
      </c>
      <c r="G6158" t="s">
        <v>1399</v>
      </c>
      <c r="H6158" t="s">
        <v>1400</v>
      </c>
      <c r="I6158" t="s">
        <v>1400</v>
      </c>
      <c r="J6158" t="s">
        <v>60</v>
      </c>
      <c r="K6158" t="s">
        <v>475</v>
      </c>
      <c r="L6158" t="s">
        <v>62</v>
      </c>
      <c r="M6158" t="s">
        <v>475</v>
      </c>
      <c r="N6158" t="s">
        <v>1401</v>
      </c>
      <c r="O6158" t="s">
        <v>1080</v>
      </c>
      <c r="P6158">
        <v>-20.178809000000001</v>
      </c>
      <c r="Q6158">
        <v>-44.900204000000002</v>
      </c>
      <c r="R6158" s="2" t="str">
        <f>HYPERLINK("https://www.google.com/maps?q=-20.1788090,-44.9002040","Abrir no Google Maps")</f>
        <v>Abrir no Google Maps</v>
      </c>
      <c r="S6158">
        <v>3</v>
      </c>
      <c r="T6158">
        <v>1015.86498565614</v>
      </c>
      <c r="U6158">
        <v>2</v>
      </c>
      <c r="V6158">
        <v>2.0997375328083899E-2</v>
      </c>
      <c r="W6158">
        <v>0.85</v>
      </c>
      <c r="X6158">
        <v>1.7847769028871311E-2</v>
      </c>
      <c r="Y6158">
        <v>578</v>
      </c>
      <c r="Z6158">
        <v>954.77111474428102</v>
      </c>
      <c r="AA6158">
        <v>198</v>
      </c>
      <c r="AB6158">
        <v>332</v>
      </c>
      <c r="AC6158">
        <v>536</v>
      </c>
      <c r="AD6158">
        <v>26.22</v>
      </c>
      <c r="AE6158">
        <v>542</v>
      </c>
      <c r="AF6158">
        <v>11</v>
      </c>
      <c r="AG6158">
        <v>181</v>
      </c>
      <c r="AH6158">
        <v>129</v>
      </c>
      <c r="AI6158">
        <v>2.0299999999999998</v>
      </c>
      <c r="AJ6158">
        <v>33.39</v>
      </c>
      <c r="AK6158">
        <v>23.8</v>
      </c>
      <c r="AL6158">
        <v>-20.178590099999951</v>
      </c>
      <c r="AM6158">
        <v>-44.90029029928732</v>
      </c>
      <c r="AN6158">
        <v>-20.178590099999951</v>
      </c>
      <c r="AO6158">
        <v>-44.90029029928732</v>
      </c>
      <c r="AP6158">
        <v>-20.178809000000001</v>
      </c>
      <c r="AQ6158">
        <v>-44.900204000000002</v>
      </c>
      <c r="AR6158">
        <v>25.982812999798391</v>
      </c>
      <c r="AS6158" t="s">
        <v>65</v>
      </c>
      <c r="AT6158">
        <v>1</v>
      </c>
      <c r="AU6158" t="s">
        <v>1402</v>
      </c>
      <c r="AV6158" t="s">
        <v>1403</v>
      </c>
      <c r="AW6158" t="s">
        <v>60</v>
      </c>
      <c r="AX6158" t="s">
        <v>68</v>
      </c>
      <c r="AY6158" t="s">
        <v>69</v>
      </c>
      <c r="AZ6158" t="b">
        <v>1</v>
      </c>
    </row>
    <row r="6159" spans="1:52" x14ac:dyDescent="0.3">
      <c r="A6159" t="s">
        <v>52</v>
      </c>
      <c r="B6159" t="s">
        <v>53</v>
      </c>
      <c r="C6159" t="s">
        <v>54</v>
      </c>
      <c r="D6159" t="s">
        <v>55</v>
      </c>
      <c r="E6159" t="s">
        <v>2281</v>
      </c>
      <c r="F6159" t="s">
        <v>1247</v>
      </c>
      <c r="G6159" t="s">
        <v>851</v>
      </c>
      <c r="H6159" t="s">
        <v>852</v>
      </c>
      <c r="I6159" t="s">
        <v>852</v>
      </c>
      <c r="J6159" t="s">
        <v>60</v>
      </c>
      <c r="K6159" t="s">
        <v>853</v>
      </c>
      <c r="L6159" t="s">
        <v>62</v>
      </c>
      <c r="M6159" t="s">
        <v>853</v>
      </c>
      <c r="N6159" t="s">
        <v>854</v>
      </c>
      <c r="O6159" t="s">
        <v>855</v>
      </c>
      <c r="P6159">
        <v>-20.127835000000001</v>
      </c>
      <c r="Q6159">
        <v>-44.909329</v>
      </c>
      <c r="R6159" s="2" t="str">
        <f>HYPERLINK("https://www.google.com/maps?q=-20.1278350,-44.9093290","Abrir no Google Maps")</f>
        <v>Abrir no Google Maps</v>
      </c>
      <c r="S6159">
        <v>3</v>
      </c>
      <c r="T6159">
        <v>1173.033690896357</v>
      </c>
      <c r="U6159">
        <v>1</v>
      </c>
      <c r="V6159">
        <v>0</v>
      </c>
      <c r="W6159">
        <v>1</v>
      </c>
      <c r="X6159">
        <v>0</v>
      </c>
      <c r="Y6159">
        <v>581</v>
      </c>
      <c r="Z6159">
        <v>1296.5011565926129</v>
      </c>
      <c r="AA6159">
        <v>198</v>
      </c>
      <c r="AB6159">
        <v>332</v>
      </c>
      <c r="AC6159">
        <v>536</v>
      </c>
      <c r="AD6159">
        <v>26.22</v>
      </c>
      <c r="AE6159">
        <v>542</v>
      </c>
      <c r="AF6159">
        <v>11</v>
      </c>
      <c r="AG6159">
        <v>181</v>
      </c>
      <c r="AH6159">
        <v>129</v>
      </c>
      <c r="AI6159">
        <v>2.0299999999999998</v>
      </c>
      <c r="AJ6159">
        <v>33.39</v>
      </c>
      <c r="AK6159">
        <v>23.8</v>
      </c>
      <c r="AL6159">
        <v>-20.127852899999969</v>
      </c>
      <c r="AM6159">
        <v>-44.909386667699948</v>
      </c>
      <c r="AN6159">
        <v>-20.127852899999969</v>
      </c>
      <c r="AO6159">
        <v>-44.909386667699948</v>
      </c>
      <c r="AP6159">
        <v>-20.127835000000001</v>
      </c>
      <c r="AQ6159">
        <v>-44.909329</v>
      </c>
      <c r="AR6159">
        <v>6.3483385067119924</v>
      </c>
      <c r="AS6159" t="s">
        <v>65</v>
      </c>
      <c r="AT6159">
        <v>1</v>
      </c>
      <c r="AU6159" t="s">
        <v>856</v>
      </c>
      <c r="AV6159" t="s">
        <v>857</v>
      </c>
      <c r="AW6159" t="s">
        <v>60</v>
      </c>
      <c r="AX6159" t="s">
        <v>68</v>
      </c>
      <c r="AY6159" t="s">
        <v>69</v>
      </c>
      <c r="AZ6159" t="b">
        <v>1</v>
      </c>
    </row>
    <row r="6160" spans="1:52" x14ac:dyDescent="0.3">
      <c r="A6160" t="s">
        <v>52</v>
      </c>
      <c r="B6160" t="s">
        <v>53</v>
      </c>
      <c r="C6160" t="s">
        <v>54</v>
      </c>
      <c r="D6160" t="s">
        <v>55</v>
      </c>
      <c r="E6160" t="s">
        <v>2281</v>
      </c>
      <c r="F6160" t="s">
        <v>1247</v>
      </c>
      <c r="G6160" t="s">
        <v>1424</v>
      </c>
      <c r="H6160" t="s">
        <v>1425</v>
      </c>
      <c r="I6160" t="s">
        <v>1425</v>
      </c>
      <c r="J6160" t="s">
        <v>60</v>
      </c>
      <c r="K6160" t="s">
        <v>1324</v>
      </c>
      <c r="L6160" t="s">
        <v>62</v>
      </c>
      <c r="M6160" t="s">
        <v>1324</v>
      </c>
      <c r="N6160" t="s">
        <v>1426</v>
      </c>
      <c r="O6160" t="s">
        <v>938</v>
      </c>
      <c r="P6160">
        <v>-20.172844999999999</v>
      </c>
      <c r="Q6160">
        <v>-44.909215000000003</v>
      </c>
      <c r="R6160" s="2" t="str">
        <f>HYPERLINK("https://www.google.com/maps?q=-20.1728450,-44.9092150","Abrir no Google Maps")</f>
        <v>Abrir no Google Maps</v>
      </c>
      <c r="S6160">
        <v>3</v>
      </c>
      <c r="T6160">
        <v>0</v>
      </c>
      <c r="U6160">
        <v>1</v>
      </c>
      <c r="V6160">
        <v>0</v>
      </c>
      <c r="W6160">
        <v>0.85</v>
      </c>
      <c r="X6160">
        <v>0</v>
      </c>
      <c r="Y6160">
        <v>578</v>
      </c>
      <c r="Z6160">
        <v>365.56549317689053</v>
      </c>
      <c r="AA6160">
        <v>198</v>
      </c>
      <c r="AB6160">
        <v>332</v>
      </c>
      <c r="AC6160">
        <v>536</v>
      </c>
      <c r="AD6160">
        <v>26.22</v>
      </c>
      <c r="AE6160">
        <v>542</v>
      </c>
      <c r="AF6160">
        <v>11</v>
      </c>
      <c r="AG6160">
        <v>181</v>
      </c>
      <c r="AH6160">
        <v>129</v>
      </c>
      <c r="AI6160">
        <v>2.0299999999999998</v>
      </c>
      <c r="AJ6160">
        <v>33.39</v>
      </c>
      <c r="AK6160">
        <v>23.8</v>
      </c>
      <c r="AL6160">
        <v>-20.172197349999941</v>
      </c>
      <c r="AM6160">
        <v>-44.910438675762883</v>
      </c>
      <c r="AN6160">
        <v>-20.172197349999941</v>
      </c>
      <c r="AO6160">
        <v>-44.910438675762883</v>
      </c>
      <c r="AP6160">
        <v>-20.172844999999999</v>
      </c>
      <c r="AQ6160">
        <v>-44.909215000000003</v>
      </c>
      <c r="AR6160">
        <v>146.78922919749749</v>
      </c>
      <c r="AS6160" t="s">
        <v>65</v>
      </c>
      <c r="AT6160">
        <v>1</v>
      </c>
      <c r="AU6160" t="s">
        <v>1427</v>
      </c>
      <c r="AV6160" t="s">
        <v>1428</v>
      </c>
      <c r="AW6160" t="s">
        <v>60</v>
      </c>
      <c r="AX6160" t="s">
        <v>68</v>
      </c>
      <c r="AY6160" t="s">
        <v>69</v>
      </c>
      <c r="AZ6160" t="b">
        <v>1</v>
      </c>
    </row>
    <row r="6161" spans="1:52" x14ac:dyDescent="0.3">
      <c r="A6161" t="s">
        <v>52</v>
      </c>
      <c r="B6161" t="s">
        <v>53</v>
      </c>
      <c r="C6161" t="s">
        <v>54</v>
      </c>
      <c r="D6161" t="s">
        <v>55</v>
      </c>
      <c r="E6161" t="s">
        <v>2281</v>
      </c>
      <c r="F6161" t="s">
        <v>1247</v>
      </c>
      <c r="G6161" t="s">
        <v>1435</v>
      </c>
      <c r="H6161" t="s">
        <v>1436</v>
      </c>
      <c r="I6161" t="s">
        <v>1436</v>
      </c>
      <c r="J6161" t="s">
        <v>60</v>
      </c>
      <c r="K6161" t="s">
        <v>886</v>
      </c>
      <c r="L6161" t="s">
        <v>62</v>
      </c>
      <c r="M6161" t="s">
        <v>886</v>
      </c>
      <c r="N6161" t="s">
        <v>1437</v>
      </c>
      <c r="O6161" t="s">
        <v>1438</v>
      </c>
      <c r="P6161">
        <v>-20.131108000000001</v>
      </c>
      <c r="Q6161">
        <v>-44.893228000000001</v>
      </c>
      <c r="R6161" s="2" t="str">
        <f>HYPERLINK("https://www.google.com/maps?q=-20.1311080,-44.8932280","Abrir no Google Maps")</f>
        <v>Abrir no Google Maps</v>
      </c>
      <c r="S6161">
        <v>3</v>
      </c>
      <c r="T6161">
        <v>548.07497919430136</v>
      </c>
      <c r="U6161">
        <v>1</v>
      </c>
      <c r="V6161">
        <v>0</v>
      </c>
      <c r="W6161">
        <v>0.85</v>
      </c>
      <c r="X6161">
        <v>0</v>
      </c>
      <c r="Y6161">
        <v>564</v>
      </c>
      <c r="Z6161">
        <v>369.17139216388432</v>
      </c>
      <c r="AA6161">
        <v>198</v>
      </c>
      <c r="AB6161">
        <v>332</v>
      </c>
      <c r="AC6161">
        <v>536</v>
      </c>
      <c r="AD6161">
        <v>26.22</v>
      </c>
      <c r="AE6161">
        <v>542</v>
      </c>
      <c r="AF6161">
        <v>11</v>
      </c>
      <c r="AG6161">
        <v>181</v>
      </c>
      <c r="AH6161">
        <v>129</v>
      </c>
      <c r="AI6161">
        <v>2.0299999999999998</v>
      </c>
      <c r="AJ6161">
        <v>33.39</v>
      </c>
      <c r="AK6161">
        <v>23.8</v>
      </c>
      <c r="AL6161">
        <v>-20.13103294999997</v>
      </c>
      <c r="AM6161">
        <v>-44.89318457893738</v>
      </c>
      <c r="AN6161">
        <v>-20.13103294999997</v>
      </c>
      <c r="AO6161">
        <v>-44.89318457893738</v>
      </c>
      <c r="AP6161">
        <v>-20.131108000000001</v>
      </c>
      <c r="AQ6161">
        <v>-44.893228000000001</v>
      </c>
      <c r="AR6161">
        <v>9.5076426885244203</v>
      </c>
      <c r="AS6161" t="s">
        <v>65</v>
      </c>
      <c r="AT6161">
        <v>1</v>
      </c>
      <c r="AU6161" t="s">
        <v>1439</v>
      </c>
      <c r="AV6161" t="s">
        <v>1440</v>
      </c>
      <c r="AW6161" t="s">
        <v>60</v>
      </c>
      <c r="AX6161" t="s">
        <v>68</v>
      </c>
      <c r="AY6161" t="s">
        <v>69</v>
      </c>
      <c r="AZ6161" t="b">
        <v>1</v>
      </c>
    </row>
    <row r="6162" spans="1:52" x14ac:dyDescent="0.3">
      <c r="A6162" t="s">
        <v>52</v>
      </c>
      <c r="B6162" t="s">
        <v>53</v>
      </c>
      <c r="C6162" t="s">
        <v>54</v>
      </c>
      <c r="D6162" t="s">
        <v>55</v>
      </c>
      <c r="E6162" t="s">
        <v>2281</v>
      </c>
      <c r="F6162" t="s">
        <v>1247</v>
      </c>
      <c r="G6162" t="s">
        <v>1127</v>
      </c>
      <c r="H6162" t="s">
        <v>1455</v>
      </c>
      <c r="I6162" t="s">
        <v>1455</v>
      </c>
      <c r="J6162" t="s">
        <v>60</v>
      </c>
      <c r="K6162" t="s">
        <v>431</v>
      </c>
      <c r="L6162" t="s">
        <v>62</v>
      </c>
      <c r="M6162" t="s">
        <v>431</v>
      </c>
      <c r="N6162" t="s">
        <v>1456</v>
      </c>
      <c r="O6162" t="s">
        <v>1001</v>
      </c>
      <c r="P6162">
        <v>-20.168237999999999</v>
      </c>
      <c r="Q6162">
        <v>-44.924250999999998</v>
      </c>
      <c r="R6162" s="2" t="str">
        <f>HYPERLINK("https://www.google.com/maps?q=-20.1682380,-44.9242510","Abrir no Google Maps")</f>
        <v>Abrir no Google Maps</v>
      </c>
      <c r="S6162">
        <v>2</v>
      </c>
      <c r="T6162">
        <v>1220.188820430971</v>
      </c>
      <c r="U6162">
        <v>4</v>
      </c>
      <c r="V6162">
        <v>0.33080808080808077</v>
      </c>
      <c r="W6162">
        <v>0.85</v>
      </c>
      <c r="X6162">
        <v>0.28118686868686871</v>
      </c>
      <c r="Y6162">
        <v>723</v>
      </c>
      <c r="Z6162">
        <v>1092.4377883150901</v>
      </c>
      <c r="AA6162">
        <v>198</v>
      </c>
      <c r="AB6162">
        <v>332</v>
      </c>
      <c r="AC6162">
        <v>536</v>
      </c>
      <c r="AD6162">
        <v>26.22</v>
      </c>
      <c r="AE6162">
        <v>542</v>
      </c>
      <c r="AF6162">
        <v>11</v>
      </c>
      <c r="AG6162">
        <v>181</v>
      </c>
      <c r="AH6162">
        <v>129</v>
      </c>
      <c r="AI6162">
        <v>2.0299999999999998</v>
      </c>
      <c r="AJ6162">
        <v>33.39</v>
      </c>
      <c r="AK6162">
        <v>23.8</v>
      </c>
      <c r="AL6162">
        <v>-20.168394999999951</v>
      </c>
      <c r="AM6162">
        <v>-44.923548168580673</v>
      </c>
      <c r="AN6162">
        <v>-20.168394999999951</v>
      </c>
      <c r="AO6162">
        <v>-44.923548168580673</v>
      </c>
      <c r="AP6162">
        <v>-20.168237999999999</v>
      </c>
      <c r="AQ6162">
        <v>-44.924250999999998</v>
      </c>
      <c r="AR6162">
        <v>75.492755104934275</v>
      </c>
      <c r="AS6162" t="s">
        <v>65</v>
      </c>
      <c r="AT6162">
        <v>1</v>
      </c>
      <c r="AU6162" t="s">
        <v>1457</v>
      </c>
      <c r="AV6162" t="s">
        <v>1458</v>
      </c>
      <c r="AW6162" t="s">
        <v>60</v>
      </c>
      <c r="AX6162" t="s">
        <v>68</v>
      </c>
      <c r="AY6162" t="s">
        <v>69</v>
      </c>
      <c r="AZ6162" t="b">
        <v>1</v>
      </c>
    </row>
    <row r="6163" spans="1:52" x14ac:dyDescent="0.3">
      <c r="A6163" t="s">
        <v>52</v>
      </c>
      <c r="B6163" t="s">
        <v>53</v>
      </c>
      <c r="C6163" t="s">
        <v>54</v>
      </c>
      <c r="D6163" t="s">
        <v>55</v>
      </c>
      <c r="E6163" t="s">
        <v>2281</v>
      </c>
      <c r="F6163" t="s">
        <v>1247</v>
      </c>
      <c r="G6163" t="s">
        <v>1459</v>
      </c>
      <c r="H6163" t="s">
        <v>1460</v>
      </c>
      <c r="I6163" t="s">
        <v>1460</v>
      </c>
      <c r="J6163" t="s">
        <v>60</v>
      </c>
      <c r="K6163" t="s">
        <v>431</v>
      </c>
      <c r="L6163" t="s">
        <v>62</v>
      </c>
      <c r="M6163" t="s">
        <v>431</v>
      </c>
      <c r="N6163" t="s">
        <v>1461</v>
      </c>
      <c r="O6163" t="s">
        <v>1462</v>
      </c>
      <c r="P6163">
        <v>-20.170182</v>
      </c>
      <c r="Q6163">
        <v>-44.922556999999998</v>
      </c>
      <c r="R6163" s="2" t="str">
        <f>HYPERLINK("https://www.google.com/maps?q=-20.1701820,-44.9225570","Abrir no Google Maps")</f>
        <v>Abrir no Google Maps</v>
      </c>
      <c r="S6163">
        <v>2</v>
      </c>
      <c r="T6163">
        <v>1189.3885679843149</v>
      </c>
      <c r="U6163">
        <v>4</v>
      </c>
      <c r="V6163">
        <v>0.33333333333333331</v>
      </c>
      <c r="W6163">
        <v>0.85</v>
      </c>
      <c r="X6163">
        <v>0.28333333333333333</v>
      </c>
      <c r="Y6163">
        <v>723</v>
      </c>
      <c r="Z6163">
        <v>961.89164604479117</v>
      </c>
      <c r="AA6163">
        <v>198</v>
      </c>
      <c r="AB6163">
        <v>332</v>
      </c>
      <c r="AC6163">
        <v>536</v>
      </c>
      <c r="AD6163">
        <v>26.22</v>
      </c>
      <c r="AE6163">
        <v>542</v>
      </c>
      <c r="AF6163">
        <v>11</v>
      </c>
      <c r="AG6163">
        <v>181</v>
      </c>
      <c r="AH6163">
        <v>129</v>
      </c>
      <c r="AI6163">
        <v>2.0299999999999998</v>
      </c>
      <c r="AJ6163">
        <v>33.39</v>
      </c>
      <c r="AK6163">
        <v>23.8</v>
      </c>
      <c r="AL6163">
        <v>-20.169385449999961</v>
      </c>
      <c r="AM6163">
        <v>-44.922107101898007</v>
      </c>
      <c r="AN6163">
        <v>-20.169385449999961</v>
      </c>
      <c r="AO6163">
        <v>-44.922107101898007</v>
      </c>
      <c r="AP6163">
        <v>-20.170182</v>
      </c>
      <c r="AQ6163">
        <v>-44.922556999999998</v>
      </c>
      <c r="AR6163">
        <v>100.36329580049031</v>
      </c>
      <c r="AS6163" t="s">
        <v>65</v>
      </c>
      <c r="AT6163">
        <v>1</v>
      </c>
      <c r="AU6163" t="s">
        <v>1463</v>
      </c>
      <c r="AV6163" t="s">
        <v>1458</v>
      </c>
      <c r="AW6163" t="s">
        <v>60</v>
      </c>
      <c r="AX6163" t="s">
        <v>68</v>
      </c>
      <c r="AY6163" t="s">
        <v>69</v>
      </c>
      <c r="AZ6163" t="b">
        <v>1</v>
      </c>
    </row>
    <row r="6164" spans="1:52" x14ac:dyDescent="0.3">
      <c r="A6164" t="s">
        <v>52</v>
      </c>
      <c r="B6164" t="s">
        <v>53</v>
      </c>
      <c r="C6164" t="s">
        <v>54</v>
      </c>
      <c r="D6164" t="s">
        <v>55</v>
      </c>
      <c r="E6164" t="s">
        <v>2281</v>
      </c>
      <c r="F6164" t="s">
        <v>1247</v>
      </c>
      <c r="G6164" t="s">
        <v>1464</v>
      </c>
      <c r="H6164" t="s">
        <v>1465</v>
      </c>
      <c r="I6164" t="s">
        <v>1465</v>
      </c>
      <c r="J6164" t="s">
        <v>60</v>
      </c>
      <c r="K6164" t="s">
        <v>1466</v>
      </c>
      <c r="L6164" t="s">
        <v>62</v>
      </c>
      <c r="M6164" t="s">
        <v>1466</v>
      </c>
      <c r="N6164" t="s">
        <v>1467</v>
      </c>
      <c r="O6164" t="s">
        <v>145</v>
      </c>
      <c r="P6164">
        <v>-20.160509999999999</v>
      </c>
      <c r="Q6164">
        <v>-44.884123000000002</v>
      </c>
      <c r="R6164" s="2" t="str">
        <f>HYPERLINK("https://www.google.com/maps?q=-20.1605100,-44.8841230","Abrir no Google Maps")</f>
        <v>Abrir no Google Maps</v>
      </c>
      <c r="S6164">
        <v>2</v>
      </c>
      <c r="T6164">
        <v>650.04961276595373</v>
      </c>
      <c r="U6164">
        <v>4</v>
      </c>
      <c r="V6164">
        <v>0.1010752688172043</v>
      </c>
      <c r="W6164">
        <v>1</v>
      </c>
      <c r="X6164">
        <v>0.1010752688172043</v>
      </c>
      <c r="Y6164">
        <v>671</v>
      </c>
      <c r="Z6164">
        <v>591.49066685698506</v>
      </c>
      <c r="AA6164">
        <v>198</v>
      </c>
      <c r="AB6164">
        <v>332</v>
      </c>
      <c r="AC6164">
        <v>536</v>
      </c>
      <c r="AD6164">
        <v>26.22</v>
      </c>
      <c r="AE6164">
        <v>542</v>
      </c>
      <c r="AF6164">
        <v>11</v>
      </c>
      <c r="AG6164">
        <v>181</v>
      </c>
      <c r="AH6164">
        <v>129</v>
      </c>
      <c r="AI6164">
        <v>2.0299999999999998</v>
      </c>
      <c r="AJ6164">
        <v>33.39</v>
      </c>
      <c r="AK6164">
        <v>23.8</v>
      </c>
      <c r="AL6164">
        <v>-20.16056479999995</v>
      </c>
      <c r="AM6164">
        <v>-44.88424978393428</v>
      </c>
      <c r="AN6164">
        <v>-20.160564799999939</v>
      </c>
      <c r="AO6164">
        <v>-44.88424978393428</v>
      </c>
      <c r="AP6164">
        <v>-20.160509999999999</v>
      </c>
      <c r="AQ6164">
        <v>-44.884123000000002</v>
      </c>
      <c r="AR6164">
        <v>14.585823463739541</v>
      </c>
      <c r="AS6164" t="s">
        <v>65</v>
      </c>
      <c r="AT6164">
        <v>1</v>
      </c>
      <c r="AU6164" t="s">
        <v>1468</v>
      </c>
      <c r="AV6164" t="s">
        <v>1469</v>
      </c>
      <c r="AW6164" t="s">
        <v>60</v>
      </c>
      <c r="AX6164" t="s">
        <v>68</v>
      </c>
      <c r="AY6164" t="s">
        <v>69</v>
      </c>
      <c r="AZ6164" t="b">
        <v>1</v>
      </c>
    </row>
    <row r="6165" spans="1:52" x14ac:dyDescent="0.3">
      <c r="A6165" t="s">
        <v>52</v>
      </c>
      <c r="B6165" t="s">
        <v>53</v>
      </c>
      <c r="C6165" t="s">
        <v>54</v>
      </c>
      <c r="D6165" t="s">
        <v>55</v>
      </c>
      <c r="E6165" t="s">
        <v>2281</v>
      </c>
      <c r="F6165" t="s">
        <v>1247</v>
      </c>
      <c r="G6165" t="s">
        <v>1333</v>
      </c>
      <c r="H6165" t="s">
        <v>1470</v>
      </c>
      <c r="I6165" t="s">
        <v>1470</v>
      </c>
      <c r="J6165" t="s">
        <v>60</v>
      </c>
      <c r="K6165" t="s">
        <v>437</v>
      </c>
      <c r="L6165" t="s">
        <v>62</v>
      </c>
      <c r="M6165" t="s">
        <v>437</v>
      </c>
      <c r="N6165" t="s">
        <v>1335</v>
      </c>
      <c r="O6165" t="s">
        <v>900</v>
      </c>
      <c r="P6165">
        <v>-20.147047000000001</v>
      </c>
      <c r="Q6165">
        <v>-44.883921999999998</v>
      </c>
      <c r="R6165" s="2" t="str">
        <f>HYPERLINK("https://www.google.com/maps?q=-20.1470470,-44.8839220","Abrir no Google Maps")</f>
        <v>Abrir no Google Maps</v>
      </c>
      <c r="S6165">
        <v>2</v>
      </c>
      <c r="T6165">
        <v>296.4098018832658</v>
      </c>
      <c r="U6165">
        <v>4</v>
      </c>
      <c r="V6165">
        <v>0.15686274509803921</v>
      </c>
      <c r="W6165">
        <v>1</v>
      </c>
      <c r="X6165">
        <v>0.15686274509803921</v>
      </c>
      <c r="Y6165">
        <v>653</v>
      </c>
      <c r="Z6165">
        <v>299.72271006042178</v>
      </c>
      <c r="AA6165">
        <v>198</v>
      </c>
      <c r="AB6165">
        <v>332</v>
      </c>
      <c r="AC6165">
        <v>536</v>
      </c>
      <c r="AD6165">
        <v>26.22</v>
      </c>
      <c r="AE6165">
        <v>542</v>
      </c>
      <c r="AF6165">
        <v>11</v>
      </c>
      <c r="AG6165">
        <v>181</v>
      </c>
      <c r="AH6165">
        <v>129</v>
      </c>
      <c r="AI6165">
        <v>2.0299999999999998</v>
      </c>
      <c r="AJ6165">
        <v>33.39</v>
      </c>
      <c r="AK6165">
        <v>23.8</v>
      </c>
      <c r="AL6165">
        <v>-20.147074949999929</v>
      </c>
      <c r="AM6165">
        <v>-44.883796511502347</v>
      </c>
      <c r="AN6165">
        <v>-20.147074949999929</v>
      </c>
      <c r="AO6165">
        <v>-44.883796511502347</v>
      </c>
      <c r="AP6165">
        <v>-20.147047000000001</v>
      </c>
      <c r="AQ6165">
        <v>-44.883921999999998</v>
      </c>
      <c r="AR6165">
        <v>13.47864632994</v>
      </c>
      <c r="AS6165" t="s">
        <v>65</v>
      </c>
      <c r="AT6165">
        <v>1</v>
      </c>
      <c r="AU6165" t="s">
        <v>1471</v>
      </c>
      <c r="AV6165" t="s">
        <v>1472</v>
      </c>
      <c r="AW6165" t="s">
        <v>60</v>
      </c>
      <c r="AX6165" t="s">
        <v>68</v>
      </c>
      <c r="AY6165" t="s">
        <v>69</v>
      </c>
      <c r="AZ6165" t="b">
        <v>1</v>
      </c>
    </row>
    <row r="6166" spans="1:52" x14ac:dyDescent="0.3">
      <c r="A6166" t="s">
        <v>52</v>
      </c>
      <c r="B6166" t="s">
        <v>53</v>
      </c>
      <c r="C6166" t="s">
        <v>54</v>
      </c>
      <c r="D6166" t="s">
        <v>55</v>
      </c>
      <c r="E6166" t="s">
        <v>2281</v>
      </c>
      <c r="F6166" t="s">
        <v>1247</v>
      </c>
      <c r="G6166" t="s">
        <v>1473</v>
      </c>
      <c r="H6166" t="s">
        <v>1474</v>
      </c>
      <c r="I6166" t="s">
        <v>1474</v>
      </c>
      <c r="J6166" t="s">
        <v>60</v>
      </c>
      <c r="K6166" t="s">
        <v>1302</v>
      </c>
      <c r="L6166" t="s">
        <v>62</v>
      </c>
      <c r="M6166" t="s">
        <v>1302</v>
      </c>
      <c r="N6166" t="s">
        <v>1475</v>
      </c>
      <c r="O6166" t="s">
        <v>1476</v>
      </c>
      <c r="P6166">
        <v>-20.161372</v>
      </c>
      <c r="Q6166">
        <v>-44.914636999999999</v>
      </c>
      <c r="R6166" s="2" t="str">
        <f>HYPERLINK("https://www.google.com/maps?q=-20.1613720,-44.9146370","Abrir no Google Maps")</f>
        <v>Abrir no Google Maps</v>
      </c>
      <c r="S6166">
        <v>2</v>
      </c>
      <c r="T6166">
        <v>0</v>
      </c>
      <c r="U6166">
        <v>4</v>
      </c>
      <c r="V6166">
        <v>0.124401913875598</v>
      </c>
      <c r="W6166">
        <v>1</v>
      </c>
      <c r="X6166">
        <v>0.124401913875598</v>
      </c>
      <c r="Y6166">
        <v>639</v>
      </c>
      <c r="Z6166">
        <v>81.742669907651447</v>
      </c>
      <c r="AA6166">
        <v>198</v>
      </c>
      <c r="AB6166">
        <v>332</v>
      </c>
      <c r="AC6166">
        <v>536</v>
      </c>
      <c r="AD6166">
        <v>26.22</v>
      </c>
      <c r="AE6166">
        <v>542</v>
      </c>
      <c r="AF6166">
        <v>11</v>
      </c>
      <c r="AG6166">
        <v>181</v>
      </c>
      <c r="AH6166">
        <v>129</v>
      </c>
      <c r="AI6166">
        <v>2.0299999999999998</v>
      </c>
      <c r="AJ6166">
        <v>33.39</v>
      </c>
      <c r="AK6166">
        <v>23.8</v>
      </c>
      <c r="AL6166">
        <v>-20.161294499999961</v>
      </c>
      <c r="AM6166">
        <v>-44.914614684493202</v>
      </c>
      <c r="AN6166">
        <v>-20.161294499999961</v>
      </c>
      <c r="AO6166">
        <v>-44.914614684493202</v>
      </c>
      <c r="AP6166">
        <v>-20.161372</v>
      </c>
      <c r="AQ6166">
        <v>-44.914636999999999</v>
      </c>
      <c r="AR6166">
        <v>8.9369058443944862</v>
      </c>
      <c r="AS6166" t="s">
        <v>65</v>
      </c>
      <c r="AT6166">
        <v>1</v>
      </c>
      <c r="AU6166" t="s">
        <v>1477</v>
      </c>
      <c r="AV6166" t="s">
        <v>1478</v>
      </c>
      <c r="AW6166" t="s">
        <v>60</v>
      </c>
      <c r="AX6166" t="s">
        <v>68</v>
      </c>
      <c r="AY6166" t="s">
        <v>69</v>
      </c>
      <c r="AZ6166" t="b">
        <v>1</v>
      </c>
    </row>
    <row r="6167" spans="1:52" x14ac:dyDescent="0.3">
      <c r="A6167" t="s">
        <v>52</v>
      </c>
      <c r="B6167" t="s">
        <v>53</v>
      </c>
      <c r="C6167" t="s">
        <v>54</v>
      </c>
      <c r="D6167" t="s">
        <v>55</v>
      </c>
      <c r="E6167" t="s">
        <v>2281</v>
      </c>
      <c r="F6167" t="s">
        <v>1247</v>
      </c>
      <c r="G6167" t="s">
        <v>1464</v>
      </c>
      <c r="H6167" t="s">
        <v>1485</v>
      </c>
      <c r="I6167" t="s">
        <v>1485</v>
      </c>
      <c r="J6167" t="s">
        <v>60</v>
      </c>
      <c r="K6167" t="s">
        <v>1486</v>
      </c>
      <c r="L6167" t="s">
        <v>62</v>
      </c>
      <c r="M6167" t="s">
        <v>1486</v>
      </c>
      <c r="N6167" t="s">
        <v>1467</v>
      </c>
      <c r="O6167" t="s">
        <v>1487</v>
      </c>
      <c r="P6167">
        <v>-20.162842000000001</v>
      </c>
      <c r="Q6167">
        <v>-44.883769999999998</v>
      </c>
      <c r="R6167" s="2" t="str">
        <f>HYPERLINK("https://www.google.com/maps?q=-20.1628420,-44.8837700","Abrir no Google Maps")</f>
        <v>Abrir no Google Maps</v>
      </c>
      <c r="S6167">
        <v>2</v>
      </c>
      <c r="T6167">
        <v>659.67909450906006</v>
      </c>
      <c r="U6167">
        <v>3</v>
      </c>
      <c r="V6167">
        <v>3.5330261136712698E-2</v>
      </c>
      <c r="W6167">
        <v>1</v>
      </c>
      <c r="X6167">
        <v>3.5330261136712698E-2</v>
      </c>
      <c r="Y6167">
        <v>671</v>
      </c>
      <c r="Z6167">
        <v>566.23107864368092</v>
      </c>
      <c r="AA6167">
        <v>198</v>
      </c>
      <c r="AB6167">
        <v>332</v>
      </c>
      <c r="AC6167">
        <v>536</v>
      </c>
      <c r="AD6167">
        <v>26.22</v>
      </c>
      <c r="AE6167">
        <v>542</v>
      </c>
      <c r="AF6167">
        <v>11</v>
      </c>
      <c r="AG6167">
        <v>181</v>
      </c>
      <c r="AH6167">
        <v>129</v>
      </c>
      <c r="AI6167">
        <v>2.0299999999999998</v>
      </c>
      <c r="AJ6167">
        <v>33.39</v>
      </c>
      <c r="AK6167">
        <v>23.8</v>
      </c>
      <c r="AL6167">
        <v>-20.162791299999949</v>
      </c>
      <c r="AM6167">
        <v>-44.883966852092939</v>
      </c>
      <c r="AN6167">
        <v>-20.162791299999949</v>
      </c>
      <c r="AO6167">
        <v>-44.883966852092939</v>
      </c>
      <c r="AP6167">
        <v>-20.162842000000001</v>
      </c>
      <c r="AQ6167">
        <v>-44.883769999999998</v>
      </c>
      <c r="AR6167">
        <v>21.33085532825611</v>
      </c>
      <c r="AS6167" t="s">
        <v>65</v>
      </c>
      <c r="AT6167">
        <v>1</v>
      </c>
      <c r="AU6167" t="s">
        <v>1488</v>
      </c>
      <c r="AV6167" t="s">
        <v>1489</v>
      </c>
      <c r="AW6167" t="s">
        <v>60</v>
      </c>
      <c r="AX6167" t="s">
        <v>68</v>
      </c>
      <c r="AY6167" t="s">
        <v>69</v>
      </c>
      <c r="AZ6167" t="b">
        <v>1</v>
      </c>
    </row>
    <row r="6168" spans="1:52" x14ac:dyDescent="0.3">
      <c r="A6168" t="s">
        <v>52</v>
      </c>
      <c r="B6168" t="s">
        <v>53</v>
      </c>
      <c r="C6168" t="s">
        <v>54</v>
      </c>
      <c r="D6168" t="s">
        <v>55</v>
      </c>
      <c r="E6168" t="s">
        <v>2281</v>
      </c>
      <c r="F6168" t="s">
        <v>1247</v>
      </c>
      <c r="G6168" t="s">
        <v>1495</v>
      </c>
      <c r="H6168" t="s">
        <v>1496</v>
      </c>
      <c r="I6168" t="s">
        <v>1496</v>
      </c>
      <c r="J6168" t="s">
        <v>60</v>
      </c>
      <c r="K6168" t="s">
        <v>1466</v>
      </c>
      <c r="L6168" t="s">
        <v>62</v>
      </c>
      <c r="M6168" t="s">
        <v>1466</v>
      </c>
      <c r="N6168" t="s">
        <v>1497</v>
      </c>
      <c r="O6168" t="s">
        <v>1498</v>
      </c>
      <c r="P6168">
        <v>-20.163160999999999</v>
      </c>
      <c r="Q6168">
        <v>-44.880460999999997</v>
      </c>
      <c r="R6168" s="2" t="str">
        <f>HYPERLINK("https://www.google.com/maps?q=-20.1631610,-44.8804610","Abrir no Google Maps")</f>
        <v>Abrir no Google Maps</v>
      </c>
      <c r="S6168">
        <v>2</v>
      </c>
      <c r="T6168">
        <v>372.63783804650222</v>
      </c>
      <c r="U6168">
        <v>3</v>
      </c>
      <c r="V6168">
        <v>2.94117647058823E-2</v>
      </c>
      <c r="W6168">
        <v>1</v>
      </c>
      <c r="X6168">
        <v>2.94117647058823E-2</v>
      </c>
      <c r="Y6168">
        <v>671</v>
      </c>
      <c r="Z6168">
        <v>250.43144487082299</v>
      </c>
      <c r="AA6168">
        <v>198</v>
      </c>
      <c r="AB6168">
        <v>332</v>
      </c>
      <c r="AC6168">
        <v>536</v>
      </c>
      <c r="AD6168">
        <v>26.22</v>
      </c>
      <c r="AE6168">
        <v>542</v>
      </c>
      <c r="AF6168">
        <v>11</v>
      </c>
      <c r="AG6168">
        <v>181</v>
      </c>
      <c r="AH6168">
        <v>129</v>
      </c>
      <c r="AI6168">
        <v>2.0299999999999998</v>
      </c>
      <c r="AJ6168">
        <v>33.39</v>
      </c>
      <c r="AK6168">
        <v>23.8</v>
      </c>
      <c r="AL6168">
        <v>-20.163296749999969</v>
      </c>
      <c r="AM6168">
        <v>-44.88037544059182</v>
      </c>
      <c r="AN6168">
        <v>-20.163296749999969</v>
      </c>
      <c r="AO6168">
        <v>-44.88037544059182</v>
      </c>
      <c r="AP6168">
        <v>-20.163160999999999</v>
      </c>
      <c r="AQ6168">
        <v>-44.880460999999997</v>
      </c>
      <c r="AR6168">
        <v>17.558482416121191</v>
      </c>
      <c r="AS6168" t="s">
        <v>65</v>
      </c>
      <c r="AT6168">
        <v>1</v>
      </c>
      <c r="AU6168" t="s">
        <v>1499</v>
      </c>
      <c r="AV6168" t="s">
        <v>1500</v>
      </c>
      <c r="AW6168" t="s">
        <v>60</v>
      </c>
      <c r="AX6168" t="s">
        <v>68</v>
      </c>
      <c r="AY6168" t="s">
        <v>69</v>
      </c>
      <c r="AZ6168" t="b">
        <v>1</v>
      </c>
    </row>
    <row r="6169" spans="1:52" x14ac:dyDescent="0.3">
      <c r="A6169" t="s">
        <v>52</v>
      </c>
      <c r="B6169" t="s">
        <v>53</v>
      </c>
      <c r="C6169" t="s">
        <v>54</v>
      </c>
      <c r="D6169" t="s">
        <v>55</v>
      </c>
      <c r="E6169" t="s">
        <v>2281</v>
      </c>
      <c r="F6169" t="s">
        <v>1247</v>
      </c>
      <c r="G6169" t="s">
        <v>1501</v>
      </c>
      <c r="H6169" t="s">
        <v>1502</v>
      </c>
      <c r="I6169" t="s">
        <v>1502</v>
      </c>
      <c r="J6169" t="s">
        <v>60</v>
      </c>
      <c r="K6169" t="s">
        <v>1466</v>
      </c>
      <c r="L6169" t="s">
        <v>62</v>
      </c>
      <c r="M6169" t="s">
        <v>1466</v>
      </c>
      <c r="N6169" t="s">
        <v>1503</v>
      </c>
      <c r="O6169" t="s">
        <v>1504</v>
      </c>
      <c r="P6169">
        <v>-20.159618999999999</v>
      </c>
      <c r="Q6169">
        <v>-44.880065000000002</v>
      </c>
      <c r="R6169" s="2" t="str">
        <f>HYPERLINK("https://www.google.com/maps?q=-20.1596190,-44.8800650","Abrir no Google Maps")</f>
        <v>Abrir no Google Maps</v>
      </c>
      <c r="S6169">
        <v>2</v>
      </c>
      <c r="T6169">
        <v>243.9950282285559</v>
      </c>
      <c r="U6169">
        <v>3</v>
      </c>
      <c r="V6169">
        <v>5.5059523809523801E-2</v>
      </c>
      <c r="W6169">
        <v>1</v>
      </c>
      <c r="X6169">
        <v>5.5059523809523801E-2</v>
      </c>
      <c r="Y6169">
        <v>671</v>
      </c>
      <c r="Z6169">
        <v>265.31354384517681</v>
      </c>
      <c r="AA6169">
        <v>198</v>
      </c>
      <c r="AB6169">
        <v>332</v>
      </c>
      <c r="AC6169">
        <v>536</v>
      </c>
      <c r="AD6169">
        <v>26.22</v>
      </c>
      <c r="AE6169">
        <v>542</v>
      </c>
      <c r="AF6169">
        <v>11</v>
      </c>
      <c r="AG6169">
        <v>181</v>
      </c>
      <c r="AH6169">
        <v>129</v>
      </c>
      <c r="AI6169">
        <v>2.0299999999999998</v>
      </c>
      <c r="AJ6169">
        <v>33.39</v>
      </c>
      <c r="AK6169">
        <v>23.8</v>
      </c>
      <c r="AL6169">
        <v>-20.159689949999969</v>
      </c>
      <c r="AM6169">
        <v>-44.880075072344489</v>
      </c>
      <c r="AN6169">
        <v>-20.159689949999969</v>
      </c>
      <c r="AO6169">
        <v>-44.880075072344489</v>
      </c>
      <c r="AP6169">
        <v>-20.159618999999999</v>
      </c>
      <c r="AQ6169">
        <v>-44.880065000000002</v>
      </c>
      <c r="AR6169">
        <v>7.9679809486040876</v>
      </c>
      <c r="AS6169" t="s">
        <v>65</v>
      </c>
      <c r="AT6169">
        <v>1</v>
      </c>
      <c r="AU6169" t="s">
        <v>1505</v>
      </c>
      <c r="AV6169" t="s">
        <v>1506</v>
      </c>
      <c r="AW6169" t="s">
        <v>60</v>
      </c>
      <c r="AX6169" t="s">
        <v>68</v>
      </c>
      <c r="AY6169" t="s">
        <v>69</v>
      </c>
      <c r="AZ6169" t="b">
        <v>1</v>
      </c>
    </row>
    <row r="6170" spans="1:52" x14ac:dyDescent="0.3">
      <c r="A6170" t="s">
        <v>52</v>
      </c>
      <c r="B6170" t="s">
        <v>53</v>
      </c>
      <c r="C6170" t="s">
        <v>54</v>
      </c>
      <c r="D6170" t="s">
        <v>55</v>
      </c>
      <c r="E6170" t="s">
        <v>2281</v>
      </c>
      <c r="F6170" t="s">
        <v>1247</v>
      </c>
      <c r="G6170" t="s">
        <v>1507</v>
      </c>
      <c r="H6170" t="s">
        <v>1508</v>
      </c>
      <c r="I6170" t="s">
        <v>1508</v>
      </c>
      <c r="J6170" t="s">
        <v>60</v>
      </c>
      <c r="K6170" t="s">
        <v>1466</v>
      </c>
      <c r="L6170" t="s">
        <v>62</v>
      </c>
      <c r="M6170" t="s">
        <v>1466</v>
      </c>
      <c r="N6170" t="s">
        <v>1509</v>
      </c>
      <c r="O6170" t="s">
        <v>270</v>
      </c>
      <c r="P6170">
        <v>-20.164501999999999</v>
      </c>
      <c r="Q6170">
        <v>-44.883226999999998</v>
      </c>
      <c r="R6170" s="2" t="str">
        <f>HYPERLINK("https://www.google.com/maps?q=-20.1645020,-44.8832270","Abrir no Google Maps")</f>
        <v>Abrir no Google Maps</v>
      </c>
      <c r="S6170">
        <v>2</v>
      </c>
      <c r="T6170">
        <v>691.62667420887726</v>
      </c>
      <c r="U6170">
        <v>3</v>
      </c>
      <c r="V6170">
        <v>3.7760416666666602E-2</v>
      </c>
      <c r="W6170">
        <v>1</v>
      </c>
      <c r="X6170">
        <v>3.7760416666666602E-2</v>
      </c>
      <c r="Y6170">
        <v>671</v>
      </c>
      <c r="Z6170">
        <v>591.13935302436732</v>
      </c>
      <c r="AA6170">
        <v>198</v>
      </c>
      <c r="AB6170">
        <v>332</v>
      </c>
      <c r="AC6170">
        <v>536</v>
      </c>
      <c r="AD6170">
        <v>26.22</v>
      </c>
      <c r="AE6170">
        <v>542</v>
      </c>
      <c r="AF6170">
        <v>11</v>
      </c>
      <c r="AG6170">
        <v>181</v>
      </c>
      <c r="AH6170">
        <v>129</v>
      </c>
      <c r="AI6170">
        <v>2.0299999999999998</v>
      </c>
      <c r="AJ6170">
        <v>33.39</v>
      </c>
      <c r="AK6170">
        <v>23.8</v>
      </c>
      <c r="AL6170">
        <v>-20.164470149999939</v>
      </c>
      <c r="AM6170">
        <v>-44.883357321672527</v>
      </c>
      <c r="AN6170">
        <v>-20.164470149999939</v>
      </c>
      <c r="AO6170">
        <v>-44.883357321672527</v>
      </c>
      <c r="AP6170">
        <v>-20.164501999999999</v>
      </c>
      <c r="AQ6170">
        <v>-44.883226999999998</v>
      </c>
      <c r="AR6170">
        <v>14.072184947340521</v>
      </c>
      <c r="AS6170" t="s">
        <v>65</v>
      </c>
      <c r="AT6170">
        <v>1</v>
      </c>
      <c r="AU6170" t="s">
        <v>1510</v>
      </c>
      <c r="AV6170" t="s">
        <v>1511</v>
      </c>
      <c r="AW6170" t="s">
        <v>60</v>
      </c>
      <c r="AX6170" t="s">
        <v>68</v>
      </c>
      <c r="AY6170" t="s">
        <v>69</v>
      </c>
      <c r="AZ6170" t="b">
        <v>1</v>
      </c>
    </row>
    <row r="6171" spans="1:52" x14ac:dyDescent="0.3">
      <c r="A6171" t="s">
        <v>52</v>
      </c>
      <c r="B6171" t="s">
        <v>53</v>
      </c>
      <c r="C6171" t="s">
        <v>54</v>
      </c>
      <c r="D6171" t="s">
        <v>55</v>
      </c>
      <c r="E6171" t="s">
        <v>2281</v>
      </c>
      <c r="F6171" t="s">
        <v>1247</v>
      </c>
      <c r="G6171" t="s">
        <v>1554</v>
      </c>
      <c r="H6171" t="s">
        <v>1555</v>
      </c>
      <c r="I6171" t="s">
        <v>1555</v>
      </c>
      <c r="J6171" t="s">
        <v>60</v>
      </c>
      <c r="K6171" t="s">
        <v>1466</v>
      </c>
      <c r="L6171" t="s">
        <v>62</v>
      </c>
      <c r="M6171" t="s">
        <v>1466</v>
      </c>
      <c r="N6171" t="s">
        <v>1556</v>
      </c>
      <c r="O6171" t="s">
        <v>989</v>
      </c>
      <c r="P6171">
        <v>-20.160997999999999</v>
      </c>
      <c r="Q6171">
        <v>-44.878385999999999</v>
      </c>
      <c r="R6171" s="2" t="str">
        <f>HYPERLINK("https://www.google.com/maps?q=-20.1609980,-44.8783860","Abrir no Google Maps")</f>
        <v>Abrir no Google Maps</v>
      </c>
      <c r="S6171">
        <v>2</v>
      </c>
      <c r="T6171">
        <v>0</v>
      </c>
      <c r="U6171">
        <v>3</v>
      </c>
      <c r="V6171">
        <v>3.8348082595870199E-2</v>
      </c>
      <c r="W6171">
        <v>0.85</v>
      </c>
      <c r="X6171">
        <v>3.2595870206489672E-2</v>
      </c>
      <c r="Y6171">
        <v>671</v>
      </c>
      <c r="Z6171">
        <v>74.014802531188664</v>
      </c>
      <c r="AA6171">
        <v>198</v>
      </c>
      <c r="AB6171">
        <v>332</v>
      </c>
      <c r="AC6171">
        <v>536</v>
      </c>
      <c r="AD6171">
        <v>26.22</v>
      </c>
      <c r="AE6171">
        <v>542</v>
      </c>
      <c r="AF6171">
        <v>11</v>
      </c>
      <c r="AG6171">
        <v>181</v>
      </c>
      <c r="AH6171">
        <v>129</v>
      </c>
      <c r="AI6171">
        <v>2.0299999999999998</v>
      </c>
      <c r="AJ6171">
        <v>33.39</v>
      </c>
      <c r="AK6171">
        <v>23.8</v>
      </c>
      <c r="AL6171">
        <v>-20.160758199999979</v>
      </c>
      <c r="AM6171">
        <v>-44.878032519747983</v>
      </c>
      <c r="AN6171">
        <v>-20.160758199999979</v>
      </c>
      <c r="AO6171">
        <v>-44.878032519747983</v>
      </c>
      <c r="AP6171">
        <v>-20.160997999999999</v>
      </c>
      <c r="AQ6171">
        <v>-44.878385999999999</v>
      </c>
      <c r="AR6171">
        <v>45.574638830261883</v>
      </c>
      <c r="AS6171" t="s">
        <v>65</v>
      </c>
      <c r="AT6171">
        <v>1</v>
      </c>
      <c r="AU6171" t="s">
        <v>1557</v>
      </c>
      <c r="AV6171" t="s">
        <v>1558</v>
      </c>
      <c r="AW6171" t="s">
        <v>60</v>
      </c>
      <c r="AX6171" t="s">
        <v>68</v>
      </c>
      <c r="AY6171" t="s">
        <v>69</v>
      </c>
      <c r="AZ6171" t="b">
        <v>1</v>
      </c>
    </row>
    <row r="6172" spans="1:52" x14ac:dyDescent="0.3">
      <c r="A6172" t="s">
        <v>52</v>
      </c>
      <c r="B6172" t="s">
        <v>53</v>
      </c>
      <c r="C6172" t="s">
        <v>54</v>
      </c>
      <c r="D6172" t="s">
        <v>55</v>
      </c>
      <c r="E6172" t="s">
        <v>2281</v>
      </c>
      <c r="F6172" t="s">
        <v>1247</v>
      </c>
      <c r="G6172" t="s">
        <v>1529</v>
      </c>
      <c r="H6172" t="s">
        <v>1530</v>
      </c>
      <c r="I6172" t="s">
        <v>1530</v>
      </c>
      <c r="J6172" t="s">
        <v>60</v>
      </c>
      <c r="K6172" t="s">
        <v>1466</v>
      </c>
      <c r="L6172" t="s">
        <v>62</v>
      </c>
      <c r="M6172" t="s">
        <v>1466</v>
      </c>
      <c r="N6172" t="s">
        <v>1531</v>
      </c>
      <c r="O6172" t="s">
        <v>145</v>
      </c>
      <c r="P6172">
        <v>-20.162952000000001</v>
      </c>
      <c r="Q6172">
        <v>-44.877612999999997</v>
      </c>
      <c r="R6172" s="2" t="str">
        <f>HYPERLINK("https://www.google.com/maps?q=-20.1629520,-44.8776130","Abrir no Google Maps")</f>
        <v>Abrir no Google Maps</v>
      </c>
      <c r="S6172">
        <v>2</v>
      </c>
      <c r="T6172">
        <v>229.91388913695721</v>
      </c>
      <c r="U6172">
        <v>3</v>
      </c>
      <c r="V6172">
        <v>6.5656565656565594E-2</v>
      </c>
      <c r="W6172">
        <v>0.85</v>
      </c>
      <c r="X6172">
        <v>5.5808080808080751E-2</v>
      </c>
      <c r="Y6172">
        <v>671</v>
      </c>
      <c r="Z6172">
        <v>157.6775523644973</v>
      </c>
      <c r="AA6172">
        <v>198</v>
      </c>
      <c r="AB6172">
        <v>332</v>
      </c>
      <c r="AC6172">
        <v>536</v>
      </c>
      <c r="AD6172">
        <v>26.22</v>
      </c>
      <c r="AE6172">
        <v>542</v>
      </c>
      <c r="AF6172">
        <v>11</v>
      </c>
      <c r="AG6172">
        <v>181</v>
      </c>
      <c r="AH6172">
        <v>129</v>
      </c>
      <c r="AI6172">
        <v>2.0299999999999998</v>
      </c>
      <c r="AJ6172">
        <v>33.39</v>
      </c>
      <c r="AK6172">
        <v>23.8</v>
      </c>
      <c r="AL6172">
        <v>-20.16278829999996</v>
      </c>
      <c r="AM6172">
        <v>-44.877564655204168</v>
      </c>
      <c r="AN6172">
        <v>-20.16278829999996</v>
      </c>
      <c r="AO6172">
        <v>-44.877564655204168</v>
      </c>
      <c r="AP6172">
        <v>-20.162952000000001</v>
      </c>
      <c r="AQ6172">
        <v>-44.877612999999997</v>
      </c>
      <c r="AR6172">
        <v>18.91038935762678</v>
      </c>
      <c r="AS6172" t="s">
        <v>65</v>
      </c>
      <c r="AT6172">
        <v>1</v>
      </c>
      <c r="AU6172" t="s">
        <v>1532</v>
      </c>
      <c r="AV6172" t="s">
        <v>1533</v>
      </c>
      <c r="AW6172" t="s">
        <v>60</v>
      </c>
      <c r="AX6172" t="s">
        <v>68</v>
      </c>
      <c r="AY6172" t="s">
        <v>69</v>
      </c>
      <c r="AZ6172" t="b">
        <v>1</v>
      </c>
    </row>
    <row r="6173" spans="1:52" x14ac:dyDescent="0.3">
      <c r="A6173" t="s">
        <v>52</v>
      </c>
      <c r="B6173" t="s">
        <v>53</v>
      </c>
      <c r="C6173" t="s">
        <v>54</v>
      </c>
      <c r="D6173" t="s">
        <v>55</v>
      </c>
      <c r="E6173" t="s">
        <v>2281</v>
      </c>
      <c r="F6173" t="s">
        <v>1247</v>
      </c>
      <c r="G6173" t="s">
        <v>1512</v>
      </c>
      <c r="H6173" t="s">
        <v>1513</v>
      </c>
      <c r="I6173" t="s">
        <v>1513</v>
      </c>
      <c r="J6173" t="s">
        <v>60</v>
      </c>
      <c r="K6173" t="s">
        <v>1302</v>
      </c>
      <c r="L6173" t="s">
        <v>62</v>
      </c>
      <c r="M6173" t="s">
        <v>1302</v>
      </c>
      <c r="N6173" t="s">
        <v>1514</v>
      </c>
      <c r="O6173" t="s">
        <v>1515</v>
      </c>
      <c r="P6173">
        <v>-20.163709000000001</v>
      </c>
      <c r="Q6173">
        <v>-44.916074999999999</v>
      </c>
      <c r="R6173" s="2" t="str">
        <f>HYPERLINK("https://www.google.com/maps?q=-20.1637090,-44.9160750","Abrir no Google Maps")</f>
        <v>Abrir no Google Maps</v>
      </c>
      <c r="S6173">
        <v>2</v>
      </c>
      <c r="T6173">
        <v>305.09593452131332</v>
      </c>
      <c r="U6173">
        <v>3</v>
      </c>
      <c r="V6173">
        <v>2.8282828282828201E-2</v>
      </c>
      <c r="W6173">
        <v>1</v>
      </c>
      <c r="X6173">
        <v>2.8282828282828201E-2</v>
      </c>
      <c r="Y6173">
        <v>639</v>
      </c>
      <c r="Z6173">
        <v>289.37841230131949</v>
      </c>
      <c r="AA6173">
        <v>198</v>
      </c>
      <c r="AB6173">
        <v>332</v>
      </c>
      <c r="AC6173">
        <v>536</v>
      </c>
      <c r="AD6173">
        <v>26.22</v>
      </c>
      <c r="AE6173">
        <v>542</v>
      </c>
      <c r="AF6173">
        <v>11</v>
      </c>
      <c r="AG6173">
        <v>181</v>
      </c>
      <c r="AH6173">
        <v>129</v>
      </c>
      <c r="AI6173">
        <v>2.0299999999999998</v>
      </c>
      <c r="AJ6173">
        <v>33.39</v>
      </c>
      <c r="AK6173">
        <v>23.8</v>
      </c>
      <c r="AL6173">
        <v>-20.163666449999969</v>
      </c>
      <c r="AM6173">
        <v>-44.916102906827042</v>
      </c>
      <c r="AN6173">
        <v>-20.163666449999969</v>
      </c>
      <c r="AO6173">
        <v>-44.916102906827042</v>
      </c>
      <c r="AP6173">
        <v>-20.163709000000001</v>
      </c>
      <c r="AQ6173">
        <v>-44.916074999999999</v>
      </c>
      <c r="AR6173">
        <v>5.5623892025550603</v>
      </c>
      <c r="AS6173" t="s">
        <v>65</v>
      </c>
      <c r="AT6173">
        <v>1</v>
      </c>
      <c r="AU6173" t="s">
        <v>1516</v>
      </c>
      <c r="AV6173" t="s">
        <v>1517</v>
      </c>
      <c r="AW6173" t="s">
        <v>60</v>
      </c>
      <c r="AX6173" t="s">
        <v>68</v>
      </c>
      <c r="AY6173" t="s">
        <v>69</v>
      </c>
      <c r="AZ6173" t="b">
        <v>1</v>
      </c>
    </row>
    <row r="6174" spans="1:52" x14ac:dyDescent="0.3">
      <c r="A6174" t="s">
        <v>52</v>
      </c>
      <c r="B6174" t="s">
        <v>53</v>
      </c>
      <c r="C6174" t="s">
        <v>54</v>
      </c>
      <c r="D6174" t="s">
        <v>55</v>
      </c>
      <c r="E6174" t="s">
        <v>2281</v>
      </c>
      <c r="F6174" t="s">
        <v>1247</v>
      </c>
      <c r="G6174" t="s">
        <v>1479</v>
      </c>
      <c r="H6174" t="s">
        <v>1480</v>
      </c>
      <c r="I6174" t="s">
        <v>1480</v>
      </c>
      <c r="J6174" t="s">
        <v>60</v>
      </c>
      <c r="K6174" t="s">
        <v>1302</v>
      </c>
      <c r="L6174" t="s">
        <v>62</v>
      </c>
      <c r="M6174" t="s">
        <v>1302</v>
      </c>
      <c r="N6174" t="s">
        <v>1481</v>
      </c>
      <c r="O6174" t="s">
        <v>1482</v>
      </c>
      <c r="P6174">
        <v>-20.164655</v>
      </c>
      <c r="Q6174">
        <v>-44.912697000000001</v>
      </c>
      <c r="R6174" s="2" t="str">
        <f>HYPERLINK("https://www.google.com/maps?q=-20.1646550,-44.9126970","Abrir no Google Maps")</f>
        <v>Abrir no Google Maps</v>
      </c>
      <c r="S6174">
        <v>2</v>
      </c>
      <c r="T6174">
        <v>441.50274004930441</v>
      </c>
      <c r="U6174">
        <v>3</v>
      </c>
      <c r="V6174">
        <v>7.6318742985409596E-2</v>
      </c>
      <c r="W6174">
        <v>1</v>
      </c>
      <c r="X6174">
        <v>7.6318742985409596E-2</v>
      </c>
      <c r="Y6174">
        <v>639</v>
      </c>
      <c r="Z6174">
        <v>311.03317029936522</v>
      </c>
      <c r="AA6174">
        <v>198</v>
      </c>
      <c r="AB6174">
        <v>332</v>
      </c>
      <c r="AC6174">
        <v>536</v>
      </c>
      <c r="AD6174">
        <v>26.22</v>
      </c>
      <c r="AE6174">
        <v>542</v>
      </c>
      <c r="AF6174">
        <v>11</v>
      </c>
      <c r="AG6174">
        <v>181</v>
      </c>
      <c r="AH6174">
        <v>129</v>
      </c>
      <c r="AI6174">
        <v>2.0299999999999998</v>
      </c>
      <c r="AJ6174">
        <v>33.39</v>
      </c>
      <c r="AK6174">
        <v>23.8</v>
      </c>
      <c r="AL6174">
        <v>-20.164702999999971</v>
      </c>
      <c r="AM6174">
        <v>-44.912418857911163</v>
      </c>
      <c r="AN6174">
        <v>-20.164702999999971</v>
      </c>
      <c r="AO6174">
        <v>-44.912418857911163</v>
      </c>
      <c r="AP6174">
        <v>-20.164655</v>
      </c>
      <c r="AQ6174">
        <v>-44.912697000000001</v>
      </c>
      <c r="AR6174">
        <v>29.552017409892429</v>
      </c>
      <c r="AS6174" t="s">
        <v>65</v>
      </c>
      <c r="AT6174">
        <v>1</v>
      </c>
      <c r="AU6174" t="s">
        <v>1483</v>
      </c>
      <c r="AV6174" t="s">
        <v>1484</v>
      </c>
      <c r="AW6174" t="s">
        <v>60</v>
      </c>
      <c r="AX6174" t="s">
        <v>68</v>
      </c>
      <c r="AY6174" t="s">
        <v>69</v>
      </c>
      <c r="AZ6174" t="b">
        <v>1</v>
      </c>
    </row>
    <row r="6175" spans="1:52" x14ac:dyDescent="0.3">
      <c r="A6175" t="s">
        <v>52</v>
      </c>
      <c r="B6175" t="s">
        <v>53</v>
      </c>
      <c r="C6175" t="s">
        <v>54</v>
      </c>
      <c r="D6175" t="s">
        <v>55</v>
      </c>
      <c r="E6175" t="s">
        <v>2281</v>
      </c>
      <c r="F6175" t="s">
        <v>1247</v>
      </c>
      <c r="G6175" t="s">
        <v>1518</v>
      </c>
      <c r="H6175" t="s">
        <v>1519</v>
      </c>
      <c r="I6175" t="s">
        <v>1519</v>
      </c>
      <c r="J6175" t="s">
        <v>60</v>
      </c>
      <c r="K6175" t="s">
        <v>1302</v>
      </c>
      <c r="L6175" t="s">
        <v>62</v>
      </c>
      <c r="M6175" t="s">
        <v>1302</v>
      </c>
      <c r="N6175" t="s">
        <v>1520</v>
      </c>
      <c r="O6175" t="s">
        <v>1521</v>
      </c>
      <c r="P6175">
        <v>-20.16263</v>
      </c>
      <c r="Q6175">
        <v>-44.910342999999997</v>
      </c>
      <c r="R6175" s="2" t="str">
        <f>HYPERLINK("https://www.google.com/maps?q=-20.1626300,-44.9103430","Abrir no Google Maps")</f>
        <v>Abrir no Google Maps</v>
      </c>
      <c r="S6175">
        <v>2</v>
      </c>
      <c r="T6175">
        <v>492.63980270666781</v>
      </c>
      <c r="U6175">
        <v>3</v>
      </c>
      <c r="V6175">
        <v>7.8911564625850306E-2</v>
      </c>
      <c r="W6175">
        <v>1</v>
      </c>
      <c r="X6175">
        <v>7.8911564625850306E-2</v>
      </c>
      <c r="Y6175">
        <v>639</v>
      </c>
      <c r="Z6175">
        <v>412.49960371731271</v>
      </c>
      <c r="AA6175">
        <v>198</v>
      </c>
      <c r="AB6175">
        <v>332</v>
      </c>
      <c r="AC6175">
        <v>536</v>
      </c>
      <c r="AD6175">
        <v>26.22</v>
      </c>
      <c r="AE6175">
        <v>542</v>
      </c>
      <c r="AF6175">
        <v>11</v>
      </c>
      <c r="AG6175">
        <v>181</v>
      </c>
      <c r="AH6175">
        <v>129</v>
      </c>
      <c r="AI6175">
        <v>2.0299999999999998</v>
      </c>
      <c r="AJ6175">
        <v>33.39</v>
      </c>
      <c r="AK6175">
        <v>23.8</v>
      </c>
      <c r="AL6175">
        <v>-20.162579949999952</v>
      </c>
      <c r="AM6175">
        <v>-44.910101148008863</v>
      </c>
      <c r="AN6175">
        <v>-20.162579949999952</v>
      </c>
      <c r="AO6175">
        <v>-44.910101148008863</v>
      </c>
      <c r="AP6175">
        <v>-20.16263</v>
      </c>
      <c r="AQ6175">
        <v>-44.910342999999997</v>
      </c>
      <c r="AR6175">
        <v>25.879932474893501</v>
      </c>
      <c r="AS6175" t="s">
        <v>65</v>
      </c>
      <c r="AT6175">
        <v>1</v>
      </c>
      <c r="AU6175" t="s">
        <v>1522</v>
      </c>
      <c r="AV6175" t="s">
        <v>1523</v>
      </c>
      <c r="AW6175" t="s">
        <v>60</v>
      </c>
      <c r="AX6175" t="s">
        <v>68</v>
      </c>
      <c r="AY6175" t="s">
        <v>69</v>
      </c>
      <c r="AZ6175" t="b">
        <v>1</v>
      </c>
    </row>
    <row r="6176" spans="1:52" x14ac:dyDescent="0.3">
      <c r="A6176" t="s">
        <v>52</v>
      </c>
      <c r="B6176" t="s">
        <v>53</v>
      </c>
      <c r="C6176" t="s">
        <v>54</v>
      </c>
      <c r="D6176" t="s">
        <v>55</v>
      </c>
      <c r="E6176" t="s">
        <v>2281</v>
      </c>
      <c r="F6176" t="s">
        <v>1247</v>
      </c>
      <c r="G6176" t="s">
        <v>1524</v>
      </c>
      <c r="H6176" t="s">
        <v>1525</v>
      </c>
      <c r="I6176" t="s">
        <v>1525</v>
      </c>
      <c r="J6176" t="s">
        <v>60</v>
      </c>
      <c r="K6176" t="s">
        <v>1302</v>
      </c>
      <c r="L6176" t="s">
        <v>62</v>
      </c>
      <c r="M6176" t="s">
        <v>1302</v>
      </c>
      <c r="N6176" t="s">
        <v>1526</v>
      </c>
      <c r="O6176" t="s">
        <v>303</v>
      </c>
      <c r="P6176">
        <v>-20.159873000000001</v>
      </c>
      <c r="Q6176">
        <v>-44.911431999999998</v>
      </c>
      <c r="R6176" s="2" t="str">
        <f>HYPERLINK("https://www.google.com/maps?q=-20.1598730,-44.9114320","Abrir no Google Maps")</f>
        <v>Abrir no Google Maps</v>
      </c>
      <c r="S6176">
        <v>2</v>
      </c>
      <c r="T6176">
        <v>359.34785817593553</v>
      </c>
      <c r="U6176">
        <v>3</v>
      </c>
      <c r="V6176">
        <v>4.07239819004524E-2</v>
      </c>
      <c r="W6176">
        <v>1</v>
      </c>
      <c r="X6176">
        <v>4.07239819004524E-2</v>
      </c>
      <c r="Y6176">
        <v>639</v>
      </c>
      <c r="Z6176">
        <v>388.13505700247691</v>
      </c>
      <c r="AA6176">
        <v>198</v>
      </c>
      <c r="AB6176">
        <v>332</v>
      </c>
      <c r="AC6176">
        <v>536</v>
      </c>
      <c r="AD6176">
        <v>26.22</v>
      </c>
      <c r="AE6176">
        <v>542</v>
      </c>
      <c r="AF6176">
        <v>11</v>
      </c>
      <c r="AG6176">
        <v>181</v>
      </c>
      <c r="AH6176">
        <v>129</v>
      </c>
      <c r="AI6176">
        <v>2.0299999999999998</v>
      </c>
      <c r="AJ6176">
        <v>33.39</v>
      </c>
      <c r="AK6176">
        <v>23.8</v>
      </c>
      <c r="AL6176">
        <v>-20.159583599999969</v>
      </c>
      <c r="AM6176">
        <v>-44.911691929105316</v>
      </c>
      <c r="AN6176">
        <v>-20.159583599999969</v>
      </c>
      <c r="AO6176">
        <v>-44.911691929105316</v>
      </c>
      <c r="AP6176">
        <v>-20.159873000000001</v>
      </c>
      <c r="AQ6176">
        <v>-44.911431999999998</v>
      </c>
      <c r="AR6176">
        <v>42.138811218570019</v>
      </c>
      <c r="AS6176" t="s">
        <v>65</v>
      </c>
      <c r="AT6176">
        <v>1</v>
      </c>
      <c r="AU6176" t="s">
        <v>1527</v>
      </c>
      <c r="AV6176" t="s">
        <v>1528</v>
      </c>
      <c r="AW6176" t="s">
        <v>60</v>
      </c>
      <c r="AX6176" t="s">
        <v>68</v>
      </c>
      <c r="AY6176" t="s">
        <v>69</v>
      </c>
      <c r="AZ6176" t="b">
        <v>1</v>
      </c>
    </row>
    <row r="6177" spans="1:52" x14ac:dyDescent="0.3">
      <c r="A6177" t="s">
        <v>52</v>
      </c>
      <c r="B6177" t="s">
        <v>53</v>
      </c>
      <c r="C6177" t="s">
        <v>54</v>
      </c>
      <c r="D6177" t="s">
        <v>55</v>
      </c>
      <c r="E6177" t="s">
        <v>2281</v>
      </c>
      <c r="F6177" t="s">
        <v>1247</v>
      </c>
      <c r="G6177" t="s">
        <v>1490</v>
      </c>
      <c r="H6177" t="s">
        <v>1491</v>
      </c>
      <c r="I6177" t="s">
        <v>1491</v>
      </c>
      <c r="J6177" t="s">
        <v>60</v>
      </c>
      <c r="K6177" t="s">
        <v>336</v>
      </c>
      <c r="L6177" t="s">
        <v>62</v>
      </c>
      <c r="M6177" t="s">
        <v>336</v>
      </c>
      <c r="N6177" t="s">
        <v>1492</v>
      </c>
      <c r="O6177" t="s">
        <v>842</v>
      </c>
      <c r="P6177">
        <v>-20.164228999999999</v>
      </c>
      <c r="Q6177">
        <v>-44.876455999999997</v>
      </c>
      <c r="R6177" s="2" t="str">
        <f>HYPERLINK("https://www.google.com/maps?q=-20.1642290,-44.8764560","Abrir no Google Maps")</f>
        <v>Abrir no Google Maps</v>
      </c>
      <c r="S6177">
        <v>2</v>
      </c>
      <c r="T6177">
        <v>420.00990411628987</v>
      </c>
      <c r="U6177">
        <v>2</v>
      </c>
      <c r="V6177">
        <v>1.6666666666666601E-2</v>
      </c>
      <c r="W6177">
        <v>1</v>
      </c>
      <c r="X6177">
        <v>1.6666666666666601E-2</v>
      </c>
      <c r="Y6177">
        <v>671</v>
      </c>
      <c r="Z6177">
        <v>375.90194920648611</v>
      </c>
      <c r="AA6177">
        <v>198</v>
      </c>
      <c r="AB6177">
        <v>332</v>
      </c>
      <c r="AC6177">
        <v>536</v>
      </c>
      <c r="AD6177">
        <v>26.22</v>
      </c>
      <c r="AE6177">
        <v>542</v>
      </c>
      <c r="AF6177">
        <v>11</v>
      </c>
      <c r="AG6177">
        <v>181</v>
      </c>
      <c r="AH6177">
        <v>129</v>
      </c>
      <c r="AI6177">
        <v>2.0299999999999998</v>
      </c>
      <c r="AJ6177">
        <v>33.39</v>
      </c>
      <c r="AK6177">
        <v>23.8</v>
      </c>
      <c r="AL6177">
        <v>-20.164255749999938</v>
      </c>
      <c r="AM6177">
        <v>-44.876471676086922</v>
      </c>
      <c r="AN6177">
        <v>-20.164255749999938</v>
      </c>
      <c r="AO6177">
        <v>-44.876471676086922</v>
      </c>
      <c r="AP6177">
        <v>-20.164228999999999</v>
      </c>
      <c r="AQ6177">
        <v>-44.876455999999997</v>
      </c>
      <c r="AR6177">
        <v>3.3986375813953771</v>
      </c>
      <c r="AS6177" t="s">
        <v>65</v>
      </c>
      <c r="AT6177">
        <v>1</v>
      </c>
      <c r="AU6177" t="s">
        <v>1493</v>
      </c>
      <c r="AV6177" t="s">
        <v>1494</v>
      </c>
      <c r="AW6177" t="s">
        <v>60</v>
      </c>
      <c r="AX6177" t="s">
        <v>68</v>
      </c>
      <c r="AY6177" t="s">
        <v>69</v>
      </c>
      <c r="AZ6177" t="b">
        <v>1</v>
      </c>
    </row>
    <row r="6178" spans="1:52" x14ac:dyDescent="0.3">
      <c r="A6178" t="s">
        <v>52</v>
      </c>
      <c r="B6178" t="s">
        <v>53</v>
      </c>
      <c r="C6178" t="s">
        <v>54</v>
      </c>
      <c r="D6178" t="s">
        <v>55</v>
      </c>
      <c r="E6178" t="s">
        <v>2281</v>
      </c>
      <c r="F6178" t="s">
        <v>1247</v>
      </c>
      <c r="G6178" t="s">
        <v>1541</v>
      </c>
      <c r="H6178" t="s">
        <v>1542</v>
      </c>
      <c r="I6178" t="s">
        <v>1542</v>
      </c>
      <c r="J6178" t="s">
        <v>60</v>
      </c>
      <c r="K6178" t="s">
        <v>1302</v>
      </c>
      <c r="L6178" t="s">
        <v>62</v>
      </c>
      <c r="M6178" t="s">
        <v>1302</v>
      </c>
      <c r="N6178" t="s">
        <v>1543</v>
      </c>
      <c r="O6178" t="s">
        <v>1544</v>
      </c>
      <c r="P6178">
        <v>-20.166267999999999</v>
      </c>
      <c r="Q6178">
        <v>-44.916902</v>
      </c>
      <c r="R6178" s="2" t="str">
        <f>HYPERLINK("https://www.google.com/maps?q=-20.1662680,-44.9169020","Abrir no Google Maps")</f>
        <v>Abrir no Google Maps</v>
      </c>
      <c r="S6178">
        <v>2</v>
      </c>
      <c r="T6178">
        <v>580.14556008922216</v>
      </c>
      <c r="U6178">
        <v>2</v>
      </c>
      <c r="V6178">
        <v>7.7519379844960996E-3</v>
      </c>
      <c r="W6178">
        <v>0.85</v>
      </c>
      <c r="X6178">
        <v>6.5891472868216854E-3</v>
      </c>
      <c r="Y6178">
        <v>639</v>
      </c>
      <c r="Z6178">
        <v>590.87477783185614</v>
      </c>
      <c r="AA6178">
        <v>198</v>
      </c>
      <c r="AB6178">
        <v>332</v>
      </c>
      <c r="AC6178">
        <v>536</v>
      </c>
      <c r="AD6178">
        <v>26.22</v>
      </c>
      <c r="AE6178">
        <v>542</v>
      </c>
      <c r="AF6178">
        <v>11</v>
      </c>
      <c r="AG6178">
        <v>181</v>
      </c>
      <c r="AH6178">
        <v>129</v>
      </c>
      <c r="AI6178">
        <v>2.0299999999999998</v>
      </c>
      <c r="AJ6178">
        <v>33.39</v>
      </c>
      <c r="AK6178">
        <v>23.8</v>
      </c>
      <c r="AL6178">
        <v>-20.165891749999961</v>
      </c>
      <c r="AM6178">
        <v>-44.917283075074913</v>
      </c>
      <c r="AN6178">
        <v>-20.165891749999961</v>
      </c>
      <c r="AO6178">
        <v>-44.917283075074913</v>
      </c>
      <c r="AP6178">
        <v>-20.166267999999999</v>
      </c>
      <c r="AQ6178">
        <v>-44.916902</v>
      </c>
      <c r="AR6178">
        <v>57.792534087281872</v>
      </c>
      <c r="AS6178" t="s">
        <v>65</v>
      </c>
      <c r="AT6178">
        <v>1</v>
      </c>
      <c r="AU6178" t="s">
        <v>1545</v>
      </c>
      <c r="AV6178" t="s">
        <v>1546</v>
      </c>
      <c r="AW6178" t="s">
        <v>60</v>
      </c>
      <c r="AX6178" t="s">
        <v>68</v>
      </c>
      <c r="AY6178" t="s">
        <v>69</v>
      </c>
      <c r="AZ6178" t="b">
        <v>1</v>
      </c>
    </row>
    <row r="6179" spans="1:52" x14ac:dyDescent="0.3">
      <c r="A6179" t="s">
        <v>52</v>
      </c>
      <c r="B6179" t="s">
        <v>53</v>
      </c>
      <c r="C6179" t="s">
        <v>54</v>
      </c>
      <c r="D6179" t="s">
        <v>55</v>
      </c>
      <c r="E6179" t="s">
        <v>2281</v>
      </c>
      <c r="F6179" t="s">
        <v>1247</v>
      </c>
      <c r="G6179" t="s">
        <v>1547</v>
      </c>
      <c r="H6179" t="s">
        <v>1548</v>
      </c>
      <c r="I6179" t="s">
        <v>1548</v>
      </c>
      <c r="J6179" t="s">
        <v>60</v>
      </c>
      <c r="K6179" t="s">
        <v>1549</v>
      </c>
      <c r="L6179" t="s">
        <v>62</v>
      </c>
      <c r="M6179" t="s">
        <v>1549</v>
      </c>
      <c r="N6179" t="s">
        <v>1550</v>
      </c>
      <c r="O6179" t="s">
        <v>1551</v>
      </c>
      <c r="P6179">
        <v>-20.173258000000001</v>
      </c>
      <c r="Q6179">
        <v>-44.930354000000001</v>
      </c>
      <c r="R6179" s="2" t="str">
        <f>HYPERLINK("https://www.google.com/maps?q=-20.1732580,-44.9303540","Abrir no Google Maps")</f>
        <v>Abrir no Google Maps</v>
      </c>
      <c r="S6179">
        <v>2</v>
      </c>
      <c r="T6179">
        <v>2023.802197028052</v>
      </c>
      <c r="U6179">
        <v>1</v>
      </c>
      <c r="V6179">
        <v>0</v>
      </c>
      <c r="W6179">
        <v>0.85</v>
      </c>
      <c r="X6179">
        <v>0</v>
      </c>
      <c r="Y6179">
        <v>723</v>
      </c>
      <c r="Z6179">
        <v>1727.7445576555911</v>
      </c>
      <c r="AA6179">
        <v>198</v>
      </c>
      <c r="AB6179">
        <v>332</v>
      </c>
      <c r="AC6179">
        <v>536</v>
      </c>
      <c r="AD6179">
        <v>26.22</v>
      </c>
      <c r="AE6179">
        <v>542</v>
      </c>
      <c r="AF6179">
        <v>11</v>
      </c>
      <c r="AG6179">
        <v>181</v>
      </c>
      <c r="AH6179">
        <v>129</v>
      </c>
      <c r="AI6179">
        <v>2.0299999999999998</v>
      </c>
      <c r="AJ6179">
        <v>33.39</v>
      </c>
      <c r="AK6179">
        <v>23.8</v>
      </c>
      <c r="AL6179">
        <v>-20.172996449999939</v>
      </c>
      <c r="AM6179">
        <v>-44.930058436825973</v>
      </c>
      <c r="AN6179">
        <v>-20.172996449999939</v>
      </c>
      <c r="AO6179">
        <v>-44.930058436825973</v>
      </c>
      <c r="AP6179">
        <v>-20.173258000000001</v>
      </c>
      <c r="AQ6179">
        <v>-44.930354000000001</v>
      </c>
      <c r="AR6179">
        <v>42.444455141884362</v>
      </c>
      <c r="AS6179" t="s">
        <v>65</v>
      </c>
      <c r="AT6179">
        <v>1</v>
      </c>
      <c r="AU6179" t="s">
        <v>1552</v>
      </c>
      <c r="AV6179" t="s">
        <v>1553</v>
      </c>
      <c r="AW6179" t="s">
        <v>60</v>
      </c>
      <c r="AX6179" t="s">
        <v>68</v>
      </c>
      <c r="AY6179" t="s">
        <v>69</v>
      </c>
      <c r="AZ6179" t="b">
        <v>1</v>
      </c>
    </row>
    <row r="6180" spans="1:52" x14ac:dyDescent="0.3">
      <c r="A6180" t="s">
        <v>52</v>
      </c>
      <c r="B6180" t="s">
        <v>53</v>
      </c>
      <c r="C6180" t="s">
        <v>54</v>
      </c>
      <c r="D6180" t="s">
        <v>55</v>
      </c>
      <c r="E6180" t="s">
        <v>2281</v>
      </c>
      <c r="F6180" t="s">
        <v>1247</v>
      </c>
      <c r="G6180" t="s">
        <v>1534</v>
      </c>
      <c r="H6180" t="s">
        <v>1535</v>
      </c>
      <c r="I6180" t="s">
        <v>1535</v>
      </c>
      <c r="J6180" t="s">
        <v>60</v>
      </c>
      <c r="K6180" t="s">
        <v>1536</v>
      </c>
      <c r="L6180" t="s">
        <v>62</v>
      </c>
      <c r="M6180" t="s">
        <v>1536</v>
      </c>
      <c r="N6180" t="s">
        <v>1537</v>
      </c>
      <c r="O6180" t="s">
        <v>1538</v>
      </c>
      <c r="P6180">
        <v>-20.164618999999998</v>
      </c>
      <c r="Q6180">
        <v>-44.921776999999999</v>
      </c>
      <c r="R6180" s="2" t="str">
        <f>HYPERLINK("https://www.google.com/maps?q=-20.1646190,-44.9217770","Abrir no Google Maps")</f>
        <v>Abrir no Google Maps</v>
      </c>
      <c r="S6180">
        <v>2</v>
      </c>
      <c r="T6180">
        <v>835.70698013544222</v>
      </c>
      <c r="U6180">
        <v>1</v>
      </c>
      <c r="V6180">
        <v>0</v>
      </c>
      <c r="W6180">
        <v>0.85</v>
      </c>
      <c r="X6180">
        <v>0</v>
      </c>
      <c r="Y6180">
        <v>639</v>
      </c>
      <c r="Z6180">
        <v>821.59880323911125</v>
      </c>
      <c r="AA6180">
        <v>198</v>
      </c>
      <c r="AB6180">
        <v>332</v>
      </c>
      <c r="AC6180">
        <v>536</v>
      </c>
      <c r="AD6180">
        <v>26.22</v>
      </c>
      <c r="AE6180">
        <v>542</v>
      </c>
      <c r="AF6180">
        <v>11</v>
      </c>
      <c r="AG6180">
        <v>181</v>
      </c>
      <c r="AH6180">
        <v>129</v>
      </c>
      <c r="AI6180">
        <v>2.0299999999999998</v>
      </c>
      <c r="AJ6180">
        <v>33.39</v>
      </c>
      <c r="AK6180">
        <v>23.8</v>
      </c>
      <c r="AL6180">
        <v>-20.164312499999969</v>
      </c>
      <c r="AM6180">
        <v>-44.921945691824099</v>
      </c>
      <c r="AN6180">
        <v>-20.164312499999969</v>
      </c>
      <c r="AO6180">
        <v>-44.921945691824099</v>
      </c>
      <c r="AP6180">
        <v>-20.164618999999998</v>
      </c>
      <c r="AQ6180">
        <v>-44.921776999999999</v>
      </c>
      <c r="AR6180">
        <v>38.404224975746608</v>
      </c>
      <c r="AS6180" t="s">
        <v>65</v>
      </c>
      <c r="AT6180">
        <v>1</v>
      </c>
      <c r="AU6180" t="s">
        <v>1539</v>
      </c>
      <c r="AV6180" t="s">
        <v>1540</v>
      </c>
      <c r="AW6180" t="s">
        <v>60</v>
      </c>
      <c r="AX6180" t="s">
        <v>68</v>
      </c>
      <c r="AY6180" t="s">
        <v>69</v>
      </c>
      <c r="AZ6180" t="b">
        <v>1</v>
      </c>
    </row>
    <row r="6181" spans="1:52" x14ac:dyDescent="0.3">
      <c r="A6181" t="s">
        <v>52</v>
      </c>
      <c r="B6181" t="s">
        <v>53</v>
      </c>
      <c r="C6181" t="s">
        <v>54</v>
      </c>
      <c r="D6181" t="s">
        <v>55</v>
      </c>
      <c r="E6181" t="s">
        <v>2281</v>
      </c>
      <c r="F6181" t="s">
        <v>1247</v>
      </c>
      <c r="G6181" t="s">
        <v>1559</v>
      </c>
      <c r="H6181" t="s">
        <v>1560</v>
      </c>
      <c r="I6181" t="s">
        <v>1560</v>
      </c>
      <c r="J6181" t="s">
        <v>60</v>
      </c>
      <c r="K6181" t="s">
        <v>61</v>
      </c>
      <c r="L6181" t="s">
        <v>62</v>
      </c>
      <c r="M6181" t="s">
        <v>61</v>
      </c>
      <c r="N6181" t="s">
        <v>1561</v>
      </c>
      <c r="O6181" t="s">
        <v>1562</v>
      </c>
      <c r="P6181">
        <v>-20.154959000000002</v>
      </c>
      <c r="Q6181">
        <v>-44.91525</v>
      </c>
      <c r="R6181" s="2" t="str">
        <f>HYPERLINK("https://www.google.com/maps?q=-20.1549590,-44.9152500","Abrir no Google Maps")</f>
        <v>Abrir no Google Maps</v>
      </c>
      <c r="S6181">
        <v>2</v>
      </c>
      <c r="T6181">
        <v>738.36411213380245</v>
      </c>
      <c r="U6181">
        <v>1</v>
      </c>
      <c r="V6181">
        <v>0</v>
      </c>
      <c r="W6181">
        <v>0.85</v>
      </c>
      <c r="X6181">
        <v>0</v>
      </c>
      <c r="Y6181">
        <v>639</v>
      </c>
      <c r="Z6181">
        <v>860.82840850294542</v>
      </c>
      <c r="AA6181">
        <v>198</v>
      </c>
      <c r="AB6181">
        <v>332</v>
      </c>
      <c r="AC6181">
        <v>536</v>
      </c>
      <c r="AD6181">
        <v>26.22</v>
      </c>
      <c r="AE6181">
        <v>542</v>
      </c>
      <c r="AF6181">
        <v>11</v>
      </c>
      <c r="AG6181">
        <v>181</v>
      </c>
      <c r="AH6181">
        <v>129</v>
      </c>
      <c r="AI6181">
        <v>2.0299999999999998</v>
      </c>
      <c r="AJ6181">
        <v>33.39</v>
      </c>
      <c r="AK6181">
        <v>23.8</v>
      </c>
      <c r="AL6181">
        <v>-20.154629849999939</v>
      </c>
      <c r="AM6181">
        <v>-44.914951620624052</v>
      </c>
      <c r="AN6181">
        <v>-20.154629849999939</v>
      </c>
      <c r="AO6181">
        <v>-44.914951620624052</v>
      </c>
      <c r="AP6181">
        <v>-20.154959000000002</v>
      </c>
      <c r="AQ6181">
        <v>-44.91525</v>
      </c>
      <c r="AR6181">
        <v>48.11297170616912</v>
      </c>
      <c r="AS6181" t="s">
        <v>65</v>
      </c>
      <c r="AT6181">
        <v>1</v>
      </c>
      <c r="AU6181" t="s">
        <v>1563</v>
      </c>
      <c r="AV6181" t="s">
        <v>1564</v>
      </c>
      <c r="AW6181" t="s">
        <v>60</v>
      </c>
      <c r="AX6181" t="s">
        <v>68</v>
      </c>
      <c r="AY6181" t="s">
        <v>69</v>
      </c>
      <c r="AZ6181" t="b">
        <v>1</v>
      </c>
    </row>
    <row r="6182" spans="1:52" x14ac:dyDescent="0.3">
      <c r="A6182" t="s">
        <v>52</v>
      </c>
      <c r="B6182" t="s">
        <v>53</v>
      </c>
      <c r="C6182" t="s">
        <v>54</v>
      </c>
      <c r="D6182" t="s">
        <v>55</v>
      </c>
      <c r="E6182" t="s">
        <v>2281</v>
      </c>
      <c r="F6182" t="s">
        <v>1247</v>
      </c>
      <c r="G6182" t="s">
        <v>631</v>
      </c>
      <c r="H6182" t="s">
        <v>1565</v>
      </c>
      <c r="I6182" t="s">
        <v>1565</v>
      </c>
      <c r="J6182" t="s">
        <v>60</v>
      </c>
      <c r="K6182" t="s">
        <v>530</v>
      </c>
      <c r="L6182" t="s">
        <v>62</v>
      </c>
      <c r="M6182" t="s">
        <v>530</v>
      </c>
      <c r="N6182" t="s">
        <v>633</v>
      </c>
      <c r="O6182" t="s">
        <v>1566</v>
      </c>
      <c r="P6182">
        <v>-20.143915</v>
      </c>
      <c r="Q6182">
        <v>-44.8947</v>
      </c>
      <c r="R6182" s="2" t="str">
        <f>HYPERLINK("https://www.google.com/maps?q=-20.1439150,-44.8947000","Abrir no Google Maps")</f>
        <v>Abrir no Google Maps</v>
      </c>
      <c r="S6182">
        <v>1</v>
      </c>
      <c r="T6182">
        <v>327.74435325417051</v>
      </c>
      <c r="U6182">
        <v>4</v>
      </c>
      <c r="V6182">
        <v>0.29499999999999998</v>
      </c>
      <c r="W6182">
        <v>1</v>
      </c>
      <c r="X6182">
        <v>0.29499999999999998</v>
      </c>
      <c r="Y6182">
        <v>602</v>
      </c>
      <c r="Z6182">
        <v>236.41345279429891</v>
      </c>
      <c r="AA6182">
        <v>198</v>
      </c>
      <c r="AB6182">
        <v>332</v>
      </c>
      <c r="AC6182">
        <v>536</v>
      </c>
      <c r="AD6182">
        <v>26.22</v>
      </c>
      <c r="AE6182">
        <v>542</v>
      </c>
      <c r="AF6182">
        <v>11</v>
      </c>
      <c r="AG6182">
        <v>181</v>
      </c>
      <c r="AH6182">
        <v>129</v>
      </c>
      <c r="AI6182">
        <v>2.0299999999999998</v>
      </c>
      <c r="AJ6182">
        <v>33.39</v>
      </c>
      <c r="AK6182">
        <v>23.8</v>
      </c>
      <c r="AL6182">
        <v>-20.143900549999959</v>
      </c>
      <c r="AM6182">
        <v>-44.894835636584318</v>
      </c>
      <c r="AN6182">
        <v>-20.143900549999959</v>
      </c>
      <c r="AO6182">
        <v>-44.894835636584318</v>
      </c>
      <c r="AP6182">
        <v>-20.143915</v>
      </c>
      <c r="AQ6182">
        <v>-44.8947</v>
      </c>
      <c r="AR6182">
        <v>14.266440053785869</v>
      </c>
      <c r="AS6182" t="s">
        <v>65</v>
      </c>
      <c r="AT6182">
        <v>1</v>
      </c>
      <c r="AU6182" t="s">
        <v>1567</v>
      </c>
      <c r="AV6182" t="s">
        <v>1568</v>
      </c>
      <c r="AW6182" t="s">
        <v>60</v>
      </c>
      <c r="AX6182" t="s">
        <v>68</v>
      </c>
      <c r="AY6182" t="s">
        <v>69</v>
      </c>
      <c r="AZ6182" t="b">
        <v>1</v>
      </c>
    </row>
    <row r="6183" spans="1:52" x14ac:dyDescent="0.3">
      <c r="A6183" t="s">
        <v>52</v>
      </c>
      <c r="B6183" t="s">
        <v>53</v>
      </c>
      <c r="C6183" t="s">
        <v>54</v>
      </c>
      <c r="D6183" t="s">
        <v>55</v>
      </c>
      <c r="E6183" t="s">
        <v>2281</v>
      </c>
      <c r="F6183" t="s">
        <v>1247</v>
      </c>
      <c r="G6183" t="s">
        <v>1569</v>
      </c>
      <c r="H6183" t="s">
        <v>1570</v>
      </c>
      <c r="I6183" t="s">
        <v>1570</v>
      </c>
      <c r="J6183" t="s">
        <v>60</v>
      </c>
      <c r="K6183" t="s">
        <v>530</v>
      </c>
      <c r="L6183" t="s">
        <v>62</v>
      </c>
      <c r="M6183" t="s">
        <v>530</v>
      </c>
      <c r="N6183" t="s">
        <v>1571</v>
      </c>
      <c r="O6183" t="s">
        <v>598</v>
      </c>
      <c r="P6183">
        <v>-20.146418000000001</v>
      </c>
      <c r="Q6183">
        <v>-44.893861999999999</v>
      </c>
      <c r="R6183" s="2" t="str">
        <f>HYPERLINK("https://www.google.com/maps?q=-20.1464180,-44.8938620","Abrir no Google Maps")</f>
        <v>Abrir no Google Maps</v>
      </c>
      <c r="S6183">
        <v>1</v>
      </c>
      <c r="T6183">
        <v>0</v>
      </c>
      <c r="U6183">
        <v>4</v>
      </c>
      <c r="V6183">
        <v>0.2939958592132505</v>
      </c>
      <c r="W6183">
        <v>0.85</v>
      </c>
      <c r="X6183">
        <v>0.24989648033126291</v>
      </c>
      <c r="Y6183">
        <v>602</v>
      </c>
      <c r="Z6183">
        <v>124.5475134899211</v>
      </c>
      <c r="AA6183">
        <v>198</v>
      </c>
      <c r="AB6183">
        <v>332</v>
      </c>
      <c r="AC6183">
        <v>536</v>
      </c>
      <c r="AD6183">
        <v>26.22</v>
      </c>
      <c r="AE6183">
        <v>542</v>
      </c>
      <c r="AF6183">
        <v>11</v>
      </c>
      <c r="AG6183">
        <v>181</v>
      </c>
      <c r="AH6183">
        <v>129</v>
      </c>
      <c r="AI6183">
        <v>2.0299999999999998</v>
      </c>
      <c r="AJ6183">
        <v>33.39</v>
      </c>
      <c r="AK6183">
        <v>23.8</v>
      </c>
      <c r="AL6183">
        <v>-20.146753399999941</v>
      </c>
      <c r="AM6183">
        <v>-44.893993355901941</v>
      </c>
      <c r="AN6183">
        <v>-20.146753399999941</v>
      </c>
      <c r="AO6183">
        <v>-44.893993355901941</v>
      </c>
      <c r="AP6183">
        <v>-20.146418000000001</v>
      </c>
      <c r="AQ6183">
        <v>-44.893861999999999</v>
      </c>
      <c r="AR6183">
        <v>39.780457157851913</v>
      </c>
      <c r="AS6183" t="s">
        <v>65</v>
      </c>
      <c r="AT6183">
        <v>1</v>
      </c>
      <c r="AU6183" t="s">
        <v>1572</v>
      </c>
      <c r="AV6183" t="s">
        <v>1573</v>
      </c>
      <c r="AW6183" t="s">
        <v>60</v>
      </c>
      <c r="AX6183" t="s">
        <v>68</v>
      </c>
      <c r="AY6183" t="s">
        <v>69</v>
      </c>
      <c r="AZ6183" t="b">
        <v>1</v>
      </c>
    </row>
    <row r="6184" spans="1:52" x14ac:dyDescent="0.3">
      <c r="A6184" t="s">
        <v>52</v>
      </c>
      <c r="B6184" t="s">
        <v>53</v>
      </c>
      <c r="C6184" t="s">
        <v>54</v>
      </c>
      <c r="D6184" t="s">
        <v>55</v>
      </c>
      <c r="E6184" t="s">
        <v>2281</v>
      </c>
      <c r="F6184" t="s">
        <v>1247</v>
      </c>
      <c r="G6184" t="s">
        <v>1569</v>
      </c>
      <c r="H6184" t="s">
        <v>1574</v>
      </c>
      <c r="I6184" t="s">
        <v>1574</v>
      </c>
      <c r="J6184" t="s">
        <v>60</v>
      </c>
      <c r="K6184" t="s">
        <v>530</v>
      </c>
      <c r="L6184" t="s">
        <v>62</v>
      </c>
      <c r="M6184" t="s">
        <v>530</v>
      </c>
      <c r="N6184" t="s">
        <v>1571</v>
      </c>
      <c r="O6184" t="s">
        <v>1575</v>
      </c>
      <c r="P6184">
        <v>-20.14554</v>
      </c>
      <c r="Q6184">
        <v>-44.895606000000001</v>
      </c>
      <c r="R6184" s="2" t="str">
        <f>HYPERLINK("https://www.google.com/maps?q=-20.1455400,-44.8956060","Abrir no Google Maps")</f>
        <v>Abrir no Google Maps</v>
      </c>
      <c r="S6184">
        <v>1</v>
      </c>
      <c r="T6184">
        <v>218.66647838959381</v>
      </c>
      <c r="U6184">
        <v>4</v>
      </c>
      <c r="V6184">
        <v>0.2854700854700854</v>
      </c>
      <c r="W6184">
        <v>1</v>
      </c>
      <c r="X6184">
        <v>0.2854700854700854</v>
      </c>
      <c r="Y6184">
        <v>602</v>
      </c>
      <c r="Z6184">
        <v>263.6501043391637</v>
      </c>
      <c r="AA6184">
        <v>198</v>
      </c>
      <c r="AB6184">
        <v>332</v>
      </c>
      <c r="AC6184">
        <v>536</v>
      </c>
      <c r="AD6184">
        <v>26.22</v>
      </c>
      <c r="AE6184">
        <v>542</v>
      </c>
      <c r="AF6184">
        <v>11</v>
      </c>
      <c r="AG6184">
        <v>181</v>
      </c>
      <c r="AH6184">
        <v>129</v>
      </c>
      <c r="AI6184">
        <v>2.0299999999999998</v>
      </c>
      <c r="AJ6184">
        <v>33.39</v>
      </c>
      <c r="AK6184">
        <v>23.8</v>
      </c>
      <c r="AL6184">
        <v>-20.145504749999962</v>
      </c>
      <c r="AM6184">
        <v>-44.89561499588882</v>
      </c>
      <c r="AN6184">
        <v>-20.145504749999962</v>
      </c>
      <c r="AO6184">
        <v>-44.89561499588882</v>
      </c>
      <c r="AP6184">
        <v>-20.14554</v>
      </c>
      <c r="AQ6184">
        <v>-44.895606000000001</v>
      </c>
      <c r="AR6184">
        <v>4.0350843151508604</v>
      </c>
      <c r="AS6184" t="s">
        <v>65</v>
      </c>
      <c r="AT6184">
        <v>1</v>
      </c>
      <c r="AU6184" t="s">
        <v>1576</v>
      </c>
      <c r="AV6184" t="s">
        <v>1577</v>
      </c>
      <c r="AW6184" t="s">
        <v>60</v>
      </c>
      <c r="AX6184" t="s">
        <v>68</v>
      </c>
      <c r="AY6184" t="s">
        <v>69</v>
      </c>
      <c r="AZ6184" t="b">
        <v>1</v>
      </c>
    </row>
    <row r="6185" spans="1:52" x14ac:dyDescent="0.3">
      <c r="A6185" t="s">
        <v>52</v>
      </c>
      <c r="B6185" t="s">
        <v>53</v>
      </c>
      <c r="C6185" t="s">
        <v>54</v>
      </c>
      <c r="D6185" t="s">
        <v>55</v>
      </c>
      <c r="E6185" t="s">
        <v>2281</v>
      </c>
      <c r="F6185" t="s">
        <v>1247</v>
      </c>
      <c r="G6185" t="s">
        <v>1578</v>
      </c>
      <c r="H6185" t="s">
        <v>1579</v>
      </c>
      <c r="I6185" t="s">
        <v>1579</v>
      </c>
      <c r="J6185" t="s">
        <v>60</v>
      </c>
      <c r="K6185" t="s">
        <v>530</v>
      </c>
      <c r="L6185" t="s">
        <v>62</v>
      </c>
      <c r="M6185" t="s">
        <v>530</v>
      </c>
      <c r="N6185" t="s">
        <v>1580</v>
      </c>
      <c r="O6185" t="s">
        <v>1581</v>
      </c>
      <c r="P6185">
        <v>-20.143713999999999</v>
      </c>
      <c r="Q6185">
        <v>-44.897387999999999</v>
      </c>
      <c r="R6185" s="2" t="str">
        <f>HYPERLINK("https://www.google.com/maps?q=-20.1437140,-44.8973880","Abrir no Google Maps")</f>
        <v>Abrir no Google Maps</v>
      </c>
      <c r="S6185">
        <v>1</v>
      </c>
      <c r="T6185">
        <v>354.74438118735611</v>
      </c>
      <c r="U6185">
        <v>4</v>
      </c>
      <c r="V6185">
        <v>0.30496453900709219</v>
      </c>
      <c r="W6185">
        <v>1</v>
      </c>
      <c r="X6185">
        <v>0.30496453900709219</v>
      </c>
      <c r="Y6185">
        <v>588</v>
      </c>
      <c r="Z6185">
        <v>336.29881064197872</v>
      </c>
      <c r="AA6185">
        <v>198</v>
      </c>
      <c r="AB6185">
        <v>332</v>
      </c>
      <c r="AC6185">
        <v>536</v>
      </c>
      <c r="AD6185">
        <v>26.22</v>
      </c>
      <c r="AE6185">
        <v>542</v>
      </c>
      <c r="AF6185">
        <v>11</v>
      </c>
      <c r="AG6185">
        <v>181</v>
      </c>
      <c r="AH6185">
        <v>129</v>
      </c>
      <c r="AI6185">
        <v>2.0299999999999998</v>
      </c>
      <c r="AJ6185">
        <v>33.39</v>
      </c>
      <c r="AK6185">
        <v>23.8</v>
      </c>
      <c r="AL6185">
        <v>-20.14371329999997</v>
      </c>
      <c r="AM6185">
        <v>-44.897384604125257</v>
      </c>
      <c r="AN6185">
        <v>-20.14371329999997</v>
      </c>
      <c r="AO6185">
        <v>-44.897384604125257</v>
      </c>
      <c r="AP6185">
        <v>-20.143713999999999</v>
      </c>
      <c r="AQ6185">
        <v>-44.897387999999999</v>
      </c>
      <c r="AR6185">
        <v>0.36335934693921551</v>
      </c>
      <c r="AS6185" t="s">
        <v>65</v>
      </c>
      <c r="AT6185">
        <v>1</v>
      </c>
      <c r="AU6185" t="s">
        <v>1582</v>
      </c>
      <c r="AV6185" t="s">
        <v>1583</v>
      </c>
      <c r="AW6185" t="s">
        <v>60</v>
      </c>
      <c r="AX6185" t="s">
        <v>68</v>
      </c>
      <c r="AY6185" t="s">
        <v>69</v>
      </c>
      <c r="AZ6185" t="b">
        <v>1</v>
      </c>
    </row>
    <row r="6186" spans="1:52" x14ac:dyDescent="0.3">
      <c r="A6186" t="s">
        <v>52</v>
      </c>
      <c r="B6186" t="s">
        <v>53</v>
      </c>
      <c r="C6186" t="s">
        <v>54</v>
      </c>
      <c r="D6186" t="s">
        <v>55</v>
      </c>
      <c r="E6186" t="s">
        <v>2281</v>
      </c>
      <c r="F6186" t="s">
        <v>1247</v>
      </c>
      <c r="G6186" t="s">
        <v>1584</v>
      </c>
      <c r="H6186" t="s">
        <v>1585</v>
      </c>
      <c r="I6186" t="s">
        <v>1585</v>
      </c>
      <c r="J6186" t="s">
        <v>60</v>
      </c>
      <c r="K6186" t="s">
        <v>530</v>
      </c>
      <c r="L6186" t="s">
        <v>62</v>
      </c>
      <c r="M6186" t="s">
        <v>530</v>
      </c>
      <c r="N6186" t="s">
        <v>406</v>
      </c>
      <c r="O6186" t="s">
        <v>1586</v>
      </c>
      <c r="P6186">
        <v>-20.141316</v>
      </c>
      <c r="Q6186">
        <v>-44.896424000000003</v>
      </c>
      <c r="R6186" s="2" t="str">
        <f>HYPERLINK("https://www.google.com/maps?q=-20.1413160,-44.8964240","Abrir no Google Maps")</f>
        <v>Abrir no Google Maps</v>
      </c>
      <c r="S6186">
        <v>1</v>
      </c>
      <c r="T6186">
        <v>236.6687095166524</v>
      </c>
      <c r="U6186">
        <v>4</v>
      </c>
      <c r="V6186">
        <v>0.2782294489611562</v>
      </c>
      <c r="W6186">
        <v>1</v>
      </c>
      <c r="X6186">
        <v>0.2782294489611562</v>
      </c>
      <c r="Y6186">
        <v>588</v>
      </c>
      <c r="Z6186">
        <v>255.50729797374251</v>
      </c>
      <c r="AA6186">
        <v>198</v>
      </c>
      <c r="AB6186">
        <v>332</v>
      </c>
      <c r="AC6186">
        <v>536</v>
      </c>
      <c r="AD6186">
        <v>26.22</v>
      </c>
      <c r="AE6186">
        <v>542</v>
      </c>
      <c r="AF6186">
        <v>11</v>
      </c>
      <c r="AG6186">
        <v>181</v>
      </c>
      <c r="AH6186">
        <v>129</v>
      </c>
      <c r="AI6186">
        <v>2.0299999999999998</v>
      </c>
      <c r="AJ6186">
        <v>33.39</v>
      </c>
      <c r="AK6186">
        <v>23.8</v>
      </c>
      <c r="AL6186">
        <v>-20.141468299999961</v>
      </c>
      <c r="AM6186">
        <v>-44.896566678331098</v>
      </c>
      <c r="AN6186">
        <v>-20.141468299999961</v>
      </c>
      <c r="AO6186">
        <v>-44.896566678331098</v>
      </c>
      <c r="AP6186">
        <v>-20.141316</v>
      </c>
      <c r="AQ6186">
        <v>-44.896424000000003</v>
      </c>
      <c r="AR6186">
        <v>22.578666373759301</v>
      </c>
      <c r="AS6186" t="s">
        <v>65</v>
      </c>
      <c r="AT6186">
        <v>1</v>
      </c>
      <c r="AU6186" t="s">
        <v>1587</v>
      </c>
      <c r="AV6186" t="s">
        <v>1588</v>
      </c>
      <c r="AW6186" t="s">
        <v>60</v>
      </c>
      <c r="AX6186" t="s">
        <v>68</v>
      </c>
      <c r="AY6186" t="s">
        <v>69</v>
      </c>
      <c r="AZ6186" t="b">
        <v>1</v>
      </c>
    </row>
    <row r="6187" spans="1:52" x14ac:dyDescent="0.3">
      <c r="A6187" t="s">
        <v>52</v>
      </c>
      <c r="B6187" t="s">
        <v>53</v>
      </c>
      <c r="C6187" t="s">
        <v>54</v>
      </c>
      <c r="D6187" t="s">
        <v>55</v>
      </c>
      <c r="E6187" t="s">
        <v>2281</v>
      </c>
      <c r="F6187" t="s">
        <v>1247</v>
      </c>
      <c r="G6187" t="s">
        <v>1589</v>
      </c>
      <c r="H6187" t="s">
        <v>1590</v>
      </c>
      <c r="I6187" t="s">
        <v>1590</v>
      </c>
      <c r="J6187" t="s">
        <v>60</v>
      </c>
      <c r="K6187" t="s">
        <v>1591</v>
      </c>
      <c r="L6187" t="s">
        <v>62</v>
      </c>
      <c r="M6187" t="s">
        <v>1591</v>
      </c>
      <c r="N6187" t="s">
        <v>1592</v>
      </c>
      <c r="O6187" t="s">
        <v>659</v>
      </c>
      <c r="P6187">
        <v>-20.140789000000002</v>
      </c>
      <c r="Q6187">
        <v>-44.898631000000002</v>
      </c>
      <c r="R6187" s="2" t="str">
        <f>HYPERLINK("https://www.google.com/maps?q=-20.1407890,-44.8986310","Abrir no Google Maps")</f>
        <v>Abrir no Google Maps</v>
      </c>
      <c r="S6187">
        <v>1</v>
      </c>
      <c r="T6187">
        <v>0</v>
      </c>
      <c r="U6187">
        <v>4</v>
      </c>
      <c r="V6187">
        <v>0.21179302045728041</v>
      </c>
      <c r="W6187">
        <v>1</v>
      </c>
      <c r="X6187">
        <v>0.21179302045728041</v>
      </c>
      <c r="Y6187">
        <v>588</v>
      </c>
      <c r="Z6187">
        <v>51.152636251897107</v>
      </c>
      <c r="AA6187">
        <v>198</v>
      </c>
      <c r="AB6187">
        <v>332</v>
      </c>
      <c r="AC6187">
        <v>536</v>
      </c>
      <c r="AD6187">
        <v>26.22</v>
      </c>
      <c r="AE6187">
        <v>542</v>
      </c>
      <c r="AF6187">
        <v>11</v>
      </c>
      <c r="AG6187">
        <v>181</v>
      </c>
      <c r="AH6187">
        <v>129</v>
      </c>
      <c r="AI6187">
        <v>2.0299999999999998</v>
      </c>
      <c r="AJ6187">
        <v>33.39</v>
      </c>
      <c r="AK6187">
        <v>23.8</v>
      </c>
      <c r="AL6187">
        <v>-20.140759399999951</v>
      </c>
      <c r="AM6187">
        <v>-44.898703172474903</v>
      </c>
      <c r="AN6187">
        <v>-20.140759399999951</v>
      </c>
      <c r="AO6187">
        <v>-44.898703172474903</v>
      </c>
      <c r="AP6187">
        <v>-20.140789000000002</v>
      </c>
      <c r="AQ6187">
        <v>-44.898631000000002</v>
      </c>
      <c r="AR6187">
        <v>8.2312502179962053</v>
      </c>
      <c r="AS6187" t="s">
        <v>65</v>
      </c>
      <c r="AT6187">
        <v>1</v>
      </c>
      <c r="AU6187" t="s">
        <v>1593</v>
      </c>
      <c r="AV6187" t="s">
        <v>1594</v>
      </c>
      <c r="AW6187" t="s">
        <v>60</v>
      </c>
      <c r="AX6187" t="s">
        <v>68</v>
      </c>
      <c r="AY6187" t="s">
        <v>69</v>
      </c>
      <c r="AZ6187" t="b">
        <v>1</v>
      </c>
    </row>
    <row r="6188" spans="1:52" x14ac:dyDescent="0.3">
      <c r="A6188" t="s">
        <v>52</v>
      </c>
      <c r="B6188" t="s">
        <v>53</v>
      </c>
      <c r="C6188" t="s">
        <v>54</v>
      </c>
      <c r="D6188" t="s">
        <v>55</v>
      </c>
      <c r="E6188" t="s">
        <v>2281</v>
      </c>
      <c r="F6188" t="s">
        <v>1247</v>
      </c>
      <c r="G6188" t="s">
        <v>1595</v>
      </c>
      <c r="H6188" t="s">
        <v>1596</v>
      </c>
      <c r="I6188" t="s">
        <v>1596</v>
      </c>
      <c r="J6188" t="s">
        <v>60</v>
      </c>
      <c r="K6188" t="s">
        <v>530</v>
      </c>
      <c r="L6188" t="s">
        <v>62</v>
      </c>
      <c r="M6188" t="s">
        <v>530</v>
      </c>
      <c r="N6188" t="s">
        <v>1006</v>
      </c>
      <c r="O6188" t="s">
        <v>1597</v>
      </c>
      <c r="P6188">
        <v>-20.139135</v>
      </c>
      <c r="Q6188">
        <v>-44.895907000000001</v>
      </c>
      <c r="R6188" s="2" t="str">
        <f>HYPERLINK("https://www.google.com/maps?q=-20.1391350,-44.8959070","Abrir no Google Maps")</f>
        <v>Abrir no Google Maps</v>
      </c>
      <c r="S6188">
        <v>1</v>
      </c>
      <c r="T6188">
        <v>324.98342996447241</v>
      </c>
      <c r="U6188">
        <v>4</v>
      </c>
      <c r="V6188">
        <v>0.26991150442477879</v>
      </c>
      <c r="W6188">
        <v>1</v>
      </c>
      <c r="X6188">
        <v>0.26991150442477879</v>
      </c>
      <c r="Y6188">
        <v>588</v>
      </c>
      <c r="Z6188">
        <v>411.69998599301618</v>
      </c>
      <c r="AA6188">
        <v>198</v>
      </c>
      <c r="AB6188">
        <v>332</v>
      </c>
      <c r="AC6188">
        <v>536</v>
      </c>
      <c r="AD6188">
        <v>26.22</v>
      </c>
      <c r="AE6188">
        <v>542</v>
      </c>
      <c r="AF6188">
        <v>11</v>
      </c>
      <c r="AG6188">
        <v>181</v>
      </c>
      <c r="AH6188">
        <v>129</v>
      </c>
      <c r="AI6188">
        <v>2.0299999999999998</v>
      </c>
      <c r="AJ6188">
        <v>33.39</v>
      </c>
      <c r="AK6188">
        <v>23.8</v>
      </c>
      <c r="AL6188">
        <v>-20.139299649999941</v>
      </c>
      <c r="AM6188">
        <v>-44.896005009217312</v>
      </c>
      <c r="AN6188">
        <v>-20.139299649999941</v>
      </c>
      <c r="AO6188">
        <v>-44.896005009217312</v>
      </c>
      <c r="AP6188">
        <v>-20.139135</v>
      </c>
      <c r="AQ6188">
        <v>-44.895907000000001</v>
      </c>
      <c r="AR6188">
        <v>20.996943428875841</v>
      </c>
      <c r="AS6188" t="s">
        <v>65</v>
      </c>
      <c r="AT6188">
        <v>1</v>
      </c>
      <c r="AU6188" t="s">
        <v>1598</v>
      </c>
      <c r="AV6188" t="s">
        <v>1599</v>
      </c>
      <c r="AW6188" t="s">
        <v>60</v>
      </c>
      <c r="AX6188" t="s">
        <v>68</v>
      </c>
      <c r="AY6188" t="s">
        <v>69</v>
      </c>
      <c r="AZ6188" t="b">
        <v>1</v>
      </c>
    </row>
    <row r="6189" spans="1:52" x14ac:dyDescent="0.3">
      <c r="A6189" t="s">
        <v>52</v>
      </c>
      <c r="B6189" t="s">
        <v>53</v>
      </c>
      <c r="C6189" t="s">
        <v>54</v>
      </c>
      <c r="D6189" t="s">
        <v>55</v>
      </c>
      <c r="E6189" t="s">
        <v>2281</v>
      </c>
      <c r="F6189" t="s">
        <v>1247</v>
      </c>
      <c r="G6189" t="s">
        <v>1342</v>
      </c>
      <c r="H6189" t="s">
        <v>1600</v>
      </c>
      <c r="I6189" t="s">
        <v>1600</v>
      </c>
      <c r="J6189" t="s">
        <v>60</v>
      </c>
      <c r="K6189" t="s">
        <v>462</v>
      </c>
      <c r="L6189" t="s">
        <v>62</v>
      </c>
      <c r="M6189" t="s">
        <v>462</v>
      </c>
      <c r="N6189" t="s">
        <v>921</v>
      </c>
      <c r="O6189" t="s">
        <v>1601</v>
      </c>
      <c r="P6189">
        <v>-20.140741999999999</v>
      </c>
      <c r="Q6189">
        <v>-44.902729000000001</v>
      </c>
      <c r="R6189" s="2" t="str">
        <f>HYPERLINK("https://www.google.com/maps?q=-20.1407420,-44.9027290","Abrir no Google Maps")</f>
        <v>Abrir no Google Maps</v>
      </c>
      <c r="S6189">
        <v>1</v>
      </c>
      <c r="T6189">
        <v>373.97936588503438</v>
      </c>
      <c r="U6189">
        <v>4</v>
      </c>
      <c r="V6189">
        <v>0.1853741496598639</v>
      </c>
      <c r="W6189">
        <v>1</v>
      </c>
      <c r="X6189">
        <v>0.1853741496598639</v>
      </c>
      <c r="Y6189">
        <v>588</v>
      </c>
      <c r="Z6189">
        <v>427.55758539734131</v>
      </c>
      <c r="AA6189">
        <v>198</v>
      </c>
      <c r="AB6189">
        <v>332</v>
      </c>
      <c r="AC6189">
        <v>536</v>
      </c>
      <c r="AD6189">
        <v>26.22</v>
      </c>
      <c r="AE6189">
        <v>542</v>
      </c>
      <c r="AF6189">
        <v>11</v>
      </c>
      <c r="AG6189">
        <v>181</v>
      </c>
      <c r="AH6189">
        <v>129</v>
      </c>
      <c r="AI6189">
        <v>2.0299999999999998</v>
      </c>
      <c r="AJ6189">
        <v>33.39</v>
      </c>
      <c r="AK6189">
        <v>23.8</v>
      </c>
      <c r="AL6189">
        <v>-20.140729549999971</v>
      </c>
      <c r="AM6189">
        <v>-44.902779454814521</v>
      </c>
      <c r="AN6189">
        <v>-20.140729549999971</v>
      </c>
      <c r="AO6189">
        <v>-44.902779454814521</v>
      </c>
      <c r="AP6189">
        <v>-20.140741999999999</v>
      </c>
      <c r="AQ6189">
        <v>-44.902729000000001</v>
      </c>
      <c r="AR6189">
        <v>5.4522610212697993</v>
      </c>
      <c r="AS6189" t="s">
        <v>65</v>
      </c>
      <c r="AT6189">
        <v>1</v>
      </c>
      <c r="AU6189" t="s">
        <v>1602</v>
      </c>
      <c r="AV6189" t="s">
        <v>1603</v>
      </c>
      <c r="AW6189" t="s">
        <v>60</v>
      </c>
      <c r="AX6189" t="s">
        <v>68</v>
      </c>
      <c r="AY6189" t="s">
        <v>69</v>
      </c>
      <c r="AZ6189" t="b">
        <v>1</v>
      </c>
    </row>
    <row r="6190" spans="1:52" x14ac:dyDescent="0.3">
      <c r="A6190" t="s">
        <v>52</v>
      </c>
      <c r="B6190" t="s">
        <v>53</v>
      </c>
      <c r="C6190" t="s">
        <v>54</v>
      </c>
      <c r="D6190" t="s">
        <v>55</v>
      </c>
      <c r="E6190" t="s">
        <v>2281</v>
      </c>
      <c r="F6190" t="s">
        <v>1247</v>
      </c>
      <c r="G6190" t="s">
        <v>1612</v>
      </c>
      <c r="H6190" t="s">
        <v>1613</v>
      </c>
      <c r="I6190" t="s">
        <v>1613</v>
      </c>
      <c r="J6190" t="s">
        <v>60</v>
      </c>
      <c r="K6190" t="s">
        <v>1349</v>
      </c>
      <c r="L6190" t="s">
        <v>62</v>
      </c>
      <c r="M6190" t="s">
        <v>1349</v>
      </c>
      <c r="N6190" t="s">
        <v>1614</v>
      </c>
      <c r="O6190" t="s">
        <v>710</v>
      </c>
      <c r="P6190">
        <v>-20.141335999999999</v>
      </c>
      <c r="Q6190">
        <v>-44.901133000000002</v>
      </c>
      <c r="R6190" s="2" t="str">
        <f>HYPERLINK("https://www.google.com/maps?q=-20.1413360,-44.9011330","Abrir no Google Maps")</f>
        <v>Abrir no Google Maps</v>
      </c>
      <c r="S6190">
        <v>1</v>
      </c>
      <c r="T6190">
        <v>257.92927430829218</v>
      </c>
      <c r="U6190">
        <v>4</v>
      </c>
      <c r="V6190">
        <v>0.1999999999999999</v>
      </c>
      <c r="W6190">
        <v>0.85</v>
      </c>
      <c r="X6190">
        <v>0.1699999999999999</v>
      </c>
      <c r="Y6190">
        <v>588</v>
      </c>
      <c r="Z6190">
        <v>252.62617475231269</v>
      </c>
      <c r="AA6190">
        <v>198</v>
      </c>
      <c r="AB6190">
        <v>332</v>
      </c>
      <c r="AC6190">
        <v>536</v>
      </c>
      <c r="AD6190">
        <v>26.22</v>
      </c>
      <c r="AE6190">
        <v>542</v>
      </c>
      <c r="AF6190">
        <v>11</v>
      </c>
      <c r="AG6190">
        <v>181</v>
      </c>
      <c r="AH6190">
        <v>129</v>
      </c>
      <c r="AI6190">
        <v>2.0299999999999998</v>
      </c>
      <c r="AJ6190">
        <v>33.39</v>
      </c>
      <c r="AK6190">
        <v>23.8</v>
      </c>
      <c r="AL6190">
        <v>-20.141297649999959</v>
      </c>
      <c r="AM6190">
        <v>-44.901104406351408</v>
      </c>
      <c r="AN6190">
        <v>-20.141297649999959</v>
      </c>
      <c r="AO6190">
        <v>-44.901104406351408</v>
      </c>
      <c r="AP6190">
        <v>-20.141335999999999</v>
      </c>
      <c r="AQ6190">
        <v>-44.901133000000002</v>
      </c>
      <c r="AR6190">
        <v>5.211130154459668</v>
      </c>
      <c r="AS6190" t="s">
        <v>65</v>
      </c>
      <c r="AT6190">
        <v>1</v>
      </c>
      <c r="AU6190" t="s">
        <v>1615</v>
      </c>
      <c r="AV6190" t="s">
        <v>1616</v>
      </c>
      <c r="AW6190" t="s">
        <v>60</v>
      </c>
      <c r="AX6190" t="s">
        <v>68</v>
      </c>
      <c r="AY6190" t="s">
        <v>69</v>
      </c>
      <c r="AZ6190" t="b">
        <v>1</v>
      </c>
    </row>
    <row r="6191" spans="1:52" x14ac:dyDescent="0.3">
      <c r="A6191" t="s">
        <v>52</v>
      </c>
      <c r="B6191" t="s">
        <v>53</v>
      </c>
      <c r="C6191" t="s">
        <v>54</v>
      </c>
      <c r="D6191" t="s">
        <v>55</v>
      </c>
      <c r="E6191" t="s">
        <v>2281</v>
      </c>
      <c r="F6191" t="s">
        <v>1247</v>
      </c>
      <c r="G6191" t="s">
        <v>1584</v>
      </c>
      <c r="H6191" t="s">
        <v>1604</v>
      </c>
      <c r="I6191" t="s">
        <v>1604</v>
      </c>
      <c r="J6191" t="s">
        <v>60</v>
      </c>
      <c r="K6191" t="s">
        <v>530</v>
      </c>
      <c r="L6191" t="s">
        <v>62</v>
      </c>
      <c r="M6191" t="s">
        <v>530</v>
      </c>
      <c r="N6191" t="s">
        <v>406</v>
      </c>
      <c r="O6191" t="s">
        <v>1267</v>
      </c>
      <c r="P6191">
        <v>-20.147068000000001</v>
      </c>
      <c r="Q6191">
        <v>-44.898629999999997</v>
      </c>
      <c r="R6191" s="2" t="str">
        <f>HYPERLINK("https://www.google.com/maps?q=-20.1470680,-44.8986300","Abrir no Google Maps")</f>
        <v>Abrir no Google Maps</v>
      </c>
      <c r="S6191">
        <v>1</v>
      </c>
      <c r="T6191">
        <v>468.5580266389448</v>
      </c>
      <c r="U6191">
        <v>4</v>
      </c>
      <c r="V6191">
        <v>0.19221411192214111</v>
      </c>
      <c r="W6191">
        <v>1</v>
      </c>
      <c r="X6191">
        <v>0.19221411192214111</v>
      </c>
      <c r="Y6191">
        <v>556</v>
      </c>
      <c r="Z6191">
        <v>447.77738134922419</v>
      </c>
      <c r="AA6191">
        <v>198</v>
      </c>
      <c r="AB6191">
        <v>332</v>
      </c>
      <c r="AC6191">
        <v>536</v>
      </c>
      <c r="AD6191">
        <v>26.22</v>
      </c>
      <c r="AE6191">
        <v>542</v>
      </c>
      <c r="AF6191">
        <v>11</v>
      </c>
      <c r="AG6191">
        <v>181</v>
      </c>
      <c r="AH6191">
        <v>129</v>
      </c>
      <c r="AI6191">
        <v>2.0299999999999998</v>
      </c>
      <c r="AJ6191">
        <v>33.39</v>
      </c>
      <c r="AK6191">
        <v>23.8</v>
      </c>
      <c r="AL6191">
        <v>-20.14701759999997</v>
      </c>
      <c r="AM6191">
        <v>-44.898633710342303</v>
      </c>
      <c r="AN6191">
        <v>-20.14701759999997</v>
      </c>
      <c r="AO6191">
        <v>-44.898633710342303</v>
      </c>
      <c r="AP6191">
        <v>-20.147068000000001</v>
      </c>
      <c r="AQ6191">
        <v>-44.898629999999997</v>
      </c>
      <c r="AR6191">
        <v>5.6239118246064832</v>
      </c>
      <c r="AS6191" t="s">
        <v>65</v>
      </c>
      <c r="AT6191">
        <v>1</v>
      </c>
      <c r="AU6191" t="s">
        <v>1605</v>
      </c>
      <c r="AV6191" t="s">
        <v>1606</v>
      </c>
      <c r="AW6191" t="s">
        <v>60</v>
      </c>
      <c r="AX6191" t="s">
        <v>68</v>
      </c>
      <c r="AY6191" t="s">
        <v>69</v>
      </c>
      <c r="AZ6191" t="b">
        <v>1</v>
      </c>
    </row>
    <row r="6192" spans="1:52" x14ac:dyDescent="0.3">
      <c r="A6192" t="s">
        <v>52</v>
      </c>
      <c r="B6192" t="s">
        <v>53</v>
      </c>
      <c r="C6192" t="s">
        <v>54</v>
      </c>
      <c r="D6192" t="s">
        <v>55</v>
      </c>
      <c r="E6192" t="s">
        <v>2281</v>
      </c>
      <c r="F6192" t="s">
        <v>1247</v>
      </c>
      <c r="G6192" t="s">
        <v>1607</v>
      </c>
      <c r="H6192" t="s">
        <v>1608</v>
      </c>
      <c r="I6192" t="s">
        <v>1608</v>
      </c>
      <c r="J6192" t="s">
        <v>60</v>
      </c>
      <c r="K6192" t="s">
        <v>1486</v>
      </c>
      <c r="L6192" t="s">
        <v>62</v>
      </c>
      <c r="M6192" t="s">
        <v>1486</v>
      </c>
      <c r="N6192" t="s">
        <v>1609</v>
      </c>
      <c r="O6192" t="s">
        <v>1255</v>
      </c>
      <c r="P6192">
        <v>-20.157689000000001</v>
      </c>
      <c r="Q6192">
        <v>-44.883887000000001</v>
      </c>
      <c r="R6192" s="2" t="str">
        <f>HYPERLINK("https://www.google.com/maps?q=-20.1576890,-44.8838870","Abrir no Google Maps")</f>
        <v>Abrir no Google Maps</v>
      </c>
      <c r="S6192">
        <v>1</v>
      </c>
      <c r="T6192">
        <v>603.38424821205774</v>
      </c>
      <c r="U6192">
        <v>3</v>
      </c>
      <c r="V6192">
        <v>2.4911032028469698E-2</v>
      </c>
      <c r="W6192">
        <v>1</v>
      </c>
      <c r="X6192">
        <v>2.4911032028469698E-2</v>
      </c>
      <c r="Y6192">
        <v>671</v>
      </c>
      <c r="Z6192">
        <v>682.48636898467089</v>
      </c>
      <c r="AA6192">
        <v>198</v>
      </c>
      <c r="AB6192">
        <v>332</v>
      </c>
      <c r="AC6192">
        <v>536</v>
      </c>
      <c r="AD6192">
        <v>26.22</v>
      </c>
      <c r="AE6192">
        <v>542</v>
      </c>
      <c r="AF6192">
        <v>11</v>
      </c>
      <c r="AG6192">
        <v>181</v>
      </c>
      <c r="AH6192">
        <v>129</v>
      </c>
      <c r="AI6192">
        <v>2.0299999999999998</v>
      </c>
      <c r="AJ6192">
        <v>33.39</v>
      </c>
      <c r="AK6192">
        <v>23.8</v>
      </c>
      <c r="AL6192">
        <v>-20.157732249999949</v>
      </c>
      <c r="AM6192">
        <v>-44.883829923283272</v>
      </c>
      <c r="AN6192">
        <v>-20.157732249999949</v>
      </c>
      <c r="AO6192">
        <v>-44.883829923283272</v>
      </c>
      <c r="AP6192">
        <v>-20.157689000000001</v>
      </c>
      <c r="AQ6192">
        <v>-44.883887000000001</v>
      </c>
      <c r="AR6192">
        <v>7.6652901074925257</v>
      </c>
      <c r="AS6192" t="s">
        <v>65</v>
      </c>
      <c r="AT6192">
        <v>1</v>
      </c>
      <c r="AU6192" t="s">
        <v>1610</v>
      </c>
      <c r="AV6192" t="s">
        <v>1611</v>
      </c>
      <c r="AW6192" t="s">
        <v>60</v>
      </c>
      <c r="AX6192" t="s">
        <v>68</v>
      </c>
      <c r="AY6192" t="s">
        <v>69</v>
      </c>
      <c r="AZ6192" t="b">
        <v>1</v>
      </c>
    </row>
    <row r="6193" spans="1:52" x14ac:dyDescent="0.3">
      <c r="A6193" t="s">
        <v>52</v>
      </c>
      <c r="B6193" t="s">
        <v>53</v>
      </c>
      <c r="C6193" t="s">
        <v>54</v>
      </c>
      <c r="D6193" t="s">
        <v>55</v>
      </c>
      <c r="E6193" t="s">
        <v>2295</v>
      </c>
      <c r="F6193" t="s">
        <v>57</v>
      </c>
      <c r="G6193" t="s">
        <v>58</v>
      </c>
      <c r="H6193" t="s">
        <v>59</v>
      </c>
      <c r="I6193" t="s">
        <v>59</v>
      </c>
      <c r="J6193" t="s">
        <v>60</v>
      </c>
      <c r="K6193" t="s">
        <v>61</v>
      </c>
      <c r="L6193" t="s">
        <v>62</v>
      </c>
      <c r="M6193" t="s">
        <v>61</v>
      </c>
      <c r="N6193" t="s">
        <v>63</v>
      </c>
      <c r="O6193" t="s">
        <v>64</v>
      </c>
      <c r="P6193">
        <v>-20.147940999999999</v>
      </c>
      <c r="Q6193">
        <v>-44.906514000000001</v>
      </c>
      <c r="R6193" s="2" t="str">
        <f>HYPERLINK("https://www.google.com/maps?q=-20.1479410,-44.9065140","Abrir no Google Maps")</f>
        <v>Abrir no Google Maps</v>
      </c>
      <c r="S6193">
        <v>4</v>
      </c>
      <c r="T6193">
        <v>308.67004994113421</v>
      </c>
      <c r="U6193">
        <v>4</v>
      </c>
      <c r="V6193">
        <v>0.48829793047456221</v>
      </c>
      <c r="W6193">
        <v>1</v>
      </c>
      <c r="X6193">
        <v>0.48829793047456221</v>
      </c>
      <c r="Y6193">
        <v>747</v>
      </c>
      <c r="Z6193">
        <v>274.71440454502522</v>
      </c>
      <c r="AA6193">
        <v>198</v>
      </c>
      <c r="AB6193">
        <v>332</v>
      </c>
      <c r="AC6193">
        <v>536</v>
      </c>
      <c r="AD6193">
        <v>29.58</v>
      </c>
      <c r="AE6193">
        <v>542</v>
      </c>
      <c r="AF6193">
        <v>30</v>
      </c>
      <c r="AG6193">
        <v>169</v>
      </c>
      <c r="AH6193">
        <v>129</v>
      </c>
      <c r="AI6193">
        <v>5.54</v>
      </c>
      <c r="AJ6193">
        <v>31.18</v>
      </c>
      <c r="AK6193">
        <v>23.8</v>
      </c>
      <c r="AL6193">
        <v>-20.147947799999969</v>
      </c>
      <c r="AM6193">
        <v>-44.906591596129203</v>
      </c>
      <c r="AN6193">
        <v>-20.147947799999969</v>
      </c>
      <c r="AO6193">
        <v>-44.906591596129203</v>
      </c>
      <c r="AP6193">
        <v>-20.147940999999999</v>
      </c>
      <c r="AQ6193">
        <v>-44.906514000000001</v>
      </c>
      <c r="AR6193">
        <v>8.1446636170570326</v>
      </c>
      <c r="AS6193" t="s">
        <v>65</v>
      </c>
      <c r="AT6193">
        <v>1</v>
      </c>
      <c r="AU6193" t="s">
        <v>66</v>
      </c>
      <c r="AV6193" t="s">
        <v>67</v>
      </c>
      <c r="AW6193" t="s">
        <v>60</v>
      </c>
      <c r="AX6193" t="s">
        <v>68</v>
      </c>
      <c r="AY6193" t="s">
        <v>69</v>
      </c>
      <c r="AZ6193" t="b">
        <v>1</v>
      </c>
    </row>
    <row r="6194" spans="1:52" x14ac:dyDescent="0.3">
      <c r="A6194" t="s">
        <v>52</v>
      </c>
      <c r="B6194" t="s">
        <v>53</v>
      </c>
      <c r="C6194" t="s">
        <v>54</v>
      </c>
      <c r="D6194" t="s">
        <v>55</v>
      </c>
      <c r="E6194" t="s">
        <v>2295</v>
      </c>
      <c r="F6194" t="s">
        <v>57</v>
      </c>
      <c r="G6194" t="s">
        <v>191</v>
      </c>
      <c r="H6194" t="s">
        <v>192</v>
      </c>
      <c r="I6194" t="s">
        <v>192</v>
      </c>
      <c r="J6194" t="s">
        <v>60</v>
      </c>
      <c r="K6194" t="s">
        <v>193</v>
      </c>
      <c r="L6194" t="s">
        <v>62</v>
      </c>
      <c r="M6194" t="s">
        <v>193</v>
      </c>
      <c r="N6194" t="s">
        <v>194</v>
      </c>
      <c r="O6194" t="s">
        <v>195</v>
      </c>
      <c r="P6194">
        <v>-20.143266000000001</v>
      </c>
      <c r="Q6194">
        <v>-44.912075000000002</v>
      </c>
      <c r="R6194" s="2" t="str">
        <f>HYPERLINK("https://www.google.com/maps?q=-20.1432660,-44.9120750","Abrir no Google Maps")</f>
        <v>Abrir no Google Maps</v>
      </c>
      <c r="S6194">
        <v>4</v>
      </c>
      <c r="T6194">
        <v>467.04339396175408</v>
      </c>
      <c r="U6194">
        <v>4</v>
      </c>
      <c r="V6194">
        <v>0.47643026459094112</v>
      </c>
      <c r="W6194">
        <v>1</v>
      </c>
      <c r="X6194">
        <v>0.47643026459094112</v>
      </c>
      <c r="Y6194">
        <v>747</v>
      </c>
      <c r="Z6194">
        <v>585.1742452866996</v>
      </c>
      <c r="AA6194">
        <v>198</v>
      </c>
      <c r="AB6194">
        <v>332</v>
      </c>
      <c r="AC6194">
        <v>536</v>
      </c>
      <c r="AD6194">
        <v>29.58</v>
      </c>
      <c r="AE6194">
        <v>542</v>
      </c>
      <c r="AF6194">
        <v>30</v>
      </c>
      <c r="AG6194">
        <v>169</v>
      </c>
      <c r="AH6194">
        <v>129</v>
      </c>
      <c r="AI6194">
        <v>5.54</v>
      </c>
      <c r="AJ6194">
        <v>31.18</v>
      </c>
      <c r="AK6194">
        <v>23.8</v>
      </c>
      <c r="AL6194">
        <v>-20.143307949999951</v>
      </c>
      <c r="AM6194">
        <v>-44.912066629431067</v>
      </c>
      <c r="AN6194">
        <v>-20.143307949999951</v>
      </c>
      <c r="AO6194">
        <v>-44.912066629431067</v>
      </c>
      <c r="AP6194">
        <v>-20.143266000000001</v>
      </c>
      <c r="AQ6194">
        <v>-44.912075000000002</v>
      </c>
      <c r="AR6194">
        <v>4.751108024498329</v>
      </c>
      <c r="AS6194" t="s">
        <v>65</v>
      </c>
      <c r="AT6194">
        <v>1</v>
      </c>
      <c r="AU6194" t="s">
        <v>196</v>
      </c>
      <c r="AV6194" t="s">
        <v>197</v>
      </c>
      <c r="AW6194" t="s">
        <v>60</v>
      </c>
      <c r="AX6194" t="s">
        <v>68</v>
      </c>
      <c r="AY6194" t="s">
        <v>69</v>
      </c>
      <c r="AZ6194" t="b">
        <v>1</v>
      </c>
    </row>
    <row r="6195" spans="1:52" x14ac:dyDescent="0.3">
      <c r="A6195" t="s">
        <v>52</v>
      </c>
      <c r="B6195" t="s">
        <v>53</v>
      </c>
      <c r="C6195" t="s">
        <v>54</v>
      </c>
      <c r="D6195" t="s">
        <v>55</v>
      </c>
      <c r="E6195" t="s">
        <v>2295</v>
      </c>
      <c r="F6195" t="s">
        <v>57</v>
      </c>
      <c r="G6195" t="s">
        <v>83</v>
      </c>
      <c r="H6195" t="s">
        <v>84</v>
      </c>
      <c r="I6195" t="s">
        <v>84</v>
      </c>
      <c r="J6195" t="s">
        <v>60</v>
      </c>
      <c r="K6195" t="s">
        <v>61</v>
      </c>
      <c r="L6195" t="s">
        <v>62</v>
      </c>
      <c r="M6195" t="s">
        <v>61</v>
      </c>
      <c r="N6195" t="s">
        <v>85</v>
      </c>
      <c r="O6195" t="s">
        <v>86</v>
      </c>
      <c r="P6195">
        <v>-20.149799000000002</v>
      </c>
      <c r="Q6195">
        <v>-44.906517000000001</v>
      </c>
      <c r="R6195" s="2" t="str">
        <f>HYPERLINK("https://www.google.com/maps?q=-20.1497990,-44.9065170","Abrir no Google Maps")</f>
        <v>Abrir no Google Maps</v>
      </c>
      <c r="S6195">
        <v>4</v>
      </c>
      <c r="T6195">
        <v>487.90051105537998</v>
      </c>
      <c r="U6195">
        <v>4</v>
      </c>
      <c r="V6195">
        <v>0.46317996845900311</v>
      </c>
      <c r="W6195">
        <v>1</v>
      </c>
      <c r="X6195">
        <v>0.46317996845900311</v>
      </c>
      <c r="Y6195">
        <v>747</v>
      </c>
      <c r="Z6195">
        <v>365.93785960107078</v>
      </c>
      <c r="AA6195">
        <v>198</v>
      </c>
      <c r="AB6195">
        <v>332</v>
      </c>
      <c r="AC6195">
        <v>536</v>
      </c>
      <c r="AD6195">
        <v>29.58</v>
      </c>
      <c r="AE6195">
        <v>542</v>
      </c>
      <c r="AF6195">
        <v>30</v>
      </c>
      <c r="AG6195">
        <v>169</v>
      </c>
      <c r="AH6195">
        <v>129</v>
      </c>
      <c r="AI6195">
        <v>5.54</v>
      </c>
      <c r="AJ6195">
        <v>31.18</v>
      </c>
      <c r="AK6195">
        <v>23.8</v>
      </c>
      <c r="AL6195">
        <v>-20.149879599999959</v>
      </c>
      <c r="AM6195">
        <v>-44.906746466068469</v>
      </c>
      <c r="AN6195">
        <v>-20.149879599999959</v>
      </c>
      <c r="AO6195">
        <v>-44.906746466068469</v>
      </c>
      <c r="AP6195">
        <v>-20.149799000000002</v>
      </c>
      <c r="AQ6195">
        <v>-44.906517000000001</v>
      </c>
      <c r="AR6195">
        <v>25.604276856970429</v>
      </c>
      <c r="AS6195" t="s">
        <v>65</v>
      </c>
      <c r="AT6195">
        <v>1</v>
      </c>
      <c r="AU6195" t="s">
        <v>87</v>
      </c>
      <c r="AV6195" t="s">
        <v>88</v>
      </c>
      <c r="AW6195" t="s">
        <v>60</v>
      </c>
      <c r="AX6195" t="s">
        <v>68</v>
      </c>
      <c r="AY6195" t="s">
        <v>69</v>
      </c>
      <c r="AZ6195" t="b">
        <v>1</v>
      </c>
    </row>
    <row r="6196" spans="1:52" x14ac:dyDescent="0.3">
      <c r="A6196" t="s">
        <v>52</v>
      </c>
      <c r="B6196" t="s">
        <v>53</v>
      </c>
      <c r="C6196" t="s">
        <v>54</v>
      </c>
      <c r="D6196" t="s">
        <v>55</v>
      </c>
      <c r="E6196" t="s">
        <v>2295</v>
      </c>
      <c r="F6196" t="s">
        <v>57</v>
      </c>
      <c r="G6196" t="s">
        <v>89</v>
      </c>
      <c r="H6196" t="s">
        <v>90</v>
      </c>
      <c r="I6196" t="s">
        <v>90</v>
      </c>
      <c r="J6196" t="s">
        <v>60</v>
      </c>
      <c r="K6196" t="s">
        <v>72</v>
      </c>
      <c r="L6196" t="s">
        <v>62</v>
      </c>
      <c r="M6196" t="s">
        <v>72</v>
      </c>
      <c r="N6196" t="s">
        <v>91</v>
      </c>
      <c r="O6196" t="s">
        <v>92</v>
      </c>
      <c r="P6196">
        <v>-20.145848999999998</v>
      </c>
      <c r="Q6196">
        <v>-44.908419000000002</v>
      </c>
      <c r="R6196" s="2" t="str">
        <f>HYPERLINK("https://www.google.com/maps?q=-20.1458490,-44.9084190","Abrir no Google Maps")</f>
        <v>Abrir no Google Maps</v>
      </c>
      <c r="S6196">
        <v>4</v>
      </c>
      <c r="T6196">
        <v>0</v>
      </c>
      <c r="U6196">
        <v>4</v>
      </c>
      <c r="V6196">
        <v>0.47306813712141838</v>
      </c>
      <c r="W6196">
        <v>1</v>
      </c>
      <c r="X6196">
        <v>0.47306813712141838</v>
      </c>
      <c r="Y6196">
        <v>747</v>
      </c>
      <c r="Z6196">
        <v>136.08168502765241</v>
      </c>
      <c r="AA6196">
        <v>198</v>
      </c>
      <c r="AB6196">
        <v>332</v>
      </c>
      <c r="AC6196">
        <v>536</v>
      </c>
      <c r="AD6196">
        <v>29.58</v>
      </c>
      <c r="AE6196">
        <v>542</v>
      </c>
      <c r="AF6196">
        <v>30</v>
      </c>
      <c r="AG6196">
        <v>169</v>
      </c>
      <c r="AH6196">
        <v>129</v>
      </c>
      <c r="AI6196">
        <v>5.54</v>
      </c>
      <c r="AJ6196">
        <v>31.18</v>
      </c>
      <c r="AK6196">
        <v>23.8</v>
      </c>
      <c r="AL6196">
        <v>-20.14576979999995</v>
      </c>
      <c r="AM6196">
        <v>-44.908436775053183</v>
      </c>
      <c r="AN6196">
        <v>-20.14576979999995</v>
      </c>
      <c r="AO6196">
        <v>-44.908436775053183</v>
      </c>
      <c r="AP6196">
        <v>-20.145848999999998</v>
      </c>
      <c r="AQ6196">
        <v>-44.908419000000002</v>
      </c>
      <c r="AR6196">
        <v>9.0101247482327356</v>
      </c>
      <c r="AS6196" t="s">
        <v>65</v>
      </c>
      <c r="AT6196">
        <v>1</v>
      </c>
      <c r="AU6196" t="s">
        <v>93</v>
      </c>
      <c r="AV6196" t="s">
        <v>94</v>
      </c>
      <c r="AW6196" t="s">
        <v>60</v>
      </c>
      <c r="AX6196" t="s">
        <v>68</v>
      </c>
      <c r="AY6196" t="s">
        <v>69</v>
      </c>
      <c r="AZ6196" t="b">
        <v>1</v>
      </c>
    </row>
    <row r="6197" spans="1:52" x14ac:dyDescent="0.3">
      <c r="A6197" t="s">
        <v>52</v>
      </c>
      <c r="B6197" t="s">
        <v>53</v>
      </c>
      <c r="C6197" t="s">
        <v>54</v>
      </c>
      <c r="D6197" t="s">
        <v>55</v>
      </c>
      <c r="E6197" t="s">
        <v>2295</v>
      </c>
      <c r="F6197" t="s">
        <v>57</v>
      </c>
      <c r="G6197" t="s">
        <v>100</v>
      </c>
      <c r="H6197" t="s">
        <v>101</v>
      </c>
      <c r="I6197" t="s">
        <v>101</v>
      </c>
      <c r="J6197" t="s">
        <v>60</v>
      </c>
      <c r="K6197" t="s">
        <v>61</v>
      </c>
      <c r="L6197" t="s">
        <v>62</v>
      </c>
      <c r="M6197" t="s">
        <v>61</v>
      </c>
      <c r="N6197" t="s">
        <v>102</v>
      </c>
      <c r="O6197" t="s">
        <v>103</v>
      </c>
      <c r="P6197">
        <v>-20.151098999999999</v>
      </c>
      <c r="Q6197">
        <v>-44.909699000000003</v>
      </c>
      <c r="R6197" s="2" t="str">
        <f>HYPERLINK("https://www.google.com/maps?q=-20.1510990,-44.9096990","Abrir no Google Maps")</f>
        <v>Abrir no Google Maps</v>
      </c>
      <c r="S6197">
        <v>4</v>
      </c>
      <c r="T6197">
        <v>628.5023128813533</v>
      </c>
      <c r="U6197">
        <v>4</v>
      </c>
      <c r="V6197">
        <v>0.47299107142857139</v>
      </c>
      <c r="W6197">
        <v>1</v>
      </c>
      <c r="X6197">
        <v>0.47299107142857139</v>
      </c>
      <c r="Y6197">
        <v>747</v>
      </c>
      <c r="Z6197">
        <v>563.16456625265948</v>
      </c>
      <c r="AA6197">
        <v>198</v>
      </c>
      <c r="AB6197">
        <v>332</v>
      </c>
      <c r="AC6197">
        <v>536</v>
      </c>
      <c r="AD6197">
        <v>29.58</v>
      </c>
      <c r="AE6197">
        <v>542</v>
      </c>
      <c r="AF6197">
        <v>30</v>
      </c>
      <c r="AG6197">
        <v>169</v>
      </c>
      <c r="AH6197">
        <v>129</v>
      </c>
      <c r="AI6197">
        <v>5.54</v>
      </c>
      <c r="AJ6197">
        <v>31.18</v>
      </c>
      <c r="AK6197">
        <v>23.8</v>
      </c>
      <c r="AL6197">
        <v>-20.151307349999971</v>
      </c>
      <c r="AM6197">
        <v>-44.909772836123523</v>
      </c>
      <c r="AN6197">
        <v>-20.151307349999971</v>
      </c>
      <c r="AO6197">
        <v>-44.909772836123523</v>
      </c>
      <c r="AP6197">
        <v>-20.151098999999999</v>
      </c>
      <c r="AQ6197">
        <v>-44.909699000000003</v>
      </c>
      <c r="AR6197">
        <v>24.443417349564811</v>
      </c>
      <c r="AS6197" t="s">
        <v>65</v>
      </c>
      <c r="AT6197">
        <v>1</v>
      </c>
      <c r="AU6197" t="s">
        <v>104</v>
      </c>
      <c r="AV6197" t="s">
        <v>105</v>
      </c>
      <c r="AW6197" t="s">
        <v>60</v>
      </c>
      <c r="AX6197" t="s">
        <v>68</v>
      </c>
      <c r="AY6197" t="s">
        <v>69</v>
      </c>
      <c r="AZ6197" t="b">
        <v>1</v>
      </c>
    </row>
    <row r="6198" spans="1:52" x14ac:dyDescent="0.3">
      <c r="A6198" t="s">
        <v>52</v>
      </c>
      <c r="B6198" t="s">
        <v>53</v>
      </c>
      <c r="C6198" t="s">
        <v>54</v>
      </c>
      <c r="D6198" t="s">
        <v>55</v>
      </c>
      <c r="E6198" t="s">
        <v>2295</v>
      </c>
      <c r="F6198" t="s">
        <v>57</v>
      </c>
      <c r="G6198" t="s">
        <v>219</v>
      </c>
      <c r="H6198" t="s">
        <v>220</v>
      </c>
      <c r="I6198" t="s">
        <v>220</v>
      </c>
      <c r="J6198" t="s">
        <v>60</v>
      </c>
      <c r="K6198" t="s">
        <v>214</v>
      </c>
      <c r="L6198" t="s">
        <v>62</v>
      </c>
      <c r="M6198" t="s">
        <v>214</v>
      </c>
      <c r="N6198" t="s">
        <v>221</v>
      </c>
      <c r="O6198" t="s">
        <v>222</v>
      </c>
      <c r="P6198">
        <v>-20.158049999999999</v>
      </c>
      <c r="Q6198">
        <v>-44.868823999999996</v>
      </c>
      <c r="R6198" s="2" t="str">
        <f>HYPERLINK("https://www.google.com/maps?q=-20.1580500,-44.8688240","Abrir no Google Maps")</f>
        <v>Abrir no Google Maps</v>
      </c>
      <c r="S6198">
        <v>4</v>
      </c>
      <c r="T6198">
        <v>400.85705002223079</v>
      </c>
      <c r="U6198">
        <v>4</v>
      </c>
      <c r="V6198">
        <v>0.48563978868624541</v>
      </c>
      <c r="W6198">
        <v>1</v>
      </c>
      <c r="X6198">
        <v>0.48563978868624541</v>
      </c>
      <c r="Y6198">
        <v>531</v>
      </c>
      <c r="Z6198">
        <v>493.98501624607121</v>
      </c>
      <c r="AA6198">
        <v>198</v>
      </c>
      <c r="AB6198">
        <v>332</v>
      </c>
      <c r="AC6198">
        <v>536</v>
      </c>
      <c r="AD6198">
        <v>29.58</v>
      </c>
      <c r="AE6198">
        <v>542</v>
      </c>
      <c r="AF6198">
        <v>30</v>
      </c>
      <c r="AG6198">
        <v>169</v>
      </c>
      <c r="AH6198">
        <v>129</v>
      </c>
      <c r="AI6198">
        <v>5.54</v>
      </c>
      <c r="AJ6198">
        <v>31.18</v>
      </c>
      <c r="AK6198">
        <v>23.8</v>
      </c>
      <c r="AL6198">
        <v>-20.158020649999969</v>
      </c>
      <c r="AM6198">
        <v>-44.868748475381317</v>
      </c>
      <c r="AN6198">
        <v>-20.158020649999969</v>
      </c>
      <c r="AO6198">
        <v>-44.868748475381331</v>
      </c>
      <c r="AP6198">
        <v>-20.158049999999999</v>
      </c>
      <c r="AQ6198">
        <v>-44.868823999999996</v>
      </c>
      <c r="AR6198">
        <v>8.5419571471718818</v>
      </c>
      <c r="AS6198" t="s">
        <v>65</v>
      </c>
      <c r="AT6198">
        <v>1</v>
      </c>
      <c r="AU6198" t="s">
        <v>223</v>
      </c>
      <c r="AV6198" t="s">
        <v>224</v>
      </c>
      <c r="AW6198" t="s">
        <v>60</v>
      </c>
      <c r="AX6198" t="s">
        <v>68</v>
      </c>
      <c r="AY6198" t="s">
        <v>69</v>
      </c>
      <c r="AZ6198" t="b">
        <v>1</v>
      </c>
    </row>
    <row r="6199" spans="1:52" x14ac:dyDescent="0.3">
      <c r="A6199" t="s">
        <v>52</v>
      </c>
      <c r="B6199" t="s">
        <v>53</v>
      </c>
      <c r="C6199" t="s">
        <v>54</v>
      </c>
      <c r="D6199" t="s">
        <v>55</v>
      </c>
      <c r="E6199" t="s">
        <v>2295</v>
      </c>
      <c r="F6199" t="s">
        <v>57</v>
      </c>
      <c r="G6199" t="s">
        <v>232</v>
      </c>
      <c r="H6199" t="s">
        <v>233</v>
      </c>
      <c r="I6199" t="s">
        <v>233</v>
      </c>
      <c r="J6199" t="s">
        <v>60</v>
      </c>
      <c r="K6199" t="s">
        <v>227</v>
      </c>
      <c r="L6199" t="s">
        <v>62</v>
      </c>
      <c r="M6199" t="s">
        <v>227</v>
      </c>
      <c r="N6199" t="s">
        <v>234</v>
      </c>
      <c r="O6199" t="s">
        <v>235</v>
      </c>
      <c r="P6199">
        <v>-20.158666</v>
      </c>
      <c r="Q6199">
        <v>-44.861398999999999</v>
      </c>
      <c r="R6199" s="2" t="str">
        <f>HYPERLINK("https://www.google.com/maps?q=-20.1586660,-44.8613990","Abrir no Google Maps")</f>
        <v>Abrir no Google Maps</v>
      </c>
      <c r="S6199">
        <v>4</v>
      </c>
      <c r="T6199">
        <v>330.01505397941582</v>
      </c>
      <c r="U6199">
        <v>4</v>
      </c>
      <c r="V6199">
        <v>0.46652256205101728</v>
      </c>
      <c r="W6199">
        <v>1</v>
      </c>
      <c r="X6199">
        <v>0.46652256205101728</v>
      </c>
      <c r="Y6199">
        <v>518</v>
      </c>
      <c r="Z6199">
        <v>251.8092920281106</v>
      </c>
      <c r="AA6199">
        <v>198</v>
      </c>
      <c r="AB6199">
        <v>332</v>
      </c>
      <c r="AC6199">
        <v>536</v>
      </c>
      <c r="AD6199">
        <v>29.58</v>
      </c>
      <c r="AE6199">
        <v>542</v>
      </c>
      <c r="AF6199">
        <v>30</v>
      </c>
      <c r="AG6199">
        <v>169</v>
      </c>
      <c r="AH6199">
        <v>129</v>
      </c>
      <c r="AI6199">
        <v>5.54</v>
      </c>
      <c r="AJ6199">
        <v>31.18</v>
      </c>
      <c r="AK6199">
        <v>23.8</v>
      </c>
      <c r="AL6199">
        <v>-20.158631449999969</v>
      </c>
      <c r="AM6199">
        <v>-44.861424574758061</v>
      </c>
      <c r="AN6199">
        <v>-20.158631449999969</v>
      </c>
      <c r="AO6199">
        <v>-44.861424574758061</v>
      </c>
      <c r="AP6199">
        <v>-20.158666</v>
      </c>
      <c r="AQ6199">
        <v>-44.861398999999999</v>
      </c>
      <c r="AR6199">
        <v>4.6835056709567411</v>
      </c>
      <c r="AS6199" t="s">
        <v>65</v>
      </c>
      <c r="AT6199">
        <v>1</v>
      </c>
      <c r="AU6199" t="s">
        <v>236</v>
      </c>
      <c r="AV6199" t="s">
        <v>237</v>
      </c>
      <c r="AW6199" t="s">
        <v>60</v>
      </c>
      <c r="AX6199" t="s">
        <v>68</v>
      </c>
      <c r="AY6199" t="s">
        <v>69</v>
      </c>
      <c r="AZ6199" t="b">
        <v>1</v>
      </c>
    </row>
    <row r="6200" spans="1:52" x14ac:dyDescent="0.3">
      <c r="A6200" t="s">
        <v>52</v>
      </c>
      <c r="B6200" t="s">
        <v>53</v>
      </c>
      <c r="C6200" t="s">
        <v>54</v>
      </c>
      <c r="D6200" t="s">
        <v>55</v>
      </c>
      <c r="E6200" t="s">
        <v>2295</v>
      </c>
      <c r="F6200" t="s">
        <v>57</v>
      </c>
      <c r="G6200" t="s">
        <v>238</v>
      </c>
      <c r="H6200" t="s">
        <v>239</v>
      </c>
      <c r="I6200" t="s">
        <v>239</v>
      </c>
      <c r="J6200" t="s">
        <v>60</v>
      </c>
      <c r="K6200" t="s">
        <v>227</v>
      </c>
      <c r="L6200" t="s">
        <v>62</v>
      </c>
      <c r="M6200" t="s">
        <v>227</v>
      </c>
      <c r="N6200" t="s">
        <v>240</v>
      </c>
      <c r="O6200" t="s">
        <v>202</v>
      </c>
      <c r="P6200">
        <v>-20.155833999999999</v>
      </c>
      <c r="Q6200">
        <v>-44.859437999999997</v>
      </c>
      <c r="R6200" s="2" t="str">
        <f>HYPERLINK("https://www.google.com/maps?q=-20.1558340,-44.8594380","Abrir no Google Maps")</f>
        <v>Abrir no Google Maps</v>
      </c>
      <c r="S6200">
        <v>4</v>
      </c>
      <c r="T6200">
        <v>381.00646482339403</v>
      </c>
      <c r="U6200">
        <v>4</v>
      </c>
      <c r="V6200">
        <v>0.46284600389863551</v>
      </c>
      <c r="W6200">
        <v>1</v>
      </c>
      <c r="X6200">
        <v>0.46284600389863551</v>
      </c>
      <c r="Y6200">
        <v>518</v>
      </c>
      <c r="Z6200">
        <v>484.9275363207239</v>
      </c>
      <c r="AA6200">
        <v>198</v>
      </c>
      <c r="AB6200">
        <v>332</v>
      </c>
      <c r="AC6200">
        <v>536</v>
      </c>
      <c r="AD6200">
        <v>29.58</v>
      </c>
      <c r="AE6200">
        <v>542</v>
      </c>
      <c r="AF6200">
        <v>30</v>
      </c>
      <c r="AG6200">
        <v>169</v>
      </c>
      <c r="AH6200">
        <v>129</v>
      </c>
      <c r="AI6200">
        <v>5.54</v>
      </c>
      <c r="AJ6200">
        <v>31.18</v>
      </c>
      <c r="AK6200">
        <v>23.8</v>
      </c>
      <c r="AL6200">
        <v>-20.155935399999979</v>
      </c>
      <c r="AM6200">
        <v>-44.859367525422847</v>
      </c>
      <c r="AN6200">
        <v>-20.155935399999979</v>
      </c>
      <c r="AO6200">
        <v>-44.859367525422847</v>
      </c>
      <c r="AP6200">
        <v>-20.155833999999999</v>
      </c>
      <c r="AQ6200">
        <v>-44.859437999999997</v>
      </c>
      <c r="AR6200">
        <v>13.477960508152201</v>
      </c>
      <c r="AS6200" t="s">
        <v>65</v>
      </c>
      <c r="AT6200">
        <v>1</v>
      </c>
      <c r="AU6200" t="s">
        <v>241</v>
      </c>
      <c r="AV6200" t="s">
        <v>242</v>
      </c>
      <c r="AW6200" t="s">
        <v>60</v>
      </c>
      <c r="AX6200" t="s">
        <v>68</v>
      </c>
      <c r="AY6200" t="s">
        <v>69</v>
      </c>
      <c r="AZ6200" t="b">
        <v>1</v>
      </c>
    </row>
    <row r="6201" spans="1:52" x14ac:dyDescent="0.3">
      <c r="A6201" t="s">
        <v>52</v>
      </c>
      <c r="B6201" t="s">
        <v>53</v>
      </c>
      <c r="C6201" t="s">
        <v>54</v>
      </c>
      <c r="D6201" t="s">
        <v>55</v>
      </c>
      <c r="E6201" t="s">
        <v>2295</v>
      </c>
      <c r="F6201" t="s">
        <v>57</v>
      </c>
      <c r="G6201" t="s">
        <v>243</v>
      </c>
      <c r="H6201" t="s">
        <v>244</v>
      </c>
      <c r="I6201" t="s">
        <v>244</v>
      </c>
      <c r="J6201" t="s">
        <v>60</v>
      </c>
      <c r="K6201" t="s">
        <v>214</v>
      </c>
      <c r="L6201" t="s">
        <v>62</v>
      </c>
      <c r="M6201" t="s">
        <v>214</v>
      </c>
      <c r="N6201" t="s">
        <v>245</v>
      </c>
      <c r="O6201" t="s">
        <v>246</v>
      </c>
      <c r="P6201">
        <v>-20.156296999999999</v>
      </c>
      <c r="Q6201">
        <v>-44.873035999999999</v>
      </c>
      <c r="R6201" s="2" t="str">
        <f>HYPERLINK("https://www.google.com/maps?q=-20.1562970,-44.8730360","Abrir no Google Maps")</f>
        <v>Abrir no Google Maps</v>
      </c>
      <c r="S6201">
        <v>4</v>
      </c>
      <c r="T6201">
        <v>198.04479306725889</v>
      </c>
      <c r="U6201">
        <v>4</v>
      </c>
      <c r="V6201">
        <v>0.48153393541324568</v>
      </c>
      <c r="W6201">
        <v>1</v>
      </c>
      <c r="X6201">
        <v>0.48153393541324568</v>
      </c>
      <c r="Y6201">
        <v>305</v>
      </c>
      <c r="Z6201">
        <v>267.7765515134916</v>
      </c>
      <c r="AA6201">
        <v>198</v>
      </c>
      <c r="AB6201">
        <v>332</v>
      </c>
      <c r="AC6201">
        <v>536</v>
      </c>
      <c r="AD6201">
        <v>29.58</v>
      </c>
      <c r="AE6201">
        <v>542</v>
      </c>
      <c r="AF6201">
        <v>30</v>
      </c>
      <c r="AG6201">
        <v>169</v>
      </c>
      <c r="AH6201">
        <v>129</v>
      </c>
      <c r="AI6201">
        <v>5.54</v>
      </c>
      <c r="AJ6201">
        <v>31.18</v>
      </c>
      <c r="AK6201">
        <v>23.8</v>
      </c>
      <c r="AL6201">
        <v>-20.156361349999941</v>
      </c>
      <c r="AM6201">
        <v>-44.87296512500793</v>
      </c>
      <c r="AN6201">
        <v>-20.156361349999941</v>
      </c>
      <c r="AO6201">
        <v>-44.87296512500793</v>
      </c>
      <c r="AP6201">
        <v>-20.156296999999999</v>
      </c>
      <c r="AQ6201">
        <v>-44.873035999999999</v>
      </c>
      <c r="AR6201">
        <v>10.304009356726979</v>
      </c>
      <c r="AS6201" t="s">
        <v>65</v>
      </c>
      <c r="AT6201">
        <v>1</v>
      </c>
      <c r="AU6201" t="s">
        <v>247</v>
      </c>
      <c r="AV6201" t="s">
        <v>248</v>
      </c>
      <c r="AW6201" t="s">
        <v>60</v>
      </c>
      <c r="AX6201" t="s">
        <v>68</v>
      </c>
      <c r="AY6201" t="s">
        <v>69</v>
      </c>
      <c r="AZ6201" t="b">
        <v>1</v>
      </c>
    </row>
    <row r="6202" spans="1:52" x14ac:dyDescent="0.3">
      <c r="A6202" t="s">
        <v>52</v>
      </c>
      <c r="B6202" t="s">
        <v>53</v>
      </c>
      <c r="C6202" t="s">
        <v>54</v>
      </c>
      <c r="D6202" t="s">
        <v>55</v>
      </c>
      <c r="E6202" t="s">
        <v>2295</v>
      </c>
      <c r="F6202" t="s">
        <v>57</v>
      </c>
      <c r="G6202" t="s">
        <v>1623</v>
      </c>
      <c r="H6202" t="s">
        <v>1624</v>
      </c>
      <c r="I6202" t="s">
        <v>1624</v>
      </c>
      <c r="J6202" t="s">
        <v>60</v>
      </c>
      <c r="K6202" t="s">
        <v>281</v>
      </c>
      <c r="L6202" t="s">
        <v>62</v>
      </c>
      <c r="M6202" t="s">
        <v>281</v>
      </c>
      <c r="N6202" t="s">
        <v>1625</v>
      </c>
      <c r="O6202" t="s">
        <v>1538</v>
      </c>
      <c r="P6202">
        <v>-20.177247000000001</v>
      </c>
      <c r="Q6202">
        <v>-44.848650999999997</v>
      </c>
      <c r="R6202" s="2" t="str">
        <f>HYPERLINK("https://www.google.com/maps?q=-20.1772470,-44.8486510","Abrir no Google Maps")</f>
        <v>Abrir no Google Maps</v>
      </c>
      <c r="S6202">
        <v>4</v>
      </c>
      <c r="T6202">
        <v>1293.074917502197</v>
      </c>
      <c r="U6202">
        <v>4</v>
      </c>
      <c r="V6202">
        <v>0.53635850935398877</v>
      </c>
      <c r="W6202">
        <v>1</v>
      </c>
      <c r="X6202">
        <v>0.53635850935398877</v>
      </c>
      <c r="Y6202">
        <v>292</v>
      </c>
      <c r="Z6202">
        <v>1225.3954943545491</v>
      </c>
      <c r="AA6202">
        <v>198</v>
      </c>
      <c r="AB6202">
        <v>332</v>
      </c>
      <c r="AC6202">
        <v>536</v>
      </c>
      <c r="AD6202">
        <v>29.58</v>
      </c>
      <c r="AE6202">
        <v>542</v>
      </c>
      <c r="AF6202">
        <v>30</v>
      </c>
      <c r="AG6202">
        <v>169</v>
      </c>
      <c r="AH6202">
        <v>129</v>
      </c>
      <c r="AI6202">
        <v>5.54</v>
      </c>
      <c r="AJ6202">
        <v>31.18</v>
      </c>
      <c r="AK6202">
        <v>23.8</v>
      </c>
      <c r="AL6202">
        <v>-20.17729789999996</v>
      </c>
      <c r="AM6202">
        <v>-44.848543982702637</v>
      </c>
      <c r="AN6202">
        <v>-20.17729789999996</v>
      </c>
      <c r="AO6202">
        <v>-44.848543982702637</v>
      </c>
      <c r="AP6202">
        <v>-20.177247000000001</v>
      </c>
      <c r="AQ6202">
        <v>-44.848650999999997</v>
      </c>
      <c r="AR6202">
        <v>12.53570773213052</v>
      </c>
      <c r="AS6202" t="s">
        <v>65</v>
      </c>
      <c r="AT6202">
        <v>1</v>
      </c>
      <c r="AU6202" t="s">
        <v>1626</v>
      </c>
      <c r="AV6202" t="s">
        <v>1627</v>
      </c>
      <c r="AW6202" t="s">
        <v>60</v>
      </c>
      <c r="AX6202" t="s">
        <v>68</v>
      </c>
      <c r="AY6202" t="s">
        <v>69</v>
      </c>
      <c r="AZ6202" t="b">
        <v>1</v>
      </c>
    </row>
    <row r="6203" spans="1:52" x14ac:dyDescent="0.3">
      <c r="A6203" t="s">
        <v>52</v>
      </c>
      <c r="B6203" t="s">
        <v>53</v>
      </c>
      <c r="C6203" t="s">
        <v>54</v>
      </c>
      <c r="D6203" t="s">
        <v>55</v>
      </c>
      <c r="E6203" t="s">
        <v>2295</v>
      </c>
      <c r="F6203" t="s">
        <v>57</v>
      </c>
      <c r="G6203" t="s">
        <v>1628</v>
      </c>
      <c r="H6203" t="s">
        <v>1629</v>
      </c>
      <c r="I6203" t="s">
        <v>1629</v>
      </c>
      <c r="J6203" t="s">
        <v>60</v>
      </c>
      <c r="K6203" t="s">
        <v>136</v>
      </c>
      <c r="L6203" t="s">
        <v>62</v>
      </c>
      <c r="M6203" t="s">
        <v>136</v>
      </c>
      <c r="N6203" t="s">
        <v>1630</v>
      </c>
      <c r="O6203" t="s">
        <v>103</v>
      </c>
      <c r="P6203">
        <v>-20.169488999999999</v>
      </c>
      <c r="Q6203">
        <v>-44.848812000000002</v>
      </c>
      <c r="R6203" s="2" t="str">
        <f>HYPERLINK("https://www.google.com/maps?q=-20.1694890,-44.8488120","Abrir no Google Maps")</f>
        <v>Abrir no Google Maps</v>
      </c>
      <c r="S6203">
        <v>4</v>
      </c>
      <c r="T6203">
        <v>426.92881761579793</v>
      </c>
      <c r="U6203">
        <v>4</v>
      </c>
      <c r="V6203">
        <v>0.482486783359175</v>
      </c>
      <c r="W6203">
        <v>1</v>
      </c>
      <c r="X6203">
        <v>0.482486783359175</v>
      </c>
      <c r="Y6203">
        <v>292</v>
      </c>
      <c r="Z6203">
        <v>345.01829288722871</v>
      </c>
      <c r="AA6203">
        <v>198</v>
      </c>
      <c r="AB6203">
        <v>332</v>
      </c>
      <c r="AC6203">
        <v>536</v>
      </c>
      <c r="AD6203">
        <v>29.58</v>
      </c>
      <c r="AE6203">
        <v>542</v>
      </c>
      <c r="AF6203">
        <v>30</v>
      </c>
      <c r="AG6203">
        <v>169</v>
      </c>
      <c r="AH6203">
        <v>129</v>
      </c>
      <c r="AI6203">
        <v>5.54</v>
      </c>
      <c r="AJ6203">
        <v>31.18</v>
      </c>
      <c r="AK6203">
        <v>23.8</v>
      </c>
      <c r="AL6203">
        <v>-20.169293749999959</v>
      </c>
      <c r="AM6203">
        <v>-44.848899945665508</v>
      </c>
      <c r="AN6203">
        <v>-20.169293749999959</v>
      </c>
      <c r="AO6203">
        <v>-44.848899945665508</v>
      </c>
      <c r="AP6203">
        <v>-20.169488999999999</v>
      </c>
      <c r="AQ6203">
        <v>-44.848812000000002</v>
      </c>
      <c r="AR6203">
        <v>23.598134321543789</v>
      </c>
      <c r="AS6203" t="s">
        <v>65</v>
      </c>
      <c r="AT6203">
        <v>1</v>
      </c>
      <c r="AU6203" t="s">
        <v>1631</v>
      </c>
      <c r="AV6203" t="s">
        <v>1632</v>
      </c>
      <c r="AW6203" t="s">
        <v>60</v>
      </c>
      <c r="AX6203" t="s">
        <v>68</v>
      </c>
      <c r="AY6203" t="s">
        <v>69</v>
      </c>
      <c r="AZ6203" t="b">
        <v>1</v>
      </c>
    </row>
    <row r="6204" spans="1:52" x14ac:dyDescent="0.3">
      <c r="A6204" t="s">
        <v>52</v>
      </c>
      <c r="B6204" t="s">
        <v>53</v>
      </c>
      <c r="C6204" t="s">
        <v>54</v>
      </c>
      <c r="D6204" t="s">
        <v>55</v>
      </c>
      <c r="E6204" t="s">
        <v>2295</v>
      </c>
      <c r="F6204" t="s">
        <v>57</v>
      </c>
      <c r="G6204" t="s">
        <v>267</v>
      </c>
      <c r="H6204" t="s">
        <v>268</v>
      </c>
      <c r="I6204" t="s">
        <v>268</v>
      </c>
      <c r="J6204" t="s">
        <v>60</v>
      </c>
      <c r="K6204" t="s">
        <v>150</v>
      </c>
      <c r="L6204" t="s">
        <v>62</v>
      </c>
      <c r="M6204" t="s">
        <v>150</v>
      </c>
      <c r="N6204" t="s">
        <v>269</v>
      </c>
      <c r="O6204" t="s">
        <v>270</v>
      </c>
      <c r="P6204">
        <v>-20.172367999999999</v>
      </c>
      <c r="Q6204">
        <v>-44.848661</v>
      </c>
      <c r="R6204" s="2" t="str">
        <f>HYPERLINK("https://www.google.com/maps?q=-20.1723680,-44.8486610","Abrir no Google Maps")</f>
        <v>Abrir no Google Maps</v>
      </c>
      <c r="S6204">
        <v>4</v>
      </c>
      <c r="T6204">
        <v>759.75892180950234</v>
      </c>
      <c r="U6204">
        <v>4</v>
      </c>
      <c r="V6204">
        <v>0.49307185658396468</v>
      </c>
      <c r="W6204">
        <v>1</v>
      </c>
      <c r="X6204">
        <v>0.49307185658396468</v>
      </c>
      <c r="Y6204">
        <v>292</v>
      </c>
      <c r="Z6204">
        <v>735.80511761487242</v>
      </c>
      <c r="AA6204">
        <v>198</v>
      </c>
      <c r="AB6204">
        <v>332</v>
      </c>
      <c r="AC6204">
        <v>536</v>
      </c>
      <c r="AD6204">
        <v>29.58</v>
      </c>
      <c r="AE6204">
        <v>542</v>
      </c>
      <c r="AF6204">
        <v>30</v>
      </c>
      <c r="AG6204">
        <v>169</v>
      </c>
      <c r="AH6204">
        <v>129</v>
      </c>
      <c r="AI6204">
        <v>5.54</v>
      </c>
      <c r="AJ6204">
        <v>31.18</v>
      </c>
      <c r="AK6204">
        <v>23.8</v>
      </c>
      <c r="AL6204">
        <v>-20.172435999999951</v>
      </c>
      <c r="AM6204">
        <v>-44.84866233556005</v>
      </c>
      <c r="AN6204">
        <v>-20.172435999999951</v>
      </c>
      <c r="AO6204">
        <v>-44.84866233556005</v>
      </c>
      <c r="AP6204">
        <v>-20.172367999999999</v>
      </c>
      <c r="AQ6204">
        <v>-44.848661</v>
      </c>
      <c r="AR6204">
        <v>7.5710462874877198</v>
      </c>
      <c r="AS6204" t="s">
        <v>65</v>
      </c>
      <c r="AT6204">
        <v>1</v>
      </c>
      <c r="AU6204" t="s">
        <v>271</v>
      </c>
      <c r="AV6204" t="s">
        <v>272</v>
      </c>
      <c r="AW6204" t="s">
        <v>60</v>
      </c>
      <c r="AX6204" t="s">
        <v>68</v>
      </c>
      <c r="AY6204" t="s">
        <v>69</v>
      </c>
      <c r="AZ6204" t="b">
        <v>1</v>
      </c>
    </row>
    <row r="6205" spans="1:52" x14ac:dyDescent="0.3">
      <c r="A6205" t="s">
        <v>52</v>
      </c>
      <c r="B6205" t="s">
        <v>53</v>
      </c>
      <c r="C6205" t="s">
        <v>54</v>
      </c>
      <c r="D6205" t="s">
        <v>55</v>
      </c>
      <c r="E6205" t="s">
        <v>2295</v>
      </c>
      <c r="F6205" t="s">
        <v>57</v>
      </c>
      <c r="G6205" t="s">
        <v>273</v>
      </c>
      <c r="H6205" t="s">
        <v>274</v>
      </c>
      <c r="I6205" t="s">
        <v>274</v>
      </c>
      <c r="J6205" t="s">
        <v>60</v>
      </c>
      <c r="K6205" t="s">
        <v>143</v>
      </c>
      <c r="L6205" t="s">
        <v>62</v>
      </c>
      <c r="M6205" t="s">
        <v>143</v>
      </c>
      <c r="N6205" t="s">
        <v>275</v>
      </c>
      <c r="O6205" t="s">
        <v>276</v>
      </c>
      <c r="P6205">
        <v>-20.171367</v>
      </c>
      <c r="Q6205">
        <v>-44.844709999999999</v>
      </c>
      <c r="R6205" s="2" t="str">
        <f>HYPERLINK("https://www.google.com/maps?q=-20.1713670,-44.8447100","Abrir no Google Maps")</f>
        <v>Abrir no Google Maps</v>
      </c>
      <c r="S6205">
        <v>4</v>
      </c>
      <c r="T6205">
        <v>700.36715126879801</v>
      </c>
      <c r="U6205">
        <v>4</v>
      </c>
      <c r="V6205">
        <v>0.50535822314406709</v>
      </c>
      <c r="W6205">
        <v>1</v>
      </c>
      <c r="X6205">
        <v>0.50535822314406709</v>
      </c>
      <c r="Y6205">
        <v>292</v>
      </c>
      <c r="Z6205">
        <v>767.70201658334747</v>
      </c>
      <c r="AA6205">
        <v>198</v>
      </c>
      <c r="AB6205">
        <v>332</v>
      </c>
      <c r="AC6205">
        <v>536</v>
      </c>
      <c r="AD6205">
        <v>29.58</v>
      </c>
      <c r="AE6205">
        <v>542</v>
      </c>
      <c r="AF6205">
        <v>30</v>
      </c>
      <c r="AG6205">
        <v>169</v>
      </c>
      <c r="AH6205">
        <v>129</v>
      </c>
      <c r="AI6205">
        <v>5.54</v>
      </c>
      <c r="AJ6205">
        <v>31.18</v>
      </c>
      <c r="AK6205">
        <v>23.8</v>
      </c>
      <c r="AL6205">
        <v>-20.17140124999997</v>
      </c>
      <c r="AM6205">
        <v>-44.844758486699448</v>
      </c>
      <c r="AN6205">
        <v>-20.171401249999981</v>
      </c>
      <c r="AO6205">
        <v>-44.844758486699448</v>
      </c>
      <c r="AP6205">
        <v>-20.171367</v>
      </c>
      <c r="AQ6205">
        <v>-44.844709999999999</v>
      </c>
      <c r="AR6205">
        <v>6.3408204899540994</v>
      </c>
      <c r="AS6205" t="s">
        <v>65</v>
      </c>
      <c r="AT6205">
        <v>1</v>
      </c>
      <c r="AU6205" t="s">
        <v>277</v>
      </c>
      <c r="AV6205" t="s">
        <v>278</v>
      </c>
      <c r="AW6205" t="s">
        <v>60</v>
      </c>
      <c r="AX6205" t="s">
        <v>68</v>
      </c>
      <c r="AY6205" t="s">
        <v>69</v>
      </c>
      <c r="AZ6205" t="b">
        <v>1</v>
      </c>
    </row>
    <row r="6206" spans="1:52" x14ac:dyDescent="0.3">
      <c r="A6206" t="s">
        <v>52</v>
      </c>
      <c r="B6206" t="s">
        <v>53</v>
      </c>
      <c r="C6206" t="s">
        <v>54</v>
      </c>
      <c r="D6206" t="s">
        <v>55</v>
      </c>
      <c r="E6206" t="s">
        <v>2295</v>
      </c>
      <c r="F6206" t="s">
        <v>57</v>
      </c>
      <c r="G6206" t="s">
        <v>279</v>
      </c>
      <c r="H6206" t="s">
        <v>280</v>
      </c>
      <c r="I6206" t="s">
        <v>280</v>
      </c>
      <c r="J6206" t="s">
        <v>60</v>
      </c>
      <c r="K6206" t="s">
        <v>281</v>
      </c>
      <c r="L6206" t="s">
        <v>62</v>
      </c>
      <c r="M6206" t="s">
        <v>281</v>
      </c>
      <c r="N6206" t="s">
        <v>282</v>
      </c>
      <c r="O6206" t="s">
        <v>283</v>
      </c>
      <c r="P6206">
        <v>-20.175312999999999</v>
      </c>
      <c r="Q6206">
        <v>-44.848562999999999</v>
      </c>
      <c r="R6206" s="2" t="str">
        <f>HYPERLINK("https://www.google.com/maps?q=-20.1753130,-44.8485630","Abrir no Google Maps")</f>
        <v>Abrir no Google Maps</v>
      </c>
      <c r="S6206">
        <v>4</v>
      </c>
      <c r="T6206">
        <v>1076.9164078034139</v>
      </c>
      <c r="U6206">
        <v>4</v>
      </c>
      <c r="V6206">
        <v>0.53098233799988181</v>
      </c>
      <c r="W6206">
        <v>1</v>
      </c>
      <c r="X6206">
        <v>0.53098233799988181</v>
      </c>
      <c r="Y6206">
        <v>292</v>
      </c>
      <c r="Z6206">
        <v>1035.650579259463</v>
      </c>
      <c r="AA6206">
        <v>198</v>
      </c>
      <c r="AB6206">
        <v>332</v>
      </c>
      <c r="AC6206">
        <v>536</v>
      </c>
      <c r="AD6206">
        <v>29.58</v>
      </c>
      <c r="AE6206">
        <v>542</v>
      </c>
      <c r="AF6206">
        <v>30</v>
      </c>
      <c r="AG6206">
        <v>169</v>
      </c>
      <c r="AH6206">
        <v>129</v>
      </c>
      <c r="AI6206">
        <v>5.54</v>
      </c>
      <c r="AJ6206">
        <v>31.18</v>
      </c>
      <c r="AK6206">
        <v>23.8</v>
      </c>
      <c r="AL6206">
        <v>-20.175338949999961</v>
      </c>
      <c r="AM6206">
        <v>-44.848523168324952</v>
      </c>
      <c r="AN6206">
        <v>-20.175338949999961</v>
      </c>
      <c r="AO6206">
        <v>-44.848523168324952</v>
      </c>
      <c r="AP6206">
        <v>-20.175312999999999</v>
      </c>
      <c r="AQ6206">
        <v>-44.848562999999999</v>
      </c>
      <c r="AR6206">
        <v>5.0662709576519056</v>
      </c>
      <c r="AS6206" t="s">
        <v>65</v>
      </c>
      <c r="AT6206">
        <v>1</v>
      </c>
      <c r="AU6206" t="s">
        <v>284</v>
      </c>
      <c r="AV6206" t="s">
        <v>285</v>
      </c>
      <c r="AW6206" t="s">
        <v>60</v>
      </c>
      <c r="AX6206" t="s">
        <v>68</v>
      </c>
      <c r="AY6206" t="s">
        <v>69</v>
      </c>
      <c r="AZ6206" t="b">
        <v>1</v>
      </c>
    </row>
    <row r="6207" spans="1:52" x14ac:dyDescent="0.3">
      <c r="A6207" t="s">
        <v>52</v>
      </c>
      <c r="B6207" t="s">
        <v>53</v>
      </c>
      <c r="C6207" t="s">
        <v>54</v>
      </c>
      <c r="D6207" t="s">
        <v>55</v>
      </c>
      <c r="E6207" t="s">
        <v>2295</v>
      </c>
      <c r="F6207" t="s">
        <v>57</v>
      </c>
      <c r="G6207" t="s">
        <v>134</v>
      </c>
      <c r="H6207" t="s">
        <v>135</v>
      </c>
      <c r="I6207" t="s">
        <v>135</v>
      </c>
      <c r="J6207" t="s">
        <v>60</v>
      </c>
      <c r="K6207" t="s">
        <v>136</v>
      </c>
      <c r="L6207" t="s">
        <v>62</v>
      </c>
      <c r="M6207" t="s">
        <v>136</v>
      </c>
      <c r="N6207" t="s">
        <v>137</v>
      </c>
      <c r="O6207" t="s">
        <v>138</v>
      </c>
      <c r="P6207">
        <v>-20.165773000000002</v>
      </c>
      <c r="Q6207">
        <v>-44.847566999999998</v>
      </c>
      <c r="R6207" s="2" t="str">
        <f>HYPERLINK("https://www.google.com/maps?q=-20.1657730,-44.8475670","Abrir no Google Maps")</f>
        <v>Abrir no Google Maps</v>
      </c>
      <c r="S6207">
        <v>4</v>
      </c>
      <c r="T6207">
        <v>0</v>
      </c>
      <c r="U6207">
        <v>4</v>
      </c>
      <c r="V6207">
        <v>0.47657187950024099</v>
      </c>
      <c r="W6207">
        <v>1</v>
      </c>
      <c r="X6207">
        <v>0.47657187950024099</v>
      </c>
      <c r="Y6207">
        <v>292</v>
      </c>
      <c r="Z6207">
        <v>98.987346341524855</v>
      </c>
      <c r="AA6207">
        <v>198</v>
      </c>
      <c r="AB6207">
        <v>332</v>
      </c>
      <c r="AC6207">
        <v>536</v>
      </c>
      <c r="AD6207">
        <v>29.58</v>
      </c>
      <c r="AE6207">
        <v>542</v>
      </c>
      <c r="AF6207">
        <v>30</v>
      </c>
      <c r="AG6207">
        <v>169</v>
      </c>
      <c r="AH6207">
        <v>129</v>
      </c>
      <c r="AI6207">
        <v>5.54</v>
      </c>
      <c r="AJ6207">
        <v>31.18</v>
      </c>
      <c r="AK6207">
        <v>23.8</v>
      </c>
      <c r="AL6207">
        <v>-20.16565029999995</v>
      </c>
      <c r="AM6207">
        <v>-44.847556627666897</v>
      </c>
      <c r="AN6207">
        <v>-20.16565029999995</v>
      </c>
      <c r="AO6207">
        <v>-44.847556627666897</v>
      </c>
      <c r="AP6207">
        <v>-20.165773000000002</v>
      </c>
      <c r="AQ6207">
        <v>-44.847566999999998</v>
      </c>
      <c r="AR6207">
        <v>13.701900146251189</v>
      </c>
      <c r="AS6207" t="s">
        <v>65</v>
      </c>
      <c r="AT6207">
        <v>1</v>
      </c>
      <c r="AU6207" t="s">
        <v>139</v>
      </c>
      <c r="AV6207" t="s">
        <v>140</v>
      </c>
      <c r="AW6207" t="s">
        <v>60</v>
      </c>
      <c r="AX6207" t="s">
        <v>68</v>
      </c>
      <c r="AY6207" t="s">
        <v>69</v>
      </c>
      <c r="AZ6207" t="b">
        <v>1</v>
      </c>
    </row>
    <row r="6208" spans="1:52" x14ac:dyDescent="0.3">
      <c r="A6208" t="s">
        <v>52</v>
      </c>
      <c r="B6208" t="s">
        <v>53</v>
      </c>
      <c r="C6208" t="s">
        <v>54</v>
      </c>
      <c r="D6208" t="s">
        <v>55</v>
      </c>
      <c r="E6208" t="s">
        <v>2295</v>
      </c>
      <c r="F6208" t="s">
        <v>57</v>
      </c>
      <c r="G6208" t="s">
        <v>141</v>
      </c>
      <c r="H6208" t="s">
        <v>142</v>
      </c>
      <c r="I6208" t="s">
        <v>142</v>
      </c>
      <c r="J6208" t="s">
        <v>60</v>
      </c>
      <c r="K6208" t="s">
        <v>143</v>
      </c>
      <c r="L6208" t="s">
        <v>62</v>
      </c>
      <c r="M6208" t="s">
        <v>143</v>
      </c>
      <c r="N6208" t="s">
        <v>144</v>
      </c>
      <c r="O6208" t="s">
        <v>145</v>
      </c>
      <c r="P6208">
        <v>-20.163377000000001</v>
      </c>
      <c r="Q6208">
        <v>-44.843598</v>
      </c>
      <c r="R6208" s="2" t="str">
        <f>HYPERLINK("https://www.google.com/maps?q=-20.1633770,-44.8435980","Abrir no Google Maps")</f>
        <v>Abrir no Google Maps</v>
      </c>
      <c r="S6208">
        <v>4</v>
      </c>
      <c r="T6208">
        <v>481.58374128635978</v>
      </c>
      <c r="U6208">
        <v>4</v>
      </c>
      <c r="V6208">
        <v>0.46466803559206021</v>
      </c>
      <c r="W6208">
        <v>1</v>
      </c>
      <c r="X6208">
        <v>0.46466803559206021</v>
      </c>
      <c r="Y6208">
        <v>292</v>
      </c>
      <c r="Z6208">
        <v>575.44522663909652</v>
      </c>
      <c r="AA6208">
        <v>198</v>
      </c>
      <c r="AB6208">
        <v>332</v>
      </c>
      <c r="AC6208">
        <v>536</v>
      </c>
      <c r="AD6208">
        <v>29.58</v>
      </c>
      <c r="AE6208">
        <v>542</v>
      </c>
      <c r="AF6208">
        <v>30</v>
      </c>
      <c r="AG6208">
        <v>169</v>
      </c>
      <c r="AH6208">
        <v>129</v>
      </c>
      <c r="AI6208">
        <v>5.54</v>
      </c>
      <c r="AJ6208">
        <v>31.18</v>
      </c>
      <c r="AK6208">
        <v>23.8</v>
      </c>
      <c r="AL6208">
        <v>-20.16343344999996</v>
      </c>
      <c r="AM6208">
        <v>-44.843590796247732</v>
      </c>
      <c r="AN6208">
        <v>-20.16343344999996</v>
      </c>
      <c r="AO6208">
        <v>-44.843590796247732</v>
      </c>
      <c r="AP6208">
        <v>-20.163377000000001</v>
      </c>
      <c r="AQ6208">
        <v>-44.843598</v>
      </c>
      <c r="AR6208">
        <v>6.3289415646640057</v>
      </c>
      <c r="AS6208" t="s">
        <v>65</v>
      </c>
      <c r="AT6208">
        <v>1</v>
      </c>
      <c r="AU6208" t="s">
        <v>146</v>
      </c>
      <c r="AV6208" t="s">
        <v>147</v>
      </c>
      <c r="AW6208" t="s">
        <v>60</v>
      </c>
      <c r="AX6208" t="s">
        <v>68</v>
      </c>
      <c r="AY6208" t="s">
        <v>69</v>
      </c>
      <c r="AZ6208" t="b">
        <v>1</v>
      </c>
    </row>
    <row r="6209" spans="1:52" x14ac:dyDescent="0.3">
      <c r="A6209" t="s">
        <v>52</v>
      </c>
      <c r="B6209" t="s">
        <v>53</v>
      </c>
      <c r="C6209" t="s">
        <v>54</v>
      </c>
      <c r="D6209" t="s">
        <v>55</v>
      </c>
      <c r="E6209" t="s">
        <v>2295</v>
      </c>
      <c r="F6209" t="s">
        <v>57</v>
      </c>
      <c r="G6209" t="s">
        <v>253</v>
      </c>
      <c r="H6209" t="s">
        <v>296</v>
      </c>
      <c r="I6209" t="s">
        <v>296</v>
      </c>
      <c r="J6209" t="s">
        <v>60</v>
      </c>
      <c r="K6209" t="s">
        <v>136</v>
      </c>
      <c r="L6209" t="s">
        <v>62</v>
      </c>
      <c r="M6209" t="s">
        <v>136</v>
      </c>
      <c r="N6209" t="s">
        <v>256</v>
      </c>
      <c r="O6209" t="s">
        <v>297</v>
      </c>
      <c r="P6209">
        <v>-20.168476999999999</v>
      </c>
      <c r="Q6209">
        <v>-44.852528</v>
      </c>
      <c r="R6209" s="2" t="str">
        <f>HYPERLINK("https://www.google.com/maps?q=-20.1684770,-44.8525280","Abrir no Google Maps")</f>
        <v>Abrir no Google Maps</v>
      </c>
      <c r="S6209">
        <v>4</v>
      </c>
      <c r="T6209">
        <v>587.16898087421623</v>
      </c>
      <c r="U6209">
        <v>4</v>
      </c>
      <c r="V6209">
        <v>0.46833373727005301</v>
      </c>
      <c r="W6209">
        <v>1</v>
      </c>
      <c r="X6209">
        <v>0.46833373727005301</v>
      </c>
      <c r="Y6209">
        <v>292</v>
      </c>
      <c r="Z6209">
        <v>471.75619463337938</v>
      </c>
      <c r="AA6209">
        <v>198</v>
      </c>
      <c r="AB6209">
        <v>332</v>
      </c>
      <c r="AC6209">
        <v>536</v>
      </c>
      <c r="AD6209">
        <v>29.58</v>
      </c>
      <c r="AE6209">
        <v>542</v>
      </c>
      <c r="AF6209">
        <v>30</v>
      </c>
      <c r="AG6209">
        <v>169</v>
      </c>
      <c r="AH6209">
        <v>129</v>
      </c>
      <c r="AI6209">
        <v>5.54</v>
      </c>
      <c r="AJ6209">
        <v>31.18</v>
      </c>
      <c r="AK6209">
        <v>23.8</v>
      </c>
      <c r="AL6209">
        <v>-20.16846514999995</v>
      </c>
      <c r="AM6209">
        <v>-44.852319844682007</v>
      </c>
      <c r="AN6209">
        <v>-20.168465149999939</v>
      </c>
      <c r="AO6209">
        <v>-44.852319844682007</v>
      </c>
      <c r="AP6209">
        <v>-20.168476999999999</v>
      </c>
      <c r="AQ6209">
        <v>-44.852528</v>
      </c>
      <c r="AR6209">
        <v>21.790984536052999</v>
      </c>
      <c r="AS6209" t="s">
        <v>65</v>
      </c>
      <c r="AT6209">
        <v>1</v>
      </c>
      <c r="AU6209" t="s">
        <v>298</v>
      </c>
      <c r="AV6209" t="s">
        <v>299</v>
      </c>
      <c r="AW6209" t="s">
        <v>60</v>
      </c>
      <c r="AX6209" t="s">
        <v>68</v>
      </c>
      <c r="AY6209" t="s">
        <v>69</v>
      </c>
      <c r="AZ6209" t="b">
        <v>1</v>
      </c>
    </row>
    <row r="6210" spans="1:52" x14ac:dyDescent="0.3">
      <c r="A6210" t="s">
        <v>52</v>
      </c>
      <c r="B6210" t="s">
        <v>53</v>
      </c>
      <c r="C6210" t="s">
        <v>54</v>
      </c>
      <c r="D6210" t="s">
        <v>55</v>
      </c>
      <c r="E6210" t="s">
        <v>2295</v>
      </c>
      <c r="F6210" t="s">
        <v>57</v>
      </c>
      <c r="G6210" t="s">
        <v>253</v>
      </c>
      <c r="H6210" t="s">
        <v>1633</v>
      </c>
      <c r="I6210" t="s">
        <v>1633</v>
      </c>
      <c r="J6210" t="s">
        <v>60</v>
      </c>
      <c r="K6210" t="s">
        <v>982</v>
      </c>
      <c r="L6210" t="s">
        <v>62</v>
      </c>
      <c r="M6210" t="s">
        <v>982</v>
      </c>
      <c r="N6210" t="s">
        <v>256</v>
      </c>
      <c r="O6210" t="s">
        <v>1634</v>
      </c>
      <c r="P6210">
        <v>-20.170407000000001</v>
      </c>
      <c r="Q6210">
        <v>-44.853330999999997</v>
      </c>
      <c r="R6210" s="2" t="str">
        <f>HYPERLINK("https://www.google.com/maps?q=-20.1704070,-44.8533310","Abrir no Google Maps")</f>
        <v>Abrir no Google Maps</v>
      </c>
      <c r="S6210">
        <v>4</v>
      </c>
      <c r="T6210">
        <v>801.41180076523165</v>
      </c>
      <c r="U6210">
        <v>4</v>
      </c>
      <c r="V6210">
        <v>0.47166156982670743</v>
      </c>
      <c r="W6210">
        <v>1</v>
      </c>
      <c r="X6210">
        <v>0.47166156982670743</v>
      </c>
      <c r="Y6210">
        <v>292</v>
      </c>
      <c r="Z6210">
        <v>726.46828777213966</v>
      </c>
      <c r="AA6210">
        <v>198</v>
      </c>
      <c r="AB6210">
        <v>332</v>
      </c>
      <c r="AC6210">
        <v>536</v>
      </c>
      <c r="AD6210">
        <v>29.58</v>
      </c>
      <c r="AE6210">
        <v>542</v>
      </c>
      <c r="AF6210">
        <v>30</v>
      </c>
      <c r="AG6210">
        <v>169</v>
      </c>
      <c r="AH6210">
        <v>129</v>
      </c>
      <c r="AI6210">
        <v>5.54</v>
      </c>
      <c r="AJ6210">
        <v>31.18</v>
      </c>
      <c r="AK6210">
        <v>23.8</v>
      </c>
      <c r="AL6210">
        <v>-20.170412849999959</v>
      </c>
      <c r="AM6210">
        <v>-44.853334311192633</v>
      </c>
      <c r="AN6210">
        <v>-20.170412849999959</v>
      </c>
      <c r="AO6210">
        <v>-44.853334311192633</v>
      </c>
      <c r="AP6210">
        <v>-20.170407000000001</v>
      </c>
      <c r="AQ6210">
        <v>-44.853330999999997</v>
      </c>
      <c r="AR6210">
        <v>0.73743023728700929</v>
      </c>
      <c r="AS6210" t="s">
        <v>65</v>
      </c>
      <c r="AT6210">
        <v>1</v>
      </c>
      <c r="AU6210" t="s">
        <v>1635</v>
      </c>
      <c r="AV6210" t="s">
        <v>1636</v>
      </c>
      <c r="AW6210" t="s">
        <v>60</v>
      </c>
      <c r="AX6210" t="s">
        <v>68</v>
      </c>
      <c r="AY6210" t="s">
        <v>69</v>
      </c>
      <c r="AZ6210" t="b">
        <v>1</v>
      </c>
    </row>
    <row r="6211" spans="1:52" x14ac:dyDescent="0.3">
      <c r="A6211" t="s">
        <v>52</v>
      </c>
      <c r="B6211" t="s">
        <v>53</v>
      </c>
      <c r="C6211" t="s">
        <v>54</v>
      </c>
      <c r="D6211" t="s">
        <v>55</v>
      </c>
      <c r="E6211" t="s">
        <v>2295</v>
      </c>
      <c r="F6211" t="s">
        <v>57</v>
      </c>
      <c r="G6211" t="s">
        <v>306</v>
      </c>
      <c r="H6211" t="s">
        <v>307</v>
      </c>
      <c r="I6211" t="s">
        <v>307</v>
      </c>
      <c r="J6211" t="s">
        <v>60</v>
      </c>
      <c r="K6211" t="s">
        <v>143</v>
      </c>
      <c r="L6211" t="s">
        <v>62</v>
      </c>
      <c r="M6211" t="s">
        <v>143</v>
      </c>
      <c r="N6211" t="s">
        <v>308</v>
      </c>
      <c r="O6211" t="s">
        <v>309</v>
      </c>
      <c r="P6211">
        <v>-20.167071</v>
      </c>
      <c r="Q6211">
        <v>-44.842730000000003</v>
      </c>
      <c r="R6211" s="2" t="str">
        <f>HYPERLINK("https://www.google.com/maps?q=-20.1670710,-44.8427300","Abrir no Google Maps")</f>
        <v>Abrir no Google Maps</v>
      </c>
      <c r="S6211">
        <v>4</v>
      </c>
      <c r="T6211">
        <v>535.14780070571521</v>
      </c>
      <c r="U6211">
        <v>4</v>
      </c>
      <c r="V6211">
        <v>0.46628927721716301</v>
      </c>
      <c r="W6211">
        <v>1</v>
      </c>
      <c r="X6211">
        <v>0.46628927721716301</v>
      </c>
      <c r="Y6211">
        <v>292</v>
      </c>
      <c r="Z6211">
        <v>582.78942050501109</v>
      </c>
      <c r="AA6211">
        <v>198</v>
      </c>
      <c r="AB6211">
        <v>332</v>
      </c>
      <c r="AC6211">
        <v>536</v>
      </c>
      <c r="AD6211">
        <v>29.58</v>
      </c>
      <c r="AE6211">
        <v>542</v>
      </c>
      <c r="AF6211">
        <v>30</v>
      </c>
      <c r="AG6211">
        <v>169</v>
      </c>
      <c r="AH6211">
        <v>129</v>
      </c>
      <c r="AI6211">
        <v>5.54</v>
      </c>
      <c r="AJ6211">
        <v>31.18</v>
      </c>
      <c r="AK6211">
        <v>23.8</v>
      </c>
      <c r="AL6211">
        <v>-20.167006799999971</v>
      </c>
      <c r="AM6211">
        <v>-44.842640974693197</v>
      </c>
      <c r="AN6211">
        <v>-20.167006799999971</v>
      </c>
      <c r="AO6211">
        <v>-44.842640974693197</v>
      </c>
      <c r="AP6211">
        <v>-20.167071</v>
      </c>
      <c r="AQ6211">
        <v>-44.842730000000003</v>
      </c>
      <c r="AR6211">
        <v>11.73100304278117</v>
      </c>
      <c r="AS6211" t="s">
        <v>65</v>
      </c>
      <c r="AT6211">
        <v>1</v>
      </c>
      <c r="AU6211" t="s">
        <v>310</v>
      </c>
      <c r="AV6211" t="s">
        <v>311</v>
      </c>
      <c r="AW6211" t="s">
        <v>60</v>
      </c>
      <c r="AX6211" t="s">
        <v>68</v>
      </c>
      <c r="AY6211" t="s">
        <v>69</v>
      </c>
      <c r="AZ6211" t="b">
        <v>1</v>
      </c>
    </row>
    <row r="6212" spans="1:52" x14ac:dyDescent="0.3">
      <c r="A6212" t="s">
        <v>52</v>
      </c>
      <c r="B6212" t="s">
        <v>53</v>
      </c>
      <c r="C6212" t="s">
        <v>54</v>
      </c>
      <c r="D6212" t="s">
        <v>55</v>
      </c>
      <c r="E6212" t="s">
        <v>2295</v>
      </c>
      <c r="F6212" t="s">
        <v>57</v>
      </c>
      <c r="G6212" t="s">
        <v>260</v>
      </c>
      <c r="H6212" t="s">
        <v>317</v>
      </c>
      <c r="I6212" t="s">
        <v>317</v>
      </c>
      <c r="J6212" t="s">
        <v>60</v>
      </c>
      <c r="K6212" t="s">
        <v>255</v>
      </c>
      <c r="L6212" t="s">
        <v>62</v>
      </c>
      <c r="M6212" t="s">
        <v>255</v>
      </c>
      <c r="N6212" t="s">
        <v>263</v>
      </c>
      <c r="O6212" t="s">
        <v>318</v>
      </c>
      <c r="P6212">
        <v>-20.163532</v>
      </c>
      <c r="Q6212">
        <v>-44.846910999999999</v>
      </c>
      <c r="R6212" s="2" t="str">
        <f>HYPERLINK("https://www.google.com/maps?q=-20.1635320,-44.8469110","Abrir no Google Maps")</f>
        <v>Abrir no Google Maps</v>
      </c>
      <c r="S6212">
        <v>4</v>
      </c>
      <c r="T6212">
        <v>259.92389401636012</v>
      </c>
      <c r="U6212">
        <v>4</v>
      </c>
      <c r="V6212">
        <v>0.469558205820582</v>
      </c>
      <c r="W6212">
        <v>1</v>
      </c>
      <c r="X6212">
        <v>0.469558205820582</v>
      </c>
      <c r="Y6212">
        <v>292</v>
      </c>
      <c r="Z6212">
        <v>316.26738966059708</v>
      </c>
      <c r="AA6212">
        <v>198</v>
      </c>
      <c r="AB6212">
        <v>332</v>
      </c>
      <c r="AC6212">
        <v>536</v>
      </c>
      <c r="AD6212">
        <v>29.58</v>
      </c>
      <c r="AE6212">
        <v>542</v>
      </c>
      <c r="AF6212">
        <v>30</v>
      </c>
      <c r="AG6212">
        <v>169</v>
      </c>
      <c r="AH6212">
        <v>129</v>
      </c>
      <c r="AI6212">
        <v>5.54</v>
      </c>
      <c r="AJ6212">
        <v>31.18</v>
      </c>
      <c r="AK6212">
        <v>23.8</v>
      </c>
      <c r="AL6212">
        <v>-20.16343344999996</v>
      </c>
      <c r="AM6212">
        <v>-44.846734659744428</v>
      </c>
      <c r="AN6212">
        <v>-20.16343344999996</v>
      </c>
      <c r="AO6212">
        <v>-44.846734659744428</v>
      </c>
      <c r="AP6212">
        <v>-20.163532</v>
      </c>
      <c r="AQ6212">
        <v>-44.846910999999999</v>
      </c>
      <c r="AR6212">
        <v>21.445575432006599</v>
      </c>
      <c r="AS6212" t="s">
        <v>65</v>
      </c>
      <c r="AT6212">
        <v>1</v>
      </c>
      <c r="AU6212" t="s">
        <v>319</v>
      </c>
      <c r="AV6212" t="s">
        <v>320</v>
      </c>
      <c r="AW6212" t="s">
        <v>60</v>
      </c>
      <c r="AX6212" t="s">
        <v>68</v>
      </c>
      <c r="AY6212" t="s">
        <v>69</v>
      </c>
      <c r="AZ6212" t="b">
        <v>1</v>
      </c>
    </row>
    <row r="6213" spans="1:52" x14ac:dyDescent="0.3">
      <c r="A6213" t="s">
        <v>52</v>
      </c>
      <c r="B6213" t="s">
        <v>53</v>
      </c>
      <c r="C6213" t="s">
        <v>54</v>
      </c>
      <c r="D6213" t="s">
        <v>55</v>
      </c>
      <c r="E6213" t="s">
        <v>2295</v>
      </c>
      <c r="F6213" t="s">
        <v>57</v>
      </c>
      <c r="G6213" t="s">
        <v>321</v>
      </c>
      <c r="H6213" t="s">
        <v>322</v>
      </c>
      <c r="I6213" t="s">
        <v>322</v>
      </c>
      <c r="J6213" t="s">
        <v>60</v>
      </c>
      <c r="K6213" t="s">
        <v>323</v>
      </c>
      <c r="L6213" t="s">
        <v>62</v>
      </c>
      <c r="M6213" t="s">
        <v>323</v>
      </c>
      <c r="N6213" t="s">
        <v>324</v>
      </c>
      <c r="O6213" t="s">
        <v>325</v>
      </c>
      <c r="P6213">
        <v>-20.151437999999999</v>
      </c>
      <c r="Q6213">
        <v>-44.855761000000001</v>
      </c>
      <c r="R6213" s="2" t="str">
        <f>HYPERLINK("https://www.google.com/maps?q=-20.1514380,-44.8557610","Abrir no Google Maps")</f>
        <v>Abrir no Google Maps</v>
      </c>
      <c r="S6213">
        <v>4</v>
      </c>
      <c r="T6213">
        <v>970.69989262042009</v>
      </c>
      <c r="U6213">
        <v>4</v>
      </c>
      <c r="V6213">
        <v>0.496524939128277</v>
      </c>
      <c r="W6213">
        <v>1</v>
      </c>
      <c r="X6213">
        <v>0.496524939128277</v>
      </c>
      <c r="Y6213">
        <v>264</v>
      </c>
      <c r="Z6213">
        <v>1041.0105988261671</v>
      </c>
      <c r="AA6213">
        <v>198</v>
      </c>
      <c r="AB6213">
        <v>332</v>
      </c>
      <c r="AC6213">
        <v>536</v>
      </c>
      <c r="AD6213">
        <v>29.58</v>
      </c>
      <c r="AE6213">
        <v>542</v>
      </c>
      <c r="AF6213">
        <v>30</v>
      </c>
      <c r="AG6213">
        <v>169</v>
      </c>
      <c r="AH6213">
        <v>129</v>
      </c>
      <c r="AI6213">
        <v>5.54</v>
      </c>
      <c r="AJ6213">
        <v>31.18</v>
      </c>
      <c r="AK6213">
        <v>23.8</v>
      </c>
      <c r="AL6213">
        <v>-20.15142824999996</v>
      </c>
      <c r="AM6213">
        <v>-44.854100160898767</v>
      </c>
      <c r="AN6213">
        <v>-20.15142824999996</v>
      </c>
      <c r="AO6213">
        <v>-44.854100160898767</v>
      </c>
      <c r="AP6213">
        <v>-20.151437999999999</v>
      </c>
      <c r="AQ6213">
        <v>-44.855761000000001</v>
      </c>
      <c r="AR6213">
        <v>173.57036632351381</v>
      </c>
      <c r="AS6213" t="s">
        <v>65</v>
      </c>
      <c r="AT6213">
        <v>1</v>
      </c>
      <c r="AU6213" t="s">
        <v>326</v>
      </c>
      <c r="AV6213" t="s">
        <v>327</v>
      </c>
      <c r="AW6213" t="s">
        <v>60</v>
      </c>
      <c r="AX6213" t="s">
        <v>68</v>
      </c>
      <c r="AY6213" t="s">
        <v>69</v>
      </c>
      <c r="AZ6213" t="b">
        <v>1</v>
      </c>
    </row>
    <row r="6214" spans="1:52" x14ac:dyDescent="0.3">
      <c r="A6214" t="s">
        <v>52</v>
      </c>
      <c r="B6214" t="s">
        <v>53</v>
      </c>
      <c r="C6214" t="s">
        <v>54</v>
      </c>
      <c r="D6214" t="s">
        <v>55</v>
      </c>
      <c r="E6214" t="s">
        <v>2295</v>
      </c>
      <c r="F6214" t="s">
        <v>57</v>
      </c>
      <c r="G6214" t="s">
        <v>353</v>
      </c>
      <c r="H6214" t="s">
        <v>354</v>
      </c>
      <c r="I6214" t="s">
        <v>354</v>
      </c>
      <c r="J6214" t="s">
        <v>60</v>
      </c>
      <c r="K6214" t="s">
        <v>355</v>
      </c>
      <c r="L6214" t="s">
        <v>62</v>
      </c>
      <c r="M6214" t="s">
        <v>355</v>
      </c>
      <c r="N6214" t="s">
        <v>356</v>
      </c>
      <c r="O6214" t="s">
        <v>357</v>
      </c>
      <c r="P6214">
        <v>-20.147373999999999</v>
      </c>
      <c r="Q6214">
        <v>-44.875141999999997</v>
      </c>
      <c r="R6214" s="2" t="str">
        <f>HYPERLINK("https://www.google.com/maps?q=-20.1473740,-44.8751420","Abrir no Google Maps")</f>
        <v>Abrir no Google Maps</v>
      </c>
      <c r="S6214">
        <v>4</v>
      </c>
      <c r="T6214">
        <v>394.29708169591709</v>
      </c>
      <c r="U6214">
        <v>4</v>
      </c>
      <c r="V6214">
        <v>0.47363253856942489</v>
      </c>
      <c r="W6214">
        <v>1</v>
      </c>
      <c r="X6214">
        <v>0.47363253856942489</v>
      </c>
      <c r="Y6214">
        <v>209</v>
      </c>
      <c r="Z6214">
        <v>326.95034461828868</v>
      </c>
      <c r="AA6214">
        <v>198</v>
      </c>
      <c r="AB6214">
        <v>332</v>
      </c>
      <c r="AC6214">
        <v>536</v>
      </c>
      <c r="AD6214">
        <v>29.58</v>
      </c>
      <c r="AE6214">
        <v>542</v>
      </c>
      <c r="AF6214">
        <v>30</v>
      </c>
      <c r="AG6214">
        <v>169</v>
      </c>
      <c r="AH6214">
        <v>129</v>
      </c>
      <c r="AI6214">
        <v>5.54</v>
      </c>
      <c r="AJ6214">
        <v>31.18</v>
      </c>
      <c r="AK6214">
        <v>23.8</v>
      </c>
      <c r="AL6214">
        <v>-20.147207999999949</v>
      </c>
      <c r="AM6214">
        <v>-44.875152120336942</v>
      </c>
      <c r="AN6214">
        <v>-20.147207999999949</v>
      </c>
      <c r="AO6214">
        <v>-44.875152120336942</v>
      </c>
      <c r="AP6214">
        <v>-20.147373999999999</v>
      </c>
      <c r="AQ6214">
        <v>-44.875141999999997</v>
      </c>
      <c r="AR6214">
        <v>18.509363081081169</v>
      </c>
      <c r="AS6214" t="s">
        <v>65</v>
      </c>
      <c r="AT6214">
        <v>1</v>
      </c>
      <c r="AU6214" t="s">
        <v>358</v>
      </c>
      <c r="AV6214" t="s">
        <v>359</v>
      </c>
      <c r="AW6214" t="s">
        <v>60</v>
      </c>
      <c r="AX6214" t="s">
        <v>68</v>
      </c>
      <c r="AY6214" t="s">
        <v>69</v>
      </c>
      <c r="AZ6214" t="b">
        <v>1</v>
      </c>
    </row>
    <row r="6215" spans="1:52" x14ac:dyDescent="0.3">
      <c r="A6215" t="s">
        <v>52</v>
      </c>
      <c r="B6215" t="s">
        <v>53</v>
      </c>
      <c r="C6215" t="s">
        <v>54</v>
      </c>
      <c r="D6215" t="s">
        <v>55</v>
      </c>
      <c r="E6215" t="s">
        <v>2295</v>
      </c>
      <c r="F6215" t="s">
        <v>57</v>
      </c>
      <c r="G6215" t="s">
        <v>360</v>
      </c>
      <c r="H6215" t="s">
        <v>361</v>
      </c>
      <c r="I6215" t="s">
        <v>361</v>
      </c>
      <c r="J6215" t="s">
        <v>60</v>
      </c>
      <c r="K6215" t="s">
        <v>362</v>
      </c>
      <c r="L6215" t="s">
        <v>62</v>
      </c>
      <c r="M6215" t="s">
        <v>362</v>
      </c>
      <c r="N6215" t="s">
        <v>363</v>
      </c>
      <c r="O6215" t="s">
        <v>235</v>
      </c>
      <c r="P6215">
        <v>-20.143716999999999</v>
      </c>
      <c r="Q6215">
        <v>-44.875278000000002</v>
      </c>
      <c r="R6215" s="2" t="str">
        <f>HYPERLINK("https://www.google.com/maps?q=-20.1437170,-44.8752780","Abrir no Google Maps")</f>
        <v>Abrir no Google Maps</v>
      </c>
      <c r="S6215">
        <v>4</v>
      </c>
      <c r="T6215">
        <v>0</v>
      </c>
      <c r="U6215">
        <v>4</v>
      </c>
      <c r="V6215">
        <v>0.46151129943502828</v>
      </c>
      <c r="W6215">
        <v>1</v>
      </c>
      <c r="X6215">
        <v>0.46151129943502828</v>
      </c>
      <c r="Y6215">
        <v>209</v>
      </c>
      <c r="Z6215">
        <v>121.8438559354383</v>
      </c>
      <c r="AA6215">
        <v>198</v>
      </c>
      <c r="AB6215">
        <v>332</v>
      </c>
      <c r="AC6215">
        <v>536</v>
      </c>
      <c r="AD6215">
        <v>29.58</v>
      </c>
      <c r="AE6215">
        <v>542</v>
      </c>
      <c r="AF6215">
        <v>30</v>
      </c>
      <c r="AG6215">
        <v>169</v>
      </c>
      <c r="AH6215">
        <v>129</v>
      </c>
      <c r="AI6215">
        <v>5.54</v>
      </c>
      <c r="AJ6215">
        <v>31.18</v>
      </c>
      <c r="AK6215">
        <v>23.8</v>
      </c>
      <c r="AL6215">
        <v>-20.143665999999961</v>
      </c>
      <c r="AM6215">
        <v>-44.875561853046079</v>
      </c>
      <c r="AN6215">
        <v>-20.143665999999961</v>
      </c>
      <c r="AO6215">
        <v>-44.875561853046079</v>
      </c>
      <c r="AP6215">
        <v>-20.143716999999999</v>
      </c>
      <c r="AQ6215">
        <v>-44.875278000000002</v>
      </c>
      <c r="AR6215">
        <v>30.20407282671313</v>
      </c>
      <c r="AS6215" t="s">
        <v>65</v>
      </c>
      <c r="AT6215">
        <v>1</v>
      </c>
      <c r="AU6215" t="s">
        <v>364</v>
      </c>
      <c r="AV6215" t="s">
        <v>365</v>
      </c>
      <c r="AW6215" t="s">
        <v>60</v>
      </c>
      <c r="AX6215" t="s">
        <v>68</v>
      </c>
      <c r="AY6215" t="s">
        <v>69</v>
      </c>
      <c r="AZ6215" t="b">
        <v>1</v>
      </c>
    </row>
    <row r="6216" spans="1:52" x14ac:dyDescent="0.3">
      <c r="A6216" t="s">
        <v>52</v>
      </c>
      <c r="B6216" t="s">
        <v>53</v>
      </c>
      <c r="C6216" t="s">
        <v>54</v>
      </c>
      <c r="D6216" t="s">
        <v>55</v>
      </c>
      <c r="E6216" t="s">
        <v>2295</v>
      </c>
      <c r="F6216" t="s">
        <v>57</v>
      </c>
      <c r="G6216" t="s">
        <v>1649</v>
      </c>
      <c r="H6216" t="s">
        <v>1650</v>
      </c>
      <c r="I6216" t="s">
        <v>1650</v>
      </c>
      <c r="J6216" t="s">
        <v>60</v>
      </c>
      <c r="K6216" t="s">
        <v>355</v>
      </c>
      <c r="L6216" t="s">
        <v>62</v>
      </c>
      <c r="M6216" t="s">
        <v>355</v>
      </c>
      <c r="N6216" t="s">
        <v>1651</v>
      </c>
      <c r="O6216" t="s">
        <v>293</v>
      </c>
      <c r="P6216">
        <v>-20.141983</v>
      </c>
      <c r="Q6216">
        <v>-44.871161000000001</v>
      </c>
      <c r="R6216" s="2" t="str">
        <f>HYPERLINK("https://www.google.com/maps?q=-20.1419830,-44.8711610","Abrir no Google Maps")</f>
        <v>Abrir no Google Maps</v>
      </c>
      <c r="S6216">
        <v>4</v>
      </c>
      <c r="T6216">
        <v>492.40092389187612</v>
      </c>
      <c r="U6216">
        <v>4</v>
      </c>
      <c r="V6216">
        <v>0.48789802065404481</v>
      </c>
      <c r="W6216">
        <v>1</v>
      </c>
      <c r="X6216">
        <v>0.48789802065404481</v>
      </c>
      <c r="Y6216">
        <v>209</v>
      </c>
      <c r="Z6216">
        <v>425.51195583014947</v>
      </c>
      <c r="AA6216">
        <v>198</v>
      </c>
      <c r="AB6216">
        <v>332</v>
      </c>
      <c r="AC6216">
        <v>536</v>
      </c>
      <c r="AD6216">
        <v>29.58</v>
      </c>
      <c r="AE6216">
        <v>542</v>
      </c>
      <c r="AF6216">
        <v>30</v>
      </c>
      <c r="AG6216">
        <v>169</v>
      </c>
      <c r="AH6216">
        <v>129</v>
      </c>
      <c r="AI6216">
        <v>5.54</v>
      </c>
      <c r="AJ6216">
        <v>31.18</v>
      </c>
      <c r="AK6216">
        <v>23.8</v>
      </c>
      <c r="AL6216">
        <v>-20.142006349999971</v>
      </c>
      <c r="AM6216">
        <v>-44.871190369486733</v>
      </c>
      <c r="AN6216">
        <v>-20.142006349999981</v>
      </c>
      <c r="AO6216">
        <v>-44.871190369486733</v>
      </c>
      <c r="AP6216">
        <v>-20.141983</v>
      </c>
      <c r="AQ6216">
        <v>-44.871161000000001</v>
      </c>
      <c r="AR6216">
        <v>4.0221964388318616</v>
      </c>
      <c r="AS6216" t="s">
        <v>65</v>
      </c>
      <c r="AT6216">
        <v>1</v>
      </c>
      <c r="AU6216" t="s">
        <v>1652</v>
      </c>
      <c r="AV6216" t="s">
        <v>1653</v>
      </c>
      <c r="AW6216" t="s">
        <v>60</v>
      </c>
      <c r="AX6216" t="s">
        <v>68</v>
      </c>
      <c r="AY6216" t="s">
        <v>69</v>
      </c>
      <c r="AZ6216" t="b">
        <v>1</v>
      </c>
    </row>
    <row r="6217" spans="1:52" x14ac:dyDescent="0.3">
      <c r="A6217" t="s">
        <v>52</v>
      </c>
      <c r="B6217" t="s">
        <v>53</v>
      </c>
      <c r="C6217" t="s">
        <v>54</v>
      </c>
      <c r="D6217" t="s">
        <v>55</v>
      </c>
      <c r="E6217" t="s">
        <v>2295</v>
      </c>
      <c r="F6217" t="s">
        <v>57</v>
      </c>
      <c r="G6217" t="s">
        <v>1654</v>
      </c>
      <c r="H6217" t="s">
        <v>1655</v>
      </c>
      <c r="I6217" t="s">
        <v>1655</v>
      </c>
      <c r="J6217" t="s">
        <v>60</v>
      </c>
      <c r="K6217" t="s">
        <v>368</v>
      </c>
      <c r="L6217" t="s">
        <v>62</v>
      </c>
      <c r="M6217" t="s">
        <v>368</v>
      </c>
      <c r="N6217" t="s">
        <v>1656</v>
      </c>
      <c r="O6217" t="s">
        <v>1657</v>
      </c>
      <c r="P6217">
        <v>-20.143647999999999</v>
      </c>
      <c r="Q6217">
        <v>-44.870466</v>
      </c>
      <c r="R6217" s="2" t="str">
        <f>HYPERLINK("https://www.google.com/maps?q=-20.1436480,-44.8704660","Abrir no Google Maps")</f>
        <v>Abrir no Google Maps</v>
      </c>
      <c r="S6217">
        <v>4</v>
      </c>
      <c r="T6217">
        <v>545.81556277505979</v>
      </c>
      <c r="U6217">
        <v>4</v>
      </c>
      <c r="V6217">
        <v>0.46675114173332272</v>
      </c>
      <c r="W6217">
        <v>1</v>
      </c>
      <c r="X6217">
        <v>0.46675114173332272</v>
      </c>
      <c r="Y6217">
        <v>198</v>
      </c>
      <c r="Z6217">
        <v>258.83396188518708</v>
      </c>
      <c r="AA6217">
        <v>198</v>
      </c>
      <c r="AB6217">
        <v>332</v>
      </c>
      <c r="AC6217">
        <v>536</v>
      </c>
      <c r="AD6217">
        <v>29.58</v>
      </c>
      <c r="AE6217">
        <v>542</v>
      </c>
      <c r="AF6217">
        <v>30</v>
      </c>
      <c r="AG6217">
        <v>169</v>
      </c>
      <c r="AH6217">
        <v>129</v>
      </c>
      <c r="AI6217">
        <v>5.54</v>
      </c>
      <c r="AJ6217">
        <v>31.18</v>
      </c>
      <c r="AK6217">
        <v>23.8</v>
      </c>
      <c r="AL6217">
        <v>-20.143704099999951</v>
      </c>
      <c r="AM6217">
        <v>-44.870339403868741</v>
      </c>
      <c r="AN6217">
        <v>-20.143704099999951</v>
      </c>
      <c r="AO6217">
        <v>-44.870339403868741</v>
      </c>
      <c r="AP6217">
        <v>-20.143647999999999</v>
      </c>
      <c r="AQ6217">
        <v>-44.870466</v>
      </c>
      <c r="AR6217">
        <v>14.63048136060379</v>
      </c>
      <c r="AS6217" t="s">
        <v>65</v>
      </c>
      <c r="AT6217">
        <v>1</v>
      </c>
      <c r="AU6217" t="s">
        <v>1658</v>
      </c>
      <c r="AV6217" t="s">
        <v>1659</v>
      </c>
      <c r="AW6217" t="s">
        <v>60</v>
      </c>
      <c r="AX6217" t="s">
        <v>68</v>
      </c>
      <c r="AY6217" t="s">
        <v>69</v>
      </c>
      <c r="AZ6217" t="b">
        <v>1</v>
      </c>
    </row>
    <row r="6218" spans="1:52" x14ac:dyDescent="0.3">
      <c r="A6218" t="s">
        <v>52</v>
      </c>
      <c r="B6218" t="s">
        <v>53</v>
      </c>
      <c r="C6218" t="s">
        <v>54</v>
      </c>
      <c r="D6218" t="s">
        <v>55</v>
      </c>
      <c r="E6218" t="s">
        <v>2295</v>
      </c>
      <c r="F6218" t="s">
        <v>57</v>
      </c>
      <c r="G6218" t="s">
        <v>1728</v>
      </c>
      <c r="H6218" t="s">
        <v>1729</v>
      </c>
      <c r="I6218" t="s">
        <v>1729</v>
      </c>
      <c r="J6218" t="s">
        <v>60</v>
      </c>
      <c r="K6218" t="s">
        <v>171</v>
      </c>
      <c r="L6218" t="s">
        <v>62</v>
      </c>
      <c r="M6218" t="s">
        <v>171</v>
      </c>
      <c r="N6218" t="s">
        <v>1730</v>
      </c>
      <c r="O6218" t="s">
        <v>1731</v>
      </c>
      <c r="P6218">
        <v>-20.153237000000001</v>
      </c>
      <c r="Q6218">
        <v>-44.893830999999999</v>
      </c>
      <c r="R6218" s="2" t="str">
        <f>HYPERLINK("https://www.google.com/maps?q=-20.1532370,-44.8938310","Abrir no Google Maps")</f>
        <v>Abrir no Google Maps</v>
      </c>
      <c r="S6218">
        <v>4</v>
      </c>
      <c r="T6218">
        <v>413.69072684661631</v>
      </c>
      <c r="U6218">
        <v>4</v>
      </c>
      <c r="V6218">
        <v>0.4776434621035347</v>
      </c>
      <c r="W6218">
        <v>1</v>
      </c>
      <c r="X6218">
        <v>0.4776434621035347</v>
      </c>
      <c r="Y6218">
        <v>129</v>
      </c>
      <c r="Z6218">
        <v>276.95856023076033</v>
      </c>
      <c r="AA6218">
        <v>198</v>
      </c>
      <c r="AB6218">
        <v>332</v>
      </c>
      <c r="AC6218">
        <v>536</v>
      </c>
      <c r="AD6218">
        <v>29.58</v>
      </c>
      <c r="AE6218">
        <v>542</v>
      </c>
      <c r="AF6218">
        <v>30</v>
      </c>
      <c r="AG6218">
        <v>169</v>
      </c>
      <c r="AH6218">
        <v>129</v>
      </c>
      <c r="AI6218">
        <v>5.54</v>
      </c>
      <c r="AJ6218">
        <v>31.18</v>
      </c>
      <c r="AK6218">
        <v>23.8</v>
      </c>
      <c r="AL6218">
        <v>-20.15278304999995</v>
      </c>
      <c r="AM6218">
        <v>-44.894325691070982</v>
      </c>
      <c r="AN6218">
        <v>-20.15278304999995</v>
      </c>
      <c r="AO6218">
        <v>-44.894325691070982</v>
      </c>
      <c r="AP6218">
        <v>-20.153237000000001</v>
      </c>
      <c r="AQ6218">
        <v>-44.893830999999999</v>
      </c>
      <c r="AR6218">
        <v>72.293093135883012</v>
      </c>
      <c r="AS6218" t="s">
        <v>65</v>
      </c>
      <c r="AT6218">
        <v>1</v>
      </c>
      <c r="AU6218" t="s">
        <v>1732</v>
      </c>
      <c r="AV6218" t="s">
        <v>1733</v>
      </c>
      <c r="AW6218" t="s">
        <v>60</v>
      </c>
      <c r="AX6218" t="s">
        <v>68</v>
      </c>
      <c r="AY6218" t="s">
        <v>69</v>
      </c>
      <c r="AZ6218" t="b">
        <v>1</v>
      </c>
    </row>
    <row r="6219" spans="1:52" x14ac:dyDescent="0.3">
      <c r="A6219" t="s">
        <v>52</v>
      </c>
      <c r="B6219" t="s">
        <v>53</v>
      </c>
      <c r="C6219" t="s">
        <v>54</v>
      </c>
      <c r="D6219" t="s">
        <v>55</v>
      </c>
      <c r="E6219" t="s">
        <v>2295</v>
      </c>
      <c r="F6219" t="s">
        <v>57</v>
      </c>
      <c r="G6219" t="s">
        <v>169</v>
      </c>
      <c r="H6219" t="s">
        <v>170</v>
      </c>
      <c r="I6219" t="s">
        <v>170</v>
      </c>
      <c r="J6219" t="s">
        <v>60</v>
      </c>
      <c r="K6219" t="s">
        <v>171</v>
      </c>
      <c r="L6219" t="s">
        <v>62</v>
      </c>
      <c r="M6219" t="s">
        <v>171</v>
      </c>
      <c r="N6219" t="s">
        <v>172</v>
      </c>
      <c r="O6219" t="s">
        <v>173</v>
      </c>
      <c r="P6219">
        <v>-20.15334</v>
      </c>
      <c r="Q6219">
        <v>-44.891691000000002</v>
      </c>
      <c r="R6219" s="2" t="str">
        <f>HYPERLINK("https://www.google.com/maps?q=-20.1533400,-44.8916910","Abrir no Google Maps")</f>
        <v>Abrir no Google Maps</v>
      </c>
      <c r="S6219">
        <v>4</v>
      </c>
      <c r="T6219">
        <v>263.82013116084107</v>
      </c>
      <c r="U6219">
        <v>4</v>
      </c>
      <c r="V6219">
        <v>0.50352303523035236</v>
      </c>
      <c r="W6219">
        <v>1</v>
      </c>
      <c r="X6219">
        <v>0.50352303523035236</v>
      </c>
      <c r="Y6219">
        <v>129</v>
      </c>
      <c r="Z6219">
        <v>72.771047355993247</v>
      </c>
      <c r="AA6219">
        <v>198</v>
      </c>
      <c r="AB6219">
        <v>332</v>
      </c>
      <c r="AC6219">
        <v>536</v>
      </c>
      <c r="AD6219">
        <v>29.58</v>
      </c>
      <c r="AE6219">
        <v>542</v>
      </c>
      <c r="AF6219">
        <v>30</v>
      </c>
      <c r="AG6219">
        <v>169</v>
      </c>
      <c r="AH6219">
        <v>129</v>
      </c>
      <c r="AI6219">
        <v>5.54</v>
      </c>
      <c r="AJ6219">
        <v>31.18</v>
      </c>
      <c r="AK6219">
        <v>23.8</v>
      </c>
      <c r="AL6219">
        <v>-20.153531799999971</v>
      </c>
      <c r="AM6219">
        <v>-44.89196779651779</v>
      </c>
      <c r="AN6219">
        <v>-20.153531799999971</v>
      </c>
      <c r="AO6219">
        <v>-44.89196779651779</v>
      </c>
      <c r="AP6219">
        <v>-20.15334</v>
      </c>
      <c r="AQ6219">
        <v>-44.891691000000002</v>
      </c>
      <c r="AR6219">
        <v>35.952871813310509</v>
      </c>
      <c r="AS6219" t="s">
        <v>65</v>
      </c>
      <c r="AT6219">
        <v>1</v>
      </c>
      <c r="AU6219" t="s">
        <v>174</v>
      </c>
      <c r="AV6219" t="s">
        <v>175</v>
      </c>
      <c r="AW6219" t="s">
        <v>60</v>
      </c>
      <c r="AX6219" t="s">
        <v>68</v>
      </c>
      <c r="AY6219" t="s">
        <v>69</v>
      </c>
      <c r="AZ6219" t="b">
        <v>1</v>
      </c>
    </row>
    <row r="6220" spans="1:52" x14ac:dyDescent="0.3">
      <c r="A6220" t="s">
        <v>52</v>
      </c>
      <c r="B6220" t="s">
        <v>53</v>
      </c>
      <c r="C6220" t="s">
        <v>54</v>
      </c>
      <c r="D6220" t="s">
        <v>55</v>
      </c>
      <c r="E6220" t="s">
        <v>2295</v>
      </c>
      <c r="F6220" t="s">
        <v>57</v>
      </c>
      <c r="G6220" t="s">
        <v>1660</v>
      </c>
      <c r="H6220" t="s">
        <v>1661</v>
      </c>
      <c r="I6220" t="s">
        <v>1661</v>
      </c>
      <c r="J6220" t="s">
        <v>60</v>
      </c>
      <c r="K6220" t="s">
        <v>164</v>
      </c>
      <c r="L6220" t="s">
        <v>62</v>
      </c>
      <c r="M6220" t="s">
        <v>164</v>
      </c>
      <c r="N6220" t="s">
        <v>1662</v>
      </c>
      <c r="O6220" t="s">
        <v>1663</v>
      </c>
      <c r="P6220">
        <v>-20.181692000000002</v>
      </c>
      <c r="Q6220">
        <v>-44.877276000000002</v>
      </c>
      <c r="R6220" s="2" t="str">
        <f>HYPERLINK("https://www.google.com/maps?q=-20.1816920,-44.8772760","Abrir no Google Maps")</f>
        <v>Abrir no Google Maps</v>
      </c>
      <c r="S6220">
        <v>4</v>
      </c>
      <c r="T6220">
        <v>630.49689192580956</v>
      </c>
      <c r="U6220">
        <v>4</v>
      </c>
      <c r="V6220">
        <v>0.48049822413539128</v>
      </c>
      <c r="W6220">
        <v>1</v>
      </c>
      <c r="X6220">
        <v>0.48049822413539128</v>
      </c>
      <c r="Y6220">
        <v>101</v>
      </c>
      <c r="Z6220">
        <v>732.81472992851411</v>
      </c>
      <c r="AA6220">
        <v>198</v>
      </c>
      <c r="AB6220">
        <v>332</v>
      </c>
      <c r="AC6220">
        <v>536</v>
      </c>
      <c r="AD6220">
        <v>29.58</v>
      </c>
      <c r="AE6220">
        <v>542</v>
      </c>
      <c r="AF6220">
        <v>30</v>
      </c>
      <c r="AG6220">
        <v>169</v>
      </c>
      <c r="AH6220">
        <v>129</v>
      </c>
      <c r="AI6220">
        <v>5.54</v>
      </c>
      <c r="AJ6220">
        <v>31.18</v>
      </c>
      <c r="AK6220">
        <v>23.8</v>
      </c>
      <c r="AL6220">
        <v>-20.181644349999971</v>
      </c>
      <c r="AM6220">
        <v>-44.876890970787557</v>
      </c>
      <c r="AN6220">
        <v>-20.181644349999971</v>
      </c>
      <c r="AO6220">
        <v>-44.876890970787557</v>
      </c>
      <c r="AP6220">
        <v>-20.181692000000002</v>
      </c>
      <c r="AQ6220">
        <v>-44.877276000000002</v>
      </c>
      <c r="AR6220">
        <v>40.578104107908509</v>
      </c>
      <c r="AS6220" t="s">
        <v>65</v>
      </c>
      <c r="AT6220">
        <v>1</v>
      </c>
      <c r="AU6220" t="s">
        <v>1664</v>
      </c>
      <c r="AV6220" t="s">
        <v>1665</v>
      </c>
      <c r="AW6220" t="s">
        <v>60</v>
      </c>
      <c r="AX6220" t="s">
        <v>68</v>
      </c>
      <c r="AY6220" t="s">
        <v>69</v>
      </c>
      <c r="AZ6220" t="b">
        <v>1</v>
      </c>
    </row>
    <row r="6221" spans="1:52" x14ac:dyDescent="0.3">
      <c r="A6221" t="s">
        <v>52</v>
      </c>
      <c r="B6221" t="s">
        <v>53</v>
      </c>
      <c r="C6221" t="s">
        <v>54</v>
      </c>
      <c r="D6221" t="s">
        <v>55</v>
      </c>
      <c r="E6221" t="s">
        <v>2295</v>
      </c>
      <c r="F6221" t="s">
        <v>57</v>
      </c>
      <c r="G6221" t="s">
        <v>373</v>
      </c>
      <c r="H6221" t="s">
        <v>374</v>
      </c>
      <c r="I6221" t="s">
        <v>374</v>
      </c>
      <c r="J6221" t="s">
        <v>60</v>
      </c>
      <c r="K6221" t="s">
        <v>375</v>
      </c>
      <c r="L6221" t="s">
        <v>62</v>
      </c>
      <c r="M6221" t="s">
        <v>375</v>
      </c>
      <c r="N6221" t="s">
        <v>376</v>
      </c>
      <c r="O6221" t="s">
        <v>377</v>
      </c>
      <c r="P6221">
        <v>-20.178172</v>
      </c>
      <c r="Q6221">
        <v>-44.882871999999999</v>
      </c>
      <c r="R6221" s="2" t="str">
        <f>HYPERLINK("https://www.google.com/maps?q=-20.1781720,-44.8828720","Abrir no Google Maps")</f>
        <v>Abrir no Google Maps</v>
      </c>
      <c r="S6221">
        <v>4</v>
      </c>
      <c r="T6221">
        <v>817.23317190190858</v>
      </c>
      <c r="U6221">
        <v>4</v>
      </c>
      <c r="V6221">
        <v>0.53057017543859653</v>
      </c>
      <c r="W6221">
        <v>1</v>
      </c>
      <c r="X6221">
        <v>0.53057017543859653</v>
      </c>
      <c r="Y6221">
        <v>101</v>
      </c>
      <c r="Z6221">
        <v>845.03006728789421</v>
      </c>
      <c r="AA6221">
        <v>198</v>
      </c>
      <c r="AB6221">
        <v>332</v>
      </c>
      <c r="AC6221">
        <v>536</v>
      </c>
      <c r="AD6221">
        <v>29.58</v>
      </c>
      <c r="AE6221">
        <v>542</v>
      </c>
      <c r="AF6221">
        <v>30</v>
      </c>
      <c r="AG6221">
        <v>169</v>
      </c>
      <c r="AH6221">
        <v>129</v>
      </c>
      <c r="AI6221">
        <v>5.54</v>
      </c>
      <c r="AJ6221">
        <v>31.18</v>
      </c>
      <c r="AK6221">
        <v>23.8</v>
      </c>
      <c r="AL6221">
        <v>-20.178380049999959</v>
      </c>
      <c r="AM6221">
        <v>-44.883070555357122</v>
      </c>
      <c r="AN6221">
        <v>-20.178380049999959</v>
      </c>
      <c r="AO6221">
        <v>-44.883070555357122</v>
      </c>
      <c r="AP6221">
        <v>-20.178172</v>
      </c>
      <c r="AQ6221">
        <v>-44.882871999999999</v>
      </c>
      <c r="AR6221">
        <v>31.093588149250511</v>
      </c>
      <c r="AS6221" t="s">
        <v>65</v>
      </c>
      <c r="AT6221">
        <v>1</v>
      </c>
      <c r="AU6221" t="s">
        <v>378</v>
      </c>
      <c r="AV6221" t="s">
        <v>379</v>
      </c>
      <c r="AW6221" t="s">
        <v>60</v>
      </c>
      <c r="AX6221" t="s">
        <v>68</v>
      </c>
      <c r="AY6221" t="s">
        <v>69</v>
      </c>
      <c r="AZ6221" t="b">
        <v>1</v>
      </c>
    </row>
    <row r="6222" spans="1:52" x14ac:dyDescent="0.3">
      <c r="A6222" t="s">
        <v>52</v>
      </c>
      <c r="B6222" t="s">
        <v>53</v>
      </c>
      <c r="C6222" t="s">
        <v>54</v>
      </c>
      <c r="D6222" t="s">
        <v>55</v>
      </c>
      <c r="E6222" t="s">
        <v>2295</v>
      </c>
      <c r="F6222" t="s">
        <v>57</v>
      </c>
      <c r="G6222" t="s">
        <v>1671</v>
      </c>
      <c r="H6222" t="s">
        <v>1672</v>
      </c>
      <c r="I6222" t="s">
        <v>1672</v>
      </c>
      <c r="J6222" t="s">
        <v>60</v>
      </c>
      <c r="K6222" t="s">
        <v>375</v>
      </c>
      <c r="L6222" t="s">
        <v>62</v>
      </c>
      <c r="M6222" t="s">
        <v>375</v>
      </c>
      <c r="N6222" t="s">
        <v>1673</v>
      </c>
      <c r="O6222" t="s">
        <v>370</v>
      </c>
      <c r="P6222">
        <v>-20.180724000000001</v>
      </c>
      <c r="Q6222">
        <v>-44.886913999999997</v>
      </c>
      <c r="R6222" s="2" t="str">
        <f>HYPERLINK("https://www.google.com/maps?q=-20.1807240,-44.8869140","Abrir no Google Maps")</f>
        <v>Abrir no Google Maps</v>
      </c>
      <c r="S6222">
        <v>4</v>
      </c>
      <c r="T6222">
        <v>814.7424073839951</v>
      </c>
      <c r="U6222">
        <v>4</v>
      </c>
      <c r="V6222">
        <v>0.52330884270003886</v>
      </c>
      <c r="W6222">
        <v>1</v>
      </c>
      <c r="X6222">
        <v>0.52330884270003886</v>
      </c>
      <c r="Y6222">
        <v>101</v>
      </c>
      <c r="Z6222">
        <v>808.23656795472721</v>
      </c>
      <c r="AA6222">
        <v>198</v>
      </c>
      <c r="AB6222">
        <v>332</v>
      </c>
      <c r="AC6222">
        <v>536</v>
      </c>
      <c r="AD6222">
        <v>29.58</v>
      </c>
      <c r="AE6222">
        <v>542</v>
      </c>
      <c r="AF6222">
        <v>30</v>
      </c>
      <c r="AG6222">
        <v>169</v>
      </c>
      <c r="AH6222">
        <v>129</v>
      </c>
      <c r="AI6222">
        <v>5.54</v>
      </c>
      <c r="AJ6222">
        <v>31.18</v>
      </c>
      <c r="AK6222">
        <v>23.8</v>
      </c>
      <c r="AL6222">
        <v>-20.18071869999994</v>
      </c>
      <c r="AM6222">
        <v>-44.886927989725393</v>
      </c>
      <c r="AN6222">
        <v>-20.18071869999994</v>
      </c>
      <c r="AO6222">
        <v>-44.886927989725393</v>
      </c>
      <c r="AP6222">
        <v>-20.180724000000001</v>
      </c>
      <c r="AQ6222">
        <v>-44.886913999999997</v>
      </c>
      <c r="AR6222">
        <v>1.5763090046691759</v>
      </c>
      <c r="AS6222" t="s">
        <v>65</v>
      </c>
      <c r="AT6222">
        <v>1</v>
      </c>
      <c r="AU6222" t="s">
        <v>1674</v>
      </c>
      <c r="AV6222" t="s">
        <v>1642</v>
      </c>
      <c r="AW6222" t="s">
        <v>60</v>
      </c>
      <c r="AX6222" t="s">
        <v>68</v>
      </c>
      <c r="AY6222" t="s">
        <v>69</v>
      </c>
      <c r="AZ6222" t="b">
        <v>1</v>
      </c>
    </row>
    <row r="6223" spans="1:52" x14ac:dyDescent="0.3">
      <c r="A6223" t="s">
        <v>52</v>
      </c>
      <c r="B6223" t="s">
        <v>53</v>
      </c>
      <c r="C6223" t="s">
        <v>54</v>
      </c>
      <c r="D6223" t="s">
        <v>55</v>
      </c>
      <c r="E6223" t="s">
        <v>2295</v>
      </c>
      <c r="F6223" t="s">
        <v>190</v>
      </c>
      <c r="G6223" t="s">
        <v>70</v>
      </c>
      <c r="H6223" t="s">
        <v>71</v>
      </c>
      <c r="I6223" t="s">
        <v>71</v>
      </c>
      <c r="J6223" t="s">
        <v>60</v>
      </c>
      <c r="K6223" t="s">
        <v>72</v>
      </c>
      <c r="L6223" t="s">
        <v>62</v>
      </c>
      <c r="M6223" t="s">
        <v>72</v>
      </c>
      <c r="N6223" t="s">
        <v>73</v>
      </c>
      <c r="O6223" t="s">
        <v>74</v>
      </c>
      <c r="P6223">
        <v>-20.149349000000001</v>
      </c>
      <c r="Q6223">
        <v>-44.910784</v>
      </c>
      <c r="R6223" s="2" t="str">
        <f>HYPERLINK("https://www.google.com/maps?q=-20.1493490,-44.9107840","Abrir no Google Maps")</f>
        <v>Abrir no Google Maps</v>
      </c>
      <c r="S6223">
        <v>4</v>
      </c>
      <c r="T6223">
        <v>472.43876549769578</v>
      </c>
      <c r="U6223">
        <v>3</v>
      </c>
      <c r="V6223">
        <v>0.44985465116279072</v>
      </c>
      <c r="W6223">
        <v>1</v>
      </c>
      <c r="X6223">
        <v>0.44985465116279072</v>
      </c>
      <c r="Y6223">
        <v>747</v>
      </c>
      <c r="Z6223">
        <v>441.03921887407779</v>
      </c>
      <c r="AA6223">
        <v>198</v>
      </c>
      <c r="AB6223">
        <v>332</v>
      </c>
      <c r="AC6223">
        <v>536</v>
      </c>
      <c r="AD6223">
        <v>29.58</v>
      </c>
      <c r="AE6223">
        <v>542</v>
      </c>
      <c r="AF6223">
        <v>30</v>
      </c>
      <c r="AG6223">
        <v>169</v>
      </c>
      <c r="AH6223">
        <v>129</v>
      </c>
      <c r="AI6223">
        <v>5.54</v>
      </c>
      <c r="AJ6223">
        <v>31.18</v>
      </c>
      <c r="AK6223">
        <v>23.8</v>
      </c>
      <c r="AL6223">
        <v>-20.149403999999951</v>
      </c>
      <c r="AM6223">
        <v>-44.91080895147438</v>
      </c>
      <c r="AN6223">
        <v>-20.149403999999951</v>
      </c>
      <c r="AO6223">
        <v>-44.91080895147438</v>
      </c>
      <c r="AP6223">
        <v>-20.149349000000001</v>
      </c>
      <c r="AQ6223">
        <v>-44.910784</v>
      </c>
      <c r="AR6223">
        <v>6.6547592699416382</v>
      </c>
      <c r="AS6223" t="s">
        <v>65</v>
      </c>
      <c r="AT6223">
        <v>1</v>
      </c>
      <c r="AU6223" t="s">
        <v>75</v>
      </c>
      <c r="AV6223" t="s">
        <v>76</v>
      </c>
      <c r="AW6223" t="s">
        <v>60</v>
      </c>
      <c r="AX6223" t="s">
        <v>68</v>
      </c>
      <c r="AY6223" t="s">
        <v>69</v>
      </c>
      <c r="AZ6223" t="b">
        <v>1</v>
      </c>
    </row>
    <row r="6224" spans="1:52" x14ac:dyDescent="0.3">
      <c r="A6224" t="s">
        <v>52</v>
      </c>
      <c r="B6224" t="s">
        <v>53</v>
      </c>
      <c r="C6224" t="s">
        <v>54</v>
      </c>
      <c r="D6224" t="s">
        <v>55</v>
      </c>
      <c r="E6224" t="s">
        <v>2295</v>
      </c>
      <c r="F6224" t="s">
        <v>190</v>
      </c>
      <c r="G6224" t="s">
        <v>77</v>
      </c>
      <c r="H6224" t="s">
        <v>78</v>
      </c>
      <c r="I6224" t="s">
        <v>78</v>
      </c>
      <c r="J6224" t="s">
        <v>60</v>
      </c>
      <c r="K6224" t="s">
        <v>72</v>
      </c>
      <c r="L6224" t="s">
        <v>62</v>
      </c>
      <c r="M6224" t="s">
        <v>72</v>
      </c>
      <c r="N6224" t="s">
        <v>79</v>
      </c>
      <c r="O6224" t="s">
        <v>80</v>
      </c>
      <c r="P6224">
        <v>-20.147821</v>
      </c>
      <c r="Q6224">
        <v>-44.908887</v>
      </c>
      <c r="R6224" s="2" t="str">
        <f>HYPERLINK("https://www.google.com/maps?q=-20.1478210,-44.9088870","Abrir no Google Maps")</f>
        <v>Abrir no Google Maps</v>
      </c>
      <c r="S6224">
        <v>4</v>
      </c>
      <c r="T6224">
        <v>232.2893841532152</v>
      </c>
      <c r="U6224">
        <v>3</v>
      </c>
      <c r="V6224">
        <v>0.46062679407022927</v>
      </c>
      <c r="W6224">
        <v>1</v>
      </c>
      <c r="X6224">
        <v>0.46062679407022927</v>
      </c>
      <c r="Y6224">
        <v>747</v>
      </c>
      <c r="Z6224">
        <v>195.3668648953757</v>
      </c>
      <c r="AA6224">
        <v>198</v>
      </c>
      <c r="AB6224">
        <v>332</v>
      </c>
      <c r="AC6224">
        <v>536</v>
      </c>
      <c r="AD6224">
        <v>29.58</v>
      </c>
      <c r="AE6224">
        <v>542</v>
      </c>
      <c r="AF6224">
        <v>30</v>
      </c>
      <c r="AG6224">
        <v>169</v>
      </c>
      <c r="AH6224">
        <v>129</v>
      </c>
      <c r="AI6224">
        <v>5.54</v>
      </c>
      <c r="AJ6224">
        <v>31.18</v>
      </c>
      <c r="AK6224">
        <v>23.8</v>
      </c>
      <c r="AL6224">
        <v>-20.147802849999952</v>
      </c>
      <c r="AM6224">
        <v>-44.908989919229477</v>
      </c>
      <c r="AN6224">
        <v>-20.147802849999952</v>
      </c>
      <c r="AO6224">
        <v>-44.908989919229491</v>
      </c>
      <c r="AP6224">
        <v>-20.147821</v>
      </c>
      <c r="AQ6224">
        <v>-44.908887</v>
      </c>
      <c r="AR6224">
        <v>10.944007761262529</v>
      </c>
      <c r="AS6224" t="s">
        <v>65</v>
      </c>
      <c r="AT6224">
        <v>1</v>
      </c>
      <c r="AU6224" t="s">
        <v>81</v>
      </c>
      <c r="AV6224" t="s">
        <v>82</v>
      </c>
      <c r="AW6224" t="s">
        <v>60</v>
      </c>
      <c r="AX6224" t="s">
        <v>68</v>
      </c>
      <c r="AY6224" t="s">
        <v>69</v>
      </c>
      <c r="AZ6224" t="b">
        <v>1</v>
      </c>
    </row>
    <row r="6225" spans="1:52" x14ac:dyDescent="0.3">
      <c r="A6225" t="s">
        <v>52</v>
      </c>
      <c r="B6225" t="s">
        <v>53</v>
      </c>
      <c r="C6225" t="s">
        <v>54</v>
      </c>
      <c r="D6225" t="s">
        <v>55</v>
      </c>
      <c r="E6225" t="s">
        <v>2295</v>
      </c>
      <c r="F6225" t="s">
        <v>190</v>
      </c>
      <c r="G6225" t="s">
        <v>95</v>
      </c>
      <c r="H6225" t="s">
        <v>96</v>
      </c>
      <c r="I6225" t="s">
        <v>96</v>
      </c>
      <c r="J6225" t="s">
        <v>60</v>
      </c>
      <c r="K6225" t="s">
        <v>72</v>
      </c>
      <c r="L6225" t="s">
        <v>62</v>
      </c>
      <c r="M6225" t="s">
        <v>72</v>
      </c>
      <c r="N6225" t="s">
        <v>97</v>
      </c>
      <c r="O6225" t="s">
        <v>98</v>
      </c>
      <c r="P6225">
        <v>-20.144062999999999</v>
      </c>
      <c r="Q6225">
        <v>-44.909627999999998</v>
      </c>
      <c r="R6225" s="2" t="str">
        <f>HYPERLINK("https://www.google.com/maps?q=-20.1440630,-44.9096280","Abrir no Google Maps")</f>
        <v>Abrir no Google Maps</v>
      </c>
      <c r="S6225">
        <v>4</v>
      </c>
      <c r="T6225">
        <v>205.27083326529291</v>
      </c>
      <c r="U6225">
        <v>3</v>
      </c>
      <c r="V6225">
        <v>0.4600474314995977</v>
      </c>
      <c r="W6225">
        <v>1</v>
      </c>
      <c r="X6225">
        <v>0.4600474314995977</v>
      </c>
      <c r="Y6225">
        <v>747</v>
      </c>
      <c r="Z6225">
        <v>336.75785483480968</v>
      </c>
      <c r="AA6225">
        <v>198</v>
      </c>
      <c r="AB6225">
        <v>332</v>
      </c>
      <c r="AC6225">
        <v>536</v>
      </c>
      <c r="AD6225">
        <v>29.58</v>
      </c>
      <c r="AE6225">
        <v>542</v>
      </c>
      <c r="AF6225">
        <v>30</v>
      </c>
      <c r="AG6225">
        <v>169</v>
      </c>
      <c r="AH6225">
        <v>129</v>
      </c>
      <c r="AI6225">
        <v>5.54</v>
      </c>
      <c r="AJ6225">
        <v>31.18</v>
      </c>
      <c r="AK6225">
        <v>23.8</v>
      </c>
      <c r="AL6225">
        <v>-20.144164099999951</v>
      </c>
      <c r="AM6225">
        <v>-44.909420167767642</v>
      </c>
      <c r="AN6225">
        <v>-20.144164099999951</v>
      </c>
      <c r="AO6225">
        <v>-44.909420167767642</v>
      </c>
      <c r="AP6225">
        <v>-20.144062999999999</v>
      </c>
      <c r="AQ6225">
        <v>-44.909627999999998</v>
      </c>
      <c r="AR6225">
        <v>24.46321571724976</v>
      </c>
      <c r="AS6225" t="s">
        <v>65</v>
      </c>
      <c r="AT6225">
        <v>1</v>
      </c>
      <c r="AU6225" t="s">
        <v>99</v>
      </c>
      <c r="AV6225" t="s">
        <v>94</v>
      </c>
      <c r="AW6225" t="s">
        <v>60</v>
      </c>
      <c r="AX6225" t="s">
        <v>68</v>
      </c>
      <c r="AY6225" t="s">
        <v>69</v>
      </c>
      <c r="AZ6225" t="b">
        <v>1</v>
      </c>
    </row>
    <row r="6226" spans="1:52" x14ac:dyDescent="0.3">
      <c r="A6226" t="s">
        <v>52</v>
      </c>
      <c r="B6226" t="s">
        <v>53</v>
      </c>
      <c r="C6226" t="s">
        <v>54</v>
      </c>
      <c r="D6226" t="s">
        <v>55</v>
      </c>
      <c r="E6226" t="s">
        <v>2295</v>
      </c>
      <c r="F6226" t="s">
        <v>190</v>
      </c>
      <c r="G6226" t="s">
        <v>115</v>
      </c>
      <c r="H6226" t="s">
        <v>116</v>
      </c>
      <c r="I6226" t="s">
        <v>116</v>
      </c>
      <c r="J6226" t="s">
        <v>60</v>
      </c>
      <c r="K6226" t="s">
        <v>117</v>
      </c>
      <c r="L6226" t="s">
        <v>62</v>
      </c>
      <c r="M6226" t="s">
        <v>117</v>
      </c>
      <c r="N6226" t="s">
        <v>118</v>
      </c>
      <c r="O6226" t="s">
        <v>119</v>
      </c>
      <c r="P6226">
        <v>-20.116992</v>
      </c>
      <c r="Q6226">
        <v>-44.899355</v>
      </c>
      <c r="R6226" s="2" t="str">
        <f>HYPERLINK("https://www.google.com/maps?q=-20.1169920,-44.8993550","Abrir no Google Maps")</f>
        <v>Abrir no Google Maps</v>
      </c>
      <c r="S6226">
        <v>4</v>
      </c>
      <c r="T6226">
        <v>0</v>
      </c>
      <c r="U6226">
        <v>3</v>
      </c>
      <c r="V6226">
        <v>0.4600647756037079</v>
      </c>
      <c r="W6226">
        <v>1</v>
      </c>
      <c r="X6226">
        <v>0.4600647756037079</v>
      </c>
      <c r="Y6226">
        <v>567</v>
      </c>
      <c r="Z6226">
        <v>54.913678078353321</v>
      </c>
      <c r="AA6226">
        <v>198</v>
      </c>
      <c r="AB6226">
        <v>332</v>
      </c>
      <c r="AC6226">
        <v>536</v>
      </c>
      <c r="AD6226">
        <v>29.58</v>
      </c>
      <c r="AE6226">
        <v>542</v>
      </c>
      <c r="AF6226">
        <v>30</v>
      </c>
      <c r="AG6226">
        <v>169</v>
      </c>
      <c r="AH6226">
        <v>129</v>
      </c>
      <c r="AI6226">
        <v>5.54</v>
      </c>
      <c r="AJ6226">
        <v>31.18</v>
      </c>
      <c r="AK6226">
        <v>23.8</v>
      </c>
      <c r="AL6226">
        <v>-20.117107749999949</v>
      </c>
      <c r="AM6226">
        <v>-44.899271226243108</v>
      </c>
      <c r="AN6226">
        <v>-20.117107749999949</v>
      </c>
      <c r="AO6226">
        <v>-44.899271226243108</v>
      </c>
      <c r="AP6226">
        <v>-20.116992</v>
      </c>
      <c r="AQ6226">
        <v>-44.899355</v>
      </c>
      <c r="AR6226">
        <v>15.579196044083419</v>
      </c>
      <c r="AS6226" t="s">
        <v>65</v>
      </c>
      <c r="AT6226">
        <v>1</v>
      </c>
      <c r="AU6226" t="s">
        <v>120</v>
      </c>
      <c r="AV6226" t="s">
        <v>121</v>
      </c>
      <c r="AW6226" t="s">
        <v>60</v>
      </c>
      <c r="AX6226" t="s">
        <v>68</v>
      </c>
      <c r="AY6226" t="s">
        <v>69</v>
      </c>
      <c r="AZ6226" t="b">
        <v>1</v>
      </c>
    </row>
    <row r="6227" spans="1:52" x14ac:dyDescent="0.3">
      <c r="A6227" t="s">
        <v>52</v>
      </c>
      <c r="B6227" t="s">
        <v>53</v>
      </c>
      <c r="C6227" t="s">
        <v>54</v>
      </c>
      <c r="D6227" t="s">
        <v>55</v>
      </c>
      <c r="E6227" t="s">
        <v>2295</v>
      </c>
      <c r="F6227" t="s">
        <v>190</v>
      </c>
      <c r="G6227" t="s">
        <v>212</v>
      </c>
      <c r="H6227" t="s">
        <v>213</v>
      </c>
      <c r="I6227" t="s">
        <v>213</v>
      </c>
      <c r="J6227" t="s">
        <v>60</v>
      </c>
      <c r="K6227" t="s">
        <v>214</v>
      </c>
      <c r="L6227" t="s">
        <v>62</v>
      </c>
      <c r="M6227" t="s">
        <v>214</v>
      </c>
      <c r="N6227" t="s">
        <v>215</v>
      </c>
      <c r="O6227" t="s">
        <v>216</v>
      </c>
      <c r="P6227">
        <v>-20.158149000000002</v>
      </c>
      <c r="Q6227">
        <v>-44.872593000000002</v>
      </c>
      <c r="R6227" s="2" t="str">
        <f>HYPERLINK("https://www.google.com/maps?q=-20.1581490,-44.8725930","Abrir no Google Maps")</f>
        <v>Abrir no Google Maps</v>
      </c>
      <c r="S6227">
        <v>4</v>
      </c>
      <c r="T6227">
        <v>0</v>
      </c>
      <c r="U6227">
        <v>3</v>
      </c>
      <c r="V6227">
        <v>0.45836143950959157</v>
      </c>
      <c r="W6227">
        <v>1</v>
      </c>
      <c r="X6227">
        <v>0.45836143950959157</v>
      </c>
      <c r="Y6227">
        <v>531</v>
      </c>
      <c r="Z6227">
        <v>127.8805352974544</v>
      </c>
      <c r="AA6227">
        <v>198</v>
      </c>
      <c r="AB6227">
        <v>332</v>
      </c>
      <c r="AC6227">
        <v>536</v>
      </c>
      <c r="AD6227">
        <v>29.58</v>
      </c>
      <c r="AE6227">
        <v>542</v>
      </c>
      <c r="AF6227">
        <v>30</v>
      </c>
      <c r="AG6227">
        <v>169</v>
      </c>
      <c r="AH6227">
        <v>129</v>
      </c>
      <c r="AI6227">
        <v>5.54</v>
      </c>
      <c r="AJ6227">
        <v>31.18</v>
      </c>
      <c r="AK6227">
        <v>23.8</v>
      </c>
      <c r="AL6227">
        <v>-20.158114249999951</v>
      </c>
      <c r="AM6227">
        <v>-44.872583123264782</v>
      </c>
      <c r="AN6227">
        <v>-20.158114249999951</v>
      </c>
      <c r="AO6227">
        <v>-44.872583123264782</v>
      </c>
      <c r="AP6227">
        <v>-20.158149000000002</v>
      </c>
      <c r="AQ6227">
        <v>-44.872593000000002</v>
      </c>
      <c r="AR6227">
        <v>4.0036956087599238</v>
      </c>
      <c r="AS6227" t="s">
        <v>65</v>
      </c>
      <c r="AT6227">
        <v>1</v>
      </c>
      <c r="AU6227" t="s">
        <v>217</v>
      </c>
      <c r="AV6227" t="s">
        <v>218</v>
      </c>
      <c r="AW6227" t="s">
        <v>60</v>
      </c>
      <c r="AX6227" t="s">
        <v>68</v>
      </c>
      <c r="AY6227" t="s">
        <v>69</v>
      </c>
      <c r="AZ6227" t="b">
        <v>1</v>
      </c>
    </row>
    <row r="6228" spans="1:52" x14ac:dyDescent="0.3">
      <c r="A6228" t="s">
        <v>52</v>
      </c>
      <c r="B6228" t="s">
        <v>53</v>
      </c>
      <c r="C6228" t="s">
        <v>54</v>
      </c>
      <c r="D6228" t="s">
        <v>55</v>
      </c>
      <c r="E6228" t="s">
        <v>2295</v>
      </c>
      <c r="F6228" t="s">
        <v>190</v>
      </c>
      <c r="G6228" t="s">
        <v>225</v>
      </c>
      <c r="H6228" t="s">
        <v>226</v>
      </c>
      <c r="I6228" t="s">
        <v>226</v>
      </c>
      <c r="J6228" t="s">
        <v>60</v>
      </c>
      <c r="K6228" t="s">
        <v>227</v>
      </c>
      <c r="L6228" t="s">
        <v>62</v>
      </c>
      <c r="M6228" t="s">
        <v>227</v>
      </c>
      <c r="N6228" t="s">
        <v>228</v>
      </c>
      <c r="O6228" t="s">
        <v>229</v>
      </c>
      <c r="P6228">
        <v>-20.156986</v>
      </c>
      <c r="Q6228">
        <v>-44.857474000000003</v>
      </c>
      <c r="R6228" s="2" t="str">
        <f>HYPERLINK("https://www.google.com/maps?q=-20.1569860,-44.8574740","Abrir no Google Maps")</f>
        <v>Abrir no Google Maps</v>
      </c>
      <c r="S6228">
        <v>4</v>
      </c>
      <c r="T6228">
        <v>270.52797591847911</v>
      </c>
      <c r="U6228">
        <v>3</v>
      </c>
      <c r="V6228">
        <v>0.44530705282917671</v>
      </c>
      <c r="W6228">
        <v>1</v>
      </c>
      <c r="X6228">
        <v>0.44530705282917671</v>
      </c>
      <c r="Y6228">
        <v>518</v>
      </c>
      <c r="Z6228">
        <v>441.86584449256071</v>
      </c>
      <c r="AA6228">
        <v>198</v>
      </c>
      <c r="AB6228">
        <v>332</v>
      </c>
      <c r="AC6228">
        <v>536</v>
      </c>
      <c r="AD6228">
        <v>29.58</v>
      </c>
      <c r="AE6228">
        <v>542</v>
      </c>
      <c r="AF6228">
        <v>30</v>
      </c>
      <c r="AG6228">
        <v>169</v>
      </c>
      <c r="AH6228">
        <v>129</v>
      </c>
      <c r="AI6228">
        <v>5.54</v>
      </c>
      <c r="AJ6228">
        <v>31.18</v>
      </c>
      <c r="AK6228">
        <v>23.8</v>
      </c>
      <c r="AL6228">
        <v>-20.156957249999952</v>
      </c>
      <c r="AM6228">
        <v>-44.857396682659299</v>
      </c>
      <c r="AN6228">
        <v>-20.156957249999952</v>
      </c>
      <c r="AO6228">
        <v>-44.857396682659299</v>
      </c>
      <c r="AP6228">
        <v>-20.156986</v>
      </c>
      <c r="AQ6228">
        <v>-44.857474000000003</v>
      </c>
      <c r="AR6228">
        <v>8.6905800579264607</v>
      </c>
      <c r="AS6228" t="s">
        <v>65</v>
      </c>
      <c r="AT6228">
        <v>1</v>
      </c>
      <c r="AU6228" t="s">
        <v>230</v>
      </c>
      <c r="AV6228" t="s">
        <v>231</v>
      </c>
      <c r="AW6228" t="s">
        <v>60</v>
      </c>
      <c r="AX6228" t="s">
        <v>68</v>
      </c>
      <c r="AY6228" t="s">
        <v>69</v>
      </c>
      <c r="AZ6228" t="b">
        <v>1</v>
      </c>
    </row>
    <row r="6229" spans="1:52" x14ac:dyDescent="0.3">
      <c r="A6229" t="s">
        <v>52</v>
      </c>
      <c r="B6229" t="s">
        <v>53</v>
      </c>
      <c r="C6229" t="s">
        <v>54</v>
      </c>
      <c r="D6229" t="s">
        <v>55</v>
      </c>
      <c r="E6229" t="s">
        <v>2295</v>
      </c>
      <c r="F6229" t="s">
        <v>190</v>
      </c>
      <c r="G6229" t="s">
        <v>1618</v>
      </c>
      <c r="H6229" t="s">
        <v>1619</v>
      </c>
      <c r="I6229" t="s">
        <v>1619</v>
      </c>
      <c r="J6229" t="s">
        <v>60</v>
      </c>
      <c r="K6229" t="s">
        <v>227</v>
      </c>
      <c r="L6229" t="s">
        <v>62</v>
      </c>
      <c r="M6229" t="s">
        <v>227</v>
      </c>
      <c r="N6229" t="s">
        <v>228</v>
      </c>
      <c r="O6229" t="s">
        <v>1620</v>
      </c>
      <c r="P6229">
        <v>-20.159497999999999</v>
      </c>
      <c r="Q6229">
        <v>-44.852925999999997</v>
      </c>
      <c r="R6229" s="2" t="str">
        <f>HYPERLINK("https://www.google.com/maps?q=-20.1594980,-44.8529260","Abrir no Google Maps")</f>
        <v>Abrir no Google Maps</v>
      </c>
      <c r="S6229">
        <v>4</v>
      </c>
      <c r="T6229">
        <v>560.11627509727657</v>
      </c>
      <c r="U6229">
        <v>3</v>
      </c>
      <c r="V6229">
        <v>0.45357862436030649</v>
      </c>
      <c r="W6229">
        <v>1</v>
      </c>
      <c r="X6229">
        <v>0.45357862436030649</v>
      </c>
      <c r="Y6229">
        <v>491</v>
      </c>
      <c r="Z6229">
        <v>609.25494989442086</v>
      </c>
      <c r="AA6229">
        <v>198</v>
      </c>
      <c r="AB6229">
        <v>332</v>
      </c>
      <c r="AC6229">
        <v>536</v>
      </c>
      <c r="AD6229">
        <v>29.58</v>
      </c>
      <c r="AE6229">
        <v>542</v>
      </c>
      <c r="AF6229">
        <v>30</v>
      </c>
      <c r="AG6229">
        <v>169</v>
      </c>
      <c r="AH6229">
        <v>129</v>
      </c>
      <c r="AI6229">
        <v>5.54</v>
      </c>
      <c r="AJ6229">
        <v>31.18</v>
      </c>
      <c r="AK6229">
        <v>23.8</v>
      </c>
      <c r="AL6229">
        <v>-20.159495399999969</v>
      </c>
      <c r="AM6229">
        <v>-44.85297928977559</v>
      </c>
      <c r="AN6229">
        <v>-20.159495399999969</v>
      </c>
      <c r="AO6229">
        <v>-44.85297928977559</v>
      </c>
      <c r="AP6229">
        <v>-20.159497999999999</v>
      </c>
      <c r="AQ6229">
        <v>-44.852925999999997</v>
      </c>
      <c r="AR6229">
        <v>5.5763081103260701</v>
      </c>
      <c r="AS6229" t="s">
        <v>65</v>
      </c>
      <c r="AT6229">
        <v>1</v>
      </c>
      <c r="AU6229" t="s">
        <v>1621</v>
      </c>
      <c r="AV6229" t="s">
        <v>1622</v>
      </c>
      <c r="AW6229" t="s">
        <v>60</v>
      </c>
      <c r="AX6229" t="s">
        <v>68</v>
      </c>
      <c r="AY6229" t="s">
        <v>69</v>
      </c>
      <c r="AZ6229" t="b">
        <v>1</v>
      </c>
    </row>
    <row r="6230" spans="1:52" x14ac:dyDescent="0.3">
      <c r="A6230" t="s">
        <v>52</v>
      </c>
      <c r="B6230" t="s">
        <v>53</v>
      </c>
      <c r="C6230" t="s">
        <v>54</v>
      </c>
      <c r="D6230" t="s">
        <v>55</v>
      </c>
      <c r="E6230" t="s">
        <v>2295</v>
      </c>
      <c r="F6230" t="s">
        <v>190</v>
      </c>
      <c r="G6230" t="s">
        <v>127</v>
      </c>
      <c r="H6230" t="s">
        <v>128</v>
      </c>
      <c r="I6230" t="s">
        <v>128</v>
      </c>
      <c r="J6230" t="s">
        <v>60</v>
      </c>
      <c r="K6230" t="s">
        <v>129</v>
      </c>
      <c r="L6230" t="s">
        <v>62</v>
      </c>
      <c r="M6230" t="s">
        <v>129</v>
      </c>
      <c r="N6230" t="s">
        <v>130</v>
      </c>
      <c r="O6230" t="s">
        <v>131</v>
      </c>
      <c r="P6230">
        <v>-20.130752000000001</v>
      </c>
      <c r="Q6230">
        <v>-44.865676999999998</v>
      </c>
      <c r="R6230" s="2" t="str">
        <f>HYPERLINK("https://www.google.com/maps?q=-20.1307520,-44.8656770","Abrir no Google Maps")</f>
        <v>Abrir no Google Maps</v>
      </c>
      <c r="S6230">
        <v>4</v>
      </c>
      <c r="T6230">
        <v>666.25741128624747</v>
      </c>
      <c r="U6230">
        <v>3</v>
      </c>
      <c r="V6230">
        <v>0.4424879544459045</v>
      </c>
      <c r="W6230">
        <v>1</v>
      </c>
      <c r="X6230">
        <v>0.4424879544459045</v>
      </c>
      <c r="Y6230">
        <v>387</v>
      </c>
      <c r="Z6230">
        <v>838.7193965949632</v>
      </c>
      <c r="AA6230">
        <v>198</v>
      </c>
      <c r="AB6230">
        <v>332</v>
      </c>
      <c r="AC6230">
        <v>536</v>
      </c>
      <c r="AD6230">
        <v>29.58</v>
      </c>
      <c r="AE6230">
        <v>542</v>
      </c>
      <c r="AF6230">
        <v>30</v>
      </c>
      <c r="AG6230">
        <v>169</v>
      </c>
      <c r="AH6230">
        <v>129</v>
      </c>
      <c r="AI6230">
        <v>5.54</v>
      </c>
      <c r="AJ6230">
        <v>31.18</v>
      </c>
      <c r="AK6230">
        <v>23.8</v>
      </c>
      <c r="AL6230">
        <v>-20.130734049999969</v>
      </c>
      <c r="AM6230">
        <v>-44.86564904282416</v>
      </c>
      <c r="AN6230">
        <v>-20.130734049999969</v>
      </c>
      <c r="AO6230">
        <v>-44.86564904282416</v>
      </c>
      <c r="AP6230">
        <v>-20.130752000000001</v>
      </c>
      <c r="AQ6230">
        <v>-44.865676999999998</v>
      </c>
      <c r="AR6230">
        <v>3.539952280780454</v>
      </c>
      <c r="AS6230" t="s">
        <v>65</v>
      </c>
      <c r="AT6230">
        <v>1</v>
      </c>
      <c r="AU6230" t="s">
        <v>132</v>
      </c>
      <c r="AV6230" t="s">
        <v>133</v>
      </c>
      <c r="AW6230" t="s">
        <v>60</v>
      </c>
      <c r="AX6230" t="s">
        <v>68</v>
      </c>
      <c r="AY6230" t="s">
        <v>69</v>
      </c>
      <c r="AZ6230" t="b">
        <v>1</v>
      </c>
    </row>
    <row r="6231" spans="1:52" x14ac:dyDescent="0.3">
      <c r="A6231" t="s">
        <v>52</v>
      </c>
      <c r="B6231" t="s">
        <v>53</v>
      </c>
      <c r="C6231" t="s">
        <v>54</v>
      </c>
      <c r="D6231" t="s">
        <v>55</v>
      </c>
      <c r="E6231" t="s">
        <v>2295</v>
      </c>
      <c r="F6231" t="s">
        <v>190</v>
      </c>
      <c r="G6231" t="s">
        <v>212</v>
      </c>
      <c r="H6231" t="s">
        <v>249</v>
      </c>
      <c r="I6231" t="s">
        <v>249</v>
      </c>
      <c r="J6231" t="s">
        <v>60</v>
      </c>
      <c r="K6231" t="s">
        <v>214</v>
      </c>
      <c r="L6231" t="s">
        <v>62</v>
      </c>
      <c r="M6231" t="s">
        <v>214</v>
      </c>
      <c r="N6231" t="s">
        <v>215</v>
      </c>
      <c r="O6231" t="s">
        <v>250</v>
      </c>
      <c r="P6231">
        <v>-20.153901000000001</v>
      </c>
      <c r="Q6231">
        <v>-44.873201000000002</v>
      </c>
      <c r="R6231" s="2" t="str">
        <f>HYPERLINK("https://www.google.com/maps?q=-20.1539010,-44.8732010","Abrir no Google Maps")</f>
        <v>Abrir no Google Maps</v>
      </c>
      <c r="S6231">
        <v>4</v>
      </c>
      <c r="T6231">
        <v>478.23282142593177</v>
      </c>
      <c r="U6231">
        <v>3</v>
      </c>
      <c r="V6231">
        <v>0.4592914592914592</v>
      </c>
      <c r="W6231">
        <v>1</v>
      </c>
      <c r="X6231">
        <v>0.4592914592914592</v>
      </c>
      <c r="Y6231">
        <v>305</v>
      </c>
      <c r="Z6231">
        <v>392.82025973713081</v>
      </c>
      <c r="AA6231">
        <v>198</v>
      </c>
      <c r="AB6231">
        <v>332</v>
      </c>
      <c r="AC6231">
        <v>536</v>
      </c>
      <c r="AD6231">
        <v>29.58</v>
      </c>
      <c r="AE6231">
        <v>542</v>
      </c>
      <c r="AF6231">
        <v>30</v>
      </c>
      <c r="AG6231">
        <v>169</v>
      </c>
      <c r="AH6231">
        <v>129</v>
      </c>
      <c r="AI6231">
        <v>5.54</v>
      </c>
      <c r="AJ6231">
        <v>31.18</v>
      </c>
      <c r="AK6231">
        <v>23.8</v>
      </c>
      <c r="AL6231">
        <v>-20.153814849999971</v>
      </c>
      <c r="AM6231">
        <v>-44.87304592111829</v>
      </c>
      <c r="AN6231">
        <v>-20.153814849999971</v>
      </c>
      <c r="AO6231">
        <v>-44.87304592111829</v>
      </c>
      <c r="AP6231">
        <v>-20.153901000000001</v>
      </c>
      <c r="AQ6231">
        <v>-44.873201000000002</v>
      </c>
      <c r="AR6231">
        <v>18.831316146831309</v>
      </c>
      <c r="AS6231" t="s">
        <v>65</v>
      </c>
      <c r="AT6231">
        <v>1</v>
      </c>
      <c r="AU6231" t="s">
        <v>251</v>
      </c>
      <c r="AV6231" t="s">
        <v>252</v>
      </c>
      <c r="AW6231" t="s">
        <v>60</v>
      </c>
      <c r="AX6231" t="s">
        <v>68</v>
      </c>
      <c r="AY6231" t="s">
        <v>69</v>
      </c>
      <c r="AZ6231" t="b">
        <v>1</v>
      </c>
    </row>
    <row r="6232" spans="1:52" x14ac:dyDescent="0.3">
      <c r="A6232" t="s">
        <v>52</v>
      </c>
      <c r="B6232" t="s">
        <v>53</v>
      </c>
      <c r="C6232" t="s">
        <v>54</v>
      </c>
      <c r="D6232" t="s">
        <v>55</v>
      </c>
      <c r="E6232" t="s">
        <v>2295</v>
      </c>
      <c r="F6232" t="s">
        <v>190</v>
      </c>
      <c r="G6232" t="s">
        <v>253</v>
      </c>
      <c r="H6232" t="s">
        <v>254</v>
      </c>
      <c r="I6232" t="s">
        <v>254</v>
      </c>
      <c r="J6232" t="s">
        <v>60</v>
      </c>
      <c r="K6232" t="s">
        <v>255</v>
      </c>
      <c r="L6232" t="s">
        <v>62</v>
      </c>
      <c r="M6232" t="s">
        <v>255</v>
      </c>
      <c r="N6232" t="s">
        <v>256</v>
      </c>
      <c r="O6232" t="s">
        <v>257</v>
      </c>
      <c r="P6232">
        <v>-20.159638000000001</v>
      </c>
      <c r="Q6232">
        <v>-44.849030999999997</v>
      </c>
      <c r="R6232" s="2" t="str">
        <f>HYPERLINK("https://www.google.com/maps?q=-20.1596380,-44.8490310","Abrir no Google Maps")</f>
        <v>Abrir no Google Maps</v>
      </c>
      <c r="S6232">
        <v>4</v>
      </c>
      <c r="T6232">
        <v>691.81173220845892</v>
      </c>
      <c r="U6232">
        <v>3</v>
      </c>
      <c r="V6232">
        <v>0.42839003227342459</v>
      </c>
      <c r="W6232">
        <v>1</v>
      </c>
      <c r="X6232">
        <v>0.42839003227342459</v>
      </c>
      <c r="Y6232">
        <v>292</v>
      </c>
      <c r="Z6232">
        <v>678.56824923431736</v>
      </c>
      <c r="AA6232">
        <v>198</v>
      </c>
      <c r="AB6232">
        <v>332</v>
      </c>
      <c r="AC6232">
        <v>536</v>
      </c>
      <c r="AD6232">
        <v>29.58</v>
      </c>
      <c r="AE6232">
        <v>542</v>
      </c>
      <c r="AF6232">
        <v>30</v>
      </c>
      <c r="AG6232">
        <v>169</v>
      </c>
      <c r="AH6232">
        <v>129</v>
      </c>
      <c r="AI6232">
        <v>5.54</v>
      </c>
      <c r="AJ6232">
        <v>31.18</v>
      </c>
      <c r="AK6232">
        <v>23.8</v>
      </c>
      <c r="AL6232">
        <v>-20.159590049999959</v>
      </c>
      <c r="AM6232">
        <v>-44.849181856774607</v>
      </c>
      <c r="AN6232">
        <v>-20.159590049999959</v>
      </c>
      <c r="AO6232">
        <v>-44.849181856774607</v>
      </c>
      <c r="AP6232">
        <v>-20.159638000000001</v>
      </c>
      <c r="AQ6232">
        <v>-44.849030999999997</v>
      </c>
      <c r="AR6232">
        <v>16.643712040087191</v>
      </c>
      <c r="AS6232" t="s">
        <v>65</v>
      </c>
      <c r="AT6232">
        <v>1</v>
      </c>
      <c r="AU6232" t="s">
        <v>258</v>
      </c>
      <c r="AV6232" t="s">
        <v>259</v>
      </c>
      <c r="AW6232" t="s">
        <v>60</v>
      </c>
      <c r="AX6232" t="s">
        <v>68</v>
      </c>
      <c r="AY6232" t="s">
        <v>69</v>
      </c>
      <c r="AZ6232" t="b">
        <v>1</v>
      </c>
    </row>
    <row r="6233" spans="1:52" x14ac:dyDescent="0.3">
      <c r="A6233" t="s">
        <v>52</v>
      </c>
      <c r="B6233" t="s">
        <v>53</v>
      </c>
      <c r="C6233" t="s">
        <v>54</v>
      </c>
      <c r="D6233" t="s">
        <v>55</v>
      </c>
      <c r="E6233" t="s">
        <v>2295</v>
      </c>
      <c r="F6233" t="s">
        <v>190</v>
      </c>
      <c r="G6233" t="s">
        <v>260</v>
      </c>
      <c r="H6233" t="s">
        <v>261</v>
      </c>
      <c r="I6233" t="s">
        <v>261</v>
      </c>
      <c r="J6233" t="s">
        <v>60</v>
      </c>
      <c r="K6233" t="s">
        <v>262</v>
      </c>
      <c r="L6233" t="s">
        <v>62</v>
      </c>
      <c r="M6233" t="s">
        <v>262</v>
      </c>
      <c r="N6233" t="s">
        <v>263</v>
      </c>
      <c r="O6233" t="s">
        <v>264</v>
      </c>
      <c r="P6233">
        <v>-20.162230000000001</v>
      </c>
      <c r="Q6233">
        <v>-44.850189</v>
      </c>
      <c r="R6233" s="2" t="str">
        <f>HYPERLINK("https://www.google.com/maps?q=-20.1622300,-44.8501890","Abrir no Google Maps")</f>
        <v>Abrir no Google Maps</v>
      </c>
      <c r="S6233">
        <v>4</v>
      </c>
      <c r="T6233">
        <v>485.03737650296068</v>
      </c>
      <c r="U6233">
        <v>3</v>
      </c>
      <c r="V6233">
        <v>0.45206160853410049</v>
      </c>
      <c r="W6233">
        <v>1</v>
      </c>
      <c r="X6233">
        <v>0.45206160853410049</v>
      </c>
      <c r="Y6233">
        <v>292</v>
      </c>
      <c r="Z6233">
        <v>461.03925198673232</v>
      </c>
      <c r="AA6233">
        <v>198</v>
      </c>
      <c r="AB6233">
        <v>332</v>
      </c>
      <c r="AC6233">
        <v>536</v>
      </c>
      <c r="AD6233">
        <v>29.58</v>
      </c>
      <c r="AE6233">
        <v>542</v>
      </c>
      <c r="AF6233">
        <v>30</v>
      </c>
      <c r="AG6233">
        <v>169</v>
      </c>
      <c r="AH6233">
        <v>129</v>
      </c>
      <c r="AI6233">
        <v>5.54</v>
      </c>
      <c r="AJ6233">
        <v>31.18</v>
      </c>
      <c r="AK6233">
        <v>23.8</v>
      </c>
      <c r="AL6233">
        <v>-20.162067849999971</v>
      </c>
      <c r="AM6233">
        <v>-44.850230909322903</v>
      </c>
      <c r="AN6233">
        <v>-20.162067849999971</v>
      </c>
      <c r="AO6233">
        <v>-44.850230909322903</v>
      </c>
      <c r="AP6233">
        <v>-20.162230000000001</v>
      </c>
      <c r="AQ6233">
        <v>-44.850189</v>
      </c>
      <c r="AR6233">
        <v>18.574218491036259</v>
      </c>
      <c r="AS6233" t="s">
        <v>65</v>
      </c>
      <c r="AT6233">
        <v>1</v>
      </c>
      <c r="AU6233" t="s">
        <v>265</v>
      </c>
      <c r="AV6233" t="s">
        <v>266</v>
      </c>
      <c r="AW6233" t="s">
        <v>60</v>
      </c>
      <c r="AX6233" t="s">
        <v>68</v>
      </c>
      <c r="AY6233" t="s">
        <v>69</v>
      </c>
      <c r="AZ6233" t="b">
        <v>1</v>
      </c>
    </row>
    <row r="6234" spans="1:52" x14ac:dyDescent="0.3">
      <c r="A6234" t="s">
        <v>52</v>
      </c>
      <c r="B6234" t="s">
        <v>53</v>
      </c>
      <c r="C6234" t="s">
        <v>54</v>
      </c>
      <c r="D6234" t="s">
        <v>55</v>
      </c>
      <c r="E6234" t="s">
        <v>2295</v>
      </c>
      <c r="F6234" t="s">
        <v>190</v>
      </c>
      <c r="G6234" t="s">
        <v>253</v>
      </c>
      <c r="H6234" t="s">
        <v>286</v>
      </c>
      <c r="I6234" t="s">
        <v>286</v>
      </c>
      <c r="J6234" t="s">
        <v>60</v>
      </c>
      <c r="K6234" t="s">
        <v>136</v>
      </c>
      <c r="L6234" t="s">
        <v>62</v>
      </c>
      <c r="M6234" t="s">
        <v>136</v>
      </c>
      <c r="N6234" t="s">
        <v>256</v>
      </c>
      <c r="O6234" t="s">
        <v>287</v>
      </c>
      <c r="P6234">
        <v>-20.165067000000001</v>
      </c>
      <c r="Q6234">
        <v>-44.851146999999997</v>
      </c>
      <c r="R6234" s="2" t="str">
        <f>HYPERLINK("https://www.google.com/maps?q=-20.1650670,-44.8511470","Abrir no Google Maps")</f>
        <v>Abrir no Google Maps</v>
      </c>
      <c r="S6234">
        <v>4</v>
      </c>
      <c r="T6234">
        <v>374.14945573570043</v>
      </c>
      <c r="U6234">
        <v>3</v>
      </c>
      <c r="V6234">
        <v>0.44530405467304268</v>
      </c>
      <c r="W6234">
        <v>1</v>
      </c>
      <c r="X6234">
        <v>0.44530405467304268</v>
      </c>
      <c r="Y6234">
        <v>292</v>
      </c>
      <c r="Z6234">
        <v>295.9878686859272</v>
      </c>
      <c r="AA6234">
        <v>198</v>
      </c>
      <c r="AB6234">
        <v>332</v>
      </c>
      <c r="AC6234">
        <v>536</v>
      </c>
      <c r="AD6234">
        <v>29.58</v>
      </c>
      <c r="AE6234">
        <v>542</v>
      </c>
      <c r="AF6234">
        <v>30</v>
      </c>
      <c r="AG6234">
        <v>169</v>
      </c>
      <c r="AH6234">
        <v>129</v>
      </c>
      <c r="AI6234">
        <v>5.54</v>
      </c>
      <c r="AJ6234">
        <v>31.18</v>
      </c>
      <c r="AK6234">
        <v>23.8</v>
      </c>
      <c r="AL6234">
        <v>-20.164961799999961</v>
      </c>
      <c r="AM6234">
        <v>-44.851062119796737</v>
      </c>
      <c r="AN6234">
        <v>-20.164961799999961</v>
      </c>
      <c r="AO6234">
        <v>-44.851062119796737</v>
      </c>
      <c r="AP6234">
        <v>-20.165067000000001</v>
      </c>
      <c r="AQ6234">
        <v>-44.851146999999997</v>
      </c>
      <c r="AR6234">
        <v>14.690666366415</v>
      </c>
      <c r="AS6234" t="s">
        <v>65</v>
      </c>
      <c r="AT6234">
        <v>1</v>
      </c>
      <c r="AU6234" t="s">
        <v>288</v>
      </c>
      <c r="AV6234" t="s">
        <v>289</v>
      </c>
      <c r="AW6234" t="s">
        <v>60</v>
      </c>
      <c r="AX6234" t="s">
        <v>68</v>
      </c>
      <c r="AY6234" t="s">
        <v>69</v>
      </c>
      <c r="AZ6234" t="b">
        <v>1</v>
      </c>
    </row>
    <row r="6235" spans="1:52" x14ac:dyDescent="0.3">
      <c r="A6235" t="s">
        <v>52</v>
      </c>
      <c r="B6235" t="s">
        <v>53</v>
      </c>
      <c r="C6235" t="s">
        <v>54</v>
      </c>
      <c r="D6235" t="s">
        <v>55</v>
      </c>
      <c r="E6235" t="s">
        <v>2295</v>
      </c>
      <c r="F6235" t="s">
        <v>190</v>
      </c>
      <c r="G6235" t="s">
        <v>148</v>
      </c>
      <c r="H6235" t="s">
        <v>149</v>
      </c>
      <c r="I6235" t="s">
        <v>149</v>
      </c>
      <c r="J6235" t="s">
        <v>60</v>
      </c>
      <c r="K6235" t="s">
        <v>150</v>
      </c>
      <c r="L6235" t="s">
        <v>62</v>
      </c>
      <c r="M6235" t="s">
        <v>150</v>
      </c>
      <c r="N6235" t="s">
        <v>151</v>
      </c>
      <c r="O6235" t="s">
        <v>152</v>
      </c>
      <c r="P6235">
        <v>-20.174192999999999</v>
      </c>
      <c r="Q6235">
        <v>-44.850782000000002</v>
      </c>
      <c r="R6235" s="2" t="str">
        <f>HYPERLINK("https://www.google.com/maps?q=-20.1741930,-44.8507820","Abrir no Google Maps")</f>
        <v>Abrir no Google Maps</v>
      </c>
      <c r="S6235">
        <v>4</v>
      </c>
      <c r="T6235">
        <v>994.93657848632188</v>
      </c>
      <c r="U6235">
        <v>3</v>
      </c>
      <c r="V6235">
        <v>0.45509967864152351</v>
      </c>
      <c r="W6235">
        <v>1</v>
      </c>
      <c r="X6235">
        <v>0.45509967864152351</v>
      </c>
      <c r="Y6235">
        <v>292</v>
      </c>
      <c r="Z6235">
        <v>948.95851793804729</v>
      </c>
      <c r="AA6235">
        <v>198</v>
      </c>
      <c r="AB6235">
        <v>332</v>
      </c>
      <c r="AC6235">
        <v>536</v>
      </c>
      <c r="AD6235">
        <v>29.58</v>
      </c>
      <c r="AE6235">
        <v>542</v>
      </c>
      <c r="AF6235">
        <v>30</v>
      </c>
      <c r="AG6235">
        <v>169</v>
      </c>
      <c r="AH6235">
        <v>129</v>
      </c>
      <c r="AI6235">
        <v>5.54</v>
      </c>
      <c r="AJ6235">
        <v>31.18</v>
      </c>
      <c r="AK6235">
        <v>23.8</v>
      </c>
      <c r="AL6235">
        <v>-20.174122099999941</v>
      </c>
      <c r="AM6235">
        <v>-44.850744657037339</v>
      </c>
      <c r="AN6235">
        <v>-20.174122099999941</v>
      </c>
      <c r="AO6235">
        <v>-44.850744657037339</v>
      </c>
      <c r="AP6235">
        <v>-20.174192999999999</v>
      </c>
      <c r="AQ6235">
        <v>-44.850782000000002</v>
      </c>
      <c r="AR6235">
        <v>8.8044534253701947</v>
      </c>
      <c r="AS6235" t="s">
        <v>65</v>
      </c>
      <c r="AT6235">
        <v>1</v>
      </c>
      <c r="AU6235" t="s">
        <v>153</v>
      </c>
      <c r="AV6235" t="s">
        <v>154</v>
      </c>
      <c r="AW6235" t="s">
        <v>60</v>
      </c>
      <c r="AX6235" t="s">
        <v>68</v>
      </c>
      <c r="AY6235" t="s">
        <v>69</v>
      </c>
      <c r="AZ6235" t="b">
        <v>1</v>
      </c>
    </row>
    <row r="6236" spans="1:52" x14ac:dyDescent="0.3">
      <c r="A6236" t="s">
        <v>52</v>
      </c>
      <c r="B6236" t="s">
        <v>53</v>
      </c>
      <c r="C6236" t="s">
        <v>54</v>
      </c>
      <c r="D6236" t="s">
        <v>55</v>
      </c>
      <c r="E6236" t="s">
        <v>2295</v>
      </c>
      <c r="F6236" t="s">
        <v>190</v>
      </c>
      <c r="G6236" t="s">
        <v>300</v>
      </c>
      <c r="H6236" t="s">
        <v>301</v>
      </c>
      <c r="I6236" t="s">
        <v>301</v>
      </c>
      <c r="J6236" t="s">
        <v>60</v>
      </c>
      <c r="K6236" t="s">
        <v>150</v>
      </c>
      <c r="L6236" t="s">
        <v>62</v>
      </c>
      <c r="M6236" t="s">
        <v>150</v>
      </c>
      <c r="N6236" t="s">
        <v>302</v>
      </c>
      <c r="O6236" t="s">
        <v>303</v>
      </c>
      <c r="P6236">
        <v>-20.172993000000002</v>
      </c>
      <c r="Q6236">
        <v>-44.853588999999999</v>
      </c>
      <c r="R6236" s="2" t="str">
        <f>HYPERLINK("https://www.google.com/maps?q=-20.1729930,-44.8535890","Abrir no Google Maps")</f>
        <v>Abrir no Google Maps</v>
      </c>
      <c r="S6236">
        <v>4</v>
      </c>
      <c r="T6236">
        <v>1041.446216907221</v>
      </c>
      <c r="U6236">
        <v>3</v>
      </c>
      <c r="V6236">
        <v>0.46032124681933839</v>
      </c>
      <c r="W6236">
        <v>1</v>
      </c>
      <c r="X6236">
        <v>0.46032124681933839</v>
      </c>
      <c r="Y6236">
        <v>292</v>
      </c>
      <c r="Z6236">
        <v>978.86270909763937</v>
      </c>
      <c r="AA6236">
        <v>198</v>
      </c>
      <c r="AB6236">
        <v>332</v>
      </c>
      <c r="AC6236">
        <v>536</v>
      </c>
      <c r="AD6236">
        <v>29.58</v>
      </c>
      <c r="AE6236">
        <v>542</v>
      </c>
      <c r="AF6236">
        <v>30</v>
      </c>
      <c r="AG6236">
        <v>169</v>
      </c>
      <c r="AH6236">
        <v>129</v>
      </c>
      <c r="AI6236">
        <v>5.54</v>
      </c>
      <c r="AJ6236">
        <v>31.18</v>
      </c>
      <c r="AK6236">
        <v>23.8</v>
      </c>
      <c r="AL6236">
        <v>-20.173142449999968</v>
      </c>
      <c r="AM6236">
        <v>-44.853588035903172</v>
      </c>
      <c r="AN6236">
        <v>-20.173142449999968</v>
      </c>
      <c r="AO6236">
        <v>-44.853588035903172</v>
      </c>
      <c r="AP6236">
        <v>-20.172993000000002</v>
      </c>
      <c r="AQ6236">
        <v>-44.853588999999999</v>
      </c>
      <c r="AR6236">
        <v>16.637078994259841</v>
      </c>
      <c r="AS6236" t="s">
        <v>65</v>
      </c>
      <c r="AT6236">
        <v>1</v>
      </c>
      <c r="AU6236" t="s">
        <v>304</v>
      </c>
      <c r="AV6236" t="s">
        <v>305</v>
      </c>
      <c r="AW6236" t="s">
        <v>60</v>
      </c>
      <c r="AX6236" t="s">
        <v>68</v>
      </c>
      <c r="AY6236" t="s">
        <v>69</v>
      </c>
      <c r="AZ6236" t="b">
        <v>1</v>
      </c>
    </row>
    <row r="6237" spans="1:52" x14ac:dyDescent="0.3">
      <c r="A6237" t="s">
        <v>52</v>
      </c>
      <c r="B6237" t="s">
        <v>53</v>
      </c>
      <c r="C6237" t="s">
        <v>54</v>
      </c>
      <c r="D6237" t="s">
        <v>55</v>
      </c>
      <c r="E6237" t="s">
        <v>2295</v>
      </c>
      <c r="F6237" t="s">
        <v>190</v>
      </c>
      <c r="G6237" t="s">
        <v>312</v>
      </c>
      <c r="H6237" t="s">
        <v>313</v>
      </c>
      <c r="I6237" t="s">
        <v>313</v>
      </c>
      <c r="J6237" t="s">
        <v>60</v>
      </c>
      <c r="K6237" t="s">
        <v>143</v>
      </c>
      <c r="L6237" t="s">
        <v>62</v>
      </c>
      <c r="M6237" t="s">
        <v>143</v>
      </c>
      <c r="N6237" t="s">
        <v>314</v>
      </c>
      <c r="O6237" t="s">
        <v>315</v>
      </c>
      <c r="P6237">
        <v>-20.168939000000002</v>
      </c>
      <c r="Q6237">
        <v>-44.843286999999997</v>
      </c>
      <c r="R6237" s="2" t="str">
        <f>HYPERLINK("https://www.google.com/maps?q=-20.1689390,-44.8432870","Abrir no Google Maps")</f>
        <v>Abrir no Google Maps</v>
      </c>
      <c r="S6237">
        <v>4</v>
      </c>
      <c r="T6237">
        <v>582.22902758915586</v>
      </c>
      <c r="U6237">
        <v>3</v>
      </c>
      <c r="V6237">
        <v>0.45450890706838548</v>
      </c>
      <c r="W6237">
        <v>1</v>
      </c>
      <c r="X6237">
        <v>0.45450890706838548</v>
      </c>
      <c r="Y6237">
        <v>292</v>
      </c>
      <c r="Z6237">
        <v>628.29035609472794</v>
      </c>
      <c r="AA6237">
        <v>198</v>
      </c>
      <c r="AB6237">
        <v>332</v>
      </c>
      <c r="AC6237">
        <v>536</v>
      </c>
      <c r="AD6237">
        <v>29.58</v>
      </c>
      <c r="AE6237">
        <v>542</v>
      </c>
      <c r="AF6237">
        <v>30</v>
      </c>
      <c r="AG6237">
        <v>169</v>
      </c>
      <c r="AH6237">
        <v>129</v>
      </c>
      <c r="AI6237">
        <v>5.54</v>
      </c>
      <c r="AJ6237">
        <v>31.18</v>
      </c>
      <c r="AK6237">
        <v>23.8</v>
      </c>
      <c r="AL6237">
        <v>-20.16917709999996</v>
      </c>
      <c r="AM6237">
        <v>-44.84342194427667</v>
      </c>
      <c r="AN6237">
        <v>-20.16917709999996</v>
      </c>
      <c r="AO6237">
        <v>-44.84342194427667</v>
      </c>
      <c r="AP6237">
        <v>-20.168939000000002</v>
      </c>
      <c r="AQ6237">
        <v>-44.843286999999997</v>
      </c>
      <c r="AR6237">
        <v>30.02272213565665</v>
      </c>
      <c r="AS6237" t="s">
        <v>65</v>
      </c>
      <c r="AT6237">
        <v>1</v>
      </c>
      <c r="AU6237" t="s">
        <v>316</v>
      </c>
      <c r="AV6237" t="s">
        <v>311</v>
      </c>
      <c r="AW6237" t="s">
        <v>60</v>
      </c>
      <c r="AX6237" t="s">
        <v>68</v>
      </c>
      <c r="AY6237" t="s">
        <v>69</v>
      </c>
      <c r="AZ6237" t="b">
        <v>1</v>
      </c>
    </row>
    <row r="6238" spans="1:52" x14ac:dyDescent="0.3">
      <c r="A6238" t="s">
        <v>52</v>
      </c>
      <c r="B6238" t="s">
        <v>53</v>
      </c>
      <c r="C6238" t="s">
        <v>54</v>
      </c>
      <c r="D6238" t="s">
        <v>55</v>
      </c>
      <c r="E6238" t="s">
        <v>2295</v>
      </c>
      <c r="F6238" t="s">
        <v>190</v>
      </c>
      <c r="G6238" t="s">
        <v>328</v>
      </c>
      <c r="H6238" t="s">
        <v>329</v>
      </c>
      <c r="I6238" t="s">
        <v>329</v>
      </c>
      <c r="J6238" t="s">
        <v>60</v>
      </c>
      <c r="K6238" t="s">
        <v>157</v>
      </c>
      <c r="L6238" t="s">
        <v>62</v>
      </c>
      <c r="M6238" t="s">
        <v>157</v>
      </c>
      <c r="N6238" t="s">
        <v>330</v>
      </c>
      <c r="O6238" t="s">
        <v>331</v>
      </c>
      <c r="P6238">
        <v>-20.167981999999999</v>
      </c>
      <c r="Q6238">
        <v>-44.885706999999996</v>
      </c>
      <c r="R6238" s="2" t="str">
        <f>HYPERLINK("https://www.google.com/maps?q=-20.1679820,-44.8857070","Abrir no Google Maps")</f>
        <v>Abrir no Google Maps</v>
      </c>
      <c r="S6238">
        <v>4</v>
      </c>
      <c r="T6238">
        <v>594.70112534633722</v>
      </c>
      <c r="U6238">
        <v>3</v>
      </c>
      <c r="V6238">
        <v>0.4503160617377957</v>
      </c>
      <c r="W6238">
        <v>1</v>
      </c>
      <c r="X6238">
        <v>0.4503160617377957</v>
      </c>
      <c r="Y6238">
        <v>232</v>
      </c>
      <c r="Z6238">
        <v>560.38516624860983</v>
      </c>
      <c r="AA6238">
        <v>198</v>
      </c>
      <c r="AB6238">
        <v>332</v>
      </c>
      <c r="AC6238">
        <v>536</v>
      </c>
      <c r="AD6238">
        <v>29.58</v>
      </c>
      <c r="AE6238">
        <v>542</v>
      </c>
      <c r="AF6238">
        <v>30</v>
      </c>
      <c r="AG6238">
        <v>169</v>
      </c>
      <c r="AH6238">
        <v>129</v>
      </c>
      <c r="AI6238">
        <v>5.54</v>
      </c>
      <c r="AJ6238">
        <v>31.18</v>
      </c>
      <c r="AK6238">
        <v>23.8</v>
      </c>
      <c r="AL6238">
        <v>-20.167931149999959</v>
      </c>
      <c r="AM6238">
        <v>-44.885606821741909</v>
      </c>
      <c r="AN6238">
        <v>-20.167931149999959</v>
      </c>
      <c r="AO6238">
        <v>-44.885606821741909</v>
      </c>
      <c r="AP6238">
        <v>-20.167981999999999</v>
      </c>
      <c r="AQ6238">
        <v>-44.885706999999996</v>
      </c>
      <c r="AR6238">
        <v>11.90056149590643</v>
      </c>
      <c r="AS6238" t="s">
        <v>65</v>
      </c>
      <c r="AT6238">
        <v>1</v>
      </c>
      <c r="AU6238" t="s">
        <v>332</v>
      </c>
      <c r="AV6238" t="s">
        <v>333</v>
      </c>
      <c r="AW6238" t="s">
        <v>60</v>
      </c>
      <c r="AX6238" t="s">
        <v>68</v>
      </c>
      <c r="AY6238" t="s">
        <v>69</v>
      </c>
      <c r="AZ6238" t="b">
        <v>1</v>
      </c>
    </row>
    <row r="6239" spans="1:52" x14ac:dyDescent="0.3">
      <c r="A6239" t="s">
        <v>52</v>
      </c>
      <c r="B6239" t="s">
        <v>53</v>
      </c>
      <c r="C6239" t="s">
        <v>54</v>
      </c>
      <c r="D6239" t="s">
        <v>55</v>
      </c>
      <c r="E6239" t="s">
        <v>2295</v>
      </c>
      <c r="F6239" t="s">
        <v>190</v>
      </c>
      <c r="G6239" t="s">
        <v>334</v>
      </c>
      <c r="H6239" t="s">
        <v>335</v>
      </c>
      <c r="I6239" t="s">
        <v>335</v>
      </c>
      <c r="J6239" t="s">
        <v>60</v>
      </c>
      <c r="K6239" t="s">
        <v>336</v>
      </c>
      <c r="L6239" t="s">
        <v>62</v>
      </c>
      <c r="M6239" t="s">
        <v>336</v>
      </c>
      <c r="N6239" t="s">
        <v>337</v>
      </c>
      <c r="O6239" t="s">
        <v>338</v>
      </c>
      <c r="P6239">
        <v>-20.168142</v>
      </c>
      <c r="Q6239">
        <v>-44.875697000000002</v>
      </c>
      <c r="R6239" s="2" t="str">
        <f>HYPERLINK("https://www.google.com/maps?q=-20.1681420,-44.8756970","Abrir no Google Maps")</f>
        <v>Abrir no Google Maps</v>
      </c>
      <c r="S6239">
        <v>4</v>
      </c>
      <c r="T6239">
        <v>678.04878367834192</v>
      </c>
      <c r="U6239">
        <v>3</v>
      </c>
      <c r="V6239">
        <v>0.45875993627118061</v>
      </c>
      <c r="W6239">
        <v>1</v>
      </c>
      <c r="X6239">
        <v>0.45875993627118061</v>
      </c>
      <c r="Y6239">
        <v>232</v>
      </c>
      <c r="Z6239">
        <v>595.98467532792097</v>
      </c>
      <c r="AA6239">
        <v>198</v>
      </c>
      <c r="AB6239">
        <v>332</v>
      </c>
      <c r="AC6239">
        <v>536</v>
      </c>
      <c r="AD6239">
        <v>29.58</v>
      </c>
      <c r="AE6239">
        <v>542</v>
      </c>
      <c r="AF6239">
        <v>30</v>
      </c>
      <c r="AG6239">
        <v>169</v>
      </c>
      <c r="AH6239">
        <v>129</v>
      </c>
      <c r="AI6239">
        <v>5.54</v>
      </c>
      <c r="AJ6239">
        <v>31.18</v>
      </c>
      <c r="AK6239">
        <v>23.8</v>
      </c>
      <c r="AL6239">
        <v>-20.16787839999995</v>
      </c>
      <c r="AM6239">
        <v>-44.875681825945229</v>
      </c>
      <c r="AN6239">
        <v>-20.16787839999995</v>
      </c>
      <c r="AO6239">
        <v>-44.875681825945229</v>
      </c>
      <c r="AP6239">
        <v>-20.168142</v>
      </c>
      <c r="AQ6239">
        <v>-44.875697000000002</v>
      </c>
      <c r="AR6239">
        <v>29.386760063894371</v>
      </c>
      <c r="AS6239" t="s">
        <v>65</v>
      </c>
      <c r="AT6239">
        <v>1</v>
      </c>
      <c r="AU6239" t="s">
        <v>339</v>
      </c>
      <c r="AV6239" t="s">
        <v>340</v>
      </c>
      <c r="AW6239" t="s">
        <v>60</v>
      </c>
      <c r="AX6239" t="s">
        <v>68</v>
      </c>
      <c r="AY6239" t="s">
        <v>69</v>
      </c>
      <c r="AZ6239" t="b">
        <v>1</v>
      </c>
    </row>
    <row r="6240" spans="1:52" x14ac:dyDescent="0.3">
      <c r="A6240" t="s">
        <v>52</v>
      </c>
      <c r="B6240" t="s">
        <v>53</v>
      </c>
      <c r="C6240" t="s">
        <v>54</v>
      </c>
      <c r="D6240" t="s">
        <v>55</v>
      </c>
      <c r="E6240" t="s">
        <v>2295</v>
      </c>
      <c r="F6240" t="s">
        <v>190</v>
      </c>
      <c r="G6240" t="s">
        <v>155</v>
      </c>
      <c r="H6240" t="s">
        <v>156</v>
      </c>
      <c r="I6240" t="s">
        <v>156</v>
      </c>
      <c r="J6240" t="s">
        <v>60</v>
      </c>
      <c r="K6240" t="s">
        <v>157</v>
      </c>
      <c r="L6240" t="s">
        <v>62</v>
      </c>
      <c r="M6240" t="s">
        <v>157</v>
      </c>
      <c r="N6240" t="s">
        <v>158</v>
      </c>
      <c r="O6240" t="s">
        <v>159</v>
      </c>
      <c r="P6240">
        <v>-20.166302999999999</v>
      </c>
      <c r="Q6240">
        <v>-44.880659999999999</v>
      </c>
      <c r="R6240" s="2" t="str">
        <f>HYPERLINK("https://www.google.com/maps?q=-20.1663030,-44.8806600","Abrir no Google Maps")</f>
        <v>Abrir no Google Maps</v>
      </c>
      <c r="S6240">
        <v>4</v>
      </c>
      <c r="T6240">
        <v>504.41812426451338</v>
      </c>
      <c r="U6240">
        <v>3</v>
      </c>
      <c r="V6240">
        <v>0.4597771801767192</v>
      </c>
      <c r="W6240">
        <v>1</v>
      </c>
      <c r="X6240">
        <v>0.4597771801767192</v>
      </c>
      <c r="Y6240">
        <v>232</v>
      </c>
      <c r="Z6240">
        <v>279.57571553948952</v>
      </c>
      <c r="AA6240">
        <v>198</v>
      </c>
      <c r="AB6240">
        <v>332</v>
      </c>
      <c r="AC6240">
        <v>536</v>
      </c>
      <c r="AD6240">
        <v>29.58</v>
      </c>
      <c r="AE6240">
        <v>542</v>
      </c>
      <c r="AF6240">
        <v>30</v>
      </c>
      <c r="AG6240">
        <v>169</v>
      </c>
      <c r="AH6240">
        <v>129</v>
      </c>
      <c r="AI6240">
        <v>5.54</v>
      </c>
      <c r="AJ6240">
        <v>31.18</v>
      </c>
      <c r="AK6240">
        <v>23.8</v>
      </c>
      <c r="AL6240">
        <v>-20.166700449999951</v>
      </c>
      <c r="AM6240">
        <v>-44.880573341714289</v>
      </c>
      <c r="AN6240">
        <v>-20.166700449999951</v>
      </c>
      <c r="AO6240">
        <v>-44.880573341714289</v>
      </c>
      <c r="AP6240">
        <v>-20.166302999999999</v>
      </c>
      <c r="AQ6240">
        <v>-44.880659999999999</v>
      </c>
      <c r="AR6240">
        <v>45.161304979350312</v>
      </c>
      <c r="AS6240" t="s">
        <v>65</v>
      </c>
      <c r="AT6240">
        <v>1</v>
      </c>
      <c r="AU6240" t="s">
        <v>160</v>
      </c>
      <c r="AV6240" t="s">
        <v>161</v>
      </c>
      <c r="AW6240" t="s">
        <v>60</v>
      </c>
      <c r="AX6240" t="s">
        <v>68</v>
      </c>
      <c r="AY6240" t="s">
        <v>69</v>
      </c>
      <c r="AZ6240" t="b">
        <v>1</v>
      </c>
    </row>
    <row r="6241" spans="1:52" x14ac:dyDescent="0.3">
      <c r="A6241" t="s">
        <v>52</v>
      </c>
      <c r="B6241" t="s">
        <v>53</v>
      </c>
      <c r="C6241" t="s">
        <v>54</v>
      </c>
      <c r="D6241" t="s">
        <v>55</v>
      </c>
      <c r="E6241" t="s">
        <v>2295</v>
      </c>
      <c r="F6241" t="s">
        <v>190</v>
      </c>
      <c r="G6241" t="s">
        <v>341</v>
      </c>
      <c r="H6241" t="s">
        <v>342</v>
      </c>
      <c r="I6241" t="s">
        <v>342</v>
      </c>
      <c r="J6241" t="s">
        <v>60</v>
      </c>
      <c r="K6241" t="s">
        <v>164</v>
      </c>
      <c r="L6241" t="s">
        <v>62</v>
      </c>
      <c r="M6241" t="s">
        <v>164</v>
      </c>
      <c r="N6241" t="s">
        <v>343</v>
      </c>
      <c r="O6241" t="s">
        <v>344</v>
      </c>
      <c r="P6241">
        <v>-20.17606</v>
      </c>
      <c r="Q6241">
        <v>-44.880409999999998</v>
      </c>
      <c r="R6241" s="2" t="str">
        <f>HYPERLINK("https://www.google.com/maps?q=-20.1760600,-44.8804100","Abrir no Google Maps")</f>
        <v>Abrir no Google Maps</v>
      </c>
      <c r="S6241">
        <v>4</v>
      </c>
      <c r="T6241">
        <v>556.35468246023754</v>
      </c>
      <c r="U6241">
        <v>3</v>
      </c>
      <c r="V6241">
        <v>0.4589331141638292</v>
      </c>
      <c r="W6241">
        <v>1</v>
      </c>
      <c r="X6241">
        <v>0.4589331141638292</v>
      </c>
      <c r="Y6241">
        <v>232</v>
      </c>
      <c r="Z6241">
        <v>674.22003156100322</v>
      </c>
      <c r="AA6241">
        <v>198</v>
      </c>
      <c r="AB6241">
        <v>332</v>
      </c>
      <c r="AC6241">
        <v>536</v>
      </c>
      <c r="AD6241">
        <v>29.58</v>
      </c>
      <c r="AE6241">
        <v>542</v>
      </c>
      <c r="AF6241">
        <v>30</v>
      </c>
      <c r="AG6241">
        <v>169</v>
      </c>
      <c r="AH6241">
        <v>129</v>
      </c>
      <c r="AI6241">
        <v>5.54</v>
      </c>
      <c r="AJ6241">
        <v>31.18</v>
      </c>
      <c r="AK6241">
        <v>23.8</v>
      </c>
      <c r="AL6241">
        <v>-20.176226899999961</v>
      </c>
      <c r="AM6241">
        <v>-44.880527903427911</v>
      </c>
      <c r="AN6241">
        <v>-20.176226899999961</v>
      </c>
      <c r="AO6241">
        <v>-44.880527903427911</v>
      </c>
      <c r="AP6241">
        <v>-20.17606</v>
      </c>
      <c r="AQ6241">
        <v>-44.880409999999998</v>
      </c>
      <c r="AR6241">
        <v>22.292677247804349</v>
      </c>
      <c r="AS6241" t="s">
        <v>65</v>
      </c>
      <c r="AT6241">
        <v>1</v>
      </c>
      <c r="AU6241" t="s">
        <v>345</v>
      </c>
      <c r="AV6241" t="s">
        <v>346</v>
      </c>
      <c r="AW6241" t="s">
        <v>60</v>
      </c>
      <c r="AX6241" t="s">
        <v>68</v>
      </c>
      <c r="AY6241" t="s">
        <v>69</v>
      </c>
      <c r="AZ6241" t="b">
        <v>1</v>
      </c>
    </row>
    <row r="6242" spans="1:52" x14ac:dyDescent="0.3">
      <c r="A6242" t="s">
        <v>52</v>
      </c>
      <c r="B6242" t="s">
        <v>53</v>
      </c>
      <c r="C6242" t="s">
        <v>54</v>
      </c>
      <c r="D6242" t="s">
        <v>55</v>
      </c>
      <c r="E6242" t="s">
        <v>2295</v>
      </c>
      <c r="F6242" t="s">
        <v>190</v>
      </c>
      <c r="G6242" t="s">
        <v>162</v>
      </c>
      <c r="H6242" t="s">
        <v>163</v>
      </c>
      <c r="I6242" t="s">
        <v>163</v>
      </c>
      <c r="J6242" t="s">
        <v>60</v>
      </c>
      <c r="K6242" t="s">
        <v>164</v>
      </c>
      <c r="L6242" t="s">
        <v>62</v>
      </c>
      <c r="M6242" t="s">
        <v>164</v>
      </c>
      <c r="N6242" t="s">
        <v>165</v>
      </c>
      <c r="O6242" t="s">
        <v>166</v>
      </c>
      <c r="P6242">
        <v>-20.175967</v>
      </c>
      <c r="Q6242">
        <v>-44.876730000000002</v>
      </c>
      <c r="R6242" s="2" t="str">
        <f>HYPERLINK("https://www.google.com/maps?q=-20.1759670,-44.8767300","Abrir no Google Maps")</f>
        <v>Abrir no Google Maps</v>
      </c>
      <c r="S6242">
        <v>4</v>
      </c>
      <c r="T6242">
        <v>692.5753730151132</v>
      </c>
      <c r="U6242">
        <v>3</v>
      </c>
      <c r="V6242">
        <v>0.43083823983581898</v>
      </c>
      <c r="W6242">
        <v>1</v>
      </c>
      <c r="X6242">
        <v>0.43083823983581898</v>
      </c>
      <c r="Y6242">
        <v>232</v>
      </c>
      <c r="Z6242">
        <v>686.15054949166824</v>
      </c>
      <c r="AA6242">
        <v>198</v>
      </c>
      <c r="AB6242">
        <v>332</v>
      </c>
      <c r="AC6242">
        <v>536</v>
      </c>
      <c r="AD6242">
        <v>29.58</v>
      </c>
      <c r="AE6242">
        <v>542</v>
      </c>
      <c r="AF6242">
        <v>30</v>
      </c>
      <c r="AG6242">
        <v>169</v>
      </c>
      <c r="AH6242">
        <v>129</v>
      </c>
      <c r="AI6242">
        <v>5.54</v>
      </c>
      <c r="AJ6242">
        <v>31.18</v>
      </c>
      <c r="AK6242">
        <v>23.8</v>
      </c>
      <c r="AL6242">
        <v>-20.17598664999997</v>
      </c>
      <c r="AM6242">
        <v>-44.876806510253203</v>
      </c>
      <c r="AN6242">
        <v>-20.17598664999997</v>
      </c>
      <c r="AO6242">
        <v>-44.876806510253203</v>
      </c>
      <c r="AP6242">
        <v>-20.175967</v>
      </c>
      <c r="AQ6242">
        <v>-44.876730000000002</v>
      </c>
      <c r="AR6242">
        <v>8.2883514287440097</v>
      </c>
      <c r="AS6242" t="s">
        <v>65</v>
      </c>
      <c r="AT6242">
        <v>1</v>
      </c>
      <c r="AU6242" t="s">
        <v>167</v>
      </c>
      <c r="AV6242" t="s">
        <v>168</v>
      </c>
      <c r="AW6242" t="s">
        <v>60</v>
      </c>
      <c r="AX6242" t="s">
        <v>68</v>
      </c>
      <c r="AY6242" t="s">
        <v>69</v>
      </c>
      <c r="AZ6242" t="b">
        <v>1</v>
      </c>
    </row>
    <row r="6243" spans="1:52" x14ac:dyDescent="0.3">
      <c r="A6243" t="s">
        <v>52</v>
      </c>
      <c r="B6243" t="s">
        <v>53</v>
      </c>
      <c r="C6243" t="s">
        <v>54</v>
      </c>
      <c r="D6243" t="s">
        <v>55</v>
      </c>
      <c r="E6243" t="s">
        <v>2295</v>
      </c>
      <c r="F6243" t="s">
        <v>190</v>
      </c>
      <c r="G6243" t="s">
        <v>347</v>
      </c>
      <c r="H6243" t="s">
        <v>348</v>
      </c>
      <c r="I6243" t="s">
        <v>348</v>
      </c>
      <c r="J6243" t="s">
        <v>60</v>
      </c>
      <c r="K6243" t="s">
        <v>157</v>
      </c>
      <c r="L6243" t="s">
        <v>62</v>
      </c>
      <c r="M6243" t="s">
        <v>157</v>
      </c>
      <c r="N6243" t="s">
        <v>349</v>
      </c>
      <c r="O6243" t="s">
        <v>350</v>
      </c>
      <c r="P6243">
        <v>-20.171206999999999</v>
      </c>
      <c r="Q6243">
        <v>-44.881143999999999</v>
      </c>
      <c r="R6243" s="2" t="str">
        <f>HYPERLINK("https://www.google.com/maps?q=-20.1712070,-44.8811440","Abrir no Google Maps")</f>
        <v>Abrir no Google Maps</v>
      </c>
      <c r="S6243">
        <v>4</v>
      </c>
      <c r="T6243">
        <v>0</v>
      </c>
      <c r="U6243">
        <v>3</v>
      </c>
      <c r="V6243">
        <v>0.4364986540425137</v>
      </c>
      <c r="W6243">
        <v>1</v>
      </c>
      <c r="X6243">
        <v>0.4364986540425137</v>
      </c>
      <c r="Y6243">
        <v>232</v>
      </c>
      <c r="Z6243">
        <v>184.81719774496389</v>
      </c>
      <c r="AA6243">
        <v>198</v>
      </c>
      <c r="AB6243">
        <v>332</v>
      </c>
      <c r="AC6243">
        <v>536</v>
      </c>
      <c r="AD6243">
        <v>29.58</v>
      </c>
      <c r="AE6243">
        <v>542</v>
      </c>
      <c r="AF6243">
        <v>30</v>
      </c>
      <c r="AG6243">
        <v>169</v>
      </c>
      <c r="AH6243">
        <v>129</v>
      </c>
      <c r="AI6243">
        <v>5.54</v>
      </c>
      <c r="AJ6243">
        <v>31.18</v>
      </c>
      <c r="AK6243">
        <v>23.8</v>
      </c>
      <c r="AL6243">
        <v>-20.171229949999969</v>
      </c>
      <c r="AM6243">
        <v>-44.881113944480241</v>
      </c>
      <c r="AN6243">
        <v>-20.171229949999969</v>
      </c>
      <c r="AO6243">
        <v>-44.881113944480241</v>
      </c>
      <c r="AP6243">
        <v>-20.171206999999999</v>
      </c>
      <c r="AQ6243">
        <v>-44.881143999999999</v>
      </c>
      <c r="AR6243">
        <v>4.0484763362859333</v>
      </c>
      <c r="AS6243" t="s">
        <v>65</v>
      </c>
      <c r="AT6243">
        <v>1</v>
      </c>
      <c r="AU6243" t="s">
        <v>351</v>
      </c>
      <c r="AV6243" t="s">
        <v>352</v>
      </c>
      <c r="AW6243" t="s">
        <v>60</v>
      </c>
      <c r="AX6243" t="s">
        <v>68</v>
      </c>
      <c r="AY6243" t="s">
        <v>69</v>
      </c>
      <c r="AZ6243" t="b">
        <v>1</v>
      </c>
    </row>
    <row r="6244" spans="1:52" x14ac:dyDescent="0.3">
      <c r="A6244" t="s">
        <v>52</v>
      </c>
      <c r="B6244" t="s">
        <v>53</v>
      </c>
      <c r="C6244" t="s">
        <v>54</v>
      </c>
      <c r="D6244" t="s">
        <v>55</v>
      </c>
      <c r="E6244" t="s">
        <v>2295</v>
      </c>
      <c r="F6244" t="s">
        <v>190</v>
      </c>
      <c r="G6244" t="s">
        <v>366</v>
      </c>
      <c r="H6244" t="s">
        <v>367</v>
      </c>
      <c r="I6244" t="s">
        <v>367</v>
      </c>
      <c r="J6244" t="s">
        <v>60</v>
      </c>
      <c r="K6244" t="s">
        <v>368</v>
      </c>
      <c r="L6244" t="s">
        <v>62</v>
      </c>
      <c r="M6244" t="s">
        <v>368</v>
      </c>
      <c r="N6244" t="s">
        <v>369</v>
      </c>
      <c r="O6244" t="s">
        <v>370</v>
      </c>
      <c r="P6244">
        <v>-20.144553999999999</v>
      </c>
      <c r="Q6244">
        <v>-44.868183000000002</v>
      </c>
      <c r="R6244" s="2" t="str">
        <f>HYPERLINK("https://www.google.com/maps?q=-20.1445540,-44.8681830","Abrir no Google Maps")</f>
        <v>Abrir no Google Maps</v>
      </c>
      <c r="S6244">
        <v>4</v>
      </c>
      <c r="T6244">
        <v>783.87848835431373</v>
      </c>
      <c r="U6244">
        <v>3</v>
      </c>
      <c r="V6244">
        <v>0.45243745969698779</v>
      </c>
      <c r="W6244">
        <v>1</v>
      </c>
      <c r="X6244">
        <v>0.45243745969698779</v>
      </c>
      <c r="Y6244">
        <v>198</v>
      </c>
      <c r="Z6244">
        <v>360.68413994394842</v>
      </c>
      <c r="AA6244">
        <v>198</v>
      </c>
      <c r="AB6244">
        <v>332</v>
      </c>
      <c r="AC6244">
        <v>536</v>
      </c>
      <c r="AD6244">
        <v>29.58</v>
      </c>
      <c r="AE6244">
        <v>542</v>
      </c>
      <c r="AF6244">
        <v>30</v>
      </c>
      <c r="AG6244">
        <v>169</v>
      </c>
      <c r="AH6244">
        <v>129</v>
      </c>
      <c r="AI6244">
        <v>5.54</v>
      </c>
      <c r="AJ6244">
        <v>31.18</v>
      </c>
      <c r="AK6244">
        <v>23.8</v>
      </c>
      <c r="AL6244">
        <v>-20.144487399999949</v>
      </c>
      <c r="AM6244">
        <v>-44.868111936674481</v>
      </c>
      <c r="AN6244">
        <v>-20.144487399999939</v>
      </c>
      <c r="AO6244">
        <v>-44.868111936674481</v>
      </c>
      <c r="AP6244">
        <v>-20.144553999999999</v>
      </c>
      <c r="AQ6244">
        <v>-44.868183000000002</v>
      </c>
      <c r="AR6244">
        <v>10.49400387332288</v>
      </c>
      <c r="AS6244" t="s">
        <v>65</v>
      </c>
      <c r="AT6244">
        <v>1</v>
      </c>
      <c r="AU6244" t="s">
        <v>371</v>
      </c>
      <c r="AV6244" t="s">
        <v>372</v>
      </c>
      <c r="AW6244" t="s">
        <v>60</v>
      </c>
      <c r="AX6244" t="s">
        <v>68</v>
      </c>
      <c r="AY6244" t="s">
        <v>69</v>
      </c>
      <c r="AZ6244" t="b">
        <v>1</v>
      </c>
    </row>
    <row r="6245" spans="1:52" x14ac:dyDescent="0.3">
      <c r="A6245" t="s">
        <v>52</v>
      </c>
      <c r="B6245" t="s">
        <v>53</v>
      </c>
      <c r="C6245" t="s">
        <v>54</v>
      </c>
      <c r="D6245" t="s">
        <v>55</v>
      </c>
      <c r="E6245" t="s">
        <v>2295</v>
      </c>
      <c r="F6245" t="s">
        <v>190</v>
      </c>
      <c r="G6245" t="s">
        <v>176</v>
      </c>
      <c r="H6245" t="s">
        <v>177</v>
      </c>
      <c r="I6245" t="s">
        <v>177</v>
      </c>
      <c r="J6245" t="s">
        <v>60</v>
      </c>
      <c r="K6245" t="s">
        <v>178</v>
      </c>
      <c r="L6245" t="s">
        <v>62</v>
      </c>
      <c r="M6245" t="s">
        <v>178</v>
      </c>
      <c r="N6245" t="s">
        <v>179</v>
      </c>
      <c r="O6245" t="s">
        <v>180</v>
      </c>
      <c r="P6245">
        <v>-20.129152999999999</v>
      </c>
      <c r="Q6245">
        <v>-44.859299</v>
      </c>
      <c r="R6245" s="2" t="str">
        <f>HYPERLINK("https://www.google.com/maps?q=-20.1291530,-44.8592990","Abrir no Google Maps")</f>
        <v>Abrir no Google Maps</v>
      </c>
      <c r="S6245">
        <v>4</v>
      </c>
      <c r="T6245">
        <v>0</v>
      </c>
      <c r="U6245">
        <v>3</v>
      </c>
      <c r="V6245">
        <v>0.4570102794045876</v>
      </c>
      <c r="W6245">
        <v>1</v>
      </c>
      <c r="X6245">
        <v>0.4570102794045876</v>
      </c>
      <c r="Y6245">
        <v>95</v>
      </c>
      <c r="Z6245">
        <v>323.58963420291411</v>
      </c>
      <c r="AA6245">
        <v>198</v>
      </c>
      <c r="AB6245">
        <v>332</v>
      </c>
      <c r="AC6245">
        <v>536</v>
      </c>
      <c r="AD6245">
        <v>29.58</v>
      </c>
      <c r="AE6245">
        <v>542</v>
      </c>
      <c r="AF6245">
        <v>30</v>
      </c>
      <c r="AG6245">
        <v>169</v>
      </c>
      <c r="AH6245">
        <v>129</v>
      </c>
      <c r="AI6245">
        <v>5.54</v>
      </c>
      <c r="AJ6245">
        <v>31.18</v>
      </c>
      <c r="AK6245">
        <v>23.8</v>
      </c>
      <c r="AL6245">
        <v>-20.129260799999969</v>
      </c>
      <c r="AM6245">
        <v>-44.859468344955843</v>
      </c>
      <c r="AN6245">
        <v>-20.129260799999969</v>
      </c>
      <c r="AO6245">
        <v>-44.859468344955843</v>
      </c>
      <c r="AP6245">
        <v>-20.129152999999999</v>
      </c>
      <c r="AQ6245">
        <v>-44.859299</v>
      </c>
      <c r="AR6245">
        <v>21.38451122307773</v>
      </c>
      <c r="AS6245" t="s">
        <v>65</v>
      </c>
      <c r="AT6245">
        <v>1</v>
      </c>
      <c r="AU6245" t="s">
        <v>181</v>
      </c>
      <c r="AV6245" t="s">
        <v>182</v>
      </c>
      <c r="AW6245" t="s">
        <v>60</v>
      </c>
      <c r="AX6245" t="s">
        <v>68</v>
      </c>
      <c r="AY6245" t="s">
        <v>69</v>
      </c>
      <c r="AZ6245" t="b">
        <v>1</v>
      </c>
    </row>
    <row r="6246" spans="1:52" x14ac:dyDescent="0.3">
      <c r="A6246" t="s">
        <v>52</v>
      </c>
      <c r="B6246" t="s">
        <v>53</v>
      </c>
      <c r="C6246" t="s">
        <v>54</v>
      </c>
      <c r="D6246" t="s">
        <v>55</v>
      </c>
      <c r="E6246" t="s">
        <v>2295</v>
      </c>
      <c r="F6246" t="s">
        <v>190</v>
      </c>
      <c r="G6246" t="s">
        <v>1679</v>
      </c>
      <c r="H6246" t="s">
        <v>1680</v>
      </c>
      <c r="I6246" t="s">
        <v>1680</v>
      </c>
      <c r="J6246" t="s">
        <v>60</v>
      </c>
      <c r="K6246" t="s">
        <v>1681</v>
      </c>
      <c r="L6246" t="s">
        <v>62</v>
      </c>
      <c r="M6246" t="s">
        <v>1681</v>
      </c>
      <c r="N6246" t="s">
        <v>1682</v>
      </c>
      <c r="O6246" t="s">
        <v>315</v>
      </c>
      <c r="P6246">
        <v>-20.136075999999999</v>
      </c>
      <c r="Q6246">
        <v>-44.854410999999999</v>
      </c>
      <c r="R6246" s="2" t="str">
        <f>HYPERLINK("https://www.google.com/maps?q=-20.1360760,-44.8544110","Abrir no Google Maps")</f>
        <v>Abrir no Google Maps</v>
      </c>
      <c r="S6246">
        <v>4</v>
      </c>
      <c r="T6246">
        <v>923.14535705095284</v>
      </c>
      <c r="U6246">
        <v>3</v>
      </c>
      <c r="V6246">
        <v>0.4520829200900609</v>
      </c>
      <c r="W6246">
        <v>1</v>
      </c>
      <c r="X6246">
        <v>0.4520829200900609</v>
      </c>
      <c r="Y6246">
        <v>95</v>
      </c>
      <c r="Z6246">
        <v>512.25410822465881</v>
      </c>
      <c r="AA6246">
        <v>198</v>
      </c>
      <c r="AB6246">
        <v>332</v>
      </c>
      <c r="AC6246">
        <v>536</v>
      </c>
      <c r="AD6246">
        <v>29.58</v>
      </c>
      <c r="AE6246">
        <v>542</v>
      </c>
      <c r="AF6246">
        <v>30</v>
      </c>
      <c r="AG6246">
        <v>169</v>
      </c>
      <c r="AH6246">
        <v>129</v>
      </c>
      <c r="AI6246">
        <v>5.54</v>
      </c>
      <c r="AJ6246">
        <v>31.18</v>
      </c>
      <c r="AK6246">
        <v>23.8</v>
      </c>
      <c r="AL6246">
        <v>-20.13612434999996</v>
      </c>
      <c r="AM6246">
        <v>-44.854448179058288</v>
      </c>
      <c r="AN6246">
        <v>-20.13612434999996</v>
      </c>
      <c r="AO6246">
        <v>-44.854448179058288</v>
      </c>
      <c r="AP6246">
        <v>-20.136075999999999</v>
      </c>
      <c r="AQ6246">
        <v>-44.854410999999999</v>
      </c>
      <c r="AR6246">
        <v>6.6384360450222868</v>
      </c>
      <c r="AS6246" t="s">
        <v>65</v>
      </c>
      <c r="AT6246">
        <v>1</v>
      </c>
      <c r="AU6246" t="s">
        <v>1683</v>
      </c>
      <c r="AV6246" t="s">
        <v>1684</v>
      </c>
      <c r="AW6246" t="s">
        <v>60</v>
      </c>
      <c r="AX6246" t="s">
        <v>68</v>
      </c>
      <c r="AY6246" t="s">
        <v>69</v>
      </c>
      <c r="AZ6246" t="b">
        <v>1</v>
      </c>
    </row>
    <row r="6247" spans="1:52" x14ac:dyDescent="0.3">
      <c r="A6247" t="s">
        <v>52</v>
      </c>
      <c r="B6247" t="s">
        <v>53</v>
      </c>
      <c r="C6247" t="s">
        <v>54</v>
      </c>
      <c r="D6247" t="s">
        <v>55</v>
      </c>
      <c r="E6247" t="s">
        <v>2295</v>
      </c>
      <c r="F6247" t="s">
        <v>190</v>
      </c>
      <c r="G6247" t="s">
        <v>183</v>
      </c>
      <c r="H6247" t="s">
        <v>184</v>
      </c>
      <c r="I6247" t="s">
        <v>184</v>
      </c>
      <c r="J6247" t="s">
        <v>60</v>
      </c>
      <c r="K6247" t="s">
        <v>185</v>
      </c>
      <c r="L6247" t="s">
        <v>62</v>
      </c>
      <c r="M6247" t="s">
        <v>185</v>
      </c>
      <c r="N6247" t="s">
        <v>186</v>
      </c>
      <c r="O6247" t="s">
        <v>187</v>
      </c>
      <c r="P6247">
        <v>-20.134855000000002</v>
      </c>
      <c r="Q6247">
        <v>-44.860174000000001</v>
      </c>
      <c r="R6247" s="2" t="str">
        <f>HYPERLINK("https://www.google.com/maps?q=-20.1348550,-44.8601740","Abrir no Google Maps")</f>
        <v>Abrir no Google Maps</v>
      </c>
      <c r="S6247">
        <v>4</v>
      </c>
      <c r="T6247">
        <v>625.96998974571841</v>
      </c>
      <c r="U6247">
        <v>3</v>
      </c>
      <c r="V6247">
        <v>0.44203506588602798</v>
      </c>
      <c r="W6247">
        <v>1</v>
      </c>
      <c r="X6247">
        <v>0.44203506588602798</v>
      </c>
      <c r="Y6247">
        <v>95</v>
      </c>
      <c r="Z6247">
        <v>257.67818504656498</v>
      </c>
      <c r="AA6247">
        <v>198</v>
      </c>
      <c r="AB6247">
        <v>332</v>
      </c>
      <c r="AC6247">
        <v>536</v>
      </c>
      <c r="AD6247">
        <v>29.58</v>
      </c>
      <c r="AE6247">
        <v>542</v>
      </c>
      <c r="AF6247">
        <v>30</v>
      </c>
      <c r="AG6247">
        <v>169</v>
      </c>
      <c r="AH6247">
        <v>129</v>
      </c>
      <c r="AI6247">
        <v>5.54</v>
      </c>
      <c r="AJ6247">
        <v>31.18</v>
      </c>
      <c r="AK6247">
        <v>23.8</v>
      </c>
      <c r="AL6247">
        <v>-20.134903999999981</v>
      </c>
      <c r="AM6247">
        <v>-44.859880285335962</v>
      </c>
      <c r="AN6247">
        <v>-20.134903999999981</v>
      </c>
      <c r="AO6247">
        <v>-44.859880285335962</v>
      </c>
      <c r="AP6247">
        <v>-20.134855000000002</v>
      </c>
      <c r="AQ6247">
        <v>-44.860174000000001</v>
      </c>
      <c r="AR6247">
        <v>31.178921696823132</v>
      </c>
      <c r="AS6247" t="s">
        <v>65</v>
      </c>
      <c r="AT6247">
        <v>1</v>
      </c>
      <c r="AU6247" t="s">
        <v>188</v>
      </c>
      <c r="AV6247" t="s">
        <v>189</v>
      </c>
      <c r="AW6247" t="s">
        <v>60</v>
      </c>
      <c r="AX6247" t="s">
        <v>68</v>
      </c>
      <c r="AY6247" t="s">
        <v>69</v>
      </c>
      <c r="AZ6247" t="b">
        <v>1</v>
      </c>
    </row>
    <row r="6248" spans="1:52" x14ac:dyDescent="0.3">
      <c r="A6248" t="s">
        <v>52</v>
      </c>
      <c r="B6248" t="s">
        <v>53</v>
      </c>
      <c r="C6248" t="s">
        <v>54</v>
      </c>
      <c r="D6248" t="s">
        <v>55</v>
      </c>
      <c r="E6248" t="s">
        <v>2295</v>
      </c>
      <c r="F6248" t="s">
        <v>190</v>
      </c>
      <c r="G6248" t="s">
        <v>380</v>
      </c>
      <c r="H6248" t="s">
        <v>381</v>
      </c>
      <c r="I6248" t="s">
        <v>381</v>
      </c>
      <c r="J6248" t="s">
        <v>60</v>
      </c>
      <c r="K6248" t="s">
        <v>72</v>
      </c>
      <c r="L6248" t="s">
        <v>62</v>
      </c>
      <c r="M6248" t="s">
        <v>72</v>
      </c>
      <c r="N6248" t="s">
        <v>382</v>
      </c>
      <c r="O6248" t="s">
        <v>383</v>
      </c>
      <c r="P6248">
        <v>-20.147182000000001</v>
      </c>
      <c r="Q6248">
        <v>-44.912728999999999</v>
      </c>
      <c r="R6248" s="2" t="str">
        <f>HYPERLINK("https://www.google.com/maps?q=-20.1471820,-44.9127290","Abrir no Google Maps")</f>
        <v>Abrir no Google Maps</v>
      </c>
      <c r="S6248">
        <v>3</v>
      </c>
      <c r="T6248">
        <v>478.0141981540923</v>
      </c>
      <c r="U6248">
        <v>4</v>
      </c>
      <c r="V6248">
        <v>0.46444426588457438</v>
      </c>
      <c r="W6248">
        <v>1</v>
      </c>
      <c r="X6248">
        <v>0.46444426588457438</v>
      </c>
      <c r="Y6248">
        <v>747</v>
      </c>
      <c r="Z6248">
        <v>494.0254290673729</v>
      </c>
      <c r="AA6248">
        <v>198</v>
      </c>
      <c r="AB6248">
        <v>332</v>
      </c>
      <c r="AC6248">
        <v>536</v>
      </c>
      <c r="AD6248">
        <v>29.58</v>
      </c>
      <c r="AE6248">
        <v>542</v>
      </c>
      <c r="AF6248">
        <v>30</v>
      </c>
      <c r="AG6248">
        <v>169</v>
      </c>
      <c r="AH6248">
        <v>129</v>
      </c>
      <c r="AI6248">
        <v>5.54</v>
      </c>
      <c r="AJ6248">
        <v>31.18</v>
      </c>
      <c r="AK6248">
        <v>23.8</v>
      </c>
      <c r="AL6248">
        <v>-20.147375599999979</v>
      </c>
      <c r="AM6248">
        <v>-44.912907472879468</v>
      </c>
      <c r="AN6248">
        <v>-20.147375599999979</v>
      </c>
      <c r="AO6248">
        <v>-44.912907472879468</v>
      </c>
      <c r="AP6248">
        <v>-20.147182000000001</v>
      </c>
      <c r="AQ6248">
        <v>-44.912728999999999</v>
      </c>
      <c r="AR6248">
        <v>28.50197694184326</v>
      </c>
      <c r="AS6248" t="s">
        <v>65</v>
      </c>
      <c r="AT6248">
        <v>1</v>
      </c>
      <c r="AU6248" t="s">
        <v>384</v>
      </c>
      <c r="AV6248" t="s">
        <v>385</v>
      </c>
      <c r="AW6248" t="s">
        <v>60</v>
      </c>
      <c r="AX6248" t="s">
        <v>68</v>
      </c>
      <c r="AY6248" t="s">
        <v>69</v>
      </c>
      <c r="AZ6248" t="b">
        <v>1</v>
      </c>
    </row>
    <row r="6249" spans="1:52" x14ac:dyDescent="0.3">
      <c r="A6249" t="s">
        <v>52</v>
      </c>
      <c r="B6249" t="s">
        <v>53</v>
      </c>
      <c r="C6249" t="s">
        <v>54</v>
      </c>
      <c r="D6249" t="s">
        <v>55</v>
      </c>
      <c r="E6249" t="s">
        <v>2295</v>
      </c>
      <c r="F6249" t="s">
        <v>190</v>
      </c>
      <c r="G6249" t="s">
        <v>833</v>
      </c>
      <c r="H6249" t="s">
        <v>834</v>
      </c>
      <c r="I6249" t="s">
        <v>834</v>
      </c>
      <c r="J6249" t="s">
        <v>60</v>
      </c>
      <c r="K6249" t="s">
        <v>388</v>
      </c>
      <c r="L6249" t="s">
        <v>62</v>
      </c>
      <c r="M6249" t="s">
        <v>388</v>
      </c>
      <c r="N6249" t="s">
        <v>835</v>
      </c>
      <c r="O6249" t="s">
        <v>836</v>
      </c>
      <c r="P6249">
        <v>-20.157906000000001</v>
      </c>
      <c r="Q6249">
        <v>-44.900458999999998</v>
      </c>
      <c r="R6249" s="2" t="str">
        <f>HYPERLINK("https://www.google.com/maps?q=-20.1579060,-44.9004590","Abrir no Google Maps")</f>
        <v>Abrir no Google Maps</v>
      </c>
      <c r="S6249">
        <v>3</v>
      </c>
      <c r="T6249">
        <v>0</v>
      </c>
      <c r="U6249">
        <v>4</v>
      </c>
      <c r="V6249">
        <v>0.46983946043507169</v>
      </c>
      <c r="W6249">
        <v>1</v>
      </c>
      <c r="X6249">
        <v>0.46983946043507169</v>
      </c>
      <c r="Y6249">
        <v>729</v>
      </c>
      <c r="Z6249">
        <v>203.63168486652771</v>
      </c>
      <c r="AA6249">
        <v>198</v>
      </c>
      <c r="AB6249">
        <v>332</v>
      </c>
      <c r="AC6249">
        <v>536</v>
      </c>
      <c r="AD6249">
        <v>29.58</v>
      </c>
      <c r="AE6249">
        <v>542</v>
      </c>
      <c r="AF6249">
        <v>30</v>
      </c>
      <c r="AG6249">
        <v>169</v>
      </c>
      <c r="AH6249">
        <v>129</v>
      </c>
      <c r="AI6249">
        <v>5.54</v>
      </c>
      <c r="AJ6249">
        <v>31.18</v>
      </c>
      <c r="AK6249">
        <v>23.8</v>
      </c>
      <c r="AL6249">
        <v>-20.157925749999951</v>
      </c>
      <c r="AM6249">
        <v>-44.900484707799812</v>
      </c>
      <c r="AN6249">
        <v>-20.157925749999951</v>
      </c>
      <c r="AO6249">
        <v>-44.900484707799812</v>
      </c>
      <c r="AP6249">
        <v>-20.157906000000001</v>
      </c>
      <c r="AQ6249">
        <v>-44.900458999999998</v>
      </c>
      <c r="AR6249">
        <v>3.4714515960382508</v>
      </c>
      <c r="AS6249" t="s">
        <v>65</v>
      </c>
      <c r="AT6249">
        <v>1</v>
      </c>
      <c r="AU6249" t="s">
        <v>837</v>
      </c>
      <c r="AV6249" t="s">
        <v>838</v>
      </c>
      <c r="AW6249" t="s">
        <v>60</v>
      </c>
      <c r="AX6249" t="s">
        <v>68</v>
      </c>
      <c r="AY6249" t="s">
        <v>69</v>
      </c>
      <c r="AZ6249" t="b">
        <v>1</v>
      </c>
    </row>
    <row r="6250" spans="1:52" x14ac:dyDescent="0.3">
      <c r="A6250" t="s">
        <v>52</v>
      </c>
      <c r="B6250" t="s">
        <v>53</v>
      </c>
      <c r="C6250" t="s">
        <v>54</v>
      </c>
      <c r="D6250" t="s">
        <v>55</v>
      </c>
      <c r="E6250" t="s">
        <v>2295</v>
      </c>
      <c r="F6250" t="s">
        <v>190</v>
      </c>
      <c r="G6250" t="s">
        <v>398</v>
      </c>
      <c r="H6250" t="s">
        <v>399</v>
      </c>
      <c r="I6250" t="s">
        <v>399</v>
      </c>
      <c r="J6250" t="s">
        <v>60</v>
      </c>
      <c r="K6250" t="s">
        <v>388</v>
      </c>
      <c r="L6250" t="s">
        <v>62</v>
      </c>
      <c r="M6250" t="s">
        <v>388</v>
      </c>
      <c r="N6250" t="s">
        <v>400</v>
      </c>
      <c r="O6250" t="s">
        <v>401</v>
      </c>
      <c r="P6250">
        <v>-20.160157000000002</v>
      </c>
      <c r="Q6250">
        <v>-44.904347999999999</v>
      </c>
      <c r="R6250" s="2" t="str">
        <f>HYPERLINK("https://www.google.com/maps?q=-20.1601570,-44.9043480","Abrir no Google Maps")</f>
        <v>Abrir no Google Maps</v>
      </c>
      <c r="S6250">
        <v>3</v>
      </c>
      <c r="T6250">
        <v>469.26088527154809</v>
      </c>
      <c r="U6250">
        <v>4</v>
      </c>
      <c r="V6250">
        <v>0.4739494777750789</v>
      </c>
      <c r="W6250">
        <v>1</v>
      </c>
      <c r="X6250">
        <v>0.4739494777750789</v>
      </c>
      <c r="Y6250">
        <v>729</v>
      </c>
      <c r="Z6250">
        <v>253.57832452309071</v>
      </c>
      <c r="AA6250">
        <v>198</v>
      </c>
      <c r="AB6250">
        <v>332</v>
      </c>
      <c r="AC6250">
        <v>536</v>
      </c>
      <c r="AD6250">
        <v>29.58</v>
      </c>
      <c r="AE6250">
        <v>542</v>
      </c>
      <c r="AF6250">
        <v>30</v>
      </c>
      <c r="AG6250">
        <v>169</v>
      </c>
      <c r="AH6250">
        <v>129</v>
      </c>
      <c r="AI6250">
        <v>5.54</v>
      </c>
      <c r="AJ6250">
        <v>31.18</v>
      </c>
      <c r="AK6250">
        <v>23.8</v>
      </c>
      <c r="AL6250">
        <v>-20.160007949999969</v>
      </c>
      <c r="AM6250">
        <v>-44.904396608560482</v>
      </c>
      <c r="AN6250">
        <v>-20.160007949999969</v>
      </c>
      <c r="AO6250">
        <v>-44.904396608560482</v>
      </c>
      <c r="AP6250">
        <v>-20.160157000000002</v>
      </c>
      <c r="AQ6250">
        <v>-44.904347999999999</v>
      </c>
      <c r="AR6250">
        <v>17.35237255387942</v>
      </c>
      <c r="AS6250" t="s">
        <v>65</v>
      </c>
      <c r="AT6250">
        <v>1</v>
      </c>
      <c r="AU6250" t="s">
        <v>402</v>
      </c>
      <c r="AV6250" t="s">
        <v>403</v>
      </c>
      <c r="AW6250" t="s">
        <v>60</v>
      </c>
      <c r="AX6250" t="s">
        <v>68</v>
      </c>
      <c r="AY6250" t="s">
        <v>69</v>
      </c>
      <c r="AZ6250" t="b">
        <v>1</v>
      </c>
    </row>
    <row r="6251" spans="1:52" x14ac:dyDescent="0.3">
      <c r="A6251" t="s">
        <v>52</v>
      </c>
      <c r="B6251" t="s">
        <v>53</v>
      </c>
      <c r="C6251" t="s">
        <v>54</v>
      </c>
      <c r="D6251" t="s">
        <v>55</v>
      </c>
      <c r="E6251" t="s">
        <v>2295</v>
      </c>
      <c r="F6251" t="s">
        <v>190</v>
      </c>
      <c r="G6251" t="s">
        <v>410</v>
      </c>
      <c r="H6251" t="s">
        <v>411</v>
      </c>
      <c r="I6251" t="s">
        <v>411</v>
      </c>
      <c r="J6251" t="s">
        <v>60</v>
      </c>
      <c r="K6251" t="s">
        <v>388</v>
      </c>
      <c r="L6251" t="s">
        <v>62</v>
      </c>
      <c r="M6251" t="s">
        <v>388</v>
      </c>
      <c r="N6251" t="s">
        <v>412</v>
      </c>
      <c r="O6251" t="s">
        <v>413</v>
      </c>
      <c r="P6251">
        <v>-20.161394000000001</v>
      </c>
      <c r="Q6251">
        <v>-44.906725999999999</v>
      </c>
      <c r="R6251" s="2" t="str">
        <f>HYPERLINK("https://www.google.com/maps?q=-20.1613940,-44.9067260","Abrir no Google Maps")</f>
        <v>Abrir no Google Maps</v>
      </c>
      <c r="S6251">
        <v>3</v>
      </c>
      <c r="T6251">
        <v>763.68157548493457</v>
      </c>
      <c r="U6251">
        <v>4</v>
      </c>
      <c r="V6251">
        <v>0.48359296205244579</v>
      </c>
      <c r="W6251">
        <v>1</v>
      </c>
      <c r="X6251">
        <v>0.48359296205244579</v>
      </c>
      <c r="Y6251">
        <v>729</v>
      </c>
      <c r="Z6251">
        <v>551.70379325948545</v>
      </c>
      <c r="AA6251">
        <v>198</v>
      </c>
      <c r="AB6251">
        <v>332</v>
      </c>
      <c r="AC6251">
        <v>536</v>
      </c>
      <c r="AD6251">
        <v>29.58</v>
      </c>
      <c r="AE6251">
        <v>542</v>
      </c>
      <c r="AF6251">
        <v>30</v>
      </c>
      <c r="AG6251">
        <v>169</v>
      </c>
      <c r="AH6251">
        <v>129</v>
      </c>
      <c r="AI6251">
        <v>5.54</v>
      </c>
      <c r="AJ6251">
        <v>31.18</v>
      </c>
      <c r="AK6251">
        <v>23.8</v>
      </c>
      <c r="AL6251">
        <v>-20.161371049999929</v>
      </c>
      <c r="AM6251">
        <v>-44.906816797310228</v>
      </c>
      <c r="AN6251">
        <v>-20.161371049999929</v>
      </c>
      <c r="AO6251">
        <v>-44.906816797310228</v>
      </c>
      <c r="AP6251">
        <v>-20.161394000000001</v>
      </c>
      <c r="AQ6251">
        <v>-44.906725999999999</v>
      </c>
      <c r="AR6251">
        <v>9.8261555662022495</v>
      </c>
      <c r="AS6251" t="s">
        <v>65</v>
      </c>
      <c r="AT6251">
        <v>1</v>
      </c>
      <c r="AU6251" t="s">
        <v>414</v>
      </c>
      <c r="AV6251" t="s">
        <v>415</v>
      </c>
      <c r="AW6251" t="s">
        <v>60</v>
      </c>
      <c r="AX6251" t="s">
        <v>68</v>
      </c>
      <c r="AY6251" t="s">
        <v>69</v>
      </c>
      <c r="AZ6251" t="b">
        <v>1</v>
      </c>
    </row>
    <row r="6252" spans="1:52" x14ac:dyDescent="0.3">
      <c r="A6252" t="s">
        <v>52</v>
      </c>
      <c r="B6252" t="s">
        <v>53</v>
      </c>
      <c r="C6252" t="s">
        <v>54</v>
      </c>
      <c r="D6252" t="s">
        <v>55</v>
      </c>
      <c r="E6252" t="s">
        <v>2295</v>
      </c>
      <c r="F6252" t="s">
        <v>190</v>
      </c>
      <c r="G6252" t="s">
        <v>416</v>
      </c>
      <c r="H6252" t="s">
        <v>417</v>
      </c>
      <c r="I6252" t="s">
        <v>417</v>
      </c>
      <c r="J6252" t="s">
        <v>60</v>
      </c>
      <c r="K6252" t="s">
        <v>418</v>
      </c>
      <c r="L6252" t="s">
        <v>62</v>
      </c>
      <c r="M6252" t="s">
        <v>418</v>
      </c>
      <c r="N6252" t="s">
        <v>419</v>
      </c>
      <c r="O6252" t="s">
        <v>202</v>
      </c>
      <c r="P6252">
        <v>-20.169886000000002</v>
      </c>
      <c r="Q6252">
        <v>-44.913288000000001</v>
      </c>
      <c r="R6252" s="2" t="str">
        <f>HYPERLINK("https://www.google.com/maps?q=-20.1698860,-44.9132880","Abrir no Google Maps")</f>
        <v>Abrir no Google Maps</v>
      </c>
      <c r="S6252">
        <v>3</v>
      </c>
      <c r="T6252">
        <v>422.88733632898152</v>
      </c>
      <c r="U6252">
        <v>4</v>
      </c>
      <c r="V6252">
        <v>0.46299128661475708</v>
      </c>
      <c r="W6252">
        <v>1</v>
      </c>
      <c r="X6252">
        <v>0.46299128661475708</v>
      </c>
      <c r="Y6252">
        <v>723</v>
      </c>
      <c r="Z6252">
        <v>128.65003864232261</v>
      </c>
      <c r="AA6252">
        <v>198</v>
      </c>
      <c r="AB6252">
        <v>332</v>
      </c>
      <c r="AC6252">
        <v>536</v>
      </c>
      <c r="AD6252">
        <v>29.58</v>
      </c>
      <c r="AE6252">
        <v>542</v>
      </c>
      <c r="AF6252">
        <v>30</v>
      </c>
      <c r="AG6252">
        <v>169</v>
      </c>
      <c r="AH6252">
        <v>129</v>
      </c>
      <c r="AI6252">
        <v>5.54</v>
      </c>
      <c r="AJ6252">
        <v>31.18</v>
      </c>
      <c r="AK6252">
        <v>23.8</v>
      </c>
      <c r="AL6252">
        <v>-20.16970024999998</v>
      </c>
      <c r="AM6252">
        <v>-44.913502201257437</v>
      </c>
      <c r="AN6252">
        <v>-20.16970024999998</v>
      </c>
      <c r="AO6252">
        <v>-44.913502201257437</v>
      </c>
      <c r="AP6252">
        <v>-20.169886000000002</v>
      </c>
      <c r="AQ6252">
        <v>-44.913288000000001</v>
      </c>
      <c r="AR6252">
        <v>30.47208587597606</v>
      </c>
      <c r="AS6252" t="s">
        <v>65</v>
      </c>
      <c r="AT6252">
        <v>1</v>
      </c>
      <c r="AU6252" t="s">
        <v>420</v>
      </c>
      <c r="AV6252" t="s">
        <v>421</v>
      </c>
      <c r="AW6252" t="s">
        <v>60</v>
      </c>
      <c r="AX6252" t="s">
        <v>68</v>
      </c>
      <c r="AY6252" t="s">
        <v>69</v>
      </c>
      <c r="AZ6252" t="b">
        <v>1</v>
      </c>
    </row>
    <row r="6253" spans="1:52" x14ac:dyDescent="0.3">
      <c r="A6253" t="s">
        <v>52</v>
      </c>
      <c r="B6253" t="s">
        <v>53</v>
      </c>
      <c r="C6253" t="s">
        <v>54</v>
      </c>
      <c r="D6253" t="s">
        <v>55</v>
      </c>
      <c r="E6253" t="s">
        <v>2295</v>
      </c>
      <c r="F6253" t="s">
        <v>190</v>
      </c>
      <c r="G6253" t="s">
        <v>435</v>
      </c>
      <c r="H6253" t="s">
        <v>436</v>
      </c>
      <c r="I6253" t="s">
        <v>436</v>
      </c>
      <c r="J6253" t="s">
        <v>60</v>
      </c>
      <c r="K6253" t="s">
        <v>437</v>
      </c>
      <c r="L6253" t="s">
        <v>62</v>
      </c>
      <c r="M6253" t="s">
        <v>437</v>
      </c>
      <c r="N6253" t="s">
        <v>438</v>
      </c>
      <c r="O6253" t="s">
        <v>439</v>
      </c>
      <c r="P6253">
        <v>-20.145613000000001</v>
      </c>
      <c r="Q6253">
        <v>-44.882375000000003</v>
      </c>
      <c r="R6253" s="2" t="str">
        <f>HYPERLINK("https://www.google.com/maps?q=-20.1456130,-44.8823750","Abrir no Google Maps")</f>
        <v>Abrir no Google Maps</v>
      </c>
      <c r="S6253">
        <v>3</v>
      </c>
      <c r="T6253">
        <v>305.65092112314198</v>
      </c>
      <c r="U6253">
        <v>4</v>
      </c>
      <c r="V6253">
        <v>0.46801729841377421</v>
      </c>
      <c r="W6253">
        <v>1</v>
      </c>
      <c r="X6253">
        <v>0.46801729841377421</v>
      </c>
      <c r="Y6253">
        <v>653</v>
      </c>
      <c r="Z6253">
        <v>349.55297035282501</v>
      </c>
      <c r="AA6253">
        <v>198</v>
      </c>
      <c r="AB6253">
        <v>332</v>
      </c>
      <c r="AC6253">
        <v>536</v>
      </c>
      <c r="AD6253">
        <v>29.58</v>
      </c>
      <c r="AE6253">
        <v>542</v>
      </c>
      <c r="AF6253">
        <v>30</v>
      </c>
      <c r="AG6253">
        <v>169</v>
      </c>
      <c r="AH6253">
        <v>129</v>
      </c>
      <c r="AI6253">
        <v>5.54</v>
      </c>
      <c r="AJ6253">
        <v>31.18</v>
      </c>
      <c r="AK6253">
        <v>23.8</v>
      </c>
      <c r="AL6253">
        <v>-20.14550464999996</v>
      </c>
      <c r="AM6253">
        <v>-44.882157007077737</v>
      </c>
      <c r="AN6253">
        <v>-20.14550464999996</v>
      </c>
      <c r="AO6253">
        <v>-44.882157007077737</v>
      </c>
      <c r="AP6253">
        <v>-20.145613000000001</v>
      </c>
      <c r="AQ6253">
        <v>-44.882375000000003</v>
      </c>
      <c r="AR6253">
        <v>25.77819791856259</v>
      </c>
      <c r="AS6253" t="s">
        <v>65</v>
      </c>
      <c r="AT6253">
        <v>1</v>
      </c>
      <c r="AU6253" t="s">
        <v>440</v>
      </c>
      <c r="AV6253" t="s">
        <v>441</v>
      </c>
      <c r="AW6253" t="s">
        <v>60</v>
      </c>
      <c r="AX6253" t="s">
        <v>68</v>
      </c>
      <c r="AY6253" t="s">
        <v>69</v>
      </c>
      <c r="AZ6253" t="b">
        <v>1</v>
      </c>
    </row>
    <row r="6254" spans="1:52" x14ac:dyDescent="0.3">
      <c r="A6254" t="s">
        <v>52</v>
      </c>
      <c r="B6254" t="s">
        <v>53</v>
      </c>
      <c r="C6254" t="s">
        <v>54</v>
      </c>
      <c r="D6254" t="s">
        <v>55</v>
      </c>
      <c r="E6254" t="s">
        <v>2295</v>
      </c>
      <c r="F6254" t="s">
        <v>190</v>
      </c>
      <c r="G6254" t="s">
        <v>442</v>
      </c>
      <c r="H6254" t="s">
        <v>443</v>
      </c>
      <c r="I6254" t="s">
        <v>443</v>
      </c>
      <c r="J6254" t="s">
        <v>60</v>
      </c>
      <c r="K6254" t="s">
        <v>437</v>
      </c>
      <c r="L6254" t="s">
        <v>62</v>
      </c>
      <c r="M6254" t="s">
        <v>437</v>
      </c>
      <c r="N6254" t="s">
        <v>444</v>
      </c>
      <c r="O6254" t="s">
        <v>445</v>
      </c>
      <c r="P6254">
        <v>-20.149744999999999</v>
      </c>
      <c r="Q6254">
        <v>-44.881385000000002</v>
      </c>
      <c r="R6254" s="2" t="str">
        <f>HYPERLINK("https://www.google.com/maps?q=-20.1497450,-44.8813850","Abrir no Google Maps")</f>
        <v>Abrir no Google Maps</v>
      </c>
      <c r="S6254">
        <v>3</v>
      </c>
      <c r="T6254">
        <v>188.80690546111239</v>
      </c>
      <c r="U6254">
        <v>4</v>
      </c>
      <c r="V6254">
        <v>0.4873078099368866</v>
      </c>
      <c r="W6254">
        <v>1</v>
      </c>
      <c r="X6254">
        <v>0.4873078099368866</v>
      </c>
      <c r="Y6254">
        <v>653</v>
      </c>
      <c r="Z6254">
        <v>86.575080390731017</v>
      </c>
      <c r="AA6254">
        <v>198</v>
      </c>
      <c r="AB6254">
        <v>332</v>
      </c>
      <c r="AC6254">
        <v>536</v>
      </c>
      <c r="AD6254">
        <v>29.58</v>
      </c>
      <c r="AE6254">
        <v>542</v>
      </c>
      <c r="AF6254">
        <v>30</v>
      </c>
      <c r="AG6254">
        <v>169</v>
      </c>
      <c r="AH6254">
        <v>129</v>
      </c>
      <c r="AI6254">
        <v>5.54</v>
      </c>
      <c r="AJ6254">
        <v>31.18</v>
      </c>
      <c r="AK6254">
        <v>23.8</v>
      </c>
      <c r="AL6254">
        <v>-20.149645149999941</v>
      </c>
      <c r="AM6254">
        <v>-44.881504585149607</v>
      </c>
      <c r="AN6254">
        <v>-20.149645149999941</v>
      </c>
      <c r="AO6254">
        <v>-44.881504585149607</v>
      </c>
      <c r="AP6254">
        <v>-20.149744999999999</v>
      </c>
      <c r="AQ6254">
        <v>-44.881385000000002</v>
      </c>
      <c r="AR6254">
        <v>16.725323110840389</v>
      </c>
      <c r="AS6254" t="s">
        <v>65</v>
      </c>
      <c r="AT6254">
        <v>1</v>
      </c>
      <c r="AU6254" t="s">
        <v>446</v>
      </c>
      <c r="AV6254" t="s">
        <v>447</v>
      </c>
      <c r="AW6254" t="s">
        <v>60</v>
      </c>
      <c r="AX6254" t="s">
        <v>68</v>
      </c>
      <c r="AY6254" t="s">
        <v>69</v>
      </c>
      <c r="AZ6254" t="b">
        <v>1</v>
      </c>
    </row>
    <row r="6255" spans="1:52" x14ac:dyDescent="0.3">
      <c r="A6255" t="s">
        <v>52</v>
      </c>
      <c r="B6255" t="s">
        <v>53</v>
      </c>
      <c r="C6255" t="s">
        <v>54</v>
      </c>
      <c r="D6255" t="s">
        <v>55</v>
      </c>
      <c r="E6255" t="s">
        <v>2295</v>
      </c>
      <c r="F6255" t="s">
        <v>190</v>
      </c>
      <c r="G6255" t="s">
        <v>460</v>
      </c>
      <c r="H6255" t="s">
        <v>461</v>
      </c>
      <c r="I6255" t="s">
        <v>461</v>
      </c>
      <c r="J6255" t="s">
        <v>60</v>
      </c>
      <c r="K6255" t="s">
        <v>462</v>
      </c>
      <c r="L6255" t="s">
        <v>62</v>
      </c>
      <c r="M6255" t="s">
        <v>462</v>
      </c>
      <c r="N6255" t="s">
        <v>463</v>
      </c>
      <c r="O6255" t="s">
        <v>464</v>
      </c>
      <c r="P6255">
        <v>-20.137919</v>
      </c>
      <c r="Q6255">
        <v>-44.905591000000001</v>
      </c>
      <c r="R6255" s="2" t="str">
        <f>HYPERLINK("https://www.google.com/maps?q=-20.1379190,-44.9055910","Abrir no Google Maps")</f>
        <v>Abrir no Google Maps</v>
      </c>
      <c r="S6255">
        <v>3</v>
      </c>
      <c r="T6255">
        <v>262.01115919461103</v>
      </c>
      <c r="U6255">
        <v>4</v>
      </c>
      <c r="V6255">
        <v>0.473726769241889</v>
      </c>
      <c r="W6255">
        <v>1</v>
      </c>
      <c r="X6255">
        <v>0.473726769241889</v>
      </c>
      <c r="Y6255">
        <v>581</v>
      </c>
      <c r="Z6255">
        <v>318.63337303219271</v>
      </c>
      <c r="AA6255">
        <v>198</v>
      </c>
      <c r="AB6255">
        <v>332</v>
      </c>
      <c r="AC6255">
        <v>536</v>
      </c>
      <c r="AD6255">
        <v>29.58</v>
      </c>
      <c r="AE6255">
        <v>542</v>
      </c>
      <c r="AF6255">
        <v>30</v>
      </c>
      <c r="AG6255">
        <v>169</v>
      </c>
      <c r="AH6255">
        <v>129</v>
      </c>
      <c r="AI6255">
        <v>5.54</v>
      </c>
      <c r="AJ6255">
        <v>31.18</v>
      </c>
      <c r="AK6255">
        <v>23.8</v>
      </c>
      <c r="AL6255">
        <v>-20.13789079999998</v>
      </c>
      <c r="AM6255">
        <v>-44.90548593520333</v>
      </c>
      <c r="AN6255">
        <v>-20.13789079999998</v>
      </c>
      <c r="AO6255">
        <v>-44.90548593520333</v>
      </c>
      <c r="AP6255">
        <v>-20.137919</v>
      </c>
      <c r="AQ6255">
        <v>-44.905591000000001</v>
      </c>
      <c r="AR6255">
        <v>11.42072348298178</v>
      </c>
      <c r="AS6255" t="s">
        <v>65</v>
      </c>
      <c r="AT6255">
        <v>1</v>
      </c>
      <c r="AU6255" t="s">
        <v>465</v>
      </c>
      <c r="AV6255" t="s">
        <v>466</v>
      </c>
      <c r="AW6255" t="s">
        <v>60</v>
      </c>
      <c r="AX6255" t="s">
        <v>68</v>
      </c>
      <c r="AY6255" t="s">
        <v>69</v>
      </c>
      <c r="AZ6255" t="b">
        <v>1</v>
      </c>
    </row>
    <row r="6256" spans="1:52" x14ac:dyDescent="0.3">
      <c r="A6256" t="s">
        <v>52</v>
      </c>
      <c r="B6256" t="s">
        <v>53</v>
      </c>
      <c r="C6256" t="s">
        <v>54</v>
      </c>
      <c r="D6256" t="s">
        <v>55</v>
      </c>
      <c r="E6256" t="s">
        <v>2295</v>
      </c>
      <c r="F6256" t="s">
        <v>190</v>
      </c>
      <c r="G6256" t="s">
        <v>467</v>
      </c>
      <c r="H6256" t="s">
        <v>468</v>
      </c>
      <c r="I6256" t="s">
        <v>468</v>
      </c>
      <c r="J6256" t="s">
        <v>60</v>
      </c>
      <c r="K6256" t="s">
        <v>462</v>
      </c>
      <c r="L6256" t="s">
        <v>62</v>
      </c>
      <c r="M6256" t="s">
        <v>462</v>
      </c>
      <c r="N6256" t="s">
        <v>469</v>
      </c>
      <c r="O6256" t="s">
        <v>470</v>
      </c>
      <c r="P6256">
        <v>-20.138233</v>
      </c>
      <c r="Q6256">
        <v>-44.908200000000001</v>
      </c>
      <c r="R6256" s="2" t="str">
        <f>HYPERLINK("https://www.google.com/maps?q=-20.1382330,-44.9082000","Abrir no Google Maps")</f>
        <v>Abrir no Google Maps</v>
      </c>
      <c r="S6256">
        <v>3</v>
      </c>
      <c r="T6256">
        <v>0</v>
      </c>
      <c r="U6256">
        <v>4</v>
      </c>
      <c r="V6256">
        <v>0.48356680593102319</v>
      </c>
      <c r="W6256">
        <v>1</v>
      </c>
      <c r="X6256">
        <v>0.48356680593102319</v>
      </c>
      <c r="Y6256">
        <v>581</v>
      </c>
      <c r="Z6256">
        <v>153.18688302958171</v>
      </c>
      <c r="AA6256">
        <v>198</v>
      </c>
      <c r="AB6256">
        <v>332</v>
      </c>
      <c r="AC6256">
        <v>536</v>
      </c>
      <c r="AD6256">
        <v>29.58</v>
      </c>
      <c r="AE6256">
        <v>542</v>
      </c>
      <c r="AF6256">
        <v>30</v>
      </c>
      <c r="AG6256">
        <v>169</v>
      </c>
      <c r="AH6256">
        <v>129</v>
      </c>
      <c r="AI6256">
        <v>5.54</v>
      </c>
      <c r="AJ6256">
        <v>31.18</v>
      </c>
      <c r="AK6256">
        <v>23.8</v>
      </c>
      <c r="AL6256">
        <v>-20.138364899999971</v>
      </c>
      <c r="AM6256">
        <v>-44.907942114873997</v>
      </c>
      <c r="AN6256">
        <v>-20.138364899999971</v>
      </c>
      <c r="AO6256">
        <v>-44.907942114873997</v>
      </c>
      <c r="AP6256">
        <v>-20.138233</v>
      </c>
      <c r="AQ6256">
        <v>-44.908200000000001</v>
      </c>
      <c r="AR6256">
        <v>30.692690617986941</v>
      </c>
      <c r="AS6256" t="s">
        <v>65</v>
      </c>
      <c r="AT6256">
        <v>1</v>
      </c>
      <c r="AU6256" t="s">
        <v>471</v>
      </c>
      <c r="AV6256" t="s">
        <v>472</v>
      </c>
      <c r="AW6256" t="s">
        <v>60</v>
      </c>
      <c r="AX6256" t="s">
        <v>68</v>
      </c>
      <c r="AY6256" t="s">
        <v>69</v>
      </c>
      <c r="AZ6256" t="b">
        <v>1</v>
      </c>
    </row>
    <row r="6257" spans="1:52" x14ac:dyDescent="0.3">
      <c r="A6257" t="s">
        <v>52</v>
      </c>
      <c r="B6257" t="s">
        <v>53</v>
      </c>
      <c r="C6257" t="s">
        <v>54</v>
      </c>
      <c r="D6257" t="s">
        <v>55</v>
      </c>
      <c r="E6257" t="s">
        <v>2295</v>
      </c>
      <c r="F6257" t="s">
        <v>190</v>
      </c>
      <c r="G6257" t="s">
        <v>870</v>
      </c>
      <c r="H6257" t="s">
        <v>871</v>
      </c>
      <c r="I6257" t="s">
        <v>871</v>
      </c>
      <c r="J6257" t="s">
        <v>60</v>
      </c>
      <c r="K6257" t="s">
        <v>475</v>
      </c>
      <c r="L6257" t="s">
        <v>62</v>
      </c>
      <c r="M6257" t="s">
        <v>475</v>
      </c>
      <c r="N6257" t="s">
        <v>872</v>
      </c>
      <c r="O6257" t="s">
        <v>507</v>
      </c>
      <c r="P6257">
        <v>-20.176269999999999</v>
      </c>
      <c r="Q6257">
        <v>-44.909323999999998</v>
      </c>
      <c r="R6257" s="2" t="str">
        <f>HYPERLINK("https://www.google.com/maps?q=-20.1762700,-44.9093240","Abrir no Google Maps")</f>
        <v>Abrir no Google Maps</v>
      </c>
      <c r="S6257">
        <v>3</v>
      </c>
      <c r="T6257">
        <v>472.42731136821368</v>
      </c>
      <c r="U6257">
        <v>4</v>
      </c>
      <c r="V6257">
        <v>0.46957786405373758</v>
      </c>
      <c r="W6257">
        <v>1</v>
      </c>
      <c r="X6257">
        <v>0.46957786405373758</v>
      </c>
      <c r="Y6257">
        <v>578</v>
      </c>
      <c r="Z6257">
        <v>495.19726726344601</v>
      </c>
      <c r="AA6257">
        <v>198</v>
      </c>
      <c r="AB6257">
        <v>332</v>
      </c>
      <c r="AC6257">
        <v>536</v>
      </c>
      <c r="AD6257">
        <v>29.58</v>
      </c>
      <c r="AE6257">
        <v>542</v>
      </c>
      <c r="AF6257">
        <v>30</v>
      </c>
      <c r="AG6257">
        <v>169</v>
      </c>
      <c r="AH6257">
        <v>129</v>
      </c>
      <c r="AI6257">
        <v>5.54</v>
      </c>
      <c r="AJ6257">
        <v>31.18</v>
      </c>
      <c r="AK6257">
        <v>23.8</v>
      </c>
      <c r="AL6257">
        <v>-20.17630284999996</v>
      </c>
      <c r="AM6257">
        <v>-44.909199064318948</v>
      </c>
      <c r="AN6257">
        <v>-20.17630284999996</v>
      </c>
      <c r="AO6257">
        <v>-44.909199064318948</v>
      </c>
      <c r="AP6257">
        <v>-20.176269999999999</v>
      </c>
      <c r="AQ6257">
        <v>-44.909323999999998</v>
      </c>
      <c r="AR6257">
        <v>13.55691308737447</v>
      </c>
      <c r="AS6257" t="s">
        <v>65</v>
      </c>
      <c r="AT6257">
        <v>1</v>
      </c>
      <c r="AU6257" t="s">
        <v>873</v>
      </c>
      <c r="AV6257" t="s">
        <v>874</v>
      </c>
      <c r="AW6257" t="s">
        <v>60</v>
      </c>
      <c r="AX6257" t="s">
        <v>68</v>
      </c>
      <c r="AY6257" t="s">
        <v>69</v>
      </c>
      <c r="AZ6257" t="b">
        <v>1</v>
      </c>
    </row>
    <row r="6258" spans="1:52" x14ac:dyDescent="0.3">
      <c r="A6258" t="s">
        <v>52</v>
      </c>
      <c r="B6258" t="s">
        <v>53</v>
      </c>
      <c r="C6258" t="s">
        <v>54</v>
      </c>
      <c r="D6258" t="s">
        <v>55</v>
      </c>
      <c r="E6258" t="s">
        <v>2295</v>
      </c>
      <c r="F6258" t="s">
        <v>190</v>
      </c>
      <c r="G6258" t="s">
        <v>479</v>
      </c>
      <c r="H6258" t="s">
        <v>480</v>
      </c>
      <c r="I6258" t="s">
        <v>480</v>
      </c>
      <c r="J6258" t="s">
        <v>60</v>
      </c>
      <c r="K6258" t="s">
        <v>388</v>
      </c>
      <c r="L6258" t="s">
        <v>62</v>
      </c>
      <c r="M6258" t="s">
        <v>388</v>
      </c>
      <c r="N6258" t="s">
        <v>481</v>
      </c>
      <c r="O6258" t="s">
        <v>315</v>
      </c>
      <c r="P6258">
        <v>-20.166903999999999</v>
      </c>
      <c r="Q6258">
        <v>-44.903492</v>
      </c>
      <c r="R6258" s="2" t="str">
        <f>HYPERLINK("https://www.google.com/maps?q=-20.1669040,-44.9034920","Abrir no Google Maps")</f>
        <v>Abrir no Google Maps</v>
      </c>
      <c r="S6258">
        <v>3</v>
      </c>
      <c r="T6258">
        <v>517.12253532511602</v>
      </c>
      <c r="U6258">
        <v>4</v>
      </c>
      <c r="V6258">
        <v>0.46206705531667941</v>
      </c>
      <c r="W6258">
        <v>1</v>
      </c>
      <c r="X6258">
        <v>0.46206705531667941</v>
      </c>
      <c r="Y6258">
        <v>578</v>
      </c>
      <c r="Z6258">
        <v>721.79551240050432</v>
      </c>
      <c r="AA6258">
        <v>198</v>
      </c>
      <c r="AB6258">
        <v>332</v>
      </c>
      <c r="AC6258">
        <v>536</v>
      </c>
      <c r="AD6258">
        <v>29.58</v>
      </c>
      <c r="AE6258">
        <v>542</v>
      </c>
      <c r="AF6258">
        <v>30</v>
      </c>
      <c r="AG6258">
        <v>169</v>
      </c>
      <c r="AH6258">
        <v>129</v>
      </c>
      <c r="AI6258">
        <v>5.54</v>
      </c>
      <c r="AJ6258">
        <v>31.18</v>
      </c>
      <c r="AK6258">
        <v>23.8</v>
      </c>
      <c r="AL6258">
        <v>-20.166610649999971</v>
      </c>
      <c r="AM6258">
        <v>-44.903452988928308</v>
      </c>
      <c r="AN6258">
        <v>-20.166610649999971</v>
      </c>
      <c r="AO6258">
        <v>-44.903452988928308</v>
      </c>
      <c r="AP6258">
        <v>-20.166903999999999</v>
      </c>
      <c r="AQ6258">
        <v>-44.903492</v>
      </c>
      <c r="AR6258">
        <v>32.909175876856217</v>
      </c>
      <c r="AS6258" t="s">
        <v>65</v>
      </c>
      <c r="AT6258">
        <v>1</v>
      </c>
      <c r="AU6258" t="s">
        <v>482</v>
      </c>
      <c r="AV6258" t="s">
        <v>483</v>
      </c>
      <c r="AW6258" t="s">
        <v>60</v>
      </c>
      <c r="AX6258" t="s">
        <v>68</v>
      </c>
      <c r="AY6258" t="s">
        <v>69</v>
      </c>
      <c r="AZ6258" t="b">
        <v>1</v>
      </c>
    </row>
    <row r="6259" spans="1:52" x14ac:dyDescent="0.3">
      <c r="A6259" t="s">
        <v>52</v>
      </c>
      <c r="B6259" t="s">
        <v>53</v>
      </c>
      <c r="C6259" t="s">
        <v>54</v>
      </c>
      <c r="D6259" t="s">
        <v>55</v>
      </c>
      <c r="E6259" t="s">
        <v>2295</v>
      </c>
      <c r="F6259" t="s">
        <v>190</v>
      </c>
      <c r="G6259" t="s">
        <v>484</v>
      </c>
      <c r="H6259" t="s">
        <v>485</v>
      </c>
      <c r="I6259" t="s">
        <v>485</v>
      </c>
      <c r="J6259" t="s">
        <v>60</v>
      </c>
      <c r="K6259" t="s">
        <v>486</v>
      </c>
      <c r="L6259" t="s">
        <v>62</v>
      </c>
      <c r="M6259" t="s">
        <v>486</v>
      </c>
      <c r="N6259" t="s">
        <v>487</v>
      </c>
      <c r="O6259" t="s">
        <v>488</v>
      </c>
      <c r="P6259">
        <v>-20.173000999999999</v>
      </c>
      <c r="Q6259">
        <v>-44.901876999999999</v>
      </c>
      <c r="R6259" s="2" t="str">
        <f>HYPERLINK("https://www.google.com/maps?q=-20.1730010,-44.9018770","Abrir no Google Maps")</f>
        <v>Abrir no Google Maps</v>
      </c>
      <c r="S6259">
        <v>3</v>
      </c>
      <c r="T6259">
        <v>437.59695450783011</v>
      </c>
      <c r="U6259">
        <v>4</v>
      </c>
      <c r="V6259">
        <v>0.46347367775939202</v>
      </c>
      <c r="W6259">
        <v>1</v>
      </c>
      <c r="X6259">
        <v>0.46347367775939202</v>
      </c>
      <c r="Y6259">
        <v>578</v>
      </c>
      <c r="Z6259">
        <v>440.53629183653243</v>
      </c>
      <c r="AA6259">
        <v>198</v>
      </c>
      <c r="AB6259">
        <v>332</v>
      </c>
      <c r="AC6259">
        <v>536</v>
      </c>
      <c r="AD6259">
        <v>29.58</v>
      </c>
      <c r="AE6259">
        <v>542</v>
      </c>
      <c r="AF6259">
        <v>30</v>
      </c>
      <c r="AG6259">
        <v>169</v>
      </c>
      <c r="AH6259">
        <v>129</v>
      </c>
      <c r="AI6259">
        <v>5.54</v>
      </c>
      <c r="AJ6259">
        <v>31.18</v>
      </c>
      <c r="AK6259">
        <v>23.8</v>
      </c>
      <c r="AL6259">
        <v>-20.173065299999969</v>
      </c>
      <c r="AM6259">
        <v>-44.902052686008687</v>
      </c>
      <c r="AN6259">
        <v>-20.173065299999969</v>
      </c>
      <c r="AO6259">
        <v>-44.902052686008687</v>
      </c>
      <c r="AP6259">
        <v>-20.173000999999999</v>
      </c>
      <c r="AQ6259">
        <v>-44.901876999999999</v>
      </c>
      <c r="AR6259">
        <v>19.703745070768829</v>
      </c>
      <c r="AS6259" t="s">
        <v>65</v>
      </c>
      <c r="AT6259">
        <v>1</v>
      </c>
      <c r="AU6259" t="s">
        <v>489</v>
      </c>
      <c r="AV6259" t="s">
        <v>490</v>
      </c>
      <c r="AW6259" t="s">
        <v>60</v>
      </c>
      <c r="AX6259" t="s">
        <v>68</v>
      </c>
      <c r="AY6259" t="s">
        <v>69</v>
      </c>
      <c r="AZ6259" t="b">
        <v>1</v>
      </c>
    </row>
    <row r="6260" spans="1:52" x14ac:dyDescent="0.3">
      <c r="A6260" t="s">
        <v>52</v>
      </c>
      <c r="B6260" t="s">
        <v>53</v>
      </c>
      <c r="C6260" t="s">
        <v>54</v>
      </c>
      <c r="D6260" t="s">
        <v>55</v>
      </c>
      <c r="E6260" t="s">
        <v>2295</v>
      </c>
      <c r="F6260" t="s">
        <v>190</v>
      </c>
      <c r="G6260" t="s">
        <v>503</v>
      </c>
      <c r="H6260" t="s">
        <v>504</v>
      </c>
      <c r="I6260" t="s">
        <v>504</v>
      </c>
      <c r="J6260" t="s">
        <v>60</v>
      </c>
      <c r="K6260" t="s">
        <v>505</v>
      </c>
      <c r="L6260" t="s">
        <v>62</v>
      </c>
      <c r="M6260" t="s">
        <v>505</v>
      </c>
      <c r="N6260" t="s">
        <v>506</v>
      </c>
      <c r="O6260" t="s">
        <v>507</v>
      </c>
      <c r="P6260">
        <v>-20.131428</v>
      </c>
      <c r="Q6260">
        <v>-44.888921000000003</v>
      </c>
      <c r="R6260" s="2" t="str">
        <f>HYPERLINK("https://www.google.com/maps?q=-20.1314280,-44.8889210","Abrir no Google Maps")</f>
        <v>Abrir no Google Maps</v>
      </c>
      <c r="S6260">
        <v>3</v>
      </c>
      <c r="T6260">
        <v>250.64150698244501</v>
      </c>
      <c r="U6260">
        <v>4</v>
      </c>
      <c r="V6260">
        <v>0.48522050340232159</v>
      </c>
      <c r="W6260">
        <v>1</v>
      </c>
      <c r="X6260">
        <v>0.48522050340232159</v>
      </c>
      <c r="Y6260">
        <v>564</v>
      </c>
      <c r="Z6260">
        <v>189.93933888952441</v>
      </c>
      <c r="AA6260">
        <v>198</v>
      </c>
      <c r="AB6260">
        <v>332</v>
      </c>
      <c r="AC6260">
        <v>536</v>
      </c>
      <c r="AD6260">
        <v>29.58</v>
      </c>
      <c r="AE6260">
        <v>542</v>
      </c>
      <c r="AF6260">
        <v>30</v>
      </c>
      <c r="AG6260">
        <v>169</v>
      </c>
      <c r="AH6260">
        <v>129</v>
      </c>
      <c r="AI6260">
        <v>5.54</v>
      </c>
      <c r="AJ6260">
        <v>31.18</v>
      </c>
      <c r="AK6260">
        <v>23.8</v>
      </c>
      <c r="AL6260">
        <v>-20.13123589999995</v>
      </c>
      <c r="AM6260">
        <v>-44.888742396501762</v>
      </c>
      <c r="AN6260">
        <v>-20.13123589999995</v>
      </c>
      <c r="AO6260">
        <v>-44.888742396501762</v>
      </c>
      <c r="AP6260">
        <v>-20.131428</v>
      </c>
      <c r="AQ6260">
        <v>-44.888921000000003</v>
      </c>
      <c r="AR6260">
        <v>28.386169462917032</v>
      </c>
      <c r="AS6260" t="s">
        <v>65</v>
      </c>
      <c r="AT6260">
        <v>1</v>
      </c>
      <c r="AU6260" t="s">
        <v>508</v>
      </c>
      <c r="AV6260" t="s">
        <v>509</v>
      </c>
      <c r="AW6260" t="s">
        <v>60</v>
      </c>
      <c r="AX6260" t="s">
        <v>68</v>
      </c>
      <c r="AY6260" t="s">
        <v>69</v>
      </c>
      <c r="AZ6260" t="b">
        <v>1</v>
      </c>
    </row>
    <row r="6261" spans="1:52" x14ac:dyDescent="0.3">
      <c r="A6261" t="s">
        <v>52</v>
      </c>
      <c r="B6261" t="s">
        <v>53</v>
      </c>
      <c r="C6261" t="s">
        <v>54</v>
      </c>
      <c r="D6261" t="s">
        <v>55</v>
      </c>
      <c r="E6261" t="s">
        <v>2295</v>
      </c>
      <c r="F6261" t="s">
        <v>190</v>
      </c>
      <c r="G6261" t="s">
        <v>879</v>
      </c>
      <c r="H6261" t="s">
        <v>880</v>
      </c>
      <c r="I6261" t="s">
        <v>880</v>
      </c>
      <c r="J6261" t="s">
        <v>60</v>
      </c>
      <c r="K6261" t="s">
        <v>505</v>
      </c>
      <c r="L6261" t="s">
        <v>62</v>
      </c>
      <c r="M6261" t="s">
        <v>505</v>
      </c>
      <c r="N6261" t="s">
        <v>881</v>
      </c>
      <c r="O6261" t="s">
        <v>882</v>
      </c>
      <c r="P6261">
        <v>-20.133452999999999</v>
      </c>
      <c r="Q6261">
        <v>-44.890571999999999</v>
      </c>
      <c r="R6261" s="2" t="str">
        <f>HYPERLINK("https://www.google.com/maps?q=-20.1334530,-44.8905720","Abrir no Google Maps")</f>
        <v>Abrir no Google Maps</v>
      </c>
      <c r="S6261">
        <v>3</v>
      </c>
      <c r="T6261">
        <v>373.51332104809921</v>
      </c>
      <c r="U6261">
        <v>4</v>
      </c>
      <c r="V6261">
        <v>0.48441922376348601</v>
      </c>
      <c r="W6261">
        <v>1</v>
      </c>
      <c r="X6261">
        <v>0.48441922376348601</v>
      </c>
      <c r="Y6261">
        <v>564</v>
      </c>
      <c r="Z6261">
        <v>422.34693311930448</v>
      </c>
      <c r="AA6261">
        <v>198</v>
      </c>
      <c r="AB6261">
        <v>332</v>
      </c>
      <c r="AC6261">
        <v>536</v>
      </c>
      <c r="AD6261">
        <v>29.58</v>
      </c>
      <c r="AE6261">
        <v>542</v>
      </c>
      <c r="AF6261">
        <v>30</v>
      </c>
      <c r="AG6261">
        <v>169</v>
      </c>
      <c r="AH6261">
        <v>129</v>
      </c>
      <c r="AI6261">
        <v>5.54</v>
      </c>
      <c r="AJ6261">
        <v>31.18</v>
      </c>
      <c r="AK6261">
        <v>23.8</v>
      </c>
      <c r="AL6261">
        <v>-20.133421549999952</v>
      </c>
      <c r="AM6261">
        <v>-44.890623456009052</v>
      </c>
      <c r="AN6261">
        <v>-20.133421549999952</v>
      </c>
      <c r="AO6261">
        <v>-44.890623456009052</v>
      </c>
      <c r="AP6261">
        <v>-20.133452999999999</v>
      </c>
      <c r="AQ6261">
        <v>-44.890571999999999</v>
      </c>
      <c r="AR6261">
        <v>6.4172139275452773</v>
      </c>
      <c r="AS6261" t="s">
        <v>65</v>
      </c>
      <c r="AT6261">
        <v>1</v>
      </c>
      <c r="AU6261" t="s">
        <v>883</v>
      </c>
      <c r="AV6261" t="s">
        <v>884</v>
      </c>
      <c r="AW6261" t="s">
        <v>60</v>
      </c>
      <c r="AX6261" t="s">
        <v>68</v>
      </c>
      <c r="AY6261" t="s">
        <v>69</v>
      </c>
      <c r="AZ6261" t="b">
        <v>1</v>
      </c>
    </row>
    <row r="6262" spans="1:52" x14ac:dyDescent="0.3">
      <c r="A6262" t="s">
        <v>52</v>
      </c>
      <c r="B6262" t="s">
        <v>53</v>
      </c>
      <c r="C6262" t="s">
        <v>54</v>
      </c>
      <c r="D6262" t="s">
        <v>55</v>
      </c>
      <c r="E6262" t="s">
        <v>2295</v>
      </c>
      <c r="F6262" t="s">
        <v>190</v>
      </c>
      <c r="G6262" t="s">
        <v>523</v>
      </c>
      <c r="H6262" t="s">
        <v>524</v>
      </c>
      <c r="I6262" t="s">
        <v>524</v>
      </c>
      <c r="J6262" t="s">
        <v>60</v>
      </c>
      <c r="K6262" t="s">
        <v>518</v>
      </c>
      <c r="L6262" t="s">
        <v>62</v>
      </c>
      <c r="M6262" t="s">
        <v>518</v>
      </c>
      <c r="N6262" t="s">
        <v>525</v>
      </c>
      <c r="O6262" t="s">
        <v>331</v>
      </c>
      <c r="P6262">
        <v>-20.126553000000001</v>
      </c>
      <c r="Q6262">
        <v>-44.888599999999997</v>
      </c>
      <c r="R6262" s="2" t="str">
        <f>HYPERLINK("https://www.google.com/maps?q=-20.1265530,-44.8886000","Abrir no Google Maps")</f>
        <v>Abrir no Google Maps</v>
      </c>
      <c r="S6262">
        <v>3</v>
      </c>
      <c r="T6262">
        <v>256.34043440603853</v>
      </c>
      <c r="U6262">
        <v>4</v>
      </c>
      <c r="V6262">
        <v>0.47487378296370908</v>
      </c>
      <c r="W6262">
        <v>1</v>
      </c>
      <c r="X6262">
        <v>0.47487378296370908</v>
      </c>
      <c r="Y6262">
        <v>564</v>
      </c>
      <c r="Z6262">
        <v>325.4404273055876</v>
      </c>
      <c r="AA6262">
        <v>198</v>
      </c>
      <c r="AB6262">
        <v>332</v>
      </c>
      <c r="AC6262">
        <v>536</v>
      </c>
      <c r="AD6262">
        <v>29.58</v>
      </c>
      <c r="AE6262">
        <v>542</v>
      </c>
      <c r="AF6262">
        <v>30</v>
      </c>
      <c r="AG6262">
        <v>169</v>
      </c>
      <c r="AH6262">
        <v>129</v>
      </c>
      <c r="AI6262">
        <v>5.54</v>
      </c>
      <c r="AJ6262">
        <v>31.18</v>
      </c>
      <c r="AK6262">
        <v>23.8</v>
      </c>
      <c r="AL6262">
        <v>-20.12669049999997</v>
      </c>
      <c r="AM6262">
        <v>-44.888671289876577</v>
      </c>
      <c r="AN6262">
        <v>-20.12669049999997</v>
      </c>
      <c r="AO6262">
        <v>-44.888671289876577</v>
      </c>
      <c r="AP6262">
        <v>-20.126553000000001</v>
      </c>
      <c r="AQ6262">
        <v>-44.888599999999997</v>
      </c>
      <c r="AR6262">
        <v>17.023861591720589</v>
      </c>
      <c r="AS6262" t="s">
        <v>65</v>
      </c>
      <c r="AT6262">
        <v>1</v>
      </c>
      <c r="AU6262" t="s">
        <v>526</v>
      </c>
      <c r="AV6262" t="s">
        <v>527</v>
      </c>
      <c r="AW6262" t="s">
        <v>60</v>
      </c>
      <c r="AX6262" t="s">
        <v>68</v>
      </c>
      <c r="AY6262" t="s">
        <v>69</v>
      </c>
      <c r="AZ6262" t="b">
        <v>1</v>
      </c>
    </row>
    <row r="6263" spans="1:52" x14ac:dyDescent="0.3">
      <c r="A6263" t="s">
        <v>52</v>
      </c>
      <c r="B6263" t="s">
        <v>53</v>
      </c>
      <c r="C6263" t="s">
        <v>54</v>
      </c>
      <c r="D6263" t="s">
        <v>55</v>
      </c>
      <c r="E6263" t="s">
        <v>2295</v>
      </c>
      <c r="F6263" t="s">
        <v>190</v>
      </c>
      <c r="G6263" t="s">
        <v>528</v>
      </c>
      <c r="H6263" t="s">
        <v>529</v>
      </c>
      <c r="I6263" t="s">
        <v>529</v>
      </c>
      <c r="J6263" t="s">
        <v>60</v>
      </c>
      <c r="K6263" t="s">
        <v>530</v>
      </c>
      <c r="L6263" t="s">
        <v>62</v>
      </c>
      <c r="M6263" t="s">
        <v>530</v>
      </c>
      <c r="N6263" t="s">
        <v>531</v>
      </c>
      <c r="O6263" t="s">
        <v>532</v>
      </c>
      <c r="P6263">
        <v>-20.142457</v>
      </c>
      <c r="Q6263">
        <v>-44.891688000000002</v>
      </c>
      <c r="R6263" s="2" t="str">
        <f>HYPERLINK("https://www.google.com/maps?q=-20.1424570,-44.8916880","Abrir no Google Maps")</f>
        <v>Abrir no Google Maps</v>
      </c>
      <c r="S6263">
        <v>3</v>
      </c>
      <c r="T6263">
        <v>0</v>
      </c>
      <c r="U6263">
        <v>4</v>
      </c>
      <c r="V6263">
        <v>0.46839817854761812</v>
      </c>
      <c r="W6263">
        <v>1</v>
      </c>
      <c r="X6263">
        <v>0.46839817854761812</v>
      </c>
      <c r="Y6263">
        <v>557</v>
      </c>
      <c r="Z6263">
        <v>42.611952255679803</v>
      </c>
      <c r="AA6263">
        <v>198</v>
      </c>
      <c r="AB6263">
        <v>332</v>
      </c>
      <c r="AC6263">
        <v>536</v>
      </c>
      <c r="AD6263">
        <v>29.58</v>
      </c>
      <c r="AE6263">
        <v>542</v>
      </c>
      <c r="AF6263">
        <v>30</v>
      </c>
      <c r="AG6263">
        <v>169</v>
      </c>
      <c r="AH6263">
        <v>129</v>
      </c>
      <c r="AI6263">
        <v>5.54</v>
      </c>
      <c r="AJ6263">
        <v>31.18</v>
      </c>
      <c r="AK6263">
        <v>23.8</v>
      </c>
      <c r="AL6263">
        <v>-20.142523099999948</v>
      </c>
      <c r="AM6263">
        <v>-44.891523817588819</v>
      </c>
      <c r="AN6263">
        <v>-20.142523099999948</v>
      </c>
      <c r="AO6263">
        <v>-44.891523817588819</v>
      </c>
      <c r="AP6263">
        <v>-20.142457</v>
      </c>
      <c r="AQ6263">
        <v>-44.891688000000002</v>
      </c>
      <c r="AR6263">
        <v>18.670129248632971</v>
      </c>
      <c r="AS6263" t="s">
        <v>65</v>
      </c>
      <c r="AT6263">
        <v>1</v>
      </c>
      <c r="AU6263" t="s">
        <v>533</v>
      </c>
      <c r="AV6263" t="s">
        <v>534</v>
      </c>
      <c r="AW6263" t="s">
        <v>60</v>
      </c>
      <c r="AX6263" t="s">
        <v>68</v>
      </c>
      <c r="AY6263" t="s">
        <v>69</v>
      </c>
      <c r="AZ6263" t="b">
        <v>1</v>
      </c>
    </row>
    <row r="6264" spans="1:52" x14ac:dyDescent="0.3">
      <c r="A6264" t="s">
        <v>52</v>
      </c>
      <c r="B6264" t="s">
        <v>53</v>
      </c>
      <c r="C6264" t="s">
        <v>54</v>
      </c>
      <c r="D6264" t="s">
        <v>55</v>
      </c>
      <c r="E6264" t="s">
        <v>2295</v>
      </c>
      <c r="F6264" t="s">
        <v>190</v>
      </c>
      <c r="G6264" t="s">
        <v>890</v>
      </c>
      <c r="H6264" t="s">
        <v>891</v>
      </c>
      <c r="I6264" t="s">
        <v>891</v>
      </c>
      <c r="J6264" t="s">
        <v>60</v>
      </c>
      <c r="K6264" t="s">
        <v>892</v>
      </c>
      <c r="L6264" t="s">
        <v>62</v>
      </c>
      <c r="M6264" t="s">
        <v>892</v>
      </c>
      <c r="N6264" t="s">
        <v>893</v>
      </c>
      <c r="O6264" t="s">
        <v>894</v>
      </c>
      <c r="P6264">
        <v>-20.152519000000002</v>
      </c>
      <c r="Q6264">
        <v>-44.899177000000002</v>
      </c>
      <c r="R6264" s="2" t="str">
        <f>HYPERLINK("https://www.google.com/maps?q=-20.1525190,-44.8991770","Abrir no Google Maps")</f>
        <v>Abrir no Google Maps</v>
      </c>
      <c r="S6264">
        <v>3</v>
      </c>
      <c r="T6264">
        <v>211.80188552994721</v>
      </c>
      <c r="U6264">
        <v>4</v>
      </c>
      <c r="V6264">
        <v>0.4839784130196475</v>
      </c>
      <c r="W6264">
        <v>1</v>
      </c>
      <c r="X6264">
        <v>0.4839784130196475</v>
      </c>
      <c r="Y6264">
        <v>556</v>
      </c>
      <c r="Z6264">
        <v>290.34804137107091</v>
      </c>
      <c r="AA6264">
        <v>198</v>
      </c>
      <c r="AB6264">
        <v>332</v>
      </c>
      <c r="AC6264">
        <v>536</v>
      </c>
      <c r="AD6264">
        <v>29.58</v>
      </c>
      <c r="AE6264">
        <v>542</v>
      </c>
      <c r="AF6264">
        <v>30</v>
      </c>
      <c r="AG6264">
        <v>169</v>
      </c>
      <c r="AH6264">
        <v>129</v>
      </c>
      <c r="AI6264">
        <v>5.54</v>
      </c>
      <c r="AJ6264">
        <v>31.18</v>
      </c>
      <c r="AK6264">
        <v>23.8</v>
      </c>
      <c r="AL6264">
        <v>-20.152516249999959</v>
      </c>
      <c r="AM6264">
        <v>-44.899310431333959</v>
      </c>
      <c r="AN6264">
        <v>-20.152516249999959</v>
      </c>
      <c r="AO6264">
        <v>-44.899310431333959</v>
      </c>
      <c r="AP6264">
        <v>-20.152519000000002</v>
      </c>
      <c r="AQ6264">
        <v>-44.899177000000002</v>
      </c>
      <c r="AR6264">
        <v>13.947583284957719</v>
      </c>
      <c r="AS6264" t="s">
        <v>65</v>
      </c>
      <c r="AT6264">
        <v>1</v>
      </c>
      <c r="AU6264" t="s">
        <v>895</v>
      </c>
      <c r="AV6264" t="s">
        <v>896</v>
      </c>
      <c r="AW6264" t="s">
        <v>60</v>
      </c>
      <c r="AX6264" t="s">
        <v>68</v>
      </c>
      <c r="AY6264" t="s">
        <v>69</v>
      </c>
      <c r="AZ6264" t="b">
        <v>1</v>
      </c>
    </row>
    <row r="6265" spans="1:52" x14ac:dyDescent="0.3">
      <c r="A6265" t="s">
        <v>52</v>
      </c>
      <c r="B6265" t="s">
        <v>53</v>
      </c>
      <c r="C6265" t="s">
        <v>54</v>
      </c>
      <c r="D6265" t="s">
        <v>55</v>
      </c>
      <c r="E6265" t="s">
        <v>2295</v>
      </c>
      <c r="F6265" t="s">
        <v>190</v>
      </c>
      <c r="G6265" t="s">
        <v>535</v>
      </c>
      <c r="H6265" t="s">
        <v>536</v>
      </c>
      <c r="I6265" t="s">
        <v>536</v>
      </c>
      <c r="J6265" t="s">
        <v>60</v>
      </c>
      <c r="K6265" t="s">
        <v>388</v>
      </c>
      <c r="L6265" t="s">
        <v>62</v>
      </c>
      <c r="M6265" t="s">
        <v>388</v>
      </c>
      <c r="N6265" t="s">
        <v>537</v>
      </c>
      <c r="O6265" t="s">
        <v>538</v>
      </c>
      <c r="P6265">
        <v>-20.150061999999998</v>
      </c>
      <c r="Q6265">
        <v>-44.903379000000001</v>
      </c>
      <c r="R6265" s="2" t="str">
        <f>HYPERLINK("https://www.google.com/maps?q=-20.1500620,-44.9033790","Abrir no Google Maps")</f>
        <v>Abrir no Google Maps</v>
      </c>
      <c r="S6265">
        <v>3</v>
      </c>
      <c r="T6265">
        <v>286.20313674219977</v>
      </c>
      <c r="U6265">
        <v>4</v>
      </c>
      <c r="V6265">
        <v>0.46742565679491399</v>
      </c>
      <c r="W6265">
        <v>1</v>
      </c>
      <c r="X6265">
        <v>0.46742565679491399</v>
      </c>
      <c r="Y6265">
        <v>556</v>
      </c>
      <c r="Z6265">
        <v>315.81851898667401</v>
      </c>
      <c r="AA6265">
        <v>198</v>
      </c>
      <c r="AB6265">
        <v>332</v>
      </c>
      <c r="AC6265">
        <v>536</v>
      </c>
      <c r="AD6265">
        <v>29.58</v>
      </c>
      <c r="AE6265">
        <v>542</v>
      </c>
      <c r="AF6265">
        <v>30</v>
      </c>
      <c r="AG6265">
        <v>169</v>
      </c>
      <c r="AH6265">
        <v>129</v>
      </c>
      <c r="AI6265">
        <v>5.54</v>
      </c>
      <c r="AJ6265">
        <v>31.18</v>
      </c>
      <c r="AK6265">
        <v>23.8</v>
      </c>
      <c r="AL6265">
        <v>-20.150084299999971</v>
      </c>
      <c r="AM6265">
        <v>-44.903278407568479</v>
      </c>
      <c r="AN6265">
        <v>-20.150084299999971</v>
      </c>
      <c r="AO6265">
        <v>-44.903278407568479</v>
      </c>
      <c r="AP6265">
        <v>-20.150061999999998</v>
      </c>
      <c r="AQ6265">
        <v>-44.903379000000001</v>
      </c>
      <c r="AR6265">
        <v>10.801687336134639</v>
      </c>
      <c r="AS6265" t="s">
        <v>65</v>
      </c>
      <c r="AT6265">
        <v>1</v>
      </c>
      <c r="AU6265" t="s">
        <v>539</v>
      </c>
      <c r="AV6265" t="s">
        <v>540</v>
      </c>
      <c r="AW6265" t="s">
        <v>60</v>
      </c>
      <c r="AX6265" t="s">
        <v>68</v>
      </c>
      <c r="AY6265" t="s">
        <v>69</v>
      </c>
      <c r="AZ6265" t="b">
        <v>1</v>
      </c>
    </row>
    <row r="6266" spans="1:52" x14ac:dyDescent="0.3">
      <c r="A6266" t="s">
        <v>52</v>
      </c>
      <c r="B6266" t="s">
        <v>53</v>
      </c>
      <c r="C6266" t="s">
        <v>54</v>
      </c>
      <c r="D6266" t="s">
        <v>55</v>
      </c>
      <c r="E6266" t="s">
        <v>2295</v>
      </c>
      <c r="F6266" t="s">
        <v>190</v>
      </c>
      <c r="G6266" t="s">
        <v>398</v>
      </c>
      <c r="H6266" t="s">
        <v>541</v>
      </c>
      <c r="I6266" t="s">
        <v>541</v>
      </c>
      <c r="J6266" t="s">
        <v>60</v>
      </c>
      <c r="K6266" t="s">
        <v>388</v>
      </c>
      <c r="L6266" t="s">
        <v>62</v>
      </c>
      <c r="M6266" t="s">
        <v>388</v>
      </c>
      <c r="N6266" t="s">
        <v>400</v>
      </c>
      <c r="O6266" t="s">
        <v>542</v>
      </c>
      <c r="P6266">
        <v>-20.151335</v>
      </c>
      <c r="Q6266">
        <v>-44.901041999999997</v>
      </c>
      <c r="R6266" s="2" t="str">
        <f>HYPERLINK("https://www.google.com/maps?q=-20.1513350,-44.9010420","Abrir no Google Maps")</f>
        <v>Abrir no Google Maps</v>
      </c>
      <c r="S6266">
        <v>3</v>
      </c>
      <c r="T6266">
        <v>0</v>
      </c>
      <c r="U6266">
        <v>4</v>
      </c>
      <c r="V6266">
        <v>0.47829595084758308</v>
      </c>
      <c r="W6266">
        <v>1</v>
      </c>
      <c r="X6266">
        <v>0.47829595084758308</v>
      </c>
      <c r="Y6266">
        <v>556</v>
      </c>
      <c r="Z6266">
        <v>137.71609036908939</v>
      </c>
      <c r="AA6266">
        <v>198</v>
      </c>
      <c r="AB6266">
        <v>332</v>
      </c>
      <c r="AC6266">
        <v>536</v>
      </c>
      <c r="AD6266">
        <v>29.58</v>
      </c>
      <c r="AE6266">
        <v>542</v>
      </c>
      <c r="AF6266">
        <v>30</v>
      </c>
      <c r="AG6266">
        <v>169</v>
      </c>
      <c r="AH6266">
        <v>129</v>
      </c>
      <c r="AI6266">
        <v>5.54</v>
      </c>
      <c r="AJ6266">
        <v>31.18</v>
      </c>
      <c r="AK6266">
        <v>23.8</v>
      </c>
      <c r="AL6266">
        <v>-20.15125899999995</v>
      </c>
      <c r="AM6266">
        <v>-44.900838557594433</v>
      </c>
      <c r="AN6266">
        <v>-20.15125899999995</v>
      </c>
      <c r="AO6266">
        <v>-44.900838557594433</v>
      </c>
      <c r="AP6266">
        <v>-20.151335</v>
      </c>
      <c r="AQ6266">
        <v>-44.901041999999997</v>
      </c>
      <c r="AR6266">
        <v>22.882363139483491</v>
      </c>
      <c r="AS6266" t="s">
        <v>65</v>
      </c>
      <c r="AT6266">
        <v>1</v>
      </c>
      <c r="AU6266" t="s">
        <v>543</v>
      </c>
      <c r="AV6266" t="s">
        <v>544</v>
      </c>
      <c r="AW6266" t="s">
        <v>60</v>
      </c>
      <c r="AX6266" t="s">
        <v>68</v>
      </c>
      <c r="AY6266" t="s">
        <v>69</v>
      </c>
      <c r="AZ6266" t="b">
        <v>1</v>
      </c>
    </row>
    <row r="6267" spans="1:52" x14ac:dyDescent="0.3">
      <c r="A6267" t="s">
        <v>52</v>
      </c>
      <c r="B6267" t="s">
        <v>53</v>
      </c>
      <c r="C6267" t="s">
        <v>54</v>
      </c>
      <c r="D6267" t="s">
        <v>55</v>
      </c>
      <c r="E6267" t="s">
        <v>2295</v>
      </c>
      <c r="F6267" t="s">
        <v>190</v>
      </c>
      <c r="G6267" t="s">
        <v>545</v>
      </c>
      <c r="H6267" t="s">
        <v>546</v>
      </c>
      <c r="I6267" t="s">
        <v>546</v>
      </c>
      <c r="J6267" t="s">
        <v>60</v>
      </c>
      <c r="K6267" t="s">
        <v>388</v>
      </c>
      <c r="L6267" t="s">
        <v>62</v>
      </c>
      <c r="M6267" t="s">
        <v>388</v>
      </c>
      <c r="N6267" t="s">
        <v>547</v>
      </c>
      <c r="O6267" t="s">
        <v>548</v>
      </c>
      <c r="P6267">
        <v>-20.155839</v>
      </c>
      <c r="Q6267">
        <v>-44.905655000000003</v>
      </c>
      <c r="R6267" s="2" t="str">
        <f>HYPERLINK("https://www.google.com/maps?q=-20.1558390,-44.9056550","Abrir no Google Maps")</f>
        <v>Abrir no Google Maps</v>
      </c>
      <c r="S6267">
        <v>3</v>
      </c>
      <c r="T6267">
        <v>309.7643089121122</v>
      </c>
      <c r="U6267">
        <v>4</v>
      </c>
      <c r="V6267">
        <v>0.4785788923719958</v>
      </c>
      <c r="W6267">
        <v>1</v>
      </c>
      <c r="X6267">
        <v>0.4785788923719958</v>
      </c>
      <c r="Y6267">
        <v>548</v>
      </c>
      <c r="Z6267">
        <v>284.24281731793161</v>
      </c>
      <c r="AA6267">
        <v>198</v>
      </c>
      <c r="AB6267">
        <v>332</v>
      </c>
      <c r="AC6267">
        <v>536</v>
      </c>
      <c r="AD6267">
        <v>29.58</v>
      </c>
      <c r="AE6267">
        <v>542</v>
      </c>
      <c r="AF6267">
        <v>30</v>
      </c>
      <c r="AG6267">
        <v>169</v>
      </c>
      <c r="AH6267">
        <v>129</v>
      </c>
      <c r="AI6267">
        <v>5.54</v>
      </c>
      <c r="AJ6267">
        <v>31.18</v>
      </c>
      <c r="AK6267">
        <v>23.8</v>
      </c>
      <c r="AL6267">
        <v>-20.155913549999951</v>
      </c>
      <c r="AM6267">
        <v>-44.905554508392683</v>
      </c>
      <c r="AN6267">
        <v>-20.155913549999951</v>
      </c>
      <c r="AO6267">
        <v>-44.905554508392669</v>
      </c>
      <c r="AP6267">
        <v>-20.155839</v>
      </c>
      <c r="AQ6267">
        <v>-44.905655000000003</v>
      </c>
      <c r="AR6267">
        <v>13.384922093797449</v>
      </c>
      <c r="AS6267" t="s">
        <v>65</v>
      </c>
      <c r="AT6267">
        <v>1</v>
      </c>
      <c r="AU6267" t="s">
        <v>549</v>
      </c>
      <c r="AV6267" t="s">
        <v>550</v>
      </c>
      <c r="AW6267" t="s">
        <v>60</v>
      </c>
      <c r="AX6267" t="s">
        <v>68</v>
      </c>
      <c r="AY6267" t="s">
        <v>69</v>
      </c>
      <c r="AZ6267" t="b">
        <v>1</v>
      </c>
    </row>
    <row r="6268" spans="1:52" x14ac:dyDescent="0.3">
      <c r="A6268" t="s">
        <v>52</v>
      </c>
      <c r="B6268" t="s">
        <v>53</v>
      </c>
      <c r="C6268" t="s">
        <v>54</v>
      </c>
      <c r="D6268" t="s">
        <v>55</v>
      </c>
      <c r="E6268" t="s">
        <v>2295</v>
      </c>
      <c r="F6268" t="s">
        <v>190</v>
      </c>
      <c r="G6268" t="s">
        <v>556</v>
      </c>
      <c r="H6268" t="s">
        <v>557</v>
      </c>
      <c r="I6268" t="s">
        <v>557</v>
      </c>
      <c r="J6268" t="s">
        <v>60</v>
      </c>
      <c r="K6268" t="s">
        <v>388</v>
      </c>
      <c r="L6268" t="s">
        <v>62</v>
      </c>
      <c r="M6268" t="s">
        <v>388</v>
      </c>
      <c r="N6268" t="s">
        <v>558</v>
      </c>
      <c r="O6268" t="s">
        <v>559</v>
      </c>
      <c r="P6268">
        <v>-20.152670000000001</v>
      </c>
      <c r="Q6268">
        <v>-44.902557999999999</v>
      </c>
      <c r="R6268" s="2" t="str">
        <f>HYPERLINK("https://www.google.com/maps?q=-20.1526700,-44.9025580","Abrir no Google Maps")</f>
        <v>Abrir no Google Maps</v>
      </c>
      <c r="S6268">
        <v>3</v>
      </c>
      <c r="T6268">
        <v>228.56195217678911</v>
      </c>
      <c r="U6268">
        <v>4</v>
      </c>
      <c r="V6268">
        <v>0.4789580789580789</v>
      </c>
      <c r="W6268">
        <v>1</v>
      </c>
      <c r="X6268">
        <v>0.4789580789580789</v>
      </c>
      <c r="Y6268">
        <v>548</v>
      </c>
      <c r="Z6268">
        <v>250.63133895224919</v>
      </c>
      <c r="AA6268">
        <v>198</v>
      </c>
      <c r="AB6268">
        <v>332</v>
      </c>
      <c r="AC6268">
        <v>536</v>
      </c>
      <c r="AD6268">
        <v>29.58</v>
      </c>
      <c r="AE6268">
        <v>542</v>
      </c>
      <c r="AF6268">
        <v>30</v>
      </c>
      <c r="AG6268">
        <v>169</v>
      </c>
      <c r="AH6268">
        <v>129</v>
      </c>
      <c r="AI6268">
        <v>5.54</v>
      </c>
      <c r="AJ6268">
        <v>31.18</v>
      </c>
      <c r="AK6268">
        <v>23.8</v>
      </c>
      <c r="AL6268">
        <v>-20.152629799999939</v>
      </c>
      <c r="AM6268">
        <v>-44.902604744705201</v>
      </c>
      <c r="AN6268">
        <v>-20.152629799999939</v>
      </c>
      <c r="AO6268">
        <v>-44.902604744705201</v>
      </c>
      <c r="AP6268">
        <v>-20.152670000000001</v>
      </c>
      <c r="AQ6268">
        <v>-44.902557999999999</v>
      </c>
      <c r="AR6268">
        <v>6.6249428037111509</v>
      </c>
      <c r="AS6268" t="s">
        <v>65</v>
      </c>
      <c r="AT6268">
        <v>1</v>
      </c>
      <c r="AU6268" t="s">
        <v>560</v>
      </c>
      <c r="AV6268" t="s">
        <v>561</v>
      </c>
      <c r="AW6268" t="s">
        <v>60</v>
      </c>
      <c r="AX6268" t="s">
        <v>68</v>
      </c>
      <c r="AY6268" t="s">
        <v>69</v>
      </c>
      <c r="AZ6268" t="b">
        <v>1</v>
      </c>
    </row>
    <row r="6269" spans="1:52" x14ac:dyDescent="0.3">
      <c r="A6269" t="s">
        <v>52</v>
      </c>
      <c r="B6269" t="s">
        <v>53</v>
      </c>
      <c r="C6269" t="s">
        <v>54</v>
      </c>
      <c r="D6269" t="s">
        <v>55</v>
      </c>
      <c r="E6269" t="s">
        <v>2295</v>
      </c>
      <c r="F6269" t="s">
        <v>190</v>
      </c>
      <c r="G6269" t="s">
        <v>562</v>
      </c>
      <c r="H6269" t="s">
        <v>563</v>
      </c>
      <c r="I6269" t="s">
        <v>563</v>
      </c>
      <c r="J6269" t="s">
        <v>60</v>
      </c>
      <c r="K6269" t="s">
        <v>388</v>
      </c>
      <c r="L6269" t="s">
        <v>62</v>
      </c>
      <c r="M6269" t="s">
        <v>388</v>
      </c>
      <c r="N6269" t="s">
        <v>564</v>
      </c>
      <c r="O6269" t="s">
        <v>565</v>
      </c>
      <c r="P6269">
        <v>-20.154432</v>
      </c>
      <c r="Q6269">
        <v>-44.902977999999997</v>
      </c>
      <c r="R6269" s="2" t="str">
        <f>HYPERLINK("https://www.google.com/maps?q=-20.1544320,-44.9029780","Abrir no Google Maps")</f>
        <v>Abrir no Google Maps</v>
      </c>
      <c r="S6269">
        <v>3</v>
      </c>
      <c r="T6269">
        <v>0</v>
      </c>
      <c r="U6269">
        <v>4</v>
      </c>
      <c r="V6269">
        <v>0.47788770377552869</v>
      </c>
      <c r="W6269">
        <v>1</v>
      </c>
      <c r="X6269">
        <v>0.47788770377552869</v>
      </c>
      <c r="Y6269">
        <v>548</v>
      </c>
      <c r="Z6269">
        <v>29.424211042533759</v>
      </c>
      <c r="AA6269">
        <v>198</v>
      </c>
      <c r="AB6269">
        <v>332</v>
      </c>
      <c r="AC6269">
        <v>536</v>
      </c>
      <c r="AD6269">
        <v>29.58</v>
      </c>
      <c r="AE6269">
        <v>542</v>
      </c>
      <c r="AF6269">
        <v>30</v>
      </c>
      <c r="AG6269">
        <v>169</v>
      </c>
      <c r="AH6269">
        <v>129</v>
      </c>
      <c r="AI6269">
        <v>5.54</v>
      </c>
      <c r="AJ6269">
        <v>31.18</v>
      </c>
      <c r="AK6269">
        <v>23.8</v>
      </c>
      <c r="AL6269">
        <v>-20.15467689999997</v>
      </c>
      <c r="AM6269">
        <v>-44.902895281771222</v>
      </c>
      <c r="AN6269">
        <v>-20.15467689999997</v>
      </c>
      <c r="AO6269">
        <v>-44.902895281771222</v>
      </c>
      <c r="AP6269">
        <v>-20.154432</v>
      </c>
      <c r="AQ6269">
        <v>-44.902977999999997</v>
      </c>
      <c r="AR6269">
        <v>28.5999270636025</v>
      </c>
      <c r="AS6269" t="s">
        <v>65</v>
      </c>
      <c r="AT6269">
        <v>1</v>
      </c>
      <c r="AU6269" t="s">
        <v>566</v>
      </c>
      <c r="AV6269" t="s">
        <v>567</v>
      </c>
      <c r="AW6269" t="s">
        <v>60</v>
      </c>
      <c r="AX6269" t="s">
        <v>68</v>
      </c>
      <c r="AY6269" t="s">
        <v>69</v>
      </c>
      <c r="AZ6269" t="b">
        <v>1</v>
      </c>
    </row>
    <row r="6270" spans="1:52" x14ac:dyDescent="0.3">
      <c r="A6270" t="s">
        <v>52</v>
      </c>
      <c r="B6270" t="s">
        <v>53</v>
      </c>
      <c r="C6270" t="s">
        <v>54</v>
      </c>
      <c r="D6270" t="s">
        <v>55</v>
      </c>
      <c r="E6270" t="s">
        <v>2295</v>
      </c>
      <c r="F6270" t="s">
        <v>190</v>
      </c>
      <c r="G6270" t="s">
        <v>910</v>
      </c>
      <c r="H6270" t="s">
        <v>911</v>
      </c>
      <c r="I6270" t="s">
        <v>911</v>
      </c>
      <c r="J6270" t="s">
        <v>60</v>
      </c>
      <c r="K6270" t="s">
        <v>207</v>
      </c>
      <c r="L6270" t="s">
        <v>62</v>
      </c>
      <c r="M6270" t="s">
        <v>207</v>
      </c>
      <c r="N6270" t="s">
        <v>912</v>
      </c>
      <c r="O6270" t="s">
        <v>548</v>
      </c>
      <c r="P6270">
        <v>-20.116987000000002</v>
      </c>
      <c r="Q6270">
        <v>-44.885240000000003</v>
      </c>
      <c r="R6270" s="2" t="str">
        <f>HYPERLINK("https://www.google.com/maps?q=-20.1169870,-44.8852400","Abrir no Google Maps")</f>
        <v>Abrir no Google Maps</v>
      </c>
      <c r="S6270">
        <v>3</v>
      </c>
      <c r="T6270">
        <v>283.94804862214067</v>
      </c>
      <c r="U6270">
        <v>4</v>
      </c>
      <c r="V6270">
        <v>0.46630355846042121</v>
      </c>
      <c r="W6270">
        <v>1</v>
      </c>
      <c r="X6270">
        <v>0.46630355846042121</v>
      </c>
      <c r="Y6270">
        <v>536</v>
      </c>
      <c r="Z6270">
        <v>297.39410031170689</v>
      </c>
      <c r="AA6270">
        <v>198</v>
      </c>
      <c r="AB6270">
        <v>332</v>
      </c>
      <c r="AC6270">
        <v>536</v>
      </c>
      <c r="AD6270">
        <v>29.58</v>
      </c>
      <c r="AE6270">
        <v>542</v>
      </c>
      <c r="AF6270">
        <v>30</v>
      </c>
      <c r="AG6270">
        <v>169</v>
      </c>
      <c r="AH6270">
        <v>129</v>
      </c>
      <c r="AI6270">
        <v>5.54</v>
      </c>
      <c r="AJ6270">
        <v>31.18</v>
      </c>
      <c r="AK6270">
        <v>23.8</v>
      </c>
      <c r="AL6270">
        <v>-20.116999599999961</v>
      </c>
      <c r="AM6270">
        <v>-44.885197873315192</v>
      </c>
      <c r="AN6270">
        <v>-20.116999599999961</v>
      </c>
      <c r="AO6270">
        <v>-44.885197873315192</v>
      </c>
      <c r="AP6270">
        <v>-20.116987000000002</v>
      </c>
      <c r="AQ6270">
        <v>-44.885240000000003</v>
      </c>
      <c r="AR6270">
        <v>4.6214387870334246</v>
      </c>
      <c r="AS6270" t="s">
        <v>65</v>
      </c>
      <c r="AT6270">
        <v>1</v>
      </c>
      <c r="AU6270" t="s">
        <v>913</v>
      </c>
      <c r="AV6270" t="s">
        <v>914</v>
      </c>
      <c r="AW6270" t="s">
        <v>60</v>
      </c>
      <c r="AX6270" t="s">
        <v>68</v>
      </c>
      <c r="AY6270" t="s">
        <v>69</v>
      </c>
      <c r="AZ6270" t="b">
        <v>1</v>
      </c>
    </row>
    <row r="6271" spans="1:52" x14ac:dyDescent="0.3">
      <c r="A6271" t="s">
        <v>52</v>
      </c>
      <c r="B6271" t="s">
        <v>53</v>
      </c>
      <c r="C6271" t="s">
        <v>54</v>
      </c>
      <c r="D6271" t="s">
        <v>55</v>
      </c>
      <c r="E6271" t="s">
        <v>2295</v>
      </c>
      <c r="F6271" t="s">
        <v>190</v>
      </c>
      <c r="G6271" t="s">
        <v>935</v>
      </c>
      <c r="H6271" t="s">
        <v>936</v>
      </c>
      <c r="I6271" t="s">
        <v>936</v>
      </c>
      <c r="J6271" t="s">
        <v>60</v>
      </c>
      <c r="K6271" t="s">
        <v>193</v>
      </c>
      <c r="L6271" t="s">
        <v>62</v>
      </c>
      <c r="M6271" t="s">
        <v>193</v>
      </c>
      <c r="N6271" t="s">
        <v>937</v>
      </c>
      <c r="O6271" t="s">
        <v>938</v>
      </c>
      <c r="P6271">
        <v>-20.144727</v>
      </c>
      <c r="Q6271">
        <v>-44.919978999999998</v>
      </c>
      <c r="R6271" s="2" t="str">
        <f>HYPERLINK("https://www.google.com/maps?q=-20.1447270,-44.9199790","Abrir no Google Maps")</f>
        <v>Abrir no Google Maps</v>
      </c>
      <c r="S6271">
        <v>3</v>
      </c>
      <c r="T6271">
        <v>341.13992759662477</v>
      </c>
      <c r="U6271">
        <v>4</v>
      </c>
      <c r="V6271">
        <v>0.4663308287795993</v>
      </c>
      <c r="W6271">
        <v>1</v>
      </c>
      <c r="X6271">
        <v>0.4663308287795993</v>
      </c>
      <c r="Y6271">
        <v>508</v>
      </c>
      <c r="Z6271">
        <v>274.58151985101409</v>
      </c>
      <c r="AA6271">
        <v>198</v>
      </c>
      <c r="AB6271">
        <v>332</v>
      </c>
      <c r="AC6271">
        <v>536</v>
      </c>
      <c r="AD6271">
        <v>29.58</v>
      </c>
      <c r="AE6271">
        <v>542</v>
      </c>
      <c r="AF6271">
        <v>30</v>
      </c>
      <c r="AG6271">
        <v>169</v>
      </c>
      <c r="AH6271">
        <v>129</v>
      </c>
      <c r="AI6271">
        <v>5.54</v>
      </c>
      <c r="AJ6271">
        <v>31.18</v>
      </c>
      <c r="AK6271">
        <v>23.8</v>
      </c>
      <c r="AL6271">
        <v>-20.144771099999961</v>
      </c>
      <c r="AM6271">
        <v>-44.92003491095209</v>
      </c>
      <c r="AN6271">
        <v>-20.144771099999961</v>
      </c>
      <c r="AO6271">
        <v>-44.92003491095209</v>
      </c>
      <c r="AP6271">
        <v>-20.144727</v>
      </c>
      <c r="AQ6271">
        <v>-44.919978999999998</v>
      </c>
      <c r="AR6271">
        <v>7.6317760459664177</v>
      </c>
      <c r="AS6271" t="s">
        <v>65</v>
      </c>
      <c r="AT6271">
        <v>1</v>
      </c>
      <c r="AU6271" t="s">
        <v>939</v>
      </c>
      <c r="AV6271" t="s">
        <v>940</v>
      </c>
      <c r="AW6271" t="s">
        <v>60</v>
      </c>
      <c r="AX6271" t="s">
        <v>68</v>
      </c>
      <c r="AY6271" t="s">
        <v>69</v>
      </c>
      <c r="AZ6271" t="b">
        <v>1</v>
      </c>
    </row>
    <row r="6272" spans="1:52" x14ac:dyDescent="0.3">
      <c r="A6272" t="s">
        <v>52</v>
      </c>
      <c r="B6272" t="s">
        <v>53</v>
      </c>
      <c r="C6272" t="s">
        <v>54</v>
      </c>
      <c r="D6272" t="s">
        <v>55</v>
      </c>
      <c r="E6272" t="s">
        <v>2295</v>
      </c>
      <c r="F6272" t="s">
        <v>190</v>
      </c>
      <c r="G6272" t="s">
        <v>631</v>
      </c>
      <c r="H6272" t="s">
        <v>632</v>
      </c>
      <c r="I6272" t="s">
        <v>632</v>
      </c>
      <c r="J6272" t="s">
        <v>60</v>
      </c>
      <c r="K6272" t="s">
        <v>530</v>
      </c>
      <c r="L6272" t="s">
        <v>62</v>
      </c>
      <c r="M6272" t="s">
        <v>530</v>
      </c>
      <c r="N6272" t="s">
        <v>633</v>
      </c>
      <c r="O6272" t="s">
        <v>634</v>
      </c>
      <c r="P6272">
        <v>-20.142136000000001</v>
      </c>
      <c r="Q6272">
        <v>-44.893895999999998</v>
      </c>
      <c r="R6272" s="2" t="str">
        <f>HYPERLINK("https://www.google.com/maps?q=-20.1421360,-44.8938960","Abrir no Google Maps")</f>
        <v>Abrir no Google Maps</v>
      </c>
      <c r="S6272">
        <v>3</v>
      </c>
      <c r="T6272">
        <v>252.77776243958951</v>
      </c>
      <c r="U6272">
        <v>4</v>
      </c>
      <c r="V6272">
        <v>0.46679368724372278</v>
      </c>
      <c r="W6272">
        <v>1</v>
      </c>
      <c r="X6272">
        <v>0.46679368724372278</v>
      </c>
      <c r="Y6272">
        <v>505</v>
      </c>
      <c r="Z6272">
        <v>331.79497003706751</v>
      </c>
      <c r="AA6272">
        <v>198</v>
      </c>
      <c r="AB6272">
        <v>332</v>
      </c>
      <c r="AC6272">
        <v>536</v>
      </c>
      <c r="AD6272">
        <v>29.58</v>
      </c>
      <c r="AE6272">
        <v>542</v>
      </c>
      <c r="AF6272">
        <v>30</v>
      </c>
      <c r="AG6272">
        <v>169</v>
      </c>
      <c r="AH6272">
        <v>129</v>
      </c>
      <c r="AI6272">
        <v>5.54</v>
      </c>
      <c r="AJ6272">
        <v>31.18</v>
      </c>
      <c r="AK6272">
        <v>23.8</v>
      </c>
      <c r="AL6272">
        <v>-20.142209999999949</v>
      </c>
      <c r="AM6272">
        <v>-44.893919659400702</v>
      </c>
      <c r="AN6272">
        <v>-20.142209999999949</v>
      </c>
      <c r="AO6272">
        <v>-44.893919659400702</v>
      </c>
      <c r="AP6272">
        <v>-20.142136000000001</v>
      </c>
      <c r="AQ6272">
        <v>-44.893895999999998</v>
      </c>
      <c r="AR6272">
        <v>8.6007875127343159</v>
      </c>
      <c r="AS6272" t="s">
        <v>65</v>
      </c>
      <c r="AT6272">
        <v>1</v>
      </c>
      <c r="AU6272" t="s">
        <v>635</v>
      </c>
      <c r="AV6272" t="s">
        <v>636</v>
      </c>
      <c r="AW6272" t="s">
        <v>60</v>
      </c>
      <c r="AX6272" t="s">
        <v>68</v>
      </c>
      <c r="AY6272" t="s">
        <v>69</v>
      </c>
      <c r="AZ6272" t="b">
        <v>1</v>
      </c>
    </row>
    <row r="6273" spans="1:52" x14ac:dyDescent="0.3">
      <c r="A6273" t="s">
        <v>52</v>
      </c>
      <c r="B6273" t="s">
        <v>53</v>
      </c>
      <c r="C6273" t="s">
        <v>54</v>
      </c>
      <c r="D6273" t="s">
        <v>55</v>
      </c>
      <c r="E6273" t="s">
        <v>2295</v>
      </c>
      <c r="F6273" t="s">
        <v>190</v>
      </c>
      <c r="G6273" t="s">
        <v>957</v>
      </c>
      <c r="H6273" t="s">
        <v>1750</v>
      </c>
      <c r="I6273" t="s">
        <v>1750</v>
      </c>
      <c r="J6273" t="s">
        <v>60</v>
      </c>
      <c r="K6273" t="s">
        <v>982</v>
      </c>
      <c r="L6273" t="s">
        <v>62</v>
      </c>
      <c r="M6273" t="s">
        <v>982</v>
      </c>
      <c r="N6273" t="s">
        <v>959</v>
      </c>
      <c r="O6273" t="s">
        <v>1751</v>
      </c>
      <c r="P6273">
        <v>-20.164285</v>
      </c>
      <c r="Q6273">
        <v>-44.857562000000001</v>
      </c>
      <c r="R6273" s="2" t="str">
        <f>HYPERLINK("https://www.google.com/maps?q=-20.1642850,-44.8575620","Abrir no Google Maps")</f>
        <v>Abrir no Google Maps</v>
      </c>
      <c r="S6273">
        <v>3</v>
      </c>
      <c r="T6273">
        <v>275.89108588842112</v>
      </c>
      <c r="U6273">
        <v>4</v>
      </c>
      <c r="V6273">
        <v>0.47082810309263218</v>
      </c>
      <c r="W6273">
        <v>1</v>
      </c>
      <c r="X6273">
        <v>0.47082810309263218</v>
      </c>
      <c r="Y6273">
        <v>491</v>
      </c>
      <c r="Z6273">
        <v>150.50906778215881</v>
      </c>
      <c r="AA6273">
        <v>198</v>
      </c>
      <c r="AB6273">
        <v>332</v>
      </c>
      <c r="AC6273">
        <v>536</v>
      </c>
      <c r="AD6273">
        <v>29.58</v>
      </c>
      <c r="AE6273">
        <v>542</v>
      </c>
      <c r="AF6273">
        <v>30</v>
      </c>
      <c r="AG6273">
        <v>169</v>
      </c>
      <c r="AH6273">
        <v>129</v>
      </c>
      <c r="AI6273">
        <v>5.54</v>
      </c>
      <c r="AJ6273">
        <v>31.18</v>
      </c>
      <c r="AK6273">
        <v>23.8</v>
      </c>
      <c r="AL6273">
        <v>-20.164333749999969</v>
      </c>
      <c r="AM6273">
        <v>-44.857568319333943</v>
      </c>
      <c r="AN6273">
        <v>-20.164333749999969</v>
      </c>
      <c r="AO6273">
        <v>-44.857568319333943</v>
      </c>
      <c r="AP6273">
        <v>-20.164285</v>
      </c>
      <c r="AQ6273">
        <v>-44.857562000000001</v>
      </c>
      <c r="AR6273">
        <v>5.4668788625524281</v>
      </c>
      <c r="AS6273" t="s">
        <v>65</v>
      </c>
      <c r="AT6273">
        <v>1</v>
      </c>
      <c r="AU6273" t="s">
        <v>1752</v>
      </c>
      <c r="AV6273" t="s">
        <v>1753</v>
      </c>
      <c r="AW6273" t="s">
        <v>60</v>
      </c>
      <c r="AX6273" t="s">
        <v>68</v>
      </c>
      <c r="AY6273" t="s">
        <v>69</v>
      </c>
      <c r="AZ6273" t="b">
        <v>1</v>
      </c>
    </row>
    <row r="6274" spans="1:52" x14ac:dyDescent="0.3">
      <c r="A6274" t="s">
        <v>52</v>
      </c>
      <c r="B6274" t="s">
        <v>53</v>
      </c>
      <c r="C6274" t="s">
        <v>54</v>
      </c>
      <c r="D6274" t="s">
        <v>55</v>
      </c>
      <c r="E6274" t="s">
        <v>2295</v>
      </c>
      <c r="F6274" t="s">
        <v>190</v>
      </c>
      <c r="G6274" t="s">
        <v>963</v>
      </c>
      <c r="H6274" t="s">
        <v>964</v>
      </c>
      <c r="I6274" t="s">
        <v>964</v>
      </c>
      <c r="J6274" t="s">
        <v>60</v>
      </c>
      <c r="K6274" t="s">
        <v>702</v>
      </c>
      <c r="L6274" t="s">
        <v>62</v>
      </c>
      <c r="M6274" t="s">
        <v>702</v>
      </c>
      <c r="N6274" t="s">
        <v>965</v>
      </c>
      <c r="O6274" t="s">
        <v>960</v>
      </c>
      <c r="P6274">
        <v>-20.164622000000001</v>
      </c>
      <c r="Q6274">
        <v>-44.860289999999999</v>
      </c>
      <c r="R6274" s="2" t="str">
        <f>HYPERLINK("https://www.google.com/maps?q=-20.1646220,-44.8602900","Abrir no Google Maps")</f>
        <v>Abrir no Google Maps</v>
      </c>
      <c r="S6274">
        <v>3</v>
      </c>
      <c r="T6274">
        <v>393.43725605569188</v>
      </c>
      <c r="U6274">
        <v>4</v>
      </c>
      <c r="V6274">
        <v>0.4747860696517413</v>
      </c>
      <c r="W6274">
        <v>1</v>
      </c>
      <c r="X6274">
        <v>0.4747860696517413</v>
      </c>
      <c r="Y6274">
        <v>491</v>
      </c>
      <c r="Z6274">
        <v>358.96336458076678</v>
      </c>
      <c r="AA6274">
        <v>198</v>
      </c>
      <c r="AB6274">
        <v>332</v>
      </c>
      <c r="AC6274">
        <v>536</v>
      </c>
      <c r="AD6274">
        <v>29.58</v>
      </c>
      <c r="AE6274">
        <v>542</v>
      </c>
      <c r="AF6274">
        <v>30</v>
      </c>
      <c r="AG6274">
        <v>169</v>
      </c>
      <c r="AH6274">
        <v>129</v>
      </c>
      <c r="AI6274">
        <v>5.54</v>
      </c>
      <c r="AJ6274">
        <v>31.18</v>
      </c>
      <c r="AK6274">
        <v>23.8</v>
      </c>
      <c r="AL6274">
        <v>-20.164560849999951</v>
      </c>
      <c r="AM6274">
        <v>-44.860330680844072</v>
      </c>
      <c r="AN6274">
        <v>-20.164560849999951</v>
      </c>
      <c r="AO6274">
        <v>-44.860330680844072</v>
      </c>
      <c r="AP6274">
        <v>-20.164622000000001</v>
      </c>
      <c r="AQ6274">
        <v>-44.860289999999999</v>
      </c>
      <c r="AR6274">
        <v>8.0255448908437454</v>
      </c>
      <c r="AS6274" t="s">
        <v>65</v>
      </c>
      <c r="AT6274">
        <v>1</v>
      </c>
      <c r="AU6274" t="s">
        <v>966</v>
      </c>
      <c r="AV6274" t="s">
        <v>967</v>
      </c>
      <c r="AW6274" t="s">
        <v>60</v>
      </c>
      <c r="AX6274" t="s">
        <v>68</v>
      </c>
      <c r="AY6274" t="s">
        <v>69</v>
      </c>
      <c r="AZ6274" t="b">
        <v>1</v>
      </c>
    </row>
    <row r="6275" spans="1:52" x14ac:dyDescent="0.3">
      <c r="A6275" t="s">
        <v>52</v>
      </c>
      <c r="B6275" t="s">
        <v>53</v>
      </c>
      <c r="C6275" t="s">
        <v>54</v>
      </c>
      <c r="D6275" t="s">
        <v>55</v>
      </c>
      <c r="E6275" t="s">
        <v>2295</v>
      </c>
      <c r="F6275" t="s">
        <v>190</v>
      </c>
      <c r="G6275" t="s">
        <v>968</v>
      </c>
      <c r="H6275" t="s">
        <v>969</v>
      </c>
      <c r="I6275" t="s">
        <v>969</v>
      </c>
      <c r="J6275" t="s">
        <v>60</v>
      </c>
      <c r="K6275" t="s">
        <v>262</v>
      </c>
      <c r="L6275" t="s">
        <v>62</v>
      </c>
      <c r="M6275" t="s">
        <v>262</v>
      </c>
      <c r="N6275" t="s">
        <v>970</v>
      </c>
      <c r="O6275" t="s">
        <v>971</v>
      </c>
      <c r="P6275">
        <v>-20.163060999999999</v>
      </c>
      <c r="Q6275">
        <v>-44.854047000000001</v>
      </c>
      <c r="R6275" s="2" t="str">
        <f>HYPERLINK("https://www.google.com/maps?q=-20.1630610,-44.8540470","Abrir no Google Maps")</f>
        <v>Abrir no Google Maps</v>
      </c>
      <c r="S6275">
        <v>3</v>
      </c>
      <c r="T6275">
        <v>418.63868463200271</v>
      </c>
      <c r="U6275">
        <v>4</v>
      </c>
      <c r="V6275">
        <v>0.4738888888888888</v>
      </c>
      <c r="W6275">
        <v>1</v>
      </c>
      <c r="X6275">
        <v>0.4738888888888888</v>
      </c>
      <c r="Y6275">
        <v>491</v>
      </c>
      <c r="Z6275">
        <v>339.19068595447408</v>
      </c>
      <c r="AA6275">
        <v>198</v>
      </c>
      <c r="AB6275">
        <v>332</v>
      </c>
      <c r="AC6275">
        <v>536</v>
      </c>
      <c r="AD6275">
        <v>29.58</v>
      </c>
      <c r="AE6275">
        <v>542</v>
      </c>
      <c r="AF6275">
        <v>30</v>
      </c>
      <c r="AG6275">
        <v>169</v>
      </c>
      <c r="AH6275">
        <v>129</v>
      </c>
      <c r="AI6275">
        <v>5.54</v>
      </c>
      <c r="AJ6275">
        <v>31.18</v>
      </c>
      <c r="AK6275">
        <v>23.8</v>
      </c>
      <c r="AL6275">
        <v>-20.163118949999959</v>
      </c>
      <c r="AM6275">
        <v>-44.854106723889032</v>
      </c>
      <c r="AN6275">
        <v>-20.163118949999959</v>
      </c>
      <c r="AO6275">
        <v>-44.854106723889032</v>
      </c>
      <c r="AP6275">
        <v>-20.163060999999999</v>
      </c>
      <c r="AQ6275">
        <v>-44.854047000000001</v>
      </c>
      <c r="AR6275">
        <v>8.9758322935491428</v>
      </c>
      <c r="AS6275" t="s">
        <v>65</v>
      </c>
      <c r="AT6275">
        <v>1</v>
      </c>
      <c r="AU6275" t="s">
        <v>972</v>
      </c>
      <c r="AV6275" t="s">
        <v>973</v>
      </c>
      <c r="AW6275" t="s">
        <v>60</v>
      </c>
      <c r="AX6275" t="s">
        <v>68</v>
      </c>
      <c r="AY6275" t="s">
        <v>69</v>
      </c>
      <c r="AZ6275" t="b">
        <v>1</v>
      </c>
    </row>
    <row r="6276" spans="1:52" x14ac:dyDescent="0.3">
      <c r="A6276" t="s">
        <v>52</v>
      </c>
      <c r="B6276" t="s">
        <v>53</v>
      </c>
      <c r="C6276" t="s">
        <v>54</v>
      </c>
      <c r="D6276" t="s">
        <v>55</v>
      </c>
      <c r="E6276" t="s">
        <v>2295</v>
      </c>
      <c r="F6276" t="s">
        <v>190</v>
      </c>
      <c r="G6276" t="s">
        <v>968</v>
      </c>
      <c r="H6276" t="s">
        <v>1754</v>
      </c>
      <c r="I6276" t="s">
        <v>1754</v>
      </c>
      <c r="J6276" t="s">
        <v>60</v>
      </c>
      <c r="K6276" t="s">
        <v>262</v>
      </c>
      <c r="L6276" t="s">
        <v>62</v>
      </c>
      <c r="M6276" t="s">
        <v>262</v>
      </c>
      <c r="N6276" t="s">
        <v>970</v>
      </c>
      <c r="O6276" t="s">
        <v>1331</v>
      </c>
      <c r="P6276">
        <v>-20.161989999999999</v>
      </c>
      <c r="Q6276">
        <v>-44.857933000000003</v>
      </c>
      <c r="R6276" s="2" t="str">
        <f>HYPERLINK("https://www.google.com/maps?q=-20.1619900,-44.8579330","Abrir no Google Maps")</f>
        <v>Abrir no Google Maps</v>
      </c>
      <c r="S6276">
        <v>3</v>
      </c>
      <c r="T6276">
        <v>0</v>
      </c>
      <c r="U6276">
        <v>4</v>
      </c>
      <c r="V6276">
        <v>0.47362419702845232</v>
      </c>
      <c r="W6276">
        <v>1</v>
      </c>
      <c r="X6276">
        <v>0.47362419702845232</v>
      </c>
      <c r="Y6276">
        <v>491</v>
      </c>
      <c r="Z6276">
        <v>131.1697533741382</v>
      </c>
      <c r="AA6276">
        <v>198</v>
      </c>
      <c r="AB6276">
        <v>332</v>
      </c>
      <c r="AC6276">
        <v>536</v>
      </c>
      <c r="AD6276">
        <v>29.58</v>
      </c>
      <c r="AE6276">
        <v>542</v>
      </c>
      <c r="AF6276">
        <v>30</v>
      </c>
      <c r="AG6276">
        <v>169</v>
      </c>
      <c r="AH6276">
        <v>129</v>
      </c>
      <c r="AI6276">
        <v>5.54</v>
      </c>
      <c r="AJ6276">
        <v>31.18</v>
      </c>
      <c r="AK6276">
        <v>23.8</v>
      </c>
      <c r="AL6276">
        <v>-20.161858549999948</v>
      </c>
      <c r="AM6276">
        <v>-44.857884031071968</v>
      </c>
      <c r="AN6276">
        <v>-20.161858549999948</v>
      </c>
      <c r="AO6276">
        <v>-44.857884031071968</v>
      </c>
      <c r="AP6276">
        <v>-20.161989999999999</v>
      </c>
      <c r="AQ6276">
        <v>-44.857933000000003</v>
      </c>
      <c r="AR6276">
        <v>15.501957281614381</v>
      </c>
      <c r="AS6276" t="s">
        <v>65</v>
      </c>
      <c r="AT6276">
        <v>1</v>
      </c>
      <c r="AU6276" t="s">
        <v>1755</v>
      </c>
      <c r="AV6276" t="s">
        <v>1756</v>
      </c>
      <c r="AW6276" t="s">
        <v>60</v>
      </c>
      <c r="AX6276" t="s">
        <v>68</v>
      </c>
      <c r="AY6276" t="s">
        <v>69</v>
      </c>
      <c r="AZ6276" t="b">
        <v>1</v>
      </c>
    </row>
    <row r="6277" spans="1:52" x14ac:dyDescent="0.3">
      <c r="A6277" t="s">
        <v>52</v>
      </c>
      <c r="B6277" t="s">
        <v>53</v>
      </c>
      <c r="C6277" t="s">
        <v>54</v>
      </c>
      <c r="D6277" t="s">
        <v>55</v>
      </c>
      <c r="E6277" t="s">
        <v>2295</v>
      </c>
      <c r="F6277" t="s">
        <v>190</v>
      </c>
      <c r="G6277" t="s">
        <v>637</v>
      </c>
      <c r="H6277" t="s">
        <v>638</v>
      </c>
      <c r="I6277" t="s">
        <v>638</v>
      </c>
      <c r="J6277" t="s">
        <v>60</v>
      </c>
      <c r="K6277" t="s">
        <v>530</v>
      </c>
      <c r="L6277" t="s">
        <v>62</v>
      </c>
      <c r="M6277" t="s">
        <v>530</v>
      </c>
      <c r="N6277" t="s">
        <v>639</v>
      </c>
      <c r="O6277" t="s">
        <v>640</v>
      </c>
      <c r="P6277">
        <v>-20.143090000000001</v>
      </c>
      <c r="Q6277">
        <v>-44.888948999999997</v>
      </c>
      <c r="R6277" s="2" t="str">
        <f>HYPERLINK("https://www.google.com/maps?q=-20.1430900,-44.8889490","Abrir no Google Maps")</f>
        <v>Abrir no Google Maps</v>
      </c>
      <c r="S6277">
        <v>3</v>
      </c>
      <c r="T6277">
        <v>264.88903234377068</v>
      </c>
      <c r="U6277">
        <v>4</v>
      </c>
      <c r="V6277">
        <v>0.49157361455748549</v>
      </c>
      <c r="W6277">
        <v>1</v>
      </c>
      <c r="X6277">
        <v>0.49157361455748549</v>
      </c>
      <c r="Y6277">
        <v>478</v>
      </c>
      <c r="Z6277">
        <v>216.60886577490871</v>
      </c>
      <c r="AA6277">
        <v>198</v>
      </c>
      <c r="AB6277">
        <v>332</v>
      </c>
      <c r="AC6277">
        <v>536</v>
      </c>
      <c r="AD6277">
        <v>29.58</v>
      </c>
      <c r="AE6277">
        <v>542</v>
      </c>
      <c r="AF6277">
        <v>30</v>
      </c>
      <c r="AG6277">
        <v>169</v>
      </c>
      <c r="AH6277">
        <v>129</v>
      </c>
      <c r="AI6277">
        <v>5.54</v>
      </c>
      <c r="AJ6277">
        <v>31.18</v>
      </c>
      <c r="AK6277">
        <v>23.8</v>
      </c>
      <c r="AL6277">
        <v>-20.14306029999997</v>
      </c>
      <c r="AM6277">
        <v>-44.889053908028878</v>
      </c>
      <c r="AN6277">
        <v>-20.14306029999997</v>
      </c>
      <c r="AO6277">
        <v>-44.889053908028878</v>
      </c>
      <c r="AP6277">
        <v>-20.143090000000001</v>
      </c>
      <c r="AQ6277">
        <v>-44.888948999999997</v>
      </c>
      <c r="AR6277">
        <v>11.451710102611671</v>
      </c>
      <c r="AS6277" t="s">
        <v>65</v>
      </c>
      <c r="AT6277">
        <v>1</v>
      </c>
      <c r="AU6277" t="s">
        <v>641</v>
      </c>
      <c r="AV6277" t="s">
        <v>642</v>
      </c>
      <c r="AW6277" t="s">
        <v>60</v>
      </c>
      <c r="AX6277" t="s">
        <v>68</v>
      </c>
      <c r="AY6277" t="s">
        <v>69</v>
      </c>
      <c r="AZ6277" t="b">
        <v>1</v>
      </c>
    </row>
    <row r="6278" spans="1:52" x14ac:dyDescent="0.3">
      <c r="A6278" t="s">
        <v>52</v>
      </c>
      <c r="B6278" t="s">
        <v>53</v>
      </c>
      <c r="C6278" t="s">
        <v>54</v>
      </c>
      <c r="D6278" t="s">
        <v>55</v>
      </c>
      <c r="E6278" t="s">
        <v>2295</v>
      </c>
      <c r="F6278" t="s">
        <v>190</v>
      </c>
      <c r="G6278" t="s">
        <v>643</v>
      </c>
      <c r="H6278" t="s">
        <v>644</v>
      </c>
      <c r="I6278" t="s">
        <v>644</v>
      </c>
      <c r="J6278" t="s">
        <v>60</v>
      </c>
      <c r="K6278" t="s">
        <v>462</v>
      </c>
      <c r="L6278" t="s">
        <v>62</v>
      </c>
      <c r="M6278" t="s">
        <v>462</v>
      </c>
      <c r="N6278" t="s">
        <v>645</v>
      </c>
      <c r="O6278" t="s">
        <v>646</v>
      </c>
      <c r="P6278">
        <v>-20.138680000000001</v>
      </c>
      <c r="Q6278">
        <v>-44.901313000000002</v>
      </c>
      <c r="R6278" s="2" t="str">
        <f>HYPERLINK("https://www.google.com/maps?q=-20.1386800,-44.9013130","Abrir no Google Maps")</f>
        <v>Abrir no Google Maps</v>
      </c>
      <c r="S6278">
        <v>3</v>
      </c>
      <c r="T6278">
        <v>322.91859681380862</v>
      </c>
      <c r="U6278">
        <v>4</v>
      </c>
      <c r="V6278">
        <v>0.4700136939552203</v>
      </c>
      <c r="W6278">
        <v>1</v>
      </c>
      <c r="X6278">
        <v>0.4700136939552203</v>
      </c>
      <c r="Y6278">
        <v>435</v>
      </c>
      <c r="Z6278">
        <v>299.891766434874</v>
      </c>
      <c r="AA6278">
        <v>198</v>
      </c>
      <c r="AB6278">
        <v>332</v>
      </c>
      <c r="AC6278">
        <v>536</v>
      </c>
      <c r="AD6278">
        <v>29.58</v>
      </c>
      <c r="AE6278">
        <v>542</v>
      </c>
      <c r="AF6278">
        <v>30</v>
      </c>
      <c r="AG6278">
        <v>169</v>
      </c>
      <c r="AH6278">
        <v>129</v>
      </c>
      <c r="AI6278">
        <v>5.54</v>
      </c>
      <c r="AJ6278">
        <v>31.18</v>
      </c>
      <c r="AK6278">
        <v>23.8</v>
      </c>
      <c r="AL6278">
        <v>-20.13865734999996</v>
      </c>
      <c r="AM6278">
        <v>-44.901255803238627</v>
      </c>
      <c r="AN6278">
        <v>-20.13865734999996</v>
      </c>
      <c r="AO6278">
        <v>-44.901255803238627</v>
      </c>
      <c r="AP6278">
        <v>-20.138680000000001</v>
      </c>
      <c r="AQ6278">
        <v>-44.901313000000002</v>
      </c>
      <c r="AR6278">
        <v>6.4878640135702481</v>
      </c>
      <c r="AS6278" t="s">
        <v>65</v>
      </c>
      <c r="AT6278">
        <v>1</v>
      </c>
      <c r="AU6278" t="s">
        <v>647</v>
      </c>
      <c r="AV6278" t="s">
        <v>648</v>
      </c>
      <c r="AW6278" t="s">
        <v>60</v>
      </c>
      <c r="AX6278" t="s">
        <v>68</v>
      </c>
      <c r="AY6278" t="s">
        <v>69</v>
      </c>
      <c r="AZ6278" t="b">
        <v>1</v>
      </c>
    </row>
    <row r="6279" spans="1:52" x14ac:dyDescent="0.3">
      <c r="A6279" t="s">
        <v>52</v>
      </c>
      <c r="B6279" t="s">
        <v>53</v>
      </c>
      <c r="C6279" t="s">
        <v>54</v>
      </c>
      <c r="D6279" t="s">
        <v>55</v>
      </c>
      <c r="E6279" t="s">
        <v>2295</v>
      </c>
      <c r="F6279" t="s">
        <v>190</v>
      </c>
      <c r="G6279" t="s">
        <v>656</v>
      </c>
      <c r="H6279" t="s">
        <v>657</v>
      </c>
      <c r="I6279" t="s">
        <v>657</v>
      </c>
      <c r="J6279" t="s">
        <v>60</v>
      </c>
      <c r="K6279" t="s">
        <v>651</v>
      </c>
      <c r="L6279" t="s">
        <v>62</v>
      </c>
      <c r="M6279" t="s">
        <v>651</v>
      </c>
      <c r="N6279" t="s">
        <v>658</v>
      </c>
      <c r="O6279" t="s">
        <v>659</v>
      </c>
      <c r="P6279">
        <v>-20.134922</v>
      </c>
      <c r="Q6279">
        <v>-44.893098000000002</v>
      </c>
      <c r="R6279" s="2" t="str">
        <f>HYPERLINK("https://www.google.com/maps?q=-20.1349220,-44.8930980","Abrir no Google Maps")</f>
        <v>Abrir no Google Maps</v>
      </c>
      <c r="S6279">
        <v>3</v>
      </c>
      <c r="T6279">
        <v>589.83980259734562</v>
      </c>
      <c r="U6279">
        <v>4</v>
      </c>
      <c r="V6279">
        <v>0.4713644093763491</v>
      </c>
      <c r="W6279">
        <v>1</v>
      </c>
      <c r="X6279">
        <v>0.4713644093763491</v>
      </c>
      <c r="Y6279">
        <v>435</v>
      </c>
      <c r="Z6279">
        <v>663.80986080131709</v>
      </c>
      <c r="AA6279">
        <v>198</v>
      </c>
      <c r="AB6279">
        <v>332</v>
      </c>
      <c r="AC6279">
        <v>536</v>
      </c>
      <c r="AD6279">
        <v>29.58</v>
      </c>
      <c r="AE6279">
        <v>542</v>
      </c>
      <c r="AF6279">
        <v>30</v>
      </c>
      <c r="AG6279">
        <v>169</v>
      </c>
      <c r="AH6279">
        <v>129</v>
      </c>
      <c r="AI6279">
        <v>5.54</v>
      </c>
      <c r="AJ6279">
        <v>31.18</v>
      </c>
      <c r="AK6279">
        <v>23.8</v>
      </c>
      <c r="AL6279">
        <v>-20.135021049999949</v>
      </c>
      <c r="AM6279">
        <v>-44.893227478208203</v>
      </c>
      <c r="AN6279">
        <v>-20.135021049999949</v>
      </c>
      <c r="AO6279">
        <v>-44.893227478208203</v>
      </c>
      <c r="AP6279">
        <v>-20.134922</v>
      </c>
      <c r="AQ6279">
        <v>-44.893098000000002</v>
      </c>
      <c r="AR6279">
        <v>17.455940349902249</v>
      </c>
      <c r="AS6279" t="s">
        <v>65</v>
      </c>
      <c r="AT6279">
        <v>1</v>
      </c>
      <c r="AU6279" t="s">
        <v>660</v>
      </c>
      <c r="AV6279" t="s">
        <v>661</v>
      </c>
      <c r="AW6279" t="s">
        <v>60</v>
      </c>
      <c r="AX6279" t="s">
        <v>68</v>
      </c>
      <c r="AY6279" t="s">
        <v>69</v>
      </c>
      <c r="AZ6279" t="b">
        <v>1</v>
      </c>
    </row>
    <row r="6280" spans="1:52" x14ac:dyDescent="0.3">
      <c r="A6280" t="s">
        <v>52</v>
      </c>
      <c r="B6280" t="s">
        <v>53</v>
      </c>
      <c r="C6280" t="s">
        <v>54</v>
      </c>
      <c r="D6280" t="s">
        <v>55</v>
      </c>
      <c r="E6280" t="s">
        <v>2295</v>
      </c>
      <c r="F6280" t="s">
        <v>190</v>
      </c>
      <c r="G6280" t="s">
        <v>669</v>
      </c>
      <c r="H6280" t="s">
        <v>670</v>
      </c>
      <c r="I6280" t="s">
        <v>670</v>
      </c>
      <c r="J6280" t="s">
        <v>60</v>
      </c>
      <c r="K6280" t="s">
        <v>530</v>
      </c>
      <c r="L6280" t="s">
        <v>62</v>
      </c>
      <c r="M6280" t="s">
        <v>530</v>
      </c>
      <c r="N6280" t="s">
        <v>671</v>
      </c>
      <c r="O6280" t="s">
        <v>672</v>
      </c>
      <c r="P6280">
        <v>-20.139036999999998</v>
      </c>
      <c r="Q6280">
        <v>-44.889187</v>
      </c>
      <c r="R6280" s="2" t="str">
        <f>HYPERLINK("https://www.google.com/maps?q=-20.1390370,-44.8891870","Abrir no Google Maps")</f>
        <v>Abrir no Google Maps</v>
      </c>
      <c r="S6280">
        <v>3</v>
      </c>
      <c r="T6280">
        <v>162.03713995333371</v>
      </c>
      <c r="U6280">
        <v>4</v>
      </c>
      <c r="V6280">
        <v>0.49251372706575591</v>
      </c>
      <c r="W6280">
        <v>1</v>
      </c>
      <c r="X6280">
        <v>0.49251372706575591</v>
      </c>
      <c r="Y6280">
        <v>428</v>
      </c>
      <c r="Z6280">
        <v>126.21352118044651</v>
      </c>
      <c r="AA6280">
        <v>198</v>
      </c>
      <c r="AB6280">
        <v>332</v>
      </c>
      <c r="AC6280">
        <v>536</v>
      </c>
      <c r="AD6280">
        <v>29.58</v>
      </c>
      <c r="AE6280">
        <v>542</v>
      </c>
      <c r="AF6280">
        <v>30</v>
      </c>
      <c r="AG6280">
        <v>169</v>
      </c>
      <c r="AH6280">
        <v>129</v>
      </c>
      <c r="AI6280">
        <v>5.54</v>
      </c>
      <c r="AJ6280">
        <v>31.18</v>
      </c>
      <c r="AK6280">
        <v>23.8</v>
      </c>
      <c r="AL6280">
        <v>-20.13900394999996</v>
      </c>
      <c r="AM6280">
        <v>-44.889298503583859</v>
      </c>
      <c r="AN6280">
        <v>-20.13900394999996</v>
      </c>
      <c r="AO6280">
        <v>-44.889298503583859</v>
      </c>
      <c r="AP6280">
        <v>-20.139036999999998</v>
      </c>
      <c r="AQ6280">
        <v>-44.889187</v>
      </c>
      <c r="AR6280">
        <v>12.220642731957311</v>
      </c>
      <c r="AS6280" t="s">
        <v>65</v>
      </c>
      <c r="AT6280">
        <v>1</v>
      </c>
      <c r="AU6280" t="s">
        <v>673</v>
      </c>
      <c r="AV6280" t="s">
        <v>674</v>
      </c>
      <c r="AW6280" t="s">
        <v>60</v>
      </c>
      <c r="AX6280" t="s">
        <v>68</v>
      </c>
      <c r="AY6280" t="s">
        <v>69</v>
      </c>
      <c r="AZ6280" t="b">
        <v>1</v>
      </c>
    </row>
    <row r="6281" spans="1:52" x14ac:dyDescent="0.3">
      <c r="A6281" t="s">
        <v>52</v>
      </c>
      <c r="B6281" t="s">
        <v>53</v>
      </c>
      <c r="C6281" t="s">
        <v>54</v>
      </c>
      <c r="D6281" t="s">
        <v>55</v>
      </c>
      <c r="E6281" t="s">
        <v>2295</v>
      </c>
      <c r="F6281" t="s">
        <v>190</v>
      </c>
      <c r="G6281" t="s">
        <v>675</v>
      </c>
      <c r="H6281" t="s">
        <v>676</v>
      </c>
      <c r="I6281" t="s">
        <v>676</v>
      </c>
      <c r="J6281" t="s">
        <v>60</v>
      </c>
      <c r="K6281" t="s">
        <v>530</v>
      </c>
      <c r="L6281" t="s">
        <v>62</v>
      </c>
      <c r="M6281" t="s">
        <v>530</v>
      </c>
      <c r="N6281" t="s">
        <v>677</v>
      </c>
      <c r="O6281" t="s">
        <v>678</v>
      </c>
      <c r="P6281">
        <v>-20.140103</v>
      </c>
      <c r="Q6281">
        <v>-44.887059999999998</v>
      </c>
      <c r="R6281" s="2" t="str">
        <f>HYPERLINK("https://www.google.com/maps?q=-20.1401030,-44.8870600","Abrir no Google Maps")</f>
        <v>Abrir no Google Maps</v>
      </c>
      <c r="S6281">
        <v>3</v>
      </c>
      <c r="T6281">
        <v>202.19329492684349</v>
      </c>
      <c r="U6281">
        <v>4</v>
      </c>
      <c r="V6281">
        <v>0.48705537952313233</v>
      </c>
      <c r="W6281">
        <v>1</v>
      </c>
      <c r="X6281">
        <v>0.48705537952313233</v>
      </c>
      <c r="Y6281">
        <v>428</v>
      </c>
      <c r="Z6281">
        <v>144.95603883960419</v>
      </c>
      <c r="AA6281">
        <v>198</v>
      </c>
      <c r="AB6281">
        <v>332</v>
      </c>
      <c r="AC6281">
        <v>536</v>
      </c>
      <c r="AD6281">
        <v>29.58</v>
      </c>
      <c r="AE6281">
        <v>542</v>
      </c>
      <c r="AF6281">
        <v>30</v>
      </c>
      <c r="AG6281">
        <v>169</v>
      </c>
      <c r="AH6281">
        <v>129</v>
      </c>
      <c r="AI6281">
        <v>5.54</v>
      </c>
      <c r="AJ6281">
        <v>31.18</v>
      </c>
      <c r="AK6281">
        <v>23.8</v>
      </c>
      <c r="AL6281">
        <v>-20.13997164999995</v>
      </c>
      <c r="AM6281">
        <v>-44.887075246455773</v>
      </c>
      <c r="AN6281">
        <v>-20.13997164999995</v>
      </c>
      <c r="AO6281">
        <v>-44.887075246455773</v>
      </c>
      <c r="AP6281">
        <v>-20.140103</v>
      </c>
      <c r="AQ6281">
        <v>-44.887059999999998</v>
      </c>
      <c r="AR6281">
        <v>14.7084512385181</v>
      </c>
      <c r="AS6281" t="s">
        <v>65</v>
      </c>
      <c r="AT6281">
        <v>1</v>
      </c>
      <c r="AU6281" t="s">
        <v>679</v>
      </c>
      <c r="AV6281" t="s">
        <v>680</v>
      </c>
      <c r="AW6281" t="s">
        <v>60</v>
      </c>
      <c r="AX6281" t="s">
        <v>68</v>
      </c>
      <c r="AY6281" t="s">
        <v>69</v>
      </c>
      <c r="AZ6281" t="b">
        <v>1</v>
      </c>
    </row>
    <row r="6282" spans="1:52" x14ac:dyDescent="0.3">
      <c r="A6282" t="s">
        <v>52</v>
      </c>
      <c r="B6282" t="s">
        <v>53</v>
      </c>
      <c r="C6282" t="s">
        <v>54</v>
      </c>
      <c r="D6282" t="s">
        <v>55</v>
      </c>
      <c r="E6282" t="s">
        <v>2295</v>
      </c>
      <c r="F6282" t="s">
        <v>190</v>
      </c>
      <c r="G6282" t="s">
        <v>681</v>
      </c>
      <c r="H6282" t="s">
        <v>682</v>
      </c>
      <c r="I6282" t="s">
        <v>682</v>
      </c>
      <c r="J6282" t="s">
        <v>60</v>
      </c>
      <c r="K6282" t="s">
        <v>530</v>
      </c>
      <c r="L6282" t="s">
        <v>62</v>
      </c>
      <c r="M6282" t="s">
        <v>530</v>
      </c>
      <c r="N6282" t="s">
        <v>683</v>
      </c>
      <c r="O6282" t="s">
        <v>173</v>
      </c>
      <c r="P6282">
        <v>-20.138342999999999</v>
      </c>
      <c r="Q6282">
        <v>-44.887732</v>
      </c>
      <c r="R6282" s="2" t="str">
        <f>HYPERLINK("https://www.google.com/maps?q=-20.1383430,-44.8877320","Abrir no Google Maps")</f>
        <v>Abrir no Google Maps</v>
      </c>
      <c r="S6282">
        <v>3</v>
      </c>
      <c r="T6282">
        <v>0</v>
      </c>
      <c r="U6282">
        <v>4</v>
      </c>
      <c r="V6282">
        <v>0.47908424002637651</v>
      </c>
      <c r="W6282">
        <v>1</v>
      </c>
      <c r="X6282">
        <v>0.47908424002637651</v>
      </c>
      <c r="Y6282">
        <v>428</v>
      </c>
      <c r="Z6282">
        <v>82.685534812530861</v>
      </c>
      <c r="AA6282">
        <v>198</v>
      </c>
      <c r="AB6282">
        <v>332</v>
      </c>
      <c r="AC6282">
        <v>536</v>
      </c>
      <c r="AD6282">
        <v>29.58</v>
      </c>
      <c r="AE6282">
        <v>542</v>
      </c>
      <c r="AF6282">
        <v>30</v>
      </c>
      <c r="AG6282">
        <v>169</v>
      </c>
      <c r="AH6282">
        <v>129</v>
      </c>
      <c r="AI6282">
        <v>5.54</v>
      </c>
      <c r="AJ6282">
        <v>31.18</v>
      </c>
      <c r="AK6282">
        <v>23.8</v>
      </c>
      <c r="AL6282">
        <v>-20.138329099999961</v>
      </c>
      <c r="AM6282">
        <v>-44.887922589375549</v>
      </c>
      <c r="AN6282">
        <v>-20.138329099999961</v>
      </c>
      <c r="AO6282">
        <v>-44.887922589375549</v>
      </c>
      <c r="AP6282">
        <v>-20.138342999999999</v>
      </c>
      <c r="AQ6282">
        <v>-44.887732</v>
      </c>
      <c r="AR6282">
        <v>19.979335127307191</v>
      </c>
      <c r="AS6282" t="s">
        <v>65</v>
      </c>
      <c r="AT6282">
        <v>1</v>
      </c>
      <c r="AU6282" t="s">
        <v>684</v>
      </c>
      <c r="AV6282" t="s">
        <v>685</v>
      </c>
      <c r="AW6282" t="s">
        <v>60</v>
      </c>
      <c r="AX6282" t="s">
        <v>68</v>
      </c>
      <c r="AY6282" t="s">
        <v>69</v>
      </c>
      <c r="AZ6282" t="b">
        <v>1</v>
      </c>
    </row>
    <row r="6283" spans="1:52" x14ac:dyDescent="0.3">
      <c r="A6283" t="s">
        <v>52</v>
      </c>
      <c r="B6283" t="s">
        <v>53</v>
      </c>
      <c r="C6283" t="s">
        <v>54</v>
      </c>
      <c r="D6283" t="s">
        <v>55</v>
      </c>
      <c r="E6283" t="s">
        <v>2295</v>
      </c>
      <c r="F6283" t="s">
        <v>190</v>
      </c>
      <c r="G6283" t="s">
        <v>693</v>
      </c>
      <c r="H6283" t="s">
        <v>694</v>
      </c>
      <c r="I6283" t="s">
        <v>694</v>
      </c>
      <c r="J6283" t="s">
        <v>60</v>
      </c>
      <c r="K6283" t="s">
        <v>695</v>
      </c>
      <c r="L6283" t="s">
        <v>62</v>
      </c>
      <c r="M6283" t="s">
        <v>695</v>
      </c>
      <c r="N6283" t="s">
        <v>696</v>
      </c>
      <c r="O6283" t="s">
        <v>697</v>
      </c>
      <c r="P6283">
        <v>-20.174917000000001</v>
      </c>
      <c r="Q6283">
        <v>-44.857677000000002</v>
      </c>
      <c r="R6283" s="2" t="str">
        <f>HYPERLINK("https://www.google.com/maps?q=-20.1749170,-44.8576770","Abrir no Google Maps")</f>
        <v>Abrir no Google Maps</v>
      </c>
      <c r="S6283">
        <v>3</v>
      </c>
      <c r="T6283">
        <v>850.52349144267646</v>
      </c>
      <c r="U6283">
        <v>4</v>
      </c>
      <c r="V6283">
        <v>0.4704347961261639</v>
      </c>
      <c r="W6283">
        <v>1</v>
      </c>
      <c r="X6283">
        <v>0.4704347961261639</v>
      </c>
      <c r="Y6283">
        <v>422</v>
      </c>
      <c r="Z6283">
        <v>1042.4685698911451</v>
      </c>
      <c r="AA6283">
        <v>198</v>
      </c>
      <c r="AB6283">
        <v>332</v>
      </c>
      <c r="AC6283">
        <v>536</v>
      </c>
      <c r="AD6283">
        <v>29.58</v>
      </c>
      <c r="AE6283">
        <v>542</v>
      </c>
      <c r="AF6283">
        <v>30</v>
      </c>
      <c r="AG6283">
        <v>169</v>
      </c>
      <c r="AH6283">
        <v>129</v>
      </c>
      <c r="AI6283">
        <v>5.54</v>
      </c>
      <c r="AJ6283">
        <v>31.18</v>
      </c>
      <c r="AK6283">
        <v>23.8</v>
      </c>
      <c r="AL6283">
        <v>-20.17483459999994</v>
      </c>
      <c r="AM6283">
        <v>-44.857715667542379</v>
      </c>
      <c r="AN6283">
        <v>-20.17483459999994</v>
      </c>
      <c r="AO6283">
        <v>-44.857715667542379</v>
      </c>
      <c r="AP6283">
        <v>-20.174917000000001</v>
      </c>
      <c r="AQ6283">
        <v>-44.857677000000002</v>
      </c>
      <c r="AR6283">
        <v>10.02318555136439</v>
      </c>
      <c r="AS6283" t="s">
        <v>65</v>
      </c>
      <c r="AT6283">
        <v>1</v>
      </c>
      <c r="AU6283" t="s">
        <v>698</v>
      </c>
      <c r="AV6283" t="s">
        <v>699</v>
      </c>
      <c r="AW6283" t="s">
        <v>60</v>
      </c>
      <c r="AX6283" t="s">
        <v>68</v>
      </c>
      <c r="AY6283" t="s">
        <v>69</v>
      </c>
      <c r="AZ6283" t="b">
        <v>1</v>
      </c>
    </row>
    <row r="6284" spans="1:52" x14ac:dyDescent="0.3">
      <c r="A6284" t="s">
        <v>52</v>
      </c>
      <c r="B6284" t="s">
        <v>53</v>
      </c>
      <c r="C6284" t="s">
        <v>54</v>
      </c>
      <c r="D6284" t="s">
        <v>55</v>
      </c>
      <c r="E6284" t="s">
        <v>2295</v>
      </c>
      <c r="F6284" t="s">
        <v>190</v>
      </c>
      <c r="G6284" t="s">
        <v>1039</v>
      </c>
      <c r="H6284" t="s">
        <v>1040</v>
      </c>
      <c r="I6284" t="s">
        <v>1040</v>
      </c>
      <c r="J6284" t="s">
        <v>60</v>
      </c>
      <c r="K6284" t="s">
        <v>1023</v>
      </c>
      <c r="L6284" t="s">
        <v>62</v>
      </c>
      <c r="M6284" t="s">
        <v>1023</v>
      </c>
      <c r="N6284" t="s">
        <v>1041</v>
      </c>
      <c r="O6284" t="s">
        <v>738</v>
      </c>
      <c r="P6284">
        <v>-20.172284000000001</v>
      </c>
      <c r="Q6284">
        <v>-44.865392999999997</v>
      </c>
      <c r="R6284" s="2" t="str">
        <f>HYPERLINK("https://www.google.com/maps?q=-20.1722840,-44.8653930","Abrir no Google Maps")</f>
        <v>Abrir no Google Maps</v>
      </c>
      <c r="S6284">
        <v>3</v>
      </c>
      <c r="T6284">
        <v>0</v>
      </c>
      <c r="U6284">
        <v>4</v>
      </c>
      <c r="V6284">
        <v>0.47491550840439578</v>
      </c>
      <c r="W6284">
        <v>1</v>
      </c>
      <c r="X6284">
        <v>0.47491550840439578</v>
      </c>
      <c r="Y6284">
        <v>422</v>
      </c>
      <c r="Z6284">
        <v>202.96804500763591</v>
      </c>
      <c r="AA6284">
        <v>198</v>
      </c>
      <c r="AB6284">
        <v>332</v>
      </c>
      <c r="AC6284">
        <v>536</v>
      </c>
      <c r="AD6284">
        <v>29.58</v>
      </c>
      <c r="AE6284">
        <v>542</v>
      </c>
      <c r="AF6284">
        <v>30</v>
      </c>
      <c r="AG6284">
        <v>169</v>
      </c>
      <c r="AH6284">
        <v>129</v>
      </c>
      <c r="AI6284">
        <v>5.54</v>
      </c>
      <c r="AJ6284">
        <v>31.18</v>
      </c>
      <c r="AK6284">
        <v>23.8</v>
      </c>
      <c r="AL6284">
        <v>-20.17229514999994</v>
      </c>
      <c r="AM6284">
        <v>-44.865398249858011</v>
      </c>
      <c r="AN6284">
        <v>-20.17229514999994</v>
      </c>
      <c r="AO6284">
        <v>-44.865398249858011</v>
      </c>
      <c r="AP6284">
        <v>-20.172284000000001</v>
      </c>
      <c r="AQ6284">
        <v>-44.865392999999997</v>
      </c>
      <c r="AR6284">
        <v>1.357036084497409</v>
      </c>
      <c r="AS6284" t="s">
        <v>65</v>
      </c>
      <c r="AT6284">
        <v>1</v>
      </c>
      <c r="AU6284" t="s">
        <v>1042</v>
      </c>
      <c r="AV6284" t="s">
        <v>1043</v>
      </c>
      <c r="AW6284" t="s">
        <v>60</v>
      </c>
      <c r="AX6284" t="s">
        <v>68</v>
      </c>
      <c r="AY6284" t="s">
        <v>69</v>
      </c>
      <c r="AZ6284" t="b">
        <v>1</v>
      </c>
    </row>
    <row r="6285" spans="1:52" x14ac:dyDescent="0.3">
      <c r="A6285" t="s">
        <v>52</v>
      </c>
      <c r="B6285" t="s">
        <v>53</v>
      </c>
      <c r="C6285" t="s">
        <v>54</v>
      </c>
      <c r="D6285" t="s">
        <v>55</v>
      </c>
      <c r="E6285" t="s">
        <v>2295</v>
      </c>
      <c r="F6285" t="s">
        <v>190</v>
      </c>
      <c r="G6285" t="s">
        <v>734</v>
      </c>
      <c r="H6285" t="s">
        <v>735</v>
      </c>
      <c r="I6285" t="s">
        <v>735</v>
      </c>
      <c r="J6285" t="s">
        <v>60</v>
      </c>
      <c r="K6285" t="s">
        <v>736</v>
      </c>
      <c r="L6285" t="s">
        <v>62</v>
      </c>
      <c r="M6285" t="s">
        <v>736</v>
      </c>
      <c r="N6285" t="s">
        <v>737</v>
      </c>
      <c r="O6285" t="s">
        <v>738</v>
      </c>
      <c r="P6285">
        <v>-20.113050000000001</v>
      </c>
      <c r="Q6285">
        <v>-44.977640999999998</v>
      </c>
      <c r="R6285" s="2" t="str">
        <f>HYPERLINK("https://www.google.com/maps?q=-20.1130500,-44.9776410","Abrir no Google Maps")</f>
        <v>Abrir no Google Maps</v>
      </c>
      <c r="S6285">
        <v>3</v>
      </c>
      <c r="T6285">
        <v>1057.751631532733</v>
      </c>
      <c r="U6285">
        <v>4</v>
      </c>
      <c r="V6285">
        <v>0.46524356869184458</v>
      </c>
      <c r="W6285">
        <v>1</v>
      </c>
      <c r="X6285">
        <v>0.46524356869184458</v>
      </c>
      <c r="Y6285">
        <v>385</v>
      </c>
      <c r="Z6285">
        <v>1001.029655866156</v>
      </c>
      <c r="AA6285">
        <v>198</v>
      </c>
      <c r="AB6285">
        <v>332</v>
      </c>
      <c r="AC6285">
        <v>536</v>
      </c>
      <c r="AD6285">
        <v>29.58</v>
      </c>
      <c r="AE6285">
        <v>542</v>
      </c>
      <c r="AF6285">
        <v>30</v>
      </c>
      <c r="AG6285">
        <v>169</v>
      </c>
      <c r="AH6285">
        <v>129</v>
      </c>
      <c r="AI6285">
        <v>5.54</v>
      </c>
      <c r="AJ6285">
        <v>31.18</v>
      </c>
      <c r="AK6285">
        <v>23.8</v>
      </c>
      <c r="AL6285">
        <v>-20.112977499999939</v>
      </c>
      <c r="AM6285">
        <v>-44.977939579895221</v>
      </c>
      <c r="AN6285">
        <v>-20.112977499999939</v>
      </c>
      <c r="AO6285">
        <v>-44.977939579895221</v>
      </c>
      <c r="AP6285">
        <v>-20.113050000000001</v>
      </c>
      <c r="AQ6285">
        <v>-44.977640999999998</v>
      </c>
      <c r="AR6285">
        <v>32.23754556505741</v>
      </c>
      <c r="AS6285" t="s">
        <v>65</v>
      </c>
      <c r="AT6285">
        <v>1</v>
      </c>
      <c r="AU6285" t="s">
        <v>739</v>
      </c>
      <c r="AV6285" t="s">
        <v>740</v>
      </c>
      <c r="AW6285" t="s">
        <v>60</v>
      </c>
      <c r="AX6285" t="s">
        <v>68</v>
      </c>
      <c r="AY6285" t="s">
        <v>69</v>
      </c>
      <c r="AZ6285" t="b">
        <v>1</v>
      </c>
    </row>
    <row r="6286" spans="1:52" x14ac:dyDescent="0.3">
      <c r="A6286" t="s">
        <v>52</v>
      </c>
      <c r="B6286" t="s">
        <v>53</v>
      </c>
      <c r="C6286" t="s">
        <v>54</v>
      </c>
      <c r="D6286" t="s">
        <v>55</v>
      </c>
      <c r="E6286" t="s">
        <v>2295</v>
      </c>
      <c r="F6286" t="s">
        <v>190</v>
      </c>
      <c r="G6286" t="s">
        <v>741</v>
      </c>
      <c r="H6286" t="s">
        <v>742</v>
      </c>
      <c r="I6286" t="s">
        <v>742</v>
      </c>
      <c r="J6286" t="s">
        <v>60</v>
      </c>
      <c r="K6286" t="s">
        <v>688</v>
      </c>
      <c r="L6286" t="s">
        <v>62</v>
      </c>
      <c r="M6286" t="s">
        <v>688</v>
      </c>
      <c r="N6286" t="s">
        <v>743</v>
      </c>
      <c r="O6286" t="s">
        <v>744</v>
      </c>
      <c r="P6286">
        <v>-20.136733</v>
      </c>
      <c r="Q6286">
        <v>-44.888140999999997</v>
      </c>
      <c r="R6286" s="2" t="str">
        <f>HYPERLINK("https://www.google.com/maps?q=-20.1367330,-44.8881410","Abrir no Google Maps")</f>
        <v>Abrir no Google Maps</v>
      </c>
      <c r="S6286">
        <v>3</v>
      </c>
      <c r="T6286">
        <v>175.84339996559589</v>
      </c>
      <c r="U6286">
        <v>4</v>
      </c>
      <c r="V6286">
        <v>0.4782798362564899</v>
      </c>
      <c r="W6286">
        <v>1</v>
      </c>
      <c r="X6286">
        <v>0.4782798362564899</v>
      </c>
      <c r="Y6286">
        <v>350</v>
      </c>
      <c r="Z6286">
        <v>171.90575296051961</v>
      </c>
      <c r="AA6286">
        <v>198</v>
      </c>
      <c r="AB6286">
        <v>332</v>
      </c>
      <c r="AC6286">
        <v>536</v>
      </c>
      <c r="AD6286">
        <v>29.58</v>
      </c>
      <c r="AE6286">
        <v>542</v>
      </c>
      <c r="AF6286">
        <v>30</v>
      </c>
      <c r="AG6286">
        <v>169</v>
      </c>
      <c r="AH6286">
        <v>129</v>
      </c>
      <c r="AI6286">
        <v>5.54</v>
      </c>
      <c r="AJ6286">
        <v>31.18</v>
      </c>
      <c r="AK6286">
        <v>23.8</v>
      </c>
      <c r="AL6286">
        <v>-20.136726099999979</v>
      </c>
      <c r="AM6286">
        <v>-44.888062077766982</v>
      </c>
      <c r="AN6286">
        <v>-20.136726099999979</v>
      </c>
      <c r="AO6286">
        <v>-44.888062077766982</v>
      </c>
      <c r="AP6286">
        <v>-20.136733</v>
      </c>
      <c r="AQ6286">
        <v>-44.888140999999997</v>
      </c>
      <c r="AR6286">
        <v>8.2842769013797852</v>
      </c>
      <c r="AS6286" t="s">
        <v>65</v>
      </c>
      <c r="AT6286">
        <v>1</v>
      </c>
      <c r="AU6286" t="s">
        <v>745</v>
      </c>
      <c r="AV6286" t="s">
        <v>746</v>
      </c>
      <c r="AW6286" t="s">
        <v>60</v>
      </c>
      <c r="AX6286" t="s">
        <v>68</v>
      </c>
      <c r="AY6286" t="s">
        <v>69</v>
      </c>
      <c r="AZ6286" t="b">
        <v>1</v>
      </c>
    </row>
    <row r="6287" spans="1:52" x14ac:dyDescent="0.3">
      <c r="A6287" t="s">
        <v>52</v>
      </c>
      <c r="B6287" t="s">
        <v>53</v>
      </c>
      <c r="C6287" t="s">
        <v>54</v>
      </c>
      <c r="D6287" t="s">
        <v>55</v>
      </c>
      <c r="E6287" t="s">
        <v>2295</v>
      </c>
      <c r="F6287" t="s">
        <v>190</v>
      </c>
      <c r="G6287" t="s">
        <v>753</v>
      </c>
      <c r="H6287" t="s">
        <v>754</v>
      </c>
      <c r="I6287" t="s">
        <v>754</v>
      </c>
      <c r="J6287" t="s">
        <v>60</v>
      </c>
      <c r="K6287" t="s">
        <v>688</v>
      </c>
      <c r="L6287" t="s">
        <v>62</v>
      </c>
      <c r="M6287" t="s">
        <v>688</v>
      </c>
      <c r="N6287" t="s">
        <v>755</v>
      </c>
      <c r="O6287" t="s">
        <v>756</v>
      </c>
      <c r="P6287">
        <v>-20.135238000000001</v>
      </c>
      <c r="Q6287">
        <v>-44.890405999999999</v>
      </c>
      <c r="R6287" s="2" t="str">
        <f>HYPERLINK("https://www.google.com/maps?q=-20.1352380,-44.8904060","Abrir no Google Maps")</f>
        <v>Abrir no Google Maps</v>
      </c>
      <c r="S6287">
        <v>3</v>
      </c>
      <c r="T6287">
        <v>314.49904475975598</v>
      </c>
      <c r="U6287">
        <v>4</v>
      </c>
      <c r="V6287">
        <v>0.47297610763163989</v>
      </c>
      <c r="W6287">
        <v>1</v>
      </c>
      <c r="X6287">
        <v>0.47297610763163989</v>
      </c>
      <c r="Y6287">
        <v>350</v>
      </c>
      <c r="Z6287">
        <v>443.96798796176353</v>
      </c>
      <c r="AA6287">
        <v>198</v>
      </c>
      <c r="AB6287">
        <v>332</v>
      </c>
      <c r="AC6287">
        <v>536</v>
      </c>
      <c r="AD6287">
        <v>29.58</v>
      </c>
      <c r="AE6287">
        <v>542</v>
      </c>
      <c r="AF6287">
        <v>30</v>
      </c>
      <c r="AG6287">
        <v>169</v>
      </c>
      <c r="AH6287">
        <v>129</v>
      </c>
      <c r="AI6287">
        <v>5.54</v>
      </c>
      <c r="AJ6287">
        <v>31.18</v>
      </c>
      <c r="AK6287">
        <v>23.8</v>
      </c>
      <c r="AL6287">
        <v>-20.134851099999931</v>
      </c>
      <c r="AM6287">
        <v>-44.890573293408117</v>
      </c>
      <c r="AN6287">
        <v>-20.134851099999931</v>
      </c>
      <c r="AO6287">
        <v>-44.890573293408131</v>
      </c>
      <c r="AP6287">
        <v>-20.135238000000001</v>
      </c>
      <c r="AQ6287">
        <v>-44.890405999999999</v>
      </c>
      <c r="AR6287">
        <v>46.483580940434933</v>
      </c>
      <c r="AS6287" t="s">
        <v>65</v>
      </c>
      <c r="AT6287">
        <v>1</v>
      </c>
      <c r="AU6287" t="s">
        <v>757</v>
      </c>
      <c r="AV6287" t="s">
        <v>758</v>
      </c>
      <c r="AW6287" t="s">
        <v>60</v>
      </c>
      <c r="AX6287" t="s">
        <v>68</v>
      </c>
      <c r="AY6287" t="s">
        <v>69</v>
      </c>
      <c r="AZ6287" t="b">
        <v>1</v>
      </c>
    </row>
    <row r="6288" spans="1:52" x14ac:dyDescent="0.3">
      <c r="A6288" t="s">
        <v>52</v>
      </c>
      <c r="B6288" t="s">
        <v>53</v>
      </c>
      <c r="C6288" t="s">
        <v>54</v>
      </c>
      <c r="D6288" t="s">
        <v>55</v>
      </c>
      <c r="E6288" t="s">
        <v>2295</v>
      </c>
      <c r="F6288" t="s">
        <v>190</v>
      </c>
      <c r="G6288" t="s">
        <v>1089</v>
      </c>
      <c r="H6288" t="s">
        <v>1090</v>
      </c>
      <c r="I6288" t="s">
        <v>1090</v>
      </c>
      <c r="J6288" t="s">
        <v>60</v>
      </c>
      <c r="K6288" t="s">
        <v>761</v>
      </c>
      <c r="L6288" t="s">
        <v>62</v>
      </c>
      <c r="M6288" t="s">
        <v>761</v>
      </c>
      <c r="N6288" t="s">
        <v>1091</v>
      </c>
      <c r="O6288" t="s">
        <v>86</v>
      </c>
      <c r="P6288">
        <v>-20.116182999999999</v>
      </c>
      <c r="Q6288">
        <v>-44.850524</v>
      </c>
      <c r="R6288" s="2" t="str">
        <f>HYPERLINK("https://www.google.com/maps?q=-20.1161830,-44.8505240","Abrir no Google Maps")</f>
        <v>Abrir no Google Maps</v>
      </c>
      <c r="S6288">
        <v>3</v>
      </c>
      <c r="T6288">
        <v>1142.6607426309961</v>
      </c>
      <c r="U6288">
        <v>4</v>
      </c>
      <c r="V6288">
        <v>0.46303726431175091</v>
      </c>
      <c r="W6288">
        <v>1</v>
      </c>
      <c r="X6288">
        <v>0.46303726431175091</v>
      </c>
      <c r="Y6288">
        <v>350</v>
      </c>
      <c r="Z6288">
        <v>723.44841640590141</v>
      </c>
      <c r="AA6288">
        <v>198</v>
      </c>
      <c r="AB6288">
        <v>332</v>
      </c>
      <c r="AC6288">
        <v>536</v>
      </c>
      <c r="AD6288">
        <v>29.58</v>
      </c>
      <c r="AE6288">
        <v>542</v>
      </c>
      <c r="AF6288">
        <v>30</v>
      </c>
      <c r="AG6288">
        <v>169</v>
      </c>
      <c r="AH6288">
        <v>129</v>
      </c>
      <c r="AI6288">
        <v>5.54</v>
      </c>
      <c r="AJ6288">
        <v>31.18</v>
      </c>
      <c r="AK6288">
        <v>23.8</v>
      </c>
      <c r="AL6288">
        <v>-20.11605684999995</v>
      </c>
      <c r="AM6288">
        <v>-44.850832861808193</v>
      </c>
      <c r="AN6288">
        <v>-20.11605684999995</v>
      </c>
      <c r="AO6288">
        <v>-44.850832861808193</v>
      </c>
      <c r="AP6288">
        <v>-20.116182999999999</v>
      </c>
      <c r="AQ6288">
        <v>-44.850524</v>
      </c>
      <c r="AR6288">
        <v>35.207009729928053</v>
      </c>
      <c r="AS6288" t="s">
        <v>65</v>
      </c>
      <c r="AT6288">
        <v>1</v>
      </c>
      <c r="AU6288" t="s">
        <v>1092</v>
      </c>
      <c r="AV6288" t="s">
        <v>1093</v>
      </c>
      <c r="AW6288" t="s">
        <v>60</v>
      </c>
      <c r="AX6288" t="s">
        <v>68</v>
      </c>
      <c r="AY6288" t="s">
        <v>69</v>
      </c>
      <c r="AZ6288" t="b">
        <v>1</v>
      </c>
    </row>
    <row r="6289" spans="1:52" x14ac:dyDescent="0.3">
      <c r="A6289" t="s">
        <v>52</v>
      </c>
      <c r="B6289" t="s">
        <v>53</v>
      </c>
      <c r="C6289" t="s">
        <v>54</v>
      </c>
      <c r="D6289" t="s">
        <v>55</v>
      </c>
      <c r="E6289" t="s">
        <v>2295</v>
      </c>
      <c r="F6289" t="s">
        <v>190</v>
      </c>
      <c r="G6289" t="s">
        <v>1094</v>
      </c>
      <c r="H6289" t="s">
        <v>1095</v>
      </c>
      <c r="I6289" t="s">
        <v>1095</v>
      </c>
      <c r="J6289" t="s">
        <v>60</v>
      </c>
      <c r="K6289" t="s">
        <v>761</v>
      </c>
      <c r="L6289" t="s">
        <v>62</v>
      </c>
      <c r="M6289" t="s">
        <v>761</v>
      </c>
      <c r="N6289" t="s">
        <v>1096</v>
      </c>
      <c r="O6289" t="s">
        <v>1070</v>
      </c>
      <c r="P6289">
        <v>-20.122955999999999</v>
      </c>
      <c r="Q6289">
        <v>-44.847842</v>
      </c>
      <c r="R6289" s="2" t="str">
        <f>HYPERLINK("https://www.google.com/maps?q=-20.1229560,-44.8478420","Abrir no Google Maps")</f>
        <v>Abrir no Google Maps</v>
      </c>
      <c r="S6289">
        <v>3</v>
      </c>
      <c r="T6289">
        <v>611.23533866709147</v>
      </c>
      <c r="U6289">
        <v>4</v>
      </c>
      <c r="V6289">
        <v>0.463771083088791</v>
      </c>
      <c r="W6289">
        <v>1</v>
      </c>
      <c r="X6289">
        <v>0.463771083088791</v>
      </c>
      <c r="Y6289">
        <v>350</v>
      </c>
      <c r="Z6289">
        <v>567.3129443637539</v>
      </c>
      <c r="AA6289">
        <v>198</v>
      </c>
      <c r="AB6289">
        <v>332</v>
      </c>
      <c r="AC6289">
        <v>536</v>
      </c>
      <c r="AD6289">
        <v>29.58</v>
      </c>
      <c r="AE6289">
        <v>542</v>
      </c>
      <c r="AF6289">
        <v>30</v>
      </c>
      <c r="AG6289">
        <v>169</v>
      </c>
      <c r="AH6289">
        <v>129</v>
      </c>
      <c r="AI6289">
        <v>5.54</v>
      </c>
      <c r="AJ6289">
        <v>31.18</v>
      </c>
      <c r="AK6289">
        <v>23.8</v>
      </c>
      <c r="AL6289">
        <v>-20.122854299999972</v>
      </c>
      <c r="AM6289">
        <v>-44.847862495675152</v>
      </c>
      <c r="AN6289">
        <v>-20.122854299999972</v>
      </c>
      <c r="AO6289">
        <v>-44.847862495675152</v>
      </c>
      <c r="AP6289">
        <v>-20.122955999999999</v>
      </c>
      <c r="AQ6289">
        <v>-44.847842</v>
      </c>
      <c r="AR6289">
        <v>11.522154044835331</v>
      </c>
      <c r="AS6289" t="s">
        <v>65</v>
      </c>
      <c r="AT6289">
        <v>1</v>
      </c>
      <c r="AU6289" t="s">
        <v>1097</v>
      </c>
      <c r="AV6289" t="s">
        <v>1098</v>
      </c>
      <c r="AW6289" t="s">
        <v>60</v>
      </c>
      <c r="AX6289" t="s">
        <v>68</v>
      </c>
      <c r="AY6289" t="s">
        <v>69</v>
      </c>
      <c r="AZ6289" t="b">
        <v>1</v>
      </c>
    </row>
    <row r="6290" spans="1:52" x14ac:dyDescent="0.3">
      <c r="A6290" t="s">
        <v>52</v>
      </c>
      <c r="B6290" t="s">
        <v>53</v>
      </c>
      <c r="C6290" t="s">
        <v>54</v>
      </c>
      <c r="D6290" t="s">
        <v>55</v>
      </c>
      <c r="E6290" t="s">
        <v>2295</v>
      </c>
      <c r="F6290" t="s">
        <v>190</v>
      </c>
      <c r="G6290" t="s">
        <v>766</v>
      </c>
      <c r="H6290" t="s">
        <v>767</v>
      </c>
      <c r="I6290" t="s">
        <v>767</v>
      </c>
      <c r="J6290" t="s">
        <v>60</v>
      </c>
      <c r="K6290" t="s">
        <v>768</v>
      </c>
      <c r="L6290" t="s">
        <v>62</v>
      </c>
      <c r="M6290" t="s">
        <v>768</v>
      </c>
      <c r="N6290" t="s">
        <v>769</v>
      </c>
      <c r="O6290" t="s">
        <v>770</v>
      </c>
      <c r="P6290">
        <v>-20.135211000000002</v>
      </c>
      <c r="Q6290">
        <v>-44.875359000000003</v>
      </c>
      <c r="R6290" s="2" t="str">
        <f>HYPERLINK("https://www.google.com/maps?q=-20.1352110,-44.8753590","Abrir no Google Maps")</f>
        <v>Abrir no Google Maps</v>
      </c>
      <c r="S6290">
        <v>3</v>
      </c>
      <c r="T6290">
        <v>383.44405482521267</v>
      </c>
      <c r="U6290">
        <v>4</v>
      </c>
      <c r="V6290">
        <v>0.47386003906513102</v>
      </c>
      <c r="W6290">
        <v>1</v>
      </c>
      <c r="X6290">
        <v>0.47386003906513102</v>
      </c>
      <c r="Y6290">
        <v>332</v>
      </c>
      <c r="Z6290">
        <v>219.0766044611764</v>
      </c>
      <c r="AA6290">
        <v>198</v>
      </c>
      <c r="AB6290">
        <v>332</v>
      </c>
      <c r="AC6290">
        <v>536</v>
      </c>
      <c r="AD6290">
        <v>29.58</v>
      </c>
      <c r="AE6290">
        <v>542</v>
      </c>
      <c r="AF6290">
        <v>30</v>
      </c>
      <c r="AG6290">
        <v>169</v>
      </c>
      <c r="AH6290">
        <v>129</v>
      </c>
      <c r="AI6290">
        <v>5.54</v>
      </c>
      <c r="AJ6290">
        <v>31.18</v>
      </c>
      <c r="AK6290">
        <v>23.8</v>
      </c>
      <c r="AL6290">
        <v>-20.135125549999941</v>
      </c>
      <c r="AM6290">
        <v>-44.875534947489427</v>
      </c>
      <c r="AN6290">
        <v>-20.135125549999941</v>
      </c>
      <c r="AO6290">
        <v>-44.875534947489427</v>
      </c>
      <c r="AP6290">
        <v>-20.135211000000002</v>
      </c>
      <c r="AQ6290">
        <v>-44.875359000000003</v>
      </c>
      <c r="AR6290">
        <v>20.703969313709418</v>
      </c>
      <c r="AS6290" t="s">
        <v>65</v>
      </c>
      <c r="AT6290">
        <v>1</v>
      </c>
      <c r="AU6290" t="s">
        <v>771</v>
      </c>
      <c r="AV6290" t="s">
        <v>772</v>
      </c>
      <c r="AW6290" t="s">
        <v>60</v>
      </c>
      <c r="AX6290" t="s">
        <v>68</v>
      </c>
      <c r="AY6290" t="s">
        <v>69</v>
      </c>
      <c r="AZ6290" t="b">
        <v>1</v>
      </c>
    </row>
    <row r="6291" spans="1:52" x14ac:dyDescent="0.3">
      <c r="A6291" t="s">
        <v>52</v>
      </c>
      <c r="B6291" t="s">
        <v>53</v>
      </c>
      <c r="C6291" t="s">
        <v>54</v>
      </c>
      <c r="D6291" t="s">
        <v>55</v>
      </c>
      <c r="E6291" t="s">
        <v>2295</v>
      </c>
      <c r="F6291" t="s">
        <v>190</v>
      </c>
      <c r="G6291" t="s">
        <v>1099</v>
      </c>
      <c r="H6291" t="s">
        <v>1100</v>
      </c>
      <c r="I6291" t="s">
        <v>1100</v>
      </c>
      <c r="J6291" t="s">
        <v>60</v>
      </c>
      <c r="K6291" t="s">
        <v>781</v>
      </c>
      <c r="L6291" t="s">
        <v>62</v>
      </c>
      <c r="M6291" t="s">
        <v>781</v>
      </c>
      <c r="N6291" t="s">
        <v>1101</v>
      </c>
      <c r="O6291" t="s">
        <v>235</v>
      </c>
      <c r="P6291">
        <v>-20.136811999999999</v>
      </c>
      <c r="Q6291">
        <v>-44.872388000000001</v>
      </c>
      <c r="R6291" s="2" t="str">
        <f>HYPERLINK("https://www.google.com/maps?q=-20.1368120,-44.8723880","Abrir no Google Maps")</f>
        <v>Abrir no Google Maps</v>
      </c>
      <c r="S6291">
        <v>3</v>
      </c>
      <c r="T6291">
        <v>0</v>
      </c>
      <c r="U6291">
        <v>4</v>
      </c>
      <c r="V6291">
        <v>0.47362198407269468</v>
      </c>
      <c r="W6291">
        <v>1</v>
      </c>
      <c r="X6291">
        <v>0.47362198407269468</v>
      </c>
      <c r="Y6291">
        <v>332</v>
      </c>
      <c r="Z6291">
        <v>121.0319884418894</v>
      </c>
      <c r="AA6291">
        <v>198</v>
      </c>
      <c r="AB6291">
        <v>332</v>
      </c>
      <c r="AC6291">
        <v>536</v>
      </c>
      <c r="AD6291">
        <v>29.58</v>
      </c>
      <c r="AE6291">
        <v>542</v>
      </c>
      <c r="AF6291">
        <v>30</v>
      </c>
      <c r="AG6291">
        <v>169</v>
      </c>
      <c r="AH6291">
        <v>129</v>
      </c>
      <c r="AI6291">
        <v>5.54</v>
      </c>
      <c r="AJ6291">
        <v>31.18</v>
      </c>
      <c r="AK6291">
        <v>23.8</v>
      </c>
      <c r="AL6291">
        <v>-20.136943099999939</v>
      </c>
      <c r="AM6291">
        <v>-44.872411407897907</v>
      </c>
      <c r="AN6291">
        <v>-20.136943099999939</v>
      </c>
      <c r="AO6291">
        <v>-44.872411407897907</v>
      </c>
      <c r="AP6291">
        <v>-20.136811999999999</v>
      </c>
      <c r="AQ6291">
        <v>-44.872388000000001</v>
      </c>
      <c r="AR6291">
        <v>14.79769012694347</v>
      </c>
      <c r="AS6291" t="s">
        <v>65</v>
      </c>
      <c r="AT6291">
        <v>1</v>
      </c>
      <c r="AU6291" t="s">
        <v>1102</v>
      </c>
      <c r="AV6291" t="s">
        <v>1103</v>
      </c>
      <c r="AW6291" t="s">
        <v>60</v>
      </c>
      <c r="AX6291" t="s">
        <v>68</v>
      </c>
      <c r="AY6291" t="s">
        <v>69</v>
      </c>
      <c r="AZ6291" t="b">
        <v>1</v>
      </c>
    </row>
    <row r="6292" spans="1:52" x14ac:dyDescent="0.3">
      <c r="A6292" t="s">
        <v>52</v>
      </c>
      <c r="B6292" t="s">
        <v>53</v>
      </c>
      <c r="C6292" t="s">
        <v>54</v>
      </c>
      <c r="D6292" t="s">
        <v>55</v>
      </c>
      <c r="E6292" t="s">
        <v>2295</v>
      </c>
      <c r="F6292" t="s">
        <v>190</v>
      </c>
      <c r="G6292" t="s">
        <v>1109</v>
      </c>
      <c r="H6292" t="s">
        <v>1110</v>
      </c>
      <c r="I6292" t="s">
        <v>1110</v>
      </c>
      <c r="J6292" t="s">
        <v>60</v>
      </c>
      <c r="K6292" t="s">
        <v>768</v>
      </c>
      <c r="L6292" t="s">
        <v>62</v>
      </c>
      <c r="M6292" t="s">
        <v>768</v>
      </c>
      <c r="N6292" t="s">
        <v>1111</v>
      </c>
      <c r="O6292" t="s">
        <v>1112</v>
      </c>
      <c r="P6292">
        <v>-20.135508000000002</v>
      </c>
      <c r="Q6292">
        <v>-44.871786999999998</v>
      </c>
      <c r="R6292" s="2" t="str">
        <f>HYPERLINK("https://www.google.com/maps?q=-20.1355080,-44.8717870","Abrir no Google Maps")</f>
        <v>Abrir no Google Maps</v>
      </c>
      <c r="S6292">
        <v>3</v>
      </c>
      <c r="T6292">
        <v>167.5382405548801</v>
      </c>
      <c r="U6292">
        <v>4</v>
      </c>
      <c r="V6292">
        <v>0.4869529314616019</v>
      </c>
      <c r="W6292">
        <v>1</v>
      </c>
      <c r="X6292">
        <v>0.4869529314616019</v>
      </c>
      <c r="Y6292">
        <v>332</v>
      </c>
      <c r="Z6292">
        <v>179.76671916562941</v>
      </c>
      <c r="AA6292">
        <v>198</v>
      </c>
      <c r="AB6292">
        <v>332</v>
      </c>
      <c r="AC6292">
        <v>536</v>
      </c>
      <c r="AD6292">
        <v>29.58</v>
      </c>
      <c r="AE6292">
        <v>542</v>
      </c>
      <c r="AF6292">
        <v>30</v>
      </c>
      <c r="AG6292">
        <v>169</v>
      </c>
      <c r="AH6292">
        <v>129</v>
      </c>
      <c r="AI6292">
        <v>5.54</v>
      </c>
      <c r="AJ6292">
        <v>31.18</v>
      </c>
      <c r="AK6292">
        <v>23.8</v>
      </c>
      <c r="AL6292">
        <v>-20.135532899999959</v>
      </c>
      <c r="AM6292">
        <v>-44.871828172735903</v>
      </c>
      <c r="AN6292">
        <v>-20.135532899999959</v>
      </c>
      <c r="AO6292">
        <v>-44.871828172735903</v>
      </c>
      <c r="AP6292">
        <v>-20.135508000000002</v>
      </c>
      <c r="AQ6292">
        <v>-44.871786999999998</v>
      </c>
      <c r="AR6292">
        <v>5.1186859635787858</v>
      </c>
      <c r="AS6292" t="s">
        <v>65</v>
      </c>
      <c r="AT6292">
        <v>1</v>
      </c>
      <c r="AU6292" t="s">
        <v>1113</v>
      </c>
      <c r="AV6292" t="s">
        <v>1114</v>
      </c>
      <c r="AW6292" t="s">
        <v>60</v>
      </c>
      <c r="AX6292" t="s">
        <v>68</v>
      </c>
      <c r="AY6292" t="s">
        <v>69</v>
      </c>
      <c r="AZ6292" t="b">
        <v>1</v>
      </c>
    </row>
    <row r="6293" spans="1:52" x14ac:dyDescent="0.3">
      <c r="A6293" t="s">
        <v>52</v>
      </c>
      <c r="B6293" t="s">
        <v>53</v>
      </c>
      <c r="C6293" t="s">
        <v>54</v>
      </c>
      <c r="D6293" t="s">
        <v>55</v>
      </c>
      <c r="E6293" t="s">
        <v>2295</v>
      </c>
      <c r="F6293" t="s">
        <v>190</v>
      </c>
      <c r="G6293" t="s">
        <v>1127</v>
      </c>
      <c r="H6293" t="s">
        <v>1128</v>
      </c>
      <c r="I6293" t="s">
        <v>1128</v>
      </c>
      <c r="J6293" t="s">
        <v>60</v>
      </c>
      <c r="K6293" t="s">
        <v>1129</v>
      </c>
      <c r="L6293" t="s">
        <v>62</v>
      </c>
      <c r="M6293" t="s">
        <v>1129</v>
      </c>
      <c r="N6293" t="s">
        <v>1130</v>
      </c>
      <c r="O6293" t="s">
        <v>357</v>
      </c>
      <c r="P6293">
        <v>-20.106638</v>
      </c>
      <c r="Q6293">
        <v>-44.883538000000001</v>
      </c>
      <c r="R6293" s="2" t="str">
        <f>HYPERLINK("https://www.google.com/maps?q=-20.1066380,-44.8835380","Abrir no Google Maps")</f>
        <v>Abrir no Google Maps</v>
      </c>
      <c r="S6293">
        <v>3</v>
      </c>
      <c r="T6293">
        <v>754.03514396665969</v>
      </c>
      <c r="U6293">
        <v>4</v>
      </c>
      <c r="V6293">
        <v>0.46182714835276079</v>
      </c>
      <c r="W6293">
        <v>1</v>
      </c>
      <c r="X6293">
        <v>0.46182714835276079</v>
      </c>
      <c r="Y6293">
        <v>314</v>
      </c>
      <c r="Z6293">
        <v>584.1161650721092</v>
      </c>
      <c r="AA6293">
        <v>198</v>
      </c>
      <c r="AB6293">
        <v>332</v>
      </c>
      <c r="AC6293">
        <v>536</v>
      </c>
      <c r="AD6293">
        <v>29.58</v>
      </c>
      <c r="AE6293">
        <v>542</v>
      </c>
      <c r="AF6293">
        <v>30</v>
      </c>
      <c r="AG6293">
        <v>169</v>
      </c>
      <c r="AH6293">
        <v>129</v>
      </c>
      <c r="AI6293">
        <v>5.54</v>
      </c>
      <c r="AJ6293">
        <v>31.18</v>
      </c>
      <c r="AK6293">
        <v>23.8</v>
      </c>
      <c r="AL6293">
        <v>-20.106599599999949</v>
      </c>
      <c r="AM6293">
        <v>-44.883527947279568</v>
      </c>
      <c r="AN6293">
        <v>-20.106599599999949</v>
      </c>
      <c r="AO6293">
        <v>-44.883527947279568</v>
      </c>
      <c r="AP6293">
        <v>-20.106638</v>
      </c>
      <c r="AQ6293">
        <v>-44.883538000000001</v>
      </c>
      <c r="AR6293">
        <v>4.4019630384815924</v>
      </c>
      <c r="AS6293" t="s">
        <v>65</v>
      </c>
      <c r="AT6293">
        <v>1</v>
      </c>
      <c r="AU6293" t="s">
        <v>1131</v>
      </c>
      <c r="AV6293" t="s">
        <v>1132</v>
      </c>
      <c r="AW6293" t="s">
        <v>60</v>
      </c>
      <c r="AX6293" t="s">
        <v>68</v>
      </c>
      <c r="AY6293" t="s">
        <v>69</v>
      </c>
      <c r="AZ6293" t="b">
        <v>1</v>
      </c>
    </row>
    <row r="6294" spans="1:52" x14ac:dyDescent="0.3">
      <c r="A6294" t="s">
        <v>52</v>
      </c>
      <c r="B6294" t="s">
        <v>53</v>
      </c>
      <c r="C6294" t="s">
        <v>54</v>
      </c>
      <c r="D6294" t="s">
        <v>55</v>
      </c>
      <c r="E6294" t="s">
        <v>2295</v>
      </c>
      <c r="F6294" t="s">
        <v>190</v>
      </c>
      <c r="G6294" t="s">
        <v>1138</v>
      </c>
      <c r="H6294" t="s">
        <v>1139</v>
      </c>
      <c r="I6294" t="s">
        <v>1139</v>
      </c>
      <c r="J6294" t="s">
        <v>60</v>
      </c>
      <c r="K6294" t="s">
        <v>1140</v>
      </c>
      <c r="L6294" t="s">
        <v>62</v>
      </c>
      <c r="M6294" t="s">
        <v>1140</v>
      </c>
      <c r="N6294" t="s">
        <v>1141</v>
      </c>
      <c r="O6294" t="s">
        <v>293</v>
      </c>
      <c r="P6294">
        <v>-20.103041999999999</v>
      </c>
      <c r="Q6294">
        <v>-44.882694999999998</v>
      </c>
      <c r="R6294" s="2" t="str">
        <f>HYPERLINK("https://www.google.com/maps?q=-20.1030420,-44.8826950","Abrir no Google Maps")</f>
        <v>Abrir no Google Maps</v>
      </c>
      <c r="S6294">
        <v>3</v>
      </c>
      <c r="T6294">
        <v>764.07293048598467</v>
      </c>
      <c r="U6294">
        <v>4</v>
      </c>
      <c r="V6294">
        <v>0.4628343179137594</v>
      </c>
      <c r="W6294">
        <v>1</v>
      </c>
      <c r="X6294">
        <v>0.4628343179137594</v>
      </c>
      <c r="Y6294">
        <v>314</v>
      </c>
      <c r="Z6294">
        <v>696.03268335706969</v>
      </c>
      <c r="AA6294">
        <v>198</v>
      </c>
      <c r="AB6294">
        <v>332</v>
      </c>
      <c r="AC6294">
        <v>536</v>
      </c>
      <c r="AD6294">
        <v>29.58</v>
      </c>
      <c r="AE6294">
        <v>542</v>
      </c>
      <c r="AF6294">
        <v>30</v>
      </c>
      <c r="AG6294">
        <v>169</v>
      </c>
      <c r="AH6294">
        <v>129</v>
      </c>
      <c r="AI6294">
        <v>5.54</v>
      </c>
      <c r="AJ6294">
        <v>31.18</v>
      </c>
      <c r="AK6294">
        <v>23.8</v>
      </c>
      <c r="AL6294">
        <v>-20.10298734999995</v>
      </c>
      <c r="AM6294">
        <v>-44.882802925792483</v>
      </c>
      <c r="AN6294">
        <v>-20.10298734999995</v>
      </c>
      <c r="AO6294">
        <v>-44.882802925792483</v>
      </c>
      <c r="AP6294">
        <v>-20.103041999999999</v>
      </c>
      <c r="AQ6294">
        <v>-44.882694999999998</v>
      </c>
      <c r="AR6294">
        <v>12.8180317775525</v>
      </c>
      <c r="AS6294" t="s">
        <v>65</v>
      </c>
      <c r="AT6294">
        <v>1</v>
      </c>
      <c r="AU6294" t="s">
        <v>1142</v>
      </c>
      <c r="AV6294" t="s">
        <v>1143</v>
      </c>
      <c r="AW6294" t="s">
        <v>60</v>
      </c>
      <c r="AX6294" t="s">
        <v>68</v>
      </c>
      <c r="AY6294" t="s">
        <v>69</v>
      </c>
      <c r="AZ6294" t="b">
        <v>1</v>
      </c>
    </row>
    <row r="6295" spans="1:52" x14ac:dyDescent="0.3">
      <c r="A6295" t="s">
        <v>52</v>
      </c>
      <c r="B6295" t="s">
        <v>53</v>
      </c>
      <c r="C6295" t="s">
        <v>54</v>
      </c>
      <c r="D6295" t="s">
        <v>55</v>
      </c>
      <c r="E6295" t="s">
        <v>2295</v>
      </c>
      <c r="F6295" t="s">
        <v>190</v>
      </c>
      <c r="G6295" t="s">
        <v>1769</v>
      </c>
      <c r="H6295" t="s">
        <v>1770</v>
      </c>
      <c r="I6295" t="s">
        <v>1770</v>
      </c>
      <c r="J6295" t="s">
        <v>60</v>
      </c>
      <c r="K6295" t="s">
        <v>791</v>
      </c>
      <c r="L6295" t="s">
        <v>62</v>
      </c>
      <c r="M6295" t="s">
        <v>791</v>
      </c>
      <c r="N6295" t="s">
        <v>1771</v>
      </c>
      <c r="O6295" t="s">
        <v>494</v>
      </c>
      <c r="P6295">
        <v>-20.108464999999999</v>
      </c>
      <c r="Q6295">
        <v>-44.902169000000001</v>
      </c>
      <c r="R6295" s="2" t="str">
        <f>HYPERLINK("https://www.google.com/maps?q=-20.1084650,-44.9021690","Abrir no Google Maps")</f>
        <v>Abrir no Google Maps</v>
      </c>
      <c r="S6295">
        <v>3</v>
      </c>
      <c r="T6295">
        <v>332.55452480320798</v>
      </c>
      <c r="U6295">
        <v>4</v>
      </c>
      <c r="V6295">
        <v>0.4647215433327454</v>
      </c>
      <c r="W6295">
        <v>1</v>
      </c>
      <c r="X6295">
        <v>0.4647215433327454</v>
      </c>
      <c r="Y6295">
        <v>300</v>
      </c>
      <c r="Z6295">
        <v>139.01495543278119</v>
      </c>
      <c r="AA6295">
        <v>198</v>
      </c>
      <c r="AB6295">
        <v>332</v>
      </c>
      <c r="AC6295">
        <v>536</v>
      </c>
      <c r="AD6295">
        <v>29.58</v>
      </c>
      <c r="AE6295">
        <v>542</v>
      </c>
      <c r="AF6295">
        <v>30</v>
      </c>
      <c r="AG6295">
        <v>169</v>
      </c>
      <c r="AH6295">
        <v>129</v>
      </c>
      <c r="AI6295">
        <v>5.54</v>
      </c>
      <c r="AJ6295">
        <v>31.18</v>
      </c>
      <c r="AK6295">
        <v>23.8</v>
      </c>
      <c r="AL6295">
        <v>-20.108420149999969</v>
      </c>
      <c r="AM6295">
        <v>-44.90164352007664</v>
      </c>
      <c r="AN6295">
        <v>-20.108420149999969</v>
      </c>
      <c r="AO6295">
        <v>-44.90164352007664</v>
      </c>
      <c r="AP6295">
        <v>-20.108464999999999</v>
      </c>
      <c r="AQ6295">
        <v>-44.902169000000001</v>
      </c>
      <c r="AR6295">
        <v>55.157130612493773</v>
      </c>
      <c r="AS6295" t="s">
        <v>65</v>
      </c>
      <c r="AT6295">
        <v>1</v>
      </c>
      <c r="AU6295" t="s">
        <v>1772</v>
      </c>
      <c r="AV6295" t="s">
        <v>1773</v>
      </c>
      <c r="AW6295" t="s">
        <v>60</v>
      </c>
      <c r="AX6295" t="s">
        <v>68</v>
      </c>
      <c r="AY6295" t="s">
        <v>69</v>
      </c>
      <c r="AZ6295" t="b">
        <v>1</v>
      </c>
    </row>
    <row r="6296" spans="1:52" x14ac:dyDescent="0.3">
      <c r="A6296" t="s">
        <v>52</v>
      </c>
      <c r="B6296" t="s">
        <v>53</v>
      </c>
      <c r="C6296" t="s">
        <v>54</v>
      </c>
      <c r="D6296" t="s">
        <v>55</v>
      </c>
      <c r="E6296" t="s">
        <v>2295</v>
      </c>
      <c r="F6296" t="s">
        <v>190</v>
      </c>
      <c r="G6296" t="s">
        <v>1163</v>
      </c>
      <c r="H6296" t="s">
        <v>1164</v>
      </c>
      <c r="I6296" t="s">
        <v>1164</v>
      </c>
      <c r="J6296" t="s">
        <v>60</v>
      </c>
      <c r="K6296" t="s">
        <v>1165</v>
      </c>
      <c r="L6296" t="s">
        <v>62</v>
      </c>
      <c r="M6296" t="s">
        <v>1165</v>
      </c>
      <c r="N6296" t="s">
        <v>1166</v>
      </c>
      <c r="O6296" t="s">
        <v>1167</v>
      </c>
      <c r="P6296">
        <v>-20.155543000000002</v>
      </c>
      <c r="Q6296">
        <v>-44.863444000000001</v>
      </c>
      <c r="R6296" s="2" t="str">
        <f>HYPERLINK("https://www.google.com/maps?q=-20.1555430,-44.8634440","Abrir no Google Maps")</f>
        <v>Abrir no Google Maps</v>
      </c>
      <c r="S6296">
        <v>3</v>
      </c>
      <c r="T6296">
        <v>314.02353400254742</v>
      </c>
      <c r="U6296">
        <v>4</v>
      </c>
      <c r="V6296">
        <v>0.46559440559440562</v>
      </c>
      <c r="W6296">
        <v>1</v>
      </c>
      <c r="X6296">
        <v>0.46559440559440562</v>
      </c>
      <c r="Y6296">
        <v>264</v>
      </c>
      <c r="Z6296">
        <v>282.65065866463459</v>
      </c>
      <c r="AA6296">
        <v>198</v>
      </c>
      <c r="AB6296">
        <v>332</v>
      </c>
      <c r="AC6296">
        <v>536</v>
      </c>
      <c r="AD6296">
        <v>29.58</v>
      </c>
      <c r="AE6296">
        <v>542</v>
      </c>
      <c r="AF6296">
        <v>30</v>
      </c>
      <c r="AG6296">
        <v>169</v>
      </c>
      <c r="AH6296">
        <v>129</v>
      </c>
      <c r="AI6296">
        <v>5.54</v>
      </c>
      <c r="AJ6296">
        <v>31.18</v>
      </c>
      <c r="AK6296">
        <v>23.8</v>
      </c>
      <c r="AL6296">
        <v>-20.155436449999939</v>
      </c>
      <c r="AM6296">
        <v>-44.863557722691183</v>
      </c>
      <c r="AN6296">
        <v>-20.155436449999939</v>
      </c>
      <c r="AO6296">
        <v>-44.863557722691183</v>
      </c>
      <c r="AP6296">
        <v>-20.155543000000002</v>
      </c>
      <c r="AQ6296">
        <v>-44.863444000000001</v>
      </c>
      <c r="AR6296">
        <v>16.790610674079979</v>
      </c>
      <c r="AS6296" t="s">
        <v>65</v>
      </c>
      <c r="AT6296">
        <v>1</v>
      </c>
      <c r="AU6296" t="s">
        <v>1168</v>
      </c>
      <c r="AV6296" t="s">
        <v>1169</v>
      </c>
      <c r="AW6296" t="s">
        <v>60</v>
      </c>
      <c r="AX6296" t="s">
        <v>68</v>
      </c>
      <c r="AY6296" t="s">
        <v>69</v>
      </c>
      <c r="AZ6296" t="b">
        <v>1</v>
      </c>
    </row>
    <row r="6297" spans="1:52" x14ac:dyDescent="0.3">
      <c r="A6297" t="s">
        <v>52</v>
      </c>
      <c r="B6297" t="s">
        <v>53</v>
      </c>
      <c r="C6297" t="s">
        <v>54</v>
      </c>
      <c r="D6297" t="s">
        <v>55</v>
      </c>
      <c r="E6297" t="s">
        <v>2295</v>
      </c>
      <c r="F6297" t="s">
        <v>190</v>
      </c>
      <c r="G6297" t="s">
        <v>1785</v>
      </c>
      <c r="H6297" t="s">
        <v>1786</v>
      </c>
      <c r="I6297" t="s">
        <v>1786</v>
      </c>
      <c r="J6297" t="s">
        <v>60</v>
      </c>
      <c r="K6297" t="s">
        <v>323</v>
      </c>
      <c r="L6297" t="s">
        <v>62</v>
      </c>
      <c r="M6297" t="s">
        <v>323</v>
      </c>
      <c r="N6297" t="s">
        <v>1787</v>
      </c>
      <c r="O6297" t="s">
        <v>166</v>
      </c>
      <c r="P6297">
        <v>-20.150456999999999</v>
      </c>
      <c r="Q6297">
        <v>-44.859959000000003</v>
      </c>
      <c r="R6297" s="2" t="str">
        <f>HYPERLINK("https://www.google.com/maps?q=-20.1504570,-44.8599590","Abrir no Google Maps")</f>
        <v>Abrir no Google Maps</v>
      </c>
      <c r="S6297">
        <v>3</v>
      </c>
      <c r="T6297">
        <v>658.64381182775185</v>
      </c>
      <c r="U6297">
        <v>4</v>
      </c>
      <c r="V6297">
        <v>0.46389884508164081</v>
      </c>
      <c r="W6297">
        <v>1</v>
      </c>
      <c r="X6297">
        <v>0.46389884508164081</v>
      </c>
      <c r="Y6297">
        <v>264</v>
      </c>
      <c r="Z6297">
        <v>516.83560872131818</v>
      </c>
      <c r="AA6297">
        <v>198</v>
      </c>
      <c r="AB6297">
        <v>332</v>
      </c>
      <c r="AC6297">
        <v>536</v>
      </c>
      <c r="AD6297">
        <v>29.58</v>
      </c>
      <c r="AE6297">
        <v>542</v>
      </c>
      <c r="AF6297">
        <v>30</v>
      </c>
      <c r="AG6297">
        <v>169</v>
      </c>
      <c r="AH6297">
        <v>129</v>
      </c>
      <c r="AI6297">
        <v>5.54</v>
      </c>
      <c r="AJ6297">
        <v>31.18</v>
      </c>
      <c r="AK6297">
        <v>23.8</v>
      </c>
      <c r="AL6297">
        <v>-20.150445899999969</v>
      </c>
      <c r="AM6297">
        <v>-44.860119388819953</v>
      </c>
      <c r="AN6297">
        <v>-20.150445899999969</v>
      </c>
      <c r="AO6297">
        <v>-44.860119388819953</v>
      </c>
      <c r="AP6297">
        <v>-20.150456999999999</v>
      </c>
      <c r="AQ6297">
        <v>-44.859959000000003</v>
      </c>
      <c r="AR6297">
        <v>16.807117810283469</v>
      </c>
      <c r="AS6297" t="s">
        <v>65</v>
      </c>
      <c r="AT6297">
        <v>1</v>
      </c>
      <c r="AU6297" t="s">
        <v>1788</v>
      </c>
      <c r="AV6297" t="s">
        <v>1789</v>
      </c>
      <c r="AW6297" t="s">
        <v>60</v>
      </c>
      <c r="AX6297" t="s">
        <v>68</v>
      </c>
      <c r="AY6297" t="s">
        <v>69</v>
      </c>
      <c r="AZ6297" t="b">
        <v>1</v>
      </c>
    </row>
    <row r="6298" spans="1:52" x14ac:dyDescent="0.3">
      <c r="A6298" t="s">
        <v>52</v>
      </c>
      <c r="B6298" t="s">
        <v>53</v>
      </c>
      <c r="C6298" t="s">
        <v>54</v>
      </c>
      <c r="D6298" t="s">
        <v>55</v>
      </c>
      <c r="E6298" t="s">
        <v>2295</v>
      </c>
      <c r="F6298" t="s">
        <v>190</v>
      </c>
      <c r="G6298" t="s">
        <v>803</v>
      </c>
      <c r="H6298" t="s">
        <v>804</v>
      </c>
      <c r="I6298" t="s">
        <v>804</v>
      </c>
      <c r="J6298" t="s">
        <v>60</v>
      </c>
      <c r="K6298" t="s">
        <v>805</v>
      </c>
      <c r="L6298" t="s">
        <v>62</v>
      </c>
      <c r="M6298" t="s">
        <v>805</v>
      </c>
      <c r="N6298" t="s">
        <v>806</v>
      </c>
      <c r="O6298" t="s">
        <v>807</v>
      </c>
      <c r="P6298">
        <v>-20.133293999999999</v>
      </c>
      <c r="Q6298">
        <v>-44.886302000000001</v>
      </c>
      <c r="R6298" s="2" t="str">
        <f>HYPERLINK("https://www.google.com/maps?q=-20.1332940,-44.8863020","Abrir no Google Maps")</f>
        <v>Abrir no Google Maps</v>
      </c>
      <c r="S6298">
        <v>3</v>
      </c>
      <c r="T6298">
        <v>0</v>
      </c>
      <c r="U6298">
        <v>4</v>
      </c>
      <c r="V6298">
        <v>0.46862268910727062</v>
      </c>
      <c r="W6298">
        <v>1</v>
      </c>
      <c r="X6298">
        <v>0.46862268910727062</v>
      </c>
      <c r="Y6298">
        <v>259</v>
      </c>
      <c r="Z6298">
        <v>76.358812960729097</v>
      </c>
      <c r="AA6298">
        <v>198</v>
      </c>
      <c r="AB6298">
        <v>332</v>
      </c>
      <c r="AC6298">
        <v>536</v>
      </c>
      <c r="AD6298">
        <v>29.58</v>
      </c>
      <c r="AE6298">
        <v>542</v>
      </c>
      <c r="AF6298">
        <v>30</v>
      </c>
      <c r="AG6298">
        <v>169</v>
      </c>
      <c r="AH6298">
        <v>129</v>
      </c>
      <c r="AI6298">
        <v>5.54</v>
      </c>
      <c r="AJ6298">
        <v>31.18</v>
      </c>
      <c r="AK6298">
        <v>23.8</v>
      </c>
      <c r="AL6298">
        <v>-20.133281749999949</v>
      </c>
      <c r="AM6298">
        <v>-44.886395047959027</v>
      </c>
      <c r="AN6298">
        <v>-20.133281749999949</v>
      </c>
      <c r="AO6298">
        <v>-44.886395047959027</v>
      </c>
      <c r="AP6298">
        <v>-20.133293999999999</v>
      </c>
      <c r="AQ6298">
        <v>-44.886302000000001</v>
      </c>
      <c r="AR6298">
        <v>9.8203037443031231</v>
      </c>
      <c r="AS6298" t="s">
        <v>65</v>
      </c>
      <c r="AT6298">
        <v>1</v>
      </c>
      <c r="AU6298" t="s">
        <v>808</v>
      </c>
      <c r="AV6298" t="s">
        <v>809</v>
      </c>
      <c r="AW6298" t="s">
        <v>60</v>
      </c>
      <c r="AX6298" t="s">
        <v>68</v>
      </c>
      <c r="AY6298" t="s">
        <v>69</v>
      </c>
      <c r="AZ6298" t="b">
        <v>1</v>
      </c>
    </row>
    <row r="6299" spans="1:52" x14ac:dyDescent="0.3">
      <c r="A6299" t="s">
        <v>52</v>
      </c>
      <c r="B6299" t="s">
        <v>53</v>
      </c>
      <c r="C6299" t="s">
        <v>54</v>
      </c>
      <c r="D6299" t="s">
        <v>55</v>
      </c>
      <c r="E6299" t="s">
        <v>2295</v>
      </c>
      <c r="F6299" t="s">
        <v>190</v>
      </c>
      <c r="G6299" t="s">
        <v>815</v>
      </c>
      <c r="H6299" t="s">
        <v>816</v>
      </c>
      <c r="I6299" t="s">
        <v>816</v>
      </c>
      <c r="J6299" t="s">
        <v>60</v>
      </c>
      <c r="K6299" t="s">
        <v>805</v>
      </c>
      <c r="L6299" t="s">
        <v>62</v>
      </c>
      <c r="M6299" t="s">
        <v>805</v>
      </c>
      <c r="N6299" t="s">
        <v>817</v>
      </c>
      <c r="O6299" t="s">
        <v>818</v>
      </c>
      <c r="P6299">
        <v>-20.129894</v>
      </c>
      <c r="Q6299">
        <v>-44.886285000000001</v>
      </c>
      <c r="R6299" s="2" t="str">
        <f>HYPERLINK("https://www.google.com/maps?q=-20.1298940,-44.8862850","Abrir no Google Maps")</f>
        <v>Abrir no Google Maps</v>
      </c>
      <c r="S6299">
        <v>3</v>
      </c>
      <c r="T6299">
        <v>245.88570896460399</v>
      </c>
      <c r="U6299">
        <v>4</v>
      </c>
      <c r="V6299">
        <v>0.49239024049217001</v>
      </c>
      <c r="W6299">
        <v>1</v>
      </c>
      <c r="X6299">
        <v>0.49239024049217001</v>
      </c>
      <c r="Y6299">
        <v>259</v>
      </c>
      <c r="Z6299">
        <v>274.53833463725539</v>
      </c>
      <c r="AA6299">
        <v>198</v>
      </c>
      <c r="AB6299">
        <v>332</v>
      </c>
      <c r="AC6299">
        <v>536</v>
      </c>
      <c r="AD6299">
        <v>29.58</v>
      </c>
      <c r="AE6299">
        <v>542</v>
      </c>
      <c r="AF6299">
        <v>30</v>
      </c>
      <c r="AG6299">
        <v>169</v>
      </c>
      <c r="AH6299">
        <v>129</v>
      </c>
      <c r="AI6299">
        <v>5.54</v>
      </c>
      <c r="AJ6299">
        <v>31.18</v>
      </c>
      <c r="AK6299">
        <v>23.8</v>
      </c>
      <c r="AL6299">
        <v>-20.129900749999969</v>
      </c>
      <c r="AM6299">
        <v>-44.886258682425179</v>
      </c>
      <c r="AN6299">
        <v>-20.129900749999969</v>
      </c>
      <c r="AO6299">
        <v>-44.886258682425179</v>
      </c>
      <c r="AP6299">
        <v>-20.129894</v>
      </c>
      <c r="AQ6299">
        <v>-44.886285000000001</v>
      </c>
      <c r="AR6299">
        <v>2.851497427576585</v>
      </c>
      <c r="AS6299" t="s">
        <v>65</v>
      </c>
      <c r="AT6299">
        <v>1</v>
      </c>
      <c r="AU6299" t="s">
        <v>819</v>
      </c>
      <c r="AV6299" t="s">
        <v>814</v>
      </c>
      <c r="AW6299" t="s">
        <v>60</v>
      </c>
      <c r="AX6299" t="s">
        <v>68</v>
      </c>
      <c r="AY6299" t="s">
        <v>69</v>
      </c>
      <c r="AZ6299" t="b">
        <v>1</v>
      </c>
    </row>
    <row r="6300" spans="1:52" x14ac:dyDescent="0.3">
      <c r="A6300" t="s">
        <v>52</v>
      </c>
      <c r="B6300" t="s">
        <v>53</v>
      </c>
      <c r="C6300" t="s">
        <v>54</v>
      </c>
      <c r="D6300" t="s">
        <v>55</v>
      </c>
      <c r="E6300" t="s">
        <v>2295</v>
      </c>
      <c r="F6300" t="s">
        <v>190</v>
      </c>
      <c r="G6300" t="s">
        <v>1790</v>
      </c>
      <c r="H6300" t="s">
        <v>1791</v>
      </c>
      <c r="I6300" t="s">
        <v>1791</v>
      </c>
      <c r="J6300" t="s">
        <v>60</v>
      </c>
      <c r="K6300" t="s">
        <v>781</v>
      </c>
      <c r="L6300" t="s">
        <v>62</v>
      </c>
      <c r="M6300" t="s">
        <v>781</v>
      </c>
      <c r="N6300" t="s">
        <v>1792</v>
      </c>
      <c r="O6300" t="s">
        <v>1438</v>
      </c>
      <c r="P6300">
        <v>-20.140640999999999</v>
      </c>
      <c r="Q6300">
        <v>-44.865606999999997</v>
      </c>
      <c r="R6300" s="2" t="str">
        <f>HYPERLINK("https://www.google.com/maps?q=-20.1406410,-44.8656070","Abrir no Google Maps")</f>
        <v>Abrir no Google Maps</v>
      </c>
      <c r="S6300">
        <v>3</v>
      </c>
      <c r="T6300">
        <v>718.83674500124857</v>
      </c>
      <c r="U6300">
        <v>4</v>
      </c>
      <c r="V6300">
        <v>0.46625393081761007</v>
      </c>
      <c r="W6300">
        <v>1</v>
      </c>
      <c r="X6300">
        <v>0.46625393081761007</v>
      </c>
      <c r="Y6300">
        <v>198</v>
      </c>
      <c r="Z6300">
        <v>796.27455839490824</v>
      </c>
      <c r="AA6300">
        <v>198</v>
      </c>
      <c r="AB6300">
        <v>332</v>
      </c>
      <c r="AC6300">
        <v>536</v>
      </c>
      <c r="AD6300">
        <v>29.58</v>
      </c>
      <c r="AE6300">
        <v>542</v>
      </c>
      <c r="AF6300">
        <v>30</v>
      </c>
      <c r="AG6300">
        <v>169</v>
      </c>
      <c r="AH6300">
        <v>129</v>
      </c>
      <c r="AI6300">
        <v>5.54</v>
      </c>
      <c r="AJ6300">
        <v>31.18</v>
      </c>
      <c r="AK6300">
        <v>23.8</v>
      </c>
      <c r="AL6300">
        <v>-20.14068544999995</v>
      </c>
      <c r="AM6300">
        <v>-44.865682971258813</v>
      </c>
      <c r="AN6300">
        <v>-20.140685449999939</v>
      </c>
      <c r="AO6300">
        <v>-44.865682971258813</v>
      </c>
      <c r="AP6300">
        <v>-20.140640999999999</v>
      </c>
      <c r="AQ6300">
        <v>-44.865606999999997</v>
      </c>
      <c r="AR6300">
        <v>9.3556137916774258</v>
      </c>
      <c r="AS6300" t="s">
        <v>65</v>
      </c>
      <c r="AT6300">
        <v>1</v>
      </c>
      <c r="AU6300" t="s">
        <v>1793</v>
      </c>
      <c r="AV6300" t="s">
        <v>1794</v>
      </c>
      <c r="AW6300" t="s">
        <v>60</v>
      </c>
      <c r="AX6300" t="s">
        <v>68</v>
      </c>
      <c r="AY6300" t="s">
        <v>69</v>
      </c>
      <c r="AZ6300" t="b">
        <v>1</v>
      </c>
    </row>
    <row r="6301" spans="1:52" x14ac:dyDescent="0.3">
      <c r="A6301" t="s">
        <v>52</v>
      </c>
      <c r="B6301" t="s">
        <v>53</v>
      </c>
      <c r="C6301" t="s">
        <v>54</v>
      </c>
      <c r="D6301" t="s">
        <v>55</v>
      </c>
      <c r="E6301" t="s">
        <v>2295</v>
      </c>
      <c r="F6301" t="s">
        <v>190</v>
      </c>
      <c r="G6301" t="s">
        <v>1206</v>
      </c>
      <c r="H6301" t="s">
        <v>1207</v>
      </c>
      <c r="I6301" t="s">
        <v>1207</v>
      </c>
      <c r="J6301" t="s">
        <v>60</v>
      </c>
      <c r="K6301" t="s">
        <v>475</v>
      </c>
      <c r="L6301" t="s">
        <v>62</v>
      </c>
      <c r="M6301" t="s">
        <v>475</v>
      </c>
      <c r="N6301" t="s">
        <v>1208</v>
      </c>
      <c r="O6301" t="s">
        <v>1209</v>
      </c>
      <c r="P6301">
        <v>-20.180554999999998</v>
      </c>
      <c r="Q6301">
        <v>-44.905642999999998</v>
      </c>
      <c r="R6301" s="2" t="str">
        <f>HYPERLINK("https://www.google.com/maps?q=-20.1805550,-44.9056430","Abrir no Google Maps")</f>
        <v>Abrir no Google Maps</v>
      </c>
      <c r="S6301">
        <v>3</v>
      </c>
      <c r="T6301">
        <v>768.13826761541702</v>
      </c>
      <c r="U6301">
        <v>4</v>
      </c>
      <c r="V6301">
        <v>0.46233344830669781</v>
      </c>
      <c r="W6301">
        <v>1</v>
      </c>
      <c r="X6301">
        <v>0.46233344830669781</v>
      </c>
      <c r="Y6301">
        <v>135</v>
      </c>
      <c r="Z6301">
        <v>442.64437152702573</v>
      </c>
      <c r="AA6301">
        <v>198</v>
      </c>
      <c r="AB6301">
        <v>332</v>
      </c>
      <c r="AC6301">
        <v>536</v>
      </c>
      <c r="AD6301">
        <v>29.58</v>
      </c>
      <c r="AE6301">
        <v>542</v>
      </c>
      <c r="AF6301">
        <v>30</v>
      </c>
      <c r="AG6301">
        <v>169</v>
      </c>
      <c r="AH6301">
        <v>129</v>
      </c>
      <c r="AI6301">
        <v>5.54</v>
      </c>
      <c r="AJ6301">
        <v>31.18</v>
      </c>
      <c r="AK6301">
        <v>23.8</v>
      </c>
      <c r="AL6301">
        <v>-20.180439499999949</v>
      </c>
      <c r="AM6301">
        <v>-44.905757266135502</v>
      </c>
      <c r="AN6301">
        <v>-20.180439499999949</v>
      </c>
      <c r="AO6301">
        <v>-44.905757266135502</v>
      </c>
      <c r="AP6301">
        <v>-20.180554999999998</v>
      </c>
      <c r="AQ6301">
        <v>-44.905642999999998</v>
      </c>
      <c r="AR6301">
        <v>17.545924993698129</v>
      </c>
      <c r="AS6301" t="s">
        <v>65</v>
      </c>
      <c r="AT6301">
        <v>1</v>
      </c>
      <c r="AU6301" t="s">
        <v>1210</v>
      </c>
      <c r="AV6301" t="s">
        <v>1211</v>
      </c>
      <c r="AW6301" t="s">
        <v>60</v>
      </c>
      <c r="AX6301" t="s">
        <v>68</v>
      </c>
      <c r="AY6301" t="s">
        <v>69</v>
      </c>
      <c r="AZ6301" t="b">
        <v>1</v>
      </c>
    </row>
    <row r="6302" spans="1:52" x14ac:dyDescent="0.3">
      <c r="A6302" t="s">
        <v>52</v>
      </c>
      <c r="B6302" t="s">
        <v>53</v>
      </c>
      <c r="C6302" t="s">
        <v>54</v>
      </c>
      <c r="D6302" t="s">
        <v>55</v>
      </c>
      <c r="E6302" t="s">
        <v>2295</v>
      </c>
      <c r="F6302" t="s">
        <v>190</v>
      </c>
      <c r="G6302" t="s">
        <v>820</v>
      </c>
      <c r="H6302" t="s">
        <v>821</v>
      </c>
      <c r="I6302" t="s">
        <v>821</v>
      </c>
      <c r="J6302" t="s">
        <v>60</v>
      </c>
      <c r="K6302" t="s">
        <v>822</v>
      </c>
      <c r="L6302" t="s">
        <v>62</v>
      </c>
      <c r="M6302" t="s">
        <v>822</v>
      </c>
      <c r="N6302" t="s">
        <v>823</v>
      </c>
      <c r="O6302" t="s">
        <v>187</v>
      </c>
      <c r="P6302">
        <v>-20.182960999999999</v>
      </c>
      <c r="Q6302">
        <v>-44.902512999999999</v>
      </c>
      <c r="R6302" s="2" t="str">
        <f>HYPERLINK("https://www.google.com/maps?q=-20.1829610,-44.9025130","Abrir no Google Maps")</f>
        <v>Abrir no Google Maps</v>
      </c>
      <c r="S6302">
        <v>3</v>
      </c>
      <c r="T6302">
        <v>908.09917748271926</v>
      </c>
      <c r="U6302">
        <v>4</v>
      </c>
      <c r="V6302">
        <v>0.48104976141785949</v>
      </c>
      <c r="W6302">
        <v>1</v>
      </c>
      <c r="X6302">
        <v>0.48104976141785949</v>
      </c>
      <c r="Y6302">
        <v>135</v>
      </c>
      <c r="Z6302">
        <v>562.42494356837676</v>
      </c>
      <c r="AA6302">
        <v>198</v>
      </c>
      <c r="AB6302">
        <v>332</v>
      </c>
      <c r="AC6302">
        <v>536</v>
      </c>
      <c r="AD6302">
        <v>29.58</v>
      </c>
      <c r="AE6302">
        <v>542</v>
      </c>
      <c r="AF6302">
        <v>30</v>
      </c>
      <c r="AG6302">
        <v>169</v>
      </c>
      <c r="AH6302">
        <v>129</v>
      </c>
      <c r="AI6302">
        <v>5.54</v>
      </c>
      <c r="AJ6302">
        <v>31.18</v>
      </c>
      <c r="AK6302">
        <v>23.8</v>
      </c>
      <c r="AL6302">
        <v>-20.18277184999997</v>
      </c>
      <c r="AM6302">
        <v>-44.902421436048833</v>
      </c>
      <c r="AN6302">
        <v>-20.18277184999997</v>
      </c>
      <c r="AO6302">
        <v>-44.902421436048833</v>
      </c>
      <c r="AP6302">
        <v>-20.182960999999999</v>
      </c>
      <c r="AQ6302">
        <v>-44.902512999999999</v>
      </c>
      <c r="AR6302">
        <v>23.127700959037089</v>
      </c>
      <c r="AS6302" t="s">
        <v>65</v>
      </c>
      <c r="AT6302">
        <v>1</v>
      </c>
      <c r="AU6302" t="s">
        <v>824</v>
      </c>
      <c r="AV6302" t="s">
        <v>825</v>
      </c>
      <c r="AW6302" t="s">
        <v>60</v>
      </c>
      <c r="AX6302" t="s">
        <v>68</v>
      </c>
      <c r="AY6302" t="s">
        <v>69</v>
      </c>
      <c r="AZ6302" t="b">
        <v>1</v>
      </c>
    </row>
    <row r="6303" spans="1:52" x14ac:dyDescent="0.3">
      <c r="A6303" t="s">
        <v>52</v>
      </c>
      <c r="B6303" t="s">
        <v>53</v>
      </c>
      <c r="C6303" t="s">
        <v>54</v>
      </c>
      <c r="D6303" t="s">
        <v>55</v>
      </c>
      <c r="E6303" t="s">
        <v>2295</v>
      </c>
      <c r="F6303" t="s">
        <v>190</v>
      </c>
      <c r="G6303" t="s">
        <v>1801</v>
      </c>
      <c r="H6303" t="s">
        <v>1802</v>
      </c>
      <c r="I6303" t="s">
        <v>1802</v>
      </c>
      <c r="J6303" t="s">
        <v>60</v>
      </c>
      <c r="K6303" t="s">
        <v>1803</v>
      </c>
      <c r="L6303" t="s">
        <v>62</v>
      </c>
      <c r="M6303" t="s">
        <v>1803</v>
      </c>
      <c r="N6303" t="s">
        <v>1804</v>
      </c>
      <c r="O6303" t="s">
        <v>1805</v>
      </c>
      <c r="P6303">
        <v>-20.131599000000001</v>
      </c>
      <c r="Q6303">
        <v>-44.839945</v>
      </c>
      <c r="R6303" s="2" t="str">
        <f>HYPERLINK("https://www.google.com/maps?q=-20.1315990,-44.8399450","Abrir no Google Maps")</f>
        <v>Abrir no Google Maps</v>
      </c>
      <c r="S6303">
        <v>3</v>
      </c>
      <c r="T6303">
        <v>480.67866935083049</v>
      </c>
      <c r="U6303">
        <v>4</v>
      </c>
      <c r="V6303">
        <v>0.47953836420359103</v>
      </c>
      <c r="W6303">
        <v>1</v>
      </c>
      <c r="X6303">
        <v>0.47953836420359103</v>
      </c>
      <c r="Y6303">
        <v>118</v>
      </c>
      <c r="Z6303">
        <v>505.26312452494989</v>
      </c>
      <c r="AA6303">
        <v>198</v>
      </c>
      <c r="AB6303">
        <v>332</v>
      </c>
      <c r="AC6303">
        <v>536</v>
      </c>
      <c r="AD6303">
        <v>29.58</v>
      </c>
      <c r="AE6303">
        <v>542</v>
      </c>
      <c r="AF6303">
        <v>30</v>
      </c>
      <c r="AG6303">
        <v>169</v>
      </c>
      <c r="AH6303">
        <v>129</v>
      </c>
      <c r="AI6303">
        <v>5.54</v>
      </c>
      <c r="AJ6303">
        <v>31.18</v>
      </c>
      <c r="AK6303">
        <v>23.8</v>
      </c>
      <c r="AL6303">
        <v>-20.131561999999949</v>
      </c>
      <c r="AM6303">
        <v>-44.839930272274998</v>
      </c>
      <c r="AN6303">
        <v>-20.131561999999949</v>
      </c>
      <c r="AO6303">
        <v>-44.839930272274998</v>
      </c>
      <c r="AP6303">
        <v>-20.131599000000001</v>
      </c>
      <c r="AQ6303">
        <v>-44.839945</v>
      </c>
      <c r="AR6303">
        <v>4.3970860299791923</v>
      </c>
      <c r="AS6303" t="s">
        <v>65</v>
      </c>
      <c r="AT6303">
        <v>1</v>
      </c>
      <c r="AU6303" t="s">
        <v>1806</v>
      </c>
      <c r="AV6303" t="s">
        <v>1807</v>
      </c>
      <c r="AW6303" t="s">
        <v>60</v>
      </c>
      <c r="AX6303" t="s">
        <v>68</v>
      </c>
      <c r="AY6303" t="s">
        <v>69</v>
      </c>
      <c r="AZ6303" t="b">
        <v>1</v>
      </c>
    </row>
    <row r="6304" spans="1:52" x14ac:dyDescent="0.3">
      <c r="A6304" t="s">
        <v>52</v>
      </c>
      <c r="B6304" t="s">
        <v>53</v>
      </c>
      <c r="C6304" t="s">
        <v>54</v>
      </c>
      <c r="D6304" t="s">
        <v>55</v>
      </c>
      <c r="E6304" t="s">
        <v>2295</v>
      </c>
      <c r="F6304" t="s">
        <v>190</v>
      </c>
      <c r="G6304" t="s">
        <v>1819</v>
      </c>
      <c r="H6304" t="s">
        <v>1820</v>
      </c>
      <c r="I6304" t="s">
        <v>1820</v>
      </c>
      <c r="J6304" t="s">
        <v>60</v>
      </c>
      <c r="K6304" t="s">
        <v>1821</v>
      </c>
      <c r="L6304" t="s">
        <v>62</v>
      </c>
      <c r="M6304" t="s">
        <v>1821</v>
      </c>
      <c r="N6304" t="s">
        <v>1822</v>
      </c>
      <c r="O6304" t="s">
        <v>250</v>
      </c>
      <c r="P6304">
        <v>-20.206074999999998</v>
      </c>
      <c r="Q6304">
        <v>-44.923881999999999</v>
      </c>
      <c r="R6304" s="2" t="str">
        <f>HYPERLINK("https://www.google.com/maps?q=-20.2060750,-44.9238820","Abrir no Google Maps")</f>
        <v>Abrir no Google Maps</v>
      </c>
      <c r="S6304">
        <v>3</v>
      </c>
      <c r="T6304">
        <v>2167.614130207975</v>
      </c>
      <c r="U6304">
        <v>4</v>
      </c>
      <c r="V6304">
        <v>0.5123290161326971</v>
      </c>
      <c r="W6304">
        <v>1</v>
      </c>
      <c r="X6304">
        <v>0.5123290161326971</v>
      </c>
      <c r="Y6304">
        <v>113</v>
      </c>
      <c r="Z6304">
        <v>2279.572967498636</v>
      </c>
      <c r="AA6304">
        <v>198</v>
      </c>
      <c r="AB6304">
        <v>332</v>
      </c>
      <c r="AC6304">
        <v>536</v>
      </c>
      <c r="AD6304">
        <v>29.58</v>
      </c>
      <c r="AE6304">
        <v>542</v>
      </c>
      <c r="AF6304">
        <v>30</v>
      </c>
      <c r="AG6304">
        <v>169</v>
      </c>
      <c r="AH6304">
        <v>129</v>
      </c>
      <c r="AI6304">
        <v>5.54</v>
      </c>
      <c r="AJ6304">
        <v>31.18</v>
      </c>
      <c r="AK6304">
        <v>23.8</v>
      </c>
      <c r="AL6304">
        <v>-20.206031099999961</v>
      </c>
      <c r="AM6304">
        <v>-44.923641529947623</v>
      </c>
      <c r="AN6304">
        <v>-20.206031099999961</v>
      </c>
      <c r="AO6304">
        <v>-44.923641529947623</v>
      </c>
      <c r="AP6304">
        <v>-20.206074999999998</v>
      </c>
      <c r="AQ6304">
        <v>-44.923881999999999</v>
      </c>
      <c r="AR6304">
        <v>25.59258324329182</v>
      </c>
      <c r="AS6304" t="s">
        <v>65</v>
      </c>
      <c r="AT6304">
        <v>1</v>
      </c>
      <c r="AU6304" t="s">
        <v>1823</v>
      </c>
      <c r="AV6304" t="s">
        <v>1824</v>
      </c>
      <c r="AW6304" t="s">
        <v>60</v>
      </c>
      <c r="AX6304" t="s">
        <v>68</v>
      </c>
      <c r="AY6304" t="s">
        <v>69</v>
      </c>
      <c r="AZ6304" t="b">
        <v>1</v>
      </c>
    </row>
    <row r="6305" spans="1:52" x14ac:dyDescent="0.3">
      <c r="A6305" t="s">
        <v>52</v>
      </c>
      <c r="B6305" t="s">
        <v>53</v>
      </c>
      <c r="C6305" t="s">
        <v>54</v>
      </c>
      <c r="D6305" t="s">
        <v>55</v>
      </c>
      <c r="E6305" t="s">
        <v>2295</v>
      </c>
      <c r="F6305" t="s">
        <v>190</v>
      </c>
      <c r="G6305" t="s">
        <v>1825</v>
      </c>
      <c r="H6305" t="s">
        <v>1826</v>
      </c>
      <c r="I6305" t="s">
        <v>1826</v>
      </c>
      <c r="J6305" t="s">
        <v>60</v>
      </c>
      <c r="K6305" t="s">
        <v>1821</v>
      </c>
      <c r="L6305" t="s">
        <v>62</v>
      </c>
      <c r="M6305" t="s">
        <v>1821</v>
      </c>
      <c r="N6305" t="s">
        <v>1827</v>
      </c>
      <c r="O6305" t="s">
        <v>303</v>
      </c>
      <c r="P6305">
        <v>-20.209962000000001</v>
      </c>
      <c r="Q6305">
        <v>-44.922398000000001</v>
      </c>
      <c r="R6305" s="2" t="str">
        <f>HYPERLINK("https://www.google.com/maps?q=-20.2099620,-44.9223980","Abrir no Google Maps")</f>
        <v>Abrir no Google Maps</v>
      </c>
      <c r="S6305">
        <v>3</v>
      </c>
      <c r="T6305">
        <v>2648.9288862562971</v>
      </c>
      <c r="U6305">
        <v>4</v>
      </c>
      <c r="V6305">
        <v>0.52928285162267308</v>
      </c>
      <c r="W6305">
        <v>1</v>
      </c>
      <c r="X6305">
        <v>0.52928285162267308</v>
      </c>
      <c r="Y6305">
        <v>113</v>
      </c>
      <c r="Z6305">
        <v>2658.455493028307</v>
      </c>
      <c r="AA6305">
        <v>198</v>
      </c>
      <c r="AB6305">
        <v>332</v>
      </c>
      <c r="AC6305">
        <v>536</v>
      </c>
      <c r="AD6305">
        <v>29.58</v>
      </c>
      <c r="AE6305">
        <v>542</v>
      </c>
      <c r="AF6305">
        <v>30</v>
      </c>
      <c r="AG6305">
        <v>169</v>
      </c>
      <c r="AH6305">
        <v>129</v>
      </c>
      <c r="AI6305">
        <v>5.54</v>
      </c>
      <c r="AJ6305">
        <v>31.18</v>
      </c>
      <c r="AK6305">
        <v>23.8</v>
      </c>
      <c r="AL6305">
        <v>-20.210291849999951</v>
      </c>
      <c r="AM6305">
        <v>-44.921758447931353</v>
      </c>
      <c r="AN6305">
        <v>-20.210291849999951</v>
      </c>
      <c r="AO6305">
        <v>-44.921758447931353</v>
      </c>
      <c r="AP6305">
        <v>-20.209962000000001</v>
      </c>
      <c r="AQ6305">
        <v>-44.922398000000001</v>
      </c>
      <c r="AR6305">
        <v>76.23686013355892</v>
      </c>
      <c r="AS6305" t="s">
        <v>65</v>
      </c>
      <c r="AT6305">
        <v>1</v>
      </c>
      <c r="AU6305" t="s">
        <v>1828</v>
      </c>
      <c r="AV6305" t="s">
        <v>1829</v>
      </c>
      <c r="AW6305" t="s">
        <v>60</v>
      </c>
      <c r="AX6305" t="s">
        <v>68</v>
      </c>
      <c r="AY6305" t="s">
        <v>69</v>
      </c>
      <c r="AZ6305" t="b">
        <v>1</v>
      </c>
    </row>
    <row r="6306" spans="1:52" x14ac:dyDescent="0.3">
      <c r="A6306" t="s">
        <v>52</v>
      </c>
      <c r="B6306" t="s">
        <v>53</v>
      </c>
      <c r="C6306" t="s">
        <v>54</v>
      </c>
      <c r="D6306" t="s">
        <v>55</v>
      </c>
      <c r="E6306" t="s">
        <v>2295</v>
      </c>
      <c r="F6306" t="s">
        <v>190</v>
      </c>
      <c r="G6306" t="s">
        <v>1830</v>
      </c>
      <c r="H6306" t="s">
        <v>1831</v>
      </c>
      <c r="I6306" t="s">
        <v>1831</v>
      </c>
      <c r="J6306" t="s">
        <v>60</v>
      </c>
      <c r="K6306" t="s">
        <v>1243</v>
      </c>
      <c r="L6306" t="s">
        <v>62</v>
      </c>
      <c r="M6306" t="s">
        <v>1243</v>
      </c>
      <c r="N6306" t="s">
        <v>1832</v>
      </c>
      <c r="O6306" t="s">
        <v>1833</v>
      </c>
      <c r="P6306">
        <v>-20.196815999999998</v>
      </c>
      <c r="Q6306">
        <v>-44.940482000000003</v>
      </c>
      <c r="R6306" s="2" t="str">
        <f>HYPERLINK("https://www.google.com/maps?q=-20.1968160,-44.9404820","Abrir no Google Maps")</f>
        <v>Abrir no Google Maps</v>
      </c>
      <c r="S6306">
        <v>3</v>
      </c>
      <c r="T6306">
        <v>536.34378309151361</v>
      </c>
      <c r="U6306">
        <v>4</v>
      </c>
      <c r="V6306">
        <v>0.46723875927415748</v>
      </c>
      <c r="W6306">
        <v>1</v>
      </c>
      <c r="X6306">
        <v>0.46723875927415748</v>
      </c>
      <c r="Y6306">
        <v>113</v>
      </c>
      <c r="Z6306">
        <v>376.90325621866373</v>
      </c>
      <c r="AA6306">
        <v>198</v>
      </c>
      <c r="AB6306">
        <v>332</v>
      </c>
      <c r="AC6306">
        <v>536</v>
      </c>
      <c r="AD6306">
        <v>29.58</v>
      </c>
      <c r="AE6306">
        <v>542</v>
      </c>
      <c r="AF6306">
        <v>30</v>
      </c>
      <c r="AG6306">
        <v>169</v>
      </c>
      <c r="AH6306">
        <v>129</v>
      </c>
      <c r="AI6306">
        <v>5.54</v>
      </c>
      <c r="AJ6306">
        <v>31.18</v>
      </c>
      <c r="AK6306">
        <v>23.8</v>
      </c>
      <c r="AL6306">
        <v>-20.196517149999949</v>
      </c>
      <c r="AM6306">
        <v>-44.94010487355537</v>
      </c>
      <c r="AN6306">
        <v>-20.196517149999949</v>
      </c>
      <c r="AO6306">
        <v>-44.94010487355537</v>
      </c>
      <c r="AP6306">
        <v>-20.196815999999998</v>
      </c>
      <c r="AQ6306">
        <v>-44.940482000000003</v>
      </c>
      <c r="AR6306">
        <v>51.566969969189948</v>
      </c>
      <c r="AS6306" t="s">
        <v>65</v>
      </c>
      <c r="AT6306">
        <v>1</v>
      </c>
      <c r="AU6306" t="s">
        <v>1834</v>
      </c>
      <c r="AV6306" t="s">
        <v>1835</v>
      </c>
      <c r="AW6306" t="s">
        <v>60</v>
      </c>
      <c r="AX6306" t="s">
        <v>68</v>
      </c>
      <c r="AY6306" t="s">
        <v>69</v>
      </c>
      <c r="AZ6306" t="b">
        <v>1</v>
      </c>
    </row>
    <row r="6307" spans="1:52" x14ac:dyDescent="0.3">
      <c r="A6307" t="s">
        <v>52</v>
      </c>
      <c r="B6307" t="s">
        <v>53</v>
      </c>
      <c r="C6307" t="s">
        <v>54</v>
      </c>
      <c r="D6307" t="s">
        <v>55</v>
      </c>
      <c r="E6307" t="s">
        <v>2295</v>
      </c>
      <c r="F6307" t="s">
        <v>190</v>
      </c>
      <c r="G6307" t="s">
        <v>1836</v>
      </c>
      <c r="H6307" t="s">
        <v>1837</v>
      </c>
      <c r="I6307" t="s">
        <v>1837</v>
      </c>
      <c r="J6307" t="s">
        <v>60</v>
      </c>
      <c r="K6307" t="s">
        <v>1243</v>
      </c>
      <c r="L6307" t="s">
        <v>62</v>
      </c>
      <c r="M6307" t="s">
        <v>1243</v>
      </c>
      <c r="N6307" t="s">
        <v>1838</v>
      </c>
      <c r="O6307" t="s">
        <v>1839</v>
      </c>
      <c r="P6307">
        <v>-20.194417999999999</v>
      </c>
      <c r="Q6307">
        <v>-44.943080999999999</v>
      </c>
      <c r="R6307" s="2" t="str">
        <f>HYPERLINK("https://www.google.com/maps?q=-20.1944180,-44.9430810","Abrir no Google Maps")</f>
        <v>Abrir no Google Maps</v>
      </c>
      <c r="S6307">
        <v>3</v>
      </c>
      <c r="T6307">
        <v>570.3426559957137</v>
      </c>
      <c r="U6307">
        <v>4</v>
      </c>
      <c r="V6307">
        <v>0.49575409527395969</v>
      </c>
      <c r="W6307">
        <v>1</v>
      </c>
      <c r="X6307">
        <v>0.49575409527395969</v>
      </c>
      <c r="Y6307">
        <v>113</v>
      </c>
      <c r="Z6307">
        <v>342.73864025959449</v>
      </c>
      <c r="AA6307">
        <v>198</v>
      </c>
      <c r="AB6307">
        <v>332</v>
      </c>
      <c r="AC6307">
        <v>536</v>
      </c>
      <c r="AD6307">
        <v>29.58</v>
      </c>
      <c r="AE6307">
        <v>542</v>
      </c>
      <c r="AF6307">
        <v>30</v>
      </c>
      <c r="AG6307">
        <v>169</v>
      </c>
      <c r="AH6307">
        <v>129</v>
      </c>
      <c r="AI6307">
        <v>5.54</v>
      </c>
      <c r="AJ6307">
        <v>31.18</v>
      </c>
      <c r="AK6307">
        <v>23.8</v>
      </c>
      <c r="AL6307">
        <v>-20.194494749999929</v>
      </c>
      <c r="AM6307">
        <v>-44.942951635393733</v>
      </c>
      <c r="AN6307">
        <v>-20.194494749999929</v>
      </c>
      <c r="AO6307">
        <v>-44.942951635393733</v>
      </c>
      <c r="AP6307">
        <v>-20.194417999999999</v>
      </c>
      <c r="AQ6307">
        <v>-44.943080999999999</v>
      </c>
      <c r="AR6307">
        <v>15.9896188813922</v>
      </c>
      <c r="AS6307" t="s">
        <v>65</v>
      </c>
      <c r="AT6307">
        <v>1</v>
      </c>
      <c r="AU6307" t="s">
        <v>1840</v>
      </c>
      <c r="AV6307" t="s">
        <v>1841</v>
      </c>
      <c r="AW6307" t="s">
        <v>60</v>
      </c>
      <c r="AX6307" t="s">
        <v>68</v>
      </c>
      <c r="AY6307" t="s">
        <v>69</v>
      </c>
      <c r="AZ6307" t="b">
        <v>1</v>
      </c>
    </row>
    <row r="6308" spans="1:52" x14ac:dyDescent="0.3">
      <c r="A6308" t="s">
        <v>52</v>
      </c>
      <c r="B6308" t="s">
        <v>53</v>
      </c>
      <c r="C6308" t="s">
        <v>54</v>
      </c>
      <c r="D6308" t="s">
        <v>55</v>
      </c>
      <c r="E6308" t="s">
        <v>2295</v>
      </c>
      <c r="F6308" t="s">
        <v>190</v>
      </c>
      <c r="G6308" t="s">
        <v>1235</v>
      </c>
      <c r="H6308" t="s">
        <v>1236</v>
      </c>
      <c r="I6308" t="s">
        <v>1236</v>
      </c>
      <c r="J6308" t="s">
        <v>60</v>
      </c>
      <c r="K6308" t="s">
        <v>1237</v>
      </c>
      <c r="L6308" t="s">
        <v>62</v>
      </c>
      <c r="M6308" t="s">
        <v>1237</v>
      </c>
      <c r="N6308" t="s">
        <v>1238</v>
      </c>
      <c r="O6308" t="s">
        <v>315</v>
      </c>
      <c r="P6308">
        <v>-20.199687000000001</v>
      </c>
      <c r="Q6308">
        <v>-44.941882999999997</v>
      </c>
      <c r="R6308" s="2" t="str">
        <f>HYPERLINK("https://www.google.com/maps?q=-20.1996870,-44.9418830","Abrir no Google Maps")</f>
        <v>Abrir no Google Maps</v>
      </c>
      <c r="S6308">
        <v>3</v>
      </c>
      <c r="T6308">
        <v>928.80393950893483</v>
      </c>
      <c r="U6308">
        <v>4</v>
      </c>
      <c r="V6308">
        <v>0.4827066643276221</v>
      </c>
      <c r="W6308">
        <v>1</v>
      </c>
      <c r="X6308">
        <v>0.4827066643276221</v>
      </c>
      <c r="Y6308">
        <v>113</v>
      </c>
      <c r="Z6308">
        <v>798.11967422937732</v>
      </c>
      <c r="AA6308">
        <v>198</v>
      </c>
      <c r="AB6308">
        <v>332</v>
      </c>
      <c r="AC6308">
        <v>536</v>
      </c>
      <c r="AD6308">
        <v>29.58</v>
      </c>
      <c r="AE6308">
        <v>542</v>
      </c>
      <c r="AF6308">
        <v>30</v>
      </c>
      <c r="AG6308">
        <v>169</v>
      </c>
      <c r="AH6308">
        <v>129</v>
      </c>
      <c r="AI6308">
        <v>5.54</v>
      </c>
      <c r="AJ6308">
        <v>31.18</v>
      </c>
      <c r="AK6308">
        <v>23.8</v>
      </c>
      <c r="AL6308">
        <v>-20.199663899999958</v>
      </c>
      <c r="AM6308">
        <v>-44.941858448694838</v>
      </c>
      <c r="AN6308">
        <v>-20.199663899999958</v>
      </c>
      <c r="AO6308">
        <v>-44.941858448694838</v>
      </c>
      <c r="AP6308">
        <v>-20.199687000000001</v>
      </c>
      <c r="AQ6308">
        <v>-44.941882999999997</v>
      </c>
      <c r="AR6308">
        <v>3.632019521873886</v>
      </c>
      <c r="AS6308" t="s">
        <v>65</v>
      </c>
      <c r="AT6308">
        <v>1</v>
      </c>
      <c r="AU6308" t="s">
        <v>1239</v>
      </c>
      <c r="AV6308" t="s">
        <v>1240</v>
      </c>
      <c r="AW6308" t="s">
        <v>60</v>
      </c>
      <c r="AX6308" t="s">
        <v>68</v>
      </c>
      <c r="AY6308" t="s">
        <v>69</v>
      </c>
      <c r="AZ6308" t="b">
        <v>1</v>
      </c>
    </row>
    <row r="6309" spans="1:52" x14ac:dyDescent="0.3">
      <c r="A6309" t="s">
        <v>52</v>
      </c>
      <c r="B6309" t="s">
        <v>53</v>
      </c>
      <c r="C6309" t="s">
        <v>54</v>
      </c>
      <c r="D6309" t="s">
        <v>55</v>
      </c>
      <c r="E6309" t="s">
        <v>2295</v>
      </c>
      <c r="F6309" t="s">
        <v>190</v>
      </c>
      <c r="G6309" t="s">
        <v>1235</v>
      </c>
      <c r="H6309" t="s">
        <v>1847</v>
      </c>
      <c r="I6309" t="s">
        <v>1847</v>
      </c>
      <c r="J6309" t="s">
        <v>60</v>
      </c>
      <c r="K6309" t="s">
        <v>1243</v>
      </c>
      <c r="L6309" t="s">
        <v>62</v>
      </c>
      <c r="M6309" t="s">
        <v>1243</v>
      </c>
      <c r="N6309" t="s">
        <v>1238</v>
      </c>
      <c r="O6309" t="s">
        <v>1351</v>
      </c>
      <c r="P6309">
        <v>-20.194087</v>
      </c>
      <c r="Q6309">
        <v>-44.936889999999998</v>
      </c>
      <c r="R6309" s="2" t="str">
        <f>HYPERLINK("https://www.google.com/maps?q=-20.1940870,-44.9368900","Abrir no Google Maps")</f>
        <v>Abrir no Google Maps</v>
      </c>
      <c r="S6309">
        <v>3</v>
      </c>
      <c r="T6309">
        <v>257.18642318734362</v>
      </c>
      <c r="U6309">
        <v>4</v>
      </c>
      <c r="V6309">
        <v>0.46728439849245218</v>
      </c>
      <c r="W6309">
        <v>1</v>
      </c>
      <c r="X6309">
        <v>0.46728439849245218</v>
      </c>
      <c r="Y6309">
        <v>113</v>
      </c>
      <c r="Z6309">
        <v>339.77652558311001</v>
      </c>
      <c r="AA6309">
        <v>198</v>
      </c>
      <c r="AB6309">
        <v>332</v>
      </c>
      <c r="AC6309">
        <v>536</v>
      </c>
      <c r="AD6309">
        <v>29.58</v>
      </c>
      <c r="AE6309">
        <v>542</v>
      </c>
      <c r="AF6309">
        <v>30</v>
      </c>
      <c r="AG6309">
        <v>169</v>
      </c>
      <c r="AH6309">
        <v>129</v>
      </c>
      <c r="AI6309">
        <v>5.54</v>
      </c>
      <c r="AJ6309">
        <v>31.18</v>
      </c>
      <c r="AK6309">
        <v>23.8</v>
      </c>
      <c r="AL6309">
        <v>-20.19405954999996</v>
      </c>
      <c r="AM6309">
        <v>-44.936949074015281</v>
      </c>
      <c r="AN6309">
        <v>-20.19405954999996</v>
      </c>
      <c r="AO6309">
        <v>-44.936949074015281</v>
      </c>
      <c r="AP6309">
        <v>-20.194087</v>
      </c>
      <c r="AQ6309">
        <v>-44.936889999999998</v>
      </c>
      <c r="AR6309">
        <v>6.8869138825619167</v>
      </c>
      <c r="AS6309" t="s">
        <v>65</v>
      </c>
      <c r="AT6309">
        <v>1</v>
      </c>
      <c r="AU6309" t="s">
        <v>1848</v>
      </c>
      <c r="AV6309" t="s">
        <v>1849</v>
      </c>
      <c r="AW6309" t="s">
        <v>60</v>
      </c>
      <c r="AX6309" t="s">
        <v>68</v>
      </c>
      <c r="AY6309" t="s">
        <v>69</v>
      </c>
      <c r="AZ6309" t="b">
        <v>1</v>
      </c>
    </row>
    <row r="6310" spans="1:52" x14ac:dyDescent="0.3">
      <c r="A6310" t="s">
        <v>52</v>
      </c>
      <c r="B6310" t="s">
        <v>53</v>
      </c>
      <c r="C6310" t="s">
        <v>54</v>
      </c>
      <c r="D6310" t="s">
        <v>55</v>
      </c>
      <c r="E6310" t="s">
        <v>2295</v>
      </c>
      <c r="F6310" t="s">
        <v>190</v>
      </c>
      <c r="G6310" t="s">
        <v>1850</v>
      </c>
      <c r="H6310" t="s">
        <v>1851</v>
      </c>
      <c r="I6310" t="s">
        <v>1851</v>
      </c>
      <c r="J6310" t="s">
        <v>60</v>
      </c>
      <c r="K6310" t="s">
        <v>1681</v>
      </c>
      <c r="L6310" t="s">
        <v>62</v>
      </c>
      <c r="M6310" t="s">
        <v>1681</v>
      </c>
      <c r="N6310" t="s">
        <v>1852</v>
      </c>
      <c r="O6310" t="s">
        <v>1853</v>
      </c>
      <c r="P6310">
        <v>-20.139354000000001</v>
      </c>
      <c r="Q6310">
        <v>-44.855398999999998</v>
      </c>
      <c r="R6310" s="2" t="str">
        <f>HYPERLINK("https://www.google.com/maps?q=-20.1393540,-44.8553990","Abrir no Google Maps")</f>
        <v>Abrir no Google Maps</v>
      </c>
      <c r="S6310">
        <v>3</v>
      </c>
      <c r="T6310">
        <v>694.41696355871329</v>
      </c>
      <c r="U6310">
        <v>4</v>
      </c>
      <c r="V6310">
        <v>0.47622996424306208</v>
      </c>
      <c r="W6310">
        <v>1</v>
      </c>
      <c r="X6310">
        <v>0.47622996424306208</v>
      </c>
      <c r="Y6310">
        <v>95</v>
      </c>
      <c r="Z6310">
        <v>790.58507878435637</v>
      </c>
      <c r="AA6310">
        <v>198</v>
      </c>
      <c r="AB6310">
        <v>332</v>
      </c>
      <c r="AC6310">
        <v>536</v>
      </c>
      <c r="AD6310">
        <v>29.58</v>
      </c>
      <c r="AE6310">
        <v>542</v>
      </c>
      <c r="AF6310">
        <v>30</v>
      </c>
      <c r="AG6310">
        <v>169</v>
      </c>
      <c r="AH6310">
        <v>129</v>
      </c>
      <c r="AI6310">
        <v>5.54</v>
      </c>
      <c r="AJ6310">
        <v>31.18</v>
      </c>
      <c r="AK6310">
        <v>23.8</v>
      </c>
      <c r="AL6310">
        <v>-20.139412599999961</v>
      </c>
      <c r="AM6310">
        <v>-44.855150404999961</v>
      </c>
      <c r="AN6310">
        <v>-20.139412599999961</v>
      </c>
      <c r="AO6310">
        <v>-44.855150404999961</v>
      </c>
      <c r="AP6310">
        <v>-20.139354000000001</v>
      </c>
      <c r="AQ6310">
        <v>-44.855398999999998</v>
      </c>
      <c r="AR6310">
        <v>26.787980665123101</v>
      </c>
      <c r="AS6310" t="s">
        <v>65</v>
      </c>
      <c r="AT6310">
        <v>1</v>
      </c>
      <c r="AU6310" t="s">
        <v>1854</v>
      </c>
      <c r="AV6310" t="s">
        <v>1855</v>
      </c>
      <c r="AW6310" t="s">
        <v>60</v>
      </c>
      <c r="AX6310" t="s">
        <v>68</v>
      </c>
      <c r="AY6310" t="s">
        <v>69</v>
      </c>
      <c r="AZ6310" t="b">
        <v>1</v>
      </c>
    </row>
    <row r="6311" spans="1:52" x14ac:dyDescent="0.3">
      <c r="A6311" t="s">
        <v>52</v>
      </c>
      <c r="B6311" t="s">
        <v>53</v>
      </c>
      <c r="C6311" t="s">
        <v>54</v>
      </c>
      <c r="D6311" t="s">
        <v>55</v>
      </c>
      <c r="E6311" t="s">
        <v>2295</v>
      </c>
      <c r="F6311" t="s">
        <v>190</v>
      </c>
      <c r="G6311" t="s">
        <v>839</v>
      </c>
      <c r="H6311" t="s">
        <v>840</v>
      </c>
      <c r="I6311" t="s">
        <v>840</v>
      </c>
      <c r="J6311" t="s">
        <v>60</v>
      </c>
      <c r="K6311" t="s">
        <v>388</v>
      </c>
      <c r="L6311" t="s">
        <v>62</v>
      </c>
      <c r="M6311" t="s">
        <v>388</v>
      </c>
      <c r="N6311" t="s">
        <v>841</v>
      </c>
      <c r="O6311" t="s">
        <v>842</v>
      </c>
      <c r="P6311">
        <v>-20.159977999999999</v>
      </c>
      <c r="Q6311">
        <v>-44.900207000000002</v>
      </c>
      <c r="R6311" s="2" t="str">
        <f>HYPERLINK("https://www.google.com/maps?q=-20.1599780,-44.9002070","Abrir no Google Maps")</f>
        <v>Abrir no Google Maps</v>
      </c>
      <c r="S6311">
        <v>3</v>
      </c>
      <c r="T6311">
        <v>213.24333517300789</v>
      </c>
      <c r="U6311">
        <v>3</v>
      </c>
      <c r="V6311">
        <v>0.46053511705685618</v>
      </c>
      <c r="W6311">
        <v>1</v>
      </c>
      <c r="X6311">
        <v>0.46053511705685618</v>
      </c>
      <c r="Y6311">
        <v>729</v>
      </c>
      <c r="Z6311">
        <v>315.47173727880028</v>
      </c>
      <c r="AA6311">
        <v>198</v>
      </c>
      <c r="AB6311">
        <v>332</v>
      </c>
      <c r="AC6311">
        <v>536</v>
      </c>
      <c r="AD6311">
        <v>29.58</v>
      </c>
      <c r="AE6311">
        <v>542</v>
      </c>
      <c r="AF6311">
        <v>30</v>
      </c>
      <c r="AG6311">
        <v>169</v>
      </c>
      <c r="AH6311">
        <v>129</v>
      </c>
      <c r="AI6311">
        <v>5.54</v>
      </c>
      <c r="AJ6311">
        <v>31.18</v>
      </c>
      <c r="AK6311">
        <v>23.8</v>
      </c>
      <c r="AL6311">
        <v>-20.159825649999959</v>
      </c>
      <c r="AM6311">
        <v>-44.900143828909613</v>
      </c>
      <c r="AN6311">
        <v>-20.159825649999959</v>
      </c>
      <c r="AO6311">
        <v>-44.900143828909613</v>
      </c>
      <c r="AP6311">
        <v>-20.159977999999999</v>
      </c>
      <c r="AQ6311">
        <v>-44.900207000000002</v>
      </c>
      <c r="AR6311">
        <v>18.199073573580371</v>
      </c>
      <c r="AS6311" t="s">
        <v>65</v>
      </c>
      <c r="AT6311">
        <v>1</v>
      </c>
      <c r="AU6311" t="s">
        <v>843</v>
      </c>
      <c r="AV6311" t="s">
        <v>844</v>
      </c>
      <c r="AW6311" t="s">
        <v>60</v>
      </c>
      <c r="AX6311" t="s">
        <v>68</v>
      </c>
      <c r="AY6311" t="s">
        <v>69</v>
      </c>
      <c r="AZ6311" t="b">
        <v>1</v>
      </c>
    </row>
    <row r="6312" spans="1:52" x14ac:dyDescent="0.3">
      <c r="A6312" t="s">
        <v>52</v>
      </c>
      <c r="B6312" t="s">
        <v>53</v>
      </c>
      <c r="C6312" t="s">
        <v>54</v>
      </c>
      <c r="D6312" t="s">
        <v>55</v>
      </c>
      <c r="E6312" t="s">
        <v>2295</v>
      </c>
      <c r="F6312" t="s">
        <v>190</v>
      </c>
      <c r="G6312" t="s">
        <v>386</v>
      </c>
      <c r="H6312" t="s">
        <v>387</v>
      </c>
      <c r="I6312" t="s">
        <v>387</v>
      </c>
      <c r="J6312" t="s">
        <v>60</v>
      </c>
      <c r="K6312" t="s">
        <v>388</v>
      </c>
      <c r="L6312" t="s">
        <v>62</v>
      </c>
      <c r="M6312" t="s">
        <v>388</v>
      </c>
      <c r="N6312" t="s">
        <v>389</v>
      </c>
      <c r="O6312" t="s">
        <v>357</v>
      </c>
      <c r="P6312">
        <v>-20.161041999999998</v>
      </c>
      <c r="Q6312">
        <v>-44.901242000000003</v>
      </c>
      <c r="R6312" s="2" t="str">
        <f>HYPERLINK("https://www.google.com/maps?q=-20.1610420,-44.9012420","Abrir no Google Maps")</f>
        <v>Abrir no Google Maps</v>
      </c>
      <c r="S6312">
        <v>3</v>
      </c>
      <c r="T6312">
        <v>440.22183232279212</v>
      </c>
      <c r="U6312">
        <v>3</v>
      </c>
      <c r="V6312">
        <v>0.45662025662025663</v>
      </c>
      <c r="W6312">
        <v>1</v>
      </c>
      <c r="X6312">
        <v>0.45662025662025663</v>
      </c>
      <c r="Y6312">
        <v>729</v>
      </c>
      <c r="Z6312">
        <v>398.48306829302379</v>
      </c>
      <c r="AA6312">
        <v>198</v>
      </c>
      <c r="AB6312">
        <v>332</v>
      </c>
      <c r="AC6312">
        <v>536</v>
      </c>
      <c r="AD6312">
        <v>29.58</v>
      </c>
      <c r="AE6312">
        <v>542</v>
      </c>
      <c r="AF6312">
        <v>30</v>
      </c>
      <c r="AG6312">
        <v>169</v>
      </c>
      <c r="AH6312">
        <v>129</v>
      </c>
      <c r="AI6312">
        <v>5.54</v>
      </c>
      <c r="AJ6312">
        <v>31.18</v>
      </c>
      <c r="AK6312">
        <v>23.8</v>
      </c>
      <c r="AL6312">
        <v>-20.16176629999995</v>
      </c>
      <c r="AM6312">
        <v>-44.901582787827898</v>
      </c>
      <c r="AN6312">
        <v>-20.16176629999995</v>
      </c>
      <c r="AO6312">
        <v>-44.901582787827898</v>
      </c>
      <c r="AP6312">
        <v>-20.161041999999998</v>
      </c>
      <c r="AQ6312">
        <v>-44.901242000000003</v>
      </c>
      <c r="AR6312">
        <v>88.143369157892835</v>
      </c>
      <c r="AS6312" t="s">
        <v>65</v>
      </c>
      <c r="AT6312">
        <v>1</v>
      </c>
      <c r="AU6312" t="s">
        <v>390</v>
      </c>
      <c r="AV6312" t="s">
        <v>391</v>
      </c>
      <c r="AW6312" t="s">
        <v>60</v>
      </c>
      <c r="AX6312" t="s">
        <v>68</v>
      </c>
      <c r="AY6312" t="s">
        <v>69</v>
      </c>
      <c r="AZ6312" t="b">
        <v>1</v>
      </c>
    </row>
    <row r="6313" spans="1:52" x14ac:dyDescent="0.3">
      <c r="A6313" t="s">
        <v>52</v>
      </c>
      <c r="B6313" t="s">
        <v>53</v>
      </c>
      <c r="C6313" t="s">
        <v>54</v>
      </c>
      <c r="D6313" t="s">
        <v>55</v>
      </c>
      <c r="E6313" t="s">
        <v>2295</v>
      </c>
      <c r="F6313" t="s">
        <v>190</v>
      </c>
      <c r="G6313" t="s">
        <v>392</v>
      </c>
      <c r="H6313" t="s">
        <v>393</v>
      </c>
      <c r="I6313" t="s">
        <v>393</v>
      </c>
      <c r="J6313" t="s">
        <v>60</v>
      </c>
      <c r="K6313" t="s">
        <v>388</v>
      </c>
      <c r="L6313" t="s">
        <v>62</v>
      </c>
      <c r="M6313" t="s">
        <v>388</v>
      </c>
      <c r="N6313" t="s">
        <v>394</v>
      </c>
      <c r="O6313" t="s">
        <v>395</v>
      </c>
      <c r="P6313">
        <v>-20.158066999999999</v>
      </c>
      <c r="Q6313">
        <v>-44.908164999999997</v>
      </c>
      <c r="R6313" s="2" t="str">
        <f>HYPERLINK("https://www.google.com/maps?q=-20.1580670,-44.9081650","Abrir no Google Maps")</f>
        <v>Abrir no Google Maps</v>
      </c>
      <c r="S6313">
        <v>3</v>
      </c>
      <c r="T6313">
        <v>666.74434317993041</v>
      </c>
      <c r="U6313">
        <v>3</v>
      </c>
      <c r="V6313">
        <v>0.43791604119361027</v>
      </c>
      <c r="W6313">
        <v>1</v>
      </c>
      <c r="X6313">
        <v>0.43791604119361027</v>
      </c>
      <c r="Y6313">
        <v>729</v>
      </c>
      <c r="Z6313">
        <v>612.4323328215396</v>
      </c>
      <c r="AA6313">
        <v>198</v>
      </c>
      <c r="AB6313">
        <v>332</v>
      </c>
      <c r="AC6313">
        <v>536</v>
      </c>
      <c r="AD6313">
        <v>29.58</v>
      </c>
      <c r="AE6313">
        <v>542</v>
      </c>
      <c r="AF6313">
        <v>30</v>
      </c>
      <c r="AG6313">
        <v>169</v>
      </c>
      <c r="AH6313">
        <v>129</v>
      </c>
      <c r="AI6313">
        <v>5.54</v>
      </c>
      <c r="AJ6313">
        <v>31.18</v>
      </c>
      <c r="AK6313">
        <v>23.8</v>
      </c>
      <c r="AL6313">
        <v>-20.158151449999959</v>
      </c>
      <c r="AM6313">
        <v>-44.908107718360938</v>
      </c>
      <c r="AN6313">
        <v>-20.158151449999959</v>
      </c>
      <c r="AO6313">
        <v>-44.908107718360938</v>
      </c>
      <c r="AP6313">
        <v>-20.158066999999999</v>
      </c>
      <c r="AQ6313">
        <v>-44.908164999999997</v>
      </c>
      <c r="AR6313">
        <v>11.14497345894574</v>
      </c>
      <c r="AS6313" t="s">
        <v>65</v>
      </c>
      <c r="AT6313">
        <v>1</v>
      </c>
      <c r="AU6313" t="s">
        <v>396</v>
      </c>
      <c r="AV6313" t="s">
        <v>397</v>
      </c>
      <c r="AW6313" t="s">
        <v>60</v>
      </c>
      <c r="AX6313" t="s">
        <v>68</v>
      </c>
      <c r="AY6313" t="s">
        <v>69</v>
      </c>
      <c r="AZ6313" t="b">
        <v>1</v>
      </c>
    </row>
    <row r="6314" spans="1:52" x14ac:dyDescent="0.3">
      <c r="A6314" t="s">
        <v>52</v>
      </c>
      <c r="B6314" t="s">
        <v>53</v>
      </c>
      <c r="C6314" t="s">
        <v>54</v>
      </c>
      <c r="D6314" t="s">
        <v>55</v>
      </c>
      <c r="E6314" t="s">
        <v>2295</v>
      </c>
      <c r="F6314" t="s">
        <v>190</v>
      </c>
      <c r="G6314" t="s">
        <v>404</v>
      </c>
      <c r="H6314" t="s">
        <v>405</v>
      </c>
      <c r="I6314" t="s">
        <v>405</v>
      </c>
      <c r="J6314" t="s">
        <v>60</v>
      </c>
      <c r="K6314" t="s">
        <v>388</v>
      </c>
      <c r="L6314" t="s">
        <v>62</v>
      </c>
      <c r="M6314" t="s">
        <v>388</v>
      </c>
      <c r="N6314" t="s">
        <v>406</v>
      </c>
      <c r="O6314" t="s">
        <v>407</v>
      </c>
      <c r="P6314">
        <v>-20.162780999999999</v>
      </c>
      <c r="Q6314">
        <v>-44.904437999999999</v>
      </c>
      <c r="R6314" s="2" t="str">
        <f>HYPERLINK("https://www.google.com/maps?q=-20.1627810,-44.9044380","Abrir no Google Maps")</f>
        <v>Abrir no Google Maps</v>
      </c>
      <c r="S6314">
        <v>3</v>
      </c>
      <c r="T6314">
        <v>681.0891377731482</v>
      </c>
      <c r="U6314">
        <v>3</v>
      </c>
      <c r="V6314">
        <v>0.45761644894220199</v>
      </c>
      <c r="W6314">
        <v>1</v>
      </c>
      <c r="X6314">
        <v>0.45761644894220199</v>
      </c>
      <c r="Y6314">
        <v>729</v>
      </c>
      <c r="Z6314">
        <v>564.17713687218622</v>
      </c>
      <c r="AA6314">
        <v>198</v>
      </c>
      <c r="AB6314">
        <v>332</v>
      </c>
      <c r="AC6314">
        <v>536</v>
      </c>
      <c r="AD6314">
        <v>29.58</v>
      </c>
      <c r="AE6314">
        <v>542</v>
      </c>
      <c r="AF6314">
        <v>30</v>
      </c>
      <c r="AG6314">
        <v>169</v>
      </c>
      <c r="AH6314">
        <v>129</v>
      </c>
      <c r="AI6314">
        <v>5.54</v>
      </c>
      <c r="AJ6314">
        <v>31.18</v>
      </c>
      <c r="AK6314">
        <v>23.8</v>
      </c>
      <c r="AL6314">
        <v>-20.16295434999995</v>
      </c>
      <c r="AM6314">
        <v>-44.904242686956152</v>
      </c>
      <c r="AN6314">
        <v>-20.16295434999995</v>
      </c>
      <c r="AO6314">
        <v>-44.904242686956152</v>
      </c>
      <c r="AP6314">
        <v>-20.162780999999999</v>
      </c>
      <c r="AQ6314">
        <v>-44.904437999999999</v>
      </c>
      <c r="AR6314">
        <v>28.088191280523411</v>
      </c>
      <c r="AS6314" t="s">
        <v>65</v>
      </c>
      <c r="AT6314">
        <v>1</v>
      </c>
      <c r="AU6314" t="s">
        <v>408</v>
      </c>
      <c r="AV6314" t="s">
        <v>409</v>
      </c>
      <c r="AW6314" t="s">
        <v>60</v>
      </c>
      <c r="AX6314" t="s">
        <v>68</v>
      </c>
      <c r="AY6314" t="s">
        <v>69</v>
      </c>
      <c r="AZ6314" t="b">
        <v>1</v>
      </c>
    </row>
    <row r="6315" spans="1:52" x14ac:dyDescent="0.3">
      <c r="A6315" t="s">
        <v>52</v>
      </c>
      <c r="B6315" t="s">
        <v>53</v>
      </c>
      <c r="C6315" t="s">
        <v>54</v>
      </c>
      <c r="D6315" t="s">
        <v>55</v>
      </c>
      <c r="E6315" t="s">
        <v>2295</v>
      </c>
      <c r="F6315" t="s">
        <v>190</v>
      </c>
      <c r="G6315" t="s">
        <v>422</v>
      </c>
      <c r="H6315" t="s">
        <v>423</v>
      </c>
      <c r="I6315" t="s">
        <v>423</v>
      </c>
      <c r="J6315" t="s">
        <v>60</v>
      </c>
      <c r="K6315" t="s">
        <v>424</v>
      </c>
      <c r="L6315" t="s">
        <v>62</v>
      </c>
      <c r="M6315" t="s">
        <v>424</v>
      </c>
      <c r="N6315" t="s">
        <v>425</v>
      </c>
      <c r="O6315" t="s">
        <v>426</v>
      </c>
      <c r="P6315">
        <v>-20.177748000000001</v>
      </c>
      <c r="Q6315">
        <v>-44.912475000000001</v>
      </c>
      <c r="R6315" s="2" t="str">
        <f>HYPERLINK("https://www.google.com/maps?q=-20.1777480,-44.9124750","Abrir no Google Maps")</f>
        <v>Abrir no Google Maps</v>
      </c>
      <c r="S6315">
        <v>3</v>
      </c>
      <c r="T6315">
        <v>657.07560140436533</v>
      </c>
      <c r="U6315">
        <v>3</v>
      </c>
      <c r="V6315">
        <v>0.46011980052630808</v>
      </c>
      <c r="W6315">
        <v>1</v>
      </c>
      <c r="X6315">
        <v>0.46011980052630808</v>
      </c>
      <c r="Y6315">
        <v>723</v>
      </c>
      <c r="Z6315">
        <v>796.94198000561175</v>
      </c>
      <c r="AA6315">
        <v>198</v>
      </c>
      <c r="AB6315">
        <v>332</v>
      </c>
      <c r="AC6315">
        <v>536</v>
      </c>
      <c r="AD6315">
        <v>29.58</v>
      </c>
      <c r="AE6315">
        <v>542</v>
      </c>
      <c r="AF6315">
        <v>30</v>
      </c>
      <c r="AG6315">
        <v>169</v>
      </c>
      <c r="AH6315">
        <v>129</v>
      </c>
      <c r="AI6315">
        <v>5.54</v>
      </c>
      <c r="AJ6315">
        <v>31.18</v>
      </c>
      <c r="AK6315">
        <v>23.8</v>
      </c>
      <c r="AL6315">
        <v>-20.177761749999949</v>
      </c>
      <c r="AM6315">
        <v>-44.91263311624418</v>
      </c>
      <c r="AN6315">
        <v>-20.177761749999949</v>
      </c>
      <c r="AO6315">
        <v>-44.91263311624418</v>
      </c>
      <c r="AP6315">
        <v>-20.177748000000001</v>
      </c>
      <c r="AQ6315">
        <v>-44.912475000000001</v>
      </c>
      <c r="AR6315">
        <v>16.591996803075372</v>
      </c>
      <c r="AS6315" t="s">
        <v>65</v>
      </c>
      <c r="AT6315">
        <v>1</v>
      </c>
      <c r="AU6315" t="s">
        <v>427</v>
      </c>
      <c r="AV6315" t="s">
        <v>428</v>
      </c>
      <c r="AW6315" t="s">
        <v>60</v>
      </c>
      <c r="AX6315" t="s">
        <v>68</v>
      </c>
      <c r="AY6315" t="s">
        <v>69</v>
      </c>
      <c r="AZ6315" t="b">
        <v>1</v>
      </c>
    </row>
    <row r="6316" spans="1:52" x14ac:dyDescent="0.3">
      <c r="A6316" t="s">
        <v>52</v>
      </c>
      <c r="B6316" t="s">
        <v>53</v>
      </c>
      <c r="C6316" t="s">
        <v>54</v>
      </c>
      <c r="D6316" t="s">
        <v>55</v>
      </c>
      <c r="E6316" t="s">
        <v>2295</v>
      </c>
      <c r="F6316" t="s">
        <v>190</v>
      </c>
      <c r="G6316" t="s">
        <v>448</v>
      </c>
      <c r="H6316" t="s">
        <v>449</v>
      </c>
      <c r="I6316" t="s">
        <v>449</v>
      </c>
      <c r="J6316" t="s">
        <v>60</v>
      </c>
      <c r="K6316" t="s">
        <v>388</v>
      </c>
      <c r="L6316" t="s">
        <v>62</v>
      </c>
      <c r="M6316" t="s">
        <v>388</v>
      </c>
      <c r="N6316" t="s">
        <v>450</v>
      </c>
      <c r="O6316" t="s">
        <v>451</v>
      </c>
      <c r="P6316">
        <v>-20.163981</v>
      </c>
      <c r="Q6316">
        <v>-44.907128999999998</v>
      </c>
      <c r="R6316" s="2" t="str">
        <f>HYPERLINK("https://www.google.com/maps?q=-20.1639810,-44.9071290","Abrir no Google Maps")</f>
        <v>Abrir no Google Maps</v>
      </c>
      <c r="S6316">
        <v>3</v>
      </c>
      <c r="T6316">
        <v>782.50730806588319</v>
      </c>
      <c r="U6316">
        <v>3</v>
      </c>
      <c r="V6316">
        <v>0.44646024171283338</v>
      </c>
      <c r="W6316">
        <v>1</v>
      </c>
      <c r="X6316">
        <v>0.44646024171283338</v>
      </c>
      <c r="Y6316">
        <v>639</v>
      </c>
      <c r="Z6316">
        <v>710.90621453796166</v>
      </c>
      <c r="AA6316">
        <v>198</v>
      </c>
      <c r="AB6316">
        <v>332</v>
      </c>
      <c r="AC6316">
        <v>536</v>
      </c>
      <c r="AD6316">
        <v>29.58</v>
      </c>
      <c r="AE6316">
        <v>542</v>
      </c>
      <c r="AF6316">
        <v>30</v>
      </c>
      <c r="AG6316">
        <v>169</v>
      </c>
      <c r="AH6316">
        <v>129</v>
      </c>
      <c r="AI6316">
        <v>5.54</v>
      </c>
      <c r="AJ6316">
        <v>31.18</v>
      </c>
      <c r="AK6316">
        <v>23.8</v>
      </c>
      <c r="AL6316">
        <v>-20.163958349999969</v>
      </c>
      <c r="AM6316">
        <v>-44.907180923930973</v>
      </c>
      <c r="AN6316">
        <v>-20.163958349999969</v>
      </c>
      <c r="AO6316">
        <v>-44.907180923930973</v>
      </c>
      <c r="AP6316">
        <v>-20.163981</v>
      </c>
      <c r="AQ6316">
        <v>-44.907128999999998</v>
      </c>
      <c r="AR6316">
        <v>5.9831345092457884</v>
      </c>
      <c r="AS6316" t="s">
        <v>65</v>
      </c>
      <c r="AT6316">
        <v>1</v>
      </c>
      <c r="AU6316" t="s">
        <v>452</v>
      </c>
      <c r="AV6316" t="s">
        <v>453</v>
      </c>
      <c r="AW6316" t="s">
        <v>60</v>
      </c>
      <c r="AX6316" t="s">
        <v>68</v>
      </c>
      <c r="AY6316" t="s">
        <v>69</v>
      </c>
      <c r="AZ6316" t="b">
        <v>1</v>
      </c>
    </row>
    <row r="6317" spans="1:52" x14ac:dyDescent="0.3">
      <c r="A6317" t="s">
        <v>52</v>
      </c>
      <c r="B6317" t="s">
        <v>53</v>
      </c>
      <c r="C6317" t="s">
        <v>54</v>
      </c>
      <c r="D6317" t="s">
        <v>55</v>
      </c>
      <c r="E6317" t="s">
        <v>2295</v>
      </c>
      <c r="F6317" t="s">
        <v>190</v>
      </c>
      <c r="G6317" t="s">
        <v>454</v>
      </c>
      <c r="H6317" t="s">
        <v>455</v>
      </c>
      <c r="I6317" t="s">
        <v>455</v>
      </c>
      <c r="J6317" t="s">
        <v>60</v>
      </c>
      <c r="K6317" t="s">
        <v>456</v>
      </c>
      <c r="L6317" t="s">
        <v>62</v>
      </c>
      <c r="M6317" t="s">
        <v>456</v>
      </c>
      <c r="N6317" t="s">
        <v>102</v>
      </c>
      <c r="O6317" t="s">
        <v>457</v>
      </c>
      <c r="P6317">
        <v>-20.138373999999999</v>
      </c>
      <c r="Q6317">
        <v>-44.903756999999999</v>
      </c>
      <c r="R6317" s="2" t="str">
        <f>HYPERLINK("https://www.google.com/maps?q=-20.1383740,-44.9037570","Abrir no Google Maps")</f>
        <v>Abrir no Google Maps</v>
      </c>
      <c r="S6317">
        <v>3</v>
      </c>
      <c r="T6317">
        <v>357.59466273594461</v>
      </c>
      <c r="U6317">
        <v>3</v>
      </c>
      <c r="V6317">
        <v>0.45866402116402111</v>
      </c>
      <c r="W6317">
        <v>1</v>
      </c>
      <c r="X6317">
        <v>0.45866402116402111</v>
      </c>
      <c r="Y6317">
        <v>581</v>
      </c>
      <c r="Z6317">
        <v>406.92482694505992</v>
      </c>
      <c r="AA6317">
        <v>198</v>
      </c>
      <c r="AB6317">
        <v>332</v>
      </c>
      <c r="AC6317">
        <v>536</v>
      </c>
      <c r="AD6317">
        <v>29.58</v>
      </c>
      <c r="AE6317">
        <v>542</v>
      </c>
      <c r="AF6317">
        <v>30</v>
      </c>
      <c r="AG6317">
        <v>169</v>
      </c>
      <c r="AH6317">
        <v>129</v>
      </c>
      <c r="AI6317">
        <v>5.54</v>
      </c>
      <c r="AJ6317">
        <v>31.18</v>
      </c>
      <c r="AK6317">
        <v>23.8</v>
      </c>
      <c r="AL6317">
        <v>-20.138338199999961</v>
      </c>
      <c r="AM6317">
        <v>-44.903768618976301</v>
      </c>
      <c r="AN6317">
        <v>-20.138338199999961</v>
      </c>
      <c r="AO6317">
        <v>-44.903768618976301</v>
      </c>
      <c r="AP6317">
        <v>-20.138373999999999</v>
      </c>
      <c r="AQ6317">
        <v>-44.903756999999999</v>
      </c>
      <c r="AR6317">
        <v>4.1661625938922704</v>
      </c>
      <c r="AS6317" t="s">
        <v>65</v>
      </c>
      <c r="AT6317">
        <v>1</v>
      </c>
      <c r="AU6317" t="s">
        <v>458</v>
      </c>
      <c r="AV6317" t="s">
        <v>459</v>
      </c>
      <c r="AW6317" t="s">
        <v>60</v>
      </c>
      <c r="AX6317" t="s">
        <v>68</v>
      </c>
      <c r="AY6317" t="s">
        <v>69</v>
      </c>
      <c r="AZ6317" t="b">
        <v>1</v>
      </c>
    </row>
    <row r="6318" spans="1:52" x14ac:dyDescent="0.3">
      <c r="A6318" t="s">
        <v>52</v>
      </c>
      <c r="B6318" t="s">
        <v>53</v>
      </c>
      <c r="C6318" t="s">
        <v>54</v>
      </c>
      <c r="D6318" t="s">
        <v>55</v>
      </c>
      <c r="E6318" t="s">
        <v>2295</v>
      </c>
      <c r="F6318" t="s">
        <v>190</v>
      </c>
      <c r="G6318" t="s">
        <v>851</v>
      </c>
      <c r="H6318" t="s">
        <v>852</v>
      </c>
      <c r="I6318" t="s">
        <v>852</v>
      </c>
      <c r="J6318" t="s">
        <v>60</v>
      </c>
      <c r="K6318" t="s">
        <v>853</v>
      </c>
      <c r="L6318" t="s">
        <v>62</v>
      </c>
      <c r="M6318" t="s">
        <v>853</v>
      </c>
      <c r="N6318" t="s">
        <v>854</v>
      </c>
      <c r="O6318" t="s">
        <v>855</v>
      </c>
      <c r="P6318">
        <v>-20.127835000000001</v>
      </c>
      <c r="Q6318">
        <v>-44.909329</v>
      </c>
      <c r="R6318" s="2" t="str">
        <f>HYPERLINK("https://www.google.com/maps?q=-20.1278350,-44.9093290","Abrir no Google Maps")</f>
        <v>Abrir no Google Maps</v>
      </c>
      <c r="S6318">
        <v>3</v>
      </c>
      <c r="T6318">
        <v>1173.033690896357</v>
      </c>
      <c r="U6318">
        <v>3</v>
      </c>
      <c r="V6318">
        <v>0.44279725320585778</v>
      </c>
      <c r="W6318">
        <v>1</v>
      </c>
      <c r="X6318">
        <v>0.44279725320585778</v>
      </c>
      <c r="Y6318">
        <v>581</v>
      </c>
      <c r="Z6318">
        <v>1296.5011565926129</v>
      </c>
      <c r="AA6318">
        <v>198</v>
      </c>
      <c r="AB6318">
        <v>332</v>
      </c>
      <c r="AC6318">
        <v>536</v>
      </c>
      <c r="AD6318">
        <v>29.58</v>
      </c>
      <c r="AE6318">
        <v>542</v>
      </c>
      <c r="AF6318">
        <v>30</v>
      </c>
      <c r="AG6318">
        <v>169</v>
      </c>
      <c r="AH6318">
        <v>129</v>
      </c>
      <c r="AI6318">
        <v>5.54</v>
      </c>
      <c r="AJ6318">
        <v>31.18</v>
      </c>
      <c r="AK6318">
        <v>23.8</v>
      </c>
      <c r="AL6318">
        <v>-20.127852899999969</v>
      </c>
      <c r="AM6318">
        <v>-44.909386667699948</v>
      </c>
      <c r="AN6318">
        <v>-20.127852899999969</v>
      </c>
      <c r="AO6318">
        <v>-44.909386667699948</v>
      </c>
      <c r="AP6318">
        <v>-20.127835000000001</v>
      </c>
      <c r="AQ6318">
        <v>-44.909329</v>
      </c>
      <c r="AR6318">
        <v>6.3483385067119924</v>
      </c>
      <c r="AS6318" t="s">
        <v>65</v>
      </c>
      <c r="AT6318">
        <v>1</v>
      </c>
      <c r="AU6318" t="s">
        <v>856</v>
      </c>
      <c r="AV6318" t="s">
        <v>857</v>
      </c>
      <c r="AW6318" t="s">
        <v>60</v>
      </c>
      <c r="AX6318" t="s">
        <v>68</v>
      </c>
      <c r="AY6318" t="s">
        <v>69</v>
      </c>
      <c r="AZ6318" t="b">
        <v>1</v>
      </c>
    </row>
    <row r="6319" spans="1:52" x14ac:dyDescent="0.3">
      <c r="A6319" t="s">
        <v>52</v>
      </c>
      <c r="B6319" t="s">
        <v>53</v>
      </c>
      <c r="C6319" t="s">
        <v>54</v>
      </c>
      <c r="D6319" t="s">
        <v>55</v>
      </c>
      <c r="E6319" t="s">
        <v>2295</v>
      </c>
      <c r="F6319" t="s">
        <v>190</v>
      </c>
      <c r="G6319" t="s">
        <v>864</v>
      </c>
      <c r="H6319" t="s">
        <v>865</v>
      </c>
      <c r="I6319" t="s">
        <v>865</v>
      </c>
      <c r="J6319" t="s">
        <v>60</v>
      </c>
      <c r="K6319" t="s">
        <v>486</v>
      </c>
      <c r="L6319" t="s">
        <v>62</v>
      </c>
      <c r="M6319" t="s">
        <v>486</v>
      </c>
      <c r="N6319" t="s">
        <v>866</v>
      </c>
      <c r="O6319" t="s">
        <v>867</v>
      </c>
      <c r="P6319">
        <v>-20.170919000000001</v>
      </c>
      <c r="Q6319">
        <v>-44.905451999999997</v>
      </c>
      <c r="R6319" s="2" t="str">
        <f>HYPERLINK("https://www.google.com/maps?q=-20.1709190,-44.9054520","Abrir no Google Maps")</f>
        <v>Abrir no Google Maps</v>
      </c>
      <c r="S6319">
        <v>3</v>
      </c>
      <c r="T6319">
        <v>0</v>
      </c>
      <c r="U6319">
        <v>3</v>
      </c>
      <c r="V6319">
        <v>0.45688171015681939</v>
      </c>
      <c r="W6319">
        <v>1</v>
      </c>
      <c r="X6319">
        <v>0.45688171015681939</v>
      </c>
      <c r="Y6319">
        <v>578</v>
      </c>
      <c r="Z6319">
        <v>205.34598855748419</v>
      </c>
      <c r="AA6319">
        <v>198</v>
      </c>
      <c r="AB6319">
        <v>332</v>
      </c>
      <c r="AC6319">
        <v>536</v>
      </c>
      <c r="AD6319">
        <v>29.58</v>
      </c>
      <c r="AE6319">
        <v>542</v>
      </c>
      <c r="AF6319">
        <v>30</v>
      </c>
      <c r="AG6319">
        <v>169</v>
      </c>
      <c r="AH6319">
        <v>129</v>
      </c>
      <c r="AI6319">
        <v>5.54</v>
      </c>
      <c r="AJ6319">
        <v>31.18</v>
      </c>
      <c r="AK6319">
        <v>23.8</v>
      </c>
      <c r="AL6319">
        <v>-20.170854399999939</v>
      </c>
      <c r="AM6319">
        <v>-44.905524839633358</v>
      </c>
      <c r="AN6319">
        <v>-20.170854399999939</v>
      </c>
      <c r="AO6319">
        <v>-44.905524839633358</v>
      </c>
      <c r="AP6319">
        <v>-20.170919000000001</v>
      </c>
      <c r="AQ6319">
        <v>-44.905451999999997</v>
      </c>
      <c r="AR6319">
        <v>10.471140355179269</v>
      </c>
      <c r="AS6319" t="s">
        <v>65</v>
      </c>
      <c r="AT6319">
        <v>1</v>
      </c>
      <c r="AU6319" t="s">
        <v>868</v>
      </c>
      <c r="AV6319" t="s">
        <v>869</v>
      </c>
      <c r="AW6319" t="s">
        <v>60</v>
      </c>
      <c r="AX6319" t="s">
        <v>68</v>
      </c>
      <c r="AY6319" t="s">
        <v>69</v>
      </c>
      <c r="AZ6319" t="b">
        <v>1</v>
      </c>
    </row>
    <row r="6320" spans="1:52" x14ac:dyDescent="0.3">
      <c r="A6320" t="s">
        <v>52</v>
      </c>
      <c r="B6320" t="s">
        <v>53</v>
      </c>
      <c r="C6320" t="s">
        <v>54</v>
      </c>
      <c r="D6320" t="s">
        <v>55</v>
      </c>
      <c r="E6320" t="s">
        <v>2295</v>
      </c>
      <c r="F6320" t="s">
        <v>190</v>
      </c>
      <c r="G6320" t="s">
        <v>473</v>
      </c>
      <c r="H6320" t="s">
        <v>474</v>
      </c>
      <c r="I6320" t="s">
        <v>474</v>
      </c>
      <c r="J6320" t="s">
        <v>60</v>
      </c>
      <c r="K6320" t="s">
        <v>475</v>
      </c>
      <c r="L6320" t="s">
        <v>62</v>
      </c>
      <c r="M6320" t="s">
        <v>475</v>
      </c>
      <c r="N6320" t="s">
        <v>406</v>
      </c>
      <c r="O6320" t="s">
        <v>476</v>
      </c>
      <c r="P6320">
        <v>-20.177902</v>
      </c>
      <c r="Q6320">
        <v>-44.908504000000001</v>
      </c>
      <c r="R6320" s="2" t="str">
        <f>HYPERLINK("https://www.google.com/maps?q=-20.1779020,-44.9085040","Abrir no Google Maps")</f>
        <v>Abrir no Google Maps</v>
      </c>
      <c r="S6320">
        <v>3</v>
      </c>
      <c r="T6320">
        <v>656.92307673247149</v>
      </c>
      <c r="U6320">
        <v>3</v>
      </c>
      <c r="V6320">
        <v>0.44895810801067121</v>
      </c>
      <c r="W6320">
        <v>1</v>
      </c>
      <c r="X6320">
        <v>0.44895810801067121</v>
      </c>
      <c r="Y6320">
        <v>578</v>
      </c>
      <c r="Z6320">
        <v>635.01982153722327</v>
      </c>
      <c r="AA6320">
        <v>198</v>
      </c>
      <c r="AB6320">
        <v>332</v>
      </c>
      <c r="AC6320">
        <v>536</v>
      </c>
      <c r="AD6320">
        <v>29.58</v>
      </c>
      <c r="AE6320">
        <v>542</v>
      </c>
      <c r="AF6320">
        <v>30</v>
      </c>
      <c r="AG6320">
        <v>169</v>
      </c>
      <c r="AH6320">
        <v>129</v>
      </c>
      <c r="AI6320">
        <v>5.54</v>
      </c>
      <c r="AJ6320">
        <v>31.18</v>
      </c>
      <c r="AK6320">
        <v>23.8</v>
      </c>
      <c r="AL6320">
        <v>-20.177800399999938</v>
      </c>
      <c r="AM6320">
        <v>-44.908361879701268</v>
      </c>
      <c r="AN6320">
        <v>-20.177800399999938</v>
      </c>
      <c r="AO6320">
        <v>-44.908361879701268</v>
      </c>
      <c r="AP6320">
        <v>-20.177902</v>
      </c>
      <c r="AQ6320">
        <v>-44.908504000000001</v>
      </c>
      <c r="AR6320">
        <v>18.666463141775541</v>
      </c>
      <c r="AS6320" t="s">
        <v>65</v>
      </c>
      <c r="AT6320">
        <v>1</v>
      </c>
      <c r="AU6320" t="s">
        <v>477</v>
      </c>
      <c r="AV6320" t="s">
        <v>478</v>
      </c>
      <c r="AW6320" t="s">
        <v>60</v>
      </c>
      <c r="AX6320" t="s">
        <v>68</v>
      </c>
      <c r="AY6320" t="s">
        <v>69</v>
      </c>
      <c r="AZ6320" t="b">
        <v>1</v>
      </c>
    </row>
    <row r="6321" spans="1:52" x14ac:dyDescent="0.3">
      <c r="A6321" t="s">
        <v>52</v>
      </c>
      <c r="B6321" t="s">
        <v>53</v>
      </c>
      <c r="C6321" t="s">
        <v>54</v>
      </c>
      <c r="D6321" t="s">
        <v>55</v>
      </c>
      <c r="E6321" t="s">
        <v>2295</v>
      </c>
      <c r="F6321" t="s">
        <v>190</v>
      </c>
      <c r="G6321" t="s">
        <v>491</v>
      </c>
      <c r="H6321" t="s">
        <v>492</v>
      </c>
      <c r="I6321" t="s">
        <v>492</v>
      </c>
      <c r="J6321" t="s">
        <v>60</v>
      </c>
      <c r="K6321" t="s">
        <v>475</v>
      </c>
      <c r="L6321" t="s">
        <v>62</v>
      </c>
      <c r="M6321" t="s">
        <v>475</v>
      </c>
      <c r="N6321" t="s">
        <v>493</v>
      </c>
      <c r="O6321" t="s">
        <v>494</v>
      </c>
      <c r="P6321">
        <v>-20.175250999999999</v>
      </c>
      <c r="Q6321">
        <v>-44.897357</v>
      </c>
      <c r="R6321" s="2" t="str">
        <f>HYPERLINK("https://www.google.com/maps?q=-20.1752510,-44.8973570","Abrir no Google Maps")</f>
        <v>Abrir no Google Maps</v>
      </c>
      <c r="S6321">
        <v>3</v>
      </c>
      <c r="T6321">
        <v>992.29631678149951</v>
      </c>
      <c r="U6321">
        <v>3</v>
      </c>
      <c r="V6321">
        <v>0.43953090438629439</v>
      </c>
      <c r="W6321">
        <v>1</v>
      </c>
      <c r="X6321">
        <v>0.43953090438629439</v>
      </c>
      <c r="Y6321">
        <v>578</v>
      </c>
      <c r="Z6321">
        <v>1008.5871064168319</v>
      </c>
      <c r="AA6321">
        <v>198</v>
      </c>
      <c r="AB6321">
        <v>332</v>
      </c>
      <c r="AC6321">
        <v>536</v>
      </c>
      <c r="AD6321">
        <v>29.58</v>
      </c>
      <c r="AE6321">
        <v>542</v>
      </c>
      <c r="AF6321">
        <v>30</v>
      </c>
      <c r="AG6321">
        <v>169</v>
      </c>
      <c r="AH6321">
        <v>129</v>
      </c>
      <c r="AI6321">
        <v>5.54</v>
      </c>
      <c r="AJ6321">
        <v>31.18</v>
      </c>
      <c r="AK6321">
        <v>23.8</v>
      </c>
      <c r="AL6321">
        <v>-20.175290599999951</v>
      </c>
      <c r="AM6321">
        <v>-44.897271931010721</v>
      </c>
      <c r="AN6321">
        <v>-20.175290599999951</v>
      </c>
      <c r="AO6321">
        <v>-44.897271931010721</v>
      </c>
      <c r="AP6321">
        <v>-20.175250999999999</v>
      </c>
      <c r="AQ6321">
        <v>-44.897357</v>
      </c>
      <c r="AR6321">
        <v>9.921899108467926</v>
      </c>
      <c r="AS6321" t="s">
        <v>65</v>
      </c>
      <c r="AT6321">
        <v>1</v>
      </c>
      <c r="AU6321" t="s">
        <v>495</v>
      </c>
      <c r="AV6321" t="s">
        <v>496</v>
      </c>
      <c r="AW6321" t="s">
        <v>60</v>
      </c>
      <c r="AX6321" t="s">
        <v>68</v>
      </c>
      <c r="AY6321" t="s">
        <v>69</v>
      </c>
      <c r="AZ6321" t="b">
        <v>1</v>
      </c>
    </row>
    <row r="6322" spans="1:52" x14ac:dyDescent="0.3">
      <c r="A6322" t="s">
        <v>52</v>
      </c>
      <c r="B6322" t="s">
        <v>53</v>
      </c>
      <c r="C6322" t="s">
        <v>54</v>
      </c>
      <c r="D6322" t="s">
        <v>55</v>
      </c>
      <c r="E6322" t="s">
        <v>2295</v>
      </c>
      <c r="F6322" t="s">
        <v>190</v>
      </c>
      <c r="G6322" t="s">
        <v>497</v>
      </c>
      <c r="H6322" t="s">
        <v>498</v>
      </c>
      <c r="I6322" t="s">
        <v>498</v>
      </c>
      <c r="J6322" t="s">
        <v>60</v>
      </c>
      <c r="K6322" t="s">
        <v>475</v>
      </c>
      <c r="L6322" t="s">
        <v>62</v>
      </c>
      <c r="M6322" t="s">
        <v>475</v>
      </c>
      <c r="N6322" t="s">
        <v>499</v>
      </c>
      <c r="O6322" t="s">
        <v>500</v>
      </c>
      <c r="P6322">
        <v>-20.175492999999999</v>
      </c>
      <c r="Q6322">
        <v>-44.900759000000001</v>
      </c>
      <c r="R6322" s="2" t="str">
        <f>HYPERLINK("https://www.google.com/maps?q=-20.1754930,-44.9007590","Abrir no Google Maps")</f>
        <v>Abrir no Google Maps</v>
      </c>
      <c r="S6322">
        <v>3</v>
      </c>
      <c r="T6322">
        <v>753.30732354720431</v>
      </c>
      <c r="U6322">
        <v>3</v>
      </c>
      <c r="V6322">
        <v>0.4303678019662921</v>
      </c>
      <c r="W6322">
        <v>1</v>
      </c>
      <c r="X6322">
        <v>0.4303678019662921</v>
      </c>
      <c r="Y6322">
        <v>578</v>
      </c>
      <c r="Z6322">
        <v>695.28903655431702</v>
      </c>
      <c r="AA6322">
        <v>198</v>
      </c>
      <c r="AB6322">
        <v>332</v>
      </c>
      <c r="AC6322">
        <v>536</v>
      </c>
      <c r="AD6322">
        <v>29.58</v>
      </c>
      <c r="AE6322">
        <v>542</v>
      </c>
      <c r="AF6322">
        <v>30</v>
      </c>
      <c r="AG6322">
        <v>169</v>
      </c>
      <c r="AH6322">
        <v>129</v>
      </c>
      <c r="AI6322">
        <v>5.54</v>
      </c>
      <c r="AJ6322">
        <v>31.18</v>
      </c>
      <c r="AK6322">
        <v>23.8</v>
      </c>
      <c r="AL6322">
        <v>-20.175825999999969</v>
      </c>
      <c r="AM6322">
        <v>-44.900600234646973</v>
      </c>
      <c r="AN6322">
        <v>-20.175825999999969</v>
      </c>
      <c r="AO6322">
        <v>-44.900600234646973</v>
      </c>
      <c r="AP6322">
        <v>-20.175492999999999</v>
      </c>
      <c r="AQ6322">
        <v>-44.900759000000001</v>
      </c>
      <c r="AR6322">
        <v>40.612267304645073</v>
      </c>
      <c r="AS6322" t="s">
        <v>65</v>
      </c>
      <c r="AT6322">
        <v>1</v>
      </c>
      <c r="AU6322" t="s">
        <v>501</v>
      </c>
      <c r="AV6322" t="s">
        <v>502</v>
      </c>
      <c r="AW6322" t="s">
        <v>60</v>
      </c>
      <c r="AX6322" t="s">
        <v>68</v>
      </c>
      <c r="AY6322" t="s">
        <v>69</v>
      </c>
      <c r="AZ6322" t="b">
        <v>1</v>
      </c>
    </row>
    <row r="6323" spans="1:52" x14ac:dyDescent="0.3">
      <c r="A6323" t="s">
        <v>52</v>
      </c>
      <c r="B6323" t="s">
        <v>53</v>
      </c>
      <c r="C6323" t="s">
        <v>54</v>
      </c>
      <c r="D6323" t="s">
        <v>55</v>
      </c>
      <c r="E6323" t="s">
        <v>2295</v>
      </c>
      <c r="F6323" t="s">
        <v>190</v>
      </c>
      <c r="G6323" t="s">
        <v>510</v>
      </c>
      <c r="H6323" t="s">
        <v>511</v>
      </c>
      <c r="I6323" t="s">
        <v>511</v>
      </c>
      <c r="J6323" t="s">
        <v>60</v>
      </c>
      <c r="K6323" t="s">
        <v>512</v>
      </c>
      <c r="L6323" t="s">
        <v>62</v>
      </c>
      <c r="M6323" t="s">
        <v>512</v>
      </c>
      <c r="N6323" t="s">
        <v>406</v>
      </c>
      <c r="O6323" t="s">
        <v>513</v>
      </c>
      <c r="P6323">
        <v>-20.127853000000002</v>
      </c>
      <c r="Q6323">
        <v>-44.891415000000002</v>
      </c>
      <c r="R6323" s="2" t="str">
        <f>HYPERLINK("https://www.google.com/maps?q=-20.1278530,-44.8914150","Abrir no Google Maps")</f>
        <v>Abrir no Google Maps</v>
      </c>
      <c r="S6323">
        <v>3</v>
      </c>
      <c r="T6323">
        <v>340.86994528233612</v>
      </c>
      <c r="U6323">
        <v>3</v>
      </c>
      <c r="V6323">
        <v>0.4445872228130292</v>
      </c>
      <c r="W6323">
        <v>1</v>
      </c>
      <c r="X6323">
        <v>0.4445872228130292</v>
      </c>
      <c r="Y6323">
        <v>564</v>
      </c>
      <c r="Z6323">
        <v>294.18108015916812</v>
      </c>
      <c r="AA6323">
        <v>198</v>
      </c>
      <c r="AB6323">
        <v>332</v>
      </c>
      <c r="AC6323">
        <v>536</v>
      </c>
      <c r="AD6323">
        <v>29.58</v>
      </c>
      <c r="AE6323">
        <v>542</v>
      </c>
      <c r="AF6323">
        <v>30</v>
      </c>
      <c r="AG6323">
        <v>169</v>
      </c>
      <c r="AH6323">
        <v>129</v>
      </c>
      <c r="AI6323">
        <v>5.54</v>
      </c>
      <c r="AJ6323">
        <v>31.18</v>
      </c>
      <c r="AK6323">
        <v>23.8</v>
      </c>
      <c r="AL6323">
        <v>-20.12777399999996</v>
      </c>
      <c r="AM6323">
        <v>-44.891400975758501</v>
      </c>
      <c r="AN6323">
        <v>-20.12777399999996</v>
      </c>
      <c r="AO6323">
        <v>-44.891400975758501</v>
      </c>
      <c r="AP6323">
        <v>-20.127853000000002</v>
      </c>
      <c r="AQ6323">
        <v>-44.891415000000002</v>
      </c>
      <c r="AR6323">
        <v>8.9156059162975616</v>
      </c>
      <c r="AS6323" t="s">
        <v>65</v>
      </c>
      <c r="AT6323">
        <v>1</v>
      </c>
      <c r="AU6323" t="s">
        <v>514</v>
      </c>
      <c r="AV6323" t="s">
        <v>515</v>
      </c>
      <c r="AW6323" t="s">
        <v>60</v>
      </c>
      <c r="AX6323" t="s">
        <v>68</v>
      </c>
      <c r="AY6323" t="s">
        <v>69</v>
      </c>
      <c r="AZ6323" t="b">
        <v>1</v>
      </c>
    </row>
    <row r="6324" spans="1:52" x14ac:dyDescent="0.3">
      <c r="A6324" t="s">
        <v>52</v>
      </c>
      <c r="B6324" t="s">
        <v>53</v>
      </c>
      <c r="C6324" t="s">
        <v>54</v>
      </c>
      <c r="D6324" t="s">
        <v>55</v>
      </c>
      <c r="E6324" t="s">
        <v>2295</v>
      </c>
      <c r="F6324" t="s">
        <v>190</v>
      </c>
      <c r="G6324" t="s">
        <v>516</v>
      </c>
      <c r="H6324" t="s">
        <v>517</v>
      </c>
      <c r="I6324" t="s">
        <v>517</v>
      </c>
      <c r="J6324" t="s">
        <v>60</v>
      </c>
      <c r="K6324" t="s">
        <v>518</v>
      </c>
      <c r="L6324" t="s">
        <v>62</v>
      </c>
      <c r="M6324" t="s">
        <v>518</v>
      </c>
      <c r="N6324" t="s">
        <v>519</v>
      </c>
      <c r="O6324" t="s">
        <v>520</v>
      </c>
      <c r="P6324">
        <v>-20.124502</v>
      </c>
      <c r="Q6324">
        <v>-44.888424000000001</v>
      </c>
      <c r="R6324" s="2" t="str">
        <f>HYPERLINK("https://www.google.com/maps?q=-20.1245020,-44.8884240","Abrir no Google Maps")</f>
        <v>Abrir no Google Maps</v>
      </c>
      <c r="S6324">
        <v>3</v>
      </c>
      <c r="T6324">
        <v>483.42298121929559</v>
      </c>
      <c r="U6324">
        <v>3</v>
      </c>
      <c r="V6324">
        <v>0.45814225220951271</v>
      </c>
      <c r="W6324">
        <v>1</v>
      </c>
      <c r="X6324">
        <v>0.45814225220951271</v>
      </c>
      <c r="Y6324">
        <v>564</v>
      </c>
      <c r="Z6324">
        <v>565.43074237076587</v>
      </c>
      <c r="AA6324">
        <v>198</v>
      </c>
      <c r="AB6324">
        <v>332</v>
      </c>
      <c r="AC6324">
        <v>536</v>
      </c>
      <c r="AD6324">
        <v>29.58</v>
      </c>
      <c r="AE6324">
        <v>542</v>
      </c>
      <c r="AF6324">
        <v>30</v>
      </c>
      <c r="AG6324">
        <v>169</v>
      </c>
      <c r="AH6324">
        <v>129</v>
      </c>
      <c r="AI6324">
        <v>5.54</v>
      </c>
      <c r="AJ6324">
        <v>31.18</v>
      </c>
      <c r="AK6324">
        <v>23.8</v>
      </c>
      <c r="AL6324">
        <v>-20.124624949999941</v>
      </c>
      <c r="AM6324">
        <v>-44.888432821777258</v>
      </c>
      <c r="AN6324">
        <v>-20.124624949999941</v>
      </c>
      <c r="AO6324">
        <v>-44.888432821777258</v>
      </c>
      <c r="AP6324">
        <v>-20.124502</v>
      </c>
      <c r="AQ6324">
        <v>-44.888424000000001</v>
      </c>
      <c r="AR6324">
        <v>13.717819333897451</v>
      </c>
      <c r="AS6324" t="s">
        <v>65</v>
      </c>
      <c r="AT6324">
        <v>1</v>
      </c>
      <c r="AU6324" t="s">
        <v>521</v>
      </c>
      <c r="AV6324" t="s">
        <v>522</v>
      </c>
      <c r="AW6324" t="s">
        <v>60</v>
      </c>
      <c r="AX6324" t="s">
        <v>68</v>
      </c>
      <c r="AY6324" t="s">
        <v>69</v>
      </c>
      <c r="AZ6324" t="b">
        <v>1</v>
      </c>
    </row>
    <row r="6325" spans="1:52" x14ac:dyDescent="0.3">
      <c r="A6325" t="s">
        <v>52</v>
      </c>
      <c r="B6325" t="s">
        <v>53</v>
      </c>
      <c r="C6325" t="s">
        <v>54</v>
      </c>
      <c r="D6325" t="s">
        <v>55</v>
      </c>
      <c r="E6325" t="s">
        <v>2295</v>
      </c>
      <c r="F6325" t="s">
        <v>190</v>
      </c>
      <c r="G6325" t="s">
        <v>897</v>
      </c>
      <c r="H6325" t="s">
        <v>898</v>
      </c>
      <c r="I6325" t="s">
        <v>898</v>
      </c>
      <c r="J6325" t="s">
        <v>60</v>
      </c>
      <c r="K6325" t="s">
        <v>892</v>
      </c>
      <c r="L6325" t="s">
        <v>62</v>
      </c>
      <c r="M6325" t="s">
        <v>892</v>
      </c>
      <c r="N6325" t="s">
        <v>899</v>
      </c>
      <c r="O6325" t="s">
        <v>900</v>
      </c>
      <c r="P6325">
        <v>-20.154885</v>
      </c>
      <c r="Q6325">
        <v>-44.899890999999997</v>
      </c>
      <c r="R6325" s="2" t="str">
        <f>HYPERLINK("https://www.google.com/maps?q=-20.1548850,-44.8998910","Abrir no Google Maps")</f>
        <v>Abrir no Google Maps</v>
      </c>
      <c r="S6325">
        <v>3</v>
      </c>
      <c r="T6325">
        <v>314.66339661014308</v>
      </c>
      <c r="U6325">
        <v>3</v>
      </c>
      <c r="V6325">
        <v>0.4599898975983836</v>
      </c>
      <c r="W6325">
        <v>1</v>
      </c>
      <c r="X6325">
        <v>0.4599898975983836</v>
      </c>
      <c r="Y6325">
        <v>548</v>
      </c>
      <c r="Z6325">
        <v>319.02252584834253</v>
      </c>
      <c r="AA6325">
        <v>198</v>
      </c>
      <c r="AB6325">
        <v>332</v>
      </c>
      <c r="AC6325">
        <v>536</v>
      </c>
      <c r="AD6325">
        <v>29.58</v>
      </c>
      <c r="AE6325">
        <v>542</v>
      </c>
      <c r="AF6325">
        <v>30</v>
      </c>
      <c r="AG6325">
        <v>169</v>
      </c>
      <c r="AH6325">
        <v>129</v>
      </c>
      <c r="AI6325">
        <v>5.54</v>
      </c>
      <c r="AJ6325">
        <v>31.18</v>
      </c>
      <c r="AK6325">
        <v>23.8</v>
      </c>
      <c r="AL6325">
        <v>-20.154906649999951</v>
      </c>
      <c r="AM6325">
        <v>-44.899894072543653</v>
      </c>
      <c r="AN6325">
        <v>-20.154906649999951</v>
      </c>
      <c r="AO6325">
        <v>-44.899894072543653</v>
      </c>
      <c r="AP6325">
        <v>-20.154885</v>
      </c>
      <c r="AQ6325">
        <v>-44.899890999999997</v>
      </c>
      <c r="AR6325">
        <v>2.431373123904943</v>
      </c>
      <c r="AS6325" t="s">
        <v>65</v>
      </c>
      <c r="AT6325">
        <v>1</v>
      </c>
      <c r="AU6325" t="s">
        <v>901</v>
      </c>
      <c r="AV6325" t="s">
        <v>902</v>
      </c>
      <c r="AW6325" t="s">
        <v>60</v>
      </c>
      <c r="AX6325" t="s">
        <v>68</v>
      </c>
      <c r="AY6325" t="s">
        <v>69</v>
      </c>
      <c r="AZ6325" t="b">
        <v>1</v>
      </c>
    </row>
    <row r="6326" spans="1:52" x14ac:dyDescent="0.3">
      <c r="A6326" t="s">
        <v>52</v>
      </c>
      <c r="B6326" t="s">
        <v>53</v>
      </c>
      <c r="C6326" t="s">
        <v>54</v>
      </c>
      <c r="D6326" t="s">
        <v>55</v>
      </c>
      <c r="E6326" t="s">
        <v>2295</v>
      </c>
      <c r="F6326" t="s">
        <v>190</v>
      </c>
      <c r="G6326" t="s">
        <v>551</v>
      </c>
      <c r="H6326" t="s">
        <v>552</v>
      </c>
      <c r="I6326" t="s">
        <v>552</v>
      </c>
      <c r="J6326" t="s">
        <v>60</v>
      </c>
      <c r="K6326" t="s">
        <v>388</v>
      </c>
      <c r="L6326" t="s">
        <v>62</v>
      </c>
      <c r="M6326" t="s">
        <v>388</v>
      </c>
      <c r="N6326" t="s">
        <v>553</v>
      </c>
      <c r="O6326" t="s">
        <v>315</v>
      </c>
      <c r="P6326">
        <v>-20.153086999999999</v>
      </c>
      <c r="Q6326">
        <v>-44.905451999999997</v>
      </c>
      <c r="R6326" s="2" t="str">
        <f>HYPERLINK("https://www.google.com/maps?q=-20.1530870,-44.9054520","Abrir no Google Maps")</f>
        <v>Abrir no Google Maps</v>
      </c>
      <c r="S6326">
        <v>3</v>
      </c>
      <c r="T6326">
        <v>313.69387682409018</v>
      </c>
      <c r="U6326">
        <v>3</v>
      </c>
      <c r="V6326">
        <v>0.4510580227778152</v>
      </c>
      <c r="W6326">
        <v>1</v>
      </c>
      <c r="X6326">
        <v>0.4510580227778152</v>
      </c>
      <c r="Y6326">
        <v>548</v>
      </c>
      <c r="Z6326">
        <v>319.51605309906859</v>
      </c>
      <c r="AA6326">
        <v>198</v>
      </c>
      <c r="AB6326">
        <v>332</v>
      </c>
      <c r="AC6326">
        <v>536</v>
      </c>
      <c r="AD6326">
        <v>29.58</v>
      </c>
      <c r="AE6326">
        <v>542</v>
      </c>
      <c r="AF6326">
        <v>30</v>
      </c>
      <c r="AG6326">
        <v>169</v>
      </c>
      <c r="AH6326">
        <v>129</v>
      </c>
      <c r="AI6326">
        <v>5.54</v>
      </c>
      <c r="AJ6326">
        <v>31.18</v>
      </c>
      <c r="AK6326">
        <v>23.8</v>
      </c>
      <c r="AL6326">
        <v>-20.153043049999951</v>
      </c>
      <c r="AM6326">
        <v>-44.905348275899513</v>
      </c>
      <c r="AN6326">
        <v>-20.153043049999951</v>
      </c>
      <c r="AO6326">
        <v>-44.905348275899513</v>
      </c>
      <c r="AP6326">
        <v>-20.153086999999999</v>
      </c>
      <c r="AQ6326">
        <v>-44.905451999999997</v>
      </c>
      <c r="AR6326">
        <v>11.892619975648341</v>
      </c>
      <c r="AS6326" t="s">
        <v>65</v>
      </c>
      <c r="AT6326">
        <v>1</v>
      </c>
      <c r="AU6326" t="s">
        <v>554</v>
      </c>
      <c r="AV6326" t="s">
        <v>555</v>
      </c>
      <c r="AW6326" t="s">
        <v>60</v>
      </c>
      <c r="AX6326" t="s">
        <v>68</v>
      </c>
      <c r="AY6326" t="s">
        <v>69</v>
      </c>
      <c r="AZ6326" t="b">
        <v>1</v>
      </c>
    </row>
    <row r="6327" spans="1:52" x14ac:dyDescent="0.3">
      <c r="A6327" t="s">
        <v>52</v>
      </c>
      <c r="B6327" t="s">
        <v>53</v>
      </c>
      <c r="C6327" t="s">
        <v>54</v>
      </c>
      <c r="D6327" t="s">
        <v>55</v>
      </c>
      <c r="E6327" t="s">
        <v>2295</v>
      </c>
      <c r="F6327" t="s">
        <v>190</v>
      </c>
      <c r="G6327" t="s">
        <v>903</v>
      </c>
      <c r="H6327" t="s">
        <v>904</v>
      </c>
      <c r="I6327" t="s">
        <v>904</v>
      </c>
      <c r="J6327" t="s">
        <v>60</v>
      </c>
      <c r="K6327" t="s">
        <v>905</v>
      </c>
      <c r="L6327" t="s">
        <v>62</v>
      </c>
      <c r="M6327" t="s">
        <v>905</v>
      </c>
      <c r="N6327" t="s">
        <v>906</v>
      </c>
      <c r="O6327" t="s">
        <v>907</v>
      </c>
      <c r="P6327">
        <v>-20.112969</v>
      </c>
      <c r="Q6327">
        <v>-44.891264</v>
      </c>
      <c r="R6327" s="2" t="str">
        <f>HYPERLINK("https://www.google.com/maps?q=-20.1129690,-44.8912640","Abrir no Google Maps")</f>
        <v>Abrir no Google Maps</v>
      </c>
      <c r="S6327">
        <v>3</v>
      </c>
      <c r="T6327">
        <v>760.33197426397032</v>
      </c>
      <c r="U6327">
        <v>3</v>
      </c>
      <c r="V6327">
        <v>0.44935064935064928</v>
      </c>
      <c r="W6327">
        <v>1</v>
      </c>
      <c r="X6327">
        <v>0.44935064935064928</v>
      </c>
      <c r="Y6327">
        <v>536</v>
      </c>
      <c r="Z6327">
        <v>755.3791742519096</v>
      </c>
      <c r="AA6327">
        <v>198</v>
      </c>
      <c r="AB6327">
        <v>332</v>
      </c>
      <c r="AC6327">
        <v>536</v>
      </c>
      <c r="AD6327">
        <v>29.58</v>
      </c>
      <c r="AE6327">
        <v>542</v>
      </c>
      <c r="AF6327">
        <v>30</v>
      </c>
      <c r="AG6327">
        <v>169</v>
      </c>
      <c r="AH6327">
        <v>129</v>
      </c>
      <c r="AI6327">
        <v>5.54</v>
      </c>
      <c r="AJ6327">
        <v>31.18</v>
      </c>
      <c r="AK6327">
        <v>23.8</v>
      </c>
      <c r="AL6327">
        <v>-20.11260604999995</v>
      </c>
      <c r="AM6327">
        <v>-44.891480970454502</v>
      </c>
      <c r="AN6327">
        <v>-20.11260604999995</v>
      </c>
      <c r="AO6327">
        <v>-44.891480970454502</v>
      </c>
      <c r="AP6327">
        <v>-20.112969</v>
      </c>
      <c r="AQ6327">
        <v>-44.891264</v>
      </c>
      <c r="AR6327">
        <v>46.334053708506183</v>
      </c>
      <c r="AS6327" t="s">
        <v>65</v>
      </c>
      <c r="AT6327">
        <v>1</v>
      </c>
      <c r="AU6327" t="s">
        <v>908</v>
      </c>
      <c r="AV6327" t="s">
        <v>909</v>
      </c>
      <c r="AW6327" t="s">
        <v>60</v>
      </c>
      <c r="AX6327" t="s">
        <v>68</v>
      </c>
      <c r="AY6327" t="s">
        <v>69</v>
      </c>
      <c r="AZ6327" t="b">
        <v>1</v>
      </c>
    </row>
    <row r="6328" spans="1:52" x14ac:dyDescent="0.3">
      <c r="A6328" t="s">
        <v>52</v>
      </c>
      <c r="B6328" t="s">
        <v>53</v>
      </c>
      <c r="C6328" t="s">
        <v>54</v>
      </c>
      <c r="D6328" t="s">
        <v>55</v>
      </c>
      <c r="E6328" t="s">
        <v>2295</v>
      </c>
      <c r="F6328" t="s">
        <v>190</v>
      </c>
      <c r="G6328" t="s">
        <v>573</v>
      </c>
      <c r="H6328" t="s">
        <v>574</v>
      </c>
      <c r="I6328" t="s">
        <v>574</v>
      </c>
      <c r="J6328" t="s">
        <v>60</v>
      </c>
      <c r="K6328" t="s">
        <v>207</v>
      </c>
      <c r="L6328" t="s">
        <v>62</v>
      </c>
      <c r="M6328" t="s">
        <v>207</v>
      </c>
      <c r="N6328" t="s">
        <v>575</v>
      </c>
      <c r="O6328" t="s">
        <v>576</v>
      </c>
      <c r="P6328">
        <v>-20.121252999999999</v>
      </c>
      <c r="Q6328">
        <v>-44.887988999999997</v>
      </c>
      <c r="R6328" s="2" t="str">
        <f>HYPERLINK("https://www.google.com/maps?q=-20.1212530,-44.8879890","Abrir no Google Maps")</f>
        <v>Abrir no Google Maps</v>
      </c>
      <c r="S6328">
        <v>3</v>
      </c>
      <c r="T6328">
        <v>310.5511884274041</v>
      </c>
      <c r="U6328">
        <v>3</v>
      </c>
      <c r="V6328">
        <v>0.4360284391534392</v>
      </c>
      <c r="W6328">
        <v>1</v>
      </c>
      <c r="X6328">
        <v>0.4360284391534392</v>
      </c>
      <c r="Y6328">
        <v>536</v>
      </c>
      <c r="Z6328">
        <v>292.13362593122162</v>
      </c>
      <c r="AA6328">
        <v>198</v>
      </c>
      <c r="AB6328">
        <v>332</v>
      </c>
      <c r="AC6328">
        <v>536</v>
      </c>
      <c r="AD6328">
        <v>29.58</v>
      </c>
      <c r="AE6328">
        <v>542</v>
      </c>
      <c r="AF6328">
        <v>30</v>
      </c>
      <c r="AG6328">
        <v>169</v>
      </c>
      <c r="AH6328">
        <v>129</v>
      </c>
      <c r="AI6328">
        <v>5.54</v>
      </c>
      <c r="AJ6328">
        <v>31.18</v>
      </c>
      <c r="AK6328">
        <v>23.8</v>
      </c>
      <c r="AL6328">
        <v>-20.121103699999939</v>
      </c>
      <c r="AM6328">
        <v>-44.888116617806723</v>
      </c>
      <c r="AN6328">
        <v>-20.121103699999939</v>
      </c>
      <c r="AO6328">
        <v>-44.888116617806723</v>
      </c>
      <c r="AP6328">
        <v>-20.121252999999999</v>
      </c>
      <c r="AQ6328">
        <v>-44.887988999999997</v>
      </c>
      <c r="AR6328">
        <v>21.311159673382519</v>
      </c>
      <c r="AS6328" t="s">
        <v>65</v>
      </c>
      <c r="AT6328">
        <v>1</v>
      </c>
      <c r="AU6328" t="s">
        <v>577</v>
      </c>
      <c r="AV6328" t="s">
        <v>578</v>
      </c>
      <c r="AW6328" t="s">
        <v>60</v>
      </c>
      <c r="AX6328" t="s">
        <v>68</v>
      </c>
      <c r="AY6328" t="s">
        <v>69</v>
      </c>
      <c r="AZ6328" t="b">
        <v>1</v>
      </c>
    </row>
    <row r="6329" spans="1:52" x14ac:dyDescent="0.3">
      <c r="A6329" t="s">
        <v>52</v>
      </c>
      <c r="B6329" t="s">
        <v>53</v>
      </c>
      <c r="C6329" t="s">
        <v>54</v>
      </c>
      <c r="D6329" t="s">
        <v>55</v>
      </c>
      <c r="E6329" t="s">
        <v>2295</v>
      </c>
      <c r="F6329" t="s">
        <v>190</v>
      </c>
      <c r="G6329" t="s">
        <v>579</v>
      </c>
      <c r="H6329" t="s">
        <v>580</v>
      </c>
      <c r="I6329" t="s">
        <v>580</v>
      </c>
      <c r="J6329" t="s">
        <v>60</v>
      </c>
      <c r="K6329" t="s">
        <v>117</v>
      </c>
      <c r="L6329" t="s">
        <v>62</v>
      </c>
      <c r="M6329" t="s">
        <v>117</v>
      </c>
      <c r="N6329" t="s">
        <v>581</v>
      </c>
      <c r="O6329" t="s">
        <v>338</v>
      </c>
      <c r="P6329">
        <v>-20.119333000000001</v>
      </c>
      <c r="Q6329">
        <v>-44.892454999999998</v>
      </c>
      <c r="R6329" s="2" t="str">
        <f>HYPERLINK("https://www.google.com/maps?q=-20.1193330,-44.8924550","Abrir no Google Maps")</f>
        <v>Abrir no Google Maps</v>
      </c>
      <c r="S6329">
        <v>3</v>
      </c>
      <c r="T6329">
        <v>545.06582215852734</v>
      </c>
      <c r="U6329">
        <v>3</v>
      </c>
      <c r="V6329">
        <v>0.450560642647094</v>
      </c>
      <c r="W6329">
        <v>1</v>
      </c>
      <c r="X6329">
        <v>0.450560642647094</v>
      </c>
      <c r="Y6329">
        <v>536</v>
      </c>
      <c r="Z6329">
        <v>583.72689769042404</v>
      </c>
      <c r="AA6329">
        <v>198</v>
      </c>
      <c r="AB6329">
        <v>332</v>
      </c>
      <c r="AC6329">
        <v>536</v>
      </c>
      <c r="AD6329">
        <v>29.58</v>
      </c>
      <c r="AE6329">
        <v>542</v>
      </c>
      <c r="AF6329">
        <v>30</v>
      </c>
      <c r="AG6329">
        <v>169</v>
      </c>
      <c r="AH6329">
        <v>129</v>
      </c>
      <c r="AI6329">
        <v>5.54</v>
      </c>
      <c r="AJ6329">
        <v>31.18</v>
      </c>
      <c r="AK6329">
        <v>23.8</v>
      </c>
      <c r="AL6329">
        <v>-20.11966729999995</v>
      </c>
      <c r="AM6329">
        <v>-44.892529474102908</v>
      </c>
      <c r="AN6329">
        <v>-20.119667299999939</v>
      </c>
      <c r="AO6329">
        <v>-44.892529474102908</v>
      </c>
      <c r="AP6329">
        <v>-20.119333000000001</v>
      </c>
      <c r="AQ6329">
        <v>-44.892454999999998</v>
      </c>
      <c r="AR6329">
        <v>38.019750592693072</v>
      </c>
      <c r="AS6329" t="s">
        <v>65</v>
      </c>
      <c r="AT6329">
        <v>1</v>
      </c>
      <c r="AU6329" t="s">
        <v>582</v>
      </c>
      <c r="AV6329" t="s">
        <v>583</v>
      </c>
      <c r="AW6329" t="s">
        <v>60</v>
      </c>
      <c r="AX6329" t="s">
        <v>68</v>
      </c>
      <c r="AY6329" t="s">
        <v>69</v>
      </c>
      <c r="AZ6329" t="b">
        <v>1</v>
      </c>
    </row>
    <row r="6330" spans="1:52" x14ac:dyDescent="0.3">
      <c r="A6330" t="s">
        <v>52</v>
      </c>
      <c r="B6330" t="s">
        <v>53</v>
      </c>
      <c r="C6330" t="s">
        <v>54</v>
      </c>
      <c r="D6330" t="s">
        <v>55</v>
      </c>
      <c r="E6330" t="s">
        <v>2295</v>
      </c>
      <c r="F6330" t="s">
        <v>190</v>
      </c>
      <c r="G6330" t="s">
        <v>584</v>
      </c>
      <c r="H6330" t="s">
        <v>585</v>
      </c>
      <c r="I6330" t="s">
        <v>585</v>
      </c>
      <c r="J6330" t="s">
        <v>60</v>
      </c>
      <c r="K6330" t="s">
        <v>207</v>
      </c>
      <c r="L6330" t="s">
        <v>62</v>
      </c>
      <c r="M6330" t="s">
        <v>207</v>
      </c>
      <c r="N6330" t="s">
        <v>586</v>
      </c>
      <c r="O6330" t="s">
        <v>587</v>
      </c>
      <c r="P6330">
        <v>-20.122596999999999</v>
      </c>
      <c r="Q6330">
        <v>-44.889994999999999</v>
      </c>
      <c r="R6330" s="2" t="str">
        <f>HYPERLINK("https://www.google.com/maps?q=-20.1225970,-44.8899950","Abrir no Google Maps")</f>
        <v>Abrir no Google Maps</v>
      </c>
      <c r="S6330">
        <v>3</v>
      </c>
      <c r="T6330">
        <v>548.23336486960989</v>
      </c>
      <c r="U6330">
        <v>3</v>
      </c>
      <c r="V6330">
        <v>0.45715636195663262</v>
      </c>
      <c r="W6330">
        <v>1</v>
      </c>
      <c r="X6330">
        <v>0.45715636195663262</v>
      </c>
      <c r="Y6330">
        <v>536</v>
      </c>
      <c r="Z6330">
        <v>547.28307523929982</v>
      </c>
      <c r="AA6330">
        <v>198</v>
      </c>
      <c r="AB6330">
        <v>332</v>
      </c>
      <c r="AC6330">
        <v>536</v>
      </c>
      <c r="AD6330">
        <v>29.58</v>
      </c>
      <c r="AE6330">
        <v>542</v>
      </c>
      <c r="AF6330">
        <v>30</v>
      </c>
      <c r="AG6330">
        <v>169</v>
      </c>
      <c r="AH6330">
        <v>129</v>
      </c>
      <c r="AI6330">
        <v>5.54</v>
      </c>
      <c r="AJ6330">
        <v>31.18</v>
      </c>
      <c r="AK6330">
        <v>23.8</v>
      </c>
      <c r="AL6330">
        <v>-20.122693899999941</v>
      </c>
      <c r="AM6330">
        <v>-44.890039706276887</v>
      </c>
      <c r="AN6330">
        <v>-20.122693899999941</v>
      </c>
      <c r="AO6330">
        <v>-44.890039706276887</v>
      </c>
      <c r="AP6330">
        <v>-20.122596999999999</v>
      </c>
      <c r="AQ6330">
        <v>-44.889994999999999</v>
      </c>
      <c r="AR6330">
        <v>11.75557400261394</v>
      </c>
      <c r="AS6330" t="s">
        <v>65</v>
      </c>
      <c r="AT6330">
        <v>1</v>
      </c>
      <c r="AU6330" t="s">
        <v>588</v>
      </c>
      <c r="AV6330" t="s">
        <v>589</v>
      </c>
      <c r="AW6330" t="s">
        <v>60</v>
      </c>
      <c r="AX6330" t="s">
        <v>68</v>
      </c>
      <c r="AY6330" t="s">
        <v>69</v>
      </c>
      <c r="AZ6330" t="b">
        <v>1</v>
      </c>
    </row>
    <row r="6331" spans="1:52" x14ac:dyDescent="0.3">
      <c r="A6331" t="s">
        <v>52</v>
      </c>
      <c r="B6331" t="s">
        <v>53</v>
      </c>
      <c r="C6331" t="s">
        <v>54</v>
      </c>
      <c r="D6331" t="s">
        <v>55</v>
      </c>
      <c r="E6331" t="s">
        <v>2295</v>
      </c>
      <c r="F6331" t="s">
        <v>190</v>
      </c>
      <c r="G6331" t="s">
        <v>590</v>
      </c>
      <c r="H6331" t="s">
        <v>591</v>
      </c>
      <c r="I6331" t="s">
        <v>591</v>
      </c>
      <c r="J6331" t="s">
        <v>60</v>
      </c>
      <c r="K6331" t="s">
        <v>207</v>
      </c>
      <c r="L6331" t="s">
        <v>62</v>
      </c>
      <c r="M6331" t="s">
        <v>207</v>
      </c>
      <c r="N6331" t="s">
        <v>592</v>
      </c>
      <c r="O6331" t="s">
        <v>565</v>
      </c>
      <c r="P6331">
        <v>-20.118652000000001</v>
      </c>
      <c r="Q6331">
        <v>-44.890574999999998</v>
      </c>
      <c r="R6331" s="2" t="str">
        <f>HYPERLINK("https://www.google.com/maps?q=-20.1186520,-44.8905750","Abrir no Google Maps")</f>
        <v>Abrir no Google Maps</v>
      </c>
      <c r="S6331">
        <v>3</v>
      </c>
      <c r="T6331">
        <v>305.97870753615422</v>
      </c>
      <c r="U6331">
        <v>3</v>
      </c>
      <c r="V6331">
        <v>0.44493397795799539</v>
      </c>
      <c r="W6331">
        <v>1</v>
      </c>
      <c r="X6331">
        <v>0.44493397795799539</v>
      </c>
      <c r="Y6331">
        <v>536</v>
      </c>
      <c r="Z6331">
        <v>368.07356795447242</v>
      </c>
      <c r="AA6331">
        <v>198</v>
      </c>
      <c r="AB6331">
        <v>332</v>
      </c>
      <c r="AC6331">
        <v>536</v>
      </c>
      <c r="AD6331">
        <v>29.58</v>
      </c>
      <c r="AE6331">
        <v>542</v>
      </c>
      <c r="AF6331">
        <v>30</v>
      </c>
      <c r="AG6331">
        <v>169</v>
      </c>
      <c r="AH6331">
        <v>129</v>
      </c>
      <c r="AI6331">
        <v>5.54</v>
      </c>
      <c r="AJ6331">
        <v>31.18</v>
      </c>
      <c r="AK6331">
        <v>23.8</v>
      </c>
      <c r="AL6331">
        <v>-20.118589699999941</v>
      </c>
      <c r="AM6331">
        <v>-44.890419442196389</v>
      </c>
      <c r="AN6331">
        <v>-20.118589699999941</v>
      </c>
      <c r="AO6331">
        <v>-44.890419442196389</v>
      </c>
      <c r="AP6331">
        <v>-20.118652000000001</v>
      </c>
      <c r="AQ6331">
        <v>-44.890574999999998</v>
      </c>
      <c r="AR6331">
        <v>17.67731866347437</v>
      </c>
      <c r="AS6331" t="s">
        <v>65</v>
      </c>
      <c r="AT6331">
        <v>1</v>
      </c>
      <c r="AU6331" t="s">
        <v>593</v>
      </c>
      <c r="AV6331" t="s">
        <v>594</v>
      </c>
      <c r="AW6331" t="s">
        <v>60</v>
      </c>
      <c r="AX6331" t="s">
        <v>68</v>
      </c>
      <c r="AY6331" t="s">
        <v>69</v>
      </c>
      <c r="AZ6331" t="b">
        <v>1</v>
      </c>
    </row>
    <row r="6332" spans="1:52" x14ac:dyDescent="0.3">
      <c r="A6332" t="s">
        <v>52</v>
      </c>
      <c r="B6332" t="s">
        <v>53</v>
      </c>
      <c r="C6332" t="s">
        <v>54</v>
      </c>
      <c r="D6332" t="s">
        <v>55</v>
      </c>
      <c r="E6332" t="s">
        <v>2295</v>
      </c>
      <c r="F6332" t="s">
        <v>190</v>
      </c>
      <c r="G6332" t="s">
        <v>595</v>
      </c>
      <c r="H6332" t="s">
        <v>596</v>
      </c>
      <c r="I6332" t="s">
        <v>596</v>
      </c>
      <c r="J6332" t="s">
        <v>60</v>
      </c>
      <c r="K6332" t="s">
        <v>207</v>
      </c>
      <c r="L6332" t="s">
        <v>62</v>
      </c>
      <c r="M6332" t="s">
        <v>207</v>
      </c>
      <c r="N6332" t="s">
        <v>597</v>
      </c>
      <c r="O6332" t="s">
        <v>598</v>
      </c>
      <c r="P6332">
        <v>-20.118335999999999</v>
      </c>
      <c r="Q6332">
        <v>-44.887441000000003</v>
      </c>
      <c r="R6332" s="2" t="str">
        <f>HYPERLINK("https://www.google.com/maps?q=-20.1183360,-44.8874410","Abrir no Google Maps")</f>
        <v>Abrir no Google Maps</v>
      </c>
      <c r="S6332">
        <v>3</v>
      </c>
      <c r="T6332">
        <v>0</v>
      </c>
      <c r="U6332">
        <v>3</v>
      </c>
      <c r="V6332">
        <v>0.45993652791984679</v>
      </c>
      <c r="W6332">
        <v>1</v>
      </c>
      <c r="X6332">
        <v>0.45993652791984679</v>
      </c>
      <c r="Y6332">
        <v>536</v>
      </c>
      <c r="Z6332">
        <v>70.729031566967279</v>
      </c>
      <c r="AA6332">
        <v>198</v>
      </c>
      <c r="AB6332">
        <v>332</v>
      </c>
      <c r="AC6332">
        <v>536</v>
      </c>
      <c r="AD6332">
        <v>29.58</v>
      </c>
      <c r="AE6332">
        <v>542</v>
      </c>
      <c r="AF6332">
        <v>30</v>
      </c>
      <c r="AG6332">
        <v>169</v>
      </c>
      <c r="AH6332">
        <v>129</v>
      </c>
      <c r="AI6332">
        <v>5.54</v>
      </c>
      <c r="AJ6332">
        <v>31.18</v>
      </c>
      <c r="AK6332">
        <v>23.8</v>
      </c>
      <c r="AL6332">
        <v>-20.118357999999969</v>
      </c>
      <c r="AM6332">
        <v>-44.88750246616479</v>
      </c>
      <c r="AN6332">
        <v>-20.118357999999969</v>
      </c>
      <c r="AO6332">
        <v>-44.88750246616479</v>
      </c>
      <c r="AP6332">
        <v>-20.118335999999999</v>
      </c>
      <c r="AQ6332">
        <v>-44.887441000000003</v>
      </c>
      <c r="AR6332">
        <v>6.875853437004074</v>
      </c>
      <c r="AS6332" t="s">
        <v>65</v>
      </c>
      <c r="AT6332">
        <v>1</v>
      </c>
      <c r="AU6332" t="s">
        <v>599</v>
      </c>
      <c r="AV6332" t="s">
        <v>600</v>
      </c>
      <c r="AW6332" t="s">
        <v>60</v>
      </c>
      <c r="AX6332" t="s">
        <v>68</v>
      </c>
      <c r="AY6332" t="s">
        <v>69</v>
      </c>
      <c r="AZ6332" t="b">
        <v>1</v>
      </c>
    </row>
    <row r="6333" spans="1:52" x14ac:dyDescent="0.3">
      <c r="A6333" t="s">
        <v>52</v>
      </c>
      <c r="B6333" t="s">
        <v>53</v>
      </c>
      <c r="C6333" t="s">
        <v>54</v>
      </c>
      <c r="D6333" t="s">
        <v>55</v>
      </c>
      <c r="E6333" t="s">
        <v>2295</v>
      </c>
      <c r="F6333" t="s">
        <v>190</v>
      </c>
      <c r="G6333" t="s">
        <v>601</v>
      </c>
      <c r="H6333" t="s">
        <v>602</v>
      </c>
      <c r="I6333" t="s">
        <v>602</v>
      </c>
      <c r="J6333" t="s">
        <v>60</v>
      </c>
      <c r="K6333" t="s">
        <v>117</v>
      </c>
      <c r="L6333" t="s">
        <v>62</v>
      </c>
      <c r="M6333" t="s">
        <v>117</v>
      </c>
      <c r="N6333" t="s">
        <v>603</v>
      </c>
      <c r="O6333" t="s">
        <v>604</v>
      </c>
      <c r="P6333">
        <v>-20.122198999999998</v>
      </c>
      <c r="Q6333">
        <v>-44.893118999999999</v>
      </c>
      <c r="R6333" s="2" t="str">
        <f>HYPERLINK("https://www.google.com/maps?q=-20.1221990,-44.8931190","Abrir no Google Maps")</f>
        <v>Abrir no Google Maps</v>
      </c>
      <c r="S6333">
        <v>3</v>
      </c>
      <c r="T6333">
        <v>737.41475740297403</v>
      </c>
      <c r="U6333">
        <v>3</v>
      </c>
      <c r="V6333">
        <v>0.4349829000319666</v>
      </c>
      <c r="W6333">
        <v>1</v>
      </c>
      <c r="X6333">
        <v>0.4349829000319666</v>
      </c>
      <c r="Y6333">
        <v>536</v>
      </c>
      <c r="Z6333">
        <v>753.81321098979549</v>
      </c>
      <c r="AA6333">
        <v>198</v>
      </c>
      <c r="AB6333">
        <v>332</v>
      </c>
      <c r="AC6333">
        <v>536</v>
      </c>
      <c r="AD6333">
        <v>29.58</v>
      </c>
      <c r="AE6333">
        <v>542</v>
      </c>
      <c r="AF6333">
        <v>30</v>
      </c>
      <c r="AG6333">
        <v>169</v>
      </c>
      <c r="AH6333">
        <v>129</v>
      </c>
      <c r="AI6333">
        <v>5.54</v>
      </c>
      <c r="AJ6333">
        <v>31.18</v>
      </c>
      <c r="AK6333">
        <v>23.8</v>
      </c>
      <c r="AL6333">
        <v>-20.122192249999959</v>
      </c>
      <c r="AM6333">
        <v>-44.893272469204263</v>
      </c>
      <c r="AN6333">
        <v>-20.122192249999959</v>
      </c>
      <c r="AO6333">
        <v>-44.893272469204263</v>
      </c>
      <c r="AP6333">
        <v>-20.122198999999998</v>
      </c>
      <c r="AQ6333">
        <v>-44.893118999999999</v>
      </c>
      <c r="AR6333">
        <v>16.058980187178161</v>
      </c>
      <c r="AS6333" t="s">
        <v>65</v>
      </c>
      <c r="AT6333">
        <v>1</v>
      </c>
      <c r="AU6333" t="s">
        <v>605</v>
      </c>
      <c r="AV6333" t="s">
        <v>606</v>
      </c>
      <c r="AW6333" t="s">
        <v>60</v>
      </c>
      <c r="AX6333" t="s">
        <v>68</v>
      </c>
      <c r="AY6333" t="s">
        <v>69</v>
      </c>
      <c r="AZ6333" t="b">
        <v>1</v>
      </c>
    </row>
    <row r="6334" spans="1:52" x14ac:dyDescent="0.3">
      <c r="A6334" t="s">
        <v>52</v>
      </c>
      <c r="B6334" t="s">
        <v>53</v>
      </c>
      <c r="C6334" t="s">
        <v>54</v>
      </c>
      <c r="D6334" t="s">
        <v>55</v>
      </c>
      <c r="E6334" t="s">
        <v>2295</v>
      </c>
      <c r="F6334" t="s">
        <v>190</v>
      </c>
      <c r="G6334" t="s">
        <v>614</v>
      </c>
      <c r="H6334" t="s">
        <v>615</v>
      </c>
      <c r="I6334" t="s">
        <v>615</v>
      </c>
      <c r="J6334" t="s">
        <v>60</v>
      </c>
      <c r="K6334" t="s">
        <v>207</v>
      </c>
      <c r="L6334" t="s">
        <v>62</v>
      </c>
      <c r="M6334" t="s">
        <v>207</v>
      </c>
      <c r="N6334" t="s">
        <v>616</v>
      </c>
      <c r="O6334" t="s">
        <v>617</v>
      </c>
      <c r="P6334">
        <v>-20.123118999999999</v>
      </c>
      <c r="Q6334">
        <v>-44.886259000000003</v>
      </c>
      <c r="R6334" s="2" t="str">
        <f>HYPERLINK("https://www.google.com/maps?q=-20.1231190,-44.8862590","Abrir no Google Maps")</f>
        <v>Abrir no Google Maps</v>
      </c>
      <c r="S6334">
        <v>3</v>
      </c>
      <c r="T6334">
        <v>534.91642326845545</v>
      </c>
      <c r="U6334">
        <v>3</v>
      </c>
      <c r="V6334">
        <v>0.46069897289409478</v>
      </c>
      <c r="W6334">
        <v>1</v>
      </c>
      <c r="X6334">
        <v>0.46069897289409478</v>
      </c>
      <c r="Y6334">
        <v>536</v>
      </c>
      <c r="Z6334">
        <v>478.9192959851456</v>
      </c>
      <c r="AA6334">
        <v>198</v>
      </c>
      <c r="AB6334">
        <v>332</v>
      </c>
      <c r="AC6334">
        <v>536</v>
      </c>
      <c r="AD6334">
        <v>29.58</v>
      </c>
      <c r="AE6334">
        <v>542</v>
      </c>
      <c r="AF6334">
        <v>30</v>
      </c>
      <c r="AG6334">
        <v>169</v>
      </c>
      <c r="AH6334">
        <v>129</v>
      </c>
      <c r="AI6334">
        <v>5.54</v>
      </c>
      <c r="AJ6334">
        <v>31.18</v>
      </c>
      <c r="AK6334">
        <v>23.8</v>
      </c>
      <c r="AL6334">
        <v>-20.12305974999995</v>
      </c>
      <c r="AM6334">
        <v>-44.886314469108633</v>
      </c>
      <c r="AN6334">
        <v>-20.12305974999995</v>
      </c>
      <c r="AO6334">
        <v>-44.886314469108633</v>
      </c>
      <c r="AP6334">
        <v>-20.123118999999999</v>
      </c>
      <c r="AQ6334">
        <v>-44.886259000000003</v>
      </c>
      <c r="AR6334">
        <v>8.7817342078334093</v>
      </c>
      <c r="AS6334" t="s">
        <v>65</v>
      </c>
      <c r="AT6334">
        <v>1</v>
      </c>
      <c r="AU6334" t="s">
        <v>618</v>
      </c>
      <c r="AV6334" t="s">
        <v>619</v>
      </c>
      <c r="AW6334" t="s">
        <v>60</v>
      </c>
      <c r="AX6334" t="s">
        <v>68</v>
      </c>
      <c r="AY6334" t="s">
        <v>69</v>
      </c>
      <c r="AZ6334" t="b">
        <v>1</v>
      </c>
    </row>
    <row r="6335" spans="1:52" x14ac:dyDescent="0.3">
      <c r="A6335" t="s">
        <v>52</v>
      </c>
      <c r="B6335" t="s">
        <v>53</v>
      </c>
      <c r="C6335" t="s">
        <v>54</v>
      </c>
      <c r="D6335" t="s">
        <v>55</v>
      </c>
      <c r="E6335" t="s">
        <v>2295</v>
      </c>
      <c r="F6335" t="s">
        <v>190</v>
      </c>
      <c r="G6335" t="s">
        <v>620</v>
      </c>
      <c r="H6335" t="s">
        <v>621</v>
      </c>
      <c r="I6335" t="s">
        <v>621</v>
      </c>
      <c r="J6335" t="s">
        <v>60</v>
      </c>
      <c r="K6335" t="s">
        <v>207</v>
      </c>
      <c r="L6335" t="s">
        <v>62</v>
      </c>
      <c r="M6335" t="s">
        <v>207</v>
      </c>
      <c r="N6335" t="s">
        <v>622</v>
      </c>
      <c r="O6335" t="s">
        <v>623</v>
      </c>
      <c r="P6335">
        <v>-20.120775999999999</v>
      </c>
      <c r="Q6335">
        <v>-44.885562999999998</v>
      </c>
      <c r="R6335" s="2" t="str">
        <f>HYPERLINK("https://www.google.com/maps?q=-20.1207760,-44.8855630","Abrir no Google Maps")</f>
        <v>Abrir no Google Maps</v>
      </c>
      <c r="S6335">
        <v>3</v>
      </c>
      <c r="T6335">
        <v>332.24231777761912</v>
      </c>
      <c r="U6335">
        <v>3</v>
      </c>
      <c r="V6335">
        <v>0.459862972443909</v>
      </c>
      <c r="W6335">
        <v>1</v>
      </c>
      <c r="X6335">
        <v>0.459862972443909</v>
      </c>
      <c r="Y6335">
        <v>536</v>
      </c>
      <c r="Z6335">
        <v>255.48165096313261</v>
      </c>
      <c r="AA6335">
        <v>198</v>
      </c>
      <c r="AB6335">
        <v>332</v>
      </c>
      <c r="AC6335">
        <v>536</v>
      </c>
      <c r="AD6335">
        <v>29.58</v>
      </c>
      <c r="AE6335">
        <v>542</v>
      </c>
      <c r="AF6335">
        <v>30</v>
      </c>
      <c r="AG6335">
        <v>169</v>
      </c>
      <c r="AH6335">
        <v>129</v>
      </c>
      <c r="AI6335">
        <v>5.54</v>
      </c>
      <c r="AJ6335">
        <v>31.18</v>
      </c>
      <c r="AK6335">
        <v>23.8</v>
      </c>
      <c r="AL6335">
        <v>-20.120783799999941</v>
      </c>
      <c r="AM6335">
        <v>-44.885629603396453</v>
      </c>
      <c r="AN6335">
        <v>-20.120783799999941</v>
      </c>
      <c r="AO6335">
        <v>-44.885629603396453</v>
      </c>
      <c r="AP6335">
        <v>-20.120775999999999</v>
      </c>
      <c r="AQ6335">
        <v>-44.885562999999998</v>
      </c>
      <c r="AR6335">
        <v>7.0157317818911196</v>
      </c>
      <c r="AS6335" t="s">
        <v>65</v>
      </c>
      <c r="AT6335">
        <v>1</v>
      </c>
      <c r="AU6335" t="s">
        <v>624</v>
      </c>
      <c r="AV6335" t="s">
        <v>619</v>
      </c>
      <c r="AW6335" t="s">
        <v>60</v>
      </c>
      <c r="AX6335" t="s">
        <v>68</v>
      </c>
      <c r="AY6335" t="s">
        <v>69</v>
      </c>
      <c r="AZ6335" t="b">
        <v>1</v>
      </c>
    </row>
    <row r="6336" spans="1:52" x14ac:dyDescent="0.3">
      <c r="A6336" t="s">
        <v>52</v>
      </c>
      <c r="B6336" t="s">
        <v>53</v>
      </c>
      <c r="C6336" t="s">
        <v>54</v>
      </c>
      <c r="D6336" t="s">
        <v>55</v>
      </c>
      <c r="E6336" t="s">
        <v>2295</v>
      </c>
      <c r="F6336" t="s">
        <v>190</v>
      </c>
      <c r="G6336" t="s">
        <v>232</v>
      </c>
      <c r="H6336" t="s">
        <v>925</v>
      </c>
      <c r="I6336" t="s">
        <v>925</v>
      </c>
      <c r="J6336" t="s">
        <v>60</v>
      </c>
      <c r="K6336" t="s">
        <v>702</v>
      </c>
      <c r="L6336" t="s">
        <v>62</v>
      </c>
      <c r="M6336" t="s">
        <v>702</v>
      </c>
      <c r="N6336" t="s">
        <v>234</v>
      </c>
      <c r="O6336" t="s">
        <v>926</v>
      </c>
      <c r="P6336">
        <v>-20.165887999999999</v>
      </c>
      <c r="Q6336">
        <v>-44.865220000000001</v>
      </c>
      <c r="R6336" s="2" t="str">
        <f>HYPERLINK("https://www.google.com/maps?q=-20.1658880,-44.8652200","Abrir no Google Maps")</f>
        <v>Abrir no Google Maps</v>
      </c>
      <c r="S6336">
        <v>3</v>
      </c>
      <c r="T6336">
        <v>711.71706763776342</v>
      </c>
      <c r="U6336">
        <v>3</v>
      </c>
      <c r="V6336">
        <v>0.45061154287170341</v>
      </c>
      <c r="W6336">
        <v>1</v>
      </c>
      <c r="X6336">
        <v>0.45061154287170341</v>
      </c>
      <c r="Y6336">
        <v>518</v>
      </c>
      <c r="Z6336">
        <v>801.45781285603209</v>
      </c>
      <c r="AA6336">
        <v>198</v>
      </c>
      <c r="AB6336">
        <v>332</v>
      </c>
      <c r="AC6336">
        <v>536</v>
      </c>
      <c r="AD6336">
        <v>29.58</v>
      </c>
      <c r="AE6336">
        <v>542</v>
      </c>
      <c r="AF6336">
        <v>30</v>
      </c>
      <c r="AG6336">
        <v>169</v>
      </c>
      <c r="AH6336">
        <v>129</v>
      </c>
      <c r="AI6336">
        <v>5.54</v>
      </c>
      <c r="AJ6336">
        <v>31.18</v>
      </c>
      <c r="AK6336">
        <v>23.8</v>
      </c>
      <c r="AL6336">
        <v>-20.165865449999959</v>
      </c>
      <c r="AM6336">
        <v>-44.865240434761468</v>
      </c>
      <c r="AN6336">
        <v>-20.165865449999959</v>
      </c>
      <c r="AO6336">
        <v>-44.865240434761468</v>
      </c>
      <c r="AP6336">
        <v>-20.165887999999999</v>
      </c>
      <c r="AQ6336">
        <v>-44.865220000000001</v>
      </c>
      <c r="AR6336">
        <v>3.2956262004279409</v>
      </c>
      <c r="AS6336" t="s">
        <v>65</v>
      </c>
      <c r="AT6336">
        <v>1</v>
      </c>
      <c r="AU6336" t="s">
        <v>927</v>
      </c>
      <c r="AV6336" t="s">
        <v>928</v>
      </c>
      <c r="AW6336" t="s">
        <v>60</v>
      </c>
      <c r="AX6336" t="s">
        <v>68</v>
      </c>
      <c r="AY6336" t="s">
        <v>69</v>
      </c>
      <c r="AZ6336" t="b">
        <v>1</v>
      </c>
    </row>
    <row r="6337" spans="1:52" x14ac:dyDescent="0.3">
      <c r="A6337" t="s">
        <v>52</v>
      </c>
      <c r="B6337" t="s">
        <v>53</v>
      </c>
      <c r="C6337" t="s">
        <v>54</v>
      </c>
      <c r="D6337" t="s">
        <v>55</v>
      </c>
      <c r="E6337" t="s">
        <v>2295</v>
      </c>
      <c r="F6337" t="s">
        <v>190</v>
      </c>
      <c r="G6337" t="s">
        <v>929</v>
      </c>
      <c r="H6337" t="s">
        <v>930</v>
      </c>
      <c r="I6337" t="s">
        <v>930</v>
      </c>
      <c r="J6337" t="s">
        <v>60</v>
      </c>
      <c r="K6337" t="s">
        <v>72</v>
      </c>
      <c r="L6337" t="s">
        <v>62</v>
      </c>
      <c r="M6337" t="s">
        <v>72</v>
      </c>
      <c r="N6337" t="s">
        <v>931</v>
      </c>
      <c r="O6337" t="s">
        <v>932</v>
      </c>
      <c r="P6337">
        <v>-20.144780999999998</v>
      </c>
      <c r="Q6337">
        <v>-44.914259000000001</v>
      </c>
      <c r="R6337" s="2" t="str">
        <f>HYPERLINK("https://www.google.com/maps?q=-20.1447810,-44.9142590","Abrir no Google Maps")</f>
        <v>Abrir no Google Maps</v>
      </c>
      <c r="S6337">
        <v>3</v>
      </c>
      <c r="T6337">
        <v>256.09363485874093</v>
      </c>
      <c r="U6337">
        <v>3</v>
      </c>
      <c r="V6337">
        <v>0.4614063447161042</v>
      </c>
      <c r="W6337">
        <v>1</v>
      </c>
      <c r="X6337">
        <v>0.4614063447161042</v>
      </c>
      <c r="Y6337">
        <v>508</v>
      </c>
      <c r="Z6337">
        <v>318.29766547935321</v>
      </c>
      <c r="AA6337">
        <v>198</v>
      </c>
      <c r="AB6337">
        <v>332</v>
      </c>
      <c r="AC6337">
        <v>536</v>
      </c>
      <c r="AD6337">
        <v>29.58</v>
      </c>
      <c r="AE6337">
        <v>542</v>
      </c>
      <c r="AF6337">
        <v>30</v>
      </c>
      <c r="AG6337">
        <v>169</v>
      </c>
      <c r="AH6337">
        <v>129</v>
      </c>
      <c r="AI6337">
        <v>5.54</v>
      </c>
      <c r="AJ6337">
        <v>31.18</v>
      </c>
      <c r="AK6337">
        <v>23.8</v>
      </c>
      <c r="AL6337">
        <v>-20.144721899999951</v>
      </c>
      <c r="AM6337">
        <v>-44.914368749511411</v>
      </c>
      <c r="AN6337">
        <v>-20.144721899999951</v>
      </c>
      <c r="AO6337">
        <v>-44.914368749511411</v>
      </c>
      <c r="AP6337">
        <v>-20.144780999999998</v>
      </c>
      <c r="AQ6337">
        <v>-44.914259000000001</v>
      </c>
      <c r="AR6337">
        <v>13.22280973360979</v>
      </c>
      <c r="AS6337" t="s">
        <v>65</v>
      </c>
      <c r="AT6337">
        <v>1</v>
      </c>
      <c r="AU6337" t="s">
        <v>933</v>
      </c>
      <c r="AV6337" t="s">
        <v>934</v>
      </c>
      <c r="AW6337" t="s">
        <v>60</v>
      </c>
      <c r="AX6337" t="s">
        <v>68</v>
      </c>
      <c r="AY6337" t="s">
        <v>69</v>
      </c>
      <c r="AZ6337" t="b">
        <v>1</v>
      </c>
    </row>
    <row r="6338" spans="1:52" x14ac:dyDescent="0.3">
      <c r="A6338" t="s">
        <v>52</v>
      </c>
      <c r="B6338" t="s">
        <v>53</v>
      </c>
      <c r="C6338" t="s">
        <v>54</v>
      </c>
      <c r="D6338" t="s">
        <v>55</v>
      </c>
      <c r="E6338" t="s">
        <v>2295</v>
      </c>
      <c r="F6338" t="s">
        <v>190</v>
      </c>
      <c r="G6338" t="s">
        <v>941</v>
      </c>
      <c r="H6338" t="s">
        <v>942</v>
      </c>
      <c r="I6338" t="s">
        <v>942</v>
      </c>
      <c r="J6338" t="s">
        <v>60</v>
      </c>
      <c r="K6338" t="s">
        <v>193</v>
      </c>
      <c r="L6338" t="s">
        <v>62</v>
      </c>
      <c r="M6338" t="s">
        <v>193</v>
      </c>
      <c r="N6338" t="s">
        <v>943</v>
      </c>
      <c r="O6338" t="s">
        <v>257</v>
      </c>
      <c r="P6338">
        <v>-20.142042</v>
      </c>
      <c r="Q6338">
        <v>-44.917906000000002</v>
      </c>
      <c r="R6338" s="2" t="str">
        <f>HYPERLINK("https://www.google.com/maps?q=-20.1420420,-44.9179060","Abrir no Google Maps")</f>
        <v>Abrir no Google Maps</v>
      </c>
      <c r="S6338">
        <v>3</v>
      </c>
      <c r="T6338">
        <v>373.14048213045743</v>
      </c>
      <c r="U6338">
        <v>3</v>
      </c>
      <c r="V6338">
        <v>0.45099179964538999</v>
      </c>
      <c r="W6338">
        <v>1</v>
      </c>
      <c r="X6338">
        <v>0.45099179964538999</v>
      </c>
      <c r="Y6338">
        <v>508</v>
      </c>
      <c r="Z6338">
        <v>271.52693841106122</v>
      </c>
      <c r="AA6338">
        <v>198</v>
      </c>
      <c r="AB6338">
        <v>332</v>
      </c>
      <c r="AC6338">
        <v>536</v>
      </c>
      <c r="AD6338">
        <v>29.58</v>
      </c>
      <c r="AE6338">
        <v>542</v>
      </c>
      <c r="AF6338">
        <v>30</v>
      </c>
      <c r="AG6338">
        <v>169</v>
      </c>
      <c r="AH6338">
        <v>129</v>
      </c>
      <c r="AI6338">
        <v>5.54</v>
      </c>
      <c r="AJ6338">
        <v>31.18</v>
      </c>
      <c r="AK6338">
        <v>23.8</v>
      </c>
      <c r="AL6338">
        <v>-20.14198914999994</v>
      </c>
      <c r="AM6338">
        <v>-44.918192618397512</v>
      </c>
      <c r="AN6338">
        <v>-20.14198914999994</v>
      </c>
      <c r="AO6338">
        <v>-44.918192618397512</v>
      </c>
      <c r="AP6338">
        <v>-20.142042</v>
      </c>
      <c r="AQ6338">
        <v>-44.917906000000002</v>
      </c>
      <c r="AR6338">
        <v>30.527314493281139</v>
      </c>
      <c r="AS6338" t="s">
        <v>65</v>
      </c>
      <c r="AT6338">
        <v>1</v>
      </c>
      <c r="AU6338" t="s">
        <v>944</v>
      </c>
      <c r="AV6338" t="s">
        <v>945</v>
      </c>
      <c r="AW6338" t="s">
        <v>60</v>
      </c>
      <c r="AX6338" t="s">
        <v>68</v>
      </c>
      <c r="AY6338" t="s">
        <v>69</v>
      </c>
      <c r="AZ6338" t="b">
        <v>1</v>
      </c>
    </row>
    <row r="6339" spans="1:52" x14ac:dyDescent="0.3">
      <c r="A6339" t="s">
        <v>52</v>
      </c>
      <c r="B6339" t="s">
        <v>53</v>
      </c>
      <c r="C6339" t="s">
        <v>54</v>
      </c>
      <c r="D6339" t="s">
        <v>55</v>
      </c>
      <c r="E6339" t="s">
        <v>2295</v>
      </c>
      <c r="F6339" t="s">
        <v>190</v>
      </c>
      <c r="G6339" t="s">
        <v>946</v>
      </c>
      <c r="H6339" t="s">
        <v>947</v>
      </c>
      <c r="I6339" t="s">
        <v>947</v>
      </c>
      <c r="J6339" t="s">
        <v>60</v>
      </c>
      <c r="K6339" t="s">
        <v>193</v>
      </c>
      <c r="L6339" t="s">
        <v>62</v>
      </c>
      <c r="M6339" t="s">
        <v>193</v>
      </c>
      <c r="N6339" t="s">
        <v>948</v>
      </c>
      <c r="O6339" t="s">
        <v>949</v>
      </c>
      <c r="P6339">
        <v>-20.141646000000001</v>
      </c>
      <c r="Q6339">
        <v>-44.920682999999997</v>
      </c>
      <c r="R6339" s="2" t="str">
        <f>HYPERLINK("https://www.google.com/maps?q=-20.1416460,-44.9206830","Abrir no Google Maps")</f>
        <v>Abrir no Google Maps</v>
      </c>
      <c r="S6339">
        <v>3</v>
      </c>
      <c r="T6339">
        <v>538.41742581974165</v>
      </c>
      <c r="U6339">
        <v>3</v>
      </c>
      <c r="V6339">
        <v>0.45999323965425659</v>
      </c>
      <c r="W6339">
        <v>1</v>
      </c>
      <c r="X6339">
        <v>0.45999323965425659</v>
      </c>
      <c r="Y6339">
        <v>508</v>
      </c>
      <c r="Z6339">
        <v>459.99626097363068</v>
      </c>
      <c r="AA6339">
        <v>198</v>
      </c>
      <c r="AB6339">
        <v>332</v>
      </c>
      <c r="AC6339">
        <v>536</v>
      </c>
      <c r="AD6339">
        <v>29.58</v>
      </c>
      <c r="AE6339">
        <v>542</v>
      </c>
      <c r="AF6339">
        <v>30</v>
      </c>
      <c r="AG6339">
        <v>169</v>
      </c>
      <c r="AH6339">
        <v>129</v>
      </c>
      <c r="AI6339">
        <v>5.54</v>
      </c>
      <c r="AJ6339">
        <v>31.18</v>
      </c>
      <c r="AK6339">
        <v>23.8</v>
      </c>
      <c r="AL6339">
        <v>-20.141877549999979</v>
      </c>
      <c r="AM6339">
        <v>-44.920658074778594</v>
      </c>
      <c r="AN6339">
        <v>-20.141877549999979</v>
      </c>
      <c r="AO6339">
        <v>-44.920658074778594</v>
      </c>
      <c r="AP6339">
        <v>-20.141646000000001</v>
      </c>
      <c r="AQ6339">
        <v>-44.920682999999997</v>
      </c>
      <c r="AR6339">
        <v>25.907443828287509</v>
      </c>
      <c r="AS6339" t="s">
        <v>65</v>
      </c>
      <c r="AT6339">
        <v>1</v>
      </c>
      <c r="AU6339" t="s">
        <v>950</v>
      </c>
      <c r="AV6339" t="s">
        <v>951</v>
      </c>
      <c r="AW6339" t="s">
        <v>60</v>
      </c>
      <c r="AX6339" t="s">
        <v>68</v>
      </c>
      <c r="AY6339" t="s">
        <v>69</v>
      </c>
      <c r="AZ6339" t="b">
        <v>1</v>
      </c>
    </row>
    <row r="6340" spans="1:52" x14ac:dyDescent="0.3">
      <c r="A6340" t="s">
        <v>52</v>
      </c>
      <c r="B6340" t="s">
        <v>53</v>
      </c>
      <c r="C6340" t="s">
        <v>54</v>
      </c>
      <c r="D6340" t="s">
        <v>55</v>
      </c>
      <c r="E6340" t="s">
        <v>2295</v>
      </c>
      <c r="F6340" t="s">
        <v>190</v>
      </c>
      <c r="G6340" t="s">
        <v>625</v>
      </c>
      <c r="H6340" t="s">
        <v>626</v>
      </c>
      <c r="I6340" t="s">
        <v>626</v>
      </c>
      <c r="J6340" t="s">
        <v>60</v>
      </c>
      <c r="K6340" t="s">
        <v>193</v>
      </c>
      <c r="L6340" t="s">
        <v>62</v>
      </c>
      <c r="M6340" t="s">
        <v>193</v>
      </c>
      <c r="N6340" t="s">
        <v>627</v>
      </c>
      <c r="O6340" t="s">
        <v>628</v>
      </c>
      <c r="P6340">
        <v>-20.145171999999999</v>
      </c>
      <c r="Q6340">
        <v>-44.916764000000001</v>
      </c>
      <c r="R6340" s="2" t="str">
        <f>HYPERLINK("https://www.google.com/maps?q=-20.1451720,-44.9167640","Abrir no Google Maps")</f>
        <v>Abrir no Google Maps</v>
      </c>
      <c r="S6340">
        <v>3</v>
      </c>
      <c r="T6340">
        <v>0</v>
      </c>
      <c r="U6340">
        <v>3</v>
      </c>
      <c r="V6340">
        <v>0.45277799123952972</v>
      </c>
      <c r="W6340">
        <v>1</v>
      </c>
      <c r="X6340">
        <v>0.45277799123952972</v>
      </c>
      <c r="Y6340">
        <v>508</v>
      </c>
      <c r="Z6340">
        <v>79.403393114466795</v>
      </c>
      <c r="AA6340">
        <v>198</v>
      </c>
      <c r="AB6340">
        <v>332</v>
      </c>
      <c r="AC6340">
        <v>536</v>
      </c>
      <c r="AD6340">
        <v>29.58</v>
      </c>
      <c r="AE6340">
        <v>542</v>
      </c>
      <c r="AF6340">
        <v>30</v>
      </c>
      <c r="AG6340">
        <v>169</v>
      </c>
      <c r="AH6340">
        <v>129</v>
      </c>
      <c r="AI6340">
        <v>5.54</v>
      </c>
      <c r="AJ6340">
        <v>31.18</v>
      </c>
      <c r="AK6340">
        <v>23.8</v>
      </c>
      <c r="AL6340">
        <v>-20.145089199999969</v>
      </c>
      <c r="AM6340">
        <v>-44.916788127791321</v>
      </c>
      <c r="AN6340">
        <v>-20.145089199999969</v>
      </c>
      <c r="AO6340">
        <v>-44.916788127791321</v>
      </c>
      <c r="AP6340">
        <v>-20.145171999999999</v>
      </c>
      <c r="AQ6340">
        <v>-44.916764000000001</v>
      </c>
      <c r="AR6340">
        <v>9.555991267747272</v>
      </c>
      <c r="AS6340" t="s">
        <v>65</v>
      </c>
      <c r="AT6340">
        <v>1</v>
      </c>
      <c r="AU6340" t="s">
        <v>629</v>
      </c>
      <c r="AV6340" t="s">
        <v>630</v>
      </c>
      <c r="AW6340" t="s">
        <v>60</v>
      </c>
      <c r="AX6340" t="s">
        <v>68</v>
      </c>
      <c r="AY6340" t="s">
        <v>69</v>
      </c>
      <c r="AZ6340" t="b">
        <v>1</v>
      </c>
    </row>
    <row r="6341" spans="1:52" x14ac:dyDescent="0.3">
      <c r="A6341" t="s">
        <v>52</v>
      </c>
      <c r="B6341" t="s">
        <v>53</v>
      </c>
      <c r="C6341" t="s">
        <v>54</v>
      </c>
      <c r="D6341" t="s">
        <v>55</v>
      </c>
      <c r="E6341" t="s">
        <v>2295</v>
      </c>
      <c r="F6341" t="s">
        <v>190</v>
      </c>
      <c r="G6341" t="s">
        <v>957</v>
      </c>
      <c r="H6341" t="s">
        <v>958</v>
      </c>
      <c r="I6341" t="s">
        <v>958</v>
      </c>
      <c r="J6341" t="s">
        <v>60</v>
      </c>
      <c r="K6341" t="s">
        <v>262</v>
      </c>
      <c r="L6341" t="s">
        <v>62</v>
      </c>
      <c r="M6341" t="s">
        <v>262</v>
      </c>
      <c r="N6341" t="s">
        <v>959</v>
      </c>
      <c r="O6341" t="s">
        <v>960</v>
      </c>
      <c r="P6341">
        <v>-20.165469999999999</v>
      </c>
      <c r="Q6341">
        <v>-44.854308000000003</v>
      </c>
      <c r="R6341" s="2" t="str">
        <f>HYPERLINK("https://www.google.com/maps?q=-20.1654700,-44.8543080","Abrir no Google Maps")</f>
        <v>Abrir no Google Maps</v>
      </c>
      <c r="S6341">
        <v>3</v>
      </c>
      <c r="T6341">
        <v>555.06043712641599</v>
      </c>
      <c r="U6341">
        <v>3</v>
      </c>
      <c r="V6341">
        <v>0.4464719140083217</v>
      </c>
      <c r="W6341">
        <v>1</v>
      </c>
      <c r="X6341">
        <v>0.4464719140083217</v>
      </c>
      <c r="Y6341">
        <v>491</v>
      </c>
      <c r="Z6341">
        <v>423.16855805320131</v>
      </c>
      <c r="AA6341">
        <v>198</v>
      </c>
      <c r="AB6341">
        <v>332</v>
      </c>
      <c r="AC6341">
        <v>536</v>
      </c>
      <c r="AD6341">
        <v>29.58</v>
      </c>
      <c r="AE6341">
        <v>542</v>
      </c>
      <c r="AF6341">
        <v>30</v>
      </c>
      <c r="AG6341">
        <v>169</v>
      </c>
      <c r="AH6341">
        <v>129</v>
      </c>
      <c r="AI6341">
        <v>5.54</v>
      </c>
      <c r="AJ6341">
        <v>31.18</v>
      </c>
      <c r="AK6341">
        <v>23.8</v>
      </c>
      <c r="AL6341">
        <v>-20.165538449999961</v>
      </c>
      <c r="AM6341">
        <v>-44.854274624633042</v>
      </c>
      <c r="AN6341">
        <v>-20.165538449999961</v>
      </c>
      <c r="AO6341">
        <v>-44.854274624633042</v>
      </c>
      <c r="AP6341">
        <v>-20.165469999999999</v>
      </c>
      <c r="AQ6341">
        <v>-44.854308000000003</v>
      </c>
      <c r="AR6341">
        <v>8.3800661572970956</v>
      </c>
      <c r="AS6341" t="s">
        <v>65</v>
      </c>
      <c r="AT6341">
        <v>1</v>
      </c>
      <c r="AU6341" t="s">
        <v>961</v>
      </c>
      <c r="AV6341" t="s">
        <v>962</v>
      </c>
      <c r="AW6341" t="s">
        <v>60</v>
      </c>
      <c r="AX6341" t="s">
        <v>68</v>
      </c>
      <c r="AY6341" t="s">
        <v>69</v>
      </c>
      <c r="AZ6341" t="b">
        <v>1</v>
      </c>
    </row>
    <row r="6342" spans="1:52" x14ac:dyDescent="0.3">
      <c r="A6342" t="s">
        <v>52</v>
      </c>
      <c r="B6342" t="s">
        <v>53</v>
      </c>
      <c r="C6342" t="s">
        <v>54</v>
      </c>
      <c r="D6342" t="s">
        <v>55</v>
      </c>
      <c r="E6342" t="s">
        <v>2295</v>
      </c>
      <c r="F6342" t="s">
        <v>190</v>
      </c>
      <c r="G6342" t="s">
        <v>974</v>
      </c>
      <c r="H6342" t="s">
        <v>975</v>
      </c>
      <c r="I6342" t="s">
        <v>975</v>
      </c>
      <c r="J6342" t="s">
        <v>60</v>
      </c>
      <c r="K6342" t="s">
        <v>702</v>
      </c>
      <c r="L6342" t="s">
        <v>62</v>
      </c>
      <c r="M6342" t="s">
        <v>702</v>
      </c>
      <c r="N6342" t="s">
        <v>976</v>
      </c>
      <c r="O6342" t="s">
        <v>977</v>
      </c>
      <c r="P6342">
        <v>-20.167021999999999</v>
      </c>
      <c r="Q6342">
        <v>-44.863095000000001</v>
      </c>
      <c r="R6342" s="2" t="str">
        <f>HYPERLINK("https://www.google.com/maps?q=-20.1670220,-44.8630950","Abrir no Google Maps")</f>
        <v>Abrir no Google Maps</v>
      </c>
      <c r="S6342">
        <v>3</v>
      </c>
      <c r="T6342">
        <v>629.02897442495839</v>
      </c>
      <c r="U6342">
        <v>3</v>
      </c>
      <c r="V6342">
        <v>0.45606894837334511</v>
      </c>
      <c r="W6342">
        <v>1</v>
      </c>
      <c r="X6342">
        <v>0.45606894837334511</v>
      </c>
      <c r="Y6342">
        <v>491</v>
      </c>
      <c r="Z6342">
        <v>693.48000708961661</v>
      </c>
      <c r="AA6342">
        <v>198</v>
      </c>
      <c r="AB6342">
        <v>332</v>
      </c>
      <c r="AC6342">
        <v>536</v>
      </c>
      <c r="AD6342">
        <v>29.58</v>
      </c>
      <c r="AE6342">
        <v>542</v>
      </c>
      <c r="AF6342">
        <v>30</v>
      </c>
      <c r="AG6342">
        <v>169</v>
      </c>
      <c r="AH6342">
        <v>129</v>
      </c>
      <c r="AI6342">
        <v>5.54</v>
      </c>
      <c r="AJ6342">
        <v>31.18</v>
      </c>
      <c r="AK6342">
        <v>23.8</v>
      </c>
      <c r="AL6342">
        <v>-20.167032199999941</v>
      </c>
      <c r="AM6342">
        <v>-44.863123980291967</v>
      </c>
      <c r="AN6342">
        <v>-20.167032199999941</v>
      </c>
      <c r="AO6342">
        <v>-44.863123980291967</v>
      </c>
      <c r="AP6342">
        <v>-20.167021999999999</v>
      </c>
      <c r="AQ6342">
        <v>-44.863095000000001</v>
      </c>
      <c r="AR6342">
        <v>3.2341734571542871</v>
      </c>
      <c r="AS6342" t="s">
        <v>65</v>
      </c>
      <c r="AT6342">
        <v>1</v>
      </c>
      <c r="AU6342" t="s">
        <v>978</v>
      </c>
      <c r="AV6342" t="s">
        <v>979</v>
      </c>
      <c r="AW6342" t="s">
        <v>60</v>
      </c>
      <c r="AX6342" t="s">
        <v>68</v>
      </c>
      <c r="AY6342" t="s">
        <v>69</v>
      </c>
      <c r="AZ6342" t="b">
        <v>1</v>
      </c>
    </row>
    <row r="6343" spans="1:52" x14ac:dyDescent="0.3">
      <c r="A6343" t="s">
        <v>52</v>
      </c>
      <c r="B6343" t="s">
        <v>53</v>
      </c>
      <c r="C6343" t="s">
        <v>54</v>
      </c>
      <c r="D6343" t="s">
        <v>55</v>
      </c>
      <c r="E6343" t="s">
        <v>2295</v>
      </c>
      <c r="F6343" t="s">
        <v>190</v>
      </c>
      <c r="G6343" t="s">
        <v>980</v>
      </c>
      <c r="H6343" t="s">
        <v>981</v>
      </c>
      <c r="I6343" t="s">
        <v>981</v>
      </c>
      <c r="J6343" t="s">
        <v>60</v>
      </c>
      <c r="K6343" t="s">
        <v>982</v>
      </c>
      <c r="L6343" t="s">
        <v>62</v>
      </c>
      <c r="M6343" t="s">
        <v>982</v>
      </c>
      <c r="N6343" t="s">
        <v>983</v>
      </c>
      <c r="O6343" t="s">
        <v>264</v>
      </c>
      <c r="P6343">
        <v>-20.166967</v>
      </c>
      <c r="Q6343">
        <v>-44.859355000000001</v>
      </c>
      <c r="R6343" s="2" t="str">
        <f>HYPERLINK("https://www.google.com/maps?q=-20.1669670,-44.8593550","Abrir no Google Maps")</f>
        <v>Abrir no Google Maps</v>
      </c>
      <c r="S6343">
        <v>3</v>
      </c>
      <c r="T6343">
        <v>577.54934865824521</v>
      </c>
      <c r="U6343">
        <v>3</v>
      </c>
      <c r="V6343">
        <v>0.44495411584821859</v>
      </c>
      <c r="W6343">
        <v>1</v>
      </c>
      <c r="X6343">
        <v>0.44495411584821859</v>
      </c>
      <c r="Y6343">
        <v>491</v>
      </c>
      <c r="Z6343">
        <v>433.59782149216659</v>
      </c>
      <c r="AA6343">
        <v>198</v>
      </c>
      <c r="AB6343">
        <v>332</v>
      </c>
      <c r="AC6343">
        <v>536</v>
      </c>
      <c r="AD6343">
        <v>29.58</v>
      </c>
      <c r="AE6343">
        <v>542</v>
      </c>
      <c r="AF6343">
        <v>30</v>
      </c>
      <c r="AG6343">
        <v>169</v>
      </c>
      <c r="AH6343">
        <v>129</v>
      </c>
      <c r="AI6343">
        <v>5.54</v>
      </c>
      <c r="AJ6343">
        <v>31.18</v>
      </c>
      <c r="AK6343">
        <v>23.8</v>
      </c>
      <c r="AL6343">
        <v>-20.16694954999997</v>
      </c>
      <c r="AM6343">
        <v>-44.859100695938046</v>
      </c>
      <c r="AN6343">
        <v>-20.16694954999997</v>
      </c>
      <c r="AO6343">
        <v>-44.859100695938046</v>
      </c>
      <c r="AP6343">
        <v>-20.166967</v>
      </c>
      <c r="AQ6343">
        <v>-44.859355000000001</v>
      </c>
      <c r="AR6343">
        <v>26.644458793923111</v>
      </c>
      <c r="AS6343" t="s">
        <v>65</v>
      </c>
      <c r="AT6343">
        <v>1</v>
      </c>
      <c r="AU6343" t="s">
        <v>984</v>
      </c>
      <c r="AV6343" t="s">
        <v>985</v>
      </c>
      <c r="AW6343" t="s">
        <v>60</v>
      </c>
      <c r="AX6343" t="s">
        <v>68</v>
      </c>
      <c r="AY6343" t="s">
        <v>69</v>
      </c>
      <c r="AZ6343" t="b">
        <v>1</v>
      </c>
    </row>
    <row r="6344" spans="1:52" x14ac:dyDescent="0.3">
      <c r="A6344" t="s">
        <v>52</v>
      </c>
      <c r="B6344" t="s">
        <v>53</v>
      </c>
      <c r="C6344" t="s">
        <v>54</v>
      </c>
      <c r="D6344" t="s">
        <v>55</v>
      </c>
      <c r="E6344" t="s">
        <v>2295</v>
      </c>
      <c r="F6344" t="s">
        <v>190</v>
      </c>
      <c r="G6344" t="s">
        <v>986</v>
      </c>
      <c r="H6344" t="s">
        <v>987</v>
      </c>
      <c r="I6344" t="s">
        <v>987</v>
      </c>
      <c r="J6344" t="s">
        <v>60</v>
      </c>
      <c r="K6344" t="s">
        <v>702</v>
      </c>
      <c r="L6344" t="s">
        <v>62</v>
      </c>
      <c r="M6344" t="s">
        <v>702</v>
      </c>
      <c r="N6344" t="s">
        <v>988</v>
      </c>
      <c r="O6344" t="s">
        <v>989</v>
      </c>
      <c r="P6344">
        <v>-20.1691</v>
      </c>
      <c r="Q6344">
        <v>-44.860813999999998</v>
      </c>
      <c r="R6344" s="2" t="str">
        <f>HYPERLINK("https://www.google.com/maps?q=-20.1691000,-44.8608140","Abrir no Google Maps")</f>
        <v>Abrir no Google Maps</v>
      </c>
      <c r="S6344">
        <v>3</v>
      </c>
      <c r="T6344">
        <v>596.11124105675003</v>
      </c>
      <c r="U6344">
        <v>3</v>
      </c>
      <c r="V6344">
        <v>0.44629496498655369</v>
      </c>
      <c r="W6344">
        <v>1</v>
      </c>
      <c r="X6344">
        <v>0.44629496498655369</v>
      </c>
      <c r="Y6344">
        <v>491</v>
      </c>
      <c r="Z6344">
        <v>741.65354053819078</v>
      </c>
      <c r="AA6344">
        <v>198</v>
      </c>
      <c r="AB6344">
        <v>332</v>
      </c>
      <c r="AC6344">
        <v>536</v>
      </c>
      <c r="AD6344">
        <v>29.58</v>
      </c>
      <c r="AE6344">
        <v>542</v>
      </c>
      <c r="AF6344">
        <v>30</v>
      </c>
      <c r="AG6344">
        <v>169</v>
      </c>
      <c r="AH6344">
        <v>129</v>
      </c>
      <c r="AI6344">
        <v>5.54</v>
      </c>
      <c r="AJ6344">
        <v>31.18</v>
      </c>
      <c r="AK6344">
        <v>23.8</v>
      </c>
      <c r="AL6344">
        <v>-20.168995449999951</v>
      </c>
      <c r="AM6344">
        <v>-44.86088900357106</v>
      </c>
      <c r="AN6344">
        <v>-20.168995449999951</v>
      </c>
      <c r="AO6344">
        <v>-44.86088900357106</v>
      </c>
      <c r="AP6344">
        <v>-20.1691</v>
      </c>
      <c r="AQ6344">
        <v>-44.860813999999998</v>
      </c>
      <c r="AR6344">
        <v>14.03138702725616</v>
      </c>
      <c r="AS6344" t="s">
        <v>65</v>
      </c>
      <c r="AT6344">
        <v>1</v>
      </c>
      <c r="AU6344" t="s">
        <v>990</v>
      </c>
      <c r="AV6344" t="s">
        <v>991</v>
      </c>
      <c r="AW6344" t="s">
        <v>60</v>
      </c>
      <c r="AX6344" t="s">
        <v>68</v>
      </c>
      <c r="AY6344" t="s">
        <v>69</v>
      </c>
      <c r="AZ6344" t="b">
        <v>1</v>
      </c>
    </row>
    <row r="6345" spans="1:52" x14ac:dyDescent="0.3">
      <c r="A6345" t="s">
        <v>52</v>
      </c>
      <c r="B6345" t="s">
        <v>53</v>
      </c>
      <c r="C6345" t="s">
        <v>54</v>
      </c>
      <c r="D6345" t="s">
        <v>55</v>
      </c>
      <c r="E6345" t="s">
        <v>2295</v>
      </c>
      <c r="F6345" t="s">
        <v>190</v>
      </c>
      <c r="G6345" t="s">
        <v>649</v>
      </c>
      <c r="H6345" t="s">
        <v>650</v>
      </c>
      <c r="I6345" t="s">
        <v>650</v>
      </c>
      <c r="J6345" t="s">
        <v>60</v>
      </c>
      <c r="K6345" t="s">
        <v>651</v>
      </c>
      <c r="L6345" t="s">
        <v>62</v>
      </c>
      <c r="M6345" t="s">
        <v>651</v>
      </c>
      <c r="N6345" t="s">
        <v>652</v>
      </c>
      <c r="O6345" t="s">
        <v>653</v>
      </c>
      <c r="P6345">
        <v>-20.134566</v>
      </c>
      <c r="Q6345">
        <v>-44.894970999999998</v>
      </c>
      <c r="R6345" s="2" t="str">
        <f>HYPERLINK("https://www.google.com/maps?q=-20.1345660,-44.8949710","Abrir no Google Maps")</f>
        <v>Abrir no Google Maps</v>
      </c>
      <c r="S6345">
        <v>3</v>
      </c>
      <c r="T6345">
        <v>722.088947634291</v>
      </c>
      <c r="U6345">
        <v>3</v>
      </c>
      <c r="V6345">
        <v>0.45661558109833972</v>
      </c>
      <c r="W6345">
        <v>1</v>
      </c>
      <c r="X6345">
        <v>0.45661558109833972</v>
      </c>
      <c r="Y6345">
        <v>435</v>
      </c>
      <c r="Z6345">
        <v>510.93480096112631</v>
      </c>
      <c r="AA6345">
        <v>198</v>
      </c>
      <c r="AB6345">
        <v>332</v>
      </c>
      <c r="AC6345">
        <v>536</v>
      </c>
      <c r="AD6345">
        <v>29.58</v>
      </c>
      <c r="AE6345">
        <v>542</v>
      </c>
      <c r="AF6345">
        <v>30</v>
      </c>
      <c r="AG6345">
        <v>169</v>
      </c>
      <c r="AH6345">
        <v>129</v>
      </c>
      <c r="AI6345">
        <v>5.54</v>
      </c>
      <c r="AJ6345">
        <v>31.18</v>
      </c>
      <c r="AK6345">
        <v>23.8</v>
      </c>
      <c r="AL6345">
        <v>-20.134477649999951</v>
      </c>
      <c r="AM6345">
        <v>-44.894921468906077</v>
      </c>
      <c r="AN6345">
        <v>-20.134477649999951</v>
      </c>
      <c r="AO6345">
        <v>-44.894921468906077</v>
      </c>
      <c r="AP6345">
        <v>-20.134566</v>
      </c>
      <c r="AQ6345">
        <v>-44.894970999999998</v>
      </c>
      <c r="AR6345">
        <v>11.114372522967921</v>
      </c>
      <c r="AS6345" t="s">
        <v>65</v>
      </c>
      <c r="AT6345">
        <v>1</v>
      </c>
      <c r="AU6345" t="s">
        <v>654</v>
      </c>
      <c r="AV6345" t="s">
        <v>655</v>
      </c>
      <c r="AW6345" t="s">
        <v>60</v>
      </c>
      <c r="AX6345" t="s">
        <v>68</v>
      </c>
      <c r="AY6345" t="s">
        <v>69</v>
      </c>
      <c r="AZ6345" t="b">
        <v>1</v>
      </c>
    </row>
    <row r="6346" spans="1:52" x14ac:dyDescent="0.3">
      <c r="A6346" t="s">
        <v>52</v>
      </c>
      <c r="B6346" t="s">
        <v>53</v>
      </c>
      <c r="C6346" t="s">
        <v>54</v>
      </c>
      <c r="D6346" t="s">
        <v>55</v>
      </c>
      <c r="E6346" t="s">
        <v>2295</v>
      </c>
      <c r="F6346" t="s">
        <v>190</v>
      </c>
      <c r="G6346" t="s">
        <v>686</v>
      </c>
      <c r="H6346" t="s">
        <v>687</v>
      </c>
      <c r="I6346" t="s">
        <v>687</v>
      </c>
      <c r="J6346" t="s">
        <v>60</v>
      </c>
      <c r="K6346" t="s">
        <v>688</v>
      </c>
      <c r="L6346" t="s">
        <v>62</v>
      </c>
      <c r="M6346" t="s">
        <v>688</v>
      </c>
      <c r="N6346" t="s">
        <v>689</v>
      </c>
      <c r="O6346" t="s">
        <v>690</v>
      </c>
      <c r="P6346">
        <v>-20.136451999999998</v>
      </c>
      <c r="Q6346">
        <v>-44.891254000000004</v>
      </c>
      <c r="R6346" s="2" t="str">
        <f>HYPERLINK("https://www.google.com/maps?q=-20.1364520,-44.8912540","Abrir no Google Maps")</f>
        <v>Abrir no Google Maps</v>
      </c>
      <c r="S6346">
        <v>3</v>
      </c>
      <c r="T6346">
        <v>397.58661308638909</v>
      </c>
      <c r="U6346">
        <v>3</v>
      </c>
      <c r="V6346">
        <v>0.4479840262312782</v>
      </c>
      <c r="W6346">
        <v>1</v>
      </c>
      <c r="X6346">
        <v>0.4479840262312782</v>
      </c>
      <c r="Y6346">
        <v>428</v>
      </c>
      <c r="Z6346">
        <v>449.62002896840892</v>
      </c>
      <c r="AA6346">
        <v>198</v>
      </c>
      <c r="AB6346">
        <v>332</v>
      </c>
      <c r="AC6346">
        <v>536</v>
      </c>
      <c r="AD6346">
        <v>29.58</v>
      </c>
      <c r="AE6346">
        <v>542</v>
      </c>
      <c r="AF6346">
        <v>30</v>
      </c>
      <c r="AG6346">
        <v>169</v>
      </c>
      <c r="AH6346">
        <v>129</v>
      </c>
      <c r="AI6346">
        <v>5.54</v>
      </c>
      <c r="AJ6346">
        <v>31.18</v>
      </c>
      <c r="AK6346">
        <v>23.8</v>
      </c>
      <c r="AL6346">
        <v>-20.136400499999951</v>
      </c>
      <c r="AM6346">
        <v>-44.891173264034883</v>
      </c>
      <c r="AN6346">
        <v>-20.136400499999951</v>
      </c>
      <c r="AO6346">
        <v>-44.891173264034883</v>
      </c>
      <c r="AP6346">
        <v>-20.136451999999998</v>
      </c>
      <c r="AQ6346">
        <v>-44.891254000000004</v>
      </c>
      <c r="AR6346">
        <v>10.20146066113916</v>
      </c>
      <c r="AS6346" t="s">
        <v>65</v>
      </c>
      <c r="AT6346">
        <v>1</v>
      </c>
      <c r="AU6346" t="s">
        <v>691</v>
      </c>
      <c r="AV6346" t="s">
        <v>692</v>
      </c>
      <c r="AW6346" t="s">
        <v>60</v>
      </c>
      <c r="AX6346" t="s">
        <v>68</v>
      </c>
      <c r="AY6346" t="s">
        <v>69</v>
      </c>
      <c r="AZ6346" t="b">
        <v>1</v>
      </c>
    </row>
    <row r="6347" spans="1:52" x14ac:dyDescent="0.3">
      <c r="A6347" t="s">
        <v>52</v>
      </c>
      <c r="B6347" t="s">
        <v>53</v>
      </c>
      <c r="C6347" t="s">
        <v>54</v>
      </c>
      <c r="D6347" t="s">
        <v>55</v>
      </c>
      <c r="E6347" t="s">
        <v>2295</v>
      </c>
      <c r="F6347" t="s">
        <v>190</v>
      </c>
      <c r="G6347" t="s">
        <v>1014</v>
      </c>
      <c r="H6347" t="s">
        <v>1015</v>
      </c>
      <c r="I6347" t="s">
        <v>1015</v>
      </c>
      <c r="J6347" t="s">
        <v>60</v>
      </c>
      <c r="K6347" t="s">
        <v>1016</v>
      </c>
      <c r="L6347" t="s">
        <v>62</v>
      </c>
      <c r="M6347" t="s">
        <v>1016</v>
      </c>
      <c r="N6347" t="s">
        <v>1017</v>
      </c>
      <c r="O6347" t="s">
        <v>1018</v>
      </c>
      <c r="P6347">
        <v>-20.174461000000001</v>
      </c>
      <c r="Q6347">
        <v>-44.868710999999998</v>
      </c>
      <c r="R6347" s="2" t="str">
        <f>HYPERLINK("https://www.google.com/maps?q=-20.1744610,-44.8687110","Abrir no Google Maps")</f>
        <v>Abrir no Google Maps</v>
      </c>
      <c r="S6347">
        <v>3</v>
      </c>
      <c r="T6347">
        <v>435.39504742850158</v>
      </c>
      <c r="U6347">
        <v>3</v>
      </c>
      <c r="V6347">
        <v>0.4359203757548647</v>
      </c>
      <c r="W6347">
        <v>1</v>
      </c>
      <c r="X6347">
        <v>0.4359203757548647</v>
      </c>
      <c r="Y6347">
        <v>422</v>
      </c>
      <c r="Z6347">
        <v>264.99958639233438</v>
      </c>
      <c r="AA6347">
        <v>198</v>
      </c>
      <c r="AB6347">
        <v>332</v>
      </c>
      <c r="AC6347">
        <v>536</v>
      </c>
      <c r="AD6347">
        <v>29.58</v>
      </c>
      <c r="AE6347">
        <v>542</v>
      </c>
      <c r="AF6347">
        <v>30</v>
      </c>
      <c r="AG6347">
        <v>169</v>
      </c>
      <c r="AH6347">
        <v>129</v>
      </c>
      <c r="AI6347">
        <v>5.54</v>
      </c>
      <c r="AJ6347">
        <v>31.18</v>
      </c>
      <c r="AK6347">
        <v>23.8</v>
      </c>
      <c r="AL6347">
        <v>-20.174459749999951</v>
      </c>
      <c r="AM6347">
        <v>-44.868877789186897</v>
      </c>
      <c r="AN6347">
        <v>-20.174459749999951</v>
      </c>
      <c r="AO6347">
        <v>-44.868877789186897</v>
      </c>
      <c r="AP6347">
        <v>-20.174461000000001</v>
      </c>
      <c r="AQ6347">
        <v>-44.868710999999998</v>
      </c>
      <c r="AR6347">
        <v>17.42838555603738</v>
      </c>
      <c r="AS6347" t="s">
        <v>65</v>
      </c>
      <c r="AT6347">
        <v>1</v>
      </c>
      <c r="AU6347" t="s">
        <v>1019</v>
      </c>
      <c r="AV6347" t="s">
        <v>1020</v>
      </c>
      <c r="AW6347" t="s">
        <v>60</v>
      </c>
      <c r="AX6347" t="s">
        <v>68</v>
      </c>
      <c r="AY6347" t="s">
        <v>69</v>
      </c>
      <c r="AZ6347" t="b">
        <v>1</v>
      </c>
    </row>
    <row r="6348" spans="1:52" x14ac:dyDescent="0.3">
      <c r="A6348" t="s">
        <v>52</v>
      </c>
      <c r="B6348" t="s">
        <v>53</v>
      </c>
      <c r="C6348" t="s">
        <v>54</v>
      </c>
      <c r="D6348" t="s">
        <v>55</v>
      </c>
      <c r="E6348" t="s">
        <v>2295</v>
      </c>
      <c r="F6348" t="s">
        <v>190</v>
      </c>
      <c r="G6348" t="s">
        <v>1021</v>
      </c>
      <c r="H6348" t="s">
        <v>1022</v>
      </c>
      <c r="I6348" t="s">
        <v>1022</v>
      </c>
      <c r="J6348" t="s">
        <v>60</v>
      </c>
      <c r="K6348" t="s">
        <v>1023</v>
      </c>
      <c r="L6348" t="s">
        <v>62</v>
      </c>
      <c r="M6348" t="s">
        <v>1023</v>
      </c>
      <c r="N6348" t="s">
        <v>1024</v>
      </c>
      <c r="O6348" t="s">
        <v>1025</v>
      </c>
      <c r="P6348">
        <v>-20.169588999999998</v>
      </c>
      <c r="Q6348">
        <v>-44.866636</v>
      </c>
      <c r="R6348" s="2" t="str">
        <f>HYPERLINK("https://www.google.com/maps?q=-20.1695890,-44.8666360","Abrir no Google Maps")</f>
        <v>Abrir no Google Maps</v>
      </c>
      <c r="S6348">
        <v>3</v>
      </c>
      <c r="T6348">
        <v>326.02709617860302</v>
      </c>
      <c r="U6348">
        <v>3</v>
      </c>
      <c r="V6348">
        <v>0.45350568764143001</v>
      </c>
      <c r="W6348">
        <v>1</v>
      </c>
      <c r="X6348">
        <v>0.45350568764143001</v>
      </c>
      <c r="Y6348">
        <v>422</v>
      </c>
      <c r="Z6348">
        <v>333.05362278862168</v>
      </c>
      <c r="AA6348">
        <v>198</v>
      </c>
      <c r="AB6348">
        <v>332</v>
      </c>
      <c r="AC6348">
        <v>536</v>
      </c>
      <c r="AD6348">
        <v>29.58</v>
      </c>
      <c r="AE6348">
        <v>542</v>
      </c>
      <c r="AF6348">
        <v>30</v>
      </c>
      <c r="AG6348">
        <v>169</v>
      </c>
      <c r="AH6348">
        <v>129</v>
      </c>
      <c r="AI6348">
        <v>5.54</v>
      </c>
      <c r="AJ6348">
        <v>31.18</v>
      </c>
      <c r="AK6348">
        <v>23.8</v>
      </c>
      <c r="AL6348">
        <v>-20.16956104999997</v>
      </c>
      <c r="AM6348">
        <v>-44.866560528183591</v>
      </c>
      <c r="AN6348">
        <v>-20.16956104999997</v>
      </c>
      <c r="AO6348">
        <v>-44.866560528183591</v>
      </c>
      <c r="AP6348">
        <v>-20.169588999999998</v>
      </c>
      <c r="AQ6348">
        <v>-44.866636</v>
      </c>
      <c r="AR6348">
        <v>8.4778927137831293</v>
      </c>
      <c r="AS6348" t="s">
        <v>65</v>
      </c>
      <c r="AT6348">
        <v>1</v>
      </c>
      <c r="AU6348" t="s">
        <v>1026</v>
      </c>
      <c r="AV6348" t="s">
        <v>1027</v>
      </c>
      <c r="AW6348" t="s">
        <v>60</v>
      </c>
      <c r="AX6348" t="s">
        <v>68</v>
      </c>
      <c r="AY6348" t="s">
        <v>69</v>
      </c>
      <c r="AZ6348" t="b">
        <v>1</v>
      </c>
    </row>
    <row r="6349" spans="1:52" x14ac:dyDescent="0.3">
      <c r="A6349" t="s">
        <v>52</v>
      </c>
      <c r="B6349" t="s">
        <v>53</v>
      </c>
      <c r="C6349" t="s">
        <v>54</v>
      </c>
      <c r="D6349" t="s">
        <v>55</v>
      </c>
      <c r="E6349" t="s">
        <v>2295</v>
      </c>
      <c r="F6349" t="s">
        <v>190</v>
      </c>
      <c r="G6349" t="s">
        <v>1028</v>
      </c>
      <c r="H6349" t="s">
        <v>1029</v>
      </c>
      <c r="I6349" t="s">
        <v>1029</v>
      </c>
      <c r="J6349" t="s">
        <v>60</v>
      </c>
      <c r="K6349" t="s">
        <v>1016</v>
      </c>
      <c r="L6349" t="s">
        <v>62</v>
      </c>
      <c r="M6349" t="s">
        <v>1016</v>
      </c>
      <c r="N6349" t="s">
        <v>1030</v>
      </c>
      <c r="O6349" t="s">
        <v>855</v>
      </c>
      <c r="P6349">
        <v>-20.169778000000001</v>
      </c>
      <c r="Q6349">
        <v>-44.871940000000002</v>
      </c>
      <c r="R6349" s="2" t="str">
        <f>HYPERLINK("https://www.google.com/maps?q=-20.1697780,-44.8719400","Abrir no Google Maps")</f>
        <v>Abrir no Google Maps</v>
      </c>
      <c r="S6349">
        <v>3</v>
      </c>
      <c r="T6349">
        <v>730.45462447863167</v>
      </c>
      <c r="U6349">
        <v>3</v>
      </c>
      <c r="V6349">
        <v>0.45080273406453658</v>
      </c>
      <c r="W6349">
        <v>1</v>
      </c>
      <c r="X6349">
        <v>0.45080273406453658</v>
      </c>
      <c r="Y6349">
        <v>422</v>
      </c>
      <c r="Z6349">
        <v>600.74952959765801</v>
      </c>
      <c r="AA6349">
        <v>198</v>
      </c>
      <c r="AB6349">
        <v>332</v>
      </c>
      <c r="AC6349">
        <v>536</v>
      </c>
      <c r="AD6349">
        <v>29.58</v>
      </c>
      <c r="AE6349">
        <v>542</v>
      </c>
      <c r="AF6349">
        <v>30</v>
      </c>
      <c r="AG6349">
        <v>169</v>
      </c>
      <c r="AH6349">
        <v>129</v>
      </c>
      <c r="AI6349">
        <v>5.54</v>
      </c>
      <c r="AJ6349">
        <v>31.18</v>
      </c>
      <c r="AK6349">
        <v>23.8</v>
      </c>
      <c r="AL6349">
        <v>-20.169770599999961</v>
      </c>
      <c r="AM6349">
        <v>-44.871857291666629</v>
      </c>
      <c r="AN6349">
        <v>-20.169770599999961</v>
      </c>
      <c r="AO6349">
        <v>-44.871857291666629</v>
      </c>
      <c r="AP6349">
        <v>-20.169778000000001</v>
      </c>
      <c r="AQ6349">
        <v>-44.871940000000002</v>
      </c>
      <c r="AR6349">
        <v>8.6816379320830315</v>
      </c>
      <c r="AS6349" t="s">
        <v>65</v>
      </c>
      <c r="AT6349">
        <v>1</v>
      </c>
      <c r="AU6349" t="s">
        <v>1031</v>
      </c>
      <c r="AV6349" t="s">
        <v>1032</v>
      </c>
      <c r="AW6349" t="s">
        <v>60</v>
      </c>
      <c r="AX6349" t="s">
        <v>68</v>
      </c>
      <c r="AY6349" t="s">
        <v>69</v>
      </c>
      <c r="AZ6349" t="b">
        <v>1</v>
      </c>
    </row>
    <row r="6350" spans="1:52" x14ac:dyDescent="0.3">
      <c r="A6350" t="s">
        <v>52</v>
      </c>
      <c r="B6350" t="s">
        <v>53</v>
      </c>
      <c r="C6350" t="s">
        <v>54</v>
      </c>
      <c r="D6350" t="s">
        <v>55</v>
      </c>
      <c r="E6350" t="s">
        <v>2295</v>
      </c>
      <c r="F6350" t="s">
        <v>190</v>
      </c>
      <c r="G6350" t="s">
        <v>1033</v>
      </c>
      <c r="H6350" t="s">
        <v>1034</v>
      </c>
      <c r="I6350" t="s">
        <v>1034</v>
      </c>
      <c r="J6350" t="s">
        <v>60</v>
      </c>
      <c r="K6350" t="s">
        <v>1016</v>
      </c>
      <c r="L6350" t="s">
        <v>62</v>
      </c>
      <c r="M6350" t="s">
        <v>1016</v>
      </c>
      <c r="N6350" t="s">
        <v>1035</v>
      </c>
      <c r="O6350" t="s">
        <v>1036</v>
      </c>
      <c r="P6350">
        <v>-20.176404999999999</v>
      </c>
      <c r="Q6350">
        <v>-44.871102</v>
      </c>
      <c r="R6350" s="2" t="str">
        <f>HYPERLINK("https://www.google.com/maps?q=-20.1764050,-44.8711020","Abrir no Google Maps")</f>
        <v>Abrir no Google Maps</v>
      </c>
      <c r="S6350">
        <v>3</v>
      </c>
      <c r="T6350">
        <v>746.17794449655105</v>
      </c>
      <c r="U6350">
        <v>3</v>
      </c>
      <c r="V6350">
        <v>0.45670069482649711</v>
      </c>
      <c r="W6350">
        <v>1</v>
      </c>
      <c r="X6350">
        <v>0.45670069482649711</v>
      </c>
      <c r="Y6350">
        <v>422</v>
      </c>
      <c r="Z6350">
        <v>532.61564453099913</v>
      </c>
      <c r="AA6350">
        <v>198</v>
      </c>
      <c r="AB6350">
        <v>332</v>
      </c>
      <c r="AC6350">
        <v>536</v>
      </c>
      <c r="AD6350">
        <v>29.58</v>
      </c>
      <c r="AE6350">
        <v>542</v>
      </c>
      <c r="AF6350">
        <v>30</v>
      </c>
      <c r="AG6350">
        <v>169</v>
      </c>
      <c r="AH6350">
        <v>129</v>
      </c>
      <c r="AI6350">
        <v>5.54</v>
      </c>
      <c r="AJ6350">
        <v>31.18</v>
      </c>
      <c r="AK6350">
        <v>23.8</v>
      </c>
      <c r="AL6350">
        <v>-20.176464949999971</v>
      </c>
      <c r="AM6350">
        <v>-44.871010194676387</v>
      </c>
      <c r="AN6350">
        <v>-20.176464949999971</v>
      </c>
      <c r="AO6350">
        <v>-44.871010194676387</v>
      </c>
      <c r="AP6350">
        <v>-20.176404999999999</v>
      </c>
      <c r="AQ6350">
        <v>-44.871102</v>
      </c>
      <c r="AR6350">
        <v>11.68571547850415</v>
      </c>
      <c r="AS6350" t="s">
        <v>65</v>
      </c>
      <c r="AT6350">
        <v>1</v>
      </c>
      <c r="AU6350" t="s">
        <v>1037</v>
      </c>
      <c r="AV6350" t="s">
        <v>1038</v>
      </c>
      <c r="AW6350" t="s">
        <v>60</v>
      </c>
      <c r="AX6350" t="s">
        <v>68</v>
      </c>
      <c r="AY6350" t="s">
        <v>69</v>
      </c>
      <c r="AZ6350" t="b">
        <v>1</v>
      </c>
    </row>
    <row r="6351" spans="1:52" x14ac:dyDescent="0.3">
      <c r="A6351" t="s">
        <v>52</v>
      </c>
      <c r="B6351" t="s">
        <v>53</v>
      </c>
      <c r="C6351" t="s">
        <v>54</v>
      </c>
      <c r="D6351" t="s">
        <v>55</v>
      </c>
      <c r="E6351" t="s">
        <v>2295</v>
      </c>
      <c r="F6351" t="s">
        <v>190</v>
      </c>
      <c r="G6351" t="s">
        <v>700</v>
      </c>
      <c r="H6351" t="s">
        <v>701</v>
      </c>
      <c r="I6351" t="s">
        <v>701</v>
      </c>
      <c r="J6351" t="s">
        <v>60</v>
      </c>
      <c r="K6351" t="s">
        <v>702</v>
      </c>
      <c r="L6351" t="s">
        <v>62</v>
      </c>
      <c r="M6351" t="s">
        <v>702</v>
      </c>
      <c r="N6351" t="s">
        <v>703</v>
      </c>
      <c r="O6351" t="s">
        <v>315</v>
      </c>
      <c r="P6351">
        <v>-20.172599000000002</v>
      </c>
      <c r="Q6351">
        <v>-44.85915</v>
      </c>
      <c r="R6351" s="2" t="str">
        <f>HYPERLINK("https://www.google.com/maps?q=-20.1725990,-44.8591500","Abrir no Google Maps")</f>
        <v>Abrir no Google Maps</v>
      </c>
      <c r="S6351">
        <v>3</v>
      </c>
      <c r="T6351">
        <v>665.1003223445598</v>
      </c>
      <c r="U6351">
        <v>3</v>
      </c>
      <c r="V6351">
        <v>0.4545809351261858</v>
      </c>
      <c r="W6351">
        <v>1</v>
      </c>
      <c r="X6351">
        <v>0.4545809351261858</v>
      </c>
      <c r="Y6351">
        <v>422</v>
      </c>
      <c r="Z6351">
        <v>843.09189615634341</v>
      </c>
      <c r="AA6351">
        <v>198</v>
      </c>
      <c r="AB6351">
        <v>332</v>
      </c>
      <c r="AC6351">
        <v>536</v>
      </c>
      <c r="AD6351">
        <v>29.58</v>
      </c>
      <c r="AE6351">
        <v>542</v>
      </c>
      <c r="AF6351">
        <v>30</v>
      </c>
      <c r="AG6351">
        <v>169</v>
      </c>
      <c r="AH6351">
        <v>129</v>
      </c>
      <c r="AI6351">
        <v>5.54</v>
      </c>
      <c r="AJ6351">
        <v>31.18</v>
      </c>
      <c r="AK6351">
        <v>23.8</v>
      </c>
      <c r="AL6351">
        <v>-20.172576899999971</v>
      </c>
      <c r="AM6351">
        <v>-44.859040110359317</v>
      </c>
      <c r="AN6351">
        <v>-20.172576899999971</v>
      </c>
      <c r="AO6351">
        <v>-44.859040110359317</v>
      </c>
      <c r="AP6351">
        <v>-20.172599000000002</v>
      </c>
      <c r="AQ6351">
        <v>-44.85915</v>
      </c>
      <c r="AR6351">
        <v>11.743118835828479</v>
      </c>
      <c r="AS6351" t="s">
        <v>65</v>
      </c>
      <c r="AT6351">
        <v>1</v>
      </c>
      <c r="AU6351" t="s">
        <v>704</v>
      </c>
      <c r="AV6351" t="s">
        <v>705</v>
      </c>
      <c r="AW6351" t="s">
        <v>60</v>
      </c>
      <c r="AX6351" t="s">
        <v>68</v>
      </c>
      <c r="AY6351" t="s">
        <v>69</v>
      </c>
      <c r="AZ6351" t="b">
        <v>1</v>
      </c>
    </row>
    <row r="6352" spans="1:52" x14ac:dyDescent="0.3">
      <c r="A6352" t="s">
        <v>52</v>
      </c>
      <c r="B6352" t="s">
        <v>53</v>
      </c>
      <c r="C6352" t="s">
        <v>54</v>
      </c>
      <c r="D6352" t="s">
        <v>55</v>
      </c>
      <c r="E6352" t="s">
        <v>2295</v>
      </c>
      <c r="F6352" t="s">
        <v>190</v>
      </c>
      <c r="G6352" t="s">
        <v>1044</v>
      </c>
      <c r="H6352" t="s">
        <v>1045</v>
      </c>
      <c r="I6352" t="s">
        <v>1045</v>
      </c>
      <c r="J6352" t="s">
        <v>60</v>
      </c>
      <c r="K6352" t="s">
        <v>702</v>
      </c>
      <c r="L6352" t="s">
        <v>62</v>
      </c>
      <c r="M6352" t="s">
        <v>702</v>
      </c>
      <c r="N6352" t="s">
        <v>983</v>
      </c>
      <c r="O6352" t="s">
        <v>1046</v>
      </c>
      <c r="P6352">
        <v>-20.172056000000001</v>
      </c>
      <c r="Q6352">
        <v>-44.861556999999998</v>
      </c>
      <c r="R6352" s="2" t="str">
        <f>HYPERLINK("https://www.google.com/maps?q=-20.1720560,-44.8615570","Abrir no Google Maps")</f>
        <v>Abrir no Google Maps</v>
      </c>
      <c r="S6352">
        <v>3</v>
      </c>
      <c r="T6352">
        <v>387.50881633442719</v>
      </c>
      <c r="U6352">
        <v>3</v>
      </c>
      <c r="V6352">
        <v>0.43601830976292949</v>
      </c>
      <c r="W6352">
        <v>1</v>
      </c>
      <c r="X6352">
        <v>0.43601830976292949</v>
      </c>
      <c r="Y6352">
        <v>422</v>
      </c>
      <c r="Z6352">
        <v>592.01060063884404</v>
      </c>
      <c r="AA6352">
        <v>198</v>
      </c>
      <c r="AB6352">
        <v>332</v>
      </c>
      <c r="AC6352">
        <v>536</v>
      </c>
      <c r="AD6352">
        <v>29.58</v>
      </c>
      <c r="AE6352">
        <v>542</v>
      </c>
      <c r="AF6352">
        <v>30</v>
      </c>
      <c r="AG6352">
        <v>169</v>
      </c>
      <c r="AH6352">
        <v>129</v>
      </c>
      <c r="AI6352">
        <v>5.54</v>
      </c>
      <c r="AJ6352">
        <v>31.18</v>
      </c>
      <c r="AK6352">
        <v>23.8</v>
      </c>
      <c r="AL6352">
        <v>-20.171880149999961</v>
      </c>
      <c r="AM6352">
        <v>-44.861715860253369</v>
      </c>
      <c r="AN6352">
        <v>-20.171880149999961</v>
      </c>
      <c r="AO6352">
        <v>-44.861715860253369</v>
      </c>
      <c r="AP6352">
        <v>-20.172056000000001</v>
      </c>
      <c r="AQ6352">
        <v>-44.861556999999998</v>
      </c>
      <c r="AR6352">
        <v>25.66616443825145</v>
      </c>
      <c r="AS6352" t="s">
        <v>65</v>
      </c>
      <c r="AT6352">
        <v>1</v>
      </c>
      <c r="AU6352" t="s">
        <v>1047</v>
      </c>
      <c r="AV6352" t="s">
        <v>705</v>
      </c>
      <c r="AW6352" t="s">
        <v>60</v>
      </c>
      <c r="AX6352" t="s">
        <v>68</v>
      </c>
      <c r="AY6352" t="s">
        <v>69</v>
      </c>
      <c r="AZ6352" t="b">
        <v>1</v>
      </c>
    </row>
    <row r="6353" spans="1:52" x14ac:dyDescent="0.3">
      <c r="A6353" t="s">
        <v>52</v>
      </c>
      <c r="B6353" t="s">
        <v>53</v>
      </c>
      <c r="C6353" t="s">
        <v>54</v>
      </c>
      <c r="D6353" t="s">
        <v>55</v>
      </c>
      <c r="E6353" t="s">
        <v>2295</v>
      </c>
      <c r="F6353" t="s">
        <v>190</v>
      </c>
      <c r="G6353" t="s">
        <v>1048</v>
      </c>
      <c r="H6353" t="s">
        <v>1049</v>
      </c>
      <c r="I6353" t="s">
        <v>1049</v>
      </c>
      <c r="J6353" t="s">
        <v>60</v>
      </c>
      <c r="K6353" t="s">
        <v>708</v>
      </c>
      <c r="L6353" t="s">
        <v>62</v>
      </c>
      <c r="M6353" t="s">
        <v>708</v>
      </c>
      <c r="N6353" t="s">
        <v>1050</v>
      </c>
      <c r="O6353" t="s">
        <v>1051</v>
      </c>
      <c r="P6353">
        <v>-20.128316000000002</v>
      </c>
      <c r="Q6353">
        <v>-44.878137000000002</v>
      </c>
      <c r="R6353" s="2" t="str">
        <f>HYPERLINK("https://www.google.com/maps?q=-20.1283160,-44.8781370","Abrir no Google Maps")</f>
        <v>Abrir no Google Maps</v>
      </c>
      <c r="S6353">
        <v>3</v>
      </c>
      <c r="T6353">
        <v>513.28053815499243</v>
      </c>
      <c r="U6353">
        <v>3</v>
      </c>
      <c r="V6353">
        <v>0.4315496915277014</v>
      </c>
      <c r="W6353">
        <v>1</v>
      </c>
      <c r="X6353">
        <v>0.4315496915277014</v>
      </c>
      <c r="Y6353">
        <v>387</v>
      </c>
      <c r="Z6353">
        <v>385.74604528561741</v>
      </c>
      <c r="AA6353">
        <v>198</v>
      </c>
      <c r="AB6353">
        <v>332</v>
      </c>
      <c r="AC6353">
        <v>536</v>
      </c>
      <c r="AD6353">
        <v>29.58</v>
      </c>
      <c r="AE6353">
        <v>542</v>
      </c>
      <c r="AF6353">
        <v>30</v>
      </c>
      <c r="AG6353">
        <v>169</v>
      </c>
      <c r="AH6353">
        <v>129</v>
      </c>
      <c r="AI6353">
        <v>5.54</v>
      </c>
      <c r="AJ6353">
        <v>31.18</v>
      </c>
      <c r="AK6353">
        <v>23.8</v>
      </c>
      <c r="AL6353">
        <v>-20.128308349999969</v>
      </c>
      <c r="AM6353">
        <v>-44.878115052779357</v>
      </c>
      <c r="AN6353">
        <v>-20.128308349999969</v>
      </c>
      <c r="AO6353">
        <v>-44.878115052779357</v>
      </c>
      <c r="AP6353">
        <v>-20.128316000000002</v>
      </c>
      <c r="AQ6353">
        <v>-44.878137000000002</v>
      </c>
      <c r="AR6353">
        <v>2.4469186172207671</v>
      </c>
      <c r="AS6353" t="s">
        <v>65</v>
      </c>
      <c r="AT6353">
        <v>1</v>
      </c>
      <c r="AU6353" t="s">
        <v>1052</v>
      </c>
      <c r="AV6353" t="s">
        <v>1053</v>
      </c>
      <c r="AW6353" t="s">
        <v>60</v>
      </c>
      <c r="AX6353" t="s">
        <v>68</v>
      </c>
      <c r="AY6353" t="s">
        <v>69</v>
      </c>
      <c r="AZ6353" t="b">
        <v>1</v>
      </c>
    </row>
    <row r="6354" spans="1:52" x14ac:dyDescent="0.3">
      <c r="A6354" t="s">
        <v>52</v>
      </c>
      <c r="B6354" t="s">
        <v>53</v>
      </c>
      <c r="C6354" t="s">
        <v>54</v>
      </c>
      <c r="D6354" t="s">
        <v>55</v>
      </c>
      <c r="E6354" t="s">
        <v>2295</v>
      </c>
      <c r="F6354" t="s">
        <v>190</v>
      </c>
      <c r="G6354" t="s">
        <v>706</v>
      </c>
      <c r="H6354" t="s">
        <v>707</v>
      </c>
      <c r="I6354" t="s">
        <v>707</v>
      </c>
      <c r="J6354" t="s">
        <v>60</v>
      </c>
      <c r="K6354" t="s">
        <v>708</v>
      </c>
      <c r="L6354" t="s">
        <v>62</v>
      </c>
      <c r="M6354" t="s">
        <v>708</v>
      </c>
      <c r="N6354" t="s">
        <v>709</v>
      </c>
      <c r="O6354" t="s">
        <v>710</v>
      </c>
      <c r="P6354">
        <v>-20.127054999999999</v>
      </c>
      <c r="Q6354">
        <v>-44.872073</v>
      </c>
      <c r="R6354" s="2" t="str">
        <f>HYPERLINK("https://www.google.com/maps?q=-20.1270550,-44.8720730","Abrir no Google Maps")</f>
        <v>Abrir no Google Maps</v>
      </c>
      <c r="S6354">
        <v>3</v>
      </c>
      <c r="T6354">
        <v>395.91108553086929</v>
      </c>
      <c r="U6354">
        <v>3</v>
      </c>
      <c r="V6354">
        <v>0.4566011969313572</v>
      </c>
      <c r="W6354">
        <v>1</v>
      </c>
      <c r="X6354">
        <v>0.4566011969313572</v>
      </c>
      <c r="Y6354">
        <v>387</v>
      </c>
      <c r="Z6354">
        <v>518.31496622382247</v>
      </c>
      <c r="AA6354">
        <v>198</v>
      </c>
      <c r="AB6354">
        <v>332</v>
      </c>
      <c r="AC6354">
        <v>536</v>
      </c>
      <c r="AD6354">
        <v>29.58</v>
      </c>
      <c r="AE6354">
        <v>542</v>
      </c>
      <c r="AF6354">
        <v>30</v>
      </c>
      <c r="AG6354">
        <v>169</v>
      </c>
      <c r="AH6354">
        <v>129</v>
      </c>
      <c r="AI6354">
        <v>5.54</v>
      </c>
      <c r="AJ6354">
        <v>31.18</v>
      </c>
      <c r="AK6354">
        <v>23.8</v>
      </c>
      <c r="AL6354">
        <v>-20.126854749999978</v>
      </c>
      <c r="AM6354">
        <v>-44.871712455027861</v>
      </c>
      <c r="AN6354">
        <v>-20.126854749999978</v>
      </c>
      <c r="AO6354">
        <v>-44.871712455027861</v>
      </c>
      <c r="AP6354">
        <v>-20.127054999999999</v>
      </c>
      <c r="AQ6354">
        <v>-44.872073</v>
      </c>
      <c r="AR6354">
        <v>43.784435535392717</v>
      </c>
      <c r="AS6354" t="s">
        <v>65</v>
      </c>
      <c r="AT6354">
        <v>1</v>
      </c>
      <c r="AU6354" t="s">
        <v>711</v>
      </c>
      <c r="AV6354" t="s">
        <v>712</v>
      </c>
      <c r="AW6354" t="s">
        <v>60</v>
      </c>
      <c r="AX6354" t="s">
        <v>68</v>
      </c>
      <c r="AY6354" t="s">
        <v>69</v>
      </c>
      <c r="AZ6354" t="b">
        <v>1</v>
      </c>
    </row>
    <row r="6355" spans="1:52" x14ac:dyDescent="0.3">
      <c r="A6355" t="s">
        <v>52</v>
      </c>
      <c r="B6355" t="s">
        <v>53</v>
      </c>
      <c r="C6355" t="s">
        <v>54</v>
      </c>
      <c r="D6355" t="s">
        <v>55</v>
      </c>
      <c r="E6355" t="s">
        <v>2295</v>
      </c>
      <c r="F6355" t="s">
        <v>190</v>
      </c>
      <c r="G6355" t="s">
        <v>713</v>
      </c>
      <c r="H6355" t="s">
        <v>714</v>
      </c>
      <c r="I6355" t="s">
        <v>714</v>
      </c>
      <c r="J6355" t="s">
        <v>60</v>
      </c>
      <c r="K6355" t="s">
        <v>708</v>
      </c>
      <c r="L6355" t="s">
        <v>62</v>
      </c>
      <c r="M6355" t="s">
        <v>708</v>
      </c>
      <c r="N6355" t="s">
        <v>715</v>
      </c>
      <c r="O6355" t="s">
        <v>604</v>
      </c>
      <c r="P6355">
        <v>-20.133372000000001</v>
      </c>
      <c r="Q6355">
        <v>-44.878864</v>
      </c>
      <c r="R6355" s="2" t="str">
        <f>HYPERLINK("https://www.google.com/maps?q=-20.1333720,-44.8788640","Abrir no Google Maps")</f>
        <v>Abrir no Google Maps</v>
      </c>
      <c r="S6355">
        <v>3</v>
      </c>
      <c r="T6355">
        <v>719.22842848296966</v>
      </c>
      <c r="U6355">
        <v>3</v>
      </c>
      <c r="V6355">
        <v>0.42854857764402371</v>
      </c>
      <c r="W6355">
        <v>1</v>
      </c>
      <c r="X6355">
        <v>0.42854857764402371</v>
      </c>
      <c r="Y6355">
        <v>387</v>
      </c>
      <c r="Z6355">
        <v>630.8628365125652</v>
      </c>
      <c r="AA6355">
        <v>198</v>
      </c>
      <c r="AB6355">
        <v>332</v>
      </c>
      <c r="AC6355">
        <v>536</v>
      </c>
      <c r="AD6355">
        <v>29.58</v>
      </c>
      <c r="AE6355">
        <v>542</v>
      </c>
      <c r="AF6355">
        <v>30</v>
      </c>
      <c r="AG6355">
        <v>169</v>
      </c>
      <c r="AH6355">
        <v>129</v>
      </c>
      <c r="AI6355">
        <v>5.54</v>
      </c>
      <c r="AJ6355">
        <v>31.18</v>
      </c>
      <c r="AK6355">
        <v>23.8</v>
      </c>
      <c r="AL6355">
        <v>-20.133312349999951</v>
      </c>
      <c r="AM6355">
        <v>-44.879452111094892</v>
      </c>
      <c r="AN6355">
        <v>-20.133312349999951</v>
      </c>
      <c r="AO6355">
        <v>-44.879452111094892</v>
      </c>
      <c r="AP6355">
        <v>-20.133372000000001</v>
      </c>
      <c r="AQ6355">
        <v>-44.878864</v>
      </c>
      <c r="AR6355">
        <v>61.825649864116713</v>
      </c>
      <c r="AS6355" t="s">
        <v>65</v>
      </c>
      <c r="AT6355">
        <v>1</v>
      </c>
      <c r="AU6355" t="s">
        <v>716</v>
      </c>
      <c r="AV6355" t="s">
        <v>717</v>
      </c>
      <c r="AW6355" t="s">
        <v>60</v>
      </c>
      <c r="AX6355" t="s">
        <v>68</v>
      </c>
      <c r="AY6355" t="s">
        <v>69</v>
      </c>
      <c r="AZ6355" t="b">
        <v>1</v>
      </c>
    </row>
    <row r="6356" spans="1:52" x14ac:dyDescent="0.3">
      <c r="A6356" t="s">
        <v>52</v>
      </c>
      <c r="B6356" t="s">
        <v>53</v>
      </c>
      <c r="C6356" t="s">
        <v>54</v>
      </c>
      <c r="D6356" t="s">
        <v>55</v>
      </c>
      <c r="E6356" t="s">
        <v>2295</v>
      </c>
      <c r="F6356" t="s">
        <v>190</v>
      </c>
      <c r="G6356" t="s">
        <v>718</v>
      </c>
      <c r="H6356" t="s">
        <v>719</v>
      </c>
      <c r="I6356" t="s">
        <v>719</v>
      </c>
      <c r="J6356" t="s">
        <v>60</v>
      </c>
      <c r="K6356" t="s">
        <v>708</v>
      </c>
      <c r="L6356" t="s">
        <v>62</v>
      </c>
      <c r="M6356" t="s">
        <v>708</v>
      </c>
      <c r="N6356" t="s">
        <v>720</v>
      </c>
      <c r="O6356" t="s">
        <v>721</v>
      </c>
      <c r="P6356">
        <v>-20.130344000000001</v>
      </c>
      <c r="Q6356">
        <v>-44.878869000000002</v>
      </c>
      <c r="R6356" s="2" t="str">
        <f>HYPERLINK("https://www.google.com/maps?q=-20.1303440,-44.8788690","Abrir no Google Maps")</f>
        <v>Abrir no Google Maps</v>
      </c>
      <c r="S6356">
        <v>3</v>
      </c>
      <c r="T6356">
        <v>556.14753541089829</v>
      </c>
      <c r="U6356">
        <v>3</v>
      </c>
      <c r="V6356">
        <v>0.44026325977545488</v>
      </c>
      <c r="W6356">
        <v>1</v>
      </c>
      <c r="X6356">
        <v>0.44026325977545488</v>
      </c>
      <c r="Y6356">
        <v>387</v>
      </c>
      <c r="Z6356">
        <v>521.53850378132177</v>
      </c>
      <c r="AA6356">
        <v>198</v>
      </c>
      <c r="AB6356">
        <v>332</v>
      </c>
      <c r="AC6356">
        <v>536</v>
      </c>
      <c r="AD6356">
        <v>29.58</v>
      </c>
      <c r="AE6356">
        <v>542</v>
      </c>
      <c r="AF6356">
        <v>30</v>
      </c>
      <c r="AG6356">
        <v>169</v>
      </c>
      <c r="AH6356">
        <v>129</v>
      </c>
      <c r="AI6356">
        <v>5.54</v>
      </c>
      <c r="AJ6356">
        <v>31.18</v>
      </c>
      <c r="AK6356">
        <v>23.8</v>
      </c>
      <c r="AL6356">
        <v>-20.13050289999995</v>
      </c>
      <c r="AM6356">
        <v>-44.878831282856943</v>
      </c>
      <c r="AN6356">
        <v>-20.13050289999995</v>
      </c>
      <c r="AO6356">
        <v>-44.878831282856943</v>
      </c>
      <c r="AP6356">
        <v>-20.130344000000001</v>
      </c>
      <c r="AQ6356">
        <v>-44.878869000000002</v>
      </c>
      <c r="AR6356">
        <v>18.122709277240279</v>
      </c>
      <c r="AS6356" t="s">
        <v>65</v>
      </c>
      <c r="AT6356">
        <v>1</v>
      </c>
      <c r="AU6356" t="s">
        <v>722</v>
      </c>
      <c r="AV6356" t="s">
        <v>723</v>
      </c>
      <c r="AW6356" t="s">
        <v>60</v>
      </c>
      <c r="AX6356" t="s">
        <v>68</v>
      </c>
      <c r="AY6356" t="s">
        <v>69</v>
      </c>
      <c r="AZ6356" t="b">
        <v>1</v>
      </c>
    </row>
    <row r="6357" spans="1:52" x14ac:dyDescent="0.3">
      <c r="A6357" t="s">
        <v>52</v>
      </c>
      <c r="B6357" t="s">
        <v>53</v>
      </c>
      <c r="C6357" t="s">
        <v>54</v>
      </c>
      <c r="D6357" t="s">
        <v>55</v>
      </c>
      <c r="E6357" t="s">
        <v>2295</v>
      </c>
      <c r="F6357" t="s">
        <v>190</v>
      </c>
      <c r="G6357" t="s">
        <v>724</v>
      </c>
      <c r="H6357" t="s">
        <v>725</v>
      </c>
      <c r="I6357" t="s">
        <v>725</v>
      </c>
      <c r="J6357" t="s">
        <v>60</v>
      </c>
      <c r="K6357" t="s">
        <v>708</v>
      </c>
      <c r="L6357" t="s">
        <v>62</v>
      </c>
      <c r="M6357" t="s">
        <v>708</v>
      </c>
      <c r="N6357" t="s">
        <v>726</v>
      </c>
      <c r="O6357" t="s">
        <v>727</v>
      </c>
      <c r="P6357">
        <v>-20.131702000000001</v>
      </c>
      <c r="Q6357">
        <v>-44.873930999999999</v>
      </c>
      <c r="R6357" s="2" t="str">
        <f>HYPERLINK("https://www.google.com/maps?q=-20.1317020,-44.8739310","Abrir no Google Maps")</f>
        <v>Abrir no Google Maps</v>
      </c>
      <c r="S6357">
        <v>3</v>
      </c>
      <c r="T6357">
        <v>207.9085436463628</v>
      </c>
      <c r="U6357">
        <v>3</v>
      </c>
      <c r="V6357">
        <v>0.44323772136115891</v>
      </c>
      <c r="W6357">
        <v>1</v>
      </c>
      <c r="X6357">
        <v>0.44323772136115891</v>
      </c>
      <c r="Y6357">
        <v>387</v>
      </c>
      <c r="Z6357">
        <v>213.98086855276571</v>
      </c>
      <c r="AA6357">
        <v>198</v>
      </c>
      <c r="AB6357">
        <v>332</v>
      </c>
      <c r="AC6357">
        <v>536</v>
      </c>
      <c r="AD6357">
        <v>29.58</v>
      </c>
      <c r="AE6357">
        <v>542</v>
      </c>
      <c r="AF6357">
        <v>30</v>
      </c>
      <c r="AG6357">
        <v>169</v>
      </c>
      <c r="AH6357">
        <v>129</v>
      </c>
      <c r="AI6357">
        <v>5.54</v>
      </c>
      <c r="AJ6357">
        <v>31.18</v>
      </c>
      <c r="AK6357">
        <v>23.8</v>
      </c>
      <c r="AL6357">
        <v>-20.131807549999959</v>
      </c>
      <c r="AM6357">
        <v>-44.874039553784442</v>
      </c>
      <c r="AN6357">
        <v>-20.131807549999959</v>
      </c>
      <c r="AO6357">
        <v>-44.874039553784442</v>
      </c>
      <c r="AP6357">
        <v>-20.131702000000001</v>
      </c>
      <c r="AQ6357">
        <v>-44.873930999999999</v>
      </c>
      <c r="AR6357">
        <v>16.333643574998401</v>
      </c>
      <c r="AS6357" t="s">
        <v>65</v>
      </c>
      <c r="AT6357">
        <v>1</v>
      </c>
      <c r="AU6357" t="s">
        <v>728</v>
      </c>
      <c r="AV6357" t="s">
        <v>729</v>
      </c>
      <c r="AW6357" t="s">
        <v>60</v>
      </c>
      <c r="AX6357" t="s">
        <v>68</v>
      </c>
      <c r="AY6357" t="s">
        <v>69</v>
      </c>
      <c r="AZ6357" t="b">
        <v>1</v>
      </c>
    </row>
    <row r="6358" spans="1:52" x14ac:dyDescent="0.3">
      <c r="A6358" t="s">
        <v>52</v>
      </c>
      <c r="B6358" t="s">
        <v>53</v>
      </c>
      <c r="C6358" t="s">
        <v>54</v>
      </c>
      <c r="D6358" t="s">
        <v>55</v>
      </c>
      <c r="E6358" t="s">
        <v>2295</v>
      </c>
      <c r="F6358" t="s">
        <v>190</v>
      </c>
      <c r="G6358" t="s">
        <v>706</v>
      </c>
      <c r="H6358" t="s">
        <v>730</v>
      </c>
      <c r="I6358" t="s">
        <v>730</v>
      </c>
      <c r="J6358" t="s">
        <v>60</v>
      </c>
      <c r="K6358" t="s">
        <v>708</v>
      </c>
      <c r="L6358" t="s">
        <v>62</v>
      </c>
      <c r="M6358" t="s">
        <v>708</v>
      </c>
      <c r="N6358" t="s">
        <v>709</v>
      </c>
      <c r="O6358" t="s">
        <v>731</v>
      </c>
      <c r="P6358">
        <v>-20.130037999999999</v>
      </c>
      <c r="Q6358">
        <v>-44.873514</v>
      </c>
      <c r="R6358" s="2" t="str">
        <f>HYPERLINK("https://www.google.com/maps?q=-20.1300380,-44.8735140","Abrir no Google Maps")</f>
        <v>Abrir no Google Maps</v>
      </c>
      <c r="S6358">
        <v>3</v>
      </c>
      <c r="T6358">
        <v>0</v>
      </c>
      <c r="U6358">
        <v>3</v>
      </c>
      <c r="V6358">
        <v>0.44737051898700542</v>
      </c>
      <c r="W6358">
        <v>1</v>
      </c>
      <c r="X6358">
        <v>0.44737051898700542</v>
      </c>
      <c r="Y6358">
        <v>387</v>
      </c>
      <c r="Z6358">
        <v>108.0014931591698</v>
      </c>
      <c r="AA6358">
        <v>198</v>
      </c>
      <c r="AB6358">
        <v>332</v>
      </c>
      <c r="AC6358">
        <v>536</v>
      </c>
      <c r="AD6358">
        <v>29.58</v>
      </c>
      <c r="AE6358">
        <v>542</v>
      </c>
      <c r="AF6358">
        <v>30</v>
      </c>
      <c r="AG6358">
        <v>169</v>
      </c>
      <c r="AH6358">
        <v>129</v>
      </c>
      <c r="AI6358">
        <v>5.54</v>
      </c>
      <c r="AJ6358">
        <v>31.18</v>
      </c>
      <c r="AK6358">
        <v>23.8</v>
      </c>
      <c r="AL6358">
        <v>-20.12998944999995</v>
      </c>
      <c r="AM6358">
        <v>-44.873538114227337</v>
      </c>
      <c r="AN6358">
        <v>-20.12998944999995</v>
      </c>
      <c r="AO6358">
        <v>-44.873538114227337</v>
      </c>
      <c r="AP6358">
        <v>-20.130037999999999</v>
      </c>
      <c r="AQ6358">
        <v>-44.873514</v>
      </c>
      <c r="AR6358">
        <v>5.9633928268280867</v>
      </c>
      <c r="AS6358" t="s">
        <v>65</v>
      </c>
      <c r="AT6358">
        <v>1</v>
      </c>
      <c r="AU6358" t="s">
        <v>732</v>
      </c>
      <c r="AV6358" t="s">
        <v>733</v>
      </c>
      <c r="AW6358" t="s">
        <v>60</v>
      </c>
      <c r="AX6358" t="s">
        <v>68</v>
      </c>
      <c r="AY6358" t="s">
        <v>69</v>
      </c>
      <c r="AZ6358" t="b">
        <v>1</v>
      </c>
    </row>
    <row r="6359" spans="1:52" x14ac:dyDescent="0.3">
      <c r="A6359" t="s">
        <v>52</v>
      </c>
      <c r="B6359" t="s">
        <v>53</v>
      </c>
      <c r="C6359" t="s">
        <v>54</v>
      </c>
      <c r="D6359" t="s">
        <v>55</v>
      </c>
      <c r="E6359" t="s">
        <v>2295</v>
      </c>
      <c r="F6359" t="s">
        <v>190</v>
      </c>
      <c r="G6359" t="s">
        <v>734</v>
      </c>
      <c r="H6359" t="s">
        <v>1059</v>
      </c>
      <c r="I6359" t="s">
        <v>1059</v>
      </c>
      <c r="J6359" t="s">
        <v>60</v>
      </c>
      <c r="K6359" t="s">
        <v>736</v>
      </c>
      <c r="L6359" t="s">
        <v>62</v>
      </c>
      <c r="M6359" t="s">
        <v>736</v>
      </c>
      <c r="N6359" t="s">
        <v>1060</v>
      </c>
      <c r="O6359" t="s">
        <v>1061</v>
      </c>
      <c r="P6359">
        <v>-20.104700000000001</v>
      </c>
      <c r="Q6359">
        <v>-44.972988000000001</v>
      </c>
      <c r="R6359" s="2" t="str">
        <f>HYPERLINK("https://www.google.com/maps?q=-20.1047000,-44.9729880","Abrir no Google Maps")</f>
        <v>Abrir no Google Maps</v>
      </c>
      <c r="S6359">
        <v>3</v>
      </c>
      <c r="T6359">
        <v>0</v>
      </c>
      <c r="U6359">
        <v>3</v>
      </c>
      <c r="V6359">
        <v>0.42894467874322828</v>
      </c>
      <c r="W6359">
        <v>1</v>
      </c>
      <c r="X6359">
        <v>0.42894467874322828</v>
      </c>
      <c r="Y6359">
        <v>385</v>
      </c>
      <c r="Z6359">
        <v>130.87424695814411</v>
      </c>
      <c r="AA6359">
        <v>198</v>
      </c>
      <c r="AB6359">
        <v>332</v>
      </c>
      <c r="AC6359">
        <v>536</v>
      </c>
      <c r="AD6359">
        <v>29.58</v>
      </c>
      <c r="AE6359">
        <v>542</v>
      </c>
      <c r="AF6359">
        <v>30</v>
      </c>
      <c r="AG6359">
        <v>169</v>
      </c>
      <c r="AH6359">
        <v>129</v>
      </c>
      <c r="AI6359">
        <v>5.54</v>
      </c>
      <c r="AJ6359">
        <v>31.18</v>
      </c>
      <c r="AK6359">
        <v>23.8</v>
      </c>
      <c r="AL6359">
        <v>-20.104640449999948</v>
      </c>
      <c r="AM6359">
        <v>-44.972990283032523</v>
      </c>
      <c r="AN6359">
        <v>-20.104640449999948</v>
      </c>
      <c r="AO6359">
        <v>-44.972990283032509</v>
      </c>
      <c r="AP6359">
        <v>-20.104700000000001</v>
      </c>
      <c r="AQ6359">
        <v>-44.972988000000001</v>
      </c>
      <c r="AR6359">
        <v>6.6334007529191332</v>
      </c>
      <c r="AS6359" t="s">
        <v>65</v>
      </c>
      <c r="AT6359">
        <v>1</v>
      </c>
      <c r="AU6359" t="s">
        <v>1062</v>
      </c>
      <c r="AV6359" t="s">
        <v>1063</v>
      </c>
      <c r="AW6359" t="s">
        <v>60</v>
      </c>
      <c r="AX6359" t="s">
        <v>68</v>
      </c>
      <c r="AY6359" t="s">
        <v>69</v>
      </c>
      <c r="AZ6359" t="b">
        <v>1</v>
      </c>
    </row>
    <row r="6360" spans="1:52" x14ac:dyDescent="0.3">
      <c r="A6360" t="s">
        <v>52</v>
      </c>
      <c r="B6360" t="s">
        <v>53</v>
      </c>
      <c r="C6360" t="s">
        <v>54</v>
      </c>
      <c r="D6360" t="s">
        <v>55</v>
      </c>
      <c r="E6360" t="s">
        <v>2295</v>
      </c>
      <c r="F6360" t="s">
        <v>190</v>
      </c>
      <c r="G6360" t="s">
        <v>734</v>
      </c>
      <c r="H6360" t="s">
        <v>1064</v>
      </c>
      <c r="I6360" t="s">
        <v>1064</v>
      </c>
      <c r="J6360" t="s">
        <v>60</v>
      </c>
      <c r="K6360" t="s">
        <v>530</v>
      </c>
      <c r="L6360" t="s">
        <v>62</v>
      </c>
      <c r="M6360" t="s">
        <v>530</v>
      </c>
      <c r="N6360" t="s">
        <v>1060</v>
      </c>
      <c r="O6360" t="s">
        <v>1065</v>
      </c>
      <c r="P6360">
        <v>-20.102878</v>
      </c>
      <c r="Q6360">
        <v>-44.974297</v>
      </c>
      <c r="R6360" s="2" t="str">
        <f>HYPERLINK("https://www.google.com/maps?q=-20.1028780,-44.9742970","Abrir no Google Maps")</f>
        <v>Abrir no Google Maps</v>
      </c>
      <c r="S6360">
        <v>3</v>
      </c>
      <c r="T6360">
        <v>261.64376156647683</v>
      </c>
      <c r="U6360">
        <v>3</v>
      </c>
      <c r="V6360">
        <v>0.4345979892259384</v>
      </c>
      <c r="W6360">
        <v>1</v>
      </c>
      <c r="X6360">
        <v>0.4345979892259384</v>
      </c>
      <c r="Y6360">
        <v>385</v>
      </c>
      <c r="Z6360">
        <v>272.78931550338098</v>
      </c>
      <c r="AA6360">
        <v>198</v>
      </c>
      <c r="AB6360">
        <v>332</v>
      </c>
      <c r="AC6360">
        <v>536</v>
      </c>
      <c r="AD6360">
        <v>29.58</v>
      </c>
      <c r="AE6360">
        <v>542</v>
      </c>
      <c r="AF6360">
        <v>30</v>
      </c>
      <c r="AG6360">
        <v>169</v>
      </c>
      <c r="AH6360">
        <v>129</v>
      </c>
      <c r="AI6360">
        <v>5.54</v>
      </c>
      <c r="AJ6360">
        <v>31.18</v>
      </c>
      <c r="AK6360">
        <v>23.8</v>
      </c>
      <c r="AL6360">
        <v>-20.102914199999962</v>
      </c>
      <c r="AM6360">
        <v>-44.974700580584418</v>
      </c>
      <c r="AN6360">
        <v>-20.102914199999962</v>
      </c>
      <c r="AO6360">
        <v>-44.974700580584418</v>
      </c>
      <c r="AP6360">
        <v>-20.102878</v>
      </c>
      <c r="AQ6360">
        <v>-44.974297</v>
      </c>
      <c r="AR6360">
        <v>42.381535645626968</v>
      </c>
      <c r="AS6360" t="s">
        <v>65</v>
      </c>
      <c r="AT6360">
        <v>1</v>
      </c>
      <c r="AU6360" t="s">
        <v>1066</v>
      </c>
      <c r="AV6360" t="s">
        <v>1067</v>
      </c>
      <c r="AW6360" t="s">
        <v>60</v>
      </c>
      <c r="AX6360" t="s">
        <v>68</v>
      </c>
      <c r="AY6360" t="s">
        <v>69</v>
      </c>
      <c r="AZ6360" t="b">
        <v>1</v>
      </c>
    </row>
    <row r="6361" spans="1:52" x14ac:dyDescent="0.3">
      <c r="A6361" t="s">
        <v>52</v>
      </c>
      <c r="B6361" t="s">
        <v>53</v>
      </c>
      <c r="C6361" t="s">
        <v>54</v>
      </c>
      <c r="D6361" t="s">
        <v>55</v>
      </c>
      <c r="E6361" t="s">
        <v>2295</v>
      </c>
      <c r="F6361" t="s">
        <v>190</v>
      </c>
      <c r="G6361" t="s">
        <v>734</v>
      </c>
      <c r="H6361" t="s">
        <v>1068</v>
      </c>
      <c r="I6361" t="s">
        <v>1068</v>
      </c>
      <c r="J6361" t="s">
        <v>60</v>
      </c>
      <c r="K6361" t="s">
        <v>736</v>
      </c>
      <c r="L6361" t="s">
        <v>62</v>
      </c>
      <c r="M6361" t="s">
        <v>736</v>
      </c>
      <c r="N6361" t="s">
        <v>1069</v>
      </c>
      <c r="O6361" t="s">
        <v>1070</v>
      </c>
      <c r="P6361">
        <v>-20.110289999999999</v>
      </c>
      <c r="Q6361">
        <v>-44.981574000000002</v>
      </c>
      <c r="R6361" s="2" t="str">
        <f>HYPERLINK("https://www.google.com/maps?q=-20.1102900,-44.9815740","Abrir no Google Maps")</f>
        <v>Abrir no Google Maps</v>
      </c>
      <c r="S6361">
        <v>3</v>
      </c>
      <c r="T6361">
        <v>1081.8012210194311</v>
      </c>
      <c r="U6361">
        <v>3</v>
      </c>
      <c r="V6361">
        <v>0.43395215856722308</v>
      </c>
      <c r="W6361">
        <v>1</v>
      </c>
      <c r="X6361">
        <v>0.43395215856722308</v>
      </c>
      <c r="Y6361">
        <v>385</v>
      </c>
      <c r="Z6361">
        <v>1009.915869278438</v>
      </c>
      <c r="AA6361">
        <v>198</v>
      </c>
      <c r="AB6361">
        <v>332</v>
      </c>
      <c r="AC6361">
        <v>536</v>
      </c>
      <c r="AD6361">
        <v>29.58</v>
      </c>
      <c r="AE6361">
        <v>542</v>
      </c>
      <c r="AF6361">
        <v>30</v>
      </c>
      <c r="AG6361">
        <v>169</v>
      </c>
      <c r="AH6361">
        <v>129</v>
      </c>
      <c r="AI6361">
        <v>5.54</v>
      </c>
      <c r="AJ6361">
        <v>31.18</v>
      </c>
      <c r="AK6361">
        <v>23.8</v>
      </c>
      <c r="AL6361">
        <v>-20.110281699999941</v>
      </c>
      <c r="AM6361">
        <v>-44.98144213076452</v>
      </c>
      <c r="AN6361">
        <v>-20.110281699999941</v>
      </c>
      <c r="AO6361">
        <v>-44.98144213076452</v>
      </c>
      <c r="AP6361">
        <v>-20.110289999999999</v>
      </c>
      <c r="AQ6361">
        <v>-44.981574000000002</v>
      </c>
      <c r="AR6361">
        <v>13.815631287504781</v>
      </c>
      <c r="AS6361" t="s">
        <v>65</v>
      </c>
      <c r="AT6361">
        <v>1</v>
      </c>
      <c r="AU6361" t="s">
        <v>1071</v>
      </c>
      <c r="AV6361" t="s">
        <v>1072</v>
      </c>
      <c r="AW6361" t="s">
        <v>60</v>
      </c>
      <c r="AX6361" t="s">
        <v>68</v>
      </c>
      <c r="AY6361" t="s">
        <v>69</v>
      </c>
      <c r="AZ6361" t="b">
        <v>1</v>
      </c>
    </row>
    <row r="6362" spans="1:52" x14ac:dyDescent="0.3">
      <c r="A6362" t="s">
        <v>52</v>
      </c>
      <c r="B6362" t="s">
        <v>53</v>
      </c>
      <c r="C6362" t="s">
        <v>54</v>
      </c>
      <c r="D6362" t="s">
        <v>55</v>
      </c>
      <c r="E6362" t="s">
        <v>2295</v>
      </c>
      <c r="F6362" t="s">
        <v>190</v>
      </c>
      <c r="G6362" t="s">
        <v>1077</v>
      </c>
      <c r="H6362" t="s">
        <v>1078</v>
      </c>
      <c r="I6362" t="s">
        <v>1078</v>
      </c>
      <c r="J6362" t="s">
        <v>60</v>
      </c>
      <c r="K6362" t="s">
        <v>761</v>
      </c>
      <c r="L6362" t="s">
        <v>62</v>
      </c>
      <c r="M6362" t="s">
        <v>761</v>
      </c>
      <c r="N6362" t="s">
        <v>1079</v>
      </c>
      <c r="O6362" t="s">
        <v>1080</v>
      </c>
      <c r="P6362">
        <v>-20.119579999999999</v>
      </c>
      <c r="Q6362">
        <v>-44.855030999999997</v>
      </c>
      <c r="R6362" s="2" t="str">
        <f>HYPERLINK("https://www.google.com/maps?q=-20.1195800,-44.8550310","Abrir no Google Maps")</f>
        <v>Abrir no Google Maps</v>
      </c>
      <c r="S6362">
        <v>3</v>
      </c>
      <c r="T6362">
        <v>800.32085104254202</v>
      </c>
      <c r="U6362">
        <v>3</v>
      </c>
      <c r="V6362">
        <v>0.42694472029129421</v>
      </c>
      <c r="W6362">
        <v>1</v>
      </c>
      <c r="X6362">
        <v>0.42694472029129421</v>
      </c>
      <c r="Y6362">
        <v>350</v>
      </c>
      <c r="Z6362">
        <v>431.56201899267722</v>
      </c>
      <c r="AA6362">
        <v>198</v>
      </c>
      <c r="AB6362">
        <v>332</v>
      </c>
      <c r="AC6362">
        <v>536</v>
      </c>
      <c r="AD6362">
        <v>29.58</v>
      </c>
      <c r="AE6362">
        <v>542</v>
      </c>
      <c r="AF6362">
        <v>30</v>
      </c>
      <c r="AG6362">
        <v>169</v>
      </c>
      <c r="AH6362">
        <v>129</v>
      </c>
      <c r="AI6362">
        <v>5.54</v>
      </c>
      <c r="AJ6362">
        <v>31.18</v>
      </c>
      <c r="AK6362">
        <v>23.8</v>
      </c>
      <c r="AL6362">
        <v>-20.119806999999948</v>
      </c>
      <c r="AM6362">
        <v>-44.855901548391778</v>
      </c>
      <c r="AN6362">
        <v>-20.119806999999948</v>
      </c>
      <c r="AO6362">
        <v>-44.855901548391778</v>
      </c>
      <c r="AP6362">
        <v>-20.119579999999999</v>
      </c>
      <c r="AQ6362">
        <v>-44.855030999999997</v>
      </c>
      <c r="AR6362">
        <v>94.439141250965164</v>
      </c>
      <c r="AS6362" t="s">
        <v>65</v>
      </c>
      <c r="AT6362">
        <v>1</v>
      </c>
      <c r="AU6362" t="s">
        <v>1081</v>
      </c>
      <c r="AV6362" t="s">
        <v>1082</v>
      </c>
      <c r="AW6362" t="s">
        <v>60</v>
      </c>
      <c r="AX6362" t="s">
        <v>68</v>
      </c>
      <c r="AY6362" t="s">
        <v>69</v>
      </c>
      <c r="AZ6362" t="b">
        <v>1</v>
      </c>
    </row>
    <row r="6363" spans="1:52" x14ac:dyDescent="0.3">
      <c r="A6363" t="s">
        <v>52</v>
      </c>
      <c r="B6363" t="s">
        <v>53</v>
      </c>
      <c r="C6363" t="s">
        <v>54</v>
      </c>
      <c r="D6363" t="s">
        <v>55</v>
      </c>
      <c r="E6363" t="s">
        <v>2295</v>
      </c>
      <c r="F6363" t="s">
        <v>190</v>
      </c>
      <c r="G6363" t="s">
        <v>747</v>
      </c>
      <c r="H6363" t="s">
        <v>748</v>
      </c>
      <c r="I6363" t="s">
        <v>748</v>
      </c>
      <c r="J6363" t="s">
        <v>60</v>
      </c>
      <c r="K6363" t="s">
        <v>505</v>
      </c>
      <c r="L6363" t="s">
        <v>62</v>
      </c>
      <c r="M6363" t="s">
        <v>505</v>
      </c>
      <c r="N6363" t="s">
        <v>749</v>
      </c>
      <c r="O6363" t="s">
        <v>750</v>
      </c>
      <c r="P6363">
        <v>-20.135107000000001</v>
      </c>
      <c r="Q6363">
        <v>-44.887521</v>
      </c>
      <c r="R6363" s="2" t="str">
        <f>HYPERLINK("https://www.google.com/maps?q=-20.1351070,-44.8875210","Abrir no Google Maps")</f>
        <v>Abrir no Google Maps</v>
      </c>
      <c r="S6363">
        <v>3</v>
      </c>
      <c r="T6363">
        <v>0</v>
      </c>
      <c r="U6363">
        <v>3</v>
      </c>
      <c r="V6363">
        <v>0.45946255359893429</v>
      </c>
      <c r="W6363">
        <v>1</v>
      </c>
      <c r="X6363">
        <v>0.45946255359893429</v>
      </c>
      <c r="Y6363">
        <v>350</v>
      </c>
      <c r="Z6363">
        <v>162.3716242776689</v>
      </c>
      <c r="AA6363">
        <v>198</v>
      </c>
      <c r="AB6363">
        <v>332</v>
      </c>
      <c r="AC6363">
        <v>536</v>
      </c>
      <c r="AD6363">
        <v>29.58</v>
      </c>
      <c r="AE6363">
        <v>542</v>
      </c>
      <c r="AF6363">
        <v>30</v>
      </c>
      <c r="AG6363">
        <v>169</v>
      </c>
      <c r="AH6363">
        <v>129</v>
      </c>
      <c r="AI6363">
        <v>5.54</v>
      </c>
      <c r="AJ6363">
        <v>31.18</v>
      </c>
      <c r="AK6363">
        <v>23.8</v>
      </c>
      <c r="AL6363">
        <v>-20.13520169999995</v>
      </c>
      <c r="AM6363">
        <v>-44.887587176802917</v>
      </c>
      <c r="AN6363">
        <v>-20.13520169999995</v>
      </c>
      <c r="AO6363">
        <v>-44.887587176802931</v>
      </c>
      <c r="AP6363">
        <v>-20.135107000000001</v>
      </c>
      <c r="AQ6363">
        <v>-44.887521</v>
      </c>
      <c r="AR6363">
        <v>12.608438103029821</v>
      </c>
      <c r="AS6363" t="s">
        <v>65</v>
      </c>
      <c r="AT6363">
        <v>1</v>
      </c>
      <c r="AU6363" t="s">
        <v>751</v>
      </c>
      <c r="AV6363" t="s">
        <v>752</v>
      </c>
      <c r="AW6363" t="s">
        <v>60</v>
      </c>
      <c r="AX6363" t="s">
        <v>68</v>
      </c>
      <c r="AY6363" t="s">
        <v>69</v>
      </c>
      <c r="AZ6363" t="b">
        <v>1</v>
      </c>
    </row>
    <row r="6364" spans="1:52" x14ac:dyDescent="0.3">
      <c r="A6364" t="s">
        <v>52</v>
      </c>
      <c r="B6364" t="s">
        <v>53</v>
      </c>
      <c r="C6364" t="s">
        <v>54</v>
      </c>
      <c r="D6364" t="s">
        <v>55</v>
      </c>
      <c r="E6364" t="s">
        <v>2295</v>
      </c>
      <c r="F6364" t="s">
        <v>190</v>
      </c>
      <c r="G6364" t="s">
        <v>1083</v>
      </c>
      <c r="H6364" t="s">
        <v>1084</v>
      </c>
      <c r="I6364" t="s">
        <v>1084</v>
      </c>
      <c r="J6364" t="s">
        <v>60</v>
      </c>
      <c r="K6364" t="s">
        <v>761</v>
      </c>
      <c r="L6364" t="s">
        <v>62</v>
      </c>
      <c r="M6364" t="s">
        <v>761</v>
      </c>
      <c r="N6364" t="s">
        <v>1085</v>
      </c>
      <c r="O6364" t="s">
        <v>1086</v>
      </c>
      <c r="P6364">
        <v>-20.124312</v>
      </c>
      <c r="Q6364">
        <v>-44.850425000000001</v>
      </c>
      <c r="R6364" s="2" t="str">
        <f>HYPERLINK("https://www.google.com/maps?q=-20.1243120,-44.8504250","Abrir no Google Maps")</f>
        <v>Abrir no Google Maps</v>
      </c>
      <c r="S6364">
        <v>3</v>
      </c>
      <c r="T6364">
        <v>0</v>
      </c>
      <c r="U6364">
        <v>3</v>
      </c>
      <c r="V6364">
        <v>0.45526143960799947</v>
      </c>
      <c r="W6364">
        <v>1</v>
      </c>
      <c r="X6364">
        <v>0.45526143960799947</v>
      </c>
      <c r="Y6364">
        <v>350</v>
      </c>
      <c r="Z6364">
        <v>380.24040721202471</v>
      </c>
      <c r="AA6364">
        <v>198</v>
      </c>
      <c r="AB6364">
        <v>332</v>
      </c>
      <c r="AC6364">
        <v>536</v>
      </c>
      <c r="AD6364">
        <v>29.58</v>
      </c>
      <c r="AE6364">
        <v>542</v>
      </c>
      <c r="AF6364">
        <v>30</v>
      </c>
      <c r="AG6364">
        <v>169</v>
      </c>
      <c r="AH6364">
        <v>129</v>
      </c>
      <c r="AI6364">
        <v>5.54</v>
      </c>
      <c r="AJ6364">
        <v>31.18</v>
      </c>
      <c r="AK6364">
        <v>23.8</v>
      </c>
      <c r="AL6364">
        <v>-20.126267499999951</v>
      </c>
      <c r="AM6364">
        <v>-44.852460192840908</v>
      </c>
      <c r="AN6364">
        <v>-20.126267499999951</v>
      </c>
      <c r="AO6364">
        <v>-44.852460192840908</v>
      </c>
      <c r="AP6364">
        <v>-20.124312</v>
      </c>
      <c r="AQ6364">
        <v>-44.850425000000001</v>
      </c>
      <c r="AR6364">
        <v>304.36574074135672</v>
      </c>
      <c r="AS6364" t="s">
        <v>65</v>
      </c>
      <c r="AT6364">
        <v>1</v>
      </c>
      <c r="AU6364" t="s">
        <v>1087</v>
      </c>
      <c r="AV6364" t="s">
        <v>1088</v>
      </c>
      <c r="AW6364" t="s">
        <v>60</v>
      </c>
      <c r="AX6364" t="s">
        <v>68</v>
      </c>
      <c r="AY6364" t="s">
        <v>69</v>
      </c>
      <c r="AZ6364" t="b">
        <v>1</v>
      </c>
    </row>
    <row r="6365" spans="1:52" x14ac:dyDescent="0.3">
      <c r="A6365" t="s">
        <v>52</v>
      </c>
      <c r="B6365" t="s">
        <v>53</v>
      </c>
      <c r="C6365" t="s">
        <v>54</v>
      </c>
      <c r="D6365" t="s">
        <v>55</v>
      </c>
      <c r="E6365" t="s">
        <v>2295</v>
      </c>
      <c r="F6365" t="s">
        <v>190</v>
      </c>
      <c r="G6365" t="s">
        <v>759</v>
      </c>
      <c r="H6365" t="s">
        <v>760</v>
      </c>
      <c r="I6365" t="s">
        <v>760</v>
      </c>
      <c r="J6365" t="s">
        <v>60</v>
      </c>
      <c r="K6365" t="s">
        <v>761</v>
      </c>
      <c r="L6365" t="s">
        <v>62</v>
      </c>
      <c r="M6365" t="s">
        <v>761</v>
      </c>
      <c r="N6365" t="s">
        <v>762</v>
      </c>
      <c r="O6365" t="s">
        <v>763</v>
      </c>
      <c r="P6365">
        <v>-20.118755</v>
      </c>
      <c r="Q6365">
        <v>-44.850627000000003</v>
      </c>
      <c r="R6365" s="2" t="str">
        <f>HYPERLINK("https://www.google.com/maps?q=-20.1187550,-44.8506270","Abrir no Google Maps")</f>
        <v>Abrir no Google Maps</v>
      </c>
      <c r="S6365">
        <v>3</v>
      </c>
      <c r="T6365">
        <v>848.81670834514034</v>
      </c>
      <c r="U6365">
        <v>3</v>
      </c>
      <c r="V6365">
        <v>0.45224094881398252</v>
      </c>
      <c r="W6365">
        <v>1</v>
      </c>
      <c r="X6365">
        <v>0.45224094881398252</v>
      </c>
      <c r="Y6365">
        <v>350</v>
      </c>
      <c r="Z6365">
        <v>443.51354125420028</v>
      </c>
      <c r="AA6365">
        <v>198</v>
      </c>
      <c r="AB6365">
        <v>332</v>
      </c>
      <c r="AC6365">
        <v>536</v>
      </c>
      <c r="AD6365">
        <v>29.58</v>
      </c>
      <c r="AE6365">
        <v>542</v>
      </c>
      <c r="AF6365">
        <v>30</v>
      </c>
      <c r="AG6365">
        <v>169</v>
      </c>
      <c r="AH6365">
        <v>129</v>
      </c>
      <c r="AI6365">
        <v>5.54</v>
      </c>
      <c r="AJ6365">
        <v>31.18</v>
      </c>
      <c r="AK6365">
        <v>23.8</v>
      </c>
      <c r="AL6365">
        <v>-20.11882464999994</v>
      </c>
      <c r="AM6365">
        <v>-44.850497004056017</v>
      </c>
      <c r="AN6365">
        <v>-20.11882464999994</v>
      </c>
      <c r="AO6365">
        <v>-44.850497004056017</v>
      </c>
      <c r="AP6365">
        <v>-20.118755</v>
      </c>
      <c r="AQ6365">
        <v>-44.850627000000003</v>
      </c>
      <c r="AR6365">
        <v>15.6445928866994</v>
      </c>
      <c r="AS6365" t="s">
        <v>65</v>
      </c>
      <c r="AT6365">
        <v>1</v>
      </c>
      <c r="AU6365" t="s">
        <v>764</v>
      </c>
      <c r="AV6365" t="s">
        <v>765</v>
      </c>
      <c r="AW6365" t="s">
        <v>60</v>
      </c>
      <c r="AX6365" t="s">
        <v>68</v>
      </c>
      <c r="AY6365" t="s">
        <v>69</v>
      </c>
      <c r="AZ6365" t="b">
        <v>1</v>
      </c>
    </row>
    <row r="6366" spans="1:52" x14ac:dyDescent="0.3">
      <c r="A6366" t="s">
        <v>52</v>
      </c>
      <c r="B6366" t="s">
        <v>53</v>
      </c>
      <c r="C6366" t="s">
        <v>54</v>
      </c>
      <c r="D6366" t="s">
        <v>55</v>
      </c>
      <c r="E6366" t="s">
        <v>2295</v>
      </c>
      <c r="F6366" t="s">
        <v>190</v>
      </c>
      <c r="G6366" t="s">
        <v>773</v>
      </c>
      <c r="H6366" t="s">
        <v>774</v>
      </c>
      <c r="I6366" t="s">
        <v>774</v>
      </c>
      <c r="J6366" t="s">
        <v>60</v>
      </c>
      <c r="K6366" t="s">
        <v>775</v>
      </c>
      <c r="L6366" t="s">
        <v>62</v>
      </c>
      <c r="M6366" t="s">
        <v>775</v>
      </c>
      <c r="N6366" t="s">
        <v>776</v>
      </c>
      <c r="O6366" t="s">
        <v>250</v>
      </c>
      <c r="P6366">
        <v>-20.135413</v>
      </c>
      <c r="Q6366">
        <v>-44.868969999999997</v>
      </c>
      <c r="R6366" s="2" t="str">
        <f>HYPERLINK("https://www.google.com/maps?q=-20.1354130,-44.8689700","Abrir no Google Maps")</f>
        <v>Abrir no Google Maps</v>
      </c>
      <c r="S6366">
        <v>3</v>
      </c>
      <c r="T6366">
        <v>403.5118397372845</v>
      </c>
      <c r="U6366">
        <v>3</v>
      </c>
      <c r="V6366">
        <v>0.45369431643625191</v>
      </c>
      <c r="W6366">
        <v>1</v>
      </c>
      <c r="X6366">
        <v>0.45369431643625191</v>
      </c>
      <c r="Y6366">
        <v>332</v>
      </c>
      <c r="Z6366">
        <v>455.74614750795899</v>
      </c>
      <c r="AA6366">
        <v>198</v>
      </c>
      <c r="AB6366">
        <v>332</v>
      </c>
      <c r="AC6366">
        <v>536</v>
      </c>
      <c r="AD6366">
        <v>29.58</v>
      </c>
      <c r="AE6366">
        <v>542</v>
      </c>
      <c r="AF6366">
        <v>30</v>
      </c>
      <c r="AG6366">
        <v>169</v>
      </c>
      <c r="AH6366">
        <v>129</v>
      </c>
      <c r="AI6366">
        <v>5.54</v>
      </c>
      <c r="AJ6366">
        <v>31.18</v>
      </c>
      <c r="AK6366">
        <v>23.8</v>
      </c>
      <c r="AL6366">
        <v>-20.13561149999995</v>
      </c>
      <c r="AM6366">
        <v>-44.868817260088647</v>
      </c>
      <c r="AN6366">
        <v>-20.13561149999995</v>
      </c>
      <c r="AO6366">
        <v>-44.868817260088647</v>
      </c>
      <c r="AP6366">
        <v>-20.135413</v>
      </c>
      <c r="AQ6366">
        <v>-44.868969999999997</v>
      </c>
      <c r="AR6366">
        <v>27.26024434808955</v>
      </c>
      <c r="AS6366" t="s">
        <v>65</v>
      </c>
      <c r="AT6366">
        <v>1</v>
      </c>
      <c r="AU6366" t="s">
        <v>777</v>
      </c>
      <c r="AV6366" t="s">
        <v>778</v>
      </c>
      <c r="AW6366" t="s">
        <v>60</v>
      </c>
      <c r="AX6366" t="s">
        <v>68</v>
      </c>
      <c r="AY6366" t="s">
        <v>69</v>
      </c>
      <c r="AZ6366" t="b">
        <v>1</v>
      </c>
    </row>
    <row r="6367" spans="1:52" x14ac:dyDescent="0.3">
      <c r="A6367" t="s">
        <v>52</v>
      </c>
      <c r="B6367" t="s">
        <v>53</v>
      </c>
      <c r="C6367" t="s">
        <v>54</v>
      </c>
      <c r="D6367" t="s">
        <v>55</v>
      </c>
      <c r="E6367" t="s">
        <v>2295</v>
      </c>
      <c r="F6367" t="s">
        <v>190</v>
      </c>
      <c r="G6367" t="s">
        <v>1104</v>
      </c>
      <c r="H6367" t="s">
        <v>1105</v>
      </c>
      <c r="I6367" t="s">
        <v>1105</v>
      </c>
      <c r="J6367" t="s">
        <v>60</v>
      </c>
      <c r="K6367" t="s">
        <v>781</v>
      </c>
      <c r="L6367" t="s">
        <v>62</v>
      </c>
      <c r="M6367" t="s">
        <v>781</v>
      </c>
      <c r="N6367" t="s">
        <v>1106</v>
      </c>
      <c r="O6367" t="s">
        <v>1080</v>
      </c>
      <c r="P6367">
        <v>-20.138683</v>
      </c>
      <c r="Q6367">
        <v>-44.868507999999999</v>
      </c>
      <c r="R6367" s="2" t="str">
        <f>HYPERLINK("https://www.google.com/maps?q=-20.1386830,-44.8685080","Abrir no Google Maps")</f>
        <v>Abrir no Google Maps</v>
      </c>
      <c r="S6367">
        <v>3</v>
      </c>
      <c r="T6367">
        <v>450.88210098833099</v>
      </c>
      <c r="U6367">
        <v>3</v>
      </c>
      <c r="V6367">
        <v>0.44773543635743379</v>
      </c>
      <c r="W6367">
        <v>1</v>
      </c>
      <c r="X6367">
        <v>0.44773543635743379</v>
      </c>
      <c r="Y6367">
        <v>332</v>
      </c>
      <c r="Z6367">
        <v>601.27669048153166</v>
      </c>
      <c r="AA6367">
        <v>198</v>
      </c>
      <c r="AB6367">
        <v>332</v>
      </c>
      <c r="AC6367">
        <v>536</v>
      </c>
      <c r="AD6367">
        <v>29.58</v>
      </c>
      <c r="AE6367">
        <v>542</v>
      </c>
      <c r="AF6367">
        <v>30</v>
      </c>
      <c r="AG6367">
        <v>169</v>
      </c>
      <c r="AH6367">
        <v>129</v>
      </c>
      <c r="AI6367">
        <v>5.54</v>
      </c>
      <c r="AJ6367">
        <v>31.18</v>
      </c>
      <c r="AK6367">
        <v>23.8</v>
      </c>
      <c r="AL6367">
        <v>-20.13870544999995</v>
      </c>
      <c r="AM6367">
        <v>-44.868521774012208</v>
      </c>
      <c r="AN6367">
        <v>-20.138705449999939</v>
      </c>
      <c r="AO6367">
        <v>-44.868521774012208</v>
      </c>
      <c r="AP6367">
        <v>-20.138683</v>
      </c>
      <c r="AQ6367">
        <v>-44.868507999999999</v>
      </c>
      <c r="AR6367">
        <v>2.8841042175322271</v>
      </c>
      <c r="AS6367" t="s">
        <v>65</v>
      </c>
      <c r="AT6367">
        <v>1</v>
      </c>
      <c r="AU6367" t="s">
        <v>1107</v>
      </c>
      <c r="AV6367" t="s">
        <v>1108</v>
      </c>
      <c r="AW6367" t="s">
        <v>60</v>
      </c>
      <c r="AX6367" t="s">
        <v>68</v>
      </c>
      <c r="AY6367" t="s">
        <v>69</v>
      </c>
      <c r="AZ6367" t="b">
        <v>1</v>
      </c>
    </row>
    <row r="6368" spans="1:52" x14ac:dyDescent="0.3">
      <c r="A6368" t="s">
        <v>52</v>
      </c>
      <c r="B6368" t="s">
        <v>53</v>
      </c>
      <c r="C6368" t="s">
        <v>54</v>
      </c>
      <c r="D6368" t="s">
        <v>55</v>
      </c>
      <c r="E6368" t="s">
        <v>2295</v>
      </c>
      <c r="F6368" t="s">
        <v>190</v>
      </c>
      <c r="G6368" t="s">
        <v>1906</v>
      </c>
      <c r="H6368" t="s">
        <v>1907</v>
      </c>
      <c r="I6368" t="s">
        <v>1907</v>
      </c>
      <c r="J6368" t="s">
        <v>60</v>
      </c>
      <c r="K6368" t="s">
        <v>362</v>
      </c>
      <c r="L6368" t="s">
        <v>62</v>
      </c>
      <c r="M6368" t="s">
        <v>362</v>
      </c>
      <c r="N6368" t="s">
        <v>1908</v>
      </c>
      <c r="O6368" t="s">
        <v>1909</v>
      </c>
      <c r="P6368">
        <v>-20.138714</v>
      </c>
      <c r="Q6368">
        <v>-44.872736000000003</v>
      </c>
      <c r="R6368" s="2" t="str">
        <f>HYPERLINK("https://www.google.com/maps?q=-20.1387140,-44.8727360","Abrir no Google Maps")</f>
        <v>Abrir no Google Maps</v>
      </c>
      <c r="S6368">
        <v>3</v>
      </c>
      <c r="T6368">
        <v>204.03161929799671</v>
      </c>
      <c r="U6368">
        <v>3</v>
      </c>
      <c r="V6368">
        <v>0.51986463214385836</v>
      </c>
      <c r="W6368">
        <v>0.85</v>
      </c>
      <c r="X6368">
        <v>0.44188493732227963</v>
      </c>
      <c r="Y6368">
        <v>332</v>
      </c>
      <c r="Z6368">
        <v>318.98956929839972</v>
      </c>
      <c r="AA6368">
        <v>198</v>
      </c>
      <c r="AB6368">
        <v>332</v>
      </c>
      <c r="AC6368">
        <v>536</v>
      </c>
      <c r="AD6368">
        <v>29.58</v>
      </c>
      <c r="AE6368">
        <v>542</v>
      </c>
      <c r="AF6368">
        <v>30</v>
      </c>
      <c r="AG6368">
        <v>169</v>
      </c>
      <c r="AH6368">
        <v>129</v>
      </c>
      <c r="AI6368">
        <v>5.54</v>
      </c>
      <c r="AJ6368">
        <v>31.18</v>
      </c>
      <c r="AK6368">
        <v>23.8</v>
      </c>
      <c r="AL6368">
        <v>-20.138752749999949</v>
      </c>
      <c r="AM6368">
        <v>-44.872785060765217</v>
      </c>
      <c r="AN6368">
        <v>-20.138752749999949</v>
      </c>
      <c r="AO6368">
        <v>-44.872785060765217</v>
      </c>
      <c r="AP6368">
        <v>-20.138714</v>
      </c>
      <c r="AQ6368">
        <v>-44.872736000000003</v>
      </c>
      <c r="AR6368">
        <v>6.7006900304588592</v>
      </c>
      <c r="AS6368" t="s">
        <v>65</v>
      </c>
      <c r="AT6368">
        <v>1</v>
      </c>
      <c r="AU6368" t="s">
        <v>1910</v>
      </c>
      <c r="AV6368" t="s">
        <v>1911</v>
      </c>
      <c r="AW6368" t="s">
        <v>60</v>
      </c>
      <c r="AX6368" t="s">
        <v>68</v>
      </c>
      <c r="AY6368" t="s">
        <v>69</v>
      </c>
      <c r="AZ6368" t="b">
        <v>1</v>
      </c>
    </row>
    <row r="6369" spans="1:52" x14ac:dyDescent="0.3">
      <c r="A6369" t="s">
        <v>52</v>
      </c>
      <c r="B6369" t="s">
        <v>53</v>
      </c>
      <c r="C6369" t="s">
        <v>54</v>
      </c>
      <c r="D6369" t="s">
        <v>55</v>
      </c>
      <c r="E6369" t="s">
        <v>2295</v>
      </c>
      <c r="F6369" t="s">
        <v>190</v>
      </c>
      <c r="G6369" t="s">
        <v>1757</v>
      </c>
      <c r="H6369" t="s">
        <v>1758</v>
      </c>
      <c r="I6369" t="s">
        <v>1758</v>
      </c>
      <c r="J6369" t="s">
        <v>60</v>
      </c>
      <c r="K6369" t="s">
        <v>362</v>
      </c>
      <c r="L6369" t="s">
        <v>62</v>
      </c>
      <c r="M6369" t="s">
        <v>362</v>
      </c>
      <c r="N6369" t="s">
        <v>1759</v>
      </c>
      <c r="O6369" t="s">
        <v>1760</v>
      </c>
      <c r="P6369">
        <v>-20.140051</v>
      </c>
      <c r="Q6369">
        <v>-44.871685999999997</v>
      </c>
      <c r="R6369" s="2" t="str">
        <f>HYPERLINK("https://www.google.com/maps?q=-20.1400510,-44.8716860","Abrir no Google Maps")</f>
        <v>Abrir no Google Maps</v>
      </c>
      <c r="S6369">
        <v>3</v>
      </c>
      <c r="T6369">
        <v>352.31744538617551</v>
      </c>
      <c r="U6369">
        <v>3</v>
      </c>
      <c r="V6369">
        <v>0.53662483226774016</v>
      </c>
      <c r="W6369">
        <v>0.85</v>
      </c>
      <c r="X6369">
        <v>0.45613110742757912</v>
      </c>
      <c r="Y6369">
        <v>332</v>
      </c>
      <c r="Z6369">
        <v>504.25252355351739</v>
      </c>
      <c r="AA6369">
        <v>198</v>
      </c>
      <c r="AB6369">
        <v>332</v>
      </c>
      <c r="AC6369">
        <v>536</v>
      </c>
      <c r="AD6369">
        <v>29.58</v>
      </c>
      <c r="AE6369">
        <v>542</v>
      </c>
      <c r="AF6369">
        <v>30</v>
      </c>
      <c r="AG6369">
        <v>169</v>
      </c>
      <c r="AH6369">
        <v>129</v>
      </c>
      <c r="AI6369">
        <v>5.54</v>
      </c>
      <c r="AJ6369">
        <v>31.18</v>
      </c>
      <c r="AK6369">
        <v>23.8</v>
      </c>
      <c r="AL6369">
        <v>-20.140052049999959</v>
      </c>
      <c r="AM6369">
        <v>-44.871685093874923</v>
      </c>
      <c r="AN6369">
        <v>-20.140052049999959</v>
      </c>
      <c r="AO6369">
        <v>-44.871685093874909</v>
      </c>
      <c r="AP6369">
        <v>-20.140051</v>
      </c>
      <c r="AQ6369">
        <v>-44.871685999999997</v>
      </c>
      <c r="AR6369">
        <v>0.1504354058892336</v>
      </c>
      <c r="AS6369" t="s">
        <v>65</v>
      </c>
      <c r="AT6369">
        <v>1</v>
      </c>
      <c r="AU6369" t="s">
        <v>1761</v>
      </c>
      <c r="AV6369" t="s">
        <v>1762</v>
      </c>
      <c r="AW6369" t="s">
        <v>60</v>
      </c>
      <c r="AX6369" t="s">
        <v>68</v>
      </c>
      <c r="AY6369" t="s">
        <v>69</v>
      </c>
      <c r="AZ6369" t="b">
        <v>1</v>
      </c>
    </row>
    <row r="6370" spans="1:52" x14ac:dyDescent="0.3">
      <c r="A6370" t="s">
        <v>52</v>
      </c>
      <c r="B6370" t="s">
        <v>53</v>
      </c>
      <c r="C6370" t="s">
        <v>54</v>
      </c>
      <c r="D6370" t="s">
        <v>55</v>
      </c>
      <c r="E6370" t="s">
        <v>2295</v>
      </c>
      <c r="F6370" t="s">
        <v>190</v>
      </c>
      <c r="G6370" t="s">
        <v>1121</v>
      </c>
      <c r="H6370" t="s">
        <v>1122</v>
      </c>
      <c r="I6370" t="s">
        <v>1122</v>
      </c>
      <c r="J6370" t="s">
        <v>60</v>
      </c>
      <c r="K6370" t="s">
        <v>1123</v>
      </c>
      <c r="L6370" t="s">
        <v>62</v>
      </c>
      <c r="M6370" t="s">
        <v>1123</v>
      </c>
      <c r="N6370" t="s">
        <v>1124</v>
      </c>
      <c r="O6370" t="s">
        <v>74</v>
      </c>
      <c r="P6370">
        <v>-20.105318</v>
      </c>
      <c r="Q6370">
        <v>-44.879216</v>
      </c>
      <c r="R6370" s="2" t="str">
        <f>HYPERLINK("https://www.google.com/maps?q=-20.1053180,-44.8792160","Abrir no Google Maps")</f>
        <v>Abrir no Google Maps</v>
      </c>
      <c r="S6370">
        <v>3</v>
      </c>
      <c r="T6370">
        <v>318.57668516180911</v>
      </c>
      <c r="U6370">
        <v>3</v>
      </c>
      <c r="V6370">
        <v>0.44371518565066947</v>
      </c>
      <c r="W6370">
        <v>1</v>
      </c>
      <c r="X6370">
        <v>0.44371518565066947</v>
      </c>
      <c r="Y6370">
        <v>314</v>
      </c>
      <c r="Z6370">
        <v>207.50829098881519</v>
      </c>
      <c r="AA6370">
        <v>198</v>
      </c>
      <c r="AB6370">
        <v>332</v>
      </c>
      <c r="AC6370">
        <v>536</v>
      </c>
      <c r="AD6370">
        <v>29.58</v>
      </c>
      <c r="AE6370">
        <v>542</v>
      </c>
      <c r="AF6370">
        <v>30</v>
      </c>
      <c r="AG6370">
        <v>169</v>
      </c>
      <c r="AH6370">
        <v>129</v>
      </c>
      <c r="AI6370">
        <v>5.54</v>
      </c>
      <c r="AJ6370">
        <v>31.18</v>
      </c>
      <c r="AK6370">
        <v>23.8</v>
      </c>
      <c r="AL6370">
        <v>-20.105361049999939</v>
      </c>
      <c r="AM6370">
        <v>-44.87924613740698</v>
      </c>
      <c r="AN6370">
        <v>-20.105361049999939</v>
      </c>
      <c r="AO6370">
        <v>-44.87924613740698</v>
      </c>
      <c r="AP6370">
        <v>-20.105318</v>
      </c>
      <c r="AQ6370">
        <v>-44.879216</v>
      </c>
      <c r="AR6370">
        <v>5.7351338374851242</v>
      </c>
      <c r="AS6370" t="s">
        <v>65</v>
      </c>
      <c r="AT6370">
        <v>1</v>
      </c>
      <c r="AU6370" t="s">
        <v>1125</v>
      </c>
      <c r="AV6370" t="s">
        <v>1126</v>
      </c>
      <c r="AW6370" t="s">
        <v>60</v>
      </c>
      <c r="AX6370" t="s">
        <v>68</v>
      </c>
      <c r="AY6370" t="s">
        <v>69</v>
      </c>
      <c r="AZ6370" t="b">
        <v>1</v>
      </c>
    </row>
    <row r="6371" spans="1:52" x14ac:dyDescent="0.3">
      <c r="A6371" t="s">
        <v>52</v>
      </c>
      <c r="B6371" t="s">
        <v>53</v>
      </c>
      <c r="C6371" t="s">
        <v>54</v>
      </c>
      <c r="D6371" t="s">
        <v>55</v>
      </c>
      <c r="E6371" t="s">
        <v>2295</v>
      </c>
      <c r="F6371" t="s">
        <v>190</v>
      </c>
      <c r="G6371" t="s">
        <v>1133</v>
      </c>
      <c r="H6371" t="s">
        <v>1134</v>
      </c>
      <c r="I6371" t="s">
        <v>1134</v>
      </c>
      <c r="J6371" t="s">
        <v>60</v>
      </c>
      <c r="K6371" t="s">
        <v>1123</v>
      </c>
      <c r="L6371" t="s">
        <v>62</v>
      </c>
      <c r="M6371" t="s">
        <v>1123</v>
      </c>
      <c r="N6371" t="s">
        <v>1135</v>
      </c>
      <c r="O6371" t="s">
        <v>138</v>
      </c>
      <c r="P6371">
        <v>-20.106113000000001</v>
      </c>
      <c r="Q6371">
        <v>-44.876035999999999</v>
      </c>
      <c r="R6371" s="2" t="str">
        <f>HYPERLINK("https://www.google.com/maps?q=-20.1061130,-44.8760360","Abrir no Google Maps")</f>
        <v>Abrir no Google Maps</v>
      </c>
      <c r="S6371">
        <v>3</v>
      </c>
      <c r="T6371">
        <v>0</v>
      </c>
      <c r="U6371">
        <v>3</v>
      </c>
      <c r="V6371">
        <v>0.43587462359704349</v>
      </c>
      <c r="W6371">
        <v>1</v>
      </c>
      <c r="X6371">
        <v>0.43587462359704349</v>
      </c>
      <c r="Y6371">
        <v>314</v>
      </c>
      <c r="Z6371">
        <v>98.504848991092999</v>
      </c>
      <c r="AA6371">
        <v>198</v>
      </c>
      <c r="AB6371">
        <v>332</v>
      </c>
      <c r="AC6371">
        <v>536</v>
      </c>
      <c r="AD6371">
        <v>29.58</v>
      </c>
      <c r="AE6371">
        <v>542</v>
      </c>
      <c r="AF6371">
        <v>30</v>
      </c>
      <c r="AG6371">
        <v>169</v>
      </c>
      <c r="AH6371">
        <v>129</v>
      </c>
      <c r="AI6371">
        <v>5.54</v>
      </c>
      <c r="AJ6371">
        <v>31.18</v>
      </c>
      <c r="AK6371">
        <v>23.8</v>
      </c>
      <c r="AL6371">
        <v>-20.106190249999941</v>
      </c>
      <c r="AM6371">
        <v>-44.876327742253288</v>
      </c>
      <c r="AN6371">
        <v>-20.106190249999941</v>
      </c>
      <c r="AO6371">
        <v>-44.876327742253288</v>
      </c>
      <c r="AP6371">
        <v>-20.106113000000001</v>
      </c>
      <c r="AQ6371">
        <v>-44.876035999999999</v>
      </c>
      <c r="AR6371">
        <v>31.686742853465731</v>
      </c>
      <c r="AS6371" t="s">
        <v>65</v>
      </c>
      <c r="AT6371">
        <v>1</v>
      </c>
      <c r="AU6371" t="s">
        <v>1136</v>
      </c>
      <c r="AV6371" t="s">
        <v>1137</v>
      </c>
      <c r="AW6371" t="s">
        <v>60</v>
      </c>
      <c r="AX6371" t="s">
        <v>68</v>
      </c>
      <c r="AY6371" t="s">
        <v>69</v>
      </c>
      <c r="AZ6371" t="b">
        <v>1</v>
      </c>
    </row>
    <row r="6372" spans="1:52" x14ac:dyDescent="0.3">
      <c r="A6372" t="s">
        <v>52</v>
      </c>
      <c r="B6372" t="s">
        <v>53</v>
      </c>
      <c r="C6372" t="s">
        <v>54</v>
      </c>
      <c r="D6372" t="s">
        <v>55</v>
      </c>
      <c r="E6372" t="s">
        <v>2295</v>
      </c>
      <c r="F6372" t="s">
        <v>190</v>
      </c>
      <c r="G6372" t="s">
        <v>1133</v>
      </c>
      <c r="H6372" t="s">
        <v>1144</v>
      </c>
      <c r="I6372" t="s">
        <v>1144</v>
      </c>
      <c r="J6372" t="s">
        <v>60</v>
      </c>
      <c r="K6372" t="s">
        <v>1123</v>
      </c>
      <c r="L6372" t="s">
        <v>62</v>
      </c>
      <c r="M6372" t="s">
        <v>1123</v>
      </c>
      <c r="N6372" t="s">
        <v>1135</v>
      </c>
      <c r="O6372" t="s">
        <v>907</v>
      </c>
      <c r="P6372">
        <v>-20.100351</v>
      </c>
      <c r="Q6372">
        <v>-44.878037999999997</v>
      </c>
      <c r="R6372" s="2" t="str">
        <f>HYPERLINK("https://www.google.com/maps?q=-20.1003510,-44.8780380","Abrir no Google Maps")</f>
        <v>Abrir no Google Maps</v>
      </c>
      <c r="S6372">
        <v>3</v>
      </c>
      <c r="T6372">
        <v>665.56785712469116</v>
      </c>
      <c r="U6372">
        <v>3</v>
      </c>
      <c r="V6372">
        <v>0.45296954664461903</v>
      </c>
      <c r="W6372">
        <v>1</v>
      </c>
      <c r="X6372">
        <v>0.45296954664461903</v>
      </c>
      <c r="Y6372">
        <v>314</v>
      </c>
      <c r="Z6372">
        <v>584.8532299266725</v>
      </c>
      <c r="AA6372">
        <v>198</v>
      </c>
      <c r="AB6372">
        <v>332</v>
      </c>
      <c r="AC6372">
        <v>536</v>
      </c>
      <c r="AD6372">
        <v>29.58</v>
      </c>
      <c r="AE6372">
        <v>542</v>
      </c>
      <c r="AF6372">
        <v>30</v>
      </c>
      <c r="AG6372">
        <v>169</v>
      </c>
      <c r="AH6372">
        <v>129</v>
      </c>
      <c r="AI6372">
        <v>5.54</v>
      </c>
      <c r="AJ6372">
        <v>31.18</v>
      </c>
      <c r="AK6372">
        <v>23.8</v>
      </c>
      <c r="AL6372">
        <v>-20.100420499999959</v>
      </c>
      <c r="AM6372">
        <v>-44.878125332575927</v>
      </c>
      <c r="AN6372">
        <v>-20.100420499999959</v>
      </c>
      <c r="AO6372">
        <v>-44.878125332575927</v>
      </c>
      <c r="AP6372">
        <v>-20.100351</v>
      </c>
      <c r="AQ6372">
        <v>-44.878037999999997</v>
      </c>
      <c r="AR6372">
        <v>11.966993892024719</v>
      </c>
      <c r="AS6372" t="s">
        <v>65</v>
      </c>
      <c r="AT6372">
        <v>1</v>
      </c>
      <c r="AU6372" t="s">
        <v>1145</v>
      </c>
      <c r="AV6372" t="s">
        <v>1146</v>
      </c>
      <c r="AW6372" t="s">
        <v>60</v>
      </c>
      <c r="AX6372" t="s">
        <v>68</v>
      </c>
      <c r="AY6372" t="s">
        <v>69</v>
      </c>
      <c r="AZ6372" t="b">
        <v>1</v>
      </c>
    </row>
    <row r="6373" spans="1:52" x14ac:dyDescent="0.3">
      <c r="A6373" t="s">
        <v>52</v>
      </c>
      <c r="B6373" t="s">
        <v>53</v>
      </c>
      <c r="C6373" t="s">
        <v>54</v>
      </c>
      <c r="D6373" t="s">
        <v>55</v>
      </c>
      <c r="E6373" t="s">
        <v>2295</v>
      </c>
      <c r="F6373" t="s">
        <v>190</v>
      </c>
      <c r="G6373" t="s">
        <v>789</v>
      </c>
      <c r="H6373" t="s">
        <v>790</v>
      </c>
      <c r="I6373" t="s">
        <v>790</v>
      </c>
      <c r="J6373" t="s">
        <v>60</v>
      </c>
      <c r="K6373" t="s">
        <v>791</v>
      </c>
      <c r="L6373" t="s">
        <v>62</v>
      </c>
      <c r="M6373" t="s">
        <v>791</v>
      </c>
      <c r="N6373" t="s">
        <v>792</v>
      </c>
      <c r="O6373" t="s">
        <v>793</v>
      </c>
      <c r="P6373">
        <v>-20.114263000000001</v>
      </c>
      <c r="Q6373">
        <v>-44.910150000000002</v>
      </c>
      <c r="R6373" s="2" t="str">
        <f>HYPERLINK("https://www.google.com/maps?q=-20.1142630,-44.9101500","Abrir no Google Maps")</f>
        <v>Abrir no Google Maps</v>
      </c>
      <c r="S6373">
        <v>3</v>
      </c>
      <c r="T6373">
        <v>1039.6249825628629</v>
      </c>
      <c r="U6373">
        <v>3</v>
      </c>
      <c r="V6373">
        <v>0.44777975598261499</v>
      </c>
      <c r="W6373">
        <v>1</v>
      </c>
      <c r="X6373">
        <v>0.44777975598261499</v>
      </c>
      <c r="Y6373">
        <v>300</v>
      </c>
      <c r="Z6373">
        <v>1156.8405524690361</v>
      </c>
      <c r="AA6373">
        <v>198</v>
      </c>
      <c r="AB6373">
        <v>332</v>
      </c>
      <c r="AC6373">
        <v>536</v>
      </c>
      <c r="AD6373">
        <v>29.58</v>
      </c>
      <c r="AE6373">
        <v>542</v>
      </c>
      <c r="AF6373">
        <v>30</v>
      </c>
      <c r="AG6373">
        <v>169</v>
      </c>
      <c r="AH6373">
        <v>129</v>
      </c>
      <c r="AI6373">
        <v>5.54</v>
      </c>
      <c r="AJ6373">
        <v>31.18</v>
      </c>
      <c r="AK6373">
        <v>23.8</v>
      </c>
      <c r="AL6373">
        <v>-20.113823899999939</v>
      </c>
      <c r="AM6373">
        <v>-44.910704705968108</v>
      </c>
      <c r="AN6373">
        <v>-20.113823899999939</v>
      </c>
      <c r="AO6373">
        <v>-44.910704705968108</v>
      </c>
      <c r="AP6373">
        <v>-20.114263000000001</v>
      </c>
      <c r="AQ6373">
        <v>-44.910150000000002</v>
      </c>
      <c r="AR6373">
        <v>75.838236800419978</v>
      </c>
      <c r="AS6373" t="s">
        <v>65</v>
      </c>
      <c r="AT6373">
        <v>1</v>
      </c>
      <c r="AU6373" t="s">
        <v>794</v>
      </c>
      <c r="AV6373" t="s">
        <v>795</v>
      </c>
      <c r="AW6373" t="s">
        <v>60</v>
      </c>
      <c r="AX6373" t="s">
        <v>68</v>
      </c>
      <c r="AY6373" t="s">
        <v>69</v>
      </c>
      <c r="AZ6373" t="b">
        <v>1</v>
      </c>
    </row>
    <row r="6374" spans="1:52" x14ac:dyDescent="0.3">
      <c r="A6374" t="s">
        <v>52</v>
      </c>
      <c r="B6374" t="s">
        <v>53</v>
      </c>
      <c r="C6374" t="s">
        <v>54</v>
      </c>
      <c r="D6374" t="s">
        <v>55</v>
      </c>
      <c r="E6374" t="s">
        <v>2295</v>
      </c>
      <c r="F6374" t="s">
        <v>190</v>
      </c>
      <c r="G6374" t="s">
        <v>1147</v>
      </c>
      <c r="H6374" t="s">
        <v>1148</v>
      </c>
      <c r="I6374" t="s">
        <v>1148</v>
      </c>
      <c r="J6374" t="s">
        <v>60</v>
      </c>
      <c r="K6374" t="s">
        <v>798</v>
      </c>
      <c r="L6374" t="s">
        <v>62</v>
      </c>
      <c r="M6374" t="s">
        <v>798</v>
      </c>
      <c r="N6374" t="s">
        <v>1149</v>
      </c>
      <c r="O6374" t="s">
        <v>836</v>
      </c>
      <c r="P6374">
        <v>-20.112448000000001</v>
      </c>
      <c r="Q6374">
        <v>-44.904887000000002</v>
      </c>
      <c r="R6374" s="2" t="str">
        <f>HYPERLINK("https://www.google.com/maps?q=-20.1124480,-44.9048870","Abrir no Google Maps")</f>
        <v>Abrir no Google Maps</v>
      </c>
      <c r="S6374">
        <v>3</v>
      </c>
      <c r="T6374">
        <v>404.16588765758058</v>
      </c>
      <c r="U6374">
        <v>3</v>
      </c>
      <c r="V6374">
        <v>0.4607672475159868</v>
      </c>
      <c r="W6374">
        <v>1</v>
      </c>
      <c r="X6374">
        <v>0.4607672475159868</v>
      </c>
      <c r="Y6374">
        <v>300</v>
      </c>
      <c r="Z6374">
        <v>435.21165957304731</v>
      </c>
      <c r="AA6374">
        <v>198</v>
      </c>
      <c r="AB6374">
        <v>332</v>
      </c>
      <c r="AC6374">
        <v>536</v>
      </c>
      <c r="AD6374">
        <v>29.58</v>
      </c>
      <c r="AE6374">
        <v>542</v>
      </c>
      <c r="AF6374">
        <v>30</v>
      </c>
      <c r="AG6374">
        <v>169</v>
      </c>
      <c r="AH6374">
        <v>129</v>
      </c>
      <c r="AI6374">
        <v>5.54</v>
      </c>
      <c r="AJ6374">
        <v>31.18</v>
      </c>
      <c r="AK6374">
        <v>23.8</v>
      </c>
      <c r="AL6374">
        <v>-20.11243479999996</v>
      </c>
      <c r="AM6374">
        <v>-44.904803228053026</v>
      </c>
      <c r="AN6374">
        <v>-20.11243479999996</v>
      </c>
      <c r="AO6374">
        <v>-44.904803228053026</v>
      </c>
      <c r="AP6374">
        <v>-20.112448000000001</v>
      </c>
      <c r="AQ6374">
        <v>-44.904887000000002</v>
      </c>
      <c r="AR6374">
        <v>8.8792525353759544</v>
      </c>
      <c r="AS6374" t="s">
        <v>65</v>
      </c>
      <c r="AT6374">
        <v>1</v>
      </c>
      <c r="AU6374" t="s">
        <v>1150</v>
      </c>
      <c r="AV6374" t="s">
        <v>1151</v>
      </c>
      <c r="AW6374" t="s">
        <v>60</v>
      </c>
      <c r="AX6374" t="s">
        <v>68</v>
      </c>
      <c r="AY6374" t="s">
        <v>69</v>
      </c>
      <c r="AZ6374" t="b">
        <v>1</v>
      </c>
    </row>
    <row r="6375" spans="1:52" x14ac:dyDescent="0.3">
      <c r="A6375" t="s">
        <v>52</v>
      </c>
      <c r="B6375" t="s">
        <v>53</v>
      </c>
      <c r="C6375" t="s">
        <v>54</v>
      </c>
      <c r="D6375" t="s">
        <v>55</v>
      </c>
      <c r="E6375" t="s">
        <v>2295</v>
      </c>
      <c r="F6375" t="s">
        <v>190</v>
      </c>
      <c r="G6375" t="s">
        <v>1763</v>
      </c>
      <c r="H6375" t="s">
        <v>1764</v>
      </c>
      <c r="I6375" t="s">
        <v>1764</v>
      </c>
      <c r="J6375" t="s">
        <v>60</v>
      </c>
      <c r="K6375" t="s">
        <v>798</v>
      </c>
      <c r="L6375" t="s">
        <v>62</v>
      </c>
      <c r="M6375" t="s">
        <v>798</v>
      </c>
      <c r="N6375" t="s">
        <v>1765</v>
      </c>
      <c r="O6375" t="s">
        <v>1766</v>
      </c>
      <c r="P6375">
        <v>-20.111158</v>
      </c>
      <c r="Q6375">
        <v>-44.901231000000003</v>
      </c>
      <c r="R6375" s="2" t="str">
        <f>HYPERLINK("https://www.google.com/maps?q=-20.1111580,-44.9012310","Abrir no Google Maps")</f>
        <v>Abrir no Google Maps</v>
      </c>
      <c r="S6375">
        <v>3</v>
      </c>
      <c r="T6375">
        <v>0</v>
      </c>
      <c r="U6375">
        <v>3</v>
      </c>
      <c r="V6375">
        <v>0.43987538940809973</v>
      </c>
      <c r="W6375">
        <v>1</v>
      </c>
      <c r="X6375">
        <v>0.43987538940809973</v>
      </c>
      <c r="Y6375">
        <v>300</v>
      </c>
      <c r="Z6375">
        <v>159.5707781627477</v>
      </c>
      <c r="AA6375">
        <v>198</v>
      </c>
      <c r="AB6375">
        <v>332</v>
      </c>
      <c r="AC6375">
        <v>536</v>
      </c>
      <c r="AD6375">
        <v>29.58</v>
      </c>
      <c r="AE6375">
        <v>542</v>
      </c>
      <c r="AF6375">
        <v>30</v>
      </c>
      <c r="AG6375">
        <v>169</v>
      </c>
      <c r="AH6375">
        <v>129</v>
      </c>
      <c r="AI6375">
        <v>5.54</v>
      </c>
      <c r="AJ6375">
        <v>31.18</v>
      </c>
      <c r="AK6375">
        <v>23.8</v>
      </c>
      <c r="AL6375">
        <v>-20.111381299999941</v>
      </c>
      <c r="AM6375">
        <v>-44.90110111260114</v>
      </c>
      <c r="AN6375">
        <v>-20.111381299999941</v>
      </c>
      <c r="AO6375">
        <v>-44.90110111260114</v>
      </c>
      <c r="AP6375">
        <v>-20.111158</v>
      </c>
      <c r="AQ6375">
        <v>-44.901231000000003</v>
      </c>
      <c r="AR6375">
        <v>28.32410367036935</v>
      </c>
      <c r="AS6375" t="s">
        <v>65</v>
      </c>
      <c r="AT6375">
        <v>1</v>
      </c>
      <c r="AU6375" t="s">
        <v>1767</v>
      </c>
      <c r="AV6375" t="s">
        <v>1768</v>
      </c>
      <c r="AW6375" t="s">
        <v>60</v>
      </c>
      <c r="AX6375" t="s">
        <v>68</v>
      </c>
      <c r="AY6375" t="s">
        <v>69</v>
      </c>
      <c r="AZ6375" t="b">
        <v>1</v>
      </c>
    </row>
    <row r="6376" spans="1:52" x14ac:dyDescent="0.3">
      <c r="A6376" t="s">
        <v>52</v>
      </c>
      <c r="B6376" t="s">
        <v>53</v>
      </c>
      <c r="C6376" t="s">
        <v>54</v>
      </c>
      <c r="D6376" t="s">
        <v>55</v>
      </c>
      <c r="E6376" t="s">
        <v>2295</v>
      </c>
      <c r="F6376" t="s">
        <v>190</v>
      </c>
      <c r="G6376" t="s">
        <v>1152</v>
      </c>
      <c r="H6376" t="s">
        <v>1153</v>
      </c>
      <c r="I6376" t="s">
        <v>1153</v>
      </c>
      <c r="J6376" t="s">
        <v>60</v>
      </c>
      <c r="K6376" t="s">
        <v>798</v>
      </c>
      <c r="L6376" t="s">
        <v>62</v>
      </c>
      <c r="M6376" t="s">
        <v>798</v>
      </c>
      <c r="N6376" t="s">
        <v>1154</v>
      </c>
      <c r="O6376" t="s">
        <v>293</v>
      </c>
      <c r="P6376">
        <v>-20.112477999999999</v>
      </c>
      <c r="Q6376">
        <v>-44.903066000000003</v>
      </c>
      <c r="R6376" s="2" t="str">
        <f>HYPERLINK("https://www.google.com/maps?q=-20.1124780,-44.9030660","Abrir no Google Maps")</f>
        <v>Abrir no Google Maps</v>
      </c>
      <c r="S6376">
        <v>3</v>
      </c>
      <c r="T6376">
        <v>246.8131690803576</v>
      </c>
      <c r="U6376">
        <v>3</v>
      </c>
      <c r="V6376">
        <v>0.45398411055613058</v>
      </c>
      <c r="W6376">
        <v>1</v>
      </c>
      <c r="X6376">
        <v>0.45398411055613058</v>
      </c>
      <c r="Y6376">
        <v>300</v>
      </c>
      <c r="Z6376">
        <v>335.63974056009812</v>
      </c>
      <c r="AA6376">
        <v>198</v>
      </c>
      <c r="AB6376">
        <v>332</v>
      </c>
      <c r="AC6376">
        <v>536</v>
      </c>
      <c r="AD6376">
        <v>29.58</v>
      </c>
      <c r="AE6376">
        <v>542</v>
      </c>
      <c r="AF6376">
        <v>30</v>
      </c>
      <c r="AG6376">
        <v>169</v>
      </c>
      <c r="AH6376">
        <v>129</v>
      </c>
      <c r="AI6376">
        <v>5.54</v>
      </c>
      <c r="AJ6376">
        <v>31.18</v>
      </c>
      <c r="AK6376">
        <v>23.8</v>
      </c>
      <c r="AL6376">
        <v>-20.112499949999972</v>
      </c>
      <c r="AM6376">
        <v>-44.903143791889391</v>
      </c>
      <c r="AN6376">
        <v>-20.112499949999972</v>
      </c>
      <c r="AO6376">
        <v>-44.903143791889391</v>
      </c>
      <c r="AP6376">
        <v>-20.112477999999999</v>
      </c>
      <c r="AQ6376">
        <v>-44.903066000000003</v>
      </c>
      <c r="AR6376">
        <v>8.4908959019572912</v>
      </c>
      <c r="AS6376" t="s">
        <v>65</v>
      </c>
      <c r="AT6376">
        <v>1</v>
      </c>
      <c r="AU6376" t="s">
        <v>1155</v>
      </c>
      <c r="AV6376" t="s">
        <v>1156</v>
      </c>
      <c r="AW6376" t="s">
        <v>60</v>
      </c>
      <c r="AX6376" t="s">
        <v>68</v>
      </c>
      <c r="AY6376" t="s">
        <v>69</v>
      </c>
      <c r="AZ6376" t="b">
        <v>1</v>
      </c>
    </row>
    <row r="6377" spans="1:52" x14ac:dyDescent="0.3">
      <c r="A6377" t="s">
        <v>52</v>
      </c>
      <c r="B6377" t="s">
        <v>53</v>
      </c>
      <c r="C6377" t="s">
        <v>54</v>
      </c>
      <c r="D6377" t="s">
        <v>55</v>
      </c>
      <c r="E6377" t="s">
        <v>2295</v>
      </c>
      <c r="F6377" t="s">
        <v>190</v>
      </c>
      <c r="G6377" t="s">
        <v>796</v>
      </c>
      <c r="H6377" t="s">
        <v>797</v>
      </c>
      <c r="I6377" t="s">
        <v>797</v>
      </c>
      <c r="J6377" t="s">
        <v>60</v>
      </c>
      <c r="K6377" t="s">
        <v>798</v>
      </c>
      <c r="L6377" t="s">
        <v>62</v>
      </c>
      <c r="M6377" t="s">
        <v>798</v>
      </c>
      <c r="N6377" t="s">
        <v>799</v>
      </c>
      <c r="O6377" t="s">
        <v>800</v>
      </c>
      <c r="P6377">
        <v>-20.105681000000001</v>
      </c>
      <c r="Q6377">
        <v>-44.902771999999999</v>
      </c>
      <c r="R6377" s="2" t="str">
        <f>HYPERLINK("https://www.google.com/maps?q=-20.1056810,-44.9027720","Abrir no Google Maps")</f>
        <v>Abrir no Google Maps</v>
      </c>
      <c r="S6377">
        <v>3</v>
      </c>
      <c r="T6377">
        <v>654.76334876090721</v>
      </c>
      <c r="U6377">
        <v>3</v>
      </c>
      <c r="V6377">
        <v>0.43762859162873458</v>
      </c>
      <c r="W6377">
        <v>1</v>
      </c>
      <c r="X6377">
        <v>0.43762859162873458</v>
      </c>
      <c r="Y6377">
        <v>300</v>
      </c>
      <c r="Z6377">
        <v>473.90209409135377</v>
      </c>
      <c r="AA6377">
        <v>198</v>
      </c>
      <c r="AB6377">
        <v>332</v>
      </c>
      <c r="AC6377">
        <v>536</v>
      </c>
      <c r="AD6377">
        <v>29.58</v>
      </c>
      <c r="AE6377">
        <v>542</v>
      </c>
      <c r="AF6377">
        <v>30</v>
      </c>
      <c r="AG6377">
        <v>169</v>
      </c>
      <c r="AH6377">
        <v>129</v>
      </c>
      <c r="AI6377">
        <v>5.54</v>
      </c>
      <c r="AJ6377">
        <v>31.18</v>
      </c>
      <c r="AK6377">
        <v>23.8</v>
      </c>
      <c r="AL6377">
        <v>-20.105710249999959</v>
      </c>
      <c r="AM6377">
        <v>-44.902887601574513</v>
      </c>
      <c r="AN6377">
        <v>-20.105710249999959</v>
      </c>
      <c r="AO6377">
        <v>-44.902887601574513</v>
      </c>
      <c r="AP6377">
        <v>-20.105681000000001</v>
      </c>
      <c r="AQ6377">
        <v>-44.902771999999999</v>
      </c>
      <c r="AR6377">
        <v>12.5155291382583</v>
      </c>
      <c r="AS6377" t="s">
        <v>65</v>
      </c>
      <c r="AT6377">
        <v>1</v>
      </c>
      <c r="AU6377" t="s">
        <v>801</v>
      </c>
      <c r="AV6377" t="s">
        <v>802</v>
      </c>
      <c r="AW6377" t="s">
        <v>60</v>
      </c>
      <c r="AX6377" t="s">
        <v>68</v>
      </c>
      <c r="AY6377" t="s">
        <v>69</v>
      </c>
      <c r="AZ6377" t="b">
        <v>1</v>
      </c>
    </row>
    <row r="6378" spans="1:52" x14ac:dyDescent="0.3">
      <c r="A6378" t="s">
        <v>52</v>
      </c>
      <c r="B6378" t="s">
        <v>53</v>
      </c>
      <c r="C6378" t="s">
        <v>54</v>
      </c>
      <c r="D6378" t="s">
        <v>55</v>
      </c>
      <c r="E6378" t="s">
        <v>2295</v>
      </c>
      <c r="F6378" t="s">
        <v>190</v>
      </c>
      <c r="G6378" t="s">
        <v>1157</v>
      </c>
      <c r="H6378" t="s">
        <v>1158</v>
      </c>
      <c r="I6378" t="s">
        <v>1158</v>
      </c>
      <c r="J6378" t="s">
        <v>60</v>
      </c>
      <c r="K6378" t="s">
        <v>791</v>
      </c>
      <c r="L6378" t="s">
        <v>62</v>
      </c>
      <c r="M6378" t="s">
        <v>791</v>
      </c>
      <c r="N6378" t="s">
        <v>1159</v>
      </c>
      <c r="O6378" t="s">
        <v>1160</v>
      </c>
      <c r="P6378">
        <v>-20.108114</v>
      </c>
      <c r="Q6378">
        <v>-44.905804000000003</v>
      </c>
      <c r="R6378" s="2" t="str">
        <f>HYPERLINK("https://www.google.com/maps?q=-20.1081140,-44.9058040","Abrir no Google Maps")</f>
        <v>Abrir no Google Maps</v>
      </c>
      <c r="S6378">
        <v>3</v>
      </c>
      <c r="T6378">
        <v>603.1428230097074</v>
      </c>
      <c r="U6378">
        <v>3</v>
      </c>
      <c r="V6378">
        <v>0.4283876658458598</v>
      </c>
      <c r="W6378">
        <v>1</v>
      </c>
      <c r="X6378">
        <v>0.4283876658458598</v>
      </c>
      <c r="Y6378">
        <v>300</v>
      </c>
      <c r="Z6378">
        <v>444.71482981499793</v>
      </c>
      <c r="AA6378">
        <v>198</v>
      </c>
      <c r="AB6378">
        <v>332</v>
      </c>
      <c r="AC6378">
        <v>536</v>
      </c>
      <c r="AD6378">
        <v>29.58</v>
      </c>
      <c r="AE6378">
        <v>542</v>
      </c>
      <c r="AF6378">
        <v>30</v>
      </c>
      <c r="AG6378">
        <v>169</v>
      </c>
      <c r="AH6378">
        <v>129</v>
      </c>
      <c r="AI6378">
        <v>5.54</v>
      </c>
      <c r="AJ6378">
        <v>31.18</v>
      </c>
      <c r="AK6378">
        <v>23.8</v>
      </c>
      <c r="AL6378">
        <v>-20.108146549999962</v>
      </c>
      <c r="AM6378">
        <v>-44.905744943453513</v>
      </c>
      <c r="AN6378">
        <v>-20.108146549999962</v>
      </c>
      <c r="AO6378">
        <v>-44.905744943453513</v>
      </c>
      <c r="AP6378">
        <v>-20.108114</v>
      </c>
      <c r="AQ6378">
        <v>-44.905804000000003</v>
      </c>
      <c r="AR6378">
        <v>7.1582799138071884</v>
      </c>
      <c r="AS6378" t="s">
        <v>65</v>
      </c>
      <c r="AT6378">
        <v>1</v>
      </c>
      <c r="AU6378" t="s">
        <v>1161</v>
      </c>
      <c r="AV6378" t="s">
        <v>1162</v>
      </c>
      <c r="AW6378" t="s">
        <v>60</v>
      </c>
      <c r="AX6378" t="s">
        <v>68</v>
      </c>
      <c r="AY6378" t="s">
        <v>69</v>
      </c>
      <c r="AZ6378" t="b">
        <v>1</v>
      </c>
    </row>
    <row r="6379" spans="1:52" x14ac:dyDescent="0.3">
      <c r="A6379" t="s">
        <v>52</v>
      </c>
      <c r="B6379" t="s">
        <v>53</v>
      </c>
      <c r="C6379" t="s">
        <v>54</v>
      </c>
      <c r="D6379" t="s">
        <v>55</v>
      </c>
      <c r="E6379" t="s">
        <v>2295</v>
      </c>
      <c r="F6379" t="s">
        <v>190</v>
      </c>
      <c r="G6379" t="s">
        <v>1170</v>
      </c>
      <c r="H6379" t="s">
        <v>1171</v>
      </c>
      <c r="I6379" t="s">
        <v>1171</v>
      </c>
      <c r="J6379" t="s">
        <v>60</v>
      </c>
      <c r="K6379" t="s">
        <v>1165</v>
      </c>
      <c r="L6379" t="s">
        <v>62</v>
      </c>
      <c r="M6379" t="s">
        <v>1165</v>
      </c>
      <c r="N6379" t="s">
        <v>1172</v>
      </c>
      <c r="O6379" t="s">
        <v>1160</v>
      </c>
      <c r="P6379">
        <v>-20.158208999999999</v>
      </c>
      <c r="Q6379">
        <v>-44.865242000000002</v>
      </c>
      <c r="R6379" s="2" t="str">
        <f>HYPERLINK("https://www.google.com/maps?q=-20.1582090,-44.8652420","Abrir no Google Maps")</f>
        <v>Abrir no Google Maps</v>
      </c>
      <c r="S6379">
        <v>3</v>
      </c>
      <c r="T6379">
        <v>529.55269054560301</v>
      </c>
      <c r="U6379">
        <v>3</v>
      </c>
      <c r="V6379">
        <v>0.45549576468526792</v>
      </c>
      <c r="W6379">
        <v>1</v>
      </c>
      <c r="X6379">
        <v>0.45549576468526792</v>
      </c>
      <c r="Y6379">
        <v>264</v>
      </c>
      <c r="Z6379">
        <v>576.82525833351326</v>
      </c>
      <c r="AA6379">
        <v>198</v>
      </c>
      <c r="AB6379">
        <v>332</v>
      </c>
      <c r="AC6379">
        <v>536</v>
      </c>
      <c r="AD6379">
        <v>29.58</v>
      </c>
      <c r="AE6379">
        <v>542</v>
      </c>
      <c r="AF6379">
        <v>30</v>
      </c>
      <c r="AG6379">
        <v>169</v>
      </c>
      <c r="AH6379">
        <v>129</v>
      </c>
      <c r="AI6379">
        <v>5.54</v>
      </c>
      <c r="AJ6379">
        <v>31.18</v>
      </c>
      <c r="AK6379">
        <v>23.8</v>
      </c>
      <c r="AL6379">
        <v>-20.15813384999996</v>
      </c>
      <c r="AM6379">
        <v>-44.865189279062598</v>
      </c>
      <c r="AN6379">
        <v>-20.15813384999996</v>
      </c>
      <c r="AO6379">
        <v>-44.865189279062598</v>
      </c>
      <c r="AP6379">
        <v>-20.158208999999999</v>
      </c>
      <c r="AQ6379">
        <v>-44.865242000000002</v>
      </c>
      <c r="AR6379">
        <v>10.01690313145691</v>
      </c>
      <c r="AS6379" t="s">
        <v>65</v>
      </c>
      <c r="AT6379">
        <v>1</v>
      </c>
      <c r="AU6379" t="s">
        <v>1173</v>
      </c>
      <c r="AV6379" t="s">
        <v>1174</v>
      </c>
      <c r="AW6379" t="s">
        <v>60</v>
      </c>
      <c r="AX6379" t="s">
        <v>68</v>
      </c>
      <c r="AY6379" t="s">
        <v>69</v>
      </c>
      <c r="AZ6379" t="b">
        <v>1</v>
      </c>
    </row>
    <row r="6380" spans="1:52" x14ac:dyDescent="0.3">
      <c r="A6380" t="s">
        <v>52</v>
      </c>
      <c r="B6380" t="s">
        <v>53</v>
      </c>
      <c r="C6380" t="s">
        <v>54</v>
      </c>
      <c r="D6380" t="s">
        <v>55</v>
      </c>
      <c r="E6380" t="s">
        <v>2295</v>
      </c>
      <c r="F6380" t="s">
        <v>190</v>
      </c>
      <c r="G6380" t="s">
        <v>1175</v>
      </c>
      <c r="H6380" t="s">
        <v>1176</v>
      </c>
      <c r="I6380" t="s">
        <v>1176</v>
      </c>
      <c r="J6380" t="s">
        <v>60</v>
      </c>
      <c r="K6380" t="s">
        <v>1177</v>
      </c>
      <c r="L6380" t="s">
        <v>62</v>
      </c>
      <c r="M6380" t="s">
        <v>1177</v>
      </c>
      <c r="N6380" t="s">
        <v>1178</v>
      </c>
      <c r="O6380" t="s">
        <v>1179</v>
      </c>
      <c r="P6380">
        <v>-20.153393000000001</v>
      </c>
      <c r="Q6380">
        <v>-44.865701999999999</v>
      </c>
      <c r="R6380" s="2" t="str">
        <f>HYPERLINK("https://www.google.com/maps?q=-20.1533930,-44.8657020","Abrir no Google Maps")</f>
        <v>Abrir no Google Maps</v>
      </c>
      <c r="S6380">
        <v>3</v>
      </c>
      <c r="T6380">
        <v>0</v>
      </c>
      <c r="U6380">
        <v>3</v>
      </c>
      <c r="V6380">
        <v>0.45259498898678407</v>
      </c>
      <c r="W6380">
        <v>1</v>
      </c>
      <c r="X6380">
        <v>0.45259498898678407</v>
      </c>
      <c r="Y6380">
        <v>264</v>
      </c>
      <c r="Z6380">
        <v>187.61117597536</v>
      </c>
      <c r="AA6380">
        <v>198</v>
      </c>
      <c r="AB6380">
        <v>332</v>
      </c>
      <c r="AC6380">
        <v>536</v>
      </c>
      <c r="AD6380">
        <v>29.58</v>
      </c>
      <c r="AE6380">
        <v>542</v>
      </c>
      <c r="AF6380">
        <v>30</v>
      </c>
      <c r="AG6380">
        <v>169</v>
      </c>
      <c r="AH6380">
        <v>129</v>
      </c>
      <c r="AI6380">
        <v>5.54</v>
      </c>
      <c r="AJ6380">
        <v>31.18</v>
      </c>
      <c r="AK6380">
        <v>23.8</v>
      </c>
      <c r="AL6380">
        <v>-20.153365199999971</v>
      </c>
      <c r="AM6380">
        <v>-44.865611713780503</v>
      </c>
      <c r="AN6380">
        <v>-20.153365199999971</v>
      </c>
      <c r="AO6380">
        <v>-44.865611713780503</v>
      </c>
      <c r="AP6380">
        <v>-20.153393000000001</v>
      </c>
      <c r="AQ6380">
        <v>-44.865701999999999</v>
      </c>
      <c r="AR6380">
        <v>9.9298532940923003</v>
      </c>
      <c r="AS6380" t="s">
        <v>65</v>
      </c>
      <c r="AT6380">
        <v>1</v>
      </c>
      <c r="AU6380" t="s">
        <v>1180</v>
      </c>
      <c r="AV6380" t="s">
        <v>1181</v>
      </c>
      <c r="AW6380" t="s">
        <v>60</v>
      </c>
      <c r="AX6380" t="s">
        <v>68</v>
      </c>
      <c r="AY6380" t="s">
        <v>69</v>
      </c>
      <c r="AZ6380" t="b">
        <v>1</v>
      </c>
    </row>
    <row r="6381" spans="1:52" x14ac:dyDescent="0.3">
      <c r="A6381" t="s">
        <v>52</v>
      </c>
      <c r="B6381" t="s">
        <v>53</v>
      </c>
      <c r="C6381" t="s">
        <v>54</v>
      </c>
      <c r="D6381" t="s">
        <v>55</v>
      </c>
      <c r="E6381" t="s">
        <v>2295</v>
      </c>
      <c r="F6381" t="s">
        <v>190</v>
      </c>
      <c r="G6381" t="s">
        <v>810</v>
      </c>
      <c r="H6381" t="s">
        <v>811</v>
      </c>
      <c r="I6381" t="s">
        <v>811</v>
      </c>
      <c r="J6381" t="s">
        <v>60</v>
      </c>
      <c r="K6381" t="s">
        <v>805</v>
      </c>
      <c r="L6381" t="s">
        <v>62</v>
      </c>
      <c r="M6381" t="s">
        <v>805</v>
      </c>
      <c r="N6381" t="s">
        <v>812</v>
      </c>
      <c r="O6381" t="s">
        <v>309</v>
      </c>
      <c r="P6381">
        <v>-20.129868999999999</v>
      </c>
      <c r="Q6381">
        <v>-44.884247999999999</v>
      </c>
      <c r="R6381" s="2" t="str">
        <f>HYPERLINK("https://www.google.com/maps?q=-20.1298690,-44.8842480","Abrir no Google Maps")</f>
        <v>Abrir no Google Maps</v>
      </c>
      <c r="S6381">
        <v>3</v>
      </c>
      <c r="T6381">
        <v>434.82198084080329</v>
      </c>
      <c r="U6381">
        <v>3</v>
      </c>
      <c r="V6381">
        <v>0.4518008204282713</v>
      </c>
      <c r="W6381">
        <v>1</v>
      </c>
      <c r="X6381">
        <v>0.4518008204282713</v>
      </c>
      <c r="Y6381">
        <v>259</v>
      </c>
      <c r="Z6381">
        <v>281.76247768049842</v>
      </c>
      <c r="AA6381">
        <v>198</v>
      </c>
      <c r="AB6381">
        <v>332</v>
      </c>
      <c r="AC6381">
        <v>536</v>
      </c>
      <c r="AD6381">
        <v>29.58</v>
      </c>
      <c r="AE6381">
        <v>542</v>
      </c>
      <c r="AF6381">
        <v>30</v>
      </c>
      <c r="AG6381">
        <v>169</v>
      </c>
      <c r="AH6381">
        <v>129</v>
      </c>
      <c r="AI6381">
        <v>5.54</v>
      </c>
      <c r="AJ6381">
        <v>31.18</v>
      </c>
      <c r="AK6381">
        <v>23.8</v>
      </c>
      <c r="AL6381">
        <v>-20.129927549999959</v>
      </c>
      <c r="AM6381">
        <v>-44.884228133573217</v>
      </c>
      <c r="AN6381">
        <v>-20.129927549999959</v>
      </c>
      <c r="AO6381">
        <v>-44.884228133573217</v>
      </c>
      <c r="AP6381">
        <v>-20.129868999999999</v>
      </c>
      <c r="AQ6381">
        <v>-44.884247999999999</v>
      </c>
      <c r="AR6381">
        <v>6.8405504803478081</v>
      </c>
      <c r="AS6381" t="s">
        <v>65</v>
      </c>
      <c r="AT6381">
        <v>1</v>
      </c>
      <c r="AU6381" t="s">
        <v>813</v>
      </c>
      <c r="AV6381" t="s">
        <v>814</v>
      </c>
      <c r="AW6381" t="s">
        <v>60</v>
      </c>
      <c r="AX6381" t="s">
        <v>68</v>
      </c>
      <c r="AY6381" t="s">
        <v>69</v>
      </c>
      <c r="AZ6381" t="b">
        <v>1</v>
      </c>
    </row>
    <row r="6382" spans="1:52" x14ac:dyDescent="0.3">
      <c r="A6382" t="s">
        <v>52</v>
      </c>
      <c r="B6382" t="s">
        <v>53</v>
      </c>
      <c r="C6382" t="s">
        <v>54</v>
      </c>
      <c r="D6382" t="s">
        <v>55</v>
      </c>
      <c r="E6382" t="s">
        <v>2295</v>
      </c>
      <c r="F6382" t="s">
        <v>190</v>
      </c>
      <c r="G6382" t="s">
        <v>1187</v>
      </c>
      <c r="H6382" t="s">
        <v>1188</v>
      </c>
      <c r="I6382" t="s">
        <v>1188</v>
      </c>
      <c r="J6382" t="s">
        <v>60</v>
      </c>
      <c r="K6382" t="s">
        <v>1177</v>
      </c>
      <c r="L6382" t="s">
        <v>62</v>
      </c>
      <c r="M6382" t="s">
        <v>1177</v>
      </c>
      <c r="N6382" t="s">
        <v>1189</v>
      </c>
      <c r="O6382" t="s">
        <v>1190</v>
      </c>
      <c r="P6382">
        <v>-20.151606999999998</v>
      </c>
      <c r="Q6382">
        <v>-44.870784999999998</v>
      </c>
      <c r="R6382" s="2" t="str">
        <f>HYPERLINK("https://www.google.com/maps?q=-20.1516070,-44.8707850","Abrir no Google Maps")</f>
        <v>Abrir no Google Maps</v>
      </c>
      <c r="S6382">
        <v>3</v>
      </c>
      <c r="T6382">
        <v>592.7601508996878</v>
      </c>
      <c r="U6382">
        <v>3</v>
      </c>
      <c r="V6382">
        <v>0.43669049727495918</v>
      </c>
      <c r="W6382">
        <v>1</v>
      </c>
      <c r="X6382">
        <v>0.43669049727495918</v>
      </c>
      <c r="Y6382">
        <v>198</v>
      </c>
      <c r="Z6382">
        <v>605.75141653963317</v>
      </c>
      <c r="AA6382">
        <v>198</v>
      </c>
      <c r="AB6382">
        <v>332</v>
      </c>
      <c r="AC6382">
        <v>536</v>
      </c>
      <c r="AD6382">
        <v>29.58</v>
      </c>
      <c r="AE6382">
        <v>542</v>
      </c>
      <c r="AF6382">
        <v>30</v>
      </c>
      <c r="AG6382">
        <v>169</v>
      </c>
      <c r="AH6382">
        <v>129</v>
      </c>
      <c r="AI6382">
        <v>5.54</v>
      </c>
      <c r="AJ6382">
        <v>31.18</v>
      </c>
      <c r="AK6382">
        <v>23.8</v>
      </c>
      <c r="AL6382">
        <v>-20.151457849999961</v>
      </c>
      <c r="AM6382">
        <v>-44.870912038726253</v>
      </c>
      <c r="AN6382">
        <v>-20.151457849999961</v>
      </c>
      <c r="AO6382">
        <v>-44.870912038726253</v>
      </c>
      <c r="AP6382">
        <v>-20.151606999999998</v>
      </c>
      <c r="AQ6382">
        <v>-44.870784999999998</v>
      </c>
      <c r="AR6382">
        <v>21.258671186047941</v>
      </c>
      <c r="AS6382" t="s">
        <v>65</v>
      </c>
      <c r="AT6382">
        <v>1</v>
      </c>
      <c r="AU6382" t="s">
        <v>1191</v>
      </c>
      <c r="AV6382" t="s">
        <v>1192</v>
      </c>
      <c r="AW6382" t="s">
        <v>60</v>
      </c>
      <c r="AX6382" t="s">
        <v>68</v>
      </c>
      <c r="AY6382" t="s">
        <v>69</v>
      </c>
      <c r="AZ6382" t="b">
        <v>1</v>
      </c>
    </row>
    <row r="6383" spans="1:52" x14ac:dyDescent="0.3">
      <c r="A6383" t="s">
        <v>52</v>
      </c>
      <c r="B6383" t="s">
        <v>53</v>
      </c>
      <c r="C6383" t="s">
        <v>54</v>
      </c>
      <c r="D6383" t="s">
        <v>55</v>
      </c>
      <c r="E6383" t="s">
        <v>2295</v>
      </c>
      <c r="F6383" t="s">
        <v>190</v>
      </c>
      <c r="G6383" t="s">
        <v>1193</v>
      </c>
      <c r="H6383" t="s">
        <v>1194</v>
      </c>
      <c r="I6383" t="s">
        <v>1194</v>
      </c>
      <c r="J6383" t="s">
        <v>60</v>
      </c>
      <c r="K6383" t="s">
        <v>1195</v>
      </c>
      <c r="L6383" t="s">
        <v>62</v>
      </c>
      <c r="M6383" t="s">
        <v>1195</v>
      </c>
      <c r="N6383" t="s">
        <v>1196</v>
      </c>
      <c r="O6383" t="s">
        <v>1197</v>
      </c>
      <c r="P6383">
        <v>-20.105342</v>
      </c>
      <c r="Q6383">
        <v>-44.964716000000003</v>
      </c>
      <c r="R6383" s="2" t="str">
        <f>HYPERLINK("https://www.google.com/maps?q=-20.1053420,-44.9647160","Abrir no Google Maps")</f>
        <v>Abrir no Google Maps</v>
      </c>
      <c r="S6383">
        <v>3</v>
      </c>
      <c r="T6383">
        <v>893.28710125086457</v>
      </c>
      <c r="U6383">
        <v>3</v>
      </c>
      <c r="V6383">
        <v>0.45421459839153</v>
      </c>
      <c r="W6383">
        <v>1</v>
      </c>
      <c r="X6383">
        <v>0.45421459839153</v>
      </c>
      <c r="Y6383">
        <v>187</v>
      </c>
      <c r="Z6383">
        <v>592.18957175243293</v>
      </c>
      <c r="AA6383">
        <v>198</v>
      </c>
      <c r="AB6383">
        <v>332</v>
      </c>
      <c r="AC6383">
        <v>536</v>
      </c>
      <c r="AD6383">
        <v>29.58</v>
      </c>
      <c r="AE6383">
        <v>542</v>
      </c>
      <c r="AF6383">
        <v>30</v>
      </c>
      <c r="AG6383">
        <v>169</v>
      </c>
      <c r="AH6383">
        <v>129</v>
      </c>
      <c r="AI6383">
        <v>5.54</v>
      </c>
      <c r="AJ6383">
        <v>31.18</v>
      </c>
      <c r="AK6383">
        <v>23.8</v>
      </c>
      <c r="AL6383">
        <v>-20.105505699999949</v>
      </c>
      <c r="AM6383">
        <v>-44.964494228377532</v>
      </c>
      <c r="AN6383">
        <v>-20.105505699999949</v>
      </c>
      <c r="AO6383">
        <v>-44.964494228377532</v>
      </c>
      <c r="AP6383">
        <v>-20.105342</v>
      </c>
      <c r="AQ6383">
        <v>-44.964716000000003</v>
      </c>
      <c r="AR6383">
        <v>29.48797728637869</v>
      </c>
      <c r="AS6383" t="s">
        <v>65</v>
      </c>
      <c r="AT6383">
        <v>1</v>
      </c>
      <c r="AU6383" t="s">
        <v>1198</v>
      </c>
      <c r="AV6383" t="s">
        <v>1199</v>
      </c>
      <c r="AW6383" t="s">
        <v>60</v>
      </c>
      <c r="AX6383" t="s">
        <v>68</v>
      </c>
      <c r="AY6383" t="s">
        <v>69</v>
      </c>
      <c r="AZ6383" t="b">
        <v>1</v>
      </c>
    </row>
    <row r="6384" spans="1:52" x14ac:dyDescent="0.3">
      <c r="A6384" t="s">
        <v>52</v>
      </c>
      <c r="B6384" t="s">
        <v>53</v>
      </c>
      <c r="C6384" t="s">
        <v>54</v>
      </c>
      <c r="D6384" t="s">
        <v>55</v>
      </c>
      <c r="E6384" t="s">
        <v>2295</v>
      </c>
      <c r="F6384" t="s">
        <v>190</v>
      </c>
      <c r="G6384" t="s">
        <v>1200</v>
      </c>
      <c r="H6384" t="s">
        <v>1201</v>
      </c>
      <c r="I6384" t="s">
        <v>1201</v>
      </c>
      <c r="J6384" t="s">
        <v>60</v>
      </c>
      <c r="K6384" t="s">
        <v>1202</v>
      </c>
      <c r="L6384" t="s">
        <v>62</v>
      </c>
      <c r="M6384" t="s">
        <v>1202</v>
      </c>
      <c r="N6384" t="s">
        <v>1203</v>
      </c>
      <c r="O6384" t="s">
        <v>710</v>
      </c>
      <c r="P6384">
        <v>-20.191745999999998</v>
      </c>
      <c r="Q6384">
        <v>-44.904957000000003</v>
      </c>
      <c r="R6384" s="2" t="str">
        <f>HYPERLINK("https://www.google.com/maps?q=-20.1917460,-44.9049570","Abrir no Google Maps")</f>
        <v>Abrir no Google Maps</v>
      </c>
      <c r="S6384">
        <v>3</v>
      </c>
      <c r="T6384">
        <v>882.9384716293963</v>
      </c>
      <c r="U6384">
        <v>3</v>
      </c>
      <c r="V6384">
        <v>0.46104448742746618</v>
      </c>
      <c r="W6384">
        <v>1</v>
      </c>
      <c r="X6384">
        <v>0.46104448742746618</v>
      </c>
      <c r="Y6384">
        <v>135</v>
      </c>
      <c r="Z6384">
        <v>802.45927673397398</v>
      </c>
      <c r="AA6384">
        <v>198</v>
      </c>
      <c r="AB6384">
        <v>332</v>
      </c>
      <c r="AC6384">
        <v>536</v>
      </c>
      <c r="AD6384">
        <v>29.58</v>
      </c>
      <c r="AE6384">
        <v>542</v>
      </c>
      <c r="AF6384">
        <v>30</v>
      </c>
      <c r="AG6384">
        <v>169</v>
      </c>
      <c r="AH6384">
        <v>129</v>
      </c>
      <c r="AI6384">
        <v>5.54</v>
      </c>
      <c r="AJ6384">
        <v>31.18</v>
      </c>
      <c r="AK6384">
        <v>23.8</v>
      </c>
      <c r="AL6384">
        <v>-20.19172654999997</v>
      </c>
      <c r="AM6384">
        <v>-44.904976932073851</v>
      </c>
      <c r="AN6384">
        <v>-20.19172654999997</v>
      </c>
      <c r="AO6384">
        <v>-44.904976932073851</v>
      </c>
      <c r="AP6384">
        <v>-20.191745999999998</v>
      </c>
      <c r="AQ6384">
        <v>-44.904957000000003</v>
      </c>
      <c r="AR6384">
        <v>3.004110632807953</v>
      </c>
      <c r="AS6384" t="s">
        <v>65</v>
      </c>
      <c r="AT6384">
        <v>1</v>
      </c>
      <c r="AU6384" t="s">
        <v>1204</v>
      </c>
      <c r="AV6384" t="s">
        <v>1205</v>
      </c>
      <c r="AW6384" t="s">
        <v>60</v>
      </c>
      <c r="AX6384" t="s">
        <v>68</v>
      </c>
      <c r="AY6384" t="s">
        <v>69</v>
      </c>
      <c r="AZ6384" t="b">
        <v>1</v>
      </c>
    </row>
    <row r="6385" spans="1:52" x14ac:dyDescent="0.3">
      <c r="A6385" t="s">
        <v>52</v>
      </c>
      <c r="B6385" t="s">
        <v>53</v>
      </c>
      <c r="C6385" t="s">
        <v>54</v>
      </c>
      <c r="D6385" t="s">
        <v>55</v>
      </c>
      <c r="E6385" t="s">
        <v>2295</v>
      </c>
      <c r="F6385" t="s">
        <v>190</v>
      </c>
      <c r="G6385" t="s">
        <v>1212</v>
      </c>
      <c r="H6385" t="s">
        <v>1213</v>
      </c>
      <c r="I6385" t="s">
        <v>1213</v>
      </c>
      <c r="J6385" t="s">
        <v>60</v>
      </c>
      <c r="K6385" t="s">
        <v>171</v>
      </c>
      <c r="L6385" t="s">
        <v>62</v>
      </c>
      <c r="M6385" t="s">
        <v>171</v>
      </c>
      <c r="N6385" t="s">
        <v>1214</v>
      </c>
      <c r="O6385" t="s">
        <v>1215</v>
      </c>
      <c r="P6385">
        <v>-20.152812999999998</v>
      </c>
      <c r="Q6385">
        <v>-44.889853000000002</v>
      </c>
      <c r="R6385" s="2" t="str">
        <f>HYPERLINK("https://www.google.com/maps?q=-20.1528130,-44.8898530","Abrir no Google Maps")</f>
        <v>Abrir no Google Maps</v>
      </c>
      <c r="S6385">
        <v>3</v>
      </c>
      <c r="T6385">
        <v>404.11054739579231</v>
      </c>
      <c r="U6385">
        <v>3</v>
      </c>
      <c r="V6385">
        <v>0.4444815030990299</v>
      </c>
      <c r="W6385">
        <v>1</v>
      </c>
      <c r="X6385">
        <v>0.4444815030990299</v>
      </c>
      <c r="Y6385">
        <v>129</v>
      </c>
      <c r="Z6385">
        <v>222.94297160630171</v>
      </c>
      <c r="AA6385">
        <v>198</v>
      </c>
      <c r="AB6385">
        <v>332</v>
      </c>
      <c r="AC6385">
        <v>536</v>
      </c>
      <c r="AD6385">
        <v>29.58</v>
      </c>
      <c r="AE6385">
        <v>542</v>
      </c>
      <c r="AF6385">
        <v>30</v>
      </c>
      <c r="AG6385">
        <v>169</v>
      </c>
      <c r="AH6385">
        <v>129</v>
      </c>
      <c r="AI6385">
        <v>5.54</v>
      </c>
      <c r="AJ6385">
        <v>31.18</v>
      </c>
      <c r="AK6385">
        <v>23.8</v>
      </c>
      <c r="AL6385">
        <v>-20.152851999999971</v>
      </c>
      <c r="AM6385">
        <v>-44.889864659228088</v>
      </c>
      <c r="AN6385">
        <v>-20.152851999999971</v>
      </c>
      <c r="AO6385">
        <v>-44.889864659228088</v>
      </c>
      <c r="AP6385">
        <v>-20.152812999999998</v>
      </c>
      <c r="AQ6385">
        <v>-44.889853000000002</v>
      </c>
      <c r="AR6385">
        <v>4.5092186597325066</v>
      </c>
      <c r="AS6385" t="s">
        <v>65</v>
      </c>
      <c r="AT6385">
        <v>1</v>
      </c>
      <c r="AU6385" t="s">
        <v>1216</v>
      </c>
      <c r="AV6385" t="s">
        <v>1217</v>
      </c>
      <c r="AW6385" t="s">
        <v>60</v>
      </c>
      <c r="AX6385" t="s">
        <v>68</v>
      </c>
      <c r="AY6385" t="s">
        <v>69</v>
      </c>
      <c r="AZ6385" t="b">
        <v>1</v>
      </c>
    </row>
    <row r="6386" spans="1:52" x14ac:dyDescent="0.3">
      <c r="A6386" t="s">
        <v>52</v>
      </c>
      <c r="B6386" t="s">
        <v>53</v>
      </c>
      <c r="C6386" t="s">
        <v>54</v>
      </c>
      <c r="D6386" t="s">
        <v>55</v>
      </c>
      <c r="E6386" t="s">
        <v>2295</v>
      </c>
      <c r="F6386" t="s">
        <v>190</v>
      </c>
      <c r="G6386" t="s">
        <v>1218</v>
      </c>
      <c r="H6386" t="s">
        <v>1219</v>
      </c>
      <c r="I6386" t="s">
        <v>1219</v>
      </c>
      <c r="J6386" t="s">
        <v>60</v>
      </c>
      <c r="K6386" t="s">
        <v>828</v>
      </c>
      <c r="L6386" t="s">
        <v>62</v>
      </c>
      <c r="M6386" t="s">
        <v>828</v>
      </c>
      <c r="N6386" t="s">
        <v>1220</v>
      </c>
      <c r="O6386" t="s">
        <v>1221</v>
      </c>
      <c r="P6386">
        <v>-20.132722000000001</v>
      </c>
      <c r="Q6386">
        <v>-44.843550999999998</v>
      </c>
      <c r="R6386" s="2" t="str">
        <f>HYPERLINK("https://www.google.com/maps?q=-20.1327220,-44.8435510","Abrir no Google Maps")</f>
        <v>Abrir no Google Maps</v>
      </c>
      <c r="S6386">
        <v>3</v>
      </c>
      <c r="T6386">
        <v>846.88659580558431</v>
      </c>
      <c r="U6386">
        <v>3</v>
      </c>
      <c r="V6386">
        <v>0.44867724867724867</v>
      </c>
      <c r="W6386">
        <v>1</v>
      </c>
      <c r="X6386">
        <v>0.44867724867724867</v>
      </c>
      <c r="Y6386">
        <v>118</v>
      </c>
      <c r="Z6386">
        <v>797.91643890712305</v>
      </c>
      <c r="AA6386">
        <v>198</v>
      </c>
      <c r="AB6386">
        <v>332</v>
      </c>
      <c r="AC6386">
        <v>536</v>
      </c>
      <c r="AD6386">
        <v>29.58</v>
      </c>
      <c r="AE6386">
        <v>542</v>
      </c>
      <c r="AF6386">
        <v>30</v>
      </c>
      <c r="AG6386">
        <v>169</v>
      </c>
      <c r="AH6386">
        <v>129</v>
      </c>
      <c r="AI6386">
        <v>5.54</v>
      </c>
      <c r="AJ6386">
        <v>31.18</v>
      </c>
      <c r="AK6386">
        <v>23.8</v>
      </c>
      <c r="AL6386">
        <v>-20.132714949999979</v>
      </c>
      <c r="AM6386">
        <v>-44.843475702545703</v>
      </c>
      <c r="AN6386">
        <v>-20.132714949999979</v>
      </c>
      <c r="AO6386">
        <v>-44.843475702545703</v>
      </c>
      <c r="AP6386">
        <v>-20.132722000000001</v>
      </c>
      <c r="AQ6386">
        <v>-44.843550999999998</v>
      </c>
      <c r="AR6386">
        <v>7.9089820822755481</v>
      </c>
      <c r="AS6386" t="s">
        <v>65</v>
      </c>
      <c r="AT6386">
        <v>1</v>
      </c>
      <c r="AU6386" t="s">
        <v>1222</v>
      </c>
      <c r="AV6386" t="s">
        <v>1223</v>
      </c>
      <c r="AW6386" t="s">
        <v>60</v>
      </c>
      <c r="AX6386" t="s">
        <v>68</v>
      </c>
      <c r="AY6386" t="s">
        <v>69</v>
      </c>
      <c r="AZ6386" t="b">
        <v>1</v>
      </c>
    </row>
    <row r="6387" spans="1:52" x14ac:dyDescent="0.3">
      <c r="A6387" t="s">
        <v>52</v>
      </c>
      <c r="B6387" t="s">
        <v>53</v>
      </c>
      <c r="C6387" t="s">
        <v>54</v>
      </c>
      <c r="D6387" t="s">
        <v>55</v>
      </c>
      <c r="E6387" t="s">
        <v>2295</v>
      </c>
      <c r="F6387" t="s">
        <v>190</v>
      </c>
      <c r="G6387" t="s">
        <v>1224</v>
      </c>
      <c r="H6387" t="s">
        <v>1230</v>
      </c>
      <c r="I6387" t="s">
        <v>1230</v>
      </c>
      <c r="J6387" t="s">
        <v>60</v>
      </c>
      <c r="K6387" t="s">
        <v>828</v>
      </c>
      <c r="L6387" t="s">
        <v>62</v>
      </c>
      <c r="M6387" t="s">
        <v>828</v>
      </c>
      <c r="N6387" t="s">
        <v>1231</v>
      </c>
      <c r="O6387" t="s">
        <v>1232</v>
      </c>
      <c r="P6387">
        <v>-20.136106000000002</v>
      </c>
      <c r="Q6387">
        <v>-44.838470999999998</v>
      </c>
      <c r="R6387" s="2" t="str">
        <f>HYPERLINK("https://www.google.com/maps?q=-20.1361060,-44.8384710","Abrir no Google Maps")</f>
        <v>Abrir no Google Maps</v>
      </c>
      <c r="S6387">
        <v>3</v>
      </c>
      <c r="T6387">
        <v>910.01690137237858</v>
      </c>
      <c r="U6387">
        <v>3</v>
      </c>
      <c r="V6387">
        <v>0.44841774407099427</v>
      </c>
      <c r="W6387">
        <v>1</v>
      </c>
      <c r="X6387">
        <v>0.44841774407099427</v>
      </c>
      <c r="Y6387">
        <v>118</v>
      </c>
      <c r="Z6387">
        <v>892.76979321439796</v>
      </c>
      <c r="AA6387">
        <v>198</v>
      </c>
      <c r="AB6387">
        <v>332</v>
      </c>
      <c r="AC6387">
        <v>536</v>
      </c>
      <c r="AD6387">
        <v>29.58</v>
      </c>
      <c r="AE6387">
        <v>542</v>
      </c>
      <c r="AF6387">
        <v>30</v>
      </c>
      <c r="AG6387">
        <v>169</v>
      </c>
      <c r="AH6387">
        <v>129</v>
      </c>
      <c r="AI6387">
        <v>5.54</v>
      </c>
      <c r="AJ6387">
        <v>31.18</v>
      </c>
      <c r="AK6387">
        <v>23.8</v>
      </c>
      <c r="AL6387">
        <v>-20.136356149999951</v>
      </c>
      <c r="AM6387">
        <v>-44.838929886373997</v>
      </c>
      <c r="AN6387">
        <v>-20.136356149999951</v>
      </c>
      <c r="AO6387">
        <v>-44.838929886373997</v>
      </c>
      <c r="AP6387">
        <v>-20.136106000000002</v>
      </c>
      <c r="AQ6387">
        <v>-44.838470999999998</v>
      </c>
      <c r="AR6387">
        <v>55.458802856549369</v>
      </c>
      <c r="AS6387" t="s">
        <v>65</v>
      </c>
      <c r="AT6387">
        <v>1</v>
      </c>
      <c r="AU6387" t="s">
        <v>1233</v>
      </c>
      <c r="AV6387" t="s">
        <v>1234</v>
      </c>
      <c r="AW6387" t="s">
        <v>60</v>
      </c>
      <c r="AX6387" t="s">
        <v>68</v>
      </c>
      <c r="AY6387" t="s">
        <v>69</v>
      </c>
      <c r="AZ6387" t="b">
        <v>1</v>
      </c>
    </row>
    <row r="6388" spans="1:52" x14ac:dyDescent="0.3">
      <c r="A6388" t="s">
        <v>52</v>
      </c>
      <c r="B6388" t="s">
        <v>53</v>
      </c>
      <c r="C6388" t="s">
        <v>54</v>
      </c>
      <c r="D6388" t="s">
        <v>55</v>
      </c>
      <c r="E6388" t="s">
        <v>2295</v>
      </c>
      <c r="F6388" t="s">
        <v>190</v>
      </c>
      <c r="G6388" t="s">
        <v>826</v>
      </c>
      <c r="H6388" t="s">
        <v>827</v>
      </c>
      <c r="I6388" t="s">
        <v>827</v>
      </c>
      <c r="J6388" t="s">
        <v>60</v>
      </c>
      <c r="K6388" t="s">
        <v>828</v>
      </c>
      <c r="L6388" t="s">
        <v>62</v>
      </c>
      <c r="M6388" t="s">
        <v>828</v>
      </c>
      <c r="N6388" t="s">
        <v>829</v>
      </c>
      <c r="O6388" t="s">
        <v>830</v>
      </c>
      <c r="P6388">
        <v>-20.128309999999999</v>
      </c>
      <c r="Q6388">
        <v>-44.8367</v>
      </c>
      <c r="R6388" s="2" t="str">
        <f>HYPERLINK("https://www.google.com/maps?q=-20.1283100,-44.8367000","Abrir no Google Maps")</f>
        <v>Abrir no Google Maps</v>
      </c>
      <c r="S6388">
        <v>3</v>
      </c>
      <c r="T6388">
        <v>0</v>
      </c>
      <c r="U6388">
        <v>3</v>
      </c>
      <c r="V6388">
        <v>0.44676318267419962</v>
      </c>
      <c r="W6388">
        <v>1</v>
      </c>
      <c r="X6388">
        <v>0.44676318267419962</v>
      </c>
      <c r="Y6388">
        <v>118</v>
      </c>
      <c r="Z6388">
        <v>65.93296364139367</v>
      </c>
      <c r="AA6388">
        <v>198</v>
      </c>
      <c r="AB6388">
        <v>332</v>
      </c>
      <c r="AC6388">
        <v>536</v>
      </c>
      <c r="AD6388">
        <v>29.58</v>
      </c>
      <c r="AE6388">
        <v>542</v>
      </c>
      <c r="AF6388">
        <v>30</v>
      </c>
      <c r="AG6388">
        <v>169</v>
      </c>
      <c r="AH6388">
        <v>129</v>
      </c>
      <c r="AI6388">
        <v>5.54</v>
      </c>
      <c r="AJ6388">
        <v>31.18</v>
      </c>
      <c r="AK6388">
        <v>23.8</v>
      </c>
      <c r="AL6388">
        <v>-20.128383649999961</v>
      </c>
      <c r="AM6388">
        <v>-44.836795615491283</v>
      </c>
      <c r="AN6388">
        <v>-20.128383649999961</v>
      </c>
      <c r="AO6388">
        <v>-44.836795615491283</v>
      </c>
      <c r="AP6388">
        <v>-20.128309999999999</v>
      </c>
      <c r="AQ6388">
        <v>-44.8367</v>
      </c>
      <c r="AR6388">
        <v>12.92654496723039</v>
      </c>
      <c r="AS6388" t="s">
        <v>65</v>
      </c>
      <c r="AT6388">
        <v>1</v>
      </c>
      <c r="AU6388" t="s">
        <v>831</v>
      </c>
      <c r="AV6388" t="s">
        <v>832</v>
      </c>
      <c r="AW6388" t="s">
        <v>60</v>
      </c>
      <c r="AX6388" t="s">
        <v>68</v>
      </c>
      <c r="AY6388" t="s">
        <v>69</v>
      </c>
      <c r="AZ6388" t="b">
        <v>1</v>
      </c>
    </row>
    <row r="6389" spans="1:52" x14ac:dyDescent="0.3">
      <c r="A6389" t="s">
        <v>52</v>
      </c>
      <c r="B6389" t="s">
        <v>53</v>
      </c>
      <c r="C6389" t="s">
        <v>54</v>
      </c>
      <c r="D6389" t="s">
        <v>55</v>
      </c>
      <c r="E6389" t="s">
        <v>2295</v>
      </c>
      <c r="F6389" t="s">
        <v>190</v>
      </c>
      <c r="G6389" t="s">
        <v>1842</v>
      </c>
      <c r="H6389" t="s">
        <v>1843</v>
      </c>
      <c r="I6389" t="s">
        <v>1843</v>
      </c>
      <c r="J6389" t="s">
        <v>60</v>
      </c>
      <c r="K6389" t="s">
        <v>1243</v>
      </c>
      <c r="L6389" t="s">
        <v>62</v>
      </c>
      <c r="M6389" t="s">
        <v>1243</v>
      </c>
      <c r="N6389" t="s">
        <v>1844</v>
      </c>
      <c r="O6389" t="s">
        <v>598</v>
      </c>
      <c r="P6389">
        <v>-20.191507999999999</v>
      </c>
      <c r="Q6389">
        <v>-44.942765000000001</v>
      </c>
      <c r="R6389" s="2" t="str">
        <f>HYPERLINK("https://www.google.com/maps?q=-20.1915080,-44.9427650","Abrir no Google Maps")</f>
        <v>Abrir no Google Maps</v>
      </c>
      <c r="S6389">
        <v>3</v>
      </c>
      <c r="T6389">
        <v>481.65843439031818</v>
      </c>
      <c r="U6389">
        <v>3</v>
      </c>
      <c r="V6389">
        <v>0.46094452773613193</v>
      </c>
      <c r="W6389">
        <v>1</v>
      </c>
      <c r="X6389">
        <v>0.46094452773613193</v>
      </c>
      <c r="Y6389">
        <v>113</v>
      </c>
      <c r="Z6389">
        <v>403.01657911729887</v>
      </c>
      <c r="AA6389">
        <v>198</v>
      </c>
      <c r="AB6389">
        <v>332</v>
      </c>
      <c r="AC6389">
        <v>536</v>
      </c>
      <c r="AD6389">
        <v>29.58</v>
      </c>
      <c r="AE6389">
        <v>542</v>
      </c>
      <c r="AF6389">
        <v>30</v>
      </c>
      <c r="AG6389">
        <v>169</v>
      </c>
      <c r="AH6389">
        <v>129</v>
      </c>
      <c r="AI6389">
        <v>5.54</v>
      </c>
      <c r="AJ6389">
        <v>31.18</v>
      </c>
      <c r="AK6389">
        <v>23.8</v>
      </c>
      <c r="AL6389">
        <v>-20.19144764999993</v>
      </c>
      <c r="AM6389">
        <v>-44.942723431709183</v>
      </c>
      <c r="AN6389">
        <v>-20.19144764999993</v>
      </c>
      <c r="AO6389">
        <v>-44.942723431709183</v>
      </c>
      <c r="AP6389">
        <v>-20.191507999999999</v>
      </c>
      <c r="AQ6389">
        <v>-44.942765000000001</v>
      </c>
      <c r="AR6389">
        <v>7.9997116897974587</v>
      </c>
      <c r="AS6389" t="s">
        <v>65</v>
      </c>
      <c r="AT6389">
        <v>1</v>
      </c>
      <c r="AU6389" t="s">
        <v>1845</v>
      </c>
      <c r="AV6389" t="s">
        <v>1846</v>
      </c>
      <c r="AW6389" t="s">
        <v>60</v>
      </c>
      <c r="AX6389" t="s">
        <v>68</v>
      </c>
      <c r="AY6389" t="s">
        <v>69</v>
      </c>
      <c r="AZ6389" t="b">
        <v>1</v>
      </c>
    </row>
    <row r="6390" spans="1:52" x14ac:dyDescent="0.3">
      <c r="A6390" t="s">
        <v>52</v>
      </c>
      <c r="B6390" t="s">
        <v>53</v>
      </c>
      <c r="C6390" t="s">
        <v>54</v>
      </c>
      <c r="D6390" t="s">
        <v>55</v>
      </c>
      <c r="E6390" t="s">
        <v>2295</v>
      </c>
      <c r="F6390" t="s">
        <v>190</v>
      </c>
      <c r="G6390" t="s">
        <v>1241</v>
      </c>
      <c r="H6390" t="s">
        <v>1242</v>
      </c>
      <c r="I6390" t="s">
        <v>1242</v>
      </c>
      <c r="J6390" t="s">
        <v>60</v>
      </c>
      <c r="K6390" t="s">
        <v>1243</v>
      </c>
      <c r="L6390" t="s">
        <v>62</v>
      </c>
      <c r="M6390" t="s">
        <v>1243</v>
      </c>
      <c r="N6390" t="s">
        <v>1244</v>
      </c>
      <c r="O6390" t="s">
        <v>315</v>
      </c>
      <c r="P6390">
        <v>-20.188538000000001</v>
      </c>
      <c r="Q6390">
        <v>-44.930104</v>
      </c>
      <c r="R6390" s="2" t="str">
        <f>HYPERLINK("https://www.google.com/maps?q=-20.1885380,-44.9301040","Abrir no Google Maps")</f>
        <v>Abrir no Google Maps</v>
      </c>
      <c r="S6390">
        <v>3</v>
      </c>
      <c r="T6390">
        <v>928.27105405717066</v>
      </c>
      <c r="U6390">
        <v>3</v>
      </c>
      <c r="V6390">
        <v>0.45411514245594969</v>
      </c>
      <c r="W6390">
        <v>1</v>
      </c>
      <c r="X6390">
        <v>0.45411514245594969</v>
      </c>
      <c r="Y6390">
        <v>113</v>
      </c>
      <c r="Z6390">
        <v>1111.4269393179579</v>
      </c>
      <c r="AA6390">
        <v>198</v>
      </c>
      <c r="AB6390">
        <v>332</v>
      </c>
      <c r="AC6390">
        <v>536</v>
      </c>
      <c r="AD6390">
        <v>29.58</v>
      </c>
      <c r="AE6390">
        <v>542</v>
      </c>
      <c r="AF6390">
        <v>30</v>
      </c>
      <c r="AG6390">
        <v>169</v>
      </c>
      <c r="AH6390">
        <v>129</v>
      </c>
      <c r="AI6390">
        <v>5.54</v>
      </c>
      <c r="AJ6390">
        <v>31.18</v>
      </c>
      <c r="AK6390">
        <v>23.8</v>
      </c>
      <c r="AL6390">
        <v>-20.18852899999996</v>
      </c>
      <c r="AM6390">
        <v>-44.930083089036543</v>
      </c>
      <c r="AN6390">
        <v>-20.18852899999996</v>
      </c>
      <c r="AO6390">
        <v>-44.930083089036543</v>
      </c>
      <c r="AP6390">
        <v>-20.188538000000001</v>
      </c>
      <c r="AQ6390">
        <v>-44.930104</v>
      </c>
      <c r="AR6390">
        <v>2.4035564137158438</v>
      </c>
      <c r="AS6390" t="s">
        <v>65</v>
      </c>
      <c r="AT6390">
        <v>1</v>
      </c>
      <c r="AU6390" t="s">
        <v>1245</v>
      </c>
      <c r="AV6390" t="s">
        <v>1246</v>
      </c>
      <c r="AW6390" t="s">
        <v>60</v>
      </c>
      <c r="AX6390" t="s">
        <v>68</v>
      </c>
      <c r="AY6390" t="s">
        <v>69</v>
      </c>
      <c r="AZ6390" t="b">
        <v>1</v>
      </c>
    </row>
    <row r="6391" spans="1:52" x14ac:dyDescent="0.3">
      <c r="A6391" t="s">
        <v>52</v>
      </c>
      <c r="B6391" t="s">
        <v>53</v>
      </c>
      <c r="C6391" t="s">
        <v>54</v>
      </c>
      <c r="D6391" t="s">
        <v>55</v>
      </c>
      <c r="E6391" t="s">
        <v>2295</v>
      </c>
      <c r="F6391" t="s">
        <v>190</v>
      </c>
      <c r="G6391" t="s">
        <v>1193</v>
      </c>
      <c r="H6391" t="s">
        <v>2089</v>
      </c>
      <c r="I6391" t="s">
        <v>2089</v>
      </c>
      <c r="J6391" t="s">
        <v>60</v>
      </c>
      <c r="K6391" t="s">
        <v>1797</v>
      </c>
      <c r="L6391" t="s">
        <v>62</v>
      </c>
      <c r="M6391" t="s">
        <v>1797</v>
      </c>
      <c r="N6391" t="s">
        <v>2090</v>
      </c>
      <c r="O6391" t="s">
        <v>2091</v>
      </c>
      <c r="P6391">
        <v>-20.131095999999999</v>
      </c>
      <c r="Q6391">
        <v>-44.849972999999999</v>
      </c>
      <c r="R6391" s="2" t="str">
        <f>HYPERLINK("https://www.google.com/maps?q=-20.1310960,-44.8499730","Abrir no Google Maps")</f>
        <v>Abrir no Google Maps</v>
      </c>
      <c r="S6391">
        <v>3</v>
      </c>
      <c r="T6391">
        <v>537.19051863771813</v>
      </c>
      <c r="U6391">
        <v>3</v>
      </c>
      <c r="V6391">
        <v>0.51627384960718292</v>
      </c>
      <c r="W6391">
        <v>0.85</v>
      </c>
      <c r="X6391">
        <v>0.43883277216610539</v>
      </c>
      <c r="Y6391">
        <v>95</v>
      </c>
      <c r="Z6391">
        <v>759.25593758629111</v>
      </c>
      <c r="AA6391">
        <v>198</v>
      </c>
      <c r="AB6391">
        <v>332</v>
      </c>
      <c r="AC6391">
        <v>536</v>
      </c>
      <c r="AD6391">
        <v>29.58</v>
      </c>
      <c r="AE6391">
        <v>542</v>
      </c>
      <c r="AF6391">
        <v>30</v>
      </c>
      <c r="AG6391">
        <v>169</v>
      </c>
      <c r="AH6391">
        <v>129</v>
      </c>
      <c r="AI6391">
        <v>5.54</v>
      </c>
      <c r="AJ6391">
        <v>31.18</v>
      </c>
      <c r="AK6391">
        <v>23.8</v>
      </c>
      <c r="AL6391">
        <v>-20.131014649999969</v>
      </c>
      <c r="AM6391">
        <v>-44.851386102569123</v>
      </c>
      <c r="AN6391">
        <v>-20.131014649999969</v>
      </c>
      <c r="AO6391">
        <v>-44.851386102569123</v>
      </c>
      <c r="AP6391">
        <v>-20.131095999999999</v>
      </c>
      <c r="AQ6391">
        <v>-44.849972999999999</v>
      </c>
      <c r="AR6391">
        <v>147.97378497445629</v>
      </c>
      <c r="AS6391" t="s">
        <v>65</v>
      </c>
      <c r="AT6391">
        <v>1</v>
      </c>
      <c r="AU6391" t="s">
        <v>2092</v>
      </c>
      <c r="AV6391" t="s">
        <v>2093</v>
      </c>
      <c r="AW6391" t="s">
        <v>60</v>
      </c>
      <c r="AX6391" t="s">
        <v>68</v>
      </c>
      <c r="AY6391" t="s">
        <v>69</v>
      </c>
      <c r="AZ6391" t="b">
        <v>1</v>
      </c>
    </row>
    <row r="6392" spans="1:52" x14ac:dyDescent="0.3">
      <c r="A6392" t="s">
        <v>52</v>
      </c>
      <c r="B6392" t="s">
        <v>53</v>
      </c>
      <c r="C6392" t="s">
        <v>54</v>
      </c>
      <c r="D6392" t="s">
        <v>55</v>
      </c>
      <c r="E6392" t="s">
        <v>2295</v>
      </c>
      <c r="F6392" t="s">
        <v>1247</v>
      </c>
      <c r="G6392" t="s">
        <v>58</v>
      </c>
      <c r="H6392" t="s">
        <v>59</v>
      </c>
      <c r="I6392" t="s">
        <v>59</v>
      </c>
      <c r="J6392" t="s">
        <v>60</v>
      </c>
      <c r="K6392" t="s">
        <v>61</v>
      </c>
      <c r="L6392" t="s">
        <v>62</v>
      </c>
      <c r="M6392" t="s">
        <v>61</v>
      </c>
      <c r="N6392" t="s">
        <v>63</v>
      </c>
      <c r="O6392" t="s">
        <v>64</v>
      </c>
      <c r="P6392">
        <v>-20.147940999999999</v>
      </c>
      <c r="Q6392">
        <v>-44.906514000000001</v>
      </c>
      <c r="R6392" s="2" t="str">
        <f>HYPERLINK("https://www.google.com/maps?q=-20.1479410,-44.9065140","Abrir no Google Maps")</f>
        <v>Abrir no Google Maps</v>
      </c>
      <c r="S6392">
        <v>4</v>
      </c>
      <c r="T6392">
        <v>308.67004994113421</v>
      </c>
      <c r="U6392">
        <v>4</v>
      </c>
      <c r="V6392">
        <v>0.48829793047456221</v>
      </c>
      <c r="W6392">
        <v>1</v>
      </c>
      <c r="X6392">
        <v>0.48829793047456221</v>
      </c>
      <c r="Y6392">
        <v>747</v>
      </c>
      <c r="Z6392">
        <v>274.71440454502522</v>
      </c>
      <c r="AA6392">
        <v>198</v>
      </c>
      <c r="AB6392">
        <v>332</v>
      </c>
      <c r="AC6392">
        <v>536</v>
      </c>
      <c r="AD6392">
        <v>29.58</v>
      </c>
      <c r="AE6392">
        <v>542</v>
      </c>
      <c r="AF6392">
        <v>30</v>
      </c>
      <c r="AG6392">
        <v>169</v>
      </c>
      <c r="AH6392">
        <v>129</v>
      </c>
      <c r="AI6392">
        <v>5.54</v>
      </c>
      <c r="AJ6392">
        <v>31.18</v>
      </c>
      <c r="AK6392">
        <v>23.8</v>
      </c>
      <c r="AL6392">
        <v>-20.147947799999969</v>
      </c>
      <c r="AM6392">
        <v>-44.906591596129203</v>
      </c>
      <c r="AN6392">
        <v>-20.147947799999969</v>
      </c>
      <c r="AO6392">
        <v>-44.906591596129203</v>
      </c>
      <c r="AP6392">
        <v>-20.147940999999999</v>
      </c>
      <c r="AQ6392">
        <v>-44.906514000000001</v>
      </c>
      <c r="AR6392">
        <v>8.1446636170570326</v>
      </c>
      <c r="AS6392" t="s">
        <v>65</v>
      </c>
      <c r="AT6392">
        <v>1</v>
      </c>
      <c r="AU6392" t="s">
        <v>66</v>
      </c>
      <c r="AV6392" t="s">
        <v>67</v>
      </c>
      <c r="AW6392" t="s">
        <v>60</v>
      </c>
      <c r="AX6392" t="s">
        <v>68</v>
      </c>
      <c r="AY6392" t="s">
        <v>69</v>
      </c>
      <c r="AZ6392" t="b">
        <v>1</v>
      </c>
    </row>
    <row r="6393" spans="1:52" x14ac:dyDescent="0.3">
      <c r="A6393" t="s">
        <v>52</v>
      </c>
      <c r="B6393" t="s">
        <v>53</v>
      </c>
      <c r="C6393" t="s">
        <v>54</v>
      </c>
      <c r="D6393" t="s">
        <v>55</v>
      </c>
      <c r="E6393" t="s">
        <v>2295</v>
      </c>
      <c r="F6393" t="s">
        <v>1247</v>
      </c>
      <c r="G6393" t="s">
        <v>191</v>
      </c>
      <c r="H6393" t="s">
        <v>192</v>
      </c>
      <c r="I6393" t="s">
        <v>192</v>
      </c>
      <c r="J6393" t="s">
        <v>60</v>
      </c>
      <c r="K6393" t="s">
        <v>193</v>
      </c>
      <c r="L6393" t="s">
        <v>62</v>
      </c>
      <c r="M6393" t="s">
        <v>193</v>
      </c>
      <c r="N6393" t="s">
        <v>194</v>
      </c>
      <c r="O6393" t="s">
        <v>195</v>
      </c>
      <c r="P6393">
        <v>-20.143266000000001</v>
      </c>
      <c r="Q6393">
        <v>-44.912075000000002</v>
      </c>
      <c r="R6393" s="2" t="str">
        <f>HYPERLINK("https://www.google.com/maps?q=-20.1432660,-44.9120750","Abrir no Google Maps")</f>
        <v>Abrir no Google Maps</v>
      </c>
      <c r="S6393">
        <v>4</v>
      </c>
      <c r="T6393">
        <v>467.04339396175408</v>
      </c>
      <c r="U6393">
        <v>4</v>
      </c>
      <c r="V6393">
        <v>0.47643026459094112</v>
      </c>
      <c r="W6393">
        <v>1</v>
      </c>
      <c r="X6393">
        <v>0.47643026459094112</v>
      </c>
      <c r="Y6393">
        <v>747</v>
      </c>
      <c r="Z6393">
        <v>585.1742452866996</v>
      </c>
      <c r="AA6393">
        <v>198</v>
      </c>
      <c r="AB6393">
        <v>332</v>
      </c>
      <c r="AC6393">
        <v>536</v>
      </c>
      <c r="AD6393">
        <v>29.58</v>
      </c>
      <c r="AE6393">
        <v>542</v>
      </c>
      <c r="AF6393">
        <v>30</v>
      </c>
      <c r="AG6393">
        <v>169</v>
      </c>
      <c r="AH6393">
        <v>129</v>
      </c>
      <c r="AI6393">
        <v>5.54</v>
      </c>
      <c r="AJ6393">
        <v>31.18</v>
      </c>
      <c r="AK6393">
        <v>23.8</v>
      </c>
      <c r="AL6393">
        <v>-20.143307949999951</v>
      </c>
      <c r="AM6393">
        <v>-44.912066629431067</v>
      </c>
      <c r="AN6393">
        <v>-20.143307949999951</v>
      </c>
      <c r="AO6393">
        <v>-44.912066629431067</v>
      </c>
      <c r="AP6393">
        <v>-20.143266000000001</v>
      </c>
      <c r="AQ6393">
        <v>-44.912075000000002</v>
      </c>
      <c r="AR6393">
        <v>4.751108024498329</v>
      </c>
      <c r="AS6393" t="s">
        <v>65</v>
      </c>
      <c r="AT6393">
        <v>1</v>
      </c>
      <c r="AU6393" t="s">
        <v>196</v>
      </c>
      <c r="AV6393" t="s">
        <v>197</v>
      </c>
      <c r="AW6393" t="s">
        <v>60</v>
      </c>
      <c r="AX6393" t="s">
        <v>68</v>
      </c>
      <c r="AY6393" t="s">
        <v>69</v>
      </c>
      <c r="AZ6393" t="b">
        <v>1</v>
      </c>
    </row>
    <row r="6394" spans="1:52" x14ac:dyDescent="0.3">
      <c r="A6394" t="s">
        <v>52</v>
      </c>
      <c r="B6394" t="s">
        <v>53</v>
      </c>
      <c r="C6394" t="s">
        <v>54</v>
      </c>
      <c r="D6394" t="s">
        <v>55</v>
      </c>
      <c r="E6394" t="s">
        <v>2295</v>
      </c>
      <c r="F6394" t="s">
        <v>1247</v>
      </c>
      <c r="G6394" t="s">
        <v>83</v>
      </c>
      <c r="H6394" t="s">
        <v>84</v>
      </c>
      <c r="I6394" t="s">
        <v>84</v>
      </c>
      <c r="J6394" t="s">
        <v>60</v>
      </c>
      <c r="K6394" t="s">
        <v>61</v>
      </c>
      <c r="L6394" t="s">
        <v>62</v>
      </c>
      <c r="M6394" t="s">
        <v>61</v>
      </c>
      <c r="N6394" t="s">
        <v>85</v>
      </c>
      <c r="O6394" t="s">
        <v>86</v>
      </c>
      <c r="P6394">
        <v>-20.149799000000002</v>
      </c>
      <c r="Q6394">
        <v>-44.906517000000001</v>
      </c>
      <c r="R6394" s="2" t="str">
        <f>HYPERLINK("https://www.google.com/maps?q=-20.1497990,-44.9065170","Abrir no Google Maps")</f>
        <v>Abrir no Google Maps</v>
      </c>
      <c r="S6394">
        <v>4</v>
      </c>
      <c r="T6394">
        <v>487.90051105537998</v>
      </c>
      <c r="U6394">
        <v>4</v>
      </c>
      <c r="V6394">
        <v>0.46317996845900311</v>
      </c>
      <c r="W6394">
        <v>1</v>
      </c>
      <c r="X6394">
        <v>0.46317996845900311</v>
      </c>
      <c r="Y6394">
        <v>747</v>
      </c>
      <c r="Z6394">
        <v>365.93785960107078</v>
      </c>
      <c r="AA6394">
        <v>198</v>
      </c>
      <c r="AB6394">
        <v>332</v>
      </c>
      <c r="AC6394">
        <v>536</v>
      </c>
      <c r="AD6394">
        <v>29.58</v>
      </c>
      <c r="AE6394">
        <v>542</v>
      </c>
      <c r="AF6394">
        <v>30</v>
      </c>
      <c r="AG6394">
        <v>169</v>
      </c>
      <c r="AH6394">
        <v>129</v>
      </c>
      <c r="AI6394">
        <v>5.54</v>
      </c>
      <c r="AJ6394">
        <v>31.18</v>
      </c>
      <c r="AK6394">
        <v>23.8</v>
      </c>
      <c r="AL6394">
        <v>-20.149879599999959</v>
      </c>
      <c r="AM6394">
        <v>-44.906746466068469</v>
      </c>
      <c r="AN6394">
        <v>-20.149879599999959</v>
      </c>
      <c r="AO6394">
        <v>-44.906746466068469</v>
      </c>
      <c r="AP6394">
        <v>-20.149799000000002</v>
      </c>
      <c r="AQ6394">
        <v>-44.906517000000001</v>
      </c>
      <c r="AR6394">
        <v>25.604276856970429</v>
      </c>
      <c r="AS6394" t="s">
        <v>65</v>
      </c>
      <c r="AT6394">
        <v>1</v>
      </c>
      <c r="AU6394" t="s">
        <v>87</v>
      </c>
      <c r="AV6394" t="s">
        <v>88</v>
      </c>
      <c r="AW6394" t="s">
        <v>60</v>
      </c>
      <c r="AX6394" t="s">
        <v>68</v>
      </c>
      <c r="AY6394" t="s">
        <v>69</v>
      </c>
      <c r="AZ6394" t="b">
        <v>1</v>
      </c>
    </row>
    <row r="6395" spans="1:52" x14ac:dyDescent="0.3">
      <c r="A6395" t="s">
        <v>52</v>
      </c>
      <c r="B6395" t="s">
        <v>53</v>
      </c>
      <c r="C6395" t="s">
        <v>54</v>
      </c>
      <c r="D6395" t="s">
        <v>55</v>
      </c>
      <c r="E6395" t="s">
        <v>2295</v>
      </c>
      <c r="F6395" t="s">
        <v>1247</v>
      </c>
      <c r="G6395" t="s">
        <v>89</v>
      </c>
      <c r="H6395" t="s">
        <v>90</v>
      </c>
      <c r="I6395" t="s">
        <v>90</v>
      </c>
      <c r="J6395" t="s">
        <v>60</v>
      </c>
      <c r="K6395" t="s">
        <v>72</v>
      </c>
      <c r="L6395" t="s">
        <v>62</v>
      </c>
      <c r="M6395" t="s">
        <v>72</v>
      </c>
      <c r="N6395" t="s">
        <v>91</v>
      </c>
      <c r="O6395" t="s">
        <v>92</v>
      </c>
      <c r="P6395">
        <v>-20.145848999999998</v>
      </c>
      <c r="Q6395">
        <v>-44.908419000000002</v>
      </c>
      <c r="R6395" s="2" t="str">
        <f>HYPERLINK("https://www.google.com/maps?q=-20.1458490,-44.9084190","Abrir no Google Maps")</f>
        <v>Abrir no Google Maps</v>
      </c>
      <c r="S6395">
        <v>4</v>
      </c>
      <c r="T6395">
        <v>0</v>
      </c>
      <c r="U6395">
        <v>4</v>
      </c>
      <c r="V6395">
        <v>0.47306813712141838</v>
      </c>
      <c r="W6395">
        <v>1</v>
      </c>
      <c r="X6395">
        <v>0.47306813712141838</v>
      </c>
      <c r="Y6395">
        <v>747</v>
      </c>
      <c r="Z6395">
        <v>136.08168502765241</v>
      </c>
      <c r="AA6395">
        <v>198</v>
      </c>
      <c r="AB6395">
        <v>332</v>
      </c>
      <c r="AC6395">
        <v>536</v>
      </c>
      <c r="AD6395">
        <v>29.58</v>
      </c>
      <c r="AE6395">
        <v>542</v>
      </c>
      <c r="AF6395">
        <v>30</v>
      </c>
      <c r="AG6395">
        <v>169</v>
      </c>
      <c r="AH6395">
        <v>129</v>
      </c>
      <c r="AI6395">
        <v>5.54</v>
      </c>
      <c r="AJ6395">
        <v>31.18</v>
      </c>
      <c r="AK6395">
        <v>23.8</v>
      </c>
      <c r="AL6395">
        <v>-20.14576979999995</v>
      </c>
      <c r="AM6395">
        <v>-44.908436775053183</v>
      </c>
      <c r="AN6395">
        <v>-20.14576979999995</v>
      </c>
      <c r="AO6395">
        <v>-44.908436775053183</v>
      </c>
      <c r="AP6395">
        <v>-20.145848999999998</v>
      </c>
      <c r="AQ6395">
        <v>-44.908419000000002</v>
      </c>
      <c r="AR6395">
        <v>9.0101247482327356</v>
      </c>
      <c r="AS6395" t="s">
        <v>65</v>
      </c>
      <c r="AT6395">
        <v>1</v>
      </c>
      <c r="AU6395" t="s">
        <v>93</v>
      </c>
      <c r="AV6395" t="s">
        <v>94</v>
      </c>
      <c r="AW6395" t="s">
        <v>60</v>
      </c>
      <c r="AX6395" t="s">
        <v>68</v>
      </c>
      <c r="AY6395" t="s">
        <v>69</v>
      </c>
      <c r="AZ6395" t="b">
        <v>1</v>
      </c>
    </row>
    <row r="6396" spans="1:52" x14ac:dyDescent="0.3">
      <c r="A6396" t="s">
        <v>52</v>
      </c>
      <c r="B6396" t="s">
        <v>53</v>
      </c>
      <c r="C6396" t="s">
        <v>54</v>
      </c>
      <c r="D6396" t="s">
        <v>55</v>
      </c>
      <c r="E6396" t="s">
        <v>2295</v>
      </c>
      <c r="F6396" t="s">
        <v>1247</v>
      </c>
      <c r="G6396" t="s">
        <v>100</v>
      </c>
      <c r="H6396" t="s">
        <v>101</v>
      </c>
      <c r="I6396" t="s">
        <v>101</v>
      </c>
      <c r="J6396" t="s">
        <v>60</v>
      </c>
      <c r="K6396" t="s">
        <v>61</v>
      </c>
      <c r="L6396" t="s">
        <v>62</v>
      </c>
      <c r="M6396" t="s">
        <v>61</v>
      </c>
      <c r="N6396" t="s">
        <v>102</v>
      </c>
      <c r="O6396" t="s">
        <v>103</v>
      </c>
      <c r="P6396">
        <v>-20.151098999999999</v>
      </c>
      <c r="Q6396">
        <v>-44.909699000000003</v>
      </c>
      <c r="R6396" s="2" t="str">
        <f>HYPERLINK("https://www.google.com/maps?q=-20.1510990,-44.9096990","Abrir no Google Maps")</f>
        <v>Abrir no Google Maps</v>
      </c>
      <c r="S6396">
        <v>4</v>
      </c>
      <c r="T6396">
        <v>628.5023128813533</v>
      </c>
      <c r="U6396">
        <v>4</v>
      </c>
      <c r="V6396">
        <v>0.47299107142857139</v>
      </c>
      <c r="W6396">
        <v>1</v>
      </c>
      <c r="X6396">
        <v>0.47299107142857139</v>
      </c>
      <c r="Y6396">
        <v>747</v>
      </c>
      <c r="Z6396">
        <v>563.16456625265948</v>
      </c>
      <c r="AA6396">
        <v>198</v>
      </c>
      <c r="AB6396">
        <v>332</v>
      </c>
      <c r="AC6396">
        <v>536</v>
      </c>
      <c r="AD6396">
        <v>29.58</v>
      </c>
      <c r="AE6396">
        <v>542</v>
      </c>
      <c r="AF6396">
        <v>30</v>
      </c>
      <c r="AG6396">
        <v>169</v>
      </c>
      <c r="AH6396">
        <v>129</v>
      </c>
      <c r="AI6396">
        <v>5.54</v>
      </c>
      <c r="AJ6396">
        <v>31.18</v>
      </c>
      <c r="AK6396">
        <v>23.8</v>
      </c>
      <c r="AL6396">
        <v>-20.151307349999971</v>
      </c>
      <c r="AM6396">
        <v>-44.909772836123523</v>
      </c>
      <c r="AN6396">
        <v>-20.151307349999971</v>
      </c>
      <c r="AO6396">
        <v>-44.909772836123523</v>
      </c>
      <c r="AP6396">
        <v>-20.151098999999999</v>
      </c>
      <c r="AQ6396">
        <v>-44.909699000000003</v>
      </c>
      <c r="AR6396">
        <v>24.443417349564811</v>
      </c>
      <c r="AS6396" t="s">
        <v>65</v>
      </c>
      <c r="AT6396">
        <v>1</v>
      </c>
      <c r="AU6396" t="s">
        <v>104</v>
      </c>
      <c r="AV6396" t="s">
        <v>105</v>
      </c>
      <c r="AW6396" t="s">
        <v>60</v>
      </c>
      <c r="AX6396" t="s">
        <v>68</v>
      </c>
      <c r="AY6396" t="s">
        <v>69</v>
      </c>
      <c r="AZ6396" t="b">
        <v>1</v>
      </c>
    </row>
    <row r="6397" spans="1:52" x14ac:dyDescent="0.3">
      <c r="A6397" t="s">
        <v>52</v>
      </c>
      <c r="B6397" t="s">
        <v>53</v>
      </c>
      <c r="C6397" t="s">
        <v>54</v>
      </c>
      <c r="D6397" t="s">
        <v>55</v>
      </c>
      <c r="E6397" t="s">
        <v>2295</v>
      </c>
      <c r="F6397" t="s">
        <v>1247</v>
      </c>
      <c r="G6397" t="s">
        <v>70</v>
      </c>
      <c r="H6397" t="s">
        <v>71</v>
      </c>
      <c r="I6397" t="s">
        <v>71</v>
      </c>
      <c r="J6397" t="s">
        <v>60</v>
      </c>
      <c r="K6397" t="s">
        <v>72</v>
      </c>
      <c r="L6397" t="s">
        <v>62</v>
      </c>
      <c r="M6397" t="s">
        <v>72</v>
      </c>
      <c r="N6397" t="s">
        <v>73</v>
      </c>
      <c r="O6397" t="s">
        <v>74</v>
      </c>
      <c r="P6397">
        <v>-20.149349000000001</v>
      </c>
      <c r="Q6397">
        <v>-44.910784</v>
      </c>
      <c r="R6397" s="2" t="str">
        <f>HYPERLINK("https://www.google.com/maps?q=-20.1493490,-44.9107840","Abrir no Google Maps")</f>
        <v>Abrir no Google Maps</v>
      </c>
      <c r="S6397">
        <v>4</v>
      </c>
      <c r="T6397">
        <v>472.43876549769578</v>
      </c>
      <c r="U6397">
        <v>3</v>
      </c>
      <c r="V6397">
        <v>0.44985465116279072</v>
      </c>
      <c r="W6397">
        <v>1</v>
      </c>
      <c r="X6397">
        <v>0.44985465116279072</v>
      </c>
      <c r="Y6397">
        <v>747</v>
      </c>
      <c r="Z6397">
        <v>441.03921887407779</v>
      </c>
      <c r="AA6397">
        <v>198</v>
      </c>
      <c r="AB6397">
        <v>332</v>
      </c>
      <c r="AC6397">
        <v>536</v>
      </c>
      <c r="AD6397">
        <v>29.58</v>
      </c>
      <c r="AE6397">
        <v>542</v>
      </c>
      <c r="AF6397">
        <v>30</v>
      </c>
      <c r="AG6397">
        <v>169</v>
      </c>
      <c r="AH6397">
        <v>129</v>
      </c>
      <c r="AI6397">
        <v>5.54</v>
      </c>
      <c r="AJ6397">
        <v>31.18</v>
      </c>
      <c r="AK6397">
        <v>23.8</v>
      </c>
      <c r="AL6397">
        <v>-20.149403999999951</v>
      </c>
      <c r="AM6397">
        <v>-44.91080895147438</v>
      </c>
      <c r="AN6397">
        <v>-20.149403999999951</v>
      </c>
      <c r="AO6397">
        <v>-44.91080895147438</v>
      </c>
      <c r="AP6397">
        <v>-20.149349000000001</v>
      </c>
      <c r="AQ6397">
        <v>-44.910784</v>
      </c>
      <c r="AR6397">
        <v>6.6547592699416382</v>
      </c>
      <c r="AS6397" t="s">
        <v>65</v>
      </c>
      <c r="AT6397">
        <v>1</v>
      </c>
      <c r="AU6397" t="s">
        <v>75</v>
      </c>
      <c r="AV6397" t="s">
        <v>76</v>
      </c>
      <c r="AW6397" t="s">
        <v>60</v>
      </c>
      <c r="AX6397" t="s">
        <v>68</v>
      </c>
      <c r="AY6397" t="s">
        <v>69</v>
      </c>
      <c r="AZ6397" t="b">
        <v>1</v>
      </c>
    </row>
    <row r="6398" spans="1:52" x14ac:dyDescent="0.3">
      <c r="A6398" t="s">
        <v>52</v>
      </c>
      <c r="B6398" t="s">
        <v>53</v>
      </c>
      <c r="C6398" t="s">
        <v>54</v>
      </c>
      <c r="D6398" t="s">
        <v>55</v>
      </c>
      <c r="E6398" t="s">
        <v>2295</v>
      </c>
      <c r="F6398" t="s">
        <v>1247</v>
      </c>
      <c r="G6398" t="s">
        <v>77</v>
      </c>
      <c r="H6398" t="s">
        <v>78</v>
      </c>
      <c r="I6398" t="s">
        <v>78</v>
      </c>
      <c r="J6398" t="s">
        <v>60</v>
      </c>
      <c r="K6398" t="s">
        <v>72</v>
      </c>
      <c r="L6398" t="s">
        <v>62</v>
      </c>
      <c r="M6398" t="s">
        <v>72</v>
      </c>
      <c r="N6398" t="s">
        <v>79</v>
      </c>
      <c r="O6398" t="s">
        <v>80</v>
      </c>
      <c r="P6398">
        <v>-20.147821</v>
      </c>
      <c r="Q6398">
        <v>-44.908887</v>
      </c>
      <c r="R6398" s="2" t="str">
        <f>HYPERLINK("https://www.google.com/maps?q=-20.1478210,-44.9088870","Abrir no Google Maps")</f>
        <v>Abrir no Google Maps</v>
      </c>
      <c r="S6398">
        <v>4</v>
      </c>
      <c r="T6398">
        <v>232.2893841532152</v>
      </c>
      <c r="U6398">
        <v>3</v>
      </c>
      <c r="V6398">
        <v>0.46062679407022927</v>
      </c>
      <c r="W6398">
        <v>1</v>
      </c>
      <c r="X6398">
        <v>0.46062679407022927</v>
      </c>
      <c r="Y6398">
        <v>747</v>
      </c>
      <c r="Z6398">
        <v>195.3668648953757</v>
      </c>
      <c r="AA6398">
        <v>198</v>
      </c>
      <c r="AB6398">
        <v>332</v>
      </c>
      <c r="AC6398">
        <v>536</v>
      </c>
      <c r="AD6398">
        <v>29.58</v>
      </c>
      <c r="AE6398">
        <v>542</v>
      </c>
      <c r="AF6398">
        <v>30</v>
      </c>
      <c r="AG6398">
        <v>169</v>
      </c>
      <c r="AH6398">
        <v>129</v>
      </c>
      <c r="AI6398">
        <v>5.54</v>
      </c>
      <c r="AJ6398">
        <v>31.18</v>
      </c>
      <c r="AK6398">
        <v>23.8</v>
      </c>
      <c r="AL6398">
        <v>-20.147802849999952</v>
      </c>
      <c r="AM6398">
        <v>-44.908989919229477</v>
      </c>
      <c r="AN6398">
        <v>-20.147802849999952</v>
      </c>
      <c r="AO6398">
        <v>-44.908989919229491</v>
      </c>
      <c r="AP6398">
        <v>-20.147821</v>
      </c>
      <c r="AQ6398">
        <v>-44.908887</v>
      </c>
      <c r="AR6398">
        <v>10.944007761262529</v>
      </c>
      <c r="AS6398" t="s">
        <v>65</v>
      </c>
      <c r="AT6398">
        <v>1</v>
      </c>
      <c r="AU6398" t="s">
        <v>81</v>
      </c>
      <c r="AV6398" t="s">
        <v>82</v>
      </c>
      <c r="AW6398" t="s">
        <v>60</v>
      </c>
      <c r="AX6398" t="s">
        <v>68</v>
      </c>
      <c r="AY6398" t="s">
        <v>69</v>
      </c>
      <c r="AZ6398" t="b">
        <v>1</v>
      </c>
    </row>
    <row r="6399" spans="1:52" x14ac:dyDescent="0.3">
      <c r="A6399" t="s">
        <v>52</v>
      </c>
      <c r="B6399" t="s">
        <v>53</v>
      </c>
      <c r="C6399" t="s">
        <v>54</v>
      </c>
      <c r="D6399" t="s">
        <v>55</v>
      </c>
      <c r="E6399" t="s">
        <v>2295</v>
      </c>
      <c r="F6399" t="s">
        <v>1247</v>
      </c>
      <c r="G6399" t="s">
        <v>95</v>
      </c>
      <c r="H6399" t="s">
        <v>96</v>
      </c>
      <c r="I6399" t="s">
        <v>96</v>
      </c>
      <c r="J6399" t="s">
        <v>60</v>
      </c>
      <c r="K6399" t="s">
        <v>72</v>
      </c>
      <c r="L6399" t="s">
        <v>62</v>
      </c>
      <c r="M6399" t="s">
        <v>72</v>
      </c>
      <c r="N6399" t="s">
        <v>97</v>
      </c>
      <c r="O6399" t="s">
        <v>98</v>
      </c>
      <c r="P6399">
        <v>-20.144062999999999</v>
      </c>
      <c r="Q6399">
        <v>-44.909627999999998</v>
      </c>
      <c r="R6399" s="2" t="str">
        <f>HYPERLINK("https://www.google.com/maps?q=-20.1440630,-44.9096280","Abrir no Google Maps")</f>
        <v>Abrir no Google Maps</v>
      </c>
      <c r="S6399">
        <v>4</v>
      </c>
      <c r="T6399">
        <v>205.27083326529291</v>
      </c>
      <c r="U6399">
        <v>3</v>
      </c>
      <c r="V6399">
        <v>0.4600474314995977</v>
      </c>
      <c r="W6399">
        <v>1</v>
      </c>
      <c r="X6399">
        <v>0.4600474314995977</v>
      </c>
      <c r="Y6399">
        <v>747</v>
      </c>
      <c r="Z6399">
        <v>336.75785483480968</v>
      </c>
      <c r="AA6399">
        <v>198</v>
      </c>
      <c r="AB6399">
        <v>332</v>
      </c>
      <c r="AC6399">
        <v>536</v>
      </c>
      <c r="AD6399">
        <v>29.58</v>
      </c>
      <c r="AE6399">
        <v>542</v>
      </c>
      <c r="AF6399">
        <v>30</v>
      </c>
      <c r="AG6399">
        <v>169</v>
      </c>
      <c r="AH6399">
        <v>129</v>
      </c>
      <c r="AI6399">
        <v>5.54</v>
      </c>
      <c r="AJ6399">
        <v>31.18</v>
      </c>
      <c r="AK6399">
        <v>23.8</v>
      </c>
      <c r="AL6399">
        <v>-20.144164099999951</v>
      </c>
      <c r="AM6399">
        <v>-44.909420167767642</v>
      </c>
      <c r="AN6399">
        <v>-20.144164099999951</v>
      </c>
      <c r="AO6399">
        <v>-44.909420167767642</v>
      </c>
      <c r="AP6399">
        <v>-20.144062999999999</v>
      </c>
      <c r="AQ6399">
        <v>-44.909627999999998</v>
      </c>
      <c r="AR6399">
        <v>24.46321571724976</v>
      </c>
      <c r="AS6399" t="s">
        <v>65</v>
      </c>
      <c r="AT6399">
        <v>1</v>
      </c>
      <c r="AU6399" t="s">
        <v>99</v>
      </c>
      <c r="AV6399" t="s">
        <v>94</v>
      </c>
      <c r="AW6399" t="s">
        <v>60</v>
      </c>
      <c r="AX6399" t="s">
        <v>68</v>
      </c>
      <c r="AY6399" t="s">
        <v>69</v>
      </c>
      <c r="AZ6399" t="b">
        <v>1</v>
      </c>
    </row>
    <row r="6400" spans="1:52" x14ac:dyDescent="0.3">
      <c r="A6400" t="s">
        <v>52</v>
      </c>
      <c r="B6400" t="s">
        <v>53</v>
      </c>
      <c r="C6400" t="s">
        <v>54</v>
      </c>
      <c r="D6400" t="s">
        <v>55</v>
      </c>
      <c r="E6400" t="s">
        <v>2295</v>
      </c>
      <c r="F6400" t="s">
        <v>1247</v>
      </c>
      <c r="G6400" t="s">
        <v>115</v>
      </c>
      <c r="H6400" t="s">
        <v>116</v>
      </c>
      <c r="I6400" t="s">
        <v>116</v>
      </c>
      <c r="J6400" t="s">
        <v>60</v>
      </c>
      <c r="K6400" t="s">
        <v>117</v>
      </c>
      <c r="L6400" t="s">
        <v>62</v>
      </c>
      <c r="M6400" t="s">
        <v>117</v>
      </c>
      <c r="N6400" t="s">
        <v>118</v>
      </c>
      <c r="O6400" t="s">
        <v>119</v>
      </c>
      <c r="P6400">
        <v>-20.116992</v>
      </c>
      <c r="Q6400">
        <v>-44.899355</v>
      </c>
      <c r="R6400" s="2" t="str">
        <f>HYPERLINK("https://www.google.com/maps?q=-20.1169920,-44.8993550","Abrir no Google Maps")</f>
        <v>Abrir no Google Maps</v>
      </c>
      <c r="S6400">
        <v>4</v>
      </c>
      <c r="T6400">
        <v>0</v>
      </c>
      <c r="U6400">
        <v>3</v>
      </c>
      <c r="V6400">
        <v>0.4600647756037079</v>
      </c>
      <c r="W6400">
        <v>1</v>
      </c>
      <c r="X6400">
        <v>0.4600647756037079</v>
      </c>
      <c r="Y6400">
        <v>567</v>
      </c>
      <c r="Z6400">
        <v>54.913678078353321</v>
      </c>
      <c r="AA6400">
        <v>198</v>
      </c>
      <c r="AB6400">
        <v>332</v>
      </c>
      <c r="AC6400">
        <v>536</v>
      </c>
      <c r="AD6400">
        <v>29.58</v>
      </c>
      <c r="AE6400">
        <v>542</v>
      </c>
      <c r="AF6400">
        <v>30</v>
      </c>
      <c r="AG6400">
        <v>169</v>
      </c>
      <c r="AH6400">
        <v>129</v>
      </c>
      <c r="AI6400">
        <v>5.54</v>
      </c>
      <c r="AJ6400">
        <v>31.18</v>
      </c>
      <c r="AK6400">
        <v>23.8</v>
      </c>
      <c r="AL6400">
        <v>-20.117107749999949</v>
      </c>
      <c r="AM6400">
        <v>-44.899271226243108</v>
      </c>
      <c r="AN6400">
        <v>-20.117107749999949</v>
      </c>
      <c r="AO6400">
        <v>-44.899271226243108</v>
      </c>
      <c r="AP6400">
        <v>-20.116992</v>
      </c>
      <c r="AQ6400">
        <v>-44.899355</v>
      </c>
      <c r="AR6400">
        <v>15.579196044083419</v>
      </c>
      <c r="AS6400" t="s">
        <v>65</v>
      </c>
      <c r="AT6400">
        <v>1</v>
      </c>
      <c r="AU6400" t="s">
        <v>120</v>
      </c>
      <c r="AV6400" t="s">
        <v>121</v>
      </c>
      <c r="AW6400" t="s">
        <v>60</v>
      </c>
      <c r="AX6400" t="s">
        <v>68</v>
      </c>
      <c r="AY6400" t="s">
        <v>69</v>
      </c>
      <c r="AZ6400" t="b">
        <v>1</v>
      </c>
    </row>
    <row r="6401" spans="1:52" x14ac:dyDescent="0.3">
      <c r="A6401" t="s">
        <v>52</v>
      </c>
      <c r="B6401" t="s">
        <v>53</v>
      </c>
      <c r="C6401" t="s">
        <v>54</v>
      </c>
      <c r="D6401" t="s">
        <v>55</v>
      </c>
      <c r="E6401" t="s">
        <v>2295</v>
      </c>
      <c r="F6401" t="s">
        <v>1247</v>
      </c>
      <c r="G6401" t="s">
        <v>1248</v>
      </c>
      <c r="H6401" t="s">
        <v>1249</v>
      </c>
      <c r="I6401" t="s">
        <v>1249</v>
      </c>
      <c r="J6401" t="s">
        <v>60</v>
      </c>
      <c r="K6401" t="s">
        <v>61</v>
      </c>
      <c r="L6401" t="s">
        <v>62</v>
      </c>
      <c r="M6401" t="s">
        <v>61</v>
      </c>
      <c r="N6401" t="s">
        <v>1250</v>
      </c>
      <c r="O6401" t="s">
        <v>202</v>
      </c>
      <c r="P6401">
        <v>-20.145337999999999</v>
      </c>
      <c r="Q6401">
        <v>-44.906260000000003</v>
      </c>
      <c r="R6401" s="2" t="str">
        <f>HYPERLINK("https://www.google.com/maps?q=-20.1453380,-44.9062600","Abrir no Google Maps")</f>
        <v>Abrir no Google Maps</v>
      </c>
      <c r="S6401">
        <v>4</v>
      </c>
      <c r="T6401">
        <v>231.8105263092443</v>
      </c>
      <c r="U6401">
        <v>2</v>
      </c>
      <c r="V6401">
        <v>0.47234865169089219</v>
      </c>
      <c r="W6401">
        <v>0.85</v>
      </c>
      <c r="X6401">
        <v>0.40149635393725841</v>
      </c>
      <c r="Y6401">
        <v>747</v>
      </c>
      <c r="Z6401">
        <v>210.09098260239841</v>
      </c>
      <c r="AA6401">
        <v>198</v>
      </c>
      <c r="AB6401">
        <v>332</v>
      </c>
      <c r="AC6401">
        <v>536</v>
      </c>
      <c r="AD6401">
        <v>29.58</v>
      </c>
      <c r="AE6401">
        <v>542</v>
      </c>
      <c r="AF6401">
        <v>30</v>
      </c>
      <c r="AG6401">
        <v>169</v>
      </c>
      <c r="AH6401">
        <v>129</v>
      </c>
      <c r="AI6401">
        <v>5.54</v>
      </c>
      <c r="AJ6401">
        <v>31.18</v>
      </c>
      <c r="AK6401">
        <v>23.8</v>
      </c>
      <c r="AL6401">
        <v>-20.14545934999995</v>
      </c>
      <c r="AM6401">
        <v>-44.906243174283489</v>
      </c>
      <c r="AN6401">
        <v>-20.14545934999995</v>
      </c>
      <c r="AO6401">
        <v>-44.906243174283489</v>
      </c>
      <c r="AP6401">
        <v>-20.145337999999999</v>
      </c>
      <c r="AQ6401">
        <v>-44.906260000000003</v>
      </c>
      <c r="AR6401">
        <v>13.622651392262521</v>
      </c>
      <c r="AS6401" t="s">
        <v>65</v>
      </c>
      <c r="AT6401">
        <v>1</v>
      </c>
      <c r="AU6401" t="s">
        <v>1251</v>
      </c>
      <c r="AV6401" t="s">
        <v>1252</v>
      </c>
      <c r="AW6401" t="s">
        <v>60</v>
      </c>
      <c r="AX6401" t="s">
        <v>68</v>
      </c>
      <c r="AY6401" t="s">
        <v>69</v>
      </c>
      <c r="AZ6401" t="b">
        <v>1</v>
      </c>
    </row>
    <row r="6402" spans="1:52" x14ac:dyDescent="0.3">
      <c r="A6402" t="s">
        <v>52</v>
      </c>
      <c r="B6402" t="s">
        <v>53</v>
      </c>
      <c r="C6402" t="s">
        <v>54</v>
      </c>
      <c r="D6402" t="s">
        <v>55</v>
      </c>
      <c r="E6402" t="s">
        <v>2295</v>
      </c>
      <c r="F6402" t="s">
        <v>1247</v>
      </c>
      <c r="G6402" t="s">
        <v>83</v>
      </c>
      <c r="H6402" t="s">
        <v>1253</v>
      </c>
      <c r="I6402" t="s">
        <v>1253</v>
      </c>
      <c r="J6402" t="s">
        <v>60</v>
      </c>
      <c r="K6402" t="s">
        <v>72</v>
      </c>
      <c r="L6402" t="s">
        <v>62</v>
      </c>
      <c r="M6402" t="s">
        <v>72</v>
      </c>
      <c r="N6402" t="s">
        <v>1254</v>
      </c>
      <c r="O6402" t="s">
        <v>1255</v>
      </c>
      <c r="P6402">
        <v>-20.147164</v>
      </c>
      <c r="Q6402">
        <v>-44.905259000000001</v>
      </c>
      <c r="R6402" s="2" t="str">
        <f>HYPERLINK("https://www.google.com/maps?q=-20.1471640,-44.9052590","Abrir no Google Maps")</f>
        <v>Abrir no Google Maps</v>
      </c>
      <c r="S6402">
        <v>4</v>
      </c>
      <c r="T6402">
        <v>364.08569180502712</v>
      </c>
      <c r="U6402">
        <v>2</v>
      </c>
      <c r="V6402">
        <v>0.46368202037595058</v>
      </c>
      <c r="W6402">
        <v>0.85</v>
      </c>
      <c r="X6402">
        <v>0.39412971731955798</v>
      </c>
      <c r="Y6402">
        <v>747</v>
      </c>
      <c r="Z6402">
        <v>309.89238988435022</v>
      </c>
      <c r="AA6402">
        <v>198</v>
      </c>
      <c r="AB6402">
        <v>332</v>
      </c>
      <c r="AC6402">
        <v>536</v>
      </c>
      <c r="AD6402">
        <v>29.58</v>
      </c>
      <c r="AE6402">
        <v>542</v>
      </c>
      <c r="AF6402">
        <v>30</v>
      </c>
      <c r="AG6402">
        <v>169</v>
      </c>
      <c r="AH6402">
        <v>129</v>
      </c>
      <c r="AI6402">
        <v>5.54</v>
      </c>
      <c r="AJ6402">
        <v>31.18</v>
      </c>
      <c r="AK6402">
        <v>23.8</v>
      </c>
      <c r="AL6402">
        <v>-20.14718674999995</v>
      </c>
      <c r="AM6402">
        <v>-44.905292621565764</v>
      </c>
      <c r="AN6402">
        <v>-20.147186749999939</v>
      </c>
      <c r="AO6402">
        <v>-44.905292621565764</v>
      </c>
      <c r="AP6402">
        <v>-20.147164</v>
      </c>
      <c r="AQ6402">
        <v>-44.905259000000001</v>
      </c>
      <c r="AR6402">
        <v>4.3312880650984971</v>
      </c>
      <c r="AS6402" t="s">
        <v>65</v>
      </c>
      <c r="AT6402">
        <v>1</v>
      </c>
      <c r="AU6402" t="s">
        <v>1256</v>
      </c>
      <c r="AV6402" t="s">
        <v>1257</v>
      </c>
      <c r="AW6402" t="s">
        <v>60</v>
      </c>
      <c r="AX6402" t="s">
        <v>68</v>
      </c>
      <c r="AY6402" t="s">
        <v>69</v>
      </c>
      <c r="AZ6402" t="b">
        <v>1</v>
      </c>
    </row>
    <row r="6403" spans="1:52" x14ac:dyDescent="0.3">
      <c r="A6403" t="s">
        <v>52</v>
      </c>
      <c r="B6403" t="s">
        <v>53</v>
      </c>
      <c r="C6403" t="s">
        <v>54</v>
      </c>
      <c r="D6403" t="s">
        <v>55</v>
      </c>
      <c r="E6403" t="s">
        <v>2295</v>
      </c>
      <c r="F6403" t="s">
        <v>1247</v>
      </c>
      <c r="G6403" t="s">
        <v>100</v>
      </c>
      <c r="H6403" t="s">
        <v>106</v>
      </c>
      <c r="I6403" t="s">
        <v>106</v>
      </c>
      <c r="J6403" t="s">
        <v>60</v>
      </c>
      <c r="K6403" t="s">
        <v>61</v>
      </c>
      <c r="L6403" t="s">
        <v>62</v>
      </c>
      <c r="M6403" t="s">
        <v>61</v>
      </c>
      <c r="N6403" t="s">
        <v>102</v>
      </c>
      <c r="O6403" t="s">
        <v>103</v>
      </c>
      <c r="P6403">
        <v>-20.151107</v>
      </c>
      <c r="Q6403">
        <v>-44.908918</v>
      </c>
      <c r="R6403" s="2" t="str">
        <f>HYPERLINK("https://www.google.com/maps?q=-20.1511070,-44.9089180","Abrir no Google Maps")</f>
        <v>Abrir no Google Maps</v>
      </c>
      <c r="S6403">
        <v>4</v>
      </c>
      <c r="T6403">
        <v>615.86400245321579</v>
      </c>
      <c r="U6403">
        <v>2</v>
      </c>
      <c r="V6403">
        <v>0.48004282979231039</v>
      </c>
      <c r="W6403">
        <v>0.85</v>
      </c>
      <c r="X6403">
        <v>0.4080364053234638</v>
      </c>
      <c r="Y6403">
        <v>747</v>
      </c>
      <c r="Z6403">
        <v>535.34543763764702</v>
      </c>
      <c r="AA6403">
        <v>198</v>
      </c>
      <c r="AB6403">
        <v>332</v>
      </c>
      <c r="AC6403">
        <v>536</v>
      </c>
      <c r="AD6403">
        <v>29.58</v>
      </c>
      <c r="AE6403">
        <v>542</v>
      </c>
      <c r="AF6403">
        <v>30</v>
      </c>
      <c r="AG6403">
        <v>169</v>
      </c>
      <c r="AH6403">
        <v>129</v>
      </c>
      <c r="AI6403">
        <v>5.54</v>
      </c>
      <c r="AJ6403">
        <v>31.18</v>
      </c>
      <c r="AK6403">
        <v>23.8</v>
      </c>
      <c r="AL6403">
        <v>-20.151307349999971</v>
      </c>
      <c r="AM6403">
        <v>-44.909024234051429</v>
      </c>
      <c r="AN6403">
        <v>-20.151307349999971</v>
      </c>
      <c r="AO6403">
        <v>-44.909024234051429</v>
      </c>
      <c r="AP6403">
        <v>-20.151107</v>
      </c>
      <c r="AQ6403">
        <v>-44.908918</v>
      </c>
      <c r="AR6403">
        <v>24.91340747371116</v>
      </c>
      <c r="AS6403" t="s">
        <v>65</v>
      </c>
      <c r="AT6403">
        <v>1</v>
      </c>
      <c r="AU6403" t="s">
        <v>107</v>
      </c>
      <c r="AV6403" t="s">
        <v>105</v>
      </c>
      <c r="AW6403" t="s">
        <v>60</v>
      </c>
      <c r="AX6403" t="s">
        <v>68</v>
      </c>
      <c r="AY6403" t="s">
        <v>69</v>
      </c>
      <c r="AZ6403" t="b">
        <v>1</v>
      </c>
    </row>
    <row r="6404" spans="1:52" x14ac:dyDescent="0.3">
      <c r="A6404" t="s">
        <v>52</v>
      </c>
      <c r="B6404" t="s">
        <v>53</v>
      </c>
      <c r="C6404" t="s">
        <v>54</v>
      </c>
      <c r="D6404" t="s">
        <v>55</v>
      </c>
      <c r="E6404" t="s">
        <v>2295</v>
      </c>
      <c r="F6404" t="s">
        <v>1247</v>
      </c>
      <c r="G6404" t="s">
        <v>205</v>
      </c>
      <c r="H6404" t="s">
        <v>206</v>
      </c>
      <c r="I6404" t="s">
        <v>206</v>
      </c>
      <c r="J6404" t="s">
        <v>60</v>
      </c>
      <c r="K6404" t="s">
        <v>207</v>
      </c>
      <c r="L6404" t="s">
        <v>62</v>
      </c>
      <c r="M6404" t="s">
        <v>207</v>
      </c>
      <c r="N6404" t="s">
        <v>208</v>
      </c>
      <c r="O6404" t="s">
        <v>209</v>
      </c>
      <c r="P6404">
        <v>-20.117533999999999</v>
      </c>
      <c r="Q6404">
        <v>-44.892943000000002</v>
      </c>
      <c r="R6404" s="2" t="str">
        <f>HYPERLINK("https://www.google.com/maps?q=-20.1175340,-44.8929430","Abrir no Google Maps")</f>
        <v>Abrir no Google Maps</v>
      </c>
      <c r="S6404">
        <v>4</v>
      </c>
      <c r="T6404">
        <v>601.98486688021592</v>
      </c>
      <c r="U6404">
        <v>2</v>
      </c>
      <c r="V6404">
        <v>0.46784045993532158</v>
      </c>
      <c r="W6404">
        <v>0.85</v>
      </c>
      <c r="X6404">
        <v>0.39766439094502332</v>
      </c>
      <c r="Y6404">
        <v>567</v>
      </c>
      <c r="Z6404">
        <v>574.59225706016446</v>
      </c>
      <c r="AA6404">
        <v>198</v>
      </c>
      <c r="AB6404">
        <v>332</v>
      </c>
      <c r="AC6404">
        <v>536</v>
      </c>
      <c r="AD6404">
        <v>29.58</v>
      </c>
      <c r="AE6404">
        <v>542</v>
      </c>
      <c r="AF6404">
        <v>30</v>
      </c>
      <c r="AG6404">
        <v>169</v>
      </c>
      <c r="AH6404">
        <v>129</v>
      </c>
      <c r="AI6404">
        <v>5.54</v>
      </c>
      <c r="AJ6404">
        <v>31.18</v>
      </c>
      <c r="AK6404">
        <v>23.8</v>
      </c>
      <c r="AL6404">
        <v>-20.11671494999996</v>
      </c>
      <c r="AM6404">
        <v>-44.89352717833448</v>
      </c>
      <c r="AN6404">
        <v>-20.11671494999996</v>
      </c>
      <c r="AO6404">
        <v>-44.89352717833448</v>
      </c>
      <c r="AP6404">
        <v>-20.117533999999999</v>
      </c>
      <c r="AQ6404">
        <v>-44.892943000000002</v>
      </c>
      <c r="AR6404">
        <v>109.7357164799156</v>
      </c>
      <c r="AS6404" t="s">
        <v>65</v>
      </c>
      <c r="AT6404">
        <v>1</v>
      </c>
      <c r="AU6404" t="s">
        <v>210</v>
      </c>
      <c r="AV6404" t="s">
        <v>211</v>
      </c>
      <c r="AW6404" t="s">
        <v>60</v>
      </c>
      <c r="AX6404" t="s">
        <v>68</v>
      </c>
      <c r="AY6404" t="s">
        <v>69</v>
      </c>
      <c r="AZ6404" t="b">
        <v>1</v>
      </c>
    </row>
    <row r="6405" spans="1:52" x14ac:dyDescent="0.3">
      <c r="A6405" t="s">
        <v>52</v>
      </c>
      <c r="B6405" t="s">
        <v>53</v>
      </c>
      <c r="C6405" t="s">
        <v>54</v>
      </c>
      <c r="D6405" t="s">
        <v>55</v>
      </c>
      <c r="E6405" t="s">
        <v>2295</v>
      </c>
      <c r="F6405" t="s">
        <v>1247</v>
      </c>
      <c r="G6405" t="s">
        <v>122</v>
      </c>
      <c r="H6405" t="s">
        <v>123</v>
      </c>
      <c r="I6405" t="s">
        <v>123</v>
      </c>
      <c r="J6405" t="s">
        <v>60</v>
      </c>
      <c r="K6405" t="s">
        <v>117</v>
      </c>
      <c r="L6405" t="s">
        <v>62</v>
      </c>
      <c r="M6405" t="s">
        <v>117</v>
      </c>
      <c r="N6405" t="s">
        <v>124</v>
      </c>
      <c r="O6405" t="s">
        <v>125</v>
      </c>
      <c r="P6405">
        <v>-20.11853</v>
      </c>
      <c r="Q6405">
        <v>-44.896925000000003</v>
      </c>
      <c r="R6405" s="2" t="str">
        <f>HYPERLINK("https://www.google.com/maps?q=-20.1185300,-44.8969250","Abrir no Google Maps")</f>
        <v>Abrir no Google Maps</v>
      </c>
      <c r="S6405">
        <v>4</v>
      </c>
      <c r="T6405">
        <v>325.32255721093247</v>
      </c>
      <c r="U6405">
        <v>2</v>
      </c>
      <c r="V6405">
        <v>0.423047033681273</v>
      </c>
      <c r="W6405">
        <v>1</v>
      </c>
      <c r="X6405">
        <v>0.423047033681273</v>
      </c>
      <c r="Y6405">
        <v>567</v>
      </c>
      <c r="Z6405">
        <v>306.04423478678871</v>
      </c>
      <c r="AA6405">
        <v>198</v>
      </c>
      <c r="AB6405">
        <v>332</v>
      </c>
      <c r="AC6405">
        <v>536</v>
      </c>
      <c r="AD6405">
        <v>29.58</v>
      </c>
      <c r="AE6405">
        <v>542</v>
      </c>
      <c r="AF6405">
        <v>30</v>
      </c>
      <c r="AG6405">
        <v>169</v>
      </c>
      <c r="AH6405">
        <v>129</v>
      </c>
      <c r="AI6405">
        <v>5.54</v>
      </c>
      <c r="AJ6405">
        <v>31.18</v>
      </c>
      <c r="AK6405">
        <v>23.8</v>
      </c>
      <c r="AL6405">
        <v>-20.118682499999949</v>
      </c>
      <c r="AM6405">
        <v>-44.896643089287927</v>
      </c>
      <c r="AN6405">
        <v>-20.118682499999949</v>
      </c>
      <c r="AO6405">
        <v>-44.896643089287927</v>
      </c>
      <c r="AP6405">
        <v>-20.11853</v>
      </c>
      <c r="AQ6405">
        <v>-44.896925000000003</v>
      </c>
      <c r="AR6405">
        <v>34.007698996886518</v>
      </c>
      <c r="AS6405" t="s">
        <v>65</v>
      </c>
      <c r="AT6405">
        <v>1</v>
      </c>
      <c r="AU6405" t="s">
        <v>126</v>
      </c>
      <c r="AV6405" t="s">
        <v>121</v>
      </c>
      <c r="AW6405" t="s">
        <v>60</v>
      </c>
      <c r="AX6405" t="s">
        <v>68</v>
      </c>
      <c r="AY6405" t="s">
        <v>69</v>
      </c>
      <c r="AZ6405" t="b">
        <v>1</v>
      </c>
    </row>
    <row r="6406" spans="1:52" x14ac:dyDescent="0.3">
      <c r="A6406" t="s">
        <v>52</v>
      </c>
      <c r="B6406" t="s">
        <v>53</v>
      </c>
      <c r="C6406" t="s">
        <v>54</v>
      </c>
      <c r="D6406" t="s">
        <v>55</v>
      </c>
      <c r="E6406" t="s">
        <v>2295</v>
      </c>
      <c r="F6406" t="s">
        <v>1247</v>
      </c>
      <c r="G6406" t="s">
        <v>108</v>
      </c>
      <c r="H6406" t="s">
        <v>109</v>
      </c>
      <c r="I6406" t="s">
        <v>109</v>
      </c>
      <c r="J6406" t="s">
        <v>60</v>
      </c>
      <c r="K6406" t="s">
        <v>110</v>
      </c>
      <c r="L6406" t="s">
        <v>62</v>
      </c>
      <c r="M6406" t="s">
        <v>110</v>
      </c>
      <c r="N6406" t="s">
        <v>111</v>
      </c>
      <c r="O6406" t="s">
        <v>112</v>
      </c>
      <c r="P6406">
        <v>-20.122233999999999</v>
      </c>
      <c r="Q6406">
        <v>-44.909194999999997</v>
      </c>
      <c r="R6406" s="2" t="str">
        <f>HYPERLINK("https://www.google.com/maps?q=-20.1222340,-44.9091950","Abrir no Google Maps")</f>
        <v>Abrir no Google Maps</v>
      </c>
      <c r="S6406">
        <v>4</v>
      </c>
      <c r="T6406">
        <v>1171.396020763932</v>
      </c>
      <c r="U6406">
        <v>1</v>
      </c>
      <c r="V6406">
        <v>0.45203206562266968</v>
      </c>
      <c r="W6406">
        <v>0.85</v>
      </c>
      <c r="X6406">
        <v>0.38422725577926919</v>
      </c>
      <c r="Y6406">
        <v>567</v>
      </c>
      <c r="Z6406">
        <v>1238.711234283244</v>
      </c>
      <c r="AA6406">
        <v>198</v>
      </c>
      <c r="AB6406">
        <v>332</v>
      </c>
      <c r="AC6406">
        <v>536</v>
      </c>
      <c r="AD6406">
        <v>29.58</v>
      </c>
      <c r="AE6406">
        <v>542</v>
      </c>
      <c r="AF6406">
        <v>30</v>
      </c>
      <c r="AG6406">
        <v>169</v>
      </c>
      <c r="AH6406">
        <v>129</v>
      </c>
      <c r="AI6406">
        <v>5.54</v>
      </c>
      <c r="AJ6406">
        <v>31.18</v>
      </c>
      <c r="AK6406">
        <v>23.8</v>
      </c>
      <c r="AL6406">
        <v>-20.121881249999941</v>
      </c>
      <c r="AM6406">
        <v>-44.909273766094323</v>
      </c>
      <c r="AN6406">
        <v>-20.121881249999941</v>
      </c>
      <c r="AO6406">
        <v>-44.909273766094323</v>
      </c>
      <c r="AP6406">
        <v>-20.122233999999999</v>
      </c>
      <c r="AQ6406">
        <v>-44.909194999999997</v>
      </c>
      <c r="AR6406">
        <v>40.12192930593006</v>
      </c>
      <c r="AS6406" t="s">
        <v>65</v>
      </c>
      <c r="AT6406">
        <v>1</v>
      </c>
      <c r="AU6406" t="s">
        <v>113</v>
      </c>
      <c r="AV6406" t="s">
        <v>114</v>
      </c>
      <c r="AW6406" t="s">
        <v>60</v>
      </c>
      <c r="AX6406" t="s">
        <v>68</v>
      </c>
      <c r="AY6406" t="s">
        <v>69</v>
      </c>
      <c r="AZ6406" t="b">
        <v>1</v>
      </c>
    </row>
    <row r="6407" spans="1:52" x14ac:dyDescent="0.3">
      <c r="A6407" t="s">
        <v>52</v>
      </c>
      <c r="B6407" t="s">
        <v>53</v>
      </c>
      <c r="C6407" t="s">
        <v>54</v>
      </c>
      <c r="D6407" t="s">
        <v>55</v>
      </c>
      <c r="E6407" t="s">
        <v>2295</v>
      </c>
      <c r="F6407" t="s">
        <v>1247</v>
      </c>
      <c r="G6407" t="s">
        <v>1258</v>
      </c>
      <c r="H6407" t="s">
        <v>1259</v>
      </c>
      <c r="I6407" t="s">
        <v>1259</v>
      </c>
      <c r="J6407" t="s">
        <v>60</v>
      </c>
      <c r="K6407" t="s">
        <v>905</v>
      </c>
      <c r="L6407" t="s">
        <v>62</v>
      </c>
      <c r="M6407" t="s">
        <v>905</v>
      </c>
      <c r="N6407" t="s">
        <v>1260</v>
      </c>
      <c r="O6407" t="s">
        <v>628</v>
      </c>
      <c r="P6407">
        <v>-20.113569999999999</v>
      </c>
      <c r="Q6407">
        <v>-44.897216</v>
      </c>
      <c r="R6407" s="2" t="str">
        <f>HYPERLINK("https://www.google.com/maps?q=-20.1135700,-44.8972160","Abrir no Google Maps")</f>
        <v>Abrir no Google Maps</v>
      </c>
      <c r="S6407">
        <v>4</v>
      </c>
      <c r="T6407">
        <v>418.54368277643368</v>
      </c>
      <c r="U6407">
        <v>1</v>
      </c>
      <c r="V6407">
        <v>0.40884438881935747</v>
      </c>
      <c r="W6407">
        <v>0.85</v>
      </c>
      <c r="X6407">
        <v>0.34751773049645379</v>
      </c>
      <c r="Y6407">
        <v>567</v>
      </c>
      <c r="Z6407">
        <v>315.02989622191018</v>
      </c>
      <c r="AA6407">
        <v>198</v>
      </c>
      <c r="AB6407">
        <v>332</v>
      </c>
      <c r="AC6407">
        <v>536</v>
      </c>
      <c r="AD6407">
        <v>29.58</v>
      </c>
      <c r="AE6407">
        <v>542</v>
      </c>
      <c r="AF6407">
        <v>30</v>
      </c>
      <c r="AG6407">
        <v>169</v>
      </c>
      <c r="AH6407">
        <v>129</v>
      </c>
      <c r="AI6407">
        <v>5.54</v>
      </c>
      <c r="AJ6407">
        <v>31.18</v>
      </c>
      <c r="AK6407">
        <v>23.8</v>
      </c>
      <c r="AL6407">
        <v>-20.113750149999959</v>
      </c>
      <c r="AM6407">
        <v>-44.897427949999937</v>
      </c>
      <c r="AN6407">
        <v>-20.113750149999959</v>
      </c>
      <c r="AO6407">
        <v>-44.897427949999937</v>
      </c>
      <c r="AP6407">
        <v>-20.113569999999999</v>
      </c>
      <c r="AQ6407">
        <v>-44.897216</v>
      </c>
      <c r="AR6407">
        <v>29.883644534822711</v>
      </c>
      <c r="AS6407" t="s">
        <v>65</v>
      </c>
      <c r="AT6407">
        <v>1</v>
      </c>
      <c r="AU6407" t="s">
        <v>1261</v>
      </c>
      <c r="AV6407" t="s">
        <v>1262</v>
      </c>
      <c r="AW6407" t="s">
        <v>60</v>
      </c>
      <c r="AX6407" t="s">
        <v>68</v>
      </c>
      <c r="AY6407" t="s">
        <v>69</v>
      </c>
      <c r="AZ6407" t="b">
        <v>1</v>
      </c>
    </row>
    <row r="6408" spans="1:52" x14ac:dyDescent="0.3">
      <c r="A6408" t="s">
        <v>52</v>
      </c>
      <c r="B6408" t="s">
        <v>53</v>
      </c>
      <c r="C6408" t="s">
        <v>54</v>
      </c>
      <c r="D6408" t="s">
        <v>55</v>
      </c>
      <c r="E6408" t="s">
        <v>2295</v>
      </c>
      <c r="F6408" t="s">
        <v>1247</v>
      </c>
      <c r="G6408" t="s">
        <v>198</v>
      </c>
      <c r="H6408" t="s">
        <v>199</v>
      </c>
      <c r="I6408" t="s">
        <v>199</v>
      </c>
      <c r="J6408" t="s">
        <v>60</v>
      </c>
      <c r="K6408" t="s">
        <v>200</v>
      </c>
      <c r="L6408" t="s">
        <v>62</v>
      </c>
      <c r="M6408" t="s">
        <v>200</v>
      </c>
      <c r="N6408" t="s">
        <v>201</v>
      </c>
      <c r="O6408" t="s">
        <v>202</v>
      </c>
      <c r="P6408">
        <v>-20.122433000000001</v>
      </c>
      <c r="Q6408">
        <v>-44.897013999999999</v>
      </c>
      <c r="R6408" s="2" t="str">
        <f>HYPERLINK("https://www.google.com/maps?q=-20.1224330,-44.8970140","Abrir no Google Maps")</f>
        <v>Abrir no Google Maps</v>
      </c>
      <c r="S6408">
        <v>4</v>
      </c>
      <c r="T6408">
        <v>616.04759279207849</v>
      </c>
      <c r="U6408">
        <v>1</v>
      </c>
      <c r="V6408">
        <v>0.41048030064790958</v>
      </c>
      <c r="W6408">
        <v>0.85</v>
      </c>
      <c r="X6408">
        <v>0.34890825555072308</v>
      </c>
      <c r="Y6408">
        <v>567</v>
      </c>
      <c r="Z6408">
        <v>655.51024138861465</v>
      </c>
      <c r="AA6408">
        <v>198</v>
      </c>
      <c r="AB6408">
        <v>332</v>
      </c>
      <c r="AC6408">
        <v>536</v>
      </c>
      <c r="AD6408">
        <v>29.58</v>
      </c>
      <c r="AE6408">
        <v>542</v>
      </c>
      <c r="AF6408">
        <v>30</v>
      </c>
      <c r="AG6408">
        <v>169</v>
      </c>
      <c r="AH6408">
        <v>129</v>
      </c>
      <c r="AI6408">
        <v>5.54</v>
      </c>
      <c r="AJ6408">
        <v>31.18</v>
      </c>
      <c r="AK6408">
        <v>23.8</v>
      </c>
      <c r="AL6408">
        <v>-20.122144949999949</v>
      </c>
      <c r="AM6408">
        <v>-44.896761973125983</v>
      </c>
      <c r="AN6408">
        <v>-20.122144949999949</v>
      </c>
      <c r="AO6408">
        <v>-44.896761973125983</v>
      </c>
      <c r="AP6408">
        <v>-20.122433000000001</v>
      </c>
      <c r="AQ6408">
        <v>-44.897013999999999</v>
      </c>
      <c r="AR6408">
        <v>41.499066772735389</v>
      </c>
      <c r="AS6408" t="s">
        <v>65</v>
      </c>
      <c r="AT6408">
        <v>1</v>
      </c>
      <c r="AU6408" t="s">
        <v>203</v>
      </c>
      <c r="AV6408" t="s">
        <v>204</v>
      </c>
      <c r="AW6408" t="s">
        <v>60</v>
      </c>
      <c r="AX6408" t="s">
        <v>68</v>
      </c>
      <c r="AY6408" t="s">
        <v>69</v>
      </c>
      <c r="AZ6408" t="b">
        <v>1</v>
      </c>
    </row>
    <row r="6409" spans="1:52" x14ac:dyDescent="0.3">
      <c r="A6409" t="s">
        <v>52</v>
      </c>
      <c r="B6409" t="s">
        <v>53</v>
      </c>
      <c r="C6409" t="s">
        <v>54</v>
      </c>
      <c r="D6409" t="s">
        <v>55</v>
      </c>
      <c r="E6409" t="s">
        <v>2295</v>
      </c>
      <c r="F6409" t="s">
        <v>1247</v>
      </c>
      <c r="G6409" t="s">
        <v>1263</v>
      </c>
      <c r="H6409" t="s">
        <v>1264</v>
      </c>
      <c r="I6409" t="s">
        <v>1264</v>
      </c>
      <c r="J6409" t="s">
        <v>60</v>
      </c>
      <c r="K6409" t="s">
        <v>1265</v>
      </c>
      <c r="L6409" t="s">
        <v>62</v>
      </c>
      <c r="M6409" t="s">
        <v>1265</v>
      </c>
      <c r="N6409" t="s">
        <v>1266</v>
      </c>
      <c r="O6409" t="s">
        <v>1267</v>
      </c>
      <c r="P6409">
        <v>-20.116924000000001</v>
      </c>
      <c r="Q6409">
        <v>-44.906587000000002</v>
      </c>
      <c r="R6409" s="2" t="str">
        <f>HYPERLINK("https://www.google.com/maps?q=-20.1169240,-44.9065870","Abrir no Google Maps")</f>
        <v>Abrir no Google Maps</v>
      </c>
      <c r="S6409">
        <v>4</v>
      </c>
      <c r="T6409">
        <v>745.10453961787857</v>
      </c>
      <c r="U6409">
        <v>1</v>
      </c>
      <c r="V6409">
        <v>0.43556157783800059</v>
      </c>
      <c r="W6409">
        <v>0.85</v>
      </c>
      <c r="X6409">
        <v>0.37022734116230049</v>
      </c>
      <c r="Y6409">
        <v>567</v>
      </c>
      <c r="Z6409">
        <v>816.44456345071217</v>
      </c>
      <c r="AA6409">
        <v>198</v>
      </c>
      <c r="AB6409">
        <v>332</v>
      </c>
      <c r="AC6409">
        <v>536</v>
      </c>
      <c r="AD6409">
        <v>29.58</v>
      </c>
      <c r="AE6409">
        <v>542</v>
      </c>
      <c r="AF6409">
        <v>30</v>
      </c>
      <c r="AG6409">
        <v>169</v>
      </c>
      <c r="AH6409">
        <v>129</v>
      </c>
      <c r="AI6409">
        <v>5.54</v>
      </c>
      <c r="AJ6409">
        <v>31.18</v>
      </c>
      <c r="AK6409">
        <v>23.8</v>
      </c>
      <c r="AL6409">
        <v>-20.117279149999941</v>
      </c>
      <c r="AM6409">
        <v>-44.906397211815133</v>
      </c>
      <c r="AN6409">
        <v>-20.117279149999941</v>
      </c>
      <c r="AO6409">
        <v>-44.906397211815133</v>
      </c>
      <c r="AP6409">
        <v>-20.116924000000001</v>
      </c>
      <c r="AQ6409">
        <v>-44.906587000000002</v>
      </c>
      <c r="AR6409">
        <v>44.233430660980403</v>
      </c>
      <c r="AS6409" t="s">
        <v>65</v>
      </c>
      <c r="AT6409">
        <v>1</v>
      </c>
      <c r="AU6409" t="s">
        <v>1268</v>
      </c>
      <c r="AV6409" t="s">
        <v>1269</v>
      </c>
      <c r="AW6409" t="s">
        <v>60</v>
      </c>
      <c r="AX6409" t="s">
        <v>68</v>
      </c>
      <c r="AY6409" t="s">
        <v>69</v>
      </c>
      <c r="AZ6409" t="b">
        <v>1</v>
      </c>
    </row>
    <row r="6410" spans="1:52" x14ac:dyDescent="0.3">
      <c r="A6410" t="s">
        <v>52</v>
      </c>
      <c r="B6410" t="s">
        <v>53</v>
      </c>
      <c r="C6410" t="s">
        <v>54</v>
      </c>
      <c r="D6410" t="s">
        <v>55</v>
      </c>
      <c r="E6410" t="s">
        <v>2295</v>
      </c>
      <c r="F6410" t="s">
        <v>1247</v>
      </c>
      <c r="G6410" t="s">
        <v>1127</v>
      </c>
      <c r="H6410" t="s">
        <v>1270</v>
      </c>
      <c r="I6410" t="s">
        <v>1270</v>
      </c>
      <c r="J6410" t="s">
        <v>60</v>
      </c>
      <c r="K6410" t="s">
        <v>200</v>
      </c>
      <c r="L6410" t="s">
        <v>62</v>
      </c>
      <c r="M6410" t="s">
        <v>200</v>
      </c>
      <c r="N6410" t="s">
        <v>1271</v>
      </c>
      <c r="O6410" t="s">
        <v>315</v>
      </c>
      <c r="P6410">
        <v>-20.123483</v>
      </c>
      <c r="Q6410">
        <v>-44.904159</v>
      </c>
      <c r="R6410" s="2" t="str">
        <f>HYPERLINK("https://www.google.com/maps?q=-20.1234830,-44.9041590","Abrir no Google Maps")</f>
        <v>Abrir no Google Maps</v>
      </c>
      <c r="S6410">
        <v>4</v>
      </c>
      <c r="T6410">
        <v>1046.2792913459141</v>
      </c>
      <c r="U6410">
        <v>1</v>
      </c>
      <c r="V6410">
        <v>0.33333333333333331</v>
      </c>
      <c r="W6410">
        <v>0.85</v>
      </c>
      <c r="X6410">
        <v>0.28333333333333333</v>
      </c>
      <c r="Y6410">
        <v>567</v>
      </c>
      <c r="Z6410">
        <v>1072.1273144328541</v>
      </c>
      <c r="AA6410">
        <v>198</v>
      </c>
      <c r="AB6410">
        <v>332</v>
      </c>
      <c r="AC6410">
        <v>536</v>
      </c>
      <c r="AD6410">
        <v>29.58</v>
      </c>
      <c r="AE6410">
        <v>542</v>
      </c>
      <c r="AF6410">
        <v>30</v>
      </c>
      <c r="AG6410">
        <v>169</v>
      </c>
      <c r="AH6410">
        <v>129</v>
      </c>
      <c r="AI6410">
        <v>5.54</v>
      </c>
      <c r="AJ6410">
        <v>31.18</v>
      </c>
      <c r="AK6410">
        <v>23.8</v>
      </c>
      <c r="AL6410">
        <v>-20.12548399999994</v>
      </c>
      <c r="AM6410">
        <v>-44.903913990586467</v>
      </c>
      <c r="AN6410">
        <v>-20.12548399999994</v>
      </c>
      <c r="AO6410">
        <v>-44.903913990586467</v>
      </c>
      <c r="AP6410">
        <v>-20.123483</v>
      </c>
      <c r="AQ6410">
        <v>-44.904159</v>
      </c>
      <c r="AR6410">
        <v>224.218591682908</v>
      </c>
      <c r="AS6410" t="s">
        <v>65</v>
      </c>
      <c r="AT6410">
        <v>1</v>
      </c>
      <c r="AU6410" t="s">
        <v>1272</v>
      </c>
      <c r="AV6410" t="s">
        <v>1273</v>
      </c>
      <c r="AW6410" t="s">
        <v>60</v>
      </c>
      <c r="AX6410" t="s">
        <v>68</v>
      </c>
      <c r="AY6410" t="s">
        <v>69</v>
      </c>
      <c r="AZ6410" t="b">
        <v>1</v>
      </c>
    </row>
    <row r="6411" spans="1:52" x14ac:dyDescent="0.3">
      <c r="A6411" t="s">
        <v>52</v>
      </c>
      <c r="B6411" t="s">
        <v>53</v>
      </c>
      <c r="C6411" t="s">
        <v>54</v>
      </c>
      <c r="D6411" t="s">
        <v>55</v>
      </c>
      <c r="E6411" t="s">
        <v>2295</v>
      </c>
      <c r="F6411" t="s">
        <v>1247</v>
      </c>
      <c r="G6411" t="s">
        <v>380</v>
      </c>
      <c r="H6411" t="s">
        <v>381</v>
      </c>
      <c r="I6411" t="s">
        <v>381</v>
      </c>
      <c r="J6411" t="s">
        <v>60</v>
      </c>
      <c r="K6411" t="s">
        <v>72</v>
      </c>
      <c r="L6411" t="s">
        <v>62</v>
      </c>
      <c r="M6411" t="s">
        <v>72</v>
      </c>
      <c r="N6411" t="s">
        <v>382</v>
      </c>
      <c r="O6411" t="s">
        <v>383</v>
      </c>
      <c r="P6411">
        <v>-20.147182000000001</v>
      </c>
      <c r="Q6411">
        <v>-44.912728999999999</v>
      </c>
      <c r="R6411" s="2" t="str">
        <f>HYPERLINK("https://www.google.com/maps?q=-20.1471820,-44.9127290","Abrir no Google Maps")</f>
        <v>Abrir no Google Maps</v>
      </c>
      <c r="S6411">
        <v>3</v>
      </c>
      <c r="T6411">
        <v>478.0141981540923</v>
      </c>
      <c r="U6411">
        <v>4</v>
      </c>
      <c r="V6411">
        <v>0.46444426588457438</v>
      </c>
      <c r="W6411">
        <v>1</v>
      </c>
      <c r="X6411">
        <v>0.46444426588457438</v>
      </c>
      <c r="Y6411">
        <v>747</v>
      </c>
      <c r="Z6411">
        <v>494.0254290673729</v>
      </c>
      <c r="AA6411">
        <v>198</v>
      </c>
      <c r="AB6411">
        <v>332</v>
      </c>
      <c r="AC6411">
        <v>536</v>
      </c>
      <c r="AD6411">
        <v>29.58</v>
      </c>
      <c r="AE6411">
        <v>542</v>
      </c>
      <c r="AF6411">
        <v>30</v>
      </c>
      <c r="AG6411">
        <v>169</v>
      </c>
      <c r="AH6411">
        <v>129</v>
      </c>
      <c r="AI6411">
        <v>5.54</v>
      </c>
      <c r="AJ6411">
        <v>31.18</v>
      </c>
      <c r="AK6411">
        <v>23.8</v>
      </c>
      <c r="AL6411">
        <v>-20.147375599999979</v>
      </c>
      <c r="AM6411">
        <v>-44.912907472879468</v>
      </c>
      <c r="AN6411">
        <v>-20.147375599999979</v>
      </c>
      <c r="AO6411">
        <v>-44.912907472879468</v>
      </c>
      <c r="AP6411">
        <v>-20.147182000000001</v>
      </c>
      <c r="AQ6411">
        <v>-44.912728999999999</v>
      </c>
      <c r="AR6411">
        <v>28.50197694184326</v>
      </c>
      <c r="AS6411" t="s">
        <v>65</v>
      </c>
      <c r="AT6411">
        <v>1</v>
      </c>
      <c r="AU6411" t="s">
        <v>384</v>
      </c>
      <c r="AV6411" t="s">
        <v>385</v>
      </c>
      <c r="AW6411" t="s">
        <v>60</v>
      </c>
      <c r="AX6411" t="s">
        <v>68</v>
      </c>
      <c r="AY6411" t="s">
        <v>69</v>
      </c>
      <c r="AZ6411" t="b">
        <v>1</v>
      </c>
    </row>
    <row r="6412" spans="1:52" x14ac:dyDescent="0.3">
      <c r="A6412" t="s">
        <v>52</v>
      </c>
      <c r="B6412" t="s">
        <v>53</v>
      </c>
      <c r="C6412" t="s">
        <v>54</v>
      </c>
      <c r="D6412" t="s">
        <v>55</v>
      </c>
      <c r="E6412" t="s">
        <v>2295</v>
      </c>
      <c r="F6412" t="s">
        <v>1247</v>
      </c>
      <c r="G6412" t="s">
        <v>833</v>
      </c>
      <c r="H6412" t="s">
        <v>834</v>
      </c>
      <c r="I6412" t="s">
        <v>834</v>
      </c>
      <c r="J6412" t="s">
        <v>60</v>
      </c>
      <c r="K6412" t="s">
        <v>388</v>
      </c>
      <c r="L6412" t="s">
        <v>62</v>
      </c>
      <c r="M6412" t="s">
        <v>388</v>
      </c>
      <c r="N6412" t="s">
        <v>835</v>
      </c>
      <c r="O6412" t="s">
        <v>836</v>
      </c>
      <c r="P6412">
        <v>-20.157906000000001</v>
      </c>
      <c r="Q6412">
        <v>-44.900458999999998</v>
      </c>
      <c r="R6412" s="2" t="str">
        <f>HYPERLINK("https://www.google.com/maps?q=-20.1579060,-44.9004590","Abrir no Google Maps")</f>
        <v>Abrir no Google Maps</v>
      </c>
      <c r="S6412">
        <v>3</v>
      </c>
      <c r="T6412">
        <v>0</v>
      </c>
      <c r="U6412">
        <v>4</v>
      </c>
      <c r="V6412">
        <v>0.46983946043507169</v>
      </c>
      <c r="W6412">
        <v>1</v>
      </c>
      <c r="X6412">
        <v>0.46983946043507169</v>
      </c>
      <c r="Y6412">
        <v>729</v>
      </c>
      <c r="Z6412">
        <v>203.63168486652771</v>
      </c>
      <c r="AA6412">
        <v>198</v>
      </c>
      <c r="AB6412">
        <v>332</v>
      </c>
      <c r="AC6412">
        <v>536</v>
      </c>
      <c r="AD6412">
        <v>29.58</v>
      </c>
      <c r="AE6412">
        <v>542</v>
      </c>
      <c r="AF6412">
        <v>30</v>
      </c>
      <c r="AG6412">
        <v>169</v>
      </c>
      <c r="AH6412">
        <v>129</v>
      </c>
      <c r="AI6412">
        <v>5.54</v>
      </c>
      <c r="AJ6412">
        <v>31.18</v>
      </c>
      <c r="AK6412">
        <v>23.8</v>
      </c>
      <c r="AL6412">
        <v>-20.157925749999951</v>
      </c>
      <c r="AM6412">
        <v>-44.900484707799812</v>
      </c>
      <c r="AN6412">
        <v>-20.157925749999951</v>
      </c>
      <c r="AO6412">
        <v>-44.900484707799812</v>
      </c>
      <c r="AP6412">
        <v>-20.157906000000001</v>
      </c>
      <c r="AQ6412">
        <v>-44.900458999999998</v>
      </c>
      <c r="AR6412">
        <v>3.4714515960382508</v>
      </c>
      <c r="AS6412" t="s">
        <v>65</v>
      </c>
      <c r="AT6412">
        <v>1</v>
      </c>
      <c r="AU6412" t="s">
        <v>837</v>
      </c>
      <c r="AV6412" t="s">
        <v>838</v>
      </c>
      <c r="AW6412" t="s">
        <v>60</v>
      </c>
      <c r="AX6412" t="s">
        <v>68</v>
      </c>
      <c r="AY6412" t="s">
        <v>69</v>
      </c>
      <c r="AZ6412" t="b">
        <v>1</v>
      </c>
    </row>
    <row r="6413" spans="1:52" x14ac:dyDescent="0.3">
      <c r="A6413" t="s">
        <v>52</v>
      </c>
      <c r="B6413" t="s">
        <v>53</v>
      </c>
      <c r="C6413" t="s">
        <v>54</v>
      </c>
      <c r="D6413" t="s">
        <v>55</v>
      </c>
      <c r="E6413" t="s">
        <v>2295</v>
      </c>
      <c r="F6413" t="s">
        <v>1247</v>
      </c>
      <c r="G6413" t="s">
        <v>398</v>
      </c>
      <c r="H6413" t="s">
        <v>399</v>
      </c>
      <c r="I6413" t="s">
        <v>399</v>
      </c>
      <c r="J6413" t="s">
        <v>60</v>
      </c>
      <c r="K6413" t="s">
        <v>388</v>
      </c>
      <c r="L6413" t="s">
        <v>62</v>
      </c>
      <c r="M6413" t="s">
        <v>388</v>
      </c>
      <c r="N6413" t="s">
        <v>400</v>
      </c>
      <c r="O6413" t="s">
        <v>401</v>
      </c>
      <c r="P6413">
        <v>-20.160157000000002</v>
      </c>
      <c r="Q6413">
        <v>-44.904347999999999</v>
      </c>
      <c r="R6413" s="2" t="str">
        <f>HYPERLINK("https://www.google.com/maps?q=-20.1601570,-44.9043480","Abrir no Google Maps")</f>
        <v>Abrir no Google Maps</v>
      </c>
      <c r="S6413">
        <v>3</v>
      </c>
      <c r="T6413">
        <v>469.26088527154809</v>
      </c>
      <c r="U6413">
        <v>4</v>
      </c>
      <c r="V6413">
        <v>0.4739494777750789</v>
      </c>
      <c r="W6413">
        <v>1</v>
      </c>
      <c r="X6413">
        <v>0.4739494777750789</v>
      </c>
      <c r="Y6413">
        <v>729</v>
      </c>
      <c r="Z6413">
        <v>253.57832452309071</v>
      </c>
      <c r="AA6413">
        <v>198</v>
      </c>
      <c r="AB6413">
        <v>332</v>
      </c>
      <c r="AC6413">
        <v>536</v>
      </c>
      <c r="AD6413">
        <v>29.58</v>
      </c>
      <c r="AE6413">
        <v>542</v>
      </c>
      <c r="AF6413">
        <v>30</v>
      </c>
      <c r="AG6413">
        <v>169</v>
      </c>
      <c r="AH6413">
        <v>129</v>
      </c>
      <c r="AI6413">
        <v>5.54</v>
      </c>
      <c r="AJ6413">
        <v>31.18</v>
      </c>
      <c r="AK6413">
        <v>23.8</v>
      </c>
      <c r="AL6413">
        <v>-20.160007949999969</v>
      </c>
      <c r="AM6413">
        <v>-44.904396608560482</v>
      </c>
      <c r="AN6413">
        <v>-20.160007949999969</v>
      </c>
      <c r="AO6413">
        <v>-44.904396608560482</v>
      </c>
      <c r="AP6413">
        <v>-20.160157000000002</v>
      </c>
      <c r="AQ6413">
        <v>-44.904347999999999</v>
      </c>
      <c r="AR6413">
        <v>17.35237255387942</v>
      </c>
      <c r="AS6413" t="s">
        <v>65</v>
      </c>
      <c r="AT6413">
        <v>1</v>
      </c>
      <c r="AU6413" t="s">
        <v>402</v>
      </c>
      <c r="AV6413" t="s">
        <v>403</v>
      </c>
      <c r="AW6413" t="s">
        <v>60</v>
      </c>
      <c r="AX6413" t="s">
        <v>68</v>
      </c>
      <c r="AY6413" t="s">
        <v>69</v>
      </c>
      <c r="AZ6413" t="b">
        <v>1</v>
      </c>
    </row>
    <row r="6414" spans="1:52" x14ac:dyDescent="0.3">
      <c r="A6414" t="s">
        <v>52</v>
      </c>
      <c r="B6414" t="s">
        <v>53</v>
      </c>
      <c r="C6414" t="s">
        <v>54</v>
      </c>
      <c r="D6414" t="s">
        <v>55</v>
      </c>
      <c r="E6414" t="s">
        <v>2295</v>
      </c>
      <c r="F6414" t="s">
        <v>1247</v>
      </c>
      <c r="G6414" t="s">
        <v>410</v>
      </c>
      <c r="H6414" t="s">
        <v>411</v>
      </c>
      <c r="I6414" t="s">
        <v>411</v>
      </c>
      <c r="J6414" t="s">
        <v>60</v>
      </c>
      <c r="K6414" t="s">
        <v>388</v>
      </c>
      <c r="L6414" t="s">
        <v>62</v>
      </c>
      <c r="M6414" t="s">
        <v>388</v>
      </c>
      <c r="N6414" t="s">
        <v>412</v>
      </c>
      <c r="O6414" t="s">
        <v>413</v>
      </c>
      <c r="P6414">
        <v>-20.161394000000001</v>
      </c>
      <c r="Q6414">
        <v>-44.906725999999999</v>
      </c>
      <c r="R6414" s="2" t="str">
        <f>HYPERLINK("https://www.google.com/maps?q=-20.1613940,-44.9067260","Abrir no Google Maps")</f>
        <v>Abrir no Google Maps</v>
      </c>
      <c r="S6414">
        <v>3</v>
      </c>
      <c r="T6414">
        <v>763.68157548493457</v>
      </c>
      <c r="U6414">
        <v>4</v>
      </c>
      <c r="V6414">
        <v>0.48359296205244579</v>
      </c>
      <c r="W6414">
        <v>1</v>
      </c>
      <c r="X6414">
        <v>0.48359296205244579</v>
      </c>
      <c r="Y6414">
        <v>729</v>
      </c>
      <c r="Z6414">
        <v>551.70379325948545</v>
      </c>
      <c r="AA6414">
        <v>198</v>
      </c>
      <c r="AB6414">
        <v>332</v>
      </c>
      <c r="AC6414">
        <v>536</v>
      </c>
      <c r="AD6414">
        <v>29.58</v>
      </c>
      <c r="AE6414">
        <v>542</v>
      </c>
      <c r="AF6414">
        <v>30</v>
      </c>
      <c r="AG6414">
        <v>169</v>
      </c>
      <c r="AH6414">
        <v>129</v>
      </c>
      <c r="AI6414">
        <v>5.54</v>
      </c>
      <c r="AJ6414">
        <v>31.18</v>
      </c>
      <c r="AK6414">
        <v>23.8</v>
      </c>
      <c r="AL6414">
        <v>-20.161371049999929</v>
      </c>
      <c r="AM6414">
        <v>-44.906816797310228</v>
      </c>
      <c r="AN6414">
        <v>-20.161371049999929</v>
      </c>
      <c r="AO6414">
        <v>-44.906816797310228</v>
      </c>
      <c r="AP6414">
        <v>-20.161394000000001</v>
      </c>
      <c r="AQ6414">
        <v>-44.906725999999999</v>
      </c>
      <c r="AR6414">
        <v>9.8261555662022495</v>
      </c>
      <c r="AS6414" t="s">
        <v>65</v>
      </c>
      <c r="AT6414">
        <v>1</v>
      </c>
      <c r="AU6414" t="s">
        <v>414</v>
      </c>
      <c r="AV6414" t="s">
        <v>415</v>
      </c>
      <c r="AW6414" t="s">
        <v>60</v>
      </c>
      <c r="AX6414" t="s">
        <v>68</v>
      </c>
      <c r="AY6414" t="s">
        <v>69</v>
      </c>
      <c r="AZ6414" t="b">
        <v>1</v>
      </c>
    </row>
    <row r="6415" spans="1:52" x14ac:dyDescent="0.3">
      <c r="A6415" t="s">
        <v>52</v>
      </c>
      <c r="B6415" t="s">
        <v>53</v>
      </c>
      <c r="C6415" t="s">
        <v>54</v>
      </c>
      <c r="D6415" t="s">
        <v>55</v>
      </c>
      <c r="E6415" t="s">
        <v>2295</v>
      </c>
      <c r="F6415" t="s">
        <v>1247</v>
      </c>
      <c r="G6415" t="s">
        <v>416</v>
      </c>
      <c r="H6415" t="s">
        <v>417</v>
      </c>
      <c r="I6415" t="s">
        <v>417</v>
      </c>
      <c r="J6415" t="s">
        <v>60</v>
      </c>
      <c r="K6415" t="s">
        <v>418</v>
      </c>
      <c r="L6415" t="s">
        <v>62</v>
      </c>
      <c r="M6415" t="s">
        <v>418</v>
      </c>
      <c r="N6415" t="s">
        <v>419</v>
      </c>
      <c r="O6415" t="s">
        <v>202</v>
      </c>
      <c r="P6415">
        <v>-20.169886000000002</v>
      </c>
      <c r="Q6415">
        <v>-44.913288000000001</v>
      </c>
      <c r="R6415" s="2" t="str">
        <f>HYPERLINK("https://www.google.com/maps?q=-20.1698860,-44.9132880","Abrir no Google Maps")</f>
        <v>Abrir no Google Maps</v>
      </c>
      <c r="S6415">
        <v>3</v>
      </c>
      <c r="T6415">
        <v>422.88733632898152</v>
      </c>
      <c r="U6415">
        <v>4</v>
      </c>
      <c r="V6415">
        <v>0.46299128661475708</v>
      </c>
      <c r="W6415">
        <v>1</v>
      </c>
      <c r="X6415">
        <v>0.46299128661475708</v>
      </c>
      <c r="Y6415">
        <v>723</v>
      </c>
      <c r="Z6415">
        <v>128.65003864232261</v>
      </c>
      <c r="AA6415">
        <v>198</v>
      </c>
      <c r="AB6415">
        <v>332</v>
      </c>
      <c r="AC6415">
        <v>536</v>
      </c>
      <c r="AD6415">
        <v>29.58</v>
      </c>
      <c r="AE6415">
        <v>542</v>
      </c>
      <c r="AF6415">
        <v>30</v>
      </c>
      <c r="AG6415">
        <v>169</v>
      </c>
      <c r="AH6415">
        <v>129</v>
      </c>
      <c r="AI6415">
        <v>5.54</v>
      </c>
      <c r="AJ6415">
        <v>31.18</v>
      </c>
      <c r="AK6415">
        <v>23.8</v>
      </c>
      <c r="AL6415">
        <v>-20.16970024999998</v>
      </c>
      <c r="AM6415">
        <v>-44.913502201257437</v>
      </c>
      <c r="AN6415">
        <v>-20.16970024999998</v>
      </c>
      <c r="AO6415">
        <v>-44.913502201257437</v>
      </c>
      <c r="AP6415">
        <v>-20.169886000000002</v>
      </c>
      <c r="AQ6415">
        <v>-44.913288000000001</v>
      </c>
      <c r="AR6415">
        <v>30.47208587597606</v>
      </c>
      <c r="AS6415" t="s">
        <v>65</v>
      </c>
      <c r="AT6415">
        <v>1</v>
      </c>
      <c r="AU6415" t="s">
        <v>420</v>
      </c>
      <c r="AV6415" t="s">
        <v>421</v>
      </c>
      <c r="AW6415" t="s">
        <v>60</v>
      </c>
      <c r="AX6415" t="s">
        <v>68</v>
      </c>
      <c r="AY6415" t="s">
        <v>69</v>
      </c>
      <c r="AZ6415" t="b">
        <v>1</v>
      </c>
    </row>
    <row r="6416" spans="1:52" x14ac:dyDescent="0.3">
      <c r="A6416" t="s">
        <v>52</v>
      </c>
      <c r="B6416" t="s">
        <v>53</v>
      </c>
      <c r="C6416" t="s">
        <v>54</v>
      </c>
      <c r="D6416" t="s">
        <v>55</v>
      </c>
      <c r="E6416" t="s">
        <v>2295</v>
      </c>
      <c r="F6416" t="s">
        <v>1247</v>
      </c>
      <c r="G6416" t="s">
        <v>435</v>
      </c>
      <c r="H6416" t="s">
        <v>436</v>
      </c>
      <c r="I6416" t="s">
        <v>436</v>
      </c>
      <c r="J6416" t="s">
        <v>60</v>
      </c>
      <c r="K6416" t="s">
        <v>437</v>
      </c>
      <c r="L6416" t="s">
        <v>62</v>
      </c>
      <c r="M6416" t="s">
        <v>437</v>
      </c>
      <c r="N6416" t="s">
        <v>438</v>
      </c>
      <c r="O6416" t="s">
        <v>439</v>
      </c>
      <c r="P6416">
        <v>-20.145613000000001</v>
      </c>
      <c r="Q6416">
        <v>-44.882375000000003</v>
      </c>
      <c r="R6416" s="2" t="str">
        <f>HYPERLINK("https://www.google.com/maps?q=-20.1456130,-44.8823750","Abrir no Google Maps")</f>
        <v>Abrir no Google Maps</v>
      </c>
      <c r="S6416">
        <v>3</v>
      </c>
      <c r="T6416">
        <v>305.65092112314198</v>
      </c>
      <c r="U6416">
        <v>4</v>
      </c>
      <c r="V6416">
        <v>0.46801729841377421</v>
      </c>
      <c r="W6416">
        <v>1</v>
      </c>
      <c r="X6416">
        <v>0.46801729841377421</v>
      </c>
      <c r="Y6416">
        <v>653</v>
      </c>
      <c r="Z6416">
        <v>349.55297035282501</v>
      </c>
      <c r="AA6416">
        <v>198</v>
      </c>
      <c r="AB6416">
        <v>332</v>
      </c>
      <c r="AC6416">
        <v>536</v>
      </c>
      <c r="AD6416">
        <v>29.58</v>
      </c>
      <c r="AE6416">
        <v>542</v>
      </c>
      <c r="AF6416">
        <v>30</v>
      </c>
      <c r="AG6416">
        <v>169</v>
      </c>
      <c r="AH6416">
        <v>129</v>
      </c>
      <c r="AI6416">
        <v>5.54</v>
      </c>
      <c r="AJ6416">
        <v>31.18</v>
      </c>
      <c r="AK6416">
        <v>23.8</v>
      </c>
      <c r="AL6416">
        <v>-20.14550464999996</v>
      </c>
      <c r="AM6416">
        <v>-44.882157007077737</v>
      </c>
      <c r="AN6416">
        <v>-20.14550464999996</v>
      </c>
      <c r="AO6416">
        <v>-44.882157007077737</v>
      </c>
      <c r="AP6416">
        <v>-20.145613000000001</v>
      </c>
      <c r="AQ6416">
        <v>-44.882375000000003</v>
      </c>
      <c r="AR6416">
        <v>25.77819791856259</v>
      </c>
      <c r="AS6416" t="s">
        <v>65</v>
      </c>
      <c r="AT6416">
        <v>1</v>
      </c>
      <c r="AU6416" t="s">
        <v>440</v>
      </c>
      <c r="AV6416" t="s">
        <v>441</v>
      </c>
      <c r="AW6416" t="s">
        <v>60</v>
      </c>
      <c r="AX6416" t="s">
        <v>68</v>
      </c>
      <c r="AY6416" t="s">
        <v>69</v>
      </c>
      <c r="AZ6416" t="b">
        <v>1</v>
      </c>
    </row>
    <row r="6417" spans="1:52" x14ac:dyDescent="0.3">
      <c r="A6417" t="s">
        <v>52</v>
      </c>
      <c r="B6417" t="s">
        <v>53</v>
      </c>
      <c r="C6417" t="s">
        <v>54</v>
      </c>
      <c r="D6417" t="s">
        <v>55</v>
      </c>
      <c r="E6417" t="s">
        <v>2295</v>
      </c>
      <c r="F6417" t="s">
        <v>1247</v>
      </c>
      <c r="G6417" t="s">
        <v>442</v>
      </c>
      <c r="H6417" t="s">
        <v>443</v>
      </c>
      <c r="I6417" t="s">
        <v>443</v>
      </c>
      <c r="J6417" t="s">
        <v>60</v>
      </c>
      <c r="K6417" t="s">
        <v>437</v>
      </c>
      <c r="L6417" t="s">
        <v>62</v>
      </c>
      <c r="M6417" t="s">
        <v>437</v>
      </c>
      <c r="N6417" t="s">
        <v>444</v>
      </c>
      <c r="O6417" t="s">
        <v>445</v>
      </c>
      <c r="P6417">
        <v>-20.149744999999999</v>
      </c>
      <c r="Q6417">
        <v>-44.881385000000002</v>
      </c>
      <c r="R6417" s="2" t="str">
        <f>HYPERLINK("https://www.google.com/maps?q=-20.1497450,-44.8813850","Abrir no Google Maps")</f>
        <v>Abrir no Google Maps</v>
      </c>
      <c r="S6417">
        <v>3</v>
      </c>
      <c r="T6417">
        <v>188.80690546111239</v>
      </c>
      <c r="U6417">
        <v>4</v>
      </c>
      <c r="V6417">
        <v>0.4873078099368866</v>
      </c>
      <c r="W6417">
        <v>1</v>
      </c>
      <c r="X6417">
        <v>0.4873078099368866</v>
      </c>
      <c r="Y6417">
        <v>653</v>
      </c>
      <c r="Z6417">
        <v>86.575080390731017</v>
      </c>
      <c r="AA6417">
        <v>198</v>
      </c>
      <c r="AB6417">
        <v>332</v>
      </c>
      <c r="AC6417">
        <v>536</v>
      </c>
      <c r="AD6417">
        <v>29.58</v>
      </c>
      <c r="AE6417">
        <v>542</v>
      </c>
      <c r="AF6417">
        <v>30</v>
      </c>
      <c r="AG6417">
        <v>169</v>
      </c>
      <c r="AH6417">
        <v>129</v>
      </c>
      <c r="AI6417">
        <v>5.54</v>
      </c>
      <c r="AJ6417">
        <v>31.18</v>
      </c>
      <c r="AK6417">
        <v>23.8</v>
      </c>
      <c r="AL6417">
        <v>-20.149645149999941</v>
      </c>
      <c r="AM6417">
        <v>-44.881504585149607</v>
      </c>
      <c r="AN6417">
        <v>-20.149645149999941</v>
      </c>
      <c r="AO6417">
        <v>-44.881504585149607</v>
      </c>
      <c r="AP6417">
        <v>-20.149744999999999</v>
      </c>
      <c r="AQ6417">
        <v>-44.881385000000002</v>
      </c>
      <c r="AR6417">
        <v>16.725323110840389</v>
      </c>
      <c r="AS6417" t="s">
        <v>65</v>
      </c>
      <c r="AT6417">
        <v>1</v>
      </c>
      <c r="AU6417" t="s">
        <v>446</v>
      </c>
      <c r="AV6417" t="s">
        <v>447</v>
      </c>
      <c r="AW6417" t="s">
        <v>60</v>
      </c>
      <c r="AX6417" t="s">
        <v>68</v>
      </c>
      <c r="AY6417" t="s">
        <v>69</v>
      </c>
      <c r="AZ6417" t="b">
        <v>1</v>
      </c>
    </row>
    <row r="6418" spans="1:52" x14ac:dyDescent="0.3">
      <c r="A6418" t="s">
        <v>52</v>
      </c>
      <c r="B6418" t="s">
        <v>53</v>
      </c>
      <c r="C6418" t="s">
        <v>54</v>
      </c>
      <c r="D6418" t="s">
        <v>55</v>
      </c>
      <c r="E6418" t="s">
        <v>2295</v>
      </c>
      <c r="F6418" t="s">
        <v>1247</v>
      </c>
      <c r="G6418" t="s">
        <v>460</v>
      </c>
      <c r="H6418" t="s">
        <v>461</v>
      </c>
      <c r="I6418" t="s">
        <v>461</v>
      </c>
      <c r="J6418" t="s">
        <v>60</v>
      </c>
      <c r="K6418" t="s">
        <v>462</v>
      </c>
      <c r="L6418" t="s">
        <v>62</v>
      </c>
      <c r="M6418" t="s">
        <v>462</v>
      </c>
      <c r="N6418" t="s">
        <v>463</v>
      </c>
      <c r="O6418" t="s">
        <v>464</v>
      </c>
      <c r="P6418">
        <v>-20.137919</v>
      </c>
      <c r="Q6418">
        <v>-44.905591000000001</v>
      </c>
      <c r="R6418" s="2" t="str">
        <f>HYPERLINK("https://www.google.com/maps?q=-20.1379190,-44.9055910","Abrir no Google Maps")</f>
        <v>Abrir no Google Maps</v>
      </c>
      <c r="S6418">
        <v>3</v>
      </c>
      <c r="T6418">
        <v>262.01115919461103</v>
      </c>
      <c r="U6418">
        <v>4</v>
      </c>
      <c r="V6418">
        <v>0.473726769241889</v>
      </c>
      <c r="W6418">
        <v>1</v>
      </c>
      <c r="X6418">
        <v>0.473726769241889</v>
      </c>
      <c r="Y6418">
        <v>581</v>
      </c>
      <c r="Z6418">
        <v>318.63337303219271</v>
      </c>
      <c r="AA6418">
        <v>198</v>
      </c>
      <c r="AB6418">
        <v>332</v>
      </c>
      <c r="AC6418">
        <v>536</v>
      </c>
      <c r="AD6418">
        <v>29.58</v>
      </c>
      <c r="AE6418">
        <v>542</v>
      </c>
      <c r="AF6418">
        <v>30</v>
      </c>
      <c r="AG6418">
        <v>169</v>
      </c>
      <c r="AH6418">
        <v>129</v>
      </c>
      <c r="AI6418">
        <v>5.54</v>
      </c>
      <c r="AJ6418">
        <v>31.18</v>
      </c>
      <c r="AK6418">
        <v>23.8</v>
      </c>
      <c r="AL6418">
        <v>-20.13789079999998</v>
      </c>
      <c r="AM6418">
        <v>-44.90548593520333</v>
      </c>
      <c r="AN6418">
        <v>-20.13789079999998</v>
      </c>
      <c r="AO6418">
        <v>-44.90548593520333</v>
      </c>
      <c r="AP6418">
        <v>-20.137919</v>
      </c>
      <c r="AQ6418">
        <v>-44.905591000000001</v>
      </c>
      <c r="AR6418">
        <v>11.42072348298178</v>
      </c>
      <c r="AS6418" t="s">
        <v>65</v>
      </c>
      <c r="AT6418">
        <v>1</v>
      </c>
      <c r="AU6418" t="s">
        <v>465</v>
      </c>
      <c r="AV6418" t="s">
        <v>466</v>
      </c>
      <c r="AW6418" t="s">
        <v>60</v>
      </c>
      <c r="AX6418" t="s">
        <v>68</v>
      </c>
      <c r="AY6418" t="s">
        <v>69</v>
      </c>
      <c r="AZ6418" t="b">
        <v>1</v>
      </c>
    </row>
    <row r="6419" spans="1:52" x14ac:dyDescent="0.3">
      <c r="A6419" t="s">
        <v>52</v>
      </c>
      <c r="B6419" t="s">
        <v>53</v>
      </c>
      <c r="C6419" t="s">
        <v>54</v>
      </c>
      <c r="D6419" t="s">
        <v>55</v>
      </c>
      <c r="E6419" t="s">
        <v>2295</v>
      </c>
      <c r="F6419" t="s">
        <v>1247</v>
      </c>
      <c r="G6419" t="s">
        <v>467</v>
      </c>
      <c r="H6419" t="s">
        <v>468</v>
      </c>
      <c r="I6419" t="s">
        <v>468</v>
      </c>
      <c r="J6419" t="s">
        <v>60</v>
      </c>
      <c r="K6419" t="s">
        <v>462</v>
      </c>
      <c r="L6419" t="s">
        <v>62</v>
      </c>
      <c r="M6419" t="s">
        <v>462</v>
      </c>
      <c r="N6419" t="s">
        <v>469</v>
      </c>
      <c r="O6419" t="s">
        <v>470</v>
      </c>
      <c r="P6419">
        <v>-20.138233</v>
      </c>
      <c r="Q6419">
        <v>-44.908200000000001</v>
      </c>
      <c r="R6419" s="2" t="str">
        <f>HYPERLINK("https://www.google.com/maps?q=-20.1382330,-44.9082000","Abrir no Google Maps")</f>
        <v>Abrir no Google Maps</v>
      </c>
      <c r="S6419">
        <v>3</v>
      </c>
      <c r="T6419">
        <v>0</v>
      </c>
      <c r="U6419">
        <v>4</v>
      </c>
      <c r="V6419">
        <v>0.48356680593102319</v>
      </c>
      <c r="W6419">
        <v>1</v>
      </c>
      <c r="X6419">
        <v>0.48356680593102319</v>
      </c>
      <c r="Y6419">
        <v>581</v>
      </c>
      <c r="Z6419">
        <v>153.18688302958171</v>
      </c>
      <c r="AA6419">
        <v>198</v>
      </c>
      <c r="AB6419">
        <v>332</v>
      </c>
      <c r="AC6419">
        <v>536</v>
      </c>
      <c r="AD6419">
        <v>29.58</v>
      </c>
      <c r="AE6419">
        <v>542</v>
      </c>
      <c r="AF6419">
        <v>30</v>
      </c>
      <c r="AG6419">
        <v>169</v>
      </c>
      <c r="AH6419">
        <v>129</v>
      </c>
      <c r="AI6419">
        <v>5.54</v>
      </c>
      <c r="AJ6419">
        <v>31.18</v>
      </c>
      <c r="AK6419">
        <v>23.8</v>
      </c>
      <c r="AL6419">
        <v>-20.138364899999971</v>
      </c>
      <c r="AM6419">
        <v>-44.907942114873997</v>
      </c>
      <c r="AN6419">
        <v>-20.138364899999971</v>
      </c>
      <c r="AO6419">
        <v>-44.907942114873997</v>
      </c>
      <c r="AP6419">
        <v>-20.138233</v>
      </c>
      <c r="AQ6419">
        <v>-44.908200000000001</v>
      </c>
      <c r="AR6419">
        <v>30.692690617986941</v>
      </c>
      <c r="AS6419" t="s">
        <v>65</v>
      </c>
      <c r="AT6419">
        <v>1</v>
      </c>
      <c r="AU6419" t="s">
        <v>471</v>
      </c>
      <c r="AV6419" t="s">
        <v>472</v>
      </c>
      <c r="AW6419" t="s">
        <v>60</v>
      </c>
      <c r="AX6419" t="s">
        <v>68</v>
      </c>
      <c r="AY6419" t="s">
        <v>69</v>
      </c>
      <c r="AZ6419" t="b">
        <v>1</v>
      </c>
    </row>
    <row r="6420" spans="1:52" x14ac:dyDescent="0.3">
      <c r="A6420" t="s">
        <v>52</v>
      </c>
      <c r="B6420" t="s">
        <v>53</v>
      </c>
      <c r="C6420" t="s">
        <v>54</v>
      </c>
      <c r="D6420" t="s">
        <v>55</v>
      </c>
      <c r="E6420" t="s">
        <v>2295</v>
      </c>
      <c r="F6420" t="s">
        <v>1247</v>
      </c>
      <c r="G6420" t="s">
        <v>870</v>
      </c>
      <c r="H6420" t="s">
        <v>871</v>
      </c>
      <c r="I6420" t="s">
        <v>871</v>
      </c>
      <c r="J6420" t="s">
        <v>60</v>
      </c>
      <c r="K6420" t="s">
        <v>475</v>
      </c>
      <c r="L6420" t="s">
        <v>62</v>
      </c>
      <c r="M6420" t="s">
        <v>475</v>
      </c>
      <c r="N6420" t="s">
        <v>872</v>
      </c>
      <c r="O6420" t="s">
        <v>507</v>
      </c>
      <c r="P6420">
        <v>-20.176269999999999</v>
      </c>
      <c r="Q6420">
        <v>-44.909323999999998</v>
      </c>
      <c r="R6420" s="2" t="str">
        <f>HYPERLINK("https://www.google.com/maps?q=-20.1762700,-44.9093240","Abrir no Google Maps")</f>
        <v>Abrir no Google Maps</v>
      </c>
      <c r="S6420">
        <v>3</v>
      </c>
      <c r="T6420">
        <v>472.42731136821368</v>
      </c>
      <c r="U6420">
        <v>4</v>
      </c>
      <c r="V6420">
        <v>0.46957786405373758</v>
      </c>
      <c r="W6420">
        <v>1</v>
      </c>
      <c r="X6420">
        <v>0.46957786405373758</v>
      </c>
      <c r="Y6420">
        <v>578</v>
      </c>
      <c r="Z6420">
        <v>495.19726726344601</v>
      </c>
      <c r="AA6420">
        <v>198</v>
      </c>
      <c r="AB6420">
        <v>332</v>
      </c>
      <c r="AC6420">
        <v>536</v>
      </c>
      <c r="AD6420">
        <v>29.58</v>
      </c>
      <c r="AE6420">
        <v>542</v>
      </c>
      <c r="AF6420">
        <v>30</v>
      </c>
      <c r="AG6420">
        <v>169</v>
      </c>
      <c r="AH6420">
        <v>129</v>
      </c>
      <c r="AI6420">
        <v>5.54</v>
      </c>
      <c r="AJ6420">
        <v>31.18</v>
      </c>
      <c r="AK6420">
        <v>23.8</v>
      </c>
      <c r="AL6420">
        <v>-20.17630284999996</v>
      </c>
      <c r="AM6420">
        <v>-44.909199064318948</v>
      </c>
      <c r="AN6420">
        <v>-20.17630284999996</v>
      </c>
      <c r="AO6420">
        <v>-44.909199064318948</v>
      </c>
      <c r="AP6420">
        <v>-20.176269999999999</v>
      </c>
      <c r="AQ6420">
        <v>-44.909323999999998</v>
      </c>
      <c r="AR6420">
        <v>13.55691308737447</v>
      </c>
      <c r="AS6420" t="s">
        <v>65</v>
      </c>
      <c r="AT6420">
        <v>1</v>
      </c>
      <c r="AU6420" t="s">
        <v>873</v>
      </c>
      <c r="AV6420" t="s">
        <v>874</v>
      </c>
      <c r="AW6420" t="s">
        <v>60</v>
      </c>
      <c r="AX6420" t="s">
        <v>68</v>
      </c>
      <c r="AY6420" t="s">
        <v>69</v>
      </c>
      <c r="AZ6420" t="b">
        <v>1</v>
      </c>
    </row>
    <row r="6421" spans="1:52" x14ac:dyDescent="0.3">
      <c r="A6421" t="s">
        <v>52</v>
      </c>
      <c r="B6421" t="s">
        <v>53</v>
      </c>
      <c r="C6421" t="s">
        <v>54</v>
      </c>
      <c r="D6421" t="s">
        <v>55</v>
      </c>
      <c r="E6421" t="s">
        <v>2295</v>
      </c>
      <c r="F6421" t="s">
        <v>1247</v>
      </c>
      <c r="G6421" t="s">
        <v>479</v>
      </c>
      <c r="H6421" t="s">
        <v>480</v>
      </c>
      <c r="I6421" t="s">
        <v>480</v>
      </c>
      <c r="J6421" t="s">
        <v>60</v>
      </c>
      <c r="K6421" t="s">
        <v>388</v>
      </c>
      <c r="L6421" t="s">
        <v>62</v>
      </c>
      <c r="M6421" t="s">
        <v>388</v>
      </c>
      <c r="N6421" t="s">
        <v>481</v>
      </c>
      <c r="O6421" t="s">
        <v>315</v>
      </c>
      <c r="P6421">
        <v>-20.166903999999999</v>
      </c>
      <c r="Q6421">
        <v>-44.903492</v>
      </c>
      <c r="R6421" s="2" t="str">
        <f>HYPERLINK("https://www.google.com/maps?q=-20.1669040,-44.9034920","Abrir no Google Maps")</f>
        <v>Abrir no Google Maps</v>
      </c>
      <c r="S6421">
        <v>3</v>
      </c>
      <c r="T6421">
        <v>517.12253532511602</v>
      </c>
      <c r="U6421">
        <v>4</v>
      </c>
      <c r="V6421">
        <v>0.46206705531667941</v>
      </c>
      <c r="W6421">
        <v>1</v>
      </c>
      <c r="X6421">
        <v>0.46206705531667941</v>
      </c>
      <c r="Y6421">
        <v>578</v>
      </c>
      <c r="Z6421">
        <v>721.79551240050432</v>
      </c>
      <c r="AA6421">
        <v>198</v>
      </c>
      <c r="AB6421">
        <v>332</v>
      </c>
      <c r="AC6421">
        <v>536</v>
      </c>
      <c r="AD6421">
        <v>29.58</v>
      </c>
      <c r="AE6421">
        <v>542</v>
      </c>
      <c r="AF6421">
        <v>30</v>
      </c>
      <c r="AG6421">
        <v>169</v>
      </c>
      <c r="AH6421">
        <v>129</v>
      </c>
      <c r="AI6421">
        <v>5.54</v>
      </c>
      <c r="AJ6421">
        <v>31.18</v>
      </c>
      <c r="AK6421">
        <v>23.8</v>
      </c>
      <c r="AL6421">
        <v>-20.166610649999971</v>
      </c>
      <c r="AM6421">
        <v>-44.903452988928308</v>
      </c>
      <c r="AN6421">
        <v>-20.166610649999971</v>
      </c>
      <c r="AO6421">
        <v>-44.903452988928308</v>
      </c>
      <c r="AP6421">
        <v>-20.166903999999999</v>
      </c>
      <c r="AQ6421">
        <v>-44.903492</v>
      </c>
      <c r="AR6421">
        <v>32.909175876856217</v>
      </c>
      <c r="AS6421" t="s">
        <v>65</v>
      </c>
      <c r="AT6421">
        <v>1</v>
      </c>
      <c r="AU6421" t="s">
        <v>482</v>
      </c>
      <c r="AV6421" t="s">
        <v>483</v>
      </c>
      <c r="AW6421" t="s">
        <v>60</v>
      </c>
      <c r="AX6421" t="s">
        <v>68</v>
      </c>
      <c r="AY6421" t="s">
        <v>69</v>
      </c>
      <c r="AZ6421" t="b">
        <v>1</v>
      </c>
    </row>
    <row r="6422" spans="1:52" x14ac:dyDescent="0.3">
      <c r="A6422" t="s">
        <v>52</v>
      </c>
      <c r="B6422" t="s">
        <v>53</v>
      </c>
      <c r="C6422" t="s">
        <v>54</v>
      </c>
      <c r="D6422" t="s">
        <v>55</v>
      </c>
      <c r="E6422" t="s">
        <v>2295</v>
      </c>
      <c r="F6422" t="s">
        <v>1247</v>
      </c>
      <c r="G6422" t="s">
        <v>484</v>
      </c>
      <c r="H6422" t="s">
        <v>485</v>
      </c>
      <c r="I6422" t="s">
        <v>485</v>
      </c>
      <c r="J6422" t="s">
        <v>60</v>
      </c>
      <c r="K6422" t="s">
        <v>486</v>
      </c>
      <c r="L6422" t="s">
        <v>62</v>
      </c>
      <c r="M6422" t="s">
        <v>486</v>
      </c>
      <c r="N6422" t="s">
        <v>487</v>
      </c>
      <c r="O6422" t="s">
        <v>488</v>
      </c>
      <c r="P6422">
        <v>-20.173000999999999</v>
      </c>
      <c r="Q6422">
        <v>-44.901876999999999</v>
      </c>
      <c r="R6422" s="2" t="str">
        <f>HYPERLINK("https://www.google.com/maps?q=-20.1730010,-44.9018770","Abrir no Google Maps")</f>
        <v>Abrir no Google Maps</v>
      </c>
      <c r="S6422">
        <v>3</v>
      </c>
      <c r="T6422">
        <v>437.59695450783011</v>
      </c>
      <c r="U6422">
        <v>4</v>
      </c>
      <c r="V6422">
        <v>0.46347367775939202</v>
      </c>
      <c r="W6422">
        <v>1</v>
      </c>
      <c r="X6422">
        <v>0.46347367775939202</v>
      </c>
      <c r="Y6422">
        <v>578</v>
      </c>
      <c r="Z6422">
        <v>440.53629183653243</v>
      </c>
      <c r="AA6422">
        <v>198</v>
      </c>
      <c r="AB6422">
        <v>332</v>
      </c>
      <c r="AC6422">
        <v>536</v>
      </c>
      <c r="AD6422">
        <v>29.58</v>
      </c>
      <c r="AE6422">
        <v>542</v>
      </c>
      <c r="AF6422">
        <v>30</v>
      </c>
      <c r="AG6422">
        <v>169</v>
      </c>
      <c r="AH6422">
        <v>129</v>
      </c>
      <c r="AI6422">
        <v>5.54</v>
      </c>
      <c r="AJ6422">
        <v>31.18</v>
      </c>
      <c r="AK6422">
        <v>23.8</v>
      </c>
      <c r="AL6422">
        <v>-20.173065299999969</v>
      </c>
      <c r="AM6422">
        <v>-44.902052686008687</v>
      </c>
      <c r="AN6422">
        <v>-20.173065299999969</v>
      </c>
      <c r="AO6422">
        <v>-44.902052686008687</v>
      </c>
      <c r="AP6422">
        <v>-20.173000999999999</v>
      </c>
      <c r="AQ6422">
        <v>-44.901876999999999</v>
      </c>
      <c r="AR6422">
        <v>19.703745070768829</v>
      </c>
      <c r="AS6422" t="s">
        <v>65</v>
      </c>
      <c r="AT6422">
        <v>1</v>
      </c>
      <c r="AU6422" t="s">
        <v>489</v>
      </c>
      <c r="AV6422" t="s">
        <v>490</v>
      </c>
      <c r="AW6422" t="s">
        <v>60</v>
      </c>
      <c r="AX6422" t="s">
        <v>68</v>
      </c>
      <c r="AY6422" t="s">
        <v>69</v>
      </c>
      <c r="AZ6422" t="b">
        <v>1</v>
      </c>
    </row>
    <row r="6423" spans="1:52" x14ac:dyDescent="0.3">
      <c r="A6423" t="s">
        <v>52</v>
      </c>
      <c r="B6423" t="s">
        <v>53</v>
      </c>
      <c r="C6423" t="s">
        <v>54</v>
      </c>
      <c r="D6423" t="s">
        <v>55</v>
      </c>
      <c r="E6423" t="s">
        <v>2295</v>
      </c>
      <c r="F6423" t="s">
        <v>1247</v>
      </c>
      <c r="G6423" t="s">
        <v>503</v>
      </c>
      <c r="H6423" t="s">
        <v>504</v>
      </c>
      <c r="I6423" t="s">
        <v>504</v>
      </c>
      <c r="J6423" t="s">
        <v>60</v>
      </c>
      <c r="K6423" t="s">
        <v>505</v>
      </c>
      <c r="L6423" t="s">
        <v>62</v>
      </c>
      <c r="M6423" t="s">
        <v>505</v>
      </c>
      <c r="N6423" t="s">
        <v>506</v>
      </c>
      <c r="O6423" t="s">
        <v>507</v>
      </c>
      <c r="P6423">
        <v>-20.131428</v>
      </c>
      <c r="Q6423">
        <v>-44.888921000000003</v>
      </c>
      <c r="R6423" s="2" t="str">
        <f>HYPERLINK("https://www.google.com/maps?q=-20.1314280,-44.8889210","Abrir no Google Maps")</f>
        <v>Abrir no Google Maps</v>
      </c>
      <c r="S6423">
        <v>3</v>
      </c>
      <c r="T6423">
        <v>250.64150698244501</v>
      </c>
      <c r="U6423">
        <v>4</v>
      </c>
      <c r="V6423">
        <v>0.48522050340232159</v>
      </c>
      <c r="W6423">
        <v>1</v>
      </c>
      <c r="X6423">
        <v>0.48522050340232159</v>
      </c>
      <c r="Y6423">
        <v>564</v>
      </c>
      <c r="Z6423">
        <v>189.93933888952441</v>
      </c>
      <c r="AA6423">
        <v>198</v>
      </c>
      <c r="AB6423">
        <v>332</v>
      </c>
      <c r="AC6423">
        <v>536</v>
      </c>
      <c r="AD6423">
        <v>29.58</v>
      </c>
      <c r="AE6423">
        <v>542</v>
      </c>
      <c r="AF6423">
        <v>30</v>
      </c>
      <c r="AG6423">
        <v>169</v>
      </c>
      <c r="AH6423">
        <v>129</v>
      </c>
      <c r="AI6423">
        <v>5.54</v>
      </c>
      <c r="AJ6423">
        <v>31.18</v>
      </c>
      <c r="AK6423">
        <v>23.8</v>
      </c>
      <c r="AL6423">
        <v>-20.13123589999995</v>
      </c>
      <c r="AM6423">
        <v>-44.888742396501762</v>
      </c>
      <c r="AN6423">
        <v>-20.13123589999995</v>
      </c>
      <c r="AO6423">
        <v>-44.888742396501762</v>
      </c>
      <c r="AP6423">
        <v>-20.131428</v>
      </c>
      <c r="AQ6423">
        <v>-44.888921000000003</v>
      </c>
      <c r="AR6423">
        <v>28.386169462917032</v>
      </c>
      <c r="AS6423" t="s">
        <v>65</v>
      </c>
      <c r="AT6423">
        <v>1</v>
      </c>
      <c r="AU6423" t="s">
        <v>508</v>
      </c>
      <c r="AV6423" t="s">
        <v>509</v>
      </c>
      <c r="AW6423" t="s">
        <v>60</v>
      </c>
      <c r="AX6423" t="s">
        <v>68</v>
      </c>
      <c r="AY6423" t="s">
        <v>69</v>
      </c>
      <c r="AZ6423" t="b">
        <v>1</v>
      </c>
    </row>
    <row r="6424" spans="1:52" x14ac:dyDescent="0.3">
      <c r="A6424" t="s">
        <v>52</v>
      </c>
      <c r="B6424" t="s">
        <v>53</v>
      </c>
      <c r="C6424" t="s">
        <v>54</v>
      </c>
      <c r="D6424" t="s">
        <v>55</v>
      </c>
      <c r="E6424" t="s">
        <v>2295</v>
      </c>
      <c r="F6424" t="s">
        <v>1247</v>
      </c>
      <c r="G6424" t="s">
        <v>879</v>
      </c>
      <c r="H6424" t="s">
        <v>880</v>
      </c>
      <c r="I6424" t="s">
        <v>880</v>
      </c>
      <c r="J6424" t="s">
        <v>60</v>
      </c>
      <c r="K6424" t="s">
        <v>505</v>
      </c>
      <c r="L6424" t="s">
        <v>62</v>
      </c>
      <c r="M6424" t="s">
        <v>505</v>
      </c>
      <c r="N6424" t="s">
        <v>881</v>
      </c>
      <c r="O6424" t="s">
        <v>882</v>
      </c>
      <c r="P6424">
        <v>-20.133452999999999</v>
      </c>
      <c r="Q6424">
        <v>-44.890571999999999</v>
      </c>
      <c r="R6424" s="2" t="str">
        <f>HYPERLINK("https://www.google.com/maps?q=-20.1334530,-44.8905720","Abrir no Google Maps")</f>
        <v>Abrir no Google Maps</v>
      </c>
      <c r="S6424">
        <v>3</v>
      </c>
      <c r="T6424">
        <v>373.51332104809921</v>
      </c>
      <c r="U6424">
        <v>4</v>
      </c>
      <c r="V6424">
        <v>0.48441922376348601</v>
      </c>
      <c r="W6424">
        <v>1</v>
      </c>
      <c r="X6424">
        <v>0.48441922376348601</v>
      </c>
      <c r="Y6424">
        <v>564</v>
      </c>
      <c r="Z6424">
        <v>422.34693311930448</v>
      </c>
      <c r="AA6424">
        <v>198</v>
      </c>
      <c r="AB6424">
        <v>332</v>
      </c>
      <c r="AC6424">
        <v>536</v>
      </c>
      <c r="AD6424">
        <v>29.58</v>
      </c>
      <c r="AE6424">
        <v>542</v>
      </c>
      <c r="AF6424">
        <v>30</v>
      </c>
      <c r="AG6424">
        <v>169</v>
      </c>
      <c r="AH6424">
        <v>129</v>
      </c>
      <c r="AI6424">
        <v>5.54</v>
      </c>
      <c r="AJ6424">
        <v>31.18</v>
      </c>
      <c r="AK6424">
        <v>23.8</v>
      </c>
      <c r="AL6424">
        <v>-20.133421549999952</v>
      </c>
      <c r="AM6424">
        <v>-44.890623456009052</v>
      </c>
      <c r="AN6424">
        <v>-20.133421549999952</v>
      </c>
      <c r="AO6424">
        <v>-44.890623456009052</v>
      </c>
      <c r="AP6424">
        <v>-20.133452999999999</v>
      </c>
      <c r="AQ6424">
        <v>-44.890571999999999</v>
      </c>
      <c r="AR6424">
        <v>6.4172139275452773</v>
      </c>
      <c r="AS6424" t="s">
        <v>65</v>
      </c>
      <c r="AT6424">
        <v>1</v>
      </c>
      <c r="AU6424" t="s">
        <v>883</v>
      </c>
      <c r="AV6424" t="s">
        <v>884</v>
      </c>
      <c r="AW6424" t="s">
        <v>60</v>
      </c>
      <c r="AX6424" t="s">
        <v>68</v>
      </c>
      <c r="AY6424" t="s">
        <v>69</v>
      </c>
      <c r="AZ6424" t="b">
        <v>1</v>
      </c>
    </row>
    <row r="6425" spans="1:52" x14ac:dyDescent="0.3">
      <c r="A6425" t="s">
        <v>52</v>
      </c>
      <c r="B6425" t="s">
        <v>53</v>
      </c>
      <c r="C6425" t="s">
        <v>54</v>
      </c>
      <c r="D6425" t="s">
        <v>55</v>
      </c>
      <c r="E6425" t="s">
        <v>2295</v>
      </c>
      <c r="F6425" t="s">
        <v>1247</v>
      </c>
      <c r="G6425" t="s">
        <v>523</v>
      </c>
      <c r="H6425" t="s">
        <v>524</v>
      </c>
      <c r="I6425" t="s">
        <v>524</v>
      </c>
      <c r="J6425" t="s">
        <v>60</v>
      </c>
      <c r="K6425" t="s">
        <v>518</v>
      </c>
      <c r="L6425" t="s">
        <v>62</v>
      </c>
      <c r="M6425" t="s">
        <v>518</v>
      </c>
      <c r="N6425" t="s">
        <v>525</v>
      </c>
      <c r="O6425" t="s">
        <v>331</v>
      </c>
      <c r="P6425">
        <v>-20.126553000000001</v>
      </c>
      <c r="Q6425">
        <v>-44.888599999999997</v>
      </c>
      <c r="R6425" s="2" t="str">
        <f>HYPERLINK("https://www.google.com/maps?q=-20.1265530,-44.8886000","Abrir no Google Maps")</f>
        <v>Abrir no Google Maps</v>
      </c>
      <c r="S6425">
        <v>3</v>
      </c>
      <c r="T6425">
        <v>256.34043440603853</v>
      </c>
      <c r="U6425">
        <v>4</v>
      </c>
      <c r="V6425">
        <v>0.47487378296370908</v>
      </c>
      <c r="W6425">
        <v>1</v>
      </c>
      <c r="X6425">
        <v>0.47487378296370908</v>
      </c>
      <c r="Y6425">
        <v>564</v>
      </c>
      <c r="Z6425">
        <v>325.4404273055876</v>
      </c>
      <c r="AA6425">
        <v>198</v>
      </c>
      <c r="AB6425">
        <v>332</v>
      </c>
      <c r="AC6425">
        <v>536</v>
      </c>
      <c r="AD6425">
        <v>29.58</v>
      </c>
      <c r="AE6425">
        <v>542</v>
      </c>
      <c r="AF6425">
        <v>30</v>
      </c>
      <c r="AG6425">
        <v>169</v>
      </c>
      <c r="AH6425">
        <v>129</v>
      </c>
      <c r="AI6425">
        <v>5.54</v>
      </c>
      <c r="AJ6425">
        <v>31.18</v>
      </c>
      <c r="AK6425">
        <v>23.8</v>
      </c>
      <c r="AL6425">
        <v>-20.12669049999997</v>
      </c>
      <c r="AM6425">
        <v>-44.888671289876577</v>
      </c>
      <c r="AN6425">
        <v>-20.12669049999997</v>
      </c>
      <c r="AO6425">
        <v>-44.888671289876577</v>
      </c>
      <c r="AP6425">
        <v>-20.126553000000001</v>
      </c>
      <c r="AQ6425">
        <v>-44.888599999999997</v>
      </c>
      <c r="AR6425">
        <v>17.023861591720589</v>
      </c>
      <c r="AS6425" t="s">
        <v>65</v>
      </c>
      <c r="AT6425">
        <v>1</v>
      </c>
      <c r="AU6425" t="s">
        <v>526</v>
      </c>
      <c r="AV6425" t="s">
        <v>527</v>
      </c>
      <c r="AW6425" t="s">
        <v>60</v>
      </c>
      <c r="AX6425" t="s">
        <v>68</v>
      </c>
      <c r="AY6425" t="s">
        <v>69</v>
      </c>
      <c r="AZ6425" t="b">
        <v>1</v>
      </c>
    </row>
    <row r="6426" spans="1:52" x14ac:dyDescent="0.3">
      <c r="A6426" t="s">
        <v>52</v>
      </c>
      <c r="B6426" t="s">
        <v>53</v>
      </c>
      <c r="C6426" t="s">
        <v>54</v>
      </c>
      <c r="D6426" t="s">
        <v>55</v>
      </c>
      <c r="E6426" t="s">
        <v>2295</v>
      </c>
      <c r="F6426" t="s">
        <v>1247</v>
      </c>
      <c r="G6426" t="s">
        <v>528</v>
      </c>
      <c r="H6426" t="s">
        <v>529</v>
      </c>
      <c r="I6426" t="s">
        <v>529</v>
      </c>
      <c r="J6426" t="s">
        <v>60</v>
      </c>
      <c r="K6426" t="s">
        <v>530</v>
      </c>
      <c r="L6426" t="s">
        <v>62</v>
      </c>
      <c r="M6426" t="s">
        <v>530</v>
      </c>
      <c r="N6426" t="s">
        <v>531</v>
      </c>
      <c r="O6426" t="s">
        <v>532</v>
      </c>
      <c r="P6426">
        <v>-20.142457</v>
      </c>
      <c r="Q6426">
        <v>-44.891688000000002</v>
      </c>
      <c r="R6426" s="2" t="str">
        <f>HYPERLINK("https://www.google.com/maps?q=-20.1424570,-44.8916880","Abrir no Google Maps")</f>
        <v>Abrir no Google Maps</v>
      </c>
      <c r="S6426">
        <v>3</v>
      </c>
      <c r="T6426">
        <v>0</v>
      </c>
      <c r="U6426">
        <v>4</v>
      </c>
      <c r="V6426">
        <v>0.46839817854761812</v>
      </c>
      <c r="W6426">
        <v>1</v>
      </c>
      <c r="X6426">
        <v>0.46839817854761812</v>
      </c>
      <c r="Y6426">
        <v>557</v>
      </c>
      <c r="Z6426">
        <v>42.611952255679803</v>
      </c>
      <c r="AA6426">
        <v>198</v>
      </c>
      <c r="AB6426">
        <v>332</v>
      </c>
      <c r="AC6426">
        <v>536</v>
      </c>
      <c r="AD6426">
        <v>29.58</v>
      </c>
      <c r="AE6426">
        <v>542</v>
      </c>
      <c r="AF6426">
        <v>30</v>
      </c>
      <c r="AG6426">
        <v>169</v>
      </c>
      <c r="AH6426">
        <v>129</v>
      </c>
      <c r="AI6426">
        <v>5.54</v>
      </c>
      <c r="AJ6426">
        <v>31.18</v>
      </c>
      <c r="AK6426">
        <v>23.8</v>
      </c>
      <c r="AL6426">
        <v>-20.142523099999948</v>
      </c>
      <c r="AM6426">
        <v>-44.891523817588819</v>
      </c>
      <c r="AN6426">
        <v>-20.142523099999948</v>
      </c>
      <c r="AO6426">
        <v>-44.891523817588819</v>
      </c>
      <c r="AP6426">
        <v>-20.142457</v>
      </c>
      <c r="AQ6426">
        <v>-44.891688000000002</v>
      </c>
      <c r="AR6426">
        <v>18.670129248632971</v>
      </c>
      <c r="AS6426" t="s">
        <v>65</v>
      </c>
      <c r="AT6426">
        <v>1</v>
      </c>
      <c r="AU6426" t="s">
        <v>533</v>
      </c>
      <c r="AV6426" t="s">
        <v>534</v>
      </c>
      <c r="AW6426" t="s">
        <v>60</v>
      </c>
      <c r="AX6426" t="s">
        <v>68</v>
      </c>
      <c r="AY6426" t="s">
        <v>69</v>
      </c>
      <c r="AZ6426" t="b">
        <v>1</v>
      </c>
    </row>
    <row r="6427" spans="1:52" x14ac:dyDescent="0.3">
      <c r="A6427" t="s">
        <v>52</v>
      </c>
      <c r="B6427" t="s">
        <v>53</v>
      </c>
      <c r="C6427" t="s">
        <v>54</v>
      </c>
      <c r="D6427" t="s">
        <v>55</v>
      </c>
      <c r="E6427" t="s">
        <v>2295</v>
      </c>
      <c r="F6427" t="s">
        <v>1247</v>
      </c>
      <c r="G6427" t="s">
        <v>890</v>
      </c>
      <c r="H6427" t="s">
        <v>891</v>
      </c>
      <c r="I6427" t="s">
        <v>891</v>
      </c>
      <c r="J6427" t="s">
        <v>60</v>
      </c>
      <c r="K6427" t="s">
        <v>892</v>
      </c>
      <c r="L6427" t="s">
        <v>62</v>
      </c>
      <c r="M6427" t="s">
        <v>892</v>
      </c>
      <c r="N6427" t="s">
        <v>893</v>
      </c>
      <c r="O6427" t="s">
        <v>894</v>
      </c>
      <c r="P6427">
        <v>-20.152519000000002</v>
      </c>
      <c r="Q6427">
        <v>-44.899177000000002</v>
      </c>
      <c r="R6427" s="2" t="str">
        <f>HYPERLINK("https://www.google.com/maps?q=-20.1525190,-44.8991770","Abrir no Google Maps")</f>
        <v>Abrir no Google Maps</v>
      </c>
      <c r="S6427">
        <v>3</v>
      </c>
      <c r="T6427">
        <v>211.80188552994721</v>
      </c>
      <c r="U6427">
        <v>4</v>
      </c>
      <c r="V6427">
        <v>0.4839784130196475</v>
      </c>
      <c r="W6427">
        <v>1</v>
      </c>
      <c r="X6427">
        <v>0.4839784130196475</v>
      </c>
      <c r="Y6427">
        <v>556</v>
      </c>
      <c r="Z6427">
        <v>290.34804137107091</v>
      </c>
      <c r="AA6427">
        <v>198</v>
      </c>
      <c r="AB6427">
        <v>332</v>
      </c>
      <c r="AC6427">
        <v>536</v>
      </c>
      <c r="AD6427">
        <v>29.58</v>
      </c>
      <c r="AE6427">
        <v>542</v>
      </c>
      <c r="AF6427">
        <v>30</v>
      </c>
      <c r="AG6427">
        <v>169</v>
      </c>
      <c r="AH6427">
        <v>129</v>
      </c>
      <c r="AI6427">
        <v>5.54</v>
      </c>
      <c r="AJ6427">
        <v>31.18</v>
      </c>
      <c r="AK6427">
        <v>23.8</v>
      </c>
      <c r="AL6427">
        <v>-20.152516249999959</v>
      </c>
      <c r="AM6427">
        <v>-44.899310431333959</v>
      </c>
      <c r="AN6427">
        <v>-20.152516249999959</v>
      </c>
      <c r="AO6427">
        <v>-44.899310431333959</v>
      </c>
      <c r="AP6427">
        <v>-20.152519000000002</v>
      </c>
      <c r="AQ6427">
        <v>-44.899177000000002</v>
      </c>
      <c r="AR6427">
        <v>13.947583284957719</v>
      </c>
      <c r="AS6427" t="s">
        <v>65</v>
      </c>
      <c r="AT6427">
        <v>1</v>
      </c>
      <c r="AU6427" t="s">
        <v>895</v>
      </c>
      <c r="AV6427" t="s">
        <v>896</v>
      </c>
      <c r="AW6427" t="s">
        <v>60</v>
      </c>
      <c r="AX6427" t="s">
        <v>68</v>
      </c>
      <c r="AY6427" t="s">
        <v>69</v>
      </c>
      <c r="AZ6427" t="b">
        <v>1</v>
      </c>
    </row>
    <row r="6428" spans="1:52" x14ac:dyDescent="0.3">
      <c r="A6428" t="s">
        <v>52</v>
      </c>
      <c r="B6428" t="s">
        <v>53</v>
      </c>
      <c r="C6428" t="s">
        <v>54</v>
      </c>
      <c r="D6428" t="s">
        <v>55</v>
      </c>
      <c r="E6428" t="s">
        <v>2295</v>
      </c>
      <c r="F6428" t="s">
        <v>1247</v>
      </c>
      <c r="G6428" t="s">
        <v>535</v>
      </c>
      <c r="H6428" t="s">
        <v>536</v>
      </c>
      <c r="I6428" t="s">
        <v>536</v>
      </c>
      <c r="J6428" t="s">
        <v>60</v>
      </c>
      <c r="K6428" t="s">
        <v>388</v>
      </c>
      <c r="L6428" t="s">
        <v>62</v>
      </c>
      <c r="M6428" t="s">
        <v>388</v>
      </c>
      <c r="N6428" t="s">
        <v>537</v>
      </c>
      <c r="O6428" t="s">
        <v>538</v>
      </c>
      <c r="P6428">
        <v>-20.150061999999998</v>
      </c>
      <c r="Q6428">
        <v>-44.903379000000001</v>
      </c>
      <c r="R6428" s="2" t="str">
        <f>HYPERLINK("https://www.google.com/maps?q=-20.1500620,-44.9033790","Abrir no Google Maps")</f>
        <v>Abrir no Google Maps</v>
      </c>
      <c r="S6428">
        <v>3</v>
      </c>
      <c r="T6428">
        <v>286.20313674219977</v>
      </c>
      <c r="U6428">
        <v>4</v>
      </c>
      <c r="V6428">
        <v>0.46742565679491399</v>
      </c>
      <c r="W6428">
        <v>1</v>
      </c>
      <c r="X6428">
        <v>0.46742565679491399</v>
      </c>
      <c r="Y6428">
        <v>556</v>
      </c>
      <c r="Z6428">
        <v>315.81851898667401</v>
      </c>
      <c r="AA6428">
        <v>198</v>
      </c>
      <c r="AB6428">
        <v>332</v>
      </c>
      <c r="AC6428">
        <v>536</v>
      </c>
      <c r="AD6428">
        <v>29.58</v>
      </c>
      <c r="AE6428">
        <v>542</v>
      </c>
      <c r="AF6428">
        <v>30</v>
      </c>
      <c r="AG6428">
        <v>169</v>
      </c>
      <c r="AH6428">
        <v>129</v>
      </c>
      <c r="AI6428">
        <v>5.54</v>
      </c>
      <c r="AJ6428">
        <v>31.18</v>
      </c>
      <c r="AK6428">
        <v>23.8</v>
      </c>
      <c r="AL6428">
        <v>-20.150084299999971</v>
      </c>
      <c r="AM6428">
        <v>-44.903278407568479</v>
      </c>
      <c r="AN6428">
        <v>-20.150084299999971</v>
      </c>
      <c r="AO6428">
        <v>-44.903278407568479</v>
      </c>
      <c r="AP6428">
        <v>-20.150061999999998</v>
      </c>
      <c r="AQ6428">
        <v>-44.903379000000001</v>
      </c>
      <c r="AR6428">
        <v>10.801687336134639</v>
      </c>
      <c r="AS6428" t="s">
        <v>65</v>
      </c>
      <c r="AT6428">
        <v>1</v>
      </c>
      <c r="AU6428" t="s">
        <v>539</v>
      </c>
      <c r="AV6428" t="s">
        <v>540</v>
      </c>
      <c r="AW6428" t="s">
        <v>60</v>
      </c>
      <c r="AX6428" t="s">
        <v>68</v>
      </c>
      <c r="AY6428" t="s">
        <v>69</v>
      </c>
      <c r="AZ6428" t="b">
        <v>1</v>
      </c>
    </row>
    <row r="6429" spans="1:52" x14ac:dyDescent="0.3">
      <c r="A6429" t="s">
        <v>52</v>
      </c>
      <c r="B6429" t="s">
        <v>53</v>
      </c>
      <c r="C6429" t="s">
        <v>54</v>
      </c>
      <c r="D6429" t="s">
        <v>55</v>
      </c>
      <c r="E6429" t="s">
        <v>2295</v>
      </c>
      <c r="F6429" t="s">
        <v>1247</v>
      </c>
      <c r="G6429" t="s">
        <v>398</v>
      </c>
      <c r="H6429" t="s">
        <v>541</v>
      </c>
      <c r="I6429" t="s">
        <v>541</v>
      </c>
      <c r="J6429" t="s">
        <v>60</v>
      </c>
      <c r="K6429" t="s">
        <v>388</v>
      </c>
      <c r="L6429" t="s">
        <v>62</v>
      </c>
      <c r="M6429" t="s">
        <v>388</v>
      </c>
      <c r="N6429" t="s">
        <v>400</v>
      </c>
      <c r="O6429" t="s">
        <v>542</v>
      </c>
      <c r="P6429">
        <v>-20.151335</v>
      </c>
      <c r="Q6429">
        <v>-44.901041999999997</v>
      </c>
      <c r="R6429" s="2" t="str">
        <f>HYPERLINK("https://www.google.com/maps?q=-20.1513350,-44.9010420","Abrir no Google Maps")</f>
        <v>Abrir no Google Maps</v>
      </c>
      <c r="S6429">
        <v>3</v>
      </c>
      <c r="T6429">
        <v>0</v>
      </c>
      <c r="U6429">
        <v>4</v>
      </c>
      <c r="V6429">
        <v>0.47829595084758308</v>
      </c>
      <c r="W6429">
        <v>1</v>
      </c>
      <c r="X6429">
        <v>0.47829595084758308</v>
      </c>
      <c r="Y6429">
        <v>556</v>
      </c>
      <c r="Z6429">
        <v>137.71609036908939</v>
      </c>
      <c r="AA6429">
        <v>198</v>
      </c>
      <c r="AB6429">
        <v>332</v>
      </c>
      <c r="AC6429">
        <v>536</v>
      </c>
      <c r="AD6429">
        <v>29.58</v>
      </c>
      <c r="AE6429">
        <v>542</v>
      </c>
      <c r="AF6429">
        <v>30</v>
      </c>
      <c r="AG6429">
        <v>169</v>
      </c>
      <c r="AH6429">
        <v>129</v>
      </c>
      <c r="AI6429">
        <v>5.54</v>
      </c>
      <c r="AJ6429">
        <v>31.18</v>
      </c>
      <c r="AK6429">
        <v>23.8</v>
      </c>
      <c r="AL6429">
        <v>-20.15125899999995</v>
      </c>
      <c r="AM6429">
        <v>-44.900838557594433</v>
      </c>
      <c r="AN6429">
        <v>-20.15125899999995</v>
      </c>
      <c r="AO6429">
        <v>-44.900838557594433</v>
      </c>
      <c r="AP6429">
        <v>-20.151335</v>
      </c>
      <c r="AQ6429">
        <v>-44.901041999999997</v>
      </c>
      <c r="AR6429">
        <v>22.882363139483491</v>
      </c>
      <c r="AS6429" t="s">
        <v>65</v>
      </c>
      <c r="AT6429">
        <v>1</v>
      </c>
      <c r="AU6429" t="s">
        <v>543</v>
      </c>
      <c r="AV6429" t="s">
        <v>544</v>
      </c>
      <c r="AW6429" t="s">
        <v>60</v>
      </c>
      <c r="AX6429" t="s">
        <v>68</v>
      </c>
      <c r="AY6429" t="s">
        <v>69</v>
      </c>
      <c r="AZ6429" t="b">
        <v>1</v>
      </c>
    </row>
    <row r="6430" spans="1:52" x14ac:dyDescent="0.3">
      <c r="A6430" t="s">
        <v>52</v>
      </c>
      <c r="B6430" t="s">
        <v>53</v>
      </c>
      <c r="C6430" t="s">
        <v>54</v>
      </c>
      <c r="D6430" t="s">
        <v>55</v>
      </c>
      <c r="E6430" t="s">
        <v>2295</v>
      </c>
      <c r="F6430" t="s">
        <v>1247</v>
      </c>
      <c r="G6430" t="s">
        <v>545</v>
      </c>
      <c r="H6430" t="s">
        <v>546</v>
      </c>
      <c r="I6430" t="s">
        <v>546</v>
      </c>
      <c r="J6430" t="s">
        <v>60</v>
      </c>
      <c r="K6430" t="s">
        <v>388</v>
      </c>
      <c r="L6430" t="s">
        <v>62</v>
      </c>
      <c r="M6430" t="s">
        <v>388</v>
      </c>
      <c r="N6430" t="s">
        <v>547</v>
      </c>
      <c r="O6430" t="s">
        <v>548</v>
      </c>
      <c r="P6430">
        <v>-20.155839</v>
      </c>
      <c r="Q6430">
        <v>-44.905655000000003</v>
      </c>
      <c r="R6430" s="2" t="str">
        <f>HYPERLINK("https://www.google.com/maps?q=-20.1558390,-44.9056550","Abrir no Google Maps")</f>
        <v>Abrir no Google Maps</v>
      </c>
      <c r="S6430">
        <v>3</v>
      </c>
      <c r="T6430">
        <v>309.7643089121122</v>
      </c>
      <c r="U6430">
        <v>4</v>
      </c>
      <c r="V6430">
        <v>0.4785788923719958</v>
      </c>
      <c r="W6430">
        <v>1</v>
      </c>
      <c r="X6430">
        <v>0.4785788923719958</v>
      </c>
      <c r="Y6430">
        <v>548</v>
      </c>
      <c r="Z6430">
        <v>284.24281731793161</v>
      </c>
      <c r="AA6430">
        <v>198</v>
      </c>
      <c r="AB6430">
        <v>332</v>
      </c>
      <c r="AC6430">
        <v>536</v>
      </c>
      <c r="AD6430">
        <v>29.58</v>
      </c>
      <c r="AE6430">
        <v>542</v>
      </c>
      <c r="AF6430">
        <v>30</v>
      </c>
      <c r="AG6430">
        <v>169</v>
      </c>
      <c r="AH6430">
        <v>129</v>
      </c>
      <c r="AI6430">
        <v>5.54</v>
      </c>
      <c r="AJ6430">
        <v>31.18</v>
      </c>
      <c r="AK6430">
        <v>23.8</v>
      </c>
      <c r="AL6430">
        <v>-20.155913549999951</v>
      </c>
      <c r="AM6430">
        <v>-44.905554508392683</v>
      </c>
      <c r="AN6430">
        <v>-20.155913549999951</v>
      </c>
      <c r="AO6430">
        <v>-44.905554508392669</v>
      </c>
      <c r="AP6430">
        <v>-20.155839</v>
      </c>
      <c r="AQ6430">
        <v>-44.905655000000003</v>
      </c>
      <c r="AR6430">
        <v>13.384922093797449</v>
      </c>
      <c r="AS6430" t="s">
        <v>65</v>
      </c>
      <c r="AT6430">
        <v>1</v>
      </c>
      <c r="AU6430" t="s">
        <v>549</v>
      </c>
      <c r="AV6430" t="s">
        <v>550</v>
      </c>
      <c r="AW6430" t="s">
        <v>60</v>
      </c>
      <c r="AX6430" t="s">
        <v>68</v>
      </c>
      <c r="AY6430" t="s">
        <v>69</v>
      </c>
      <c r="AZ6430" t="b">
        <v>1</v>
      </c>
    </row>
    <row r="6431" spans="1:52" x14ac:dyDescent="0.3">
      <c r="A6431" t="s">
        <v>52</v>
      </c>
      <c r="B6431" t="s">
        <v>53</v>
      </c>
      <c r="C6431" t="s">
        <v>54</v>
      </c>
      <c r="D6431" t="s">
        <v>55</v>
      </c>
      <c r="E6431" t="s">
        <v>2295</v>
      </c>
      <c r="F6431" t="s">
        <v>1247</v>
      </c>
      <c r="G6431" t="s">
        <v>556</v>
      </c>
      <c r="H6431" t="s">
        <v>557</v>
      </c>
      <c r="I6431" t="s">
        <v>557</v>
      </c>
      <c r="J6431" t="s">
        <v>60</v>
      </c>
      <c r="K6431" t="s">
        <v>388</v>
      </c>
      <c r="L6431" t="s">
        <v>62</v>
      </c>
      <c r="M6431" t="s">
        <v>388</v>
      </c>
      <c r="N6431" t="s">
        <v>558</v>
      </c>
      <c r="O6431" t="s">
        <v>559</v>
      </c>
      <c r="P6431">
        <v>-20.152670000000001</v>
      </c>
      <c r="Q6431">
        <v>-44.902557999999999</v>
      </c>
      <c r="R6431" s="2" t="str">
        <f>HYPERLINK("https://www.google.com/maps?q=-20.1526700,-44.9025580","Abrir no Google Maps")</f>
        <v>Abrir no Google Maps</v>
      </c>
      <c r="S6431">
        <v>3</v>
      </c>
      <c r="T6431">
        <v>228.56195217678911</v>
      </c>
      <c r="U6431">
        <v>4</v>
      </c>
      <c r="V6431">
        <v>0.4789580789580789</v>
      </c>
      <c r="W6431">
        <v>1</v>
      </c>
      <c r="X6431">
        <v>0.4789580789580789</v>
      </c>
      <c r="Y6431">
        <v>548</v>
      </c>
      <c r="Z6431">
        <v>250.63133895224919</v>
      </c>
      <c r="AA6431">
        <v>198</v>
      </c>
      <c r="AB6431">
        <v>332</v>
      </c>
      <c r="AC6431">
        <v>536</v>
      </c>
      <c r="AD6431">
        <v>29.58</v>
      </c>
      <c r="AE6431">
        <v>542</v>
      </c>
      <c r="AF6431">
        <v>30</v>
      </c>
      <c r="AG6431">
        <v>169</v>
      </c>
      <c r="AH6431">
        <v>129</v>
      </c>
      <c r="AI6431">
        <v>5.54</v>
      </c>
      <c r="AJ6431">
        <v>31.18</v>
      </c>
      <c r="AK6431">
        <v>23.8</v>
      </c>
      <c r="AL6431">
        <v>-20.152629799999939</v>
      </c>
      <c r="AM6431">
        <v>-44.902604744705201</v>
      </c>
      <c r="AN6431">
        <v>-20.152629799999939</v>
      </c>
      <c r="AO6431">
        <v>-44.902604744705201</v>
      </c>
      <c r="AP6431">
        <v>-20.152670000000001</v>
      </c>
      <c r="AQ6431">
        <v>-44.902557999999999</v>
      </c>
      <c r="AR6431">
        <v>6.6249428037111509</v>
      </c>
      <c r="AS6431" t="s">
        <v>65</v>
      </c>
      <c r="AT6431">
        <v>1</v>
      </c>
      <c r="AU6431" t="s">
        <v>560</v>
      </c>
      <c r="AV6431" t="s">
        <v>561</v>
      </c>
      <c r="AW6431" t="s">
        <v>60</v>
      </c>
      <c r="AX6431" t="s">
        <v>68</v>
      </c>
      <c r="AY6431" t="s">
        <v>69</v>
      </c>
      <c r="AZ6431" t="b">
        <v>1</v>
      </c>
    </row>
    <row r="6432" spans="1:52" x14ac:dyDescent="0.3">
      <c r="A6432" t="s">
        <v>52</v>
      </c>
      <c r="B6432" t="s">
        <v>53</v>
      </c>
      <c r="C6432" t="s">
        <v>54</v>
      </c>
      <c r="D6432" t="s">
        <v>55</v>
      </c>
      <c r="E6432" t="s">
        <v>2295</v>
      </c>
      <c r="F6432" t="s">
        <v>1247</v>
      </c>
      <c r="G6432" t="s">
        <v>562</v>
      </c>
      <c r="H6432" t="s">
        <v>563</v>
      </c>
      <c r="I6432" t="s">
        <v>563</v>
      </c>
      <c r="J6432" t="s">
        <v>60</v>
      </c>
      <c r="K6432" t="s">
        <v>388</v>
      </c>
      <c r="L6432" t="s">
        <v>62</v>
      </c>
      <c r="M6432" t="s">
        <v>388</v>
      </c>
      <c r="N6432" t="s">
        <v>564</v>
      </c>
      <c r="O6432" t="s">
        <v>565</v>
      </c>
      <c r="P6432">
        <v>-20.154432</v>
      </c>
      <c r="Q6432">
        <v>-44.902977999999997</v>
      </c>
      <c r="R6432" s="2" t="str">
        <f>HYPERLINK("https://www.google.com/maps?q=-20.1544320,-44.9029780","Abrir no Google Maps")</f>
        <v>Abrir no Google Maps</v>
      </c>
      <c r="S6432">
        <v>3</v>
      </c>
      <c r="T6432">
        <v>0</v>
      </c>
      <c r="U6432">
        <v>4</v>
      </c>
      <c r="V6432">
        <v>0.47788770377552869</v>
      </c>
      <c r="W6432">
        <v>1</v>
      </c>
      <c r="X6432">
        <v>0.47788770377552869</v>
      </c>
      <c r="Y6432">
        <v>548</v>
      </c>
      <c r="Z6432">
        <v>29.424211042533759</v>
      </c>
      <c r="AA6432">
        <v>198</v>
      </c>
      <c r="AB6432">
        <v>332</v>
      </c>
      <c r="AC6432">
        <v>536</v>
      </c>
      <c r="AD6432">
        <v>29.58</v>
      </c>
      <c r="AE6432">
        <v>542</v>
      </c>
      <c r="AF6432">
        <v>30</v>
      </c>
      <c r="AG6432">
        <v>169</v>
      </c>
      <c r="AH6432">
        <v>129</v>
      </c>
      <c r="AI6432">
        <v>5.54</v>
      </c>
      <c r="AJ6432">
        <v>31.18</v>
      </c>
      <c r="AK6432">
        <v>23.8</v>
      </c>
      <c r="AL6432">
        <v>-20.15467689999997</v>
      </c>
      <c r="AM6432">
        <v>-44.902895281771222</v>
      </c>
      <c r="AN6432">
        <v>-20.15467689999997</v>
      </c>
      <c r="AO6432">
        <v>-44.902895281771222</v>
      </c>
      <c r="AP6432">
        <v>-20.154432</v>
      </c>
      <c r="AQ6432">
        <v>-44.902977999999997</v>
      </c>
      <c r="AR6432">
        <v>28.5999270636025</v>
      </c>
      <c r="AS6432" t="s">
        <v>65</v>
      </c>
      <c r="AT6432">
        <v>1</v>
      </c>
      <c r="AU6432" t="s">
        <v>566</v>
      </c>
      <c r="AV6432" t="s">
        <v>567</v>
      </c>
      <c r="AW6432" t="s">
        <v>60</v>
      </c>
      <c r="AX6432" t="s">
        <v>68</v>
      </c>
      <c r="AY6432" t="s">
        <v>69</v>
      </c>
      <c r="AZ6432" t="b">
        <v>1</v>
      </c>
    </row>
    <row r="6433" spans="1:52" x14ac:dyDescent="0.3">
      <c r="A6433" t="s">
        <v>52</v>
      </c>
      <c r="B6433" t="s">
        <v>53</v>
      </c>
      <c r="C6433" t="s">
        <v>54</v>
      </c>
      <c r="D6433" t="s">
        <v>55</v>
      </c>
      <c r="E6433" t="s">
        <v>2295</v>
      </c>
      <c r="F6433" t="s">
        <v>1247</v>
      </c>
      <c r="G6433" t="s">
        <v>839</v>
      </c>
      <c r="H6433" t="s">
        <v>840</v>
      </c>
      <c r="I6433" t="s">
        <v>840</v>
      </c>
      <c r="J6433" t="s">
        <v>60</v>
      </c>
      <c r="K6433" t="s">
        <v>388</v>
      </c>
      <c r="L6433" t="s">
        <v>62</v>
      </c>
      <c r="M6433" t="s">
        <v>388</v>
      </c>
      <c r="N6433" t="s">
        <v>841</v>
      </c>
      <c r="O6433" t="s">
        <v>842</v>
      </c>
      <c r="P6433">
        <v>-20.159977999999999</v>
      </c>
      <c r="Q6433">
        <v>-44.900207000000002</v>
      </c>
      <c r="R6433" s="2" t="str">
        <f>HYPERLINK("https://www.google.com/maps?q=-20.1599780,-44.9002070","Abrir no Google Maps")</f>
        <v>Abrir no Google Maps</v>
      </c>
      <c r="S6433">
        <v>3</v>
      </c>
      <c r="T6433">
        <v>213.24333517300789</v>
      </c>
      <c r="U6433">
        <v>3</v>
      </c>
      <c r="V6433">
        <v>0.46053511705685618</v>
      </c>
      <c r="W6433">
        <v>1</v>
      </c>
      <c r="X6433">
        <v>0.46053511705685618</v>
      </c>
      <c r="Y6433">
        <v>729</v>
      </c>
      <c r="Z6433">
        <v>315.47173727880028</v>
      </c>
      <c r="AA6433">
        <v>198</v>
      </c>
      <c r="AB6433">
        <v>332</v>
      </c>
      <c r="AC6433">
        <v>536</v>
      </c>
      <c r="AD6433">
        <v>29.58</v>
      </c>
      <c r="AE6433">
        <v>542</v>
      </c>
      <c r="AF6433">
        <v>30</v>
      </c>
      <c r="AG6433">
        <v>169</v>
      </c>
      <c r="AH6433">
        <v>129</v>
      </c>
      <c r="AI6433">
        <v>5.54</v>
      </c>
      <c r="AJ6433">
        <v>31.18</v>
      </c>
      <c r="AK6433">
        <v>23.8</v>
      </c>
      <c r="AL6433">
        <v>-20.159825649999959</v>
      </c>
      <c r="AM6433">
        <v>-44.900143828909613</v>
      </c>
      <c r="AN6433">
        <v>-20.159825649999959</v>
      </c>
      <c r="AO6433">
        <v>-44.900143828909613</v>
      </c>
      <c r="AP6433">
        <v>-20.159977999999999</v>
      </c>
      <c r="AQ6433">
        <v>-44.900207000000002</v>
      </c>
      <c r="AR6433">
        <v>18.199073573580371</v>
      </c>
      <c r="AS6433" t="s">
        <v>65</v>
      </c>
      <c r="AT6433">
        <v>1</v>
      </c>
      <c r="AU6433" t="s">
        <v>843</v>
      </c>
      <c r="AV6433" t="s">
        <v>844</v>
      </c>
      <c r="AW6433" t="s">
        <v>60</v>
      </c>
      <c r="AX6433" t="s">
        <v>68</v>
      </c>
      <c r="AY6433" t="s">
        <v>69</v>
      </c>
      <c r="AZ6433" t="b">
        <v>1</v>
      </c>
    </row>
    <row r="6434" spans="1:52" x14ac:dyDescent="0.3">
      <c r="A6434" t="s">
        <v>52</v>
      </c>
      <c r="B6434" t="s">
        <v>53</v>
      </c>
      <c r="C6434" t="s">
        <v>54</v>
      </c>
      <c r="D6434" t="s">
        <v>55</v>
      </c>
      <c r="E6434" t="s">
        <v>2295</v>
      </c>
      <c r="F6434" t="s">
        <v>1247</v>
      </c>
      <c r="G6434" t="s">
        <v>386</v>
      </c>
      <c r="H6434" t="s">
        <v>387</v>
      </c>
      <c r="I6434" t="s">
        <v>387</v>
      </c>
      <c r="J6434" t="s">
        <v>60</v>
      </c>
      <c r="K6434" t="s">
        <v>388</v>
      </c>
      <c r="L6434" t="s">
        <v>62</v>
      </c>
      <c r="M6434" t="s">
        <v>388</v>
      </c>
      <c r="N6434" t="s">
        <v>389</v>
      </c>
      <c r="O6434" t="s">
        <v>357</v>
      </c>
      <c r="P6434">
        <v>-20.161041999999998</v>
      </c>
      <c r="Q6434">
        <v>-44.901242000000003</v>
      </c>
      <c r="R6434" s="2" t="str">
        <f>HYPERLINK("https://www.google.com/maps?q=-20.1610420,-44.9012420","Abrir no Google Maps")</f>
        <v>Abrir no Google Maps</v>
      </c>
      <c r="S6434">
        <v>3</v>
      </c>
      <c r="T6434">
        <v>440.22183232279212</v>
      </c>
      <c r="U6434">
        <v>3</v>
      </c>
      <c r="V6434">
        <v>0.45662025662025663</v>
      </c>
      <c r="W6434">
        <v>1</v>
      </c>
      <c r="X6434">
        <v>0.45662025662025663</v>
      </c>
      <c r="Y6434">
        <v>729</v>
      </c>
      <c r="Z6434">
        <v>398.48306829302379</v>
      </c>
      <c r="AA6434">
        <v>198</v>
      </c>
      <c r="AB6434">
        <v>332</v>
      </c>
      <c r="AC6434">
        <v>536</v>
      </c>
      <c r="AD6434">
        <v>29.58</v>
      </c>
      <c r="AE6434">
        <v>542</v>
      </c>
      <c r="AF6434">
        <v>30</v>
      </c>
      <c r="AG6434">
        <v>169</v>
      </c>
      <c r="AH6434">
        <v>129</v>
      </c>
      <c r="AI6434">
        <v>5.54</v>
      </c>
      <c r="AJ6434">
        <v>31.18</v>
      </c>
      <c r="AK6434">
        <v>23.8</v>
      </c>
      <c r="AL6434">
        <v>-20.16176629999995</v>
      </c>
      <c r="AM6434">
        <v>-44.901582787827898</v>
      </c>
      <c r="AN6434">
        <v>-20.16176629999995</v>
      </c>
      <c r="AO6434">
        <v>-44.901582787827898</v>
      </c>
      <c r="AP6434">
        <v>-20.161041999999998</v>
      </c>
      <c r="AQ6434">
        <v>-44.901242000000003</v>
      </c>
      <c r="AR6434">
        <v>88.143369157892835</v>
      </c>
      <c r="AS6434" t="s">
        <v>65</v>
      </c>
      <c r="AT6434">
        <v>1</v>
      </c>
      <c r="AU6434" t="s">
        <v>390</v>
      </c>
      <c r="AV6434" t="s">
        <v>391</v>
      </c>
      <c r="AW6434" t="s">
        <v>60</v>
      </c>
      <c r="AX6434" t="s">
        <v>68</v>
      </c>
      <c r="AY6434" t="s">
        <v>69</v>
      </c>
      <c r="AZ6434" t="b">
        <v>1</v>
      </c>
    </row>
    <row r="6435" spans="1:52" x14ac:dyDescent="0.3">
      <c r="A6435" t="s">
        <v>52</v>
      </c>
      <c r="B6435" t="s">
        <v>53</v>
      </c>
      <c r="C6435" t="s">
        <v>54</v>
      </c>
      <c r="D6435" t="s">
        <v>55</v>
      </c>
      <c r="E6435" t="s">
        <v>2295</v>
      </c>
      <c r="F6435" t="s">
        <v>1247</v>
      </c>
      <c r="G6435" t="s">
        <v>392</v>
      </c>
      <c r="H6435" t="s">
        <v>393</v>
      </c>
      <c r="I6435" t="s">
        <v>393</v>
      </c>
      <c r="J6435" t="s">
        <v>60</v>
      </c>
      <c r="K6435" t="s">
        <v>388</v>
      </c>
      <c r="L6435" t="s">
        <v>62</v>
      </c>
      <c r="M6435" t="s">
        <v>388</v>
      </c>
      <c r="N6435" t="s">
        <v>394</v>
      </c>
      <c r="O6435" t="s">
        <v>395</v>
      </c>
      <c r="P6435">
        <v>-20.158066999999999</v>
      </c>
      <c r="Q6435">
        <v>-44.908164999999997</v>
      </c>
      <c r="R6435" s="2" t="str">
        <f>HYPERLINK("https://www.google.com/maps?q=-20.1580670,-44.9081650","Abrir no Google Maps")</f>
        <v>Abrir no Google Maps</v>
      </c>
      <c r="S6435">
        <v>3</v>
      </c>
      <c r="T6435">
        <v>666.74434317993041</v>
      </c>
      <c r="U6435">
        <v>3</v>
      </c>
      <c r="V6435">
        <v>0.43791604119361027</v>
      </c>
      <c r="W6435">
        <v>1</v>
      </c>
      <c r="X6435">
        <v>0.43791604119361027</v>
      </c>
      <c r="Y6435">
        <v>729</v>
      </c>
      <c r="Z6435">
        <v>612.4323328215396</v>
      </c>
      <c r="AA6435">
        <v>198</v>
      </c>
      <c r="AB6435">
        <v>332</v>
      </c>
      <c r="AC6435">
        <v>536</v>
      </c>
      <c r="AD6435">
        <v>29.58</v>
      </c>
      <c r="AE6435">
        <v>542</v>
      </c>
      <c r="AF6435">
        <v>30</v>
      </c>
      <c r="AG6435">
        <v>169</v>
      </c>
      <c r="AH6435">
        <v>129</v>
      </c>
      <c r="AI6435">
        <v>5.54</v>
      </c>
      <c r="AJ6435">
        <v>31.18</v>
      </c>
      <c r="AK6435">
        <v>23.8</v>
      </c>
      <c r="AL6435">
        <v>-20.158151449999959</v>
      </c>
      <c r="AM6435">
        <v>-44.908107718360938</v>
      </c>
      <c r="AN6435">
        <v>-20.158151449999959</v>
      </c>
      <c r="AO6435">
        <v>-44.908107718360938</v>
      </c>
      <c r="AP6435">
        <v>-20.158066999999999</v>
      </c>
      <c r="AQ6435">
        <v>-44.908164999999997</v>
      </c>
      <c r="AR6435">
        <v>11.14497345894574</v>
      </c>
      <c r="AS6435" t="s">
        <v>65</v>
      </c>
      <c r="AT6435">
        <v>1</v>
      </c>
      <c r="AU6435" t="s">
        <v>396</v>
      </c>
      <c r="AV6435" t="s">
        <v>397</v>
      </c>
      <c r="AW6435" t="s">
        <v>60</v>
      </c>
      <c r="AX6435" t="s">
        <v>68</v>
      </c>
      <c r="AY6435" t="s">
        <v>69</v>
      </c>
      <c r="AZ6435" t="b">
        <v>1</v>
      </c>
    </row>
    <row r="6436" spans="1:52" x14ac:dyDescent="0.3">
      <c r="A6436" t="s">
        <v>52</v>
      </c>
      <c r="B6436" t="s">
        <v>53</v>
      </c>
      <c r="C6436" t="s">
        <v>54</v>
      </c>
      <c r="D6436" t="s">
        <v>55</v>
      </c>
      <c r="E6436" t="s">
        <v>2295</v>
      </c>
      <c r="F6436" t="s">
        <v>1247</v>
      </c>
      <c r="G6436" t="s">
        <v>404</v>
      </c>
      <c r="H6436" t="s">
        <v>405</v>
      </c>
      <c r="I6436" t="s">
        <v>405</v>
      </c>
      <c r="J6436" t="s">
        <v>60</v>
      </c>
      <c r="K6436" t="s">
        <v>388</v>
      </c>
      <c r="L6436" t="s">
        <v>62</v>
      </c>
      <c r="M6436" t="s">
        <v>388</v>
      </c>
      <c r="N6436" t="s">
        <v>406</v>
      </c>
      <c r="O6436" t="s">
        <v>407</v>
      </c>
      <c r="P6436">
        <v>-20.162780999999999</v>
      </c>
      <c r="Q6436">
        <v>-44.904437999999999</v>
      </c>
      <c r="R6436" s="2" t="str">
        <f>HYPERLINK("https://www.google.com/maps?q=-20.1627810,-44.9044380","Abrir no Google Maps")</f>
        <v>Abrir no Google Maps</v>
      </c>
      <c r="S6436">
        <v>3</v>
      </c>
      <c r="T6436">
        <v>681.0891377731482</v>
      </c>
      <c r="U6436">
        <v>3</v>
      </c>
      <c r="V6436">
        <v>0.45761644894220199</v>
      </c>
      <c r="W6436">
        <v>1</v>
      </c>
      <c r="X6436">
        <v>0.45761644894220199</v>
      </c>
      <c r="Y6436">
        <v>729</v>
      </c>
      <c r="Z6436">
        <v>564.17713687218622</v>
      </c>
      <c r="AA6436">
        <v>198</v>
      </c>
      <c r="AB6436">
        <v>332</v>
      </c>
      <c r="AC6436">
        <v>536</v>
      </c>
      <c r="AD6436">
        <v>29.58</v>
      </c>
      <c r="AE6436">
        <v>542</v>
      </c>
      <c r="AF6436">
        <v>30</v>
      </c>
      <c r="AG6436">
        <v>169</v>
      </c>
      <c r="AH6436">
        <v>129</v>
      </c>
      <c r="AI6436">
        <v>5.54</v>
      </c>
      <c r="AJ6436">
        <v>31.18</v>
      </c>
      <c r="AK6436">
        <v>23.8</v>
      </c>
      <c r="AL6436">
        <v>-20.16295434999995</v>
      </c>
      <c r="AM6436">
        <v>-44.904242686956152</v>
      </c>
      <c r="AN6436">
        <v>-20.16295434999995</v>
      </c>
      <c r="AO6436">
        <v>-44.904242686956152</v>
      </c>
      <c r="AP6436">
        <v>-20.162780999999999</v>
      </c>
      <c r="AQ6436">
        <v>-44.904437999999999</v>
      </c>
      <c r="AR6436">
        <v>28.088191280523411</v>
      </c>
      <c r="AS6436" t="s">
        <v>65</v>
      </c>
      <c r="AT6436">
        <v>1</v>
      </c>
      <c r="AU6436" t="s">
        <v>408</v>
      </c>
      <c r="AV6436" t="s">
        <v>409</v>
      </c>
      <c r="AW6436" t="s">
        <v>60</v>
      </c>
      <c r="AX6436" t="s">
        <v>68</v>
      </c>
      <c r="AY6436" t="s">
        <v>69</v>
      </c>
      <c r="AZ6436" t="b">
        <v>1</v>
      </c>
    </row>
    <row r="6437" spans="1:52" x14ac:dyDescent="0.3">
      <c r="A6437" t="s">
        <v>52</v>
      </c>
      <c r="B6437" t="s">
        <v>53</v>
      </c>
      <c r="C6437" t="s">
        <v>54</v>
      </c>
      <c r="D6437" t="s">
        <v>55</v>
      </c>
      <c r="E6437" t="s">
        <v>2295</v>
      </c>
      <c r="F6437" t="s">
        <v>1247</v>
      </c>
      <c r="G6437" t="s">
        <v>422</v>
      </c>
      <c r="H6437" t="s">
        <v>423</v>
      </c>
      <c r="I6437" t="s">
        <v>423</v>
      </c>
      <c r="J6437" t="s">
        <v>60</v>
      </c>
      <c r="K6437" t="s">
        <v>424</v>
      </c>
      <c r="L6437" t="s">
        <v>62</v>
      </c>
      <c r="M6437" t="s">
        <v>424</v>
      </c>
      <c r="N6437" t="s">
        <v>425</v>
      </c>
      <c r="O6437" t="s">
        <v>426</v>
      </c>
      <c r="P6437">
        <v>-20.177748000000001</v>
      </c>
      <c r="Q6437">
        <v>-44.912475000000001</v>
      </c>
      <c r="R6437" s="2" t="str">
        <f>HYPERLINK("https://www.google.com/maps?q=-20.1777480,-44.9124750","Abrir no Google Maps")</f>
        <v>Abrir no Google Maps</v>
      </c>
      <c r="S6437">
        <v>3</v>
      </c>
      <c r="T6437">
        <v>657.07560140436533</v>
      </c>
      <c r="U6437">
        <v>3</v>
      </c>
      <c r="V6437">
        <v>0.46011980052630808</v>
      </c>
      <c r="W6437">
        <v>1</v>
      </c>
      <c r="X6437">
        <v>0.46011980052630808</v>
      </c>
      <c r="Y6437">
        <v>723</v>
      </c>
      <c r="Z6437">
        <v>796.94198000561175</v>
      </c>
      <c r="AA6437">
        <v>198</v>
      </c>
      <c r="AB6437">
        <v>332</v>
      </c>
      <c r="AC6437">
        <v>536</v>
      </c>
      <c r="AD6437">
        <v>29.58</v>
      </c>
      <c r="AE6437">
        <v>542</v>
      </c>
      <c r="AF6437">
        <v>30</v>
      </c>
      <c r="AG6437">
        <v>169</v>
      </c>
      <c r="AH6437">
        <v>129</v>
      </c>
      <c r="AI6437">
        <v>5.54</v>
      </c>
      <c r="AJ6437">
        <v>31.18</v>
      </c>
      <c r="AK6437">
        <v>23.8</v>
      </c>
      <c r="AL6437">
        <v>-20.177761749999949</v>
      </c>
      <c r="AM6437">
        <v>-44.91263311624418</v>
      </c>
      <c r="AN6437">
        <v>-20.177761749999949</v>
      </c>
      <c r="AO6437">
        <v>-44.91263311624418</v>
      </c>
      <c r="AP6437">
        <v>-20.177748000000001</v>
      </c>
      <c r="AQ6437">
        <v>-44.912475000000001</v>
      </c>
      <c r="AR6437">
        <v>16.591996803075372</v>
      </c>
      <c r="AS6437" t="s">
        <v>65</v>
      </c>
      <c r="AT6437">
        <v>1</v>
      </c>
      <c r="AU6437" t="s">
        <v>427</v>
      </c>
      <c r="AV6437" t="s">
        <v>428</v>
      </c>
      <c r="AW6437" t="s">
        <v>60</v>
      </c>
      <c r="AX6437" t="s">
        <v>68</v>
      </c>
      <c r="AY6437" t="s">
        <v>69</v>
      </c>
      <c r="AZ6437" t="b">
        <v>1</v>
      </c>
    </row>
    <row r="6438" spans="1:52" x14ac:dyDescent="0.3">
      <c r="A6438" t="s">
        <v>52</v>
      </c>
      <c r="B6438" t="s">
        <v>53</v>
      </c>
      <c r="C6438" t="s">
        <v>54</v>
      </c>
      <c r="D6438" t="s">
        <v>55</v>
      </c>
      <c r="E6438" t="s">
        <v>2295</v>
      </c>
      <c r="F6438" t="s">
        <v>1247</v>
      </c>
      <c r="G6438" t="s">
        <v>448</v>
      </c>
      <c r="H6438" t="s">
        <v>449</v>
      </c>
      <c r="I6438" t="s">
        <v>449</v>
      </c>
      <c r="J6438" t="s">
        <v>60</v>
      </c>
      <c r="K6438" t="s">
        <v>388</v>
      </c>
      <c r="L6438" t="s">
        <v>62</v>
      </c>
      <c r="M6438" t="s">
        <v>388</v>
      </c>
      <c r="N6438" t="s">
        <v>450</v>
      </c>
      <c r="O6438" t="s">
        <v>451</v>
      </c>
      <c r="P6438">
        <v>-20.163981</v>
      </c>
      <c r="Q6438">
        <v>-44.907128999999998</v>
      </c>
      <c r="R6438" s="2" t="str">
        <f>HYPERLINK("https://www.google.com/maps?q=-20.1639810,-44.9071290","Abrir no Google Maps")</f>
        <v>Abrir no Google Maps</v>
      </c>
      <c r="S6438">
        <v>3</v>
      </c>
      <c r="T6438">
        <v>782.50730806588319</v>
      </c>
      <c r="U6438">
        <v>3</v>
      </c>
      <c r="V6438">
        <v>0.44646024171283338</v>
      </c>
      <c r="W6438">
        <v>1</v>
      </c>
      <c r="X6438">
        <v>0.44646024171283338</v>
      </c>
      <c r="Y6438">
        <v>639</v>
      </c>
      <c r="Z6438">
        <v>710.90621453796166</v>
      </c>
      <c r="AA6438">
        <v>198</v>
      </c>
      <c r="AB6438">
        <v>332</v>
      </c>
      <c r="AC6438">
        <v>536</v>
      </c>
      <c r="AD6438">
        <v>29.58</v>
      </c>
      <c r="AE6438">
        <v>542</v>
      </c>
      <c r="AF6438">
        <v>30</v>
      </c>
      <c r="AG6438">
        <v>169</v>
      </c>
      <c r="AH6438">
        <v>129</v>
      </c>
      <c r="AI6438">
        <v>5.54</v>
      </c>
      <c r="AJ6438">
        <v>31.18</v>
      </c>
      <c r="AK6438">
        <v>23.8</v>
      </c>
      <c r="AL6438">
        <v>-20.163958349999969</v>
      </c>
      <c r="AM6438">
        <v>-44.907180923930973</v>
      </c>
      <c r="AN6438">
        <v>-20.163958349999969</v>
      </c>
      <c r="AO6438">
        <v>-44.907180923930973</v>
      </c>
      <c r="AP6438">
        <v>-20.163981</v>
      </c>
      <c r="AQ6438">
        <v>-44.907128999999998</v>
      </c>
      <c r="AR6438">
        <v>5.9831345092457884</v>
      </c>
      <c r="AS6438" t="s">
        <v>65</v>
      </c>
      <c r="AT6438">
        <v>1</v>
      </c>
      <c r="AU6438" t="s">
        <v>452</v>
      </c>
      <c r="AV6438" t="s">
        <v>453</v>
      </c>
      <c r="AW6438" t="s">
        <v>60</v>
      </c>
      <c r="AX6438" t="s">
        <v>68</v>
      </c>
      <c r="AY6438" t="s">
        <v>69</v>
      </c>
      <c r="AZ6438" t="b">
        <v>1</v>
      </c>
    </row>
    <row r="6439" spans="1:52" x14ac:dyDescent="0.3">
      <c r="A6439" t="s">
        <v>52</v>
      </c>
      <c r="B6439" t="s">
        <v>53</v>
      </c>
      <c r="C6439" t="s">
        <v>54</v>
      </c>
      <c r="D6439" t="s">
        <v>55</v>
      </c>
      <c r="E6439" t="s">
        <v>2295</v>
      </c>
      <c r="F6439" t="s">
        <v>1247</v>
      </c>
      <c r="G6439" t="s">
        <v>454</v>
      </c>
      <c r="H6439" t="s">
        <v>455</v>
      </c>
      <c r="I6439" t="s">
        <v>455</v>
      </c>
      <c r="J6439" t="s">
        <v>60</v>
      </c>
      <c r="K6439" t="s">
        <v>456</v>
      </c>
      <c r="L6439" t="s">
        <v>62</v>
      </c>
      <c r="M6439" t="s">
        <v>456</v>
      </c>
      <c r="N6439" t="s">
        <v>102</v>
      </c>
      <c r="O6439" t="s">
        <v>457</v>
      </c>
      <c r="P6439">
        <v>-20.138373999999999</v>
      </c>
      <c r="Q6439">
        <v>-44.903756999999999</v>
      </c>
      <c r="R6439" s="2" t="str">
        <f>HYPERLINK("https://www.google.com/maps?q=-20.1383740,-44.9037570","Abrir no Google Maps")</f>
        <v>Abrir no Google Maps</v>
      </c>
      <c r="S6439">
        <v>3</v>
      </c>
      <c r="T6439">
        <v>357.59466273594461</v>
      </c>
      <c r="U6439">
        <v>3</v>
      </c>
      <c r="V6439">
        <v>0.45866402116402111</v>
      </c>
      <c r="W6439">
        <v>1</v>
      </c>
      <c r="X6439">
        <v>0.45866402116402111</v>
      </c>
      <c r="Y6439">
        <v>581</v>
      </c>
      <c r="Z6439">
        <v>406.92482694505992</v>
      </c>
      <c r="AA6439">
        <v>198</v>
      </c>
      <c r="AB6439">
        <v>332</v>
      </c>
      <c r="AC6439">
        <v>536</v>
      </c>
      <c r="AD6439">
        <v>29.58</v>
      </c>
      <c r="AE6439">
        <v>542</v>
      </c>
      <c r="AF6439">
        <v>30</v>
      </c>
      <c r="AG6439">
        <v>169</v>
      </c>
      <c r="AH6439">
        <v>129</v>
      </c>
      <c r="AI6439">
        <v>5.54</v>
      </c>
      <c r="AJ6439">
        <v>31.18</v>
      </c>
      <c r="AK6439">
        <v>23.8</v>
      </c>
      <c r="AL6439">
        <v>-20.138338199999961</v>
      </c>
      <c r="AM6439">
        <v>-44.903768618976301</v>
      </c>
      <c r="AN6439">
        <v>-20.138338199999961</v>
      </c>
      <c r="AO6439">
        <v>-44.903768618976301</v>
      </c>
      <c r="AP6439">
        <v>-20.138373999999999</v>
      </c>
      <c r="AQ6439">
        <v>-44.903756999999999</v>
      </c>
      <c r="AR6439">
        <v>4.1661625938922704</v>
      </c>
      <c r="AS6439" t="s">
        <v>65</v>
      </c>
      <c r="AT6439">
        <v>1</v>
      </c>
      <c r="AU6439" t="s">
        <v>458</v>
      </c>
      <c r="AV6439" t="s">
        <v>459</v>
      </c>
      <c r="AW6439" t="s">
        <v>60</v>
      </c>
      <c r="AX6439" t="s">
        <v>68</v>
      </c>
      <c r="AY6439" t="s">
        <v>69</v>
      </c>
      <c r="AZ6439" t="b">
        <v>1</v>
      </c>
    </row>
    <row r="6440" spans="1:52" x14ac:dyDescent="0.3">
      <c r="A6440" t="s">
        <v>52</v>
      </c>
      <c r="B6440" t="s">
        <v>53</v>
      </c>
      <c r="C6440" t="s">
        <v>54</v>
      </c>
      <c r="D6440" t="s">
        <v>55</v>
      </c>
      <c r="E6440" t="s">
        <v>2295</v>
      </c>
      <c r="F6440" t="s">
        <v>1247</v>
      </c>
      <c r="G6440" t="s">
        <v>851</v>
      </c>
      <c r="H6440" t="s">
        <v>852</v>
      </c>
      <c r="I6440" t="s">
        <v>852</v>
      </c>
      <c r="J6440" t="s">
        <v>60</v>
      </c>
      <c r="K6440" t="s">
        <v>853</v>
      </c>
      <c r="L6440" t="s">
        <v>62</v>
      </c>
      <c r="M6440" t="s">
        <v>853</v>
      </c>
      <c r="N6440" t="s">
        <v>854</v>
      </c>
      <c r="O6440" t="s">
        <v>855</v>
      </c>
      <c r="P6440">
        <v>-20.127835000000001</v>
      </c>
      <c r="Q6440">
        <v>-44.909329</v>
      </c>
      <c r="R6440" s="2" t="str">
        <f>HYPERLINK("https://www.google.com/maps?q=-20.1278350,-44.9093290","Abrir no Google Maps")</f>
        <v>Abrir no Google Maps</v>
      </c>
      <c r="S6440">
        <v>3</v>
      </c>
      <c r="T6440">
        <v>1173.033690896357</v>
      </c>
      <c r="U6440">
        <v>3</v>
      </c>
      <c r="V6440">
        <v>0.44279725320585778</v>
      </c>
      <c r="W6440">
        <v>1</v>
      </c>
      <c r="X6440">
        <v>0.44279725320585778</v>
      </c>
      <c r="Y6440">
        <v>581</v>
      </c>
      <c r="Z6440">
        <v>1296.5011565926129</v>
      </c>
      <c r="AA6440">
        <v>198</v>
      </c>
      <c r="AB6440">
        <v>332</v>
      </c>
      <c r="AC6440">
        <v>536</v>
      </c>
      <c r="AD6440">
        <v>29.58</v>
      </c>
      <c r="AE6440">
        <v>542</v>
      </c>
      <c r="AF6440">
        <v>30</v>
      </c>
      <c r="AG6440">
        <v>169</v>
      </c>
      <c r="AH6440">
        <v>129</v>
      </c>
      <c r="AI6440">
        <v>5.54</v>
      </c>
      <c r="AJ6440">
        <v>31.18</v>
      </c>
      <c r="AK6440">
        <v>23.8</v>
      </c>
      <c r="AL6440">
        <v>-20.127852899999969</v>
      </c>
      <c r="AM6440">
        <v>-44.909386667699948</v>
      </c>
      <c r="AN6440">
        <v>-20.127852899999969</v>
      </c>
      <c r="AO6440">
        <v>-44.909386667699948</v>
      </c>
      <c r="AP6440">
        <v>-20.127835000000001</v>
      </c>
      <c r="AQ6440">
        <v>-44.909329</v>
      </c>
      <c r="AR6440">
        <v>6.3483385067119924</v>
      </c>
      <c r="AS6440" t="s">
        <v>65</v>
      </c>
      <c r="AT6440">
        <v>1</v>
      </c>
      <c r="AU6440" t="s">
        <v>856</v>
      </c>
      <c r="AV6440" t="s">
        <v>857</v>
      </c>
      <c r="AW6440" t="s">
        <v>60</v>
      </c>
      <c r="AX6440" t="s">
        <v>68</v>
      </c>
      <c r="AY6440" t="s">
        <v>69</v>
      </c>
      <c r="AZ6440" t="b">
        <v>1</v>
      </c>
    </row>
    <row r="6441" spans="1:52" x14ac:dyDescent="0.3">
      <c r="A6441" t="s">
        <v>52</v>
      </c>
      <c r="B6441" t="s">
        <v>53</v>
      </c>
      <c r="C6441" t="s">
        <v>54</v>
      </c>
      <c r="D6441" t="s">
        <v>55</v>
      </c>
      <c r="E6441" t="s">
        <v>2295</v>
      </c>
      <c r="F6441" t="s">
        <v>1247</v>
      </c>
      <c r="G6441" t="s">
        <v>864</v>
      </c>
      <c r="H6441" t="s">
        <v>865</v>
      </c>
      <c r="I6441" t="s">
        <v>865</v>
      </c>
      <c r="J6441" t="s">
        <v>60</v>
      </c>
      <c r="K6441" t="s">
        <v>486</v>
      </c>
      <c r="L6441" t="s">
        <v>62</v>
      </c>
      <c r="M6441" t="s">
        <v>486</v>
      </c>
      <c r="N6441" t="s">
        <v>866</v>
      </c>
      <c r="O6441" t="s">
        <v>867</v>
      </c>
      <c r="P6441">
        <v>-20.170919000000001</v>
      </c>
      <c r="Q6441">
        <v>-44.905451999999997</v>
      </c>
      <c r="R6441" s="2" t="str">
        <f>HYPERLINK("https://www.google.com/maps?q=-20.1709190,-44.9054520","Abrir no Google Maps")</f>
        <v>Abrir no Google Maps</v>
      </c>
      <c r="S6441">
        <v>3</v>
      </c>
      <c r="T6441">
        <v>0</v>
      </c>
      <c r="U6441">
        <v>3</v>
      </c>
      <c r="V6441">
        <v>0.45688171015681939</v>
      </c>
      <c r="W6441">
        <v>1</v>
      </c>
      <c r="X6441">
        <v>0.45688171015681939</v>
      </c>
      <c r="Y6441">
        <v>578</v>
      </c>
      <c r="Z6441">
        <v>205.34598855748419</v>
      </c>
      <c r="AA6441">
        <v>198</v>
      </c>
      <c r="AB6441">
        <v>332</v>
      </c>
      <c r="AC6441">
        <v>536</v>
      </c>
      <c r="AD6441">
        <v>29.58</v>
      </c>
      <c r="AE6441">
        <v>542</v>
      </c>
      <c r="AF6441">
        <v>30</v>
      </c>
      <c r="AG6441">
        <v>169</v>
      </c>
      <c r="AH6441">
        <v>129</v>
      </c>
      <c r="AI6441">
        <v>5.54</v>
      </c>
      <c r="AJ6441">
        <v>31.18</v>
      </c>
      <c r="AK6441">
        <v>23.8</v>
      </c>
      <c r="AL6441">
        <v>-20.170854399999939</v>
      </c>
      <c r="AM6441">
        <v>-44.905524839633358</v>
      </c>
      <c r="AN6441">
        <v>-20.170854399999939</v>
      </c>
      <c r="AO6441">
        <v>-44.905524839633358</v>
      </c>
      <c r="AP6441">
        <v>-20.170919000000001</v>
      </c>
      <c r="AQ6441">
        <v>-44.905451999999997</v>
      </c>
      <c r="AR6441">
        <v>10.471140355179269</v>
      </c>
      <c r="AS6441" t="s">
        <v>65</v>
      </c>
      <c r="AT6441">
        <v>1</v>
      </c>
      <c r="AU6441" t="s">
        <v>868</v>
      </c>
      <c r="AV6441" t="s">
        <v>869</v>
      </c>
      <c r="AW6441" t="s">
        <v>60</v>
      </c>
      <c r="AX6441" t="s">
        <v>68</v>
      </c>
      <c r="AY6441" t="s">
        <v>69</v>
      </c>
      <c r="AZ6441" t="b">
        <v>1</v>
      </c>
    </row>
    <row r="6442" spans="1:52" x14ac:dyDescent="0.3">
      <c r="A6442" t="s">
        <v>52</v>
      </c>
      <c r="B6442" t="s">
        <v>53</v>
      </c>
      <c r="C6442" t="s">
        <v>54</v>
      </c>
      <c r="D6442" t="s">
        <v>55</v>
      </c>
      <c r="E6442" t="s">
        <v>2295</v>
      </c>
      <c r="F6442" t="s">
        <v>1247</v>
      </c>
      <c r="G6442" t="s">
        <v>473</v>
      </c>
      <c r="H6442" t="s">
        <v>474</v>
      </c>
      <c r="I6442" t="s">
        <v>474</v>
      </c>
      <c r="J6442" t="s">
        <v>60</v>
      </c>
      <c r="K6442" t="s">
        <v>475</v>
      </c>
      <c r="L6442" t="s">
        <v>62</v>
      </c>
      <c r="M6442" t="s">
        <v>475</v>
      </c>
      <c r="N6442" t="s">
        <v>406</v>
      </c>
      <c r="O6442" t="s">
        <v>476</v>
      </c>
      <c r="P6442">
        <v>-20.177902</v>
      </c>
      <c r="Q6442">
        <v>-44.908504000000001</v>
      </c>
      <c r="R6442" s="2" t="str">
        <f>HYPERLINK("https://www.google.com/maps?q=-20.1779020,-44.9085040","Abrir no Google Maps")</f>
        <v>Abrir no Google Maps</v>
      </c>
      <c r="S6442">
        <v>3</v>
      </c>
      <c r="T6442">
        <v>656.92307673247149</v>
      </c>
      <c r="U6442">
        <v>3</v>
      </c>
      <c r="V6442">
        <v>0.44895810801067121</v>
      </c>
      <c r="W6442">
        <v>1</v>
      </c>
      <c r="X6442">
        <v>0.44895810801067121</v>
      </c>
      <c r="Y6442">
        <v>578</v>
      </c>
      <c r="Z6442">
        <v>635.01982153722327</v>
      </c>
      <c r="AA6442">
        <v>198</v>
      </c>
      <c r="AB6442">
        <v>332</v>
      </c>
      <c r="AC6442">
        <v>536</v>
      </c>
      <c r="AD6442">
        <v>29.58</v>
      </c>
      <c r="AE6442">
        <v>542</v>
      </c>
      <c r="AF6442">
        <v>30</v>
      </c>
      <c r="AG6442">
        <v>169</v>
      </c>
      <c r="AH6442">
        <v>129</v>
      </c>
      <c r="AI6442">
        <v>5.54</v>
      </c>
      <c r="AJ6442">
        <v>31.18</v>
      </c>
      <c r="AK6442">
        <v>23.8</v>
      </c>
      <c r="AL6442">
        <v>-20.177800399999938</v>
      </c>
      <c r="AM6442">
        <v>-44.908361879701268</v>
      </c>
      <c r="AN6442">
        <v>-20.177800399999938</v>
      </c>
      <c r="AO6442">
        <v>-44.908361879701268</v>
      </c>
      <c r="AP6442">
        <v>-20.177902</v>
      </c>
      <c r="AQ6442">
        <v>-44.908504000000001</v>
      </c>
      <c r="AR6442">
        <v>18.666463141775541</v>
      </c>
      <c r="AS6442" t="s">
        <v>65</v>
      </c>
      <c r="AT6442">
        <v>1</v>
      </c>
      <c r="AU6442" t="s">
        <v>477</v>
      </c>
      <c r="AV6442" t="s">
        <v>478</v>
      </c>
      <c r="AW6442" t="s">
        <v>60</v>
      </c>
      <c r="AX6442" t="s">
        <v>68</v>
      </c>
      <c r="AY6442" t="s">
        <v>69</v>
      </c>
      <c r="AZ6442" t="b">
        <v>1</v>
      </c>
    </row>
    <row r="6443" spans="1:52" x14ac:dyDescent="0.3">
      <c r="A6443" t="s">
        <v>52</v>
      </c>
      <c r="B6443" t="s">
        <v>53</v>
      </c>
      <c r="C6443" t="s">
        <v>54</v>
      </c>
      <c r="D6443" t="s">
        <v>55</v>
      </c>
      <c r="E6443" t="s">
        <v>2295</v>
      </c>
      <c r="F6443" t="s">
        <v>1247</v>
      </c>
      <c r="G6443" t="s">
        <v>491</v>
      </c>
      <c r="H6443" t="s">
        <v>492</v>
      </c>
      <c r="I6443" t="s">
        <v>492</v>
      </c>
      <c r="J6443" t="s">
        <v>60</v>
      </c>
      <c r="K6443" t="s">
        <v>475</v>
      </c>
      <c r="L6443" t="s">
        <v>62</v>
      </c>
      <c r="M6443" t="s">
        <v>475</v>
      </c>
      <c r="N6443" t="s">
        <v>493</v>
      </c>
      <c r="O6443" t="s">
        <v>494</v>
      </c>
      <c r="P6443">
        <v>-20.175250999999999</v>
      </c>
      <c r="Q6443">
        <v>-44.897357</v>
      </c>
      <c r="R6443" s="2" t="str">
        <f>HYPERLINK("https://www.google.com/maps?q=-20.1752510,-44.8973570","Abrir no Google Maps")</f>
        <v>Abrir no Google Maps</v>
      </c>
      <c r="S6443">
        <v>3</v>
      </c>
      <c r="T6443">
        <v>992.29631678149951</v>
      </c>
      <c r="U6443">
        <v>3</v>
      </c>
      <c r="V6443">
        <v>0.43953090438629439</v>
      </c>
      <c r="W6443">
        <v>1</v>
      </c>
      <c r="X6443">
        <v>0.43953090438629439</v>
      </c>
      <c r="Y6443">
        <v>578</v>
      </c>
      <c r="Z6443">
        <v>1008.5871064168319</v>
      </c>
      <c r="AA6443">
        <v>198</v>
      </c>
      <c r="AB6443">
        <v>332</v>
      </c>
      <c r="AC6443">
        <v>536</v>
      </c>
      <c r="AD6443">
        <v>29.58</v>
      </c>
      <c r="AE6443">
        <v>542</v>
      </c>
      <c r="AF6443">
        <v>30</v>
      </c>
      <c r="AG6443">
        <v>169</v>
      </c>
      <c r="AH6443">
        <v>129</v>
      </c>
      <c r="AI6443">
        <v>5.54</v>
      </c>
      <c r="AJ6443">
        <v>31.18</v>
      </c>
      <c r="AK6443">
        <v>23.8</v>
      </c>
      <c r="AL6443">
        <v>-20.175290599999951</v>
      </c>
      <c r="AM6443">
        <v>-44.897271931010721</v>
      </c>
      <c r="AN6443">
        <v>-20.175290599999951</v>
      </c>
      <c r="AO6443">
        <v>-44.897271931010721</v>
      </c>
      <c r="AP6443">
        <v>-20.175250999999999</v>
      </c>
      <c r="AQ6443">
        <v>-44.897357</v>
      </c>
      <c r="AR6443">
        <v>9.921899108467926</v>
      </c>
      <c r="AS6443" t="s">
        <v>65</v>
      </c>
      <c r="AT6443">
        <v>1</v>
      </c>
      <c r="AU6443" t="s">
        <v>495</v>
      </c>
      <c r="AV6443" t="s">
        <v>496</v>
      </c>
      <c r="AW6443" t="s">
        <v>60</v>
      </c>
      <c r="AX6443" t="s">
        <v>68</v>
      </c>
      <c r="AY6443" t="s">
        <v>69</v>
      </c>
      <c r="AZ6443" t="b">
        <v>1</v>
      </c>
    </row>
    <row r="6444" spans="1:52" x14ac:dyDescent="0.3">
      <c r="A6444" t="s">
        <v>52</v>
      </c>
      <c r="B6444" t="s">
        <v>53</v>
      </c>
      <c r="C6444" t="s">
        <v>54</v>
      </c>
      <c r="D6444" t="s">
        <v>55</v>
      </c>
      <c r="E6444" t="s">
        <v>2295</v>
      </c>
      <c r="F6444" t="s">
        <v>1247</v>
      </c>
      <c r="G6444" t="s">
        <v>497</v>
      </c>
      <c r="H6444" t="s">
        <v>498</v>
      </c>
      <c r="I6444" t="s">
        <v>498</v>
      </c>
      <c r="J6444" t="s">
        <v>60</v>
      </c>
      <c r="K6444" t="s">
        <v>475</v>
      </c>
      <c r="L6444" t="s">
        <v>62</v>
      </c>
      <c r="M6444" t="s">
        <v>475</v>
      </c>
      <c r="N6444" t="s">
        <v>499</v>
      </c>
      <c r="O6444" t="s">
        <v>500</v>
      </c>
      <c r="P6444">
        <v>-20.175492999999999</v>
      </c>
      <c r="Q6444">
        <v>-44.900759000000001</v>
      </c>
      <c r="R6444" s="2" t="str">
        <f>HYPERLINK("https://www.google.com/maps?q=-20.1754930,-44.9007590","Abrir no Google Maps")</f>
        <v>Abrir no Google Maps</v>
      </c>
      <c r="S6444">
        <v>3</v>
      </c>
      <c r="T6444">
        <v>753.30732354720431</v>
      </c>
      <c r="U6444">
        <v>3</v>
      </c>
      <c r="V6444">
        <v>0.4303678019662921</v>
      </c>
      <c r="W6444">
        <v>1</v>
      </c>
      <c r="X6444">
        <v>0.4303678019662921</v>
      </c>
      <c r="Y6444">
        <v>578</v>
      </c>
      <c r="Z6444">
        <v>695.28903655431702</v>
      </c>
      <c r="AA6444">
        <v>198</v>
      </c>
      <c r="AB6444">
        <v>332</v>
      </c>
      <c r="AC6444">
        <v>536</v>
      </c>
      <c r="AD6444">
        <v>29.58</v>
      </c>
      <c r="AE6444">
        <v>542</v>
      </c>
      <c r="AF6444">
        <v>30</v>
      </c>
      <c r="AG6444">
        <v>169</v>
      </c>
      <c r="AH6444">
        <v>129</v>
      </c>
      <c r="AI6444">
        <v>5.54</v>
      </c>
      <c r="AJ6444">
        <v>31.18</v>
      </c>
      <c r="AK6444">
        <v>23.8</v>
      </c>
      <c r="AL6444">
        <v>-20.175825999999969</v>
      </c>
      <c r="AM6444">
        <v>-44.900600234646973</v>
      </c>
      <c r="AN6444">
        <v>-20.175825999999969</v>
      </c>
      <c r="AO6444">
        <v>-44.900600234646973</v>
      </c>
      <c r="AP6444">
        <v>-20.175492999999999</v>
      </c>
      <c r="AQ6444">
        <v>-44.900759000000001</v>
      </c>
      <c r="AR6444">
        <v>40.612267304645073</v>
      </c>
      <c r="AS6444" t="s">
        <v>65</v>
      </c>
      <c r="AT6444">
        <v>1</v>
      </c>
      <c r="AU6444" t="s">
        <v>501</v>
      </c>
      <c r="AV6444" t="s">
        <v>502</v>
      </c>
      <c r="AW6444" t="s">
        <v>60</v>
      </c>
      <c r="AX6444" t="s">
        <v>68</v>
      </c>
      <c r="AY6444" t="s">
        <v>69</v>
      </c>
      <c r="AZ6444" t="b">
        <v>1</v>
      </c>
    </row>
    <row r="6445" spans="1:52" x14ac:dyDescent="0.3">
      <c r="A6445" t="s">
        <v>52</v>
      </c>
      <c r="B6445" t="s">
        <v>53</v>
      </c>
      <c r="C6445" t="s">
        <v>54</v>
      </c>
      <c r="D6445" t="s">
        <v>55</v>
      </c>
      <c r="E6445" t="s">
        <v>2295</v>
      </c>
      <c r="F6445" t="s">
        <v>1247</v>
      </c>
      <c r="G6445" t="s">
        <v>510</v>
      </c>
      <c r="H6445" t="s">
        <v>511</v>
      </c>
      <c r="I6445" t="s">
        <v>511</v>
      </c>
      <c r="J6445" t="s">
        <v>60</v>
      </c>
      <c r="K6445" t="s">
        <v>512</v>
      </c>
      <c r="L6445" t="s">
        <v>62</v>
      </c>
      <c r="M6445" t="s">
        <v>512</v>
      </c>
      <c r="N6445" t="s">
        <v>406</v>
      </c>
      <c r="O6445" t="s">
        <v>513</v>
      </c>
      <c r="P6445">
        <v>-20.127853000000002</v>
      </c>
      <c r="Q6445">
        <v>-44.891415000000002</v>
      </c>
      <c r="R6445" s="2" t="str">
        <f>HYPERLINK("https://www.google.com/maps?q=-20.1278530,-44.8914150","Abrir no Google Maps")</f>
        <v>Abrir no Google Maps</v>
      </c>
      <c r="S6445">
        <v>3</v>
      </c>
      <c r="T6445">
        <v>340.86994528233612</v>
      </c>
      <c r="U6445">
        <v>3</v>
      </c>
      <c r="V6445">
        <v>0.4445872228130292</v>
      </c>
      <c r="W6445">
        <v>1</v>
      </c>
      <c r="X6445">
        <v>0.4445872228130292</v>
      </c>
      <c r="Y6445">
        <v>564</v>
      </c>
      <c r="Z6445">
        <v>294.18108015916812</v>
      </c>
      <c r="AA6445">
        <v>198</v>
      </c>
      <c r="AB6445">
        <v>332</v>
      </c>
      <c r="AC6445">
        <v>536</v>
      </c>
      <c r="AD6445">
        <v>29.58</v>
      </c>
      <c r="AE6445">
        <v>542</v>
      </c>
      <c r="AF6445">
        <v>30</v>
      </c>
      <c r="AG6445">
        <v>169</v>
      </c>
      <c r="AH6445">
        <v>129</v>
      </c>
      <c r="AI6445">
        <v>5.54</v>
      </c>
      <c r="AJ6445">
        <v>31.18</v>
      </c>
      <c r="AK6445">
        <v>23.8</v>
      </c>
      <c r="AL6445">
        <v>-20.12777399999996</v>
      </c>
      <c r="AM6445">
        <v>-44.891400975758501</v>
      </c>
      <c r="AN6445">
        <v>-20.12777399999996</v>
      </c>
      <c r="AO6445">
        <v>-44.891400975758501</v>
      </c>
      <c r="AP6445">
        <v>-20.127853000000002</v>
      </c>
      <c r="AQ6445">
        <v>-44.891415000000002</v>
      </c>
      <c r="AR6445">
        <v>8.9156059162975616</v>
      </c>
      <c r="AS6445" t="s">
        <v>65</v>
      </c>
      <c r="AT6445">
        <v>1</v>
      </c>
      <c r="AU6445" t="s">
        <v>514</v>
      </c>
      <c r="AV6445" t="s">
        <v>515</v>
      </c>
      <c r="AW6445" t="s">
        <v>60</v>
      </c>
      <c r="AX6445" t="s">
        <v>68</v>
      </c>
      <c r="AY6445" t="s">
        <v>69</v>
      </c>
      <c r="AZ6445" t="b">
        <v>1</v>
      </c>
    </row>
    <row r="6446" spans="1:52" x14ac:dyDescent="0.3">
      <c r="A6446" t="s">
        <v>52</v>
      </c>
      <c r="B6446" t="s">
        <v>53</v>
      </c>
      <c r="C6446" t="s">
        <v>54</v>
      </c>
      <c r="D6446" t="s">
        <v>55</v>
      </c>
      <c r="E6446" t="s">
        <v>2295</v>
      </c>
      <c r="F6446" t="s">
        <v>1247</v>
      </c>
      <c r="G6446" t="s">
        <v>516</v>
      </c>
      <c r="H6446" t="s">
        <v>517</v>
      </c>
      <c r="I6446" t="s">
        <v>517</v>
      </c>
      <c r="J6446" t="s">
        <v>60</v>
      </c>
      <c r="K6446" t="s">
        <v>518</v>
      </c>
      <c r="L6446" t="s">
        <v>62</v>
      </c>
      <c r="M6446" t="s">
        <v>518</v>
      </c>
      <c r="N6446" t="s">
        <v>519</v>
      </c>
      <c r="O6446" t="s">
        <v>520</v>
      </c>
      <c r="P6446">
        <v>-20.124502</v>
      </c>
      <c r="Q6446">
        <v>-44.888424000000001</v>
      </c>
      <c r="R6446" s="2" t="str">
        <f>HYPERLINK("https://www.google.com/maps?q=-20.1245020,-44.8884240","Abrir no Google Maps")</f>
        <v>Abrir no Google Maps</v>
      </c>
      <c r="S6446">
        <v>3</v>
      </c>
      <c r="T6446">
        <v>483.42298121929559</v>
      </c>
      <c r="U6446">
        <v>3</v>
      </c>
      <c r="V6446">
        <v>0.45814225220951271</v>
      </c>
      <c r="W6446">
        <v>1</v>
      </c>
      <c r="X6446">
        <v>0.45814225220951271</v>
      </c>
      <c r="Y6446">
        <v>564</v>
      </c>
      <c r="Z6446">
        <v>565.43074237076587</v>
      </c>
      <c r="AA6446">
        <v>198</v>
      </c>
      <c r="AB6446">
        <v>332</v>
      </c>
      <c r="AC6446">
        <v>536</v>
      </c>
      <c r="AD6446">
        <v>29.58</v>
      </c>
      <c r="AE6446">
        <v>542</v>
      </c>
      <c r="AF6446">
        <v>30</v>
      </c>
      <c r="AG6446">
        <v>169</v>
      </c>
      <c r="AH6446">
        <v>129</v>
      </c>
      <c r="AI6446">
        <v>5.54</v>
      </c>
      <c r="AJ6446">
        <v>31.18</v>
      </c>
      <c r="AK6446">
        <v>23.8</v>
      </c>
      <c r="AL6446">
        <v>-20.124624949999941</v>
      </c>
      <c r="AM6446">
        <v>-44.888432821777258</v>
      </c>
      <c r="AN6446">
        <v>-20.124624949999941</v>
      </c>
      <c r="AO6446">
        <v>-44.888432821777258</v>
      </c>
      <c r="AP6446">
        <v>-20.124502</v>
      </c>
      <c r="AQ6446">
        <v>-44.888424000000001</v>
      </c>
      <c r="AR6446">
        <v>13.717819333897451</v>
      </c>
      <c r="AS6446" t="s">
        <v>65</v>
      </c>
      <c r="AT6446">
        <v>1</v>
      </c>
      <c r="AU6446" t="s">
        <v>521</v>
      </c>
      <c r="AV6446" t="s">
        <v>522</v>
      </c>
      <c r="AW6446" t="s">
        <v>60</v>
      </c>
      <c r="AX6446" t="s">
        <v>68</v>
      </c>
      <c r="AY6446" t="s">
        <v>69</v>
      </c>
      <c r="AZ6446" t="b">
        <v>1</v>
      </c>
    </row>
    <row r="6447" spans="1:52" x14ac:dyDescent="0.3">
      <c r="A6447" t="s">
        <v>52</v>
      </c>
      <c r="B6447" t="s">
        <v>53</v>
      </c>
      <c r="C6447" t="s">
        <v>54</v>
      </c>
      <c r="D6447" t="s">
        <v>55</v>
      </c>
      <c r="E6447" t="s">
        <v>2295</v>
      </c>
      <c r="F6447" t="s">
        <v>1247</v>
      </c>
      <c r="G6447" t="s">
        <v>897</v>
      </c>
      <c r="H6447" t="s">
        <v>898</v>
      </c>
      <c r="I6447" t="s">
        <v>898</v>
      </c>
      <c r="J6447" t="s">
        <v>60</v>
      </c>
      <c r="K6447" t="s">
        <v>892</v>
      </c>
      <c r="L6447" t="s">
        <v>62</v>
      </c>
      <c r="M6447" t="s">
        <v>892</v>
      </c>
      <c r="N6447" t="s">
        <v>899</v>
      </c>
      <c r="O6447" t="s">
        <v>900</v>
      </c>
      <c r="P6447">
        <v>-20.154885</v>
      </c>
      <c r="Q6447">
        <v>-44.899890999999997</v>
      </c>
      <c r="R6447" s="2" t="str">
        <f>HYPERLINK("https://www.google.com/maps?q=-20.1548850,-44.8998910","Abrir no Google Maps")</f>
        <v>Abrir no Google Maps</v>
      </c>
      <c r="S6447">
        <v>3</v>
      </c>
      <c r="T6447">
        <v>314.66339661014308</v>
      </c>
      <c r="U6447">
        <v>3</v>
      </c>
      <c r="V6447">
        <v>0.4599898975983836</v>
      </c>
      <c r="W6447">
        <v>1</v>
      </c>
      <c r="X6447">
        <v>0.4599898975983836</v>
      </c>
      <c r="Y6447">
        <v>548</v>
      </c>
      <c r="Z6447">
        <v>319.02252584834253</v>
      </c>
      <c r="AA6447">
        <v>198</v>
      </c>
      <c r="AB6447">
        <v>332</v>
      </c>
      <c r="AC6447">
        <v>536</v>
      </c>
      <c r="AD6447">
        <v>29.58</v>
      </c>
      <c r="AE6447">
        <v>542</v>
      </c>
      <c r="AF6447">
        <v>30</v>
      </c>
      <c r="AG6447">
        <v>169</v>
      </c>
      <c r="AH6447">
        <v>129</v>
      </c>
      <c r="AI6447">
        <v>5.54</v>
      </c>
      <c r="AJ6447">
        <v>31.18</v>
      </c>
      <c r="AK6447">
        <v>23.8</v>
      </c>
      <c r="AL6447">
        <v>-20.154906649999951</v>
      </c>
      <c r="AM6447">
        <v>-44.899894072543653</v>
      </c>
      <c r="AN6447">
        <v>-20.154906649999951</v>
      </c>
      <c r="AO6447">
        <v>-44.899894072543653</v>
      </c>
      <c r="AP6447">
        <v>-20.154885</v>
      </c>
      <c r="AQ6447">
        <v>-44.899890999999997</v>
      </c>
      <c r="AR6447">
        <v>2.431373123904943</v>
      </c>
      <c r="AS6447" t="s">
        <v>65</v>
      </c>
      <c r="AT6447">
        <v>1</v>
      </c>
      <c r="AU6447" t="s">
        <v>901</v>
      </c>
      <c r="AV6447" t="s">
        <v>902</v>
      </c>
      <c r="AW6447" t="s">
        <v>60</v>
      </c>
      <c r="AX6447" t="s">
        <v>68</v>
      </c>
      <c r="AY6447" t="s">
        <v>69</v>
      </c>
      <c r="AZ6447" t="b">
        <v>1</v>
      </c>
    </row>
    <row r="6448" spans="1:52" x14ac:dyDescent="0.3">
      <c r="A6448" t="s">
        <v>52</v>
      </c>
      <c r="B6448" t="s">
        <v>53</v>
      </c>
      <c r="C6448" t="s">
        <v>54</v>
      </c>
      <c r="D6448" t="s">
        <v>55</v>
      </c>
      <c r="E6448" t="s">
        <v>2295</v>
      </c>
      <c r="F6448" t="s">
        <v>1247</v>
      </c>
      <c r="G6448" t="s">
        <v>551</v>
      </c>
      <c r="H6448" t="s">
        <v>552</v>
      </c>
      <c r="I6448" t="s">
        <v>552</v>
      </c>
      <c r="J6448" t="s">
        <v>60</v>
      </c>
      <c r="K6448" t="s">
        <v>388</v>
      </c>
      <c r="L6448" t="s">
        <v>62</v>
      </c>
      <c r="M6448" t="s">
        <v>388</v>
      </c>
      <c r="N6448" t="s">
        <v>553</v>
      </c>
      <c r="O6448" t="s">
        <v>315</v>
      </c>
      <c r="P6448">
        <v>-20.153086999999999</v>
      </c>
      <c r="Q6448">
        <v>-44.905451999999997</v>
      </c>
      <c r="R6448" s="2" t="str">
        <f>HYPERLINK("https://www.google.com/maps?q=-20.1530870,-44.9054520","Abrir no Google Maps")</f>
        <v>Abrir no Google Maps</v>
      </c>
      <c r="S6448">
        <v>3</v>
      </c>
      <c r="T6448">
        <v>313.69387682409018</v>
      </c>
      <c r="U6448">
        <v>3</v>
      </c>
      <c r="V6448">
        <v>0.4510580227778152</v>
      </c>
      <c r="W6448">
        <v>1</v>
      </c>
      <c r="X6448">
        <v>0.4510580227778152</v>
      </c>
      <c r="Y6448">
        <v>548</v>
      </c>
      <c r="Z6448">
        <v>319.51605309906859</v>
      </c>
      <c r="AA6448">
        <v>198</v>
      </c>
      <c r="AB6448">
        <v>332</v>
      </c>
      <c r="AC6448">
        <v>536</v>
      </c>
      <c r="AD6448">
        <v>29.58</v>
      </c>
      <c r="AE6448">
        <v>542</v>
      </c>
      <c r="AF6448">
        <v>30</v>
      </c>
      <c r="AG6448">
        <v>169</v>
      </c>
      <c r="AH6448">
        <v>129</v>
      </c>
      <c r="AI6448">
        <v>5.54</v>
      </c>
      <c r="AJ6448">
        <v>31.18</v>
      </c>
      <c r="AK6448">
        <v>23.8</v>
      </c>
      <c r="AL6448">
        <v>-20.153043049999951</v>
      </c>
      <c r="AM6448">
        <v>-44.905348275899513</v>
      </c>
      <c r="AN6448">
        <v>-20.153043049999951</v>
      </c>
      <c r="AO6448">
        <v>-44.905348275899513</v>
      </c>
      <c r="AP6448">
        <v>-20.153086999999999</v>
      </c>
      <c r="AQ6448">
        <v>-44.905451999999997</v>
      </c>
      <c r="AR6448">
        <v>11.892619975648341</v>
      </c>
      <c r="AS6448" t="s">
        <v>65</v>
      </c>
      <c r="AT6448">
        <v>1</v>
      </c>
      <c r="AU6448" t="s">
        <v>554</v>
      </c>
      <c r="AV6448" t="s">
        <v>555</v>
      </c>
      <c r="AW6448" t="s">
        <v>60</v>
      </c>
      <c r="AX6448" t="s">
        <v>68</v>
      </c>
      <c r="AY6448" t="s">
        <v>69</v>
      </c>
      <c r="AZ6448" t="b">
        <v>1</v>
      </c>
    </row>
    <row r="6449" spans="1:52" x14ac:dyDescent="0.3">
      <c r="A6449" t="s">
        <v>52</v>
      </c>
      <c r="B6449" t="s">
        <v>53</v>
      </c>
      <c r="C6449" t="s">
        <v>54</v>
      </c>
      <c r="D6449" t="s">
        <v>55</v>
      </c>
      <c r="E6449" t="s">
        <v>2295</v>
      </c>
      <c r="F6449" t="s">
        <v>1247</v>
      </c>
      <c r="G6449" t="s">
        <v>839</v>
      </c>
      <c r="H6449" t="s">
        <v>1274</v>
      </c>
      <c r="I6449" t="s">
        <v>1274</v>
      </c>
      <c r="J6449" t="s">
        <v>60</v>
      </c>
      <c r="K6449" t="s">
        <v>388</v>
      </c>
      <c r="L6449" t="s">
        <v>62</v>
      </c>
      <c r="M6449" t="s">
        <v>388</v>
      </c>
      <c r="N6449" t="s">
        <v>841</v>
      </c>
      <c r="O6449" t="s">
        <v>1275</v>
      </c>
      <c r="P6449">
        <v>-20.157979999999998</v>
      </c>
      <c r="Q6449">
        <v>-44.906365999999998</v>
      </c>
      <c r="R6449" s="2" t="str">
        <f>HYPERLINK("https://www.google.com/maps?q=-20.1579800,-44.9063660","Abrir no Google Maps")</f>
        <v>Abrir no Google Maps</v>
      </c>
      <c r="S6449">
        <v>3</v>
      </c>
      <c r="T6449">
        <v>519.48953004348823</v>
      </c>
      <c r="U6449">
        <v>2</v>
      </c>
      <c r="V6449">
        <v>0.48887532220865548</v>
      </c>
      <c r="W6449">
        <v>0.85</v>
      </c>
      <c r="X6449">
        <v>0.41554402387735723</v>
      </c>
      <c r="Y6449">
        <v>729</v>
      </c>
      <c r="Z6449">
        <v>393.22938248316768</v>
      </c>
      <c r="AA6449">
        <v>198</v>
      </c>
      <c r="AB6449">
        <v>332</v>
      </c>
      <c r="AC6449">
        <v>536</v>
      </c>
      <c r="AD6449">
        <v>29.58</v>
      </c>
      <c r="AE6449">
        <v>542</v>
      </c>
      <c r="AF6449">
        <v>30</v>
      </c>
      <c r="AG6449">
        <v>169</v>
      </c>
      <c r="AH6449">
        <v>129</v>
      </c>
      <c r="AI6449">
        <v>5.54</v>
      </c>
      <c r="AJ6449">
        <v>31.18</v>
      </c>
      <c r="AK6449">
        <v>23.8</v>
      </c>
      <c r="AL6449">
        <v>-20.157977799999941</v>
      </c>
      <c r="AM6449">
        <v>-44.906429896327573</v>
      </c>
      <c r="AN6449">
        <v>-20.157977799999941</v>
      </c>
      <c r="AO6449">
        <v>-44.906429896327573</v>
      </c>
      <c r="AP6449">
        <v>-20.157979999999998</v>
      </c>
      <c r="AQ6449">
        <v>-44.906365999999998</v>
      </c>
      <c r="AR6449">
        <v>6.6817330699236734</v>
      </c>
      <c r="AS6449" t="s">
        <v>65</v>
      </c>
      <c r="AT6449">
        <v>1</v>
      </c>
      <c r="AU6449" t="s">
        <v>1276</v>
      </c>
      <c r="AV6449" t="s">
        <v>1277</v>
      </c>
      <c r="AW6449" t="s">
        <v>60</v>
      </c>
      <c r="AX6449" t="s">
        <v>68</v>
      </c>
      <c r="AY6449" t="s">
        <v>69</v>
      </c>
      <c r="AZ6449" t="b">
        <v>1</v>
      </c>
    </row>
    <row r="6450" spans="1:52" x14ac:dyDescent="0.3">
      <c r="A6450" t="s">
        <v>52</v>
      </c>
      <c r="B6450" t="s">
        <v>53</v>
      </c>
      <c r="C6450" t="s">
        <v>54</v>
      </c>
      <c r="D6450" t="s">
        <v>55</v>
      </c>
      <c r="E6450" t="s">
        <v>2295</v>
      </c>
      <c r="F6450" t="s">
        <v>1247</v>
      </c>
      <c r="G6450" t="s">
        <v>1278</v>
      </c>
      <c r="H6450" t="s">
        <v>1279</v>
      </c>
      <c r="I6450" t="s">
        <v>1279</v>
      </c>
      <c r="J6450" t="s">
        <v>60</v>
      </c>
      <c r="K6450" t="s">
        <v>388</v>
      </c>
      <c r="L6450" t="s">
        <v>62</v>
      </c>
      <c r="M6450" t="s">
        <v>388</v>
      </c>
      <c r="N6450" t="s">
        <v>1280</v>
      </c>
      <c r="O6450" t="s">
        <v>216</v>
      </c>
      <c r="P6450">
        <v>-20.15681</v>
      </c>
      <c r="Q6450">
        <v>-44.899290999999998</v>
      </c>
      <c r="R6450" s="2" t="str">
        <f>HYPERLINK("https://www.google.com/maps?q=-20.1568100,-44.8992910","Abrir no Google Maps")</f>
        <v>Abrir no Google Maps</v>
      </c>
      <c r="S6450">
        <v>3</v>
      </c>
      <c r="T6450">
        <v>180.10162979749811</v>
      </c>
      <c r="U6450">
        <v>2</v>
      </c>
      <c r="V6450">
        <v>0.46251535626535628</v>
      </c>
      <c r="W6450">
        <v>0.85</v>
      </c>
      <c r="X6450">
        <v>0.39313805282555281</v>
      </c>
      <c r="Y6450">
        <v>729</v>
      </c>
      <c r="Z6450">
        <v>368.06065118133841</v>
      </c>
      <c r="AA6450">
        <v>198</v>
      </c>
      <c r="AB6450">
        <v>332</v>
      </c>
      <c r="AC6450">
        <v>536</v>
      </c>
      <c r="AD6450">
        <v>29.58</v>
      </c>
      <c r="AE6450">
        <v>542</v>
      </c>
      <c r="AF6450">
        <v>30</v>
      </c>
      <c r="AG6450">
        <v>169</v>
      </c>
      <c r="AH6450">
        <v>129</v>
      </c>
      <c r="AI6450">
        <v>5.54</v>
      </c>
      <c r="AJ6450">
        <v>31.18</v>
      </c>
      <c r="AK6450">
        <v>23.8</v>
      </c>
      <c r="AL6450">
        <v>-20.156785649999961</v>
      </c>
      <c r="AM6450">
        <v>-44.899254812291332</v>
      </c>
      <c r="AN6450">
        <v>-20.156785649999961</v>
      </c>
      <c r="AO6450">
        <v>-44.899254812291332</v>
      </c>
      <c r="AP6450">
        <v>-20.15681</v>
      </c>
      <c r="AQ6450">
        <v>-44.899290999999998</v>
      </c>
      <c r="AR6450">
        <v>4.6528211992813118</v>
      </c>
      <c r="AS6450" t="s">
        <v>65</v>
      </c>
      <c r="AT6450">
        <v>1</v>
      </c>
      <c r="AU6450" t="s">
        <v>1281</v>
      </c>
      <c r="AV6450" t="s">
        <v>1282</v>
      </c>
      <c r="AW6450" t="s">
        <v>60</v>
      </c>
      <c r="AX6450" t="s">
        <v>68</v>
      </c>
      <c r="AY6450" t="s">
        <v>69</v>
      </c>
      <c r="AZ6450" t="b">
        <v>1</v>
      </c>
    </row>
    <row r="6451" spans="1:52" x14ac:dyDescent="0.3">
      <c r="A6451" t="s">
        <v>52</v>
      </c>
      <c r="B6451" t="s">
        <v>53</v>
      </c>
      <c r="C6451" t="s">
        <v>54</v>
      </c>
      <c r="D6451" t="s">
        <v>55</v>
      </c>
      <c r="E6451" t="s">
        <v>2295</v>
      </c>
      <c r="F6451" t="s">
        <v>1247</v>
      </c>
      <c r="G6451" t="s">
        <v>1283</v>
      </c>
      <c r="H6451" t="s">
        <v>1284</v>
      </c>
      <c r="I6451" t="s">
        <v>1284</v>
      </c>
      <c r="J6451" t="s">
        <v>60</v>
      </c>
      <c r="K6451" t="s">
        <v>388</v>
      </c>
      <c r="L6451" t="s">
        <v>62</v>
      </c>
      <c r="M6451" t="s">
        <v>388</v>
      </c>
      <c r="N6451" t="s">
        <v>400</v>
      </c>
      <c r="O6451" t="s">
        <v>1285</v>
      </c>
      <c r="P6451">
        <v>-20.156977999999999</v>
      </c>
      <c r="Q6451">
        <v>-44.90325</v>
      </c>
      <c r="R6451" s="2" t="str">
        <f>HYPERLINK("https://www.google.com/maps?q=-20.1569780,-44.9032500","Abrir no Google Maps")</f>
        <v>Abrir no Google Maps</v>
      </c>
      <c r="S6451">
        <v>3</v>
      </c>
      <c r="T6451">
        <v>256.05633739092571</v>
      </c>
      <c r="U6451">
        <v>2</v>
      </c>
      <c r="V6451">
        <v>0.47329301126721018</v>
      </c>
      <c r="W6451">
        <v>0.85</v>
      </c>
      <c r="X6451">
        <v>0.40229905957712858</v>
      </c>
      <c r="Y6451">
        <v>729</v>
      </c>
      <c r="Z6451">
        <v>162.99447055889971</v>
      </c>
      <c r="AA6451">
        <v>198</v>
      </c>
      <c r="AB6451">
        <v>332</v>
      </c>
      <c r="AC6451">
        <v>536</v>
      </c>
      <c r="AD6451">
        <v>29.58</v>
      </c>
      <c r="AE6451">
        <v>542</v>
      </c>
      <c r="AF6451">
        <v>30</v>
      </c>
      <c r="AG6451">
        <v>169</v>
      </c>
      <c r="AH6451">
        <v>129</v>
      </c>
      <c r="AI6451">
        <v>5.54</v>
      </c>
      <c r="AJ6451">
        <v>31.18</v>
      </c>
      <c r="AK6451">
        <v>23.8</v>
      </c>
      <c r="AL6451">
        <v>-20.15696524999996</v>
      </c>
      <c r="AM6451">
        <v>-44.903258102626708</v>
      </c>
      <c r="AN6451">
        <v>-20.15696524999996</v>
      </c>
      <c r="AO6451">
        <v>-44.903258102626708</v>
      </c>
      <c r="AP6451">
        <v>-20.156977999999999</v>
      </c>
      <c r="AQ6451">
        <v>-44.90325</v>
      </c>
      <c r="AR6451">
        <v>1.6527147033629741</v>
      </c>
      <c r="AS6451" t="s">
        <v>65</v>
      </c>
      <c r="AT6451">
        <v>1</v>
      </c>
      <c r="AU6451" t="s">
        <v>1286</v>
      </c>
      <c r="AV6451" t="s">
        <v>1287</v>
      </c>
      <c r="AW6451" t="s">
        <v>60</v>
      </c>
      <c r="AX6451" t="s">
        <v>68</v>
      </c>
      <c r="AY6451" t="s">
        <v>69</v>
      </c>
      <c r="AZ6451" t="b">
        <v>1</v>
      </c>
    </row>
    <row r="6452" spans="1:52" x14ac:dyDescent="0.3">
      <c r="A6452" t="s">
        <v>52</v>
      </c>
      <c r="B6452" t="s">
        <v>53</v>
      </c>
      <c r="C6452" t="s">
        <v>54</v>
      </c>
      <c r="D6452" t="s">
        <v>55</v>
      </c>
      <c r="E6452" t="s">
        <v>2295</v>
      </c>
      <c r="F6452" t="s">
        <v>1247</v>
      </c>
      <c r="G6452" t="s">
        <v>1417</v>
      </c>
      <c r="H6452" t="s">
        <v>1418</v>
      </c>
      <c r="I6452" t="s">
        <v>1418</v>
      </c>
      <c r="J6452" t="s">
        <v>60</v>
      </c>
      <c r="K6452" t="s">
        <v>1419</v>
      </c>
      <c r="L6452" t="s">
        <v>62</v>
      </c>
      <c r="M6452" t="s">
        <v>1419</v>
      </c>
      <c r="N6452" t="s">
        <v>1420</v>
      </c>
      <c r="O6452" t="s">
        <v>1421</v>
      </c>
      <c r="P6452">
        <v>-20.159427000000001</v>
      </c>
      <c r="Q6452">
        <v>-44.897143</v>
      </c>
      <c r="R6452" s="2" t="str">
        <f>HYPERLINK("https://www.google.com/maps?q=-20.1594270,-44.8971430","Abrir no Google Maps")</f>
        <v>Abrir no Google Maps</v>
      </c>
      <c r="S6452">
        <v>3</v>
      </c>
      <c r="T6452">
        <v>392.64349875646298</v>
      </c>
      <c r="U6452">
        <v>2</v>
      </c>
      <c r="V6452">
        <v>0.47675642730496448</v>
      </c>
      <c r="W6452">
        <v>0.85</v>
      </c>
      <c r="X6452">
        <v>0.40524296320921982</v>
      </c>
      <c r="Y6452">
        <v>729</v>
      </c>
      <c r="Z6452">
        <v>550.20062797366995</v>
      </c>
      <c r="AA6452">
        <v>198</v>
      </c>
      <c r="AB6452">
        <v>332</v>
      </c>
      <c r="AC6452">
        <v>536</v>
      </c>
      <c r="AD6452">
        <v>29.58</v>
      </c>
      <c r="AE6452">
        <v>542</v>
      </c>
      <c r="AF6452">
        <v>30</v>
      </c>
      <c r="AG6452">
        <v>169</v>
      </c>
      <c r="AH6452">
        <v>129</v>
      </c>
      <c r="AI6452">
        <v>5.54</v>
      </c>
      <c r="AJ6452">
        <v>31.18</v>
      </c>
      <c r="AK6452">
        <v>23.8</v>
      </c>
      <c r="AL6452">
        <v>-20.15946549999995</v>
      </c>
      <c r="AM6452">
        <v>-44.89709959354267</v>
      </c>
      <c r="AN6452">
        <v>-20.15946549999995</v>
      </c>
      <c r="AO6452">
        <v>-44.89709959354267</v>
      </c>
      <c r="AP6452">
        <v>-20.159427000000001</v>
      </c>
      <c r="AQ6452">
        <v>-44.897143</v>
      </c>
      <c r="AR6452">
        <v>6.2404649979039286</v>
      </c>
      <c r="AS6452" t="s">
        <v>65</v>
      </c>
      <c r="AT6452">
        <v>1</v>
      </c>
      <c r="AU6452" t="s">
        <v>1422</v>
      </c>
      <c r="AV6452" t="s">
        <v>1423</v>
      </c>
      <c r="AW6452" t="s">
        <v>60</v>
      </c>
      <c r="AX6452" t="s">
        <v>68</v>
      </c>
      <c r="AY6452" t="s">
        <v>69</v>
      </c>
      <c r="AZ6452" t="b">
        <v>1</v>
      </c>
    </row>
    <row r="6453" spans="1:52" x14ac:dyDescent="0.3">
      <c r="A6453" t="s">
        <v>52</v>
      </c>
      <c r="B6453" t="s">
        <v>53</v>
      </c>
      <c r="C6453" t="s">
        <v>54</v>
      </c>
      <c r="D6453" t="s">
        <v>55</v>
      </c>
      <c r="E6453" t="s">
        <v>2295</v>
      </c>
      <c r="F6453" t="s">
        <v>1247</v>
      </c>
      <c r="G6453" t="s">
        <v>1288</v>
      </c>
      <c r="H6453" t="s">
        <v>1289</v>
      </c>
      <c r="I6453" t="s">
        <v>1289</v>
      </c>
      <c r="J6453" t="s">
        <v>60</v>
      </c>
      <c r="K6453" t="s">
        <v>1290</v>
      </c>
      <c r="L6453" t="s">
        <v>62</v>
      </c>
      <c r="M6453" t="s">
        <v>1290</v>
      </c>
      <c r="N6453" t="s">
        <v>1291</v>
      </c>
      <c r="O6453" t="s">
        <v>315</v>
      </c>
      <c r="P6453">
        <v>-20.171008</v>
      </c>
      <c r="Q6453">
        <v>-44.918908999999999</v>
      </c>
      <c r="R6453" s="2" t="str">
        <f>HYPERLINK("https://www.google.com/maps?q=-20.1710080,-44.9189090","Abrir no Google Maps")</f>
        <v>Abrir no Google Maps</v>
      </c>
      <c r="S6453">
        <v>3</v>
      </c>
      <c r="T6453">
        <v>972.86786700299888</v>
      </c>
      <c r="U6453">
        <v>2</v>
      </c>
      <c r="V6453">
        <v>0.4601600940001469</v>
      </c>
      <c r="W6453">
        <v>0.85</v>
      </c>
      <c r="X6453">
        <v>0.39113607990012478</v>
      </c>
      <c r="Y6453">
        <v>723</v>
      </c>
      <c r="Z6453">
        <v>690.55600110253613</v>
      </c>
      <c r="AA6453">
        <v>198</v>
      </c>
      <c r="AB6453">
        <v>332</v>
      </c>
      <c r="AC6453">
        <v>536</v>
      </c>
      <c r="AD6453">
        <v>29.58</v>
      </c>
      <c r="AE6453">
        <v>542</v>
      </c>
      <c r="AF6453">
        <v>30</v>
      </c>
      <c r="AG6453">
        <v>169</v>
      </c>
      <c r="AH6453">
        <v>129</v>
      </c>
      <c r="AI6453">
        <v>5.54</v>
      </c>
      <c r="AJ6453">
        <v>31.18</v>
      </c>
      <c r="AK6453">
        <v>23.8</v>
      </c>
      <c r="AL6453">
        <v>-20.171738249999979</v>
      </c>
      <c r="AM6453">
        <v>-44.919736490382917</v>
      </c>
      <c r="AN6453">
        <v>-20.171738249999979</v>
      </c>
      <c r="AO6453">
        <v>-44.919736490382931</v>
      </c>
      <c r="AP6453">
        <v>-20.171008</v>
      </c>
      <c r="AQ6453">
        <v>-44.918908999999999</v>
      </c>
      <c r="AR6453">
        <v>118.678920061485</v>
      </c>
      <c r="AS6453" t="s">
        <v>65</v>
      </c>
      <c r="AT6453">
        <v>1</v>
      </c>
      <c r="AU6453" t="s">
        <v>1292</v>
      </c>
      <c r="AV6453" t="s">
        <v>1293</v>
      </c>
      <c r="AW6453" t="s">
        <v>60</v>
      </c>
      <c r="AX6453" t="s">
        <v>68</v>
      </c>
      <c r="AY6453" t="s">
        <v>69</v>
      </c>
      <c r="AZ6453" t="b">
        <v>1</v>
      </c>
    </row>
    <row r="6454" spans="1:52" x14ac:dyDescent="0.3">
      <c r="A6454" t="s">
        <v>52</v>
      </c>
      <c r="B6454" t="s">
        <v>53</v>
      </c>
      <c r="C6454" t="s">
        <v>54</v>
      </c>
      <c r="D6454" t="s">
        <v>55</v>
      </c>
      <c r="E6454" t="s">
        <v>2295</v>
      </c>
      <c r="F6454" t="s">
        <v>1247</v>
      </c>
      <c r="G6454" t="s">
        <v>1307</v>
      </c>
      <c r="H6454" t="s">
        <v>1308</v>
      </c>
      <c r="I6454" t="s">
        <v>1308</v>
      </c>
      <c r="J6454" t="s">
        <v>60</v>
      </c>
      <c r="K6454" t="s">
        <v>1302</v>
      </c>
      <c r="L6454" t="s">
        <v>62</v>
      </c>
      <c r="M6454" t="s">
        <v>1302</v>
      </c>
      <c r="N6454" t="s">
        <v>558</v>
      </c>
      <c r="O6454" t="s">
        <v>1309</v>
      </c>
      <c r="P6454">
        <v>-20.169051</v>
      </c>
      <c r="Q6454">
        <v>-44.910093000000003</v>
      </c>
      <c r="R6454" s="2" t="str">
        <f>HYPERLINK("https://www.google.com/maps?q=-20.1690510,-44.9100930","Abrir no Google Maps")</f>
        <v>Abrir no Google Maps</v>
      </c>
      <c r="S6454">
        <v>3</v>
      </c>
      <c r="T6454">
        <v>375.90504489887479</v>
      </c>
      <c r="U6454">
        <v>2</v>
      </c>
      <c r="V6454">
        <v>0.48476044692970122</v>
      </c>
      <c r="W6454">
        <v>0.85</v>
      </c>
      <c r="X6454">
        <v>0.41204637989024601</v>
      </c>
      <c r="Y6454">
        <v>723</v>
      </c>
      <c r="Z6454">
        <v>456.19893675176831</v>
      </c>
      <c r="AA6454">
        <v>198</v>
      </c>
      <c r="AB6454">
        <v>332</v>
      </c>
      <c r="AC6454">
        <v>536</v>
      </c>
      <c r="AD6454">
        <v>29.58</v>
      </c>
      <c r="AE6454">
        <v>542</v>
      </c>
      <c r="AF6454">
        <v>30</v>
      </c>
      <c r="AG6454">
        <v>169</v>
      </c>
      <c r="AH6454">
        <v>129</v>
      </c>
      <c r="AI6454">
        <v>5.54</v>
      </c>
      <c r="AJ6454">
        <v>31.18</v>
      </c>
      <c r="AK6454">
        <v>23.8</v>
      </c>
      <c r="AL6454">
        <v>-20.168810949999941</v>
      </c>
      <c r="AM6454">
        <v>-44.910156475447927</v>
      </c>
      <c r="AN6454">
        <v>-20.168810949999941</v>
      </c>
      <c r="AO6454">
        <v>-44.910156475447927</v>
      </c>
      <c r="AP6454">
        <v>-20.169051</v>
      </c>
      <c r="AQ6454">
        <v>-44.910093000000003</v>
      </c>
      <c r="AR6454">
        <v>27.533232396417059</v>
      </c>
      <c r="AS6454" t="s">
        <v>65</v>
      </c>
      <c r="AT6454">
        <v>1</v>
      </c>
      <c r="AU6454" t="s">
        <v>1310</v>
      </c>
      <c r="AV6454" t="s">
        <v>1311</v>
      </c>
      <c r="AW6454" t="s">
        <v>60</v>
      </c>
      <c r="AX6454" t="s">
        <v>68</v>
      </c>
      <c r="AY6454" t="s">
        <v>69</v>
      </c>
      <c r="AZ6454" t="b">
        <v>1</v>
      </c>
    </row>
    <row r="6455" spans="1:52" x14ac:dyDescent="0.3">
      <c r="A6455" t="s">
        <v>52</v>
      </c>
      <c r="B6455" t="s">
        <v>53</v>
      </c>
      <c r="C6455" t="s">
        <v>54</v>
      </c>
      <c r="D6455" t="s">
        <v>55</v>
      </c>
      <c r="E6455" t="s">
        <v>2295</v>
      </c>
      <c r="F6455" t="s">
        <v>1247</v>
      </c>
      <c r="G6455" t="s">
        <v>845</v>
      </c>
      <c r="H6455" t="s">
        <v>846</v>
      </c>
      <c r="I6455" t="s">
        <v>846</v>
      </c>
      <c r="J6455" t="s">
        <v>60</v>
      </c>
      <c r="K6455" t="s">
        <v>424</v>
      </c>
      <c r="L6455" t="s">
        <v>62</v>
      </c>
      <c r="M6455" t="s">
        <v>424</v>
      </c>
      <c r="N6455" t="s">
        <v>847</v>
      </c>
      <c r="O6455" t="s">
        <v>848</v>
      </c>
      <c r="P6455">
        <v>-20.175523999999999</v>
      </c>
      <c r="Q6455">
        <v>-44.918016999999999</v>
      </c>
      <c r="R6455" s="2" t="str">
        <f>HYPERLINK("https://www.google.com/maps?q=-20.1755240,-44.9180170","Abrir no Google Maps")</f>
        <v>Abrir no Google Maps</v>
      </c>
      <c r="S6455">
        <v>3</v>
      </c>
      <c r="T6455">
        <v>833.59191671824021</v>
      </c>
      <c r="U6455">
        <v>2</v>
      </c>
      <c r="V6455">
        <v>0.4665790050405435</v>
      </c>
      <c r="W6455">
        <v>0.85</v>
      </c>
      <c r="X6455">
        <v>0.39659215428446198</v>
      </c>
      <c r="Y6455">
        <v>723</v>
      </c>
      <c r="Z6455">
        <v>701.05790658871581</v>
      </c>
      <c r="AA6455">
        <v>198</v>
      </c>
      <c r="AB6455">
        <v>332</v>
      </c>
      <c r="AC6455">
        <v>536</v>
      </c>
      <c r="AD6455">
        <v>29.58</v>
      </c>
      <c r="AE6455">
        <v>542</v>
      </c>
      <c r="AF6455">
        <v>30</v>
      </c>
      <c r="AG6455">
        <v>169</v>
      </c>
      <c r="AH6455">
        <v>129</v>
      </c>
      <c r="AI6455">
        <v>5.54</v>
      </c>
      <c r="AJ6455">
        <v>31.18</v>
      </c>
      <c r="AK6455">
        <v>23.8</v>
      </c>
      <c r="AL6455">
        <v>-20.17533859999995</v>
      </c>
      <c r="AM6455">
        <v>-44.917689627873088</v>
      </c>
      <c r="AN6455">
        <v>-20.17533859999995</v>
      </c>
      <c r="AO6455">
        <v>-44.917689627873088</v>
      </c>
      <c r="AP6455">
        <v>-20.175523999999999</v>
      </c>
      <c r="AQ6455">
        <v>-44.918016999999999</v>
      </c>
      <c r="AR6455">
        <v>39.950898228213873</v>
      </c>
      <c r="AS6455" t="s">
        <v>65</v>
      </c>
      <c r="AT6455">
        <v>1</v>
      </c>
      <c r="AU6455" t="s">
        <v>849</v>
      </c>
      <c r="AV6455" t="s">
        <v>850</v>
      </c>
      <c r="AW6455" t="s">
        <v>60</v>
      </c>
      <c r="AX6455" t="s">
        <v>68</v>
      </c>
      <c r="AY6455" t="s">
        <v>69</v>
      </c>
      <c r="AZ6455" t="b">
        <v>1</v>
      </c>
    </row>
    <row r="6456" spans="1:52" x14ac:dyDescent="0.3">
      <c r="A6456" t="s">
        <v>52</v>
      </c>
      <c r="B6456" t="s">
        <v>53</v>
      </c>
      <c r="C6456" t="s">
        <v>54</v>
      </c>
      <c r="D6456" t="s">
        <v>55</v>
      </c>
      <c r="E6456" t="s">
        <v>2295</v>
      </c>
      <c r="F6456" t="s">
        <v>1247</v>
      </c>
      <c r="G6456" t="s">
        <v>429</v>
      </c>
      <c r="H6456" t="s">
        <v>430</v>
      </c>
      <c r="I6456" t="s">
        <v>430</v>
      </c>
      <c r="J6456" t="s">
        <v>60</v>
      </c>
      <c r="K6456" t="s">
        <v>431</v>
      </c>
      <c r="L6456" t="s">
        <v>62</v>
      </c>
      <c r="M6456" t="s">
        <v>431</v>
      </c>
      <c r="N6456" t="s">
        <v>432</v>
      </c>
      <c r="O6456" t="s">
        <v>315</v>
      </c>
      <c r="P6456">
        <v>-20.172698</v>
      </c>
      <c r="Q6456">
        <v>-44.923842</v>
      </c>
      <c r="R6456" s="2" t="str">
        <f>HYPERLINK("https://www.google.com/maps?q=-20.1726980,-44.9238420","Abrir no Google Maps")</f>
        <v>Abrir no Google Maps</v>
      </c>
      <c r="S6456">
        <v>3</v>
      </c>
      <c r="T6456">
        <v>1376.1843173402931</v>
      </c>
      <c r="U6456">
        <v>2</v>
      </c>
      <c r="V6456">
        <v>0.4765709479754896</v>
      </c>
      <c r="W6456">
        <v>0.85</v>
      </c>
      <c r="X6456">
        <v>0.40508530577916613</v>
      </c>
      <c r="Y6456">
        <v>723</v>
      </c>
      <c r="Z6456">
        <v>1101.340635002096</v>
      </c>
      <c r="AA6456">
        <v>198</v>
      </c>
      <c r="AB6456">
        <v>332</v>
      </c>
      <c r="AC6456">
        <v>536</v>
      </c>
      <c r="AD6456">
        <v>29.58</v>
      </c>
      <c r="AE6456">
        <v>542</v>
      </c>
      <c r="AF6456">
        <v>30</v>
      </c>
      <c r="AG6456">
        <v>169</v>
      </c>
      <c r="AH6456">
        <v>129</v>
      </c>
      <c r="AI6456">
        <v>5.54</v>
      </c>
      <c r="AJ6456">
        <v>31.18</v>
      </c>
      <c r="AK6456">
        <v>23.8</v>
      </c>
      <c r="AL6456">
        <v>-20.172942799999959</v>
      </c>
      <c r="AM6456">
        <v>-44.923585372665762</v>
      </c>
      <c r="AN6456">
        <v>-20.172942799999959</v>
      </c>
      <c r="AO6456">
        <v>-44.923585372665762</v>
      </c>
      <c r="AP6456">
        <v>-20.172698</v>
      </c>
      <c r="AQ6456">
        <v>-44.923842</v>
      </c>
      <c r="AR6456">
        <v>38.231981408478958</v>
      </c>
      <c r="AS6456" t="s">
        <v>65</v>
      </c>
      <c r="AT6456">
        <v>1</v>
      </c>
      <c r="AU6456" t="s">
        <v>433</v>
      </c>
      <c r="AV6456" t="s">
        <v>434</v>
      </c>
      <c r="AW6456" t="s">
        <v>60</v>
      </c>
      <c r="AX6456" t="s">
        <v>68</v>
      </c>
      <c r="AY6456" t="s">
        <v>69</v>
      </c>
      <c r="AZ6456" t="b">
        <v>1</v>
      </c>
    </row>
    <row r="6457" spans="1:52" x14ac:dyDescent="0.3">
      <c r="A6457" t="s">
        <v>52</v>
      </c>
      <c r="B6457" t="s">
        <v>53</v>
      </c>
      <c r="C6457" t="s">
        <v>54</v>
      </c>
      <c r="D6457" t="s">
        <v>55</v>
      </c>
      <c r="E6457" t="s">
        <v>2295</v>
      </c>
      <c r="F6457" t="s">
        <v>1247</v>
      </c>
      <c r="G6457" t="s">
        <v>1328</v>
      </c>
      <c r="H6457" t="s">
        <v>1329</v>
      </c>
      <c r="I6457" t="s">
        <v>1329</v>
      </c>
      <c r="J6457" t="s">
        <v>60</v>
      </c>
      <c r="K6457" t="s">
        <v>1324</v>
      </c>
      <c r="L6457" t="s">
        <v>62</v>
      </c>
      <c r="M6457" t="s">
        <v>1324</v>
      </c>
      <c r="N6457" t="s">
        <v>1330</v>
      </c>
      <c r="O6457" t="s">
        <v>1331</v>
      </c>
      <c r="P6457">
        <v>-20.172984</v>
      </c>
      <c r="Q6457">
        <v>-44.915225999999997</v>
      </c>
      <c r="R6457" s="2" t="str">
        <f>HYPERLINK("https://www.google.com/maps?q=-20.1729840,-44.9152260","Abrir no Google Maps")</f>
        <v>Abrir no Google Maps</v>
      </c>
      <c r="S6457">
        <v>3</v>
      </c>
      <c r="T6457">
        <v>498.21203543103741</v>
      </c>
      <c r="U6457">
        <v>2</v>
      </c>
      <c r="V6457">
        <v>0.45830049908064091</v>
      </c>
      <c r="W6457">
        <v>0.85</v>
      </c>
      <c r="X6457">
        <v>0.38955542421854478</v>
      </c>
      <c r="Y6457">
        <v>723</v>
      </c>
      <c r="Z6457">
        <v>297.36167326949931</v>
      </c>
      <c r="AA6457">
        <v>198</v>
      </c>
      <c r="AB6457">
        <v>332</v>
      </c>
      <c r="AC6457">
        <v>536</v>
      </c>
      <c r="AD6457">
        <v>29.58</v>
      </c>
      <c r="AE6457">
        <v>542</v>
      </c>
      <c r="AF6457">
        <v>30</v>
      </c>
      <c r="AG6457">
        <v>169</v>
      </c>
      <c r="AH6457">
        <v>129</v>
      </c>
      <c r="AI6457">
        <v>5.54</v>
      </c>
      <c r="AJ6457">
        <v>31.18</v>
      </c>
      <c r="AK6457">
        <v>23.8</v>
      </c>
      <c r="AL6457">
        <v>-20.172838899999959</v>
      </c>
      <c r="AM6457">
        <v>-44.915158011603552</v>
      </c>
      <c r="AN6457">
        <v>-20.172838899999959</v>
      </c>
      <c r="AO6457">
        <v>-44.915158011603552</v>
      </c>
      <c r="AP6457">
        <v>-20.172984</v>
      </c>
      <c r="AQ6457">
        <v>-44.915225999999997</v>
      </c>
      <c r="AR6457">
        <v>17.645788305942119</v>
      </c>
      <c r="AS6457" t="s">
        <v>65</v>
      </c>
      <c r="AT6457">
        <v>1</v>
      </c>
      <c r="AU6457" t="s">
        <v>1332</v>
      </c>
      <c r="AV6457" t="s">
        <v>1327</v>
      </c>
      <c r="AW6457" t="s">
        <v>60</v>
      </c>
      <c r="AX6457" t="s">
        <v>68</v>
      </c>
      <c r="AY6457" t="s">
        <v>69</v>
      </c>
      <c r="AZ6457" t="b">
        <v>1</v>
      </c>
    </row>
    <row r="6458" spans="1:52" x14ac:dyDescent="0.3">
      <c r="A6458" t="s">
        <v>52</v>
      </c>
      <c r="B6458" t="s">
        <v>53</v>
      </c>
      <c r="C6458" t="s">
        <v>54</v>
      </c>
      <c r="D6458" t="s">
        <v>55</v>
      </c>
      <c r="E6458" t="s">
        <v>2295</v>
      </c>
      <c r="F6458" t="s">
        <v>1247</v>
      </c>
      <c r="G6458" t="s">
        <v>1333</v>
      </c>
      <c r="H6458" t="s">
        <v>1334</v>
      </c>
      <c r="I6458" t="s">
        <v>1334</v>
      </c>
      <c r="J6458" t="s">
        <v>60</v>
      </c>
      <c r="K6458" t="s">
        <v>437</v>
      </c>
      <c r="L6458" t="s">
        <v>62</v>
      </c>
      <c r="M6458" t="s">
        <v>437</v>
      </c>
      <c r="N6458" t="s">
        <v>1335</v>
      </c>
      <c r="O6458" t="s">
        <v>807</v>
      </c>
      <c r="P6458">
        <v>-20.148</v>
      </c>
      <c r="Q6458">
        <v>-44.880944999999997</v>
      </c>
      <c r="R6458" s="2" t="str">
        <f>HYPERLINK("https://www.google.com/maps?q=-20.1480000,-44.8809450","Abrir no Google Maps")</f>
        <v>Abrir no Google Maps</v>
      </c>
      <c r="S6458">
        <v>3</v>
      </c>
      <c r="T6458">
        <v>0</v>
      </c>
      <c r="U6458">
        <v>2</v>
      </c>
      <c r="V6458">
        <v>0.48924004172622948</v>
      </c>
      <c r="W6458">
        <v>0.85</v>
      </c>
      <c r="X6458">
        <v>0.41585403546729499</v>
      </c>
      <c r="Y6458">
        <v>653</v>
      </c>
      <c r="Z6458">
        <v>108.2792411420544</v>
      </c>
      <c r="AA6458">
        <v>198</v>
      </c>
      <c r="AB6458">
        <v>332</v>
      </c>
      <c r="AC6458">
        <v>536</v>
      </c>
      <c r="AD6458">
        <v>29.58</v>
      </c>
      <c r="AE6458">
        <v>542</v>
      </c>
      <c r="AF6458">
        <v>30</v>
      </c>
      <c r="AG6458">
        <v>169</v>
      </c>
      <c r="AH6458">
        <v>129</v>
      </c>
      <c r="AI6458">
        <v>5.54</v>
      </c>
      <c r="AJ6458">
        <v>31.18</v>
      </c>
      <c r="AK6458">
        <v>23.8</v>
      </c>
      <c r="AL6458">
        <v>-20.14802099999994</v>
      </c>
      <c r="AM6458">
        <v>-44.880951206225959</v>
      </c>
      <c r="AN6458">
        <v>-20.14802099999994</v>
      </c>
      <c r="AO6458">
        <v>-44.880951206225959</v>
      </c>
      <c r="AP6458">
        <v>-20.148</v>
      </c>
      <c r="AQ6458">
        <v>-44.880944999999997</v>
      </c>
      <c r="AR6458">
        <v>2.4260288619737169</v>
      </c>
      <c r="AS6458" t="s">
        <v>65</v>
      </c>
      <c r="AT6458">
        <v>1</v>
      </c>
      <c r="AU6458" t="s">
        <v>1336</v>
      </c>
      <c r="AV6458" t="s">
        <v>1337</v>
      </c>
      <c r="AW6458" t="s">
        <v>60</v>
      </c>
      <c r="AX6458" t="s">
        <v>68</v>
      </c>
      <c r="AY6458" t="s">
        <v>69</v>
      </c>
      <c r="AZ6458" t="b">
        <v>1</v>
      </c>
    </row>
    <row r="6459" spans="1:52" x14ac:dyDescent="0.3">
      <c r="A6459" t="s">
        <v>52</v>
      </c>
      <c r="B6459" t="s">
        <v>53</v>
      </c>
      <c r="C6459" t="s">
        <v>54</v>
      </c>
      <c r="D6459" t="s">
        <v>55</v>
      </c>
      <c r="E6459" t="s">
        <v>2295</v>
      </c>
      <c r="F6459" t="s">
        <v>1247</v>
      </c>
      <c r="G6459" t="s">
        <v>1342</v>
      </c>
      <c r="H6459" t="s">
        <v>1343</v>
      </c>
      <c r="I6459" t="s">
        <v>1343</v>
      </c>
      <c r="J6459" t="s">
        <v>60</v>
      </c>
      <c r="K6459" t="s">
        <v>462</v>
      </c>
      <c r="L6459" t="s">
        <v>62</v>
      </c>
      <c r="M6459" t="s">
        <v>462</v>
      </c>
      <c r="N6459" t="s">
        <v>921</v>
      </c>
      <c r="O6459" t="s">
        <v>1344</v>
      </c>
      <c r="P6459">
        <v>-20.137526000000001</v>
      </c>
      <c r="Q6459">
        <v>-44.912452999999999</v>
      </c>
      <c r="R6459" s="2" t="str">
        <f>HYPERLINK("https://www.google.com/maps?q=-20.1375260,-44.9124530","Abrir no Google Maps")</f>
        <v>Abrir no Google Maps</v>
      </c>
      <c r="S6459">
        <v>3</v>
      </c>
      <c r="T6459">
        <v>446.95091416730708</v>
      </c>
      <c r="U6459">
        <v>2</v>
      </c>
      <c r="V6459">
        <v>0.49025659646574671</v>
      </c>
      <c r="W6459">
        <v>0.85</v>
      </c>
      <c r="X6459">
        <v>0.41671810699588469</v>
      </c>
      <c r="Y6459">
        <v>581</v>
      </c>
      <c r="Z6459">
        <v>507.4747778269288</v>
      </c>
      <c r="AA6459">
        <v>198</v>
      </c>
      <c r="AB6459">
        <v>332</v>
      </c>
      <c r="AC6459">
        <v>536</v>
      </c>
      <c r="AD6459">
        <v>29.58</v>
      </c>
      <c r="AE6459">
        <v>542</v>
      </c>
      <c r="AF6459">
        <v>30</v>
      </c>
      <c r="AG6459">
        <v>169</v>
      </c>
      <c r="AH6459">
        <v>129</v>
      </c>
      <c r="AI6459">
        <v>5.54</v>
      </c>
      <c r="AJ6459">
        <v>31.18</v>
      </c>
      <c r="AK6459">
        <v>23.8</v>
      </c>
      <c r="AL6459">
        <v>-20.136672649999959</v>
      </c>
      <c r="AM6459">
        <v>-44.911825104396357</v>
      </c>
      <c r="AN6459">
        <v>-20.136672649999959</v>
      </c>
      <c r="AO6459">
        <v>-44.911825104396357</v>
      </c>
      <c r="AP6459">
        <v>-20.137526000000001</v>
      </c>
      <c r="AQ6459">
        <v>-44.912452999999999</v>
      </c>
      <c r="AR6459">
        <v>115.45843265992529</v>
      </c>
      <c r="AS6459" t="s">
        <v>65</v>
      </c>
      <c r="AT6459">
        <v>1</v>
      </c>
      <c r="AU6459" t="s">
        <v>1345</v>
      </c>
      <c r="AV6459" t="s">
        <v>1346</v>
      </c>
      <c r="AW6459" t="s">
        <v>60</v>
      </c>
      <c r="AX6459" t="s">
        <v>68</v>
      </c>
      <c r="AY6459" t="s">
        <v>69</v>
      </c>
      <c r="AZ6459" t="b">
        <v>1</v>
      </c>
    </row>
    <row r="6460" spans="1:52" x14ac:dyDescent="0.3">
      <c r="A6460" t="s">
        <v>52</v>
      </c>
      <c r="B6460" t="s">
        <v>53</v>
      </c>
      <c r="C6460" t="s">
        <v>54</v>
      </c>
      <c r="D6460" t="s">
        <v>55</v>
      </c>
      <c r="E6460" t="s">
        <v>2295</v>
      </c>
      <c r="F6460" t="s">
        <v>1247</v>
      </c>
      <c r="G6460" t="s">
        <v>1347</v>
      </c>
      <c r="H6460" t="s">
        <v>1348</v>
      </c>
      <c r="I6460" t="s">
        <v>1348</v>
      </c>
      <c r="J6460" t="s">
        <v>60</v>
      </c>
      <c r="K6460" t="s">
        <v>1349</v>
      </c>
      <c r="L6460" t="s">
        <v>62</v>
      </c>
      <c r="M6460" t="s">
        <v>1349</v>
      </c>
      <c r="N6460" t="s">
        <v>1350</v>
      </c>
      <c r="O6460" t="s">
        <v>1351</v>
      </c>
      <c r="P6460">
        <v>-20.140426999999999</v>
      </c>
      <c r="Q6460">
        <v>-44.905327999999997</v>
      </c>
      <c r="R6460" s="2" t="str">
        <f>HYPERLINK("https://www.google.com/maps?q=-20.1404270,-44.9053280","Abrir no Google Maps")</f>
        <v>Abrir no Google Maps</v>
      </c>
      <c r="S6460">
        <v>3</v>
      </c>
      <c r="T6460">
        <v>359.5810968231857</v>
      </c>
      <c r="U6460">
        <v>2</v>
      </c>
      <c r="V6460">
        <v>0.48909730626148529</v>
      </c>
      <c r="W6460">
        <v>0.85</v>
      </c>
      <c r="X6460">
        <v>0.4157327103222625</v>
      </c>
      <c r="Y6460">
        <v>581</v>
      </c>
      <c r="Z6460">
        <v>292.370097058873</v>
      </c>
      <c r="AA6460">
        <v>198</v>
      </c>
      <c r="AB6460">
        <v>332</v>
      </c>
      <c r="AC6460">
        <v>536</v>
      </c>
      <c r="AD6460">
        <v>29.58</v>
      </c>
      <c r="AE6460">
        <v>542</v>
      </c>
      <c r="AF6460">
        <v>30</v>
      </c>
      <c r="AG6460">
        <v>169</v>
      </c>
      <c r="AH6460">
        <v>129</v>
      </c>
      <c r="AI6460">
        <v>5.54</v>
      </c>
      <c r="AJ6460">
        <v>31.18</v>
      </c>
      <c r="AK6460">
        <v>23.8</v>
      </c>
      <c r="AL6460">
        <v>-20.140465449999969</v>
      </c>
      <c r="AM6460">
        <v>-44.905317129037229</v>
      </c>
      <c r="AN6460">
        <v>-20.140465449999969</v>
      </c>
      <c r="AO6460">
        <v>-44.905317129037229</v>
      </c>
      <c r="AP6460">
        <v>-20.140426999999999</v>
      </c>
      <c r="AQ6460">
        <v>-44.905327999999997</v>
      </c>
      <c r="AR6460">
        <v>4.4284788644958706</v>
      </c>
      <c r="AS6460" t="s">
        <v>65</v>
      </c>
      <c r="AT6460">
        <v>1</v>
      </c>
      <c r="AU6460" t="s">
        <v>1352</v>
      </c>
      <c r="AV6460" t="s">
        <v>1353</v>
      </c>
      <c r="AW6460" t="s">
        <v>60</v>
      </c>
      <c r="AX6460" t="s">
        <v>68</v>
      </c>
      <c r="AY6460" t="s">
        <v>69</v>
      </c>
      <c r="AZ6460" t="b">
        <v>1</v>
      </c>
    </row>
    <row r="6461" spans="1:52" x14ac:dyDescent="0.3">
      <c r="A6461" t="s">
        <v>52</v>
      </c>
      <c r="B6461" t="s">
        <v>53</v>
      </c>
      <c r="C6461" t="s">
        <v>54</v>
      </c>
      <c r="D6461" t="s">
        <v>55</v>
      </c>
      <c r="E6461" t="s">
        <v>2295</v>
      </c>
      <c r="F6461" t="s">
        <v>1247</v>
      </c>
      <c r="G6461" t="s">
        <v>1364</v>
      </c>
      <c r="H6461" t="s">
        <v>1365</v>
      </c>
      <c r="I6461" t="s">
        <v>1365</v>
      </c>
      <c r="J6461" t="s">
        <v>60</v>
      </c>
      <c r="K6461" t="s">
        <v>1356</v>
      </c>
      <c r="L6461" t="s">
        <v>62</v>
      </c>
      <c r="M6461" t="s">
        <v>1356</v>
      </c>
      <c r="N6461" t="s">
        <v>1366</v>
      </c>
      <c r="O6461" t="s">
        <v>548</v>
      </c>
      <c r="P6461">
        <v>-20.131240999999999</v>
      </c>
      <c r="Q6461">
        <v>-44.910567999999998</v>
      </c>
      <c r="R6461" s="2" t="str">
        <f>HYPERLINK("https://www.google.com/maps?q=-20.1312410,-44.9105680","Abrir no Google Maps")</f>
        <v>Abrir no Google Maps</v>
      </c>
      <c r="S6461">
        <v>3</v>
      </c>
      <c r="T6461">
        <v>822.61354861726704</v>
      </c>
      <c r="U6461">
        <v>2</v>
      </c>
      <c r="V6461">
        <v>0.45961768219832733</v>
      </c>
      <c r="W6461">
        <v>0.85</v>
      </c>
      <c r="X6461">
        <v>0.39067502986857822</v>
      </c>
      <c r="Y6461">
        <v>581</v>
      </c>
      <c r="Z6461">
        <v>982.3990834787046</v>
      </c>
      <c r="AA6461">
        <v>198</v>
      </c>
      <c r="AB6461">
        <v>332</v>
      </c>
      <c r="AC6461">
        <v>536</v>
      </c>
      <c r="AD6461">
        <v>29.58</v>
      </c>
      <c r="AE6461">
        <v>542</v>
      </c>
      <c r="AF6461">
        <v>30</v>
      </c>
      <c r="AG6461">
        <v>169</v>
      </c>
      <c r="AH6461">
        <v>129</v>
      </c>
      <c r="AI6461">
        <v>5.54</v>
      </c>
      <c r="AJ6461">
        <v>31.18</v>
      </c>
      <c r="AK6461">
        <v>23.8</v>
      </c>
      <c r="AL6461">
        <v>-20.131367099999981</v>
      </c>
      <c r="AM6461">
        <v>-44.910597350758543</v>
      </c>
      <c r="AN6461">
        <v>-20.131367099999981</v>
      </c>
      <c r="AO6461">
        <v>-44.910597350758543</v>
      </c>
      <c r="AP6461">
        <v>-20.131240999999999</v>
      </c>
      <c r="AQ6461">
        <v>-44.910567999999998</v>
      </c>
      <c r="AR6461">
        <v>14.36874794070623</v>
      </c>
      <c r="AS6461" t="s">
        <v>65</v>
      </c>
      <c r="AT6461">
        <v>1</v>
      </c>
      <c r="AU6461" t="s">
        <v>1367</v>
      </c>
      <c r="AV6461" t="s">
        <v>1368</v>
      </c>
      <c r="AW6461" t="s">
        <v>60</v>
      </c>
      <c r="AX6461" t="s">
        <v>68</v>
      </c>
      <c r="AY6461" t="s">
        <v>69</v>
      </c>
      <c r="AZ6461" t="b">
        <v>1</v>
      </c>
    </row>
    <row r="6462" spans="1:52" x14ac:dyDescent="0.3">
      <c r="A6462" t="s">
        <v>52</v>
      </c>
      <c r="B6462" t="s">
        <v>53</v>
      </c>
      <c r="C6462" t="s">
        <v>54</v>
      </c>
      <c r="D6462" t="s">
        <v>55</v>
      </c>
      <c r="E6462" t="s">
        <v>2295</v>
      </c>
      <c r="F6462" t="s">
        <v>1247</v>
      </c>
      <c r="G6462" t="s">
        <v>858</v>
      </c>
      <c r="H6462" t="s">
        <v>859</v>
      </c>
      <c r="I6462" t="s">
        <v>859</v>
      </c>
      <c r="J6462" t="s">
        <v>60</v>
      </c>
      <c r="K6462" t="s">
        <v>462</v>
      </c>
      <c r="L6462" t="s">
        <v>62</v>
      </c>
      <c r="M6462" t="s">
        <v>462</v>
      </c>
      <c r="N6462" t="s">
        <v>860</v>
      </c>
      <c r="O6462" t="s">
        <v>861</v>
      </c>
      <c r="P6462">
        <v>-20.139693999999999</v>
      </c>
      <c r="Q6462">
        <v>-44.911256000000002</v>
      </c>
      <c r="R6462" s="2" t="str">
        <f>HYPERLINK("https://www.google.com/maps?q=-20.1396940,-44.9112560","Abrir no Google Maps")</f>
        <v>Abrir no Google Maps</v>
      </c>
      <c r="S6462">
        <v>3</v>
      </c>
      <c r="T6462">
        <v>380.48036838042862</v>
      </c>
      <c r="U6462">
        <v>2</v>
      </c>
      <c r="V6462">
        <v>0.4604403708386009</v>
      </c>
      <c r="W6462">
        <v>0.85</v>
      </c>
      <c r="X6462">
        <v>0.39137431521281069</v>
      </c>
      <c r="Y6462">
        <v>581</v>
      </c>
      <c r="Z6462">
        <v>374.61146000000178</v>
      </c>
      <c r="AA6462">
        <v>198</v>
      </c>
      <c r="AB6462">
        <v>332</v>
      </c>
      <c r="AC6462">
        <v>536</v>
      </c>
      <c r="AD6462">
        <v>29.58</v>
      </c>
      <c r="AE6462">
        <v>542</v>
      </c>
      <c r="AF6462">
        <v>30</v>
      </c>
      <c r="AG6462">
        <v>169</v>
      </c>
      <c r="AH6462">
        <v>129</v>
      </c>
      <c r="AI6462">
        <v>5.54</v>
      </c>
      <c r="AJ6462">
        <v>31.18</v>
      </c>
      <c r="AK6462">
        <v>23.8</v>
      </c>
      <c r="AL6462">
        <v>-20.139768699999959</v>
      </c>
      <c r="AM6462">
        <v>-44.911265351587588</v>
      </c>
      <c r="AN6462">
        <v>-20.139768699999959</v>
      </c>
      <c r="AO6462">
        <v>-44.911265351587588</v>
      </c>
      <c r="AP6462">
        <v>-20.139693999999999</v>
      </c>
      <c r="AQ6462">
        <v>-44.911256000000002</v>
      </c>
      <c r="AR6462">
        <v>8.3728438666521061</v>
      </c>
      <c r="AS6462" t="s">
        <v>65</v>
      </c>
      <c r="AT6462">
        <v>1</v>
      </c>
      <c r="AU6462" t="s">
        <v>862</v>
      </c>
      <c r="AV6462" t="s">
        <v>863</v>
      </c>
      <c r="AW6462" t="s">
        <v>60</v>
      </c>
      <c r="AX6462" t="s">
        <v>68</v>
      </c>
      <c r="AY6462" t="s">
        <v>69</v>
      </c>
      <c r="AZ6462" t="b">
        <v>1</v>
      </c>
    </row>
    <row r="6463" spans="1:52" x14ac:dyDescent="0.3">
      <c r="A6463" t="s">
        <v>52</v>
      </c>
      <c r="B6463" t="s">
        <v>53</v>
      </c>
      <c r="C6463" t="s">
        <v>54</v>
      </c>
      <c r="D6463" t="s">
        <v>55</v>
      </c>
      <c r="E6463" t="s">
        <v>2295</v>
      </c>
      <c r="F6463" t="s">
        <v>1247</v>
      </c>
      <c r="G6463" t="s">
        <v>1376</v>
      </c>
      <c r="H6463" t="s">
        <v>1377</v>
      </c>
      <c r="I6463" t="s">
        <v>1377</v>
      </c>
      <c r="J6463" t="s">
        <v>60</v>
      </c>
      <c r="K6463" t="s">
        <v>475</v>
      </c>
      <c r="L6463" t="s">
        <v>62</v>
      </c>
      <c r="M6463" t="s">
        <v>475</v>
      </c>
      <c r="N6463" t="s">
        <v>1378</v>
      </c>
      <c r="O6463" t="s">
        <v>1379</v>
      </c>
      <c r="P6463">
        <v>-20.175298000000002</v>
      </c>
      <c r="Q6463">
        <v>-44.904794000000003</v>
      </c>
      <c r="R6463" s="2" t="str">
        <f>HYPERLINK("https://www.google.com/maps?q=-20.1752980,-44.9047940","Abrir no Google Maps")</f>
        <v>Abrir no Google Maps</v>
      </c>
      <c r="S6463">
        <v>3</v>
      </c>
      <c r="T6463">
        <v>497.7557906927301</v>
      </c>
      <c r="U6463">
        <v>2</v>
      </c>
      <c r="V6463">
        <v>0.48964383206564438</v>
      </c>
      <c r="W6463">
        <v>0.85</v>
      </c>
      <c r="X6463">
        <v>0.4161972572557977</v>
      </c>
      <c r="Y6463">
        <v>578</v>
      </c>
      <c r="Z6463">
        <v>363.80816567363502</v>
      </c>
      <c r="AA6463">
        <v>198</v>
      </c>
      <c r="AB6463">
        <v>332</v>
      </c>
      <c r="AC6463">
        <v>536</v>
      </c>
      <c r="AD6463">
        <v>29.58</v>
      </c>
      <c r="AE6463">
        <v>542</v>
      </c>
      <c r="AF6463">
        <v>30</v>
      </c>
      <c r="AG6463">
        <v>169</v>
      </c>
      <c r="AH6463">
        <v>129</v>
      </c>
      <c r="AI6463">
        <v>5.54</v>
      </c>
      <c r="AJ6463">
        <v>31.18</v>
      </c>
      <c r="AK6463">
        <v>23.8</v>
      </c>
      <c r="AL6463">
        <v>-20.17530484999995</v>
      </c>
      <c r="AM6463">
        <v>-44.904834224351781</v>
      </c>
      <c r="AN6463">
        <v>-20.17530484999995</v>
      </c>
      <c r="AO6463">
        <v>-44.904834224351781</v>
      </c>
      <c r="AP6463">
        <v>-20.175298000000002</v>
      </c>
      <c r="AQ6463">
        <v>-44.904794000000003</v>
      </c>
      <c r="AR6463">
        <v>4.2716392411563806</v>
      </c>
      <c r="AS6463" t="s">
        <v>65</v>
      </c>
      <c r="AT6463">
        <v>1</v>
      </c>
      <c r="AU6463" t="s">
        <v>1380</v>
      </c>
      <c r="AV6463" t="s">
        <v>1381</v>
      </c>
      <c r="AW6463" t="s">
        <v>60</v>
      </c>
      <c r="AX6463" t="s">
        <v>68</v>
      </c>
      <c r="AY6463" t="s">
        <v>69</v>
      </c>
      <c r="AZ6463" t="b">
        <v>1</v>
      </c>
    </row>
    <row r="6464" spans="1:52" x14ac:dyDescent="0.3">
      <c r="A6464" t="s">
        <v>52</v>
      </c>
      <c r="B6464" t="s">
        <v>53</v>
      </c>
      <c r="C6464" t="s">
        <v>54</v>
      </c>
      <c r="D6464" t="s">
        <v>55</v>
      </c>
      <c r="E6464" t="s">
        <v>2295</v>
      </c>
      <c r="F6464" t="s">
        <v>1247</v>
      </c>
      <c r="G6464" t="s">
        <v>1382</v>
      </c>
      <c r="H6464" t="s">
        <v>1383</v>
      </c>
      <c r="I6464" t="s">
        <v>1383</v>
      </c>
      <c r="J6464" t="s">
        <v>60</v>
      </c>
      <c r="K6464" t="s">
        <v>1384</v>
      </c>
      <c r="L6464" t="s">
        <v>62</v>
      </c>
      <c r="M6464" t="s">
        <v>1384</v>
      </c>
      <c r="N6464" t="s">
        <v>1385</v>
      </c>
      <c r="O6464" t="s">
        <v>1379</v>
      </c>
      <c r="P6464">
        <v>-20.168914999999998</v>
      </c>
      <c r="Q6464">
        <v>-44.897015000000003</v>
      </c>
      <c r="R6464" s="2" t="str">
        <f>HYPERLINK("https://www.google.com/maps?q=-20.1689150,-44.8970150","Abrir no Google Maps")</f>
        <v>Abrir no Google Maps</v>
      </c>
      <c r="S6464">
        <v>3</v>
      </c>
      <c r="T6464">
        <v>1082.4313448281291</v>
      </c>
      <c r="U6464">
        <v>2</v>
      </c>
      <c r="V6464">
        <v>0.4594436652641421</v>
      </c>
      <c r="W6464">
        <v>0.85</v>
      </c>
      <c r="X6464">
        <v>0.39052711547452079</v>
      </c>
      <c r="Y6464">
        <v>578</v>
      </c>
      <c r="Z6464">
        <v>1085.6751638476369</v>
      </c>
      <c r="AA6464">
        <v>198</v>
      </c>
      <c r="AB6464">
        <v>332</v>
      </c>
      <c r="AC6464">
        <v>536</v>
      </c>
      <c r="AD6464">
        <v>29.58</v>
      </c>
      <c r="AE6464">
        <v>542</v>
      </c>
      <c r="AF6464">
        <v>30</v>
      </c>
      <c r="AG6464">
        <v>169</v>
      </c>
      <c r="AH6464">
        <v>129</v>
      </c>
      <c r="AI6464">
        <v>5.54</v>
      </c>
      <c r="AJ6464">
        <v>31.18</v>
      </c>
      <c r="AK6464">
        <v>23.8</v>
      </c>
      <c r="AL6464">
        <v>-20.168195549999979</v>
      </c>
      <c r="AM6464">
        <v>-44.895555997240763</v>
      </c>
      <c r="AN6464">
        <v>-20.168195549999979</v>
      </c>
      <c r="AO6464">
        <v>-44.895555997240763</v>
      </c>
      <c r="AP6464">
        <v>-20.168914999999998</v>
      </c>
      <c r="AQ6464">
        <v>-44.897015000000003</v>
      </c>
      <c r="AR6464">
        <v>172.21377736735809</v>
      </c>
      <c r="AS6464" t="s">
        <v>65</v>
      </c>
      <c r="AT6464">
        <v>1</v>
      </c>
      <c r="AU6464" t="s">
        <v>1386</v>
      </c>
      <c r="AV6464" t="s">
        <v>1387</v>
      </c>
      <c r="AW6464" t="s">
        <v>60</v>
      </c>
      <c r="AX6464" t="s">
        <v>68</v>
      </c>
      <c r="AY6464" t="s">
        <v>69</v>
      </c>
      <c r="AZ6464" t="b">
        <v>1</v>
      </c>
    </row>
    <row r="6465" spans="1:52" x14ac:dyDescent="0.3">
      <c r="A6465" t="s">
        <v>52</v>
      </c>
      <c r="B6465" t="s">
        <v>53</v>
      </c>
      <c r="C6465" t="s">
        <v>54</v>
      </c>
      <c r="D6465" t="s">
        <v>55</v>
      </c>
      <c r="E6465" t="s">
        <v>2295</v>
      </c>
      <c r="F6465" t="s">
        <v>1247</v>
      </c>
      <c r="G6465" t="s">
        <v>1424</v>
      </c>
      <c r="H6465" t="s">
        <v>1425</v>
      </c>
      <c r="I6465" t="s">
        <v>1425</v>
      </c>
      <c r="J6465" t="s">
        <v>60</v>
      </c>
      <c r="K6465" t="s">
        <v>1324</v>
      </c>
      <c r="L6465" t="s">
        <v>62</v>
      </c>
      <c r="M6465" t="s">
        <v>1324</v>
      </c>
      <c r="N6465" t="s">
        <v>1426</v>
      </c>
      <c r="O6465" t="s">
        <v>938</v>
      </c>
      <c r="P6465">
        <v>-20.172844999999999</v>
      </c>
      <c r="Q6465">
        <v>-44.909215000000003</v>
      </c>
      <c r="R6465" s="2" t="str">
        <f>HYPERLINK("https://www.google.com/maps?q=-20.1728450,-44.9092150","Abrir no Google Maps")</f>
        <v>Abrir no Google Maps</v>
      </c>
      <c r="S6465">
        <v>3</v>
      </c>
      <c r="T6465">
        <v>0</v>
      </c>
      <c r="U6465">
        <v>2</v>
      </c>
      <c r="V6465">
        <v>0.46666666666666662</v>
      </c>
      <c r="W6465">
        <v>0.85</v>
      </c>
      <c r="X6465">
        <v>0.39666666666666661</v>
      </c>
      <c r="Y6465">
        <v>578</v>
      </c>
      <c r="Z6465">
        <v>365.56549317689053</v>
      </c>
      <c r="AA6465">
        <v>198</v>
      </c>
      <c r="AB6465">
        <v>332</v>
      </c>
      <c r="AC6465">
        <v>536</v>
      </c>
      <c r="AD6465">
        <v>29.58</v>
      </c>
      <c r="AE6465">
        <v>542</v>
      </c>
      <c r="AF6465">
        <v>30</v>
      </c>
      <c r="AG6465">
        <v>169</v>
      </c>
      <c r="AH6465">
        <v>129</v>
      </c>
      <c r="AI6465">
        <v>5.54</v>
      </c>
      <c r="AJ6465">
        <v>31.18</v>
      </c>
      <c r="AK6465">
        <v>23.8</v>
      </c>
      <c r="AL6465">
        <v>-20.172197349999941</v>
      </c>
      <c r="AM6465">
        <v>-44.910438675762883</v>
      </c>
      <c r="AN6465">
        <v>-20.172197349999941</v>
      </c>
      <c r="AO6465">
        <v>-44.910438675762883</v>
      </c>
      <c r="AP6465">
        <v>-20.172844999999999</v>
      </c>
      <c r="AQ6465">
        <v>-44.909215000000003</v>
      </c>
      <c r="AR6465">
        <v>146.78922919749749</v>
      </c>
      <c r="AS6465" t="s">
        <v>65</v>
      </c>
      <c r="AT6465">
        <v>1</v>
      </c>
      <c r="AU6465" t="s">
        <v>1427</v>
      </c>
      <c r="AV6465" t="s">
        <v>1428</v>
      </c>
      <c r="AW6465" t="s">
        <v>60</v>
      </c>
      <c r="AX6465" t="s">
        <v>68</v>
      </c>
      <c r="AY6465" t="s">
        <v>69</v>
      </c>
      <c r="AZ6465" t="b">
        <v>1</v>
      </c>
    </row>
    <row r="6466" spans="1:52" x14ac:dyDescent="0.3">
      <c r="A6466" t="s">
        <v>52</v>
      </c>
      <c r="B6466" t="s">
        <v>53</v>
      </c>
      <c r="C6466" t="s">
        <v>54</v>
      </c>
      <c r="D6466" t="s">
        <v>55</v>
      </c>
      <c r="E6466" t="s">
        <v>2295</v>
      </c>
      <c r="F6466" t="s">
        <v>1247</v>
      </c>
      <c r="G6466" t="s">
        <v>497</v>
      </c>
      <c r="H6466" t="s">
        <v>875</v>
      </c>
      <c r="I6466" t="s">
        <v>875</v>
      </c>
      <c r="J6466" t="s">
        <v>60</v>
      </c>
      <c r="K6466" t="s">
        <v>475</v>
      </c>
      <c r="L6466" t="s">
        <v>62</v>
      </c>
      <c r="M6466" t="s">
        <v>475</v>
      </c>
      <c r="N6466" t="s">
        <v>499</v>
      </c>
      <c r="O6466" t="s">
        <v>876</v>
      </c>
      <c r="P6466">
        <v>-20.177212999999998</v>
      </c>
      <c r="Q6466">
        <v>-44.904026999999999</v>
      </c>
      <c r="R6466" s="2" t="str">
        <f>HYPERLINK("https://www.google.com/maps?q=-20.1772130,-44.9040270","Abrir no Google Maps")</f>
        <v>Abrir no Google Maps</v>
      </c>
      <c r="S6466">
        <v>3</v>
      </c>
      <c r="T6466">
        <v>706.4159561113795</v>
      </c>
      <c r="U6466">
        <v>2</v>
      </c>
      <c r="V6466">
        <v>0.41529625737953269</v>
      </c>
      <c r="W6466">
        <v>1</v>
      </c>
      <c r="X6466">
        <v>0.41529625737953269</v>
      </c>
      <c r="Y6466">
        <v>578</v>
      </c>
      <c r="Z6466">
        <v>588.7160518608398</v>
      </c>
      <c r="AA6466">
        <v>198</v>
      </c>
      <c r="AB6466">
        <v>332</v>
      </c>
      <c r="AC6466">
        <v>536</v>
      </c>
      <c r="AD6466">
        <v>29.58</v>
      </c>
      <c r="AE6466">
        <v>542</v>
      </c>
      <c r="AF6466">
        <v>30</v>
      </c>
      <c r="AG6466">
        <v>169</v>
      </c>
      <c r="AH6466">
        <v>129</v>
      </c>
      <c r="AI6466">
        <v>5.54</v>
      </c>
      <c r="AJ6466">
        <v>31.18</v>
      </c>
      <c r="AK6466">
        <v>23.8</v>
      </c>
      <c r="AL6466">
        <v>-20.177090199999949</v>
      </c>
      <c r="AM6466">
        <v>-44.904078820930181</v>
      </c>
      <c r="AN6466">
        <v>-20.177090199999949</v>
      </c>
      <c r="AO6466">
        <v>-44.904078820930181</v>
      </c>
      <c r="AP6466">
        <v>-20.177212999999998</v>
      </c>
      <c r="AQ6466">
        <v>-44.904026999999999</v>
      </c>
      <c r="AR6466">
        <v>14.7034129632295</v>
      </c>
      <c r="AS6466" t="s">
        <v>65</v>
      </c>
      <c r="AT6466">
        <v>1</v>
      </c>
      <c r="AU6466" t="s">
        <v>877</v>
      </c>
      <c r="AV6466" t="s">
        <v>878</v>
      </c>
      <c r="AW6466" t="s">
        <v>60</v>
      </c>
      <c r="AX6466" t="s">
        <v>68</v>
      </c>
      <c r="AY6466" t="s">
        <v>69</v>
      </c>
      <c r="AZ6466" t="b">
        <v>1</v>
      </c>
    </row>
    <row r="6467" spans="1:52" x14ac:dyDescent="0.3">
      <c r="A6467" t="s">
        <v>52</v>
      </c>
      <c r="B6467" t="s">
        <v>53</v>
      </c>
      <c r="C6467" t="s">
        <v>54</v>
      </c>
      <c r="D6467" t="s">
        <v>55</v>
      </c>
      <c r="E6467" t="s">
        <v>2295</v>
      </c>
      <c r="F6467" t="s">
        <v>1247</v>
      </c>
      <c r="G6467" t="s">
        <v>1399</v>
      </c>
      <c r="H6467" t="s">
        <v>1400</v>
      </c>
      <c r="I6467" t="s">
        <v>1400</v>
      </c>
      <c r="J6467" t="s">
        <v>60</v>
      </c>
      <c r="K6467" t="s">
        <v>475</v>
      </c>
      <c r="L6467" t="s">
        <v>62</v>
      </c>
      <c r="M6467" t="s">
        <v>475</v>
      </c>
      <c r="N6467" t="s">
        <v>1401</v>
      </c>
      <c r="O6467" t="s">
        <v>1080</v>
      </c>
      <c r="P6467">
        <v>-20.178809000000001</v>
      </c>
      <c r="Q6467">
        <v>-44.900204000000002</v>
      </c>
      <c r="R6467" s="2" t="str">
        <f>HYPERLINK("https://www.google.com/maps?q=-20.1788090,-44.9002040","Abrir no Google Maps")</f>
        <v>Abrir no Google Maps</v>
      </c>
      <c r="S6467">
        <v>3</v>
      </c>
      <c r="T6467">
        <v>1015.86498565614</v>
      </c>
      <c r="U6467">
        <v>2</v>
      </c>
      <c r="V6467">
        <v>0.4614894836258675</v>
      </c>
      <c r="W6467">
        <v>0.85</v>
      </c>
      <c r="X6467">
        <v>0.39226606108198742</v>
      </c>
      <c r="Y6467">
        <v>578</v>
      </c>
      <c r="Z6467">
        <v>954.77111474428102</v>
      </c>
      <c r="AA6467">
        <v>198</v>
      </c>
      <c r="AB6467">
        <v>332</v>
      </c>
      <c r="AC6467">
        <v>536</v>
      </c>
      <c r="AD6467">
        <v>29.58</v>
      </c>
      <c r="AE6467">
        <v>542</v>
      </c>
      <c r="AF6467">
        <v>30</v>
      </c>
      <c r="AG6467">
        <v>169</v>
      </c>
      <c r="AH6467">
        <v>129</v>
      </c>
      <c r="AI6467">
        <v>5.54</v>
      </c>
      <c r="AJ6467">
        <v>31.18</v>
      </c>
      <c r="AK6467">
        <v>23.8</v>
      </c>
      <c r="AL6467">
        <v>-20.178590099999951</v>
      </c>
      <c r="AM6467">
        <v>-44.90029029928732</v>
      </c>
      <c r="AN6467">
        <v>-20.178590099999951</v>
      </c>
      <c r="AO6467">
        <v>-44.90029029928732</v>
      </c>
      <c r="AP6467">
        <v>-20.178809000000001</v>
      </c>
      <c r="AQ6467">
        <v>-44.900204000000002</v>
      </c>
      <c r="AR6467">
        <v>25.982812999798391</v>
      </c>
      <c r="AS6467" t="s">
        <v>65</v>
      </c>
      <c r="AT6467">
        <v>1</v>
      </c>
      <c r="AU6467" t="s">
        <v>1402</v>
      </c>
      <c r="AV6467" t="s">
        <v>1403</v>
      </c>
      <c r="AW6467" t="s">
        <v>60</v>
      </c>
      <c r="AX6467" t="s">
        <v>68</v>
      </c>
      <c r="AY6467" t="s">
        <v>69</v>
      </c>
      <c r="AZ6467" t="b">
        <v>1</v>
      </c>
    </row>
    <row r="6468" spans="1:52" x14ac:dyDescent="0.3">
      <c r="A6468" t="s">
        <v>52</v>
      </c>
      <c r="B6468" t="s">
        <v>53</v>
      </c>
      <c r="C6468" t="s">
        <v>54</v>
      </c>
      <c r="D6468" t="s">
        <v>55</v>
      </c>
      <c r="E6468" t="s">
        <v>2295</v>
      </c>
      <c r="F6468" t="s">
        <v>1247</v>
      </c>
      <c r="G6468" t="s">
        <v>1429</v>
      </c>
      <c r="H6468" t="s">
        <v>1430</v>
      </c>
      <c r="I6468" t="s">
        <v>1430</v>
      </c>
      <c r="J6468" t="s">
        <v>60</v>
      </c>
      <c r="K6468" t="s">
        <v>505</v>
      </c>
      <c r="L6468" t="s">
        <v>62</v>
      </c>
      <c r="M6468" t="s">
        <v>505</v>
      </c>
      <c r="N6468" t="s">
        <v>1431</v>
      </c>
      <c r="O6468" t="s">
        <v>1432</v>
      </c>
      <c r="P6468">
        <v>-20.132069000000001</v>
      </c>
      <c r="Q6468">
        <v>-44.891694000000001</v>
      </c>
      <c r="R6468" s="2" t="str">
        <f>HYPERLINK("https://www.google.com/maps?q=-20.1320690,-44.8916940","Abrir no Google Maps")</f>
        <v>Abrir no Google Maps</v>
      </c>
      <c r="S6468">
        <v>3</v>
      </c>
      <c r="T6468">
        <v>463.84477613866852</v>
      </c>
      <c r="U6468">
        <v>2</v>
      </c>
      <c r="V6468">
        <v>0.50078405017921146</v>
      </c>
      <c r="W6468">
        <v>0.85</v>
      </c>
      <c r="X6468">
        <v>0.42566644265232972</v>
      </c>
      <c r="Y6468">
        <v>564</v>
      </c>
      <c r="Z6468">
        <v>349.6044774510159</v>
      </c>
      <c r="AA6468">
        <v>198</v>
      </c>
      <c r="AB6468">
        <v>332</v>
      </c>
      <c r="AC6468">
        <v>536</v>
      </c>
      <c r="AD6468">
        <v>29.58</v>
      </c>
      <c r="AE6468">
        <v>542</v>
      </c>
      <c r="AF6468">
        <v>30</v>
      </c>
      <c r="AG6468">
        <v>169</v>
      </c>
      <c r="AH6468">
        <v>129</v>
      </c>
      <c r="AI6468">
        <v>5.54</v>
      </c>
      <c r="AJ6468">
        <v>31.18</v>
      </c>
      <c r="AK6468">
        <v>23.8</v>
      </c>
      <c r="AL6468">
        <v>-20.131860799999941</v>
      </c>
      <c r="AM6468">
        <v>-44.891643045551348</v>
      </c>
      <c r="AN6468">
        <v>-20.131860799999941</v>
      </c>
      <c r="AO6468">
        <v>-44.891643045551348</v>
      </c>
      <c r="AP6468">
        <v>-20.132069000000001</v>
      </c>
      <c r="AQ6468">
        <v>-44.891694000000001</v>
      </c>
      <c r="AR6468">
        <v>23.780836080569209</v>
      </c>
      <c r="AS6468" t="s">
        <v>65</v>
      </c>
      <c r="AT6468">
        <v>1</v>
      </c>
      <c r="AU6468" t="s">
        <v>1433</v>
      </c>
      <c r="AV6468" t="s">
        <v>1434</v>
      </c>
      <c r="AW6468" t="s">
        <v>60</v>
      </c>
      <c r="AX6468" t="s">
        <v>68</v>
      </c>
      <c r="AY6468" t="s">
        <v>69</v>
      </c>
      <c r="AZ6468" t="b">
        <v>1</v>
      </c>
    </row>
    <row r="6469" spans="1:52" x14ac:dyDescent="0.3">
      <c r="A6469" t="s">
        <v>52</v>
      </c>
      <c r="B6469" t="s">
        <v>53</v>
      </c>
      <c r="C6469" t="s">
        <v>54</v>
      </c>
      <c r="D6469" t="s">
        <v>55</v>
      </c>
      <c r="E6469" t="s">
        <v>2295</v>
      </c>
      <c r="F6469" t="s">
        <v>1247</v>
      </c>
      <c r="G6469" t="s">
        <v>649</v>
      </c>
      <c r="H6469" t="s">
        <v>885</v>
      </c>
      <c r="I6469" t="s">
        <v>885</v>
      </c>
      <c r="J6469" t="s">
        <v>60</v>
      </c>
      <c r="K6469" t="s">
        <v>886</v>
      </c>
      <c r="L6469" t="s">
        <v>62</v>
      </c>
      <c r="M6469" t="s">
        <v>886</v>
      </c>
      <c r="N6469" t="s">
        <v>652</v>
      </c>
      <c r="O6469" t="s">
        <v>887</v>
      </c>
      <c r="P6469">
        <v>-20.132252000000001</v>
      </c>
      <c r="Q6469">
        <v>-44.894159000000002</v>
      </c>
      <c r="R6469" s="2" t="str">
        <f>HYPERLINK("https://www.google.com/maps?q=-20.1322520,-44.8941590","Abrir no Google Maps")</f>
        <v>Abrir no Google Maps</v>
      </c>
      <c r="S6469">
        <v>3</v>
      </c>
      <c r="T6469">
        <v>699.5004749448899</v>
      </c>
      <c r="U6469">
        <v>2</v>
      </c>
      <c r="V6469">
        <v>0.48394308943089431</v>
      </c>
      <c r="W6469">
        <v>0.85</v>
      </c>
      <c r="X6469">
        <v>0.41135162601626007</v>
      </c>
      <c r="Y6469">
        <v>564</v>
      </c>
      <c r="Z6469">
        <v>522.21103586457991</v>
      </c>
      <c r="AA6469">
        <v>198</v>
      </c>
      <c r="AB6469">
        <v>332</v>
      </c>
      <c r="AC6469">
        <v>536</v>
      </c>
      <c r="AD6469">
        <v>29.58</v>
      </c>
      <c r="AE6469">
        <v>542</v>
      </c>
      <c r="AF6469">
        <v>30</v>
      </c>
      <c r="AG6469">
        <v>169</v>
      </c>
      <c r="AH6469">
        <v>129</v>
      </c>
      <c r="AI6469">
        <v>5.54</v>
      </c>
      <c r="AJ6469">
        <v>31.18</v>
      </c>
      <c r="AK6469">
        <v>23.8</v>
      </c>
      <c r="AL6469">
        <v>-20.132285999999969</v>
      </c>
      <c r="AM6469">
        <v>-44.894119001288672</v>
      </c>
      <c r="AN6469">
        <v>-20.132285999999969</v>
      </c>
      <c r="AO6469">
        <v>-44.894119001288672</v>
      </c>
      <c r="AP6469">
        <v>-20.132252000000001</v>
      </c>
      <c r="AQ6469">
        <v>-44.894159000000002</v>
      </c>
      <c r="AR6469">
        <v>5.6393921063261629</v>
      </c>
      <c r="AS6469" t="s">
        <v>65</v>
      </c>
      <c r="AT6469">
        <v>1</v>
      </c>
      <c r="AU6469" t="s">
        <v>888</v>
      </c>
      <c r="AV6469" t="s">
        <v>889</v>
      </c>
      <c r="AW6469" t="s">
        <v>60</v>
      </c>
      <c r="AX6469" t="s">
        <v>68</v>
      </c>
      <c r="AY6469" t="s">
        <v>69</v>
      </c>
      <c r="AZ6469" t="b">
        <v>1</v>
      </c>
    </row>
    <row r="6470" spans="1:52" x14ac:dyDescent="0.3">
      <c r="A6470" t="s">
        <v>52</v>
      </c>
      <c r="B6470" t="s">
        <v>53</v>
      </c>
      <c r="C6470" t="s">
        <v>54</v>
      </c>
      <c r="D6470" t="s">
        <v>55</v>
      </c>
      <c r="E6470" t="s">
        <v>2295</v>
      </c>
      <c r="F6470" t="s">
        <v>1247</v>
      </c>
      <c r="G6470" t="s">
        <v>1435</v>
      </c>
      <c r="H6470" t="s">
        <v>1436</v>
      </c>
      <c r="I6470" t="s">
        <v>1436</v>
      </c>
      <c r="J6470" t="s">
        <v>60</v>
      </c>
      <c r="K6470" t="s">
        <v>886</v>
      </c>
      <c r="L6470" t="s">
        <v>62</v>
      </c>
      <c r="M6470" t="s">
        <v>886</v>
      </c>
      <c r="N6470" t="s">
        <v>1437</v>
      </c>
      <c r="O6470" t="s">
        <v>1438</v>
      </c>
      <c r="P6470">
        <v>-20.131108000000001</v>
      </c>
      <c r="Q6470">
        <v>-44.893228000000001</v>
      </c>
      <c r="R6470" s="2" t="str">
        <f>HYPERLINK("https://www.google.com/maps?q=-20.1311080,-44.8932280","Abrir no Google Maps")</f>
        <v>Abrir no Google Maps</v>
      </c>
      <c r="S6470">
        <v>3</v>
      </c>
      <c r="T6470">
        <v>548.07497919430136</v>
      </c>
      <c r="U6470">
        <v>2</v>
      </c>
      <c r="V6470">
        <v>0.49380598437202211</v>
      </c>
      <c r="W6470">
        <v>0.85</v>
      </c>
      <c r="X6470">
        <v>0.41973508671621879</v>
      </c>
      <c r="Y6470">
        <v>564</v>
      </c>
      <c r="Z6470">
        <v>369.17139216388432</v>
      </c>
      <c r="AA6470">
        <v>198</v>
      </c>
      <c r="AB6470">
        <v>332</v>
      </c>
      <c r="AC6470">
        <v>536</v>
      </c>
      <c r="AD6470">
        <v>29.58</v>
      </c>
      <c r="AE6470">
        <v>542</v>
      </c>
      <c r="AF6470">
        <v>30</v>
      </c>
      <c r="AG6470">
        <v>169</v>
      </c>
      <c r="AH6470">
        <v>129</v>
      </c>
      <c r="AI6470">
        <v>5.54</v>
      </c>
      <c r="AJ6470">
        <v>31.18</v>
      </c>
      <c r="AK6470">
        <v>23.8</v>
      </c>
      <c r="AL6470">
        <v>-20.13103294999997</v>
      </c>
      <c r="AM6470">
        <v>-44.89318457893738</v>
      </c>
      <c r="AN6470">
        <v>-20.13103294999997</v>
      </c>
      <c r="AO6470">
        <v>-44.89318457893738</v>
      </c>
      <c r="AP6470">
        <v>-20.131108000000001</v>
      </c>
      <c r="AQ6470">
        <v>-44.893228000000001</v>
      </c>
      <c r="AR6470">
        <v>9.5076426885244203</v>
      </c>
      <c r="AS6470" t="s">
        <v>65</v>
      </c>
      <c r="AT6470">
        <v>1</v>
      </c>
      <c r="AU6470" t="s">
        <v>1439</v>
      </c>
      <c r="AV6470" t="s">
        <v>1440</v>
      </c>
      <c r="AW6470" t="s">
        <v>60</v>
      </c>
      <c r="AX6470" t="s">
        <v>68</v>
      </c>
      <c r="AY6470" t="s">
        <v>69</v>
      </c>
      <c r="AZ6470" t="b">
        <v>1</v>
      </c>
    </row>
    <row r="6471" spans="1:52" x14ac:dyDescent="0.3">
      <c r="A6471" t="s">
        <v>52</v>
      </c>
      <c r="B6471" t="s">
        <v>53</v>
      </c>
      <c r="C6471" t="s">
        <v>54</v>
      </c>
      <c r="D6471" t="s">
        <v>55</v>
      </c>
      <c r="E6471" t="s">
        <v>2295</v>
      </c>
      <c r="F6471" t="s">
        <v>1247</v>
      </c>
      <c r="G6471" t="s">
        <v>503</v>
      </c>
      <c r="H6471" t="s">
        <v>1441</v>
      </c>
      <c r="I6471" t="s">
        <v>1441</v>
      </c>
      <c r="J6471" t="s">
        <v>60</v>
      </c>
      <c r="K6471" t="s">
        <v>512</v>
      </c>
      <c r="L6471" t="s">
        <v>62</v>
      </c>
      <c r="M6471" t="s">
        <v>512</v>
      </c>
      <c r="N6471" t="s">
        <v>506</v>
      </c>
      <c r="O6471" t="s">
        <v>1442</v>
      </c>
      <c r="P6471">
        <v>-20.13036</v>
      </c>
      <c r="Q6471">
        <v>-44.891019</v>
      </c>
      <c r="R6471" s="2" t="str">
        <f>HYPERLINK("https://www.google.com/maps?q=-20.1303600,-44.8910190","Abrir no Google Maps")</f>
        <v>Abrir no Google Maps</v>
      </c>
      <c r="S6471">
        <v>3</v>
      </c>
      <c r="T6471">
        <v>313.17410616307359</v>
      </c>
      <c r="U6471">
        <v>2</v>
      </c>
      <c r="V6471">
        <v>0.47359025773952168</v>
      </c>
      <c r="W6471">
        <v>0.85</v>
      </c>
      <c r="X6471">
        <v>0.40255171907859338</v>
      </c>
      <c r="Y6471">
        <v>564</v>
      </c>
      <c r="Z6471">
        <v>208.43159293494489</v>
      </c>
      <c r="AA6471">
        <v>198</v>
      </c>
      <c r="AB6471">
        <v>332</v>
      </c>
      <c r="AC6471">
        <v>536</v>
      </c>
      <c r="AD6471">
        <v>29.58</v>
      </c>
      <c r="AE6471">
        <v>542</v>
      </c>
      <c r="AF6471">
        <v>30</v>
      </c>
      <c r="AG6471">
        <v>169</v>
      </c>
      <c r="AH6471">
        <v>129</v>
      </c>
      <c r="AI6471">
        <v>5.54</v>
      </c>
      <c r="AJ6471">
        <v>31.18</v>
      </c>
      <c r="AK6471">
        <v>23.8</v>
      </c>
      <c r="AL6471">
        <v>-20.130100449999961</v>
      </c>
      <c r="AM6471">
        <v>-44.891163633475301</v>
      </c>
      <c r="AN6471">
        <v>-20.130100449999961</v>
      </c>
      <c r="AO6471">
        <v>-44.891163633475301</v>
      </c>
      <c r="AP6471">
        <v>-20.13036</v>
      </c>
      <c r="AQ6471">
        <v>-44.891019</v>
      </c>
      <c r="AR6471">
        <v>32.608854575381159</v>
      </c>
      <c r="AS6471" t="s">
        <v>65</v>
      </c>
      <c r="AT6471">
        <v>1</v>
      </c>
      <c r="AU6471" t="s">
        <v>1443</v>
      </c>
      <c r="AV6471" t="s">
        <v>1444</v>
      </c>
      <c r="AW6471" t="s">
        <v>60</v>
      </c>
      <c r="AX6471" t="s">
        <v>68</v>
      </c>
      <c r="AY6471" t="s">
        <v>69</v>
      </c>
      <c r="AZ6471" t="b">
        <v>1</v>
      </c>
    </row>
    <row r="6472" spans="1:52" x14ac:dyDescent="0.3">
      <c r="A6472" t="s">
        <v>52</v>
      </c>
      <c r="B6472" t="s">
        <v>53</v>
      </c>
      <c r="C6472" t="s">
        <v>54</v>
      </c>
      <c r="D6472" t="s">
        <v>55</v>
      </c>
      <c r="E6472" t="s">
        <v>2295</v>
      </c>
      <c r="F6472" t="s">
        <v>1247</v>
      </c>
      <c r="G6472" t="s">
        <v>473</v>
      </c>
      <c r="H6472" t="s">
        <v>1445</v>
      </c>
      <c r="I6472" t="s">
        <v>1445</v>
      </c>
      <c r="J6472" t="s">
        <v>60</v>
      </c>
      <c r="K6472" t="s">
        <v>892</v>
      </c>
      <c r="L6472" t="s">
        <v>62</v>
      </c>
      <c r="M6472" t="s">
        <v>892</v>
      </c>
      <c r="N6472" t="s">
        <v>406</v>
      </c>
      <c r="O6472" t="s">
        <v>1446</v>
      </c>
      <c r="P6472">
        <v>-20.14941</v>
      </c>
      <c r="Q6472">
        <v>-44.899535</v>
      </c>
      <c r="R6472" s="2" t="str">
        <f>HYPERLINK("https://www.google.com/maps?q=-20.1494100,-44.8995350","Abrir no Google Maps")</f>
        <v>Abrir no Google Maps</v>
      </c>
      <c r="S6472">
        <v>3</v>
      </c>
      <c r="T6472">
        <v>249.83945591849931</v>
      </c>
      <c r="U6472">
        <v>2</v>
      </c>
      <c r="V6472">
        <v>0.47256892756720997</v>
      </c>
      <c r="W6472">
        <v>0.85</v>
      </c>
      <c r="X6472">
        <v>0.40168358843212848</v>
      </c>
      <c r="Y6472">
        <v>556</v>
      </c>
      <c r="Z6472">
        <v>156.62360082488701</v>
      </c>
      <c r="AA6472">
        <v>198</v>
      </c>
      <c r="AB6472">
        <v>332</v>
      </c>
      <c r="AC6472">
        <v>536</v>
      </c>
      <c r="AD6472">
        <v>29.58</v>
      </c>
      <c r="AE6472">
        <v>542</v>
      </c>
      <c r="AF6472">
        <v>30</v>
      </c>
      <c r="AG6472">
        <v>169</v>
      </c>
      <c r="AH6472">
        <v>129</v>
      </c>
      <c r="AI6472">
        <v>5.54</v>
      </c>
      <c r="AJ6472">
        <v>31.18</v>
      </c>
      <c r="AK6472">
        <v>23.8</v>
      </c>
      <c r="AL6472">
        <v>-20.149341899999939</v>
      </c>
      <c r="AM6472">
        <v>-44.899575902083967</v>
      </c>
      <c r="AN6472">
        <v>-20.149341899999939</v>
      </c>
      <c r="AO6472">
        <v>-44.899575902083967</v>
      </c>
      <c r="AP6472">
        <v>-20.14941</v>
      </c>
      <c r="AQ6472">
        <v>-44.899535</v>
      </c>
      <c r="AR6472">
        <v>8.7029725999778709</v>
      </c>
      <c r="AS6472" t="s">
        <v>65</v>
      </c>
      <c r="AT6472">
        <v>1</v>
      </c>
      <c r="AU6472" t="s">
        <v>1447</v>
      </c>
      <c r="AV6472" t="s">
        <v>1448</v>
      </c>
      <c r="AW6472" t="s">
        <v>60</v>
      </c>
      <c r="AX6472" t="s">
        <v>68</v>
      </c>
      <c r="AY6472" t="s">
        <v>69</v>
      </c>
      <c r="AZ6472" t="b">
        <v>1</v>
      </c>
    </row>
    <row r="6473" spans="1:52" x14ac:dyDescent="0.3">
      <c r="A6473" t="s">
        <v>52</v>
      </c>
      <c r="B6473" t="s">
        <v>53</v>
      </c>
      <c r="C6473" t="s">
        <v>54</v>
      </c>
      <c r="D6473" t="s">
        <v>55</v>
      </c>
      <c r="E6473" t="s">
        <v>2295</v>
      </c>
      <c r="F6473" t="s">
        <v>1247</v>
      </c>
      <c r="G6473" t="s">
        <v>1412</v>
      </c>
      <c r="H6473" t="s">
        <v>1413</v>
      </c>
      <c r="I6473" t="s">
        <v>1413</v>
      </c>
      <c r="J6473" t="s">
        <v>60</v>
      </c>
      <c r="K6473" t="s">
        <v>892</v>
      </c>
      <c r="L6473" t="s">
        <v>62</v>
      </c>
      <c r="M6473" t="s">
        <v>892</v>
      </c>
      <c r="N6473" t="s">
        <v>1414</v>
      </c>
      <c r="O6473" t="s">
        <v>293</v>
      </c>
      <c r="P6473">
        <v>-20.150780999999998</v>
      </c>
      <c r="Q6473">
        <v>-44.897972000000003</v>
      </c>
      <c r="R6473" s="2" t="str">
        <f>HYPERLINK("https://www.google.com/maps?q=-20.1507810,-44.8979720","Abrir no Google Maps")</f>
        <v>Abrir no Google Maps</v>
      </c>
      <c r="S6473">
        <v>3</v>
      </c>
      <c r="T6473">
        <v>306.36394634674508</v>
      </c>
      <c r="U6473">
        <v>2</v>
      </c>
      <c r="V6473">
        <v>0.494521249359959</v>
      </c>
      <c r="W6473">
        <v>0.85</v>
      </c>
      <c r="X6473">
        <v>0.42034306195596521</v>
      </c>
      <c r="Y6473">
        <v>556</v>
      </c>
      <c r="Z6473">
        <v>233.85692443628571</v>
      </c>
      <c r="AA6473">
        <v>198</v>
      </c>
      <c r="AB6473">
        <v>332</v>
      </c>
      <c r="AC6473">
        <v>536</v>
      </c>
      <c r="AD6473">
        <v>29.58</v>
      </c>
      <c r="AE6473">
        <v>542</v>
      </c>
      <c r="AF6473">
        <v>30</v>
      </c>
      <c r="AG6473">
        <v>169</v>
      </c>
      <c r="AH6473">
        <v>129</v>
      </c>
      <c r="AI6473">
        <v>5.54</v>
      </c>
      <c r="AJ6473">
        <v>31.18</v>
      </c>
      <c r="AK6473">
        <v>23.8</v>
      </c>
      <c r="AL6473">
        <v>-20.15074609999996</v>
      </c>
      <c r="AM6473">
        <v>-44.89795774234689</v>
      </c>
      <c r="AN6473">
        <v>-20.15074609999996</v>
      </c>
      <c r="AO6473">
        <v>-44.89795774234689</v>
      </c>
      <c r="AP6473">
        <v>-20.150780999999998</v>
      </c>
      <c r="AQ6473">
        <v>-44.897972000000003</v>
      </c>
      <c r="AR6473">
        <v>4.160995809097348</v>
      </c>
      <c r="AS6473" t="s">
        <v>65</v>
      </c>
      <c r="AT6473">
        <v>1</v>
      </c>
      <c r="AU6473" t="s">
        <v>1415</v>
      </c>
      <c r="AV6473" t="s">
        <v>1416</v>
      </c>
      <c r="AW6473" t="s">
        <v>60</v>
      </c>
      <c r="AX6473" t="s">
        <v>68</v>
      </c>
      <c r="AY6473" t="s">
        <v>69</v>
      </c>
      <c r="AZ6473" t="b">
        <v>1</v>
      </c>
    </row>
    <row r="6474" spans="1:52" x14ac:dyDescent="0.3">
      <c r="A6474" t="s">
        <v>52</v>
      </c>
      <c r="B6474" t="s">
        <v>53</v>
      </c>
      <c r="C6474" t="s">
        <v>54</v>
      </c>
      <c r="D6474" t="s">
        <v>55</v>
      </c>
      <c r="E6474" t="s">
        <v>2295</v>
      </c>
      <c r="F6474" t="s">
        <v>1247</v>
      </c>
      <c r="G6474" t="s">
        <v>1127</v>
      </c>
      <c r="H6474" t="s">
        <v>1449</v>
      </c>
      <c r="I6474" t="s">
        <v>1449</v>
      </c>
      <c r="J6474" t="s">
        <v>60</v>
      </c>
      <c r="K6474" t="s">
        <v>1450</v>
      </c>
      <c r="L6474" t="s">
        <v>62</v>
      </c>
      <c r="M6474" t="s">
        <v>1450</v>
      </c>
      <c r="N6474" t="s">
        <v>1451</v>
      </c>
      <c r="O6474" t="s">
        <v>1452</v>
      </c>
      <c r="P6474">
        <v>-20.152612000000001</v>
      </c>
      <c r="Q6474">
        <v>-44.897098</v>
      </c>
      <c r="R6474" s="2" t="str">
        <f>HYPERLINK("https://www.google.com/maps?q=-20.1526120,-44.8970980","Abrir no Google Maps")</f>
        <v>Abrir no Google Maps</v>
      </c>
      <c r="S6474">
        <v>3</v>
      </c>
      <c r="T6474">
        <v>418.6283592063233</v>
      </c>
      <c r="U6474">
        <v>2</v>
      </c>
      <c r="V6474">
        <v>0.50207039337474113</v>
      </c>
      <c r="W6474">
        <v>0.85</v>
      </c>
      <c r="X6474">
        <v>0.42675983436852988</v>
      </c>
      <c r="Y6474">
        <v>556</v>
      </c>
      <c r="Z6474">
        <v>387.16462225830952</v>
      </c>
      <c r="AA6474">
        <v>198</v>
      </c>
      <c r="AB6474">
        <v>332</v>
      </c>
      <c r="AC6474">
        <v>536</v>
      </c>
      <c r="AD6474">
        <v>29.58</v>
      </c>
      <c r="AE6474">
        <v>542</v>
      </c>
      <c r="AF6474">
        <v>30</v>
      </c>
      <c r="AG6474">
        <v>169</v>
      </c>
      <c r="AH6474">
        <v>129</v>
      </c>
      <c r="AI6474">
        <v>5.54</v>
      </c>
      <c r="AJ6474">
        <v>31.18</v>
      </c>
      <c r="AK6474">
        <v>23.8</v>
      </c>
      <c r="AL6474">
        <v>-20.15253669999996</v>
      </c>
      <c r="AM6474">
        <v>-44.897068126936119</v>
      </c>
      <c r="AN6474">
        <v>-20.15253669999996</v>
      </c>
      <c r="AO6474">
        <v>-44.897068126936119</v>
      </c>
      <c r="AP6474">
        <v>-20.152612000000001</v>
      </c>
      <c r="AQ6474">
        <v>-44.897098</v>
      </c>
      <c r="AR6474">
        <v>8.9448699164987104</v>
      </c>
      <c r="AS6474" t="s">
        <v>65</v>
      </c>
      <c r="AT6474">
        <v>1</v>
      </c>
      <c r="AU6474" t="s">
        <v>1453</v>
      </c>
      <c r="AV6474" t="s">
        <v>1454</v>
      </c>
      <c r="AW6474" t="s">
        <v>60</v>
      </c>
      <c r="AX6474" t="s">
        <v>68</v>
      </c>
      <c r="AY6474" t="s">
        <v>69</v>
      </c>
      <c r="AZ6474" t="b">
        <v>1</v>
      </c>
    </row>
    <row r="6475" spans="1:52" x14ac:dyDescent="0.3">
      <c r="A6475" t="s">
        <v>52</v>
      </c>
      <c r="B6475" t="s">
        <v>53</v>
      </c>
      <c r="C6475" t="s">
        <v>54</v>
      </c>
      <c r="D6475" t="s">
        <v>55</v>
      </c>
      <c r="E6475" t="s">
        <v>2295</v>
      </c>
      <c r="F6475" t="s">
        <v>1247</v>
      </c>
      <c r="G6475" t="s">
        <v>568</v>
      </c>
      <c r="H6475" t="s">
        <v>569</v>
      </c>
      <c r="I6475" t="s">
        <v>569</v>
      </c>
      <c r="J6475" t="s">
        <v>60</v>
      </c>
      <c r="K6475" t="s">
        <v>61</v>
      </c>
      <c r="L6475" t="s">
        <v>62</v>
      </c>
      <c r="M6475" t="s">
        <v>61</v>
      </c>
      <c r="N6475" t="s">
        <v>570</v>
      </c>
      <c r="O6475" t="s">
        <v>548</v>
      </c>
      <c r="P6475">
        <v>-20.151508</v>
      </c>
      <c r="Q6475">
        <v>-44.907826</v>
      </c>
      <c r="R6475" s="2" t="str">
        <f>HYPERLINK("https://www.google.com/maps?q=-20.1515080,-44.9078260","Abrir no Google Maps")</f>
        <v>Abrir no Google Maps</v>
      </c>
      <c r="S6475">
        <v>3</v>
      </c>
      <c r="T6475">
        <v>567.15905416240514</v>
      </c>
      <c r="U6475">
        <v>2</v>
      </c>
      <c r="V6475">
        <v>0.46805087916199017</v>
      </c>
      <c r="W6475">
        <v>0.85</v>
      </c>
      <c r="X6475">
        <v>0.39784324728769171</v>
      </c>
      <c r="Y6475">
        <v>548</v>
      </c>
      <c r="Z6475">
        <v>560.49158010771464</v>
      </c>
      <c r="AA6475">
        <v>198</v>
      </c>
      <c r="AB6475">
        <v>332</v>
      </c>
      <c r="AC6475">
        <v>536</v>
      </c>
      <c r="AD6475">
        <v>29.58</v>
      </c>
      <c r="AE6475">
        <v>542</v>
      </c>
      <c r="AF6475">
        <v>30</v>
      </c>
      <c r="AG6475">
        <v>169</v>
      </c>
      <c r="AH6475">
        <v>129</v>
      </c>
      <c r="AI6475">
        <v>5.54</v>
      </c>
      <c r="AJ6475">
        <v>31.18</v>
      </c>
      <c r="AK6475">
        <v>23.8</v>
      </c>
      <c r="AL6475">
        <v>-20.15211779999996</v>
      </c>
      <c r="AM6475">
        <v>-44.907597469593128</v>
      </c>
      <c r="AN6475">
        <v>-20.15211779999996</v>
      </c>
      <c r="AO6475">
        <v>-44.907597469593128</v>
      </c>
      <c r="AP6475">
        <v>-20.151508</v>
      </c>
      <c r="AQ6475">
        <v>-44.907826</v>
      </c>
      <c r="AR6475">
        <v>71.961597929314735</v>
      </c>
      <c r="AS6475" t="s">
        <v>65</v>
      </c>
      <c r="AT6475">
        <v>1</v>
      </c>
      <c r="AU6475" t="s">
        <v>571</v>
      </c>
      <c r="AV6475" t="s">
        <v>572</v>
      </c>
      <c r="AW6475" t="s">
        <v>60</v>
      </c>
      <c r="AX6475" t="s">
        <v>68</v>
      </c>
      <c r="AY6475" t="s">
        <v>69</v>
      </c>
      <c r="AZ6475" t="b">
        <v>1</v>
      </c>
    </row>
    <row r="6476" spans="1:52" x14ac:dyDescent="0.3">
      <c r="A6476" t="s">
        <v>52</v>
      </c>
      <c r="B6476" t="s">
        <v>53</v>
      </c>
      <c r="C6476" t="s">
        <v>54</v>
      </c>
      <c r="D6476" t="s">
        <v>55</v>
      </c>
      <c r="E6476" t="s">
        <v>2295</v>
      </c>
      <c r="F6476" t="s">
        <v>1247</v>
      </c>
      <c r="G6476" t="s">
        <v>1294</v>
      </c>
      <c r="H6476" t="s">
        <v>1295</v>
      </c>
      <c r="I6476" t="s">
        <v>1295</v>
      </c>
      <c r="J6476" t="s">
        <v>60</v>
      </c>
      <c r="K6476" t="s">
        <v>418</v>
      </c>
      <c r="L6476" t="s">
        <v>62</v>
      </c>
      <c r="M6476" t="s">
        <v>418</v>
      </c>
      <c r="N6476" t="s">
        <v>1296</v>
      </c>
      <c r="O6476" t="s">
        <v>1297</v>
      </c>
      <c r="P6476">
        <v>-20.169899999999998</v>
      </c>
      <c r="Q6476">
        <v>-44.916176999999998</v>
      </c>
      <c r="R6476" s="2" t="str">
        <f>HYPERLINK("https://www.google.com/maps?q=-20.1699000,-44.9161770","Abrir no Google Maps")</f>
        <v>Abrir no Google Maps</v>
      </c>
      <c r="S6476">
        <v>3</v>
      </c>
      <c r="T6476">
        <v>658.15251036568407</v>
      </c>
      <c r="U6476">
        <v>1</v>
      </c>
      <c r="V6476">
        <v>0.44149394322575919</v>
      </c>
      <c r="W6476">
        <v>0.85</v>
      </c>
      <c r="X6476">
        <v>0.37526985174189531</v>
      </c>
      <c r="Y6476">
        <v>723</v>
      </c>
      <c r="Z6476">
        <v>400.39092274559039</v>
      </c>
      <c r="AA6476">
        <v>198</v>
      </c>
      <c r="AB6476">
        <v>332</v>
      </c>
      <c r="AC6476">
        <v>536</v>
      </c>
      <c r="AD6476">
        <v>29.58</v>
      </c>
      <c r="AE6476">
        <v>542</v>
      </c>
      <c r="AF6476">
        <v>30</v>
      </c>
      <c r="AG6476">
        <v>169</v>
      </c>
      <c r="AH6476">
        <v>129</v>
      </c>
      <c r="AI6476">
        <v>5.54</v>
      </c>
      <c r="AJ6476">
        <v>31.18</v>
      </c>
      <c r="AK6476">
        <v>23.8</v>
      </c>
      <c r="AL6476">
        <v>-20.169898399999941</v>
      </c>
      <c r="AM6476">
        <v>-44.916247682868359</v>
      </c>
      <c r="AN6476">
        <v>-20.169898399999941</v>
      </c>
      <c r="AO6476">
        <v>-44.916247682868359</v>
      </c>
      <c r="AP6476">
        <v>-20.169899999999998</v>
      </c>
      <c r="AQ6476">
        <v>-44.916176999999998</v>
      </c>
      <c r="AR6476">
        <v>7.388028048308902</v>
      </c>
      <c r="AS6476" t="s">
        <v>65</v>
      </c>
      <c r="AT6476">
        <v>1</v>
      </c>
      <c r="AU6476" t="s">
        <v>1298</v>
      </c>
      <c r="AV6476" t="s">
        <v>1299</v>
      </c>
      <c r="AW6476" t="s">
        <v>60</v>
      </c>
      <c r="AX6476" t="s">
        <v>68</v>
      </c>
      <c r="AY6476" t="s">
        <v>69</v>
      </c>
      <c r="AZ6476" t="b">
        <v>1</v>
      </c>
    </row>
    <row r="6477" spans="1:52" x14ac:dyDescent="0.3">
      <c r="A6477" t="s">
        <v>52</v>
      </c>
      <c r="B6477" t="s">
        <v>53</v>
      </c>
      <c r="C6477" t="s">
        <v>54</v>
      </c>
      <c r="D6477" t="s">
        <v>55</v>
      </c>
      <c r="E6477" t="s">
        <v>2295</v>
      </c>
      <c r="F6477" t="s">
        <v>1247</v>
      </c>
      <c r="G6477" t="s">
        <v>1300</v>
      </c>
      <c r="H6477" t="s">
        <v>1301</v>
      </c>
      <c r="I6477" t="s">
        <v>1301</v>
      </c>
      <c r="J6477" t="s">
        <v>60</v>
      </c>
      <c r="K6477" t="s">
        <v>1302</v>
      </c>
      <c r="L6477" t="s">
        <v>62</v>
      </c>
      <c r="M6477" t="s">
        <v>1302</v>
      </c>
      <c r="N6477" t="s">
        <v>1303</v>
      </c>
      <c r="O6477" t="s">
        <v>1304</v>
      </c>
      <c r="P6477">
        <v>-20.166618</v>
      </c>
      <c r="Q6477">
        <v>-44.912920999999997</v>
      </c>
      <c r="R6477" s="2" t="str">
        <f>HYPERLINK("https://www.google.com/maps?q=-20.1666180,-44.9129210","Abrir no Google Maps")</f>
        <v>Abrir no Google Maps</v>
      </c>
      <c r="S6477">
        <v>3</v>
      </c>
      <c r="T6477">
        <v>636.32880156364706</v>
      </c>
      <c r="U6477">
        <v>1</v>
      </c>
      <c r="V6477">
        <v>0.44154138082031819</v>
      </c>
      <c r="W6477">
        <v>0.85</v>
      </c>
      <c r="X6477">
        <v>0.37531017369727038</v>
      </c>
      <c r="Y6477">
        <v>723</v>
      </c>
      <c r="Z6477">
        <v>407.62145176971592</v>
      </c>
      <c r="AA6477">
        <v>198</v>
      </c>
      <c r="AB6477">
        <v>332</v>
      </c>
      <c r="AC6477">
        <v>536</v>
      </c>
      <c r="AD6477">
        <v>29.58</v>
      </c>
      <c r="AE6477">
        <v>542</v>
      </c>
      <c r="AF6477">
        <v>30</v>
      </c>
      <c r="AG6477">
        <v>169</v>
      </c>
      <c r="AH6477">
        <v>129</v>
      </c>
      <c r="AI6477">
        <v>5.54</v>
      </c>
      <c r="AJ6477">
        <v>31.18</v>
      </c>
      <c r="AK6477">
        <v>23.8</v>
      </c>
      <c r="AL6477">
        <v>-20.166924799999951</v>
      </c>
      <c r="AM6477">
        <v>-44.912868681724092</v>
      </c>
      <c r="AN6477">
        <v>-20.166924799999951</v>
      </c>
      <c r="AO6477">
        <v>-44.912868681724092</v>
      </c>
      <c r="AP6477">
        <v>-20.166618</v>
      </c>
      <c r="AQ6477">
        <v>-44.912920999999997</v>
      </c>
      <c r="AR6477">
        <v>34.587771860198139</v>
      </c>
      <c r="AS6477" t="s">
        <v>65</v>
      </c>
      <c r="AT6477">
        <v>1</v>
      </c>
      <c r="AU6477" t="s">
        <v>1305</v>
      </c>
      <c r="AV6477" t="s">
        <v>1306</v>
      </c>
      <c r="AW6477" t="s">
        <v>60</v>
      </c>
      <c r="AX6477" t="s">
        <v>68</v>
      </c>
      <c r="AY6477" t="s">
        <v>69</v>
      </c>
      <c r="AZ6477" t="b">
        <v>1</v>
      </c>
    </row>
    <row r="6478" spans="1:52" x14ac:dyDescent="0.3">
      <c r="A6478" t="s">
        <v>52</v>
      </c>
      <c r="B6478" t="s">
        <v>53</v>
      </c>
      <c r="C6478" t="s">
        <v>54</v>
      </c>
      <c r="D6478" t="s">
        <v>55</v>
      </c>
      <c r="E6478" t="s">
        <v>2295</v>
      </c>
      <c r="F6478" t="s">
        <v>1247</v>
      </c>
      <c r="G6478" t="s">
        <v>1312</v>
      </c>
      <c r="H6478" t="s">
        <v>1313</v>
      </c>
      <c r="I6478" t="s">
        <v>1313</v>
      </c>
      <c r="J6478" t="s">
        <v>60</v>
      </c>
      <c r="K6478" t="s">
        <v>1314</v>
      </c>
      <c r="L6478" t="s">
        <v>62</v>
      </c>
      <c r="M6478" t="s">
        <v>1314</v>
      </c>
      <c r="N6478" t="s">
        <v>1315</v>
      </c>
      <c r="O6478" t="s">
        <v>315</v>
      </c>
      <c r="P6478">
        <v>-20.179649999999999</v>
      </c>
      <c r="Q6478">
        <v>-44.927177</v>
      </c>
      <c r="R6478" s="2" t="str">
        <f>HYPERLINK("https://www.google.com/maps?q=-20.1796500,-44.9271770","Abrir no Google Maps")</f>
        <v>Abrir no Google Maps</v>
      </c>
      <c r="S6478">
        <v>3</v>
      </c>
      <c r="T6478">
        <v>1742.181438658615</v>
      </c>
      <c r="U6478">
        <v>1</v>
      </c>
      <c r="V6478">
        <v>0.43544118173039092</v>
      </c>
      <c r="W6478">
        <v>0.85</v>
      </c>
      <c r="X6478">
        <v>0.3701250044708323</v>
      </c>
      <c r="Y6478">
        <v>723</v>
      </c>
      <c r="Z6478">
        <v>1801.262037027635</v>
      </c>
      <c r="AA6478">
        <v>198</v>
      </c>
      <c r="AB6478">
        <v>332</v>
      </c>
      <c r="AC6478">
        <v>536</v>
      </c>
      <c r="AD6478">
        <v>29.58</v>
      </c>
      <c r="AE6478">
        <v>542</v>
      </c>
      <c r="AF6478">
        <v>30</v>
      </c>
      <c r="AG6478">
        <v>169</v>
      </c>
      <c r="AH6478">
        <v>129</v>
      </c>
      <c r="AI6478">
        <v>5.54</v>
      </c>
      <c r="AJ6478">
        <v>31.18</v>
      </c>
      <c r="AK6478">
        <v>23.8</v>
      </c>
      <c r="AL6478">
        <v>-20.18058599999998</v>
      </c>
      <c r="AM6478">
        <v>-44.926708474999977</v>
      </c>
      <c r="AN6478">
        <v>-20.18058599999998</v>
      </c>
      <c r="AO6478">
        <v>-44.926708474999977</v>
      </c>
      <c r="AP6478">
        <v>-20.179649999999999</v>
      </c>
      <c r="AQ6478">
        <v>-44.927177</v>
      </c>
      <c r="AR6478">
        <v>115.1226868075416</v>
      </c>
      <c r="AS6478" t="s">
        <v>65</v>
      </c>
      <c r="AT6478">
        <v>1</v>
      </c>
      <c r="AU6478" t="s">
        <v>1316</v>
      </c>
      <c r="AV6478" t="s">
        <v>1317</v>
      </c>
      <c r="AW6478" t="s">
        <v>60</v>
      </c>
      <c r="AX6478" t="s">
        <v>68</v>
      </c>
      <c r="AY6478" t="s">
        <v>69</v>
      </c>
      <c r="AZ6478" t="b">
        <v>1</v>
      </c>
    </row>
    <row r="6479" spans="1:52" x14ac:dyDescent="0.3">
      <c r="A6479" t="s">
        <v>52</v>
      </c>
      <c r="B6479" t="s">
        <v>53</v>
      </c>
      <c r="C6479" t="s">
        <v>54</v>
      </c>
      <c r="D6479" t="s">
        <v>55</v>
      </c>
      <c r="E6479" t="s">
        <v>2295</v>
      </c>
      <c r="F6479" t="s">
        <v>1247</v>
      </c>
      <c r="G6479" t="s">
        <v>1318</v>
      </c>
      <c r="H6479" t="s">
        <v>1319</v>
      </c>
      <c r="I6479" t="s">
        <v>1319</v>
      </c>
      <c r="J6479" t="s">
        <v>60</v>
      </c>
      <c r="K6479" t="s">
        <v>1314</v>
      </c>
      <c r="L6479" t="s">
        <v>62</v>
      </c>
      <c r="M6479" t="s">
        <v>1314</v>
      </c>
      <c r="N6479" t="s">
        <v>1320</v>
      </c>
      <c r="O6479" t="s">
        <v>1321</v>
      </c>
      <c r="P6479">
        <v>-20.178615000000001</v>
      </c>
      <c r="Q6479">
        <v>-44.924697999999999</v>
      </c>
      <c r="R6479" s="2" t="str">
        <f>HYPERLINK("https://www.google.com/maps?q=-20.1786150,-44.9246980","Abrir no Google Maps")</f>
        <v>Abrir no Google Maps</v>
      </c>
      <c r="S6479">
        <v>3</v>
      </c>
      <c r="T6479">
        <v>1583.462557226148</v>
      </c>
      <c r="U6479">
        <v>1</v>
      </c>
      <c r="V6479">
        <v>0.43193826738130542</v>
      </c>
      <c r="W6479">
        <v>0.85</v>
      </c>
      <c r="X6479">
        <v>0.3671475272741096</v>
      </c>
      <c r="Y6479">
        <v>723</v>
      </c>
      <c r="Z6479">
        <v>1414.1542726995031</v>
      </c>
      <c r="AA6479">
        <v>198</v>
      </c>
      <c r="AB6479">
        <v>332</v>
      </c>
      <c r="AC6479">
        <v>536</v>
      </c>
      <c r="AD6479">
        <v>29.58</v>
      </c>
      <c r="AE6479">
        <v>542</v>
      </c>
      <c r="AF6479">
        <v>30</v>
      </c>
      <c r="AG6479">
        <v>169</v>
      </c>
      <c r="AH6479">
        <v>129</v>
      </c>
      <c r="AI6479">
        <v>5.54</v>
      </c>
      <c r="AJ6479">
        <v>31.18</v>
      </c>
      <c r="AK6479">
        <v>23.8</v>
      </c>
      <c r="AL6479">
        <v>-20.17821329999995</v>
      </c>
      <c r="AM6479">
        <v>-44.924188563452951</v>
      </c>
      <c r="AN6479">
        <v>-20.17821329999995</v>
      </c>
      <c r="AO6479">
        <v>-44.924188563452951</v>
      </c>
      <c r="AP6479">
        <v>-20.178615000000001</v>
      </c>
      <c r="AQ6479">
        <v>-44.924697999999999</v>
      </c>
      <c r="AR6479">
        <v>69.520116290580319</v>
      </c>
      <c r="AS6479" t="s">
        <v>65</v>
      </c>
      <c r="AT6479">
        <v>1</v>
      </c>
      <c r="AU6479" t="s">
        <v>1322</v>
      </c>
      <c r="AV6479" t="s">
        <v>1317</v>
      </c>
      <c r="AW6479" t="s">
        <v>60</v>
      </c>
      <c r="AX6479" t="s">
        <v>68</v>
      </c>
      <c r="AY6479" t="s">
        <v>69</v>
      </c>
      <c r="AZ6479" t="b">
        <v>1</v>
      </c>
    </row>
    <row r="6480" spans="1:52" x14ac:dyDescent="0.3">
      <c r="A6480" t="s">
        <v>52</v>
      </c>
      <c r="B6480" t="s">
        <v>53</v>
      </c>
      <c r="C6480" t="s">
        <v>54</v>
      </c>
      <c r="D6480" t="s">
        <v>55</v>
      </c>
      <c r="E6480" t="s">
        <v>2295</v>
      </c>
      <c r="F6480" t="s">
        <v>1247</v>
      </c>
      <c r="G6480" t="s">
        <v>422</v>
      </c>
      <c r="H6480" t="s">
        <v>1323</v>
      </c>
      <c r="I6480" t="s">
        <v>1323</v>
      </c>
      <c r="J6480" t="s">
        <v>60</v>
      </c>
      <c r="K6480" t="s">
        <v>1324</v>
      </c>
      <c r="L6480" t="s">
        <v>62</v>
      </c>
      <c r="M6480" t="s">
        <v>1324</v>
      </c>
      <c r="N6480" t="s">
        <v>425</v>
      </c>
      <c r="O6480" t="s">
        <v>1325</v>
      </c>
      <c r="P6480">
        <v>-20.175142000000001</v>
      </c>
      <c r="Q6480">
        <v>-44.913783000000002</v>
      </c>
      <c r="R6480" s="2" t="str">
        <f>HYPERLINK("https://www.google.com/maps?q=-20.1751420,-44.9137830","Abrir no Google Maps")</f>
        <v>Abrir no Google Maps</v>
      </c>
      <c r="S6480">
        <v>3</v>
      </c>
      <c r="T6480">
        <v>495.73888273066677</v>
      </c>
      <c r="U6480">
        <v>1</v>
      </c>
      <c r="V6480">
        <v>0.44931752069814268</v>
      </c>
      <c r="W6480">
        <v>0.85</v>
      </c>
      <c r="X6480">
        <v>0.3819198925934213</v>
      </c>
      <c r="Y6480">
        <v>723</v>
      </c>
      <c r="Z6480">
        <v>488.51574748236328</v>
      </c>
      <c r="AA6480">
        <v>198</v>
      </c>
      <c r="AB6480">
        <v>332</v>
      </c>
      <c r="AC6480">
        <v>536</v>
      </c>
      <c r="AD6480">
        <v>29.58</v>
      </c>
      <c r="AE6480">
        <v>542</v>
      </c>
      <c r="AF6480">
        <v>30</v>
      </c>
      <c r="AG6480">
        <v>169</v>
      </c>
      <c r="AH6480">
        <v>129</v>
      </c>
      <c r="AI6480">
        <v>5.54</v>
      </c>
      <c r="AJ6480">
        <v>31.18</v>
      </c>
      <c r="AK6480">
        <v>23.8</v>
      </c>
      <c r="AL6480">
        <v>-20.175195199999958</v>
      </c>
      <c r="AM6480">
        <v>-44.913964122548052</v>
      </c>
      <c r="AN6480">
        <v>-20.175195199999958</v>
      </c>
      <c r="AO6480">
        <v>-44.913964122548052</v>
      </c>
      <c r="AP6480">
        <v>-20.175142000000001</v>
      </c>
      <c r="AQ6480">
        <v>-44.913783000000002</v>
      </c>
      <c r="AR6480">
        <v>19.830402633152101</v>
      </c>
      <c r="AS6480" t="s">
        <v>65</v>
      </c>
      <c r="AT6480">
        <v>1</v>
      </c>
      <c r="AU6480" t="s">
        <v>1326</v>
      </c>
      <c r="AV6480" t="s">
        <v>1327</v>
      </c>
      <c r="AW6480" t="s">
        <v>60</v>
      </c>
      <c r="AX6480" t="s">
        <v>68</v>
      </c>
      <c r="AY6480" t="s">
        <v>69</v>
      </c>
      <c r="AZ6480" t="b">
        <v>1</v>
      </c>
    </row>
    <row r="6481" spans="1:52" x14ac:dyDescent="0.3">
      <c r="A6481" t="s">
        <v>52</v>
      </c>
      <c r="B6481" t="s">
        <v>53</v>
      </c>
      <c r="C6481" t="s">
        <v>54</v>
      </c>
      <c r="D6481" t="s">
        <v>55</v>
      </c>
      <c r="E6481" t="s">
        <v>2295</v>
      </c>
      <c r="F6481" t="s">
        <v>1247</v>
      </c>
      <c r="G6481" t="s">
        <v>479</v>
      </c>
      <c r="H6481" t="s">
        <v>1338</v>
      </c>
      <c r="I6481" t="s">
        <v>1338</v>
      </c>
      <c r="J6481" t="s">
        <v>60</v>
      </c>
      <c r="K6481" t="s">
        <v>1302</v>
      </c>
      <c r="L6481" t="s">
        <v>62</v>
      </c>
      <c r="M6481" t="s">
        <v>1302</v>
      </c>
      <c r="N6481" t="s">
        <v>481</v>
      </c>
      <c r="O6481" t="s">
        <v>1339</v>
      </c>
      <c r="P6481">
        <v>-20.165590000000002</v>
      </c>
      <c r="Q6481">
        <v>-44.907876000000002</v>
      </c>
      <c r="R6481" s="2" t="str">
        <f>HYPERLINK("https://www.google.com/maps?q=-20.1655900,-44.9078760","Abrir no Google Maps")</f>
        <v>Abrir no Google Maps</v>
      </c>
      <c r="S6481">
        <v>3</v>
      </c>
      <c r="T6481">
        <v>626.07643944893005</v>
      </c>
      <c r="U6481">
        <v>1</v>
      </c>
      <c r="V6481">
        <v>0.41689123540303208</v>
      </c>
      <c r="W6481">
        <v>0.85</v>
      </c>
      <c r="X6481">
        <v>0.35435755009257719</v>
      </c>
      <c r="Y6481">
        <v>639</v>
      </c>
      <c r="Z6481">
        <v>723.2656461789519</v>
      </c>
      <c r="AA6481">
        <v>198</v>
      </c>
      <c r="AB6481">
        <v>332</v>
      </c>
      <c r="AC6481">
        <v>536</v>
      </c>
      <c r="AD6481">
        <v>29.58</v>
      </c>
      <c r="AE6481">
        <v>542</v>
      </c>
      <c r="AF6481">
        <v>30</v>
      </c>
      <c r="AG6481">
        <v>169</v>
      </c>
      <c r="AH6481">
        <v>129</v>
      </c>
      <c r="AI6481">
        <v>5.54</v>
      </c>
      <c r="AJ6481">
        <v>31.18</v>
      </c>
      <c r="AK6481">
        <v>23.8</v>
      </c>
      <c r="AL6481">
        <v>-20.16561419999994</v>
      </c>
      <c r="AM6481">
        <v>-44.907783360572083</v>
      </c>
      <c r="AN6481">
        <v>-20.16561419999994</v>
      </c>
      <c r="AO6481">
        <v>-44.907783360572083</v>
      </c>
      <c r="AP6481">
        <v>-20.165590000000002</v>
      </c>
      <c r="AQ6481">
        <v>-44.907876000000002</v>
      </c>
      <c r="AR6481">
        <v>10.04831364257741</v>
      </c>
      <c r="AS6481" t="s">
        <v>65</v>
      </c>
      <c r="AT6481">
        <v>1</v>
      </c>
      <c r="AU6481" t="s">
        <v>1340</v>
      </c>
      <c r="AV6481" t="s">
        <v>1341</v>
      </c>
      <c r="AW6481" t="s">
        <v>60</v>
      </c>
      <c r="AX6481" t="s">
        <v>68</v>
      </c>
      <c r="AY6481" t="s">
        <v>69</v>
      </c>
      <c r="AZ6481" t="b">
        <v>1</v>
      </c>
    </row>
    <row r="6482" spans="1:52" x14ac:dyDescent="0.3">
      <c r="A6482" t="s">
        <v>52</v>
      </c>
      <c r="B6482" t="s">
        <v>53</v>
      </c>
      <c r="C6482" t="s">
        <v>54</v>
      </c>
      <c r="D6482" t="s">
        <v>55</v>
      </c>
      <c r="E6482" t="s">
        <v>2295</v>
      </c>
      <c r="F6482" t="s">
        <v>1247</v>
      </c>
      <c r="G6482" t="s">
        <v>1354</v>
      </c>
      <c r="H6482" t="s">
        <v>1355</v>
      </c>
      <c r="I6482" t="s">
        <v>1355</v>
      </c>
      <c r="J6482" t="s">
        <v>60</v>
      </c>
      <c r="K6482" t="s">
        <v>1356</v>
      </c>
      <c r="L6482" t="s">
        <v>62</v>
      </c>
      <c r="M6482" t="s">
        <v>1356</v>
      </c>
      <c r="N6482" t="s">
        <v>1357</v>
      </c>
      <c r="O6482" t="s">
        <v>315</v>
      </c>
      <c r="P6482">
        <v>-20.132080999999999</v>
      </c>
      <c r="Q6482">
        <v>-44.908614</v>
      </c>
      <c r="R6482" s="2" t="str">
        <f>HYPERLINK("https://www.google.com/maps?q=-20.1320810,-44.9086140","Abrir no Google Maps")</f>
        <v>Abrir no Google Maps</v>
      </c>
      <c r="S6482">
        <v>3</v>
      </c>
      <c r="T6482">
        <v>701.02570959373259</v>
      </c>
      <c r="U6482">
        <v>1</v>
      </c>
      <c r="V6482">
        <v>0.44404619673436879</v>
      </c>
      <c r="W6482">
        <v>0.85</v>
      </c>
      <c r="X6482">
        <v>0.37743926722421339</v>
      </c>
      <c r="Y6482">
        <v>581</v>
      </c>
      <c r="Z6482">
        <v>811.38061352229215</v>
      </c>
      <c r="AA6482">
        <v>198</v>
      </c>
      <c r="AB6482">
        <v>332</v>
      </c>
      <c r="AC6482">
        <v>536</v>
      </c>
      <c r="AD6482">
        <v>29.58</v>
      </c>
      <c r="AE6482">
        <v>542</v>
      </c>
      <c r="AF6482">
        <v>30</v>
      </c>
      <c r="AG6482">
        <v>169</v>
      </c>
      <c r="AH6482">
        <v>129</v>
      </c>
      <c r="AI6482">
        <v>5.54</v>
      </c>
      <c r="AJ6482">
        <v>31.18</v>
      </c>
      <c r="AK6482">
        <v>23.8</v>
      </c>
      <c r="AL6482">
        <v>-20.132063499999951</v>
      </c>
      <c r="AM6482">
        <v>-44.908630454878519</v>
      </c>
      <c r="AN6482">
        <v>-20.132063499999951</v>
      </c>
      <c r="AO6482">
        <v>-44.908630454878519</v>
      </c>
      <c r="AP6482">
        <v>-20.132080999999999</v>
      </c>
      <c r="AQ6482">
        <v>-44.908614</v>
      </c>
      <c r="AR6482">
        <v>2.5986425761911551</v>
      </c>
      <c r="AS6482" t="s">
        <v>65</v>
      </c>
      <c r="AT6482">
        <v>1</v>
      </c>
      <c r="AU6482" t="s">
        <v>1358</v>
      </c>
      <c r="AV6482" t="s">
        <v>1359</v>
      </c>
      <c r="AW6482" t="s">
        <v>60</v>
      </c>
      <c r="AX6482" t="s">
        <v>68</v>
      </c>
      <c r="AY6482" t="s">
        <v>69</v>
      </c>
      <c r="AZ6482" t="b">
        <v>1</v>
      </c>
    </row>
    <row r="6483" spans="1:52" x14ac:dyDescent="0.3">
      <c r="A6483" t="s">
        <v>52</v>
      </c>
      <c r="B6483" t="s">
        <v>53</v>
      </c>
      <c r="C6483" t="s">
        <v>54</v>
      </c>
      <c r="D6483" t="s">
        <v>55</v>
      </c>
      <c r="E6483" t="s">
        <v>2295</v>
      </c>
      <c r="F6483" t="s">
        <v>1247</v>
      </c>
      <c r="G6483" t="s">
        <v>858</v>
      </c>
      <c r="H6483" t="s">
        <v>1360</v>
      </c>
      <c r="I6483" t="s">
        <v>1360</v>
      </c>
      <c r="J6483" t="s">
        <v>60</v>
      </c>
      <c r="K6483" t="s">
        <v>1356</v>
      </c>
      <c r="L6483" t="s">
        <v>62</v>
      </c>
      <c r="M6483" t="s">
        <v>1356</v>
      </c>
      <c r="N6483" t="s">
        <v>860</v>
      </c>
      <c r="O6483" t="s">
        <v>1361</v>
      </c>
      <c r="P6483">
        <v>-20.134969000000002</v>
      </c>
      <c r="Q6483">
        <v>-44.909384000000003</v>
      </c>
      <c r="R6483" s="2" t="str">
        <f>HYPERLINK("https://www.google.com/maps?q=-20.1349690,-44.9093840","Abrir no Google Maps")</f>
        <v>Abrir no Google Maps</v>
      </c>
      <c r="S6483">
        <v>3</v>
      </c>
      <c r="T6483">
        <v>413.6655911675532</v>
      </c>
      <c r="U6483">
        <v>1</v>
      </c>
      <c r="V6483">
        <v>0.44543595463840863</v>
      </c>
      <c r="W6483">
        <v>0.85</v>
      </c>
      <c r="X6483">
        <v>0.37862056144264727</v>
      </c>
      <c r="Y6483">
        <v>581</v>
      </c>
      <c r="Z6483">
        <v>555.30228470489919</v>
      </c>
      <c r="AA6483">
        <v>198</v>
      </c>
      <c r="AB6483">
        <v>332</v>
      </c>
      <c r="AC6483">
        <v>536</v>
      </c>
      <c r="AD6483">
        <v>29.58</v>
      </c>
      <c r="AE6483">
        <v>542</v>
      </c>
      <c r="AF6483">
        <v>30</v>
      </c>
      <c r="AG6483">
        <v>169</v>
      </c>
      <c r="AH6483">
        <v>129</v>
      </c>
      <c r="AI6483">
        <v>5.54</v>
      </c>
      <c r="AJ6483">
        <v>31.18</v>
      </c>
      <c r="AK6483">
        <v>23.8</v>
      </c>
      <c r="AL6483">
        <v>-20.134922099999951</v>
      </c>
      <c r="AM6483">
        <v>-44.909483975879112</v>
      </c>
      <c r="AN6483">
        <v>-20.134922099999951</v>
      </c>
      <c r="AO6483">
        <v>-44.909483975879112</v>
      </c>
      <c r="AP6483">
        <v>-20.134969000000002</v>
      </c>
      <c r="AQ6483">
        <v>-44.909384000000003</v>
      </c>
      <c r="AR6483">
        <v>11.68085867639515</v>
      </c>
      <c r="AS6483" t="s">
        <v>65</v>
      </c>
      <c r="AT6483">
        <v>1</v>
      </c>
      <c r="AU6483" t="s">
        <v>1362</v>
      </c>
      <c r="AV6483" t="s">
        <v>1363</v>
      </c>
      <c r="AW6483" t="s">
        <v>60</v>
      </c>
      <c r="AX6483" t="s">
        <v>68</v>
      </c>
      <c r="AY6483" t="s">
        <v>69</v>
      </c>
      <c r="AZ6483" t="b">
        <v>1</v>
      </c>
    </row>
    <row r="6484" spans="1:52" x14ac:dyDescent="0.3">
      <c r="A6484" t="s">
        <v>52</v>
      </c>
      <c r="B6484" t="s">
        <v>53</v>
      </c>
      <c r="C6484" t="s">
        <v>54</v>
      </c>
      <c r="D6484" t="s">
        <v>55</v>
      </c>
      <c r="E6484" t="s">
        <v>2295</v>
      </c>
      <c r="F6484" t="s">
        <v>1247</v>
      </c>
      <c r="G6484" t="s">
        <v>1364</v>
      </c>
      <c r="H6484" t="s">
        <v>1369</v>
      </c>
      <c r="I6484" t="s">
        <v>1369</v>
      </c>
      <c r="J6484" t="s">
        <v>60</v>
      </c>
      <c r="K6484" t="s">
        <v>1370</v>
      </c>
      <c r="L6484" t="s">
        <v>62</v>
      </c>
      <c r="M6484" t="s">
        <v>1370</v>
      </c>
      <c r="N6484" t="s">
        <v>1366</v>
      </c>
      <c r="O6484" t="s">
        <v>989</v>
      </c>
      <c r="P6484">
        <v>-20.141185</v>
      </c>
      <c r="Q6484">
        <v>-44.914200999999998</v>
      </c>
      <c r="R6484" s="2" t="str">
        <f>HYPERLINK("https://www.google.com/maps?q=-20.1411850,-44.9142010","Abrir no Google Maps")</f>
        <v>Abrir no Google Maps</v>
      </c>
      <c r="S6484">
        <v>3</v>
      </c>
      <c r="T6484">
        <v>512.52588459346453</v>
      </c>
      <c r="U6484">
        <v>1</v>
      </c>
      <c r="V6484">
        <v>0.42895315406730927</v>
      </c>
      <c r="W6484">
        <v>0.85</v>
      </c>
      <c r="X6484">
        <v>0.36461018095721293</v>
      </c>
      <c r="Y6484">
        <v>581</v>
      </c>
      <c r="Z6484">
        <v>473.10673043319349</v>
      </c>
      <c r="AA6484">
        <v>198</v>
      </c>
      <c r="AB6484">
        <v>332</v>
      </c>
      <c r="AC6484">
        <v>536</v>
      </c>
      <c r="AD6484">
        <v>29.58</v>
      </c>
      <c r="AE6484">
        <v>542</v>
      </c>
      <c r="AF6484">
        <v>30</v>
      </c>
      <c r="AG6484">
        <v>169</v>
      </c>
      <c r="AH6484">
        <v>129</v>
      </c>
      <c r="AI6484">
        <v>5.54</v>
      </c>
      <c r="AJ6484">
        <v>31.18</v>
      </c>
      <c r="AK6484">
        <v>23.8</v>
      </c>
      <c r="AL6484">
        <v>-20.14133909999995</v>
      </c>
      <c r="AM6484">
        <v>-44.913910219286038</v>
      </c>
      <c r="AN6484">
        <v>-20.14133909999995</v>
      </c>
      <c r="AO6484">
        <v>-44.913910219286038</v>
      </c>
      <c r="AP6484">
        <v>-20.141185</v>
      </c>
      <c r="AQ6484">
        <v>-44.914200999999998</v>
      </c>
      <c r="AR6484">
        <v>34.897514361429593</v>
      </c>
      <c r="AS6484" t="s">
        <v>65</v>
      </c>
      <c r="AT6484">
        <v>1</v>
      </c>
      <c r="AU6484" t="s">
        <v>1371</v>
      </c>
      <c r="AV6484" t="s">
        <v>863</v>
      </c>
      <c r="AW6484" t="s">
        <v>60</v>
      </c>
      <c r="AX6484" t="s">
        <v>68</v>
      </c>
      <c r="AY6484" t="s">
        <v>69</v>
      </c>
      <c r="AZ6484" t="b">
        <v>1</v>
      </c>
    </row>
    <row r="6485" spans="1:52" x14ac:dyDescent="0.3">
      <c r="A6485" t="s">
        <v>52</v>
      </c>
      <c r="B6485" t="s">
        <v>53</v>
      </c>
      <c r="C6485" t="s">
        <v>54</v>
      </c>
      <c r="D6485" t="s">
        <v>55</v>
      </c>
      <c r="E6485" t="s">
        <v>2295</v>
      </c>
      <c r="F6485" t="s">
        <v>1247</v>
      </c>
      <c r="G6485" t="s">
        <v>1300</v>
      </c>
      <c r="H6485" t="s">
        <v>1372</v>
      </c>
      <c r="I6485" t="s">
        <v>1372</v>
      </c>
      <c r="J6485" t="s">
        <v>60</v>
      </c>
      <c r="K6485" t="s">
        <v>486</v>
      </c>
      <c r="L6485" t="s">
        <v>62</v>
      </c>
      <c r="M6485" t="s">
        <v>486</v>
      </c>
      <c r="N6485" t="s">
        <v>1303</v>
      </c>
      <c r="O6485" t="s">
        <v>1373</v>
      </c>
      <c r="P6485">
        <v>-20.170458</v>
      </c>
      <c r="Q6485">
        <v>-44.900936000000002</v>
      </c>
      <c r="R6485" s="2" t="str">
        <f>HYPERLINK("https://www.google.com/maps?q=-20.1704580,-44.9009360","Abrir no Google Maps")</f>
        <v>Abrir no Google Maps</v>
      </c>
      <c r="S6485">
        <v>3</v>
      </c>
      <c r="T6485">
        <v>470.55793133653339</v>
      </c>
      <c r="U6485">
        <v>1</v>
      </c>
      <c r="V6485">
        <v>0.43795037449859792</v>
      </c>
      <c r="W6485">
        <v>0.85</v>
      </c>
      <c r="X6485">
        <v>0.37225781832380822</v>
      </c>
      <c r="Y6485">
        <v>578</v>
      </c>
      <c r="Z6485">
        <v>645.48909402437766</v>
      </c>
      <c r="AA6485">
        <v>198</v>
      </c>
      <c r="AB6485">
        <v>332</v>
      </c>
      <c r="AC6485">
        <v>536</v>
      </c>
      <c r="AD6485">
        <v>29.58</v>
      </c>
      <c r="AE6485">
        <v>542</v>
      </c>
      <c r="AF6485">
        <v>30</v>
      </c>
      <c r="AG6485">
        <v>169</v>
      </c>
      <c r="AH6485">
        <v>129</v>
      </c>
      <c r="AI6485">
        <v>5.54</v>
      </c>
      <c r="AJ6485">
        <v>31.18</v>
      </c>
      <c r="AK6485">
        <v>23.8</v>
      </c>
      <c r="AL6485">
        <v>-20.17025029999996</v>
      </c>
      <c r="AM6485">
        <v>-44.901067235372473</v>
      </c>
      <c r="AN6485">
        <v>-20.17025029999996</v>
      </c>
      <c r="AO6485">
        <v>-44.901067235372473</v>
      </c>
      <c r="AP6485">
        <v>-20.170458</v>
      </c>
      <c r="AQ6485">
        <v>-44.900936000000002</v>
      </c>
      <c r="AR6485">
        <v>26.88195352459519</v>
      </c>
      <c r="AS6485" t="s">
        <v>65</v>
      </c>
      <c r="AT6485">
        <v>1</v>
      </c>
      <c r="AU6485" t="s">
        <v>1374</v>
      </c>
      <c r="AV6485" t="s">
        <v>1375</v>
      </c>
      <c r="AW6485" t="s">
        <v>60</v>
      </c>
      <c r="AX6485" t="s">
        <v>68</v>
      </c>
      <c r="AY6485" t="s">
        <v>69</v>
      </c>
      <c r="AZ6485" t="b">
        <v>1</v>
      </c>
    </row>
    <row r="6486" spans="1:52" x14ac:dyDescent="0.3">
      <c r="A6486" t="s">
        <v>52</v>
      </c>
      <c r="B6486" t="s">
        <v>53</v>
      </c>
      <c r="C6486" t="s">
        <v>54</v>
      </c>
      <c r="D6486" t="s">
        <v>55</v>
      </c>
      <c r="E6486" t="s">
        <v>2295</v>
      </c>
      <c r="F6486" t="s">
        <v>1247</v>
      </c>
      <c r="G6486" t="s">
        <v>1388</v>
      </c>
      <c r="H6486" t="s">
        <v>1389</v>
      </c>
      <c r="I6486" t="s">
        <v>1389</v>
      </c>
      <c r="J6486" t="s">
        <v>60</v>
      </c>
      <c r="K6486" t="s">
        <v>475</v>
      </c>
      <c r="L6486" t="s">
        <v>62</v>
      </c>
      <c r="M6486" t="s">
        <v>475</v>
      </c>
      <c r="N6486" t="s">
        <v>1390</v>
      </c>
      <c r="O6486" t="s">
        <v>855</v>
      </c>
      <c r="P6486">
        <v>-20.173748</v>
      </c>
      <c r="Q6486">
        <v>-44.894596999999997</v>
      </c>
      <c r="R6486" s="2" t="str">
        <f>HYPERLINK("https://www.google.com/maps?q=-20.1737480,-44.8945970","Abrir no Google Maps")</f>
        <v>Abrir no Google Maps</v>
      </c>
      <c r="S6486">
        <v>3</v>
      </c>
      <c r="T6486">
        <v>1217.388518792701</v>
      </c>
      <c r="U6486">
        <v>1</v>
      </c>
      <c r="V6486">
        <v>0.43057635175282227</v>
      </c>
      <c r="W6486">
        <v>0.85</v>
      </c>
      <c r="X6486">
        <v>0.36598989898989892</v>
      </c>
      <c r="Y6486">
        <v>578</v>
      </c>
      <c r="Z6486">
        <v>1268.0048337091989</v>
      </c>
      <c r="AA6486">
        <v>198</v>
      </c>
      <c r="AB6486">
        <v>332</v>
      </c>
      <c r="AC6486">
        <v>536</v>
      </c>
      <c r="AD6486">
        <v>29.58</v>
      </c>
      <c r="AE6486">
        <v>542</v>
      </c>
      <c r="AF6486">
        <v>30</v>
      </c>
      <c r="AG6486">
        <v>169</v>
      </c>
      <c r="AH6486">
        <v>129</v>
      </c>
      <c r="AI6486">
        <v>5.54</v>
      </c>
      <c r="AJ6486">
        <v>31.18</v>
      </c>
      <c r="AK6486">
        <v>23.8</v>
      </c>
      <c r="AL6486">
        <v>-20.173821999999941</v>
      </c>
      <c r="AM6486">
        <v>-44.894306105833543</v>
      </c>
      <c r="AN6486">
        <v>-20.173821999999941</v>
      </c>
      <c r="AO6486">
        <v>-44.894306105833543</v>
      </c>
      <c r="AP6486">
        <v>-20.173748</v>
      </c>
      <c r="AQ6486">
        <v>-44.894596999999997</v>
      </c>
      <c r="AR6486">
        <v>31.492193006406161</v>
      </c>
      <c r="AS6486" t="s">
        <v>65</v>
      </c>
      <c r="AT6486">
        <v>1</v>
      </c>
      <c r="AU6486" t="s">
        <v>1391</v>
      </c>
      <c r="AV6486" t="s">
        <v>1392</v>
      </c>
      <c r="AW6486" t="s">
        <v>60</v>
      </c>
      <c r="AX6486" t="s">
        <v>68</v>
      </c>
      <c r="AY6486" t="s">
        <v>69</v>
      </c>
      <c r="AZ6486" t="b">
        <v>1</v>
      </c>
    </row>
    <row r="6487" spans="1:52" x14ac:dyDescent="0.3">
      <c r="A6487" t="s">
        <v>52</v>
      </c>
      <c r="B6487" t="s">
        <v>53</v>
      </c>
      <c r="C6487" t="s">
        <v>54</v>
      </c>
      <c r="D6487" t="s">
        <v>55</v>
      </c>
      <c r="E6487" t="s">
        <v>2295</v>
      </c>
      <c r="F6487" t="s">
        <v>1247</v>
      </c>
      <c r="G6487" t="s">
        <v>1393</v>
      </c>
      <c r="H6487" t="s">
        <v>1394</v>
      </c>
      <c r="I6487" t="s">
        <v>1394</v>
      </c>
      <c r="J6487" t="s">
        <v>60</v>
      </c>
      <c r="K6487" t="s">
        <v>388</v>
      </c>
      <c r="L6487" t="s">
        <v>62</v>
      </c>
      <c r="M6487" t="s">
        <v>388</v>
      </c>
      <c r="N6487" t="s">
        <v>1395</v>
      </c>
      <c r="O6487" t="s">
        <v>1396</v>
      </c>
      <c r="P6487">
        <v>-20.167425000000001</v>
      </c>
      <c r="Q6487">
        <v>-44.907733999999998</v>
      </c>
      <c r="R6487" s="2" t="str">
        <f>HYPERLINK("https://www.google.com/maps?q=-20.1674250,-44.9077340","Abrir no Google Maps")</f>
        <v>Abrir no Google Maps</v>
      </c>
      <c r="S6487">
        <v>3</v>
      </c>
      <c r="T6487">
        <v>424.62372109792739</v>
      </c>
      <c r="U6487">
        <v>1</v>
      </c>
      <c r="V6487">
        <v>0.45388097470485639</v>
      </c>
      <c r="W6487">
        <v>0.85</v>
      </c>
      <c r="X6487">
        <v>0.38579882849912789</v>
      </c>
      <c r="Y6487">
        <v>578</v>
      </c>
      <c r="Z6487">
        <v>559.08337206965382</v>
      </c>
      <c r="AA6487">
        <v>198</v>
      </c>
      <c r="AB6487">
        <v>332</v>
      </c>
      <c r="AC6487">
        <v>536</v>
      </c>
      <c r="AD6487">
        <v>29.58</v>
      </c>
      <c r="AE6487">
        <v>542</v>
      </c>
      <c r="AF6487">
        <v>30</v>
      </c>
      <c r="AG6487">
        <v>169</v>
      </c>
      <c r="AH6487">
        <v>129</v>
      </c>
      <c r="AI6487">
        <v>5.54</v>
      </c>
      <c r="AJ6487">
        <v>31.18</v>
      </c>
      <c r="AK6487">
        <v>23.8</v>
      </c>
      <c r="AL6487">
        <v>-20.167592099999951</v>
      </c>
      <c r="AM6487">
        <v>-44.907664214502859</v>
      </c>
      <c r="AN6487">
        <v>-20.167592099999951</v>
      </c>
      <c r="AO6487">
        <v>-44.907664214502859</v>
      </c>
      <c r="AP6487">
        <v>-20.167425000000001</v>
      </c>
      <c r="AQ6487">
        <v>-44.907733999999998</v>
      </c>
      <c r="AR6487">
        <v>19.979863459652229</v>
      </c>
      <c r="AS6487" t="s">
        <v>65</v>
      </c>
      <c r="AT6487">
        <v>1</v>
      </c>
      <c r="AU6487" t="s">
        <v>1397</v>
      </c>
      <c r="AV6487" t="s">
        <v>1398</v>
      </c>
      <c r="AW6487" t="s">
        <v>60</v>
      </c>
      <c r="AX6487" t="s">
        <v>68</v>
      </c>
      <c r="AY6487" t="s">
        <v>69</v>
      </c>
      <c r="AZ6487" t="b">
        <v>1</v>
      </c>
    </row>
    <row r="6488" spans="1:52" x14ac:dyDescent="0.3">
      <c r="A6488" t="s">
        <v>52</v>
      </c>
      <c r="B6488" t="s">
        <v>53</v>
      </c>
      <c r="C6488" t="s">
        <v>54</v>
      </c>
      <c r="D6488" t="s">
        <v>55</v>
      </c>
      <c r="E6488" t="s">
        <v>2295</v>
      </c>
      <c r="F6488" t="s">
        <v>1247</v>
      </c>
      <c r="G6488" t="s">
        <v>815</v>
      </c>
      <c r="H6488" t="s">
        <v>1404</v>
      </c>
      <c r="I6488" t="s">
        <v>1404</v>
      </c>
      <c r="J6488" t="s">
        <v>60</v>
      </c>
      <c r="K6488" t="s">
        <v>512</v>
      </c>
      <c r="L6488" t="s">
        <v>62</v>
      </c>
      <c r="M6488" t="s">
        <v>512</v>
      </c>
      <c r="N6488" t="s">
        <v>817</v>
      </c>
      <c r="O6488" t="s">
        <v>1405</v>
      </c>
      <c r="P6488">
        <v>-20.129069999999999</v>
      </c>
      <c r="Q6488">
        <v>-44.888452000000001</v>
      </c>
      <c r="R6488" s="2" t="str">
        <f>HYPERLINK("https://www.google.com/maps?q=-20.1290700,-44.8884520","Abrir no Google Maps")</f>
        <v>Abrir no Google Maps</v>
      </c>
      <c r="S6488">
        <v>3</v>
      </c>
      <c r="T6488">
        <v>0</v>
      </c>
      <c r="U6488">
        <v>1</v>
      </c>
      <c r="V6488">
        <v>0.45319555282722868</v>
      </c>
      <c r="W6488">
        <v>0.85</v>
      </c>
      <c r="X6488">
        <v>0.38521621990314442</v>
      </c>
      <c r="Y6488">
        <v>564</v>
      </c>
      <c r="Z6488">
        <v>95.870354837220688</v>
      </c>
      <c r="AA6488">
        <v>198</v>
      </c>
      <c r="AB6488">
        <v>332</v>
      </c>
      <c r="AC6488">
        <v>536</v>
      </c>
      <c r="AD6488">
        <v>29.58</v>
      </c>
      <c r="AE6488">
        <v>542</v>
      </c>
      <c r="AF6488">
        <v>30</v>
      </c>
      <c r="AG6488">
        <v>169</v>
      </c>
      <c r="AH6488">
        <v>129</v>
      </c>
      <c r="AI6488">
        <v>5.54</v>
      </c>
      <c r="AJ6488">
        <v>31.18</v>
      </c>
      <c r="AK6488">
        <v>23.8</v>
      </c>
      <c r="AL6488">
        <v>-20.12899334999997</v>
      </c>
      <c r="AM6488">
        <v>-44.888406102471222</v>
      </c>
      <c r="AN6488">
        <v>-20.12899334999997</v>
      </c>
      <c r="AO6488">
        <v>-44.888406102471222</v>
      </c>
      <c r="AP6488">
        <v>-20.129069999999999</v>
      </c>
      <c r="AQ6488">
        <v>-44.888452000000001</v>
      </c>
      <c r="AR6488">
        <v>9.7887731150376265</v>
      </c>
      <c r="AS6488" t="s">
        <v>65</v>
      </c>
      <c r="AT6488">
        <v>1</v>
      </c>
      <c r="AU6488" t="s">
        <v>1406</v>
      </c>
      <c r="AV6488" t="s">
        <v>1407</v>
      </c>
      <c r="AW6488" t="s">
        <v>60</v>
      </c>
      <c r="AX6488" t="s">
        <v>68</v>
      </c>
      <c r="AY6488" t="s">
        <v>69</v>
      </c>
      <c r="AZ6488" t="b">
        <v>1</v>
      </c>
    </row>
    <row r="6489" spans="1:52" x14ac:dyDescent="0.3">
      <c r="A6489" t="s">
        <v>52</v>
      </c>
      <c r="B6489" t="s">
        <v>53</v>
      </c>
      <c r="C6489" t="s">
        <v>54</v>
      </c>
      <c r="D6489" t="s">
        <v>55</v>
      </c>
      <c r="E6489" t="s">
        <v>2295</v>
      </c>
      <c r="F6489" t="s">
        <v>1247</v>
      </c>
      <c r="G6489" t="s">
        <v>1408</v>
      </c>
      <c r="H6489" t="s">
        <v>1409</v>
      </c>
      <c r="I6489" t="s">
        <v>1409</v>
      </c>
      <c r="J6489" t="s">
        <v>60</v>
      </c>
      <c r="K6489" t="s">
        <v>200</v>
      </c>
      <c r="L6489" t="s">
        <v>62</v>
      </c>
      <c r="M6489" t="s">
        <v>200</v>
      </c>
      <c r="N6489" t="s">
        <v>1410</v>
      </c>
      <c r="O6489" t="s">
        <v>1001</v>
      </c>
      <c r="P6489">
        <v>-20.126062999999998</v>
      </c>
      <c r="Q6489">
        <v>-44.894936999999999</v>
      </c>
      <c r="R6489" s="2" t="str">
        <f>HYPERLINK("https://www.google.com/maps?q=-20.1260630,-44.8949370","Abrir no Google Maps")</f>
        <v>Abrir no Google Maps</v>
      </c>
      <c r="S6489">
        <v>3</v>
      </c>
      <c r="T6489">
        <v>747.3122077966558</v>
      </c>
      <c r="U6489">
        <v>1</v>
      </c>
      <c r="V6489">
        <v>0.4177283009882129</v>
      </c>
      <c r="W6489">
        <v>0.85</v>
      </c>
      <c r="X6489">
        <v>0.35506905583998088</v>
      </c>
      <c r="Y6489">
        <v>564</v>
      </c>
      <c r="Z6489">
        <v>693.80888866206885</v>
      </c>
      <c r="AA6489">
        <v>198</v>
      </c>
      <c r="AB6489">
        <v>332</v>
      </c>
      <c r="AC6489">
        <v>536</v>
      </c>
      <c r="AD6489">
        <v>29.58</v>
      </c>
      <c r="AE6489">
        <v>542</v>
      </c>
      <c r="AF6489">
        <v>30</v>
      </c>
      <c r="AG6489">
        <v>169</v>
      </c>
      <c r="AH6489">
        <v>129</v>
      </c>
      <c r="AI6489">
        <v>5.54</v>
      </c>
      <c r="AJ6489">
        <v>31.18</v>
      </c>
      <c r="AK6489">
        <v>23.8</v>
      </c>
      <c r="AL6489">
        <v>-20.126099149999959</v>
      </c>
      <c r="AM6489">
        <v>-44.894866076436763</v>
      </c>
      <c r="AN6489">
        <v>-20.126099149999959</v>
      </c>
      <c r="AO6489">
        <v>-44.894866076436749</v>
      </c>
      <c r="AP6489">
        <v>-20.126062999999998</v>
      </c>
      <c r="AQ6489">
        <v>-44.894936999999999</v>
      </c>
      <c r="AR6489">
        <v>8.4349593682699737</v>
      </c>
      <c r="AS6489" t="s">
        <v>65</v>
      </c>
      <c r="AT6489">
        <v>1</v>
      </c>
      <c r="AU6489" t="s">
        <v>1411</v>
      </c>
      <c r="AV6489" t="s">
        <v>1003</v>
      </c>
      <c r="AW6489" t="s">
        <v>60</v>
      </c>
      <c r="AX6489" t="s">
        <v>68</v>
      </c>
      <c r="AY6489" t="s">
        <v>69</v>
      </c>
      <c r="AZ6489" t="b">
        <v>1</v>
      </c>
    </row>
    <row r="6490" spans="1:52" x14ac:dyDescent="0.3">
      <c r="A6490" t="s">
        <v>52</v>
      </c>
      <c r="B6490" t="s">
        <v>53</v>
      </c>
      <c r="C6490" t="s">
        <v>54</v>
      </c>
      <c r="D6490" t="s">
        <v>55</v>
      </c>
      <c r="E6490" t="s">
        <v>2295</v>
      </c>
      <c r="F6490" t="s">
        <v>1247</v>
      </c>
      <c r="G6490" t="s">
        <v>1464</v>
      </c>
      <c r="H6490" t="s">
        <v>1465</v>
      </c>
      <c r="I6490" t="s">
        <v>1465</v>
      </c>
      <c r="J6490" t="s">
        <v>60</v>
      </c>
      <c r="K6490" t="s">
        <v>1466</v>
      </c>
      <c r="L6490" t="s">
        <v>62</v>
      </c>
      <c r="M6490" t="s">
        <v>1466</v>
      </c>
      <c r="N6490" t="s">
        <v>1467</v>
      </c>
      <c r="O6490" t="s">
        <v>145</v>
      </c>
      <c r="P6490">
        <v>-20.160509999999999</v>
      </c>
      <c r="Q6490">
        <v>-44.884123000000002</v>
      </c>
      <c r="R6490" s="2" t="str">
        <f>HYPERLINK("https://www.google.com/maps?q=-20.1605100,-44.8841230","Abrir no Google Maps")</f>
        <v>Abrir no Google Maps</v>
      </c>
      <c r="S6490">
        <v>2</v>
      </c>
      <c r="T6490">
        <v>650.04961276595373</v>
      </c>
      <c r="U6490">
        <v>4</v>
      </c>
      <c r="V6490">
        <v>0.46189896530736457</v>
      </c>
      <c r="W6490">
        <v>1</v>
      </c>
      <c r="X6490">
        <v>0.46189896530736457</v>
      </c>
      <c r="Y6490">
        <v>671</v>
      </c>
      <c r="Z6490">
        <v>591.49066685698506</v>
      </c>
      <c r="AA6490">
        <v>198</v>
      </c>
      <c r="AB6490">
        <v>332</v>
      </c>
      <c r="AC6490">
        <v>536</v>
      </c>
      <c r="AD6490">
        <v>29.58</v>
      </c>
      <c r="AE6490">
        <v>542</v>
      </c>
      <c r="AF6490">
        <v>30</v>
      </c>
      <c r="AG6490">
        <v>169</v>
      </c>
      <c r="AH6490">
        <v>129</v>
      </c>
      <c r="AI6490">
        <v>5.54</v>
      </c>
      <c r="AJ6490">
        <v>31.18</v>
      </c>
      <c r="AK6490">
        <v>23.8</v>
      </c>
      <c r="AL6490">
        <v>-20.16056479999995</v>
      </c>
      <c r="AM6490">
        <v>-44.88424978393428</v>
      </c>
      <c r="AN6490">
        <v>-20.160564799999939</v>
      </c>
      <c r="AO6490">
        <v>-44.88424978393428</v>
      </c>
      <c r="AP6490">
        <v>-20.160509999999999</v>
      </c>
      <c r="AQ6490">
        <v>-44.884123000000002</v>
      </c>
      <c r="AR6490">
        <v>14.585823463739541</v>
      </c>
      <c r="AS6490" t="s">
        <v>65</v>
      </c>
      <c r="AT6490">
        <v>1</v>
      </c>
      <c r="AU6490" t="s">
        <v>1468</v>
      </c>
      <c r="AV6490" t="s">
        <v>1469</v>
      </c>
      <c r="AW6490" t="s">
        <v>60</v>
      </c>
      <c r="AX6490" t="s">
        <v>68</v>
      </c>
      <c r="AY6490" t="s">
        <v>69</v>
      </c>
      <c r="AZ6490" t="b">
        <v>1</v>
      </c>
    </row>
    <row r="6491" spans="1:52" x14ac:dyDescent="0.3">
      <c r="A6491" t="s">
        <v>52</v>
      </c>
      <c r="B6491" t="s">
        <v>53</v>
      </c>
      <c r="C6491" t="s">
        <v>54</v>
      </c>
      <c r="D6491" t="s">
        <v>55</v>
      </c>
      <c r="E6491" t="s">
        <v>2295</v>
      </c>
      <c r="F6491" t="s">
        <v>1247</v>
      </c>
      <c r="G6491" t="s">
        <v>1495</v>
      </c>
      <c r="H6491" t="s">
        <v>1496</v>
      </c>
      <c r="I6491" t="s">
        <v>1496</v>
      </c>
      <c r="J6491" t="s">
        <v>60</v>
      </c>
      <c r="K6491" t="s">
        <v>1466</v>
      </c>
      <c r="L6491" t="s">
        <v>62</v>
      </c>
      <c r="M6491" t="s">
        <v>1466</v>
      </c>
      <c r="N6491" t="s">
        <v>1497</v>
      </c>
      <c r="O6491" t="s">
        <v>1498</v>
      </c>
      <c r="P6491">
        <v>-20.163160999999999</v>
      </c>
      <c r="Q6491">
        <v>-44.880460999999997</v>
      </c>
      <c r="R6491" s="2" t="str">
        <f>HYPERLINK("https://www.google.com/maps?q=-20.1631610,-44.8804610","Abrir no Google Maps")</f>
        <v>Abrir no Google Maps</v>
      </c>
      <c r="S6491">
        <v>2</v>
      </c>
      <c r="T6491">
        <v>372.63783804650222</v>
      </c>
      <c r="U6491">
        <v>4</v>
      </c>
      <c r="V6491">
        <v>0.49618430525557961</v>
      </c>
      <c r="W6491">
        <v>1</v>
      </c>
      <c r="X6491">
        <v>0.49618430525557961</v>
      </c>
      <c r="Y6491">
        <v>671</v>
      </c>
      <c r="Z6491">
        <v>250.43144487082299</v>
      </c>
      <c r="AA6491">
        <v>198</v>
      </c>
      <c r="AB6491">
        <v>332</v>
      </c>
      <c r="AC6491">
        <v>536</v>
      </c>
      <c r="AD6491">
        <v>29.58</v>
      </c>
      <c r="AE6491">
        <v>542</v>
      </c>
      <c r="AF6491">
        <v>30</v>
      </c>
      <c r="AG6491">
        <v>169</v>
      </c>
      <c r="AH6491">
        <v>129</v>
      </c>
      <c r="AI6491">
        <v>5.54</v>
      </c>
      <c r="AJ6491">
        <v>31.18</v>
      </c>
      <c r="AK6491">
        <v>23.8</v>
      </c>
      <c r="AL6491">
        <v>-20.163296749999969</v>
      </c>
      <c r="AM6491">
        <v>-44.88037544059182</v>
      </c>
      <c r="AN6491">
        <v>-20.163296749999969</v>
      </c>
      <c r="AO6491">
        <v>-44.88037544059182</v>
      </c>
      <c r="AP6491">
        <v>-20.163160999999999</v>
      </c>
      <c r="AQ6491">
        <v>-44.880460999999997</v>
      </c>
      <c r="AR6491">
        <v>17.558482416121191</v>
      </c>
      <c r="AS6491" t="s">
        <v>65</v>
      </c>
      <c r="AT6491">
        <v>1</v>
      </c>
      <c r="AU6491" t="s">
        <v>1499</v>
      </c>
      <c r="AV6491" t="s">
        <v>1500</v>
      </c>
      <c r="AW6491" t="s">
        <v>60</v>
      </c>
      <c r="AX6491" t="s">
        <v>68</v>
      </c>
      <c r="AY6491" t="s">
        <v>69</v>
      </c>
      <c r="AZ6491" t="b">
        <v>1</v>
      </c>
    </row>
    <row r="6492" spans="1:52" x14ac:dyDescent="0.3">
      <c r="A6492" t="s">
        <v>52</v>
      </c>
      <c r="B6492" t="s">
        <v>53</v>
      </c>
      <c r="C6492" t="s">
        <v>54</v>
      </c>
      <c r="D6492" t="s">
        <v>55</v>
      </c>
      <c r="E6492" t="s">
        <v>2295</v>
      </c>
      <c r="F6492" t="s">
        <v>1247</v>
      </c>
      <c r="G6492" t="s">
        <v>1333</v>
      </c>
      <c r="H6492" t="s">
        <v>1470</v>
      </c>
      <c r="I6492" t="s">
        <v>1470</v>
      </c>
      <c r="J6492" t="s">
        <v>60</v>
      </c>
      <c r="K6492" t="s">
        <v>437</v>
      </c>
      <c r="L6492" t="s">
        <v>62</v>
      </c>
      <c r="M6492" t="s">
        <v>437</v>
      </c>
      <c r="N6492" t="s">
        <v>1335</v>
      </c>
      <c r="O6492" t="s">
        <v>900</v>
      </c>
      <c r="P6492">
        <v>-20.147047000000001</v>
      </c>
      <c r="Q6492">
        <v>-44.883921999999998</v>
      </c>
      <c r="R6492" s="2" t="str">
        <f>HYPERLINK("https://www.google.com/maps?q=-20.1470470,-44.8839220","Abrir no Google Maps")</f>
        <v>Abrir no Google Maps</v>
      </c>
      <c r="S6492">
        <v>2</v>
      </c>
      <c r="T6492">
        <v>296.4098018832658</v>
      </c>
      <c r="U6492">
        <v>4</v>
      </c>
      <c r="V6492">
        <v>0.49303047951854001</v>
      </c>
      <c r="W6492">
        <v>1</v>
      </c>
      <c r="X6492">
        <v>0.49303047951854001</v>
      </c>
      <c r="Y6492">
        <v>653</v>
      </c>
      <c r="Z6492">
        <v>299.72271006042178</v>
      </c>
      <c r="AA6492">
        <v>198</v>
      </c>
      <c r="AB6492">
        <v>332</v>
      </c>
      <c r="AC6492">
        <v>536</v>
      </c>
      <c r="AD6492">
        <v>29.58</v>
      </c>
      <c r="AE6492">
        <v>542</v>
      </c>
      <c r="AF6492">
        <v>30</v>
      </c>
      <c r="AG6492">
        <v>169</v>
      </c>
      <c r="AH6492">
        <v>129</v>
      </c>
      <c r="AI6492">
        <v>5.54</v>
      </c>
      <c r="AJ6492">
        <v>31.18</v>
      </c>
      <c r="AK6492">
        <v>23.8</v>
      </c>
      <c r="AL6492">
        <v>-20.147074949999929</v>
      </c>
      <c r="AM6492">
        <v>-44.883796511502347</v>
      </c>
      <c r="AN6492">
        <v>-20.147074949999929</v>
      </c>
      <c r="AO6492">
        <v>-44.883796511502347</v>
      </c>
      <c r="AP6492">
        <v>-20.147047000000001</v>
      </c>
      <c r="AQ6492">
        <v>-44.883921999999998</v>
      </c>
      <c r="AR6492">
        <v>13.47864632994</v>
      </c>
      <c r="AS6492" t="s">
        <v>65</v>
      </c>
      <c r="AT6492">
        <v>1</v>
      </c>
      <c r="AU6492" t="s">
        <v>1471</v>
      </c>
      <c r="AV6492" t="s">
        <v>1472</v>
      </c>
      <c r="AW6492" t="s">
        <v>60</v>
      </c>
      <c r="AX6492" t="s">
        <v>68</v>
      </c>
      <c r="AY6492" t="s">
        <v>69</v>
      </c>
      <c r="AZ6492" t="b">
        <v>1</v>
      </c>
    </row>
    <row r="6493" spans="1:52" x14ac:dyDescent="0.3">
      <c r="A6493" t="s">
        <v>52</v>
      </c>
      <c r="B6493" t="s">
        <v>53</v>
      </c>
      <c r="C6493" t="s">
        <v>54</v>
      </c>
      <c r="D6493" t="s">
        <v>55</v>
      </c>
      <c r="E6493" t="s">
        <v>2295</v>
      </c>
      <c r="F6493" t="s">
        <v>1247</v>
      </c>
      <c r="G6493" t="s">
        <v>1512</v>
      </c>
      <c r="H6493" t="s">
        <v>1513</v>
      </c>
      <c r="I6493" t="s">
        <v>1513</v>
      </c>
      <c r="J6493" t="s">
        <v>60</v>
      </c>
      <c r="K6493" t="s">
        <v>1302</v>
      </c>
      <c r="L6493" t="s">
        <v>62</v>
      </c>
      <c r="M6493" t="s">
        <v>1302</v>
      </c>
      <c r="N6493" t="s">
        <v>1514</v>
      </c>
      <c r="O6493" t="s">
        <v>1515</v>
      </c>
      <c r="P6493">
        <v>-20.163709000000001</v>
      </c>
      <c r="Q6493">
        <v>-44.916074999999999</v>
      </c>
      <c r="R6493" s="2" t="str">
        <f>HYPERLINK("https://www.google.com/maps?q=-20.1637090,-44.9160750","Abrir no Google Maps")</f>
        <v>Abrir no Google Maps</v>
      </c>
      <c r="S6493">
        <v>2</v>
      </c>
      <c r="T6493">
        <v>305.09593452131332</v>
      </c>
      <c r="U6493">
        <v>4</v>
      </c>
      <c r="V6493">
        <v>0.46908006236865302</v>
      </c>
      <c r="W6493">
        <v>1</v>
      </c>
      <c r="X6493">
        <v>0.46908006236865302</v>
      </c>
      <c r="Y6493">
        <v>639</v>
      </c>
      <c r="Z6493">
        <v>289.37841230131949</v>
      </c>
      <c r="AA6493">
        <v>198</v>
      </c>
      <c r="AB6493">
        <v>332</v>
      </c>
      <c r="AC6493">
        <v>536</v>
      </c>
      <c r="AD6493">
        <v>29.58</v>
      </c>
      <c r="AE6493">
        <v>542</v>
      </c>
      <c r="AF6493">
        <v>30</v>
      </c>
      <c r="AG6493">
        <v>169</v>
      </c>
      <c r="AH6493">
        <v>129</v>
      </c>
      <c r="AI6493">
        <v>5.54</v>
      </c>
      <c r="AJ6493">
        <v>31.18</v>
      </c>
      <c r="AK6493">
        <v>23.8</v>
      </c>
      <c r="AL6493">
        <v>-20.163666449999969</v>
      </c>
      <c r="AM6493">
        <v>-44.916102906827042</v>
      </c>
      <c r="AN6493">
        <v>-20.163666449999969</v>
      </c>
      <c r="AO6493">
        <v>-44.916102906827042</v>
      </c>
      <c r="AP6493">
        <v>-20.163709000000001</v>
      </c>
      <c r="AQ6493">
        <v>-44.916074999999999</v>
      </c>
      <c r="AR6493">
        <v>5.5623892025550603</v>
      </c>
      <c r="AS6493" t="s">
        <v>65</v>
      </c>
      <c r="AT6493">
        <v>1</v>
      </c>
      <c r="AU6493" t="s">
        <v>1516</v>
      </c>
      <c r="AV6493" t="s">
        <v>1517</v>
      </c>
      <c r="AW6493" t="s">
        <v>60</v>
      </c>
      <c r="AX6493" t="s">
        <v>68</v>
      </c>
      <c r="AY6493" t="s">
        <v>69</v>
      </c>
      <c r="AZ6493" t="b">
        <v>1</v>
      </c>
    </row>
    <row r="6494" spans="1:52" x14ac:dyDescent="0.3">
      <c r="A6494" t="s">
        <v>52</v>
      </c>
      <c r="B6494" t="s">
        <v>53</v>
      </c>
      <c r="C6494" t="s">
        <v>54</v>
      </c>
      <c r="D6494" t="s">
        <v>55</v>
      </c>
      <c r="E6494" t="s">
        <v>2295</v>
      </c>
      <c r="F6494" t="s">
        <v>1247</v>
      </c>
      <c r="G6494" t="s">
        <v>1473</v>
      </c>
      <c r="H6494" t="s">
        <v>1474</v>
      </c>
      <c r="I6494" t="s">
        <v>1474</v>
      </c>
      <c r="J6494" t="s">
        <v>60</v>
      </c>
      <c r="K6494" t="s">
        <v>1302</v>
      </c>
      <c r="L6494" t="s">
        <v>62</v>
      </c>
      <c r="M6494" t="s">
        <v>1302</v>
      </c>
      <c r="N6494" t="s">
        <v>1475</v>
      </c>
      <c r="O6494" t="s">
        <v>1476</v>
      </c>
      <c r="P6494">
        <v>-20.161372</v>
      </c>
      <c r="Q6494">
        <v>-44.914636999999999</v>
      </c>
      <c r="R6494" s="2" t="str">
        <f>HYPERLINK("https://www.google.com/maps?q=-20.1613720,-44.9146370","Abrir no Google Maps")</f>
        <v>Abrir no Google Maps</v>
      </c>
      <c r="S6494">
        <v>2</v>
      </c>
      <c r="T6494">
        <v>0</v>
      </c>
      <c r="U6494">
        <v>4</v>
      </c>
      <c r="V6494">
        <v>0.47810266406757629</v>
      </c>
      <c r="W6494">
        <v>1</v>
      </c>
      <c r="X6494">
        <v>0.47810266406757629</v>
      </c>
      <c r="Y6494">
        <v>639</v>
      </c>
      <c r="Z6494">
        <v>81.742669907651447</v>
      </c>
      <c r="AA6494">
        <v>198</v>
      </c>
      <c r="AB6494">
        <v>332</v>
      </c>
      <c r="AC6494">
        <v>536</v>
      </c>
      <c r="AD6494">
        <v>29.58</v>
      </c>
      <c r="AE6494">
        <v>542</v>
      </c>
      <c r="AF6494">
        <v>30</v>
      </c>
      <c r="AG6494">
        <v>169</v>
      </c>
      <c r="AH6494">
        <v>129</v>
      </c>
      <c r="AI6494">
        <v>5.54</v>
      </c>
      <c r="AJ6494">
        <v>31.18</v>
      </c>
      <c r="AK6494">
        <v>23.8</v>
      </c>
      <c r="AL6494">
        <v>-20.161294499999961</v>
      </c>
      <c r="AM6494">
        <v>-44.914614684493202</v>
      </c>
      <c r="AN6494">
        <v>-20.161294499999961</v>
      </c>
      <c r="AO6494">
        <v>-44.914614684493202</v>
      </c>
      <c r="AP6494">
        <v>-20.161372</v>
      </c>
      <c r="AQ6494">
        <v>-44.914636999999999</v>
      </c>
      <c r="AR6494">
        <v>8.9369058443944862</v>
      </c>
      <c r="AS6494" t="s">
        <v>65</v>
      </c>
      <c r="AT6494">
        <v>1</v>
      </c>
      <c r="AU6494" t="s">
        <v>1477</v>
      </c>
      <c r="AV6494" t="s">
        <v>1478</v>
      </c>
      <c r="AW6494" t="s">
        <v>60</v>
      </c>
      <c r="AX6494" t="s">
        <v>68</v>
      </c>
      <c r="AY6494" t="s">
        <v>69</v>
      </c>
      <c r="AZ6494" t="b">
        <v>1</v>
      </c>
    </row>
    <row r="6495" spans="1:52" x14ac:dyDescent="0.3">
      <c r="A6495" t="s">
        <v>52</v>
      </c>
      <c r="B6495" t="s">
        <v>53</v>
      </c>
      <c r="C6495" t="s">
        <v>54</v>
      </c>
      <c r="D6495" t="s">
        <v>55</v>
      </c>
      <c r="E6495" t="s">
        <v>2295</v>
      </c>
      <c r="F6495" t="s">
        <v>1247</v>
      </c>
      <c r="G6495" t="s">
        <v>1464</v>
      </c>
      <c r="H6495" t="s">
        <v>1485</v>
      </c>
      <c r="I6495" t="s">
        <v>1485</v>
      </c>
      <c r="J6495" t="s">
        <v>60</v>
      </c>
      <c r="K6495" t="s">
        <v>1486</v>
      </c>
      <c r="L6495" t="s">
        <v>62</v>
      </c>
      <c r="M6495" t="s">
        <v>1486</v>
      </c>
      <c r="N6495" t="s">
        <v>1467</v>
      </c>
      <c r="O6495" t="s">
        <v>1487</v>
      </c>
      <c r="P6495">
        <v>-20.162842000000001</v>
      </c>
      <c r="Q6495">
        <v>-44.883769999999998</v>
      </c>
      <c r="R6495" s="2" t="str">
        <f>HYPERLINK("https://www.google.com/maps?q=-20.1628420,-44.8837700","Abrir no Google Maps")</f>
        <v>Abrir no Google Maps</v>
      </c>
      <c r="S6495">
        <v>2</v>
      </c>
      <c r="T6495">
        <v>659.67909450906006</v>
      </c>
      <c r="U6495">
        <v>3</v>
      </c>
      <c r="V6495">
        <v>0.44784574393061649</v>
      </c>
      <c r="W6495">
        <v>1</v>
      </c>
      <c r="X6495">
        <v>0.44784574393061649</v>
      </c>
      <c r="Y6495">
        <v>671</v>
      </c>
      <c r="Z6495">
        <v>566.23107864368092</v>
      </c>
      <c r="AA6495">
        <v>198</v>
      </c>
      <c r="AB6495">
        <v>332</v>
      </c>
      <c r="AC6495">
        <v>536</v>
      </c>
      <c r="AD6495">
        <v>29.58</v>
      </c>
      <c r="AE6495">
        <v>542</v>
      </c>
      <c r="AF6495">
        <v>30</v>
      </c>
      <c r="AG6495">
        <v>169</v>
      </c>
      <c r="AH6495">
        <v>129</v>
      </c>
      <c r="AI6495">
        <v>5.54</v>
      </c>
      <c r="AJ6495">
        <v>31.18</v>
      </c>
      <c r="AK6495">
        <v>23.8</v>
      </c>
      <c r="AL6495">
        <v>-20.162791299999949</v>
      </c>
      <c r="AM6495">
        <v>-44.883966852092939</v>
      </c>
      <c r="AN6495">
        <v>-20.162791299999949</v>
      </c>
      <c r="AO6495">
        <v>-44.883966852092939</v>
      </c>
      <c r="AP6495">
        <v>-20.162842000000001</v>
      </c>
      <c r="AQ6495">
        <v>-44.883769999999998</v>
      </c>
      <c r="AR6495">
        <v>21.33085532825611</v>
      </c>
      <c r="AS6495" t="s">
        <v>65</v>
      </c>
      <c r="AT6495">
        <v>1</v>
      </c>
      <c r="AU6495" t="s">
        <v>1488</v>
      </c>
      <c r="AV6495" t="s">
        <v>1489</v>
      </c>
      <c r="AW6495" t="s">
        <v>60</v>
      </c>
      <c r="AX6495" t="s">
        <v>68</v>
      </c>
      <c r="AY6495" t="s">
        <v>69</v>
      </c>
      <c r="AZ6495" t="b">
        <v>1</v>
      </c>
    </row>
    <row r="6496" spans="1:52" x14ac:dyDescent="0.3">
      <c r="A6496" t="s">
        <v>52</v>
      </c>
      <c r="B6496" t="s">
        <v>53</v>
      </c>
      <c r="C6496" t="s">
        <v>54</v>
      </c>
      <c r="D6496" t="s">
        <v>55</v>
      </c>
      <c r="E6496" t="s">
        <v>2295</v>
      </c>
      <c r="F6496" t="s">
        <v>1247</v>
      </c>
      <c r="G6496" t="s">
        <v>1490</v>
      </c>
      <c r="H6496" t="s">
        <v>1491</v>
      </c>
      <c r="I6496" t="s">
        <v>1491</v>
      </c>
      <c r="J6496" t="s">
        <v>60</v>
      </c>
      <c r="K6496" t="s">
        <v>336</v>
      </c>
      <c r="L6496" t="s">
        <v>62</v>
      </c>
      <c r="M6496" t="s">
        <v>336</v>
      </c>
      <c r="N6496" t="s">
        <v>1492</v>
      </c>
      <c r="O6496" t="s">
        <v>842</v>
      </c>
      <c r="P6496">
        <v>-20.164228999999999</v>
      </c>
      <c r="Q6496">
        <v>-44.876455999999997</v>
      </c>
      <c r="R6496" s="2" t="str">
        <f>HYPERLINK("https://www.google.com/maps?q=-20.1642290,-44.8764560","Abrir no Google Maps")</f>
        <v>Abrir no Google Maps</v>
      </c>
      <c r="S6496">
        <v>2</v>
      </c>
      <c r="T6496">
        <v>420.00990411628987</v>
      </c>
      <c r="U6496">
        <v>3</v>
      </c>
      <c r="V6496">
        <v>0.45659168309732928</v>
      </c>
      <c r="W6496">
        <v>1</v>
      </c>
      <c r="X6496">
        <v>0.45659168309732928</v>
      </c>
      <c r="Y6496">
        <v>671</v>
      </c>
      <c r="Z6496">
        <v>375.90194920648611</v>
      </c>
      <c r="AA6496">
        <v>198</v>
      </c>
      <c r="AB6496">
        <v>332</v>
      </c>
      <c r="AC6496">
        <v>536</v>
      </c>
      <c r="AD6496">
        <v>29.58</v>
      </c>
      <c r="AE6496">
        <v>542</v>
      </c>
      <c r="AF6496">
        <v>30</v>
      </c>
      <c r="AG6496">
        <v>169</v>
      </c>
      <c r="AH6496">
        <v>129</v>
      </c>
      <c r="AI6496">
        <v>5.54</v>
      </c>
      <c r="AJ6496">
        <v>31.18</v>
      </c>
      <c r="AK6496">
        <v>23.8</v>
      </c>
      <c r="AL6496">
        <v>-20.164255749999938</v>
      </c>
      <c r="AM6496">
        <v>-44.876471676086922</v>
      </c>
      <c r="AN6496">
        <v>-20.164255749999938</v>
      </c>
      <c r="AO6496">
        <v>-44.876471676086922</v>
      </c>
      <c r="AP6496">
        <v>-20.164228999999999</v>
      </c>
      <c r="AQ6496">
        <v>-44.876455999999997</v>
      </c>
      <c r="AR6496">
        <v>3.3986375813953771</v>
      </c>
      <c r="AS6496" t="s">
        <v>65</v>
      </c>
      <c r="AT6496">
        <v>1</v>
      </c>
      <c r="AU6496" t="s">
        <v>1493</v>
      </c>
      <c r="AV6496" t="s">
        <v>1494</v>
      </c>
      <c r="AW6496" t="s">
        <v>60</v>
      </c>
      <c r="AX6496" t="s">
        <v>68</v>
      </c>
      <c r="AY6496" t="s">
        <v>69</v>
      </c>
      <c r="AZ6496" t="b">
        <v>1</v>
      </c>
    </row>
    <row r="6497" spans="1:52" x14ac:dyDescent="0.3">
      <c r="A6497" t="s">
        <v>52</v>
      </c>
      <c r="B6497" t="s">
        <v>53</v>
      </c>
      <c r="C6497" t="s">
        <v>54</v>
      </c>
      <c r="D6497" t="s">
        <v>55</v>
      </c>
      <c r="E6497" t="s">
        <v>2295</v>
      </c>
      <c r="F6497" t="s">
        <v>1247</v>
      </c>
      <c r="G6497" t="s">
        <v>1501</v>
      </c>
      <c r="H6497" t="s">
        <v>1502</v>
      </c>
      <c r="I6497" t="s">
        <v>1502</v>
      </c>
      <c r="J6497" t="s">
        <v>60</v>
      </c>
      <c r="K6497" t="s">
        <v>1466</v>
      </c>
      <c r="L6497" t="s">
        <v>62</v>
      </c>
      <c r="M6497" t="s">
        <v>1466</v>
      </c>
      <c r="N6497" t="s">
        <v>1503</v>
      </c>
      <c r="O6497" t="s">
        <v>1504</v>
      </c>
      <c r="P6497">
        <v>-20.159618999999999</v>
      </c>
      <c r="Q6497">
        <v>-44.880065000000002</v>
      </c>
      <c r="R6497" s="2" t="str">
        <f>HYPERLINK("https://www.google.com/maps?q=-20.1596190,-44.8800650","Abrir no Google Maps")</f>
        <v>Abrir no Google Maps</v>
      </c>
      <c r="S6497">
        <v>2</v>
      </c>
      <c r="T6497">
        <v>243.9950282285559</v>
      </c>
      <c r="U6497">
        <v>3</v>
      </c>
      <c r="V6497">
        <v>0.44255663430420711</v>
      </c>
      <c r="W6497">
        <v>1</v>
      </c>
      <c r="X6497">
        <v>0.44255663430420711</v>
      </c>
      <c r="Y6497">
        <v>671</v>
      </c>
      <c r="Z6497">
        <v>265.31354384517681</v>
      </c>
      <c r="AA6497">
        <v>198</v>
      </c>
      <c r="AB6497">
        <v>332</v>
      </c>
      <c r="AC6497">
        <v>536</v>
      </c>
      <c r="AD6497">
        <v>29.58</v>
      </c>
      <c r="AE6497">
        <v>542</v>
      </c>
      <c r="AF6497">
        <v>30</v>
      </c>
      <c r="AG6497">
        <v>169</v>
      </c>
      <c r="AH6497">
        <v>129</v>
      </c>
      <c r="AI6497">
        <v>5.54</v>
      </c>
      <c r="AJ6497">
        <v>31.18</v>
      </c>
      <c r="AK6497">
        <v>23.8</v>
      </c>
      <c r="AL6497">
        <v>-20.159689949999969</v>
      </c>
      <c r="AM6497">
        <v>-44.880075072344489</v>
      </c>
      <c r="AN6497">
        <v>-20.159689949999969</v>
      </c>
      <c r="AO6497">
        <v>-44.880075072344489</v>
      </c>
      <c r="AP6497">
        <v>-20.159618999999999</v>
      </c>
      <c r="AQ6497">
        <v>-44.880065000000002</v>
      </c>
      <c r="AR6497">
        <v>7.9679809486040876</v>
      </c>
      <c r="AS6497" t="s">
        <v>65</v>
      </c>
      <c r="AT6497">
        <v>1</v>
      </c>
      <c r="AU6497" t="s">
        <v>1505</v>
      </c>
      <c r="AV6497" t="s">
        <v>1506</v>
      </c>
      <c r="AW6497" t="s">
        <v>60</v>
      </c>
      <c r="AX6497" t="s">
        <v>68</v>
      </c>
      <c r="AY6497" t="s">
        <v>69</v>
      </c>
      <c r="AZ6497" t="b">
        <v>1</v>
      </c>
    </row>
    <row r="6498" spans="1:52" x14ac:dyDescent="0.3">
      <c r="A6498" t="s">
        <v>52</v>
      </c>
      <c r="B6498" t="s">
        <v>53</v>
      </c>
      <c r="C6498" t="s">
        <v>54</v>
      </c>
      <c r="D6498" t="s">
        <v>55</v>
      </c>
      <c r="E6498" t="s">
        <v>2295</v>
      </c>
      <c r="F6498" t="s">
        <v>1247</v>
      </c>
      <c r="G6498" t="s">
        <v>1507</v>
      </c>
      <c r="H6498" t="s">
        <v>1508</v>
      </c>
      <c r="I6498" t="s">
        <v>1508</v>
      </c>
      <c r="J6498" t="s">
        <v>60</v>
      </c>
      <c r="K6498" t="s">
        <v>1466</v>
      </c>
      <c r="L6498" t="s">
        <v>62</v>
      </c>
      <c r="M6498" t="s">
        <v>1466</v>
      </c>
      <c r="N6498" t="s">
        <v>1509</v>
      </c>
      <c r="O6498" t="s">
        <v>270</v>
      </c>
      <c r="P6498">
        <v>-20.164501999999999</v>
      </c>
      <c r="Q6498">
        <v>-44.883226999999998</v>
      </c>
      <c r="R6498" s="2" t="str">
        <f>HYPERLINK("https://www.google.com/maps?q=-20.1645020,-44.8832270","Abrir no Google Maps")</f>
        <v>Abrir no Google Maps</v>
      </c>
      <c r="S6498">
        <v>2</v>
      </c>
      <c r="T6498">
        <v>691.62667420887726</v>
      </c>
      <c r="U6498">
        <v>3</v>
      </c>
      <c r="V6498">
        <v>0.45913021595900427</v>
      </c>
      <c r="W6498">
        <v>1</v>
      </c>
      <c r="X6498">
        <v>0.45913021595900427</v>
      </c>
      <c r="Y6498">
        <v>671</v>
      </c>
      <c r="Z6498">
        <v>591.13935302436732</v>
      </c>
      <c r="AA6498">
        <v>198</v>
      </c>
      <c r="AB6498">
        <v>332</v>
      </c>
      <c r="AC6498">
        <v>536</v>
      </c>
      <c r="AD6498">
        <v>29.58</v>
      </c>
      <c r="AE6498">
        <v>542</v>
      </c>
      <c r="AF6498">
        <v>30</v>
      </c>
      <c r="AG6498">
        <v>169</v>
      </c>
      <c r="AH6498">
        <v>129</v>
      </c>
      <c r="AI6498">
        <v>5.54</v>
      </c>
      <c r="AJ6498">
        <v>31.18</v>
      </c>
      <c r="AK6498">
        <v>23.8</v>
      </c>
      <c r="AL6498">
        <v>-20.164470149999939</v>
      </c>
      <c r="AM6498">
        <v>-44.883357321672527</v>
      </c>
      <c r="AN6498">
        <v>-20.164470149999939</v>
      </c>
      <c r="AO6498">
        <v>-44.883357321672527</v>
      </c>
      <c r="AP6498">
        <v>-20.164501999999999</v>
      </c>
      <c r="AQ6498">
        <v>-44.883226999999998</v>
      </c>
      <c r="AR6498">
        <v>14.072184947340521</v>
      </c>
      <c r="AS6498" t="s">
        <v>65</v>
      </c>
      <c r="AT6498">
        <v>1</v>
      </c>
      <c r="AU6498" t="s">
        <v>1510</v>
      </c>
      <c r="AV6498" t="s">
        <v>1511</v>
      </c>
      <c r="AW6498" t="s">
        <v>60</v>
      </c>
      <c r="AX6498" t="s">
        <v>68</v>
      </c>
      <c r="AY6498" t="s">
        <v>69</v>
      </c>
      <c r="AZ6498" t="b">
        <v>1</v>
      </c>
    </row>
    <row r="6499" spans="1:52" x14ac:dyDescent="0.3">
      <c r="A6499" t="s">
        <v>52</v>
      </c>
      <c r="B6499" t="s">
        <v>53</v>
      </c>
      <c r="C6499" t="s">
        <v>54</v>
      </c>
      <c r="D6499" t="s">
        <v>55</v>
      </c>
      <c r="E6499" t="s">
        <v>2295</v>
      </c>
      <c r="F6499" t="s">
        <v>1247</v>
      </c>
      <c r="G6499" t="s">
        <v>1479</v>
      </c>
      <c r="H6499" t="s">
        <v>1480</v>
      </c>
      <c r="I6499" t="s">
        <v>1480</v>
      </c>
      <c r="J6499" t="s">
        <v>60</v>
      </c>
      <c r="K6499" t="s">
        <v>1302</v>
      </c>
      <c r="L6499" t="s">
        <v>62</v>
      </c>
      <c r="M6499" t="s">
        <v>1302</v>
      </c>
      <c r="N6499" t="s">
        <v>1481</v>
      </c>
      <c r="O6499" t="s">
        <v>1482</v>
      </c>
      <c r="P6499">
        <v>-20.164655</v>
      </c>
      <c r="Q6499">
        <v>-44.912697000000001</v>
      </c>
      <c r="R6499" s="2" t="str">
        <f>HYPERLINK("https://www.google.com/maps?q=-20.1646550,-44.9126970","Abrir no Google Maps")</f>
        <v>Abrir no Google Maps</v>
      </c>
      <c r="S6499">
        <v>2</v>
      </c>
      <c r="T6499">
        <v>441.50274004930441</v>
      </c>
      <c r="U6499">
        <v>3</v>
      </c>
      <c r="V6499">
        <v>0.4496231349023227</v>
      </c>
      <c r="W6499">
        <v>1</v>
      </c>
      <c r="X6499">
        <v>0.4496231349023227</v>
      </c>
      <c r="Y6499">
        <v>639</v>
      </c>
      <c r="Z6499">
        <v>311.03317029936522</v>
      </c>
      <c r="AA6499">
        <v>198</v>
      </c>
      <c r="AB6499">
        <v>332</v>
      </c>
      <c r="AC6499">
        <v>536</v>
      </c>
      <c r="AD6499">
        <v>29.58</v>
      </c>
      <c r="AE6499">
        <v>542</v>
      </c>
      <c r="AF6499">
        <v>30</v>
      </c>
      <c r="AG6499">
        <v>169</v>
      </c>
      <c r="AH6499">
        <v>129</v>
      </c>
      <c r="AI6499">
        <v>5.54</v>
      </c>
      <c r="AJ6499">
        <v>31.18</v>
      </c>
      <c r="AK6499">
        <v>23.8</v>
      </c>
      <c r="AL6499">
        <v>-20.164702999999971</v>
      </c>
      <c r="AM6499">
        <v>-44.912418857911163</v>
      </c>
      <c r="AN6499">
        <v>-20.164702999999971</v>
      </c>
      <c r="AO6499">
        <v>-44.912418857911163</v>
      </c>
      <c r="AP6499">
        <v>-20.164655</v>
      </c>
      <c r="AQ6499">
        <v>-44.912697000000001</v>
      </c>
      <c r="AR6499">
        <v>29.552017409892429</v>
      </c>
      <c r="AS6499" t="s">
        <v>65</v>
      </c>
      <c r="AT6499">
        <v>1</v>
      </c>
      <c r="AU6499" t="s">
        <v>1483</v>
      </c>
      <c r="AV6499" t="s">
        <v>1484</v>
      </c>
      <c r="AW6499" t="s">
        <v>60</v>
      </c>
      <c r="AX6499" t="s">
        <v>68</v>
      </c>
      <c r="AY6499" t="s">
        <v>69</v>
      </c>
      <c r="AZ6499" t="b">
        <v>1</v>
      </c>
    </row>
    <row r="6500" spans="1:52" x14ac:dyDescent="0.3">
      <c r="A6500" t="s">
        <v>52</v>
      </c>
      <c r="B6500" t="s">
        <v>53</v>
      </c>
      <c r="C6500" t="s">
        <v>54</v>
      </c>
      <c r="D6500" t="s">
        <v>55</v>
      </c>
      <c r="E6500" t="s">
        <v>2295</v>
      </c>
      <c r="F6500" t="s">
        <v>1247</v>
      </c>
      <c r="G6500" t="s">
        <v>1518</v>
      </c>
      <c r="H6500" t="s">
        <v>1519</v>
      </c>
      <c r="I6500" t="s">
        <v>1519</v>
      </c>
      <c r="J6500" t="s">
        <v>60</v>
      </c>
      <c r="K6500" t="s">
        <v>1302</v>
      </c>
      <c r="L6500" t="s">
        <v>62</v>
      </c>
      <c r="M6500" t="s">
        <v>1302</v>
      </c>
      <c r="N6500" t="s">
        <v>1520</v>
      </c>
      <c r="O6500" t="s">
        <v>1521</v>
      </c>
      <c r="P6500">
        <v>-20.16263</v>
      </c>
      <c r="Q6500">
        <v>-44.910342999999997</v>
      </c>
      <c r="R6500" s="2" t="str">
        <f>HYPERLINK("https://www.google.com/maps?q=-20.1626300,-44.9103430","Abrir no Google Maps")</f>
        <v>Abrir no Google Maps</v>
      </c>
      <c r="S6500">
        <v>2</v>
      </c>
      <c r="T6500">
        <v>492.63980270666781</v>
      </c>
      <c r="U6500">
        <v>3</v>
      </c>
      <c r="V6500">
        <v>0.46125898853994851</v>
      </c>
      <c r="W6500">
        <v>1</v>
      </c>
      <c r="X6500">
        <v>0.46125898853994851</v>
      </c>
      <c r="Y6500">
        <v>639</v>
      </c>
      <c r="Z6500">
        <v>412.49960371731271</v>
      </c>
      <c r="AA6500">
        <v>198</v>
      </c>
      <c r="AB6500">
        <v>332</v>
      </c>
      <c r="AC6500">
        <v>536</v>
      </c>
      <c r="AD6500">
        <v>29.58</v>
      </c>
      <c r="AE6500">
        <v>542</v>
      </c>
      <c r="AF6500">
        <v>30</v>
      </c>
      <c r="AG6500">
        <v>169</v>
      </c>
      <c r="AH6500">
        <v>129</v>
      </c>
      <c r="AI6500">
        <v>5.54</v>
      </c>
      <c r="AJ6500">
        <v>31.18</v>
      </c>
      <c r="AK6500">
        <v>23.8</v>
      </c>
      <c r="AL6500">
        <v>-20.162579949999952</v>
      </c>
      <c r="AM6500">
        <v>-44.910101148008863</v>
      </c>
      <c r="AN6500">
        <v>-20.162579949999952</v>
      </c>
      <c r="AO6500">
        <v>-44.910101148008863</v>
      </c>
      <c r="AP6500">
        <v>-20.16263</v>
      </c>
      <c r="AQ6500">
        <v>-44.910342999999997</v>
      </c>
      <c r="AR6500">
        <v>25.879932474893501</v>
      </c>
      <c r="AS6500" t="s">
        <v>65</v>
      </c>
      <c r="AT6500">
        <v>1</v>
      </c>
      <c r="AU6500" t="s">
        <v>1522</v>
      </c>
      <c r="AV6500" t="s">
        <v>1523</v>
      </c>
      <c r="AW6500" t="s">
        <v>60</v>
      </c>
      <c r="AX6500" t="s">
        <v>68</v>
      </c>
      <c r="AY6500" t="s">
        <v>69</v>
      </c>
      <c r="AZ6500" t="b">
        <v>1</v>
      </c>
    </row>
    <row r="6501" spans="1:52" x14ac:dyDescent="0.3">
      <c r="A6501" t="s">
        <v>52</v>
      </c>
      <c r="B6501" t="s">
        <v>53</v>
      </c>
      <c r="C6501" t="s">
        <v>54</v>
      </c>
      <c r="D6501" t="s">
        <v>55</v>
      </c>
      <c r="E6501" t="s">
        <v>2295</v>
      </c>
      <c r="F6501" t="s">
        <v>1247</v>
      </c>
      <c r="G6501" t="s">
        <v>1524</v>
      </c>
      <c r="H6501" t="s">
        <v>1525</v>
      </c>
      <c r="I6501" t="s">
        <v>1525</v>
      </c>
      <c r="J6501" t="s">
        <v>60</v>
      </c>
      <c r="K6501" t="s">
        <v>1302</v>
      </c>
      <c r="L6501" t="s">
        <v>62</v>
      </c>
      <c r="M6501" t="s">
        <v>1302</v>
      </c>
      <c r="N6501" t="s">
        <v>1526</v>
      </c>
      <c r="O6501" t="s">
        <v>303</v>
      </c>
      <c r="P6501">
        <v>-20.159873000000001</v>
      </c>
      <c r="Q6501">
        <v>-44.911431999999998</v>
      </c>
      <c r="R6501" s="2" t="str">
        <f>HYPERLINK("https://www.google.com/maps?q=-20.1598730,-44.9114320","Abrir no Google Maps")</f>
        <v>Abrir no Google Maps</v>
      </c>
      <c r="S6501">
        <v>2</v>
      </c>
      <c r="T6501">
        <v>359.34785817593553</v>
      </c>
      <c r="U6501">
        <v>3</v>
      </c>
      <c r="V6501">
        <v>0.45692192475280707</v>
      </c>
      <c r="W6501">
        <v>1</v>
      </c>
      <c r="X6501">
        <v>0.45692192475280707</v>
      </c>
      <c r="Y6501">
        <v>639</v>
      </c>
      <c r="Z6501">
        <v>388.13505700247691</v>
      </c>
      <c r="AA6501">
        <v>198</v>
      </c>
      <c r="AB6501">
        <v>332</v>
      </c>
      <c r="AC6501">
        <v>536</v>
      </c>
      <c r="AD6501">
        <v>29.58</v>
      </c>
      <c r="AE6501">
        <v>542</v>
      </c>
      <c r="AF6501">
        <v>30</v>
      </c>
      <c r="AG6501">
        <v>169</v>
      </c>
      <c r="AH6501">
        <v>129</v>
      </c>
      <c r="AI6501">
        <v>5.54</v>
      </c>
      <c r="AJ6501">
        <v>31.18</v>
      </c>
      <c r="AK6501">
        <v>23.8</v>
      </c>
      <c r="AL6501">
        <v>-20.159583599999969</v>
      </c>
      <c r="AM6501">
        <v>-44.911691929105316</v>
      </c>
      <c r="AN6501">
        <v>-20.159583599999969</v>
      </c>
      <c r="AO6501">
        <v>-44.911691929105316</v>
      </c>
      <c r="AP6501">
        <v>-20.159873000000001</v>
      </c>
      <c r="AQ6501">
        <v>-44.911431999999998</v>
      </c>
      <c r="AR6501">
        <v>42.138811218570019</v>
      </c>
      <c r="AS6501" t="s">
        <v>65</v>
      </c>
      <c r="AT6501">
        <v>1</v>
      </c>
      <c r="AU6501" t="s">
        <v>1527</v>
      </c>
      <c r="AV6501" t="s">
        <v>1528</v>
      </c>
      <c r="AW6501" t="s">
        <v>60</v>
      </c>
      <c r="AX6501" t="s">
        <v>68</v>
      </c>
      <c r="AY6501" t="s">
        <v>69</v>
      </c>
      <c r="AZ6501" t="b">
        <v>1</v>
      </c>
    </row>
    <row r="6502" spans="1:52" x14ac:dyDescent="0.3">
      <c r="A6502" t="s">
        <v>52</v>
      </c>
      <c r="B6502" t="s">
        <v>53</v>
      </c>
      <c r="C6502" t="s">
        <v>54</v>
      </c>
      <c r="D6502" t="s">
        <v>55</v>
      </c>
      <c r="E6502" t="s">
        <v>2295</v>
      </c>
      <c r="F6502" t="s">
        <v>1247</v>
      </c>
      <c r="G6502" t="s">
        <v>1547</v>
      </c>
      <c r="H6502" t="s">
        <v>1548</v>
      </c>
      <c r="I6502" t="s">
        <v>1548</v>
      </c>
      <c r="J6502" t="s">
        <v>60</v>
      </c>
      <c r="K6502" t="s">
        <v>1549</v>
      </c>
      <c r="L6502" t="s">
        <v>62</v>
      </c>
      <c r="M6502" t="s">
        <v>1549</v>
      </c>
      <c r="N6502" t="s">
        <v>1550</v>
      </c>
      <c r="O6502" t="s">
        <v>1551</v>
      </c>
      <c r="P6502">
        <v>-20.173258000000001</v>
      </c>
      <c r="Q6502">
        <v>-44.930354000000001</v>
      </c>
      <c r="R6502" s="2" t="str">
        <f>HYPERLINK("https://www.google.com/maps?q=-20.1732580,-44.9303540","Abrir no Google Maps")</f>
        <v>Abrir no Google Maps</v>
      </c>
      <c r="S6502">
        <v>2</v>
      </c>
      <c r="T6502">
        <v>2023.802197028052</v>
      </c>
      <c r="U6502">
        <v>2</v>
      </c>
      <c r="V6502">
        <v>0.4942760942760942</v>
      </c>
      <c r="W6502">
        <v>0.85</v>
      </c>
      <c r="X6502">
        <v>0.42013468013468008</v>
      </c>
      <c r="Y6502">
        <v>723</v>
      </c>
      <c r="Z6502">
        <v>1727.7445576555911</v>
      </c>
      <c r="AA6502">
        <v>198</v>
      </c>
      <c r="AB6502">
        <v>332</v>
      </c>
      <c r="AC6502">
        <v>536</v>
      </c>
      <c r="AD6502">
        <v>29.58</v>
      </c>
      <c r="AE6502">
        <v>542</v>
      </c>
      <c r="AF6502">
        <v>30</v>
      </c>
      <c r="AG6502">
        <v>169</v>
      </c>
      <c r="AH6502">
        <v>129</v>
      </c>
      <c r="AI6502">
        <v>5.54</v>
      </c>
      <c r="AJ6502">
        <v>31.18</v>
      </c>
      <c r="AK6502">
        <v>23.8</v>
      </c>
      <c r="AL6502">
        <v>-20.172996449999939</v>
      </c>
      <c r="AM6502">
        <v>-44.930058436825973</v>
      </c>
      <c r="AN6502">
        <v>-20.172996449999939</v>
      </c>
      <c r="AO6502">
        <v>-44.930058436825973</v>
      </c>
      <c r="AP6502">
        <v>-20.173258000000001</v>
      </c>
      <c r="AQ6502">
        <v>-44.930354000000001</v>
      </c>
      <c r="AR6502">
        <v>42.444455141884362</v>
      </c>
      <c r="AS6502" t="s">
        <v>65</v>
      </c>
      <c r="AT6502">
        <v>1</v>
      </c>
      <c r="AU6502" t="s">
        <v>1552</v>
      </c>
      <c r="AV6502" t="s">
        <v>1553</v>
      </c>
      <c r="AW6502" t="s">
        <v>60</v>
      </c>
      <c r="AX6502" t="s">
        <v>68</v>
      </c>
      <c r="AY6502" t="s">
        <v>69</v>
      </c>
      <c r="AZ6502" t="b">
        <v>1</v>
      </c>
    </row>
    <row r="6503" spans="1:52" x14ac:dyDescent="0.3">
      <c r="A6503" t="s">
        <v>52</v>
      </c>
      <c r="B6503" t="s">
        <v>53</v>
      </c>
      <c r="C6503" t="s">
        <v>54</v>
      </c>
      <c r="D6503" t="s">
        <v>55</v>
      </c>
      <c r="E6503" t="s">
        <v>2295</v>
      </c>
      <c r="F6503" t="s">
        <v>1247</v>
      </c>
      <c r="G6503" t="s">
        <v>1127</v>
      </c>
      <c r="H6503" t="s">
        <v>1455</v>
      </c>
      <c r="I6503" t="s">
        <v>1455</v>
      </c>
      <c r="J6503" t="s">
        <v>60</v>
      </c>
      <c r="K6503" t="s">
        <v>431</v>
      </c>
      <c r="L6503" t="s">
        <v>62</v>
      </c>
      <c r="M6503" t="s">
        <v>431</v>
      </c>
      <c r="N6503" t="s">
        <v>1456</v>
      </c>
      <c r="O6503" t="s">
        <v>1001</v>
      </c>
      <c r="P6503">
        <v>-20.168237999999999</v>
      </c>
      <c r="Q6503">
        <v>-44.924250999999998</v>
      </c>
      <c r="R6503" s="2" t="str">
        <f>HYPERLINK("https://www.google.com/maps?q=-20.1682380,-44.9242510","Abrir no Google Maps")</f>
        <v>Abrir no Google Maps</v>
      </c>
      <c r="S6503">
        <v>2</v>
      </c>
      <c r="T6503">
        <v>1220.188820430971</v>
      </c>
      <c r="U6503">
        <v>2</v>
      </c>
      <c r="V6503">
        <v>0.48539745278875718</v>
      </c>
      <c r="W6503">
        <v>0.85</v>
      </c>
      <c r="X6503">
        <v>0.41258783487044359</v>
      </c>
      <c r="Y6503">
        <v>723</v>
      </c>
      <c r="Z6503">
        <v>1092.4377883150901</v>
      </c>
      <c r="AA6503">
        <v>198</v>
      </c>
      <c r="AB6503">
        <v>332</v>
      </c>
      <c r="AC6503">
        <v>536</v>
      </c>
      <c r="AD6503">
        <v>29.58</v>
      </c>
      <c r="AE6503">
        <v>542</v>
      </c>
      <c r="AF6503">
        <v>30</v>
      </c>
      <c r="AG6503">
        <v>169</v>
      </c>
      <c r="AH6503">
        <v>129</v>
      </c>
      <c r="AI6503">
        <v>5.54</v>
      </c>
      <c r="AJ6503">
        <v>31.18</v>
      </c>
      <c r="AK6503">
        <v>23.8</v>
      </c>
      <c r="AL6503">
        <v>-20.168394999999951</v>
      </c>
      <c r="AM6503">
        <v>-44.923548168580673</v>
      </c>
      <c r="AN6503">
        <v>-20.168394999999951</v>
      </c>
      <c r="AO6503">
        <v>-44.923548168580673</v>
      </c>
      <c r="AP6503">
        <v>-20.168237999999999</v>
      </c>
      <c r="AQ6503">
        <v>-44.924250999999998</v>
      </c>
      <c r="AR6503">
        <v>75.492755104934275</v>
      </c>
      <c r="AS6503" t="s">
        <v>65</v>
      </c>
      <c r="AT6503">
        <v>1</v>
      </c>
      <c r="AU6503" t="s">
        <v>1457</v>
      </c>
      <c r="AV6503" t="s">
        <v>1458</v>
      </c>
      <c r="AW6503" t="s">
        <v>60</v>
      </c>
      <c r="AX6503" t="s">
        <v>68</v>
      </c>
      <c r="AY6503" t="s">
        <v>69</v>
      </c>
      <c r="AZ6503" t="b">
        <v>1</v>
      </c>
    </row>
    <row r="6504" spans="1:52" x14ac:dyDescent="0.3">
      <c r="A6504" t="s">
        <v>52</v>
      </c>
      <c r="B6504" t="s">
        <v>53</v>
      </c>
      <c r="C6504" t="s">
        <v>54</v>
      </c>
      <c r="D6504" t="s">
        <v>55</v>
      </c>
      <c r="E6504" t="s">
        <v>2295</v>
      </c>
      <c r="F6504" t="s">
        <v>1247</v>
      </c>
      <c r="G6504" t="s">
        <v>1459</v>
      </c>
      <c r="H6504" t="s">
        <v>1460</v>
      </c>
      <c r="I6504" t="s">
        <v>1460</v>
      </c>
      <c r="J6504" t="s">
        <v>60</v>
      </c>
      <c r="K6504" t="s">
        <v>431</v>
      </c>
      <c r="L6504" t="s">
        <v>62</v>
      </c>
      <c r="M6504" t="s">
        <v>431</v>
      </c>
      <c r="N6504" t="s">
        <v>1461</v>
      </c>
      <c r="O6504" t="s">
        <v>1462</v>
      </c>
      <c r="P6504">
        <v>-20.170182</v>
      </c>
      <c r="Q6504">
        <v>-44.922556999999998</v>
      </c>
      <c r="R6504" s="2" t="str">
        <f>HYPERLINK("https://www.google.com/maps?q=-20.1701820,-44.9225570","Abrir no Google Maps")</f>
        <v>Abrir no Google Maps</v>
      </c>
      <c r="S6504">
        <v>2</v>
      </c>
      <c r="T6504">
        <v>1189.3885679843149</v>
      </c>
      <c r="U6504">
        <v>2</v>
      </c>
      <c r="V6504">
        <v>0.47413149161799101</v>
      </c>
      <c r="W6504">
        <v>0.85</v>
      </c>
      <c r="X6504">
        <v>0.40301176787529241</v>
      </c>
      <c r="Y6504">
        <v>723</v>
      </c>
      <c r="Z6504">
        <v>961.89164604479117</v>
      </c>
      <c r="AA6504">
        <v>198</v>
      </c>
      <c r="AB6504">
        <v>332</v>
      </c>
      <c r="AC6504">
        <v>536</v>
      </c>
      <c r="AD6504">
        <v>29.58</v>
      </c>
      <c r="AE6504">
        <v>542</v>
      </c>
      <c r="AF6504">
        <v>30</v>
      </c>
      <c r="AG6504">
        <v>169</v>
      </c>
      <c r="AH6504">
        <v>129</v>
      </c>
      <c r="AI6504">
        <v>5.54</v>
      </c>
      <c r="AJ6504">
        <v>31.18</v>
      </c>
      <c r="AK6504">
        <v>23.8</v>
      </c>
      <c r="AL6504">
        <v>-20.169385449999961</v>
      </c>
      <c r="AM6504">
        <v>-44.922107101898007</v>
      </c>
      <c r="AN6504">
        <v>-20.169385449999961</v>
      </c>
      <c r="AO6504">
        <v>-44.922107101898007</v>
      </c>
      <c r="AP6504">
        <v>-20.170182</v>
      </c>
      <c r="AQ6504">
        <v>-44.922556999999998</v>
      </c>
      <c r="AR6504">
        <v>100.36329580049031</v>
      </c>
      <c r="AS6504" t="s">
        <v>65</v>
      </c>
      <c r="AT6504">
        <v>1</v>
      </c>
      <c r="AU6504" t="s">
        <v>1463</v>
      </c>
      <c r="AV6504" t="s">
        <v>1458</v>
      </c>
      <c r="AW6504" t="s">
        <v>60</v>
      </c>
      <c r="AX6504" t="s">
        <v>68</v>
      </c>
      <c r="AY6504" t="s">
        <v>69</v>
      </c>
      <c r="AZ6504" t="b">
        <v>1</v>
      </c>
    </row>
    <row r="6505" spans="1:52" x14ac:dyDescent="0.3">
      <c r="A6505" t="s">
        <v>52</v>
      </c>
      <c r="B6505" t="s">
        <v>53</v>
      </c>
      <c r="C6505" t="s">
        <v>54</v>
      </c>
      <c r="D6505" t="s">
        <v>55</v>
      </c>
      <c r="E6505" t="s">
        <v>2295</v>
      </c>
      <c r="F6505" t="s">
        <v>1247</v>
      </c>
      <c r="G6505" t="s">
        <v>1554</v>
      </c>
      <c r="H6505" t="s">
        <v>1555</v>
      </c>
      <c r="I6505" t="s">
        <v>1555</v>
      </c>
      <c r="J6505" t="s">
        <v>60</v>
      </c>
      <c r="K6505" t="s">
        <v>1466</v>
      </c>
      <c r="L6505" t="s">
        <v>62</v>
      </c>
      <c r="M6505" t="s">
        <v>1466</v>
      </c>
      <c r="N6505" t="s">
        <v>1556</v>
      </c>
      <c r="O6505" t="s">
        <v>989</v>
      </c>
      <c r="P6505">
        <v>-20.160997999999999</v>
      </c>
      <c r="Q6505">
        <v>-44.878385999999999</v>
      </c>
      <c r="R6505" s="2" t="str">
        <f>HYPERLINK("https://www.google.com/maps?q=-20.1609980,-44.8783860","Abrir no Google Maps")</f>
        <v>Abrir no Google Maps</v>
      </c>
      <c r="S6505">
        <v>2</v>
      </c>
      <c r="T6505">
        <v>0</v>
      </c>
      <c r="U6505">
        <v>2</v>
      </c>
      <c r="V6505">
        <v>0.4861153494049435</v>
      </c>
      <c r="W6505">
        <v>0.85</v>
      </c>
      <c r="X6505">
        <v>0.41319804699420198</v>
      </c>
      <c r="Y6505">
        <v>671</v>
      </c>
      <c r="Z6505">
        <v>74.014802531188664</v>
      </c>
      <c r="AA6505">
        <v>198</v>
      </c>
      <c r="AB6505">
        <v>332</v>
      </c>
      <c r="AC6505">
        <v>536</v>
      </c>
      <c r="AD6505">
        <v>29.58</v>
      </c>
      <c r="AE6505">
        <v>542</v>
      </c>
      <c r="AF6505">
        <v>30</v>
      </c>
      <c r="AG6505">
        <v>169</v>
      </c>
      <c r="AH6505">
        <v>129</v>
      </c>
      <c r="AI6505">
        <v>5.54</v>
      </c>
      <c r="AJ6505">
        <v>31.18</v>
      </c>
      <c r="AK6505">
        <v>23.8</v>
      </c>
      <c r="AL6505">
        <v>-20.160758199999979</v>
      </c>
      <c r="AM6505">
        <v>-44.878032519747983</v>
      </c>
      <c r="AN6505">
        <v>-20.160758199999979</v>
      </c>
      <c r="AO6505">
        <v>-44.878032519747983</v>
      </c>
      <c r="AP6505">
        <v>-20.160997999999999</v>
      </c>
      <c r="AQ6505">
        <v>-44.878385999999999</v>
      </c>
      <c r="AR6505">
        <v>45.574638830261883</v>
      </c>
      <c r="AS6505" t="s">
        <v>65</v>
      </c>
      <c r="AT6505">
        <v>1</v>
      </c>
      <c r="AU6505" t="s">
        <v>1557</v>
      </c>
      <c r="AV6505" t="s">
        <v>1558</v>
      </c>
      <c r="AW6505" t="s">
        <v>60</v>
      </c>
      <c r="AX6505" t="s">
        <v>68</v>
      </c>
      <c r="AY6505" t="s">
        <v>69</v>
      </c>
      <c r="AZ6505" t="b">
        <v>1</v>
      </c>
    </row>
    <row r="6506" spans="1:52" x14ac:dyDescent="0.3">
      <c r="A6506" t="s">
        <v>52</v>
      </c>
      <c r="B6506" t="s">
        <v>53</v>
      </c>
      <c r="C6506" t="s">
        <v>54</v>
      </c>
      <c r="D6506" t="s">
        <v>55</v>
      </c>
      <c r="E6506" t="s">
        <v>2295</v>
      </c>
      <c r="F6506" t="s">
        <v>1247</v>
      </c>
      <c r="G6506" t="s">
        <v>1529</v>
      </c>
      <c r="H6506" t="s">
        <v>1530</v>
      </c>
      <c r="I6506" t="s">
        <v>1530</v>
      </c>
      <c r="J6506" t="s">
        <v>60</v>
      </c>
      <c r="K6506" t="s">
        <v>1466</v>
      </c>
      <c r="L6506" t="s">
        <v>62</v>
      </c>
      <c r="M6506" t="s">
        <v>1466</v>
      </c>
      <c r="N6506" t="s">
        <v>1531</v>
      </c>
      <c r="O6506" t="s">
        <v>145</v>
      </c>
      <c r="P6506">
        <v>-20.162952000000001</v>
      </c>
      <c r="Q6506">
        <v>-44.877612999999997</v>
      </c>
      <c r="R6506" s="2" t="str">
        <f>HYPERLINK("https://www.google.com/maps?q=-20.1629520,-44.8776130","Abrir no Google Maps")</f>
        <v>Abrir no Google Maps</v>
      </c>
      <c r="S6506">
        <v>2</v>
      </c>
      <c r="T6506">
        <v>229.91388913695721</v>
      </c>
      <c r="U6506">
        <v>2</v>
      </c>
      <c r="V6506">
        <v>0.46233471743675819</v>
      </c>
      <c r="W6506">
        <v>0.85</v>
      </c>
      <c r="X6506">
        <v>0.39298450982124439</v>
      </c>
      <c r="Y6506">
        <v>671</v>
      </c>
      <c r="Z6506">
        <v>157.6775523644973</v>
      </c>
      <c r="AA6506">
        <v>198</v>
      </c>
      <c r="AB6506">
        <v>332</v>
      </c>
      <c r="AC6506">
        <v>536</v>
      </c>
      <c r="AD6506">
        <v>29.58</v>
      </c>
      <c r="AE6506">
        <v>542</v>
      </c>
      <c r="AF6506">
        <v>30</v>
      </c>
      <c r="AG6506">
        <v>169</v>
      </c>
      <c r="AH6506">
        <v>129</v>
      </c>
      <c r="AI6506">
        <v>5.54</v>
      </c>
      <c r="AJ6506">
        <v>31.18</v>
      </c>
      <c r="AK6506">
        <v>23.8</v>
      </c>
      <c r="AL6506">
        <v>-20.16278829999996</v>
      </c>
      <c r="AM6506">
        <v>-44.877564655204168</v>
      </c>
      <c r="AN6506">
        <v>-20.16278829999996</v>
      </c>
      <c r="AO6506">
        <v>-44.877564655204168</v>
      </c>
      <c r="AP6506">
        <v>-20.162952000000001</v>
      </c>
      <c r="AQ6506">
        <v>-44.877612999999997</v>
      </c>
      <c r="AR6506">
        <v>18.91038935762678</v>
      </c>
      <c r="AS6506" t="s">
        <v>65</v>
      </c>
      <c r="AT6506">
        <v>1</v>
      </c>
      <c r="AU6506" t="s">
        <v>1532</v>
      </c>
      <c r="AV6506" t="s">
        <v>1533</v>
      </c>
      <c r="AW6506" t="s">
        <v>60</v>
      </c>
      <c r="AX6506" t="s">
        <v>68</v>
      </c>
      <c r="AY6506" t="s">
        <v>69</v>
      </c>
      <c r="AZ6506" t="b">
        <v>1</v>
      </c>
    </row>
    <row r="6507" spans="1:52" x14ac:dyDescent="0.3">
      <c r="A6507" t="s">
        <v>52</v>
      </c>
      <c r="B6507" t="s">
        <v>53</v>
      </c>
      <c r="C6507" t="s">
        <v>54</v>
      </c>
      <c r="D6507" t="s">
        <v>55</v>
      </c>
      <c r="E6507" t="s">
        <v>2295</v>
      </c>
      <c r="F6507" t="s">
        <v>1247</v>
      </c>
      <c r="G6507" t="s">
        <v>1541</v>
      </c>
      <c r="H6507" t="s">
        <v>1542</v>
      </c>
      <c r="I6507" t="s">
        <v>1542</v>
      </c>
      <c r="J6507" t="s">
        <v>60</v>
      </c>
      <c r="K6507" t="s">
        <v>1302</v>
      </c>
      <c r="L6507" t="s">
        <v>62</v>
      </c>
      <c r="M6507" t="s">
        <v>1302</v>
      </c>
      <c r="N6507" t="s">
        <v>1543</v>
      </c>
      <c r="O6507" t="s">
        <v>1544</v>
      </c>
      <c r="P6507">
        <v>-20.166267999999999</v>
      </c>
      <c r="Q6507">
        <v>-44.916902</v>
      </c>
      <c r="R6507" s="2" t="str">
        <f>HYPERLINK("https://www.google.com/maps?q=-20.1662680,-44.9169020","Abrir no Google Maps")</f>
        <v>Abrir no Google Maps</v>
      </c>
      <c r="S6507">
        <v>2</v>
      </c>
      <c r="T6507">
        <v>580.14556008922216</v>
      </c>
      <c r="U6507">
        <v>2</v>
      </c>
      <c r="V6507">
        <v>0.46047983514866059</v>
      </c>
      <c r="W6507">
        <v>0.85</v>
      </c>
      <c r="X6507">
        <v>0.39140785987636151</v>
      </c>
      <c r="Y6507">
        <v>639</v>
      </c>
      <c r="Z6507">
        <v>590.87477783185614</v>
      </c>
      <c r="AA6507">
        <v>198</v>
      </c>
      <c r="AB6507">
        <v>332</v>
      </c>
      <c r="AC6507">
        <v>536</v>
      </c>
      <c r="AD6507">
        <v>29.58</v>
      </c>
      <c r="AE6507">
        <v>542</v>
      </c>
      <c r="AF6507">
        <v>30</v>
      </c>
      <c r="AG6507">
        <v>169</v>
      </c>
      <c r="AH6507">
        <v>129</v>
      </c>
      <c r="AI6507">
        <v>5.54</v>
      </c>
      <c r="AJ6507">
        <v>31.18</v>
      </c>
      <c r="AK6507">
        <v>23.8</v>
      </c>
      <c r="AL6507">
        <v>-20.165891749999961</v>
      </c>
      <c r="AM6507">
        <v>-44.917283075074913</v>
      </c>
      <c r="AN6507">
        <v>-20.165891749999961</v>
      </c>
      <c r="AO6507">
        <v>-44.917283075074913</v>
      </c>
      <c r="AP6507">
        <v>-20.166267999999999</v>
      </c>
      <c r="AQ6507">
        <v>-44.916902</v>
      </c>
      <c r="AR6507">
        <v>57.792534087281872</v>
      </c>
      <c r="AS6507" t="s">
        <v>65</v>
      </c>
      <c r="AT6507">
        <v>1</v>
      </c>
      <c r="AU6507" t="s">
        <v>1545</v>
      </c>
      <c r="AV6507" t="s">
        <v>1546</v>
      </c>
      <c r="AW6507" t="s">
        <v>60</v>
      </c>
      <c r="AX6507" t="s">
        <v>68</v>
      </c>
      <c r="AY6507" t="s">
        <v>69</v>
      </c>
      <c r="AZ6507" t="b">
        <v>1</v>
      </c>
    </row>
    <row r="6508" spans="1:52" x14ac:dyDescent="0.3">
      <c r="A6508" t="s">
        <v>52</v>
      </c>
      <c r="B6508" t="s">
        <v>53</v>
      </c>
      <c r="C6508" t="s">
        <v>54</v>
      </c>
      <c r="D6508" t="s">
        <v>55</v>
      </c>
      <c r="E6508" t="s">
        <v>2295</v>
      </c>
      <c r="F6508" t="s">
        <v>1247</v>
      </c>
      <c r="G6508" t="s">
        <v>1559</v>
      </c>
      <c r="H6508" t="s">
        <v>1560</v>
      </c>
      <c r="I6508" t="s">
        <v>1560</v>
      </c>
      <c r="J6508" t="s">
        <v>60</v>
      </c>
      <c r="K6508" t="s">
        <v>61</v>
      </c>
      <c r="L6508" t="s">
        <v>62</v>
      </c>
      <c r="M6508" t="s">
        <v>61</v>
      </c>
      <c r="N6508" t="s">
        <v>1561</v>
      </c>
      <c r="O6508" t="s">
        <v>1562</v>
      </c>
      <c r="P6508">
        <v>-20.154959000000002</v>
      </c>
      <c r="Q6508">
        <v>-44.91525</v>
      </c>
      <c r="R6508" s="2" t="str">
        <f>HYPERLINK("https://www.google.com/maps?q=-20.1549590,-44.9152500","Abrir no Google Maps")</f>
        <v>Abrir no Google Maps</v>
      </c>
      <c r="S6508">
        <v>2</v>
      </c>
      <c r="T6508">
        <v>738.36411213380245</v>
      </c>
      <c r="U6508">
        <v>2</v>
      </c>
      <c r="V6508">
        <v>0.5</v>
      </c>
      <c r="W6508">
        <v>0.85</v>
      </c>
      <c r="X6508">
        <v>0.42499999999999999</v>
      </c>
      <c r="Y6508">
        <v>639</v>
      </c>
      <c r="Z6508">
        <v>860.82840850294542</v>
      </c>
      <c r="AA6508">
        <v>198</v>
      </c>
      <c r="AB6508">
        <v>332</v>
      </c>
      <c r="AC6508">
        <v>536</v>
      </c>
      <c r="AD6508">
        <v>29.58</v>
      </c>
      <c r="AE6508">
        <v>542</v>
      </c>
      <c r="AF6508">
        <v>30</v>
      </c>
      <c r="AG6508">
        <v>169</v>
      </c>
      <c r="AH6508">
        <v>129</v>
      </c>
      <c r="AI6508">
        <v>5.54</v>
      </c>
      <c r="AJ6508">
        <v>31.18</v>
      </c>
      <c r="AK6508">
        <v>23.8</v>
      </c>
      <c r="AL6508">
        <v>-20.154629849999939</v>
      </c>
      <c r="AM6508">
        <v>-44.914951620624052</v>
      </c>
      <c r="AN6508">
        <v>-20.154629849999939</v>
      </c>
      <c r="AO6508">
        <v>-44.914951620624052</v>
      </c>
      <c r="AP6508">
        <v>-20.154959000000002</v>
      </c>
      <c r="AQ6508">
        <v>-44.91525</v>
      </c>
      <c r="AR6508">
        <v>48.11297170616912</v>
      </c>
      <c r="AS6508" t="s">
        <v>65</v>
      </c>
      <c r="AT6508">
        <v>1</v>
      </c>
      <c r="AU6508" t="s">
        <v>1563</v>
      </c>
      <c r="AV6508" t="s">
        <v>1564</v>
      </c>
      <c r="AW6508" t="s">
        <v>60</v>
      </c>
      <c r="AX6508" t="s">
        <v>68</v>
      </c>
      <c r="AY6508" t="s">
        <v>69</v>
      </c>
      <c r="AZ6508" t="b">
        <v>1</v>
      </c>
    </row>
    <row r="6509" spans="1:52" x14ac:dyDescent="0.3">
      <c r="A6509" t="s">
        <v>52</v>
      </c>
      <c r="B6509" t="s">
        <v>53</v>
      </c>
      <c r="C6509" t="s">
        <v>54</v>
      </c>
      <c r="D6509" t="s">
        <v>55</v>
      </c>
      <c r="E6509" t="s">
        <v>2295</v>
      </c>
      <c r="F6509" t="s">
        <v>1247</v>
      </c>
      <c r="G6509" t="s">
        <v>1534</v>
      </c>
      <c r="H6509" t="s">
        <v>1535</v>
      </c>
      <c r="I6509" t="s">
        <v>1535</v>
      </c>
      <c r="J6509" t="s">
        <v>60</v>
      </c>
      <c r="K6509" t="s">
        <v>1536</v>
      </c>
      <c r="L6509" t="s">
        <v>62</v>
      </c>
      <c r="M6509" t="s">
        <v>1536</v>
      </c>
      <c r="N6509" t="s">
        <v>1537</v>
      </c>
      <c r="O6509" t="s">
        <v>1538</v>
      </c>
      <c r="P6509">
        <v>-20.164618999999998</v>
      </c>
      <c r="Q6509">
        <v>-44.921776999999999</v>
      </c>
      <c r="R6509" s="2" t="str">
        <f>HYPERLINK("https://www.google.com/maps?q=-20.1646190,-44.9217770","Abrir no Google Maps")</f>
        <v>Abrir no Google Maps</v>
      </c>
      <c r="S6509">
        <v>2</v>
      </c>
      <c r="T6509">
        <v>835.70698013544222</v>
      </c>
      <c r="U6509">
        <v>1</v>
      </c>
      <c r="V6509">
        <v>0.43128654970760227</v>
      </c>
      <c r="W6509">
        <v>0.85</v>
      </c>
      <c r="X6509">
        <v>0.36659356725146192</v>
      </c>
      <c r="Y6509">
        <v>639</v>
      </c>
      <c r="Z6509">
        <v>821.59880323911125</v>
      </c>
      <c r="AA6509">
        <v>198</v>
      </c>
      <c r="AB6509">
        <v>332</v>
      </c>
      <c r="AC6509">
        <v>536</v>
      </c>
      <c r="AD6509">
        <v>29.58</v>
      </c>
      <c r="AE6509">
        <v>542</v>
      </c>
      <c r="AF6509">
        <v>30</v>
      </c>
      <c r="AG6509">
        <v>169</v>
      </c>
      <c r="AH6509">
        <v>129</v>
      </c>
      <c r="AI6509">
        <v>5.54</v>
      </c>
      <c r="AJ6509">
        <v>31.18</v>
      </c>
      <c r="AK6509">
        <v>23.8</v>
      </c>
      <c r="AL6509">
        <v>-20.164312499999969</v>
      </c>
      <c r="AM6509">
        <v>-44.921945691824099</v>
      </c>
      <c r="AN6509">
        <v>-20.164312499999969</v>
      </c>
      <c r="AO6509">
        <v>-44.921945691824099</v>
      </c>
      <c r="AP6509">
        <v>-20.164618999999998</v>
      </c>
      <c r="AQ6509">
        <v>-44.921776999999999</v>
      </c>
      <c r="AR6509">
        <v>38.404224975746608</v>
      </c>
      <c r="AS6509" t="s">
        <v>65</v>
      </c>
      <c r="AT6509">
        <v>1</v>
      </c>
      <c r="AU6509" t="s">
        <v>1539</v>
      </c>
      <c r="AV6509" t="s">
        <v>1540</v>
      </c>
      <c r="AW6509" t="s">
        <v>60</v>
      </c>
      <c r="AX6509" t="s">
        <v>68</v>
      </c>
      <c r="AY6509" t="s">
        <v>69</v>
      </c>
      <c r="AZ6509" t="b">
        <v>1</v>
      </c>
    </row>
    <row r="6510" spans="1:52" x14ac:dyDescent="0.3">
      <c r="A6510" t="s">
        <v>52</v>
      </c>
      <c r="B6510" t="s">
        <v>53</v>
      </c>
      <c r="C6510" t="s">
        <v>54</v>
      </c>
      <c r="D6510" t="s">
        <v>55</v>
      </c>
      <c r="E6510" t="s">
        <v>2295</v>
      </c>
      <c r="F6510" t="s">
        <v>1247</v>
      </c>
      <c r="G6510" t="s">
        <v>1607</v>
      </c>
      <c r="H6510" t="s">
        <v>1608</v>
      </c>
      <c r="I6510" t="s">
        <v>1608</v>
      </c>
      <c r="J6510" t="s">
        <v>60</v>
      </c>
      <c r="K6510" t="s">
        <v>1486</v>
      </c>
      <c r="L6510" t="s">
        <v>62</v>
      </c>
      <c r="M6510" t="s">
        <v>1486</v>
      </c>
      <c r="N6510" t="s">
        <v>1609</v>
      </c>
      <c r="O6510" t="s">
        <v>1255</v>
      </c>
      <c r="P6510">
        <v>-20.157689000000001</v>
      </c>
      <c r="Q6510">
        <v>-44.883887000000001</v>
      </c>
      <c r="R6510" s="2" t="str">
        <f>HYPERLINK("https://www.google.com/maps?q=-20.1576890,-44.8838870","Abrir no Google Maps")</f>
        <v>Abrir no Google Maps</v>
      </c>
      <c r="S6510">
        <v>1</v>
      </c>
      <c r="T6510">
        <v>603.38424821205774</v>
      </c>
      <c r="U6510">
        <v>4</v>
      </c>
      <c r="V6510">
        <v>0.46872366341325339</v>
      </c>
      <c r="W6510">
        <v>1</v>
      </c>
      <c r="X6510">
        <v>0.46872366341325339</v>
      </c>
      <c r="Y6510">
        <v>671</v>
      </c>
      <c r="Z6510">
        <v>682.48636898467089</v>
      </c>
      <c r="AA6510">
        <v>198</v>
      </c>
      <c r="AB6510">
        <v>332</v>
      </c>
      <c r="AC6510">
        <v>536</v>
      </c>
      <c r="AD6510">
        <v>29.58</v>
      </c>
      <c r="AE6510">
        <v>542</v>
      </c>
      <c r="AF6510">
        <v>30</v>
      </c>
      <c r="AG6510">
        <v>169</v>
      </c>
      <c r="AH6510">
        <v>129</v>
      </c>
      <c r="AI6510">
        <v>5.54</v>
      </c>
      <c r="AJ6510">
        <v>31.18</v>
      </c>
      <c r="AK6510">
        <v>23.8</v>
      </c>
      <c r="AL6510">
        <v>-20.157732249999949</v>
      </c>
      <c r="AM6510">
        <v>-44.883829923283272</v>
      </c>
      <c r="AN6510">
        <v>-20.157732249999949</v>
      </c>
      <c r="AO6510">
        <v>-44.883829923283272</v>
      </c>
      <c r="AP6510">
        <v>-20.157689000000001</v>
      </c>
      <c r="AQ6510">
        <v>-44.883887000000001</v>
      </c>
      <c r="AR6510">
        <v>7.6652901074925257</v>
      </c>
      <c r="AS6510" t="s">
        <v>65</v>
      </c>
      <c r="AT6510">
        <v>1</v>
      </c>
      <c r="AU6510" t="s">
        <v>1610</v>
      </c>
      <c r="AV6510" t="s">
        <v>1611</v>
      </c>
      <c r="AW6510" t="s">
        <v>60</v>
      </c>
      <c r="AX6510" t="s">
        <v>68</v>
      </c>
      <c r="AY6510" t="s">
        <v>69</v>
      </c>
      <c r="AZ6510" t="b">
        <v>1</v>
      </c>
    </row>
    <row r="6511" spans="1:52" x14ac:dyDescent="0.3">
      <c r="A6511" t="s">
        <v>52</v>
      </c>
      <c r="B6511" t="s">
        <v>53</v>
      </c>
      <c r="C6511" t="s">
        <v>54</v>
      </c>
      <c r="D6511" t="s">
        <v>55</v>
      </c>
      <c r="E6511" t="s">
        <v>2295</v>
      </c>
      <c r="F6511" t="s">
        <v>1247</v>
      </c>
      <c r="G6511" t="s">
        <v>631</v>
      </c>
      <c r="H6511" t="s">
        <v>1565</v>
      </c>
      <c r="I6511" t="s">
        <v>1565</v>
      </c>
      <c r="J6511" t="s">
        <v>60</v>
      </c>
      <c r="K6511" t="s">
        <v>530</v>
      </c>
      <c r="L6511" t="s">
        <v>62</v>
      </c>
      <c r="M6511" t="s">
        <v>530</v>
      </c>
      <c r="N6511" t="s">
        <v>633</v>
      </c>
      <c r="O6511" t="s">
        <v>1566</v>
      </c>
      <c r="P6511">
        <v>-20.143915</v>
      </c>
      <c r="Q6511">
        <v>-44.8947</v>
      </c>
      <c r="R6511" s="2" t="str">
        <f>HYPERLINK("https://www.google.com/maps?q=-20.1439150,-44.8947000","Abrir no Google Maps")</f>
        <v>Abrir no Google Maps</v>
      </c>
      <c r="S6511">
        <v>1</v>
      </c>
      <c r="T6511">
        <v>327.74435325417051</v>
      </c>
      <c r="U6511">
        <v>4</v>
      </c>
      <c r="V6511">
        <v>0.50234880450070329</v>
      </c>
      <c r="W6511">
        <v>1</v>
      </c>
      <c r="X6511">
        <v>0.50234880450070329</v>
      </c>
      <c r="Y6511">
        <v>602</v>
      </c>
      <c r="Z6511">
        <v>236.41345279429891</v>
      </c>
      <c r="AA6511">
        <v>198</v>
      </c>
      <c r="AB6511">
        <v>332</v>
      </c>
      <c r="AC6511">
        <v>536</v>
      </c>
      <c r="AD6511">
        <v>29.58</v>
      </c>
      <c r="AE6511">
        <v>542</v>
      </c>
      <c r="AF6511">
        <v>30</v>
      </c>
      <c r="AG6511">
        <v>169</v>
      </c>
      <c r="AH6511">
        <v>129</v>
      </c>
      <c r="AI6511">
        <v>5.54</v>
      </c>
      <c r="AJ6511">
        <v>31.18</v>
      </c>
      <c r="AK6511">
        <v>23.8</v>
      </c>
      <c r="AL6511">
        <v>-20.143900549999959</v>
      </c>
      <c r="AM6511">
        <v>-44.894835636584318</v>
      </c>
      <c r="AN6511">
        <v>-20.143900549999959</v>
      </c>
      <c r="AO6511">
        <v>-44.894835636584318</v>
      </c>
      <c r="AP6511">
        <v>-20.143915</v>
      </c>
      <c r="AQ6511">
        <v>-44.8947</v>
      </c>
      <c r="AR6511">
        <v>14.266440053785869</v>
      </c>
      <c r="AS6511" t="s">
        <v>65</v>
      </c>
      <c r="AT6511">
        <v>1</v>
      </c>
      <c r="AU6511" t="s">
        <v>1567</v>
      </c>
      <c r="AV6511" t="s">
        <v>1568</v>
      </c>
      <c r="AW6511" t="s">
        <v>60</v>
      </c>
      <c r="AX6511" t="s">
        <v>68</v>
      </c>
      <c r="AY6511" t="s">
        <v>69</v>
      </c>
      <c r="AZ6511" t="b">
        <v>1</v>
      </c>
    </row>
    <row r="6512" spans="1:52" x14ac:dyDescent="0.3">
      <c r="A6512" t="s">
        <v>52</v>
      </c>
      <c r="B6512" t="s">
        <v>53</v>
      </c>
      <c r="C6512" t="s">
        <v>54</v>
      </c>
      <c r="D6512" t="s">
        <v>55</v>
      </c>
      <c r="E6512" t="s">
        <v>2295</v>
      </c>
      <c r="F6512" t="s">
        <v>1247</v>
      </c>
      <c r="G6512" t="s">
        <v>1569</v>
      </c>
      <c r="H6512" t="s">
        <v>1574</v>
      </c>
      <c r="I6512" t="s">
        <v>1574</v>
      </c>
      <c r="J6512" t="s">
        <v>60</v>
      </c>
      <c r="K6512" t="s">
        <v>530</v>
      </c>
      <c r="L6512" t="s">
        <v>62</v>
      </c>
      <c r="M6512" t="s">
        <v>530</v>
      </c>
      <c r="N6512" t="s">
        <v>1571</v>
      </c>
      <c r="O6512" t="s">
        <v>1575</v>
      </c>
      <c r="P6512">
        <v>-20.14554</v>
      </c>
      <c r="Q6512">
        <v>-44.895606000000001</v>
      </c>
      <c r="R6512" s="2" t="str">
        <f>HYPERLINK("https://www.google.com/maps?q=-20.1455400,-44.8956060","Abrir no Google Maps")</f>
        <v>Abrir no Google Maps</v>
      </c>
      <c r="S6512">
        <v>1</v>
      </c>
      <c r="T6512">
        <v>218.66647838959381</v>
      </c>
      <c r="U6512">
        <v>4</v>
      </c>
      <c r="V6512">
        <v>0.49133333333333329</v>
      </c>
      <c r="W6512">
        <v>1</v>
      </c>
      <c r="X6512">
        <v>0.49133333333333329</v>
      </c>
      <c r="Y6512">
        <v>602</v>
      </c>
      <c r="Z6512">
        <v>263.6501043391637</v>
      </c>
      <c r="AA6512">
        <v>198</v>
      </c>
      <c r="AB6512">
        <v>332</v>
      </c>
      <c r="AC6512">
        <v>536</v>
      </c>
      <c r="AD6512">
        <v>29.58</v>
      </c>
      <c r="AE6512">
        <v>542</v>
      </c>
      <c r="AF6512">
        <v>30</v>
      </c>
      <c r="AG6512">
        <v>169</v>
      </c>
      <c r="AH6512">
        <v>129</v>
      </c>
      <c r="AI6512">
        <v>5.54</v>
      </c>
      <c r="AJ6512">
        <v>31.18</v>
      </c>
      <c r="AK6512">
        <v>23.8</v>
      </c>
      <c r="AL6512">
        <v>-20.145504749999962</v>
      </c>
      <c r="AM6512">
        <v>-44.89561499588882</v>
      </c>
      <c r="AN6512">
        <v>-20.145504749999962</v>
      </c>
      <c r="AO6512">
        <v>-44.89561499588882</v>
      </c>
      <c r="AP6512">
        <v>-20.14554</v>
      </c>
      <c r="AQ6512">
        <v>-44.895606000000001</v>
      </c>
      <c r="AR6512">
        <v>4.0350843151508604</v>
      </c>
      <c r="AS6512" t="s">
        <v>65</v>
      </c>
      <c r="AT6512">
        <v>1</v>
      </c>
      <c r="AU6512" t="s">
        <v>1576</v>
      </c>
      <c r="AV6512" t="s">
        <v>1577</v>
      </c>
      <c r="AW6512" t="s">
        <v>60</v>
      </c>
      <c r="AX6512" t="s">
        <v>68</v>
      </c>
      <c r="AY6512" t="s">
        <v>69</v>
      </c>
      <c r="AZ6512" t="b">
        <v>1</v>
      </c>
    </row>
    <row r="6513" spans="1:52" x14ac:dyDescent="0.3">
      <c r="A6513" t="s">
        <v>52</v>
      </c>
      <c r="B6513" t="s">
        <v>53</v>
      </c>
      <c r="C6513" t="s">
        <v>54</v>
      </c>
      <c r="D6513" t="s">
        <v>55</v>
      </c>
      <c r="E6513" t="s">
        <v>2295</v>
      </c>
      <c r="F6513" t="s">
        <v>1247</v>
      </c>
      <c r="G6513" t="s">
        <v>1578</v>
      </c>
      <c r="H6513" t="s">
        <v>1579</v>
      </c>
      <c r="I6513" t="s">
        <v>1579</v>
      </c>
      <c r="J6513" t="s">
        <v>60</v>
      </c>
      <c r="K6513" t="s">
        <v>530</v>
      </c>
      <c r="L6513" t="s">
        <v>62</v>
      </c>
      <c r="M6513" t="s">
        <v>530</v>
      </c>
      <c r="N6513" t="s">
        <v>1580</v>
      </c>
      <c r="O6513" t="s">
        <v>1581</v>
      </c>
      <c r="P6513">
        <v>-20.143713999999999</v>
      </c>
      <c r="Q6513">
        <v>-44.897387999999999</v>
      </c>
      <c r="R6513" s="2" t="str">
        <f>HYPERLINK("https://www.google.com/maps?q=-20.1437140,-44.8973880","Abrir no Google Maps")</f>
        <v>Abrir no Google Maps</v>
      </c>
      <c r="S6513">
        <v>1</v>
      </c>
      <c r="T6513">
        <v>354.74438118735611</v>
      </c>
      <c r="U6513">
        <v>4</v>
      </c>
      <c r="V6513">
        <v>0.50287041522276466</v>
      </c>
      <c r="W6513">
        <v>1</v>
      </c>
      <c r="X6513">
        <v>0.50287041522276466</v>
      </c>
      <c r="Y6513">
        <v>588</v>
      </c>
      <c r="Z6513">
        <v>336.29881064197872</v>
      </c>
      <c r="AA6513">
        <v>198</v>
      </c>
      <c r="AB6513">
        <v>332</v>
      </c>
      <c r="AC6513">
        <v>536</v>
      </c>
      <c r="AD6513">
        <v>29.58</v>
      </c>
      <c r="AE6513">
        <v>542</v>
      </c>
      <c r="AF6513">
        <v>30</v>
      </c>
      <c r="AG6513">
        <v>169</v>
      </c>
      <c r="AH6513">
        <v>129</v>
      </c>
      <c r="AI6513">
        <v>5.54</v>
      </c>
      <c r="AJ6513">
        <v>31.18</v>
      </c>
      <c r="AK6513">
        <v>23.8</v>
      </c>
      <c r="AL6513">
        <v>-20.14371329999997</v>
      </c>
      <c r="AM6513">
        <v>-44.897384604125257</v>
      </c>
      <c r="AN6513">
        <v>-20.14371329999997</v>
      </c>
      <c r="AO6513">
        <v>-44.897384604125257</v>
      </c>
      <c r="AP6513">
        <v>-20.143713999999999</v>
      </c>
      <c r="AQ6513">
        <v>-44.897387999999999</v>
      </c>
      <c r="AR6513">
        <v>0.36335934693921551</v>
      </c>
      <c r="AS6513" t="s">
        <v>65</v>
      </c>
      <c r="AT6513">
        <v>1</v>
      </c>
      <c r="AU6513" t="s">
        <v>1582</v>
      </c>
      <c r="AV6513" t="s">
        <v>1583</v>
      </c>
      <c r="AW6513" t="s">
        <v>60</v>
      </c>
      <c r="AX6513" t="s">
        <v>68</v>
      </c>
      <c r="AY6513" t="s">
        <v>69</v>
      </c>
      <c r="AZ6513" t="b">
        <v>1</v>
      </c>
    </row>
    <row r="6514" spans="1:52" x14ac:dyDescent="0.3">
      <c r="A6514" t="s">
        <v>52</v>
      </c>
      <c r="B6514" t="s">
        <v>53</v>
      </c>
      <c r="C6514" t="s">
        <v>54</v>
      </c>
      <c r="D6514" t="s">
        <v>55</v>
      </c>
      <c r="E6514" t="s">
        <v>2295</v>
      </c>
      <c r="F6514" t="s">
        <v>1247</v>
      </c>
      <c r="G6514" t="s">
        <v>1584</v>
      </c>
      <c r="H6514" t="s">
        <v>1585</v>
      </c>
      <c r="I6514" t="s">
        <v>1585</v>
      </c>
      <c r="J6514" t="s">
        <v>60</v>
      </c>
      <c r="K6514" t="s">
        <v>530</v>
      </c>
      <c r="L6514" t="s">
        <v>62</v>
      </c>
      <c r="M6514" t="s">
        <v>530</v>
      </c>
      <c r="N6514" t="s">
        <v>406</v>
      </c>
      <c r="O6514" t="s">
        <v>1586</v>
      </c>
      <c r="P6514">
        <v>-20.141316</v>
      </c>
      <c r="Q6514">
        <v>-44.896424000000003</v>
      </c>
      <c r="R6514" s="2" t="str">
        <f>HYPERLINK("https://www.google.com/maps?q=-20.1413160,-44.8964240","Abrir no Google Maps")</f>
        <v>Abrir no Google Maps</v>
      </c>
      <c r="S6514">
        <v>1</v>
      </c>
      <c r="T6514">
        <v>236.6687095166524</v>
      </c>
      <c r="U6514">
        <v>4</v>
      </c>
      <c r="V6514">
        <v>0.47108224343112992</v>
      </c>
      <c r="W6514">
        <v>1</v>
      </c>
      <c r="X6514">
        <v>0.47108224343112992</v>
      </c>
      <c r="Y6514">
        <v>588</v>
      </c>
      <c r="Z6514">
        <v>255.50729797374251</v>
      </c>
      <c r="AA6514">
        <v>198</v>
      </c>
      <c r="AB6514">
        <v>332</v>
      </c>
      <c r="AC6514">
        <v>536</v>
      </c>
      <c r="AD6514">
        <v>29.58</v>
      </c>
      <c r="AE6514">
        <v>542</v>
      </c>
      <c r="AF6514">
        <v>30</v>
      </c>
      <c r="AG6514">
        <v>169</v>
      </c>
      <c r="AH6514">
        <v>129</v>
      </c>
      <c r="AI6514">
        <v>5.54</v>
      </c>
      <c r="AJ6514">
        <v>31.18</v>
      </c>
      <c r="AK6514">
        <v>23.8</v>
      </c>
      <c r="AL6514">
        <v>-20.141468299999961</v>
      </c>
      <c r="AM6514">
        <v>-44.896566678331098</v>
      </c>
      <c r="AN6514">
        <v>-20.141468299999961</v>
      </c>
      <c r="AO6514">
        <v>-44.896566678331098</v>
      </c>
      <c r="AP6514">
        <v>-20.141316</v>
      </c>
      <c r="AQ6514">
        <v>-44.896424000000003</v>
      </c>
      <c r="AR6514">
        <v>22.578666373759301</v>
      </c>
      <c r="AS6514" t="s">
        <v>65</v>
      </c>
      <c r="AT6514">
        <v>1</v>
      </c>
      <c r="AU6514" t="s">
        <v>1587</v>
      </c>
      <c r="AV6514" t="s">
        <v>1588</v>
      </c>
      <c r="AW6514" t="s">
        <v>60</v>
      </c>
      <c r="AX6514" t="s">
        <v>68</v>
      </c>
      <c r="AY6514" t="s">
        <v>69</v>
      </c>
      <c r="AZ6514" t="b">
        <v>1</v>
      </c>
    </row>
    <row r="6515" spans="1:52" x14ac:dyDescent="0.3">
      <c r="A6515" t="s">
        <v>52</v>
      </c>
      <c r="B6515" t="s">
        <v>53</v>
      </c>
      <c r="C6515" t="s">
        <v>54</v>
      </c>
      <c r="D6515" t="s">
        <v>55</v>
      </c>
      <c r="E6515" t="s">
        <v>2295</v>
      </c>
      <c r="F6515" t="s">
        <v>1247</v>
      </c>
      <c r="G6515" t="s">
        <v>1589</v>
      </c>
      <c r="H6515" t="s">
        <v>1590</v>
      </c>
      <c r="I6515" t="s">
        <v>1590</v>
      </c>
      <c r="J6515" t="s">
        <v>60</v>
      </c>
      <c r="K6515" t="s">
        <v>1591</v>
      </c>
      <c r="L6515" t="s">
        <v>62</v>
      </c>
      <c r="M6515" t="s">
        <v>1591</v>
      </c>
      <c r="N6515" t="s">
        <v>1592</v>
      </c>
      <c r="O6515" t="s">
        <v>659</v>
      </c>
      <c r="P6515">
        <v>-20.140789000000002</v>
      </c>
      <c r="Q6515">
        <v>-44.898631000000002</v>
      </c>
      <c r="R6515" s="2" t="str">
        <f>HYPERLINK("https://www.google.com/maps?q=-20.1407890,-44.8986310","Abrir no Google Maps")</f>
        <v>Abrir no Google Maps</v>
      </c>
      <c r="S6515">
        <v>1</v>
      </c>
      <c r="T6515">
        <v>0</v>
      </c>
      <c r="U6515">
        <v>4</v>
      </c>
      <c r="V6515">
        <v>0.46227587023401212</v>
      </c>
      <c r="W6515">
        <v>1</v>
      </c>
      <c r="X6515">
        <v>0.46227587023401212</v>
      </c>
      <c r="Y6515">
        <v>588</v>
      </c>
      <c r="Z6515">
        <v>51.152636251897107</v>
      </c>
      <c r="AA6515">
        <v>198</v>
      </c>
      <c r="AB6515">
        <v>332</v>
      </c>
      <c r="AC6515">
        <v>536</v>
      </c>
      <c r="AD6515">
        <v>29.58</v>
      </c>
      <c r="AE6515">
        <v>542</v>
      </c>
      <c r="AF6515">
        <v>30</v>
      </c>
      <c r="AG6515">
        <v>169</v>
      </c>
      <c r="AH6515">
        <v>129</v>
      </c>
      <c r="AI6515">
        <v>5.54</v>
      </c>
      <c r="AJ6515">
        <v>31.18</v>
      </c>
      <c r="AK6515">
        <v>23.8</v>
      </c>
      <c r="AL6515">
        <v>-20.140759399999951</v>
      </c>
      <c r="AM6515">
        <v>-44.898703172474903</v>
      </c>
      <c r="AN6515">
        <v>-20.140759399999951</v>
      </c>
      <c r="AO6515">
        <v>-44.898703172474903</v>
      </c>
      <c r="AP6515">
        <v>-20.140789000000002</v>
      </c>
      <c r="AQ6515">
        <v>-44.898631000000002</v>
      </c>
      <c r="AR6515">
        <v>8.2312502179962053</v>
      </c>
      <c r="AS6515" t="s">
        <v>65</v>
      </c>
      <c r="AT6515">
        <v>1</v>
      </c>
      <c r="AU6515" t="s">
        <v>1593</v>
      </c>
      <c r="AV6515" t="s">
        <v>1594</v>
      </c>
      <c r="AW6515" t="s">
        <v>60</v>
      </c>
      <c r="AX6515" t="s">
        <v>68</v>
      </c>
      <c r="AY6515" t="s">
        <v>69</v>
      </c>
      <c r="AZ6515" t="b">
        <v>1</v>
      </c>
    </row>
    <row r="6516" spans="1:52" x14ac:dyDescent="0.3">
      <c r="A6516" t="s">
        <v>52</v>
      </c>
      <c r="B6516" t="s">
        <v>53</v>
      </c>
      <c r="C6516" t="s">
        <v>54</v>
      </c>
      <c r="D6516" t="s">
        <v>55</v>
      </c>
      <c r="E6516" t="s">
        <v>2295</v>
      </c>
      <c r="F6516" t="s">
        <v>1247</v>
      </c>
      <c r="G6516" t="s">
        <v>1595</v>
      </c>
      <c r="H6516" t="s">
        <v>1596</v>
      </c>
      <c r="I6516" t="s">
        <v>1596</v>
      </c>
      <c r="J6516" t="s">
        <v>60</v>
      </c>
      <c r="K6516" t="s">
        <v>530</v>
      </c>
      <c r="L6516" t="s">
        <v>62</v>
      </c>
      <c r="M6516" t="s">
        <v>530</v>
      </c>
      <c r="N6516" t="s">
        <v>1006</v>
      </c>
      <c r="O6516" t="s">
        <v>1597</v>
      </c>
      <c r="P6516">
        <v>-20.139135</v>
      </c>
      <c r="Q6516">
        <v>-44.895907000000001</v>
      </c>
      <c r="R6516" s="2" t="str">
        <f>HYPERLINK("https://www.google.com/maps?q=-20.1391350,-44.8959070","Abrir no Google Maps")</f>
        <v>Abrir no Google Maps</v>
      </c>
      <c r="S6516">
        <v>1</v>
      </c>
      <c r="T6516">
        <v>324.98342996447241</v>
      </c>
      <c r="U6516">
        <v>4</v>
      </c>
      <c r="V6516">
        <v>0.46220130268654352</v>
      </c>
      <c r="W6516">
        <v>1</v>
      </c>
      <c r="X6516">
        <v>0.46220130268654352</v>
      </c>
      <c r="Y6516">
        <v>588</v>
      </c>
      <c r="Z6516">
        <v>411.69998599301618</v>
      </c>
      <c r="AA6516">
        <v>198</v>
      </c>
      <c r="AB6516">
        <v>332</v>
      </c>
      <c r="AC6516">
        <v>536</v>
      </c>
      <c r="AD6516">
        <v>29.58</v>
      </c>
      <c r="AE6516">
        <v>542</v>
      </c>
      <c r="AF6516">
        <v>30</v>
      </c>
      <c r="AG6516">
        <v>169</v>
      </c>
      <c r="AH6516">
        <v>129</v>
      </c>
      <c r="AI6516">
        <v>5.54</v>
      </c>
      <c r="AJ6516">
        <v>31.18</v>
      </c>
      <c r="AK6516">
        <v>23.8</v>
      </c>
      <c r="AL6516">
        <v>-20.139299649999941</v>
      </c>
      <c r="AM6516">
        <v>-44.896005009217312</v>
      </c>
      <c r="AN6516">
        <v>-20.139299649999941</v>
      </c>
      <c r="AO6516">
        <v>-44.896005009217312</v>
      </c>
      <c r="AP6516">
        <v>-20.139135</v>
      </c>
      <c r="AQ6516">
        <v>-44.895907000000001</v>
      </c>
      <c r="AR6516">
        <v>20.996943428875841</v>
      </c>
      <c r="AS6516" t="s">
        <v>65</v>
      </c>
      <c r="AT6516">
        <v>1</v>
      </c>
      <c r="AU6516" t="s">
        <v>1598</v>
      </c>
      <c r="AV6516" t="s">
        <v>1599</v>
      </c>
      <c r="AW6516" t="s">
        <v>60</v>
      </c>
      <c r="AX6516" t="s">
        <v>68</v>
      </c>
      <c r="AY6516" t="s">
        <v>69</v>
      </c>
      <c r="AZ6516" t="b">
        <v>1</v>
      </c>
    </row>
    <row r="6517" spans="1:52" x14ac:dyDescent="0.3">
      <c r="A6517" t="s">
        <v>52</v>
      </c>
      <c r="B6517" t="s">
        <v>53</v>
      </c>
      <c r="C6517" t="s">
        <v>54</v>
      </c>
      <c r="D6517" t="s">
        <v>55</v>
      </c>
      <c r="E6517" t="s">
        <v>2295</v>
      </c>
      <c r="F6517" t="s">
        <v>1247</v>
      </c>
      <c r="G6517" t="s">
        <v>1584</v>
      </c>
      <c r="H6517" t="s">
        <v>1604</v>
      </c>
      <c r="I6517" t="s">
        <v>1604</v>
      </c>
      <c r="J6517" t="s">
        <v>60</v>
      </c>
      <c r="K6517" t="s">
        <v>530</v>
      </c>
      <c r="L6517" t="s">
        <v>62</v>
      </c>
      <c r="M6517" t="s">
        <v>530</v>
      </c>
      <c r="N6517" t="s">
        <v>406</v>
      </c>
      <c r="O6517" t="s">
        <v>1267</v>
      </c>
      <c r="P6517">
        <v>-20.147068000000001</v>
      </c>
      <c r="Q6517">
        <v>-44.898629999999997</v>
      </c>
      <c r="R6517" s="2" t="str">
        <f>HYPERLINK("https://www.google.com/maps?q=-20.1470680,-44.8986300","Abrir no Google Maps")</f>
        <v>Abrir no Google Maps</v>
      </c>
      <c r="S6517">
        <v>1</v>
      </c>
      <c r="T6517">
        <v>468.5580266389448</v>
      </c>
      <c r="U6517">
        <v>4</v>
      </c>
      <c r="V6517">
        <v>0.4929156400868851</v>
      </c>
      <c r="W6517">
        <v>1</v>
      </c>
      <c r="X6517">
        <v>0.4929156400868851</v>
      </c>
      <c r="Y6517">
        <v>556</v>
      </c>
      <c r="Z6517">
        <v>447.77738134922419</v>
      </c>
      <c r="AA6517">
        <v>198</v>
      </c>
      <c r="AB6517">
        <v>332</v>
      </c>
      <c r="AC6517">
        <v>536</v>
      </c>
      <c r="AD6517">
        <v>29.58</v>
      </c>
      <c r="AE6517">
        <v>542</v>
      </c>
      <c r="AF6517">
        <v>30</v>
      </c>
      <c r="AG6517">
        <v>169</v>
      </c>
      <c r="AH6517">
        <v>129</v>
      </c>
      <c r="AI6517">
        <v>5.54</v>
      </c>
      <c r="AJ6517">
        <v>31.18</v>
      </c>
      <c r="AK6517">
        <v>23.8</v>
      </c>
      <c r="AL6517">
        <v>-20.14701759999997</v>
      </c>
      <c r="AM6517">
        <v>-44.898633710342303</v>
      </c>
      <c r="AN6517">
        <v>-20.14701759999997</v>
      </c>
      <c r="AO6517">
        <v>-44.898633710342303</v>
      </c>
      <c r="AP6517">
        <v>-20.147068000000001</v>
      </c>
      <c r="AQ6517">
        <v>-44.898629999999997</v>
      </c>
      <c r="AR6517">
        <v>5.6239118246064832</v>
      </c>
      <c r="AS6517" t="s">
        <v>65</v>
      </c>
      <c r="AT6517">
        <v>1</v>
      </c>
      <c r="AU6517" t="s">
        <v>1605</v>
      </c>
      <c r="AV6517" t="s">
        <v>1606</v>
      </c>
      <c r="AW6517" t="s">
        <v>60</v>
      </c>
      <c r="AX6517" t="s">
        <v>68</v>
      </c>
      <c r="AY6517" t="s">
        <v>69</v>
      </c>
      <c r="AZ6517" t="b">
        <v>1</v>
      </c>
    </row>
    <row r="6518" spans="1:52" x14ac:dyDescent="0.3">
      <c r="A6518" t="s">
        <v>52</v>
      </c>
      <c r="B6518" t="s">
        <v>53</v>
      </c>
      <c r="C6518" t="s">
        <v>54</v>
      </c>
      <c r="D6518" t="s">
        <v>55</v>
      </c>
      <c r="E6518" t="s">
        <v>2295</v>
      </c>
      <c r="F6518" t="s">
        <v>1247</v>
      </c>
      <c r="G6518" t="s">
        <v>1342</v>
      </c>
      <c r="H6518" t="s">
        <v>1600</v>
      </c>
      <c r="I6518" t="s">
        <v>1600</v>
      </c>
      <c r="J6518" t="s">
        <v>60</v>
      </c>
      <c r="K6518" t="s">
        <v>462</v>
      </c>
      <c r="L6518" t="s">
        <v>62</v>
      </c>
      <c r="M6518" t="s">
        <v>462</v>
      </c>
      <c r="N6518" t="s">
        <v>921</v>
      </c>
      <c r="O6518" t="s">
        <v>1601</v>
      </c>
      <c r="P6518">
        <v>-20.140741999999999</v>
      </c>
      <c r="Q6518">
        <v>-44.902729000000001</v>
      </c>
      <c r="R6518" s="2" t="str">
        <f>HYPERLINK("https://www.google.com/maps?q=-20.1407420,-44.9027290","Abrir no Google Maps")</f>
        <v>Abrir no Google Maps</v>
      </c>
      <c r="S6518">
        <v>1</v>
      </c>
      <c r="T6518">
        <v>373.97936588503438</v>
      </c>
      <c r="U6518">
        <v>3</v>
      </c>
      <c r="V6518">
        <v>0.45743784239359458</v>
      </c>
      <c r="W6518">
        <v>1</v>
      </c>
      <c r="X6518">
        <v>0.45743784239359458</v>
      </c>
      <c r="Y6518">
        <v>588</v>
      </c>
      <c r="Z6518">
        <v>427.55758539734131</v>
      </c>
      <c r="AA6518">
        <v>198</v>
      </c>
      <c r="AB6518">
        <v>332</v>
      </c>
      <c r="AC6518">
        <v>536</v>
      </c>
      <c r="AD6518">
        <v>29.58</v>
      </c>
      <c r="AE6518">
        <v>542</v>
      </c>
      <c r="AF6518">
        <v>30</v>
      </c>
      <c r="AG6518">
        <v>169</v>
      </c>
      <c r="AH6518">
        <v>129</v>
      </c>
      <c r="AI6518">
        <v>5.54</v>
      </c>
      <c r="AJ6518">
        <v>31.18</v>
      </c>
      <c r="AK6518">
        <v>23.8</v>
      </c>
      <c r="AL6518">
        <v>-20.140729549999971</v>
      </c>
      <c r="AM6518">
        <v>-44.902779454814521</v>
      </c>
      <c r="AN6518">
        <v>-20.140729549999971</v>
      </c>
      <c r="AO6518">
        <v>-44.902779454814521</v>
      </c>
      <c r="AP6518">
        <v>-20.140741999999999</v>
      </c>
      <c r="AQ6518">
        <v>-44.902729000000001</v>
      </c>
      <c r="AR6518">
        <v>5.4522610212697993</v>
      </c>
      <c r="AS6518" t="s">
        <v>65</v>
      </c>
      <c r="AT6518">
        <v>1</v>
      </c>
      <c r="AU6518" t="s">
        <v>1602</v>
      </c>
      <c r="AV6518" t="s">
        <v>1603</v>
      </c>
      <c r="AW6518" t="s">
        <v>60</v>
      </c>
      <c r="AX6518" t="s">
        <v>68</v>
      </c>
      <c r="AY6518" t="s">
        <v>69</v>
      </c>
      <c r="AZ6518" t="b">
        <v>1</v>
      </c>
    </row>
    <row r="6519" spans="1:52" x14ac:dyDescent="0.3">
      <c r="A6519" t="s">
        <v>52</v>
      </c>
      <c r="B6519" t="s">
        <v>53</v>
      </c>
      <c r="C6519" t="s">
        <v>54</v>
      </c>
      <c r="D6519" t="s">
        <v>55</v>
      </c>
      <c r="E6519" t="s">
        <v>2295</v>
      </c>
      <c r="F6519" t="s">
        <v>1247</v>
      </c>
      <c r="G6519" t="s">
        <v>1569</v>
      </c>
      <c r="H6519" t="s">
        <v>1570</v>
      </c>
      <c r="I6519" t="s">
        <v>1570</v>
      </c>
      <c r="J6519" t="s">
        <v>60</v>
      </c>
      <c r="K6519" t="s">
        <v>530</v>
      </c>
      <c r="L6519" t="s">
        <v>62</v>
      </c>
      <c r="M6519" t="s">
        <v>530</v>
      </c>
      <c r="N6519" t="s">
        <v>1571</v>
      </c>
      <c r="O6519" t="s">
        <v>598</v>
      </c>
      <c r="P6519">
        <v>-20.146418000000001</v>
      </c>
      <c r="Q6519">
        <v>-44.893861999999999</v>
      </c>
      <c r="R6519" s="2" t="str">
        <f>HYPERLINK("https://www.google.com/maps?q=-20.1464180,-44.8938620","Abrir no Google Maps")</f>
        <v>Abrir no Google Maps</v>
      </c>
      <c r="S6519">
        <v>1</v>
      </c>
      <c r="T6519">
        <v>0</v>
      </c>
      <c r="U6519">
        <v>2</v>
      </c>
      <c r="V6519">
        <v>0.49434377067725338</v>
      </c>
      <c r="W6519">
        <v>0.85</v>
      </c>
      <c r="X6519">
        <v>0.42019220507566529</v>
      </c>
      <c r="Y6519">
        <v>602</v>
      </c>
      <c r="Z6519">
        <v>124.5475134899211</v>
      </c>
      <c r="AA6519">
        <v>198</v>
      </c>
      <c r="AB6519">
        <v>332</v>
      </c>
      <c r="AC6519">
        <v>536</v>
      </c>
      <c r="AD6519">
        <v>29.58</v>
      </c>
      <c r="AE6519">
        <v>542</v>
      </c>
      <c r="AF6519">
        <v>30</v>
      </c>
      <c r="AG6519">
        <v>169</v>
      </c>
      <c r="AH6519">
        <v>129</v>
      </c>
      <c r="AI6519">
        <v>5.54</v>
      </c>
      <c r="AJ6519">
        <v>31.18</v>
      </c>
      <c r="AK6519">
        <v>23.8</v>
      </c>
      <c r="AL6519">
        <v>-20.146753399999941</v>
      </c>
      <c r="AM6519">
        <v>-44.893993355901941</v>
      </c>
      <c r="AN6519">
        <v>-20.146753399999941</v>
      </c>
      <c r="AO6519">
        <v>-44.893993355901941</v>
      </c>
      <c r="AP6519">
        <v>-20.146418000000001</v>
      </c>
      <c r="AQ6519">
        <v>-44.893861999999999</v>
      </c>
      <c r="AR6519">
        <v>39.780457157851913</v>
      </c>
      <c r="AS6519" t="s">
        <v>65</v>
      </c>
      <c r="AT6519">
        <v>1</v>
      </c>
      <c r="AU6519" t="s">
        <v>1572</v>
      </c>
      <c r="AV6519" t="s">
        <v>1573</v>
      </c>
      <c r="AW6519" t="s">
        <v>60</v>
      </c>
      <c r="AX6519" t="s">
        <v>68</v>
      </c>
      <c r="AY6519" t="s">
        <v>69</v>
      </c>
      <c r="AZ6519" t="b">
        <v>1</v>
      </c>
    </row>
    <row r="6520" spans="1:52" x14ac:dyDescent="0.3">
      <c r="A6520" t="s">
        <v>52</v>
      </c>
      <c r="B6520" t="s">
        <v>53</v>
      </c>
      <c r="C6520" t="s">
        <v>54</v>
      </c>
      <c r="D6520" t="s">
        <v>55</v>
      </c>
      <c r="E6520" t="s">
        <v>2295</v>
      </c>
      <c r="F6520" t="s">
        <v>1247</v>
      </c>
      <c r="G6520" t="s">
        <v>1612</v>
      </c>
      <c r="H6520" t="s">
        <v>1613</v>
      </c>
      <c r="I6520" t="s">
        <v>1613</v>
      </c>
      <c r="J6520" t="s">
        <v>60</v>
      </c>
      <c r="K6520" t="s">
        <v>1349</v>
      </c>
      <c r="L6520" t="s">
        <v>62</v>
      </c>
      <c r="M6520" t="s">
        <v>1349</v>
      </c>
      <c r="N6520" t="s">
        <v>1614</v>
      </c>
      <c r="O6520" t="s">
        <v>710</v>
      </c>
      <c r="P6520">
        <v>-20.141335999999999</v>
      </c>
      <c r="Q6520">
        <v>-44.901133000000002</v>
      </c>
      <c r="R6520" s="2" t="str">
        <f>HYPERLINK("https://www.google.com/maps?q=-20.1413360,-44.9011330","Abrir no Google Maps")</f>
        <v>Abrir no Google Maps</v>
      </c>
      <c r="S6520">
        <v>1</v>
      </c>
      <c r="T6520">
        <v>257.92927430829218</v>
      </c>
      <c r="U6520">
        <v>2</v>
      </c>
      <c r="V6520">
        <v>0.48091644413483497</v>
      </c>
      <c r="W6520">
        <v>0.85</v>
      </c>
      <c r="X6520">
        <v>0.40877897751460968</v>
      </c>
      <c r="Y6520">
        <v>588</v>
      </c>
      <c r="Z6520">
        <v>252.62617475231269</v>
      </c>
      <c r="AA6520">
        <v>198</v>
      </c>
      <c r="AB6520">
        <v>332</v>
      </c>
      <c r="AC6520">
        <v>536</v>
      </c>
      <c r="AD6520">
        <v>29.58</v>
      </c>
      <c r="AE6520">
        <v>542</v>
      </c>
      <c r="AF6520">
        <v>30</v>
      </c>
      <c r="AG6520">
        <v>169</v>
      </c>
      <c r="AH6520">
        <v>129</v>
      </c>
      <c r="AI6520">
        <v>5.54</v>
      </c>
      <c r="AJ6520">
        <v>31.18</v>
      </c>
      <c r="AK6520">
        <v>23.8</v>
      </c>
      <c r="AL6520">
        <v>-20.141297649999959</v>
      </c>
      <c r="AM6520">
        <v>-44.901104406351408</v>
      </c>
      <c r="AN6520">
        <v>-20.141297649999959</v>
      </c>
      <c r="AO6520">
        <v>-44.901104406351408</v>
      </c>
      <c r="AP6520">
        <v>-20.141335999999999</v>
      </c>
      <c r="AQ6520">
        <v>-44.901133000000002</v>
      </c>
      <c r="AR6520">
        <v>5.211130154459668</v>
      </c>
      <c r="AS6520" t="s">
        <v>65</v>
      </c>
      <c r="AT6520">
        <v>1</v>
      </c>
      <c r="AU6520" t="s">
        <v>1615</v>
      </c>
      <c r="AV6520" t="s">
        <v>1616</v>
      </c>
      <c r="AW6520" t="s">
        <v>60</v>
      </c>
      <c r="AX6520" t="s">
        <v>68</v>
      </c>
      <c r="AY6520" t="s">
        <v>69</v>
      </c>
      <c r="AZ6520" t="b">
        <v>1</v>
      </c>
    </row>
    <row r="6521" spans="1:52" x14ac:dyDescent="0.3">
      <c r="A6521" t="s">
        <v>52</v>
      </c>
      <c r="B6521" t="s">
        <v>53</v>
      </c>
      <c r="C6521" t="s">
        <v>54</v>
      </c>
      <c r="D6521" t="s">
        <v>55</v>
      </c>
      <c r="E6521" t="s">
        <v>2296</v>
      </c>
      <c r="F6521" t="s">
        <v>57</v>
      </c>
      <c r="G6521" t="s">
        <v>100</v>
      </c>
      <c r="H6521" t="s">
        <v>101</v>
      </c>
      <c r="I6521" t="s">
        <v>101</v>
      </c>
      <c r="J6521" t="s">
        <v>60</v>
      </c>
      <c r="K6521" t="s">
        <v>61</v>
      </c>
      <c r="L6521" t="s">
        <v>62</v>
      </c>
      <c r="M6521" t="s">
        <v>61</v>
      </c>
      <c r="N6521" t="s">
        <v>102</v>
      </c>
      <c r="O6521" t="s">
        <v>103</v>
      </c>
      <c r="P6521">
        <v>-20.151098999999999</v>
      </c>
      <c r="Q6521">
        <v>-44.909699000000003</v>
      </c>
      <c r="R6521" s="2" t="str">
        <f>HYPERLINK("https://www.google.com/maps?q=-20.1510990,-44.9096990","Abrir no Google Maps")</f>
        <v>Abrir no Google Maps</v>
      </c>
      <c r="S6521">
        <v>4</v>
      </c>
      <c r="T6521">
        <v>628.5023128813533</v>
      </c>
      <c r="U6521">
        <v>4</v>
      </c>
      <c r="V6521">
        <v>0.23547712053571429</v>
      </c>
      <c r="W6521">
        <v>1</v>
      </c>
      <c r="X6521">
        <v>0.23547712053571429</v>
      </c>
      <c r="Y6521">
        <v>747</v>
      </c>
      <c r="Z6521">
        <v>563.16456625265948</v>
      </c>
      <c r="AA6521">
        <v>198</v>
      </c>
      <c r="AB6521">
        <v>332</v>
      </c>
      <c r="AC6521">
        <v>536</v>
      </c>
      <c r="AD6521">
        <v>28.93</v>
      </c>
      <c r="AE6521">
        <v>542</v>
      </c>
      <c r="AF6521">
        <v>29</v>
      </c>
      <c r="AG6521">
        <v>166</v>
      </c>
      <c r="AH6521">
        <v>129</v>
      </c>
      <c r="AI6521">
        <v>5.35</v>
      </c>
      <c r="AJ6521">
        <v>30.63</v>
      </c>
      <c r="AK6521">
        <v>23.8</v>
      </c>
      <c r="AL6521">
        <v>-20.151307349999971</v>
      </c>
      <c r="AM6521">
        <v>-44.909772836123523</v>
      </c>
      <c r="AN6521">
        <v>-20.151307349999971</v>
      </c>
      <c r="AO6521">
        <v>-44.909772836123523</v>
      </c>
      <c r="AP6521">
        <v>-20.151098999999999</v>
      </c>
      <c r="AQ6521">
        <v>-44.909699000000003</v>
      </c>
      <c r="AR6521">
        <v>24.443417349564811</v>
      </c>
      <c r="AS6521" t="s">
        <v>65</v>
      </c>
      <c r="AT6521">
        <v>1</v>
      </c>
      <c r="AU6521" t="s">
        <v>104</v>
      </c>
      <c r="AV6521" t="s">
        <v>105</v>
      </c>
      <c r="AW6521" t="s">
        <v>60</v>
      </c>
      <c r="AX6521" t="s">
        <v>68</v>
      </c>
      <c r="AY6521" t="s">
        <v>69</v>
      </c>
      <c r="AZ6521" t="b">
        <v>1</v>
      </c>
    </row>
    <row r="6522" spans="1:52" x14ac:dyDescent="0.3">
      <c r="A6522" t="s">
        <v>52</v>
      </c>
      <c r="B6522" t="s">
        <v>53</v>
      </c>
      <c r="C6522" t="s">
        <v>54</v>
      </c>
      <c r="D6522" t="s">
        <v>55</v>
      </c>
      <c r="E6522" t="s">
        <v>2296</v>
      </c>
      <c r="F6522" t="s">
        <v>57</v>
      </c>
      <c r="G6522" t="s">
        <v>1263</v>
      </c>
      <c r="H6522" t="s">
        <v>1264</v>
      </c>
      <c r="I6522" t="s">
        <v>1264</v>
      </c>
      <c r="J6522" t="s">
        <v>60</v>
      </c>
      <c r="K6522" t="s">
        <v>1265</v>
      </c>
      <c r="L6522" t="s">
        <v>62</v>
      </c>
      <c r="M6522" t="s">
        <v>1265</v>
      </c>
      <c r="N6522" t="s">
        <v>1266</v>
      </c>
      <c r="O6522" t="s">
        <v>1267</v>
      </c>
      <c r="P6522">
        <v>-20.116924000000001</v>
      </c>
      <c r="Q6522">
        <v>-44.906587000000002</v>
      </c>
      <c r="R6522" s="2" t="str">
        <f>HYPERLINK("https://www.google.com/maps?q=-20.1169240,-44.9065870","Abrir no Google Maps")</f>
        <v>Abrir no Google Maps</v>
      </c>
      <c r="S6522">
        <v>4</v>
      </c>
      <c r="T6522">
        <v>745.10453961787857</v>
      </c>
      <c r="U6522">
        <v>4</v>
      </c>
      <c r="V6522">
        <v>0.30132113821138218</v>
      </c>
      <c r="W6522">
        <v>0.85</v>
      </c>
      <c r="X6522">
        <v>0.25612296747967478</v>
      </c>
      <c r="Y6522">
        <v>567</v>
      </c>
      <c r="Z6522">
        <v>816.44456345071217</v>
      </c>
      <c r="AA6522">
        <v>198</v>
      </c>
      <c r="AB6522">
        <v>332</v>
      </c>
      <c r="AC6522">
        <v>536</v>
      </c>
      <c r="AD6522">
        <v>28.93</v>
      </c>
      <c r="AE6522">
        <v>542</v>
      </c>
      <c r="AF6522">
        <v>29</v>
      </c>
      <c r="AG6522">
        <v>166</v>
      </c>
      <c r="AH6522">
        <v>129</v>
      </c>
      <c r="AI6522">
        <v>5.35</v>
      </c>
      <c r="AJ6522">
        <v>30.63</v>
      </c>
      <c r="AK6522">
        <v>23.8</v>
      </c>
      <c r="AL6522">
        <v>-20.117279149999941</v>
      </c>
      <c r="AM6522">
        <v>-44.906397211815133</v>
      </c>
      <c r="AN6522">
        <v>-20.117279149999941</v>
      </c>
      <c r="AO6522">
        <v>-44.906397211815133</v>
      </c>
      <c r="AP6522">
        <v>-20.116924000000001</v>
      </c>
      <c r="AQ6522">
        <v>-44.906587000000002</v>
      </c>
      <c r="AR6522">
        <v>44.233430660980403</v>
      </c>
      <c r="AS6522" t="s">
        <v>65</v>
      </c>
      <c r="AT6522">
        <v>1</v>
      </c>
      <c r="AU6522" t="s">
        <v>1268</v>
      </c>
      <c r="AV6522" t="s">
        <v>1269</v>
      </c>
      <c r="AW6522" t="s">
        <v>60</v>
      </c>
      <c r="AX6522" t="s">
        <v>68</v>
      </c>
      <c r="AY6522" t="s">
        <v>69</v>
      </c>
      <c r="AZ6522" t="b">
        <v>1</v>
      </c>
    </row>
    <row r="6523" spans="1:52" x14ac:dyDescent="0.3">
      <c r="A6523" t="s">
        <v>52</v>
      </c>
      <c r="B6523" t="s">
        <v>53</v>
      </c>
      <c r="C6523" t="s">
        <v>54</v>
      </c>
      <c r="D6523" t="s">
        <v>55</v>
      </c>
      <c r="E6523" t="s">
        <v>2296</v>
      </c>
      <c r="F6523" t="s">
        <v>57</v>
      </c>
      <c r="G6523" t="s">
        <v>1127</v>
      </c>
      <c r="H6523" t="s">
        <v>1270</v>
      </c>
      <c r="I6523" t="s">
        <v>1270</v>
      </c>
      <c r="J6523" t="s">
        <v>60</v>
      </c>
      <c r="K6523" t="s">
        <v>200</v>
      </c>
      <c r="L6523" t="s">
        <v>62</v>
      </c>
      <c r="M6523" t="s">
        <v>200</v>
      </c>
      <c r="N6523" t="s">
        <v>1271</v>
      </c>
      <c r="O6523" t="s">
        <v>315</v>
      </c>
      <c r="P6523">
        <v>-20.123483</v>
      </c>
      <c r="Q6523">
        <v>-44.904159</v>
      </c>
      <c r="R6523" s="2" t="str">
        <f>HYPERLINK("https://www.google.com/maps?q=-20.1234830,-44.9041590","Abrir no Google Maps")</f>
        <v>Abrir no Google Maps</v>
      </c>
      <c r="S6523">
        <v>4</v>
      </c>
      <c r="T6523">
        <v>1046.2792913459141</v>
      </c>
      <c r="U6523">
        <v>4</v>
      </c>
      <c r="V6523">
        <v>0.45833333333333331</v>
      </c>
      <c r="W6523">
        <v>0.85</v>
      </c>
      <c r="X6523">
        <v>0.38958333333333328</v>
      </c>
      <c r="Y6523">
        <v>567</v>
      </c>
      <c r="Z6523">
        <v>1072.1273144328541</v>
      </c>
      <c r="AA6523">
        <v>198</v>
      </c>
      <c r="AB6523">
        <v>332</v>
      </c>
      <c r="AC6523">
        <v>536</v>
      </c>
      <c r="AD6523">
        <v>28.93</v>
      </c>
      <c r="AE6523">
        <v>542</v>
      </c>
      <c r="AF6523">
        <v>29</v>
      </c>
      <c r="AG6523">
        <v>166</v>
      </c>
      <c r="AH6523">
        <v>129</v>
      </c>
      <c r="AI6523">
        <v>5.35</v>
      </c>
      <c r="AJ6523">
        <v>30.63</v>
      </c>
      <c r="AK6523">
        <v>23.8</v>
      </c>
      <c r="AL6523">
        <v>-20.12548399999994</v>
      </c>
      <c r="AM6523">
        <v>-44.903913990586467</v>
      </c>
      <c r="AN6523">
        <v>-20.12548399999994</v>
      </c>
      <c r="AO6523">
        <v>-44.903913990586467</v>
      </c>
      <c r="AP6523">
        <v>-20.123483</v>
      </c>
      <c r="AQ6523">
        <v>-44.904159</v>
      </c>
      <c r="AR6523">
        <v>224.218591682908</v>
      </c>
      <c r="AS6523" t="s">
        <v>65</v>
      </c>
      <c r="AT6523">
        <v>1</v>
      </c>
      <c r="AU6523" t="s">
        <v>1272</v>
      </c>
      <c r="AV6523" t="s">
        <v>1273</v>
      </c>
      <c r="AW6523" t="s">
        <v>60</v>
      </c>
      <c r="AX6523" t="s">
        <v>68</v>
      </c>
      <c r="AY6523" t="s">
        <v>69</v>
      </c>
      <c r="AZ6523" t="b">
        <v>1</v>
      </c>
    </row>
    <row r="6524" spans="1:52" x14ac:dyDescent="0.3">
      <c r="A6524" t="s">
        <v>52</v>
      </c>
      <c r="B6524" t="s">
        <v>53</v>
      </c>
      <c r="C6524" t="s">
        <v>54</v>
      </c>
      <c r="D6524" t="s">
        <v>55</v>
      </c>
      <c r="E6524" t="s">
        <v>2296</v>
      </c>
      <c r="F6524" t="s">
        <v>57</v>
      </c>
      <c r="G6524" t="s">
        <v>219</v>
      </c>
      <c r="H6524" t="s">
        <v>2129</v>
      </c>
      <c r="I6524" t="s">
        <v>2129</v>
      </c>
      <c r="J6524" t="s">
        <v>60</v>
      </c>
      <c r="K6524" t="s">
        <v>1165</v>
      </c>
      <c r="L6524" t="s">
        <v>62</v>
      </c>
      <c r="M6524" t="s">
        <v>1165</v>
      </c>
      <c r="N6524" t="s">
        <v>221</v>
      </c>
      <c r="O6524" t="s">
        <v>2130</v>
      </c>
      <c r="P6524">
        <v>-20.156721000000001</v>
      </c>
      <c r="Q6524">
        <v>-44.862000000000002</v>
      </c>
      <c r="R6524" s="2" t="str">
        <f>HYPERLINK("https://www.google.com/maps?q=-20.1567210,-44.8620000","Abrir no Google Maps")</f>
        <v>Abrir no Google Maps</v>
      </c>
      <c r="S6524">
        <v>4</v>
      </c>
      <c r="T6524">
        <v>471.61852854830028</v>
      </c>
      <c r="U6524">
        <v>4</v>
      </c>
      <c r="V6524">
        <v>0.25301752645502651</v>
      </c>
      <c r="W6524">
        <v>0.85</v>
      </c>
      <c r="X6524">
        <v>0.21506489748677249</v>
      </c>
      <c r="Y6524">
        <v>518</v>
      </c>
      <c r="Z6524">
        <v>453.51649447198128</v>
      </c>
      <c r="AA6524">
        <v>198</v>
      </c>
      <c r="AB6524">
        <v>332</v>
      </c>
      <c r="AC6524">
        <v>536</v>
      </c>
      <c r="AD6524">
        <v>28.93</v>
      </c>
      <c r="AE6524">
        <v>542</v>
      </c>
      <c r="AF6524">
        <v>29</v>
      </c>
      <c r="AG6524">
        <v>166</v>
      </c>
      <c r="AH6524">
        <v>129</v>
      </c>
      <c r="AI6524">
        <v>5.35</v>
      </c>
      <c r="AJ6524">
        <v>30.63</v>
      </c>
      <c r="AK6524">
        <v>23.8</v>
      </c>
      <c r="AL6524">
        <v>-20.156574899999949</v>
      </c>
      <c r="AM6524">
        <v>-44.861856840496699</v>
      </c>
      <c r="AN6524">
        <v>-20.156574899999949</v>
      </c>
      <c r="AO6524">
        <v>-44.861856840496699</v>
      </c>
      <c r="AP6524">
        <v>-20.156721000000001</v>
      </c>
      <c r="AQ6524">
        <v>-44.862000000000002</v>
      </c>
      <c r="AR6524">
        <v>22.09816067181935</v>
      </c>
      <c r="AS6524" t="s">
        <v>65</v>
      </c>
      <c r="AT6524">
        <v>1</v>
      </c>
      <c r="AU6524" t="s">
        <v>2131</v>
      </c>
      <c r="AV6524" t="s">
        <v>2132</v>
      </c>
      <c r="AW6524" t="s">
        <v>60</v>
      </c>
      <c r="AX6524" t="s">
        <v>68</v>
      </c>
      <c r="AY6524" t="s">
        <v>69</v>
      </c>
      <c r="AZ6524" t="b">
        <v>1</v>
      </c>
    </row>
    <row r="6525" spans="1:52" x14ac:dyDescent="0.3">
      <c r="A6525" t="s">
        <v>52</v>
      </c>
      <c r="B6525" t="s">
        <v>53</v>
      </c>
      <c r="C6525" t="s">
        <v>54</v>
      </c>
      <c r="D6525" t="s">
        <v>55</v>
      </c>
      <c r="E6525" t="s">
        <v>2296</v>
      </c>
      <c r="F6525" t="s">
        <v>57</v>
      </c>
      <c r="G6525" t="s">
        <v>2297</v>
      </c>
      <c r="H6525" t="s">
        <v>2298</v>
      </c>
      <c r="I6525" t="s">
        <v>2298</v>
      </c>
      <c r="J6525" t="s">
        <v>60</v>
      </c>
      <c r="K6525" t="s">
        <v>129</v>
      </c>
      <c r="L6525" t="s">
        <v>62</v>
      </c>
      <c r="M6525" t="s">
        <v>129</v>
      </c>
      <c r="N6525" t="s">
        <v>2299</v>
      </c>
      <c r="O6525" t="s">
        <v>315</v>
      </c>
      <c r="P6525">
        <v>-20.124092999999998</v>
      </c>
      <c r="Q6525">
        <v>-44.864420000000003</v>
      </c>
      <c r="R6525" s="2" t="str">
        <f>HYPERLINK("https://www.google.com/maps?q=-20.1240930,-44.8644200","Abrir no Google Maps")</f>
        <v>Abrir no Google Maps</v>
      </c>
      <c r="S6525">
        <v>4</v>
      </c>
      <c r="T6525">
        <v>725.19757464545421</v>
      </c>
      <c r="U6525">
        <v>4</v>
      </c>
      <c r="V6525">
        <v>0.34935897435897439</v>
      </c>
      <c r="W6525">
        <v>0.85</v>
      </c>
      <c r="X6525">
        <v>0.2969551282051282</v>
      </c>
      <c r="Y6525">
        <v>347</v>
      </c>
      <c r="Z6525">
        <v>993.19800122069512</v>
      </c>
      <c r="AA6525">
        <v>198</v>
      </c>
      <c r="AB6525">
        <v>332</v>
      </c>
      <c r="AC6525">
        <v>536</v>
      </c>
      <c r="AD6525">
        <v>28.93</v>
      </c>
      <c r="AE6525">
        <v>542</v>
      </c>
      <c r="AF6525">
        <v>29</v>
      </c>
      <c r="AG6525">
        <v>166</v>
      </c>
      <c r="AH6525">
        <v>129</v>
      </c>
      <c r="AI6525">
        <v>5.35</v>
      </c>
      <c r="AJ6525">
        <v>30.63</v>
      </c>
      <c r="AK6525">
        <v>23.8</v>
      </c>
      <c r="AL6525">
        <v>-20.125032199999939</v>
      </c>
      <c r="AM6525">
        <v>-44.864768902503343</v>
      </c>
      <c r="AN6525">
        <v>-20.125032199999939</v>
      </c>
      <c r="AO6525">
        <v>-44.864768902503343</v>
      </c>
      <c r="AP6525">
        <v>-20.124092999999998</v>
      </c>
      <c r="AQ6525">
        <v>-44.864420000000003</v>
      </c>
      <c r="AR6525">
        <v>110.7294587996726</v>
      </c>
      <c r="AS6525" t="s">
        <v>65</v>
      </c>
      <c r="AT6525">
        <v>1</v>
      </c>
      <c r="AU6525" t="s">
        <v>2300</v>
      </c>
      <c r="AV6525" t="s">
        <v>2301</v>
      </c>
      <c r="AW6525" t="s">
        <v>60</v>
      </c>
      <c r="AX6525" t="s">
        <v>68</v>
      </c>
      <c r="AY6525" t="s">
        <v>69</v>
      </c>
      <c r="AZ6525" t="b">
        <v>1</v>
      </c>
    </row>
    <row r="6526" spans="1:52" x14ac:dyDescent="0.3">
      <c r="A6526" t="s">
        <v>52</v>
      </c>
      <c r="B6526" t="s">
        <v>53</v>
      </c>
      <c r="C6526" t="s">
        <v>54</v>
      </c>
      <c r="D6526" t="s">
        <v>55</v>
      </c>
      <c r="E6526" t="s">
        <v>2296</v>
      </c>
      <c r="F6526" t="s">
        <v>57</v>
      </c>
      <c r="G6526" t="s">
        <v>1623</v>
      </c>
      <c r="H6526" t="s">
        <v>1624</v>
      </c>
      <c r="I6526" t="s">
        <v>1624</v>
      </c>
      <c r="J6526" t="s">
        <v>60</v>
      </c>
      <c r="K6526" t="s">
        <v>281</v>
      </c>
      <c r="L6526" t="s">
        <v>62</v>
      </c>
      <c r="M6526" t="s">
        <v>281</v>
      </c>
      <c r="N6526" t="s">
        <v>1625</v>
      </c>
      <c r="O6526" t="s">
        <v>1538</v>
      </c>
      <c r="P6526">
        <v>-20.177247000000001</v>
      </c>
      <c r="Q6526">
        <v>-44.848650999999997</v>
      </c>
      <c r="R6526" s="2" t="str">
        <f>HYPERLINK("https://www.google.com/maps?q=-20.1772470,-44.8486510","Abrir no Google Maps")</f>
        <v>Abrir no Google Maps</v>
      </c>
      <c r="S6526">
        <v>4</v>
      </c>
      <c r="T6526">
        <v>1293.074917502197</v>
      </c>
      <c r="U6526">
        <v>4</v>
      </c>
      <c r="V6526">
        <v>0.19357012407363361</v>
      </c>
      <c r="W6526">
        <v>1</v>
      </c>
      <c r="X6526">
        <v>0.19357012407363361</v>
      </c>
      <c r="Y6526">
        <v>292</v>
      </c>
      <c r="Z6526">
        <v>1225.3954943545491</v>
      </c>
      <c r="AA6526">
        <v>198</v>
      </c>
      <c r="AB6526">
        <v>332</v>
      </c>
      <c r="AC6526">
        <v>536</v>
      </c>
      <c r="AD6526">
        <v>28.93</v>
      </c>
      <c r="AE6526">
        <v>542</v>
      </c>
      <c r="AF6526">
        <v>29</v>
      </c>
      <c r="AG6526">
        <v>166</v>
      </c>
      <c r="AH6526">
        <v>129</v>
      </c>
      <c r="AI6526">
        <v>5.35</v>
      </c>
      <c r="AJ6526">
        <v>30.63</v>
      </c>
      <c r="AK6526">
        <v>23.8</v>
      </c>
      <c r="AL6526">
        <v>-20.17729789999996</v>
      </c>
      <c r="AM6526">
        <v>-44.848543982702637</v>
      </c>
      <c r="AN6526">
        <v>-20.17729789999996</v>
      </c>
      <c r="AO6526">
        <v>-44.848543982702637</v>
      </c>
      <c r="AP6526">
        <v>-20.177247000000001</v>
      </c>
      <c r="AQ6526">
        <v>-44.848650999999997</v>
      </c>
      <c r="AR6526">
        <v>12.53570773213052</v>
      </c>
      <c r="AS6526" t="s">
        <v>65</v>
      </c>
      <c r="AT6526">
        <v>1</v>
      </c>
      <c r="AU6526" t="s">
        <v>1626</v>
      </c>
      <c r="AV6526" t="s">
        <v>1627</v>
      </c>
      <c r="AW6526" t="s">
        <v>60</v>
      </c>
      <c r="AX6526" t="s">
        <v>68</v>
      </c>
      <c r="AY6526" t="s">
        <v>69</v>
      </c>
      <c r="AZ6526" t="b">
        <v>1</v>
      </c>
    </row>
    <row r="6527" spans="1:52" x14ac:dyDescent="0.3">
      <c r="A6527" t="s">
        <v>52</v>
      </c>
      <c r="B6527" t="s">
        <v>53</v>
      </c>
      <c r="C6527" t="s">
        <v>54</v>
      </c>
      <c r="D6527" t="s">
        <v>55</v>
      </c>
      <c r="E6527" t="s">
        <v>2296</v>
      </c>
      <c r="F6527" t="s">
        <v>57</v>
      </c>
      <c r="G6527" t="s">
        <v>1628</v>
      </c>
      <c r="H6527" t="s">
        <v>1629</v>
      </c>
      <c r="I6527" t="s">
        <v>1629</v>
      </c>
      <c r="J6527" t="s">
        <v>60</v>
      </c>
      <c r="K6527" t="s">
        <v>136</v>
      </c>
      <c r="L6527" t="s">
        <v>62</v>
      </c>
      <c r="M6527" t="s">
        <v>136</v>
      </c>
      <c r="N6527" t="s">
        <v>1630</v>
      </c>
      <c r="O6527" t="s">
        <v>103</v>
      </c>
      <c r="P6527">
        <v>-20.169488999999999</v>
      </c>
      <c r="Q6527">
        <v>-44.848812000000002</v>
      </c>
      <c r="R6527" s="2" t="str">
        <f>HYPERLINK("https://www.google.com/maps?q=-20.1694890,-44.8488120","Abrir no Google Maps")</f>
        <v>Abrir no Google Maps</v>
      </c>
      <c r="S6527">
        <v>4</v>
      </c>
      <c r="T6527">
        <v>426.92881761579793</v>
      </c>
      <c r="U6527">
        <v>4</v>
      </c>
      <c r="V6527">
        <v>0.22829003287814539</v>
      </c>
      <c r="W6527">
        <v>1</v>
      </c>
      <c r="X6527">
        <v>0.22829003287814539</v>
      </c>
      <c r="Y6527">
        <v>292</v>
      </c>
      <c r="Z6527">
        <v>345.01829288722871</v>
      </c>
      <c r="AA6527">
        <v>198</v>
      </c>
      <c r="AB6527">
        <v>332</v>
      </c>
      <c r="AC6527">
        <v>536</v>
      </c>
      <c r="AD6527">
        <v>28.93</v>
      </c>
      <c r="AE6527">
        <v>542</v>
      </c>
      <c r="AF6527">
        <v>29</v>
      </c>
      <c r="AG6527">
        <v>166</v>
      </c>
      <c r="AH6527">
        <v>129</v>
      </c>
      <c r="AI6527">
        <v>5.35</v>
      </c>
      <c r="AJ6527">
        <v>30.63</v>
      </c>
      <c r="AK6527">
        <v>23.8</v>
      </c>
      <c r="AL6527">
        <v>-20.169293749999959</v>
      </c>
      <c r="AM6527">
        <v>-44.848899945665508</v>
      </c>
      <c r="AN6527">
        <v>-20.169293749999959</v>
      </c>
      <c r="AO6527">
        <v>-44.848899945665508</v>
      </c>
      <c r="AP6527">
        <v>-20.169488999999999</v>
      </c>
      <c r="AQ6527">
        <v>-44.848812000000002</v>
      </c>
      <c r="AR6527">
        <v>23.598134321543789</v>
      </c>
      <c r="AS6527" t="s">
        <v>65</v>
      </c>
      <c r="AT6527">
        <v>1</v>
      </c>
      <c r="AU6527" t="s">
        <v>1631</v>
      </c>
      <c r="AV6527" t="s">
        <v>1632</v>
      </c>
      <c r="AW6527" t="s">
        <v>60</v>
      </c>
      <c r="AX6527" t="s">
        <v>68</v>
      </c>
      <c r="AY6527" t="s">
        <v>69</v>
      </c>
      <c r="AZ6527" t="b">
        <v>1</v>
      </c>
    </row>
    <row r="6528" spans="1:52" x14ac:dyDescent="0.3">
      <c r="A6528" t="s">
        <v>52</v>
      </c>
      <c r="B6528" t="s">
        <v>53</v>
      </c>
      <c r="C6528" t="s">
        <v>54</v>
      </c>
      <c r="D6528" t="s">
        <v>55</v>
      </c>
      <c r="E6528" t="s">
        <v>2296</v>
      </c>
      <c r="F6528" t="s">
        <v>57</v>
      </c>
      <c r="G6528" t="s">
        <v>1193</v>
      </c>
      <c r="H6528" t="s">
        <v>2302</v>
      </c>
      <c r="I6528" t="s">
        <v>2302</v>
      </c>
      <c r="J6528" t="s">
        <v>60</v>
      </c>
      <c r="K6528" t="s">
        <v>2303</v>
      </c>
      <c r="L6528" t="s">
        <v>62</v>
      </c>
      <c r="M6528" t="s">
        <v>2303</v>
      </c>
      <c r="N6528" t="s">
        <v>2304</v>
      </c>
      <c r="O6528" t="s">
        <v>1932</v>
      </c>
      <c r="P6528">
        <v>-20.175595000000001</v>
      </c>
      <c r="Q6528">
        <v>-44.829937999999999</v>
      </c>
      <c r="R6528" s="2" t="str">
        <f>HYPERLINK("https://www.google.com/maps?q=-20.1755950,-44.8299380","Abrir no Google Maps")</f>
        <v>Abrir no Google Maps</v>
      </c>
      <c r="S6528">
        <v>4</v>
      </c>
      <c r="T6528">
        <v>2120.303409172112</v>
      </c>
      <c r="U6528">
        <v>4</v>
      </c>
      <c r="V6528">
        <v>0.56292087542087543</v>
      </c>
      <c r="W6528">
        <v>0.85</v>
      </c>
      <c r="X6528">
        <v>0.47848274410774411</v>
      </c>
      <c r="Y6528">
        <v>292</v>
      </c>
      <c r="Z6528">
        <v>2178.702978771285</v>
      </c>
      <c r="AA6528">
        <v>198</v>
      </c>
      <c r="AB6528">
        <v>332</v>
      </c>
      <c r="AC6528">
        <v>536</v>
      </c>
      <c r="AD6528">
        <v>28.93</v>
      </c>
      <c r="AE6528">
        <v>542</v>
      </c>
      <c r="AF6528">
        <v>29</v>
      </c>
      <c r="AG6528">
        <v>166</v>
      </c>
      <c r="AH6528">
        <v>129</v>
      </c>
      <c r="AI6528">
        <v>5.35</v>
      </c>
      <c r="AJ6528">
        <v>30.63</v>
      </c>
      <c r="AK6528">
        <v>23.8</v>
      </c>
      <c r="AL6528">
        <v>-20.17473409999997</v>
      </c>
      <c r="AM6528">
        <v>-44.829690640384577</v>
      </c>
      <c r="AN6528">
        <v>-20.17473409999997</v>
      </c>
      <c r="AO6528">
        <v>-44.829690640384577</v>
      </c>
      <c r="AP6528">
        <v>-20.175595000000001</v>
      </c>
      <c r="AQ6528">
        <v>-44.829937999999999</v>
      </c>
      <c r="AR6528">
        <v>99.259601227855555</v>
      </c>
      <c r="AS6528" t="s">
        <v>65</v>
      </c>
      <c r="AT6528">
        <v>1</v>
      </c>
      <c r="AU6528" t="s">
        <v>2305</v>
      </c>
      <c r="AV6528" t="s">
        <v>2306</v>
      </c>
      <c r="AW6528" t="s">
        <v>60</v>
      </c>
      <c r="AX6528" t="s">
        <v>68</v>
      </c>
      <c r="AY6528" t="s">
        <v>69</v>
      </c>
      <c r="AZ6528" t="b">
        <v>1</v>
      </c>
    </row>
    <row r="6529" spans="1:52" x14ac:dyDescent="0.3">
      <c r="A6529" t="s">
        <v>52</v>
      </c>
      <c r="B6529" t="s">
        <v>53</v>
      </c>
      <c r="C6529" t="s">
        <v>54</v>
      </c>
      <c r="D6529" t="s">
        <v>55</v>
      </c>
      <c r="E6529" t="s">
        <v>2296</v>
      </c>
      <c r="F6529" t="s">
        <v>57</v>
      </c>
      <c r="G6529" t="s">
        <v>273</v>
      </c>
      <c r="H6529" t="s">
        <v>274</v>
      </c>
      <c r="I6529" t="s">
        <v>274</v>
      </c>
      <c r="J6529" t="s">
        <v>60</v>
      </c>
      <c r="K6529" t="s">
        <v>143</v>
      </c>
      <c r="L6529" t="s">
        <v>62</v>
      </c>
      <c r="M6529" t="s">
        <v>143</v>
      </c>
      <c r="N6529" t="s">
        <v>275</v>
      </c>
      <c r="O6529" t="s">
        <v>276</v>
      </c>
      <c r="P6529">
        <v>-20.171367</v>
      </c>
      <c r="Q6529">
        <v>-44.844709999999999</v>
      </c>
      <c r="R6529" s="2" t="str">
        <f>HYPERLINK("https://www.google.com/maps?q=-20.1713670,-44.8447100","Abrir no Google Maps")</f>
        <v>Abrir no Google Maps</v>
      </c>
      <c r="S6529">
        <v>4</v>
      </c>
      <c r="T6529">
        <v>700.36715126879801</v>
      </c>
      <c r="U6529">
        <v>4</v>
      </c>
      <c r="V6529">
        <v>0.19600476655830551</v>
      </c>
      <c r="W6529">
        <v>1</v>
      </c>
      <c r="X6529">
        <v>0.19600476655830551</v>
      </c>
      <c r="Y6529">
        <v>292</v>
      </c>
      <c r="Z6529">
        <v>767.70201658334747</v>
      </c>
      <c r="AA6529">
        <v>198</v>
      </c>
      <c r="AB6529">
        <v>332</v>
      </c>
      <c r="AC6529">
        <v>536</v>
      </c>
      <c r="AD6529">
        <v>28.93</v>
      </c>
      <c r="AE6529">
        <v>542</v>
      </c>
      <c r="AF6529">
        <v>29</v>
      </c>
      <c r="AG6529">
        <v>166</v>
      </c>
      <c r="AH6529">
        <v>129</v>
      </c>
      <c r="AI6529">
        <v>5.35</v>
      </c>
      <c r="AJ6529">
        <v>30.63</v>
      </c>
      <c r="AK6529">
        <v>23.8</v>
      </c>
      <c r="AL6529">
        <v>-20.17140124999997</v>
      </c>
      <c r="AM6529">
        <v>-44.844758486699448</v>
      </c>
      <c r="AN6529">
        <v>-20.171401249999981</v>
      </c>
      <c r="AO6529">
        <v>-44.844758486699448</v>
      </c>
      <c r="AP6529">
        <v>-20.171367</v>
      </c>
      <c r="AQ6529">
        <v>-44.844709999999999</v>
      </c>
      <c r="AR6529">
        <v>6.3408204899540994</v>
      </c>
      <c r="AS6529" t="s">
        <v>65</v>
      </c>
      <c r="AT6529">
        <v>1</v>
      </c>
      <c r="AU6529" t="s">
        <v>277</v>
      </c>
      <c r="AV6529" t="s">
        <v>278</v>
      </c>
      <c r="AW6529" t="s">
        <v>60</v>
      </c>
      <c r="AX6529" t="s">
        <v>68</v>
      </c>
      <c r="AY6529" t="s">
        <v>69</v>
      </c>
      <c r="AZ6529" t="b">
        <v>1</v>
      </c>
    </row>
    <row r="6530" spans="1:52" x14ac:dyDescent="0.3">
      <c r="A6530" t="s">
        <v>52</v>
      </c>
      <c r="B6530" t="s">
        <v>53</v>
      </c>
      <c r="C6530" t="s">
        <v>54</v>
      </c>
      <c r="D6530" t="s">
        <v>55</v>
      </c>
      <c r="E6530" t="s">
        <v>2296</v>
      </c>
      <c r="F6530" t="s">
        <v>57</v>
      </c>
      <c r="G6530" t="s">
        <v>1127</v>
      </c>
      <c r="H6530" t="s">
        <v>2307</v>
      </c>
      <c r="I6530" t="s">
        <v>2307</v>
      </c>
      <c r="J6530" t="s">
        <v>60</v>
      </c>
      <c r="K6530" t="s">
        <v>2308</v>
      </c>
      <c r="L6530" t="s">
        <v>62</v>
      </c>
      <c r="M6530" t="s">
        <v>2308</v>
      </c>
      <c r="N6530" t="s">
        <v>2309</v>
      </c>
      <c r="O6530" t="s">
        <v>315</v>
      </c>
      <c r="P6530">
        <v>-20.198086</v>
      </c>
      <c r="Q6530">
        <v>-44.836748</v>
      </c>
      <c r="R6530" s="2" t="str">
        <f>HYPERLINK("https://www.google.com/maps?q=-20.1980860,-44.8367480","Abrir no Google Maps")</f>
        <v>Abrir no Google Maps</v>
      </c>
      <c r="S6530">
        <v>4</v>
      </c>
      <c r="T6530">
        <v>3388.1732316974249</v>
      </c>
      <c r="U6530">
        <v>4</v>
      </c>
      <c r="V6530">
        <v>0.51532239690134429</v>
      </c>
      <c r="W6530">
        <v>0.85</v>
      </c>
      <c r="X6530">
        <v>0.43802403736614259</v>
      </c>
      <c r="Y6530">
        <v>292</v>
      </c>
      <c r="Z6530">
        <v>3594.1409506079199</v>
      </c>
      <c r="AA6530">
        <v>198</v>
      </c>
      <c r="AB6530">
        <v>332</v>
      </c>
      <c r="AC6530">
        <v>536</v>
      </c>
      <c r="AD6530">
        <v>28.93</v>
      </c>
      <c r="AE6530">
        <v>542</v>
      </c>
      <c r="AF6530">
        <v>29</v>
      </c>
      <c r="AG6530">
        <v>166</v>
      </c>
      <c r="AH6530">
        <v>129</v>
      </c>
      <c r="AI6530">
        <v>5.35</v>
      </c>
      <c r="AJ6530">
        <v>30.63</v>
      </c>
      <c r="AK6530">
        <v>23.8</v>
      </c>
      <c r="AL6530">
        <v>-20.194656049999939</v>
      </c>
      <c r="AM6530">
        <v>-44.837175384709568</v>
      </c>
      <c r="AN6530">
        <v>-20.194656049999939</v>
      </c>
      <c r="AO6530">
        <v>-44.837175384709568</v>
      </c>
      <c r="AP6530">
        <v>-20.198086</v>
      </c>
      <c r="AQ6530">
        <v>-44.836748</v>
      </c>
      <c r="AR6530">
        <v>384.42403821157461</v>
      </c>
      <c r="AS6530" t="s">
        <v>65</v>
      </c>
      <c r="AT6530">
        <v>1</v>
      </c>
      <c r="AU6530" t="s">
        <v>2310</v>
      </c>
      <c r="AV6530" t="s">
        <v>2311</v>
      </c>
      <c r="AW6530" t="s">
        <v>60</v>
      </c>
      <c r="AX6530" t="s">
        <v>68</v>
      </c>
      <c r="AY6530" t="s">
        <v>69</v>
      </c>
      <c r="AZ6530" t="b">
        <v>1</v>
      </c>
    </row>
    <row r="6531" spans="1:52" x14ac:dyDescent="0.3">
      <c r="A6531" t="s">
        <v>52</v>
      </c>
      <c r="B6531" t="s">
        <v>53</v>
      </c>
      <c r="C6531" t="s">
        <v>54</v>
      </c>
      <c r="D6531" t="s">
        <v>55</v>
      </c>
      <c r="E6531" t="s">
        <v>2296</v>
      </c>
      <c r="F6531" t="s">
        <v>57</v>
      </c>
      <c r="G6531" t="s">
        <v>1708</v>
      </c>
      <c r="H6531" t="s">
        <v>1709</v>
      </c>
      <c r="I6531" t="s">
        <v>1709</v>
      </c>
      <c r="J6531" t="s">
        <v>60</v>
      </c>
      <c r="K6531" t="s">
        <v>1710</v>
      </c>
      <c r="L6531" t="s">
        <v>62</v>
      </c>
      <c r="M6531" t="s">
        <v>1710</v>
      </c>
      <c r="N6531" t="s">
        <v>1711</v>
      </c>
      <c r="O6531" t="s">
        <v>1712</v>
      </c>
      <c r="P6531">
        <v>-20.15184</v>
      </c>
      <c r="Q6531">
        <v>-44.83925</v>
      </c>
      <c r="R6531" s="2" t="str">
        <f>HYPERLINK("https://www.google.com/maps?q=-20.1518400,-44.8392500","Abrir no Google Maps")</f>
        <v>Abrir no Google Maps</v>
      </c>
      <c r="S6531">
        <v>4</v>
      </c>
      <c r="T6531">
        <v>1728.5795777153901</v>
      </c>
      <c r="U6531">
        <v>4</v>
      </c>
      <c r="V6531">
        <v>0.30658775347118172</v>
      </c>
      <c r="W6531">
        <v>0.85</v>
      </c>
      <c r="X6531">
        <v>0.26059959045050451</v>
      </c>
      <c r="Y6531">
        <v>292</v>
      </c>
      <c r="Z6531">
        <v>1820.006956919507</v>
      </c>
      <c r="AA6531">
        <v>198</v>
      </c>
      <c r="AB6531">
        <v>332</v>
      </c>
      <c r="AC6531">
        <v>536</v>
      </c>
      <c r="AD6531">
        <v>28.93</v>
      </c>
      <c r="AE6531">
        <v>542</v>
      </c>
      <c r="AF6531">
        <v>29</v>
      </c>
      <c r="AG6531">
        <v>166</v>
      </c>
      <c r="AH6531">
        <v>129</v>
      </c>
      <c r="AI6531">
        <v>5.35</v>
      </c>
      <c r="AJ6531">
        <v>30.63</v>
      </c>
      <c r="AK6531">
        <v>23.8</v>
      </c>
      <c r="AL6531">
        <v>-20.151719099999951</v>
      </c>
      <c r="AM6531">
        <v>-44.840074931592113</v>
      </c>
      <c r="AN6531">
        <v>-20.151719099999951</v>
      </c>
      <c r="AO6531">
        <v>-44.840074931592113</v>
      </c>
      <c r="AP6531">
        <v>-20.15184</v>
      </c>
      <c r="AQ6531">
        <v>-44.83925</v>
      </c>
      <c r="AR6531">
        <v>87.254018820689481</v>
      </c>
      <c r="AS6531" t="s">
        <v>65</v>
      </c>
      <c r="AT6531">
        <v>1</v>
      </c>
      <c r="AU6531" t="s">
        <v>1713</v>
      </c>
      <c r="AV6531" t="s">
        <v>1714</v>
      </c>
      <c r="AW6531" t="s">
        <v>60</v>
      </c>
      <c r="AX6531" t="s">
        <v>68</v>
      </c>
      <c r="AY6531" t="s">
        <v>69</v>
      </c>
      <c r="AZ6531" t="b">
        <v>1</v>
      </c>
    </row>
    <row r="6532" spans="1:52" x14ac:dyDescent="0.3">
      <c r="A6532" t="s">
        <v>52</v>
      </c>
      <c r="B6532" t="s">
        <v>53</v>
      </c>
      <c r="C6532" t="s">
        <v>54</v>
      </c>
      <c r="D6532" t="s">
        <v>55</v>
      </c>
      <c r="E6532" t="s">
        <v>2296</v>
      </c>
      <c r="F6532" t="s">
        <v>57</v>
      </c>
      <c r="G6532" t="s">
        <v>2312</v>
      </c>
      <c r="H6532" t="s">
        <v>2313</v>
      </c>
      <c r="I6532" t="s">
        <v>2313</v>
      </c>
      <c r="J6532" t="s">
        <v>60</v>
      </c>
      <c r="K6532" t="s">
        <v>2314</v>
      </c>
      <c r="L6532" t="s">
        <v>62</v>
      </c>
      <c r="M6532" t="s">
        <v>2314</v>
      </c>
      <c r="N6532" t="s">
        <v>2315</v>
      </c>
      <c r="O6532" t="s">
        <v>783</v>
      </c>
      <c r="P6532">
        <v>-20.153928000000001</v>
      </c>
      <c r="Q6532">
        <v>-44.818142000000002</v>
      </c>
      <c r="R6532" s="2" t="str">
        <f>HYPERLINK("https://www.google.com/maps?q=-20.1539280,-44.8181420","Abrir no Google Maps")</f>
        <v>Abrir no Google Maps</v>
      </c>
      <c r="S6532">
        <v>4</v>
      </c>
      <c r="T6532">
        <v>3315.1533937216868</v>
      </c>
      <c r="U6532">
        <v>4</v>
      </c>
      <c r="V6532">
        <v>0.51593875502008046</v>
      </c>
      <c r="W6532">
        <v>0.85</v>
      </c>
      <c r="X6532">
        <v>0.43854794176706841</v>
      </c>
      <c r="Y6532">
        <v>118</v>
      </c>
      <c r="Z6532">
        <v>3019.9180996947621</v>
      </c>
      <c r="AA6532">
        <v>198</v>
      </c>
      <c r="AB6532">
        <v>332</v>
      </c>
      <c r="AC6532">
        <v>536</v>
      </c>
      <c r="AD6532">
        <v>28.93</v>
      </c>
      <c r="AE6532">
        <v>542</v>
      </c>
      <c r="AF6532">
        <v>29</v>
      </c>
      <c r="AG6532">
        <v>166</v>
      </c>
      <c r="AH6532">
        <v>129</v>
      </c>
      <c r="AI6532">
        <v>5.35</v>
      </c>
      <c r="AJ6532">
        <v>30.63</v>
      </c>
      <c r="AK6532">
        <v>23.8</v>
      </c>
      <c r="AL6532">
        <v>-20.15318239999996</v>
      </c>
      <c r="AM6532">
        <v>-44.818710693480028</v>
      </c>
      <c r="AN6532">
        <v>-20.15318239999996</v>
      </c>
      <c r="AO6532">
        <v>-44.818710693480028</v>
      </c>
      <c r="AP6532">
        <v>-20.153928000000001</v>
      </c>
      <c r="AQ6532">
        <v>-44.818142000000002</v>
      </c>
      <c r="AR6532">
        <v>102.0836585997988</v>
      </c>
      <c r="AS6532" t="s">
        <v>65</v>
      </c>
      <c r="AT6532">
        <v>1</v>
      </c>
      <c r="AU6532" t="s">
        <v>2316</v>
      </c>
      <c r="AV6532" t="s">
        <v>2317</v>
      </c>
      <c r="AW6532" t="s">
        <v>60</v>
      </c>
      <c r="AX6532" t="s">
        <v>68</v>
      </c>
      <c r="AY6532" t="s">
        <v>69</v>
      </c>
      <c r="AZ6532" t="b">
        <v>1</v>
      </c>
    </row>
    <row r="6533" spans="1:52" x14ac:dyDescent="0.3">
      <c r="A6533" t="s">
        <v>52</v>
      </c>
      <c r="B6533" t="s">
        <v>53</v>
      </c>
      <c r="C6533" t="s">
        <v>54</v>
      </c>
      <c r="D6533" t="s">
        <v>55</v>
      </c>
      <c r="E6533" t="s">
        <v>2296</v>
      </c>
      <c r="F6533" t="s">
        <v>57</v>
      </c>
      <c r="G6533" t="s">
        <v>1660</v>
      </c>
      <c r="H6533" t="s">
        <v>1661</v>
      </c>
      <c r="I6533" t="s">
        <v>1661</v>
      </c>
      <c r="J6533" t="s">
        <v>60</v>
      </c>
      <c r="K6533" t="s">
        <v>164</v>
      </c>
      <c r="L6533" t="s">
        <v>62</v>
      </c>
      <c r="M6533" t="s">
        <v>164</v>
      </c>
      <c r="N6533" t="s">
        <v>1662</v>
      </c>
      <c r="O6533" t="s">
        <v>1663</v>
      </c>
      <c r="P6533">
        <v>-20.181692000000002</v>
      </c>
      <c r="Q6533">
        <v>-44.877276000000002</v>
      </c>
      <c r="R6533" s="2" t="str">
        <f>HYPERLINK("https://www.google.com/maps?q=-20.1816920,-44.8772760","Abrir no Google Maps")</f>
        <v>Abrir no Google Maps</v>
      </c>
      <c r="S6533">
        <v>4</v>
      </c>
      <c r="T6533">
        <v>630.49689192580956</v>
      </c>
      <c r="U6533">
        <v>4</v>
      </c>
      <c r="V6533">
        <v>0.2892574171672368</v>
      </c>
      <c r="W6533">
        <v>1</v>
      </c>
      <c r="X6533">
        <v>0.2892574171672368</v>
      </c>
      <c r="Y6533">
        <v>101</v>
      </c>
      <c r="Z6533">
        <v>732.81472992851411</v>
      </c>
      <c r="AA6533">
        <v>198</v>
      </c>
      <c r="AB6533">
        <v>332</v>
      </c>
      <c r="AC6533">
        <v>536</v>
      </c>
      <c r="AD6533">
        <v>28.93</v>
      </c>
      <c r="AE6533">
        <v>542</v>
      </c>
      <c r="AF6533">
        <v>29</v>
      </c>
      <c r="AG6533">
        <v>166</v>
      </c>
      <c r="AH6533">
        <v>129</v>
      </c>
      <c r="AI6533">
        <v>5.35</v>
      </c>
      <c r="AJ6533">
        <v>30.63</v>
      </c>
      <c r="AK6533">
        <v>23.8</v>
      </c>
      <c r="AL6533">
        <v>-20.181644349999971</v>
      </c>
      <c r="AM6533">
        <v>-44.876890970787557</v>
      </c>
      <c r="AN6533">
        <v>-20.181644349999971</v>
      </c>
      <c r="AO6533">
        <v>-44.876890970787557</v>
      </c>
      <c r="AP6533">
        <v>-20.181692000000002</v>
      </c>
      <c r="AQ6533">
        <v>-44.877276000000002</v>
      </c>
      <c r="AR6533">
        <v>40.578104107908509</v>
      </c>
      <c r="AS6533" t="s">
        <v>65</v>
      </c>
      <c r="AT6533">
        <v>1</v>
      </c>
      <c r="AU6533" t="s">
        <v>1664</v>
      </c>
      <c r="AV6533" t="s">
        <v>1665</v>
      </c>
      <c r="AW6533" t="s">
        <v>60</v>
      </c>
      <c r="AX6533" t="s">
        <v>68</v>
      </c>
      <c r="AY6533" t="s">
        <v>69</v>
      </c>
      <c r="AZ6533" t="b">
        <v>1</v>
      </c>
    </row>
    <row r="6534" spans="1:52" x14ac:dyDescent="0.3">
      <c r="A6534" t="s">
        <v>52</v>
      </c>
      <c r="B6534" t="s">
        <v>53</v>
      </c>
      <c r="C6534" t="s">
        <v>54</v>
      </c>
      <c r="D6534" t="s">
        <v>55</v>
      </c>
      <c r="E6534" t="s">
        <v>2296</v>
      </c>
      <c r="F6534" t="s">
        <v>57</v>
      </c>
      <c r="G6534" t="s">
        <v>1193</v>
      </c>
      <c r="H6534" t="s">
        <v>1734</v>
      </c>
      <c r="I6534" t="s">
        <v>1734</v>
      </c>
      <c r="J6534" t="s">
        <v>60</v>
      </c>
      <c r="K6534" t="s">
        <v>1735</v>
      </c>
      <c r="L6534" t="s">
        <v>62</v>
      </c>
      <c r="M6534" t="s">
        <v>1735</v>
      </c>
      <c r="N6534" t="s">
        <v>1736</v>
      </c>
      <c r="O6534" t="s">
        <v>315</v>
      </c>
      <c r="P6534">
        <v>-20.200367</v>
      </c>
      <c r="Q6534">
        <v>-44.880668999999997</v>
      </c>
      <c r="R6534" s="2" t="str">
        <f>HYPERLINK("https://www.google.com/maps?q=-20.2003670,-44.8806690","Abrir no Google Maps")</f>
        <v>Abrir no Google Maps</v>
      </c>
      <c r="S6534">
        <v>4</v>
      </c>
      <c r="T6534">
        <v>1820.469679459095</v>
      </c>
      <c r="U6534">
        <v>4</v>
      </c>
      <c r="V6534">
        <v>0.4615009746588693</v>
      </c>
      <c r="W6534">
        <v>0.85</v>
      </c>
      <c r="X6534">
        <v>0.39227582846003889</v>
      </c>
      <c r="Y6534">
        <v>101</v>
      </c>
      <c r="Z6534">
        <v>1841.9598393829469</v>
      </c>
      <c r="AA6534">
        <v>198</v>
      </c>
      <c r="AB6534">
        <v>332</v>
      </c>
      <c r="AC6534">
        <v>536</v>
      </c>
      <c r="AD6534">
        <v>28.93</v>
      </c>
      <c r="AE6534">
        <v>542</v>
      </c>
      <c r="AF6534">
        <v>29</v>
      </c>
      <c r="AG6534">
        <v>166</v>
      </c>
      <c r="AH6534">
        <v>129</v>
      </c>
      <c r="AI6534">
        <v>5.35</v>
      </c>
      <c r="AJ6534">
        <v>30.63</v>
      </c>
      <c r="AK6534">
        <v>23.8</v>
      </c>
      <c r="AL6534">
        <v>-20.202122099999968</v>
      </c>
      <c r="AM6534">
        <v>-44.88131085114675</v>
      </c>
      <c r="AN6534">
        <v>-20.202122099999968</v>
      </c>
      <c r="AO6534">
        <v>-44.88131085114675</v>
      </c>
      <c r="AP6534">
        <v>-20.200367</v>
      </c>
      <c r="AQ6534">
        <v>-44.880668999999997</v>
      </c>
      <c r="AR6534">
        <v>206.56442547254821</v>
      </c>
      <c r="AS6534" t="s">
        <v>65</v>
      </c>
      <c r="AT6534">
        <v>1</v>
      </c>
      <c r="AU6534" t="s">
        <v>1737</v>
      </c>
      <c r="AV6534" t="s">
        <v>1738</v>
      </c>
      <c r="AW6534" t="s">
        <v>60</v>
      </c>
      <c r="AX6534" t="s">
        <v>68</v>
      </c>
      <c r="AY6534" t="s">
        <v>69</v>
      </c>
      <c r="AZ6534" t="b">
        <v>1</v>
      </c>
    </row>
    <row r="6535" spans="1:52" x14ac:dyDescent="0.3">
      <c r="A6535" t="s">
        <v>52</v>
      </c>
      <c r="B6535" t="s">
        <v>53</v>
      </c>
      <c r="C6535" t="s">
        <v>54</v>
      </c>
      <c r="D6535" t="s">
        <v>55</v>
      </c>
      <c r="E6535" t="s">
        <v>2296</v>
      </c>
      <c r="F6535" t="s">
        <v>57</v>
      </c>
      <c r="G6535" t="s">
        <v>1739</v>
      </c>
      <c r="H6535" t="s">
        <v>1740</v>
      </c>
      <c r="I6535" t="s">
        <v>1740</v>
      </c>
      <c r="J6535" t="s">
        <v>60</v>
      </c>
      <c r="K6535" t="s">
        <v>164</v>
      </c>
      <c r="L6535" t="s">
        <v>62</v>
      </c>
      <c r="M6535" t="s">
        <v>164</v>
      </c>
      <c r="N6535" t="s">
        <v>1741</v>
      </c>
      <c r="O6535" t="s">
        <v>395</v>
      </c>
      <c r="P6535">
        <v>-20.185585</v>
      </c>
      <c r="Q6535">
        <v>-44.881284000000001</v>
      </c>
      <c r="R6535" s="2" t="str">
        <f>HYPERLINK("https://www.google.com/maps?q=-20.1855850,-44.8812840","Abrir no Google Maps")</f>
        <v>Abrir no Google Maps</v>
      </c>
      <c r="S6535">
        <v>4</v>
      </c>
      <c r="T6535">
        <v>0</v>
      </c>
      <c r="U6535">
        <v>4</v>
      </c>
      <c r="V6535">
        <v>0.28435960591133003</v>
      </c>
      <c r="W6535">
        <v>0.85</v>
      </c>
      <c r="X6535">
        <v>0.24170566502463051</v>
      </c>
      <c r="Y6535">
        <v>101</v>
      </c>
      <c r="Z6535">
        <v>50.899335234186083</v>
      </c>
      <c r="AA6535">
        <v>198</v>
      </c>
      <c r="AB6535">
        <v>332</v>
      </c>
      <c r="AC6535">
        <v>536</v>
      </c>
      <c r="AD6535">
        <v>28.93</v>
      </c>
      <c r="AE6535">
        <v>542</v>
      </c>
      <c r="AF6535">
        <v>29</v>
      </c>
      <c r="AG6535">
        <v>166</v>
      </c>
      <c r="AH6535">
        <v>129</v>
      </c>
      <c r="AI6535">
        <v>5.35</v>
      </c>
      <c r="AJ6535">
        <v>30.63</v>
      </c>
      <c r="AK6535">
        <v>23.8</v>
      </c>
      <c r="AL6535">
        <v>-20.185672099999952</v>
      </c>
      <c r="AM6535">
        <v>-44.881158973926922</v>
      </c>
      <c r="AN6535">
        <v>-20.185672099999952</v>
      </c>
      <c r="AO6535">
        <v>-44.881158973926922</v>
      </c>
      <c r="AP6535">
        <v>-20.185585</v>
      </c>
      <c r="AQ6535">
        <v>-44.881284000000001</v>
      </c>
      <c r="AR6535">
        <v>16.268229707677129</v>
      </c>
      <c r="AS6535" t="s">
        <v>65</v>
      </c>
      <c r="AT6535">
        <v>1</v>
      </c>
      <c r="AU6535" t="s">
        <v>1742</v>
      </c>
      <c r="AV6535" t="s">
        <v>1743</v>
      </c>
      <c r="AW6535" t="s">
        <v>60</v>
      </c>
      <c r="AX6535" t="s">
        <v>68</v>
      </c>
      <c r="AY6535" t="s">
        <v>69</v>
      </c>
      <c r="AZ6535" t="b">
        <v>1</v>
      </c>
    </row>
    <row r="6536" spans="1:52" x14ac:dyDescent="0.3">
      <c r="A6536" t="s">
        <v>52</v>
      </c>
      <c r="B6536" t="s">
        <v>53</v>
      </c>
      <c r="C6536" t="s">
        <v>54</v>
      </c>
      <c r="D6536" t="s">
        <v>55</v>
      </c>
      <c r="E6536" t="s">
        <v>2296</v>
      </c>
      <c r="F6536" t="s">
        <v>57</v>
      </c>
      <c r="G6536" t="s">
        <v>1666</v>
      </c>
      <c r="H6536" t="s">
        <v>1667</v>
      </c>
      <c r="I6536" t="s">
        <v>1667</v>
      </c>
      <c r="J6536" t="s">
        <v>60</v>
      </c>
      <c r="K6536" t="s">
        <v>164</v>
      </c>
      <c r="L6536" t="s">
        <v>62</v>
      </c>
      <c r="M6536" t="s">
        <v>164</v>
      </c>
      <c r="N6536" t="s">
        <v>1668</v>
      </c>
      <c r="O6536" t="s">
        <v>977</v>
      </c>
      <c r="P6536">
        <v>-20.188607999999999</v>
      </c>
      <c r="Q6536">
        <v>-44.884746999999997</v>
      </c>
      <c r="R6536" s="2" t="str">
        <f>HYPERLINK("https://www.google.com/maps?q=-20.1886080,-44.8847470","Abrir no Google Maps")</f>
        <v>Abrir no Google Maps</v>
      </c>
      <c r="S6536">
        <v>4</v>
      </c>
      <c r="T6536">
        <v>501.52638987448978</v>
      </c>
      <c r="U6536">
        <v>4</v>
      </c>
      <c r="V6536">
        <v>0.31050975555766369</v>
      </c>
      <c r="W6536">
        <v>0.85</v>
      </c>
      <c r="X6536">
        <v>0.26393329222401413</v>
      </c>
      <c r="Y6536">
        <v>101</v>
      </c>
      <c r="Z6536">
        <v>489.47740203600989</v>
      </c>
      <c r="AA6536">
        <v>198</v>
      </c>
      <c r="AB6536">
        <v>332</v>
      </c>
      <c r="AC6536">
        <v>536</v>
      </c>
      <c r="AD6536">
        <v>28.93</v>
      </c>
      <c r="AE6536">
        <v>542</v>
      </c>
      <c r="AF6536">
        <v>29</v>
      </c>
      <c r="AG6536">
        <v>166</v>
      </c>
      <c r="AH6536">
        <v>129</v>
      </c>
      <c r="AI6536">
        <v>5.35</v>
      </c>
      <c r="AJ6536">
        <v>30.63</v>
      </c>
      <c r="AK6536">
        <v>23.8</v>
      </c>
      <c r="AL6536">
        <v>-20.188808899999941</v>
      </c>
      <c r="AM6536">
        <v>-44.884623554762321</v>
      </c>
      <c r="AN6536">
        <v>-20.188808899999941</v>
      </c>
      <c r="AO6536">
        <v>-44.884623554762321</v>
      </c>
      <c r="AP6536">
        <v>-20.188607999999999</v>
      </c>
      <c r="AQ6536">
        <v>-44.884746999999997</v>
      </c>
      <c r="AR6536">
        <v>25.8167710394147</v>
      </c>
      <c r="AS6536" t="s">
        <v>65</v>
      </c>
      <c r="AT6536">
        <v>1</v>
      </c>
      <c r="AU6536" t="s">
        <v>1669</v>
      </c>
      <c r="AV6536" t="s">
        <v>1670</v>
      </c>
      <c r="AW6536" t="s">
        <v>60</v>
      </c>
      <c r="AX6536" t="s">
        <v>68</v>
      </c>
      <c r="AY6536" t="s">
        <v>69</v>
      </c>
      <c r="AZ6536" t="b">
        <v>1</v>
      </c>
    </row>
    <row r="6537" spans="1:52" x14ac:dyDescent="0.3">
      <c r="A6537" t="s">
        <v>52</v>
      </c>
      <c r="B6537" t="s">
        <v>53</v>
      </c>
      <c r="C6537" t="s">
        <v>54</v>
      </c>
      <c r="D6537" t="s">
        <v>55</v>
      </c>
      <c r="E6537" t="s">
        <v>2296</v>
      </c>
      <c r="F6537" t="s">
        <v>57</v>
      </c>
      <c r="G6537" t="s">
        <v>1671</v>
      </c>
      <c r="H6537" t="s">
        <v>1675</v>
      </c>
      <c r="I6537" t="s">
        <v>1675</v>
      </c>
      <c r="J6537" t="s">
        <v>60</v>
      </c>
      <c r="K6537" t="s">
        <v>1676</v>
      </c>
      <c r="L6537" t="s">
        <v>62</v>
      </c>
      <c r="M6537" t="s">
        <v>1676</v>
      </c>
      <c r="N6537" t="s">
        <v>1673</v>
      </c>
      <c r="O6537" t="s">
        <v>283</v>
      </c>
      <c r="P6537">
        <v>-20.183022000000001</v>
      </c>
      <c r="Q6537">
        <v>-44.885517</v>
      </c>
      <c r="R6537" s="2" t="str">
        <f>HYPERLINK("https://www.google.com/maps?q=-20.1830220,-44.8855170","Abrir no Google Maps")</f>
        <v>Abrir no Google Maps</v>
      </c>
      <c r="S6537">
        <v>4</v>
      </c>
      <c r="T6537">
        <v>532.27605375591554</v>
      </c>
      <c r="U6537">
        <v>4</v>
      </c>
      <c r="V6537">
        <v>0.39019322107081178</v>
      </c>
      <c r="W6537">
        <v>0.85</v>
      </c>
      <c r="X6537">
        <v>0.33166423791019001</v>
      </c>
      <c r="Y6537">
        <v>101</v>
      </c>
      <c r="Z6537">
        <v>549.01511922042539</v>
      </c>
      <c r="AA6537">
        <v>198</v>
      </c>
      <c r="AB6537">
        <v>332</v>
      </c>
      <c r="AC6537">
        <v>536</v>
      </c>
      <c r="AD6537">
        <v>28.93</v>
      </c>
      <c r="AE6537">
        <v>542</v>
      </c>
      <c r="AF6537">
        <v>29</v>
      </c>
      <c r="AG6537">
        <v>166</v>
      </c>
      <c r="AH6537">
        <v>129</v>
      </c>
      <c r="AI6537">
        <v>5.35</v>
      </c>
      <c r="AJ6537">
        <v>30.63</v>
      </c>
      <c r="AK6537">
        <v>23.8</v>
      </c>
      <c r="AL6537">
        <v>-20.182930199999959</v>
      </c>
      <c r="AM6537">
        <v>-44.885344551029888</v>
      </c>
      <c r="AN6537">
        <v>-20.182930199999959</v>
      </c>
      <c r="AO6537">
        <v>-44.885344551029888</v>
      </c>
      <c r="AP6537">
        <v>-20.183022000000001</v>
      </c>
      <c r="AQ6537">
        <v>-44.885517</v>
      </c>
      <c r="AR6537">
        <v>20.714454632752489</v>
      </c>
      <c r="AS6537" t="s">
        <v>65</v>
      </c>
      <c r="AT6537">
        <v>1</v>
      </c>
      <c r="AU6537" t="s">
        <v>1677</v>
      </c>
      <c r="AV6537" t="s">
        <v>1678</v>
      </c>
      <c r="AW6537" t="s">
        <v>60</v>
      </c>
      <c r="AX6537" t="s">
        <v>68</v>
      </c>
      <c r="AY6537" t="s">
        <v>69</v>
      </c>
      <c r="AZ6537" t="b">
        <v>1</v>
      </c>
    </row>
    <row r="6538" spans="1:52" x14ac:dyDescent="0.3">
      <c r="A6538" t="s">
        <v>52</v>
      </c>
      <c r="B6538" t="s">
        <v>53</v>
      </c>
      <c r="C6538" t="s">
        <v>54</v>
      </c>
      <c r="D6538" t="s">
        <v>55</v>
      </c>
      <c r="E6538" t="s">
        <v>2296</v>
      </c>
      <c r="F6538" t="s">
        <v>57</v>
      </c>
      <c r="G6538" t="s">
        <v>1744</v>
      </c>
      <c r="H6538" t="s">
        <v>1745</v>
      </c>
      <c r="I6538" t="s">
        <v>1745</v>
      </c>
      <c r="J6538" t="s">
        <v>60</v>
      </c>
      <c r="K6538" t="s">
        <v>1676</v>
      </c>
      <c r="L6538" t="s">
        <v>62</v>
      </c>
      <c r="M6538" t="s">
        <v>1676</v>
      </c>
      <c r="N6538" t="s">
        <v>1746</v>
      </c>
      <c r="O6538" t="s">
        <v>1747</v>
      </c>
      <c r="P6538">
        <v>-20.180457000000001</v>
      </c>
      <c r="Q6538">
        <v>-44.880989</v>
      </c>
      <c r="R6538" s="2" t="str">
        <f>HYPERLINK("https://www.google.com/maps?q=-20.1804570,-44.8809890","Abrir no Google Maps")</f>
        <v>Abrir no Google Maps</v>
      </c>
      <c r="S6538">
        <v>4</v>
      </c>
      <c r="T6538">
        <v>594.60456790345131</v>
      </c>
      <c r="U6538">
        <v>4</v>
      </c>
      <c r="V6538">
        <v>0.31160400162745611</v>
      </c>
      <c r="W6538">
        <v>0.85</v>
      </c>
      <c r="X6538">
        <v>0.26486340138333769</v>
      </c>
      <c r="Y6538">
        <v>101</v>
      </c>
      <c r="Z6538">
        <v>644.27072665474043</v>
      </c>
      <c r="AA6538">
        <v>198</v>
      </c>
      <c r="AB6538">
        <v>332</v>
      </c>
      <c r="AC6538">
        <v>536</v>
      </c>
      <c r="AD6538">
        <v>28.93</v>
      </c>
      <c r="AE6538">
        <v>542</v>
      </c>
      <c r="AF6538">
        <v>29</v>
      </c>
      <c r="AG6538">
        <v>166</v>
      </c>
      <c r="AH6538">
        <v>129</v>
      </c>
      <c r="AI6538">
        <v>5.35</v>
      </c>
      <c r="AJ6538">
        <v>30.63</v>
      </c>
      <c r="AK6538">
        <v>23.8</v>
      </c>
      <c r="AL6538">
        <v>-20.180299249999969</v>
      </c>
      <c r="AM6538">
        <v>-44.881100391239819</v>
      </c>
      <c r="AN6538">
        <v>-20.180299249999969</v>
      </c>
      <c r="AO6538">
        <v>-44.881100391239819</v>
      </c>
      <c r="AP6538">
        <v>-20.180457000000001</v>
      </c>
      <c r="AQ6538">
        <v>-44.880989</v>
      </c>
      <c r="AR6538">
        <v>21.067561465339171</v>
      </c>
      <c r="AS6538" t="s">
        <v>65</v>
      </c>
      <c r="AT6538">
        <v>1</v>
      </c>
      <c r="AU6538" t="s">
        <v>1748</v>
      </c>
      <c r="AV6538" t="s">
        <v>1749</v>
      </c>
      <c r="AW6538" t="s">
        <v>60</v>
      </c>
      <c r="AX6538" t="s">
        <v>68</v>
      </c>
      <c r="AY6538" t="s">
        <v>69</v>
      </c>
      <c r="AZ6538" t="b">
        <v>1</v>
      </c>
    </row>
    <row r="6539" spans="1:52" x14ac:dyDescent="0.3">
      <c r="A6539" t="s">
        <v>52</v>
      </c>
      <c r="B6539" t="s">
        <v>53</v>
      </c>
      <c r="C6539" t="s">
        <v>54</v>
      </c>
      <c r="D6539" t="s">
        <v>55</v>
      </c>
      <c r="E6539" t="s">
        <v>2296</v>
      </c>
      <c r="F6539" t="s">
        <v>57</v>
      </c>
      <c r="G6539" t="s">
        <v>1193</v>
      </c>
      <c r="H6539" t="s">
        <v>2318</v>
      </c>
      <c r="I6539" t="s">
        <v>2318</v>
      </c>
      <c r="J6539" t="s">
        <v>60</v>
      </c>
      <c r="K6539" t="s">
        <v>2319</v>
      </c>
      <c r="L6539" t="s">
        <v>62</v>
      </c>
      <c r="M6539" t="s">
        <v>2319</v>
      </c>
      <c r="N6539" t="s">
        <v>2304</v>
      </c>
      <c r="O6539" t="s">
        <v>315</v>
      </c>
      <c r="P6539">
        <v>-20.185946999999999</v>
      </c>
      <c r="Q6539">
        <v>-44.870688000000001</v>
      </c>
      <c r="R6539" s="2" t="str">
        <f>HYPERLINK("https://www.google.com/maps?q=-20.1859470,-44.8706880","Abrir no Google Maps")</f>
        <v>Abrir no Google Maps</v>
      </c>
      <c r="S6539">
        <v>4</v>
      </c>
      <c r="T6539">
        <v>1116.780666353636</v>
      </c>
      <c r="U6539">
        <v>4</v>
      </c>
      <c r="V6539">
        <v>0.38658862350722811</v>
      </c>
      <c r="W6539">
        <v>0.85</v>
      </c>
      <c r="X6539">
        <v>0.32860032998114391</v>
      </c>
      <c r="Y6539">
        <v>101</v>
      </c>
      <c r="Z6539">
        <v>1089.846129153485</v>
      </c>
      <c r="AA6539">
        <v>198</v>
      </c>
      <c r="AB6539">
        <v>332</v>
      </c>
      <c r="AC6539">
        <v>536</v>
      </c>
      <c r="AD6539">
        <v>28.93</v>
      </c>
      <c r="AE6539">
        <v>542</v>
      </c>
      <c r="AF6539">
        <v>29</v>
      </c>
      <c r="AG6539">
        <v>166</v>
      </c>
      <c r="AH6539">
        <v>129</v>
      </c>
      <c r="AI6539">
        <v>5.35</v>
      </c>
      <c r="AJ6539">
        <v>30.63</v>
      </c>
      <c r="AK6539">
        <v>23.8</v>
      </c>
      <c r="AL6539">
        <v>-20.18562034999994</v>
      </c>
      <c r="AM6539">
        <v>-44.870470404178498</v>
      </c>
      <c r="AN6539">
        <v>-20.18562034999994</v>
      </c>
      <c r="AO6539">
        <v>-44.870470404178498</v>
      </c>
      <c r="AP6539">
        <v>-20.185946999999999</v>
      </c>
      <c r="AQ6539">
        <v>-44.870688000000001</v>
      </c>
      <c r="AR6539">
        <v>42.885013701581187</v>
      </c>
      <c r="AS6539" t="s">
        <v>65</v>
      </c>
      <c r="AT6539">
        <v>1</v>
      </c>
      <c r="AU6539" t="s">
        <v>2320</v>
      </c>
      <c r="AV6539" t="s">
        <v>2321</v>
      </c>
      <c r="AW6539" t="s">
        <v>60</v>
      </c>
      <c r="AX6539" t="s">
        <v>68</v>
      </c>
      <c r="AY6539" t="s">
        <v>69</v>
      </c>
      <c r="AZ6539" t="b">
        <v>1</v>
      </c>
    </row>
    <row r="6540" spans="1:52" x14ac:dyDescent="0.3">
      <c r="A6540" t="s">
        <v>52</v>
      </c>
      <c r="B6540" t="s">
        <v>53</v>
      </c>
      <c r="C6540" t="s">
        <v>54</v>
      </c>
      <c r="D6540" t="s">
        <v>55</v>
      </c>
      <c r="E6540" t="s">
        <v>2296</v>
      </c>
      <c r="F6540" t="s">
        <v>57</v>
      </c>
      <c r="G6540" t="s">
        <v>176</v>
      </c>
      <c r="H6540" t="s">
        <v>177</v>
      </c>
      <c r="I6540" t="s">
        <v>177</v>
      </c>
      <c r="J6540" t="s">
        <v>60</v>
      </c>
      <c r="K6540" t="s">
        <v>178</v>
      </c>
      <c r="L6540" t="s">
        <v>62</v>
      </c>
      <c r="M6540" t="s">
        <v>178</v>
      </c>
      <c r="N6540" t="s">
        <v>179</v>
      </c>
      <c r="O6540" t="s">
        <v>180</v>
      </c>
      <c r="P6540">
        <v>-20.129152999999999</v>
      </c>
      <c r="Q6540">
        <v>-44.859299</v>
      </c>
      <c r="R6540" s="2" t="str">
        <f>HYPERLINK("https://www.google.com/maps?q=-20.1291530,-44.8592990","Abrir no Google Maps")</f>
        <v>Abrir no Google Maps</v>
      </c>
      <c r="S6540">
        <v>4</v>
      </c>
      <c r="T6540">
        <v>0</v>
      </c>
      <c r="U6540">
        <v>4</v>
      </c>
      <c r="V6540">
        <v>0.193138826294839</v>
      </c>
      <c r="W6540">
        <v>1</v>
      </c>
      <c r="X6540">
        <v>0.193138826294839</v>
      </c>
      <c r="Y6540">
        <v>95</v>
      </c>
      <c r="Z6540">
        <v>323.58963420291411</v>
      </c>
      <c r="AA6540">
        <v>198</v>
      </c>
      <c r="AB6540">
        <v>332</v>
      </c>
      <c r="AC6540">
        <v>536</v>
      </c>
      <c r="AD6540">
        <v>28.93</v>
      </c>
      <c r="AE6540">
        <v>542</v>
      </c>
      <c r="AF6540">
        <v>29</v>
      </c>
      <c r="AG6540">
        <v>166</v>
      </c>
      <c r="AH6540">
        <v>129</v>
      </c>
      <c r="AI6540">
        <v>5.35</v>
      </c>
      <c r="AJ6540">
        <v>30.63</v>
      </c>
      <c r="AK6540">
        <v>23.8</v>
      </c>
      <c r="AL6540">
        <v>-20.129260799999969</v>
      </c>
      <c r="AM6540">
        <v>-44.859468344955843</v>
      </c>
      <c r="AN6540">
        <v>-20.129260799999969</v>
      </c>
      <c r="AO6540">
        <v>-44.859468344955843</v>
      </c>
      <c r="AP6540">
        <v>-20.129152999999999</v>
      </c>
      <c r="AQ6540">
        <v>-44.859299</v>
      </c>
      <c r="AR6540">
        <v>21.38451122307773</v>
      </c>
      <c r="AS6540" t="s">
        <v>65</v>
      </c>
      <c r="AT6540">
        <v>1</v>
      </c>
      <c r="AU6540" t="s">
        <v>181</v>
      </c>
      <c r="AV6540" t="s">
        <v>182</v>
      </c>
      <c r="AW6540" t="s">
        <v>60</v>
      </c>
      <c r="AX6540" t="s">
        <v>68</v>
      </c>
      <c r="AY6540" t="s">
        <v>69</v>
      </c>
      <c r="AZ6540" t="b">
        <v>1</v>
      </c>
    </row>
    <row r="6541" spans="1:52" x14ac:dyDescent="0.3">
      <c r="A6541" t="s">
        <v>52</v>
      </c>
      <c r="B6541" t="s">
        <v>53</v>
      </c>
      <c r="C6541" t="s">
        <v>54</v>
      </c>
      <c r="D6541" t="s">
        <v>55</v>
      </c>
      <c r="E6541" t="s">
        <v>2296</v>
      </c>
      <c r="F6541" t="s">
        <v>57</v>
      </c>
      <c r="G6541" t="s">
        <v>1679</v>
      </c>
      <c r="H6541" t="s">
        <v>1680</v>
      </c>
      <c r="I6541" t="s">
        <v>1680</v>
      </c>
      <c r="J6541" t="s">
        <v>60</v>
      </c>
      <c r="K6541" t="s">
        <v>1681</v>
      </c>
      <c r="L6541" t="s">
        <v>62</v>
      </c>
      <c r="M6541" t="s">
        <v>1681</v>
      </c>
      <c r="N6541" t="s">
        <v>1682</v>
      </c>
      <c r="O6541" t="s">
        <v>315</v>
      </c>
      <c r="P6541">
        <v>-20.136075999999999</v>
      </c>
      <c r="Q6541">
        <v>-44.854410999999999</v>
      </c>
      <c r="R6541" s="2" t="str">
        <f>HYPERLINK("https://www.google.com/maps?q=-20.1360760,-44.8544110","Abrir no Google Maps")</f>
        <v>Abrir no Google Maps</v>
      </c>
      <c r="S6541">
        <v>4</v>
      </c>
      <c r="T6541">
        <v>923.14535705095284</v>
      </c>
      <c r="U6541">
        <v>4</v>
      </c>
      <c r="V6541">
        <v>0.3434403937903891</v>
      </c>
      <c r="W6541">
        <v>1</v>
      </c>
      <c r="X6541">
        <v>0.3434403937903891</v>
      </c>
      <c r="Y6541">
        <v>95</v>
      </c>
      <c r="Z6541">
        <v>512.25410822465881</v>
      </c>
      <c r="AA6541">
        <v>198</v>
      </c>
      <c r="AB6541">
        <v>332</v>
      </c>
      <c r="AC6541">
        <v>536</v>
      </c>
      <c r="AD6541">
        <v>28.93</v>
      </c>
      <c r="AE6541">
        <v>542</v>
      </c>
      <c r="AF6541">
        <v>29</v>
      </c>
      <c r="AG6541">
        <v>166</v>
      </c>
      <c r="AH6541">
        <v>129</v>
      </c>
      <c r="AI6541">
        <v>5.35</v>
      </c>
      <c r="AJ6541">
        <v>30.63</v>
      </c>
      <c r="AK6541">
        <v>23.8</v>
      </c>
      <c r="AL6541">
        <v>-20.13612434999996</v>
      </c>
      <c r="AM6541">
        <v>-44.854448179058288</v>
      </c>
      <c r="AN6541">
        <v>-20.13612434999996</v>
      </c>
      <c r="AO6541">
        <v>-44.854448179058288</v>
      </c>
      <c r="AP6541">
        <v>-20.136075999999999</v>
      </c>
      <c r="AQ6541">
        <v>-44.854410999999999</v>
      </c>
      <c r="AR6541">
        <v>6.6384360450222868</v>
      </c>
      <c r="AS6541" t="s">
        <v>65</v>
      </c>
      <c r="AT6541">
        <v>1</v>
      </c>
      <c r="AU6541" t="s">
        <v>1683</v>
      </c>
      <c r="AV6541" t="s">
        <v>1684</v>
      </c>
      <c r="AW6541" t="s">
        <v>60</v>
      </c>
      <c r="AX6541" t="s">
        <v>68</v>
      </c>
      <c r="AY6541" t="s">
        <v>69</v>
      </c>
      <c r="AZ6541" t="b">
        <v>1</v>
      </c>
    </row>
    <row r="6542" spans="1:52" x14ac:dyDescent="0.3">
      <c r="A6542" t="s">
        <v>52</v>
      </c>
      <c r="B6542" t="s">
        <v>53</v>
      </c>
      <c r="C6542" t="s">
        <v>54</v>
      </c>
      <c r="D6542" t="s">
        <v>55</v>
      </c>
      <c r="E6542" t="s">
        <v>2296</v>
      </c>
      <c r="F6542" t="s">
        <v>57</v>
      </c>
      <c r="G6542" t="s">
        <v>183</v>
      </c>
      <c r="H6542" t="s">
        <v>184</v>
      </c>
      <c r="I6542" t="s">
        <v>184</v>
      </c>
      <c r="J6542" t="s">
        <v>60</v>
      </c>
      <c r="K6542" t="s">
        <v>185</v>
      </c>
      <c r="L6542" t="s">
        <v>62</v>
      </c>
      <c r="M6542" t="s">
        <v>185</v>
      </c>
      <c r="N6542" t="s">
        <v>186</v>
      </c>
      <c r="O6542" t="s">
        <v>187</v>
      </c>
      <c r="P6542">
        <v>-20.134855000000002</v>
      </c>
      <c r="Q6542">
        <v>-44.860174000000001</v>
      </c>
      <c r="R6542" s="2" t="str">
        <f>HYPERLINK("https://www.google.com/maps?q=-20.1348550,-44.8601740","Abrir no Google Maps")</f>
        <v>Abrir no Google Maps</v>
      </c>
      <c r="S6542">
        <v>4</v>
      </c>
      <c r="T6542">
        <v>625.96998974571841</v>
      </c>
      <c r="U6542">
        <v>4</v>
      </c>
      <c r="V6542">
        <v>0.20593056747150371</v>
      </c>
      <c r="W6542">
        <v>1</v>
      </c>
      <c r="X6542">
        <v>0.20593056747150371</v>
      </c>
      <c r="Y6542">
        <v>95</v>
      </c>
      <c r="Z6542">
        <v>257.67818504656498</v>
      </c>
      <c r="AA6542">
        <v>198</v>
      </c>
      <c r="AB6542">
        <v>332</v>
      </c>
      <c r="AC6542">
        <v>536</v>
      </c>
      <c r="AD6542">
        <v>28.93</v>
      </c>
      <c r="AE6542">
        <v>542</v>
      </c>
      <c r="AF6542">
        <v>29</v>
      </c>
      <c r="AG6542">
        <v>166</v>
      </c>
      <c r="AH6542">
        <v>129</v>
      </c>
      <c r="AI6542">
        <v>5.35</v>
      </c>
      <c r="AJ6542">
        <v>30.63</v>
      </c>
      <c r="AK6542">
        <v>23.8</v>
      </c>
      <c r="AL6542">
        <v>-20.134903999999981</v>
      </c>
      <c r="AM6542">
        <v>-44.859880285335962</v>
      </c>
      <c r="AN6542">
        <v>-20.134903999999981</v>
      </c>
      <c r="AO6542">
        <v>-44.859880285335962</v>
      </c>
      <c r="AP6542">
        <v>-20.134855000000002</v>
      </c>
      <c r="AQ6542">
        <v>-44.860174000000001</v>
      </c>
      <c r="AR6542">
        <v>31.178921696823132</v>
      </c>
      <c r="AS6542" t="s">
        <v>65</v>
      </c>
      <c r="AT6542">
        <v>1</v>
      </c>
      <c r="AU6542" t="s">
        <v>188</v>
      </c>
      <c r="AV6542" t="s">
        <v>189</v>
      </c>
      <c r="AW6542" t="s">
        <v>60</v>
      </c>
      <c r="AX6542" t="s">
        <v>68</v>
      </c>
      <c r="AY6542" t="s">
        <v>69</v>
      </c>
      <c r="AZ6542" t="b">
        <v>1</v>
      </c>
    </row>
    <row r="6543" spans="1:52" x14ac:dyDescent="0.3">
      <c r="A6543" t="s">
        <v>52</v>
      </c>
      <c r="B6543" t="s">
        <v>53</v>
      </c>
      <c r="C6543" t="s">
        <v>54</v>
      </c>
      <c r="D6543" t="s">
        <v>55</v>
      </c>
      <c r="E6543" t="s">
        <v>2296</v>
      </c>
      <c r="F6543" t="s">
        <v>57</v>
      </c>
      <c r="G6543" t="s">
        <v>637</v>
      </c>
      <c r="H6543" t="s">
        <v>2322</v>
      </c>
      <c r="I6543" t="s">
        <v>2322</v>
      </c>
      <c r="J6543" t="s">
        <v>60</v>
      </c>
      <c r="K6543" t="s">
        <v>2323</v>
      </c>
      <c r="L6543" t="s">
        <v>62</v>
      </c>
      <c r="M6543" t="s">
        <v>2323</v>
      </c>
      <c r="N6543" t="s">
        <v>2324</v>
      </c>
      <c r="O6543" t="s">
        <v>2325</v>
      </c>
      <c r="P6543">
        <v>-20.057216</v>
      </c>
      <c r="Q6543">
        <v>-44.962155000000003</v>
      </c>
      <c r="R6543" s="2" t="str">
        <f>HYPERLINK("https://www.google.com/maps?q=-20.0572160,-44.9621550","Abrir no Google Maps")</f>
        <v>Abrir no Google Maps</v>
      </c>
      <c r="S6543">
        <v>4</v>
      </c>
      <c r="T6543">
        <v>0</v>
      </c>
      <c r="U6543">
        <v>4</v>
      </c>
      <c r="V6543">
        <v>0.37108893001939008</v>
      </c>
      <c r="W6543">
        <v>0.85</v>
      </c>
      <c r="X6543">
        <v>0.31542559051648161</v>
      </c>
      <c r="Y6543">
        <v>38</v>
      </c>
      <c r="Z6543">
        <v>160.6073225675384</v>
      </c>
      <c r="AA6543">
        <v>198</v>
      </c>
      <c r="AB6543">
        <v>332</v>
      </c>
      <c r="AC6543">
        <v>536</v>
      </c>
      <c r="AD6543">
        <v>28.93</v>
      </c>
      <c r="AE6543">
        <v>542</v>
      </c>
      <c r="AF6543">
        <v>29</v>
      </c>
      <c r="AG6543">
        <v>166</v>
      </c>
      <c r="AH6543">
        <v>129</v>
      </c>
      <c r="AI6543">
        <v>5.35</v>
      </c>
      <c r="AJ6543">
        <v>30.63</v>
      </c>
      <c r="AK6543">
        <v>23.8</v>
      </c>
      <c r="AL6543">
        <v>-20.05700309999995</v>
      </c>
      <c r="AM6543">
        <v>-44.962229313606763</v>
      </c>
      <c r="AN6543">
        <v>-20.057003099999939</v>
      </c>
      <c r="AO6543">
        <v>-44.962229313606763</v>
      </c>
      <c r="AP6543">
        <v>-20.057216</v>
      </c>
      <c r="AQ6543">
        <v>-44.962155000000003</v>
      </c>
      <c r="AR6543">
        <v>24.941487622338421</v>
      </c>
      <c r="AS6543" t="s">
        <v>65</v>
      </c>
      <c r="AT6543">
        <v>1</v>
      </c>
      <c r="AU6543" t="s">
        <v>2326</v>
      </c>
      <c r="AV6543" t="s">
        <v>2327</v>
      </c>
      <c r="AW6543" t="s">
        <v>60</v>
      </c>
      <c r="AX6543" t="s">
        <v>68</v>
      </c>
      <c r="AY6543" t="s">
        <v>69</v>
      </c>
      <c r="AZ6543" t="b">
        <v>1</v>
      </c>
    </row>
    <row r="6544" spans="1:52" x14ac:dyDescent="0.3">
      <c r="A6544" t="s">
        <v>52</v>
      </c>
      <c r="B6544" t="s">
        <v>53</v>
      </c>
      <c r="C6544" t="s">
        <v>54</v>
      </c>
      <c r="D6544" t="s">
        <v>55</v>
      </c>
      <c r="E6544" t="s">
        <v>2296</v>
      </c>
      <c r="F6544" t="s">
        <v>57</v>
      </c>
      <c r="G6544" t="s">
        <v>1127</v>
      </c>
      <c r="H6544" t="s">
        <v>2328</v>
      </c>
      <c r="I6544" t="s">
        <v>2328</v>
      </c>
      <c r="J6544" t="s">
        <v>60</v>
      </c>
      <c r="K6544" t="s">
        <v>2323</v>
      </c>
      <c r="L6544" t="s">
        <v>62</v>
      </c>
      <c r="M6544" t="s">
        <v>2323</v>
      </c>
      <c r="N6544" t="s">
        <v>2329</v>
      </c>
      <c r="O6544" t="s">
        <v>2330</v>
      </c>
      <c r="P6544">
        <v>-20.062434</v>
      </c>
      <c r="Q6544">
        <v>-44.977525</v>
      </c>
      <c r="R6544" s="2" t="str">
        <f>HYPERLINK("https://www.google.com/maps?q=-20.0624340,-44.9775250","Abrir no Google Maps")</f>
        <v>Abrir no Google Maps</v>
      </c>
      <c r="S6544">
        <v>4</v>
      </c>
      <c r="T6544">
        <v>1815.8810879695179</v>
      </c>
      <c r="U6544">
        <v>4</v>
      </c>
      <c r="V6544">
        <v>0.50389566395663954</v>
      </c>
      <c r="W6544">
        <v>0.85</v>
      </c>
      <c r="X6544">
        <v>0.42831131436314362</v>
      </c>
      <c r="Y6544">
        <v>38</v>
      </c>
      <c r="Z6544">
        <v>1708.779747459907</v>
      </c>
      <c r="AA6544">
        <v>198</v>
      </c>
      <c r="AB6544">
        <v>332</v>
      </c>
      <c r="AC6544">
        <v>536</v>
      </c>
      <c r="AD6544">
        <v>28.93</v>
      </c>
      <c r="AE6544">
        <v>542</v>
      </c>
      <c r="AF6544">
        <v>29</v>
      </c>
      <c r="AG6544">
        <v>166</v>
      </c>
      <c r="AH6544">
        <v>129</v>
      </c>
      <c r="AI6544">
        <v>5.35</v>
      </c>
      <c r="AJ6544">
        <v>30.63</v>
      </c>
      <c r="AK6544">
        <v>23.8</v>
      </c>
      <c r="AL6544">
        <v>-20.06311989999995</v>
      </c>
      <c r="AM6544">
        <v>-44.978343668780333</v>
      </c>
      <c r="AN6544">
        <v>-20.06311989999995</v>
      </c>
      <c r="AO6544">
        <v>-44.978343668780333</v>
      </c>
      <c r="AP6544">
        <v>-20.062434</v>
      </c>
      <c r="AQ6544">
        <v>-44.977525</v>
      </c>
      <c r="AR6544">
        <v>114.708304563269</v>
      </c>
      <c r="AS6544" t="s">
        <v>65</v>
      </c>
      <c r="AT6544">
        <v>1</v>
      </c>
      <c r="AU6544" t="s">
        <v>2331</v>
      </c>
      <c r="AV6544" t="s">
        <v>2332</v>
      </c>
      <c r="AW6544" t="s">
        <v>60</v>
      </c>
      <c r="AX6544" t="s">
        <v>68</v>
      </c>
      <c r="AY6544" t="s">
        <v>69</v>
      </c>
      <c r="AZ6544" t="b">
        <v>1</v>
      </c>
    </row>
    <row r="6545" spans="1:52" x14ac:dyDescent="0.3">
      <c r="A6545" t="s">
        <v>52</v>
      </c>
      <c r="B6545" t="s">
        <v>53</v>
      </c>
      <c r="C6545" t="s">
        <v>54</v>
      </c>
      <c r="D6545" t="s">
        <v>55</v>
      </c>
      <c r="E6545" t="s">
        <v>2296</v>
      </c>
      <c r="F6545" t="s">
        <v>57</v>
      </c>
      <c r="G6545" t="s">
        <v>2173</v>
      </c>
      <c r="H6545" t="s">
        <v>2231</v>
      </c>
      <c r="I6545" t="s">
        <v>2231</v>
      </c>
      <c r="J6545" t="s">
        <v>60</v>
      </c>
      <c r="K6545" t="s">
        <v>2232</v>
      </c>
      <c r="L6545" t="s">
        <v>62</v>
      </c>
      <c r="M6545" t="s">
        <v>2232</v>
      </c>
      <c r="N6545" t="s">
        <v>2233</v>
      </c>
      <c r="O6545" t="s">
        <v>315</v>
      </c>
      <c r="P6545">
        <v>-20.091393</v>
      </c>
      <c r="Q6545">
        <v>-45.023135000000003</v>
      </c>
      <c r="R6545" s="2" t="str">
        <f>HYPERLINK("https://www.google.com/maps?q=-20.0913930,-45.0231350","Abrir no Google Maps")</f>
        <v>Abrir no Google Maps</v>
      </c>
      <c r="S6545">
        <v>4</v>
      </c>
      <c r="T6545">
        <v>3067.0253042391168</v>
      </c>
      <c r="U6545">
        <v>4</v>
      </c>
      <c r="V6545">
        <v>0.54298913660086234</v>
      </c>
      <c r="W6545">
        <v>0.85</v>
      </c>
      <c r="X6545">
        <v>0.46154076611073303</v>
      </c>
      <c r="Y6545">
        <v>34</v>
      </c>
      <c r="Z6545">
        <v>2960.202019771787</v>
      </c>
      <c r="AA6545">
        <v>198</v>
      </c>
      <c r="AB6545">
        <v>332</v>
      </c>
      <c r="AC6545">
        <v>536</v>
      </c>
      <c r="AD6545">
        <v>28.93</v>
      </c>
      <c r="AE6545">
        <v>542</v>
      </c>
      <c r="AF6545">
        <v>29</v>
      </c>
      <c r="AG6545">
        <v>166</v>
      </c>
      <c r="AH6545">
        <v>129</v>
      </c>
      <c r="AI6545">
        <v>5.35</v>
      </c>
      <c r="AJ6545">
        <v>30.63</v>
      </c>
      <c r="AK6545">
        <v>23.8</v>
      </c>
      <c r="AL6545">
        <v>-20.091948549999959</v>
      </c>
      <c r="AM6545">
        <v>-45.02934783713124</v>
      </c>
      <c r="AN6545">
        <v>-20.091948549999959</v>
      </c>
      <c r="AO6545">
        <v>-45.02934783713124</v>
      </c>
      <c r="AP6545">
        <v>-20.091393</v>
      </c>
      <c r="AQ6545">
        <v>-45.023135000000003</v>
      </c>
      <c r="AR6545">
        <v>652.46077606030462</v>
      </c>
      <c r="AS6545" t="s">
        <v>65</v>
      </c>
      <c r="AT6545">
        <v>1</v>
      </c>
      <c r="AU6545" t="s">
        <v>2234</v>
      </c>
      <c r="AV6545" t="s">
        <v>2235</v>
      </c>
      <c r="AW6545" t="s">
        <v>60</v>
      </c>
      <c r="AX6545" t="s">
        <v>68</v>
      </c>
      <c r="AY6545" t="s">
        <v>69</v>
      </c>
      <c r="AZ6545" t="b">
        <v>1</v>
      </c>
    </row>
    <row r="6546" spans="1:52" x14ac:dyDescent="0.3">
      <c r="A6546" t="s">
        <v>52</v>
      </c>
      <c r="B6546" t="s">
        <v>53</v>
      </c>
      <c r="C6546" t="s">
        <v>54</v>
      </c>
      <c r="D6546" t="s">
        <v>55</v>
      </c>
      <c r="E6546" t="s">
        <v>2296</v>
      </c>
      <c r="F6546" t="s">
        <v>57</v>
      </c>
      <c r="G6546" t="s">
        <v>2173</v>
      </c>
      <c r="H6546" t="s">
        <v>2333</v>
      </c>
      <c r="I6546" t="s">
        <v>2333</v>
      </c>
      <c r="J6546" t="s">
        <v>60</v>
      </c>
      <c r="K6546" t="s">
        <v>2334</v>
      </c>
      <c r="L6546" t="s">
        <v>62</v>
      </c>
      <c r="M6546" t="s">
        <v>2334</v>
      </c>
      <c r="N6546" t="s">
        <v>2335</v>
      </c>
      <c r="O6546" t="s">
        <v>315</v>
      </c>
      <c r="P6546">
        <v>-20.049868</v>
      </c>
      <c r="Q6546">
        <v>-45.060191000000003</v>
      </c>
      <c r="R6546" s="2" t="str">
        <f>HYPERLINK("https://www.google.com/maps?q=-20.0498680,-45.0601910","Abrir no Google Maps")</f>
        <v>Abrir no Google Maps</v>
      </c>
      <c r="S6546">
        <v>4</v>
      </c>
      <c r="T6546">
        <v>3549.8979460337669</v>
      </c>
      <c r="U6546">
        <v>4</v>
      </c>
      <c r="V6546">
        <v>0.52352941176470591</v>
      </c>
      <c r="W6546">
        <v>0.85</v>
      </c>
      <c r="X6546">
        <v>0.44500000000000001</v>
      </c>
      <c r="Y6546">
        <v>34</v>
      </c>
      <c r="Z6546">
        <v>4139.9534186954379</v>
      </c>
      <c r="AA6546">
        <v>198</v>
      </c>
      <c r="AB6546">
        <v>332</v>
      </c>
      <c r="AC6546">
        <v>536</v>
      </c>
      <c r="AD6546">
        <v>28.93</v>
      </c>
      <c r="AE6546">
        <v>542</v>
      </c>
      <c r="AF6546">
        <v>29</v>
      </c>
      <c r="AG6546">
        <v>166</v>
      </c>
      <c r="AH6546">
        <v>129</v>
      </c>
      <c r="AI6546">
        <v>5.35</v>
      </c>
      <c r="AJ6546">
        <v>30.63</v>
      </c>
      <c r="AK6546">
        <v>23.8</v>
      </c>
      <c r="AL6546">
        <v>-20.056154499999959</v>
      </c>
      <c r="AM6546">
        <v>-45.05338866761123</v>
      </c>
      <c r="AN6546">
        <v>-20.056154499999959</v>
      </c>
      <c r="AO6546">
        <v>-45.05338866761123</v>
      </c>
      <c r="AP6546">
        <v>-20.049868</v>
      </c>
      <c r="AQ6546">
        <v>-45.060191000000003</v>
      </c>
      <c r="AR6546">
        <v>997.85114469852681</v>
      </c>
      <c r="AS6546" t="s">
        <v>65</v>
      </c>
      <c r="AT6546">
        <v>1</v>
      </c>
      <c r="AU6546" t="s">
        <v>2336</v>
      </c>
      <c r="AV6546" t="s">
        <v>2337</v>
      </c>
      <c r="AW6546" t="s">
        <v>60</v>
      </c>
      <c r="AX6546" t="s">
        <v>68</v>
      </c>
      <c r="AY6546" t="s">
        <v>69</v>
      </c>
      <c r="AZ6546" t="b">
        <v>1</v>
      </c>
    </row>
    <row r="6547" spans="1:52" x14ac:dyDescent="0.3">
      <c r="A6547" t="s">
        <v>52</v>
      </c>
      <c r="B6547" t="s">
        <v>53</v>
      </c>
      <c r="C6547" t="s">
        <v>54</v>
      </c>
      <c r="D6547" t="s">
        <v>55</v>
      </c>
      <c r="E6547" t="s">
        <v>2296</v>
      </c>
      <c r="F6547" t="s">
        <v>57</v>
      </c>
      <c r="G6547" t="s">
        <v>2173</v>
      </c>
      <c r="H6547" t="s">
        <v>2174</v>
      </c>
      <c r="I6547" t="s">
        <v>2174</v>
      </c>
      <c r="J6547" t="s">
        <v>60</v>
      </c>
      <c r="K6547" t="s">
        <v>2175</v>
      </c>
      <c r="L6547" t="s">
        <v>62</v>
      </c>
      <c r="M6547" t="s">
        <v>2175</v>
      </c>
      <c r="N6547" t="s">
        <v>2176</v>
      </c>
      <c r="O6547" t="s">
        <v>315</v>
      </c>
      <c r="P6547">
        <v>-20.065525000000001</v>
      </c>
      <c r="Q6547">
        <v>-45.021079999999998</v>
      </c>
      <c r="R6547" s="2" t="str">
        <f>HYPERLINK("https://www.google.com/maps?q=-20.0655250,-45.0210800","Abrir no Google Maps")</f>
        <v>Abrir no Google Maps</v>
      </c>
      <c r="S6547">
        <v>4</v>
      </c>
      <c r="T6547">
        <v>0</v>
      </c>
      <c r="U6547">
        <v>4</v>
      </c>
      <c r="V6547">
        <v>0.3719710401891253</v>
      </c>
      <c r="W6547">
        <v>0.85</v>
      </c>
      <c r="X6547">
        <v>0.31617538416075652</v>
      </c>
      <c r="Y6547">
        <v>34</v>
      </c>
      <c r="Z6547">
        <v>112.0787145944731</v>
      </c>
      <c r="AA6547">
        <v>198</v>
      </c>
      <c r="AB6547">
        <v>332</v>
      </c>
      <c r="AC6547">
        <v>536</v>
      </c>
      <c r="AD6547">
        <v>28.93</v>
      </c>
      <c r="AE6547">
        <v>542</v>
      </c>
      <c r="AF6547">
        <v>29</v>
      </c>
      <c r="AG6547">
        <v>166</v>
      </c>
      <c r="AH6547">
        <v>129</v>
      </c>
      <c r="AI6547">
        <v>5.35</v>
      </c>
      <c r="AJ6547">
        <v>30.63</v>
      </c>
      <c r="AK6547">
        <v>23.8</v>
      </c>
      <c r="AL6547">
        <v>-20.065411799999939</v>
      </c>
      <c r="AM6547">
        <v>-45.020883795497078</v>
      </c>
      <c r="AN6547">
        <v>-20.065411799999939</v>
      </c>
      <c r="AO6547">
        <v>-45.020883795497078</v>
      </c>
      <c r="AP6547">
        <v>-20.065525000000001</v>
      </c>
      <c r="AQ6547">
        <v>-45.021079999999998</v>
      </c>
      <c r="AR6547">
        <v>24.076783547382998</v>
      </c>
      <c r="AS6547" t="s">
        <v>65</v>
      </c>
      <c r="AT6547">
        <v>1</v>
      </c>
      <c r="AU6547" t="s">
        <v>2177</v>
      </c>
      <c r="AV6547" t="s">
        <v>2178</v>
      </c>
      <c r="AW6547" t="s">
        <v>60</v>
      </c>
      <c r="AX6547" t="s">
        <v>68</v>
      </c>
      <c r="AY6547" t="s">
        <v>69</v>
      </c>
      <c r="AZ6547" t="b">
        <v>1</v>
      </c>
    </row>
    <row r="6548" spans="1:52" x14ac:dyDescent="0.3">
      <c r="A6548" t="s">
        <v>52</v>
      </c>
      <c r="B6548" t="s">
        <v>53</v>
      </c>
      <c r="C6548" t="s">
        <v>54</v>
      </c>
      <c r="D6548" t="s">
        <v>55</v>
      </c>
      <c r="E6548" t="s">
        <v>2296</v>
      </c>
      <c r="F6548" t="s">
        <v>57</v>
      </c>
      <c r="G6548" t="s">
        <v>1193</v>
      </c>
      <c r="H6548" t="s">
        <v>2338</v>
      </c>
      <c r="I6548" t="s">
        <v>2338</v>
      </c>
      <c r="J6548" t="s">
        <v>60</v>
      </c>
      <c r="K6548" t="s">
        <v>2339</v>
      </c>
      <c r="L6548" t="s">
        <v>62</v>
      </c>
      <c r="M6548" t="s">
        <v>2339</v>
      </c>
      <c r="N6548" t="s">
        <v>2340</v>
      </c>
      <c r="O6548" t="s">
        <v>315</v>
      </c>
      <c r="P6548">
        <v>-20.075799</v>
      </c>
      <c r="Q6548">
        <v>-45.00656</v>
      </c>
      <c r="R6548" s="2" t="str">
        <f>HYPERLINK("https://www.google.com/maps?q=-20.0757990,-45.0065600","Abrir no Google Maps")</f>
        <v>Abrir no Google Maps</v>
      </c>
      <c r="S6548">
        <v>4</v>
      </c>
      <c r="T6548">
        <v>1942.714738829397</v>
      </c>
      <c r="U6548">
        <v>4</v>
      </c>
      <c r="V6548">
        <v>0.49189814814814808</v>
      </c>
      <c r="W6548">
        <v>0.85</v>
      </c>
      <c r="X6548">
        <v>0.41811342592592587</v>
      </c>
      <c r="Y6548">
        <v>34</v>
      </c>
      <c r="Z6548">
        <v>2089.9147638217291</v>
      </c>
      <c r="AA6548">
        <v>198</v>
      </c>
      <c r="AB6548">
        <v>332</v>
      </c>
      <c r="AC6548">
        <v>536</v>
      </c>
      <c r="AD6548">
        <v>28.93</v>
      </c>
      <c r="AE6548">
        <v>542</v>
      </c>
      <c r="AF6548">
        <v>29</v>
      </c>
      <c r="AG6548">
        <v>166</v>
      </c>
      <c r="AH6548">
        <v>129</v>
      </c>
      <c r="AI6548">
        <v>5.35</v>
      </c>
      <c r="AJ6548">
        <v>30.63</v>
      </c>
      <c r="AK6548">
        <v>23.8</v>
      </c>
      <c r="AL6548">
        <v>-20.076274149999961</v>
      </c>
      <c r="AM6548">
        <v>-45.006287286125307</v>
      </c>
      <c r="AN6548">
        <v>-20.076274149999961</v>
      </c>
      <c r="AO6548">
        <v>-45.006287286125307</v>
      </c>
      <c r="AP6548">
        <v>-20.075799</v>
      </c>
      <c r="AQ6548">
        <v>-45.00656</v>
      </c>
      <c r="AR6548">
        <v>60.089775688591551</v>
      </c>
      <c r="AS6548" t="s">
        <v>65</v>
      </c>
      <c r="AT6548">
        <v>1</v>
      </c>
      <c r="AU6548" t="s">
        <v>2341</v>
      </c>
      <c r="AV6548" t="s">
        <v>2342</v>
      </c>
      <c r="AW6548" t="s">
        <v>60</v>
      </c>
      <c r="AX6548" t="s">
        <v>68</v>
      </c>
      <c r="AY6548" t="s">
        <v>69</v>
      </c>
      <c r="AZ6548" t="b">
        <v>1</v>
      </c>
    </row>
    <row r="6549" spans="1:52" x14ac:dyDescent="0.3">
      <c r="A6549" t="s">
        <v>52</v>
      </c>
      <c r="B6549" t="s">
        <v>53</v>
      </c>
      <c r="C6549" t="s">
        <v>54</v>
      </c>
      <c r="D6549" t="s">
        <v>55</v>
      </c>
      <c r="E6549" t="s">
        <v>2296</v>
      </c>
      <c r="F6549" t="s">
        <v>57</v>
      </c>
      <c r="G6549" t="s">
        <v>2343</v>
      </c>
      <c r="H6549" t="s">
        <v>2344</v>
      </c>
      <c r="I6549" t="s">
        <v>2344</v>
      </c>
      <c r="J6549" t="s">
        <v>60</v>
      </c>
      <c r="K6549" t="s">
        <v>2345</v>
      </c>
      <c r="L6549" t="s">
        <v>62</v>
      </c>
      <c r="M6549" t="s">
        <v>2345</v>
      </c>
      <c r="N6549" t="s">
        <v>2346</v>
      </c>
      <c r="O6549" t="s">
        <v>315</v>
      </c>
      <c r="P6549">
        <v>-20.113215</v>
      </c>
      <c r="Q6549">
        <v>-45.044345999999997</v>
      </c>
      <c r="R6549" s="2" t="str">
        <f>HYPERLINK("https://www.google.com/maps?q=-20.1132150,-45.0443460","Abrir no Google Maps")</f>
        <v>Abrir no Google Maps</v>
      </c>
      <c r="S6549">
        <v>4</v>
      </c>
      <c r="T6549">
        <v>6319.7547378770787</v>
      </c>
      <c r="U6549">
        <v>4</v>
      </c>
      <c r="V6549">
        <v>0.46643190408693591</v>
      </c>
      <c r="W6549">
        <v>0.85</v>
      </c>
      <c r="X6549">
        <v>0.39646711847389549</v>
      </c>
      <c r="Y6549">
        <v>30</v>
      </c>
      <c r="Z6549">
        <v>6799.7240272312101</v>
      </c>
      <c r="AA6549">
        <v>198</v>
      </c>
      <c r="AB6549">
        <v>332</v>
      </c>
      <c r="AC6549">
        <v>536</v>
      </c>
      <c r="AD6549">
        <v>28.93</v>
      </c>
      <c r="AE6549">
        <v>542</v>
      </c>
      <c r="AF6549">
        <v>29</v>
      </c>
      <c r="AG6549">
        <v>166</v>
      </c>
      <c r="AH6549">
        <v>129</v>
      </c>
      <c r="AI6549">
        <v>5.35</v>
      </c>
      <c r="AJ6549">
        <v>30.63</v>
      </c>
      <c r="AK6549">
        <v>23.8</v>
      </c>
      <c r="AL6549">
        <v>-20.11184599999995</v>
      </c>
      <c r="AM6549">
        <v>-45.056074468296288</v>
      </c>
      <c r="AN6549">
        <v>-20.11184599999995</v>
      </c>
      <c r="AO6549">
        <v>-45.056074468296288</v>
      </c>
      <c r="AP6549">
        <v>-20.113215</v>
      </c>
      <c r="AQ6549">
        <v>-45.044345999999997</v>
      </c>
      <c r="AR6549">
        <v>1235.436446863466</v>
      </c>
      <c r="AS6549" t="s">
        <v>65</v>
      </c>
      <c r="AT6549">
        <v>1</v>
      </c>
      <c r="AU6549" t="s">
        <v>2347</v>
      </c>
      <c r="AV6549" t="s">
        <v>2348</v>
      </c>
      <c r="AW6549" t="s">
        <v>60</v>
      </c>
      <c r="AX6549" t="s">
        <v>68</v>
      </c>
      <c r="AY6549" t="s">
        <v>69</v>
      </c>
      <c r="AZ6549" t="b">
        <v>1</v>
      </c>
    </row>
    <row r="6550" spans="1:52" x14ac:dyDescent="0.3">
      <c r="A6550" t="s">
        <v>52</v>
      </c>
      <c r="B6550" t="s">
        <v>53</v>
      </c>
      <c r="C6550" t="s">
        <v>54</v>
      </c>
      <c r="D6550" t="s">
        <v>55</v>
      </c>
      <c r="E6550" t="s">
        <v>2296</v>
      </c>
      <c r="F6550" t="s">
        <v>190</v>
      </c>
      <c r="G6550" t="s">
        <v>191</v>
      </c>
      <c r="H6550" t="s">
        <v>192</v>
      </c>
      <c r="I6550" t="s">
        <v>192</v>
      </c>
      <c r="J6550" t="s">
        <v>60</v>
      </c>
      <c r="K6550" t="s">
        <v>193</v>
      </c>
      <c r="L6550" t="s">
        <v>62</v>
      </c>
      <c r="M6550" t="s">
        <v>193</v>
      </c>
      <c r="N6550" t="s">
        <v>194</v>
      </c>
      <c r="O6550" t="s">
        <v>195</v>
      </c>
      <c r="P6550">
        <v>-20.143266000000001</v>
      </c>
      <c r="Q6550">
        <v>-44.912075000000002</v>
      </c>
      <c r="R6550" s="2" t="str">
        <f>HYPERLINK("https://www.google.com/maps?q=-20.1432660,-44.9120750","Abrir no Google Maps")</f>
        <v>Abrir no Google Maps</v>
      </c>
      <c r="S6550">
        <v>4</v>
      </c>
      <c r="T6550">
        <v>467.04339396175408</v>
      </c>
      <c r="U6550">
        <v>3</v>
      </c>
      <c r="V6550">
        <v>0.170435726183612</v>
      </c>
      <c r="W6550">
        <v>1</v>
      </c>
      <c r="X6550">
        <v>0.170435726183612</v>
      </c>
      <c r="Y6550">
        <v>747</v>
      </c>
      <c r="Z6550">
        <v>585.1742452866996</v>
      </c>
      <c r="AA6550">
        <v>198</v>
      </c>
      <c r="AB6550">
        <v>332</v>
      </c>
      <c r="AC6550">
        <v>536</v>
      </c>
      <c r="AD6550">
        <v>28.93</v>
      </c>
      <c r="AE6550">
        <v>542</v>
      </c>
      <c r="AF6550">
        <v>29</v>
      </c>
      <c r="AG6550">
        <v>166</v>
      </c>
      <c r="AH6550">
        <v>129</v>
      </c>
      <c r="AI6550">
        <v>5.35</v>
      </c>
      <c r="AJ6550">
        <v>30.63</v>
      </c>
      <c r="AK6550">
        <v>23.8</v>
      </c>
      <c r="AL6550">
        <v>-20.143307949999951</v>
      </c>
      <c r="AM6550">
        <v>-44.912066629431067</v>
      </c>
      <c r="AN6550">
        <v>-20.143307949999951</v>
      </c>
      <c r="AO6550">
        <v>-44.912066629431067</v>
      </c>
      <c r="AP6550">
        <v>-20.143266000000001</v>
      </c>
      <c r="AQ6550">
        <v>-44.912075000000002</v>
      </c>
      <c r="AR6550">
        <v>4.751108024498329</v>
      </c>
      <c r="AS6550" t="s">
        <v>65</v>
      </c>
      <c r="AT6550">
        <v>1</v>
      </c>
      <c r="AU6550" t="s">
        <v>196</v>
      </c>
      <c r="AV6550" t="s">
        <v>197</v>
      </c>
      <c r="AW6550" t="s">
        <v>60</v>
      </c>
      <c r="AX6550" t="s">
        <v>68</v>
      </c>
      <c r="AY6550" t="s">
        <v>69</v>
      </c>
      <c r="AZ6550" t="b">
        <v>1</v>
      </c>
    </row>
    <row r="6551" spans="1:52" x14ac:dyDescent="0.3">
      <c r="A6551" t="s">
        <v>52</v>
      </c>
      <c r="B6551" t="s">
        <v>53</v>
      </c>
      <c r="C6551" t="s">
        <v>54</v>
      </c>
      <c r="D6551" t="s">
        <v>55</v>
      </c>
      <c r="E6551" t="s">
        <v>2296</v>
      </c>
      <c r="F6551" t="s">
        <v>190</v>
      </c>
      <c r="G6551" t="s">
        <v>100</v>
      </c>
      <c r="H6551" t="s">
        <v>106</v>
      </c>
      <c r="I6551" t="s">
        <v>106</v>
      </c>
      <c r="J6551" t="s">
        <v>60</v>
      </c>
      <c r="K6551" t="s">
        <v>61</v>
      </c>
      <c r="L6551" t="s">
        <v>62</v>
      </c>
      <c r="M6551" t="s">
        <v>61</v>
      </c>
      <c r="N6551" t="s">
        <v>102</v>
      </c>
      <c r="O6551" t="s">
        <v>103</v>
      </c>
      <c r="P6551">
        <v>-20.151107</v>
      </c>
      <c r="Q6551">
        <v>-44.908918</v>
      </c>
      <c r="R6551" s="2" t="str">
        <f>HYPERLINK("https://www.google.com/maps?q=-20.1511070,-44.9089180","Abrir no Google Maps")</f>
        <v>Abrir no Google Maps</v>
      </c>
      <c r="S6551">
        <v>4</v>
      </c>
      <c r="T6551">
        <v>615.86400245321579</v>
      </c>
      <c r="U6551">
        <v>3</v>
      </c>
      <c r="V6551">
        <v>0.20395179029695709</v>
      </c>
      <c r="W6551">
        <v>0.85</v>
      </c>
      <c r="X6551">
        <v>0.17335902175241349</v>
      </c>
      <c r="Y6551">
        <v>747</v>
      </c>
      <c r="Z6551">
        <v>535.34543763764702</v>
      </c>
      <c r="AA6551">
        <v>198</v>
      </c>
      <c r="AB6551">
        <v>332</v>
      </c>
      <c r="AC6551">
        <v>536</v>
      </c>
      <c r="AD6551">
        <v>28.93</v>
      </c>
      <c r="AE6551">
        <v>542</v>
      </c>
      <c r="AF6551">
        <v>29</v>
      </c>
      <c r="AG6551">
        <v>166</v>
      </c>
      <c r="AH6551">
        <v>129</v>
      </c>
      <c r="AI6551">
        <v>5.35</v>
      </c>
      <c r="AJ6551">
        <v>30.63</v>
      </c>
      <c r="AK6551">
        <v>23.8</v>
      </c>
      <c r="AL6551">
        <v>-20.151307349999971</v>
      </c>
      <c r="AM6551">
        <v>-44.909024234051429</v>
      </c>
      <c r="AN6551">
        <v>-20.151307349999971</v>
      </c>
      <c r="AO6551">
        <v>-44.909024234051429</v>
      </c>
      <c r="AP6551">
        <v>-20.151107</v>
      </c>
      <c r="AQ6551">
        <v>-44.908918</v>
      </c>
      <c r="AR6551">
        <v>24.91340747371116</v>
      </c>
      <c r="AS6551" t="s">
        <v>65</v>
      </c>
      <c r="AT6551">
        <v>1</v>
      </c>
      <c r="AU6551" t="s">
        <v>107</v>
      </c>
      <c r="AV6551" t="s">
        <v>105</v>
      </c>
      <c r="AW6551" t="s">
        <v>60</v>
      </c>
      <c r="AX6551" t="s">
        <v>68</v>
      </c>
      <c r="AY6551" t="s">
        <v>69</v>
      </c>
      <c r="AZ6551" t="b">
        <v>1</v>
      </c>
    </row>
    <row r="6552" spans="1:52" x14ac:dyDescent="0.3">
      <c r="A6552" t="s">
        <v>52</v>
      </c>
      <c r="B6552" t="s">
        <v>53</v>
      </c>
      <c r="C6552" t="s">
        <v>54</v>
      </c>
      <c r="D6552" t="s">
        <v>55</v>
      </c>
      <c r="E6552" t="s">
        <v>2296</v>
      </c>
      <c r="F6552" t="s">
        <v>190</v>
      </c>
      <c r="G6552" t="s">
        <v>212</v>
      </c>
      <c r="H6552" t="s">
        <v>213</v>
      </c>
      <c r="I6552" t="s">
        <v>213</v>
      </c>
      <c r="J6552" t="s">
        <v>60</v>
      </c>
      <c r="K6552" t="s">
        <v>214</v>
      </c>
      <c r="L6552" t="s">
        <v>62</v>
      </c>
      <c r="M6552" t="s">
        <v>214</v>
      </c>
      <c r="N6552" t="s">
        <v>215</v>
      </c>
      <c r="O6552" t="s">
        <v>216</v>
      </c>
      <c r="P6552">
        <v>-20.158149000000002</v>
      </c>
      <c r="Q6552">
        <v>-44.872593000000002</v>
      </c>
      <c r="R6552" s="2" t="str">
        <f>HYPERLINK("https://www.google.com/maps?q=-20.1581490,-44.8725930","Abrir no Google Maps")</f>
        <v>Abrir no Google Maps</v>
      </c>
      <c r="S6552">
        <v>4</v>
      </c>
      <c r="T6552">
        <v>0</v>
      </c>
      <c r="U6552">
        <v>3</v>
      </c>
      <c r="V6552">
        <v>0.160511857847836</v>
      </c>
      <c r="W6552">
        <v>1</v>
      </c>
      <c r="X6552">
        <v>0.160511857847836</v>
      </c>
      <c r="Y6552">
        <v>531</v>
      </c>
      <c r="Z6552">
        <v>127.8805352974544</v>
      </c>
      <c r="AA6552">
        <v>198</v>
      </c>
      <c r="AB6552">
        <v>332</v>
      </c>
      <c r="AC6552">
        <v>536</v>
      </c>
      <c r="AD6552">
        <v>28.93</v>
      </c>
      <c r="AE6552">
        <v>542</v>
      </c>
      <c r="AF6552">
        <v>29</v>
      </c>
      <c r="AG6552">
        <v>166</v>
      </c>
      <c r="AH6552">
        <v>129</v>
      </c>
      <c r="AI6552">
        <v>5.35</v>
      </c>
      <c r="AJ6552">
        <v>30.63</v>
      </c>
      <c r="AK6552">
        <v>23.8</v>
      </c>
      <c r="AL6552">
        <v>-20.158114249999951</v>
      </c>
      <c r="AM6552">
        <v>-44.872583123264782</v>
      </c>
      <c r="AN6552">
        <v>-20.158114249999951</v>
      </c>
      <c r="AO6552">
        <v>-44.872583123264782</v>
      </c>
      <c r="AP6552">
        <v>-20.158149000000002</v>
      </c>
      <c r="AQ6552">
        <v>-44.872593000000002</v>
      </c>
      <c r="AR6552">
        <v>4.0036956087599238</v>
      </c>
      <c r="AS6552" t="s">
        <v>65</v>
      </c>
      <c r="AT6552">
        <v>1</v>
      </c>
      <c r="AU6552" t="s">
        <v>217</v>
      </c>
      <c r="AV6552" t="s">
        <v>218</v>
      </c>
      <c r="AW6552" t="s">
        <v>60</v>
      </c>
      <c r="AX6552" t="s">
        <v>68</v>
      </c>
      <c r="AY6552" t="s">
        <v>69</v>
      </c>
      <c r="AZ6552" t="b">
        <v>1</v>
      </c>
    </row>
    <row r="6553" spans="1:52" x14ac:dyDescent="0.3">
      <c r="A6553" t="s">
        <v>52</v>
      </c>
      <c r="B6553" t="s">
        <v>53</v>
      </c>
      <c r="C6553" t="s">
        <v>54</v>
      </c>
      <c r="D6553" t="s">
        <v>55</v>
      </c>
      <c r="E6553" t="s">
        <v>2296</v>
      </c>
      <c r="F6553" t="s">
        <v>190</v>
      </c>
      <c r="G6553" t="s">
        <v>219</v>
      </c>
      <c r="H6553" t="s">
        <v>220</v>
      </c>
      <c r="I6553" t="s">
        <v>220</v>
      </c>
      <c r="J6553" t="s">
        <v>60</v>
      </c>
      <c r="K6553" t="s">
        <v>214</v>
      </c>
      <c r="L6553" t="s">
        <v>62</v>
      </c>
      <c r="M6553" t="s">
        <v>214</v>
      </c>
      <c r="N6553" t="s">
        <v>221</v>
      </c>
      <c r="O6553" t="s">
        <v>222</v>
      </c>
      <c r="P6553">
        <v>-20.158049999999999</v>
      </c>
      <c r="Q6553">
        <v>-44.868823999999996</v>
      </c>
      <c r="R6553" s="2" t="str">
        <f>HYPERLINK("https://www.google.com/maps?q=-20.1580500,-44.8688240","Abrir no Google Maps")</f>
        <v>Abrir no Google Maps</v>
      </c>
      <c r="S6553">
        <v>4</v>
      </c>
      <c r="T6553">
        <v>400.85705002223079</v>
      </c>
      <c r="U6553">
        <v>3</v>
      </c>
      <c r="V6553">
        <v>0.15803588981641109</v>
      </c>
      <c r="W6553">
        <v>1</v>
      </c>
      <c r="X6553">
        <v>0.15803588981641109</v>
      </c>
      <c r="Y6553">
        <v>531</v>
      </c>
      <c r="Z6553">
        <v>493.98501624607121</v>
      </c>
      <c r="AA6553">
        <v>198</v>
      </c>
      <c r="AB6553">
        <v>332</v>
      </c>
      <c r="AC6553">
        <v>536</v>
      </c>
      <c r="AD6553">
        <v>28.93</v>
      </c>
      <c r="AE6553">
        <v>542</v>
      </c>
      <c r="AF6553">
        <v>29</v>
      </c>
      <c r="AG6553">
        <v>166</v>
      </c>
      <c r="AH6553">
        <v>129</v>
      </c>
      <c r="AI6553">
        <v>5.35</v>
      </c>
      <c r="AJ6553">
        <v>30.63</v>
      </c>
      <c r="AK6553">
        <v>23.8</v>
      </c>
      <c r="AL6553">
        <v>-20.158020649999969</v>
      </c>
      <c r="AM6553">
        <v>-44.868748475381317</v>
      </c>
      <c r="AN6553">
        <v>-20.158020649999969</v>
      </c>
      <c r="AO6553">
        <v>-44.868748475381331</v>
      </c>
      <c r="AP6553">
        <v>-20.158049999999999</v>
      </c>
      <c r="AQ6553">
        <v>-44.868823999999996</v>
      </c>
      <c r="AR6553">
        <v>8.5419571471718818</v>
      </c>
      <c r="AS6553" t="s">
        <v>65</v>
      </c>
      <c r="AT6553">
        <v>1</v>
      </c>
      <c r="AU6553" t="s">
        <v>223</v>
      </c>
      <c r="AV6553" t="s">
        <v>224</v>
      </c>
      <c r="AW6553" t="s">
        <v>60</v>
      </c>
      <c r="AX6553" t="s">
        <v>68</v>
      </c>
      <c r="AY6553" t="s">
        <v>69</v>
      </c>
      <c r="AZ6553" t="b">
        <v>1</v>
      </c>
    </row>
    <row r="6554" spans="1:52" x14ac:dyDescent="0.3">
      <c r="A6554" t="s">
        <v>52</v>
      </c>
      <c r="B6554" t="s">
        <v>53</v>
      </c>
      <c r="C6554" t="s">
        <v>54</v>
      </c>
      <c r="D6554" t="s">
        <v>55</v>
      </c>
      <c r="E6554" t="s">
        <v>2296</v>
      </c>
      <c r="F6554" t="s">
        <v>190</v>
      </c>
      <c r="G6554" t="s">
        <v>225</v>
      </c>
      <c r="H6554" t="s">
        <v>226</v>
      </c>
      <c r="I6554" t="s">
        <v>226</v>
      </c>
      <c r="J6554" t="s">
        <v>60</v>
      </c>
      <c r="K6554" t="s">
        <v>227</v>
      </c>
      <c r="L6554" t="s">
        <v>62</v>
      </c>
      <c r="M6554" t="s">
        <v>227</v>
      </c>
      <c r="N6554" t="s">
        <v>228</v>
      </c>
      <c r="O6554" t="s">
        <v>229</v>
      </c>
      <c r="P6554">
        <v>-20.156986</v>
      </c>
      <c r="Q6554">
        <v>-44.857474000000003</v>
      </c>
      <c r="R6554" s="2" t="str">
        <f>HYPERLINK("https://www.google.com/maps?q=-20.1569860,-44.8574740","Abrir no Google Maps")</f>
        <v>Abrir no Google Maps</v>
      </c>
      <c r="S6554">
        <v>4</v>
      </c>
      <c r="T6554">
        <v>270.52797591847911</v>
      </c>
      <c r="U6554">
        <v>3</v>
      </c>
      <c r="V6554">
        <v>0.15866128095110399</v>
      </c>
      <c r="W6554">
        <v>1</v>
      </c>
      <c r="X6554">
        <v>0.15866128095110399</v>
      </c>
      <c r="Y6554">
        <v>518</v>
      </c>
      <c r="Z6554">
        <v>441.86584449256071</v>
      </c>
      <c r="AA6554">
        <v>198</v>
      </c>
      <c r="AB6554">
        <v>332</v>
      </c>
      <c r="AC6554">
        <v>536</v>
      </c>
      <c r="AD6554">
        <v>28.93</v>
      </c>
      <c r="AE6554">
        <v>542</v>
      </c>
      <c r="AF6554">
        <v>29</v>
      </c>
      <c r="AG6554">
        <v>166</v>
      </c>
      <c r="AH6554">
        <v>129</v>
      </c>
      <c r="AI6554">
        <v>5.35</v>
      </c>
      <c r="AJ6554">
        <v>30.63</v>
      </c>
      <c r="AK6554">
        <v>23.8</v>
      </c>
      <c r="AL6554">
        <v>-20.156957249999952</v>
      </c>
      <c r="AM6554">
        <v>-44.857396682659299</v>
      </c>
      <c r="AN6554">
        <v>-20.156957249999952</v>
      </c>
      <c r="AO6554">
        <v>-44.857396682659299</v>
      </c>
      <c r="AP6554">
        <v>-20.156986</v>
      </c>
      <c r="AQ6554">
        <v>-44.857474000000003</v>
      </c>
      <c r="AR6554">
        <v>8.6905800579264607</v>
      </c>
      <c r="AS6554" t="s">
        <v>65</v>
      </c>
      <c r="AT6554">
        <v>1</v>
      </c>
      <c r="AU6554" t="s">
        <v>230</v>
      </c>
      <c r="AV6554" t="s">
        <v>231</v>
      </c>
      <c r="AW6554" t="s">
        <v>60</v>
      </c>
      <c r="AX6554" t="s">
        <v>68</v>
      </c>
      <c r="AY6554" t="s">
        <v>69</v>
      </c>
      <c r="AZ6554" t="b">
        <v>1</v>
      </c>
    </row>
    <row r="6555" spans="1:52" x14ac:dyDescent="0.3">
      <c r="A6555" t="s">
        <v>52</v>
      </c>
      <c r="B6555" t="s">
        <v>53</v>
      </c>
      <c r="C6555" t="s">
        <v>54</v>
      </c>
      <c r="D6555" t="s">
        <v>55</v>
      </c>
      <c r="E6555" t="s">
        <v>2296</v>
      </c>
      <c r="F6555" t="s">
        <v>190</v>
      </c>
      <c r="G6555" t="s">
        <v>1618</v>
      </c>
      <c r="H6555" t="s">
        <v>1619</v>
      </c>
      <c r="I6555" t="s">
        <v>1619</v>
      </c>
      <c r="J6555" t="s">
        <v>60</v>
      </c>
      <c r="K6555" t="s">
        <v>227</v>
      </c>
      <c r="L6555" t="s">
        <v>62</v>
      </c>
      <c r="M6555" t="s">
        <v>227</v>
      </c>
      <c r="N6555" t="s">
        <v>228</v>
      </c>
      <c r="O6555" t="s">
        <v>1620</v>
      </c>
      <c r="P6555">
        <v>-20.159497999999999</v>
      </c>
      <c r="Q6555">
        <v>-44.852925999999997</v>
      </c>
      <c r="R6555" s="2" t="str">
        <f>HYPERLINK("https://www.google.com/maps?q=-20.1594980,-44.8529260","Abrir no Google Maps")</f>
        <v>Abrir no Google Maps</v>
      </c>
      <c r="S6555">
        <v>4</v>
      </c>
      <c r="T6555">
        <v>560.11627509727657</v>
      </c>
      <c r="U6555">
        <v>3</v>
      </c>
      <c r="V6555">
        <v>0.17580836760480251</v>
      </c>
      <c r="W6555">
        <v>1</v>
      </c>
      <c r="X6555">
        <v>0.17580836760480251</v>
      </c>
      <c r="Y6555">
        <v>491</v>
      </c>
      <c r="Z6555">
        <v>609.25494989442086</v>
      </c>
      <c r="AA6555">
        <v>198</v>
      </c>
      <c r="AB6555">
        <v>332</v>
      </c>
      <c r="AC6555">
        <v>536</v>
      </c>
      <c r="AD6555">
        <v>28.93</v>
      </c>
      <c r="AE6555">
        <v>542</v>
      </c>
      <c r="AF6555">
        <v>29</v>
      </c>
      <c r="AG6555">
        <v>166</v>
      </c>
      <c r="AH6555">
        <v>129</v>
      </c>
      <c r="AI6555">
        <v>5.35</v>
      </c>
      <c r="AJ6555">
        <v>30.63</v>
      </c>
      <c r="AK6555">
        <v>23.8</v>
      </c>
      <c r="AL6555">
        <v>-20.159495399999969</v>
      </c>
      <c r="AM6555">
        <v>-44.85297928977559</v>
      </c>
      <c r="AN6555">
        <v>-20.159495399999969</v>
      </c>
      <c r="AO6555">
        <v>-44.85297928977559</v>
      </c>
      <c r="AP6555">
        <v>-20.159497999999999</v>
      </c>
      <c r="AQ6555">
        <v>-44.852925999999997</v>
      </c>
      <c r="AR6555">
        <v>5.5763081103260701</v>
      </c>
      <c r="AS6555" t="s">
        <v>65</v>
      </c>
      <c r="AT6555">
        <v>1</v>
      </c>
      <c r="AU6555" t="s">
        <v>1621</v>
      </c>
      <c r="AV6555" t="s">
        <v>1622</v>
      </c>
      <c r="AW6555" t="s">
        <v>60</v>
      </c>
      <c r="AX6555" t="s">
        <v>68</v>
      </c>
      <c r="AY6555" t="s">
        <v>69</v>
      </c>
      <c r="AZ6555" t="b">
        <v>1</v>
      </c>
    </row>
    <row r="6556" spans="1:52" x14ac:dyDescent="0.3">
      <c r="A6556" t="s">
        <v>52</v>
      </c>
      <c r="B6556" t="s">
        <v>53</v>
      </c>
      <c r="C6556" t="s">
        <v>54</v>
      </c>
      <c r="D6556" t="s">
        <v>55</v>
      </c>
      <c r="E6556" t="s">
        <v>2296</v>
      </c>
      <c r="F6556" t="s">
        <v>190</v>
      </c>
      <c r="G6556" t="s">
        <v>127</v>
      </c>
      <c r="H6556" t="s">
        <v>128</v>
      </c>
      <c r="I6556" t="s">
        <v>128</v>
      </c>
      <c r="J6556" t="s">
        <v>60</v>
      </c>
      <c r="K6556" t="s">
        <v>129</v>
      </c>
      <c r="L6556" t="s">
        <v>62</v>
      </c>
      <c r="M6556" t="s">
        <v>129</v>
      </c>
      <c r="N6556" t="s">
        <v>130</v>
      </c>
      <c r="O6556" t="s">
        <v>131</v>
      </c>
      <c r="P6556">
        <v>-20.130752000000001</v>
      </c>
      <c r="Q6556">
        <v>-44.865676999999998</v>
      </c>
      <c r="R6556" s="2" t="str">
        <f>HYPERLINK("https://www.google.com/maps?q=-20.1307520,-44.8656770","Abrir no Google Maps")</f>
        <v>Abrir no Google Maps</v>
      </c>
      <c r="S6556">
        <v>4</v>
      </c>
      <c r="T6556">
        <v>666.25741128624747</v>
      </c>
      <c r="U6556">
        <v>3</v>
      </c>
      <c r="V6556">
        <v>0.17244791279266769</v>
      </c>
      <c r="W6556">
        <v>1</v>
      </c>
      <c r="X6556">
        <v>0.17244791279266769</v>
      </c>
      <c r="Y6556">
        <v>387</v>
      </c>
      <c r="Z6556">
        <v>838.7193965949632</v>
      </c>
      <c r="AA6556">
        <v>198</v>
      </c>
      <c r="AB6556">
        <v>332</v>
      </c>
      <c r="AC6556">
        <v>536</v>
      </c>
      <c r="AD6556">
        <v>28.93</v>
      </c>
      <c r="AE6556">
        <v>542</v>
      </c>
      <c r="AF6556">
        <v>29</v>
      </c>
      <c r="AG6556">
        <v>166</v>
      </c>
      <c r="AH6556">
        <v>129</v>
      </c>
      <c r="AI6556">
        <v>5.35</v>
      </c>
      <c r="AJ6556">
        <v>30.63</v>
      </c>
      <c r="AK6556">
        <v>23.8</v>
      </c>
      <c r="AL6556">
        <v>-20.130734049999969</v>
      </c>
      <c r="AM6556">
        <v>-44.86564904282416</v>
      </c>
      <c r="AN6556">
        <v>-20.130734049999969</v>
      </c>
      <c r="AO6556">
        <v>-44.86564904282416</v>
      </c>
      <c r="AP6556">
        <v>-20.130752000000001</v>
      </c>
      <c r="AQ6556">
        <v>-44.865676999999998</v>
      </c>
      <c r="AR6556">
        <v>3.539952280780454</v>
      </c>
      <c r="AS6556" t="s">
        <v>65</v>
      </c>
      <c r="AT6556">
        <v>1</v>
      </c>
      <c r="AU6556" t="s">
        <v>132</v>
      </c>
      <c r="AV6556" t="s">
        <v>133</v>
      </c>
      <c r="AW6556" t="s">
        <v>60</v>
      </c>
      <c r="AX6556" t="s">
        <v>68</v>
      </c>
      <c r="AY6556" t="s">
        <v>69</v>
      </c>
      <c r="AZ6556" t="b">
        <v>1</v>
      </c>
    </row>
    <row r="6557" spans="1:52" x14ac:dyDescent="0.3">
      <c r="A6557" t="s">
        <v>52</v>
      </c>
      <c r="B6557" t="s">
        <v>53</v>
      </c>
      <c r="C6557" t="s">
        <v>54</v>
      </c>
      <c r="D6557" t="s">
        <v>55</v>
      </c>
      <c r="E6557" t="s">
        <v>2296</v>
      </c>
      <c r="F6557" t="s">
        <v>190</v>
      </c>
      <c r="G6557" t="s">
        <v>212</v>
      </c>
      <c r="H6557" t="s">
        <v>249</v>
      </c>
      <c r="I6557" t="s">
        <v>249</v>
      </c>
      <c r="J6557" t="s">
        <v>60</v>
      </c>
      <c r="K6557" t="s">
        <v>214</v>
      </c>
      <c r="L6557" t="s">
        <v>62</v>
      </c>
      <c r="M6557" t="s">
        <v>214</v>
      </c>
      <c r="N6557" t="s">
        <v>215</v>
      </c>
      <c r="O6557" t="s">
        <v>250</v>
      </c>
      <c r="P6557">
        <v>-20.153901000000001</v>
      </c>
      <c r="Q6557">
        <v>-44.873201000000002</v>
      </c>
      <c r="R6557" s="2" t="str">
        <f>HYPERLINK("https://www.google.com/maps?q=-20.1539010,-44.8732010","Abrir no Google Maps")</f>
        <v>Abrir no Google Maps</v>
      </c>
      <c r="S6557">
        <v>4</v>
      </c>
      <c r="T6557">
        <v>478.23282142593177</v>
      </c>
      <c r="U6557">
        <v>3</v>
      </c>
      <c r="V6557">
        <v>0.1625546000546001</v>
      </c>
      <c r="W6557">
        <v>1</v>
      </c>
      <c r="X6557">
        <v>0.1625546000546001</v>
      </c>
      <c r="Y6557">
        <v>305</v>
      </c>
      <c r="Z6557">
        <v>392.82025973713081</v>
      </c>
      <c r="AA6557">
        <v>198</v>
      </c>
      <c r="AB6557">
        <v>332</v>
      </c>
      <c r="AC6557">
        <v>536</v>
      </c>
      <c r="AD6557">
        <v>28.93</v>
      </c>
      <c r="AE6557">
        <v>542</v>
      </c>
      <c r="AF6557">
        <v>29</v>
      </c>
      <c r="AG6557">
        <v>166</v>
      </c>
      <c r="AH6557">
        <v>129</v>
      </c>
      <c r="AI6557">
        <v>5.35</v>
      </c>
      <c r="AJ6557">
        <v>30.63</v>
      </c>
      <c r="AK6557">
        <v>23.8</v>
      </c>
      <c r="AL6557">
        <v>-20.153814849999971</v>
      </c>
      <c r="AM6557">
        <v>-44.87304592111829</v>
      </c>
      <c r="AN6557">
        <v>-20.153814849999971</v>
      </c>
      <c r="AO6557">
        <v>-44.87304592111829</v>
      </c>
      <c r="AP6557">
        <v>-20.153901000000001</v>
      </c>
      <c r="AQ6557">
        <v>-44.873201000000002</v>
      </c>
      <c r="AR6557">
        <v>18.831316146831309</v>
      </c>
      <c r="AS6557" t="s">
        <v>65</v>
      </c>
      <c r="AT6557">
        <v>1</v>
      </c>
      <c r="AU6557" t="s">
        <v>251</v>
      </c>
      <c r="AV6557" t="s">
        <v>252</v>
      </c>
      <c r="AW6557" t="s">
        <v>60</v>
      </c>
      <c r="AX6557" t="s">
        <v>68</v>
      </c>
      <c r="AY6557" t="s">
        <v>69</v>
      </c>
      <c r="AZ6557" t="b">
        <v>1</v>
      </c>
    </row>
    <row r="6558" spans="1:52" x14ac:dyDescent="0.3">
      <c r="A6558" t="s">
        <v>52</v>
      </c>
      <c r="B6558" t="s">
        <v>53</v>
      </c>
      <c r="C6558" t="s">
        <v>54</v>
      </c>
      <c r="D6558" t="s">
        <v>55</v>
      </c>
      <c r="E6558" t="s">
        <v>2296</v>
      </c>
      <c r="F6558" t="s">
        <v>190</v>
      </c>
      <c r="G6558" t="s">
        <v>253</v>
      </c>
      <c r="H6558" t="s">
        <v>254</v>
      </c>
      <c r="I6558" t="s">
        <v>254</v>
      </c>
      <c r="J6558" t="s">
        <v>60</v>
      </c>
      <c r="K6558" t="s">
        <v>255</v>
      </c>
      <c r="L6558" t="s">
        <v>62</v>
      </c>
      <c r="M6558" t="s">
        <v>255</v>
      </c>
      <c r="N6558" t="s">
        <v>256</v>
      </c>
      <c r="O6558" t="s">
        <v>257</v>
      </c>
      <c r="P6558">
        <v>-20.159638000000001</v>
      </c>
      <c r="Q6558">
        <v>-44.849030999999997</v>
      </c>
      <c r="R6558" s="2" t="str">
        <f>HYPERLINK("https://www.google.com/maps?q=-20.1596380,-44.8490310","Abrir no Google Maps")</f>
        <v>Abrir no Google Maps</v>
      </c>
      <c r="S6558">
        <v>4</v>
      </c>
      <c r="T6558">
        <v>691.81173220845892</v>
      </c>
      <c r="U6558">
        <v>3</v>
      </c>
      <c r="V6558">
        <v>0.16959089466165819</v>
      </c>
      <c r="W6558">
        <v>1</v>
      </c>
      <c r="X6558">
        <v>0.16959089466165819</v>
      </c>
      <c r="Y6558">
        <v>292</v>
      </c>
      <c r="Z6558">
        <v>678.56824923431736</v>
      </c>
      <c r="AA6558">
        <v>198</v>
      </c>
      <c r="AB6558">
        <v>332</v>
      </c>
      <c r="AC6558">
        <v>536</v>
      </c>
      <c r="AD6558">
        <v>28.93</v>
      </c>
      <c r="AE6558">
        <v>542</v>
      </c>
      <c r="AF6558">
        <v>29</v>
      </c>
      <c r="AG6558">
        <v>166</v>
      </c>
      <c r="AH6558">
        <v>129</v>
      </c>
      <c r="AI6558">
        <v>5.35</v>
      </c>
      <c r="AJ6558">
        <v>30.63</v>
      </c>
      <c r="AK6558">
        <v>23.8</v>
      </c>
      <c r="AL6558">
        <v>-20.159590049999959</v>
      </c>
      <c r="AM6558">
        <v>-44.849181856774607</v>
      </c>
      <c r="AN6558">
        <v>-20.159590049999959</v>
      </c>
      <c r="AO6558">
        <v>-44.849181856774607</v>
      </c>
      <c r="AP6558">
        <v>-20.159638000000001</v>
      </c>
      <c r="AQ6558">
        <v>-44.849030999999997</v>
      </c>
      <c r="AR6558">
        <v>16.643712040087191</v>
      </c>
      <c r="AS6558" t="s">
        <v>65</v>
      </c>
      <c r="AT6558">
        <v>1</v>
      </c>
      <c r="AU6558" t="s">
        <v>258</v>
      </c>
      <c r="AV6558" t="s">
        <v>259</v>
      </c>
      <c r="AW6558" t="s">
        <v>60</v>
      </c>
      <c r="AX6558" t="s">
        <v>68</v>
      </c>
      <c r="AY6558" t="s">
        <v>69</v>
      </c>
      <c r="AZ6558" t="b">
        <v>1</v>
      </c>
    </row>
    <row r="6559" spans="1:52" x14ac:dyDescent="0.3">
      <c r="A6559" t="s">
        <v>52</v>
      </c>
      <c r="B6559" t="s">
        <v>53</v>
      </c>
      <c r="C6559" t="s">
        <v>54</v>
      </c>
      <c r="D6559" t="s">
        <v>55</v>
      </c>
      <c r="E6559" t="s">
        <v>2296</v>
      </c>
      <c r="F6559" t="s">
        <v>190</v>
      </c>
      <c r="G6559" t="s">
        <v>260</v>
      </c>
      <c r="H6559" t="s">
        <v>261</v>
      </c>
      <c r="I6559" t="s">
        <v>261</v>
      </c>
      <c r="J6559" t="s">
        <v>60</v>
      </c>
      <c r="K6559" t="s">
        <v>262</v>
      </c>
      <c r="L6559" t="s">
        <v>62</v>
      </c>
      <c r="M6559" t="s">
        <v>262</v>
      </c>
      <c r="N6559" t="s">
        <v>263</v>
      </c>
      <c r="O6559" t="s">
        <v>264</v>
      </c>
      <c r="P6559">
        <v>-20.162230000000001</v>
      </c>
      <c r="Q6559">
        <v>-44.850189</v>
      </c>
      <c r="R6559" s="2" t="str">
        <f>HYPERLINK("https://www.google.com/maps?q=-20.1622300,-44.8501890","Abrir no Google Maps")</f>
        <v>Abrir no Google Maps</v>
      </c>
      <c r="S6559">
        <v>4</v>
      </c>
      <c r="T6559">
        <v>485.03737650296068</v>
      </c>
      <c r="U6559">
        <v>3</v>
      </c>
      <c r="V6559">
        <v>0.1788745055735346</v>
      </c>
      <c r="W6559">
        <v>1</v>
      </c>
      <c r="X6559">
        <v>0.1788745055735346</v>
      </c>
      <c r="Y6559">
        <v>292</v>
      </c>
      <c r="Z6559">
        <v>461.03925198673232</v>
      </c>
      <c r="AA6559">
        <v>198</v>
      </c>
      <c r="AB6559">
        <v>332</v>
      </c>
      <c r="AC6559">
        <v>536</v>
      </c>
      <c r="AD6559">
        <v>28.93</v>
      </c>
      <c r="AE6559">
        <v>542</v>
      </c>
      <c r="AF6559">
        <v>29</v>
      </c>
      <c r="AG6559">
        <v>166</v>
      </c>
      <c r="AH6559">
        <v>129</v>
      </c>
      <c r="AI6559">
        <v>5.35</v>
      </c>
      <c r="AJ6559">
        <v>30.63</v>
      </c>
      <c r="AK6559">
        <v>23.8</v>
      </c>
      <c r="AL6559">
        <v>-20.162067849999971</v>
      </c>
      <c r="AM6559">
        <v>-44.850230909322903</v>
      </c>
      <c r="AN6559">
        <v>-20.162067849999971</v>
      </c>
      <c r="AO6559">
        <v>-44.850230909322903</v>
      </c>
      <c r="AP6559">
        <v>-20.162230000000001</v>
      </c>
      <c r="AQ6559">
        <v>-44.850189</v>
      </c>
      <c r="AR6559">
        <v>18.574218491036259</v>
      </c>
      <c r="AS6559" t="s">
        <v>65</v>
      </c>
      <c r="AT6559">
        <v>1</v>
      </c>
      <c r="AU6559" t="s">
        <v>265</v>
      </c>
      <c r="AV6559" t="s">
        <v>266</v>
      </c>
      <c r="AW6559" t="s">
        <v>60</v>
      </c>
      <c r="AX6559" t="s">
        <v>68</v>
      </c>
      <c r="AY6559" t="s">
        <v>69</v>
      </c>
      <c r="AZ6559" t="b">
        <v>1</v>
      </c>
    </row>
    <row r="6560" spans="1:52" x14ac:dyDescent="0.3">
      <c r="A6560" t="s">
        <v>52</v>
      </c>
      <c r="B6560" t="s">
        <v>53</v>
      </c>
      <c r="C6560" t="s">
        <v>54</v>
      </c>
      <c r="D6560" t="s">
        <v>55</v>
      </c>
      <c r="E6560" t="s">
        <v>2296</v>
      </c>
      <c r="F6560" t="s">
        <v>190</v>
      </c>
      <c r="G6560" t="s">
        <v>279</v>
      </c>
      <c r="H6560" t="s">
        <v>280</v>
      </c>
      <c r="I6560" t="s">
        <v>280</v>
      </c>
      <c r="J6560" t="s">
        <v>60</v>
      </c>
      <c r="K6560" t="s">
        <v>281</v>
      </c>
      <c r="L6560" t="s">
        <v>62</v>
      </c>
      <c r="M6560" t="s">
        <v>281</v>
      </c>
      <c r="N6560" t="s">
        <v>282</v>
      </c>
      <c r="O6560" t="s">
        <v>283</v>
      </c>
      <c r="P6560">
        <v>-20.175312999999999</v>
      </c>
      <c r="Q6560">
        <v>-44.848562999999999</v>
      </c>
      <c r="R6560" s="2" t="str">
        <f>HYPERLINK("https://www.google.com/maps?q=-20.1753130,-44.8485630","Abrir no Google Maps")</f>
        <v>Abrir no Google Maps</v>
      </c>
      <c r="S6560">
        <v>4</v>
      </c>
      <c r="T6560">
        <v>1076.9164078034139</v>
      </c>
      <c r="U6560">
        <v>3</v>
      </c>
      <c r="V6560">
        <v>0.17075981858054229</v>
      </c>
      <c r="W6560">
        <v>1</v>
      </c>
      <c r="X6560">
        <v>0.17075981858054229</v>
      </c>
      <c r="Y6560">
        <v>292</v>
      </c>
      <c r="Z6560">
        <v>1035.650579259463</v>
      </c>
      <c r="AA6560">
        <v>198</v>
      </c>
      <c r="AB6560">
        <v>332</v>
      </c>
      <c r="AC6560">
        <v>536</v>
      </c>
      <c r="AD6560">
        <v>28.93</v>
      </c>
      <c r="AE6560">
        <v>542</v>
      </c>
      <c r="AF6560">
        <v>29</v>
      </c>
      <c r="AG6560">
        <v>166</v>
      </c>
      <c r="AH6560">
        <v>129</v>
      </c>
      <c r="AI6560">
        <v>5.35</v>
      </c>
      <c r="AJ6560">
        <v>30.63</v>
      </c>
      <c r="AK6560">
        <v>23.8</v>
      </c>
      <c r="AL6560">
        <v>-20.175338949999961</v>
      </c>
      <c r="AM6560">
        <v>-44.848523168324952</v>
      </c>
      <c r="AN6560">
        <v>-20.175338949999961</v>
      </c>
      <c r="AO6560">
        <v>-44.848523168324952</v>
      </c>
      <c r="AP6560">
        <v>-20.175312999999999</v>
      </c>
      <c r="AQ6560">
        <v>-44.848562999999999</v>
      </c>
      <c r="AR6560">
        <v>5.0662709576519056</v>
      </c>
      <c r="AS6560" t="s">
        <v>65</v>
      </c>
      <c r="AT6560">
        <v>1</v>
      </c>
      <c r="AU6560" t="s">
        <v>284</v>
      </c>
      <c r="AV6560" t="s">
        <v>285</v>
      </c>
      <c r="AW6560" t="s">
        <v>60</v>
      </c>
      <c r="AX6560" t="s">
        <v>68</v>
      </c>
      <c r="AY6560" t="s">
        <v>69</v>
      </c>
      <c r="AZ6560" t="b">
        <v>1</v>
      </c>
    </row>
    <row r="6561" spans="1:52" x14ac:dyDescent="0.3">
      <c r="A6561" t="s">
        <v>52</v>
      </c>
      <c r="B6561" t="s">
        <v>53</v>
      </c>
      <c r="C6561" t="s">
        <v>54</v>
      </c>
      <c r="D6561" t="s">
        <v>55</v>
      </c>
      <c r="E6561" t="s">
        <v>2296</v>
      </c>
      <c r="F6561" t="s">
        <v>190</v>
      </c>
      <c r="G6561" t="s">
        <v>134</v>
      </c>
      <c r="H6561" t="s">
        <v>135</v>
      </c>
      <c r="I6561" t="s">
        <v>135</v>
      </c>
      <c r="J6561" t="s">
        <v>60</v>
      </c>
      <c r="K6561" t="s">
        <v>136</v>
      </c>
      <c r="L6561" t="s">
        <v>62</v>
      </c>
      <c r="M6561" t="s">
        <v>136</v>
      </c>
      <c r="N6561" t="s">
        <v>137</v>
      </c>
      <c r="O6561" t="s">
        <v>138</v>
      </c>
      <c r="P6561">
        <v>-20.165773000000002</v>
      </c>
      <c r="Q6561">
        <v>-44.847566999999998</v>
      </c>
      <c r="R6561" s="2" t="str">
        <f>HYPERLINK("https://www.google.com/maps?q=-20.1657730,-44.8475670","Abrir no Google Maps")</f>
        <v>Abrir no Google Maps</v>
      </c>
      <c r="S6561">
        <v>4</v>
      </c>
      <c r="T6561">
        <v>0</v>
      </c>
      <c r="U6561">
        <v>3</v>
      </c>
      <c r="V6561">
        <v>0.1590867830703426</v>
      </c>
      <c r="W6561">
        <v>1</v>
      </c>
      <c r="X6561">
        <v>0.1590867830703426</v>
      </c>
      <c r="Y6561">
        <v>292</v>
      </c>
      <c r="Z6561">
        <v>98.987346341524855</v>
      </c>
      <c r="AA6561">
        <v>198</v>
      </c>
      <c r="AB6561">
        <v>332</v>
      </c>
      <c r="AC6561">
        <v>536</v>
      </c>
      <c r="AD6561">
        <v>28.93</v>
      </c>
      <c r="AE6561">
        <v>542</v>
      </c>
      <c r="AF6561">
        <v>29</v>
      </c>
      <c r="AG6561">
        <v>166</v>
      </c>
      <c r="AH6561">
        <v>129</v>
      </c>
      <c r="AI6561">
        <v>5.35</v>
      </c>
      <c r="AJ6561">
        <v>30.63</v>
      </c>
      <c r="AK6561">
        <v>23.8</v>
      </c>
      <c r="AL6561">
        <v>-20.16565029999995</v>
      </c>
      <c r="AM6561">
        <v>-44.847556627666897</v>
      </c>
      <c r="AN6561">
        <v>-20.16565029999995</v>
      </c>
      <c r="AO6561">
        <v>-44.847556627666897</v>
      </c>
      <c r="AP6561">
        <v>-20.165773000000002</v>
      </c>
      <c r="AQ6561">
        <v>-44.847566999999998</v>
      </c>
      <c r="AR6561">
        <v>13.701900146251189</v>
      </c>
      <c r="AS6561" t="s">
        <v>65</v>
      </c>
      <c r="AT6561">
        <v>1</v>
      </c>
      <c r="AU6561" t="s">
        <v>139</v>
      </c>
      <c r="AV6561" t="s">
        <v>140</v>
      </c>
      <c r="AW6561" t="s">
        <v>60</v>
      </c>
      <c r="AX6561" t="s">
        <v>68</v>
      </c>
      <c r="AY6561" t="s">
        <v>69</v>
      </c>
      <c r="AZ6561" t="b">
        <v>1</v>
      </c>
    </row>
    <row r="6562" spans="1:52" x14ac:dyDescent="0.3">
      <c r="A6562" t="s">
        <v>52</v>
      </c>
      <c r="B6562" t="s">
        <v>53</v>
      </c>
      <c r="C6562" t="s">
        <v>54</v>
      </c>
      <c r="D6562" t="s">
        <v>55</v>
      </c>
      <c r="E6562" t="s">
        <v>2296</v>
      </c>
      <c r="F6562" t="s">
        <v>190</v>
      </c>
      <c r="G6562" t="s">
        <v>253</v>
      </c>
      <c r="H6562" t="s">
        <v>286</v>
      </c>
      <c r="I6562" t="s">
        <v>286</v>
      </c>
      <c r="J6562" t="s">
        <v>60</v>
      </c>
      <c r="K6562" t="s">
        <v>136</v>
      </c>
      <c r="L6562" t="s">
        <v>62</v>
      </c>
      <c r="M6562" t="s">
        <v>136</v>
      </c>
      <c r="N6562" t="s">
        <v>256</v>
      </c>
      <c r="O6562" t="s">
        <v>287</v>
      </c>
      <c r="P6562">
        <v>-20.165067000000001</v>
      </c>
      <c r="Q6562">
        <v>-44.851146999999997</v>
      </c>
      <c r="R6562" s="2" t="str">
        <f>HYPERLINK("https://www.google.com/maps?q=-20.1650670,-44.8511470","Abrir no Google Maps")</f>
        <v>Abrir no Google Maps</v>
      </c>
      <c r="S6562">
        <v>4</v>
      </c>
      <c r="T6562">
        <v>374.14945573570043</v>
      </c>
      <c r="U6562">
        <v>3</v>
      </c>
      <c r="V6562">
        <v>0.1608287986221808</v>
      </c>
      <c r="W6562">
        <v>1</v>
      </c>
      <c r="X6562">
        <v>0.1608287986221808</v>
      </c>
      <c r="Y6562">
        <v>292</v>
      </c>
      <c r="Z6562">
        <v>295.9878686859272</v>
      </c>
      <c r="AA6562">
        <v>198</v>
      </c>
      <c r="AB6562">
        <v>332</v>
      </c>
      <c r="AC6562">
        <v>536</v>
      </c>
      <c r="AD6562">
        <v>28.93</v>
      </c>
      <c r="AE6562">
        <v>542</v>
      </c>
      <c r="AF6562">
        <v>29</v>
      </c>
      <c r="AG6562">
        <v>166</v>
      </c>
      <c r="AH6562">
        <v>129</v>
      </c>
      <c r="AI6562">
        <v>5.35</v>
      </c>
      <c r="AJ6562">
        <v>30.63</v>
      </c>
      <c r="AK6562">
        <v>23.8</v>
      </c>
      <c r="AL6562">
        <v>-20.164961799999961</v>
      </c>
      <c r="AM6562">
        <v>-44.851062119796737</v>
      </c>
      <c r="AN6562">
        <v>-20.164961799999961</v>
      </c>
      <c r="AO6562">
        <v>-44.851062119796737</v>
      </c>
      <c r="AP6562">
        <v>-20.165067000000001</v>
      </c>
      <c r="AQ6562">
        <v>-44.851146999999997</v>
      </c>
      <c r="AR6562">
        <v>14.690666366415</v>
      </c>
      <c r="AS6562" t="s">
        <v>65</v>
      </c>
      <c r="AT6562">
        <v>1</v>
      </c>
      <c r="AU6562" t="s">
        <v>288</v>
      </c>
      <c r="AV6562" t="s">
        <v>289</v>
      </c>
      <c r="AW6562" t="s">
        <v>60</v>
      </c>
      <c r="AX6562" t="s">
        <v>68</v>
      </c>
      <c r="AY6562" t="s">
        <v>69</v>
      </c>
      <c r="AZ6562" t="b">
        <v>1</v>
      </c>
    </row>
    <row r="6563" spans="1:52" x14ac:dyDescent="0.3">
      <c r="A6563" t="s">
        <v>52</v>
      </c>
      <c r="B6563" t="s">
        <v>53</v>
      </c>
      <c r="C6563" t="s">
        <v>54</v>
      </c>
      <c r="D6563" t="s">
        <v>55</v>
      </c>
      <c r="E6563" t="s">
        <v>2296</v>
      </c>
      <c r="F6563" t="s">
        <v>190</v>
      </c>
      <c r="G6563" t="s">
        <v>253</v>
      </c>
      <c r="H6563" t="s">
        <v>296</v>
      </c>
      <c r="I6563" t="s">
        <v>296</v>
      </c>
      <c r="J6563" t="s">
        <v>60</v>
      </c>
      <c r="K6563" t="s">
        <v>136</v>
      </c>
      <c r="L6563" t="s">
        <v>62</v>
      </c>
      <c r="M6563" t="s">
        <v>136</v>
      </c>
      <c r="N6563" t="s">
        <v>256</v>
      </c>
      <c r="O6563" t="s">
        <v>297</v>
      </c>
      <c r="P6563">
        <v>-20.168476999999999</v>
      </c>
      <c r="Q6563">
        <v>-44.852528</v>
      </c>
      <c r="R6563" s="2" t="str">
        <f>HYPERLINK("https://www.google.com/maps?q=-20.1684770,-44.8525280","Abrir no Google Maps")</f>
        <v>Abrir no Google Maps</v>
      </c>
      <c r="S6563">
        <v>4</v>
      </c>
      <c r="T6563">
        <v>587.16898087421623</v>
      </c>
      <c r="U6563">
        <v>3</v>
      </c>
      <c r="V6563">
        <v>0.15806816075731009</v>
      </c>
      <c r="W6563">
        <v>1</v>
      </c>
      <c r="X6563">
        <v>0.15806816075731009</v>
      </c>
      <c r="Y6563">
        <v>292</v>
      </c>
      <c r="Z6563">
        <v>471.75619463337938</v>
      </c>
      <c r="AA6563">
        <v>198</v>
      </c>
      <c r="AB6563">
        <v>332</v>
      </c>
      <c r="AC6563">
        <v>536</v>
      </c>
      <c r="AD6563">
        <v>28.93</v>
      </c>
      <c r="AE6563">
        <v>542</v>
      </c>
      <c r="AF6563">
        <v>29</v>
      </c>
      <c r="AG6563">
        <v>166</v>
      </c>
      <c r="AH6563">
        <v>129</v>
      </c>
      <c r="AI6563">
        <v>5.35</v>
      </c>
      <c r="AJ6563">
        <v>30.63</v>
      </c>
      <c r="AK6563">
        <v>23.8</v>
      </c>
      <c r="AL6563">
        <v>-20.16846514999995</v>
      </c>
      <c r="AM6563">
        <v>-44.852319844682007</v>
      </c>
      <c r="AN6563">
        <v>-20.168465149999939</v>
      </c>
      <c r="AO6563">
        <v>-44.852319844682007</v>
      </c>
      <c r="AP6563">
        <v>-20.168476999999999</v>
      </c>
      <c r="AQ6563">
        <v>-44.852528</v>
      </c>
      <c r="AR6563">
        <v>21.790984536052999</v>
      </c>
      <c r="AS6563" t="s">
        <v>65</v>
      </c>
      <c r="AT6563">
        <v>1</v>
      </c>
      <c r="AU6563" t="s">
        <v>298</v>
      </c>
      <c r="AV6563" t="s">
        <v>299</v>
      </c>
      <c r="AW6563" t="s">
        <v>60</v>
      </c>
      <c r="AX6563" t="s">
        <v>68</v>
      </c>
      <c r="AY6563" t="s">
        <v>69</v>
      </c>
      <c r="AZ6563" t="b">
        <v>1</v>
      </c>
    </row>
    <row r="6564" spans="1:52" x14ac:dyDescent="0.3">
      <c r="A6564" t="s">
        <v>52</v>
      </c>
      <c r="B6564" t="s">
        <v>53</v>
      </c>
      <c r="C6564" t="s">
        <v>54</v>
      </c>
      <c r="D6564" t="s">
        <v>55</v>
      </c>
      <c r="E6564" t="s">
        <v>2296</v>
      </c>
      <c r="F6564" t="s">
        <v>190</v>
      </c>
      <c r="G6564" t="s">
        <v>253</v>
      </c>
      <c r="H6564" t="s">
        <v>1633</v>
      </c>
      <c r="I6564" t="s">
        <v>1633</v>
      </c>
      <c r="J6564" t="s">
        <v>60</v>
      </c>
      <c r="K6564" t="s">
        <v>982</v>
      </c>
      <c r="L6564" t="s">
        <v>62</v>
      </c>
      <c r="M6564" t="s">
        <v>982</v>
      </c>
      <c r="N6564" t="s">
        <v>256</v>
      </c>
      <c r="O6564" t="s">
        <v>1634</v>
      </c>
      <c r="P6564">
        <v>-20.170407000000001</v>
      </c>
      <c r="Q6564">
        <v>-44.853330999999997</v>
      </c>
      <c r="R6564" s="2" t="str">
        <f>HYPERLINK("https://www.google.com/maps?q=-20.1704070,-44.8533310","Abrir no Google Maps")</f>
        <v>Abrir no Google Maps</v>
      </c>
      <c r="S6564">
        <v>4</v>
      </c>
      <c r="T6564">
        <v>801.41180076523165</v>
      </c>
      <c r="U6564">
        <v>3</v>
      </c>
      <c r="V6564">
        <v>0.15876497196738029</v>
      </c>
      <c r="W6564">
        <v>1</v>
      </c>
      <c r="X6564">
        <v>0.15876497196738029</v>
      </c>
      <c r="Y6564">
        <v>292</v>
      </c>
      <c r="Z6564">
        <v>726.46828777213966</v>
      </c>
      <c r="AA6564">
        <v>198</v>
      </c>
      <c r="AB6564">
        <v>332</v>
      </c>
      <c r="AC6564">
        <v>536</v>
      </c>
      <c r="AD6564">
        <v>28.93</v>
      </c>
      <c r="AE6564">
        <v>542</v>
      </c>
      <c r="AF6564">
        <v>29</v>
      </c>
      <c r="AG6564">
        <v>166</v>
      </c>
      <c r="AH6564">
        <v>129</v>
      </c>
      <c r="AI6564">
        <v>5.35</v>
      </c>
      <c r="AJ6564">
        <v>30.63</v>
      </c>
      <c r="AK6564">
        <v>23.8</v>
      </c>
      <c r="AL6564">
        <v>-20.170412849999959</v>
      </c>
      <c r="AM6564">
        <v>-44.853334311192633</v>
      </c>
      <c r="AN6564">
        <v>-20.170412849999959</v>
      </c>
      <c r="AO6564">
        <v>-44.853334311192633</v>
      </c>
      <c r="AP6564">
        <v>-20.170407000000001</v>
      </c>
      <c r="AQ6564">
        <v>-44.853330999999997</v>
      </c>
      <c r="AR6564">
        <v>0.73743023728700929</v>
      </c>
      <c r="AS6564" t="s">
        <v>65</v>
      </c>
      <c r="AT6564">
        <v>1</v>
      </c>
      <c r="AU6564" t="s">
        <v>1635</v>
      </c>
      <c r="AV6564" t="s">
        <v>1636</v>
      </c>
      <c r="AW6564" t="s">
        <v>60</v>
      </c>
      <c r="AX6564" t="s">
        <v>68</v>
      </c>
      <c r="AY6564" t="s">
        <v>69</v>
      </c>
      <c r="AZ6564" t="b">
        <v>1</v>
      </c>
    </row>
    <row r="6565" spans="1:52" x14ac:dyDescent="0.3">
      <c r="A6565" t="s">
        <v>52</v>
      </c>
      <c r="B6565" t="s">
        <v>53</v>
      </c>
      <c r="C6565" t="s">
        <v>54</v>
      </c>
      <c r="D6565" t="s">
        <v>55</v>
      </c>
      <c r="E6565" t="s">
        <v>2296</v>
      </c>
      <c r="F6565" t="s">
        <v>190</v>
      </c>
      <c r="G6565" t="s">
        <v>300</v>
      </c>
      <c r="H6565" t="s">
        <v>301</v>
      </c>
      <c r="I6565" t="s">
        <v>301</v>
      </c>
      <c r="J6565" t="s">
        <v>60</v>
      </c>
      <c r="K6565" t="s">
        <v>150</v>
      </c>
      <c r="L6565" t="s">
        <v>62</v>
      </c>
      <c r="M6565" t="s">
        <v>150</v>
      </c>
      <c r="N6565" t="s">
        <v>302</v>
      </c>
      <c r="O6565" t="s">
        <v>303</v>
      </c>
      <c r="P6565">
        <v>-20.172993000000002</v>
      </c>
      <c r="Q6565">
        <v>-44.853588999999999</v>
      </c>
      <c r="R6565" s="2" t="str">
        <f>HYPERLINK("https://www.google.com/maps?q=-20.1729930,-44.8535890","Abrir no Google Maps")</f>
        <v>Abrir no Google Maps</v>
      </c>
      <c r="S6565">
        <v>4</v>
      </c>
      <c r="T6565">
        <v>1041.446216907221</v>
      </c>
      <c r="U6565">
        <v>3</v>
      </c>
      <c r="V6565">
        <v>0.17078330417726881</v>
      </c>
      <c r="W6565">
        <v>1</v>
      </c>
      <c r="X6565">
        <v>0.17078330417726881</v>
      </c>
      <c r="Y6565">
        <v>292</v>
      </c>
      <c r="Z6565">
        <v>978.86270909763937</v>
      </c>
      <c r="AA6565">
        <v>198</v>
      </c>
      <c r="AB6565">
        <v>332</v>
      </c>
      <c r="AC6565">
        <v>536</v>
      </c>
      <c r="AD6565">
        <v>28.93</v>
      </c>
      <c r="AE6565">
        <v>542</v>
      </c>
      <c r="AF6565">
        <v>29</v>
      </c>
      <c r="AG6565">
        <v>166</v>
      </c>
      <c r="AH6565">
        <v>129</v>
      </c>
      <c r="AI6565">
        <v>5.35</v>
      </c>
      <c r="AJ6565">
        <v>30.63</v>
      </c>
      <c r="AK6565">
        <v>23.8</v>
      </c>
      <c r="AL6565">
        <v>-20.173142449999968</v>
      </c>
      <c r="AM6565">
        <v>-44.853588035903172</v>
      </c>
      <c r="AN6565">
        <v>-20.173142449999968</v>
      </c>
      <c r="AO6565">
        <v>-44.853588035903172</v>
      </c>
      <c r="AP6565">
        <v>-20.172993000000002</v>
      </c>
      <c r="AQ6565">
        <v>-44.853588999999999</v>
      </c>
      <c r="AR6565">
        <v>16.637078994259841</v>
      </c>
      <c r="AS6565" t="s">
        <v>65</v>
      </c>
      <c r="AT6565">
        <v>1</v>
      </c>
      <c r="AU6565" t="s">
        <v>304</v>
      </c>
      <c r="AV6565" t="s">
        <v>305</v>
      </c>
      <c r="AW6565" t="s">
        <v>60</v>
      </c>
      <c r="AX6565" t="s">
        <v>68</v>
      </c>
      <c r="AY6565" t="s">
        <v>69</v>
      </c>
      <c r="AZ6565" t="b">
        <v>1</v>
      </c>
    </row>
    <row r="6566" spans="1:52" x14ac:dyDescent="0.3">
      <c r="A6566" t="s">
        <v>52</v>
      </c>
      <c r="B6566" t="s">
        <v>53</v>
      </c>
      <c r="C6566" t="s">
        <v>54</v>
      </c>
      <c r="D6566" t="s">
        <v>55</v>
      </c>
      <c r="E6566" t="s">
        <v>2296</v>
      </c>
      <c r="F6566" t="s">
        <v>190</v>
      </c>
      <c r="G6566" t="s">
        <v>306</v>
      </c>
      <c r="H6566" t="s">
        <v>307</v>
      </c>
      <c r="I6566" t="s">
        <v>307</v>
      </c>
      <c r="J6566" t="s">
        <v>60</v>
      </c>
      <c r="K6566" t="s">
        <v>143</v>
      </c>
      <c r="L6566" t="s">
        <v>62</v>
      </c>
      <c r="M6566" t="s">
        <v>143</v>
      </c>
      <c r="N6566" t="s">
        <v>308</v>
      </c>
      <c r="O6566" t="s">
        <v>309</v>
      </c>
      <c r="P6566">
        <v>-20.167071</v>
      </c>
      <c r="Q6566">
        <v>-44.842730000000003</v>
      </c>
      <c r="R6566" s="2" t="str">
        <f>HYPERLINK("https://www.google.com/maps?q=-20.1670710,-44.8427300","Abrir no Google Maps")</f>
        <v>Abrir no Google Maps</v>
      </c>
      <c r="S6566">
        <v>4</v>
      </c>
      <c r="T6566">
        <v>535.14780070571521</v>
      </c>
      <c r="U6566">
        <v>3</v>
      </c>
      <c r="V6566">
        <v>0.1644561694970875</v>
      </c>
      <c r="W6566">
        <v>1</v>
      </c>
      <c r="X6566">
        <v>0.1644561694970875</v>
      </c>
      <c r="Y6566">
        <v>292</v>
      </c>
      <c r="Z6566">
        <v>582.78942050501109</v>
      </c>
      <c r="AA6566">
        <v>198</v>
      </c>
      <c r="AB6566">
        <v>332</v>
      </c>
      <c r="AC6566">
        <v>536</v>
      </c>
      <c r="AD6566">
        <v>28.93</v>
      </c>
      <c r="AE6566">
        <v>542</v>
      </c>
      <c r="AF6566">
        <v>29</v>
      </c>
      <c r="AG6566">
        <v>166</v>
      </c>
      <c r="AH6566">
        <v>129</v>
      </c>
      <c r="AI6566">
        <v>5.35</v>
      </c>
      <c r="AJ6566">
        <v>30.63</v>
      </c>
      <c r="AK6566">
        <v>23.8</v>
      </c>
      <c r="AL6566">
        <v>-20.167006799999971</v>
      </c>
      <c r="AM6566">
        <v>-44.842640974693197</v>
      </c>
      <c r="AN6566">
        <v>-20.167006799999971</v>
      </c>
      <c r="AO6566">
        <v>-44.842640974693197</v>
      </c>
      <c r="AP6566">
        <v>-20.167071</v>
      </c>
      <c r="AQ6566">
        <v>-44.842730000000003</v>
      </c>
      <c r="AR6566">
        <v>11.73100304278117</v>
      </c>
      <c r="AS6566" t="s">
        <v>65</v>
      </c>
      <c r="AT6566">
        <v>1</v>
      </c>
      <c r="AU6566" t="s">
        <v>310</v>
      </c>
      <c r="AV6566" t="s">
        <v>311</v>
      </c>
      <c r="AW6566" t="s">
        <v>60</v>
      </c>
      <c r="AX6566" t="s">
        <v>68</v>
      </c>
      <c r="AY6566" t="s">
        <v>69</v>
      </c>
      <c r="AZ6566" t="b">
        <v>1</v>
      </c>
    </row>
    <row r="6567" spans="1:52" x14ac:dyDescent="0.3">
      <c r="A6567" t="s">
        <v>52</v>
      </c>
      <c r="B6567" t="s">
        <v>53</v>
      </c>
      <c r="C6567" t="s">
        <v>54</v>
      </c>
      <c r="D6567" t="s">
        <v>55</v>
      </c>
      <c r="E6567" t="s">
        <v>2296</v>
      </c>
      <c r="F6567" t="s">
        <v>190</v>
      </c>
      <c r="G6567" t="s">
        <v>312</v>
      </c>
      <c r="H6567" t="s">
        <v>313</v>
      </c>
      <c r="I6567" t="s">
        <v>313</v>
      </c>
      <c r="J6567" t="s">
        <v>60</v>
      </c>
      <c r="K6567" t="s">
        <v>143</v>
      </c>
      <c r="L6567" t="s">
        <v>62</v>
      </c>
      <c r="M6567" t="s">
        <v>143</v>
      </c>
      <c r="N6567" t="s">
        <v>314</v>
      </c>
      <c r="O6567" t="s">
        <v>315</v>
      </c>
      <c r="P6567">
        <v>-20.168939000000002</v>
      </c>
      <c r="Q6567">
        <v>-44.843286999999997</v>
      </c>
      <c r="R6567" s="2" t="str">
        <f>HYPERLINK("https://www.google.com/maps?q=-20.1689390,-44.8432870","Abrir no Google Maps")</f>
        <v>Abrir no Google Maps</v>
      </c>
      <c r="S6567">
        <v>4</v>
      </c>
      <c r="T6567">
        <v>582.22902758915586</v>
      </c>
      <c r="U6567">
        <v>3</v>
      </c>
      <c r="V6567">
        <v>0.16823351045068199</v>
      </c>
      <c r="W6567">
        <v>1</v>
      </c>
      <c r="X6567">
        <v>0.16823351045068199</v>
      </c>
      <c r="Y6567">
        <v>292</v>
      </c>
      <c r="Z6567">
        <v>628.29035609472794</v>
      </c>
      <c r="AA6567">
        <v>198</v>
      </c>
      <c r="AB6567">
        <v>332</v>
      </c>
      <c r="AC6567">
        <v>536</v>
      </c>
      <c r="AD6567">
        <v>28.93</v>
      </c>
      <c r="AE6567">
        <v>542</v>
      </c>
      <c r="AF6567">
        <v>29</v>
      </c>
      <c r="AG6567">
        <v>166</v>
      </c>
      <c r="AH6567">
        <v>129</v>
      </c>
      <c r="AI6567">
        <v>5.35</v>
      </c>
      <c r="AJ6567">
        <v>30.63</v>
      </c>
      <c r="AK6567">
        <v>23.8</v>
      </c>
      <c r="AL6567">
        <v>-20.16917709999996</v>
      </c>
      <c r="AM6567">
        <v>-44.84342194427667</v>
      </c>
      <c r="AN6567">
        <v>-20.16917709999996</v>
      </c>
      <c r="AO6567">
        <v>-44.84342194427667</v>
      </c>
      <c r="AP6567">
        <v>-20.168939000000002</v>
      </c>
      <c r="AQ6567">
        <v>-44.843286999999997</v>
      </c>
      <c r="AR6567">
        <v>30.02272213565665</v>
      </c>
      <c r="AS6567" t="s">
        <v>65</v>
      </c>
      <c r="AT6567">
        <v>1</v>
      </c>
      <c r="AU6567" t="s">
        <v>316</v>
      </c>
      <c r="AV6567" t="s">
        <v>311</v>
      </c>
      <c r="AW6567" t="s">
        <v>60</v>
      </c>
      <c r="AX6567" t="s">
        <v>68</v>
      </c>
      <c r="AY6567" t="s">
        <v>69</v>
      </c>
      <c r="AZ6567" t="b">
        <v>1</v>
      </c>
    </row>
    <row r="6568" spans="1:52" x14ac:dyDescent="0.3">
      <c r="A6568" t="s">
        <v>52</v>
      </c>
      <c r="B6568" t="s">
        <v>53</v>
      </c>
      <c r="C6568" t="s">
        <v>54</v>
      </c>
      <c r="D6568" t="s">
        <v>55</v>
      </c>
      <c r="E6568" t="s">
        <v>2296</v>
      </c>
      <c r="F6568" t="s">
        <v>190</v>
      </c>
      <c r="G6568" t="s">
        <v>321</v>
      </c>
      <c r="H6568" t="s">
        <v>322</v>
      </c>
      <c r="I6568" t="s">
        <v>322</v>
      </c>
      <c r="J6568" t="s">
        <v>60</v>
      </c>
      <c r="K6568" t="s">
        <v>323</v>
      </c>
      <c r="L6568" t="s">
        <v>62</v>
      </c>
      <c r="M6568" t="s">
        <v>323</v>
      </c>
      <c r="N6568" t="s">
        <v>324</v>
      </c>
      <c r="O6568" t="s">
        <v>325</v>
      </c>
      <c r="P6568">
        <v>-20.151437999999999</v>
      </c>
      <c r="Q6568">
        <v>-44.855761000000001</v>
      </c>
      <c r="R6568" s="2" t="str">
        <f>HYPERLINK("https://www.google.com/maps?q=-20.1514380,-44.8557610","Abrir no Google Maps")</f>
        <v>Abrir no Google Maps</v>
      </c>
      <c r="S6568">
        <v>4</v>
      </c>
      <c r="T6568">
        <v>970.69989262042009</v>
      </c>
      <c r="U6568">
        <v>3</v>
      </c>
      <c r="V6568">
        <v>0.17302704166749749</v>
      </c>
      <c r="W6568">
        <v>1</v>
      </c>
      <c r="X6568">
        <v>0.17302704166749749</v>
      </c>
      <c r="Y6568">
        <v>264</v>
      </c>
      <c r="Z6568">
        <v>1041.0105988261671</v>
      </c>
      <c r="AA6568">
        <v>198</v>
      </c>
      <c r="AB6568">
        <v>332</v>
      </c>
      <c r="AC6568">
        <v>536</v>
      </c>
      <c r="AD6568">
        <v>28.93</v>
      </c>
      <c r="AE6568">
        <v>542</v>
      </c>
      <c r="AF6568">
        <v>29</v>
      </c>
      <c r="AG6568">
        <v>166</v>
      </c>
      <c r="AH6568">
        <v>129</v>
      </c>
      <c r="AI6568">
        <v>5.35</v>
      </c>
      <c r="AJ6568">
        <v>30.63</v>
      </c>
      <c r="AK6568">
        <v>23.8</v>
      </c>
      <c r="AL6568">
        <v>-20.15142824999996</v>
      </c>
      <c r="AM6568">
        <v>-44.854100160898767</v>
      </c>
      <c r="AN6568">
        <v>-20.15142824999996</v>
      </c>
      <c r="AO6568">
        <v>-44.854100160898767</v>
      </c>
      <c r="AP6568">
        <v>-20.151437999999999</v>
      </c>
      <c r="AQ6568">
        <v>-44.855761000000001</v>
      </c>
      <c r="AR6568">
        <v>173.57036632351381</v>
      </c>
      <c r="AS6568" t="s">
        <v>65</v>
      </c>
      <c r="AT6568">
        <v>1</v>
      </c>
      <c r="AU6568" t="s">
        <v>326</v>
      </c>
      <c r="AV6568" t="s">
        <v>327</v>
      </c>
      <c r="AW6568" t="s">
        <v>60</v>
      </c>
      <c r="AX6568" t="s">
        <v>68</v>
      </c>
      <c r="AY6568" t="s">
        <v>69</v>
      </c>
      <c r="AZ6568" t="b">
        <v>1</v>
      </c>
    </row>
    <row r="6569" spans="1:52" x14ac:dyDescent="0.3">
      <c r="A6569" t="s">
        <v>52</v>
      </c>
      <c r="B6569" t="s">
        <v>53</v>
      </c>
      <c r="C6569" t="s">
        <v>54</v>
      </c>
      <c r="D6569" t="s">
        <v>55</v>
      </c>
      <c r="E6569" t="s">
        <v>2296</v>
      </c>
      <c r="F6569" t="s">
        <v>190</v>
      </c>
      <c r="G6569" t="s">
        <v>328</v>
      </c>
      <c r="H6569" t="s">
        <v>329</v>
      </c>
      <c r="I6569" t="s">
        <v>329</v>
      </c>
      <c r="J6569" t="s">
        <v>60</v>
      </c>
      <c r="K6569" t="s">
        <v>157</v>
      </c>
      <c r="L6569" t="s">
        <v>62</v>
      </c>
      <c r="M6569" t="s">
        <v>157</v>
      </c>
      <c r="N6569" t="s">
        <v>330</v>
      </c>
      <c r="O6569" t="s">
        <v>331</v>
      </c>
      <c r="P6569">
        <v>-20.167981999999999</v>
      </c>
      <c r="Q6569">
        <v>-44.885706999999996</v>
      </c>
      <c r="R6569" s="2" t="str">
        <f>HYPERLINK("https://www.google.com/maps?q=-20.1679820,-44.8857070","Abrir no Google Maps")</f>
        <v>Abrir no Google Maps</v>
      </c>
      <c r="S6569">
        <v>4</v>
      </c>
      <c r="T6569">
        <v>594.70112534633722</v>
      </c>
      <c r="U6569">
        <v>3</v>
      </c>
      <c r="V6569">
        <v>0.17533132093259371</v>
      </c>
      <c r="W6569">
        <v>1</v>
      </c>
      <c r="X6569">
        <v>0.17533132093259371</v>
      </c>
      <c r="Y6569">
        <v>232</v>
      </c>
      <c r="Z6569">
        <v>560.38516624860983</v>
      </c>
      <c r="AA6569">
        <v>198</v>
      </c>
      <c r="AB6569">
        <v>332</v>
      </c>
      <c r="AC6569">
        <v>536</v>
      </c>
      <c r="AD6569">
        <v>28.93</v>
      </c>
      <c r="AE6569">
        <v>542</v>
      </c>
      <c r="AF6569">
        <v>29</v>
      </c>
      <c r="AG6569">
        <v>166</v>
      </c>
      <c r="AH6569">
        <v>129</v>
      </c>
      <c r="AI6569">
        <v>5.35</v>
      </c>
      <c r="AJ6569">
        <v>30.63</v>
      </c>
      <c r="AK6569">
        <v>23.8</v>
      </c>
      <c r="AL6569">
        <v>-20.167931149999959</v>
      </c>
      <c r="AM6569">
        <v>-44.885606821741909</v>
      </c>
      <c r="AN6569">
        <v>-20.167931149999959</v>
      </c>
      <c r="AO6569">
        <v>-44.885606821741909</v>
      </c>
      <c r="AP6569">
        <v>-20.167981999999999</v>
      </c>
      <c r="AQ6569">
        <v>-44.885706999999996</v>
      </c>
      <c r="AR6569">
        <v>11.90056149590643</v>
      </c>
      <c r="AS6569" t="s">
        <v>65</v>
      </c>
      <c r="AT6569">
        <v>1</v>
      </c>
      <c r="AU6569" t="s">
        <v>332</v>
      </c>
      <c r="AV6569" t="s">
        <v>333</v>
      </c>
      <c r="AW6569" t="s">
        <v>60</v>
      </c>
      <c r="AX6569" t="s">
        <v>68</v>
      </c>
      <c r="AY6569" t="s">
        <v>69</v>
      </c>
      <c r="AZ6569" t="b">
        <v>1</v>
      </c>
    </row>
    <row r="6570" spans="1:52" x14ac:dyDescent="0.3">
      <c r="A6570" t="s">
        <v>52</v>
      </c>
      <c r="B6570" t="s">
        <v>53</v>
      </c>
      <c r="C6570" t="s">
        <v>54</v>
      </c>
      <c r="D6570" t="s">
        <v>55</v>
      </c>
      <c r="E6570" t="s">
        <v>2296</v>
      </c>
      <c r="F6570" t="s">
        <v>190</v>
      </c>
      <c r="G6570" t="s">
        <v>155</v>
      </c>
      <c r="H6570" t="s">
        <v>156</v>
      </c>
      <c r="I6570" t="s">
        <v>156</v>
      </c>
      <c r="J6570" t="s">
        <v>60</v>
      </c>
      <c r="K6570" t="s">
        <v>157</v>
      </c>
      <c r="L6570" t="s">
        <v>62</v>
      </c>
      <c r="M6570" t="s">
        <v>157</v>
      </c>
      <c r="N6570" t="s">
        <v>158</v>
      </c>
      <c r="O6570" t="s">
        <v>159</v>
      </c>
      <c r="P6570">
        <v>-20.166302999999999</v>
      </c>
      <c r="Q6570">
        <v>-44.880659999999999</v>
      </c>
      <c r="R6570" s="2" t="str">
        <f>HYPERLINK("https://www.google.com/maps?q=-20.1663030,-44.8806600","Abrir no Google Maps")</f>
        <v>Abrir no Google Maps</v>
      </c>
      <c r="S6570">
        <v>4</v>
      </c>
      <c r="T6570">
        <v>504.41812426451338</v>
      </c>
      <c r="U6570">
        <v>3</v>
      </c>
      <c r="V6570">
        <v>0.15794996158278901</v>
      </c>
      <c r="W6570">
        <v>1</v>
      </c>
      <c r="X6570">
        <v>0.15794996158278901</v>
      </c>
      <c r="Y6570">
        <v>232</v>
      </c>
      <c r="Z6570">
        <v>279.57571553948952</v>
      </c>
      <c r="AA6570">
        <v>198</v>
      </c>
      <c r="AB6570">
        <v>332</v>
      </c>
      <c r="AC6570">
        <v>536</v>
      </c>
      <c r="AD6570">
        <v>28.93</v>
      </c>
      <c r="AE6570">
        <v>542</v>
      </c>
      <c r="AF6570">
        <v>29</v>
      </c>
      <c r="AG6570">
        <v>166</v>
      </c>
      <c r="AH6570">
        <v>129</v>
      </c>
      <c r="AI6570">
        <v>5.35</v>
      </c>
      <c r="AJ6570">
        <v>30.63</v>
      </c>
      <c r="AK6570">
        <v>23.8</v>
      </c>
      <c r="AL6570">
        <v>-20.166700449999951</v>
      </c>
      <c r="AM6570">
        <v>-44.880573341714289</v>
      </c>
      <c r="AN6570">
        <v>-20.166700449999951</v>
      </c>
      <c r="AO6570">
        <v>-44.880573341714289</v>
      </c>
      <c r="AP6570">
        <v>-20.166302999999999</v>
      </c>
      <c r="AQ6570">
        <v>-44.880659999999999</v>
      </c>
      <c r="AR6570">
        <v>45.161304979350312</v>
      </c>
      <c r="AS6570" t="s">
        <v>65</v>
      </c>
      <c r="AT6570">
        <v>1</v>
      </c>
      <c r="AU6570" t="s">
        <v>160</v>
      </c>
      <c r="AV6570" t="s">
        <v>161</v>
      </c>
      <c r="AW6570" t="s">
        <v>60</v>
      </c>
      <c r="AX6570" t="s">
        <v>68</v>
      </c>
      <c r="AY6570" t="s">
        <v>69</v>
      </c>
      <c r="AZ6570" t="b">
        <v>1</v>
      </c>
    </row>
    <row r="6571" spans="1:52" x14ac:dyDescent="0.3">
      <c r="A6571" t="s">
        <v>52</v>
      </c>
      <c r="B6571" t="s">
        <v>53</v>
      </c>
      <c r="C6571" t="s">
        <v>54</v>
      </c>
      <c r="D6571" t="s">
        <v>55</v>
      </c>
      <c r="E6571" t="s">
        <v>2296</v>
      </c>
      <c r="F6571" t="s">
        <v>190</v>
      </c>
      <c r="G6571" t="s">
        <v>341</v>
      </c>
      <c r="H6571" t="s">
        <v>342</v>
      </c>
      <c r="I6571" t="s">
        <v>342</v>
      </c>
      <c r="J6571" t="s">
        <v>60</v>
      </c>
      <c r="K6571" t="s">
        <v>164</v>
      </c>
      <c r="L6571" t="s">
        <v>62</v>
      </c>
      <c r="M6571" t="s">
        <v>164</v>
      </c>
      <c r="N6571" t="s">
        <v>343</v>
      </c>
      <c r="O6571" t="s">
        <v>344</v>
      </c>
      <c r="P6571">
        <v>-20.17606</v>
      </c>
      <c r="Q6571">
        <v>-44.880409999999998</v>
      </c>
      <c r="R6571" s="2" t="str">
        <f>HYPERLINK("https://www.google.com/maps?q=-20.1760600,-44.8804100","Abrir no Google Maps")</f>
        <v>Abrir no Google Maps</v>
      </c>
      <c r="S6571">
        <v>4</v>
      </c>
      <c r="T6571">
        <v>556.35468246023754</v>
      </c>
      <c r="U6571">
        <v>3</v>
      </c>
      <c r="V6571">
        <v>0.18769666549254449</v>
      </c>
      <c r="W6571">
        <v>1</v>
      </c>
      <c r="X6571">
        <v>0.18769666549254449</v>
      </c>
      <c r="Y6571">
        <v>232</v>
      </c>
      <c r="Z6571">
        <v>674.22003156100322</v>
      </c>
      <c r="AA6571">
        <v>198</v>
      </c>
      <c r="AB6571">
        <v>332</v>
      </c>
      <c r="AC6571">
        <v>536</v>
      </c>
      <c r="AD6571">
        <v>28.93</v>
      </c>
      <c r="AE6571">
        <v>542</v>
      </c>
      <c r="AF6571">
        <v>29</v>
      </c>
      <c r="AG6571">
        <v>166</v>
      </c>
      <c r="AH6571">
        <v>129</v>
      </c>
      <c r="AI6571">
        <v>5.35</v>
      </c>
      <c r="AJ6571">
        <v>30.63</v>
      </c>
      <c r="AK6571">
        <v>23.8</v>
      </c>
      <c r="AL6571">
        <v>-20.176226899999961</v>
      </c>
      <c r="AM6571">
        <v>-44.880527903427911</v>
      </c>
      <c r="AN6571">
        <v>-20.176226899999961</v>
      </c>
      <c r="AO6571">
        <v>-44.880527903427911</v>
      </c>
      <c r="AP6571">
        <v>-20.17606</v>
      </c>
      <c r="AQ6571">
        <v>-44.880409999999998</v>
      </c>
      <c r="AR6571">
        <v>22.292677247804349</v>
      </c>
      <c r="AS6571" t="s">
        <v>65</v>
      </c>
      <c r="AT6571">
        <v>1</v>
      </c>
      <c r="AU6571" t="s">
        <v>345</v>
      </c>
      <c r="AV6571" t="s">
        <v>346</v>
      </c>
      <c r="AW6571" t="s">
        <v>60</v>
      </c>
      <c r="AX6571" t="s">
        <v>68</v>
      </c>
      <c r="AY6571" t="s">
        <v>69</v>
      </c>
      <c r="AZ6571" t="b">
        <v>1</v>
      </c>
    </row>
    <row r="6572" spans="1:52" x14ac:dyDescent="0.3">
      <c r="A6572" t="s">
        <v>52</v>
      </c>
      <c r="B6572" t="s">
        <v>53</v>
      </c>
      <c r="C6572" t="s">
        <v>54</v>
      </c>
      <c r="D6572" t="s">
        <v>55</v>
      </c>
      <c r="E6572" t="s">
        <v>2296</v>
      </c>
      <c r="F6572" t="s">
        <v>190</v>
      </c>
      <c r="G6572" t="s">
        <v>162</v>
      </c>
      <c r="H6572" t="s">
        <v>163</v>
      </c>
      <c r="I6572" t="s">
        <v>163</v>
      </c>
      <c r="J6572" t="s">
        <v>60</v>
      </c>
      <c r="K6572" t="s">
        <v>164</v>
      </c>
      <c r="L6572" t="s">
        <v>62</v>
      </c>
      <c r="M6572" t="s">
        <v>164</v>
      </c>
      <c r="N6572" t="s">
        <v>165</v>
      </c>
      <c r="O6572" t="s">
        <v>166</v>
      </c>
      <c r="P6572">
        <v>-20.175967</v>
      </c>
      <c r="Q6572">
        <v>-44.876730000000002</v>
      </c>
      <c r="R6572" s="2" t="str">
        <f>HYPERLINK("https://www.google.com/maps?q=-20.1759670,-44.8767300","Abrir no Google Maps")</f>
        <v>Abrir no Google Maps</v>
      </c>
      <c r="S6572">
        <v>4</v>
      </c>
      <c r="T6572">
        <v>692.5753730151132</v>
      </c>
      <c r="U6572">
        <v>3</v>
      </c>
      <c r="V6572">
        <v>0.16026766589955849</v>
      </c>
      <c r="W6572">
        <v>1</v>
      </c>
      <c r="X6572">
        <v>0.16026766589955849</v>
      </c>
      <c r="Y6572">
        <v>232</v>
      </c>
      <c r="Z6572">
        <v>686.15054949166824</v>
      </c>
      <c r="AA6572">
        <v>198</v>
      </c>
      <c r="AB6572">
        <v>332</v>
      </c>
      <c r="AC6572">
        <v>536</v>
      </c>
      <c r="AD6572">
        <v>28.93</v>
      </c>
      <c r="AE6572">
        <v>542</v>
      </c>
      <c r="AF6572">
        <v>29</v>
      </c>
      <c r="AG6572">
        <v>166</v>
      </c>
      <c r="AH6572">
        <v>129</v>
      </c>
      <c r="AI6572">
        <v>5.35</v>
      </c>
      <c r="AJ6572">
        <v>30.63</v>
      </c>
      <c r="AK6572">
        <v>23.8</v>
      </c>
      <c r="AL6572">
        <v>-20.17598664999997</v>
      </c>
      <c r="AM6572">
        <v>-44.876806510253203</v>
      </c>
      <c r="AN6572">
        <v>-20.17598664999997</v>
      </c>
      <c r="AO6572">
        <v>-44.876806510253203</v>
      </c>
      <c r="AP6572">
        <v>-20.175967</v>
      </c>
      <c r="AQ6572">
        <v>-44.876730000000002</v>
      </c>
      <c r="AR6572">
        <v>8.2883514287440097</v>
      </c>
      <c r="AS6572" t="s">
        <v>65</v>
      </c>
      <c r="AT6572">
        <v>1</v>
      </c>
      <c r="AU6572" t="s">
        <v>167</v>
      </c>
      <c r="AV6572" t="s">
        <v>168</v>
      </c>
      <c r="AW6572" t="s">
        <v>60</v>
      </c>
      <c r="AX6572" t="s">
        <v>68</v>
      </c>
      <c r="AY6572" t="s">
        <v>69</v>
      </c>
      <c r="AZ6572" t="b">
        <v>1</v>
      </c>
    </row>
    <row r="6573" spans="1:52" x14ac:dyDescent="0.3">
      <c r="A6573" t="s">
        <v>52</v>
      </c>
      <c r="B6573" t="s">
        <v>53</v>
      </c>
      <c r="C6573" t="s">
        <v>54</v>
      </c>
      <c r="D6573" t="s">
        <v>55</v>
      </c>
      <c r="E6573" t="s">
        <v>2296</v>
      </c>
      <c r="F6573" t="s">
        <v>190</v>
      </c>
      <c r="G6573" t="s">
        <v>1127</v>
      </c>
      <c r="H6573" t="s">
        <v>1643</v>
      </c>
      <c r="I6573" t="s">
        <v>1643</v>
      </c>
      <c r="J6573" t="s">
        <v>60</v>
      </c>
      <c r="K6573" t="s">
        <v>1644</v>
      </c>
      <c r="L6573" t="s">
        <v>62</v>
      </c>
      <c r="M6573" t="s">
        <v>1644</v>
      </c>
      <c r="N6573" t="s">
        <v>1645</v>
      </c>
      <c r="O6573" t="s">
        <v>1646</v>
      </c>
      <c r="P6573">
        <v>-20.144261</v>
      </c>
      <c r="Q6573">
        <v>-44.872231999999997</v>
      </c>
      <c r="R6573" s="2" t="str">
        <f>HYPERLINK("https://www.google.com/maps?q=-20.1442610,-44.8722320","Abrir no Google Maps")</f>
        <v>Abrir no Google Maps</v>
      </c>
      <c r="S6573">
        <v>4</v>
      </c>
      <c r="T6573">
        <v>347.76810049345352</v>
      </c>
      <c r="U6573">
        <v>3</v>
      </c>
      <c r="V6573">
        <v>0.1930769150620989</v>
      </c>
      <c r="W6573">
        <v>0.85</v>
      </c>
      <c r="X6573">
        <v>0.1641153778027841</v>
      </c>
      <c r="Y6573">
        <v>209</v>
      </c>
      <c r="Z6573">
        <v>239.9249814054366</v>
      </c>
      <c r="AA6573">
        <v>198</v>
      </c>
      <c r="AB6573">
        <v>332</v>
      </c>
      <c r="AC6573">
        <v>536</v>
      </c>
      <c r="AD6573">
        <v>28.93</v>
      </c>
      <c r="AE6573">
        <v>542</v>
      </c>
      <c r="AF6573">
        <v>29</v>
      </c>
      <c r="AG6573">
        <v>166</v>
      </c>
      <c r="AH6573">
        <v>129</v>
      </c>
      <c r="AI6573">
        <v>5.35</v>
      </c>
      <c r="AJ6573">
        <v>30.63</v>
      </c>
      <c r="AK6573">
        <v>23.8</v>
      </c>
      <c r="AL6573">
        <v>-20.144283649999949</v>
      </c>
      <c r="AM6573">
        <v>-44.872299150008573</v>
      </c>
      <c r="AN6573">
        <v>-20.144283649999949</v>
      </c>
      <c r="AO6573">
        <v>-44.872299150008573</v>
      </c>
      <c r="AP6573">
        <v>-20.144261</v>
      </c>
      <c r="AQ6573">
        <v>-44.872231999999997</v>
      </c>
      <c r="AR6573">
        <v>7.4570759248114484</v>
      </c>
      <c r="AS6573" t="s">
        <v>65</v>
      </c>
      <c r="AT6573">
        <v>1</v>
      </c>
      <c r="AU6573" t="s">
        <v>1647</v>
      </c>
      <c r="AV6573" t="s">
        <v>1648</v>
      </c>
      <c r="AW6573" t="s">
        <v>60</v>
      </c>
      <c r="AX6573" t="s">
        <v>68</v>
      </c>
      <c r="AY6573" t="s">
        <v>69</v>
      </c>
      <c r="AZ6573" t="b">
        <v>1</v>
      </c>
    </row>
    <row r="6574" spans="1:52" x14ac:dyDescent="0.3">
      <c r="A6574" t="s">
        <v>52</v>
      </c>
      <c r="B6574" t="s">
        <v>53</v>
      </c>
      <c r="C6574" t="s">
        <v>54</v>
      </c>
      <c r="D6574" t="s">
        <v>55</v>
      </c>
      <c r="E6574" t="s">
        <v>2296</v>
      </c>
      <c r="F6574" t="s">
        <v>190</v>
      </c>
      <c r="G6574" t="s">
        <v>353</v>
      </c>
      <c r="H6574" t="s">
        <v>354</v>
      </c>
      <c r="I6574" t="s">
        <v>354</v>
      </c>
      <c r="J6574" t="s">
        <v>60</v>
      </c>
      <c r="K6574" t="s">
        <v>355</v>
      </c>
      <c r="L6574" t="s">
        <v>62</v>
      </c>
      <c r="M6574" t="s">
        <v>355</v>
      </c>
      <c r="N6574" t="s">
        <v>356</v>
      </c>
      <c r="O6574" t="s">
        <v>357</v>
      </c>
      <c r="P6574">
        <v>-20.147373999999999</v>
      </c>
      <c r="Q6574">
        <v>-44.875141999999997</v>
      </c>
      <c r="R6574" s="2" t="str">
        <f>HYPERLINK("https://www.google.com/maps?q=-20.1473740,-44.8751420","Abrir no Google Maps")</f>
        <v>Abrir no Google Maps</v>
      </c>
      <c r="S6574">
        <v>4</v>
      </c>
      <c r="T6574">
        <v>394.29708169591709</v>
      </c>
      <c r="U6574">
        <v>3</v>
      </c>
      <c r="V6574">
        <v>0.16119974287050029</v>
      </c>
      <c r="W6574">
        <v>1</v>
      </c>
      <c r="X6574">
        <v>0.16119974287050029</v>
      </c>
      <c r="Y6574">
        <v>209</v>
      </c>
      <c r="Z6574">
        <v>326.95034461828868</v>
      </c>
      <c r="AA6574">
        <v>198</v>
      </c>
      <c r="AB6574">
        <v>332</v>
      </c>
      <c r="AC6574">
        <v>536</v>
      </c>
      <c r="AD6574">
        <v>28.93</v>
      </c>
      <c r="AE6574">
        <v>542</v>
      </c>
      <c r="AF6574">
        <v>29</v>
      </c>
      <c r="AG6574">
        <v>166</v>
      </c>
      <c r="AH6574">
        <v>129</v>
      </c>
      <c r="AI6574">
        <v>5.35</v>
      </c>
      <c r="AJ6574">
        <v>30.63</v>
      </c>
      <c r="AK6574">
        <v>23.8</v>
      </c>
      <c r="AL6574">
        <v>-20.147207999999949</v>
      </c>
      <c r="AM6574">
        <v>-44.875152120336942</v>
      </c>
      <c r="AN6574">
        <v>-20.147207999999949</v>
      </c>
      <c r="AO6574">
        <v>-44.875152120336942</v>
      </c>
      <c r="AP6574">
        <v>-20.147373999999999</v>
      </c>
      <c r="AQ6574">
        <v>-44.875141999999997</v>
      </c>
      <c r="AR6574">
        <v>18.509363081081169</v>
      </c>
      <c r="AS6574" t="s">
        <v>65</v>
      </c>
      <c r="AT6574">
        <v>1</v>
      </c>
      <c r="AU6574" t="s">
        <v>358</v>
      </c>
      <c r="AV6574" t="s">
        <v>359</v>
      </c>
      <c r="AW6574" t="s">
        <v>60</v>
      </c>
      <c r="AX6574" t="s">
        <v>68</v>
      </c>
      <c r="AY6574" t="s">
        <v>69</v>
      </c>
      <c r="AZ6574" t="b">
        <v>1</v>
      </c>
    </row>
    <row r="6575" spans="1:52" x14ac:dyDescent="0.3">
      <c r="A6575" t="s">
        <v>52</v>
      </c>
      <c r="B6575" t="s">
        <v>53</v>
      </c>
      <c r="C6575" t="s">
        <v>54</v>
      </c>
      <c r="D6575" t="s">
        <v>55</v>
      </c>
      <c r="E6575" t="s">
        <v>2296</v>
      </c>
      <c r="F6575" t="s">
        <v>190</v>
      </c>
      <c r="G6575" t="s">
        <v>1649</v>
      </c>
      <c r="H6575" t="s">
        <v>1650</v>
      </c>
      <c r="I6575" t="s">
        <v>1650</v>
      </c>
      <c r="J6575" t="s">
        <v>60</v>
      </c>
      <c r="K6575" t="s">
        <v>355</v>
      </c>
      <c r="L6575" t="s">
        <v>62</v>
      </c>
      <c r="M6575" t="s">
        <v>355</v>
      </c>
      <c r="N6575" t="s">
        <v>1651</v>
      </c>
      <c r="O6575" t="s">
        <v>293</v>
      </c>
      <c r="P6575">
        <v>-20.141983</v>
      </c>
      <c r="Q6575">
        <v>-44.871161000000001</v>
      </c>
      <c r="R6575" s="2" t="str">
        <f>HYPERLINK("https://www.google.com/maps?q=-20.1419830,-44.8711610","Abrir no Google Maps")</f>
        <v>Abrir no Google Maps</v>
      </c>
      <c r="S6575">
        <v>4</v>
      </c>
      <c r="T6575">
        <v>492.40092389187612</v>
      </c>
      <c r="U6575">
        <v>3</v>
      </c>
      <c r="V6575">
        <v>0.18642538905622469</v>
      </c>
      <c r="W6575">
        <v>1</v>
      </c>
      <c r="X6575">
        <v>0.18642538905622469</v>
      </c>
      <c r="Y6575">
        <v>209</v>
      </c>
      <c r="Z6575">
        <v>425.51195583014947</v>
      </c>
      <c r="AA6575">
        <v>198</v>
      </c>
      <c r="AB6575">
        <v>332</v>
      </c>
      <c r="AC6575">
        <v>536</v>
      </c>
      <c r="AD6575">
        <v>28.93</v>
      </c>
      <c r="AE6575">
        <v>542</v>
      </c>
      <c r="AF6575">
        <v>29</v>
      </c>
      <c r="AG6575">
        <v>166</v>
      </c>
      <c r="AH6575">
        <v>129</v>
      </c>
      <c r="AI6575">
        <v>5.35</v>
      </c>
      <c r="AJ6575">
        <v>30.63</v>
      </c>
      <c r="AK6575">
        <v>23.8</v>
      </c>
      <c r="AL6575">
        <v>-20.142006349999971</v>
      </c>
      <c r="AM6575">
        <v>-44.871190369486733</v>
      </c>
      <c r="AN6575">
        <v>-20.142006349999981</v>
      </c>
      <c r="AO6575">
        <v>-44.871190369486733</v>
      </c>
      <c r="AP6575">
        <v>-20.141983</v>
      </c>
      <c r="AQ6575">
        <v>-44.871161000000001</v>
      </c>
      <c r="AR6575">
        <v>4.0221964388318616</v>
      </c>
      <c r="AS6575" t="s">
        <v>65</v>
      </c>
      <c r="AT6575">
        <v>1</v>
      </c>
      <c r="AU6575" t="s">
        <v>1652</v>
      </c>
      <c r="AV6575" t="s">
        <v>1653</v>
      </c>
      <c r="AW6575" t="s">
        <v>60</v>
      </c>
      <c r="AX6575" t="s">
        <v>68</v>
      </c>
      <c r="AY6575" t="s">
        <v>69</v>
      </c>
      <c r="AZ6575" t="b">
        <v>1</v>
      </c>
    </row>
    <row r="6576" spans="1:52" x14ac:dyDescent="0.3">
      <c r="A6576" t="s">
        <v>52</v>
      </c>
      <c r="B6576" t="s">
        <v>53</v>
      </c>
      <c r="C6576" t="s">
        <v>54</v>
      </c>
      <c r="D6576" t="s">
        <v>55</v>
      </c>
      <c r="E6576" t="s">
        <v>2296</v>
      </c>
      <c r="F6576" t="s">
        <v>190</v>
      </c>
      <c r="G6576" t="s">
        <v>1654</v>
      </c>
      <c r="H6576" t="s">
        <v>1655</v>
      </c>
      <c r="I6576" t="s">
        <v>1655</v>
      </c>
      <c r="J6576" t="s">
        <v>60</v>
      </c>
      <c r="K6576" t="s">
        <v>368</v>
      </c>
      <c r="L6576" t="s">
        <v>62</v>
      </c>
      <c r="M6576" t="s">
        <v>368</v>
      </c>
      <c r="N6576" t="s">
        <v>1656</v>
      </c>
      <c r="O6576" t="s">
        <v>1657</v>
      </c>
      <c r="P6576">
        <v>-20.143647999999999</v>
      </c>
      <c r="Q6576">
        <v>-44.870466</v>
      </c>
      <c r="R6576" s="2" t="str">
        <f>HYPERLINK("https://www.google.com/maps?q=-20.1436480,-44.8704660","Abrir no Google Maps")</f>
        <v>Abrir no Google Maps</v>
      </c>
      <c r="S6576">
        <v>4</v>
      </c>
      <c r="T6576">
        <v>545.81556277505979</v>
      </c>
      <c r="U6576">
        <v>3</v>
      </c>
      <c r="V6576">
        <v>0.16347575301602379</v>
      </c>
      <c r="W6576">
        <v>1</v>
      </c>
      <c r="X6576">
        <v>0.16347575301602379</v>
      </c>
      <c r="Y6576">
        <v>198</v>
      </c>
      <c r="Z6576">
        <v>258.83396188518708</v>
      </c>
      <c r="AA6576">
        <v>198</v>
      </c>
      <c r="AB6576">
        <v>332</v>
      </c>
      <c r="AC6576">
        <v>536</v>
      </c>
      <c r="AD6576">
        <v>28.93</v>
      </c>
      <c r="AE6576">
        <v>542</v>
      </c>
      <c r="AF6576">
        <v>29</v>
      </c>
      <c r="AG6576">
        <v>166</v>
      </c>
      <c r="AH6576">
        <v>129</v>
      </c>
      <c r="AI6576">
        <v>5.35</v>
      </c>
      <c r="AJ6576">
        <v>30.63</v>
      </c>
      <c r="AK6576">
        <v>23.8</v>
      </c>
      <c r="AL6576">
        <v>-20.143704099999951</v>
      </c>
      <c r="AM6576">
        <v>-44.870339403868741</v>
      </c>
      <c r="AN6576">
        <v>-20.143704099999951</v>
      </c>
      <c r="AO6576">
        <v>-44.870339403868741</v>
      </c>
      <c r="AP6576">
        <v>-20.143647999999999</v>
      </c>
      <c r="AQ6576">
        <v>-44.870466</v>
      </c>
      <c r="AR6576">
        <v>14.63048136060379</v>
      </c>
      <c r="AS6576" t="s">
        <v>65</v>
      </c>
      <c r="AT6576">
        <v>1</v>
      </c>
      <c r="AU6576" t="s">
        <v>1658</v>
      </c>
      <c r="AV6576" t="s">
        <v>1659</v>
      </c>
      <c r="AW6576" t="s">
        <v>60</v>
      </c>
      <c r="AX6576" t="s">
        <v>68</v>
      </c>
      <c r="AY6576" t="s">
        <v>69</v>
      </c>
      <c r="AZ6576" t="b">
        <v>1</v>
      </c>
    </row>
    <row r="6577" spans="1:52" x14ac:dyDescent="0.3">
      <c r="A6577" t="s">
        <v>52</v>
      </c>
      <c r="B6577" t="s">
        <v>53</v>
      </c>
      <c r="C6577" t="s">
        <v>54</v>
      </c>
      <c r="D6577" t="s">
        <v>55</v>
      </c>
      <c r="E6577" t="s">
        <v>2296</v>
      </c>
      <c r="F6577" t="s">
        <v>190</v>
      </c>
      <c r="G6577" t="s">
        <v>1728</v>
      </c>
      <c r="H6577" t="s">
        <v>1729</v>
      </c>
      <c r="I6577" t="s">
        <v>1729</v>
      </c>
      <c r="J6577" t="s">
        <v>60</v>
      </c>
      <c r="K6577" t="s">
        <v>171</v>
      </c>
      <c r="L6577" t="s">
        <v>62</v>
      </c>
      <c r="M6577" t="s">
        <v>171</v>
      </c>
      <c r="N6577" t="s">
        <v>1730</v>
      </c>
      <c r="O6577" t="s">
        <v>1731</v>
      </c>
      <c r="P6577">
        <v>-20.153237000000001</v>
      </c>
      <c r="Q6577">
        <v>-44.893830999999999</v>
      </c>
      <c r="R6577" s="2" t="str">
        <f>HYPERLINK("https://www.google.com/maps?q=-20.1532370,-44.8938310","Abrir no Google Maps")</f>
        <v>Abrir no Google Maps</v>
      </c>
      <c r="S6577">
        <v>4</v>
      </c>
      <c r="T6577">
        <v>413.69072684661631</v>
      </c>
      <c r="U6577">
        <v>3</v>
      </c>
      <c r="V6577">
        <v>0.15926501328752901</v>
      </c>
      <c r="W6577">
        <v>1</v>
      </c>
      <c r="X6577">
        <v>0.15926501328752901</v>
      </c>
      <c r="Y6577">
        <v>129</v>
      </c>
      <c r="Z6577">
        <v>276.95856023076033</v>
      </c>
      <c r="AA6577">
        <v>198</v>
      </c>
      <c r="AB6577">
        <v>332</v>
      </c>
      <c r="AC6577">
        <v>536</v>
      </c>
      <c r="AD6577">
        <v>28.93</v>
      </c>
      <c r="AE6577">
        <v>542</v>
      </c>
      <c r="AF6577">
        <v>29</v>
      </c>
      <c r="AG6577">
        <v>166</v>
      </c>
      <c r="AH6577">
        <v>129</v>
      </c>
      <c r="AI6577">
        <v>5.35</v>
      </c>
      <c r="AJ6577">
        <v>30.63</v>
      </c>
      <c r="AK6577">
        <v>23.8</v>
      </c>
      <c r="AL6577">
        <v>-20.15278304999995</v>
      </c>
      <c r="AM6577">
        <v>-44.894325691070982</v>
      </c>
      <c r="AN6577">
        <v>-20.15278304999995</v>
      </c>
      <c r="AO6577">
        <v>-44.894325691070982</v>
      </c>
      <c r="AP6577">
        <v>-20.153237000000001</v>
      </c>
      <c r="AQ6577">
        <v>-44.893830999999999</v>
      </c>
      <c r="AR6577">
        <v>72.293093135883012</v>
      </c>
      <c r="AS6577" t="s">
        <v>65</v>
      </c>
      <c r="AT6577">
        <v>1</v>
      </c>
      <c r="AU6577" t="s">
        <v>1732</v>
      </c>
      <c r="AV6577" t="s">
        <v>1733</v>
      </c>
      <c r="AW6577" t="s">
        <v>60</v>
      </c>
      <c r="AX6577" t="s">
        <v>68</v>
      </c>
      <c r="AY6577" t="s">
        <v>69</v>
      </c>
      <c r="AZ6577" t="b">
        <v>1</v>
      </c>
    </row>
    <row r="6578" spans="1:52" x14ac:dyDescent="0.3">
      <c r="A6578" t="s">
        <v>52</v>
      </c>
      <c r="B6578" t="s">
        <v>53</v>
      </c>
      <c r="C6578" t="s">
        <v>54</v>
      </c>
      <c r="D6578" t="s">
        <v>55</v>
      </c>
      <c r="E6578" t="s">
        <v>2296</v>
      </c>
      <c r="F6578" t="s">
        <v>190</v>
      </c>
      <c r="G6578" t="s">
        <v>373</v>
      </c>
      <c r="H6578" t="s">
        <v>374</v>
      </c>
      <c r="I6578" t="s">
        <v>374</v>
      </c>
      <c r="J6578" t="s">
        <v>60</v>
      </c>
      <c r="K6578" t="s">
        <v>375</v>
      </c>
      <c r="L6578" t="s">
        <v>62</v>
      </c>
      <c r="M6578" t="s">
        <v>375</v>
      </c>
      <c r="N6578" t="s">
        <v>376</v>
      </c>
      <c r="O6578" t="s">
        <v>377</v>
      </c>
      <c r="P6578">
        <v>-20.178172</v>
      </c>
      <c r="Q6578">
        <v>-44.882871999999999</v>
      </c>
      <c r="R6578" s="2" t="str">
        <f>HYPERLINK("https://www.google.com/maps?q=-20.1781720,-44.8828720","Abrir no Google Maps")</f>
        <v>Abrir no Google Maps</v>
      </c>
      <c r="S6578">
        <v>4</v>
      </c>
      <c r="T6578">
        <v>817.23317190190858</v>
      </c>
      <c r="U6578">
        <v>3</v>
      </c>
      <c r="V6578">
        <v>0.17003974780701739</v>
      </c>
      <c r="W6578">
        <v>1</v>
      </c>
      <c r="X6578">
        <v>0.17003974780701739</v>
      </c>
      <c r="Y6578">
        <v>101</v>
      </c>
      <c r="Z6578">
        <v>845.03006728789421</v>
      </c>
      <c r="AA6578">
        <v>198</v>
      </c>
      <c r="AB6578">
        <v>332</v>
      </c>
      <c r="AC6578">
        <v>536</v>
      </c>
      <c r="AD6578">
        <v>28.93</v>
      </c>
      <c r="AE6578">
        <v>542</v>
      </c>
      <c r="AF6578">
        <v>29</v>
      </c>
      <c r="AG6578">
        <v>166</v>
      </c>
      <c r="AH6578">
        <v>129</v>
      </c>
      <c r="AI6578">
        <v>5.35</v>
      </c>
      <c r="AJ6578">
        <v>30.63</v>
      </c>
      <c r="AK6578">
        <v>23.8</v>
      </c>
      <c r="AL6578">
        <v>-20.178380049999959</v>
      </c>
      <c r="AM6578">
        <v>-44.883070555357122</v>
      </c>
      <c r="AN6578">
        <v>-20.178380049999959</v>
      </c>
      <c r="AO6578">
        <v>-44.883070555357122</v>
      </c>
      <c r="AP6578">
        <v>-20.178172</v>
      </c>
      <c r="AQ6578">
        <v>-44.882871999999999</v>
      </c>
      <c r="AR6578">
        <v>31.093588149250511</v>
      </c>
      <c r="AS6578" t="s">
        <v>65</v>
      </c>
      <c r="AT6578">
        <v>1</v>
      </c>
      <c r="AU6578" t="s">
        <v>378</v>
      </c>
      <c r="AV6578" t="s">
        <v>379</v>
      </c>
      <c r="AW6578" t="s">
        <v>60</v>
      </c>
      <c r="AX6578" t="s">
        <v>68</v>
      </c>
      <c r="AY6578" t="s">
        <v>69</v>
      </c>
      <c r="AZ6578" t="b">
        <v>1</v>
      </c>
    </row>
    <row r="6579" spans="1:52" x14ac:dyDescent="0.3">
      <c r="A6579" t="s">
        <v>52</v>
      </c>
      <c r="B6579" t="s">
        <v>53</v>
      </c>
      <c r="C6579" t="s">
        <v>54</v>
      </c>
      <c r="D6579" t="s">
        <v>55</v>
      </c>
      <c r="E6579" t="s">
        <v>2296</v>
      </c>
      <c r="F6579" t="s">
        <v>190</v>
      </c>
      <c r="G6579" t="s">
        <v>1671</v>
      </c>
      <c r="H6579" t="s">
        <v>1672</v>
      </c>
      <c r="I6579" t="s">
        <v>1672</v>
      </c>
      <c r="J6579" t="s">
        <v>60</v>
      </c>
      <c r="K6579" t="s">
        <v>375</v>
      </c>
      <c r="L6579" t="s">
        <v>62</v>
      </c>
      <c r="M6579" t="s">
        <v>375</v>
      </c>
      <c r="N6579" t="s">
        <v>1673</v>
      </c>
      <c r="O6579" t="s">
        <v>370</v>
      </c>
      <c r="P6579">
        <v>-20.180724000000001</v>
      </c>
      <c r="Q6579">
        <v>-44.886913999999997</v>
      </c>
      <c r="R6579" s="2" t="str">
        <f>HYPERLINK("https://www.google.com/maps?q=-20.1807240,-44.8869140","Abrir no Google Maps")</f>
        <v>Abrir no Google Maps</v>
      </c>
      <c r="S6579">
        <v>4</v>
      </c>
      <c r="T6579">
        <v>814.7424073839951</v>
      </c>
      <c r="U6579">
        <v>3</v>
      </c>
      <c r="V6579">
        <v>0.1656521005099009</v>
      </c>
      <c r="W6579">
        <v>1</v>
      </c>
      <c r="X6579">
        <v>0.1656521005099009</v>
      </c>
      <c r="Y6579">
        <v>101</v>
      </c>
      <c r="Z6579">
        <v>808.23656795472721</v>
      </c>
      <c r="AA6579">
        <v>198</v>
      </c>
      <c r="AB6579">
        <v>332</v>
      </c>
      <c r="AC6579">
        <v>536</v>
      </c>
      <c r="AD6579">
        <v>28.93</v>
      </c>
      <c r="AE6579">
        <v>542</v>
      </c>
      <c r="AF6579">
        <v>29</v>
      </c>
      <c r="AG6579">
        <v>166</v>
      </c>
      <c r="AH6579">
        <v>129</v>
      </c>
      <c r="AI6579">
        <v>5.35</v>
      </c>
      <c r="AJ6579">
        <v>30.63</v>
      </c>
      <c r="AK6579">
        <v>23.8</v>
      </c>
      <c r="AL6579">
        <v>-20.18071869999994</v>
      </c>
      <c r="AM6579">
        <v>-44.886927989725393</v>
      </c>
      <c r="AN6579">
        <v>-20.18071869999994</v>
      </c>
      <c r="AO6579">
        <v>-44.886927989725393</v>
      </c>
      <c r="AP6579">
        <v>-20.180724000000001</v>
      </c>
      <c r="AQ6579">
        <v>-44.886913999999997</v>
      </c>
      <c r="AR6579">
        <v>1.5763090046691759</v>
      </c>
      <c r="AS6579" t="s">
        <v>65</v>
      </c>
      <c r="AT6579">
        <v>1</v>
      </c>
      <c r="AU6579" t="s">
        <v>1674</v>
      </c>
      <c r="AV6579" t="s">
        <v>1642</v>
      </c>
      <c r="AW6579" t="s">
        <v>60</v>
      </c>
      <c r="AX6579" t="s">
        <v>68</v>
      </c>
      <c r="AY6579" t="s">
        <v>69</v>
      </c>
      <c r="AZ6579" t="b">
        <v>1</v>
      </c>
    </row>
    <row r="6580" spans="1:52" x14ac:dyDescent="0.3">
      <c r="A6580" t="s">
        <v>52</v>
      </c>
      <c r="B6580" t="s">
        <v>53</v>
      </c>
      <c r="C6580" t="s">
        <v>54</v>
      </c>
      <c r="D6580" t="s">
        <v>55</v>
      </c>
      <c r="E6580" t="s">
        <v>2296</v>
      </c>
      <c r="F6580" t="s">
        <v>190</v>
      </c>
      <c r="G6580" t="s">
        <v>429</v>
      </c>
      <c r="H6580" t="s">
        <v>430</v>
      </c>
      <c r="I6580" t="s">
        <v>430</v>
      </c>
      <c r="J6580" t="s">
        <v>60</v>
      </c>
      <c r="K6580" t="s">
        <v>431</v>
      </c>
      <c r="L6580" t="s">
        <v>62</v>
      </c>
      <c r="M6580" t="s">
        <v>431</v>
      </c>
      <c r="N6580" t="s">
        <v>432</v>
      </c>
      <c r="O6580" t="s">
        <v>315</v>
      </c>
      <c r="P6580">
        <v>-20.172698</v>
      </c>
      <c r="Q6580">
        <v>-44.923842</v>
      </c>
      <c r="R6580" s="2" t="str">
        <f>HYPERLINK("https://www.google.com/maps?q=-20.1726980,-44.9238420","Abrir no Google Maps")</f>
        <v>Abrir no Google Maps</v>
      </c>
      <c r="S6580">
        <v>3</v>
      </c>
      <c r="T6580">
        <v>1376.1843173402931</v>
      </c>
      <c r="U6580">
        <v>4</v>
      </c>
      <c r="V6580">
        <v>0.26193780287556567</v>
      </c>
      <c r="W6580">
        <v>0.85</v>
      </c>
      <c r="X6580">
        <v>0.22264713244423079</v>
      </c>
      <c r="Y6580">
        <v>723</v>
      </c>
      <c r="Z6580">
        <v>1101.340635002096</v>
      </c>
      <c r="AA6580">
        <v>198</v>
      </c>
      <c r="AB6580">
        <v>332</v>
      </c>
      <c r="AC6580">
        <v>536</v>
      </c>
      <c r="AD6580">
        <v>28.93</v>
      </c>
      <c r="AE6580">
        <v>542</v>
      </c>
      <c r="AF6580">
        <v>29</v>
      </c>
      <c r="AG6580">
        <v>166</v>
      </c>
      <c r="AH6580">
        <v>129</v>
      </c>
      <c r="AI6580">
        <v>5.35</v>
      </c>
      <c r="AJ6580">
        <v>30.63</v>
      </c>
      <c r="AK6580">
        <v>23.8</v>
      </c>
      <c r="AL6580">
        <v>-20.172942799999959</v>
      </c>
      <c r="AM6580">
        <v>-44.923585372665762</v>
      </c>
      <c r="AN6580">
        <v>-20.172942799999959</v>
      </c>
      <c r="AO6580">
        <v>-44.923585372665762</v>
      </c>
      <c r="AP6580">
        <v>-20.172698</v>
      </c>
      <c r="AQ6580">
        <v>-44.923842</v>
      </c>
      <c r="AR6580">
        <v>38.231981408478958</v>
      </c>
      <c r="AS6580" t="s">
        <v>65</v>
      </c>
      <c r="AT6580">
        <v>1</v>
      </c>
      <c r="AU6580" t="s">
        <v>433</v>
      </c>
      <c r="AV6580" t="s">
        <v>434</v>
      </c>
      <c r="AW6580" t="s">
        <v>60</v>
      </c>
      <c r="AX6580" t="s">
        <v>68</v>
      </c>
      <c r="AY6580" t="s">
        <v>69</v>
      </c>
      <c r="AZ6580" t="b">
        <v>1</v>
      </c>
    </row>
    <row r="6581" spans="1:52" x14ac:dyDescent="0.3">
      <c r="A6581" t="s">
        <v>52</v>
      </c>
      <c r="B6581" t="s">
        <v>53</v>
      </c>
      <c r="C6581" t="s">
        <v>54</v>
      </c>
      <c r="D6581" t="s">
        <v>55</v>
      </c>
      <c r="E6581" t="s">
        <v>2296</v>
      </c>
      <c r="F6581" t="s">
        <v>190</v>
      </c>
      <c r="G6581" t="s">
        <v>232</v>
      </c>
      <c r="H6581" t="s">
        <v>925</v>
      </c>
      <c r="I6581" t="s">
        <v>925</v>
      </c>
      <c r="J6581" t="s">
        <v>60</v>
      </c>
      <c r="K6581" t="s">
        <v>702</v>
      </c>
      <c r="L6581" t="s">
        <v>62</v>
      </c>
      <c r="M6581" t="s">
        <v>702</v>
      </c>
      <c r="N6581" t="s">
        <v>234</v>
      </c>
      <c r="O6581" t="s">
        <v>926</v>
      </c>
      <c r="P6581">
        <v>-20.165887999999999</v>
      </c>
      <c r="Q6581">
        <v>-44.865220000000001</v>
      </c>
      <c r="R6581" s="2" t="str">
        <f>HYPERLINK("https://www.google.com/maps?q=-20.1658880,-44.8652200","Abrir no Google Maps")</f>
        <v>Abrir no Google Maps</v>
      </c>
      <c r="S6581">
        <v>3</v>
      </c>
      <c r="T6581">
        <v>711.71706763776342</v>
      </c>
      <c r="U6581">
        <v>4</v>
      </c>
      <c r="V6581">
        <v>0.20368040514715249</v>
      </c>
      <c r="W6581">
        <v>1</v>
      </c>
      <c r="X6581">
        <v>0.20368040514715249</v>
      </c>
      <c r="Y6581">
        <v>518</v>
      </c>
      <c r="Z6581">
        <v>801.45781285603209</v>
      </c>
      <c r="AA6581">
        <v>198</v>
      </c>
      <c r="AB6581">
        <v>332</v>
      </c>
      <c r="AC6581">
        <v>536</v>
      </c>
      <c r="AD6581">
        <v>28.93</v>
      </c>
      <c r="AE6581">
        <v>542</v>
      </c>
      <c r="AF6581">
        <v>29</v>
      </c>
      <c r="AG6581">
        <v>166</v>
      </c>
      <c r="AH6581">
        <v>129</v>
      </c>
      <c r="AI6581">
        <v>5.35</v>
      </c>
      <c r="AJ6581">
        <v>30.63</v>
      </c>
      <c r="AK6581">
        <v>23.8</v>
      </c>
      <c r="AL6581">
        <v>-20.165865449999959</v>
      </c>
      <c r="AM6581">
        <v>-44.865240434761468</v>
      </c>
      <c r="AN6581">
        <v>-20.165865449999959</v>
      </c>
      <c r="AO6581">
        <v>-44.865240434761468</v>
      </c>
      <c r="AP6581">
        <v>-20.165887999999999</v>
      </c>
      <c r="AQ6581">
        <v>-44.865220000000001</v>
      </c>
      <c r="AR6581">
        <v>3.2956262004279409</v>
      </c>
      <c r="AS6581" t="s">
        <v>65</v>
      </c>
      <c r="AT6581">
        <v>1</v>
      </c>
      <c r="AU6581" t="s">
        <v>927</v>
      </c>
      <c r="AV6581" t="s">
        <v>928</v>
      </c>
      <c r="AW6581" t="s">
        <v>60</v>
      </c>
      <c r="AX6581" t="s">
        <v>68</v>
      </c>
      <c r="AY6581" t="s">
        <v>69</v>
      </c>
      <c r="AZ6581" t="b">
        <v>1</v>
      </c>
    </row>
    <row r="6582" spans="1:52" x14ac:dyDescent="0.3">
      <c r="A6582" t="s">
        <v>52</v>
      </c>
      <c r="B6582" t="s">
        <v>53</v>
      </c>
      <c r="C6582" t="s">
        <v>54</v>
      </c>
      <c r="D6582" t="s">
        <v>55</v>
      </c>
      <c r="E6582" t="s">
        <v>2296</v>
      </c>
      <c r="F6582" t="s">
        <v>190</v>
      </c>
      <c r="G6582" t="s">
        <v>1865</v>
      </c>
      <c r="H6582" t="s">
        <v>1866</v>
      </c>
      <c r="I6582" t="s">
        <v>1866</v>
      </c>
      <c r="J6582" t="s">
        <v>60</v>
      </c>
      <c r="K6582" t="s">
        <v>1867</v>
      </c>
      <c r="L6582" t="s">
        <v>62</v>
      </c>
      <c r="M6582" t="s">
        <v>1867</v>
      </c>
      <c r="N6582" t="s">
        <v>1868</v>
      </c>
      <c r="O6582" t="s">
        <v>331</v>
      </c>
      <c r="P6582">
        <v>-20.181349000000001</v>
      </c>
      <c r="Q6582">
        <v>-44.855376</v>
      </c>
      <c r="R6582" s="2" t="str">
        <f>HYPERLINK("https://www.google.com/maps?q=-20.1813490,-44.8553760","Abrir no Google Maps")</f>
        <v>Abrir no Google Maps</v>
      </c>
      <c r="S6582">
        <v>3</v>
      </c>
      <c r="T6582">
        <v>1480.8140209554069</v>
      </c>
      <c r="U6582">
        <v>4</v>
      </c>
      <c r="V6582">
        <v>0.3995731516290727</v>
      </c>
      <c r="W6582">
        <v>0.85</v>
      </c>
      <c r="X6582">
        <v>0.33963717888471179</v>
      </c>
      <c r="Y6582">
        <v>422</v>
      </c>
      <c r="Z6582">
        <v>1626.22889540284</v>
      </c>
      <c r="AA6582">
        <v>198</v>
      </c>
      <c r="AB6582">
        <v>332</v>
      </c>
      <c r="AC6582">
        <v>536</v>
      </c>
      <c r="AD6582">
        <v>28.93</v>
      </c>
      <c r="AE6582">
        <v>542</v>
      </c>
      <c r="AF6582">
        <v>29</v>
      </c>
      <c r="AG6582">
        <v>166</v>
      </c>
      <c r="AH6582">
        <v>129</v>
      </c>
      <c r="AI6582">
        <v>5.35</v>
      </c>
      <c r="AJ6582">
        <v>30.63</v>
      </c>
      <c r="AK6582">
        <v>23.8</v>
      </c>
      <c r="AL6582">
        <v>-20.18159664999996</v>
      </c>
      <c r="AM6582">
        <v>-44.855209881649429</v>
      </c>
      <c r="AN6582">
        <v>-20.18159664999996</v>
      </c>
      <c r="AO6582">
        <v>-44.855209881649429</v>
      </c>
      <c r="AP6582">
        <v>-20.181349000000001</v>
      </c>
      <c r="AQ6582">
        <v>-44.855376</v>
      </c>
      <c r="AR6582">
        <v>32.577291538690083</v>
      </c>
      <c r="AS6582" t="s">
        <v>65</v>
      </c>
      <c r="AT6582">
        <v>1</v>
      </c>
      <c r="AU6582" t="s">
        <v>1869</v>
      </c>
      <c r="AV6582" t="s">
        <v>1870</v>
      </c>
      <c r="AW6582" t="s">
        <v>60</v>
      </c>
      <c r="AX6582" t="s">
        <v>68</v>
      </c>
      <c r="AY6582" t="s">
        <v>69</v>
      </c>
      <c r="AZ6582" t="b">
        <v>1</v>
      </c>
    </row>
    <row r="6583" spans="1:52" x14ac:dyDescent="0.3">
      <c r="A6583" t="s">
        <v>52</v>
      </c>
      <c r="B6583" t="s">
        <v>53</v>
      </c>
      <c r="C6583" t="s">
        <v>54</v>
      </c>
      <c r="D6583" t="s">
        <v>55</v>
      </c>
      <c r="E6583" t="s">
        <v>2296</v>
      </c>
      <c r="F6583" t="s">
        <v>190</v>
      </c>
      <c r="G6583" t="s">
        <v>734</v>
      </c>
      <c r="H6583" t="s">
        <v>2253</v>
      </c>
      <c r="I6583" t="s">
        <v>2253</v>
      </c>
      <c r="J6583" t="s">
        <v>60</v>
      </c>
      <c r="K6583" t="s">
        <v>1883</v>
      </c>
      <c r="L6583" t="s">
        <v>62</v>
      </c>
      <c r="M6583" t="s">
        <v>1883</v>
      </c>
      <c r="N6583" t="s">
        <v>2254</v>
      </c>
      <c r="O6583" t="s">
        <v>2255</v>
      </c>
      <c r="P6583">
        <v>-20.104223000000001</v>
      </c>
      <c r="Q6583">
        <v>-44.978788000000002</v>
      </c>
      <c r="R6583" s="2" t="str">
        <f>HYPERLINK("https://www.google.com/maps?q=-20.1042230,-44.9787880","Abrir no Google Maps")</f>
        <v>Abrir no Google Maps</v>
      </c>
      <c r="S6583">
        <v>3</v>
      </c>
      <c r="T6583">
        <v>636.01472314441003</v>
      </c>
      <c r="U6583">
        <v>4</v>
      </c>
      <c r="V6583">
        <v>0.44573252688172038</v>
      </c>
      <c r="W6583">
        <v>0.85</v>
      </c>
      <c r="X6583">
        <v>0.37887264784946229</v>
      </c>
      <c r="Y6583">
        <v>385</v>
      </c>
      <c r="Z6583">
        <v>642.35382582108969</v>
      </c>
      <c r="AA6583">
        <v>198</v>
      </c>
      <c r="AB6583">
        <v>332</v>
      </c>
      <c r="AC6583">
        <v>536</v>
      </c>
      <c r="AD6583">
        <v>28.93</v>
      </c>
      <c r="AE6583">
        <v>542</v>
      </c>
      <c r="AF6583">
        <v>29</v>
      </c>
      <c r="AG6583">
        <v>166</v>
      </c>
      <c r="AH6583">
        <v>129</v>
      </c>
      <c r="AI6583">
        <v>5.35</v>
      </c>
      <c r="AJ6583">
        <v>30.63</v>
      </c>
      <c r="AK6583">
        <v>23.8</v>
      </c>
      <c r="AL6583">
        <v>-20.103376249999961</v>
      </c>
      <c r="AM6583">
        <v>-44.978925423401478</v>
      </c>
      <c r="AN6583">
        <v>-20.103376249999961</v>
      </c>
      <c r="AO6583">
        <v>-44.978925423401478</v>
      </c>
      <c r="AP6583">
        <v>-20.104223000000001</v>
      </c>
      <c r="AQ6583">
        <v>-44.978788000000002</v>
      </c>
      <c r="AR6583">
        <v>95.348660707076903</v>
      </c>
      <c r="AS6583" t="s">
        <v>65</v>
      </c>
      <c r="AT6583">
        <v>1</v>
      </c>
      <c r="AU6583" t="s">
        <v>2256</v>
      </c>
      <c r="AV6583" t="s">
        <v>2257</v>
      </c>
      <c r="AW6583" t="s">
        <v>60</v>
      </c>
      <c r="AX6583" t="s">
        <v>68</v>
      </c>
      <c r="AY6583" t="s">
        <v>69</v>
      </c>
      <c r="AZ6583" t="b">
        <v>1</v>
      </c>
    </row>
    <row r="6584" spans="1:52" x14ac:dyDescent="0.3">
      <c r="A6584" t="s">
        <v>52</v>
      </c>
      <c r="B6584" t="s">
        <v>53</v>
      </c>
      <c r="C6584" t="s">
        <v>54</v>
      </c>
      <c r="D6584" t="s">
        <v>55</v>
      </c>
      <c r="E6584" t="s">
        <v>2296</v>
      </c>
      <c r="F6584" t="s">
        <v>190</v>
      </c>
      <c r="G6584" t="s">
        <v>1127</v>
      </c>
      <c r="H6584" t="s">
        <v>2349</v>
      </c>
      <c r="I6584" t="s">
        <v>2349</v>
      </c>
      <c r="J6584" t="s">
        <v>60</v>
      </c>
      <c r="K6584" t="s">
        <v>2232</v>
      </c>
      <c r="L6584" t="s">
        <v>62</v>
      </c>
      <c r="M6584" t="s">
        <v>2232</v>
      </c>
      <c r="N6584" t="s">
        <v>2350</v>
      </c>
      <c r="O6584" t="s">
        <v>315</v>
      </c>
      <c r="P6584">
        <v>-20.094044</v>
      </c>
      <c r="Q6584">
        <v>-45.001356999999999</v>
      </c>
      <c r="R6584" s="2" t="str">
        <f>HYPERLINK("https://www.google.com/maps?q=-20.0940440,-45.0013570","Abrir no Google Maps")</f>
        <v>Abrir no Google Maps</v>
      </c>
      <c r="S6584">
        <v>3</v>
      </c>
      <c r="T6584">
        <v>3262.3824103219399</v>
      </c>
      <c r="U6584">
        <v>4</v>
      </c>
      <c r="V6584">
        <v>0.37414529914529909</v>
      </c>
      <c r="W6584">
        <v>0.85</v>
      </c>
      <c r="X6584">
        <v>0.31802350427350418</v>
      </c>
      <c r="Y6584">
        <v>385</v>
      </c>
      <c r="Z6584">
        <v>3216.4610578258289</v>
      </c>
      <c r="AA6584">
        <v>198</v>
      </c>
      <c r="AB6584">
        <v>332</v>
      </c>
      <c r="AC6584">
        <v>536</v>
      </c>
      <c r="AD6584">
        <v>28.93</v>
      </c>
      <c r="AE6584">
        <v>542</v>
      </c>
      <c r="AF6584">
        <v>29</v>
      </c>
      <c r="AG6584">
        <v>166</v>
      </c>
      <c r="AH6584">
        <v>129</v>
      </c>
      <c r="AI6584">
        <v>5.35</v>
      </c>
      <c r="AJ6584">
        <v>30.63</v>
      </c>
      <c r="AK6584">
        <v>23.8</v>
      </c>
      <c r="AL6584">
        <v>-20.09405759999996</v>
      </c>
      <c r="AM6584">
        <v>-45.002117434468524</v>
      </c>
      <c r="AN6584">
        <v>-20.09405759999996</v>
      </c>
      <c r="AO6584">
        <v>-45.002117434468509</v>
      </c>
      <c r="AP6584">
        <v>-20.094044</v>
      </c>
      <c r="AQ6584">
        <v>-45.001356999999999</v>
      </c>
      <c r="AR6584">
        <v>79.513229240233173</v>
      </c>
      <c r="AS6584" t="s">
        <v>65</v>
      </c>
      <c r="AT6584">
        <v>1</v>
      </c>
      <c r="AU6584" t="s">
        <v>2351</v>
      </c>
      <c r="AV6584" t="s">
        <v>2352</v>
      </c>
      <c r="AW6584" t="s">
        <v>60</v>
      </c>
      <c r="AX6584" t="s">
        <v>68</v>
      </c>
      <c r="AY6584" t="s">
        <v>69</v>
      </c>
      <c r="AZ6584" t="b">
        <v>1</v>
      </c>
    </row>
    <row r="6585" spans="1:52" x14ac:dyDescent="0.3">
      <c r="A6585" t="s">
        <v>52</v>
      </c>
      <c r="B6585" t="s">
        <v>53</v>
      </c>
      <c r="C6585" t="s">
        <v>54</v>
      </c>
      <c r="D6585" t="s">
        <v>55</v>
      </c>
      <c r="E6585" t="s">
        <v>2296</v>
      </c>
      <c r="F6585" t="s">
        <v>190</v>
      </c>
      <c r="G6585" t="s">
        <v>1127</v>
      </c>
      <c r="H6585" t="s">
        <v>2353</v>
      </c>
      <c r="I6585" t="s">
        <v>2353</v>
      </c>
      <c r="J6585" t="s">
        <v>60</v>
      </c>
      <c r="K6585" t="s">
        <v>2345</v>
      </c>
      <c r="L6585" t="s">
        <v>62</v>
      </c>
      <c r="M6585" t="s">
        <v>2345</v>
      </c>
      <c r="N6585" t="s">
        <v>2354</v>
      </c>
      <c r="O6585" t="s">
        <v>315</v>
      </c>
      <c r="P6585">
        <v>-20.109000999999999</v>
      </c>
      <c r="Q6585">
        <v>-44.999842000000001</v>
      </c>
      <c r="R6585" s="2" t="str">
        <f>HYPERLINK("https://www.google.com/maps?q=-20.1090010,-44.9998420","Abrir no Google Maps")</f>
        <v>Abrir no Google Maps</v>
      </c>
      <c r="S6585">
        <v>3</v>
      </c>
      <c r="T6585">
        <v>2858.007189976478</v>
      </c>
      <c r="U6585">
        <v>4</v>
      </c>
      <c r="V6585">
        <v>0.40486111111111101</v>
      </c>
      <c r="W6585">
        <v>0.85</v>
      </c>
      <c r="X6585">
        <v>0.34413194444444428</v>
      </c>
      <c r="Y6585">
        <v>385</v>
      </c>
      <c r="Z6585">
        <v>2766.7416613492501</v>
      </c>
      <c r="AA6585">
        <v>198</v>
      </c>
      <c r="AB6585">
        <v>332</v>
      </c>
      <c r="AC6585">
        <v>536</v>
      </c>
      <c r="AD6585">
        <v>28.93</v>
      </c>
      <c r="AE6585">
        <v>542</v>
      </c>
      <c r="AF6585">
        <v>29</v>
      </c>
      <c r="AG6585">
        <v>166</v>
      </c>
      <c r="AH6585">
        <v>129</v>
      </c>
      <c r="AI6585">
        <v>5.35</v>
      </c>
      <c r="AJ6585">
        <v>30.63</v>
      </c>
      <c r="AK6585">
        <v>23.8</v>
      </c>
      <c r="AL6585">
        <v>-20.108982399999949</v>
      </c>
      <c r="AM6585">
        <v>-44.999941465663852</v>
      </c>
      <c r="AN6585">
        <v>-20.108982399999949</v>
      </c>
      <c r="AO6585">
        <v>-44.999941465663852</v>
      </c>
      <c r="AP6585">
        <v>-20.109000999999999</v>
      </c>
      <c r="AQ6585">
        <v>-44.999842000000001</v>
      </c>
      <c r="AR6585">
        <v>10.60170012607975</v>
      </c>
      <c r="AS6585" t="s">
        <v>65</v>
      </c>
      <c r="AT6585">
        <v>1</v>
      </c>
      <c r="AU6585" t="s">
        <v>2355</v>
      </c>
      <c r="AV6585" t="s">
        <v>2356</v>
      </c>
      <c r="AW6585" t="s">
        <v>60</v>
      </c>
      <c r="AX6585" t="s">
        <v>68</v>
      </c>
      <c r="AY6585" t="s">
        <v>69</v>
      </c>
      <c r="AZ6585" t="b">
        <v>1</v>
      </c>
    </row>
    <row r="6586" spans="1:52" x14ac:dyDescent="0.3">
      <c r="A6586" t="s">
        <v>52</v>
      </c>
      <c r="B6586" t="s">
        <v>53</v>
      </c>
      <c r="C6586" t="s">
        <v>54</v>
      </c>
      <c r="D6586" t="s">
        <v>55</v>
      </c>
      <c r="E6586" t="s">
        <v>2296</v>
      </c>
      <c r="F6586" t="s">
        <v>190</v>
      </c>
      <c r="G6586" t="s">
        <v>734</v>
      </c>
      <c r="H6586" t="s">
        <v>1892</v>
      </c>
      <c r="I6586" t="s">
        <v>1892</v>
      </c>
      <c r="J6586" t="s">
        <v>60</v>
      </c>
      <c r="K6586" t="s">
        <v>1888</v>
      </c>
      <c r="L6586" t="s">
        <v>62</v>
      </c>
      <c r="M6586" t="s">
        <v>1888</v>
      </c>
      <c r="N6586" t="s">
        <v>1893</v>
      </c>
      <c r="O6586" t="s">
        <v>836</v>
      </c>
      <c r="P6586">
        <v>-20.116758999999998</v>
      </c>
      <c r="Q6586">
        <v>-44.964924000000003</v>
      </c>
      <c r="R6586" s="2" t="str">
        <f>HYPERLINK("https://www.google.com/maps?q=-20.1167590,-44.9649240","Abrir no Google Maps")</f>
        <v>Abrir no Google Maps</v>
      </c>
      <c r="S6586">
        <v>3</v>
      </c>
      <c r="T6586">
        <v>1587.478175445583</v>
      </c>
      <c r="U6586">
        <v>4</v>
      </c>
      <c r="V6586">
        <v>0.2509123441043084</v>
      </c>
      <c r="W6586">
        <v>0.85</v>
      </c>
      <c r="X6586">
        <v>0.21327549248866209</v>
      </c>
      <c r="Y6586">
        <v>385</v>
      </c>
      <c r="Z6586">
        <v>1600.9110023765641</v>
      </c>
      <c r="AA6586">
        <v>198</v>
      </c>
      <c r="AB6586">
        <v>332</v>
      </c>
      <c r="AC6586">
        <v>536</v>
      </c>
      <c r="AD6586">
        <v>28.93</v>
      </c>
      <c r="AE6586">
        <v>542</v>
      </c>
      <c r="AF6586">
        <v>29</v>
      </c>
      <c r="AG6586">
        <v>166</v>
      </c>
      <c r="AH6586">
        <v>129</v>
      </c>
      <c r="AI6586">
        <v>5.35</v>
      </c>
      <c r="AJ6586">
        <v>30.63</v>
      </c>
      <c r="AK6586">
        <v>23.8</v>
      </c>
      <c r="AL6586">
        <v>-20.11684084999996</v>
      </c>
      <c r="AM6586">
        <v>-44.965001971169677</v>
      </c>
      <c r="AN6586">
        <v>-20.11684084999996</v>
      </c>
      <c r="AO6586">
        <v>-44.965001971169677</v>
      </c>
      <c r="AP6586">
        <v>-20.116758999999998</v>
      </c>
      <c r="AQ6586">
        <v>-44.964924000000003</v>
      </c>
      <c r="AR6586">
        <v>12.224826970318571</v>
      </c>
      <c r="AS6586" t="s">
        <v>65</v>
      </c>
      <c r="AT6586">
        <v>1</v>
      </c>
      <c r="AU6586" t="s">
        <v>1894</v>
      </c>
      <c r="AV6586" t="s">
        <v>1895</v>
      </c>
      <c r="AW6586" t="s">
        <v>60</v>
      </c>
      <c r="AX6586" t="s">
        <v>68</v>
      </c>
      <c r="AY6586" t="s">
        <v>69</v>
      </c>
      <c r="AZ6586" t="b">
        <v>1</v>
      </c>
    </row>
    <row r="6587" spans="1:52" x14ac:dyDescent="0.3">
      <c r="A6587" t="s">
        <v>52</v>
      </c>
      <c r="B6587" t="s">
        <v>53</v>
      </c>
      <c r="C6587" t="s">
        <v>54</v>
      </c>
      <c r="D6587" t="s">
        <v>55</v>
      </c>
      <c r="E6587" t="s">
        <v>2296</v>
      </c>
      <c r="F6587" t="s">
        <v>190</v>
      </c>
      <c r="G6587" t="s">
        <v>2258</v>
      </c>
      <c r="H6587" t="s">
        <v>2259</v>
      </c>
      <c r="I6587" t="s">
        <v>2259</v>
      </c>
      <c r="J6587" t="s">
        <v>60</v>
      </c>
      <c r="K6587" t="s">
        <v>2260</v>
      </c>
      <c r="L6587" t="s">
        <v>62</v>
      </c>
      <c r="M6587" t="s">
        <v>2260</v>
      </c>
      <c r="N6587" t="s">
        <v>2261</v>
      </c>
      <c r="O6587" t="s">
        <v>2262</v>
      </c>
      <c r="P6587">
        <v>-20.134322999999998</v>
      </c>
      <c r="Q6587">
        <v>-45.004497999999998</v>
      </c>
      <c r="R6587" s="2" t="str">
        <f>HYPERLINK("https://www.google.com/maps?q=-20.1343230,-45.0044980","Abrir no Google Maps")</f>
        <v>Abrir no Google Maps</v>
      </c>
      <c r="S6587">
        <v>3</v>
      </c>
      <c r="T6587">
        <v>4608.4847806626212</v>
      </c>
      <c r="U6587">
        <v>4</v>
      </c>
      <c r="V6587">
        <v>0.41906377420998969</v>
      </c>
      <c r="W6587">
        <v>0.85</v>
      </c>
      <c r="X6587">
        <v>0.35620420807849118</v>
      </c>
      <c r="Y6587">
        <v>385</v>
      </c>
      <c r="Z6587">
        <v>5460.0531152030944</v>
      </c>
      <c r="AA6587">
        <v>198</v>
      </c>
      <c r="AB6587">
        <v>332</v>
      </c>
      <c r="AC6587">
        <v>536</v>
      </c>
      <c r="AD6587">
        <v>28.93</v>
      </c>
      <c r="AE6587">
        <v>542</v>
      </c>
      <c r="AF6587">
        <v>29</v>
      </c>
      <c r="AG6587">
        <v>166</v>
      </c>
      <c r="AH6587">
        <v>129</v>
      </c>
      <c r="AI6587">
        <v>5.35</v>
      </c>
      <c r="AJ6587">
        <v>30.63</v>
      </c>
      <c r="AK6587">
        <v>23.8</v>
      </c>
      <c r="AL6587">
        <v>-20.136254449999971</v>
      </c>
      <c r="AM6587">
        <v>-45.001689768835291</v>
      </c>
      <c r="AN6587">
        <v>-20.136254449999971</v>
      </c>
      <c r="AO6587">
        <v>-45.001689768835291</v>
      </c>
      <c r="AP6587">
        <v>-20.134322999999998</v>
      </c>
      <c r="AQ6587">
        <v>-45.004497999999998</v>
      </c>
      <c r="AR6587">
        <v>363.83195491738093</v>
      </c>
      <c r="AS6587" t="s">
        <v>65</v>
      </c>
      <c r="AT6587">
        <v>1</v>
      </c>
      <c r="AU6587" t="s">
        <v>2263</v>
      </c>
      <c r="AV6587" t="s">
        <v>2264</v>
      </c>
      <c r="AW6587" t="s">
        <v>60</v>
      </c>
      <c r="AX6587" t="s">
        <v>68</v>
      </c>
      <c r="AY6587" t="s">
        <v>69</v>
      </c>
      <c r="AZ6587" t="b">
        <v>1</v>
      </c>
    </row>
    <row r="6588" spans="1:52" x14ac:dyDescent="0.3">
      <c r="A6588" t="s">
        <v>52</v>
      </c>
      <c r="B6588" t="s">
        <v>53</v>
      </c>
      <c r="C6588" t="s">
        <v>54</v>
      </c>
      <c r="D6588" t="s">
        <v>55</v>
      </c>
      <c r="E6588" t="s">
        <v>2296</v>
      </c>
      <c r="F6588" t="s">
        <v>190</v>
      </c>
      <c r="G6588" t="s">
        <v>2173</v>
      </c>
      <c r="H6588" t="s">
        <v>2265</v>
      </c>
      <c r="I6588" t="s">
        <v>2265</v>
      </c>
      <c r="J6588" t="s">
        <v>60</v>
      </c>
      <c r="K6588" t="s">
        <v>2266</v>
      </c>
      <c r="L6588" t="s">
        <v>62</v>
      </c>
      <c r="M6588" t="s">
        <v>2266</v>
      </c>
      <c r="N6588" t="s">
        <v>2267</v>
      </c>
      <c r="O6588" t="s">
        <v>1932</v>
      </c>
      <c r="P6588">
        <v>-20.148741999999999</v>
      </c>
      <c r="Q6588">
        <v>-44.979306000000001</v>
      </c>
      <c r="R6588" s="2" t="str">
        <f>HYPERLINK("https://www.google.com/maps?q=-20.1487420,-44.9793060","Abrir no Google Maps")</f>
        <v>Abrir no Google Maps</v>
      </c>
      <c r="S6588">
        <v>3</v>
      </c>
      <c r="T6588">
        <v>4711.9812205568824</v>
      </c>
      <c r="U6588">
        <v>4</v>
      </c>
      <c r="V6588">
        <v>0.51902525906735753</v>
      </c>
      <c r="W6588">
        <v>0.85</v>
      </c>
      <c r="X6588">
        <v>0.44117147020725389</v>
      </c>
      <c r="Y6588">
        <v>385</v>
      </c>
      <c r="Z6588">
        <v>4791.2891385380444</v>
      </c>
      <c r="AA6588">
        <v>198</v>
      </c>
      <c r="AB6588">
        <v>332</v>
      </c>
      <c r="AC6588">
        <v>536</v>
      </c>
      <c r="AD6588">
        <v>28.93</v>
      </c>
      <c r="AE6588">
        <v>542</v>
      </c>
      <c r="AF6588">
        <v>29</v>
      </c>
      <c r="AG6588">
        <v>166</v>
      </c>
      <c r="AH6588">
        <v>129</v>
      </c>
      <c r="AI6588">
        <v>5.35</v>
      </c>
      <c r="AJ6588">
        <v>30.63</v>
      </c>
      <c r="AK6588">
        <v>23.8</v>
      </c>
      <c r="AL6588">
        <v>-20.146675049999949</v>
      </c>
      <c r="AM6588">
        <v>-44.980183262959301</v>
      </c>
      <c r="AN6588">
        <v>-20.146675049999949</v>
      </c>
      <c r="AO6588">
        <v>-44.980183262959301</v>
      </c>
      <c r="AP6588">
        <v>-20.148741999999999</v>
      </c>
      <c r="AQ6588">
        <v>-44.979306000000001</v>
      </c>
      <c r="AR6588">
        <v>247.6858095162975</v>
      </c>
      <c r="AS6588" t="s">
        <v>65</v>
      </c>
      <c r="AT6588">
        <v>1</v>
      </c>
      <c r="AU6588" t="s">
        <v>2268</v>
      </c>
      <c r="AV6588" t="s">
        <v>2269</v>
      </c>
      <c r="AW6588" t="s">
        <v>60</v>
      </c>
      <c r="AX6588" t="s">
        <v>68</v>
      </c>
      <c r="AY6588" t="s">
        <v>69</v>
      </c>
      <c r="AZ6588" t="b">
        <v>1</v>
      </c>
    </row>
    <row r="6589" spans="1:52" x14ac:dyDescent="0.3">
      <c r="A6589" t="s">
        <v>52</v>
      </c>
      <c r="B6589" t="s">
        <v>53</v>
      </c>
      <c r="C6589" t="s">
        <v>54</v>
      </c>
      <c r="D6589" t="s">
        <v>55</v>
      </c>
      <c r="E6589" t="s">
        <v>2296</v>
      </c>
      <c r="F6589" t="s">
        <v>190</v>
      </c>
      <c r="G6589" t="s">
        <v>734</v>
      </c>
      <c r="H6589" t="s">
        <v>2357</v>
      </c>
      <c r="I6589" t="s">
        <v>2357</v>
      </c>
      <c r="J6589" t="s">
        <v>60</v>
      </c>
      <c r="K6589" t="s">
        <v>1888</v>
      </c>
      <c r="L6589" t="s">
        <v>62</v>
      </c>
      <c r="M6589" t="s">
        <v>1888</v>
      </c>
      <c r="N6589" t="s">
        <v>2358</v>
      </c>
      <c r="O6589" t="s">
        <v>315</v>
      </c>
      <c r="P6589">
        <v>-20.121110000000002</v>
      </c>
      <c r="Q6589">
        <v>-44.952078</v>
      </c>
      <c r="R6589" s="2" t="str">
        <f>HYPERLINK("https://www.google.com/maps?q=-20.1211100,-44.9520780","Abrir no Google Maps")</f>
        <v>Abrir no Google Maps</v>
      </c>
      <c r="S6589">
        <v>3</v>
      </c>
      <c r="T6589">
        <v>2581.6690472698961</v>
      </c>
      <c r="U6589">
        <v>4</v>
      </c>
      <c r="V6589">
        <v>0.50378787878787878</v>
      </c>
      <c r="W6589">
        <v>0.85</v>
      </c>
      <c r="X6589">
        <v>0.42821969696969697</v>
      </c>
      <c r="Y6589">
        <v>385</v>
      </c>
      <c r="Z6589">
        <v>2147.1892286055258</v>
      </c>
      <c r="AA6589">
        <v>198</v>
      </c>
      <c r="AB6589">
        <v>332</v>
      </c>
      <c r="AC6589">
        <v>536</v>
      </c>
      <c r="AD6589">
        <v>28.93</v>
      </c>
      <c r="AE6589">
        <v>542</v>
      </c>
      <c r="AF6589">
        <v>29</v>
      </c>
      <c r="AG6589">
        <v>166</v>
      </c>
      <c r="AH6589">
        <v>129</v>
      </c>
      <c r="AI6589">
        <v>5.35</v>
      </c>
      <c r="AJ6589">
        <v>30.63</v>
      </c>
      <c r="AK6589">
        <v>23.8</v>
      </c>
      <c r="AL6589">
        <v>-20.11989429999997</v>
      </c>
      <c r="AM6589">
        <v>-44.954303335575048</v>
      </c>
      <c r="AN6589">
        <v>-20.11989429999997</v>
      </c>
      <c r="AO6589">
        <v>-44.954303335575048</v>
      </c>
      <c r="AP6589">
        <v>-20.121110000000002</v>
      </c>
      <c r="AQ6589">
        <v>-44.952078</v>
      </c>
      <c r="AR6589">
        <v>269.11088127265742</v>
      </c>
      <c r="AS6589" t="s">
        <v>65</v>
      </c>
      <c r="AT6589">
        <v>1</v>
      </c>
      <c r="AU6589" t="s">
        <v>2359</v>
      </c>
      <c r="AV6589" t="s">
        <v>2360</v>
      </c>
      <c r="AW6589" t="s">
        <v>60</v>
      </c>
      <c r="AX6589" t="s">
        <v>68</v>
      </c>
      <c r="AY6589" t="s">
        <v>69</v>
      </c>
      <c r="AZ6589" t="b">
        <v>1</v>
      </c>
    </row>
    <row r="6590" spans="1:52" x14ac:dyDescent="0.3">
      <c r="A6590" t="s">
        <v>52</v>
      </c>
      <c r="B6590" t="s">
        <v>53</v>
      </c>
      <c r="C6590" t="s">
        <v>54</v>
      </c>
      <c r="D6590" t="s">
        <v>55</v>
      </c>
      <c r="E6590" t="s">
        <v>2296</v>
      </c>
      <c r="F6590" t="s">
        <v>190</v>
      </c>
      <c r="G6590" t="s">
        <v>1077</v>
      </c>
      <c r="H6590" t="s">
        <v>1078</v>
      </c>
      <c r="I6590" t="s">
        <v>1078</v>
      </c>
      <c r="J6590" t="s">
        <v>60</v>
      </c>
      <c r="K6590" t="s">
        <v>761</v>
      </c>
      <c r="L6590" t="s">
        <v>62</v>
      </c>
      <c r="M6590" t="s">
        <v>761</v>
      </c>
      <c r="N6590" t="s">
        <v>1079</v>
      </c>
      <c r="O6590" t="s">
        <v>1080</v>
      </c>
      <c r="P6590">
        <v>-20.119579999999999</v>
      </c>
      <c r="Q6590">
        <v>-44.855030999999997</v>
      </c>
      <c r="R6590" s="2" t="str">
        <f>HYPERLINK("https://www.google.com/maps?q=-20.1195800,-44.8550310","Abrir no Google Maps")</f>
        <v>Abrir no Google Maps</v>
      </c>
      <c r="S6590">
        <v>3</v>
      </c>
      <c r="T6590">
        <v>800.32085104254202</v>
      </c>
      <c r="U6590">
        <v>4</v>
      </c>
      <c r="V6590">
        <v>0.21440748096656731</v>
      </c>
      <c r="W6590">
        <v>1</v>
      </c>
      <c r="X6590">
        <v>0.21440748096656731</v>
      </c>
      <c r="Y6590">
        <v>350</v>
      </c>
      <c r="Z6590">
        <v>431.56201899267722</v>
      </c>
      <c r="AA6590">
        <v>198</v>
      </c>
      <c r="AB6590">
        <v>332</v>
      </c>
      <c r="AC6590">
        <v>536</v>
      </c>
      <c r="AD6590">
        <v>28.93</v>
      </c>
      <c r="AE6590">
        <v>542</v>
      </c>
      <c r="AF6590">
        <v>29</v>
      </c>
      <c r="AG6590">
        <v>166</v>
      </c>
      <c r="AH6590">
        <v>129</v>
      </c>
      <c r="AI6590">
        <v>5.35</v>
      </c>
      <c r="AJ6590">
        <v>30.63</v>
      </c>
      <c r="AK6590">
        <v>23.8</v>
      </c>
      <c r="AL6590">
        <v>-20.119806999999948</v>
      </c>
      <c r="AM6590">
        <v>-44.855901548391778</v>
      </c>
      <c r="AN6590">
        <v>-20.119806999999948</v>
      </c>
      <c r="AO6590">
        <v>-44.855901548391778</v>
      </c>
      <c r="AP6590">
        <v>-20.119579999999999</v>
      </c>
      <c r="AQ6590">
        <v>-44.855030999999997</v>
      </c>
      <c r="AR6590">
        <v>94.439141250965164</v>
      </c>
      <c r="AS6590" t="s">
        <v>65</v>
      </c>
      <c r="AT6590">
        <v>1</v>
      </c>
      <c r="AU6590" t="s">
        <v>1081</v>
      </c>
      <c r="AV6590" t="s">
        <v>1082</v>
      </c>
      <c r="AW6590" t="s">
        <v>60</v>
      </c>
      <c r="AX6590" t="s">
        <v>68</v>
      </c>
      <c r="AY6590" t="s">
        <v>69</v>
      </c>
      <c r="AZ6590" t="b">
        <v>1</v>
      </c>
    </row>
    <row r="6591" spans="1:52" x14ac:dyDescent="0.3">
      <c r="A6591" t="s">
        <v>52</v>
      </c>
      <c r="B6591" t="s">
        <v>53</v>
      </c>
      <c r="C6591" t="s">
        <v>54</v>
      </c>
      <c r="D6591" t="s">
        <v>55</v>
      </c>
      <c r="E6591" t="s">
        <v>2296</v>
      </c>
      <c r="F6591" t="s">
        <v>190</v>
      </c>
      <c r="G6591" t="s">
        <v>1757</v>
      </c>
      <c r="H6591" t="s">
        <v>1758</v>
      </c>
      <c r="I6591" t="s">
        <v>1758</v>
      </c>
      <c r="J6591" t="s">
        <v>60</v>
      </c>
      <c r="K6591" t="s">
        <v>362</v>
      </c>
      <c r="L6591" t="s">
        <v>62</v>
      </c>
      <c r="M6591" t="s">
        <v>362</v>
      </c>
      <c r="N6591" t="s">
        <v>1759</v>
      </c>
      <c r="O6591" t="s">
        <v>1760</v>
      </c>
      <c r="P6591">
        <v>-20.140051</v>
      </c>
      <c r="Q6591">
        <v>-44.871685999999997</v>
      </c>
      <c r="R6591" s="2" t="str">
        <f>HYPERLINK("https://www.google.com/maps?q=-20.1400510,-44.8716860","Abrir no Google Maps")</f>
        <v>Abrir no Google Maps</v>
      </c>
      <c r="S6591">
        <v>3</v>
      </c>
      <c r="T6591">
        <v>352.31744538617551</v>
      </c>
      <c r="U6591">
        <v>4</v>
      </c>
      <c r="V6591">
        <v>0.26513043649853968</v>
      </c>
      <c r="W6591">
        <v>0.85</v>
      </c>
      <c r="X6591">
        <v>0.22536087102375871</v>
      </c>
      <c r="Y6591">
        <v>332</v>
      </c>
      <c r="Z6591">
        <v>504.25252355351739</v>
      </c>
      <c r="AA6591">
        <v>198</v>
      </c>
      <c r="AB6591">
        <v>332</v>
      </c>
      <c r="AC6591">
        <v>536</v>
      </c>
      <c r="AD6591">
        <v>28.93</v>
      </c>
      <c r="AE6591">
        <v>542</v>
      </c>
      <c r="AF6591">
        <v>29</v>
      </c>
      <c r="AG6591">
        <v>166</v>
      </c>
      <c r="AH6591">
        <v>129</v>
      </c>
      <c r="AI6591">
        <v>5.35</v>
      </c>
      <c r="AJ6591">
        <v>30.63</v>
      </c>
      <c r="AK6591">
        <v>23.8</v>
      </c>
      <c r="AL6591">
        <v>-20.140052049999959</v>
      </c>
      <c r="AM6591">
        <v>-44.871685093874923</v>
      </c>
      <c r="AN6591">
        <v>-20.140052049999959</v>
      </c>
      <c r="AO6591">
        <v>-44.871685093874909</v>
      </c>
      <c r="AP6591">
        <v>-20.140051</v>
      </c>
      <c r="AQ6591">
        <v>-44.871685999999997</v>
      </c>
      <c r="AR6591">
        <v>0.1504354058892336</v>
      </c>
      <c r="AS6591" t="s">
        <v>65</v>
      </c>
      <c r="AT6591">
        <v>1</v>
      </c>
      <c r="AU6591" t="s">
        <v>1761</v>
      </c>
      <c r="AV6591" t="s">
        <v>1762</v>
      </c>
      <c r="AW6591" t="s">
        <v>60</v>
      </c>
      <c r="AX6591" t="s">
        <v>68</v>
      </c>
      <c r="AY6591" t="s">
        <v>69</v>
      </c>
      <c r="AZ6591" t="b">
        <v>1</v>
      </c>
    </row>
    <row r="6592" spans="1:52" x14ac:dyDescent="0.3">
      <c r="A6592" t="s">
        <v>52</v>
      </c>
      <c r="B6592" t="s">
        <v>53</v>
      </c>
      <c r="C6592" t="s">
        <v>54</v>
      </c>
      <c r="D6592" t="s">
        <v>55</v>
      </c>
      <c r="E6592" t="s">
        <v>2296</v>
      </c>
      <c r="F6592" t="s">
        <v>190</v>
      </c>
      <c r="G6592" t="s">
        <v>1115</v>
      </c>
      <c r="H6592" t="s">
        <v>1116</v>
      </c>
      <c r="I6592" t="s">
        <v>1116</v>
      </c>
      <c r="J6592" t="s">
        <v>60</v>
      </c>
      <c r="K6592" t="s">
        <v>1117</v>
      </c>
      <c r="L6592" t="s">
        <v>62</v>
      </c>
      <c r="M6592" t="s">
        <v>1117</v>
      </c>
      <c r="N6592" t="s">
        <v>1118</v>
      </c>
      <c r="O6592" t="s">
        <v>74</v>
      </c>
      <c r="P6592">
        <v>-20.171123000000001</v>
      </c>
      <c r="Q6592">
        <v>-44.944929999999999</v>
      </c>
      <c r="R6592" s="2" t="str">
        <f>HYPERLINK("https://www.google.com/maps?q=-20.1711230,-44.9449300","Abrir no Google Maps")</f>
        <v>Abrir no Google Maps</v>
      </c>
      <c r="S6592">
        <v>3</v>
      </c>
      <c r="T6592">
        <v>2450.5355520785151</v>
      </c>
      <c r="U6592">
        <v>4</v>
      </c>
      <c r="V6592">
        <v>0.29764194139194128</v>
      </c>
      <c r="W6592">
        <v>0.85</v>
      </c>
      <c r="X6592">
        <v>0.25299565018315012</v>
      </c>
      <c r="Y6592">
        <v>331</v>
      </c>
      <c r="Z6592">
        <v>2306.317072968428</v>
      </c>
      <c r="AA6592">
        <v>198</v>
      </c>
      <c r="AB6592">
        <v>332</v>
      </c>
      <c r="AC6592">
        <v>536</v>
      </c>
      <c r="AD6592">
        <v>28.93</v>
      </c>
      <c r="AE6592">
        <v>542</v>
      </c>
      <c r="AF6592">
        <v>29</v>
      </c>
      <c r="AG6592">
        <v>166</v>
      </c>
      <c r="AH6592">
        <v>129</v>
      </c>
      <c r="AI6592">
        <v>5.35</v>
      </c>
      <c r="AJ6592">
        <v>30.63</v>
      </c>
      <c r="AK6592">
        <v>23.8</v>
      </c>
      <c r="AL6592">
        <v>-20.170858699999972</v>
      </c>
      <c r="AM6592">
        <v>-44.945018498005382</v>
      </c>
      <c r="AN6592">
        <v>-20.170858699999972</v>
      </c>
      <c r="AO6592">
        <v>-44.945018498005382</v>
      </c>
      <c r="AP6592">
        <v>-20.171123000000001</v>
      </c>
      <c r="AQ6592">
        <v>-44.944929999999999</v>
      </c>
      <c r="AR6592">
        <v>30.840896798881371</v>
      </c>
      <c r="AS6592" t="s">
        <v>65</v>
      </c>
      <c r="AT6592">
        <v>1</v>
      </c>
      <c r="AU6592" t="s">
        <v>1119</v>
      </c>
      <c r="AV6592" t="s">
        <v>1120</v>
      </c>
      <c r="AW6592" t="s">
        <v>60</v>
      </c>
      <c r="AX6592" t="s">
        <v>68</v>
      </c>
      <c r="AY6592" t="s">
        <v>69</v>
      </c>
      <c r="AZ6592" t="b">
        <v>1</v>
      </c>
    </row>
    <row r="6593" spans="1:52" x14ac:dyDescent="0.3">
      <c r="A6593" t="s">
        <v>52</v>
      </c>
      <c r="B6593" t="s">
        <v>53</v>
      </c>
      <c r="C6593" t="s">
        <v>54</v>
      </c>
      <c r="D6593" t="s">
        <v>55</v>
      </c>
      <c r="E6593" t="s">
        <v>2296</v>
      </c>
      <c r="F6593" t="s">
        <v>190</v>
      </c>
      <c r="G6593" t="s">
        <v>1193</v>
      </c>
      <c r="H6593" t="s">
        <v>2361</v>
      </c>
      <c r="I6593" t="s">
        <v>2361</v>
      </c>
      <c r="J6593" t="s">
        <v>60</v>
      </c>
      <c r="K6593" t="s">
        <v>2362</v>
      </c>
      <c r="L6593" t="s">
        <v>62</v>
      </c>
      <c r="M6593" t="s">
        <v>2362</v>
      </c>
      <c r="N6593" t="s">
        <v>2363</v>
      </c>
      <c r="O6593" t="s">
        <v>2364</v>
      </c>
      <c r="P6593">
        <v>-20.09619</v>
      </c>
      <c r="Q6593">
        <v>-44.880878000000003</v>
      </c>
      <c r="R6593" s="2" t="str">
        <f>HYPERLINK("https://www.google.com/maps?q=-20.0961900,-44.8808780","Abrir no Google Maps")</f>
        <v>Abrir no Google Maps</v>
      </c>
      <c r="S6593">
        <v>3</v>
      </c>
      <c r="T6593">
        <v>1143.7460970067409</v>
      </c>
      <c r="U6593">
        <v>4</v>
      </c>
      <c r="V6593">
        <v>0.36145833333333333</v>
      </c>
      <c r="W6593">
        <v>0.85</v>
      </c>
      <c r="X6593">
        <v>0.30723958333333329</v>
      </c>
      <c r="Y6593">
        <v>314</v>
      </c>
      <c r="Z6593">
        <v>1126.169759061062</v>
      </c>
      <c r="AA6593">
        <v>198</v>
      </c>
      <c r="AB6593">
        <v>332</v>
      </c>
      <c r="AC6593">
        <v>536</v>
      </c>
      <c r="AD6593">
        <v>28.93</v>
      </c>
      <c r="AE6593">
        <v>542</v>
      </c>
      <c r="AF6593">
        <v>29</v>
      </c>
      <c r="AG6593">
        <v>166</v>
      </c>
      <c r="AH6593">
        <v>129</v>
      </c>
      <c r="AI6593">
        <v>5.35</v>
      </c>
      <c r="AJ6593">
        <v>30.63</v>
      </c>
      <c r="AK6593">
        <v>23.8</v>
      </c>
      <c r="AL6593">
        <v>-20.096678149999949</v>
      </c>
      <c r="AM6593">
        <v>-44.880607223384018</v>
      </c>
      <c r="AN6593">
        <v>-20.096678149999949</v>
      </c>
      <c r="AO6593">
        <v>-44.880607223384018</v>
      </c>
      <c r="AP6593">
        <v>-20.09619</v>
      </c>
      <c r="AQ6593">
        <v>-44.880878000000003</v>
      </c>
      <c r="AR6593">
        <v>61.271918175982343</v>
      </c>
      <c r="AS6593" t="s">
        <v>65</v>
      </c>
      <c r="AT6593">
        <v>1</v>
      </c>
      <c r="AU6593" t="s">
        <v>2365</v>
      </c>
      <c r="AV6593" t="s">
        <v>2366</v>
      </c>
      <c r="AW6593" t="s">
        <v>60</v>
      </c>
      <c r="AX6593" t="s">
        <v>68</v>
      </c>
      <c r="AY6593" t="s">
        <v>69</v>
      </c>
      <c r="AZ6593" t="b">
        <v>1</v>
      </c>
    </row>
    <row r="6594" spans="1:52" x14ac:dyDescent="0.3">
      <c r="A6594" t="s">
        <v>52</v>
      </c>
      <c r="B6594" t="s">
        <v>53</v>
      </c>
      <c r="C6594" t="s">
        <v>54</v>
      </c>
      <c r="D6594" t="s">
        <v>55</v>
      </c>
      <c r="E6594" t="s">
        <v>2296</v>
      </c>
      <c r="F6594" t="s">
        <v>190</v>
      </c>
      <c r="G6594" t="s">
        <v>1780</v>
      </c>
      <c r="H6594" t="s">
        <v>1781</v>
      </c>
      <c r="I6594" t="s">
        <v>1781</v>
      </c>
      <c r="J6594" t="s">
        <v>60</v>
      </c>
      <c r="K6594" t="s">
        <v>791</v>
      </c>
      <c r="L6594" t="s">
        <v>62</v>
      </c>
      <c r="M6594" t="s">
        <v>791</v>
      </c>
      <c r="N6594" t="s">
        <v>1782</v>
      </c>
      <c r="O6594" t="s">
        <v>283</v>
      </c>
      <c r="P6594">
        <v>-20.111986999999999</v>
      </c>
      <c r="Q6594">
        <v>-44.915275999999999</v>
      </c>
      <c r="R6594" s="2" t="str">
        <f>HYPERLINK("https://www.google.com/maps?q=-20.1119870,-44.9152760","Abrir no Google Maps")</f>
        <v>Abrir no Google Maps</v>
      </c>
      <c r="S6594">
        <v>3</v>
      </c>
      <c r="T6594">
        <v>1467.0043378534899</v>
      </c>
      <c r="U6594">
        <v>4</v>
      </c>
      <c r="V6594">
        <v>0.30718921990906911</v>
      </c>
      <c r="W6594">
        <v>0.85</v>
      </c>
      <c r="X6594">
        <v>0.26111083692270881</v>
      </c>
      <c r="Y6594">
        <v>300</v>
      </c>
      <c r="Z6594">
        <v>1478.329767690894</v>
      </c>
      <c r="AA6594">
        <v>198</v>
      </c>
      <c r="AB6594">
        <v>332</v>
      </c>
      <c r="AC6594">
        <v>536</v>
      </c>
      <c r="AD6594">
        <v>28.93</v>
      </c>
      <c r="AE6594">
        <v>542</v>
      </c>
      <c r="AF6594">
        <v>29</v>
      </c>
      <c r="AG6594">
        <v>166</v>
      </c>
      <c r="AH6594">
        <v>129</v>
      </c>
      <c r="AI6594">
        <v>5.35</v>
      </c>
      <c r="AJ6594">
        <v>30.63</v>
      </c>
      <c r="AK6594">
        <v>23.8</v>
      </c>
      <c r="AL6594">
        <v>-20.11213934999995</v>
      </c>
      <c r="AM6594">
        <v>-44.915112261589371</v>
      </c>
      <c r="AN6594">
        <v>-20.11213934999995</v>
      </c>
      <c r="AO6594">
        <v>-44.915112261589371</v>
      </c>
      <c r="AP6594">
        <v>-20.111986999999999</v>
      </c>
      <c r="AQ6594">
        <v>-44.915275999999999</v>
      </c>
      <c r="AR6594">
        <v>24.095258739308729</v>
      </c>
      <c r="AS6594" t="s">
        <v>65</v>
      </c>
      <c r="AT6594">
        <v>1</v>
      </c>
      <c r="AU6594" t="s">
        <v>1783</v>
      </c>
      <c r="AV6594" t="s">
        <v>1784</v>
      </c>
      <c r="AW6594" t="s">
        <v>60</v>
      </c>
      <c r="AX6594" t="s">
        <v>68</v>
      </c>
      <c r="AY6594" t="s">
        <v>69</v>
      </c>
      <c r="AZ6594" t="b">
        <v>1</v>
      </c>
    </row>
    <row r="6595" spans="1:52" x14ac:dyDescent="0.3">
      <c r="A6595" t="s">
        <v>52</v>
      </c>
      <c r="B6595" t="s">
        <v>53</v>
      </c>
      <c r="C6595" t="s">
        <v>54</v>
      </c>
      <c r="D6595" t="s">
        <v>55</v>
      </c>
      <c r="E6595" t="s">
        <v>2296</v>
      </c>
      <c r="F6595" t="s">
        <v>190</v>
      </c>
      <c r="G6595" t="s">
        <v>1940</v>
      </c>
      <c r="H6595" t="s">
        <v>1941</v>
      </c>
      <c r="I6595" t="s">
        <v>1941</v>
      </c>
      <c r="J6595" t="s">
        <v>60</v>
      </c>
      <c r="K6595" t="s">
        <v>791</v>
      </c>
      <c r="L6595" t="s">
        <v>62</v>
      </c>
      <c r="M6595" t="s">
        <v>791</v>
      </c>
      <c r="N6595" t="s">
        <v>1942</v>
      </c>
      <c r="O6595" t="s">
        <v>1943</v>
      </c>
      <c r="P6595">
        <v>-20.10868</v>
      </c>
      <c r="Q6595">
        <v>-44.914802999999999</v>
      </c>
      <c r="R6595" s="2" t="str">
        <f>HYPERLINK("https://www.google.com/maps?q=-20.1086800,-44.9148030","Abrir no Google Maps")</f>
        <v>Abrir no Google Maps</v>
      </c>
      <c r="S6595">
        <v>3</v>
      </c>
      <c r="T6595">
        <v>1497.818218016964</v>
      </c>
      <c r="U6595">
        <v>4</v>
      </c>
      <c r="V6595">
        <v>0.31736606967021719</v>
      </c>
      <c r="W6595">
        <v>0.85</v>
      </c>
      <c r="X6595">
        <v>0.26976115921968458</v>
      </c>
      <c r="Y6595">
        <v>300</v>
      </c>
      <c r="Z6595">
        <v>1347.8282808622</v>
      </c>
      <c r="AA6595">
        <v>198</v>
      </c>
      <c r="AB6595">
        <v>332</v>
      </c>
      <c r="AC6595">
        <v>536</v>
      </c>
      <c r="AD6595">
        <v>28.93</v>
      </c>
      <c r="AE6595">
        <v>542</v>
      </c>
      <c r="AF6595">
        <v>29</v>
      </c>
      <c r="AG6595">
        <v>166</v>
      </c>
      <c r="AH6595">
        <v>129</v>
      </c>
      <c r="AI6595">
        <v>5.35</v>
      </c>
      <c r="AJ6595">
        <v>30.63</v>
      </c>
      <c r="AK6595">
        <v>23.8</v>
      </c>
      <c r="AL6595">
        <v>-20.108341949999978</v>
      </c>
      <c r="AM6595">
        <v>-44.915063905998323</v>
      </c>
      <c r="AN6595">
        <v>-20.108341949999978</v>
      </c>
      <c r="AO6595">
        <v>-44.915063905998323</v>
      </c>
      <c r="AP6595">
        <v>-20.10868</v>
      </c>
      <c r="AQ6595">
        <v>-44.914802999999999</v>
      </c>
      <c r="AR6595">
        <v>46.47578843967414</v>
      </c>
      <c r="AS6595" t="s">
        <v>65</v>
      </c>
      <c r="AT6595">
        <v>1</v>
      </c>
      <c r="AU6595" t="s">
        <v>1944</v>
      </c>
      <c r="AV6595" t="s">
        <v>1945</v>
      </c>
      <c r="AW6595" t="s">
        <v>60</v>
      </c>
      <c r="AX6595" t="s">
        <v>68</v>
      </c>
      <c r="AY6595" t="s">
        <v>69</v>
      </c>
      <c r="AZ6595" t="b">
        <v>1</v>
      </c>
    </row>
    <row r="6596" spans="1:52" x14ac:dyDescent="0.3">
      <c r="A6596" t="s">
        <v>52</v>
      </c>
      <c r="B6596" t="s">
        <v>53</v>
      </c>
      <c r="C6596" t="s">
        <v>54</v>
      </c>
      <c r="D6596" t="s">
        <v>55</v>
      </c>
      <c r="E6596" t="s">
        <v>2296</v>
      </c>
      <c r="F6596" t="s">
        <v>190</v>
      </c>
      <c r="G6596" t="s">
        <v>1946</v>
      </c>
      <c r="H6596" t="s">
        <v>1947</v>
      </c>
      <c r="I6596" t="s">
        <v>1947</v>
      </c>
      <c r="J6596" t="s">
        <v>60</v>
      </c>
      <c r="K6596" t="s">
        <v>1710</v>
      </c>
      <c r="L6596" t="s">
        <v>62</v>
      </c>
      <c r="M6596" t="s">
        <v>1710</v>
      </c>
      <c r="N6596" t="s">
        <v>1948</v>
      </c>
      <c r="O6596" t="s">
        <v>98</v>
      </c>
      <c r="P6596">
        <v>-20.148572000000001</v>
      </c>
      <c r="Q6596">
        <v>-44.844358</v>
      </c>
      <c r="R6596" s="2" t="str">
        <f>HYPERLINK("https://www.google.com/maps?q=-20.1485720,-44.8443580","Abrir no Google Maps")</f>
        <v>Abrir no Google Maps</v>
      </c>
      <c r="S6596">
        <v>3</v>
      </c>
      <c r="T6596">
        <v>1659.680029693056</v>
      </c>
      <c r="U6596">
        <v>4</v>
      </c>
      <c r="V6596">
        <v>0.33899176954732507</v>
      </c>
      <c r="W6596">
        <v>0.85</v>
      </c>
      <c r="X6596">
        <v>0.28814300411522631</v>
      </c>
      <c r="Y6596">
        <v>292</v>
      </c>
      <c r="Z6596">
        <v>2031.793037782372</v>
      </c>
      <c r="AA6596">
        <v>198</v>
      </c>
      <c r="AB6596">
        <v>332</v>
      </c>
      <c r="AC6596">
        <v>536</v>
      </c>
      <c r="AD6596">
        <v>28.93</v>
      </c>
      <c r="AE6596">
        <v>542</v>
      </c>
      <c r="AF6596">
        <v>29</v>
      </c>
      <c r="AG6596">
        <v>166</v>
      </c>
      <c r="AH6596">
        <v>129</v>
      </c>
      <c r="AI6596">
        <v>5.35</v>
      </c>
      <c r="AJ6596">
        <v>30.63</v>
      </c>
      <c r="AK6596">
        <v>23.8</v>
      </c>
      <c r="AL6596">
        <v>-20.14798144999995</v>
      </c>
      <c r="AM6596">
        <v>-44.844440972238857</v>
      </c>
      <c r="AN6596">
        <v>-20.147981449999939</v>
      </c>
      <c r="AO6596">
        <v>-44.844440972238857</v>
      </c>
      <c r="AP6596">
        <v>-20.148572000000001</v>
      </c>
      <c r="AQ6596">
        <v>-44.844358</v>
      </c>
      <c r="AR6596">
        <v>66.309438774786855</v>
      </c>
      <c r="AS6596" t="s">
        <v>65</v>
      </c>
      <c r="AT6596">
        <v>1</v>
      </c>
      <c r="AU6596" t="s">
        <v>1949</v>
      </c>
      <c r="AV6596" t="s">
        <v>1950</v>
      </c>
      <c r="AW6596" t="s">
        <v>60</v>
      </c>
      <c r="AX6596" t="s">
        <v>68</v>
      </c>
      <c r="AY6596" t="s">
        <v>69</v>
      </c>
      <c r="AZ6596" t="b">
        <v>1</v>
      </c>
    </row>
    <row r="6597" spans="1:52" x14ac:dyDescent="0.3">
      <c r="A6597" t="s">
        <v>52</v>
      </c>
      <c r="B6597" t="s">
        <v>53</v>
      </c>
      <c r="C6597" t="s">
        <v>54</v>
      </c>
      <c r="D6597" t="s">
        <v>55</v>
      </c>
      <c r="E6597" t="s">
        <v>2296</v>
      </c>
      <c r="F6597" t="s">
        <v>190</v>
      </c>
      <c r="G6597" t="s">
        <v>2367</v>
      </c>
      <c r="H6597" t="s">
        <v>2368</v>
      </c>
      <c r="I6597" t="s">
        <v>2368</v>
      </c>
      <c r="J6597" t="s">
        <v>60</v>
      </c>
      <c r="K6597" t="s">
        <v>2369</v>
      </c>
      <c r="L6597" t="s">
        <v>62</v>
      </c>
      <c r="M6597" t="s">
        <v>2369</v>
      </c>
      <c r="N6597" t="s">
        <v>2370</v>
      </c>
      <c r="O6597" t="s">
        <v>1080</v>
      </c>
      <c r="P6597">
        <v>-20.140087999999999</v>
      </c>
      <c r="Q6597">
        <v>-44.860889999999998</v>
      </c>
      <c r="R6597" s="2" t="str">
        <f>HYPERLINK("https://www.google.com/maps?q=-20.1400880,-44.8608900","Abrir no Google Maps")</f>
        <v>Abrir no Google Maps</v>
      </c>
      <c r="S6597">
        <v>3</v>
      </c>
      <c r="T6597">
        <v>0</v>
      </c>
      <c r="U6597">
        <v>4</v>
      </c>
      <c r="V6597">
        <v>0.43373842592592587</v>
      </c>
      <c r="W6597">
        <v>0.85</v>
      </c>
      <c r="X6597">
        <v>0.368677662037037</v>
      </c>
      <c r="Y6597">
        <v>264</v>
      </c>
      <c r="Z6597">
        <v>926.43870115394873</v>
      </c>
      <c r="AA6597">
        <v>198</v>
      </c>
      <c r="AB6597">
        <v>332</v>
      </c>
      <c r="AC6597">
        <v>536</v>
      </c>
      <c r="AD6597">
        <v>28.93</v>
      </c>
      <c r="AE6597">
        <v>542</v>
      </c>
      <c r="AF6597">
        <v>29</v>
      </c>
      <c r="AG6597">
        <v>166</v>
      </c>
      <c r="AH6597">
        <v>129</v>
      </c>
      <c r="AI6597">
        <v>5.35</v>
      </c>
      <c r="AJ6597">
        <v>30.63</v>
      </c>
      <c r="AK6597">
        <v>23.8</v>
      </c>
      <c r="AL6597">
        <v>-20.143952049999939</v>
      </c>
      <c r="AM6597">
        <v>-44.859737855267213</v>
      </c>
      <c r="AN6597">
        <v>-20.143952049999939</v>
      </c>
      <c r="AO6597">
        <v>-44.859737855267213</v>
      </c>
      <c r="AP6597">
        <v>-20.140087999999999</v>
      </c>
      <c r="AQ6597">
        <v>-44.860889999999998</v>
      </c>
      <c r="AR6597">
        <v>446.6816647017784</v>
      </c>
      <c r="AS6597" t="s">
        <v>65</v>
      </c>
      <c r="AT6597">
        <v>1</v>
      </c>
      <c r="AU6597" t="s">
        <v>2371</v>
      </c>
      <c r="AV6597" t="s">
        <v>2372</v>
      </c>
      <c r="AW6597" t="s">
        <v>60</v>
      </c>
      <c r="AX6597" t="s">
        <v>68</v>
      </c>
      <c r="AY6597" t="s">
        <v>69</v>
      </c>
      <c r="AZ6597" t="b">
        <v>1</v>
      </c>
    </row>
    <row r="6598" spans="1:52" x14ac:dyDescent="0.3">
      <c r="A6598" t="s">
        <v>52</v>
      </c>
      <c r="B6598" t="s">
        <v>53</v>
      </c>
      <c r="C6598" t="s">
        <v>54</v>
      </c>
      <c r="D6598" t="s">
        <v>55</v>
      </c>
      <c r="E6598" t="s">
        <v>2296</v>
      </c>
      <c r="F6598" t="s">
        <v>190</v>
      </c>
      <c r="G6598" t="s">
        <v>1193</v>
      </c>
      <c r="H6598" t="s">
        <v>1194</v>
      </c>
      <c r="I6598" t="s">
        <v>1194</v>
      </c>
      <c r="J6598" t="s">
        <v>60</v>
      </c>
      <c r="K6598" t="s">
        <v>1195</v>
      </c>
      <c r="L6598" t="s">
        <v>62</v>
      </c>
      <c r="M6598" t="s">
        <v>1195</v>
      </c>
      <c r="N6598" t="s">
        <v>1196</v>
      </c>
      <c r="O6598" t="s">
        <v>1197</v>
      </c>
      <c r="P6598">
        <v>-20.105342</v>
      </c>
      <c r="Q6598">
        <v>-44.964716000000003</v>
      </c>
      <c r="R6598" s="2" t="str">
        <f>HYPERLINK("https://www.google.com/maps?q=-20.1053420,-44.9647160","Abrir no Google Maps")</f>
        <v>Abrir no Google Maps</v>
      </c>
      <c r="S6598">
        <v>3</v>
      </c>
      <c r="T6598">
        <v>893.28710125086457</v>
      </c>
      <c r="U6598">
        <v>4</v>
      </c>
      <c r="V6598">
        <v>0.20792188401370931</v>
      </c>
      <c r="W6598">
        <v>1</v>
      </c>
      <c r="X6598">
        <v>0.20792188401370931</v>
      </c>
      <c r="Y6598">
        <v>187</v>
      </c>
      <c r="Z6598">
        <v>592.18957175243293</v>
      </c>
      <c r="AA6598">
        <v>198</v>
      </c>
      <c r="AB6598">
        <v>332</v>
      </c>
      <c r="AC6598">
        <v>536</v>
      </c>
      <c r="AD6598">
        <v>28.93</v>
      </c>
      <c r="AE6598">
        <v>542</v>
      </c>
      <c r="AF6598">
        <v>29</v>
      </c>
      <c r="AG6598">
        <v>166</v>
      </c>
      <c r="AH6598">
        <v>129</v>
      </c>
      <c r="AI6598">
        <v>5.35</v>
      </c>
      <c r="AJ6598">
        <v>30.63</v>
      </c>
      <c r="AK6598">
        <v>23.8</v>
      </c>
      <c r="AL6598">
        <v>-20.105505699999949</v>
      </c>
      <c r="AM6598">
        <v>-44.964494228377532</v>
      </c>
      <c r="AN6598">
        <v>-20.105505699999949</v>
      </c>
      <c r="AO6598">
        <v>-44.964494228377532</v>
      </c>
      <c r="AP6598">
        <v>-20.105342</v>
      </c>
      <c r="AQ6598">
        <v>-44.964716000000003</v>
      </c>
      <c r="AR6598">
        <v>29.48797728637869</v>
      </c>
      <c r="AS6598" t="s">
        <v>65</v>
      </c>
      <c r="AT6598">
        <v>1</v>
      </c>
      <c r="AU6598" t="s">
        <v>1198</v>
      </c>
      <c r="AV6598" t="s">
        <v>1199</v>
      </c>
      <c r="AW6598" t="s">
        <v>60</v>
      </c>
      <c r="AX6598" t="s">
        <v>68</v>
      </c>
      <c r="AY6598" t="s">
        <v>69</v>
      </c>
      <c r="AZ6598" t="b">
        <v>1</v>
      </c>
    </row>
    <row r="6599" spans="1:52" x14ac:dyDescent="0.3">
      <c r="A6599" t="s">
        <v>52</v>
      </c>
      <c r="B6599" t="s">
        <v>53</v>
      </c>
      <c r="C6599" t="s">
        <v>54</v>
      </c>
      <c r="D6599" t="s">
        <v>55</v>
      </c>
      <c r="E6599" t="s">
        <v>2296</v>
      </c>
      <c r="F6599" t="s">
        <v>190</v>
      </c>
      <c r="G6599" t="s">
        <v>1960</v>
      </c>
      <c r="H6599" t="s">
        <v>1961</v>
      </c>
      <c r="I6599" t="s">
        <v>1961</v>
      </c>
      <c r="J6599" t="s">
        <v>60</v>
      </c>
      <c r="K6599" t="s">
        <v>1962</v>
      </c>
      <c r="L6599" t="s">
        <v>62</v>
      </c>
      <c r="M6599" t="s">
        <v>1962</v>
      </c>
      <c r="N6599" t="s">
        <v>1963</v>
      </c>
      <c r="O6599" t="s">
        <v>836</v>
      </c>
      <c r="P6599">
        <v>-20.102920999999998</v>
      </c>
      <c r="Q6599">
        <v>-44.865403999999998</v>
      </c>
      <c r="R6599" s="2" t="str">
        <f>HYPERLINK("https://www.google.com/maps?q=-20.1029210,-44.8654040","Abrir no Google Maps")</f>
        <v>Abrir no Google Maps</v>
      </c>
      <c r="S6599">
        <v>3</v>
      </c>
      <c r="T6599">
        <v>1191.6677440546839</v>
      </c>
      <c r="U6599">
        <v>4</v>
      </c>
      <c r="V6599">
        <v>0.40981503319357088</v>
      </c>
      <c r="W6599">
        <v>0.85</v>
      </c>
      <c r="X6599">
        <v>0.34834277821453519</v>
      </c>
      <c r="Y6599">
        <v>154</v>
      </c>
      <c r="Z6599">
        <v>991.44725347027099</v>
      </c>
      <c r="AA6599">
        <v>198</v>
      </c>
      <c r="AB6599">
        <v>332</v>
      </c>
      <c r="AC6599">
        <v>536</v>
      </c>
      <c r="AD6599">
        <v>28.93</v>
      </c>
      <c r="AE6599">
        <v>542</v>
      </c>
      <c r="AF6599">
        <v>29</v>
      </c>
      <c r="AG6599">
        <v>166</v>
      </c>
      <c r="AH6599">
        <v>129</v>
      </c>
      <c r="AI6599">
        <v>5.35</v>
      </c>
      <c r="AJ6599">
        <v>30.63</v>
      </c>
      <c r="AK6599">
        <v>23.8</v>
      </c>
      <c r="AL6599">
        <v>-20.102962049999949</v>
      </c>
      <c r="AM6599">
        <v>-44.86545245652048</v>
      </c>
      <c r="AN6599">
        <v>-20.102962049999949</v>
      </c>
      <c r="AO6599">
        <v>-44.86545245652048</v>
      </c>
      <c r="AP6599">
        <v>-20.102920999999998</v>
      </c>
      <c r="AQ6599">
        <v>-44.865403999999998</v>
      </c>
      <c r="AR6599">
        <v>6.8221551690023201</v>
      </c>
      <c r="AS6599" t="s">
        <v>65</v>
      </c>
      <c r="AT6599">
        <v>1</v>
      </c>
      <c r="AU6599" t="s">
        <v>1964</v>
      </c>
      <c r="AV6599" t="s">
        <v>1965</v>
      </c>
      <c r="AW6599" t="s">
        <v>60</v>
      </c>
      <c r="AX6599" t="s">
        <v>68</v>
      </c>
      <c r="AY6599" t="s">
        <v>69</v>
      </c>
      <c r="AZ6599" t="b">
        <v>1</v>
      </c>
    </row>
    <row r="6600" spans="1:52" x14ac:dyDescent="0.3">
      <c r="A6600" t="s">
        <v>52</v>
      </c>
      <c r="B6600" t="s">
        <v>53</v>
      </c>
      <c r="C6600" t="s">
        <v>54</v>
      </c>
      <c r="D6600" t="s">
        <v>55</v>
      </c>
      <c r="E6600" t="s">
        <v>2296</v>
      </c>
      <c r="F6600" t="s">
        <v>190</v>
      </c>
      <c r="G6600" t="s">
        <v>2119</v>
      </c>
      <c r="H6600" t="s">
        <v>2120</v>
      </c>
      <c r="I6600" t="s">
        <v>2120</v>
      </c>
      <c r="J6600" t="s">
        <v>60</v>
      </c>
      <c r="K6600" t="s">
        <v>424</v>
      </c>
      <c r="L6600" t="s">
        <v>62</v>
      </c>
      <c r="M6600" t="s">
        <v>424</v>
      </c>
      <c r="N6600" t="s">
        <v>2121</v>
      </c>
      <c r="O6600" t="s">
        <v>138</v>
      </c>
      <c r="P6600">
        <v>-20.180432</v>
      </c>
      <c r="Q6600">
        <v>-44.919674999999998</v>
      </c>
      <c r="R6600" s="2" t="str">
        <f>HYPERLINK("https://www.google.com/maps?q=-20.1804320,-44.9196750","Abrir no Google Maps")</f>
        <v>Abrir no Google Maps</v>
      </c>
      <c r="S6600">
        <v>3</v>
      </c>
      <c r="T6600">
        <v>1130.785681295049</v>
      </c>
      <c r="U6600">
        <v>4</v>
      </c>
      <c r="V6600">
        <v>0.35841049382716061</v>
      </c>
      <c r="W6600">
        <v>0.85</v>
      </c>
      <c r="X6600">
        <v>0.3046489197530865</v>
      </c>
      <c r="Y6600">
        <v>135</v>
      </c>
      <c r="Z6600">
        <v>1282.28677301785</v>
      </c>
      <c r="AA6600">
        <v>198</v>
      </c>
      <c r="AB6600">
        <v>332</v>
      </c>
      <c r="AC6600">
        <v>536</v>
      </c>
      <c r="AD6600">
        <v>28.93</v>
      </c>
      <c r="AE6600">
        <v>542</v>
      </c>
      <c r="AF6600">
        <v>29</v>
      </c>
      <c r="AG6600">
        <v>166</v>
      </c>
      <c r="AH6600">
        <v>129</v>
      </c>
      <c r="AI6600">
        <v>5.35</v>
      </c>
      <c r="AJ6600">
        <v>30.63</v>
      </c>
      <c r="AK6600">
        <v>23.8</v>
      </c>
      <c r="AL6600">
        <v>-20.18032049999994</v>
      </c>
      <c r="AM6600">
        <v>-44.919725277861453</v>
      </c>
      <c r="AN6600">
        <v>-20.18032049999994</v>
      </c>
      <c r="AO6600">
        <v>-44.919725277861453</v>
      </c>
      <c r="AP6600">
        <v>-20.180432</v>
      </c>
      <c r="AQ6600">
        <v>-44.919674999999998</v>
      </c>
      <c r="AR6600">
        <v>13.478124605492161</v>
      </c>
      <c r="AS6600" t="s">
        <v>65</v>
      </c>
      <c r="AT6600">
        <v>1</v>
      </c>
      <c r="AU6600" t="s">
        <v>2122</v>
      </c>
      <c r="AV6600" t="s">
        <v>2123</v>
      </c>
      <c r="AW6600" t="s">
        <v>60</v>
      </c>
      <c r="AX6600" t="s">
        <v>68</v>
      </c>
      <c r="AY6600" t="s">
        <v>69</v>
      </c>
      <c r="AZ6600" t="b">
        <v>1</v>
      </c>
    </row>
    <row r="6601" spans="1:52" x14ac:dyDescent="0.3">
      <c r="A6601" t="s">
        <v>52</v>
      </c>
      <c r="B6601" t="s">
        <v>53</v>
      </c>
      <c r="C6601" t="s">
        <v>54</v>
      </c>
      <c r="D6601" t="s">
        <v>55</v>
      </c>
      <c r="E6601" t="s">
        <v>2296</v>
      </c>
      <c r="F6601" t="s">
        <v>190</v>
      </c>
      <c r="G6601" t="s">
        <v>1127</v>
      </c>
      <c r="H6601" t="s">
        <v>2373</v>
      </c>
      <c r="I6601" t="s">
        <v>2373</v>
      </c>
      <c r="J6601" t="s">
        <v>60</v>
      </c>
      <c r="K6601" t="s">
        <v>2374</v>
      </c>
      <c r="L6601" t="s">
        <v>62</v>
      </c>
      <c r="M6601" t="s">
        <v>2374</v>
      </c>
      <c r="N6601" t="s">
        <v>2375</v>
      </c>
      <c r="O6601" t="s">
        <v>315</v>
      </c>
      <c r="P6601">
        <v>-20.185925999999998</v>
      </c>
      <c r="Q6601">
        <v>-44.915973999999999</v>
      </c>
      <c r="R6601" s="2" t="str">
        <f>HYPERLINK("https://www.google.com/maps?q=-20.1859260,-44.9159740","Abrir no Google Maps")</f>
        <v>Abrir no Google Maps</v>
      </c>
      <c r="S6601">
        <v>3</v>
      </c>
      <c r="T6601">
        <v>742.10767036030938</v>
      </c>
      <c r="U6601">
        <v>4</v>
      </c>
      <c r="V6601">
        <v>0.88749999999999996</v>
      </c>
      <c r="W6601">
        <v>0.85</v>
      </c>
      <c r="X6601">
        <v>0.75437499999999991</v>
      </c>
      <c r="Y6601">
        <v>135</v>
      </c>
      <c r="Z6601">
        <v>1065.3856337676921</v>
      </c>
      <c r="AA6601">
        <v>198</v>
      </c>
      <c r="AB6601">
        <v>332</v>
      </c>
      <c r="AC6601">
        <v>536</v>
      </c>
      <c r="AD6601">
        <v>28.93</v>
      </c>
      <c r="AE6601">
        <v>542</v>
      </c>
      <c r="AF6601">
        <v>29</v>
      </c>
      <c r="AG6601">
        <v>166</v>
      </c>
      <c r="AH6601">
        <v>129</v>
      </c>
      <c r="AI6601">
        <v>5.35</v>
      </c>
      <c r="AJ6601">
        <v>30.63</v>
      </c>
      <c r="AK6601">
        <v>23.8</v>
      </c>
      <c r="AL6601">
        <v>-20.18558089999993</v>
      </c>
      <c r="AM6601">
        <v>-44.917635525295921</v>
      </c>
      <c r="AN6601">
        <v>-20.185580899999941</v>
      </c>
      <c r="AO6601">
        <v>-44.917635525295921</v>
      </c>
      <c r="AP6601">
        <v>-20.185925999999998</v>
      </c>
      <c r="AQ6601">
        <v>-44.915973999999999</v>
      </c>
      <c r="AR6601">
        <v>177.8005147599726</v>
      </c>
      <c r="AS6601" t="s">
        <v>65</v>
      </c>
      <c r="AT6601">
        <v>1</v>
      </c>
      <c r="AU6601" t="s">
        <v>2376</v>
      </c>
      <c r="AV6601" t="s">
        <v>2377</v>
      </c>
      <c r="AW6601" t="s">
        <v>60</v>
      </c>
      <c r="AX6601" t="s">
        <v>68</v>
      </c>
      <c r="AY6601" t="s">
        <v>69</v>
      </c>
      <c r="AZ6601" t="b">
        <v>1</v>
      </c>
    </row>
    <row r="6602" spans="1:52" x14ac:dyDescent="0.3">
      <c r="A6602" t="s">
        <v>52</v>
      </c>
      <c r="B6602" t="s">
        <v>53</v>
      </c>
      <c r="C6602" t="s">
        <v>54</v>
      </c>
      <c r="D6602" t="s">
        <v>55</v>
      </c>
      <c r="E6602" t="s">
        <v>2296</v>
      </c>
      <c r="F6602" t="s">
        <v>190</v>
      </c>
      <c r="G6602" t="s">
        <v>1966</v>
      </c>
      <c r="H6602" t="s">
        <v>1967</v>
      </c>
      <c r="I6602" t="s">
        <v>1967</v>
      </c>
      <c r="J6602" t="s">
        <v>60</v>
      </c>
      <c r="K6602" t="s">
        <v>1968</v>
      </c>
      <c r="L6602" t="s">
        <v>62</v>
      </c>
      <c r="M6602" t="s">
        <v>1968</v>
      </c>
      <c r="N6602" t="s">
        <v>1969</v>
      </c>
      <c r="O6602" t="s">
        <v>1476</v>
      </c>
      <c r="P6602">
        <v>-20.197641999999998</v>
      </c>
      <c r="Q6602">
        <v>-44.916038</v>
      </c>
      <c r="R6602" s="2" t="str">
        <f>HYPERLINK("https://www.google.com/maps?q=-20.1976420,-44.9160380","Abrir no Google Maps")</f>
        <v>Abrir no Google Maps</v>
      </c>
      <c r="S6602">
        <v>3</v>
      </c>
      <c r="T6602">
        <v>1439.13475701932</v>
      </c>
      <c r="U6602">
        <v>4</v>
      </c>
      <c r="V6602">
        <v>0.35356245333702779</v>
      </c>
      <c r="W6602">
        <v>0.85</v>
      </c>
      <c r="X6602">
        <v>0.30052808533647363</v>
      </c>
      <c r="Y6602">
        <v>135</v>
      </c>
      <c r="Z6602">
        <v>1733.8683911476401</v>
      </c>
      <c r="AA6602">
        <v>198</v>
      </c>
      <c r="AB6602">
        <v>332</v>
      </c>
      <c r="AC6602">
        <v>536</v>
      </c>
      <c r="AD6602">
        <v>28.93</v>
      </c>
      <c r="AE6602">
        <v>542</v>
      </c>
      <c r="AF6602">
        <v>29</v>
      </c>
      <c r="AG6602">
        <v>166</v>
      </c>
      <c r="AH6602">
        <v>129</v>
      </c>
      <c r="AI6602">
        <v>5.35</v>
      </c>
      <c r="AJ6602">
        <v>30.63</v>
      </c>
      <c r="AK6602">
        <v>23.8</v>
      </c>
      <c r="AL6602">
        <v>-20.19762214999994</v>
      </c>
      <c r="AM6602">
        <v>-44.916074568962941</v>
      </c>
      <c r="AN6602">
        <v>-20.19762214999994</v>
      </c>
      <c r="AO6602">
        <v>-44.916074568962941</v>
      </c>
      <c r="AP6602">
        <v>-20.197641999999998</v>
      </c>
      <c r="AQ6602">
        <v>-44.916038</v>
      </c>
      <c r="AR6602">
        <v>4.4135276350484256</v>
      </c>
      <c r="AS6602" t="s">
        <v>65</v>
      </c>
      <c r="AT6602">
        <v>1</v>
      </c>
      <c r="AU6602" t="s">
        <v>1970</v>
      </c>
      <c r="AV6602" t="s">
        <v>1971</v>
      </c>
      <c r="AW6602" t="s">
        <v>60</v>
      </c>
      <c r="AX6602" t="s">
        <v>68</v>
      </c>
      <c r="AY6602" t="s">
        <v>69</v>
      </c>
      <c r="AZ6602" t="b">
        <v>1</v>
      </c>
    </row>
    <row r="6603" spans="1:52" x14ac:dyDescent="0.3">
      <c r="A6603" t="s">
        <v>52</v>
      </c>
      <c r="B6603" t="s">
        <v>53</v>
      </c>
      <c r="C6603" t="s">
        <v>54</v>
      </c>
      <c r="D6603" t="s">
        <v>55</v>
      </c>
      <c r="E6603" t="s">
        <v>2296</v>
      </c>
      <c r="F6603" t="s">
        <v>190</v>
      </c>
      <c r="G6603" t="s">
        <v>1972</v>
      </c>
      <c r="H6603" t="s">
        <v>1973</v>
      </c>
      <c r="I6603" t="s">
        <v>1973</v>
      </c>
      <c r="J6603" t="s">
        <v>60</v>
      </c>
      <c r="K6603" t="s">
        <v>1974</v>
      </c>
      <c r="L6603" t="s">
        <v>62</v>
      </c>
      <c r="M6603" t="s">
        <v>1974</v>
      </c>
      <c r="N6603" t="s">
        <v>1975</v>
      </c>
      <c r="O6603" t="s">
        <v>112</v>
      </c>
      <c r="P6603">
        <v>-20.190601000000001</v>
      </c>
      <c r="Q6603">
        <v>-44.915455000000001</v>
      </c>
      <c r="R6603" s="2" t="str">
        <f>HYPERLINK("https://www.google.com/maps?q=-20.1906010,-44.9154550","Abrir no Google Maps")</f>
        <v>Abrir no Google Maps</v>
      </c>
      <c r="S6603">
        <v>3</v>
      </c>
      <c r="T6603">
        <v>789.59047047105469</v>
      </c>
      <c r="U6603">
        <v>4</v>
      </c>
      <c r="V6603">
        <v>0.36018496228534741</v>
      </c>
      <c r="W6603">
        <v>0.85</v>
      </c>
      <c r="X6603">
        <v>0.3061572179425453</v>
      </c>
      <c r="Y6603">
        <v>135</v>
      </c>
      <c r="Z6603">
        <v>1165.508260311045</v>
      </c>
      <c r="AA6603">
        <v>198</v>
      </c>
      <c r="AB6603">
        <v>332</v>
      </c>
      <c r="AC6603">
        <v>536</v>
      </c>
      <c r="AD6603">
        <v>28.93</v>
      </c>
      <c r="AE6603">
        <v>542</v>
      </c>
      <c r="AF6603">
        <v>29</v>
      </c>
      <c r="AG6603">
        <v>166</v>
      </c>
      <c r="AH6603">
        <v>129</v>
      </c>
      <c r="AI6603">
        <v>5.35</v>
      </c>
      <c r="AJ6603">
        <v>30.63</v>
      </c>
      <c r="AK6603">
        <v>23.8</v>
      </c>
      <c r="AL6603">
        <v>-20.19048524999997</v>
      </c>
      <c r="AM6603">
        <v>-44.916155008672732</v>
      </c>
      <c r="AN6603">
        <v>-20.19048524999997</v>
      </c>
      <c r="AO6603">
        <v>-44.916155008672732</v>
      </c>
      <c r="AP6603">
        <v>-20.190601000000001</v>
      </c>
      <c r="AQ6603">
        <v>-44.915455000000001</v>
      </c>
      <c r="AR6603">
        <v>74.262903738444592</v>
      </c>
      <c r="AS6603" t="s">
        <v>65</v>
      </c>
      <c r="AT6603">
        <v>1</v>
      </c>
      <c r="AU6603" t="s">
        <v>1976</v>
      </c>
      <c r="AV6603" t="s">
        <v>1977</v>
      </c>
      <c r="AW6603" t="s">
        <v>60</v>
      </c>
      <c r="AX6603" t="s">
        <v>68</v>
      </c>
      <c r="AY6603" t="s">
        <v>69</v>
      </c>
      <c r="AZ6603" t="b">
        <v>1</v>
      </c>
    </row>
    <row r="6604" spans="1:52" x14ac:dyDescent="0.3">
      <c r="A6604" t="s">
        <v>52</v>
      </c>
      <c r="B6604" t="s">
        <v>53</v>
      </c>
      <c r="C6604" t="s">
        <v>54</v>
      </c>
      <c r="D6604" t="s">
        <v>55</v>
      </c>
      <c r="E6604" t="s">
        <v>2296</v>
      </c>
      <c r="F6604" t="s">
        <v>190</v>
      </c>
      <c r="G6604" t="s">
        <v>1200</v>
      </c>
      <c r="H6604" t="s">
        <v>1201</v>
      </c>
      <c r="I6604" t="s">
        <v>1201</v>
      </c>
      <c r="J6604" t="s">
        <v>60</v>
      </c>
      <c r="K6604" t="s">
        <v>1202</v>
      </c>
      <c r="L6604" t="s">
        <v>62</v>
      </c>
      <c r="M6604" t="s">
        <v>1202</v>
      </c>
      <c r="N6604" t="s">
        <v>1203</v>
      </c>
      <c r="O6604" t="s">
        <v>710</v>
      </c>
      <c r="P6604">
        <v>-20.191745999999998</v>
      </c>
      <c r="Q6604">
        <v>-44.904957000000003</v>
      </c>
      <c r="R6604" s="2" t="str">
        <f>HYPERLINK("https://www.google.com/maps?q=-20.1917460,-44.9049570","Abrir no Google Maps")</f>
        <v>Abrir no Google Maps</v>
      </c>
      <c r="S6604">
        <v>3</v>
      </c>
      <c r="T6604">
        <v>882.9384716293963</v>
      </c>
      <c r="U6604">
        <v>4</v>
      </c>
      <c r="V6604">
        <v>0.25765997743391361</v>
      </c>
      <c r="W6604">
        <v>1</v>
      </c>
      <c r="X6604">
        <v>0.25765997743391361</v>
      </c>
      <c r="Y6604">
        <v>135</v>
      </c>
      <c r="Z6604">
        <v>802.45927673397398</v>
      </c>
      <c r="AA6604">
        <v>198</v>
      </c>
      <c r="AB6604">
        <v>332</v>
      </c>
      <c r="AC6604">
        <v>536</v>
      </c>
      <c r="AD6604">
        <v>28.93</v>
      </c>
      <c r="AE6604">
        <v>542</v>
      </c>
      <c r="AF6604">
        <v>29</v>
      </c>
      <c r="AG6604">
        <v>166</v>
      </c>
      <c r="AH6604">
        <v>129</v>
      </c>
      <c r="AI6604">
        <v>5.35</v>
      </c>
      <c r="AJ6604">
        <v>30.63</v>
      </c>
      <c r="AK6604">
        <v>23.8</v>
      </c>
      <c r="AL6604">
        <v>-20.19172654999997</v>
      </c>
      <c r="AM6604">
        <v>-44.904976932073851</v>
      </c>
      <c r="AN6604">
        <v>-20.19172654999997</v>
      </c>
      <c r="AO6604">
        <v>-44.904976932073851</v>
      </c>
      <c r="AP6604">
        <v>-20.191745999999998</v>
      </c>
      <c r="AQ6604">
        <v>-44.904957000000003</v>
      </c>
      <c r="AR6604">
        <v>3.004110632807953</v>
      </c>
      <c r="AS6604" t="s">
        <v>65</v>
      </c>
      <c r="AT6604">
        <v>1</v>
      </c>
      <c r="AU6604" t="s">
        <v>1204</v>
      </c>
      <c r="AV6604" t="s">
        <v>1205</v>
      </c>
      <c r="AW6604" t="s">
        <v>60</v>
      </c>
      <c r="AX6604" t="s">
        <v>68</v>
      </c>
      <c r="AY6604" t="s">
        <v>69</v>
      </c>
      <c r="AZ6604" t="b">
        <v>1</v>
      </c>
    </row>
    <row r="6605" spans="1:52" x14ac:dyDescent="0.3">
      <c r="A6605" t="s">
        <v>52</v>
      </c>
      <c r="B6605" t="s">
        <v>53</v>
      </c>
      <c r="C6605" t="s">
        <v>54</v>
      </c>
      <c r="D6605" t="s">
        <v>55</v>
      </c>
      <c r="E6605" t="s">
        <v>2296</v>
      </c>
      <c r="F6605" t="s">
        <v>190</v>
      </c>
      <c r="G6605" t="s">
        <v>1984</v>
      </c>
      <c r="H6605" t="s">
        <v>1985</v>
      </c>
      <c r="I6605" t="s">
        <v>1985</v>
      </c>
      <c r="J6605" t="s">
        <v>60</v>
      </c>
      <c r="K6605" t="s">
        <v>1986</v>
      </c>
      <c r="L6605" t="s">
        <v>62</v>
      </c>
      <c r="M6605" t="s">
        <v>1986</v>
      </c>
      <c r="N6605" t="s">
        <v>1987</v>
      </c>
      <c r="O6605" t="s">
        <v>1688</v>
      </c>
      <c r="P6605">
        <v>-20.181958999999999</v>
      </c>
      <c r="Q6605">
        <v>-44.922638999999997</v>
      </c>
      <c r="R6605" s="2" t="str">
        <f>HYPERLINK("https://www.google.com/maps?q=-20.1819590,-44.9226390","Abrir no Google Maps")</f>
        <v>Abrir no Google Maps</v>
      </c>
      <c r="S6605">
        <v>3</v>
      </c>
      <c r="T6605">
        <v>1352.8884133235149</v>
      </c>
      <c r="U6605">
        <v>4</v>
      </c>
      <c r="V6605">
        <v>0.34082670203359861</v>
      </c>
      <c r="W6605">
        <v>0.85</v>
      </c>
      <c r="X6605">
        <v>0.28970269672855881</v>
      </c>
      <c r="Y6605">
        <v>135</v>
      </c>
      <c r="Z6605">
        <v>1626.445728536507</v>
      </c>
      <c r="AA6605">
        <v>198</v>
      </c>
      <c r="AB6605">
        <v>332</v>
      </c>
      <c r="AC6605">
        <v>536</v>
      </c>
      <c r="AD6605">
        <v>28.93</v>
      </c>
      <c r="AE6605">
        <v>542</v>
      </c>
      <c r="AF6605">
        <v>29</v>
      </c>
      <c r="AG6605">
        <v>166</v>
      </c>
      <c r="AH6605">
        <v>129</v>
      </c>
      <c r="AI6605">
        <v>5.35</v>
      </c>
      <c r="AJ6605">
        <v>30.63</v>
      </c>
      <c r="AK6605">
        <v>23.8</v>
      </c>
      <c r="AL6605">
        <v>-20.181999799999939</v>
      </c>
      <c r="AM6605">
        <v>-44.922869974430867</v>
      </c>
      <c r="AN6605">
        <v>-20.181999799999939</v>
      </c>
      <c r="AO6605">
        <v>-44.922869974430867</v>
      </c>
      <c r="AP6605">
        <v>-20.181958999999999</v>
      </c>
      <c r="AQ6605">
        <v>-44.922638999999997</v>
      </c>
      <c r="AR6605">
        <v>24.55705514780848</v>
      </c>
      <c r="AS6605" t="s">
        <v>65</v>
      </c>
      <c r="AT6605">
        <v>1</v>
      </c>
      <c r="AU6605" t="s">
        <v>1988</v>
      </c>
      <c r="AV6605" t="s">
        <v>1989</v>
      </c>
      <c r="AW6605" t="s">
        <v>60</v>
      </c>
      <c r="AX6605" t="s">
        <v>68</v>
      </c>
      <c r="AY6605" t="s">
        <v>69</v>
      </c>
      <c r="AZ6605" t="b">
        <v>1</v>
      </c>
    </row>
    <row r="6606" spans="1:52" x14ac:dyDescent="0.3">
      <c r="A6606" t="s">
        <v>52</v>
      </c>
      <c r="B6606" t="s">
        <v>53</v>
      </c>
      <c r="C6606" t="s">
        <v>54</v>
      </c>
      <c r="D6606" t="s">
        <v>55</v>
      </c>
      <c r="E6606" t="s">
        <v>2296</v>
      </c>
      <c r="F6606" t="s">
        <v>190</v>
      </c>
      <c r="G6606" t="s">
        <v>2378</v>
      </c>
      <c r="H6606" t="s">
        <v>2379</v>
      </c>
      <c r="I6606" t="s">
        <v>2379</v>
      </c>
      <c r="J6606" t="s">
        <v>60</v>
      </c>
      <c r="K6606" t="s">
        <v>475</v>
      </c>
      <c r="L6606" t="s">
        <v>62</v>
      </c>
      <c r="M6606" t="s">
        <v>475</v>
      </c>
      <c r="N6606" t="s">
        <v>2380</v>
      </c>
      <c r="O6606" t="s">
        <v>2381</v>
      </c>
      <c r="P6606">
        <v>-20.183266</v>
      </c>
      <c r="Q6606">
        <v>-44.895198999999998</v>
      </c>
      <c r="R6606" s="2" t="str">
        <f>HYPERLINK("https://www.google.com/maps?q=-20.1832660,-44.8951990","Abrir no Google Maps")</f>
        <v>Abrir no Google Maps</v>
      </c>
      <c r="S6606">
        <v>3</v>
      </c>
      <c r="T6606">
        <v>1543.705696048846</v>
      </c>
      <c r="U6606">
        <v>4</v>
      </c>
      <c r="V6606">
        <v>0.43640492026031619</v>
      </c>
      <c r="W6606">
        <v>0.85</v>
      </c>
      <c r="X6606">
        <v>0.37094418222126868</v>
      </c>
      <c r="Y6606">
        <v>135</v>
      </c>
      <c r="Z6606">
        <v>1166.01683152637</v>
      </c>
      <c r="AA6606">
        <v>198</v>
      </c>
      <c r="AB6606">
        <v>332</v>
      </c>
      <c r="AC6606">
        <v>536</v>
      </c>
      <c r="AD6606">
        <v>28.93</v>
      </c>
      <c r="AE6606">
        <v>542</v>
      </c>
      <c r="AF6606">
        <v>29</v>
      </c>
      <c r="AG6606">
        <v>166</v>
      </c>
      <c r="AH6606">
        <v>129</v>
      </c>
      <c r="AI6606">
        <v>5.35</v>
      </c>
      <c r="AJ6606">
        <v>30.63</v>
      </c>
      <c r="AK6606">
        <v>23.8</v>
      </c>
      <c r="AL6606">
        <v>-20.181614549999949</v>
      </c>
      <c r="AM6606">
        <v>-44.89612261428897</v>
      </c>
      <c r="AN6606">
        <v>-20.181614549999949</v>
      </c>
      <c r="AO6606">
        <v>-44.89612261428897</v>
      </c>
      <c r="AP6606">
        <v>-20.183266</v>
      </c>
      <c r="AQ6606">
        <v>-44.895198999999998</v>
      </c>
      <c r="AR6606">
        <v>207.6294474700849</v>
      </c>
      <c r="AS6606" t="s">
        <v>65</v>
      </c>
      <c r="AT6606">
        <v>1</v>
      </c>
      <c r="AU6606" t="s">
        <v>2382</v>
      </c>
      <c r="AV6606" t="s">
        <v>2383</v>
      </c>
      <c r="AW6606" t="s">
        <v>60</v>
      </c>
      <c r="AX6606" t="s">
        <v>68</v>
      </c>
      <c r="AY6606" t="s">
        <v>69</v>
      </c>
      <c r="AZ6606" t="b">
        <v>1</v>
      </c>
    </row>
    <row r="6607" spans="1:52" x14ac:dyDescent="0.3">
      <c r="A6607" t="s">
        <v>52</v>
      </c>
      <c r="B6607" t="s">
        <v>53</v>
      </c>
      <c r="C6607" t="s">
        <v>54</v>
      </c>
      <c r="D6607" t="s">
        <v>55</v>
      </c>
      <c r="E6607" t="s">
        <v>2296</v>
      </c>
      <c r="F6607" t="s">
        <v>190</v>
      </c>
      <c r="G6607" t="s">
        <v>1990</v>
      </c>
      <c r="H6607" t="s">
        <v>1991</v>
      </c>
      <c r="I6607" t="s">
        <v>1991</v>
      </c>
      <c r="J6607" t="s">
        <v>60</v>
      </c>
      <c r="K6607" t="s">
        <v>822</v>
      </c>
      <c r="L6607" t="s">
        <v>62</v>
      </c>
      <c r="M6607" t="s">
        <v>822</v>
      </c>
      <c r="N6607" t="s">
        <v>1992</v>
      </c>
      <c r="O6607" t="s">
        <v>1993</v>
      </c>
      <c r="P6607">
        <v>-20.185697000000001</v>
      </c>
      <c r="Q6607">
        <v>-44.910505999999998</v>
      </c>
      <c r="R6607" s="2" t="str">
        <f>HYPERLINK("https://www.google.com/maps?q=-20.1856970,-44.9105060","Abrir no Google Maps")</f>
        <v>Abrir no Google Maps</v>
      </c>
      <c r="S6607">
        <v>3</v>
      </c>
      <c r="T6607">
        <v>0</v>
      </c>
      <c r="U6607">
        <v>4</v>
      </c>
      <c r="V6607">
        <v>0.31761508951406658</v>
      </c>
      <c r="W6607">
        <v>0.85</v>
      </c>
      <c r="X6607">
        <v>0.26997282608695661</v>
      </c>
      <c r="Y6607">
        <v>135</v>
      </c>
      <c r="Z6607">
        <v>343.69681053463609</v>
      </c>
      <c r="AA6607">
        <v>198</v>
      </c>
      <c r="AB6607">
        <v>332</v>
      </c>
      <c r="AC6607">
        <v>536</v>
      </c>
      <c r="AD6607">
        <v>28.93</v>
      </c>
      <c r="AE6607">
        <v>542</v>
      </c>
      <c r="AF6607">
        <v>29</v>
      </c>
      <c r="AG6607">
        <v>166</v>
      </c>
      <c r="AH6607">
        <v>129</v>
      </c>
      <c r="AI6607">
        <v>5.35</v>
      </c>
      <c r="AJ6607">
        <v>30.63</v>
      </c>
      <c r="AK6607">
        <v>23.8</v>
      </c>
      <c r="AL6607">
        <v>-20.185715749999961</v>
      </c>
      <c r="AM6607">
        <v>-44.910534239471573</v>
      </c>
      <c r="AN6607">
        <v>-20.185715749999961</v>
      </c>
      <c r="AO6607">
        <v>-44.910534239471573</v>
      </c>
      <c r="AP6607">
        <v>-20.185697000000001</v>
      </c>
      <c r="AQ6607">
        <v>-44.910505999999998</v>
      </c>
      <c r="AR6607">
        <v>3.6141753980162412</v>
      </c>
      <c r="AS6607" t="s">
        <v>65</v>
      </c>
      <c r="AT6607">
        <v>1</v>
      </c>
      <c r="AU6607" t="s">
        <v>1994</v>
      </c>
      <c r="AV6607" t="s">
        <v>1995</v>
      </c>
      <c r="AW6607" t="s">
        <v>60</v>
      </c>
      <c r="AX6607" t="s">
        <v>68</v>
      </c>
      <c r="AY6607" t="s">
        <v>69</v>
      </c>
      <c r="AZ6607" t="b">
        <v>1</v>
      </c>
    </row>
    <row r="6608" spans="1:52" x14ac:dyDescent="0.3">
      <c r="A6608" t="s">
        <v>52</v>
      </c>
      <c r="B6608" t="s">
        <v>53</v>
      </c>
      <c r="C6608" t="s">
        <v>54</v>
      </c>
      <c r="D6608" t="s">
        <v>55</v>
      </c>
      <c r="E6608" t="s">
        <v>2296</v>
      </c>
      <c r="F6608" t="s">
        <v>190</v>
      </c>
      <c r="G6608" t="s">
        <v>820</v>
      </c>
      <c r="H6608" t="s">
        <v>821</v>
      </c>
      <c r="I6608" t="s">
        <v>821</v>
      </c>
      <c r="J6608" t="s">
        <v>60</v>
      </c>
      <c r="K6608" t="s">
        <v>822</v>
      </c>
      <c r="L6608" t="s">
        <v>62</v>
      </c>
      <c r="M6608" t="s">
        <v>822</v>
      </c>
      <c r="N6608" t="s">
        <v>823</v>
      </c>
      <c r="O6608" t="s">
        <v>187</v>
      </c>
      <c r="P6608">
        <v>-20.182960999999999</v>
      </c>
      <c r="Q6608">
        <v>-44.902512999999999</v>
      </c>
      <c r="R6608" s="2" t="str">
        <f>HYPERLINK("https://www.google.com/maps?q=-20.1829610,-44.9025130","Abrir no Google Maps")</f>
        <v>Abrir no Google Maps</v>
      </c>
      <c r="S6608">
        <v>3</v>
      </c>
      <c r="T6608">
        <v>908.09917748271926</v>
      </c>
      <c r="U6608">
        <v>4</v>
      </c>
      <c r="V6608">
        <v>0.28540700284303461</v>
      </c>
      <c r="W6608">
        <v>1</v>
      </c>
      <c r="X6608">
        <v>0.28540700284303461</v>
      </c>
      <c r="Y6608">
        <v>135</v>
      </c>
      <c r="Z6608">
        <v>562.42494356837676</v>
      </c>
      <c r="AA6608">
        <v>198</v>
      </c>
      <c r="AB6608">
        <v>332</v>
      </c>
      <c r="AC6608">
        <v>536</v>
      </c>
      <c r="AD6608">
        <v>28.93</v>
      </c>
      <c r="AE6608">
        <v>542</v>
      </c>
      <c r="AF6608">
        <v>29</v>
      </c>
      <c r="AG6608">
        <v>166</v>
      </c>
      <c r="AH6608">
        <v>129</v>
      </c>
      <c r="AI6608">
        <v>5.35</v>
      </c>
      <c r="AJ6608">
        <v>30.63</v>
      </c>
      <c r="AK6608">
        <v>23.8</v>
      </c>
      <c r="AL6608">
        <v>-20.18277184999997</v>
      </c>
      <c r="AM6608">
        <v>-44.902421436048833</v>
      </c>
      <c r="AN6608">
        <v>-20.18277184999997</v>
      </c>
      <c r="AO6608">
        <v>-44.902421436048833</v>
      </c>
      <c r="AP6608">
        <v>-20.182960999999999</v>
      </c>
      <c r="AQ6608">
        <v>-44.902512999999999</v>
      </c>
      <c r="AR6608">
        <v>23.127700959037089</v>
      </c>
      <c r="AS6608" t="s">
        <v>65</v>
      </c>
      <c r="AT6608">
        <v>1</v>
      </c>
      <c r="AU6608" t="s">
        <v>824</v>
      </c>
      <c r="AV6608" t="s">
        <v>825</v>
      </c>
      <c r="AW6608" t="s">
        <v>60</v>
      </c>
      <c r="AX6608" t="s">
        <v>68</v>
      </c>
      <c r="AY6608" t="s">
        <v>69</v>
      </c>
      <c r="AZ6608" t="b">
        <v>1</v>
      </c>
    </row>
    <row r="6609" spans="1:52" x14ac:dyDescent="0.3">
      <c r="A6609" t="s">
        <v>52</v>
      </c>
      <c r="B6609" t="s">
        <v>53</v>
      </c>
      <c r="C6609" t="s">
        <v>54</v>
      </c>
      <c r="D6609" t="s">
        <v>55</v>
      </c>
      <c r="E6609" t="s">
        <v>2296</v>
      </c>
      <c r="F6609" t="s">
        <v>190</v>
      </c>
      <c r="G6609" t="s">
        <v>2384</v>
      </c>
      <c r="H6609" t="s">
        <v>2385</v>
      </c>
      <c r="I6609" t="s">
        <v>2385</v>
      </c>
      <c r="J6609" t="s">
        <v>60</v>
      </c>
      <c r="K6609" t="s">
        <v>2386</v>
      </c>
      <c r="L6609" t="s">
        <v>62</v>
      </c>
      <c r="M6609" t="s">
        <v>2386</v>
      </c>
      <c r="N6609" t="s">
        <v>2387</v>
      </c>
      <c r="O6609" t="s">
        <v>1001</v>
      </c>
      <c r="P6609">
        <v>-20.121486999999998</v>
      </c>
      <c r="Q6609">
        <v>-44.831277999999998</v>
      </c>
      <c r="R6609" s="2" t="str">
        <f>HYPERLINK("https://www.google.com/maps?q=-20.1214870,-44.8312780","Abrir no Google Maps")</f>
        <v>Abrir no Google Maps</v>
      </c>
      <c r="S6609">
        <v>3</v>
      </c>
      <c r="T6609">
        <v>832.17501544052413</v>
      </c>
      <c r="U6609">
        <v>4</v>
      </c>
      <c r="V6609">
        <v>0.88749999999999996</v>
      </c>
      <c r="W6609">
        <v>0.85</v>
      </c>
      <c r="X6609">
        <v>0.75437499999999991</v>
      </c>
      <c r="Y6609">
        <v>118</v>
      </c>
      <c r="Z6609">
        <v>856.20508197167544</v>
      </c>
      <c r="AA6609">
        <v>198</v>
      </c>
      <c r="AB6609">
        <v>332</v>
      </c>
      <c r="AC6609">
        <v>536</v>
      </c>
      <c r="AD6609">
        <v>28.93</v>
      </c>
      <c r="AE6609">
        <v>542</v>
      </c>
      <c r="AF6609">
        <v>29</v>
      </c>
      <c r="AG6609">
        <v>166</v>
      </c>
      <c r="AH6609">
        <v>129</v>
      </c>
      <c r="AI6609">
        <v>5.35</v>
      </c>
      <c r="AJ6609">
        <v>30.63</v>
      </c>
      <c r="AK6609">
        <v>23.8</v>
      </c>
      <c r="AL6609">
        <v>-20.122629099999951</v>
      </c>
      <c r="AM6609">
        <v>-44.831670277380567</v>
      </c>
      <c r="AN6609">
        <v>-20.122629099999951</v>
      </c>
      <c r="AO6609">
        <v>-44.831670277380567</v>
      </c>
      <c r="AP6609">
        <v>-20.121486999999998</v>
      </c>
      <c r="AQ6609">
        <v>-44.831277999999998</v>
      </c>
      <c r="AR6609">
        <v>133.58682892669131</v>
      </c>
      <c r="AS6609" t="s">
        <v>65</v>
      </c>
      <c r="AT6609">
        <v>1</v>
      </c>
      <c r="AU6609" t="s">
        <v>2388</v>
      </c>
      <c r="AV6609" t="s">
        <v>2389</v>
      </c>
      <c r="AW6609" t="s">
        <v>60</v>
      </c>
      <c r="AX6609" t="s">
        <v>68</v>
      </c>
      <c r="AY6609" t="s">
        <v>69</v>
      </c>
      <c r="AZ6609" t="b">
        <v>1</v>
      </c>
    </row>
    <row r="6610" spans="1:52" x14ac:dyDescent="0.3">
      <c r="A6610" t="s">
        <v>52</v>
      </c>
      <c r="B6610" t="s">
        <v>53</v>
      </c>
      <c r="C6610" t="s">
        <v>54</v>
      </c>
      <c r="D6610" t="s">
        <v>55</v>
      </c>
      <c r="E6610" t="s">
        <v>2296</v>
      </c>
      <c r="F6610" t="s">
        <v>190</v>
      </c>
      <c r="G6610" t="s">
        <v>2008</v>
      </c>
      <c r="H6610" t="s">
        <v>2009</v>
      </c>
      <c r="I6610" t="s">
        <v>2009</v>
      </c>
      <c r="J6610" t="s">
        <v>60</v>
      </c>
      <c r="K6610" t="s">
        <v>2010</v>
      </c>
      <c r="L6610" t="s">
        <v>62</v>
      </c>
      <c r="M6610" t="s">
        <v>2010</v>
      </c>
      <c r="N6610" t="s">
        <v>2011</v>
      </c>
      <c r="O6610" t="s">
        <v>2012</v>
      </c>
      <c r="P6610">
        <v>-20.118297999999999</v>
      </c>
      <c r="Q6610">
        <v>-44.838487999999998</v>
      </c>
      <c r="R6610" s="2" t="str">
        <f>HYPERLINK("https://www.google.com/maps?q=-20.1182980,-44.8384880","Abrir no Google Maps")</f>
        <v>Abrir no Google Maps</v>
      </c>
      <c r="S6610">
        <v>3</v>
      </c>
      <c r="T6610">
        <v>1127.69090971931</v>
      </c>
      <c r="U6610">
        <v>4</v>
      </c>
      <c r="V6610">
        <v>0.26869658119658107</v>
      </c>
      <c r="W6610">
        <v>0.85</v>
      </c>
      <c r="X6610">
        <v>0.2283920940170939</v>
      </c>
      <c r="Y6610">
        <v>118</v>
      </c>
      <c r="Z6610">
        <v>1304.1094969996529</v>
      </c>
      <c r="AA6610">
        <v>198</v>
      </c>
      <c r="AB6610">
        <v>332</v>
      </c>
      <c r="AC6610">
        <v>536</v>
      </c>
      <c r="AD6610">
        <v>28.93</v>
      </c>
      <c r="AE6610">
        <v>542</v>
      </c>
      <c r="AF6610">
        <v>29</v>
      </c>
      <c r="AG6610">
        <v>166</v>
      </c>
      <c r="AH6610">
        <v>129</v>
      </c>
      <c r="AI6610">
        <v>5.35</v>
      </c>
      <c r="AJ6610">
        <v>30.63</v>
      </c>
      <c r="AK6610">
        <v>23.8</v>
      </c>
      <c r="AL6610">
        <v>-20.118270449999951</v>
      </c>
      <c r="AM6610">
        <v>-44.838121221737303</v>
      </c>
      <c r="AN6610">
        <v>-20.118270449999951</v>
      </c>
      <c r="AO6610">
        <v>-44.838121221737303</v>
      </c>
      <c r="AP6610">
        <v>-20.118297999999999</v>
      </c>
      <c r="AQ6610">
        <v>-44.838487999999998</v>
      </c>
      <c r="AR6610">
        <v>38.460983471643253</v>
      </c>
      <c r="AS6610" t="s">
        <v>65</v>
      </c>
      <c r="AT6610">
        <v>1</v>
      </c>
      <c r="AU6610" t="s">
        <v>2013</v>
      </c>
      <c r="AV6610" t="s">
        <v>2014</v>
      </c>
      <c r="AW6610" t="s">
        <v>60</v>
      </c>
      <c r="AX6610" t="s">
        <v>68</v>
      </c>
      <c r="AY6610" t="s">
        <v>69</v>
      </c>
      <c r="AZ6610" t="b">
        <v>1</v>
      </c>
    </row>
    <row r="6611" spans="1:52" x14ac:dyDescent="0.3">
      <c r="A6611" t="s">
        <v>52</v>
      </c>
      <c r="B6611" t="s">
        <v>53</v>
      </c>
      <c r="C6611" t="s">
        <v>54</v>
      </c>
      <c r="D6611" t="s">
        <v>55</v>
      </c>
      <c r="E6611" t="s">
        <v>2296</v>
      </c>
      <c r="F6611" t="s">
        <v>190</v>
      </c>
      <c r="G6611" t="s">
        <v>1795</v>
      </c>
      <c r="H6611" t="s">
        <v>1796</v>
      </c>
      <c r="I6611" t="s">
        <v>1796</v>
      </c>
      <c r="J6611" t="s">
        <v>60</v>
      </c>
      <c r="K6611" t="s">
        <v>1797</v>
      </c>
      <c r="L6611" t="s">
        <v>62</v>
      </c>
      <c r="M6611" t="s">
        <v>1797</v>
      </c>
      <c r="N6611" t="s">
        <v>1798</v>
      </c>
      <c r="O6611" t="s">
        <v>166</v>
      </c>
      <c r="P6611">
        <v>-20.137136999999999</v>
      </c>
      <c r="Q6611">
        <v>-44.844737000000002</v>
      </c>
      <c r="R6611" s="2" t="str">
        <f>HYPERLINK("https://www.google.com/maps?q=-20.1371370,-44.8447370","Abrir no Google Maps")</f>
        <v>Abrir no Google Maps</v>
      </c>
      <c r="S6611">
        <v>3</v>
      </c>
      <c r="T6611">
        <v>1265.572541081038</v>
      </c>
      <c r="U6611">
        <v>4</v>
      </c>
      <c r="V6611">
        <v>0.34212681135446299</v>
      </c>
      <c r="W6611">
        <v>0.85</v>
      </c>
      <c r="X6611">
        <v>0.29080778965129361</v>
      </c>
      <c r="Y6611">
        <v>118</v>
      </c>
      <c r="Z6611">
        <v>1247.9681773794671</v>
      </c>
      <c r="AA6611">
        <v>198</v>
      </c>
      <c r="AB6611">
        <v>332</v>
      </c>
      <c r="AC6611">
        <v>536</v>
      </c>
      <c r="AD6611">
        <v>28.93</v>
      </c>
      <c r="AE6611">
        <v>542</v>
      </c>
      <c r="AF6611">
        <v>29</v>
      </c>
      <c r="AG6611">
        <v>166</v>
      </c>
      <c r="AH6611">
        <v>129</v>
      </c>
      <c r="AI6611">
        <v>5.35</v>
      </c>
      <c r="AJ6611">
        <v>30.63</v>
      </c>
      <c r="AK6611">
        <v>23.8</v>
      </c>
      <c r="AL6611">
        <v>-20.137060849999951</v>
      </c>
      <c r="AM6611">
        <v>-44.844683186696408</v>
      </c>
      <c r="AN6611">
        <v>-20.137060849999951</v>
      </c>
      <c r="AO6611">
        <v>-44.844683186696408</v>
      </c>
      <c r="AP6611">
        <v>-20.137136999999999</v>
      </c>
      <c r="AQ6611">
        <v>-44.844737000000002</v>
      </c>
      <c r="AR6611">
        <v>10.173135199564809</v>
      </c>
      <c r="AS6611" t="s">
        <v>65</v>
      </c>
      <c r="AT6611">
        <v>1</v>
      </c>
      <c r="AU6611" t="s">
        <v>1799</v>
      </c>
      <c r="AV6611" t="s">
        <v>1800</v>
      </c>
      <c r="AW6611" t="s">
        <v>60</v>
      </c>
      <c r="AX6611" t="s">
        <v>68</v>
      </c>
      <c r="AY6611" t="s">
        <v>69</v>
      </c>
      <c r="AZ6611" t="b">
        <v>1</v>
      </c>
    </row>
    <row r="6612" spans="1:52" x14ac:dyDescent="0.3">
      <c r="A6612" t="s">
        <v>52</v>
      </c>
      <c r="B6612" t="s">
        <v>53</v>
      </c>
      <c r="C6612" t="s">
        <v>54</v>
      </c>
      <c r="D6612" t="s">
        <v>55</v>
      </c>
      <c r="E6612" t="s">
        <v>2296</v>
      </c>
      <c r="F6612" t="s">
        <v>190</v>
      </c>
      <c r="G6612" t="s">
        <v>2015</v>
      </c>
      <c r="H6612" t="s">
        <v>2016</v>
      </c>
      <c r="I6612" t="s">
        <v>2016</v>
      </c>
      <c r="J6612" t="s">
        <v>60</v>
      </c>
      <c r="K6612" t="s">
        <v>2010</v>
      </c>
      <c r="L6612" t="s">
        <v>62</v>
      </c>
      <c r="M6612" t="s">
        <v>2010</v>
      </c>
      <c r="N6612" t="s">
        <v>2017</v>
      </c>
      <c r="O6612" t="s">
        <v>202</v>
      </c>
      <c r="P6612">
        <v>-20.127607000000001</v>
      </c>
      <c r="Q6612">
        <v>-44.833697000000001</v>
      </c>
      <c r="R6612" s="2" t="str">
        <f>HYPERLINK("https://www.google.com/maps?q=-20.1276070,-44.8336970","Abrir no Google Maps")</f>
        <v>Abrir no Google Maps</v>
      </c>
      <c r="S6612">
        <v>3</v>
      </c>
      <c r="T6612">
        <v>313.23341761890651</v>
      </c>
      <c r="U6612">
        <v>4</v>
      </c>
      <c r="V6612">
        <v>0.27994685581989032</v>
      </c>
      <c r="W6612">
        <v>0.85</v>
      </c>
      <c r="X6612">
        <v>0.2379548274469068</v>
      </c>
      <c r="Y6612">
        <v>118</v>
      </c>
      <c r="Z6612">
        <v>357.91926098592711</v>
      </c>
      <c r="AA6612">
        <v>198</v>
      </c>
      <c r="AB6612">
        <v>332</v>
      </c>
      <c r="AC6612">
        <v>536</v>
      </c>
      <c r="AD6612">
        <v>28.93</v>
      </c>
      <c r="AE6612">
        <v>542</v>
      </c>
      <c r="AF6612">
        <v>29</v>
      </c>
      <c r="AG6612">
        <v>166</v>
      </c>
      <c r="AH6612">
        <v>129</v>
      </c>
      <c r="AI6612">
        <v>5.35</v>
      </c>
      <c r="AJ6612">
        <v>30.63</v>
      </c>
      <c r="AK6612">
        <v>23.8</v>
      </c>
      <c r="AL6612">
        <v>-20.127577799999951</v>
      </c>
      <c r="AM6612">
        <v>-44.833922781418423</v>
      </c>
      <c r="AN6612">
        <v>-20.127577799999951</v>
      </c>
      <c r="AO6612">
        <v>-44.833922781418423</v>
      </c>
      <c r="AP6612">
        <v>-20.127607000000001</v>
      </c>
      <c r="AQ6612">
        <v>-44.833697000000001</v>
      </c>
      <c r="AR6612">
        <v>23.82183710940641</v>
      </c>
      <c r="AS6612" t="s">
        <v>65</v>
      </c>
      <c r="AT6612">
        <v>1</v>
      </c>
      <c r="AU6612" t="s">
        <v>2018</v>
      </c>
      <c r="AV6612" t="s">
        <v>2019</v>
      </c>
      <c r="AW6612" t="s">
        <v>60</v>
      </c>
      <c r="AX6612" t="s">
        <v>68</v>
      </c>
      <c r="AY6612" t="s">
        <v>69</v>
      </c>
      <c r="AZ6612" t="b">
        <v>1</v>
      </c>
    </row>
    <row r="6613" spans="1:52" x14ac:dyDescent="0.3">
      <c r="A6613" t="s">
        <v>52</v>
      </c>
      <c r="B6613" t="s">
        <v>53</v>
      </c>
      <c r="C6613" t="s">
        <v>54</v>
      </c>
      <c r="D6613" t="s">
        <v>55</v>
      </c>
      <c r="E6613" t="s">
        <v>2296</v>
      </c>
      <c r="F6613" t="s">
        <v>190</v>
      </c>
      <c r="G6613" t="s">
        <v>1218</v>
      </c>
      <c r="H6613" t="s">
        <v>1219</v>
      </c>
      <c r="I6613" t="s">
        <v>1219</v>
      </c>
      <c r="J6613" t="s">
        <v>60</v>
      </c>
      <c r="K6613" t="s">
        <v>828</v>
      </c>
      <c r="L6613" t="s">
        <v>62</v>
      </c>
      <c r="M6613" t="s">
        <v>828</v>
      </c>
      <c r="N6613" t="s">
        <v>1220</v>
      </c>
      <c r="O6613" t="s">
        <v>1221</v>
      </c>
      <c r="P6613">
        <v>-20.132722000000001</v>
      </c>
      <c r="Q6613">
        <v>-44.843550999999998</v>
      </c>
      <c r="R6613" s="2" t="str">
        <f>HYPERLINK("https://www.google.com/maps?q=-20.1327220,-44.8435510","Abrir no Google Maps")</f>
        <v>Abrir no Google Maps</v>
      </c>
      <c r="S6613">
        <v>3</v>
      </c>
      <c r="T6613">
        <v>846.88659580558431</v>
      </c>
      <c r="U6613">
        <v>4</v>
      </c>
      <c r="V6613">
        <v>0.2407738095238095</v>
      </c>
      <c r="W6613">
        <v>1</v>
      </c>
      <c r="X6613">
        <v>0.2407738095238095</v>
      </c>
      <c r="Y6613">
        <v>118</v>
      </c>
      <c r="Z6613">
        <v>797.91643890712305</v>
      </c>
      <c r="AA6613">
        <v>198</v>
      </c>
      <c r="AB6613">
        <v>332</v>
      </c>
      <c r="AC6613">
        <v>536</v>
      </c>
      <c r="AD6613">
        <v>28.93</v>
      </c>
      <c r="AE6613">
        <v>542</v>
      </c>
      <c r="AF6613">
        <v>29</v>
      </c>
      <c r="AG6613">
        <v>166</v>
      </c>
      <c r="AH6613">
        <v>129</v>
      </c>
      <c r="AI6613">
        <v>5.35</v>
      </c>
      <c r="AJ6613">
        <v>30.63</v>
      </c>
      <c r="AK6613">
        <v>23.8</v>
      </c>
      <c r="AL6613">
        <v>-20.132714949999979</v>
      </c>
      <c r="AM6613">
        <v>-44.843475702545703</v>
      </c>
      <c r="AN6613">
        <v>-20.132714949999979</v>
      </c>
      <c r="AO6613">
        <v>-44.843475702545703</v>
      </c>
      <c r="AP6613">
        <v>-20.132722000000001</v>
      </c>
      <c r="AQ6613">
        <v>-44.843550999999998</v>
      </c>
      <c r="AR6613">
        <v>7.9089820822755481</v>
      </c>
      <c r="AS6613" t="s">
        <v>65</v>
      </c>
      <c r="AT6613">
        <v>1</v>
      </c>
      <c r="AU6613" t="s">
        <v>1222</v>
      </c>
      <c r="AV6613" t="s">
        <v>1223</v>
      </c>
      <c r="AW6613" t="s">
        <v>60</v>
      </c>
      <c r="AX6613" t="s">
        <v>68</v>
      </c>
      <c r="AY6613" t="s">
        <v>69</v>
      </c>
      <c r="AZ6613" t="b">
        <v>1</v>
      </c>
    </row>
    <row r="6614" spans="1:52" x14ac:dyDescent="0.3">
      <c r="A6614" t="s">
        <v>52</v>
      </c>
      <c r="B6614" t="s">
        <v>53</v>
      </c>
      <c r="C6614" t="s">
        <v>54</v>
      </c>
      <c r="D6614" t="s">
        <v>55</v>
      </c>
      <c r="E6614" t="s">
        <v>2296</v>
      </c>
      <c r="F6614" t="s">
        <v>190</v>
      </c>
      <c r="G6614" t="s">
        <v>1801</v>
      </c>
      <c r="H6614" t="s">
        <v>1802</v>
      </c>
      <c r="I6614" t="s">
        <v>1802</v>
      </c>
      <c r="J6614" t="s">
        <v>60</v>
      </c>
      <c r="K6614" t="s">
        <v>1803</v>
      </c>
      <c r="L6614" t="s">
        <v>62</v>
      </c>
      <c r="M6614" t="s">
        <v>1803</v>
      </c>
      <c r="N6614" t="s">
        <v>1804</v>
      </c>
      <c r="O6614" t="s">
        <v>1805</v>
      </c>
      <c r="P6614">
        <v>-20.131599000000001</v>
      </c>
      <c r="Q6614">
        <v>-44.839945</v>
      </c>
      <c r="R6614" s="2" t="str">
        <f>HYPERLINK("https://www.google.com/maps?q=-20.1315990,-44.8399450","Abrir no Google Maps")</f>
        <v>Abrir no Google Maps</v>
      </c>
      <c r="S6614">
        <v>3</v>
      </c>
      <c r="T6614">
        <v>480.67866935083049</v>
      </c>
      <c r="U6614">
        <v>4</v>
      </c>
      <c r="V6614">
        <v>0.211440266596854</v>
      </c>
      <c r="W6614">
        <v>1</v>
      </c>
      <c r="X6614">
        <v>0.211440266596854</v>
      </c>
      <c r="Y6614">
        <v>118</v>
      </c>
      <c r="Z6614">
        <v>505.26312452494989</v>
      </c>
      <c r="AA6614">
        <v>198</v>
      </c>
      <c r="AB6614">
        <v>332</v>
      </c>
      <c r="AC6614">
        <v>536</v>
      </c>
      <c r="AD6614">
        <v>28.93</v>
      </c>
      <c r="AE6614">
        <v>542</v>
      </c>
      <c r="AF6614">
        <v>29</v>
      </c>
      <c r="AG6614">
        <v>166</v>
      </c>
      <c r="AH6614">
        <v>129</v>
      </c>
      <c r="AI6614">
        <v>5.35</v>
      </c>
      <c r="AJ6614">
        <v>30.63</v>
      </c>
      <c r="AK6614">
        <v>23.8</v>
      </c>
      <c r="AL6614">
        <v>-20.131561999999949</v>
      </c>
      <c r="AM6614">
        <v>-44.839930272274998</v>
      </c>
      <c r="AN6614">
        <v>-20.131561999999949</v>
      </c>
      <c r="AO6614">
        <v>-44.839930272274998</v>
      </c>
      <c r="AP6614">
        <v>-20.131599000000001</v>
      </c>
      <c r="AQ6614">
        <v>-44.839945</v>
      </c>
      <c r="AR6614">
        <v>4.3970860299791923</v>
      </c>
      <c r="AS6614" t="s">
        <v>65</v>
      </c>
      <c r="AT6614">
        <v>1</v>
      </c>
      <c r="AU6614" t="s">
        <v>1806</v>
      </c>
      <c r="AV6614" t="s">
        <v>1807</v>
      </c>
      <c r="AW6614" t="s">
        <v>60</v>
      </c>
      <c r="AX6614" t="s">
        <v>68</v>
      </c>
      <c r="AY6614" t="s">
        <v>69</v>
      </c>
      <c r="AZ6614" t="b">
        <v>1</v>
      </c>
    </row>
    <row r="6615" spans="1:52" x14ac:dyDescent="0.3">
      <c r="A6615" t="s">
        <v>52</v>
      </c>
      <c r="B6615" t="s">
        <v>53</v>
      </c>
      <c r="C6615" t="s">
        <v>54</v>
      </c>
      <c r="D6615" t="s">
        <v>55</v>
      </c>
      <c r="E6615" t="s">
        <v>2296</v>
      </c>
      <c r="F6615" t="s">
        <v>190</v>
      </c>
      <c r="G6615" t="s">
        <v>2390</v>
      </c>
      <c r="H6615" t="s">
        <v>2391</v>
      </c>
      <c r="I6615" t="s">
        <v>2391</v>
      </c>
      <c r="J6615" t="s">
        <v>60</v>
      </c>
      <c r="K6615" t="s">
        <v>2392</v>
      </c>
      <c r="L6615" t="s">
        <v>62</v>
      </c>
      <c r="M6615" t="s">
        <v>2392</v>
      </c>
      <c r="N6615" t="s">
        <v>2393</v>
      </c>
      <c r="O6615" t="s">
        <v>2394</v>
      </c>
      <c r="P6615">
        <v>-20.126498000000002</v>
      </c>
      <c r="Q6615">
        <v>-44.841005000000003</v>
      </c>
      <c r="R6615" s="2" t="str">
        <f>HYPERLINK("https://www.google.com/maps?q=-20.1264980,-44.8410050","Abrir no Google Maps")</f>
        <v>Abrir no Google Maps</v>
      </c>
      <c r="S6615">
        <v>3</v>
      </c>
      <c r="T6615">
        <v>534.03753339568925</v>
      </c>
      <c r="U6615">
        <v>4</v>
      </c>
      <c r="V6615">
        <v>0.88749999999999996</v>
      </c>
      <c r="W6615">
        <v>0.85</v>
      </c>
      <c r="X6615">
        <v>0.75437499999999991</v>
      </c>
      <c r="Y6615">
        <v>118</v>
      </c>
      <c r="Z6615">
        <v>612.51934065809417</v>
      </c>
      <c r="AA6615">
        <v>198</v>
      </c>
      <c r="AB6615">
        <v>332</v>
      </c>
      <c r="AC6615">
        <v>536</v>
      </c>
      <c r="AD6615">
        <v>28.93</v>
      </c>
      <c r="AE6615">
        <v>542</v>
      </c>
      <c r="AF6615">
        <v>29</v>
      </c>
      <c r="AG6615">
        <v>166</v>
      </c>
      <c r="AH6615">
        <v>129</v>
      </c>
      <c r="AI6615">
        <v>5.35</v>
      </c>
      <c r="AJ6615">
        <v>30.63</v>
      </c>
      <c r="AK6615">
        <v>23.8</v>
      </c>
      <c r="AL6615">
        <v>-20.125915899999971</v>
      </c>
      <c r="AM6615">
        <v>-44.84118642784393</v>
      </c>
      <c r="AN6615">
        <v>-20.125915899999971</v>
      </c>
      <c r="AO6615">
        <v>-44.84118642784393</v>
      </c>
      <c r="AP6615">
        <v>-20.126498000000002</v>
      </c>
      <c r="AQ6615">
        <v>-44.841005000000003</v>
      </c>
      <c r="AR6615">
        <v>67.517154355486966</v>
      </c>
      <c r="AS6615" t="s">
        <v>65</v>
      </c>
      <c r="AT6615">
        <v>1</v>
      </c>
      <c r="AU6615" t="s">
        <v>2395</v>
      </c>
      <c r="AV6615" t="s">
        <v>2396</v>
      </c>
      <c r="AW6615" t="s">
        <v>60</v>
      </c>
      <c r="AX6615" t="s">
        <v>68</v>
      </c>
      <c r="AY6615" t="s">
        <v>69</v>
      </c>
      <c r="AZ6615" t="b">
        <v>1</v>
      </c>
    </row>
    <row r="6616" spans="1:52" x14ac:dyDescent="0.3">
      <c r="A6616" t="s">
        <v>52</v>
      </c>
      <c r="B6616" t="s">
        <v>53</v>
      </c>
      <c r="C6616" t="s">
        <v>54</v>
      </c>
      <c r="D6616" t="s">
        <v>55</v>
      </c>
      <c r="E6616" t="s">
        <v>2296</v>
      </c>
      <c r="F6616" t="s">
        <v>190</v>
      </c>
      <c r="G6616" t="s">
        <v>1224</v>
      </c>
      <c r="H6616" t="s">
        <v>1230</v>
      </c>
      <c r="I6616" t="s">
        <v>1230</v>
      </c>
      <c r="J6616" t="s">
        <v>60</v>
      </c>
      <c r="K6616" t="s">
        <v>828</v>
      </c>
      <c r="L6616" t="s">
        <v>62</v>
      </c>
      <c r="M6616" t="s">
        <v>828</v>
      </c>
      <c r="N6616" t="s">
        <v>1231</v>
      </c>
      <c r="O6616" t="s">
        <v>1232</v>
      </c>
      <c r="P6616">
        <v>-20.136106000000002</v>
      </c>
      <c r="Q6616">
        <v>-44.838470999999998</v>
      </c>
      <c r="R6616" s="2" t="str">
        <f>HYPERLINK("https://www.google.com/maps?q=-20.1361060,-44.8384710","Abrir no Google Maps")</f>
        <v>Abrir no Google Maps</v>
      </c>
      <c r="S6616">
        <v>3</v>
      </c>
      <c r="T6616">
        <v>910.01690137237858</v>
      </c>
      <c r="U6616">
        <v>4</v>
      </c>
      <c r="V6616">
        <v>0.23656456174305079</v>
      </c>
      <c r="W6616">
        <v>1</v>
      </c>
      <c r="X6616">
        <v>0.23656456174305079</v>
      </c>
      <c r="Y6616">
        <v>118</v>
      </c>
      <c r="Z6616">
        <v>892.76979321439796</v>
      </c>
      <c r="AA6616">
        <v>198</v>
      </c>
      <c r="AB6616">
        <v>332</v>
      </c>
      <c r="AC6616">
        <v>536</v>
      </c>
      <c r="AD6616">
        <v>28.93</v>
      </c>
      <c r="AE6616">
        <v>542</v>
      </c>
      <c r="AF6616">
        <v>29</v>
      </c>
      <c r="AG6616">
        <v>166</v>
      </c>
      <c r="AH6616">
        <v>129</v>
      </c>
      <c r="AI6616">
        <v>5.35</v>
      </c>
      <c r="AJ6616">
        <v>30.63</v>
      </c>
      <c r="AK6616">
        <v>23.8</v>
      </c>
      <c r="AL6616">
        <v>-20.136356149999951</v>
      </c>
      <c r="AM6616">
        <v>-44.838929886373997</v>
      </c>
      <c r="AN6616">
        <v>-20.136356149999951</v>
      </c>
      <c r="AO6616">
        <v>-44.838929886373997</v>
      </c>
      <c r="AP6616">
        <v>-20.136106000000002</v>
      </c>
      <c r="AQ6616">
        <v>-44.838470999999998</v>
      </c>
      <c r="AR6616">
        <v>55.458802856549369</v>
      </c>
      <c r="AS6616" t="s">
        <v>65</v>
      </c>
      <c r="AT6616">
        <v>1</v>
      </c>
      <c r="AU6616" t="s">
        <v>1233</v>
      </c>
      <c r="AV6616" t="s">
        <v>1234</v>
      </c>
      <c r="AW6616" t="s">
        <v>60</v>
      </c>
      <c r="AX6616" t="s">
        <v>68</v>
      </c>
      <c r="AY6616" t="s">
        <v>69</v>
      </c>
      <c r="AZ6616" t="b">
        <v>1</v>
      </c>
    </row>
    <row r="6617" spans="1:52" x14ac:dyDescent="0.3">
      <c r="A6617" t="s">
        <v>52</v>
      </c>
      <c r="B6617" t="s">
        <v>53</v>
      </c>
      <c r="C6617" t="s">
        <v>54</v>
      </c>
      <c r="D6617" t="s">
        <v>55</v>
      </c>
      <c r="E6617" t="s">
        <v>2296</v>
      </c>
      <c r="F6617" t="s">
        <v>190</v>
      </c>
      <c r="G6617" t="s">
        <v>1193</v>
      </c>
      <c r="H6617" t="s">
        <v>2020</v>
      </c>
      <c r="I6617" t="s">
        <v>2020</v>
      </c>
      <c r="J6617" t="s">
        <v>60</v>
      </c>
      <c r="K6617" t="s">
        <v>1803</v>
      </c>
      <c r="L6617" t="s">
        <v>62</v>
      </c>
      <c r="M6617" t="s">
        <v>1803</v>
      </c>
      <c r="N6617" t="s">
        <v>2021</v>
      </c>
      <c r="O6617" t="s">
        <v>2022</v>
      </c>
      <c r="P6617">
        <v>-20.131063000000001</v>
      </c>
      <c r="Q6617">
        <v>-44.835818000000003</v>
      </c>
      <c r="R6617" s="2" t="str">
        <f>HYPERLINK("https://www.google.com/maps?q=-20.1310630,-44.8358180","Abrir no Google Maps")</f>
        <v>Abrir no Google Maps</v>
      </c>
      <c r="S6617">
        <v>3</v>
      </c>
      <c r="T6617">
        <v>341.23125780909078</v>
      </c>
      <c r="U6617">
        <v>4</v>
      </c>
      <c r="V6617">
        <v>0.23477207977207981</v>
      </c>
      <c r="W6617">
        <v>0.85</v>
      </c>
      <c r="X6617">
        <v>0.19955626780626781</v>
      </c>
      <c r="Y6617">
        <v>118</v>
      </c>
      <c r="Z6617">
        <v>313.11962562154281</v>
      </c>
      <c r="AA6617">
        <v>198</v>
      </c>
      <c r="AB6617">
        <v>332</v>
      </c>
      <c r="AC6617">
        <v>536</v>
      </c>
      <c r="AD6617">
        <v>28.93</v>
      </c>
      <c r="AE6617">
        <v>542</v>
      </c>
      <c r="AF6617">
        <v>29</v>
      </c>
      <c r="AG6617">
        <v>166</v>
      </c>
      <c r="AH6617">
        <v>129</v>
      </c>
      <c r="AI6617">
        <v>5.35</v>
      </c>
      <c r="AJ6617">
        <v>30.63</v>
      </c>
      <c r="AK6617">
        <v>23.8</v>
      </c>
      <c r="AL6617">
        <v>-20.131250049999949</v>
      </c>
      <c r="AM6617">
        <v>-44.835592156063377</v>
      </c>
      <c r="AN6617">
        <v>-20.131250049999949</v>
      </c>
      <c r="AO6617">
        <v>-44.835592156063377</v>
      </c>
      <c r="AP6617">
        <v>-20.131063000000001</v>
      </c>
      <c r="AQ6617">
        <v>-44.835818000000003</v>
      </c>
      <c r="AR6617">
        <v>31.47647942151896</v>
      </c>
      <c r="AS6617" t="s">
        <v>65</v>
      </c>
      <c r="AT6617">
        <v>1</v>
      </c>
      <c r="AU6617" t="s">
        <v>2023</v>
      </c>
      <c r="AV6617" t="s">
        <v>2024</v>
      </c>
      <c r="AW6617" t="s">
        <v>60</v>
      </c>
      <c r="AX6617" t="s">
        <v>68</v>
      </c>
      <c r="AY6617" t="s">
        <v>69</v>
      </c>
      <c r="AZ6617" t="b">
        <v>1</v>
      </c>
    </row>
    <row r="6618" spans="1:52" x14ac:dyDescent="0.3">
      <c r="A6618" t="s">
        <v>52</v>
      </c>
      <c r="B6618" t="s">
        <v>53</v>
      </c>
      <c r="C6618" t="s">
        <v>54</v>
      </c>
      <c r="D6618" t="s">
        <v>55</v>
      </c>
      <c r="E6618" t="s">
        <v>2296</v>
      </c>
      <c r="F6618" t="s">
        <v>190</v>
      </c>
      <c r="G6618" t="s">
        <v>1808</v>
      </c>
      <c r="H6618" t="s">
        <v>1809</v>
      </c>
      <c r="I6618" t="s">
        <v>1809</v>
      </c>
      <c r="J6618" t="s">
        <v>60</v>
      </c>
      <c r="K6618" t="s">
        <v>1710</v>
      </c>
      <c r="L6618" t="s">
        <v>62</v>
      </c>
      <c r="M6618" t="s">
        <v>1710</v>
      </c>
      <c r="N6618" t="s">
        <v>1810</v>
      </c>
      <c r="O6618" t="s">
        <v>297</v>
      </c>
      <c r="P6618">
        <v>-20.144154</v>
      </c>
      <c r="Q6618">
        <v>-44.840567</v>
      </c>
      <c r="R6618" s="2" t="str">
        <f>HYPERLINK("https://www.google.com/maps?q=-20.1441540,-44.8405670","Abrir no Google Maps")</f>
        <v>Abrir no Google Maps</v>
      </c>
      <c r="S6618">
        <v>3</v>
      </c>
      <c r="T6618">
        <v>1790.4609200116779</v>
      </c>
      <c r="U6618">
        <v>4</v>
      </c>
      <c r="V6618">
        <v>0.32870017099988968</v>
      </c>
      <c r="W6618">
        <v>0.85</v>
      </c>
      <c r="X6618">
        <v>0.27939514534990623</v>
      </c>
      <c r="Y6618">
        <v>118</v>
      </c>
      <c r="Z6618">
        <v>1718.5674352993251</v>
      </c>
      <c r="AA6618">
        <v>198</v>
      </c>
      <c r="AB6618">
        <v>332</v>
      </c>
      <c r="AC6618">
        <v>536</v>
      </c>
      <c r="AD6618">
        <v>28.93</v>
      </c>
      <c r="AE6618">
        <v>542</v>
      </c>
      <c r="AF6618">
        <v>29</v>
      </c>
      <c r="AG6618">
        <v>166</v>
      </c>
      <c r="AH6618">
        <v>129</v>
      </c>
      <c r="AI6618">
        <v>5.35</v>
      </c>
      <c r="AJ6618">
        <v>30.63</v>
      </c>
      <c r="AK6618">
        <v>23.8</v>
      </c>
      <c r="AL6618">
        <v>-20.144149799999951</v>
      </c>
      <c r="AM6618">
        <v>-44.840643310374091</v>
      </c>
      <c r="AN6618">
        <v>-20.144149799999951</v>
      </c>
      <c r="AO6618">
        <v>-44.840643310374091</v>
      </c>
      <c r="AP6618">
        <v>-20.144154</v>
      </c>
      <c r="AQ6618">
        <v>-44.840567</v>
      </c>
      <c r="AR6618">
        <v>7.9889254965004346</v>
      </c>
      <c r="AS6618" t="s">
        <v>65</v>
      </c>
      <c r="AT6618">
        <v>1</v>
      </c>
      <c r="AU6618" t="s">
        <v>1811</v>
      </c>
      <c r="AV6618" t="s">
        <v>1812</v>
      </c>
      <c r="AW6618" t="s">
        <v>60</v>
      </c>
      <c r="AX6618" t="s">
        <v>68</v>
      </c>
      <c r="AY6618" t="s">
        <v>69</v>
      </c>
      <c r="AZ6618" t="b">
        <v>1</v>
      </c>
    </row>
    <row r="6619" spans="1:52" x14ac:dyDescent="0.3">
      <c r="A6619" t="s">
        <v>52</v>
      </c>
      <c r="B6619" t="s">
        <v>53</v>
      </c>
      <c r="C6619" t="s">
        <v>54</v>
      </c>
      <c r="D6619" t="s">
        <v>55</v>
      </c>
      <c r="E6619" t="s">
        <v>2296</v>
      </c>
      <c r="F6619" t="s">
        <v>190</v>
      </c>
      <c r="G6619" t="s">
        <v>2029</v>
      </c>
      <c r="H6619" t="s">
        <v>2030</v>
      </c>
      <c r="I6619" t="s">
        <v>2030</v>
      </c>
      <c r="J6619" t="s">
        <v>60</v>
      </c>
      <c r="K6619" t="s">
        <v>2010</v>
      </c>
      <c r="L6619" t="s">
        <v>62</v>
      </c>
      <c r="M6619" t="s">
        <v>2010</v>
      </c>
      <c r="N6619" t="s">
        <v>2031</v>
      </c>
      <c r="O6619" t="s">
        <v>1932</v>
      </c>
      <c r="P6619">
        <v>-20.120073000000001</v>
      </c>
      <c r="Q6619">
        <v>-44.826827000000002</v>
      </c>
      <c r="R6619" s="2" t="str">
        <f>HYPERLINK("https://www.google.com/maps?q=-20.1200730,-44.8268270","Abrir no Google Maps")</f>
        <v>Abrir no Google Maps</v>
      </c>
      <c r="S6619">
        <v>3</v>
      </c>
      <c r="T6619">
        <v>1421.006931425223</v>
      </c>
      <c r="U6619">
        <v>4</v>
      </c>
      <c r="V6619">
        <v>0.46247329059829051</v>
      </c>
      <c r="W6619">
        <v>0.85</v>
      </c>
      <c r="X6619">
        <v>0.39310229700854687</v>
      </c>
      <c r="Y6619">
        <v>118</v>
      </c>
      <c r="Z6619">
        <v>1745.512358841755</v>
      </c>
      <c r="AA6619">
        <v>198</v>
      </c>
      <c r="AB6619">
        <v>332</v>
      </c>
      <c r="AC6619">
        <v>536</v>
      </c>
      <c r="AD6619">
        <v>28.93</v>
      </c>
      <c r="AE6619">
        <v>542</v>
      </c>
      <c r="AF6619">
        <v>29</v>
      </c>
      <c r="AG6619">
        <v>166</v>
      </c>
      <c r="AH6619">
        <v>129</v>
      </c>
      <c r="AI6619">
        <v>5.35</v>
      </c>
      <c r="AJ6619">
        <v>30.63</v>
      </c>
      <c r="AK6619">
        <v>23.8</v>
      </c>
      <c r="AL6619">
        <v>-20.119513099999949</v>
      </c>
      <c r="AM6619">
        <v>-44.826965747783362</v>
      </c>
      <c r="AN6619">
        <v>-20.119513099999949</v>
      </c>
      <c r="AO6619">
        <v>-44.826965747783362</v>
      </c>
      <c r="AP6619">
        <v>-20.120073000000001</v>
      </c>
      <c r="AQ6619">
        <v>-44.826827000000002</v>
      </c>
      <c r="AR6619">
        <v>63.993137242515942</v>
      </c>
      <c r="AS6619" t="s">
        <v>65</v>
      </c>
      <c r="AT6619">
        <v>1</v>
      </c>
      <c r="AU6619" t="s">
        <v>2032</v>
      </c>
      <c r="AV6619" t="s">
        <v>2033</v>
      </c>
      <c r="AW6619" t="s">
        <v>60</v>
      </c>
      <c r="AX6619" t="s">
        <v>68</v>
      </c>
      <c r="AY6619" t="s">
        <v>69</v>
      </c>
      <c r="AZ6619" t="b">
        <v>1</v>
      </c>
    </row>
    <row r="6620" spans="1:52" x14ac:dyDescent="0.3">
      <c r="A6620" t="s">
        <v>52</v>
      </c>
      <c r="B6620" t="s">
        <v>53</v>
      </c>
      <c r="C6620" t="s">
        <v>54</v>
      </c>
      <c r="D6620" t="s">
        <v>55</v>
      </c>
      <c r="E6620" t="s">
        <v>2296</v>
      </c>
      <c r="F6620" t="s">
        <v>190</v>
      </c>
      <c r="G6620" t="s">
        <v>1193</v>
      </c>
      <c r="H6620" t="s">
        <v>2270</v>
      </c>
      <c r="I6620" t="s">
        <v>2270</v>
      </c>
      <c r="J6620" t="s">
        <v>60</v>
      </c>
      <c r="K6620" t="s">
        <v>2048</v>
      </c>
      <c r="L6620" t="s">
        <v>62</v>
      </c>
      <c r="M6620" t="s">
        <v>2048</v>
      </c>
      <c r="N6620" t="s">
        <v>2271</v>
      </c>
      <c r="O6620" t="s">
        <v>315</v>
      </c>
      <c r="P6620">
        <v>-20.196982999999999</v>
      </c>
      <c r="Q6620">
        <v>-44.957531000000003</v>
      </c>
      <c r="R6620" s="2" t="str">
        <f>HYPERLINK("https://www.google.com/maps?q=-20.1969830,-44.9575310","Abrir no Google Maps")</f>
        <v>Abrir no Google Maps</v>
      </c>
      <c r="S6620">
        <v>3</v>
      </c>
      <c r="T6620">
        <v>2081.5340148087098</v>
      </c>
      <c r="U6620">
        <v>4</v>
      </c>
      <c r="V6620">
        <v>0.3430555555555555</v>
      </c>
      <c r="W6620">
        <v>0.85</v>
      </c>
      <c r="X6620">
        <v>0.29159722222222217</v>
      </c>
      <c r="Y6620">
        <v>113</v>
      </c>
      <c r="Z6620">
        <v>1752.2311110009109</v>
      </c>
      <c r="AA6620">
        <v>198</v>
      </c>
      <c r="AB6620">
        <v>332</v>
      </c>
      <c r="AC6620">
        <v>536</v>
      </c>
      <c r="AD6620">
        <v>28.93</v>
      </c>
      <c r="AE6620">
        <v>542</v>
      </c>
      <c r="AF6620">
        <v>29</v>
      </c>
      <c r="AG6620">
        <v>166</v>
      </c>
      <c r="AH6620">
        <v>129</v>
      </c>
      <c r="AI6620">
        <v>5.35</v>
      </c>
      <c r="AJ6620">
        <v>30.63</v>
      </c>
      <c r="AK6620">
        <v>23.8</v>
      </c>
      <c r="AL6620">
        <v>-20.199864899999969</v>
      </c>
      <c r="AM6620">
        <v>-44.956270051403209</v>
      </c>
      <c r="AN6620">
        <v>-20.199864899999969</v>
      </c>
      <c r="AO6620">
        <v>-44.956270051403209</v>
      </c>
      <c r="AP6620">
        <v>-20.196982999999999</v>
      </c>
      <c r="AQ6620">
        <v>-44.957531000000003</v>
      </c>
      <c r="AR6620">
        <v>346.80718963774962</v>
      </c>
      <c r="AS6620" t="s">
        <v>65</v>
      </c>
      <c r="AT6620">
        <v>1</v>
      </c>
      <c r="AU6620" t="s">
        <v>2272</v>
      </c>
      <c r="AV6620" t="s">
        <v>2273</v>
      </c>
      <c r="AW6620" t="s">
        <v>60</v>
      </c>
      <c r="AX6620" t="s">
        <v>68</v>
      </c>
      <c r="AY6620" t="s">
        <v>69</v>
      </c>
      <c r="AZ6620" t="b">
        <v>1</v>
      </c>
    </row>
    <row r="6621" spans="1:52" x14ac:dyDescent="0.3">
      <c r="A6621" t="s">
        <v>52</v>
      </c>
      <c r="B6621" t="s">
        <v>53</v>
      </c>
      <c r="C6621" t="s">
        <v>54</v>
      </c>
      <c r="D6621" t="s">
        <v>55</v>
      </c>
      <c r="E6621" t="s">
        <v>2296</v>
      </c>
      <c r="F6621" t="s">
        <v>190</v>
      </c>
      <c r="G6621" t="s">
        <v>2034</v>
      </c>
      <c r="H6621" t="s">
        <v>2035</v>
      </c>
      <c r="I6621" t="s">
        <v>2035</v>
      </c>
      <c r="J6621" t="s">
        <v>60</v>
      </c>
      <c r="K6621" t="s">
        <v>2036</v>
      </c>
      <c r="L6621" t="s">
        <v>62</v>
      </c>
      <c r="M6621" t="s">
        <v>2036</v>
      </c>
      <c r="N6621" t="s">
        <v>2037</v>
      </c>
      <c r="O6621" t="s">
        <v>2038</v>
      </c>
      <c r="P6621">
        <v>-20.187795999999999</v>
      </c>
      <c r="Q6621">
        <v>-44.950932999999999</v>
      </c>
      <c r="R6621" s="2" t="str">
        <f>HYPERLINK("https://www.google.com/maps?q=-20.1877960,-44.9509330","Abrir no Google Maps")</f>
        <v>Abrir no Google Maps</v>
      </c>
      <c r="S6621">
        <v>3</v>
      </c>
      <c r="T6621">
        <v>1422.0314004446971</v>
      </c>
      <c r="U6621">
        <v>4</v>
      </c>
      <c r="V6621">
        <v>0.369174229532993</v>
      </c>
      <c r="W6621">
        <v>0.85</v>
      </c>
      <c r="X6621">
        <v>0.31379809510304407</v>
      </c>
      <c r="Y6621">
        <v>113</v>
      </c>
      <c r="Z6621">
        <v>1408.9974407319651</v>
      </c>
      <c r="AA6621">
        <v>198</v>
      </c>
      <c r="AB6621">
        <v>332</v>
      </c>
      <c r="AC6621">
        <v>536</v>
      </c>
      <c r="AD6621">
        <v>28.93</v>
      </c>
      <c r="AE6621">
        <v>542</v>
      </c>
      <c r="AF6621">
        <v>29</v>
      </c>
      <c r="AG6621">
        <v>166</v>
      </c>
      <c r="AH6621">
        <v>129</v>
      </c>
      <c r="AI6621">
        <v>5.35</v>
      </c>
      <c r="AJ6621">
        <v>30.63</v>
      </c>
      <c r="AK6621">
        <v>23.8</v>
      </c>
      <c r="AL6621">
        <v>-20.187850249999968</v>
      </c>
      <c r="AM6621">
        <v>-44.951024485175793</v>
      </c>
      <c r="AN6621">
        <v>-20.187850249999968</v>
      </c>
      <c r="AO6621">
        <v>-44.951024485175793</v>
      </c>
      <c r="AP6621">
        <v>-20.187795999999999</v>
      </c>
      <c r="AQ6621">
        <v>-44.950932999999999</v>
      </c>
      <c r="AR6621">
        <v>11.30643151318464</v>
      </c>
      <c r="AS6621" t="s">
        <v>65</v>
      </c>
      <c r="AT6621">
        <v>1</v>
      </c>
      <c r="AU6621" t="s">
        <v>2039</v>
      </c>
      <c r="AV6621" t="s">
        <v>2040</v>
      </c>
      <c r="AW6621" t="s">
        <v>60</v>
      </c>
      <c r="AX6621" t="s">
        <v>68</v>
      </c>
      <c r="AY6621" t="s">
        <v>69</v>
      </c>
      <c r="AZ6621" t="b">
        <v>1</v>
      </c>
    </row>
    <row r="6622" spans="1:52" x14ac:dyDescent="0.3">
      <c r="A6622" t="s">
        <v>52</v>
      </c>
      <c r="B6622" t="s">
        <v>53</v>
      </c>
      <c r="C6622" t="s">
        <v>54</v>
      </c>
      <c r="D6622" t="s">
        <v>55</v>
      </c>
      <c r="E6622" t="s">
        <v>2296</v>
      </c>
      <c r="F6622" t="s">
        <v>190</v>
      </c>
      <c r="G6622" t="s">
        <v>2041</v>
      </c>
      <c r="H6622" t="s">
        <v>2042</v>
      </c>
      <c r="I6622" t="s">
        <v>2042</v>
      </c>
      <c r="J6622" t="s">
        <v>60</v>
      </c>
      <c r="K6622" t="s">
        <v>2043</v>
      </c>
      <c r="L6622" t="s">
        <v>62</v>
      </c>
      <c r="M6622" t="s">
        <v>2043</v>
      </c>
      <c r="N6622" t="s">
        <v>2044</v>
      </c>
      <c r="O6622" t="s">
        <v>315</v>
      </c>
      <c r="P6622">
        <v>-20.188009999999998</v>
      </c>
      <c r="Q6622">
        <v>-44.977105999999999</v>
      </c>
      <c r="R6622" s="2" t="str">
        <f>HYPERLINK("https://www.google.com/maps?q=-20.1880100,-44.9771060","Abrir no Google Maps")</f>
        <v>Abrir no Google Maps</v>
      </c>
      <c r="S6622">
        <v>3</v>
      </c>
      <c r="T6622">
        <v>4071.843125038275</v>
      </c>
      <c r="U6622">
        <v>4</v>
      </c>
      <c r="V6622">
        <v>0.3649724616858237</v>
      </c>
      <c r="W6622">
        <v>0.85</v>
      </c>
      <c r="X6622">
        <v>0.31022659243295009</v>
      </c>
      <c r="Y6622">
        <v>113</v>
      </c>
      <c r="Z6622">
        <v>3944.416275976987</v>
      </c>
      <c r="AA6622">
        <v>198</v>
      </c>
      <c r="AB6622">
        <v>332</v>
      </c>
      <c r="AC6622">
        <v>536</v>
      </c>
      <c r="AD6622">
        <v>28.93</v>
      </c>
      <c r="AE6622">
        <v>542</v>
      </c>
      <c r="AF6622">
        <v>29</v>
      </c>
      <c r="AG6622">
        <v>166</v>
      </c>
      <c r="AH6622">
        <v>129</v>
      </c>
      <c r="AI6622">
        <v>5.35</v>
      </c>
      <c r="AJ6622">
        <v>30.63</v>
      </c>
      <c r="AK6622">
        <v>23.8</v>
      </c>
      <c r="AL6622">
        <v>-20.18816804999997</v>
      </c>
      <c r="AM6622">
        <v>-44.976912393565307</v>
      </c>
      <c r="AN6622">
        <v>-20.18816804999997</v>
      </c>
      <c r="AO6622">
        <v>-44.976912393565307</v>
      </c>
      <c r="AP6622">
        <v>-20.188009999999998</v>
      </c>
      <c r="AQ6622">
        <v>-44.977105999999999</v>
      </c>
      <c r="AR6622">
        <v>26.809194929544319</v>
      </c>
      <c r="AS6622" t="s">
        <v>65</v>
      </c>
      <c r="AT6622">
        <v>1</v>
      </c>
      <c r="AU6622" t="s">
        <v>2045</v>
      </c>
      <c r="AV6622" t="s">
        <v>2046</v>
      </c>
      <c r="AW6622" t="s">
        <v>60</v>
      </c>
      <c r="AX6622" t="s">
        <v>68</v>
      </c>
      <c r="AY6622" t="s">
        <v>69</v>
      </c>
      <c r="AZ6622" t="b">
        <v>1</v>
      </c>
    </row>
    <row r="6623" spans="1:52" x14ac:dyDescent="0.3">
      <c r="A6623" t="s">
        <v>52</v>
      </c>
      <c r="B6623" t="s">
        <v>53</v>
      </c>
      <c r="C6623" t="s">
        <v>54</v>
      </c>
      <c r="D6623" t="s">
        <v>55</v>
      </c>
      <c r="E6623" t="s">
        <v>2296</v>
      </c>
      <c r="F6623" t="s">
        <v>190</v>
      </c>
      <c r="G6623" t="s">
        <v>1193</v>
      </c>
      <c r="H6623" t="s">
        <v>2236</v>
      </c>
      <c r="I6623" t="s">
        <v>2236</v>
      </c>
      <c r="J6623" t="s">
        <v>60</v>
      </c>
      <c r="K6623" t="s">
        <v>2237</v>
      </c>
      <c r="L6623" t="s">
        <v>62</v>
      </c>
      <c r="M6623" t="s">
        <v>2237</v>
      </c>
      <c r="N6623" t="s">
        <v>2238</v>
      </c>
      <c r="O6623" t="s">
        <v>315</v>
      </c>
      <c r="P6623">
        <v>-20.180969999999999</v>
      </c>
      <c r="Q6623">
        <v>-44.980122000000001</v>
      </c>
      <c r="R6623" s="2" t="str">
        <f>HYPERLINK("https://www.google.com/maps?q=-20.1809700,-44.9801220","Abrir no Google Maps")</f>
        <v>Abrir no Google Maps</v>
      </c>
      <c r="S6623">
        <v>3</v>
      </c>
      <c r="T6623">
        <v>4645.851646235702</v>
      </c>
      <c r="U6623">
        <v>4</v>
      </c>
      <c r="V6623">
        <v>0.49098557692307682</v>
      </c>
      <c r="W6623">
        <v>0.85</v>
      </c>
      <c r="X6623">
        <v>0.4173377403846153</v>
      </c>
      <c r="Y6623">
        <v>113</v>
      </c>
      <c r="Z6623">
        <v>4455.2728926322416</v>
      </c>
      <c r="AA6623">
        <v>198</v>
      </c>
      <c r="AB6623">
        <v>332</v>
      </c>
      <c r="AC6623">
        <v>536</v>
      </c>
      <c r="AD6623">
        <v>28.93</v>
      </c>
      <c r="AE6623">
        <v>542</v>
      </c>
      <c r="AF6623">
        <v>29</v>
      </c>
      <c r="AG6623">
        <v>166</v>
      </c>
      <c r="AH6623">
        <v>129</v>
      </c>
      <c r="AI6623">
        <v>5.35</v>
      </c>
      <c r="AJ6623">
        <v>30.63</v>
      </c>
      <c r="AK6623">
        <v>23.8</v>
      </c>
      <c r="AL6623">
        <v>-20.180488599999961</v>
      </c>
      <c r="AM6623">
        <v>-44.980906594690779</v>
      </c>
      <c r="AN6623">
        <v>-20.180488599999961</v>
      </c>
      <c r="AO6623">
        <v>-44.980906594690779</v>
      </c>
      <c r="AP6623">
        <v>-20.180969999999999</v>
      </c>
      <c r="AQ6623">
        <v>-44.980122000000001</v>
      </c>
      <c r="AR6623">
        <v>97.940941877980521</v>
      </c>
      <c r="AS6623" t="s">
        <v>65</v>
      </c>
      <c r="AT6623">
        <v>1</v>
      </c>
      <c r="AU6623" t="s">
        <v>2239</v>
      </c>
      <c r="AV6623" t="s">
        <v>2240</v>
      </c>
      <c r="AW6623" t="s">
        <v>60</v>
      </c>
      <c r="AX6623" t="s">
        <v>68</v>
      </c>
      <c r="AY6623" t="s">
        <v>69</v>
      </c>
      <c r="AZ6623" t="b">
        <v>1</v>
      </c>
    </row>
    <row r="6624" spans="1:52" x14ac:dyDescent="0.3">
      <c r="A6624" t="s">
        <v>52</v>
      </c>
      <c r="B6624" t="s">
        <v>53</v>
      </c>
      <c r="C6624" t="s">
        <v>54</v>
      </c>
      <c r="D6624" t="s">
        <v>55</v>
      </c>
      <c r="E6624" t="s">
        <v>2296</v>
      </c>
      <c r="F6624" t="s">
        <v>190</v>
      </c>
      <c r="G6624" t="s">
        <v>1193</v>
      </c>
      <c r="H6624" t="s">
        <v>2047</v>
      </c>
      <c r="I6624" t="s">
        <v>2047</v>
      </c>
      <c r="J6624" t="s">
        <v>60</v>
      </c>
      <c r="K6624" t="s">
        <v>2048</v>
      </c>
      <c r="L6624" t="s">
        <v>62</v>
      </c>
      <c r="M6624" t="s">
        <v>2048</v>
      </c>
      <c r="N6624" t="s">
        <v>1711</v>
      </c>
      <c r="O6624" t="s">
        <v>315</v>
      </c>
      <c r="P6624">
        <v>-20.187764000000001</v>
      </c>
      <c r="Q6624">
        <v>-44.963973000000003</v>
      </c>
      <c r="R6624" s="2" t="str">
        <f>HYPERLINK("https://www.google.com/maps?q=-20.1877640,-44.9639730","Abrir no Google Maps")</f>
        <v>Abrir no Google Maps</v>
      </c>
      <c r="S6624">
        <v>3</v>
      </c>
      <c r="T6624">
        <v>2694.091551200042</v>
      </c>
      <c r="U6624">
        <v>4</v>
      </c>
      <c r="V6624">
        <v>0.48611111111111099</v>
      </c>
      <c r="W6624">
        <v>0.85</v>
      </c>
      <c r="X6624">
        <v>0.41319444444444431</v>
      </c>
      <c r="Y6624">
        <v>113</v>
      </c>
      <c r="Z6624">
        <v>2488.1773294891568</v>
      </c>
      <c r="AA6624">
        <v>198</v>
      </c>
      <c r="AB6624">
        <v>332</v>
      </c>
      <c r="AC6624">
        <v>536</v>
      </c>
      <c r="AD6624">
        <v>28.93</v>
      </c>
      <c r="AE6624">
        <v>542</v>
      </c>
      <c r="AF6624">
        <v>29</v>
      </c>
      <c r="AG6624">
        <v>166</v>
      </c>
      <c r="AH6624">
        <v>129</v>
      </c>
      <c r="AI6624">
        <v>5.35</v>
      </c>
      <c r="AJ6624">
        <v>30.63</v>
      </c>
      <c r="AK6624">
        <v>23.8</v>
      </c>
      <c r="AL6624">
        <v>-20.187617999999961</v>
      </c>
      <c r="AM6624">
        <v>-44.963513462391013</v>
      </c>
      <c r="AN6624">
        <v>-20.187617999999961</v>
      </c>
      <c r="AO6624">
        <v>-44.963513462391013</v>
      </c>
      <c r="AP6624">
        <v>-20.187764000000001</v>
      </c>
      <c r="AQ6624">
        <v>-44.963973000000003</v>
      </c>
      <c r="AR6624">
        <v>50.689343207818922</v>
      </c>
      <c r="AS6624" t="s">
        <v>65</v>
      </c>
      <c r="AT6624">
        <v>1</v>
      </c>
      <c r="AU6624" t="s">
        <v>2049</v>
      </c>
      <c r="AV6624" t="s">
        <v>2050</v>
      </c>
      <c r="AW6624" t="s">
        <v>60</v>
      </c>
      <c r="AX6624" t="s">
        <v>68</v>
      </c>
      <c r="AY6624" t="s">
        <v>69</v>
      </c>
      <c r="AZ6624" t="b">
        <v>1</v>
      </c>
    </row>
    <row r="6625" spans="1:52" x14ac:dyDescent="0.3">
      <c r="A6625" t="s">
        <v>52</v>
      </c>
      <c r="B6625" t="s">
        <v>53</v>
      </c>
      <c r="C6625" t="s">
        <v>54</v>
      </c>
      <c r="D6625" t="s">
        <v>55</v>
      </c>
      <c r="E6625" t="s">
        <v>2296</v>
      </c>
      <c r="F6625" t="s">
        <v>190</v>
      </c>
      <c r="G6625" t="s">
        <v>2051</v>
      </c>
      <c r="H6625" t="s">
        <v>2052</v>
      </c>
      <c r="I6625" t="s">
        <v>2052</v>
      </c>
      <c r="J6625" t="s">
        <v>60</v>
      </c>
      <c r="K6625" t="s">
        <v>2053</v>
      </c>
      <c r="L6625" t="s">
        <v>62</v>
      </c>
      <c r="M6625" t="s">
        <v>2053</v>
      </c>
      <c r="N6625" t="s">
        <v>2054</v>
      </c>
      <c r="O6625" t="s">
        <v>1373</v>
      </c>
      <c r="P6625">
        <v>-20.199961999999999</v>
      </c>
      <c r="Q6625">
        <v>-44.924002999999999</v>
      </c>
      <c r="R6625" s="2" t="str">
        <f>HYPERLINK("https://www.google.com/maps?q=-20.1999620,-44.9240030","Abrir no Google Maps")</f>
        <v>Abrir no Google Maps</v>
      </c>
      <c r="S6625">
        <v>3</v>
      </c>
      <c r="T6625">
        <v>1745.0796238990249</v>
      </c>
      <c r="U6625">
        <v>4</v>
      </c>
      <c r="V6625">
        <v>0.34995082175264919</v>
      </c>
      <c r="W6625">
        <v>0.85</v>
      </c>
      <c r="X6625">
        <v>0.2974581984897518</v>
      </c>
      <c r="Y6625">
        <v>113</v>
      </c>
      <c r="Z6625">
        <v>1847.2276352920239</v>
      </c>
      <c r="AA6625">
        <v>198</v>
      </c>
      <c r="AB6625">
        <v>332</v>
      </c>
      <c r="AC6625">
        <v>536</v>
      </c>
      <c r="AD6625">
        <v>28.93</v>
      </c>
      <c r="AE6625">
        <v>542</v>
      </c>
      <c r="AF6625">
        <v>29</v>
      </c>
      <c r="AG6625">
        <v>166</v>
      </c>
      <c r="AH6625">
        <v>129</v>
      </c>
      <c r="AI6625">
        <v>5.35</v>
      </c>
      <c r="AJ6625">
        <v>30.63</v>
      </c>
      <c r="AK6625">
        <v>23.8</v>
      </c>
      <c r="AL6625">
        <v>-20.20027129999994</v>
      </c>
      <c r="AM6625">
        <v>-44.923912195320469</v>
      </c>
      <c r="AN6625">
        <v>-20.20027129999994</v>
      </c>
      <c r="AO6625">
        <v>-44.923912195320469</v>
      </c>
      <c r="AP6625">
        <v>-20.199961999999999</v>
      </c>
      <c r="AQ6625">
        <v>-44.924002999999999</v>
      </c>
      <c r="AR6625">
        <v>35.714266260335641</v>
      </c>
      <c r="AS6625" t="s">
        <v>65</v>
      </c>
      <c r="AT6625">
        <v>1</v>
      </c>
      <c r="AU6625" t="s">
        <v>2055</v>
      </c>
      <c r="AV6625" t="s">
        <v>2056</v>
      </c>
      <c r="AW6625" t="s">
        <v>60</v>
      </c>
      <c r="AX6625" t="s">
        <v>68</v>
      </c>
      <c r="AY6625" t="s">
        <v>69</v>
      </c>
      <c r="AZ6625" t="b">
        <v>1</v>
      </c>
    </row>
    <row r="6626" spans="1:52" x14ac:dyDescent="0.3">
      <c r="A6626" t="s">
        <v>52</v>
      </c>
      <c r="B6626" t="s">
        <v>53</v>
      </c>
      <c r="C6626" t="s">
        <v>54</v>
      </c>
      <c r="D6626" t="s">
        <v>55</v>
      </c>
      <c r="E6626" t="s">
        <v>2296</v>
      </c>
      <c r="F6626" t="s">
        <v>190</v>
      </c>
      <c r="G6626" t="s">
        <v>1819</v>
      </c>
      <c r="H6626" t="s">
        <v>1820</v>
      </c>
      <c r="I6626" t="s">
        <v>1820</v>
      </c>
      <c r="J6626" t="s">
        <v>60</v>
      </c>
      <c r="K6626" t="s">
        <v>1821</v>
      </c>
      <c r="L6626" t="s">
        <v>62</v>
      </c>
      <c r="M6626" t="s">
        <v>1821</v>
      </c>
      <c r="N6626" t="s">
        <v>1822</v>
      </c>
      <c r="O6626" t="s">
        <v>250</v>
      </c>
      <c r="P6626">
        <v>-20.206074999999998</v>
      </c>
      <c r="Q6626">
        <v>-44.923881999999999</v>
      </c>
      <c r="R6626" s="2" t="str">
        <f>HYPERLINK("https://www.google.com/maps?q=-20.2060750,-44.9238820","Abrir no Google Maps")</f>
        <v>Abrir no Google Maps</v>
      </c>
      <c r="S6626">
        <v>3</v>
      </c>
      <c r="T6626">
        <v>2167.614130207975</v>
      </c>
      <c r="U6626">
        <v>4</v>
      </c>
      <c r="V6626">
        <v>0.31352079072937977</v>
      </c>
      <c r="W6626">
        <v>1</v>
      </c>
      <c r="X6626">
        <v>0.31352079072937977</v>
      </c>
      <c r="Y6626">
        <v>113</v>
      </c>
      <c r="Z6626">
        <v>2279.572967498636</v>
      </c>
      <c r="AA6626">
        <v>198</v>
      </c>
      <c r="AB6626">
        <v>332</v>
      </c>
      <c r="AC6626">
        <v>536</v>
      </c>
      <c r="AD6626">
        <v>28.93</v>
      </c>
      <c r="AE6626">
        <v>542</v>
      </c>
      <c r="AF6626">
        <v>29</v>
      </c>
      <c r="AG6626">
        <v>166</v>
      </c>
      <c r="AH6626">
        <v>129</v>
      </c>
      <c r="AI6626">
        <v>5.35</v>
      </c>
      <c r="AJ6626">
        <v>30.63</v>
      </c>
      <c r="AK6626">
        <v>23.8</v>
      </c>
      <c r="AL6626">
        <v>-20.206031099999961</v>
      </c>
      <c r="AM6626">
        <v>-44.923641529947623</v>
      </c>
      <c r="AN6626">
        <v>-20.206031099999961</v>
      </c>
      <c r="AO6626">
        <v>-44.923641529947623</v>
      </c>
      <c r="AP6626">
        <v>-20.206074999999998</v>
      </c>
      <c r="AQ6626">
        <v>-44.923881999999999</v>
      </c>
      <c r="AR6626">
        <v>25.59258324329182</v>
      </c>
      <c r="AS6626" t="s">
        <v>65</v>
      </c>
      <c r="AT6626">
        <v>1</v>
      </c>
      <c r="AU6626" t="s">
        <v>1823</v>
      </c>
      <c r="AV6626" t="s">
        <v>1824</v>
      </c>
      <c r="AW6626" t="s">
        <v>60</v>
      </c>
      <c r="AX6626" t="s">
        <v>68</v>
      </c>
      <c r="AY6626" t="s">
        <v>69</v>
      </c>
      <c r="AZ6626" t="b">
        <v>1</v>
      </c>
    </row>
    <row r="6627" spans="1:52" x14ac:dyDescent="0.3">
      <c r="A6627" t="s">
        <v>52</v>
      </c>
      <c r="B6627" t="s">
        <v>53</v>
      </c>
      <c r="C6627" t="s">
        <v>54</v>
      </c>
      <c r="D6627" t="s">
        <v>55</v>
      </c>
      <c r="E6627" t="s">
        <v>2296</v>
      </c>
      <c r="F6627" t="s">
        <v>190</v>
      </c>
      <c r="G6627" t="s">
        <v>1825</v>
      </c>
      <c r="H6627" t="s">
        <v>1826</v>
      </c>
      <c r="I6627" t="s">
        <v>1826</v>
      </c>
      <c r="J6627" t="s">
        <v>60</v>
      </c>
      <c r="K6627" t="s">
        <v>1821</v>
      </c>
      <c r="L6627" t="s">
        <v>62</v>
      </c>
      <c r="M6627" t="s">
        <v>1821</v>
      </c>
      <c r="N6627" t="s">
        <v>1827</v>
      </c>
      <c r="O6627" t="s">
        <v>303</v>
      </c>
      <c r="P6627">
        <v>-20.209962000000001</v>
      </c>
      <c r="Q6627">
        <v>-44.922398000000001</v>
      </c>
      <c r="R6627" s="2" t="str">
        <f>HYPERLINK("https://www.google.com/maps?q=-20.2099620,-44.9223980","Abrir no Google Maps")</f>
        <v>Abrir no Google Maps</v>
      </c>
      <c r="S6627">
        <v>3</v>
      </c>
      <c r="T6627">
        <v>2648.9288862562971</v>
      </c>
      <c r="U6627">
        <v>4</v>
      </c>
      <c r="V6627">
        <v>0.3529981878736847</v>
      </c>
      <c r="W6627">
        <v>1</v>
      </c>
      <c r="X6627">
        <v>0.3529981878736847</v>
      </c>
      <c r="Y6627">
        <v>113</v>
      </c>
      <c r="Z6627">
        <v>2658.455493028307</v>
      </c>
      <c r="AA6627">
        <v>198</v>
      </c>
      <c r="AB6627">
        <v>332</v>
      </c>
      <c r="AC6627">
        <v>536</v>
      </c>
      <c r="AD6627">
        <v>28.93</v>
      </c>
      <c r="AE6627">
        <v>542</v>
      </c>
      <c r="AF6627">
        <v>29</v>
      </c>
      <c r="AG6627">
        <v>166</v>
      </c>
      <c r="AH6627">
        <v>129</v>
      </c>
      <c r="AI6627">
        <v>5.35</v>
      </c>
      <c r="AJ6627">
        <v>30.63</v>
      </c>
      <c r="AK6627">
        <v>23.8</v>
      </c>
      <c r="AL6627">
        <v>-20.210291849999951</v>
      </c>
      <c r="AM6627">
        <v>-44.921758447931353</v>
      </c>
      <c r="AN6627">
        <v>-20.210291849999951</v>
      </c>
      <c r="AO6627">
        <v>-44.921758447931353</v>
      </c>
      <c r="AP6627">
        <v>-20.209962000000001</v>
      </c>
      <c r="AQ6627">
        <v>-44.922398000000001</v>
      </c>
      <c r="AR6627">
        <v>76.23686013355892</v>
      </c>
      <c r="AS6627" t="s">
        <v>65</v>
      </c>
      <c r="AT6627">
        <v>1</v>
      </c>
      <c r="AU6627" t="s">
        <v>1828</v>
      </c>
      <c r="AV6627" t="s">
        <v>1829</v>
      </c>
      <c r="AW6627" t="s">
        <v>60</v>
      </c>
      <c r="AX6627" t="s">
        <v>68</v>
      </c>
      <c r="AY6627" t="s">
        <v>69</v>
      </c>
      <c r="AZ6627" t="b">
        <v>1</v>
      </c>
    </row>
    <row r="6628" spans="1:52" x14ac:dyDescent="0.3">
      <c r="A6628" t="s">
        <v>52</v>
      </c>
      <c r="B6628" t="s">
        <v>53</v>
      </c>
      <c r="C6628" t="s">
        <v>54</v>
      </c>
      <c r="D6628" t="s">
        <v>55</v>
      </c>
      <c r="E6628" t="s">
        <v>2296</v>
      </c>
      <c r="F6628" t="s">
        <v>190</v>
      </c>
      <c r="G6628" t="s">
        <v>2057</v>
      </c>
      <c r="H6628" t="s">
        <v>2058</v>
      </c>
      <c r="I6628" t="s">
        <v>2058</v>
      </c>
      <c r="J6628" t="s">
        <v>60</v>
      </c>
      <c r="K6628" t="s">
        <v>1237</v>
      </c>
      <c r="L6628" t="s">
        <v>62</v>
      </c>
      <c r="M6628" t="s">
        <v>1237</v>
      </c>
      <c r="N6628" t="s">
        <v>2059</v>
      </c>
      <c r="O6628" t="s">
        <v>315</v>
      </c>
      <c r="P6628">
        <v>-20.198418</v>
      </c>
      <c r="Q6628">
        <v>-44.937344000000003</v>
      </c>
      <c r="R6628" s="2" t="str">
        <f>HYPERLINK("https://www.google.com/maps?q=-20.1984180,-44.9373440","Abrir no Google Maps")</f>
        <v>Abrir no Google Maps</v>
      </c>
      <c r="S6628">
        <v>3</v>
      </c>
      <c r="T6628">
        <v>681.20132559707884</v>
      </c>
      <c r="U6628">
        <v>4</v>
      </c>
      <c r="V6628">
        <v>0.32653954802259899</v>
      </c>
      <c r="W6628">
        <v>0.85</v>
      </c>
      <c r="X6628">
        <v>0.27755861581920921</v>
      </c>
      <c r="Y6628">
        <v>113</v>
      </c>
      <c r="Z6628">
        <v>639.34162859061189</v>
      </c>
      <c r="AA6628">
        <v>198</v>
      </c>
      <c r="AB6628">
        <v>332</v>
      </c>
      <c r="AC6628">
        <v>536</v>
      </c>
      <c r="AD6628">
        <v>28.93</v>
      </c>
      <c r="AE6628">
        <v>542</v>
      </c>
      <c r="AF6628">
        <v>29</v>
      </c>
      <c r="AG6628">
        <v>166</v>
      </c>
      <c r="AH6628">
        <v>129</v>
      </c>
      <c r="AI6628">
        <v>5.35</v>
      </c>
      <c r="AJ6628">
        <v>30.63</v>
      </c>
      <c r="AK6628">
        <v>23.8</v>
      </c>
      <c r="AL6628">
        <v>-20.198113949999939</v>
      </c>
      <c r="AM6628">
        <v>-44.937138435092578</v>
      </c>
      <c r="AN6628">
        <v>-20.198113949999939</v>
      </c>
      <c r="AO6628">
        <v>-44.937138435092578</v>
      </c>
      <c r="AP6628">
        <v>-20.198418</v>
      </c>
      <c r="AQ6628">
        <v>-44.937344000000003</v>
      </c>
      <c r="AR6628">
        <v>40.085388434380476</v>
      </c>
      <c r="AS6628" t="s">
        <v>65</v>
      </c>
      <c r="AT6628">
        <v>1</v>
      </c>
      <c r="AU6628" t="s">
        <v>2060</v>
      </c>
      <c r="AV6628" t="s">
        <v>2061</v>
      </c>
      <c r="AW6628" t="s">
        <v>60</v>
      </c>
      <c r="AX6628" t="s">
        <v>68</v>
      </c>
      <c r="AY6628" t="s">
        <v>69</v>
      </c>
      <c r="AZ6628" t="b">
        <v>1</v>
      </c>
    </row>
    <row r="6629" spans="1:52" x14ac:dyDescent="0.3">
      <c r="A6629" t="s">
        <v>52</v>
      </c>
      <c r="B6629" t="s">
        <v>53</v>
      </c>
      <c r="C6629" t="s">
        <v>54</v>
      </c>
      <c r="D6629" t="s">
        <v>55</v>
      </c>
      <c r="E6629" t="s">
        <v>2296</v>
      </c>
      <c r="F6629" t="s">
        <v>190</v>
      </c>
      <c r="G6629" t="s">
        <v>1830</v>
      </c>
      <c r="H6629" t="s">
        <v>1831</v>
      </c>
      <c r="I6629" t="s">
        <v>1831</v>
      </c>
      <c r="J6629" t="s">
        <v>60</v>
      </c>
      <c r="K6629" t="s">
        <v>1243</v>
      </c>
      <c r="L6629" t="s">
        <v>62</v>
      </c>
      <c r="M6629" t="s">
        <v>1243</v>
      </c>
      <c r="N6629" t="s">
        <v>1832</v>
      </c>
      <c r="O6629" t="s">
        <v>1833</v>
      </c>
      <c r="P6629">
        <v>-20.196815999999998</v>
      </c>
      <c r="Q6629">
        <v>-44.940482000000003</v>
      </c>
      <c r="R6629" s="2" t="str">
        <f>HYPERLINK("https://www.google.com/maps?q=-20.1968160,-44.9404820","Abrir no Google Maps")</f>
        <v>Abrir no Google Maps</v>
      </c>
      <c r="S6629">
        <v>3</v>
      </c>
      <c r="T6629">
        <v>536.34378309151361</v>
      </c>
      <c r="U6629">
        <v>4</v>
      </c>
      <c r="V6629">
        <v>0.34915694556181281</v>
      </c>
      <c r="W6629">
        <v>1</v>
      </c>
      <c r="X6629">
        <v>0.34915694556181281</v>
      </c>
      <c r="Y6629">
        <v>113</v>
      </c>
      <c r="Z6629">
        <v>376.90325621866373</v>
      </c>
      <c r="AA6629">
        <v>198</v>
      </c>
      <c r="AB6629">
        <v>332</v>
      </c>
      <c r="AC6629">
        <v>536</v>
      </c>
      <c r="AD6629">
        <v>28.93</v>
      </c>
      <c r="AE6629">
        <v>542</v>
      </c>
      <c r="AF6629">
        <v>29</v>
      </c>
      <c r="AG6629">
        <v>166</v>
      </c>
      <c r="AH6629">
        <v>129</v>
      </c>
      <c r="AI6629">
        <v>5.35</v>
      </c>
      <c r="AJ6629">
        <v>30.63</v>
      </c>
      <c r="AK6629">
        <v>23.8</v>
      </c>
      <c r="AL6629">
        <v>-20.196517149999949</v>
      </c>
      <c r="AM6629">
        <v>-44.94010487355537</v>
      </c>
      <c r="AN6629">
        <v>-20.196517149999949</v>
      </c>
      <c r="AO6629">
        <v>-44.94010487355537</v>
      </c>
      <c r="AP6629">
        <v>-20.196815999999998</v>
      </c>
      <c r="AQ6629">
        <v>-44.940482000000003</v>
      </c>
      <c r="AR6629">
        <v>51.566969969189948</v>
      </c>
      <c r="AS6629" t="s">
        <v>65</v>
      </c>
      <c r="AT6629">
        <v>1</v>
      </c>
      <c r="AU6629" t="s">
        <v>1834</v>
      </c>
      <c r="AV6629" t="s">
        <v>1835</v>
      </c>
      <c r="AW6629" t="s">
        <v>60</v>
      </c>
      <c r="AX6629" t="s">
        <v>68</v>
      </c>
      <c r="AY6629" t="s">
        <v>69</v>
      </c>
      <c r="AZ6629" t="b">
        <v>1</v>
      </c>
    </row>
    <row r="6630" spans="1:52" x14ac:dyDescent="0.3">
      <c r="A6630" t="s">
        <v>52</v>
      </c>
      <c r="B6630" t="s">
        <v>53</v>
      </c>
      <c r="C6630" t="s">
        <v>54</v>
      </c>
      <c r="D6630" t="s">
        <v>55</v>
      </c>
      <c r="E6630" t="s">
        <v>2296</v>
      </c>
      <c r="F6630" t="s">
        <v>190</v>
      </c>
      <c r="G6630" t="s">
        <v>1836</v>
      </c>
      <c r="H6630" t="s">
        <v>1837</v>
      </c>
      <c r="I6630" t="s">
        <v>1837</v>
      </c>
      <c r="J6630" t="s">
        <v>60</v>
      </c>
      <c r="K6630" t="s">
        <v>1243</v>
      </c>
      <c r="L6630" t="s">
        <v>62</v>
      </c>
      <c r="M6630" t="s">
        <v>1243</v>
      </c>
      <c r="N6630" t="s">
        <v>1838</v>
      </c>
      <c r="O6630" t="s">
        <v>1839</v>
      </c>
      <c r="P6630">
        <v>-20.194417999999999</v>
      </c>
      <c r="Q6630">
        <v>-44.943080999999999</v>
      </c>
      <c r="R6630" s="2" t="str">
        <f>HYPERLINK("https://www.google.com/maps?q=-20.1944180,-44.9430810","Abrir no Google Maps")</f>
        <v>Abrir no Google Maps</v>
      </c>
      <c r="S6630">
        <v>3</v>
      </c>
      <c r="T6630">
        <v>570.3426559957137</v>
      </c>
      <c r="U6630">
        <v>4</v>
      </c>
      <c r="V6630">
        <v>0.34626639678654358</v>
      </c>
      <c r="W6630">
        <v>1</v>
      </c>
      <c r="X6630">
        <v>0.34626639678654358</v>
      </c>
      <c r="Y6630">
        <v>113</v>
      </c>
      <c r="Z6630">
        <v>342.73864025959449</v>
      </c>
      <c r="AA6630">
        <v>198</v>
      </c>
      <c r="AB6630">
        <v>332</v>
      </c>
      <c r="AC6630">
        <v>536</v>
      </c>
      <c r="AD6630">
        <v>28.93</v>
      </c>
      <c r="AE6630">
        <v>542</v>
      </c>
      <c r="AF6630">
        <v>29</v>
      </c>
      <c r="AG6630">
        <v>166</v>
      </c>
      <c r="AH6630">
        <v>129</v>
      </c>
      <c r="AI6630">
        <v>5.35</v>
      </c>
      <c r="AJ6630">
        <v>30.63</v>
      </c>
      <c r="AK6630">
        <v>23.8</v>
      </c>
      <c r="AL6630">
        <v>-20.194494749999929</v>
      </c>
      <c r="AM6630">
        <v>-44.942951635393733</v>
      </c>
      <c r="AN6630">
        <v>-20.194494749999929</v>
      </c>
      <c r="AO6630">
        <v>-44.942951635393733</v>
      </c>
      <c r="AP6630">
        <v>-20.194417999999999</v>
      </c>
      <c r="AQ6630">
        <v>-44.943080999999999</v>
      </c>
      <c r="AR6630">
        <v>15.9896188813922</v>
      </c>
      <c r="AS6630" t="s">
        <v>65</v>
      </c>
      <c r="AT6630">
        <v>1</v>
      </c>
      <c r="AU6630" t="s">
        <v>1840</v>
      </c>
      <c r="AV6630" t="s">
        <v>1841</v>
      </c>
      <c r="AW6630" t="s">
        <v>60</v>
      </c>
      <c r="AX6630" t="s">
        <v>68</v>
      </c>
      <c r="AY6630" t="s">
        <v>69</v>
      </c>
      <c r="AZ6630" t="b">
        <v>1</v>
      </c>
    </row>
    <row r="6631" spans="1:52" x14ac:dyDescent="0.3">
      <c r="A6631" t="s">
        <v>52</v>
      </c>
      <c r="B6631" t="s">
        <v>53</v>
      </c>
      <c r="C6631" t="s">
        <v>54</v>
      </c>
      <c r="D6631" t="s">
        <v>55</v>
      </c>
      <c r="E6631" t="s">
        <v>2296</v>
      </c>
      <c r="F6631" t="s">
        <v>190</v>
      </c>
      <c r="G6631" t="s">
        <v>1235</v>
      </c>
      <c r="H6631" t="s">
        <v>1236</v>
      </c>
      <c r="I6631" t="s">
        <v>1236</v>
      </c>
      <c r="J6631" t="s">
        <v>60</v>
      </c>
      <c r="K6631" t="s">
        <v>1237</v>
      </c>
      <c r="L6631" t="s">
        <v>62</v>
      </c>
      <c r="M6631" t="s">
        <v>1237</v>
      </c>
      <c r="N6631" t="s">
        <v>1238</v>
      </c>
      <c r="O6631" t="s">
        <v>315</v>
      </c>
      <c r="P6631">
        <v>-20.199687000000001</v>
      </c>
      <c r="Q6631">
        <v>-44.941882999999997</v>
      </c>
      <c r="R6631" s="2" t="str">
        <f>HYPERLINK("https://www.google.com/maps?q=-20.1996870,-44.9418830","Abrir no Google Maps")</f>
        <v>Abrir no Google Maps</v>
      </c>
      <c r="S6631">
        <v>3</v>
      </c>
      <c r="T6631">
        <v>928.80393950893483</v>
      </c>
      <c r="U6631">
        <v>4</v>
      </c>
      <c r="V6631">
        <v>0.32961985653860398</v>
      </c>
      <c r="W6631">
        <v>1</v>
      </c>
      <c r="X6631">
        <v>0.32961985653860398</v>
      </c>
      <c r="Y6631">
        <v>113</v>
      </c>
      <c r="Z6631">
        <v>798.11967422937732</v>
      </c>
      <c r="AA6631">
        <v>198</v>
      </c>
      <c r="AB6631">
        <v>332</v>
      </c>
      <c r="AC6631">
        <v>536</v>
      </c>
      <c r="AD6631">
        <v>28.93</v>
      </c>
      <c r="AE6631">
        <v>542</v>
      </c>
      <c r="AF6631">
        <v>29</v>
      </c>
      <c r="AG6631">
        <v>166</v>
      </c>
      <c r="AH6631">
        <v>129</v>
      </c>
      <c r="AI6631">
        <v>5.35</v>
      </c>
      <c r="AJ6631">
        <v>30.63</v>
      </c>
      <c r="AK6631">
        <v>23.8</v>
      </c>
      <c r="AL6631">
        <v>-20.199663899999958</v>
      </c>
      <c r="AM6631">
        <v>-44.941858448694838</v>
      </c>
      <c r="AN6631">
        <v>-20.199663899999958</v>
      </c>
      <c r="AO6631">
        <v>-44.941858448694838</v>
      </c>
      <c r="AP6631">
        <v>-20.199687000000001</v>
      </c>
      <c r="AQ6631">
        <v>-44.941882999999997</v>
      </c>
      <c r="AR6631">
        <v>3.632019521873886</v>
      </c>
      <c r="AS6631" t="s">
        <v>65</v>
      </c>
      <c r="AT6631">
        <v>1</v>
      </c>
      <c r="AU6631" t="s">
        <v>1239</v>
      </c>
      <c r="AV6631" t="s">
        <v>1240</v>
      </c>
      <c r="AW6631" t="s">
        <v>60</v>
      </c>
      <c r="AX6631" t="s">
        <v>68</v>
      </c>
      <c r="AY6631" t="s">
        <v>69</v>
      </c>
      <c r="AZ6631" t="b">
        <v>1</v>
      </c>
    </row>
    <row r="6632" spans="1:52" x14ac:dyDescent="0.3">
      <c r="A6632" t="s">
        <v>52</v>
      </c>
      <c r="B6632" t="s">
        <v>53</v>
      </c>
      <c r="C6632" t="s">
        <v>54</v>
      </c>
      <c r="D6632" t="s">
        <v>55</v>
      </c>
      <c r="E6632" t="s">
        <v>2296</v>
      </c>
      <c r="F6632" t="s">
        <v>190</v>
      </c>
      <c r="G6632" t="s">
        <v>2062</v>
      </c>
      <c r="H6632" t="s">
        <v>2063</v>
      </c>
      <c r="I6632" t="s">
        <v>2063</v>
      </c>
      <c r="J6632" t="s">
        <v>60</v>
      </c>
      <c r="K6632" t="s">
        <v>1237</v>
      </c>
      <c r="L6632" t="s">
        <v>62</v>
      </c>
      <c r="M6632" t="s">
        <v>1237</v>
      </c>
      <c r="N6632" t="s">
        <v>2064</v>
      </c>
      <c r="O6632" t="s">
        <v>2065</v>
      </c>
      <c r="P6632">
        <v>-20.199923999999999</v>
      </c>
      <c r="Q6632">
        <v>-44.945999999999998</v>
      </c>
      <c r="R6632" s="2" t="str">
        <f>HYPERLINK("https://www.google.com/maps?q=-20.1999240,-44.9460000","Abrir no Google Maps")</f>
        <v>Abrir no Google Maps</v>
      </c>
      <c r="S6632">
        <v>3</v>
      </c>
      <c r="T6632">
        <v>1216.1967888086051</v>
      </c>
      <c r="U6632">
        <v>4</v>
      </c>
      <c r="V6632">
        <v>0.33794642857142859</v>
      </c>
      <c r="W6632">
        <v>0.85</v>
      </c>
      <c r="X6632">
        <v>0.28725446428571427</v>
      </c>
      <c r="Y6632">
        <v>113</v>
      </c>
      <c r="Z6632">
        <v>968.58538409204391</v>
      </c>
      <c r="AA6632">
        <v>198</v>
      </c>
      <c r="AB6632">
        <v>332</v>
      </c>
      <c r="AC6632">
        <v>536</v>
      </c>
      <c r="AD6632">
        <v>28.93</v>
      </c>
      <c r="AE6632">
        <v>542</v>
      </c>
      <c r="AF6632">
        <v>29</v>
      </c>
      <c r="AG6632">
        <v>166</v>
      </c>
      <c r="AH6632">
        <v>129</v>
      </c>
      <c r="AI6632">
        <v>5.35</v>
      </c>
      <c r="AJ6632">
        <v>30.63</v>
      </c>
      <c r="AK6632">
        <v>23.8</v>
      </c>
      <c r="AL6632">
        <v>-20.199893249999949</v>
      </c>
      <c r="AM6632">
        <v>-44.946291931421001</v>
      </c>
      <c r="AN6632">
        <v>-20.199893249999949</v>
      </c>
      <c r="AO6632">
        <v>-44.946291931421001</v>
      </c>
      <c r="AP6632">
        <v>-20.199923999999999</v>
      </c>
      <c r="AQ6632">
        <v>-44.945999999999998</v>
      </c>
      <c r="AR6632">
        <v>30.690481010373571</v>
      </c>
      <c r="AS6632" t="s">
        <v>65</v>
      </c>
      <c r="AT6632">
        <v>1</v>
      </c>
      <c r="AU6632" t="s">
        <v>2066</v>
      </c>
      <c r="AV6632" t="s">
        <v>2067</v>
      </c>
      <c r="AW6632" t="s">
        <v>60</v>
      </c>
      <c r="AX6632" t="s">
        <v>68</v>
      </c>
      <c r="AY6632" t="s">
        <v>69</v>
      </c>
      <c r="AZ6632" t="b">
        <v>1</v>
      </c>
    </row>
    <row r="6633" spans="1:52" x14ac:dyDescent="0.3">
      <c r="A6633" t="s">
        <v>52</v>
      </c>
      <c r="B6633" t="s">
        <v>53</v>
      </c>
      <c r="C6633" t="s">
        <v>54</v>
      </c>
      <c r="D6633" t="s">
        <v>55</v>
      </c>
      <c r="E6633" t="s">
        <v>2296</v>
      </c>
      <c r="F6633" t="s">
        <v>190</v>
      </c>
      <c r="G6633" t="s">
        <v>1842</v>
      </c>
      <c r="H6633" t="s">
        <v>1843</v>
      </c>
      <c r="I6633" t="s">
        <v>1843</v>
      </c>
      <c r="J6633" t="s">
        <v>60</v>
      </c>
      <c r="K6633" t="s">
        <v>1243</v>
      </c>
      <c r="L6633" t="s">
        <v>62</v>
      </c>
      <c r="M6633" t="s">
        <v>1243</v>
      </c>
      <c r="N6633" t="s">
        <v>1844</v>
      </c>
      <c r="O6633" t="s">
        <v>598</v>
      </c>
      <c r="P6633">
        <v>-20.191507999999999</v>
      </c>
      <c r="Q6633">
        <v>-44.942765000000001</v>
      </c>
      <c r="R6633" s="2" t="str">
        <f>HYPERLINK("https://www.google.com/maps?q=-20.1915080,-44.9427650","Abrir no Google Maps")</f>
        <v>Abrir no Google Maps</v>
      </c>
      <c r="S6633">
        <v>3</v>
      </c>
      <c r="T6633">
        <v>481.65843439031818</v>
      </c>
      <c r="U6633">
        <v>4</v>
      </c>
      <c r="V6633">
        <v>0.34368753123438278</v>
      </c>
      <c r="W6633">
        <v>1</v>
      </c>
      <c r="X6633">
        <v>0.34368753123438278</v>
      </c>
      <c r="Y6633">
        <v>113</v>
      </c>
      <c r="Z6633">
        <v>403.01657911729887</v>
      </c>
      <c r="AA6633">
        <v>198</v>
      </c>
      <c r="AB6633">
        <v>332</v>
      </c>
      <c r="AC6633">
        <v>536</v>
      </c>
      <c r="AD6633">
        <v>28.93</v>
      </c>
      <c r="AE6633">
        <v>542</v>
      </c>
      <c r="AF6633">
        <v>29</v>
      </c>
      <c r="AG6633">
        <v>166</v>
      </c>
      <c r="AH6633">
        <v>129</v>
      </c>
      <c r="AI6633">
        <v>5.35</v>
      </c>
      <c r="AJ6633">
        <v>30.63</v>
      </c>
      <c r="AK6633">
        <v>23.8</v>
      </c>
      <c r="AL6633">
        <v>-20.19144764999993</v>
      </c>
      <c r="AM6633">
        <v>-44.942723431709183</v>
      </c>
      <c r="AN6633">
        <v>-20.19144764999993</v>
      </c>
      <c r="AO6633">
        <v>-44.942723431709183</v>
      </c>
      <c r="AP6633">
        <v>-20.191507999999999</v>
      </c>
      <c r="AQ6633">
        <v>-44.942765000000001</v>
      </c>
      <c r="AR6633">
        <v>7.9997116897974587</v>
      </c>
      <c r="AS6633" t="s">
        <v>65</v>
      </c>
      <c r="AT6633">
        <v>1</v>
      </c>
      <c r="AU6633" t="s">
        <v>1845</v>
      </c>
      <c r="AV6633" t="s">
        <v>1846</v>
      </c>
      <c r="AW6633" t="s">
        <v>60</v>
      </c>
      <c r="AX6633" t="s">
        <v>68</v>
      </c>
      <c r="AY6633" t="s">
        <v>69</v>
      </c>
      <c r="AZ6633" t="b">
        <v>1</v>
      </c>
    </row>
    <row r="6634" spans="1:52" x14ac:dyDescent="0.3">
      <c r="A6634" t="s">
        <v>52</v>
      </c>
      <c r="B6634" t="s">
        <v>53</v>
      </c>
      <c r="C6634" t="s">
        <v>54</v>
      </c>
      <c r="D6634" t="s">
        <v>55</v>
      </c>
      <c r="E6634" t="s">
        <v>2296</v>
      </c>
      <c r="F6634" t="s">
        <v>190</v>
      </c>
      <c r="G6634" t="s">
        <v>1241</v>
      </c>
      <c r="H6634" t="s">
        <v>1242</v>
      </c>
      <c r="I6634" t="s">
        <v>1242</v>
      </c>
      <c r="J6634" t="s">
        <v>60</v>
      </c>
      <c r="K6634" t="s">
        <v>1243</v>
      </c>
      <c r="L6634" t="s">
        <v>62</v>
      </c>
      <c r="M6634" t="s">
        <v>1243</v>
      </c>
      <c r="N6634" t="s">
        <v>1244</v>
      </c>
      <c r="O6634" t="s">
        <v>315</v>
      </c>
      <c r="P6634">
        <v>-20.188538000000001</v>
      </c>
      <c r="Q6634">
        <v>-44.930104</v>
      </c>
      <c r="R6634" s="2" t="str">
        <f>HYPERLINK("https://www.google.com/maps?q=-20.1885380,-44.9301040","Abrir no Google Maps")</f>
        <v>Abrir no Google Maps</v>
      </c>
      <c r="S6634">
        <v>3</v>
      </c>
      <c r="T6634">
        <v>928.27105405717066</v>
      </c>
      <c r="U6634">
        <v>4</v>
      </c>
      <c r="V6634">
        <v>0.32878901118811421</v>
      </c>
      <c r="W6634">
        <v>1</v>
      </c>
      <c r="X6634">
        <v>0.32878901118811421</v>
      </c>
      <c r="Y6634">
        <v>113</v>
      </c>
      <c r="Z6634">
        <v>1111.4269393179579</v>
      </c>
      <c r="AA6634">
        <v>198</v>
      </c>
      <c r="AB6634">
        <v>332</v>
      </c>
      <c r="AC6634">
        <v>536</v>
      </c>
      <c r="AD6634">
        <v>28.93</v>
      </c>
      <c r="AE6634">
        <v>542</v>
      </c>
      <c r="AF6634">
        <v>29</v>
      </c>
      <c r="AG6634">
        <v>166</v>
      </c>
      <c r="AH6634">
        <v>129</v>
      </c>
      <c r="AI6634">
        <v>5.35</v>
      </c>
      <c r="AJ6634">
        <v>30.63</v>
      </c>
      <c r="AK6634">
        <v>23.8</v>
      </c>
      <c r="AL6634">
        <v>-20.18852899999996</v>
      </c>
      <c r="AM6634">
        <v>-44.930083089036543</v>
      </c>
      <c r="AN6634">
        <v>-20.18852899999996</v>
      </c>
      <c r="AO6634">
        <v>-44.930083089036543</v>
      </c>
      <c r="AP6634">
        <v>-20.188538000000001</v>
      </c>
      <c r="AQ6634">
        <v>-44.930104</v>
      </c>
      <c r="AR6634">
        <v>2.4035564137158438</v>
      </c>
      <c r="AS6634" t="s">
        <v>65</v>
      </c>
      <c r="AT6634">
        <v>1</v>
      </c>
      <c r="AU6634" t="s">
        <v>1245</v>
      </c>
      <c r="AV6634" t="s">
        <v>1246</v>
      </c>
      <c r="AW6634" t="s">
        <v>60</v>
      </c>
      <c r="AX6634" t="s">
        <v>68</v>
      </c>
      <c r="AY6634" t="s">
        <v>69</v>
      </c>
      <c r="AZ6634" t="b">
        <v>1</v>
      </c>
    </row>
    <row r="6635" spans="1:52" x14ac:dyDescent="0.3">
      <c r="A6635" t="s">
        <v>52</v>
      </c>
      <c r="B6635" t="s">
        <v>53</v>
      </c>
      <c r="C6635" t="s">
        <v>54</v>
      </c>
      <c r="D6635" t="s">
        <v>55</v>
      </c>
      <c r="E6635" t="s">
        <v>2296</v>
      </c>
      <c r="F6635" t="s">
        <v>190</v>
      </c>
      <c r="G6635" t="s">
        <v>2068</v>
      </c>
      <c r="H6635" t="s">
        <v>2069</v>
      </c>
      <c r="I6635" t="s">
        <v>2069</v>
      </c>
      <c r="J6635" t="s">
        <v>60</v>
      </c>
      <c r="K6635" t="s">
        <v>1243</v>
      </c>
      <c r="L6635" t="s">
        <v>62</v>
      </c>
      <c r="M6635" t="s">
        <v>1243</v>
      </c>
      <c r="N6635" t="s">
        <v>2070</v>
      </c>
      <c r="O6635" t="s">
        <v>2071</v>
      </c>
      <c r="P6635">
        <v>-20.191583999999999</v>
      </c>
      <c r="Q6635">
        <v>-44.935839999999999</v>
      </c>
      <c r="R6635" s="2" t="str">
        <f>HYPERLINK("https://www.google.com/maps?q=-20.1915840,-44.9358400","Abrir no Google Maps")</f>
        <v>Abrir no Google Maps</v>
      </c>
      <c r="S6635">
        <v>3</v>
      </c>
      <c r="T6635">
        <v>307.37698546101831</v>
      </c>
      <c r="U6635">
        <v>4</v>
      </c>
      <c r="V6635">
        <v>0.33241273494438051</v>
      </c>
      <c r="W6635">
        <v>0.85</v>
      </c>
      <c r="X6635">
        <v>0.28255082470272341</v>
      </c>
      <c r="Y6635">
        <v>113</v>
      </c>
      <c r="Z6635">
        <v>564.35501618411911</v>
      </c>
      <c r="AA6635">
        <v>198</v>
      </c>
      <c r="AB6635">
        <v>332</v>
      </c>
      <c r="AC6635">
        <v>536</v>
      </c>
      <c r="AD6635">
        <v>28.93</v>
      </c>
      <c r="AE6635">
        <v>542</v>
      </c>
      <c r="AF6635">
        <v>29</v>
      </c>
      <c r="AG6635">
        <v>166</v>
      </c>
      <c r="AH6635">
        <v>129</v>
      </c>
      <c r="AI6635">
        <v>5.35</v>
      </c>
      <c r="AJ6635">
        <v>30.63</v>
      </c>
      <c r="AK6635">
        <v>23.8</v>
      </c>
      <c r="AL6635">
        <v>-20.191156699999961</v>
      </c>
      <c r="AM6635">
        <v>-44.935363697152681</v>
      </c>
      <c r="AN6635">
        <v>-20.191156699999961</v>
      </c>
      <c r="AO6635">
        <v>-44.935363697152681</v>
      </c>
      <c r="AP6635">
        <v>-20.191583999999999</v>
      </c>
      <c r="AQ6635">
        <v>-44.935839999999999</v>
      </c>
      <c r="AR6635">
        <v>68.84070092388103</v>
      </c>
      <c r="AS6635" t="s">
        <v>65</v>
      </c>
      <c r="AT6635">
        <v>1</v>
      </c>
      <c r="AU6635" t="s">
        <v>2072</v>
      </c>
      <c r="AV6635" t="s">
        <v>2073</v>
      </c>
      <c r="AW6635" t="s">
        <v>60</v>
      </c>
      <c r="AX6635" t="s">
        <v>68</v>
      </c>
      <c r="AY6635" t="s">
        <v>69</v>
      </c>
      <c r="AZ6635" t="b">
        <v>1</v>
      </c>
    </row>
    <row r="6636" spans="1:52" x14ac:dyDescent="0.3">
      <c r="A6636" t="s">
        <v>52</v>
      </c>
      <c r="B6636" t="s">
        <v>53</v>
      </c>
      <c r="C6636" t="s">
        <v>54</v>
      </c>
      <c r="D6636" t="s">
        <v>55</v>
      </c>
      <c r="E6636" t="s">
        <v>2296</v>
      </c>
      <c r="F6636" t="s">
        <v>190</v>
      </c>
      <c r="G6636" t="s">
        <v>2397</v>
      </c>
      <c r="H6636" t="s">
        <v>2398</v>
      </c>
      <c r="I6636" t="s">
        <v>2398</v>
      </c>
      <c r="J6636" t="s">
        <v>60</v>
      </c>
      <c r="K6636" t="s">
        <v>2399</v>
      </c>
      <c r="L6636" t="s">
        <v>62</v>
      </c>
      <c r="M6636" t="s">
        <v>2399</v>
      </c>
      <c r="N6636" t="s">
        <v>1711</v>
      </c>
      <c r="O6636" t="s">
        <v>2400</v>
      </c>
      <c r="P6636">
        <v>-20.207619000000001</v>
      </c>
      <c r="Q6636">
        <v>-44.913229000000001</v>
      </c>
      <c r="R6636" s="2" t="str">
        <f>HYPERLINK("https://www.google.com/maps?q=-20.2076190,-44.9132290","Abrir no Google Maps")</f>
        <v>Abrir no Google Maps</v>
      </c>
      <c r="S6636">
        <v>3</v>
      </c>
      <c r="T6636">
        <v>2356.6153310887389</v>
      </c>
      <c r="U6636">
        <v>4</v>
      </c>
      <c r="V6636">
        <v>0.51436423054070113</v>
      </c>
      <c r="W6636">
        <v>0.85</v>
      </c>
      <c r="X6636">
        <v>0.43720959595959602</v>
      </c>
      <c r="Y6636">
        <v>113</v>
      </c>
      <c r="Z6636">
        <v>2739.6185814383448</v>
      </c>
      <c r="AA6636">
        <v>198</v>
      </c>
      <c r="AB6636">
        <v>332</v>
      </c>
      <c r="AC6636">
        <v>536</v>
      </c>
      <c r="AD6636">
        <v>28.93</v>
      </c>
      <c r="AE6636">
        <v>542</v>
      </c>
      <c r="AF6636">
        <v>29</v>
      </c>
      <c r="AG6636">
        <v>166</v>
      </c>
      <c r="AH6636">
        <v>129</v>
      </c>
      <c r="AI6636">
        <v>5.35</v>
      </c>
      <c r="AJ6636">
        <v>30.63</v>
      </c>
      <c r="AK6636">
        <v>23.8</v>
      </c>
      <c r="AL6636">
        <v>-20.206952049999959</v>
      </c>
      <c r="AM6636">
        <v>-44.908853453221809</v>
      </c>
      <c r="AN6636">
        <v>-20.206952049999959</v>
      </c>
      <c r="AO6636">
        <v>-44.908853453221809</v>
      </c>
      <c r="AP6636">
        <v>-20.207619000000001</v>
      </c>
      <c r="AQ6636">
        <v>-44.913229000000001</v>
      </c>
      <c r="AR6636">
        <v>463.09658808041672</v>
      </c>
      <c r="AS6636" t="s">
        <v>65</v>
      </c>
      <c r="AT6636">
        <v>1</v>
      </c>
      <c r="AU6636" t="s">
        <v>2401</v>
      </c>
      <c r="AV6636" t="s">
        <v>2402</v>
      </c>
      <c r="AW6636" t="s">
        <v>60</v>
      </c>
      <c r="AX6636" t="s">
        <v>68</v>
      </c>
      <c r="AY6636" t="s">
        <v>69</v>
      </c>
      <c r="AZ6636" t="b">
        <v>1</v>
      </c>
    </row>
    <row r="6637" spans="1:52" x14ac:dyDescent="0.3">
      <c r="A6637" t="s">
        <v>52</v>
      </c>
      <c r="B6637" t="s">
        <v>53</v>
      </c>
      <c r="C6637" t="s">
        <v>54</v>
      </c>
      <c r="D6637" t="s">
        <v>55</v>
      </c>
      <c r="E6637" t="s">
        <v>2296</v>
      </c>
      <c r="F6637" t="s">
        <v>190</v>
      </c>
      <c r="G6637" t="s">
        <v>1193</v>
      </c>
      <c r="H6637" t="s">
        <v>2403</v>
      </c>
      <c r="I6637" t="s">
        <v>2403</v>
      </c>
      <c r="J6637" t="s">
        <v>60</v>
      </c>
      <c r="K6637" t="s">
        <v>2043</v>
      </c>
      <c r="L6637" t="s">
        <v>62</v>
      </c>
      <c r="M6637" t="s">
        <v>2043</v>
      </c>
      <c r="N6637" t="s">
        <v>1711</v>
      </c>
      <c r="O6637" t="s">
        <v>315</v>
      </c>
      <c r="P6637">
        <v>-20.201166000000001</v>
      </c>
      <c r="Q6637">
        <v>-44.970742000000001</v>
      </c>
      <c r="R6637" s="2" t="str">
        <f>HYPERLINK("https://www.google.com/maps?q=-20.2011660,-44.9707420","Abrir no Google Maps")</f>
        <v>Abrir no Google Maps</v>
      </c>
      <c r="S6637">
        <v>3</v>
      </c>
      <c r="T6637">
        <v>3525.4631695019589</v>
      </c>
      <c r="U6637">
        <v>4</v>
      </c>
      <c r="V6637">
        <v>0.4246445856019358</v>
      </c>
      <c r="W6637">
        <v>0.85</v>
      </c>
      <c r="X6637">
        <v>0.36094789776164538</v>
      </c>
      <c r="Y6637">
        <v>113</v>
      </c>
      <c r="Z6637">
        <v>3014.4358477173791</v>
      </c>
      <c r="AA6637">
        <v>198</v>
      </c>
      <c r="AB6637">
        <v>332</v>
      </c>
      <c r="AC6637">
        <v>536</v>
      </c>
      <c r="AD6637">
        <v>28.93</v>
      </c>
      <c r="AE6637">
        <v>542</v>
      </c>
      <c r="AF6637">
        <v>29</v>
      </c>
      <c r="AG6637">
        <v>166</v>
      </c>
      <c r="AH6637">
        <v>129</v>
      </c>
      <c r="AI6637">
        <v>5.35</v>
      </c>
      <c r="AJ6637">
        <v>30.63</v>
      </c>
      <c r="AK6637">
        <v>23.8</v>
      </c>
      <c r="AL6637">
        <v>-20.20056899999997</v>
      </c>
      <c r="AM6637">
        <v>-44.970666148913892</v>
      </c>
      <c r="AN6637">
        <v>-20.20056899999997</v>
      </c>
      <c r="AO6637">
        <v>-44.970666148913892</v>
      </c>
      <c r="AP6637">
        <v>-20.201166000000001</v>
      </c>
      <c r="AQ6637">
        <v>-44.970742000000001</v>
      </c>
      <c r="AR6637">
        <v>66.928817704260652</v>
      </c>
      <c r="AS6637" t="s">
        <v>65</v>
      </c>
      <c r="AT6637">
        <v>1</v>
      </c>
      <c r="AU6637" t="s">
        <v>2404</v>
      </c>
      <c r="AV6637" t="s">
        <v>2405</v>
      </c>
      <c r="AW6637" t="s">
        <v>60</v>
      </c>
      <c r="AX6637" t="s">
        <v>68</v>
      </c>
      <c r="AY6637" t="s">
        <v>69</v>
      </c>
      <c r="AZ6637" t="b">
        <v>1</v>
      </c>
    </row>
    <row r="6638" spans="1:52" x14ac:dyDescent="0.3">
      <c r="A6638" t="s">
        <v>52</v>
      </c>
      <c r="B6638" t="s">
        <v>53</v>
      </c>
      <c r="C6638" t="s">
        <v>54</v>
      </c>
      <c r="D6638" t="s">
        <v>55</v>
      </c>
      <c r="E6638" t="s">
        <v>2296</v>
      </c>
      <c r="F6638" t="s">
        <v>190</v>
      </c>
      <c r="G6638" t="s">
        <v>1235</v>
      </c>
      <c r="H6638" t="s">
        <v>1847</v>
      </c>
      <c r="I6638" t="s">
        <v>1847</v>
      </c>
      <c r="J6638" t="s">
        <v>60</v>
      </c>
      <c r="K6638" t="s">
        <v>1243</v>
      </c>
      <c r="L6638" t="s">
        <v>62</v>
      </c>
      <c r="M6638" t="s">
        <v>1243</v>
      </c>
      <c r="N6638" t="s">
        <v>1238</v>
      </c>
      <c r="O6638" t="s">
        <v>1351</v>
      </c>
      <c r="P6638">
        <v>-20.194087</v>
      </c>
      <c r="Q6638">
        <v>-44.936889999999998</v>
      </c>
      <c r="R6638" s="2" t="str">
        <f>HYPERLINK("https://www.google.com/maps?q=-20.1940870,-44.9368900","Abrir no Google Maps")</f>
        <v>Abrir no Google Maps</v>
      </c>
      <c r="S6638">
        <v>3</v>
      </c>
      <c r="T6638">
        <v>257.18642318734362</v>
      </c>
      <c r="U6638">
        <v>4</v>
      </c>
      <c r="V6638">
        <v>0.33817983251708078</v>
      </c>
      <c r="W6638">
        <v>1</v>
      </c>
      <c r="X6638">
        <v>0.33817983251708078</v>
      </c>
      <c r="Y6638">
        <v>113</v>
      </c>
      <c r="Z6638">
        <v>339.77652558311001</v>
      </c>
      <c r="AA6638">
        <v>198</v>
      </c>
      <c r="AB6638">
        <v>332</v>
      </c>
      <c r="AC6638">
        <v>536</v>
      </c>
      <c r="AD6638">
        <v>28.93</v>
      </c>
      <c r="AE6638">
        <v>542</v>
      </c>
      <c r="AF6638">
        <v>29</v>
      </c>
      <c r="AG6638">
        <v>166</v>
      </c>
      <c r="AH6638">
        <v>129</v>
      </c>
      <c r="AI6638">
        <v>5.35</v>
      </c>
      <c r="AJ6638">
        <v>30.63</v>
      </c>
      <c r="AK6638">
        <v>23.8</v>
      </c>
      <c r="AL6638">
        <v>-20.19405954999996</v>
      </c>
      <c r="AM6638">
        <v>-44.936949074015281</v>
      </c>
      <c r="AN6638">
        <v>-20.19405954999996</v>
      </c>
      <c r="AO6638">
        <v>-44.936949074015281</v>
      </c>
      <c r="AP6638">
        <v>-20.194087</v>
      </c>
      <c r="AQ6638">
        <v>-44.936889999999998</v>
      </c>
      <c r="AR6638">
        <v>6.8869138825619167</v>
      </c>
      <c r="AS6638" t="s">
        <v>65</v>
      </c>
      <c r="AT6638">
        <v>1</v>
      </c>
      <c r="AU6638" t="s">
        <v>1848</v>
      </c>
      <c r="AV6638" t="s">
        <v>1849</v>
      </c>
      <c r="AW6638" t="s">
        <v>60</v>
      </c>
      <c r="AX6638" t="s">
        <v>68</v>
      </c>
      <c r="AY6638" t="s">
        <v>69</v>
      </c>
      <c r="AZ6638" t="b">
        <v>1</v>
      </c>
    </row>
    <row r="6639" spans="1:52" x14ac:dyDescent="0.3">
      <c r="A6639" t="s">
        <v>52</v>
      </c>
      <c r="B6639" t="s">
        <v>53</v>
      </c>
      <c r="C6639" t="s">
        <v>54</v>
      </c>
      <c r="D6639" t="s">
        <v>55</v>
      </c>
      <c r="E6639" t="s">
        <v>2296</v>
      </c>
      <c r="F6639" t="s">
        <v>190</v>
      </c>
      <c r="G6639" t="s">
        <v>2079</v>
      </c>
      <c r="H6639" t="s">
        <v>2080</v>
      </c>
      <c r="I6639" t="s">
        <v>2080</v>
      </c>
      <c r="J6639" t="s">
        <v>60</v>
      </c>
      <c r="K6639" t="s">
        <v>1243</v>
      </c>
      <c r="L6639" t="s">
        <v>62</v>
      </c>
      <c r="M6639" t="s">
        <v>1243</v>
      </c>
      <c r="N6639" t="s">
        <v>2081</v>
      </c>
      <c r="O6639" t="s">
        <v>2082</v>
      </c>
      <c r="P6639">
        <v>-20.192271000000002</v>
      </c>
      <c r="Q6639">
        <v>-44.938338999999999</v>
      </c>
      <c r="R6639" s="2" t="str">
        <f>HYPERLINK("https://www.google.com/maps?q=-20.1922710,-44.9383390","Abrir no Google Maps")</f>
        <v>Abrir no Google Maps</v>
      </c>
      <c r="S6639">
        <v>3</v>
      </c>
      <c r="T6639">
        <v>0</v>
      </c>
      <c r="U6639">
        <v>4</v>
      </c>
      <c r="V6639">
        <v>0.32948784155975941</v>
      </c>
      <c r="W6639">
        <v>0.85</v>
      </c>
      <c r="X6639">
        <v>0.28006466532579549</v>
      </c>
      <c r="Y6639">
        <v>113</v>
      </c>
      <c r="Z6639">
        <v>189.74224055455261</v>
      </c>
      <c r="AA6639">
        <v>198</v>
      </c>
      <c r="AB6639">
        <v>332</v>
      </c>
      <c r="AC6639">
        <v>536</v>
      </c>
      <c r="AD6639">
        <v>28.93</v>
      </c>
      <c r="AE6639">
        <v>542</v>
      </c>
      <c r="AF6639">
        <v>29</v>
      </c>
      <c r="AG6639">
        <v>166</v>
      </c>
      <c r="AH6639">
        <v>129</v>
      </c>
      <c r="AI6639">
        <v>5.35</v>
      </c>
      <c r="AJ6639">
        <v>30.63</v>
      </c>
      <c r="AK6639">
        <v>23.8</v>
      </c>
      <c r="AL6639">
        <v>-20.19203359999997</v>
      </c>
      <c r="AM6639">
        <v>-44.938155258198137</v>
      </c>
      <c r="AN6639">
        <v>-20.192033599999981</v>
      </c>
      <c r="AO6639">
        <v>-44.938155258198137</v>
      </c>
      <c r="AP6639">
        <v>-20.192271000000002</v>
      </c>
      <c r="AQ6639">
        <v>-44.938338999999999</v>
      </c>
      <c r="AR6639">
        <v>32.663931097584417</v>
      </c>
      <c r="AS6639" t="s">
        <v>65</v>
      </c>
      <c r="AT6639">
        <v>1</v>
      </c>
      <c r="AU6639" t="s">
        <v>2083</v>
      </c>
      <c r="AV6639" t="s">
        <v>1849</v>
      </c>
      <c r="AW6639" t="s">
        <v>60</v>
      </c>
      <c r="AX6639" t="s">
        <v>68</v>
      </c>
      <c r="AY6639" t="s">
        <v>69</v>
      </c>
      <c r="AZ6639" t="b">
        <v>1</v>
      </c>
    </row>
    <row r="6640" spans="1:52" x14ac:dyDescent="0.3">
      <c r="A6640" t="s">
        <v>52</v>
      </c>
      <c r="B6640" t="s">
        <v>53</v>
      </c>
      <c r="C6640" t="s">
        <v>54</v>
      </c>
      <c r="D6640" t="s">
        <v>55</v>
      </c>
      <c r="E6640" t="s">
        <v>2296</v>
      </c>
      <c r="F6640" t="s">
        <v>190</v>
      </c>
      <c r="G6640" t="s">
        <v>1193</v>
      </c>
      <c r="H6640" t="s">
        <v>2274</v>
      </c>
      <c r="I6640" t="s">
        <v>2274</v>
      </c>
      <c r="J6640" t="s">
        <v>60</v>
      </c>
      <c r="K6640" t="s">
        <v>2275</v>
      </c>
      <c r="L6640" t="s">
        <v>62</v>
      </c>
      <c r="M6640" t="s">
        <v>2275</v>
      </c>
      <c r="N6640" t="s">
        <v>1561</v>
      </c>
      <c r="O6640" t="s">
        <v>315</v>
      </c>
      <c r="P6640">
        <v>-20.177581</v>
      </c>
      <c r="Q6640">
        <v>-44.944012999999998</v>
      </c>
      <c r="R6640" s="2" t="str">
        <f>HYPERLINK("https://www.google.com/maps?q=-20.1775810,-44.9440130","Abrir no Google Maps")</f>
        <v>Abrir no Google Maps</v>
      </c>
      <c r="S6640">
        <v>3</v>
      </c>
      <c r="T6640">
        <v>1675.061407808998</v>
      </c>
      <c r="U6640">
        <v>4</v>
      </c>
      <c r="V6640">
        <v>0.43703703703703711</v>
      </c>
      <c r="W6640">
        <v>0.85</v>
      </c>
      <c r="X6640">
        <v>0.37148148148148152</v>
      </c>
      <c r="Y6640">
        <v>113</v>
      </c>
      <c r="Z6640">
        <v>1720.95294554256</v>
      </c>
      <c r="AA6640">
        <v>198</v>
      </c>
      <c r="AB6640">
        <v>332</v>
      </c>
      <c r="AC6640">
        <v>536</v>
      </c>
      <c r="AD6640">
        <v>28.93</v>
      </c>
      <c r="AE6640">
        <v>542</v>
      </c>
      <c r="AF6640">
        <v>29</v>
      </c>
      <c r="AG6640">
        <v>166</v>
      </c>
      <c r="AH6640">
        <v>129</v>
      </c>
      <c r="AI6640">
        <v>5.35</v>
      </c>
      <c r="AJ6640">
        <v>30.63</v>
      </c>
      <c r="AK6640">
        <v>23.8</v>
      </c>
      <c r="AL6640">
        <v>-20.177110449999962</v>
      </c>
      <c r="AM6640">
        <v>-44.940838638991053</v>
      </c>
      <c r="AN6640">
        <v>-20.177110449999962</v>
      </c>
      <c r="AO6640">
        <v>-44.940838638991053</v>
      </c>
      <c r="AP6640">
        <v>-20.177581</v>
      </c>
      <c r="AQ6640">
        <v>-44.944012999999998</v>
      </c>
      <c r="AR6640">
        <v>335.79462087315159</v>
      </c>
      <c r="AS6640" t="s">
        <v>65</v>
      </c>
      <c r="AT6640">
        <v>1</v>
      </c>
      <c r="AU6640" t="s">
        <v>2276</v>
      </c>
      <c r="AV6640" t="s">
        <v>2277</v>
      </c>
      <c r="AW6640" t="s">
        <v>60</v>
      </c>
      <c r="AX6640" t="s">
        <v>68</v>
      </c>
      <c r="AY6640" t="s">
        <v>69</v>
      </c>
      <c r="AZ6640" t="b">
        <v>1</v>
      </c>
    </row>
    <row r="6641" spans="1:52" x14ac:dyDescent="0.3">
      <c r="A6641" t="s">
        <v>52</v>
      </c>
      <c r="B6641" t="s">
        <v>53</v>
      </c>
      <c r="C6641" t="s">
        <v>54</v>
      </c>
      <c r="D6641" t="s">
        <v>55</v>
      </c>
      <c r="E6641" t="s">
        <v>2296</v>
      </c>
      <c r="F6641" t="s">
        <v>190</v>
      </c>
      <c r="G6641" t="s">
        <v>2084</v>
      </c>
      <c r="H6641" t="s">
        <v>2085</v>
      </c>
      <c r="I6641" t="s">
        <v>2085</v>
      </c>
      <c r="J6641" t="s">
        <v>60</v>
      </c>
      <c r="K6641" t="s">
        <v>2048</v>
      </c>
      <c r="L6641" t="s">
        <v>62</v>
      </c>
      <c r="M6641" t="s">
        <v>2048</v>
      </c>
      <c r="N6641" t="s">
        <v>2086</v>
      </c>
      <c r="O6641" t="s">
        <v>315</v>
      </c>
      <c r="P6641">
        <v>-20.174719</v>
      </c>
      <c r="Q6641">
        <v>-44.966092000000003</v>
      </c>
      <c r="R6641" s="2" t="str">
        <f>HYPERLINK("https://www.google.com/maps?q=-20.1747190,-44.9660920","Abrir no Google Maps")</f>
        <v>Abrir no Google Maps</v>
      </c>
      <c r="S6641">
        <v>3</v>
      </c>
      <c r="T6641">
        <v>3390.3546378461851</v>
      </c>
      <c r="U6641">
        <v>4</v>
      </c>
      <c r="V6641">
        <v>0.39135136543673132</v>
      </c>
      <c r="W6641">
        <v>0.85</v>
      </c>
      <c r="X6641">
        <v>0.33264866062122161</v>
      </c>
      <c r="Y6641">
        <v>113</v>
      </c>
      <c r="Z6641">
        <v>3325.822614168892</v>
      </c>
      <c r="AA6641">
        <v>198</v>
      </c>
      <c r="AB6641">
        <v>332</v>
      </c>
      <c r="AC6641">
        <v>536</v>
      </c>
      <c r="AD6641">
        <v>28.93</v>
      </c>
      <c r="AE6641">
        <v>542</v>
      </c>
      <c r="AF6641">
        <v>29</v>
      </c>
      <c r="AG6641">
        <v>166</v>
      </c>
      <c r="AH6641">
        <v>129</v>
      </c>
      <c r="AI6641">
        <v>5.35</v>
      </c>
      <c r="AJ6641">
        <v>30.63</v>
      </c>
      <c r="AK6641">
        <v>23.8</v>
      </c>
      <c r="AL6641">
        <v>-20.175172949999929</v>
      </c>
      <c r="AM6641">
        <v>-44.965248074069883</v>
      </c>
      <c r="AN6641">
        <v>-20.175172949999929</v>
      </c>
      <c r="AO6641">
        <v>-44.965248074069869</v>
      </c>
      <c r="AP6641">
        <v>-20.174719</v>
      </c>
      <c r="AQ6641">
        <v>-44.966092000000003</v>
      </c>
      <c r="AR6641">
        <v>101.6348536939478</v>
      </c>
      <c r="AS6641" t="s">
        <v>65</v>
      </c>
      <c r="AT6641">
        <v>1</v>
      </c>
      <c r="AU6641" t="s">
        <v>2087</v>
      </c>
      <c r="AV6641" t="s">
        <v>2088</v>
      </c>
      <c r="AW6641" t="s">
        <v>60</v>
      </c>
      <c r="AX6641" t="s">
        <v>68</v>
      </c>
      <c r="AY6641" t="s">
        <v>69</v>
      </c>
      <c r="AZ6641" t="b">
        <v>1</v>
      </c>
    </row>
    <row r="6642" spans="1:52" x14ac:dyDescent="0.3">
      <c r="A6642" t="s">
        <v>52</v>
      </c>
      <c r="B6642" t="s">
        <v>53</v>
      </c>
      <c r="C6642" t="s">
        <v>54</v>
      </c>
      <c r="D6642" t="s">
        <v>55</v>
      </c>
      <c r="E6642" t="s">
        <v>2296</v>
      </c>
      <c r="F6642" t="s">
        <v>190</v>
      </c>
      <c r="G6642" t="s">
        <v>1850</v>
      </c>
      <c r="H6642" t="s">
        <v>1851</v>
      </c>
      <c r="I6642" t="s">
        <v>1851</v>
      </c>
      <c r="J6642" t="s">
        <v>60</v>
      </c>
      <c r="K6642" t="s">
        <v>1681</v>
      </c>
      <c r="L6642" t="s">
        <v>62</v>
      </c>
      <c r="M6642" t="s">
        <v>1681</v>
      </c>
      <c r="N6642" t="s">
        <v>1852</v>
      </c>
      <c r="O6642" t="s">
        <v>1853</v>
      </c>
      <c r="P6642">
        <v>-20.139354000000001</v>
      </c>
      <c r="Q6642">
        <v>-44.855398999999998</v>
      </c>
      <c r="R6642" s="2" t="str">
        <f>HYPERLINK("https://www.google.com/maps?q=-20.1393540,-44.8553990","Abrir no Google Maps")</f>
        <v>Abrir no Google Maps</v>
      </c>
      <c r="S6642">
        <v>3</v>
      </c>
      <c r="T6642">
        <v>694.41696355871329</v>
      </c>
      <c r="U6642">
        <v>4</v>
      </c>
      <c r="V6642">
        <v>0.35494054390236118</v>
      </c>
      <c r="W6642">
        <v>1</v>
      </c>
      <c r="X6642">
        <v>0.35494054390236118</v>
      </c>
      <c r="Y6642">
        <v>95</v>
      </c>
      <c r="Z6642">
        <v>790.58507878435637</v>
      </c>
      <c r="AA6642">
        <v>198</v>
      </c>
      <c r="AB6642">
        <v>332</v>
      </c>
      <c r="AC6642">
        <v>536</v>
      </c>
      <c r="AD6642">
        <v>28.93</v>
      </c>
      <c r="AE6642">
        <v>542</v>
      </c>
      <c r="AF6642">
        <v>29</v>
      </c>
      <c r="AG6642">
        <v>166</v>
      </c>
      <c r="AH6642">
        <v>129</v>
      </c>
      <c r="AI6642">
        <v>5.35</v>
      </c>
      <c r="AJ6642">
        <v>30.63</v>
      </c>
      <c r="AK6642">
        <v>23.8</v>
      </c>
      <c r="AL6642">
        <v>-20.139412599999961</v>
      </c>
      <c r="AM6642">
        <v>-44.855150404999961</v>
      </c>
      <c r="AN6642">
        <v>-20.139412599999961</v>
      </c>
      <c r="AO6642">
        <v>-44.855150404999961</v>
      </c>
      <c r="AP6642">
        <v>-20.139354000000001</v>
      </c>
      <c r="AQ6642">
        <v>-44.855398999999998</v>
      </c>
      <c r="AR6642">
        <v>26.787980665123101</v>
      </c>
      <c r="AS6642" t="s">
        <v>65</v>
      </c>
      <c r="AT6642">
        <v>1</v>
      </c>
      <c r="AU6642" t="s">
        <v>1854</v>
      </c>
      <c r="AV6642" t="s">
        <v>1855</v>
      </c>
      <c r="AW6642" t="s">
        <v>60</v>
      </c>
      <c r="AX6642" t="s">
        <v>68</v>
      </c>
      <c r="AY6642" t="s">
        <v>69</v>
      </c>
      <c r="AZ6642" t="b">
        <v>1</v>
      </c>
    </row>
    <row r="6643" spans="1:52" x14ac:dyDescent="0.3">
      <c r="A6643" t="s">
        <v>52</v>
      </c>
      <c r="B6643" t="s">
        <v>53</v>
      </c>
      <c r="C6643" t="s">
        <v>54</v>
      </c>
      <c r="D6643" t="s">
        <v>55</v>
      </c>
      <c r="E6643" t="s">
        <v>2296</v>
      </c>
      <c r="F6643" t="s">
        <v>190</v>
      </c>
      <c r="G6643" t="s">
        <v>1193</v>
      </c>
      <c r="H6643" t="s">
        <v>2089</v>
      </c>
      <c r="I6643" t="s">
        <v>2089</v>
      </c>
      <c r="J6643" t="s">
        <v>60</v>
      </c>
      <c r="K6643" t="s">
        <v>1797</v>
      </c>
      <c r="L6643" t="s">
        <v>62</v>
      </c>
      <c r="M6643" t="s">
        <v>1797</v>
      </c>
      <c r="N6643" t="s">
        <v>2090</v>
      </c>
      <c r="O6643" t="s">
        <v>2091</v>
      </c>
      <c r="P6643">
        <v>-20.131095999999999</v>
      </c>
      <c r="Q6643">
        <v>-44.849972999999999</v>
      </c>
      <c r="R6643" s="2" t="str">
        <f>HYPERLINK("https://www.google.com/maps?q=-20.1310960,-44.8499730","Abrir no Google Maps")</f>
        <v>Abrir no Google Maps</v>
      </c>
      <c r="S6643">
        <v>3</v>
      </c>
      <c r="T6643">
        <v>537.19051863771813</v>
      </c>
      <c r="U6643">
        <v>4</v>
      </c>
      <c r="V6643">
        <v>0.53977272727272729</v>
      </c>
      <c r="W6643">
        <v>0.85</v>
      </c>
      <c r="X6643">
        <v>0.45880681818181818</v>
      </c>
      <c r="Y6643">
        <v>95</v>
      </c>
      <c r="Z6643">
        <v>759.25593758629111</v>
      </c>
      <c r="AA6643">
        <v>198</v>
      </c>
      <c r="AB6643">
        <v>332</v>
      </c>
      <c r="AC6643">
        <v>536</v>
      </c>
      <c r="AD6643">
        <v>28.93</v>
      </c>
      <c r="AE6643">
        <v>542</v>
      </c>
      <c r="AF6643">
        <v>29</v>
      </c>
      <c r="AG6643">
        <v>166</v>
      </c>
      <c r="AH6643">
        <v>129</v>
      </c>
      <c r="AI6643">
        <v>5.35</v>
      </c>
      <c r="AJ6643">
        <v>30.63</v>
      </c>
      <c r="AK6643">
        <v>23.8</v>
      </c>
      <c r="AL6643">
        <v>-20.131014649999969</v>
      </c>
      <c r="AM6643">
        <v>-44.851386102569123</v>
      </c>
      <c r="AN6643">
        <v>-20.131014649999969</v>
      </c>
      <c r="AO6643">
        <v>-44.851386102569123</v>
      </c>
      <c r="AP6643">
        <v>-20.131095999999999</v>
      </c>
      <c r="AQ6643">
        <v>-44.849972999999999</v>
      </c>
      <c r="AR6643">
        <v>147.97378497445629</v>
      </c>
      <c r="AS6643" t="s">
        <v>65</v>
      </c>
      <c r="AT6643">
        <v>1</v>
      </c>
      <c r="AU6643" t="s">
        <v>2092</v>
      </c>
      <c r="AV6643" t="s">
        <v>2093</v>
      </c>
      <c r="AW6643" t="s">
        <v>60</v>
      </c>
      <c r="AX6643" t="s">
        <v>68</v>
      </c>
      <c r="AY6643" t="s">
        <v>69</v>
      </c>
      <c r="AZ6643" t="b">
        <v>1</v>
      </c>
    </row>
    <row r="6644" spans="1:52" x14ac:dyDescent="0.3">
      <c r="A6644" t="s">
        <v>52</v>
      </c>
      <c r="B6644" t="s">
        <v>53</v>
      </c>
      <c r="C6644" t="s">
        <v>54</v>
      </c>
      <c r="D6644" t="s">
        <v>55</v>
      </c>
      <c r="E6644" t="s">
        <v>2296</v>
      </c>
      <c r="F6644" t="s">
        <v>190</v>
      </c>
      <c r="G6644" t="s">
        <v>2094</v>
      </c>
      <c r="H6644" t="s">
        <v>2095</v>
      </c>
      <c r="I6644" t="s">
        <v>2095</v>
      </c>
      <c r="J6644" t="s">
        <v>60</v>
      </c>
      <c r="K6644" t="s">
        <v>1797</v>
      </c>
      <c r="L6644" t="s">
        <v>62</v>
      </c>
      <c r="M6644" t="s">
        <v>1797</v>
      </c>
      <c r="N6644" t="s">
        <v>2096</v>
      </c>
      <c r="O6644" t="s">
        <v>315</v>
      </c>
      <c r="P6644">
        <v>-20.140082</v>
      </c>
      <c r="Q6644">
        <v>-44.846947</v>
      </c>
      <c r="R6644" s="2" t="str">
        <f>HYPERLINK("https://www.google.com/maps?q=-20.1400820,-44.8469470","Abrir no Google Maps")</f>
        <v>Abrir no Google Maps</v>
      </c>
      <c r="S6644">
        <v>3</v>
      </c>
      <c r="T6644">
        <v>1379.631793854335</v>
      </c>
      <c r="U6644">
        <v>4</v>
      </c>
      <c r="V6644">
        <v>0.45227920227920221</v>
      </c>
      <c r="W6644">
        <v>0.85</v>
      </c>
      <c r="X6644">
        <v>0.38443732193732189</v>
      </c>
      <c r="Y6644">
        <v>95</v>
      </c>
      <c r="Z6644">
        <v>1497.10194218233</v>
      </c>
      <c r="AA6644">
        <v>198</v>
      </c>
      <c r="AB6644">
        <v>332</v>
      </c>
      <c r="AC6644">
        <v>536</v>
      </c>
      <c r="AD6644">
        <v>28.93</v>
      </c>
      <c r="AE6644">
        <v>542</v>
      </c>
      <c r="AF6644">
        <v>29</v>
      </c>
      <c r="AG6644">
        <v>166</v>
      </c>
      <c r="AH6644">
        <v>129</v>
      </c>
      <c r="AI6644">
        <v>5.35</v>
      </c>
      <c r="AJ6644">
        <v>30.63</v>
      </c>
      <c r="AK6644">
        <v>23.8</v>
      </c>
      <c r="AL6644">
        <v>-20.141991249999961</v>
      </c>
      <c r="AM6644">
        <v>-44.846701290794478</v>
      </c>
      <c r="AN6644">
        <v>-20.141991249999961</v>
      </c>
      <c r="AO6644">
        <v>-44.846701290794478</v>
      </c>
      <c r="AP6644">
        <v>-20.140082</v>
      </c>
      <c r="AQ6644">
        <v>-44.846947</v>
      </c>
      <c r="AR6644">
        <v>214.08343424718549</v>
      </c>
      <c r="AS6644" t="s">
        <v>65</v>
      </c>
      <c r="AT6644">
        <v>1</v>
      </c>
      <c r="AU6644" t="s">
        <v>2097</v>
      </c>
      <c r="AV6644" t="s">
        <v>2098</v>
      </c>
      <c r="AW6644" t="s">
        <v>60</v>
      </c>
      <c r="AX6644" t="s">
        <v>68</v>
      </c>
      <c r="AY6644" t="s">
        <v>69</v>
      </c>
      <c r="AZ6644" t="b">
        <v>1</v>
      </c>
    </row>
    <row r="6645" spans="1:52" x14ac:dyDescent="0.3">
      <c r="A6645" t="s">
        <v>52</v>
      </c>
      <c r="B6645" t="s">
        <v>53</v>
      </c>
      <c r="C6645" t="s">
        <v>54</v>
      </c>
      <c r="D6645" t="s">
        <v>55</v>
      </c>
      <c r="E6645" t="s">
        <v>2296</v>
      </c>
      <c r="F6645" t="s">
        <v>190</v>
      </c>
      <c r="G6645" t="s">
        <v>380</v>
      </c>
      <c r="H6645" t="s">
        <v>381</v>
      </c>
      <c r="I6645" t="s">
        <v>381</v>
      </c>
      <c r="J6645" t="s">
        <v>60</v>
      </c>
      <c r="K6645" t="s">
        <v>72</v>
      </c>
      <c r="L6645" t="s">
        <v>62</v>
      </c>
      <c r="M6645" t="s">
        <v>72</v>
      </c>
      <c r="N6645" t="s">
        <v>382</v>
      </c>
      <c r="O6645" t="s">
        <v>383</v>
      </c>
      <c r="P6645">
        <v>-20.147182000000001</v>
      </c>
      <c r="Q6645">
        <v>-44.912728999999999</v>
      </c>
      <c r="R6645" s="2" t="str">
        <f>HYPERLINK("https://www.google.com/maps?q=-20.1471820,-44.9127290","Abrir no Google Maps")</f>
        <v>Abrir no Google Maps</v>
      </c>
      <c r="S6645">
        <v>3</v>
      </c>
      <c r="T6645">
        <v>478.0141981540923</v>
      </c>
      <c r="U6645">
        <v>3</v>
      </c>
      <c r="V6645">
        <v>0.16603515062641039</v>
      </c>
      <c r="W6645">
        <v>1</v>
      </c>
      <c r="X6645">
        <v>0.16603515062641039</v>
      </c>
      <c r="Y6645">
        <v>747</v>
      </c>
      <c r="Z6645">
        <v>494.0254290673729</v>
      </c>
      <c r="AA6645">
        <v>198</v>
      </c>
      <c r="AB6645">
        <v>332</v>
      </c>
      <c r="AC6645">
        <v>536</v>
      </c>
      <c r="AD6645">
        <v>28.93</v>
      </c>
      <c r="AE6645">
        <v>542</v>
      </c>
      <c r="AF6645">
        <v>29</v>
      </c>
      <c r="AG6645">
        <v>166</v>
      </c>
      <c r="AH6645">
        <v>129</v>
      </c>
      <c r="AI6645">
        <v>5.35</v>
      </c>
      <c r="AJ6645">
        <v>30.63</v>
      </c>
      <c r="AK6645">
        <v>23.8</v>
      </c>
      <c r="AL6645">
        <v>-20.147375599999979</v>
      </c>
      <c r="AM6645">
        <v>-44.912907472879468</v>
      </c>
      <c r="AN6645">
        <v>-20.147375599999979</v>
      </c>
      <c r="AO6645">
        <v>-44.912907472879468</v>
      </c>
      <c r="AP6645">
        <v>-20.147182000000001</v>
      </c>
      <c r="AQ6645">
        <v>-44.912728999999999</v>
      </c>
      <c r="AR6645">
        <v>28.50197694184326</v>
      </c>
      <c r="AS6645" t="s">
        <v>65</v>
      </c>
      <c r="AT6645">
        <v>1</v>
      </c>
      <c r="AU6645" t="s">
        <v>384</v>
      </c>
      <c r="AV6645" t="s">
        <v>385</v>
      </c>
      <c r="AW6645" t="s">
        <v>60</v>
      </c>
      <c r="AX6645" t="s">
        <v>68</v>
      </c>
      <c r="AY6645" t="s">
        <v>69</v>
      </c>
      <c r="AZ6645" t="b">
        <v>1</v>
      </c>
    </row>
    <row r="6646" spans="1:52" x14ac:dyDescent="0.3">
      <c r="A6646" t="s">
        <v>52</v>
      </c>
      <c r="B6646" t="s">
        <v>53</v>
      </c>
      <c r="C6646" t="s">
        <v>54</v>
      </c>
      <c r="D6646" t="s">
        <v>55</v>
      </c>
      <c r="E6646" t="s">
        <v>2296</v>
      </c>
      <c r="F6646" t="s">
        <v>190</v>
      </c>
      <c r="G6646" t="s">
        <v>833</v>
      </c>
      <c r="H6646" t="s">
        <v>834</v>
      </c>
      <c r="I6646" t="s">
        <v>834</v>
      </c>
      <c r="J6646" t="s">
        <v>60</v>
      </c>
      <c r="K6646" t="s">
        <v>388</v>
      </c>
      <c r="L6646" t="s">
        <v>62</v>
      </c>
      <c r="M6646" t="s">
        <v>388</v>
      </c>
      <c r="N6646" t="s">
        <v>835</v>
      </c>
      <c r="O6646" t="s">
        <v>836</v>
      </c>
      <c r="P6646">
        <v>-20.157906000000001</v>
      </c>
      <c r="Q6646">
        <v>-44.900458999999998</v>
      </c>
      <c r="R6646" s="2" t="str">
        <f>HYPERLINK("https://www.google.com/maps?q=-20.1579060,-44.9004590","Abrir no Google Maps")</f>
        <v>Abrir no Google Maps</v>
      </c>
      <c r="S6646">
        <v>3</v>
      </c>
      <c r="T6646">
        <v>0</v>
      </c>
      <c r="U6646">
        <v>3</v>
      </c>
      <c r="V6646">
        <v>0.16592764439061439</v>
      </c>
      <c r="W6646">
        <v>1</v>
      </c>
      <c r="X6646">
        <v>0.16592764439061439</v>
      </c>
      <c r="Y6646">
        <v>729</v>
      </c>
      <c r="Z6646">
        <v>203.63168486652771</v>
      </c>
      <c r="AA6646">
        <v>198</v>
      </c>
      <c r="AB6646">
        <v>332</v>
      </c>
      <c r="AC6646">
        <v>536</v>
      </c>
      <c r="AD6646">
        <v>28.93</v>
      </c>
      <c r="AE6646">
        <v>542</v>
      </c>
      <c r="AF6646">
        <v>29</v>
      </c>
      <c r="AG6646">
        <v>166</v>
      </c>
      <c r="AH6646">
        <v>129</v>
      </c>
      <c r="AI6646">
        <v>5.35</v>
      </c>
      <c r="AJ6646">
        <v>30.63</v>
      </c>
      <c r="AK6646">
        <v>23.8</v>
      </c>
      <c r="AL6646">
        <v>-20.157925749999951</v>
      </c>
      <c r="AM6646">
        <v>-44.900484707799812</v>
      </c>
      <c r="AN6646">
        <v>-20.157925749999951</v>
      </c>
      <c r="AO6646">
        <v>-44.900484707799812</v>
      </c>
      <c r="AP6646">
        <v>-20.157906000000001</v>
      </c>
      <c r="AQ6646">
        <v>-44.900458999999998</v>
      </c>
      <c r="AR6646">
        <v>3.4714515960382508</v>
      </c>
      <c r="AS6646" t="s">
        <v>65</v>
      </c>
      <c r="AT6646">
        <v>1</v>
      </c>
      <c r="AU6646" t="s">
        <v>837</v>
      </c>
      <c r="AV6646" t="s">
        <v>838</v>
      </c>
      <c r="AW6646" t="s">
        <v>60</v>
      </c>
      <c r="AX6646" t="s">
        <v>68</v>
      </c>
      <c r="AY6646" t="s">
        <v>69</v>
      </c>
      <c r="AZ6646" t="b">
        <v>1</v>
      </c>
    </row>
    <row r="6647" spans="1:52" x14ac:dyDescent="0.3">
      <c r="A6647" t="s">
        <v>52</v>
      </c>
      <c r="B6647" t="s">
        <v>53</v>
      </c>
      <c r="C6647" t="s">
        <v>54</v>
      </c>
      <c r="D6647" t="s">
        <v>55</v>
      </c>
      <c r="E6647" t="s">
        <v>2296</v>
      </c>
      <c r="F6647" t="s">
        <v>190</v>
      </c>
      <c r="G6647" t="s">
        <v>386</v>
      </c>
      <c r="H6647" t="s">
        <v>387</v>
      </c>
      <c r="I6647" t="s">
        <v>387</v>
      </c>
      <c r="J6647" t="s">
        <v>60</v>
      </c>
      <c r="K6647" t="s">
        <v>388</v>
      </c>
      <c r="L6647" t="s">
        <v>62</v>
      </c>
      <c r="M6647" t="s">
        <v>388</v>
      </c>
      <c r="N6647" t="s">
        <v>389</v>
      </c>
      <c r="O6647" t="s">
        <v>357</v>
      </c>
      <c r="P6647">
        <v>-20.161041999999998</v>
      </c>
      <c r="Q6647">
        <v>-44.901242000000003</v>
      </c>
      <c r="R6647" s="2" t="str">
        <f>HYPERLINK("https://www.google.com/maps?q=-20.1610420,-44.9012420","Abrir no Google Maps")</f>
        <v>Abrir no Google Maps</v>
      </c>
      <c r="S6647">
        <v>3</v>
      </c>
      <c r="T6647">
        <v>440.22183232279212</v>
      </c>
      <c r="U6647">
        <v>3</v>
      </c>
      <c r="V6647">
        <v>0.16068113568113571</v>
      </c>
      <c r="W6647">
        <v>1</v>
      </c>
      <c r="X6647">
        <v>0.16068113568113571</v>
      </c>
      <c r="Y6647">
        <v>729</v>
      </c>
      <c r="Z6647">
        <v>398.48306829302379</v>
      </c>
      <c r="AA6647">
        <v>198</v>
      </c>
      <c r="AB6647">
        <v>332</v>
      </c>
      <c r="AC6647">
        <v>536</v>
      </c>
      <c r="AD6647">
        <v>28.93</v>
      </c>
      <c r="AE6647">
        <v>542</v>
      </c>
      <c r="AF6647">
        <v>29</v>
      </c>
      <c r="AG6647">
        <v>166</v>
      </c>
      <c r="AH6647">
        <v>129</v>
      </c>
      <c r="AI6647">
        <v>5.35</v>
      </c>
      <c r="AJ6647">
        <v>30.63</v>
      </c>
      <c r="AK6647">
        <v>23.8</v>
      </c>
      <c r="AL6647">
        <v>-20.16176629999995</v>
      </c>
      <c r="AM6647">
        <v>-44.901582787827898</v>
      </c>
      <c r="AN6647">
        <v>-20.16176629999995</v>
      </c>
      <c r="AO6647">
        <v>-44.901582787827898</v>
      </c>
      <c r="AP6647">
        <v>-20.161041999999998</v>
      </c>
      <c r="AQ6647">
        <v>-44.901242000000003</v>
      </c>
      <c r="AR6647">
        <v>88.143369157892835</v>
      </c>
      <c r="AS6647" t="s">
        <v>65</v>
      </c>
      <c r="AT6647">
        <v>1</v>
      </c>
      <c r="AU6647" t="s">
        <v>390</v>
      </c>
      <c r="AV6647" t="s">
        <v>391</v>
      </c>
      <c r="AW6647" t="s">
        <v>60</v>
      </c>
      <c r="AX6647" t="s">
        <v>68</v>
      </c>
      <c r="AY6647" t="s">
        <v>69</v>
      </c>
      <c r="AZ6647" t="b">
        <v>1</v>
      </c>
    </row>
    <row r="6648" spans="1:52" x14ac:dyDescent="0.3">
      <c r="A6648" t="s">
        <v>52</v>
      </c>
      <c r="B6648" t="s">
        <v>53</v>
      </c>
      <c r="C6648" t="s">
        <v>54</v>
      </c>
      <c r="D6648" t="s">
        <v>55</v>
      </c>
      <c r="E6648" t="s">
        <v>2296</v>
      </c>
      <c r="F6648" t="s">
        <v>190</v>
      </c>
      <c r="G6648" t="s">
        <v>392</v>
      </c>
      <c r="H6648" t="s">
        <v>393</v>
      </c>
      <c r="I6648" t="s">
        <v>393</v>
      </c>
      <c r="J6648" t="s">
        <v>60</v>
      </c>
      <c r="K6648" t="s">
        <v>388</v>
      </c>
      <c r="L6648" t="s">
        <v>62</v>
      </c>
      <c r="M6648" t="s">
        <v>388</v>
      </c>
      <c r="N6648" t="s">
        <v>394</v>
      </c>
      <c r="O6648" t="s">
        <v>395</v>
      </c>
      <c r="P6648">
        <v>-20.158066999999999</v>
      </c>
      <c r="Q6648">
        <v>-44.908164999999997</v>
      </c>
      <c r="R6648" s="2" t="str">
        <f>HYPERLINK("https://www.google.com/maps?q=-20.1580670,-44.9081650","Abrir no Google Maps")</f>
        <v>Abrir no Google Maps</v>
      </c>
      <c r="S6648">
        <v>3</v>
      </c>
      <c r="T6648">
        <v>666.74434317993041</v>
      </c>
      <c r="U6648">
        <v>3</v>
      </c>
      <c r="V6648">
        <v>0.16137543557311379</v>
      </c>
      <c r="W6648">
        <v>1</v>
      </c>
      <c r="X6648">
        <v>0.16137543557311379</v>
      </c>
      <c r="Y6648">
        <v>729</v>
      </c>
      <c r="Z6648">
        <v>612.4323328215396</v>
      </c>
      <c r="AA6648">
        <v>198</v>
      </c>
      <c r="AB6648">
        <v>332</v>
      </c>
      <c r="AC6648">
        <v>536</v>
      </c>
      <c r="AD6648">
        <v>28.93</v>
      </c>
      <c r="AE6648">
        <v>542</v>
      </c>
      <c r="AF6648">
        <v>29</v>
      </c>
      <c r="AG6648">
        <v>166</v>
      </c>
      <c r="AH6648">
        <v>129</v>
      </c>
      <c r="AI6648">
        <v>5.35</v>
      </c>
      <c r="AJ6648">
        <v>30.63</v>
      </c>
      <c r="AK6648">
        <v>23.8</v>
      </c>
      <c r="AL6648">
        <v>-20.158151449999959</v>
      </c>
      <c r="AM6648">
        <v>-44.908107718360938</v>
      </c>
      <c r="AN6648">
        <v>-20.158151449999959</v>
      </c>
      <c r="AO6648">
        <v>-44.908107718360938</v>
      </c>
      <c r="AP6648">
        <v>-20.158066999999999</v>
      </c>
      <c r="AQ6648">
        <v>-44.908164999999997</v>
      </c>
      <c r="AR6648">
        <v>11.14497345894574</v>
      </c>
      <c r="AS6648" t="s">
        <v>65</v>
      </c>
      <c r="AT6648">
        <v>1</v>
      </c>
      <c r="AU6648" t="s">
        <v>396</v>
      </c>
      <c r="AV6648" t="s">
        <v>397</v>
      </c>
      <c r="AW6648" t="s">
        <v>60</v>
      </c>
      <c r="AX6648" t="s">
        <v>68</v>
      </c>
      <c r="AY6648" t="s">
        <v>69</v>
      </c>
      <c r="AZ6648" t="b">
        <v>1</v>
      </c>
    </row>
    <row r="6649" spans="1:52" x14ac:dyDescent="0.3">
      <c r="A6649" t="s">
        <v>52</v>
      </c>
      <c r="B6649" t="s">
        <v>53</v>
      </c>
      <c r="C6649" t="s">
        <v>54</v>
      </c>
      <c r="D6649" t="s">
        <v>55</v>
      </c>
      <c r="E6649" t="s">
        <v>2296</v>
      </c>
      <c r="F6649" t="s">
        <v>190</v>
      </c>
      <c r="G6649" t="s">
        <v>1307</v>
      </c>
      <c r="H6649" t="s">
        <v>1308</v>
      </c>
      <c r="I6649" t="s">
        <v>1308</v>
      </c>
      <c r="J6649" t="s">
        <v>60</v>
      </c>
      <c r="K6649" t="s">
        <v>1302</v>
      </c>
      <c r="L6649" t="s">
        <v>62</v>
      </c>
      <c r="M6649" t="s">
        <v>1302</v>
      </c>
      <c r="N6649" t="s">
        <v>558</v>
      </c>
      <c r="O6649" t="s">
        <v>1309</v>
      </c>
      <c r="P6649">
        <v>-20.169051</v>
      </c>
      <c r="Q6649">
        <v>-44.910093000000003</v>
      </c>
      <c r="R6649" s="2" t="str">
        <f>HYPERLINK("https://www.google.com/maps?q=-20.1690510,-44.9100930","Abrir no Google Maps")</f>
        <v>Abrir no Google Maps</v>
      </c>
      <c r="S6649">
        <v>3</v>
      </c>
      <c r="T6649">
        <v>375.90504489887479</v>
      </c>
      <c r="U6649">
        <v>3</v>
      </c>
      <c r="V6649">
        <v>0.1975336603042705</v>
      </c>
      <c r="W6649">
        <v>0.85</v>
      </c>
      <c r="X6649">
        <v>0.1679036112586299</v>
      </c>
      <c r="Y6649">
        <v>723</v>
      </c>
      <c r="Z6649">
        <v>456.19893675176831</v>
      </c>
      <c r="AA6649">
        <v>198</v>
      </c>
      <c r="AB6649">
        <v>332</v>
      </c>
      <c r="AC6649">
        <v>536</v>
      </c>
      <c r="AD6649">
        <v>28.93</v>
      </c>
      <c r="AE6649">
        <v>542</v>
      </c>
      <c r="AF6649">
        <v>29</v>
      </c>
      <c r="AG6649">
        <v>166</v>
      </c>
      <c r="AH6649">
        <v>129</v>
      </c>
      <c r="AI6649">
        <v>5.35</v>
      </c>
      <c r="AJ6649">
        <v>30.63</v>
      </c>
      <c r="AK6649">
        <v>23.8</v>
      </c>
      <c r="AL6649">
        <v>-20.168810949999941</v>
      </c>
      <c r="AM6649">
        <v>-44.910156475447927</v>
      </c>
      <c r="AN6649">
        <v>-20.168810949999941</v>
      </c>
      <c r="AO6649">
        <v>-44.910156475447927</v>
      </c>
      <c r="AP6649">
        <v>-20.169051</v>
      </c>
      <c r="AQ6649">
        <v>-44.910093000000003</v>
      </c>
      <c r="AR6649">
        <v>27.533232396417059</v>
      </c>
      <c r="AS6649" t="s">
        <v>65</v>
      </c>
      <c r="AT6649">
        <v>1</v>
      </c>
      <c r="AU6649" t="s">
        <v>1310</v>
      </c>
      <c r="AV6649" t="s">
        <v>1311</v>
      </c>
      <c r="AW6649" t="s">
        <v>60</v>
      </c>
      <c r="AX6649" t="s">
        <v>68</v>
      </c>
      <c r="AY6649" t="s">
        <v>69</v>
      </c>
      <c r="AZ6649" t="b">
        <v>1</v>
      </c>
    </row>
    <row r="6650" spans="1:52" x14ac:dyDescent="0.3">
      <c r="A6650" t="s">
        <v>52</v>
      </c>
      <c r="B6650" t="s">
        <v>53</v>
      </c>
      <c r="C6650" t="s">
        <v>54</v>
      </c>
      <c r="D6650" t="s">
        <v>55</v>
      </c>
      <c r="E6650" t="s">
        <v>2296</v>
      </c>
      <c r="F6650" t="s">
        <v>190</v>
      </c>
      <c r="G6650" t="s">
        <v>1364</v>
      </c>
      <c r="H6650" t="s">
        <v>1369</v>
      </c>
      <c r="I6650" t="s">
        <v>1369</v>
      </c>
      <c r="J6650" t="s">
        <v>60</v>
      </c>
      <c r="K6650" t="s">
        <v>1370</v>
      </c>
      <c r="L6650" t="s">
        <v>62</v>
      </c>
      <c r="M6650" t="s">
        <v>1370</v>
      </c>
      <c r="N6650" t="s">
        <v>1366</v>
      </c>
      <c r="O6650" t="s">
        <v>989</v>
      </c>
      <c r="P6650">
        <v>-20.141185</v>
      </c>
      <c r="Q6650">
        <v>-44.914200999999998</v>
      </c>
      <c r="R6650" s="2" t="str">
        <f>HYPERLINK("https://www.google.com/maps?q=-20.1411850,-44.9142010","Abrir no Google Maps")</f>
        <v>Abrir no Google Maps</v>
      </c>
      <c r="S6650">
        <v>3</v>
      </c>
      <c r="T6650">
        <v>512.52588459346453</v>
      </c>
      <c r="U6650">
        <v>3</v>
      </c>
      <c r="V6650">
        <v>0.19936580416032479</v>
      </c>
      <c r="W6650">
        <v>0.85</v>
      </c>
      <c r="X6650">
        <v>0.16946093353627609</v>
      </c>
      <c r="Y6650">
        <v>581</v>
      </c>
      <c r="Z6650">
        <v>473.10673043319349</v>
      </c>
      <c r="AA6650">
        <v>198</v>
      </c>
      <c r="AB6650">
        <v>332</v>
      </c>
      <c r="AC6650">
        <v>536</v>
      </c>
      <c r="AD6650">
        <v>28.93</v>
      </c>
      <c r="AE6650">
        <v>542</v>
      </c>
      <c r="AF6650">
        <v>29</v>
      </c>
      <c r="AG6650">
        <v>166</v>
      </c>
      <c r="AH6650">
        <v>129</v>
      </c>
      <c r="AI6650">
        <v>5.35</v>
      </c>
      <c r="AJ6650">
        <v>30.63</v>
      </c>
      <c r="AK6650">
        <v>23.8</v>
      </c>
      <c r="AL6650">
        <v>-20.14133909999995</v>
      </c>
      <c r="AM6650">
        <v>-44.913910219286038</v>
      </c>
      <c r="AN6650">
        <v>-20.14133909999995</v>
      </c>
      <c r="AO6650">
        <v>-44.913910219286038</v>
      </c>
      <c r="AP6650">
        <v>-20.141185</v>
      </c>
      <c r="AQ6650">
        <v>-44.914200999999998</v>
      </c>
      <c r="AR6650">
        <v>34.897514361429593</v>
      </c>
      <c r="AS6650" t="s">
        <v>65</v>
      </c>
      <c r="AT6650">
        <v>1</v>
      </c>
      <c r="AU6650" t="s">
        <v>1371</v>
      </c>
      <c r="AV6650" t="s">
        <v>863</v>
      </c>
      <c r="AW6650" t="s">
        <v>60</v>
      </c>
      <c r="AX6650" t="s">
        <v>68</v>
      </c>
      <c r="AY6650" t="s">
        <v>69</v>
      </c>
      <c r="AZ6650" t="b">
        <v>1</v>
      </c>
    </row>
    <row r="6651" spans="1:52" x14ac:dyDescent="0.3">
      <c r="A6651" t="s">
        <v>52</v>
      </c>
      <c r="B6651" t="s">
        <v>53</v>
      </c>
      <c r="C6651" t="s">
        <v>54</v>
      </c>
      <c r="D6651" t="s">
        <v>55</v>
      </c>
      <c r="E6651" t="s">
        <v>2296</v>
      </c>
      <c r="F6651" t="s">
        <v>190</v>
      </c>
      <c r="G6651" t="s">
        <v>870</v>
      </c>
      <c r="H6651" t="s">
        <v>871</v>
      </c>
      <c r="I6651" t="s">
        <v>871</v>
      </c>
      <c r="J6651" t="s">
        <v>60</v>
      </c>
      <c r="K6651" t="s">
        <v>475</v>
      </c>
      <c r="L6651" t="s">
        <v>62</v>
      </c>
      <c r="M6651" t="s">
        <v>475</v>
      </c>
      <c r="N6651" t="s">
        <v>872</v>
      </c>
      <c r="O6651" t="s">
        <v>507</v>
      </c>
      <c r="P6651">
        <v>-20.176269999999999</v>
      </c>
      <c r="Q6651">
        <v>-44.909323999999998</v>
      </c>
      <c r="R6651" s="2" t="str">
        <f>HYPERLINK("https://www.google.com/maps?q=-20.1762700,-44.9093240","Abrir no Google Maps")</f>
        <v>Abrir no Google Maps</v>
      </c>
      <c r="S6651">
        <v>3</v>
      </c>
      <c r="T6651">
        <v>472.42731136821368</v>
      </c>
      <c r="U6651">
        <v>3</v>
      </c>
      <c r="V6651">
        <v>0.1643886731989892</v>
      </c>
      <c r="W6651">
        <v>1</v>
      </c>
      <c r="X6651">
        <v>0.1643886731989892</v>
      </c>
      <c r="Y6651">
        <v>578</v>
      </c>
      <c r="Z6651">
        <v>495.19726726344601</v>
      </c>
      <c r="AA6651">
        <v>198</v>
      </c>
      <c r="AB6651">
        <v>332</v>
      </c>
      <c r="AC6651">
        <v>536</v>
      </c>
      <c r="AD6651">
        <v>28.93</v>
      </c>
      <c r="AE6651">
        <v>542</v>
      </c>
      <c r="AF6651">
        <v>29</v>
      </c>
      <c r="AG6651">
        <v>166</v>
      </c>
      <c r="AH6651">
        <v>129</v>
      </c>
      <c r="AI6651">
        <v>5.35</v>
      </c>
      <c r="AJ6651">
        <v>30.63</v>
      </c>
      <c r="AK6651">
        <v>23.8</v>
      </c>
      <c r="AL6651">
        <v>-20.17630284999996</v>
      </c>
      <c r="AM6651">
        <v>-44.909199064318948</v>
      </c>
      <c r="AN6651">
        <v>-20.17630284999996</v>
      </c>
      <c r="AO6651">
        <v>-44.909199064318948</v>
      </c>
      <c r="AP6651">
        <v>-20.176269999999999</v>
      </c>
      <c r="AQ6651">
        <v>-44.909323999999998</v>
      </c>
      <c r="AR6651">
        <v>13.55691308737447</v>
      </c>
      <c r="AS6651" t="s">
        <v>65</v>
      </c>
      <c r="AT6651">
        <v>1</v>
      </c>
      <c r="AU6651" t="s">
        <v>873</v>
      </c>
      <c r="AV6651" t="s">
        <v>874</v>
      </c>
      <c r="AW6651" t="s">
        <v>60</v>
      </c>
      <c r="AX6651" t="s">
        <v>68</v>
      </c>
      <c r="AY6651" t="s">
        <v>69</v>
      </c>
      <c r="AZ6651" t="b">
        <v>1</v>
      </c>
    </row>
    <row r="6652" spans="1:52" x14ac:dyDescent="0.3">
      <c r="A6652" t="s">
        <v>52</v>
      </c>
      <c r="B6652" t="s">
        <v>53</v>
      </c>
      <c r="C6652" t="s">
        <v>54</v>
      </c>
      <c r="D6652" t="s">
        <v>55</v>
      </c>
      <c r="E6652" t="s">
        <v>2296</v>
      </c>
      <c r="F6652" t="s">
        <v>190</v>
      </c>
      <c r="G6652" t="s">
        <v>473</v>
      </c>
      <c r="H6652" t="s">
        <v>474</v>
      </c>
      <c r="I6652" t="s">
        <v>474</v>
      </c>
      <c r="J6652" t="s">
        <v>60</v>
      </c>
      <c r="K6652" t="s">
        <v>475</v>
      </c>
      <c r="L6652" t="s">
        <v>62</v>
      </c>
      <c r="M6652" t="s">
        <v>475</v>
      </c>
      <c r="N6652" t="s">
        <v>406</v>
      </c>
      <c r="O6652" t="s">
        <v>476</v>
      </c>
      <c r="P6652">
        <v>-20.177902</v>
      </c>
      <c r="Q6652">
        <v>-44.908504000000001</v>
      </c>
      <c r="R6652" s="2" t="str">
        <f>HYPERLINK("https://www.google.com/maps?q=-20.1779020,-44.9085040","Abrir no Google Maps")</f>
        <v>Abrir no Google Maps</v>
      </c>
      <c r="S6652">
        <v>3</v>
      </c>
      <c r="T6652">
        <v>656.92307673247149</v>
      </c>
      <c r="U6652">
        <v>3</v>
      </c>
      <c r="V6652">
        <v>0.1570073545316894</v>
      </c>
      <c r="W6652">
        <v>1</v>
      </c>
      <c r="X6652">
        <v>0.1570073545316894</v>
      </c>
      <c r="Y6652">
        <v>578</v>
      </c>
      <c r="Z6652">
        <v>635.01982153722327</v>
      </c>
      <c r="AA6652">
        <v>198</v>
      </c>
      <c r="AB6652">
        <v>332</v>
      </c>
      <c r="AC6652">
        <v>536</v>
      </c>
      <c r="AD6652">
        <v>28.93</v>
      </c>
      <c r="AE6652">
        <v>542</v>
      </c>
      <c r="AF6652">
        <v>29</v>
      </c>
      <c r="AG6652">
        <v>166</v>
      </c>
      <c r="AH6652">
        <v>129</v>
      </c>
      <c r="AI6652">
        <v>5.35</v>
      </c>
      <c r="AJ6652">
        <v>30.63</v>
      </c>
      <c r="AK6652">
        <v>23.8</v>
      </c>
      <c r="AL6652">
        <v>-20.177800399999938</v>
      </c>
      <c r="AM6652">
        <v>-44.908361879701268</v>
      </c>
      <c r="AN6652">
        <v>-20.177800399999938</v>
      </c>
      <c r="AO6652">
        <v>-44.908361879701268</v>
      </c>
      <c r="AP6652">
        <v>-20.177902</v>
      </c>
      <c r="AQ6652">
        <v>-44.908504000000001</v>
      </c>
      <c r="AR6652">
        <v>18.666463141775541</v>
      </c>
      <c r="AS6652" t="s">
        <v>65</v>
      </c>
      <c r="AT6652">
        <v>1</v>
      </c>
      <c r="AU6652" t="s">
        <v>477</v>
      </c>
      <c r="AV6652" t="s">
        <v>478</v>
      </c>
      <c r="AW6652" t="s">
        <v>60</v>
      </c>
      <c r="AX6652" t="s">
        <v>68</v>
      </c>
      <c r="AY6652" t="s">
        <v>69</v>
      </c>
      <c r="AZ6652" t="b">
        <v>1</v>
      </c>
    </row>
    <row r="6653" spans="1:52" x14ac:dyDescent="0.3">
      <c r="A6653" t="s">
        <v>52</v>
      </c>
      <c r="B6653" t="s">
        <v>53</v>
      </c>
      <c r="C6653" t="s">
        <v>54</v>
      </c>
      <c r="D6653" t="s">
        <v>55</v>
      </c>
      <c r="E6653" t="s">
        <v>2296</v>
      </c>
      <c r="F6653" t="s">
        <v>190</v>
      </c>
      <c r="G6653" t="s">
        <v>479</v>
      </c>
      <c r="H6653" t="s">
        <v>480</v>
      </c>
      <c r="I6653" t="s">
        <v>480</v>
      </c>
      <c r="J6653" t="s">
        <v>60</v>
      </c>
      <c r="K6653" t="s">
        <v>388</v>
      </c>
      <c r="L6653" t="s">
        <v>62</v>
      </c>
      <c r="M6653" t="s">
        <v>388</v>
      </c>
      <c r="N6653" t="s">
        <v>481</v>
      </c>
      <c r="O6653" t="s">
        <v>315</v>
      </c>
      <c r="P6653">
        <v>-20.166903999999999</v>
      </c>
      <c r="Q6653">
        <v>-44.903492</v>
      </c>
      <c r="R6653" s="2" t="str">
        <f>HYPERLINK("https://www.google.com/maps?q=-20.1669040,-44.9034920","Abrir no Google Maps")</f>
        <v>Abrir no Google Maps</v>
      </c>
      <c r="S6653">
        <v>3</v>
      </c>
      <c r="T6653">
        <v>517.12253532511602</v>
      </c>
      <c r="U6653">
        <v>3</v>
      </c>
      <c r="V6653">
        <v>0.17630817659834519</v>
      </c>
      <c r="W6653">
        <v>1</v>
      </c>
      <c r="X6653">
        <v>0.17630817659834519</v>
      </c>
      <c r="Y6653">
        <v>578</v>
      </c>
      <c r="Z6653">
        <v>721.79551240050432</v>
      </c>
      <c r="AA6653">
        <v>198</v>
      </c>
      <c r="AB6653">
        <v>332</v>
      </c>
      <c r="AC6653">
        <v>536</v>
      </c>
      <c r="AD6653">
        <v>28.93</v>
      </c>
      <c r="AE6653">
        <v>542</v>
      </c>
      <c r="AF6653">
        <v>29</v>
      </c>
      <c r="AG6653">
        <v>166</v>
      </c>
      <c r="AH6653">
        <v>129</v>
      </c>
      <c r="AI6653">
        <v>5.35</v>
      </c>
      <c r="AJ6653">
        <v>30.63</v>
      </c>
      <c r="AK6653">
        <v>23.8</v>
      </c>
      <c r="AL6653">
        <v>-20.166610649999971</v>
      </c>
      <c r="AM6653">
        <v>-44.903452988928308</v>
      </c>
      <c r="AN6653">
        <v>-20.166610649999971</v>
      </c>
      <c r="AO6653">
        <v>-44.903452988928308</v>
      </c>
      <c r="AP6653">
        <v>-20.166903999999999</v>
      </c>
      <c r="AQ6653">
        <v>-44.903492</v>
      </c>
      <c r="AR6653">
        <v>32.909175876856217</v>
      </c>
      <c r="AS6653" t="s">
        <v>65</v>
      </c>
      <c r="AT6653">
        <v>1</v>
      </c>
      <c r="AU6653" t="s">
        <v>482</v>
      </c>
      <c r="AV6653" t="s">
        <v>483</v>
      </c>
      <c r="AW6653" t="s">
        <v>60</v>
      </c>
      <c r="AX6653" t="s">
        <v>68</v>
      </c>
      <c r="AY6653" t="s">
        <v>69</v>
      </c>
      <c r="AZ6653" t="b">
        <v>1</v>
      </c>
    </row>
    <row r="6654" spans="1:52" x14ac:dyDescent="0.3">
      <c r="A6654" t="s">
        <v>52</v>
      </c>
      <c r="B6654" t="s">
        <v>53</v>
      </c>
      <c r="C6654" t="s">
        <v>54</v>
      </c>
      <c r="D6654" t="s">
        <v>55</v>
      </c>
      <c r="E6654" t="s">
        <v>2296</v>
      </c>
      <c r="F6654" t="s">
        <v>190</v>
      </c>
      <c r="G6654" t="s">
        <v>1424</v>
      </c>
      <c r="H6654" t="s">
        <v>1425</v>
      </c>
      <c r="I6654" t="s">
        <v>1425</v>
      </c>
      <c r="J6654" t="s">
        <v>60</v>
      </c>
      <c r="K6654" t="s">
        <v>1324</v>
      </c>
      <c r="L6654" t="s">
        <v>62</v>
      </c>
      <c r="M6654" t="s">
        <v>1324</v>
      </c>
      <c r="N6654" t="s">
        <v>1426</v>
      </c>
      <c r="O6654" t="s">
        <v>938</v>
      </c>
      <c r="P6654">
        <v>-20.172844999999999</v>
      </c>
      <c r="Q6654">
        <v>-44.909215000000003</v>
      </c>
      <c r="R6654" s="2" t="str">
        <f>HYPERLINK("https://www.google.com/maps?q=-20.1728450,-44.9092150","Abrir no Google Maps")</f>
        <v>Abrir no Google Maps</v>
      </c>
      <c r="S6654">
        <v>3</v>
      </c>
      <c r="T6654">
        <v>0</v>
      </c>
      <c r="U6654">
        <v>3</v>
      </c>
      <c r="V6654">
        <v>0.21250000000000011</v>
      </c>
      <c r="W6654">
        <v>0.85</v>
      </c>
      <c r="X6654">
        <v>0.18062500000000009</v>
      </c>
      <c r="Y6654">
        <v>578</v>
      </c>
      <c r="Z6654">
        <v>365.56549317689053</v>
      </c>
      <c r="AA6654">
        <v>198</v>
      </c>
      <c r="AB6654">
        <v>332</v>
      </c>
      <c r="AC6654">
        <v>536</v>
      </c>
      <c r="AD6654">
        <v>28.93</v>
      </c>
      <c r="AE6654">
        <v>542</v>
      </c>
      <c r="AF6654">
        <v>29</v>
      </c>
      <c r="AG6654">
        <v>166</v>
      </c>
      <c r="AH6654">
        <v>129</v>
      </c>
      <c r="AI6654">
        <v>5.35</v>
      </c>
      <c r="AJ6654">
        <v>30.63</v>
      </c>
      <c r="AK6654">
        <v>23.8</v>
      </c>
      <c r="AL6654">
        <v>-20.172197349999941</v>
      </c>
      <c r="AM6654">
        <v>-44.910438675762883</v>
      </c>
      <c r="AN6654">
        <v>-20.172197349999941</v>
      </c>
      <c r="AO6654">
        <v>-44.910438675762883</v>
      </c>
      <c r="AP6654">
        <v>-20.172844999999999</v>
      </c>
      <c r="AQ6654">
        <v>-44.909215000000003</v>
      </c>
      <c r="AR6654">
        <v>146.78922919749749</v>
      </c>
      <c r="AS6654" t="s">
        <v>65</v>
      </c>
      <c r="AT6654">
        <v>1</v>
      </c>
      <c r="AU6654" t="s">
        <v>1427</v>
      </c>
      <c r="AV6654" t="s">
        <v>1428</v>
      </c>
      <c r="AW6654" t="s">
        <v>60</v>
      </c>
      <c r="AX6654" t="s">
        <v>68</v>
      </c>
      <c r="AY6654" t="s">
        <v>69</v>
      </c>
      <c r="AZ6654" t="b">
        <v>1</v>
      </c>
    </row>
    <row r="6655" spans="1:52" x14ac:dyDescent="0.3">
      <c r="A6655" t="s">
        <v>52</v>
      </c>
      <c r="B6655" t="s">
        <v>53</v>
      </c>
      <c r="C6655" t="s">
        <v>54</v>
      </c>
      <c r="D6655" t="s">
        <v>55</v>
      </c>
      <c r="E6655" t="s">
        <v>2296</v>
      </c>
      <c r="F6655" t="s">
        <v>190</v>
      </c>
      <c r="G6655" t="s">
        <v>491</v>
      </c>
      <c r="H6655" t="s">
        <v>492</v>
      </c>
      <c r="I6655" t="s">
        <v>492</v>
      </c>
      <c r="J6655" t="s">
        <v>60</v>
      </c>
      <c r="K6655" t="s">
        <v>475</v>
      </c>
      <c r="L6655" t="s">
        <v>62</v>
      </c>
      <c r="M6655" t="s">
        <v>475</v>
      </c>
      <c r="N6655" t="s">
        <v>493</v>
      </c>
      <c r="O6655" t="s">
        <v>494</v>
      </c>
      <c r="P6655">
        <v>-20.175250999999999</v>
      </c>
      <c r="Q6655">
        <v>-44.897357</v>
      </c>
      <c r="R6655" s="2" t="str">
        <f>HYPERLINK("https://www.google.com/maps?q=-20.1752510,-44.8973570","Abrir no Google Maps")</f>
        <v>Abrir no Google Maps</v>
      </c>
      <c r="S6655">
        <v>3</v>
      </c>
      <c r="T6655">
        <v>992.29631678149951</v>
      </c>
      <c r="U6655">
        <v>3</v>
      </c>
      <c r="V6655">
        <v>0.1568713221484912</v>
      </c>
      <c r="W6655">
        <v>1</v>
      </c>
      <c r="X6655">
        <v>0.1568713221484912</v>
      </c>
      <c r="Y6655">
        <v>578</v>
      </c>
      <c r="Z6655">
        <v>1008.5871064168319</v>
      </c>
      <c r="AA6655">
        <v>198</v>
      </c>
      <c r="AB6655">
        <v>332</v>
      </c>
      <c r="AC6655">
        <v>536</v>
      </c>
      <c r="AD6655">
        <v>28.93</v>
      </c>
      <c r="AE6655">
        <v>542</v>
      </c>
      <c r="AF6655">
        <v>29</v>
      </c>
      <c r="AG6655">
        <v>166</v>
      </c>
      <c r="AH6655">
        <v>129</v>
      </c>
      <c r="AI6655">
        <v>5.35</v>
      </c>
      <c r="AJ6655">
        <v>30.63</v>
      </c>
      <c r="AK6655">
        <v>23.8</v>
      </c>
      <c r="AL6655">
        <v>-20.175290599999951</v>
      </c>
      <c r="AM6655">
        <v>-44.897271931010721</v>
      </c>
      <c r="AN6655">
        <v>-20.175290599999951</v>
      </c>
      <c r="AO6655">
        <v>-44.897271931010721</v>
      </c>
      <c r="AP6655">
        <v>-20.175250999999999</v>
      </c>
      <c r="AQ6655">
        <v>-44.897357</v>
      </c>
      <c r="AR6655">
        <v>9.921899108467926</v>
      </c>
      <c r="AS6655" t="s">
        <v>65</v>
      </c>
      <c r="AT6655">
        <v>1</v>
      </c>
      <c r="AU6655" t="s">
        <v>495</v>
      </c>
      <c r="AV6655" t="s">
        <v>496</v>
      </c>
      <c r="AW6655" t="s">
        <v>60</v>
      </c>
      <c r="AX6655" t="s">
        <v>68</v>
      </c>
      <c r="AY6655" t="s">
        <v>69</v>
      </c>
      <c r="AZ6655" t="b">
        <v>1</v>
      </c>
    </row>
    <row r="6656" spans="1:52" x14ac:dyDescent="0.3">
      <c r="A6656" t="s">
        <v>52</v>
      </c>
      <c r="B6656" t="s">
        <v>53</v>
      </c>
      <c r="C6656" t="s">
        <v>54</v>
      </c>
      <c r="D6656" t="s">
        <v>55</v>
      </c>
      <c r="E6656" t="s">
        <v>2296</v>
      </c>
      <c r="F6656" t="s">
        <v>190</v>
      </c>
      <c r="G6656" t="s">
        <v>1388</v>
      </c>
      <c r="H6656" t="s">
        <v>1389</v>
      </c>
      <c r="I6656" t="s">
        <v>1389</v>
      </c>
      <c r="J6656" t="s">
        <v>60</v>
      </c>
      <c r="K6656" t="s">
        <v>475</v>
      </c>
      <c r="L6656" t="s">
        <v>62</v>
      </c>
      <c r="M6656" t="s">
        <v>475</v>
      </c>
      <c r="N6656" t="s">
        <v>1390</v>
      </c>
      <c r="O6656" t="s">
        <v>855</v>
      </c>
      <c r="P6656">
        <v>-20.173748</v>
      </c>
      <c r="Q6656">
        <v>-44.894596999999997</v>
      </c>
      <c r="R6656" s="2" t="str">
        <f>HYPERLINK("https://www.google.com/maps?q=-20.1737480,-44.8945970","Abrir no Google Maps")</f>
        <v>Abrir no Google Maps</v>
      </c>
      <c r="S6656">
        <v>3</v>
      </c>
      <c r="T6656">
        <v>1217.388518792701</v>
      </c>
      <c r="U6656">
        <v>3</v>
      </c>
      <c r="V6656">
        <v>0.2026351752822341</v>
      </c>
      <c r="W6656">
        <v>0.85</v>
      </c>
      <c r="X6656">
        <v>0.172239898989899</v>
      </c>
      <c r="Y6656">
        <v>578</v>
      </c>
      <c r="Z6656">
        <v>1268.0048337091989</v>
      </c>
      <c r="AA6656">
        <v>198</v>
      </c>
      <c r="AB6656">
        <v>332</v>
      </c>
      <c r="AC6656">
        <v>536</v>
      </c>
      <c r="AD6656">
        <v>28.93</v>
      </c>
      <c r="AE6656">
        <v>542</v>
      </c>
      <c r="AF6656">
        <v>29</v>
      </c>
      <c r="AG6656">
        <v>166</v>
      </c>
      <c r="AH6656">
        <v>129</v>
      </c>
      <c r="AI6656">
        <v>5.35</v>
      </c>
      <c r="AJ6656">
        <v>30.63</v>
      </c>
      <c r="AK6656">
        <v>23.8</v>
      </c>
      <c r="AL6656">
        <v>-20.173821999999941</v>
      </c>
      <c r="AM6656">
        <v>-44.894306105833543</v>
      </c>
      <c r="AN6656">
        <v>-20.173821999999941</v>
      </c>
      <c r="AO6656">
        <v>-44.894306105833543</v>
      </c>
      <c r="AP6656">
        <v>-20.173748</v>
      </c>
      <c r="AQ6656">
        <v>-44.894596999999997</v>
      </c>
      <c r="AR6656">
        <v>31.492193006406161</v>
      </c>
      <c r="AS6656" t="s">
        <v>65</v>
      </c>
      <c r="AT6656">
        <v>1</v>
      </c>
      <c r="AU6656" t="s">
        <v>1391</v>
      </c>
      <c r="AV6656" t="s">
        <v>1392</v>
      </c>
      <c r="AW6656" t="s">
        <v>60</v>
      </c>
      <c r="AX6656" t="s">
        <v>68</v>
      </c>
      <c r="AY6656" t="s">
        <v>69</v>
      </c>
      <c r="AZ6656" t="b">
        <v>1</v>
      </c>
    </row>
    <row r="6657" spans="1:52" x14ac:dyDescent="0.3">
      <c r="A6657" t="s">
        <v>52</v>
      </c>
      <c r="B6657" t="s">
        <v>53</v>
      </c>
      <c r="C6657" t="s">
        <v>54</v>
      </c>
      <c r="D6657" t="s">
        <v>55</v>
      </c>
      <c r="E6657" t="s">
        <v>2296</v>
      </c>
      <c r="F6657" t="s">
        <v>190</v>
      </c>
      <c r="G6657" t="s">
        <v>497</v>
      </c>
      <c r="H6657" t="s">
        <v>875</v>
      </c>
      <c r="I6657" t="s">
        <v>875</v>
      </c>
      <c r="J6657" t="s">
        <v>60</v>
      </c>
      <c r="K6657" t="s">
        <v>475</v>
      </c>
      <c r="L6657" t="s">
        <v>62</v>
      </c>
      <c r="M6657" t="s">
        <v>475</v>
      </c>
      <c r="N6657" t="s">
        <v>499</v>
      </c>
      <c r="O6657" t="s">
        <v>876</v>
      </c>
      <c r="P6657">
        <v>-20.177212999999998</v>
      </c>
      <c r="Q6657">
        <v>-44.904026999999999</v>
      </c>
      <c r="R6657" s="2" t="str">
        <f>HYPERLINK("https://www.google.com/maps?q=-20.1772130,-44.9040270","Abrir no Google Maps")</f>
        <v>Abrir no Google Maps</v>
      </c>
      <c r="S6657">
        <v>3</v>
      </c>
      <c r="T6657">
        <v>706.4159561113795</v>
      </c>
      <c r="U6657">
        <v>3</v>
      </c>
      <c r="V6657">
        <v>0.16367476463563349</v>
      </c>
      <c r="W6657">
        <v>1</v>
      </c>
      <c r="X6657">
        <v>0.16367476463563349</v>
      </c>
      <c r="Y6657">
        <v>578</v>
      </c>
      <c r="Z6657">
        <v>588.7160518608398</v>
      </c>
      <c r="AA6657">
        <v>198</v>
      </c>
      <c r="AB6657">
        <v>332</v>
      </c>
      <c r="AC6657">
        <v>536</v>
      </c>
      <c r="AD6657">
        <v>28.93</v>
      </c>
      <c r="AE6657">
        <v>542</v>
      </c>
      <c r="AF6657">
        <v>29</v>
      </c>
      <c r="AG6657">
        <v>166</v>
      </c>
      <c r="AH6657">
        <v>129</v>
      </c>
      <c r="AI6657">
        <v>5.35</v>
      </c>
      <c r="AJ6657">
        <v>30.63</v>
      </c>
      <c r="AK6657">
        <v>23.8</v>
      </c>
      <c r="AL6657">
        <v>-20.177090199999949</v>
      </c>
      <c r="AM6657">
        <v>-44.904078820930181</v>
      </c>
      <c r="AN6657">
        <v>-20.177090199999949</v>
      </c>
      <c r="AO6657">
        <v>-44.904078820930181</v>
      </c>
      <c r="AP6657">
        <v>-20.177212999999998</v>
      </c>
      <c r="AQ6657">
        <v>-44.904026999999999</v>
      </c>
      <c r="AR6657">
        <v>14.7034129632295</v>
      </c>
      <c r="AS6657" t="s">
        <v>65</v>
      </c>
      <c r="AT6657">
        <v>1</v>
      </c>
      <c r="AU6657" t="s">
        <v>877</v>
      </c>
      <c r="AV6657" t="s">
        <v>878</v>
      </c>
      <c r="AW6657" t="s">
        <v>60</v>
      </c>
      <c r="AX6657" t="s">
        <v>68</v>
      </c>
      <c r="AY6657" t="s">
        <v>69</v>
      </c>
      <c r="AZ6657" t="b">
        <v>1</v>
      </c>
    </row>
    <row r="6658" spans="1:52" x14ac:dyDescent="0.3">
      <c r="A6658" t="s">
        <v>52</v>
      </c>
      <c r="B6658" t="s">
        <v>53</v>
      </c>
      <c r="C6658" t="s">
        <v>54</v>
      </c>
      <c r="D6658" t="s">
        <v>55</v>
      </c>
      <c r="E6658" t="s">
        <v>2296</v>
      </c>
      <c r="F6658" t="s">
        <v>190</v>
      </c>
      <c r="G6658" t="s">
        <v>1399</v>
      </c>
      <c r="H6658" t="s">
        <v>1400</v>
      </c>
      <c r="I6658" t="s">
        <v>1400</v>
      </c>
      <c r="J6658" t="s">
        <v>60</v>
      </c>
      <c r="K6658" t="s">
        <v>475</v>
      </c>
      <c r="L6658" t="s">
        <v>62</v>
      </c>
      <c r="M6658" t="s">
        <v>475</v>
      </c>
      <c r="N6658" t="s">
        <v>1401</v>
      </c>
      <c r="O6658" t="s">
        <v>1080</v>
      </c>
      <c r="P6658">
        <v>-20.178809000000001</v>
      </c>
      <c r="Q6658">
        <v>-44.900204000000002</v>
      </c>
      <c r="R6658" s="2" t="str">
        <f>HYPERLINK("https://www.google.com/maps?q=-20.1788090,-44.9002040","Abrir no Google Maps")</f>
        <v>Abrir no Google Maps</v>
      </c>
      <c r="S6658">
        <v>3</v>
      </c>
      <c r="T6658">
        <v>1015.86498565614</v>
      </c>
      <c r="U6658">
        <v>3</v>
      </c>
      <c r="V6658">
        <v>0.2082210242587601</v>
      </c>
      <c r="W6658">
        <v>0.85</v>
      </c>
      <c r="X6658">
        <v>0.17698787061994611</v>
      </c>
      <c r="Y6658">
        <v>578</v>
      </c>
      <c r="Z6658">
        <v>954.77111474428102</v>
      </c>
      <c r="AA6658">
        <v>198</v>
      </c>
      <c r="AB6658">
        <v>332</v>
      </c>
      <c r="AC6658">
        <v>536</v>
      </c>
      <c r="AD6658">
        <v>28.93</v>
      </c>
      <c r="AE6658">
        <v>542</v>
      </c>
      <c r="AF6658">
        <v>29</v>
      </c>
      <c r="AG6658">
        <v>166</v>
      </c>
      <c r="AH6658">
        <v>129</v>
      </c>
      <c r="AI6658">
        <v>5.35</v>
      </c>
      <c r="AJ6658">
        <v>30.63</v>
      </c>
      <c r="AK6658">
        <v>23.8</v>
      </c>
      <c r="AL6658">
        <v>-20.178590099999951</v>
      </c>
      <c r="AM6658">
        <v>-44.90029029928732</v>
      </c>
      <c r="AN6658">
        <v>-20.178590099999951</v>
      </c>
      <c r="AO6658">
        <v>-44.90029029928732</v>
      </c>
      <c r="AP6658">
        <v>-20.178809000000001</v>
      </c>
      <c r="AQ6658">
        <v>-44.900204000000002</v>
      </c>
      <c r="AR6658">
        <v>25.982812999798391</v>
      </c>
      <c r="AS6658" t="s">
        <v>65</v>
      </c>
      <c r="AT6658">
        <v>1</v>
      </c>
      <c r="AU6658" t="s">
        <v>1402</v>
      </c>
      <c r="AV6658" t="s">
        <v>1403</v>
      </c>
      <c r="AW6658" t="s">
        <v>60</v>
      </c>
      <c r="AX6658" t="s">
        <v>68</v>
      </c>
      <c r="AY6658" t="s">
        <v>69</v>
      </c>
      <c r="AZ6658" t="b">
        <v>1</v>
      </c>
    </row>
    <row r="6659" spans="1:52" x14ac:dyDescent="0.3">
      <c r="A6659" t="s">
        <v>52</v>
      </c>
      <c r="B6659" t="s">
        <v>53</v>
      </c>
      <c r="C6659" t="s">
        <v>54</v>
      </c>
      <c r="D6659" t="s">
        <v>55</v>
      </c>
      <c r="E6659" t="s">
        <v>2296</v>
      </c>
      <c r="F6659" t="s">
        <v>190</v>
      </c>
      <c r="G6659" t="s">
        <v>1435</v>
      </c>
      <c r="H6659" t="s">
        <v>1436</v>
      </c>
      <c r="I6659" t="s">
        <v>1436</v>
      </c>
      <c r="J6659" t="s">
        <v>60</v>
      </c>
      <c r="K6659" t="s">
        <v>886</v>
      </c>
      <c r="L6659" t="s">
        <v>62</v>
      </c>
      <c r="M6659" t="s">
        <v>886</v>
      </c>
      <c r="N6659" t="s">
        <v>1437</v>
      </c>
      <c r="O6659" t="s">
        <v>1438</v>
      </c>
      <c r="P6659">
        <v>-20.131108000000001</v>
      </c>
      <c r="Q6659">
        <v>-44.893228000000001</v>
      </c>
      <c r="R6659" s="2" t="str">
        <f>HYPERLINK("https://www.google.com/maps?q=-20.1311080,-44.8932280","Abrir no Google Maps")</f>
        <v>Abrir no Google Maps</v>
      </c>
      <c r="S6659">
        <v>3</v>
      </c>
      <c r="T6659">
        <v>548.07497919430136</v>
      </c>
      <c r="U6659">
        <v>3</v>
      </c>
      <c r="V6659">
        <v>0.18917953116066319</v>
      </c>
      <c r="W6659">
        <v>0.85</v>
      </c>
      <c r="X6659">
        <v>0.1608026014865637</v>
      </c>
      <c r="Y6659">
        <v>564</v>
      </c>
      <c r="Z6659">
        <v>369.17139216388432</v>
      </c>
      <c r="AA6659">
        <v>198</v>
      </c>
      <c r="AB6659">
        <v>332</v>
      </c>
      <c r="AC6659">
        <v>536</v>
      </c>
      <c r="AD6659">
        <v>28.93</v>
      </c>
      <c r="AE6659">
        <v>542</v>
      </c>
      <c r="AF6659">
        <v>29</v>
      </c>
      <c r="AG6659">
        <v>166</v>
      </c>
      <c r="AH6659">
        <v>129</v>
      </c>
      <c r="AI6659">
        <v>5.35</v>
      </c>
      <c r="AJ6659">
        <v>30.63</v>
      </c>
      <c r="AK6659">
        <v>23.8</v>
      </c>
      <c r="AL6659">
        <v>-20.13103294999997</v>
      </c>
      <c r="AM6659">
        <v>-44.89318457893738</v>
      </c>
      <c r="AN6659">
        <v>-20.13103294999997</v>
      </c>
      <c r="AO6659">
        <v>-44.89318457893738</v>
      </c>
      <c r="AP6659">
        <v>-20.131108000000001</v>
      </c>
      <c r="AQ6659">
        <v>-44.893228000000001</v>
      </c>
      <c r="AR6659">
        <v>9.5076426885244203</v>
      </c>
      <c r="AS6659" t="s">
        <v>65</v>
      </c>
      <c r="AT6659">
        <v>1</v>
      </c>
      <c r="AU6659" t="s">
        <v>1439</v>
      </c>
      <c r="AV6659" t="s">
        <v>1440</v>
      </c>
      <c r="AW6659" t="s">
        <v>60</v>
      </c>
      <c r="AX6659" t="s">
        <v>68</v>
      </c>
      <c r="AY6659" t="s">
        <v>69</v>
      </c>
      <c r="AZ6659" t="b">
        <v>1</v>
      </c>
    </row>
    <row r="6660" spans="1:52" x14ac:dyDescent="0.3">
      <c r="A6660" t="s">
        <v>52</v>
      </c>
      <c r="B6660" t="s">
        <v>53</v>
      </c>
      <c r="C6660" t="s">
        <v>54</v>
      </c>
      <c r="D6660" t="s">
        <v>55</v>
      </c>
      <c r="E6660" t="s">
        <v>2296</v>
      </c>
      <c r="F6660" t="s">
        <v>190</v>
      </c>
      <c r="G6660" t="s">
        <v>473</v>
      </c>
      <c r="H6660" t="s">
        <v>1445</v>
      </c>
      <c r="I6660" t="s">
        <v>1445</v>
      </c>
      <c r="J6660" t="s">
        <v>60</v>
      </c>
      <c r="K6660" t="s">
        <v>892</v>
      </c>
      <c r="L6660" t="s">
        <v>62</v>
      </c>
      <c r="M6660" t="s">
        <v>892</v>
      </c>
      <c r="N6660" t="s">
        <v>406</v>
      </c>
      <c r="O6660" t="s">
        <v>1446</v>
      </c>
      <c r="P6660">
        <v>-20.14941</v>
      </c>
      <c r="Q6660">
        <v>-44.899535</v>
      </c>
      <c r="R6660" s="2" t="str">
        <f>HYPERLINK("https://www.google.com/maps?q=-20.1494100,-44.8995350","Abrir no Google Maps")</f>
        <v>Abrir no Google Maps</v>
      </c>
      <c r="S6660">
        <v>3</v>
      </c>
      <c r="T6660">
        <v>249.83945591849931</v>
      </c>
      <c r="U6660">
        <v>3</v>
      </c>
      <c r="V6660">
        <v>0.19894008359097681</v>
      </c>
      <c r="W6660">
        <v>0.85</v>
      </c>
      <c r="X6660">
        <v>0.1690990710523303</v>
      </c>
      <c r="Y6660">
        <v>556</v>
      </c>
      <c r="Z6660">
        <v>156.62360082488701</v>
      </c>
      <c r="AA6660">
        <v>198</v>
      </c>
      <c r="AB6660">
        <v>332</v>
      </c>
      <c r="AC6660">
        <v>536</v>
      </c>
      <c r="AD6660">
        <v>28.93</v>
      </c>
      <c r="AE6660">
        <v>542</v>
      </c>
      <c r="AF6660">
        <v>29</v>
      </c>
      <c r="AG6660">
        <v>166</v>
      </c>
      <c r="AH6660">
        <v>129</v>
      </c>
      <c r="AI6660">
        <v>5.35</v>
      </c>
      <c r="AJ6660">
        <v>30.63</v>
      </c>
      <c r="AK6660">
        <v>23.8</v>
      </c>
      <c r="AL6660">
        <v>-20.149341899999939</v>
      </c>
      <c r="AM6660">
        <v>-44.899575902083967</v>
      </c>
      <c r="AN6660">
        <v>-20.149341899999939</v>
      </c>
      <c r="AO6660">
        <v>-44.899575902083967</v>
      </c>
      <c r="AP6660">
        <v>-20.14941</v>
      </c>
      <c r="AQ6660">
        <v>-44.899535</v>
      </c>
      <c r="AR6660">
        <v>8.7029725999778709</v>
      </c>
      <c r="AS6660" t="s">
        <v>65</v>
      </c>
      <c r="AT6660">
        <v>1</v>
      </c>
      <c r="AU6660" t="s">
        <v>1447</v>
      </c>
      <c r="AV6660" t="s">
        <v>1448</v>
      </c>
      <c r="AW6660" t="s">
        <v>60</v>
      </c>
      <c r="AX6660" t="s">
        <v>68</v>
      </c>
      <c r="AY6660" t="s">
        <v>69</v>
      </c>
      <c r="AZ6660" t="b">
        <v>1</v>
      </c>
    </row>
    <row r="6661" spans="1:52" x14ac:dyDescent="0.3">
      <c r="A6661" t="s">
        <v>52</v>
      </c>
      <c r="B6661" t="s">
        <v>53</v>
      </c>
      <c r="C6661" t="s">
        <v>54</v>
      </c>
      <c r="D6661" t="s">
        <v>55</v>
      </c>
      <c r="E6661" t="s">
        <v>2296</v>
      </c>
      <c r="F6661" t="s">
        <v>190</v>
      </c>
      <c r="G6661" t="s">
        <v>890</v>
      </c>
      <c r="H6661" t="s">
        <v>891</v>
      </c>
      <c r="I6661" t="s">
        <v>891</v>
      </c>
      <c r="J6661" t="s">
        <v>60</v>
      </c>
      <c r="K6661" t="s">
        <v>892</v>
      </c>
      <c r="L6661" t="s">
        <v>62</v>
      </c>
      <c r="M6661" t="s">
        <v>892</v>
      </c>
      <c r="N6661" t="s">
        <v>893</v>
      </c>
      <c r="O6661" t="s">
        <v>894</v>
      </c>
      <c r="P6661">
        <v>-20.152519000000002</v>
      </c>
      <c r="Q6661">
        <v>-44.899177000000002</v>
      </c>
      <c r="R6661" s="2" t="str">
        <f>HYPERLINK("https://www.google.com/maps?q=-20.1525190,-44.8991770","Abrir no Google Maps")</f>
        <v>Abrir no Google Maps</v>
      </c>
      <c r="S6661">
        <v>3</v>
      </c>
      <c r="T6661">
        <v>211.80188552994721</v>
      </c>
      <c r="U6661">
        <v>3</v>
      </c>
      <c r="V6661">
        <v>0.18882151741293529</v>
      </c>
      <c r="W6661">
        <v>1</v>
      </c>
      <c r="X6661">
        <v>0.18882151741293529</v>
      </c>
      <c r="Y6661">
        <v>556</v>
      </c>
      <c r="Z6661">
        <v>290.34804137107091</v>
      </c>
      <c r="AA6661">
        <v>198</v>
      </c>
      <c r="AB6661">
        <v>332</v>
      </c>
      <c r="AC6661">
        <v>536</v>
      </c>
      <c r="AD6661">
        <v>28.93</v>
      </c>
      <c r="AE6661">
        <v>542</v>
      </c>
      <c r="AF6661">
        <v>29</v>
      </c>
      <c r="AG6661">
        <v>166</v>
      </c>
      <c r="AH6661">
        <v>129</v>
      </c>
      <c r="AI6661">
        <v>5.35</v>
      </c>
      <c r="AJ6661">
        <v>30.63</v>
      </c>
      <c r="AK6661">
        <v>23.8</v>
      </c>
      <c r="AL6661">
        <v>-20.152516249999959</v>
      </c>
      <c r="AM6661">
        <v>-44.899310431333959</v>
      </c>
      <c r="AN6661">
        <v>-20.152516249999959</v>
      </c>
      <c r="AO6661">
        <v>-44.899310431333959</v>
      </c>
      <c r="AP6661">
        <v>-20.152519000000002</v>
      </c>
      <c r="AQ6661">
        <v>-44.899177000000002</v>
      </c>
      <c r="AR6661">
        <v>13.947583284957719</v>
      </c>
      <c r="AS6661" t="s">
        <v>65</v>
      </c>
      <c r="AT6661">
        <v>1</v>
      </c>
      <c r="AU6661" t="s">
        <v>895</v>
      </c>
      <c r="AV6661" t="s">
        <v>896</v>
      </c>
      <c r="AW6661" t="s">
        <v>60</v>
      </c>
      <c r="AX6661" t="s">
        <v>68</v>
      </c>
      <c r="AY6661" t="s">
        <v>69</v>
      </c>
      <c r="AZ6661" t="b">
        <v>1</v>
      </c>
    </row>
    <row r="6662" spans="1:52" x14ac:dyDescent="0.3">
      <c r="A6662" t="s">
        <v>52</v>
      </c>
      <c r="B6662" t="s">
        <v>53</v>
      </c>
      <c r="C6662" t="s">
        <v>54</v>
      </c>
      <c r="D6662" t="s">
        <v>55</v>
      </c>
      <c r="E6662" t="s">
        <v>2296</v>
      </c>
      <c r="F6662" t="s">
        <v>190</v>
      </c>
      <c r="G6662" t="s">
        <v>1127</v>
      </c>
      <c r="H6662" t="s">
        <v>1449</v>
      </c>
      <c r="I6662" t="s">
        <v>1449</v>
      </c>
      <c r="J6662" t="s">
        <v>60</v>
      </c>
      <c r="K6662" t="s">
        <v>1450</v>
      </c>
      <c r="L6662" t="s">
        <v>62</v>
      </c>
      <c r="M6662" t="s">
        <v>1450</v>
      </c>
      <c r="N6662" t="s">
        <v>1451</v>
      </c>
      <c r="O6662" t="s">
        <v>1452</v>
      </c>
      <c r="P6662">
        <v>-20.152612000000001</v>
      </c>
      <c r="Q6662">
        <v>-44.897098</v>
      </c>
      <c r="R6662" s="2" t="str">
        <f>HYPERLINK("https://www.google.com/maps?q=-20.1526120,-44.8970980","Abrir no Google Maps")</f>
        <v>Abrir no Google Maps</v>
      </c>
      <c r="S6662">
        <v>3</v>
      </c>
      <c r="T6662">
        <v>418.6283592063233</v>
      </c>
      <c r="U6662">
        <v>3</v>
      </c>
      <c r="V6662">
        <v>0.18656185300207051</v>
      </c>
      <c r="W6662">
        <v>0.85</v>
      </c>
      <c r="X6662">
        <v>0.1585775750517599</v>
      </c>
      <c r="Y6662">
        <v>556</v>
      </c>
      <c r="Z6662">
        <v>387.16462225830952</v>
      </c>
      <c r="AA6662">
        <v>198</v>
      </c>
      <c r="AB6662">
        <v>332</v>
      </c>
      <c r="AC6662">
        <v>536</v>
      </c>
      <c r="AD6662">
        <v>28.93</v>
      </c>
      <c r="AE6662">
        <v>542</v>
      </c>
      <c r="AF6662">
        <v>29</v>
      </c>
      <c r="AG6662">
        <v>166</v>
      </c>
      <c r="AH6662">
        <v>129</v>
      </c>
      <c r="AI6662">
        <v>5.35</v>
      </c>
      <c r="AJ6662">
        <v>30.63</v>
      </c>
      <c r="AK6662">
        <v>23.8</v>
      </c>
      <c r="AL6662">
        <v>-20.15253669999996</v>
      </c>
      <c r="AM6662">
        <v>-44.897068126936119</v>
      </c>
      <c r="AN6662">
        <v>-20.15253669999996</v>
      </c>
      <c r="AO6662">
        <v>-44.897068126936119</v>
      </c>
      <c r="AP6662">
        <v>-20.152612000000001</v>
      </c>
      <c r="AQ6662">
        <v>-44.897098</v>
      </c>
      <c r="AR6662">
        <v>8.9448699164987104</v>
      </c>
      <c r="AS6662" t="s">
        <v>65</v>
      </c>
      <c r="AT6662">
        <v>1</v>
      </c>
      <c r="AU6662" t="s">
        <v>1453</v>
      </c>
      <c r="AV6662" t="s">
        <v>1454</v>
      </c>
      <c r="AW6662" t="s">
        <v>60</v>
      </c>
      <c r="AX6662" t="s">
        <v>68</v>
      </c>
      <c r="AY6662" t="s">
        <v>69</v>
      </c>
      <c r="AZ6662" t="b">
        <v>1</v>
      </c>
    </row>
    <row r="6663" spans="1:52" x14ac:dyDescent="0.3">
      <c r="A6663" t="s">
        <v>52</v>
      </c>
      <c r="B6663" t="s">
        <v>53</v>
      </c>
      <c r="C6663" t="s">
        <v>54</v>
      </c>
      <c r="D6663" t="s">
        <v>55</v>
      </c>
      <c r="E6663" t="s">
        <v>2296</v>
      </c>
      <c r="F6663" t="s">
        <v>190</v>
      </c>
      <c r="G6663" t="s">
        <v>897</v>
      </c>
      <c r="H6663" t="s">
        <v>898</v>
      </c>
      <c r="I6663" t="s">
        <v>898</v>
      </c>
      <c r="J6663" t="s">
        <v>60</v>
      </c>
      <c r="K6663" t="s">
        <v>892</v>
      </c>
      <c r="L6663" t="s">
        <v>62</v>
      </c>
      <c r="M6663" t="s">
        <v>892</v>
      </c>
      <c r="N6663" t="s">
        <v>899</v>
      </c>
      <c r="O6663" t="s">
        <v>900</v>
      </c>
      <c r="P6663">
        <v>-20.154885</v>
      </c>
      <c r="Q6663">
        <v>-44.899890999999997</v>
      </c>
      <c r="R6663" s="2" t="str">
        <f>HYPERLINK("https://www.google.com/maps?q=-20.1548850,-44.8998910","Abrir no Google Maps")</f>
        <v>Abrir no Google Maps</v>
      </c>
      <c r="S6663">
        <v>3</v>
      </c>
      <c r="T6663">
        <v>314.66339661014308</v>
      </c>
      <c r="U6663">
        <v>3</v>
      </c>
      <c r="V6663">
        <v>0.16340778114524501</v>
      </c>
      <c r="W6663">
        <v>1</v>
      </c>
      <c r="X6663">
        <v>0.16340778114524501</v>
      </c>
      <c r="Y6663">
        <v>548</v>
      </c>
      <c r="Z6663">
        <v>319.02252584834253</v>
      </c>
      <c r="AA6663">
        <v>198</v>
      </c>
      <c r="AB6663">
        <v>332</v>
      </c>
      <c r="AC6663">
        <v>536</v>
      </c>
      <c r="AD6663">
        <v>28.93</v>
      </c>
      <c r="AE6663">
        <v>542</v>
      </c>
      <c r="AF6663">
        <v>29</v>
      </c>
      <c r="AG6663">
        <v>166</v>
      </c>
      <c r="AH6663">
        <v>129</v>
      </c>
      <c r="AI6663">
        <v>5.35</v>
      </c>
      <c r="AJ6663">
        <v>30.63</v>
      </c>
      <c r="AK6663">
        <v>23.8</v>
      </c>
      <c r="AL6663">
        <v>-20.154906649999951</v>
      </c>
      <c r="AM6663">
        <v>-44.899894072543653</v>
      </c>
      <c r="AN6663">
        <v>-20.154906649999951</v>
      </c>
      <c r="AO6663">
        <v>-44.899894072543653</v>
      </c>
      <c r="AP6663">
        <v>-20.154885</v>
      </c>
      <c r="AQ6663">
        <v>-44.899890999999997</v>
      </c>
      <c r="AR6663">
        <v>2.431373123904943</v>
      </c>
      <c r="AS6663" t="s">
        <v>65</v>
      </c>
      <c r="AT6663">
        <v>1</v>
      </c>
      <c r="AU6663" t="s">
        <v>901</v>
      </c>
      <c r="AV6663" t="s">
        <v>902</v>
      </c>
      <c r="AW6663" t="s">
        <v>60</v>
      </c>
      <c r="AX6663" t="s">
        <v>68</v>
      </c>
      <c r="AY6663" t="s">
        <v>69</v>
      </c>
      <c r="AZ6663" t="b">
        <v>1</v>
      </c>
    </row>
    <row r="6664" spans="1:52" x14ac:dyDescent="0.3">
      <c r="A6664" t="s">
        <v>52</v>
      </c>
      <c r="B6664" t="s">
        <v>53</v>
      </c>
      <c r="C6664" t="s">
        <v>54</v>
      </c>
      <c r="D6664" t="s">
        <v>55</v>
      </c>
      <c r="E6664" t="s">
        <v>2296</v>
      </c>
      <c r="F6664" t="s">
        <v>190</v>
      </c>
      <c r="G6664" t="s">
        <v>551</v>
      </c>
      <c r="H6664" t="s">
        <v>552</v>
      </c>
      <c r="I6664" t="s">
        <v>552</v>
      </c>
      <c r="J6664" t="s">
        <v>60</v>
      </c>
      <c r="K6664" t="s">
        <v>388</v>
      </c>
      <c r="L6664" t="s">
        <v>62</v>
      </c>
      <c r="M6664" t="s">
        <v>388</v>
      </c>
      <c r="N6664" t="s">
        <v>553</v>
      </c>
      <c r="O6664" t="s">
        <v>315</v>
      </c>
      <c r="P6664">
        <v>-20.153086999999999</v>
      </c>
      <c r="Q6664">
        <v>-44.905451999999997</v>
      </c>
      <c r="R6664" s="2" t="str">
        <f>HYPERLINK("https://www.google.com/maps?q=-20.1530870,-44.9054520","Abrir no Google Maps")</f>
        <v>Abrir no Google Maps</v>
      </c>
      <c r="S6664">
        <v>3</v>
      </c>
      <c r="T6664">
        <v>313.69387682409018</v>
      </c>
      <c r="U6664">
        <v>3</v>
      </c>
      <c r="V6664">
        <v>0.16376503639059239</v>
      </c>
      <c r="W6664">
        <v>1</v>
      </c>
      <c r="X6664">
        <v>0.16376503639059239</v>
      </c>
      <c r="Y6664">
        <v>548</v>
      </c>
      <c r="Z6664">
        <v>319.51605309906859</v>
      </c>
      <c r="AA6664">
        <v>198</v>
      </c>
      <c r="AB6664">
        <v>332</v>
      </c>
      <c r="AC6664">
        <v>536</v>
      </c>
      <c r="AD6664">
        <v>28.93</v>
      </c>
      <c r="AE6664">
        <v>542</v>
      </c>
      <c r="AF6664">
        <v>29</v>
      </c>
      <c r="AG6664">
        <v>166</v>
      </c>
      <c r="AH6664">
        <v>129</v>
      </c>
      <c r="AI6664">
        <v>5.35</v>
      </c>
      <c r="AJ6664">
        <v>30.63</v>
      </c>
      <c r="AK6664">
        <v>23.8</v>
      </c>
      <c r="AL6664">
        <v>-20.153043049999951</v>
      </c>
      <c r="AM6664">
        <v>-44.905348275899513</v>
      </c>
      <c r="AN6664">
        <v>-20.153043049999951</v>
      </c>
      <c r="AO6664">
        <v>-44.905348275899513</v>
      </c>
      <c r="AP6664">
        <v>-20.153086999999999</v>
      </c>
      <c r="AQ6664">
        <v>-44.905451999999997</v>
      </c>
      <c r="AR6664">
        <v>11.892619975648341</v>
      </c>
      <c r="AS6664" t="s">
        <v>65</v>
      </c>
      <c r="AT6664">
        <v>1</v>
      </c>
      <c r="AU6664" t="s">
        <v>554</v>
      </c>
      <c r="AV6664" t="s">
        <v>555</v>
      </c>
      <c r="AW6664" t="s">
        <v>60</v>
      </c>
      <c r="AX6664" t="s">
        <v>68</v>
      </c>
      <c r="AY6664" t="s">
        <v>69</v>
      </c>
      <c r="AZ6664" t="b">
        <v>1</v>
      </c>
    </row>
    <row r="6665" spans="1:52" x14ac:dyDescent="0.3">
      <c r="A6665" t="s">
        <v>52</v>
      </c>
      <c r="B6665" t="s">
        <v>53</v>
      </c>
      <c r="C6665" t="s">
        <v>54</v>
      </c>
      <c r="D6665" t="s">
        <v>55</v>
      </c>
      <c r="E6665" t="s">
        <v>2296</v>
      </c>
      <c r="F6665" t="s">
        <v>190</v>
      </c>
      <c r="G6665" t="s">
        <v>903</v>
      </c>
      <c r="H6665" t="s">
        <v>904</v>
      </c>
      <c r="I6665" t="s">
        <v>904</v>
      </c>
      <c r="J6665" t="s">
        <v>60</v>
      </c>
      <c r="K6665" t="s">
        <v>905</v>
      </c>
      <c r="L6665" t="s">
        <v>62</v>
      </c>
      <c r="M6665" t="s">
        <v>905</v>
      </c>
      <c r="N6665" t="s">
        <v>906</v>
      </c>
      <c r="O6665" t="s">
        <v>907</v>
      </c>
      <c r="P6665">
        <v>-20.112969</v>
      </c>
      <c r="Q6665">
        <v>-44.891264</v>
      </c>
      <c r="R6665" s="2" t="str">
        <f>HYPERLINK("https://www.google.com/maps?q=-20.1129690,-44.8912640","Abrir no Google Maps")</f>
        <v>Abrir no Google Maps</v>
      </c>
      <c r="S6665">
        <v>3</v>
      </c>
      <c r="T6665">
        <v>760.33197426397032</v>
      </c>
      <c r="U6665">
        <v>3</v>
      </c>
      <c r="V6665">
        <v>0.16664370982552801</v>
      </c>
      <c r="W6665">
        <v>1</v>
      </c>
      <c r="X6665">
        <v>0.16664370982552801</v>
      </c>
      <c r="Y6665">
        <v>536</v>
      </c>
      <c r="Z6665">
        <v>755.3791742519096</v>
      </c>
      <c r="AA6665">
        <v>198</v>
      </c>
      <c r="AB6665">
        <v>332</v>
      </c>
      <c r="AC6665">
        <v>536</v>
      </c>
      <c r="AD6665">
        <v>28.93</v>
      </c>
      <c r="AE6665">
        <v>542</v>
      </c>
      <c r="AF6665">
        <v>29</v>
      </c>
      <c r="AG6665">
        <v>166</v>
      </c>
      <c r="AH6665">
        <v>129</v>
      </c>
      <c r="AI6665">
        <v>5.35</v>
      </c>
      <c r="AJ6665">
        <v>30.63</v>
      </c>
      <c r="AK6665">
        <v>23.8</v>
      </c>
      <c r="AL6665">
        <v>-20.11260604999995</v>
      </c>
      <c r="AM6665">
        <v>-44.891480970454502</v>
      </c>
      <c r="AN6665">
        <v>-20.11260604999995</v>
      </c>
      <c r="AO6665">
        <v>-44.891480970454502</v>
      </c>
      <c r="AP6665">
        <v>-20.112969</v>
      </c>
      <c r="AQ6665">
        <v>-44.891264</v>
      </c>
      <c r="AR6665">
        <v>46.334053708506183</v>
      </c>
      <c r="AS6665" t="s">
        <v>65</v>
      </c>
      <c r="AT6665">
        <v>1</v>
      </c>
      <c r="AU6665" t="s">
        <v>908</v>
      </c>
      <c r="AV6665" t="s">
        <v>909</v>
      </c>
      <c r="AW6665" t="s">
        <v>60</v>
      </c>
      <c r="AX6665" t="s">
        <v>68</v>
      </c>
      <c r="AY6665" t="s">
        <v>69</v>
      </c>
      <c r="AZ6665" t="b">
        <v>1</v>
      </c>
    </row>
    <row r="6666" spans="1:52" x14ac:dyDescent="0.3">
      <c r="A6666" t="s">
        <v>52</v>
      </c>
      <c r="B6666" t="s">
        <v>53</v>
      </c>
      <c r="C6666" t="s">
        <v>54</v>
      </c>
      <c r="D6666" t="s">
        <v>55</v>
      </c>
      <c r="E6666" t="s">
        <v>2296</v>
      </c>
      <c r="F6666" t="s">
        <v>190</v>
      </c>
      <c r="G6666" t="s">
        <v>2213</v>
      </c>
      <c r="H6666" t="s">
        <v>2214</v>
      </c>
      <c r="I6666" t="s">
        <v>2214</v>
      </c>
      <c r="J6666" t="s">
        <v>60</v>
      </c>
      <c r="K6666" t="s">
        <v>702</v>
      </c>
      <c r="L6666" t="s">
        <v>62</v>
      </c>
      <c r="M6666" t="s">
        <v>702</v>
      </c>
      <c r="N6666" t="s">
        <v>2215</v>
      </c>
      <c r="O6666" t="s">
        <v>2216</v>
      </c>
      <c r="P6666">
        <v>-20.163260000000001</v>
      </c>
      <c r="Q6666">
        <v>-44.862287999999999</v>
      </c>
      <c r="R6666" s="2" t="str">
        <f>HYPERLINK("https://www.google.com/maps?q=-20.1632600,-44.8622880","Abrir no Google Maps")</f>
        <v>Abrir no Google Maps</v>
      </c>
      <c r="S6666">
        <v>3</v>
      </c>
      <c r="T6666">
        <v>451.92124356180528</v>
      </c>
      <c r="U6666">
        <v>3</v>
      </c>
      <c r="V6666">
        <v>0.2005208333333332</v>
      </c>
      <c r="W6666">
        <v>0.85</v>
      </c>
      <c r="X6666">
        <v>0.17044270833333319</v>
      </c>
      <c r="Y6666">
        <v>518</v>
      </c>
      <c r="Z6666">
        <v>339.67455888958699</v>
      </c>
      <c r="AA6666">
        <v>198</v>
      </c>
      <c r="AB6666">
        <v>332</v>
      </c>
      <c r="AC6666">
        <v>536</v>
      </c>
      <c r="AD6666">
        <v>28.93</v>
      </c>
      <c r="AE6666">
        <v>542</v>
      </c>
      <c r="AF6666">
        <v>29</v>
      </c>
      <c r="AG6666">
        <v>166</v>
      </c>
      <c r="AH6666">
        <v>129</v>
      </c>
      <c r="AI6666">
        <v>5.35</v>
      </c>
      <c r="AJ6666">
        <v>30.63</v>
      </c>
      <c r="AK6666">
        <v>23.8</v>
      </c>
      <c r="AL6666">
        <v>-20.16226019999996</v>
      </c>
      <c r="AM6666">
        <v>-44.862187749999961</v>
      </c>
      <c r="AN6666">
        <v>-20.16226019999996</v>
      </c>
      <c r="AO6666">
        <v>-44.862187749999961</v>
      </c>
      <c r="AP6666">
        <v>-20.163260000000001</v>
      </c>
      <c r="AQ6666">
        <v>-44.862287999999999</v>
      </c>
      <c r="AR6666">
        <v>111.7896763886434</v>
      </c>
      <c r="AS6666" t="s">
        <v>65</v>
      </c>
      <c r="AT6666">
        <v>1</v>
      </c>
      <c r="AU6666" t="s">
        <v>2217</v>
      </c>
      <c r="AV6666" t="s">
        <v>2218</v>
      </c>
      <c r="AW6666" t="s">
        <v>60</v>
      </c>
      <c r="AX6666" t="s">
        <v>68</v>
      </c>
      <c r="AY6666" t="s">
        <v>69</v>
      </c>
      <c r="AZ6666" t="b">
        <v>1</v>
      </c>
    </row>
    <row r="6667" spans="1:52" x14ac:dyDescent="0.3">
      <c r="A6667" t="s">
        <v>52</v>
      </c>
      <c r="B6667" t="s">
        <v>53</v>
      </c>
      <c r="C6667" t="s">
        <v>54</v>
      </c>
      <c r="D6667" t="s">
        <v>55</v>
      </c>
      <c r="E6667" t="s">
        <v>2296</v>
      </c>
      <c r="F6667" t="s">
        <v>190</v>
      </c>
      <c r="G6667" t="s">
        <v>929</v>
      </c>
      <c r="H6667" t="s">
        <v>930</v>
      </c>
      <c r="I6667" t="s">
        <v>930</v>
      </c>
      <c r="J6667" t="s">
        <v>60</v>
      </c>
      <c r="K6667" t="s">
        <v>72</v>
      </c>
      <c r="L6667" t="s">
        <v>62</v>
      </c>
      <c r="M6667" t="s">
        <v>72</v>
      </c>
      <c r="N6667" t="s">
        <v>931</v>
      </c>
      <c r="O6667" t="s">
        <v>932</v>
      </c>
      <c r="P6667">
        <v>-20.144780999999998</v>
      </c>
      <c r="Q6667">
        <v>-44.914259000000001</v>
      </c>
      <c r="R6667" s="2" t="str">
        <f>HYPERLINK("https://www.google.com/maps?q=-20.1447810,-44.9142590","Abrir no Google Maps")</f>
        <v>Abrir no Google Maps</v>
      </c>
      <c r="S6667">
        <v>3</v>
      </c>
      <c r="T6667">
        <v>256.09363485874093</v>
      </c>
      <c r="U6667">
        <v>3</v>
      </c>
      <c r="V6667">
        <v>0.16006217968735659</v>
      </c>
      <c r="W6667">
        <v>1</v>
      </c>
      <c r="X6667">
        <v>0.16006217968735659</v>
      </c>
      <c r="Y6667">
        <v>508</v>
      </c>
      <c r="Z6667">
        <v>318.29766547935321</v>
      </c>
      <c r="AA6667">
        <v>198</v>
      </c>
      <c r="AB6667">
        <v>332</v>
      </c>
      <c r="AC6667">
        <v>536</v>
      </c>
      <c r="AD6667">
        <v>28.93</v>
      </c>
      <c r="AE6667">
        <v>542</v>
      </c>
      <c r="AF6667">
        <v>29</v>
      </c>
      <c r="AG6667">
        <v>166</v>
      </c>
      <c r="AH6667">
        <v>129</v>
      </c>
      <c r="AI6667">
        <v>5.35</v>
      </c>
      <c r="AJ6667">
        <v>30.63</v>
      </c>
      <c r="AK6667">
        <v>23.8</v>
      </c>
      <c r="AL6667">
        <v>-20.144721899999951</v>
      </c>
      <c r="AM6667">
        <v>-44.914368749511411</v>
      </c>
      <c r="AN6667">
        <v>-20.144721899999951</v>
      </c>
      <c r="AO6667">
        <v>-44.914368749511411</v>
      </c>
      <c r="AP6667">
        <v>-20.144780999999998</v>
      </c>
      <c r="AQ6667">
        <v>-44.914259000000001</v>
      </c>
      <c r="AR6667">
        <v>13.22280973360979</v>
      </c>
      <c r="AS6667" t="s">
        <v>65</v>
      </c>
      <c r="AT6667">
        <v>1</v>
      </c>
      <c r="AU6667" t="s">
        <v>933</v>
      </c>
      <c r="AV6667" t="s">
        <v>934</v>
      </c>
      <c r="AW6667" t="s">
        <v>60</v>
      </c>
      <c r="AX6667" t="s">
        <v>68</v>
      </c>
      <c r="AY6667" t="s">
        <v>69</v>
      </c>
      <c r="AZ6667" t="b">
        <v>1</v>
      </c>
    </row>
    <row r="6668" spans="1:52" x14ac:dyDescent="0.3">
      <c r="A6668" t="s">
        <v>52</v>
      </c>
      <c r="B6668" t="s">
        <v>53</v>
      </c>
      <c r="C6668" t="s">
        <v>54</v>
      </c>
      <c r="D6668" t="s">
        <v>55</v>
      </c>
      <c r="E6668" t="s">
        <v>2296</v>
      </c>
      <c r="F6668" t="s">
        <v>190</v>
      </c>
      <c r="G6668" t="s">
        <v>935</v>
      </c>
      <c r="H6668" t="s">
        <v>936</v>
      </c>
      <c r="I6668" t="s">
        <v>936</v>
      </c>
      <c r="J6668" t="s">
        <v>60</v>
      </c>
      <c r="K6668" t="s">
        <v>193</v>
      </c>
      <c r="L6668" t="s">
        <v>62</v>
      </c>
      <c r="M6668" t="s">
        <v>193</v>
      </c>
      <c r="N6668" t="s">
        <v>937</v>
      </c>
      <c r="O6668" t="s">
        <v>938</v>
      </c>
      <c r="P6668">
        <v>-20.144727</v>
      </c>
      <c r="Q6668">
        <v>-44.919978999999998</v>
      </c>
      <c r="R6668" s="2" t="str">
        <f>HYPERLINK("https://www.google.com/maps?q=-20.1447270,-44.9199790","Abrir no Google Maps")</f>
        <v>Abrir no Google Maps</v>
      </c>
      <c r="S6668">
        <v>3</v>
      </c>
      <c r="T6668">
        <v>341.13992759662477</v>
      </c>
      <c r="U6668">
        <v>3</v>
      </c>
      <c r="V6668">
        <v>0.1572376800147996</v>
      </c>
      <c r="W6668">
        <v>1</v>
      </c>
      <c r="X6668">
        <v>0.1572376800147996</v>
      </c>
      <c r="Y6668">
        <v>508</v>
      </c>
      <c r="Z6668">
        <v>274.58151985101409</v>
      </c>
      <c r="AA6668">
        <v>198</v>
      </c>
      <c r="AB6668">
        <v>332</v>
      </c>
      <c r="AC6668">
        <v>536</v>
      </c>
      <c r="AD6668">
        <v>28.93</v>
      </c>
      <c r="AE6668">
        <v>542</v>
      </c>
      <c r="AF6668">
        <v>29</v>
      </c>
      <c r="AG6668">
        <v>166</v>
      </c>
      <c r="AH6668">
        <v>129</v>
      </c>
      <c r="AI6668">
        <v>5.35</v>
      </c>
      <c r="AJ6668">
        <v>30.63</v>
      </c>
      <c r="AK6668">
        <v>23.8</v>
      </c>
      <c r="AL6668">
        <v>-20.144771099999961</v>
      </c>
      <c r="AM6668">
        <v>-44.92003491095209</v>
      </c>
      <c r="AN6668">
        <v>-20.144771099999961</v>
      </c>
      <c r="AO6668">
        <v>-44.92003491095209</v>
      </c>
      <c r="AP6668">
        <v>-20.144727</v>
      </c>
      <c r="AQ6668">
        <v>-44.919978999999998</v>
      </c>
      <c r="AR6668">
        <v>7.6317760459664177</v>
      </c>
      <c r="AS6668" t="s">
        <v>65</v>
      </c>
      <c r="AT6668">
        <v>1</v>
      </c>
      <c r="AU6668" t="s">
        <v>939</v>
      </c>
      <c r="AV6668" t="s">
        <v>940</v>
      </c>
      <c r="AW6668" t="s">
        <v>60</v>
      </c>
      <c r="AX6668" t="s">
        <v>68</v>
      </c>
      <c r="AY6668" t="s">
        <v>69</v>
      </c>
      <c r="AZ6668" t="b">
        <v>1</v>
      </c>
    </row>
    <row r="6669" spans="1:52" x14ac:dyDescent="0.3">
      <c r="A6669" t="s">
        <v>52</v>
      </c>
      <c r="B6669" t="s">
        <v>53</v>
      </c>
      <c r="C6669" t="s">
        <v>54</v>
      </c>
      <c r="D6669" t="s">
        <v>55</v>
      </c>
      <c r="E6669" t="s">
        <v>2296</v>
      </c>
      <c r="F6669" t="s">
        <v>190</v>
      </c>
      <c r="G6669" t="s">
        <v>941</v>
      </c>
      <c r="H6669" t="s">
        <v>942</v>
      </c>
      <c r="I6669" t="s">
        <v>942</v>
      </c>
      <c r="J6669" t="s">
        <v>60</v>
      </c>
      <c r="K6669" t="s">
        <v>193</v>
      </c>
      <c r="L6669" t="s">
        <v>62</v>
      </c>
      <c r="M6669" t="s">
        <v>193</v>
      </c>
      <c r="N6669" t="s">
        <v>943</v>
      </c>
      <c r="O6669" t="s">
        <v>257</v>
      </c>
      <c r="P6669">
        <v>-20.142042</v>
      </c>
      <c r="Q6669">
        <v>-44.917906000000002</v>
      </c>
      <c r="R6669" s="2" t="str">
        <f>HYPERLINK("https://www.google.com/maps?q=-20.1420420,-44.9179060","Abrir no Google Maps")</f>
        <v>Abrir no Google Maps</v>
      </c>
      <c r="S6669">
        <v>3</v>
      </c>
      <c r="T6669">
        <v>373.14048213045743</v>
      </c>
      <c r="U6669">
        <v>3</v>
      </c>
      <c r="V6669">
        <v>0.1708707335992907</v>
      </c>
      <c r="W6669">
        <v>1</v>
      </c>
      <c r="X6669">
        <v>0.1708707335992907</v>
      </c>
      <c r="Y6669">
        <v>508</v>
      </c>
      <c r="Z6669">
        <v>271.52693841106122</v>
      </c>
      <c r="AA6669">
        <v>198</v>
      </c>
      <c r="AB6669">
        <v>332</v>
      </c>
      <c r="AC6669">
        <v>536</v>
      </c>
      <c r="AD6669">
        <v>28.93</v>
      </c>
      <c r="AE6669">
        <v>542</v>
      </c>
      <c r="AF6669">
        <v>29</v>
      </c>
      <c r="AG6669">
        <v>166</v>
      </c>
      <c r="AH6669">
        <v>129</v>
      </c>
      <c r="AI6669">
        <v>5.35</v>
      </c>
      <c r="AJ6669">
        <v>30.63</v>
      </c>
      <c r="AK6669">
        <v>23.8</v>
      </c>
      <c r="AL6669">
        <v>-20.14198914999994</v>
      </c>
      <c r="AM6669">
        <v>-44.918192618397512</v>
      </c>
      <c r="AN6669">
        <v>-20.14198914999994</v>
      </c>
      <c r="AO6669">
        <v>-44.918192618397512</v>
      </c>
      <c r="AP6669">
        <v>-20.142042</v>
      </c>
      <c r="AQ6669">
        <v>-44.917906000000002</v>
      </c>
      <c r="AR6669">
        <v>30.527314493281139</v>
      </c>
      <c r="AS6669" t="s">
        <v>65</v>
      </c>
      <c r="AT6669">
        <v>1</v>
      </c>
      <c r="AU6669" t="s">
        <v>944</v>
      </c>
      <c r="AV6669" t="s">
        <v>945</v>
      </c>
      <c r="AW6669" t="s">
        <v>60</v>
      </c>
      <c r="AX6669" t="s">
        <v>68</v>
      </c>
      <c r="AY6669" t="s">
        <v>69</v>
      </c>
      <c r="AZ6669" t="b">
        <v>1</v>
      </c>
    </row>
    <row r="6670" spans="1:52" x14ac:dyDescent="0.3">
      <c r="A6670" t="s">
        <v>52</v>
      </c>
      <c r="B6670" t="s">
        <v>53</v>
      </c>
      <c r="C6670" t="s">
        <v>54</v>
      </c>
      <c r="D6670" t="s">
        <v>55</v>
      </c>
      <c r="E6670" t="s">
        <v>2296</v>
      </c>
      <c r="F6670" t="s">
        <v>190</v>
      </c>
      <c r="G6670" t="s">
        <v>946</v>
      </c>
      <c r="H6670" t="s">
        <v>947</v>
      </c>
      <c r="I6670" t="s">
        <v>947</v>
      </c>
      <c r="J6670" t="s">
        <v>60</v>
      </c>
      <c r="K6670" t="s">
        <v>193</v>
      </c>
      <c r="L6670" t="s">
        <v>62</v>
      </c>
      <c r="M6670" t="s">
        <v>193</v>
      </c>
      <c r="N6670" t="s">
        <v>948</v>
      </c>
      <c r="O6670" t="s">
        <v>949</v>
      </c>
      <c r="P6670">
        <v>-20.141646000000001</v>
      </c>
      <c r="Q6670">
        <v>-44.920682999999997</v>
      </c>
      <c r="R6670" s="2" t="str">
        <f>HYPERLINK("https://www.google.com/maps?q=-20.1416460,-44.9206830","Abrir no Google Maps")</f>
        <v>Abrir no Google Maps</v>
      </c>
      <c r="S6670">
        <v>3</v>
      </c>
      <c r="T6670">
        <v>538.41742581974165</v>
      </c>
      <c r="U6670">
        <v>3</v>
      </c>
      <c r="V6670">
        <v>0.15803455019556709</v>
      </c>
      <c r="W6670">
        <v>1</v>
      </c>
      <c r="X6670">
        <v>0.15803455019556709</v>
      </c>
      <c r="Y6670">
        <v>508</v>
      </c>
      <c r="Z6670">
        <v>459.99626097363068</v>
      </c>
      <c r="AA6670">
        <v>198</v>
      </c>
      <c r="AB6670">
        <v>332</v>
      </c>
      <c r="AC6670">
        <v>536</v>
      </c>
      <c r="AD6670">
        <v>28.93</v>
      </c>
      <c r="AE6670">
        <v>542</v>
      </c>
      <c r="AF6670">
        <v>29</v>
      </c>
      <c r="AG6670">
        <v>166</v>
      </c>
      <c r="AH6670">
        <v>129</v>
      </c>
      <c r="AI6670">
        <v>5.35</v>
      </c>
      <c r="AJ6670">
        <v>30.63</v>
      </c>
      <c r="AK6670">
        <v>23.8</v>
      </c>
      <c r="AL6670">
        <v>-20.141877549999979</v>
      </c>
      <c r="AM6670">
        <v>-44.920658074778594</v>
      </c>
      <c r="AN6670">
        <v>-20.141877549999979</v>
      </c>
      <c r="AO6670">
        <v>-44.920658074778594</v>
      </c>
      <c r="AP6670">
        <v>-20.141646000000001</v>
      </c>
      <c r="AQ6670">
        <v>-44.920682999999997</v>
      </c>
      <c r="AR6670">
        <v>25.907443828287509</v>
      </c>
      <c r="AS6670" t="s">
        <v>65</v>
      </c>
      <c r="AT6670">
        <v>1</v>
      </c>
      <c r="AU6670" t="s">
        <v>950</v>
      </c>
      <c r="AV6670" t="s">
        <v>951</v>
      </c>
      <c r="AW6670" t="s">
        <v>60</v>
      </c>
      <c r="AX6670" t="s">
        <v>68</v>
      </c>
      <c r="AY6670" t="s">
        <v>69</v>
      </c>
      <c r="AZ6670" t="b">
        <v>1</v>
      </c>
    </row>
    <row r="6671" spans="1:52" x14ac:dyDescent="0.3">
      <c r="A6671" t="s">
        <v>52</v>
      </c>
      <c r="B6671" t="s">
        <v>53</v>
      </c>
      <c r="C6671" t="s">
        <v>54</v>
      </c>
      <c r="D6671" t="s">
        <v>55</v>
      </c>
      <c r="E6671" t="s">
        <v>2296</v>
      </c>
      <c r="F6671" t="s">
        <v>190</v>
      </c>
      <c r="G6671" t="s">
        <v>957</v>
      </c>
      <c r="H6671" t="s">
        <v>958</v>
      </c>
      <c r="I6671" t="s">
        <v>958</v>
      </c>
      <c r="J6671" t="s">
        <v>60</v>
      </c>
      <c r="K6671" t="s">
        <v>262</v>
      </c>
      <c r="L6671" t="s">
        <v>62</v>
      </c>
      <c r="M6671" t="s">
        <v>262</v>
      </c>
      <c r="N6671" t="s">
        <v>959</v>
      </c>
      <c r="O6671" t="s">
        <v>960</v>
      </c>
      <c r="P6671">
        <v>-20.165469999999999</v>
      </c>
      <c r="Q6671">
        <v>-44.854308000000003</v>
      </c>
      <c r="R6671" s="2" t="str">
        <f>HYPERLINK("https://www.google.com/maps?q=-20.1654700,-44.8543080","Abrir no Google Maps")</f>
        <v>Abrir no Google Maps</v>
      </c>
      <c r="S6671">
        <v>3</v>
      </c>
      <c r="T6671">
        <v>555.06043712641599</v>
      </c>
      <c r="U6671">
        <v>3</v>
      </c>
      <c r="V6671">
        <v>0.15703310108934351</v>
      </c>
      <c r="W6671">
        <v>1</v>
      </c>
      <c r="X6671">
        <v>0.15703310108934351</v>
      </c>
      <c r="Y6671">
        <v>491</v>
      </c>
      <c r="Z6671">
        <v>423.16855805320131</v>
      </c>
      <c r="AA6671">
        <v>198</v>
      </c>
      <c r="AB6671">
        <v>332</v>
      </c>
      <c r="AC6671">
        <v>536</v>
      </c>
      <c r="AD6671">
        <v>28.93</v>
      </c>
      <c r="AE6671">
        <v>542</v>
      </c>
      <c r="AF6671">
        <v>29</v>
      </c>
      <c r="AG6671">
        <v>166</v>
      </c>
      <c r="AH6671">
        <v>129</v>
      </c>
      <c r="AI6671">
        <v>5.35</v>
      </c>
      <c r="AJ6671">
        <v>30.63</v>
      </c>
      <c r="AK6671">
        <v>23.8</v>
      </c>
      <c r="AL6671">
        <v>-20.165538449999961</v>
      </c>
      <c r="AM6671">
        <v>-44.854274624633042</v>
      </c>
      <c r="AN6671">
        <v>-20.165538449999961</v>
      </c>
      <c r="AO6671">
        <v>-44.854274624633042</v>
      </c>
      <c r="AP6671">
        <v>-20.165469999999999</v>
      </c>
      <c r="AQ6671">
        <v>-44.854308000000003</v>
      </c>
      <c r="AR6671">
        <v>8.3800661572970956</v>
      </c>
      <c r="AS6671" t="s">
        <v>65</v>
      </c>
      <c r="AT6671">
        <v>1</v>
      </c>
      <c r="AU6671" t="s">
        <v>961</v>
      </c>
      <c r="AV6671" t="s">
        <v>962</v>
      </c>
      <c r="AW6671" t="s">
        <v>60</v>
      </c>
      <c r="AX6671" t="s">
        <v>68</v>
      </c>
      <c r="AY6671" t="s">
        <v>69</v>
      </c>
      <c r="AZ6671" t="b">
        <v>1</v>
      </c>
    </row>
    <row r="6672" spans="1:52" x14ac:dyDescent="0.3">
      <c r="A6672" t="s">
        <v>52</v>
      </c>
      <c r="B6672" t="s">
        <v>53</v>
      </c>
      <c r="C6672" t="s">
        <v>54</v>
      </c>
      <c r="D6672" t="s">
        <v>55</v>
      </c>
      <c r="E6672" t="s">
        <v>2296</v>
      </c>
      <c r="F6672" t="s">
        <v>190</v>
      </c>
      <c r="G6672" t="s">
        <v>957</v>
      </c>
      <c r="H6672" t="s">
        <v>1750</v>
      </c>
      <c r="I6672" t="s">
        <v>1750</v>
      </c>
      <c r="J6672" t="s">
        <v>60</v>
      </c>
      <c r="K6672" t="s">
        <v>982</v>
      </c>
      <c r="L6672" t="s">
        <v>62</v>
      </c>
      <c r="M6672" t="s">
        <v>982</v>
      </c>
      <c r="N6672" t="s">
        <v>959</v>
      </c>
      <c r="O6672" t="s">
        <v>1751</v>
      </c>
      <c r="P6672">
        <v>-20.164285</v>
      </c>
      <c r="Q6672">
        <v>-44.857562000000001</v>
      </c>
      <c r="R6672" s="2" t="str">
        <f>HYPERLINK("https://www.google.com/maps?q=-20.1642850,-44.8575620","Abrir no Google Maps")</f>
        <v>Abrir no Google Maps</v>
      </c>
      <c r="S6672">
        <v>3</v>
      </c>
      <c r="T6672">
        <v>275.89108588842112</v>
      </c>
      <c r="U6672">
        <v>3</v>
      </c>
      <c r="V6672">
        <v>0.1708228728519309</v>
      </c>
      <c r="W6672">
        <v>1</v>
      </c>
      <c r="X6672">
        <v>0.1708228728519309</v>
      </c>
      <c r="Y6672">
        <v>491</v>
      </c>
      <c r="Z6672">
        <v>150.50906778215881</v>
      </c>
      <c r="AA6672">
        <v>198</v>
      </c>
      <c r="AB6672">
        <v>332</v>
      </c>
      <c r="AC6672">
        <v>536</v>
      </c>
      <c r="AD6672">
        <v>28.93</v>
      </c>
      <c r="AE6672">
        <v>542</v>
      </c>
      <c r="AF6672">
        <v>29</v>
      </c>
      <c r="AG6672">
        <v>166</v>
      </c>
      <c r="AH6672">
        <v>129</v>
      </c>
      <c r="AI6672">
        <v>5.35</v>
      </c>
      <c r="AJ6672">
        <v>30.63</v>
      </c>
      <c r="AK6672">
        <v>23.8</v>
      </c>
      <c r="AL6672">
        <v>-20.164333749999969</v>
      </c>
      <c r="AM6672">
        <v>-44.857568319333943</v>
      </c>
      <c r="AN6672">
        <v>-20.164333749999969</v>
      </c>
      <c r="AO6672">
        <v>-44.857568319333943</v>
      </c>
      <c r="AP6672">
        <v>-20.164285</v>
      </c>
      <c r="AQ6672">
        <v>-44.857562000000001</v>
      </c>
      <c r="AR6672">
        <v>5.4668788625524281</v>
      </c>
      <c r="AS6672" t="s">
        <v>65</v>
      </c>
      <c r="AT6672">
        <v>1</v>
      </c>
      <c r="AU6672" t="s">
        <v>1752</v>
      </c>
      <c r="AV6672" t="s">
        <v>1753</v>
      </c>
      <c r="AW6672" t="s">
        <v>60</v>
      </c>
      <c r="AX6672" t="s">
        <v>68</v>
      </c>
      <c r="AY6672" t="s">
        <v>69</v>
      </c>
      <c r="AZ6672" t="b">
        <v>1</v>
      </c>
    </row>
    <row r="6673" spans="1:52" x14ac:dyDescent="0.3">
      <c r="A6673" t="s">
        <v>52</v>
      </c>
      <c r="B6673" t="s">
        <v>53</v>
      </c>
      <c r="C6673" t="s">
        <v>54</v>
      </c>
      <c r="D6673" t="s">
        <v>55</v>
      </c>
      <c r="E6673" t="s">
        <v>2296</v>
      </c>
      <c r="F6673" t="s">
        <v>190</v>
      </c>
      <c r="G6673" t="s">
        <v>963</v>
      </c>
      <c r="H6673" t="s">
        <v>964</v>
      </c>
      <c r="I6673" t="s">
        <v>964</v>
      </c>
      <c r="J6673" t="s">
        <v>60</v>
      </c>
      <c r="K6673" t="s">
        <v>702</v>
      </c>
      <c r="L6673" t="s">
        <v>62</v>
      </c>
      <c r="M6673" t="s">
        <v>702</v>
      </c>
      <c r="N6673" t="s">
        <v>965</v>
      </c>
      <c r="O6673" t="s">
        <v>960</v>
      </c>
      <c r="P6673">
        <v>-20.164622000000001</v>
      </c>
      <c r="Q6673">
        <v>-44.860289999999999</v>
      </c>
      <c r="R6673" s="2" t="str">
        <f>HYPERLINK("https://www.google.com/maps?q=-20.1646220,-44.8602900","Abrir no Google Maps")</f>
        <v>Abrir no Google Maps</v>
      </c>
      <c r="S6673">
        <v>3</v>
      </c>
      <c r="T6673">
        <v>393.43725605569188</v>
      </c>
      <c r="U6673">
        <v>3</v>
      </c>
      <c r="V6673">
        <v>0.1619863184079601</v>
      </c>
      <c r="W6673">
        <v>1</v>
      </c>
      <c r="X6673">
        <v>0.1619863184079601</v>
      </c>
      <c r="Y6673">
        <v>491</v>
      </c>
      <c r="Z6673">
        <v>358.96336458076678</v>
      </c>
      <c r="AA6673">
        <v>198</v>
      </c>
      <c r="AB6673">
        <v>332</v>
      </c>
      <c r="AC6673">
        <v>536</v>
      </c>
      <c r="AD6673">
        <v>28.93</v>
      </c>
      <c r="AE6673">
        <v>542</v>
      </c>
      <c r="AF6673">
        <v>29</v>
      </c>
      <c r="AG6673">
        <v>166</v>
      </c>
      <c r="AH6673">
        <v>129</v>
      </c>
      <c r="AI6673">
        <v>5.35</v>
      </c>
      <c r="AJ6673">
        <v>30.63</v>
      </c>
      <c r="AK6673">
        <v>23.8</v>
      </c>
      <c r="AL6673">
        <v>-20.164560849999951</v>
      </c>
      <c r="AM6673">
        <v>-44.860330680844072</v>
      </c>
      <c r="AN6673">
        <v>-20.164560849999951</v>
      </c>
      <c r="AO6673">
        <v>-44.860330680844072</v>
      </c>
      <c r="AP6673">
        <v>-20.164622000000001</v>
      </c>
      <c r="AQ6673">
        <v>-44.860289999999999</v>
      </c>
      <c r="AR6673">
        <v>8.0255448908437454</v>
      </c>
      <c r="AS6673" t="s">
        <v>65</v>
      </c>
      <c r="AT6673">
        <v>1</v>
      </c>
      <c r="AU6673" t="s">
        <v>966</v>
      </c>
      <c r="AV6673" t="s">
        <v>967</v>
      </c>
      <c r="AW6673" t="s">
        <v>60</v>
      </c>
      <c r="AX6673" t="s">
        <v>68</v>
      </c>
      <c r="AY6673" t="s">
        <v>69</v>
      </c>
      <c r="AZ6673" t="b">
        <v>1</v>
      </c>
    </row>
    <row r="6674" spans="1:52" x14ac:dyDescent="0.3">
      <c r="A6674" t="s">
        <v>52</v>
      </c>
      <c r="B6674" t="s">
        <v>53</v>
      </c>
      <c r="C6674" t="s">
        <v>54</v>
      </c>
      <c r="D6674" t="s">
        <v>55</v>
      </c>
      <c r="E6674" t="s">
        <v>2296</v>
      </c>
      <c r="F6674" t="s">
        <v>190</v>
      </c>
      <c r="G6674" t="s">
        <v>968</v>
      </c>
      <c r="H6674" t="s">
        <v>969</v>
      </c>
      <c r="I6674" t="s">
        <v>969</v>
      </c>
      <c r="J6674" t="s">
        <v>60</v>
      </c>
      <c r="K6674" t="s">
        <v>262</v>
      </c>
      <c r="L6674" t="s">
        <v>62</v>
      </c>
      <c r="M6674" t="s">
        <v>262</v>
      </c>
      <c r="N6674" t="s">
        <v>970</v>
      </c>
      <c r="O6674" t="s">
        <v>971</v>
      </c>
      <c r="P6674">
        <v>-20.163060999999999</v>
      </c>
      <c r="Q6674">
        <v>-44.854047000000001</v>
      </c>
      <c r="R6674" s="2" t="str">
        <f>HYPERLINK("https://www.google.com/maps?q=-20.1630610,-44.8540470","Abrir no Google Maps")</f>
        <v>Abrir no Google Maps</v>
      </c>
      <c r="S6674">
        <v>3</v>
      </c>
      <c r="T6674">
        <v>418.63868463200271</v>
      </c>
      <c r="U6674">
        <v>3</v>
      </c>
      <c r="V6674">
        <v>0.1620486111111111</v>
      </c>
      <c r="W6674">
        <v>1</v>
      </c>
      <c r="X6674">
        <v>0.1620486111111111</v>
      </c>
      <c r="Y6674">
        <v>491</v>
      </c>
      <c r="Z6674">
        <v>339.19068595447408</v>
      </c>
      <c r="AA6674">
        <v>198</v>
      </c>
      <c r="AB6674">
        <v>332</v>
      </c>
      <c r="AC6674">
        <v>536</v>
      </c>
      <c r="AD6674">
        <v>28.93</v>
      </c>
      <c r="AE6674">
        <v>542</v>
      </c>
      <c r="AF6674">
        <v>29</v>
      </c>
      <c r="AG6674">
        <v>166</v>
      </c>
      <c r="AH6674">
        <v>129</v>
      </c>
      <c r="AI6674">
        <v>5.35</v>
      </c>
      <c r="AJ6674">
        <v>30.63</v>
      </c>
      <c r="AK6674">
        <v>23.8</v>
      </c>
      <c r="AL6674">
        <v>-20.163118949999959</v>
      </c>
      <c r="AM6674">
        <v>-44.854106723889032</v>
      </c>
      <c r="AN6674">
        <v>-20.163118949999959</v>
      </c>
      <c r="AO6674">
        <v>-44.854106723889032</v>
      </c>
      <c r="AP6674">
        <v>-20.163060999999999</v>
      </c>
      <c r="AQ6674">
        <v>-44.854047000000001</v>
      </c>
      <c r="AR6674">
        <v>8.9758322935491428</v>
      </c>
      <c r="AS6674" t="s">
        <v>65</v>
      </c>
      <c r="AT6674">
        <v>1</v>
      </c>
      <c r="AU6674" t="s">
        <v>972</v>
      </c>
      <c r="AV6674" t="s">
        <v>973</v>
      </c>
      <c r="AW6674" t="s">
        <v>60</v>
      </c>
      <c r="AX6674" t="s">
        <v>68</v>
      </c>
      <c r="AY6674" t="s">
        <v>69</v>
      </c>
      <c r="AZ6674" t="b">
        <v>1</v>
      </c>
    </row>
    <row r="6675" spans="1:52" x14ac:dyDescent="0.3">
      <c r="A6675" t="s">
        <v>52</v>
      </c>
      <c r="B6675" t="s">
        <v>53</v>
      </c>
      <c r="C6675" t="s">
        <v>54</v>
      </c>
      <c r="D6675" t="s">
        <v>55</v>
      </c>
      <c r="E6675" t="s">
        <v>2296</v>
      </c>
      <c r="F6675" t="s">
        <v>190</v>
      </c>
      <c r="G6675" t="s">
        <v>974</v>
      </c>
      <c r="H6675" t="s">
        <v>975</v>
      </c>
      <c r="I6675" t="s">
        <v>975</v>
      </c>
      <c r="J6675" t="s">
        <v>60</v>
      </c>
      <c r="K6675" t="s">
        <v>702</v>
      </c>
      <c r="L6675" t="s">
        <v>62</v>
      </c>
      <c r="M6675" t="s">
        <v>702</v>
      </c>
      <c r="N6675" t="s">
        <v>976</v>
      </c>
      <c r="O6675" t="s">
        <v>977</v>
      </c>
      <c r="P6675">
        <v>-20.167021999999999</v>
      </c>
      <c r="Q6675">
        <v>-44.863095000000001</v>
      </c>
      <c r="R6675" s="2" t="str">
        <f>HYPERLINK("https://www.google.com/maps?q=-20.1670220,-44.8630950","Abrir no Google Maps")</f>
        <v>Abrir no Google Maps</v>
      </c>
      <c r="S6675">
        <v>3</v>
      </c>
      <c r="T6675">
        <v>629.02897442495839</v>
      </c>
      <c r="U6675">
        <v>3</v>
      </c>
      <c r="V6675">
        <v>0.16234284837810531</v>
      </c>
      <c r="W6675">
        <v>1</v>
      </c>
      <c r="X6675">
        <v>0.16234284837810531</v>
      </c>
      <c r="Y6675">
        <v>491</v>
      </c>
      <c r="Z6675">
        <v>693.48000708961661</v>
      </c>
      <c r="AA6675">
        <v>198</v>
      </c>
      <c r="AB6675">
        <v>332</v>
      </c>
      <c r="AC6675">
        <v>536</v>
      </c>
      <c r="AD6675">
        <v>28.93</v>
      </c>
      <c r="AE6675">
        <v>542</v>
      </c>
      <c r="AF6675">
        <v>29</v>
      </c>
      <c r="AG6675">
        <v>166</v>
      </c>
      <c r="AH6675">
        <v>129</v>
      </c>
      <c r="AI6675">
        <v>5.35</v>
      </c>
      <c r="AJ6675">
        <v>30.63</v>
      </c>
      <c r="AK6675">
        <v>23.8</v>
      </c>
      <c r="AL6675">
        <v>-20.167032199999941</v>
      </c>
      <c r="AM6675">
        <v>-44.863123980291967</v>
      </c>
      <c r="AN6675">
        <v>-20.167032199999941</v>
      </c>
      <c r="AO6675">
        <v>-44.863123980291967</v>
      </c>
      <c r="AP6675">
        <v>-20.167021999999999</v>
      </c>
      <c r="AQ6675">
        <v>-44.863095000000001</v>
      </c>
      <c r="AR6675">
        <v>3.2341734571542871</v>
      </c>
      <c r="AS6675" t="s">
        <v>65</v>
      </c>
      <c r="AT6675">
        <v>1</v>
      </c>
      <c r="AU6675" t="s">
        <v>978</v>
      </c>
      <c r="AV6675" t="s">
        <v>979</v>
      </c>
      <c r="AW6675" t="s">
        <v>60</v>
      </c>
      <c r="AX6675" t="s">
        <v>68</v>
      </c>
      <c r="AY6675" t="s">
        <v>69</v>
      </c>
      <c r="AZ6675" t="b">
        <v>1</v>
      </c>
    </row>
    <row r="6676" spans="1:52" x14ac:dyDescent="0.3">
      <c r="A6676" t="s">
        <v>52</v>
      </c>
      <c r="B6676" t="s">
        <v>53</v>
      </c>
      <c r="C6676" t="s">
        <v>54</v>
      </c>
      <c r="D6676" t="s">
        <v>55</v>
      </c>
      <c r="E6676" t="s">
        <v>2296</v>
      </c>
      <c r="F6676" t="s">
        <v>190</v>
      </c>
      <c r="G6676" t="s">
        <v>968</v>
      </c>
      <c r="H6676" t="s">
        <v>1754</v>
      </c>
      <c r="I6676" t="s">
        <v>1754</v>
      </c>
      <c r="J6676" t="s">
        <v>60</v>
      </c>
      <c r="K6676" t="s">
        <v>262</v>
      </c>
      <c r="L6676" t="s">
        <v>62</v>
      </c>
      <c r="M6676" t="s">
        <v>262</v>
      </c>
      <c r="N6676" t="s">
        <v>970</v>
      </c>
      <c r="O6676" t="s">
        <v>1331</v>
      </c>
      <c r="P6676">
        <v>-20.161989999999999</v>
      </c>
      <c r="Q6676">
        <v>-44.857933000000003</v>
      </c>
      <c r="R6676" s="2" t="str">
        <f>HYPERLINK("https://www.google.com/maps?q=-20.1619900,-44.8579330","Abrir no Google Maps")</f>
        <v>Abrir no Google Maps</v>
      </c>
      <c r="S6676">
        <v>3</v>
      </c>
      <c r="T6676">
        <v>0</v>
      </c>
      <c r="U6676">
        <v>3</v>
      </c>
      <c r="V6676">
        <v>0.18633209723635241</v>
      </c>
      <c r="W6676">
        <v>1</v>
      </c>
      <c r="X6676">
        <v>0.18633209723635241</v>
      </c>
      <c r="Y6676">
        <v>491</v>
      </c>
      <c r="Z6676">
        <v>131.1697533741382</v>
      </c>
      <c r="AA6676">
        <v>198</v>
      </c>
      <c r="AB6676">
        <v>332</v>
      </c>
      <c r="AC6676">
        <v>536</v>
      </c>
      <c r="AD6676">
        <v>28.93</v>
      </c>
      <c r="AE6676">
        <v>542</v>
      </c>
      <c r="AF6676">
        <v>29</v>
      </c>
      <c r="AG6676">
        <v>166</v>
      </c>
      <c r="AH6676">
        <v>129</v>
      </c>
      <c r="AI6676">
        <v>5.35</v>
      </c>
      <c r="AJ6676">
        <v>30.63</v>
      </c>
      <c r="AK6676">
        <v>23.8</v>
      </c>
      <c r="AL6676">
        <v>-20.161858549999948</v>
      </c>
      <c r="AM6676">
        <v>-44.857884031071968</v>
      </c>
      <c r="AN6676">
        <v>-20.161858549999948</v>
      </c>
      <c r="AO6676">
        <v>-44.857884031071968</v>
      </c>
      <c r="AP6676">
        <v>-20.161989999999999</v>
      </c>
      <c r="AQ6676">
        <v>-44.857933000000003</v>
      </c>
      <c r="AR6676">
        <v>15.501957281614381</v>
      </c>
      <c r="AS6676" t="s">
        <v>65</v>
      </c>
      <c r="AT6676">
        <v>1</v>
      </c>
      <c r="AU6676" t="s">
        <v>1755</v>
      </c>
      <c r="AV6676" t="s">
        <v>1756</v>
      </c>
      <c r="AW6676" t="s">
        <v>60</v>
      </c>
      <c r="AX6676" t="s">
        <v>68</v>
      </c>
      <c r="AY6676" t="s">
        <v>69</v>
      </c>
      <c r="AZ6676" t="b">
        <v>1</v>
      </c>
    </row>
    <row r="6677" spans="1:52" x14ac:dyDescent="0.3">
      <c r="A6677" t="s">
        <v>52</v>
      </c>
      <c r="B6677" t="s">
        <v>53</v>
      </c>
      <c r="C6677" t="s">
        <v>54</v>
      </c>
      <c r="D6677" t="s">
        <v>55</v>
      </c>
      <c r="E6677" t="s">
        <v>2296</v>
      </c>
      <c r="F6677" t="s">
        <v>190</v>
      </c>
      <c r="G6677" t="s">
        <v>980</v>
      </c>
      <c r="H6677" t="s">
        <v>981</v>
      </c>
      <c r="I6677" t="s">
        <v>981</v>
      </c>
      <c r="J6677" t="s">
        <v>60</v>
      </c>
      <c r="K6677" t="s">
        <v>982</v>
      </c>
      <c r="L6677" t="s">
        <v>62</v>
      </c>
      <c r="M6677" t="s">
        <v>982</v>
      </c>
      <c r="N6677" t="s">
        <v>983</v>
      </c>
      <c r="O6677" t="s">
        <v>264</v>
      </c>
      <c r="P6677">
        <v>-20.166967</v>
      </c>
      <c r="Q6677">
        <v>-44.859355000000001</v>
      </c>
      <c r="R6677" s="2" t="str">
        <f>HYPERLINK("https://www.google.com/maps?q=-20.1669670,-44.8593550","Abrir no Google Maps")</f>
        <v>Abrir no Google Maps</v>
      </c>
      <c r="S6677">
        <v>3</v>
      </c>
      <c r="T6677">
        <v>577.54934865824521</v>
      </c>
      <c r="U6677">
        <v>3</v>
      </c>
      <c r="V6677">
        <v>0.1624299659334536</v>
      </c>
      <c r="W6677">
        <v>1</v>
      </c>
      <c r="X6677">
        <v>0.1624299659334536</v>
      </c>
      <c r="Y6677">
        <v>491</v>
      </c>
      <c r="Z6677">
        <v>433.59782149216659</v>
      </c>
      <c r="AA6677">
        <v>198</v>
      </c>
      <c r="AB6677">
        <v>332</v>
      </c>
      <c r="AC6677">
        <v>536</v>
      </c>
      <c r="AD6677">
        <v>28.93</v>
      </c>
      <c r="AE6677">
        <v>542</v>
      </c>
      <c r="AF6677">
        <v>29</v>
      </c>
      <c r="AG6677">
        <v>166</v>
      </c>
      <c r="AH6677">
        <v>129</v>
      </c>
      <c r="AI6677">
        <v>5.35</v>
      </c>
      <c r="AJ6677">
        <v>30.63</v>
      </c>
      <c r="AK6677">
        <v>23.8</v>
      </c>
      <c r="AL6677">
        <v>-20.16694954999997</v>
      </c>
      <c r="AM6677">
        <v>-44.859100695938046</v>
      </c>
      <c r="AN6677">
        <v>-20.16694954999997</v>
      </c>
      <c r="AO6677">
        <v>-44.859100695938046</v>
      </c>
      <c r="AP6677">
        <v>-20.166967</v>
      </c>
      <c r="AQ6677">
        <v>-44.859355000000001</v>
      </c>
      <c r="AR6677">
        <v>26.644458793923111</v>
      </c>
      <c r="AS6677" t="s">
        <v>65</v>
      </c>
      <c r="AT6677">
        <v>1</v>
      </c>
      <c r="AU6677" t="s">
        <v>984</v>
      </c>
      <c r="AV6677" t="s">
        <v>985</v>
      </c>
      <c r="AW6677" t="s">
        <v>60</v>
      </c>
      <c r="AX6677" t="s">
        <v>68</v>
      </c>
      <c r="AY6677" t="s">
        <v>69</v>
      </c>
      <c r="AZ6677" t="b">
        <v>1</v>
      </c>
    </row>
    <row r="6678" spans="1:52" x14ac:dyDescent="0.3">
      <c r="A6678" t="s">
        <v>52</v>
      </c>
      <c r="B6678" t="s">
        <v>53</v>
      </c>
      <c r="C6678" t="s">
        <v>54</v>
      </c>
      <c r="D6678" t="s">
        <v>55</v>
      </c>
      <c r="E6678" t="s">
        <v>2296</v>
      </c>
      <c r="F6678" t="s">
        <v>190</v>
      </c>
      <c r="G6678" t="s">
        <v>986</v>
      </c>
      <c r="H6678" t="s">
        <v>987</v>
      </c>
      <c r="I6678" t="s">
        <v>987</v>
      </c>
      <c r="J6678" t="s">
        <v>60</v>
      </c>
      <c r="K6678" t="s">
        <v>702</v>
      </c>
      <c r="L6678" t="s">
        <v>62</v>
      </c>
      <c r="M6678" t="s">
        <v>702</v>
      </c>
      <c r="N6678" t="s">
        <v>988</v>
      </c>
      <c r="O6678" t="s">
        <v>989</v>
      </c>
      <c r="P6678">
        <v>-20.1691</v>
      </c>
      <c r="Q6678">
        <v>-44.860813999999998</v>
      </c>
      <c r="R6678" s="2" t="str">
        <f>HYPERLINK("https://www.google.com/maps?q=-20.1691000,-44.8608140","Abrir no Google Maps")</f>
        <v>Abrir no Google Maps</v>
      </c>
      <c r="S6678">
        <v>3</v>
      </c>
      <c r="T6678">
        <v>596.11124105675003</v>
      </c>
      <c r="U6678">
        <v>3</v>
      </c>
      <c r="V6678">
        <v>0.1609690770029556</v>
      </c>
      <c r="W6678">
        <v>1</v>
      </c>
      <c r="X6678">
        <v>0.1609690770029556</v>
      </c>
      <c r="Y6678">
        <v>491</v>
      </c>
      <c r="Z6678">
        <v>741.65354053819078</v>
      </c>
      <c r="AA6678">
        <v>198</v>
      </c>
      <c r="AB6678">
        <v>332</v>
      </c>
      <c r="AC6678">
        <v>536</v>
      </c>
      <c r="AD6678">
        <v>28.93</v>
      </c>
      <c r="AE6678">
        <v>542</v>
      </c>
      <c r="AF6678">
        <v>29</v>
      </c>
      <c r="AG6678">
        <v>166</v>
      </c>
      <c r="AH6678">
        <v>129</v>
      </c>
      <c r="AI6678">
        <v>5.35</v>
      </c>
      <c r="AJ6678">
        <v>30.63</v>
      </c>
      <c r="AK6678">
        <v>23.8</v>
      </c>
      <c r="AL6678">
        <v>-20.168995449999951</v>
      </c>
      <c r="AM6678">
        <v>-44.86088900357106</v>
      </c>
      <c r="AN6678">
        <v>-20.168995449999951</v>
      </c>
      <c r="AO6678">
        <v>-44.86088900357106</v>
      </c>
      <c r="AP6678">
        <v>-20.1691</v>
      </c>
      <c r="AQ6678">
        <v>-44.860813999999998</v>
      </c>
      <c r="AR6678">
        <v>14.03138702725616</v>
      </c>
      <c r="AS6678" t="s">
        <v>65</v>
      </c>
      <c r="AT6678">
        <v>1</v>
      </c>
      <c r="AU6678" t="s">
        <v>990</v>
      </c>
      <c r="AV6678" t="s">
        <v>991</v>
      </c>
      <c r="AW6678" t="s">
        <v>60</v>
      </c>
      <c r="AX6678" t="s">
        <v>68</v>
      </c>
      <c r="AY6678" t="s">
        <v>69</v>
      </c>
      <c r="AZ6678" t="b">
        <v>1</v>
      </c>
    </row>
    <row r="6679" spans="1:52" x14ac:dyDescent="0.3">
      <c r="A6679" t="s">
        <v>52</v>
      </c>
      <c r="B6679" t="s">
        <v>53</v>
      </c>
      <c r="C6679" t="s">
        <v>54</v>
      </c>
      <c r="D6679" t="s">
        <v>55</v>
      </c>
      <c r="E6679" t="s">
        <v>2296</v>
      </c>
      <c r="F6679" t="s">
        <v>190</v>
      </c>
      <c r="G6679" t="s">
        <v>2285</v>
      </c>
      <c r="H6679" t="s">
        <v>2286</v>
      </c>
      <c r="I6679" t="s">
        <v>2286</v>
      </c>
      <c r="J6679" t="s">
        <v>60</v>
      </c>
      <c r="K6679" t="s">
        <v>530</v>
      </c>
      <c r="L6679" t="s">
        <v>62</v>
      </c>
      <c r="M6679" t="s">
        <v>530</v>
      </c>
      <c r="N6679" t="s">
        <v>994</v>
      </c>
      <c r="O6679" t="s">
        <v>315</v>
      </c>
      <c r="P6679">
        <v>-20.149338</v>
      </c>
      <c r="Q6679">
        <v>-44.887977999999997</v>
      </c>
      <c r="R6679" s="2" t="str">
        <f>HYPERLINK("https://www.google.com/maps?q=-20.1493380,-44.8879780","Abrir no Google Maps")</f>
        <v>Abrir no Google Maps</v>
      </c>
      <c r="S6679">
        <v>3</v>
      </c>
      <c r="T6679">
        <v>0</v>
      </c>
      <c r="U6679">
        <v>3</v>
      </c>
      <c r="V6679">
        <v>0.21731913919413909</v>
      </c>
      <c r="W6679">
        <v>0.85</v>
      </c>
      <c r="X6679">
        <v>0.1847212683150182</v>
      </c>
      <c r="Y6679">
        <v>480</v>
      </c>
      <c r="Z6679">
        <v>155.91055641606701</v>
      </c>
      <c r="AA6679">
        <v>198</v>
      </c>
      <c r="AB6679">
        <v>332</v>
      </c>
      <c r="AC6679">
        <v>536</v>
      </c>
      <c r="AD6679">
        <v>28.93</v>
      </c>
      <c r="AE6679">
        <v>542</v>
      </c>
      <c r="AF6679">
        <v>29</v>
      </c>
      <c r="AG6679">
        <v>166</v>
      </c>
      <c r="AH6679">
        <v>129</v>
      </c>
      <c r="AI6679">
        <v>5.35</v>
      </c>
      <c r="AJ6679">
        <v>30.63</v>
      </c>
      <c r="AK6679">
        <v>23.8</v>
      </c>
      <c r="AL6679">
        <v>-20.14943094999995</v>
      </c>
      <c r="AM6679">
        <v>-44.888512016862911</v>
      </c>
      <c r="AN6679">
        <v>-20.14943094999995</v>
      </c>
      <c r="AO6679">
        <v>-44.888512016862911</v>
      </c>
      <c r="AP6679">
        <v>-20.149338</v>
      </c>
      <c r="AQ6679">
        <v>-44.887977999999997</v>
      </c>
      <c r="AR6679">
        <v>56.759570634761729</v>
      </c>
      <c r="AS6679" t="s">
        <v>65</v>
      </c>
      <c r="AT6679">
        <v>1</v>
      </c>
      <c r="AU6679" t="s">
        <v>2287</v>
      </c>
      <c r="AV6679" t="s">
        <v>2288</v>
      </c>
      <c r="AW6679" t="s">
        <v>60</v>
      </c>
      <c r="AX6679" t="s">
        <v>68</v>
      </c>
      <c r="AY6679" t="s">
        <v>69</v>
      </c>
      <c r="AZ6679" t="b">
        <v>1</v>
      </c>
    </row>
    <row r="6680" spans="1:52" x14ac:dyDescent="0.3">
      <c r="A6680" t="s">
        <v>52</v>
      </c>
      <c r="B6680" t="s">
        <v>53</v>
      </c>
      <c r="C6680" t="s">
        <v>54</v>
      </c>
      <c r="D6680" t="s">
        <v>55</v>
      </c>
      <c r="E6680" t="s">
        <v>2296</v>
      </c>
      <c r="F6680" t="s">
        <v>190</v>
      </c>
      <c r="G6680" t="s">
        <v>2247</v>
      </c>
      <c r="H6680" t="s">
        <v>2248</v>
      </c>
      <c r="I6680" t="s">
        <v>2248</v>
      </c>
      <c r="J6680" t="s">
        <v>60</v>
      </c>
      <c r="K6680" t="s">
        <v>437</v>
      </c>
      <c r="L6680" t="s">
        <v>62</v>
      </c>
      <c r="M6680" t="s">
        <v>437</v>
      </c>
      <c r="N6680" t="s">
        <v>2249</v>
      </c>
      <c r="O6680" t="s">
        <v>2250</v>
      </c>
      <c r="P6680">
        <v>-20.144544</v>
      </c>
      <c r="Q6680">
        <v>-44.880499</v>
      </c>
      <c r="R6680" s="2" t="str">
        <f>HYPERLINK("https://www.google.com/maps?q=-20.1445440,-44.8804990","Abrir no Google Maps")</f>
        <v>Abrir no Google Maps</v>
      </c>
      <c r="S6680">
        <v>3</v>
      </c>
      <c r="T6680">
        <v>391.45883415166003</v>
      </c>
      <c r="U6680">
        <v>3</v>
      </c>
      <c r="V6680">
        <v>0.18484820206544739</v>
      </c>
      <c r="W6680">
        <v>0.85</v>
      </c>
      <c r="X6680">
        <v>0.15712097175563031</v>
      </c>
      <c r="Y6680">
        <v>465</v>
      </c>
      <c r="Z6680">
        <v>396.24591629148568</v>
      </c>
      <c r="AA6680">
        <v>198</v>
      </c>
      <c r="AB6680">
        <v>332</v>
      </c>
      <c r="AC6680">
        <v>536</v>
      </c>
      <c r="AD6680">
        <v>28.93</v>
      </c>
      <c r="AE6680">
        <v>542</v>
      </c>
      <c r="AF6680">
        <v>29</v>
      </c>
      <c r="AG6680">
        <v>166</v>
      </c>
      <c r="AH6680">
        <v>129</v>
      </c>
      <c r="AI6680">
        <v>5.35</v>
      </c>
      <c r="AJ6680">
        <v>30.63</v>
      </c>
      <c r="AK6680">
        <v>23.8</v>
      </c>
      <c r="AL6680">
        <v>-20.144544899999939</v>
      </c>
      <c r="AM6680">
        <v>-44.880256760231603</v>
      </c>
      <c r="AN6680">
        <v>-20.144544899999939</v>
      </c>
      <c r="AO6680">
        <v>-44.880256760231603</v>
      </c>
      <c r="AP6680">
        <v>-20.144544</v>
      </c>
      <c r="AQ6680">
        <v>-44.880499</v>
      </c>
      <c r="AR6680">
        <v>25.31672441853587</v>
      </c>
      <c r="AS6680" t="s">
        <v>65</v>
      </c>
      <c r="AT6680">
        <v>1</v>
      </c>
      <c r="AU6680" t="s">
        <v>2251</v>
      </c>
      <c r="AV6680" t="s">
        <v>2252</v>
      </c>
      <c r="AW6680" t="s">
        <v>60</v>
      </c>
      <c r="AX6680" t="s">
        <v>68</v>
      </c>
      <c r="AY6680" t="s">
        <v>69</v>
      </c>
      <c r="AZ6680" t="b">
        <v>1</v>
      </c>
    </row>
    <row r="6681" spans="1:52" x14ac:dyDescent="0.3">
      <c r="A6681" t="s">
        <v>52</v>
      </c>
      <c r="B6681" t="s">
        <v>53</v>
      </c>
      <c r="C6681" t="s">
        <v>54</v>
      </c>
      <c r="D6681" t="s">
        <v>55</v>
      </c>
      <c r="E6681" t="s">
        <v>2296</v>
      </c>
      <c r="F6681" t="s">
        <v>190</v>
      </c>
      <c r="G6681" t="s">
        <v>1014</v>
      </c>
      <c r="H6681" t="s">
        <v>1015</v>
      </c>
      <c r="I6681" t="s">
        <v>1015</v>
      </c>
      <c r="J6681" t="s">
        <v>60</v>
      </c>
      <c r="K6681" t="s">
        <v>1016</v>
      </c>
      <c r="L6681" t="s">
        <v>62</v>
      </c>
      <c r="M6681" t="s">
        <v>1016</v>
      </c>
      <c r="N6681" t="s">
        <v>1017</v>
      </c>
      <c r="O6681" t="s">
        <v>1018</v>
      </c>
      <c r="P6681">
        <v>-20.174461000000001</v>
      </c>
      <c r="Q6681">
        <v>-44.868710999999998</v>
      </c>
      <c r="R6681" s="2" t="str">
        <f>HYPERLINK("https://www.google.com/maps?q=-20.1744610,-44.8687110","Abrir no Google Maps")</f>
        <v>Abrir no Google Maps</v>
      </c>
      <c r="S6681">
        <v>3</v>
      </c>
      <c r="T6681">
        <v>435.39504742850158</v>
      </c>
      <c r="U6681">
        <v>3</v>
      </c>
      <c r="V6681">
        <v>0.16952862894207121</v>
      </c>
      <c r="W6681">
        <v>1</v>
      </c>
      <c r="X6681">
        <v>0.16952862894207121</v>
      </c>
      <c r="Y6681">
        <v>422</v>
      </c>
      <c r="Z6681">
        <v>264.99958639233438</v>
      </c>
      <c r="AA6681">
        <v>198</v>
      </c>
      <c r="AB6681">
        <v>332</v>
      </c>
      <c r="AC6681">
        <v>536</v>
      </c>
      <c r="AD6681">
        <v>28.93</v>
      </c>
      <c r="AE6681">
        <v>542</v>
      </c>
      <c r="AF6681">
        <v>29</v>
      </c>
      <c r="AG6681">
        <v>166</v>
      </c>
      <c r="AH6681">
        <v>129</v>
      </c>
      <c r="AI6681">
        <v>5.35</v>
      </c>
      <c r="AJ6681">
        <v>30.63</v>
      </c>
      <c r="AK6681">
        <v>23.8</v>
      </c>
      <c r="AL6681">
        <v>-20.174459749999951</v>
      </c>
      <c r="AM6681">
        <v>-44.868877789186897</v>
      </c>
      <c r="AN6681">
        <v>-20.174459749999951</v>
      </c>
      <c r="AO6681">
        <v>-44.868877789186897</v>
      </c>
      <c r="AP6681">
        <v>-20.174461000000001</v>
      </c>
      <c r="AQ6681">
        <v>-44.868710999999998</v>
      </c>
      <c r="AR6681">
        <v>17.42838555603738</v>
      </c>
      <c r="AS6681" t="s">
        <v>65</v>
      </c>
      <c r="AT6681">
        <v>1</v>
      </c>
      <c r="AU6681" t="s">
        <v>1019</v>
      </c>
      <c r="AV6681" t="s">
        <v>1020</v>
      </c>
      <c r="AW6681" t="s">
        <v>60</v>
      </c>
      <c r="AX6681" t="s">
        <v>68</v>
      </c>
      <c r="AY6681" t="s">
        <v>69</v>
      </c>
      <c r="AZ6681" t="b">
        <v>1</v>
      </c>
    </row>
    <row r="6682" spans="1:52" x14ac:dyDescent="0.3">
      <c r="A6682" t="s">
        <v>52</v>
      </c>
      <c r="B6682" t="s">
        <v>53</v>
      </c>
      <c r="C6682" t="s">
        <v>54</v>
      </c>
      <c r="D6682" t="s">
        <v>55</v>
      </c>
      <c r="E6682" t="s">
        <v>2296</v>
      </c>
      <c r="F6682" t="s">
        <v>190</v>
      </c>
      <c r="G6682" t="s">
        <v>1021</v>
      </c>
      <c r="H6682" t="s">
        <v>1022</v>
      </c>
      <c r="I6682" t="s">
        <v>1022</v>
      </c>
      <c r="J6682" t="s">
        <v>60</v>
      </c>
      <c r="K6682" t="s">
        <v>1023</v>
      </c>
      <c r="L6682" t="s">
        <v>62</v>
      </c>
      <c r="M6682" t="s">
        <v>1023</v>
      </c>
      <c r="N6682" t="s">
        <v>1024</v>
      </c>
      <c r="O6682" t="s">
        <v>1025</v>
      </c>
      <c r="P6682">
        <v>-20.169588999999998</v>
      </c>
      <c r="Q6682">
        <v>-44.866636</v>
      </c>
      <c r="R6682" s="2" t="str">
        <f>HYPERLINK("https://www.google.com/maps?q=-20.1695890,-44.8666360","Abrir no Google Maps")</f>
        <v>Abrir no Google Maps</v>
      </c>
      <c r="S6682">
        <v>3</v>
      </c>
      <c r="T6682">
        <v>326.02709617860302</v>
      </c>
      <c r="U6682">
        <v>3</v>
      </c>
      <c r="V6682">
        <v>0.1669618938171635</v>
      </c>
      <c r="W6682">
        <v>1</v>
      </c>
      <c r="X6682">
        <v>0.1669618938171635</v>
      </c>
      <c r="Y6682">
        <v>422</v>
      </c>
      <c r="Z6682">
        <v>333.05362278862168</v>
      </c>
      <c r="AA6682">
        <v>198</v>
      </c>
      <c r="AB6682">
        <v>332</v>
      </c>
      <c r="AC6682">
        <v>536</v>
      </c>
      <c r="AD6682">
        <v>28.93</v>
      </c>
      <c r="AE6682">
        <v>542</v>
      </c>
      <c r="AF6682">
        <v>29</v>
      </c>
      <c r="AG6682">
        <v>166</v>
      </c>
      <c r="AH6682">
        <v>129</v>
      </c>
      <c r="AI6682">
        <v>5.35</v>
      </c>
      <c r="AJ6682">
        <v>30.63</v>
      </c>
      <c r="AK6682">
        <v>23.8</v>
      </c>
      <c r="AL6682">
        <v>-20.16956104999997</v>
      </c>
      <c r="AM6682">
        <v>-44.866560528183591</v>
      </c>
      <c r="AN6682">
        <v>-20.16956104999997</v>
      </c>
      <c r="AO6682">
        <v>-44.866560528183591</v>
      </c>
      <c r="AP6682">
        <v>-20.169588999999998</v>
      </c>
      <c r="AQ6682">
        <v>-44.866636</v>
      </c>
      <c r="AR6682">
        <v>8.4778927137831293</v>
      </c>
      <c r="AS6682" t="s">
        <v>65</v>
      </c>
      <c r="AT6682">
        <v>1</v>
      </c>
      <c r="AU6682" t="s">
        <v>1026</v>
      </c>
      <c r="AV6682" t="s">
        <v>1027</v>
      </c>
      <c r="AW6682" t="s">
        <v>60</v>
      </c>
      <c r="AX6682" t="s">
        <v>68</v>
      </c>
      <c r="AY6682" t="s">
        <v>69</v>
      </c>
      <c r="AZ6682" t="b">
        <v>1</v>
      </c>
    </row>
    <row r="6683" spans="1:52" x14ac:dyDescent="0.3">
      <c r="A6683" t="s">
        <v>52</v>
      </c>
      <c r="B6683" t="s">
        <v>53</v>
      </c>
      <c r="C6683" t="s">
        <v>54</v>
      </c>
      <c r="D6683" t="s">
        <v>55</v>
      </c>
      <c r="E6683" t="s">
        <v>2296</v>
      </c>
      <c r="F6683" t="s">
        <v>190</v>
      </c>
      <c r="G6683" t="s">
        <v>1028</v>
      </c>
      <c r="H6683" t="s">
        <v>1029</v>
      </c>
      <c r="I6683" t="s">
        <v>1029</v>
      </c>
      <c r="J6683" t="s">
        <v>60</v>
      </c>
      <c r="K6683" t="s">
        <v>1016</v>
      </c>
      <c r="L6683" t="s">
        <v>62</v>
      </c>
      <c r="M6683" t="s">
        <v>1016</v>
      </c>
      <c r="N6683" t="s">
        <v>1030</v>
      </c>
      <c r="O6683" t="s">
        <v>855</v>
      </c>
      <c r="P6683">
        <v>-20.169778000000001</v>
      </c>
      <c r="Q6683">
        <v>-44.871940000000002</v>
      </c>
      <c r="R6683" s="2" t="str">
        <f>HYPERLINK("https://www.google.com/maps?q=-20.1697780,-44.8719400","Abrir no Google Maps")</f>
        <v>Abrir no Google Maps</v>
      </c>
      <c r="S6683">
        <v>3</v>
      </c>
      <c r="T6683">
        <v>730.45462447863167</v>
      </c>
      <c r="U6683">
        <v>3</v>
      </c>
      <c r="V6683">
        <v>0.1622512981507975</v>
      </c>
      <c r="W6683">
        <v>1</v>
      </c>
      <c r="X6683">
        <v>0.1622512981507975</v>
      </c>
      <c r="Y6683">
        <v>422</v>
      </c>
      <c r="Z6683">
        <v>600.74952959765801</v>
      </c>
      <c r="AA6683">
        <v>198</v>
      </c>
      <c r="AB6683">
        <v>332</v>
      </c>
      <c r="AC6683">
        <v>536</v>
      </c>
      <c r="AD6683">
        <v>28.93</v>
      </c>
      <c r="AE6683">
        <v>542</v>
      </c>
      <c r="AF6683">
        <v>29</v>
      </c>
      <c r="AG6683">
        <v>166</v>
      </c>
      <c r="AH6683">
        <v>129</v>
      </c>
      <c r="AI6683">
        <v>5.35</v>
      </c>
      <c r="AJ6683">
        <v>30.63</v>
      </c>
      <c r="AK6683">
        <v>23.8</v>
      </c>
      <c r="AL6683">
        <v>-20.169770599999961</v>
      </c>
      <c r="AM6683">
        <v>-44.871857291666629</v>
      </c>
      <c r="AN6683">
        <v>-20.169770599999961</v>
      </c>
      <c r="AO6683">
        <v>-44.871857291666629</v>
      </c>
      <c r="AP6683">
        <v>-20.169778000000001</v>
      </c>
      <c r="AQ6683">
        <v>-44.871940000000002</v>
      </c>
      <c r="AR6683">
        <v>8.6816379320830315</v>
      </c>
      <c r="AS6683" t="s">
        <v>65</v>
      </c>
      <c r="AT6683">
        <v>1</v>
      </c>
      <c r="AU6683" t="s">
        <v>1031</v>
      </c>
      <c r="AV6683" t="s">
        <v>1032</v>
      </c>
      <c r="AW6683" t="s">
        <v>60</v>
      </c>
      <c r="AX6683" t="s">
        <v>68</v>
      </c>
      <c r="AY6683" t="s">
        <v>69</v>
      </c>
      <c r="AZ6683" t="b">
        <v>1</v>
      </c>
    </row>
    <row r="6684" spans="1:52" x14ac:dyDescent="0.3">
      <c r="A6684" t="s">
        <v>52</v>
      </c>
      <c r="B6684" t="s">
        <v>53</v>
      </c>
      <c r="C6684" t="s">
        <v>54</v>
      </c>
      <c r="D6684" t="s">
        <v>55</v>
      </c>
      <c r="E6684" t="s">
        <v>2296</v>
      </c>
      <c r="F6684" t="s">
        <v>190</v>
      </c>
      <c r="G6684" t="s">
        <v>1033</v>
      </c>
      <c r="H6684" t="s">
        <v>1034</v>
      </c>
      <c r="I6684" t="s">
        <v>1034</v>
      </c>
      <c r="J6684" t="s">
        <v>60</v>
      </c>
      <c r="K6684" t="s">
        <v>1016</v>
      </c>
      <c r="L6684" t="s">
        <v>62</v>
      </c>
      <c r="M6684" t="s">
        <v>1016</v>
      </c>
      <c r="N6684" t="s">
        <v>1035</v>
      </c>
      <c r="O6684" t="s">
        <v>1036</v>
      </c>
      <c r="P6684">
        <v>-20.176404999999999</v>
      </c>
      <c r="Q6684">
        <v>-44.871102</v>
      </c>
      <c r="R6684" s="2" t="str">
        <f>HYPERLINK("https://www.google.com/maps?q=-20.1764050,-44.8711020","Abrir no Google Maps")</f>
        <v>Abrir no Google Maps</v>
      </c>
      <c r="S6684">
        <v>3</v>
      </c>
      <c r="T6684">
        <v>746.17794449655105</v>
      </c>
      <c r="U6684">
        <v>3</v>
      </c>
      <c r="V6684">
        <v>0.15680907044032841</v>
      </c>
      <c r="W6684">
        <v>1</v>
      </c>
      <c r="X6684">
        <v>0.15680907044032841</v>
      </c>
      <c r="Y6684">
        <v>422</v>
      </c>
      <c r="Z6684">
        <v>532.61564453099913</v>
      </c>
      <c r="AA6684">
        <v>198</v>
      </c>
      <c r="AB6684">
        <v>332</v>
      </c>
      <c r="AC6684">
        <v>536</v>
      </c>
      <c r="AD6684">
        <v>28.93</v>
      </c>
      <c r="AE6684">
        <v>542</v>
      </c>
      <c r="AF6684">
        <v>29</v>
      </c>
      <c r="AG6684">
        <v>166</v>
      </c>
      <c r="AH6684">
        <v>129</v>
      </c>
      <c r="AI6684">
        <v>5.35</v>
      </c>
      <c r="AJ6684">
        <v>30.63</v>
      </c>
      <c r="AK6684">
        <v>23.8</v>
      </c>
      <c r="AL6684">
        <v>-20.176464949999971</v>
      </c>
      <c r="AM6684">
        <v>-44.871010194676387</v>
      </c>
      <c r="AN6684">
        <v>-20.176464949999971</v>
      </c>
      <c r="AO6684">
        <v>-44.871010194676387</v>
      </c>
      <c r="AP6684">
        <v>-20.176404999999999</v>
      </c>
      <c r="AQ6684">
        <v>-44.871102</v>
      </c>
      <c r="AR6684">
        <v>11.68571547850415</v>
      </c>
      <c r="AS6684" t="s">
        <v>65</v>
      </c>
      <c r="AT6684">
        <v>1</v>
      </c>
      <c r="AU6684" t="s">
        <v>1037</v>
      </c>
      <c r="AV6684" t="s">
        <v>1038</v>
      </c>
      <c r="AW6684" t="s">
        <v>60</v>
      </c>
      <c r="AX6684" t="s">
        <v>68</v>
      </c>
      <c r="AY6684" t="s">
        <v>69</v>
      </c>
      <c r="AZ6684" t="b">
        <v>1</v>
      </c>
    </row>
    <row r="6685" spans="1:52" x14ac:dyDescent="0.3">
      <c r="A6685" t="s">
        <v>52</v>
      </c>
      <c r="B6685" t="s">
        <v>53</v>
      </c>
      <c r="C6685" t="s">
        <v>54</v>
      </c>
      <c r="D6685" t="s">
        <v>55</v>
      </c>
      <c r="E6685" t="s">
        <v>2296</v>
      </c>
      <c r="F6685" t="s">
        <v>190</v>
      </c>
      <c r="G6685" t="s">
        <v>1039</v>
      </c>
      <c r="H6685" t="s">
        <v>1040</v>
      </c>
      <c r="I6685" t="s">
        <v>1040</v>
      </c>
      <c r="J6685" t="s">
        <v>60</v>
      </c>
      <c r="K6685" t="s">
        <v>1023</v>
      </c>
      <c r="L6685" t="s">
        <v>62</v>
      </c>
      <c r="M6685" t="s">
        <v>1023</v>
      </c>
      <c r="N6685" t="s">
        <v>1041</v>
      </c>
      <c r="O6685" t="s">
        <v>738</v>
      </c>
      <c r="P6685">
        <v>-20.172284000000001</v>
      </c>
      <c r="Q6685">
        <v>-44.865392999999997</v>
      </c>
      <c r="R6685" s="2" t="str">
        <f>HYPERLINK("https://www.google.com/maps?q=-20.1722840,-44.8653930","Abrir no Google Maps")</f>
        <v>Abrir no Google Maps</v>
      </c>
      <c r="S6685">
        <v>3</v>
      </c>
      <c r="T6685">
        <v>0</v>
      </c>
      <c r="U6685">
        <v>3</v>
      </c>
      <c r="V6685">
        <v>0.163058288010027</v>
      </c>
      <c r="W6685">
        <v>1</v>
      </c>
      <c r="X6685">
        <v>0.163058288010027</v>
      </c>
      <c r="Y6685">
        <v>422</v>
      </c>
      <c r="Z6685">
        <v>202.96804500763591</v>
      </c>
      <c r="AA6685">
        <v>198</v>
      </c>
      <c r="AB6685">
        <v>332</v>
      </c>
      <c r="AC6685">
        <v>536</v>
      </c>
      <c r="AD6685">
        <v>28.93</v>
      </c>
      <c r="AE6685">
        <v>542</v>
      </c>
      <c r="AF6685">
        <v>29</v>
      </c>
      <c r="AG6685">
        <v>166</v>
      </c>
      <c r="AH6685">
        <v>129</v>
      </c>
      <c r="AI6685">
        <v>5.35</v>
      </c>
      <c r="AJ6685">
        <v>30.63</v>
      </c>
      <c r="AK6685">
        <v>23.8</v>
      </c>
      <c r="AL6685">
        <v>-20.17229514999994</v>
      </c>
      <c r="AM6685">
        <v>-44.865398249858011</v>
      </c>
      <c r="AN6685">
        <v>-20.17229514999994</v>
      </c>
      <c r="AO6685">
        <v>-44.865398249858011</v>
      </c>
      <c r="AP6685">
        <v>-20.172284000000001</v>
      </c>
      <c r="AQ6685">
        <v>-44.865392999999997</v>
      </c>
      <c r="AR6685">
        <v>1.357036084497409</v>
      </c>
      <c r="AS6685" t="s">
        <v>65</v>
      </c>
      <c r="AT6685">
        <v>1</v>
      </c>
      <c r="AU6685" t="s">
        <v>1042</v>
      </c>
      <c r="AV6685" t="s">
        <v>1043</v>
      </c>
      <c r="AW6685" t="s">
        <v>60</v>
      </c>
      <c r="AX6685" t="s">
        <v>68</v>
      </c>
      <c r="AY6685" t="s">
        <v>69</v>
      </c>
      <c r="AZ6685" t="b">
        <v>1</v>
      </c>
    </row>
    <row r="6686" spans="1:52" x14ac:dyDescent="0.3">
      <c r="A6686" t="s">
        <v>52</v>
      </c>
      <c r="B6686" t="s">
        <v>53</v>
      </c>
      <c r="C6686" t="s">
        <v>54</v>
      </c>
      <c r="D6686" t="s">
        <v>55</v>
      </c>
      <c r="E6686" t="s">
        <v>2296</v>
      </c>
      <c r="F6686" t="s">
        <v>190</v>
      </c>
      <c r="G6686" t="s">
        <v>734</v>
      </c>
      <c r="H6686" t="s">
        <v>1064</v>
      </c>
      <c r="I6686" t="s">
        <v>1064</v>
      </c>
      <c r="J6686" t="s">
        <v>60</v>
      </c>
      <c r="K6686" t="s">
        <v>530</v>
      </c>
      <c r="L6686" t="s">
        <v>62</v>
      </c>
      <c r="M6686" t="s">
        <v>530</v>
      </c>
      <c r="N6686" t="s">
        <v>1060</v>
      </c>
      <c r="O6686" t="s">
        <v>1065</v>
      </c>
      <c r="P6686">
        <v>-20.102878</v>
      </c>
      <c r="Q6686">
        <v>-44.974297</v>
      </c>
      <c r="R6686" s="2" t="str">
        <f>HYPERLINK("https://www.google.com/maps?q=-20.1028780,-44.9742970","Abrir no Google Maps")</f>
        <v>Abrir no Google Maps</v>
      </c>
      <c r="S6686">
        <v>3</v>
      </c>
      <c r="T6686">
        <v>261.64376156647683</v>
      </c>
      <c r="U6686">
        <v>3</v>
      </c>
      <c r="V6686">
        <v>0.19083268516117879</v>
      </c>
      <c r="W6686">
        <v>1</v>
      </c>
      <c r="X6686">
        <v>0.19083268516117879</v>
      </c>
      <c r="Y6686">
        <v>385</v>
      </c>
      <c r="Z6686">
        <v>272.78931550338098</v>
      </c>
      <c r="AA6686">
        <v>198</v>
      </c>
      <c r="AB6686">
        <v>332</v>
      </c>
      <c r="AC6686">
        <v>536</v>
      </c>
      <c r="AD6686">
        <v>28.93</v>
      </c>
      <c r="AE6686">
        <v>542</v>
      </c>
      <c r="AF6686">
        <v>29</v>
      </c>
      <c r="AG6686">
        <v>166</v>
      </c>
      <c r="AH6686">
        <v>129</v>
      </c>
      <c r="AI6686">
        <v>5.35</v>
      </c>
      <c r="AJ6686">
        <v>30.63</v>
      </c>
      <c r="AK6686">
        <v>23.8</v>
      </c>
      <c r="AL6686">
        <v>-20.102914199999962</v>
      </c>
      <c r="AM6686">
        <v>-44.974700580584418</v>
      </c>
      <c r="AN6686">
        <v>-20.102914199999962</v>
      </c>
      <c r="AO6686">
        <v>-44.974700580584418</v>
      </c>
      <c r="AP6686">
        <v>-20.102878</v>
      </c>
      <c r="AQ6686">
        <v>-44.974297</v>
      </c>
      <c r="AR6686">
        <v>42.381535645626968</v>
      </c>
      <c r="AS6686" t="s">
        <v>65</v>
      </c>
      <c r="AT6686">
        <v>1</v>
      </c>
      <c r="AU6686" t="s">
        <v>1066</v>
      </c>
      <c r="AV6686" t="s">
        <v>1067</v>
      </c>
      <c r="AW6686" t="s">
        <v>60</v>
      </c>
      <c r="AX6686" t="s">
        <v>68</v>
      </c>
      <c r="AY6686" t="s">
        <v>69</v>
      </c>
      <c r="AZ6686" t="b">
        <v>1</v>
      </c>
    </row>
    <row r="6687" spans="1:52" x14ac:dyDescent="0.3">
      <c r="A6687" t="s">
        <v>52</v>
      </c>
      <c r="B6687" t="s">
        <v>53</v>
      </c>
      <c r="C6687" t="s">
        <v>54</v>
      </c>
      <c r="D6687" t="s">
        <v>55</v>
      </c>
      <c r="E6687" t="s">
        <v>2296</v>
      </c>
      <c r="F6687" t="s">
        <v>190</v>
      </c>
      <c r="G6687" t="s">
        <v>734</v>
      </c>
      <c r="H6687" t="s">
        <v>735</v>
      </c>
      <c r="I6687" t="s">
        <v>735</v>
      </c>
      <c r="J6687" t="s">
        <v>60</v>
      </c>
      <c r="K6687" t="s">
        <v>736</v>
      </c>
      <c r="L6687" t="s">
        <v>62</v>
      </c>
      <c r="M6687" t="s">
        <v>736</v>
      </c>
      <c r="N6687" t="s">
        <v>737</v>
      </c>
      <c r="O6687" t="s">
        <v>738</v>
      </c>
      <c r="P6687">
        <v>-20.113050000000001</v>
      </c>
      <c r="Q6687">
        <v>-44.977640999999998</v>
      </c>
      <c r="R6687" s="2" t="str">
        <f>HYPERLINK("https://www.google.com/maps?q=-20.1130500,-44.9776410","Abrir no Google Maps")</f>
        <v>Abrir no Google Maps</v>
      </c>
      <c r="S6687">
        <v>3</v>
      </c>
      <c r="T6687">
        <v>1057.751631532733</v>
      </c>
      <c r="U6687">
        <v>3</v>
      </c>
      <c r="V6687">
        <v>0.16976727511977871</v>
      </c>
      <c r="W6687">
        <v>1</v>
      </c>
      <c r="X6687">
        <v>0.16976727511977871</v>
      </c>
      <c r="Y6687">
        <v>385</v>
      </c>
      <c r="Z6687">
        <v>1001.029655866156</v>
      </c>
      <c r="AA6687">
        <v>198</v>
      </c>
      <c r="AB6687">
        <v>332</v>
      </c>
      <c r="AC6687">
        <v>536</v>
      </c>
      <c r="AD6687">
        <v>28.93</v>
      </c>
      <c r="AE6687">
        <v>542</v>
      </c>
      <c r="AF6687">
        <v>29</v>
      </c>
      <c r="AG6687">
        <v>166</v>
      </c>
      <c r="AH6687">
        <v>129</v>
      </c>
      <c r="AI6687">
        <v>5.35</v>
      </c>
      <c r="AJ6687">
        <v>30.63</v>
      </c>
      <c r="AK6687">
        <v>23.8</v>
      </c>
      <c r="AL6687">
        <v>-20.112977499999939</v>
      </c>
      <c r="AM6687">
        <v>-44.977939579895221</v>
      </c>
      <c r="AN6687">
        <v>-20.112977499999939</v>
      </c>
      <c r="AO6687">
        <v>-44.977939579895221</v>
      </c>
      <c r="AP6687">
        <v>-20.113050000000001</v>
      </c>
      <c r="AQ6687">
        <v>-44.977640999999998</v>
      </c>
      <c r="AR6687">
        <v>32.23754556505741</v>
      </c>
      <c r="AS6687" t="s">
        <v>65</v>
      </c>
      <c r="AT6687">
        <v>1</v>
      </c>
      <c r="AU6687" t="s">
        <v>739</v>
      </c>
      <c r="AV6687" t="s">
        <v>740</v>
      </c>
      <c r="AW6687" t="s">
        <v>60</v>
      </c>
      <c r="AX6687" t="s">
        <v>68</v>
      </c>
      <c r="AY6687" t="s">
        <v>69</v>
      </c>
      <c r="AZ6687" t="b">
        <v>1</v>
      </c>
    </row>
    <row r="6688" spans="1:52" x14ac:dyDescent="0.3">
      <c r="A6688" t="s">
        <v>52</v>
      </c>
      <c r="B6688" t="s">
        <v>53</v>
      </c>
      <c r="C6688" t="s">
        <v>54</v>
      </c>
      <c r="D6688" t="s">
        <v>55</v>
      </c>
      <c r="E6688" t="s">
        <v>2296</v>
      </c>
      <c r="F6688" t="s">
        <v>190</v>
      </c>
      <c r="G6688" t="s">
        <v>734</v>
      </c>
      <c r="H6688" t="s">
        <v>1068</v>
      </c>
      <c r="I6688" t="s">
        <v>1068</v>
      </c>
      <c r="J6688" t="s">
        <v>60</v>
      </c>
      <c r="K6688" t="s">
        <v>736</v>
      </c>
      <c r="L6688" t="s">
        <v>62</v>
      </c>
      <c r="M6688" t="s">
        <v>736</v>
      </c>
      <c r="N6688" t="s">
        <v>1069</v>
      </c>
      <c r="O6688" t="s">
        <v>1070</v>
      </c>
      <c r="P6688">
        <v>-20.110289999999999</v>
      </c>
      <c r="Q6688">
        <v>-44.981574000000002</v>
      </c>
      <c r="R6688" s="2" t="str">
        <f>HYPERLINK("https://www.google.com/maps?q=-20.1102900,-44.9815740","Abrir no Google Maps")</f>
        <v>Abrir no Google Maps</v>
      </c>
      <c r="S6688">
        <v>3</v>
      </c>
      <c r="T6688">
        <v>1081.8012210194311</v>
      </c>
      <c r="U6688">
        <v>3</v>
      </c>
      <c r="V6688">
        <v>0.18002622108167249</v>
      </c>
      <c r="W6688">
        <v>1</v>
      </c>
      <c r="X6688">
        <v>0.18002622108167249</v>
      </c>
      <c r="Y6688">
        <v>385</v>
      </c>
      <c r="Z6688">
        <v>1009.915869278438</v>
      </c>
      <c r="AA6688">
        <v>198</v>
      </c>
      <c r="AB6688">
        <v>332</v>
      </c>
      <c r="AC6688">
        <v>536</v>
      </c>
      <c r="AD6688">
        <v>28.93</v>
      </c>
      <c r="AE6688">
        <v>542</v>
      </c>
      <c r="AF6688">
        <v>29</v>
      </c>
      <c r="AG6688">
        <v>166</v>
      </c>
      <c r="AH6688">
        <v>129</v>
      </c>
      <c r="AI6688">
        <v>5.35</v>
      </c>
      <c r="AJ6688">
        <v>30.63</v>
      </c>
      <c r="AK6688">
        <v>23.8</v>
      </c>
      <c r="AL6688">
        <v>-20.110281699999941</v>
      </c>
      <c r="AM6688">
        <v>-44.98144213076452</v>
      </c>
      <c r="AN6688">
        <v>-20.110281699999941</v>
      </c>
      <c r="AO6688">
        <v>-44.98144213076452</v>
      </c>
      <c r="AP6688">
        <v>-20.110289999999999</v>
      </c>
      <c r="AQ6688">
        <v>-44.981574000000002</v>
      </c>
      <c r="AR6688">
        <v>13.815631287504781</v>
      </c>
      <c r="AS6688" t="s">
        <v>65</v>
      </c>
      <c r="AT6688">
        <v>1</v>
      </c>
      <c r="AU6688" t="s">
        <v>1071</v>
      </c>
      <c r="AV6688" t="s">
        <v>1072</v>
      </c>
      <c r="AW6688" t="s">
        <v>60</v>
      </c>
      <c r="AX6688" t="s">
        <v>68</v>
      </c>
      <c r="AY6688" t="s">
        <v>69</v>
      </c>
      <c r="AZ6688" t="b">
        <v>1</v>
      </c>
    </row>
    <row r="6689" spans="1:52" x14ac:dyDescent="0.3">
      <c r="A6689" t="s">
        <v>52</v>
      </c>
      <c r="B6689" t="s">
        <v>53</v>
      </c>
      <c r="C6689" t="s">
        <v>54</v>
      </c>
      <c r="D6689" t="s">
        <v>55</v>
      </c>
      <c r="E6689" t="s">
        <v>2296</v>
      </c>
      <c r="F6689" t="s">
        <v>190</v>
      </c>
      <c r="G6689" t="s">
        <v>734</v>
      </c>
      <c r="H6689" t="s">
        <v>1887</v>
      </c>
      <c r="I6689" t="s">
        <v>1887</v>
      </c>
      <c r="J6689" t="s">
        <v>60</v>
      </c>
      <c r="K6689" t="s">
        <v>1888</v>
      </c>
      <c r="L6689" t="s">
        <v>62</v>
      </c>
      <c r="M6689" t="s">
        <v>1888</v>
      </c>
      <c r="N6689" t="s">
        <v>1889</v>
      </c>
      <c r="O6689" t="s">
        <v>315</v>
      </c>
      <c r="P6689">
        <v>-20.114208999999999</v>
      </c>
      <c r="Q6689">
        <v>-44.971148999999997</v>
      </c>
      <c r="R6689" s="2" t="str">
        <f>HYPERLINK("https://www.google.com/maps?q=-20.1142090,-44.9711490","Abrir no Google Maps")</f>
        <v>Abrir no Google Maps</v>
      </c>
      <c r="S6689">
        <v>3</v>
      </c>
      <c r="T6689">
        <v>1086.582133354412</v>
      </c>
      <c r="U6689">
        <v>3</v>
      </c>
      <c r="V6689">
        <v>0.19743536853685381</v>
      </c>
      <c r="W6689">
        <v>0.85</v>
      </c>
      <c r="X6689">
        <v>0.1678200632563257</v>
      </c>
      <c r="Y6689">
        <v>385</v>
      </c>
      <c r="Z6689">
        <v>1003.653273589985</v>
      </c>
      <c r="AA6689">
        <v>198</v>
      </c>
      <c r="AB6689">
        <v>332</v>
      </c>
      <c r="AC6689">
        <v>536</v>
      </c>
      <c r="AD6689">
        <v>28.93</v>
      </c>
      <c r="AE6689">
        <v>542</v>
      </c>
      <c r="AF6689">
        <v>29</v>
      </c>
      <c r="AG6689">
        <v>166</v>
      </c>
      <c r="AH6689">
        <v>129</v>
      </c>
      <c r="AI6689">
        <v>5.35</v>
      </c>
      <c r="AJ6689">
        <v>30.63</v>
      </c>
      <c r="AK6689">
        <v>23.8</v>
      </c>
      <c r="AL6689">
        <v>-20.11431239999996</v>
      </c>
      <c r="AM6689">
        <v>-44.971198169186643</v>
      </c>
      <c r="AN6689">
        <v>-20.11431239999996</v>
      </c>
      <c r="AO6689">
        <v>-44.971198169186643</v>
      </c>
      <c r="AP6689">
        <v>-20.114208999999999</v>
      </c>
      <c r="AQ6689">
        <v>-44.971148999999997</v>
      </c>
      <c r="AR6689">
        <v>12.60585565293578</v>
      </c>
      <c r="AS6689" t="s">
        <v>65</v>
      </c>
      <c r="AT6689">
        <v>1</v>
      </c>
      <c r="AU6689" t="s">
        <v>1890</v>
      </c>
      <c r="AV6689" t="s">
        <v>1891</v>
      </c>
      <c r="AW6689" t="s">
        <v>60</v>
      </c>
      <c r="AX6689" t="s">
        <v>68</v>
      </c>
      <c r="AY6689" t="s">
        <v>69</v>
      </c>
      <c r="AZ6689" t="b">
        <v>1</v>
      </c>
    </row>
    <row r="6690" spans="1:52" x14ac:dyDescent="0.3">
      <c r="A6690" t="s">
        <v>52</v>
      </c>
      <c r="B6690" t="s">
        <v>53</v>
      </c>
      <c r="C6690" t="s">
        <v>54</v>
      </c>
      <c r="D6690" t="s">
        <v>55</v>
      </c>
      <c r="E6690" t="s">
        <v>2296</v>
      </c>
      <c r="F6690" t="s">
        <v>190</v>
      </c>
      <c r="G6690" t="s">
        <v>734</v>
      </c>
      <c r="H6690" t="s">
        <v>1896</v>
      </c>
      <c r="I6690" t="s">
        <v>1896</v>
      </c>
      <c r="J6690" t="s">
        <v>60</v>
      </c>
      <c r="K6690" t="s">
        <v>1897</v>
      </c>
      <c r="L6690" t="s">
        <v>62</v>
      </c>
      <c r="M6690" t="s">
        <v>1897</v>
      </c>
      <c r="N6690" t="s">
        <v>1898</v>
      </c>
      <c r="O6690" t="s">
        <v>1504</v>
      </c>
      <c r="P6690">
        <v>-20.107769000000001</v>
      </c>
      <c r="Q6690">
        <v>-44.970954999999996</v>
      </c>
      <c r="R6690" s="2" t="str">
        <f>HYPERLINK("https://www.google.com/maps?q=-20.1077690,-44.9709550","Abrir no Google Maps")</f>
        <v>Abrir no Google Maps</v>
      </c>
      <c r="S6690">
        <v>3</v>
      </c>
      <c r="T6690">
        <v>476.78106430105362</v>
      </c>
      <c r="U6690">
        <v>3</v>
      </c>
      <c r="V6690">
        <v>0.2081894329896907</v>
      </c>
      <c r="W6690">
        <v>0.85</v>
      </c>
      <c r="X6690">
        <v>0.17696101804123709</v>
      </c>
      <c r="Y6690">
        <v>385</v>
      </c>
      <c r="Z6690">
        <v>509.54667933721629</v>
      </c>
      <c r="AA6690">
        <v>198</v>
      </c>
      <c r="AB6690">
        <v>332</v>
      </c>
      <c r="AC6690">
        <v>536</v>
      </c>
      <c r="AD6690">
        <v>28.93</v>
      </c>
      <c r="AE6690">
        <v>542</v>
      </c>
      <c r="AF6690">
        <v>29</v>
      </c>
      <c r="AG6690">
        <v>166</v>
      </c>
      <c r="AH6690">
        <v>129</v>
      </c>
      <c r="AI6690">
        <v>5.35</v>
      </c>
      <c r="AJ6690">
        <v>30.63</v>
      </c>
      <c r="AK6690">
        <v>23.8</v>
      </c>
      <c r="AL6690">
        <v>-20.108115599999959</v>
      </c>
      <c r="AM6690">
        <v>-44.970294209500551</v>
      </c>
      <c r="AN6690">
        <v>-20.108115599999959</v>
      </c>
      <c r="AO6690">
        <v>-44.970294209500551</v>
      </c>
      <c r="AP6690">
        <v>-20.107769000000001</v>
      </c>
      <c r="AQ6690">
        <v>-44.970954999999996</v>
      </c>
      <c r="AR6690">
        <v>79.120816966903064</v>
      </c>
      <c r="AS6690" t="s">
        <v>65</v>
      </c>
      <c r="AT6690">
        <v>1</v>
      </c>
      <c r="AU6690" t="s">
        <v>1899</v>
      </c>
      <c r="AV6690" t="s">
        <v>1900</v>
      </c>
      <c r="AW6690" t="s">
        <v>60</v>
      </c>
      <c r="AX6690" t="s">
        <v>68</v>
      </c>
      <c r="AY6690" t="s">
        <v>69</v>
      </c>
      <c r="AZ6690" t="b">
        <v>1</v>
      </c>
    </row>
    <row r="6691" spans="1:52" x14ac:dyDescent="0.3">
      <c r="A6691" t="s">
        <v>52</v>
      </c>
      <c r="B6691" t="s">
        <v>53</v>
      </c>
      <c r="C6691" t="s">
        <v>54</v>
      </c>
      <c r="D6691" t="s">
        <v>55</v>
      </c>
      <c r="E6691" t="s">
        <v>2296</v>
      </c>
      <c r="F6691" t="s">
        <v>190</v>
      </c>
      <c r="G6691" t="s">
        <v>1083</v>
      </c>
      <c r="H6691" t="s">
        <v>1084</v>
      </c>
      <c r="I6691" t="s">
        <v>1084</v>
      </c>
      <c r="J6691" t="s">
        <v>60</v>
      </c>
      <c r="K6691" t="s">
        <v>761</v>
      </c>
      <c r="L6691" t="s">
        <v>62</v>
      </c>
      <c r="M6691" t="s">
        <v>761</v>
      </c>
      <c r="N6691" t="s">
        <v>1085</v>
      </c>
      <c r="O6691" t="s">
        <v>1086</v>
      </c>
      <c r="P6691">
        <v>-20.124312</v>
      </c>
      <c r="Q6691">
        <v>-44.850425000000001</v>
      </c>
      <c r="R6691" s="2" t="str">
        <f>HYPERLINK("https://www.google.com/maps?q=-20.1243120,-44.8504250","Abrir no Google Maps")</f>
        <v>Abrir no Google Maps</v>
      </c>
      <c r="S6691">
        <v>3</v>
      </c>
      <c r="T6691">
        <v>0</v>
      </c>
      <c r="U6691">
        <v>3</v>
      </c>
      <c r="V6691">
        <v>0.1736889377156032</v>
      </c>
      <c r="W6691">
        <v>1</v>
      </c>
      <c r="X6691">
        <v>0.1736889377156032</v>
      </c>
      <c r="Y6691">
        <v>350</v>
      </c>
      <c r="Z6691">
        <v>380.24040721202471</v>
      </c>
      <c r="AA6691">
        <v>198</v>
      </c>
      <c r="AB6691">
        <v>332</v>
      </c>
      <c r="AC6691">
        <v>536</v>
      </c>
      <c r="AD6691">
        <v>28.93</v>
      </c>
      <c r="AE6691">
        <v>542</v>
      </c>
      <c r="AF6691">
        <v>29</v>
      </c>
      <c r="AG6691">
        <v>166</v>
      </c>
      <c r="AH6691">
        <v>129</v>
      </c>
      <c r="AI6691">
        <v>5.35</v>
      </c>
      <c r="AJ6691">
        <v>30.63</v>
      </c>
      <c r="AK6691">
        <v>23.8</v>
      </c>
      <c r="AL6691">
        <v>-20.126267499999951</v>
      </c>
      <c r="AM6691">
        <v>-44.852460192840908</v>
      </c>
      <c r="AN6691">
        <v>-20.126267499999951</v>
      </c>
      <c r="AO6691">
        <v>-44.852460192840908</v>
      </c>
      <c r="AP6691">
        <v>-20.124312</v>
      </c>
      <c r="AQ6691">
        <v>-44.850425000000001</v>
      </c>
      <c r="AR6691">
        <v>304.36574074135672</v>
      </c>
      <c r="AS6691" t="s">
        <v>65</v>
      </c>
      <c r="AT6691">
        <v>1</v>
      </c>
      <c r="AU6691" t="s">
        <v>1087</v>
      </c>
      <c r="AV6691" t="s">
        <v>1088</v>
      </c>
      <c r="AW6691" t="s">
        <v>60</v>
      </c>
      <c r="AX6691" t="s">
        <v>68</v>
      </c>
      <c r="AY6691" t="s">
        <v>69</v>
      </c>
      <c r="AZ6691" t="b">
        <v>1</v>
      </c>
    </row>
    <row r="6692" spans="1:52" x14ac:dyDescent="0.3">
      <c r="A6692" t="s">
        <v>52</v>
      </c>
      <c r="B6692" t="s">
        <v>53</v>
      </c>
      <c r="C6692" t="s">
        <v>54</v>
      </c>
      <c r="D6692" t="s">
        <v>55</v>
      </c>
      <c r="E6692" t="s">
        <v>2296</v>
      </c>
      <c r="F6692" t="s">
        <v>190</v>
      </c>
      <c r="G6692" t="s">
        <v>1089</v>
      </c>
      <c r="H6692" t="s">
        <v>1090</v>
      </c>
      <c r="I6692" t="s">
        <v>1090</v>
      </c>
      <c r="J6692" t="s">
        <v>60</v>
      </c>
      <c r="K6692" t="s">
        <v>761</v>
      </c>
      <c r="L6692" t="s">
        <v>62</v>
      </c>
      <c r="M6692" t="s">
        <v>761</v>
      </c>
      <c r="N6692" t="s">
        <v>1091</v>
      </c>
      <c r="O6692" t="s">
        <v>86</v>
      </c>
      <c r="P6692">
        <v>-20.116182999999999</v>
      </c>
      <c r="Q6692">
        <v>-44.850524</v>
      </c>
      <c r="R6692" s="2" t="str">
        <f>HYPERLINK("https://www.google.com/maps?q=-20.1161830,-44.8505240","Abrir no Google Maps")</f>
        <v>Abrir no Google Maps</v>
      </c>
      <c r="S6692">
        <v>3</v>
      </c>
      <c r="T6692">
        <v>1142.6607426309961</v>
      </c>
      <c r="U6692">
        <v>3</v>
      </c>
      <c r="V6692">
        <v>0.161590136277415</v>
      </c>
      <c r="W6692">
        <v>1</v>
      </c>
      <c r="X6692">
        <v>0.161590136277415</v>
      </c>
      <c r="Y6692">
        <v>350</v>
      </c>
      <c r="Z6692">
        <v>723.44841640590141</v>
      </c>
      <c r="AA6692">
        <v>198</v>
      </c>
      <c r="AB6692">
        <v>332</v>
      </c>
      <c r="AC6692">
        <v>536</v>
      </c>
      <c r="AD6692">
        <v>28.93</v>
      </c>
      <c r="AE6692">
        <v>542</v>
      </c>
      <c r="AF6692">
        <v>29</v>
      </c>
      <c r="AG6692">
        <v>166</v>
      </c>
      <c r="AH6692">
        <v>129</v>
      </c>
      <c r="AI6692">
        <v>5.35</v>
      </c>
      <c r="AJ6692">
        <v>30.63</v>
      </c>
      <c r="AK6692">
        <v>23.8</v>
      </c>
      <c r="AL6692">
        <v>-20.11605684999995</v>
      </c>
      <c r="AM6692">
        <v>-44.850832861808193</v>
      </c>
      <c r="AN6692">
        <v>-20.11605684999995</v>
      </c>
      <c r="AO6692">
        <v>-44.850832861808193</v>
      </c>
      <c r="AP6692">
        <v>-20.116182999999999</v>
      </c>
      <c r="AQ6692">
        <v>-44.850524</v>
      </c>
      <c r="AR6692">
        <v>35.207009729928053</v>
      </c>
      <c r="AS6692" t="s">
        <v>65</v>
      </c>
      <c r="AT6692">
        <v>1</v>
      </c>
      <c r="AU6692" t="s">
        <v>1092</v>
      </c>
      <c r="AV6692" t="s">
        <v>1093</v>
      </c>
      <c r="AW6692" t="s">
        <v>60</v>
      </c>
      <c r="AX6692" t="s">
        <v>68</v>
      </c>
      <c r="AY6692" t="s">
        <v>69</v>
      </c>
      <c r="AZ6692" t="b">
        <v>1</v>
      </c>
    </row>
    <row r="6693" spans="1:52" x14ac:dyDescent="0.3">
      <c r="A6693" t="s">
        <v>52</v>
      </c>
      <c r="B6693" t="s">
        <v>53</v>
      </c>
      <c r="C6693" t="s">
        <v>54</v>
      </c>
      <c r="D6693" t="s">
        <v>55</v>
      </c>
      <c r="E6693" t="s">
        <v>2296</v>
      </c>
      <c r="F6693" t="s">
        <v>190</v>
      </c>
      <c r="G6693" t="s">
        <v>1094</v>
      </c>
      <c r="H6693" t="s">
        <v>1095</v>
      </c>
      <c r="I6693" t="s">
        <v>1095</v>
      </c>
      <c r="J6693" t="s">
        <v>60</v>
      </c>
      <c r="K6693" t="s">
        <v>761</v>
      </c>
      <c r="L6693" t="s">
        <v>62</v>
      </c>
      <c r="M6693" t="s">
        <v>761</v>
      </c>
      <c r="N6693" t="s">
        <v>1096</v>
      </c>
      <c r="O6693" t="s">
        <v>1070</v>
      </c>
      <c r="P6693">
        <v>-20.122955999999999</v>
      </c>
      <c r="Q6693">
        <v>-44.847842</v>
      </c>
      <c r="R6693" s="2" t="str">
        <f>HYPERLINK("https://www.google.com/maps?q=-20.1229560,-44.8478420","Abrir no Google Maps")</f>
        <v>Abrir no Google Maps</v>
      </c>
      <c r="S6693">
        <v>3</v>
      </c>
      <c r="T6693">
        <v>611.23533866709147</v>
      </c>
      <c r="U6693">
        <v>3</v>
      </c>
      <c r="V6693">
        <v>0.16275051372849339</v>
      </c>
      <c r="W6693">
        <v>1</v>
      </c>
      <c r="X6693">
        <v>0.16275051372849339</v>
      </c>
      <c r="Y6693">
        <v>350</v>
      </c>
      <c r="Z6693">
        <v>567.3129443637539</v>
      </c>
      <c r="AA6693">
        <v>198</v>
      </c>
      <c r="AB6693">
        <v>332</v>
      </c>
      <c r="AC6693">
        <v>536</v>
      </c>
      <c r="AD6693">
        <v>28.93</v>
      </c>
      <c r="AE6693">
        <v>542</v>
      </c>
      <c r="AF6693">
        <v>29</v>
      </c>
      <c r="AG6693">
        <v>166</v>
      </c>
      <c r="AH6693">
        <v>129</v>
      </c>
      <c r="AI6693">
        <v>5.35</v>
      </c>
      <c r="AJ6693">
        <v>30.63</v>
      </c>
      <c r="AK6693">
        <v>23.8</v>
      </c>
      <c r="AL6693">
        <v>-20.122854299999972</v>
      </c>
      <c r="AM6693">
        <v>-44.847862495675152</v>
      </c>
      <c r="AN6693">
        <v>-20.122854299999972</v>
      </c>
      <c r="AO6693">
        <v>-44.847862495675152</v>
      </c>
      <c r="AP6693">
        <v>-20.122955999999999</v>
      </c>
      <c r="AQ6693">
        <v>-44.847842</v>
      </c>
      <c r="AR6693">
        <v>11.522154044835331</v>
      </c>
      <c r="AS6693" t="s">
        <v>65</v>
      </c>
      <c r="AT6693">
        <v>1</v>
      </c>
      <c r="AU6693" t="s">
        <v>1097</v>
      </c>
      <c r="AV6693" t="s">
        <v>1098</v>
      </c>
      <c r="AW6693" t="s">
        <v>60</v>
      </c>
      <c r="AX6693" t="s">
        <v>68</v>
      </c>
      <c r="AY6693" t="s">
        <v>69</v>
      </c>
      <c r="AZ6693" t="b">
        <v>1</v>
      </c>
    </row>
    <row r="6694" spans="1:52" x14ac:dyDescent="0.3">
      <c r="A6694" t="s">
        <v>52</v>
      </c>
      <c r="B6694" t="s">
        <v>53</v>
      </c>
      <c r="C6694" t="s">
        <v>54</v>
      </c>
      <c r="D6694" t="s">
        <v>55</v>
      </c>
      <c r="E6694" t="s">
        <v>2296</v>
      </c>
      <c r="F6694" t="s">
        <v>190</v>
      </c>
      <c r="G6694" t="s">
        <v>1104</v>
      </c>
      <c r="H6694" t="s">
        <v>1105</v>
      </c>
      <c r="I6694" t="s">
        <v>1105</v>
      </c>
      <c r="J6694" t="s">
        <v>60</v>
      </c>
      <c r="K6694" t="s">
        <v>781</v>
      </c>
      <c r="L6694" t="s">
        <v>62</v>
      </c>
      <c r="M6694" t="s">
        <v>781</v>
      </c>
      <c r="N6694" t="s">
        <v>1106</v>
      </c>
      <c r="O6694" t="s">
        <v>1080</v>
      </c>
      <c r="P6694">
        <v>-20.138683</v>
      </c>
      <c r="Q6694">
        <v>-44.868507999999999</v>
      </c>
      <c r="R6694" s="2" t="str">
        <f>HYPERLINK("https://www.google.com/maps?q=-20.1386830,-44.8685080","Abrir no Google Maps")</f>
        <v>Abrir no Google Maps</v>
      </c>
      <c r="S6694">
        <v>3</v>
      </c>
      <c r="T6694">
        <v>450.88210098833099</v>
      </c>
      <c r="U6694">
        <v>3</v>
      </c>
      <c r="V6694">
        <v>0.1620656743523366</v>
      </c>
      <c r="W6694">
        <v>1</v>
      </c>
      <c r="X6694">
        <v>0.1620656743523366</v>
      </c>
      <c r="Y6694">
        <v>332</v>
      </c>
      <c r="Z6694">
        <v>601.27669048153166</v>
      </c>
      <c r="AA6694">
        <v>198</v>
      </c>
      <c r="AB6694">
        <v>332</v>
      </c>
      <c r="AC6694">
        <v>536</v>
      </c>
      <c r="AD6694">
        <v>28.93</v>
      </c>
      <c r="AE6694">
        <v>542</v>
      </c>
      <c r="AF6694">
        <v>29</v>
      </c>
      <c r="AG6694">
        <v>166</v>
      </c>
      <c r="AH6694">
        <v>129</v>
      </c>
      <c r="AI6694">
        <v>5.35</v>
      </c>
      <c r="AJ6694">
        <v>30.63</v>
      </c>
      <c r="AK6694">
        <v>23.8</v>
      </c>
      <c r="AL6694">
        <v>-20.13870544999995</v>
      </c>
      <c r="AM6694">
        <v>-44.868521774012208</v>
      </c>
      <c r="AN6694">
        <v>-20.138705449999939</v>
      </c>
      <c r="AO6694">
        <v>-44.868521774012208</v>
      </c>
      <c r="AP6694">
        <v>-20.138683</v>
      </c>
      <c r="AQ6694">
        <v>-44.868507999999999</v>
      </c>
      <c r="AR6694">
        <v>2.8841042175322271</v>
      </c>
      <c r="AS6694" t="s">
        <v>65</v>
      </c>
      <c r="AT6694">
        <v>1</v>
      </c>
      <c r="AU6694" t="s">
        <v>1107</v>
      </c>
      <c r="AV6694" t="s">
        <v>1108</v>
      </c>
      <c r="AW6694" t="s">
        <v>60</v>
      </c>
      <c r="AX6694" t="s">
        <v>68</v>
      </c>
      <c r="AY6694" t="s">
        <v>69</v>
      </c>
      <c r="AZ6694" t="b">
        <v>1</v>
      </c>
    </row>
    <row r="6695" spans="1:52" x14ac:dyDescent="0.3">
      <c r="A6695" t="s">
        <v>52</v>
      </c>
      <c r="B6695" t="s">
        <v>53</v>
      </c>
      <c r="C6695" t="s">
        <v>54</v>
      </c>
      <c r="D6695" t="s">
        <v>55</v>
      </c>
      <c r="E6695" t="s">
        <v>2296</v>
      </c>
      <c r="F6695" t="s">
        <v>190</v>
      </c>
      <c r="G6695" t="s">
        <v>1906</v>
      </c>
      <c r="H6695" t="s">
        <v>1907</v>
      </c>
      <c r="I6695" t="s">
        <v>1907</v>
      </c>
      <c r="J6695" t="s">
        <v>60</v>
      </c>
      <c r="K6695" t="s">
        <v>362</v>
      </c>
      <c r="L6695" t="s">
        <v>62</v>
      </c>
      <c r="M6695" t="s">
        <v>362</v>
      </c>
      <c r="N6695" t="s">
        <v>1908</v>
      </c>
      <c r="O6695" t="s">
        <v>1909</v>
      </c>
      <c r="P6695">
        <v>-20.138714</v>
      </c>
      <c r="Q6695">
        <v>-44.872736000000003</v>
      </c>
      <c r="R6695" s="2" t="str">
        <f>HYPERLINK("https://www.google.com/maps?q=-20.1387140,-44.8727360","Abrir no Google Maps")</f>
        <v>Abrir no Google Maps</v>
      </c>
      <c r="S6695">
        <v>3</v>
      </c>
      <c r="T6695">
        <v>204.03161929799671</v>
      </c>
      <c r="U6695">
        <v>3</v>
      </c>
      <c r="V6695">
        <v>0.22158664243662141</v>
      </c>
      <c r="W6695">
        <v>0.85</v>
      </c>
      <c r="X6695">
        <v>0.1883486460711282</v>
      </c>
      <c r="Y6695">
        <v>332</v>
      </c>
      <c r="Z6695">
        <v>318.98956929839972</v>
      </c>
      <c r="AA6695">
        <v>198</v>
      </c>
      <c r="AB6695">
        <v>332</v>
      </c>
      <c r="AC6695">
        <v>536</v>
      </c>
      <c r="AD6695">
        <v>28.93</v>
      </c>
      <c r="AE6695">
        <v>542</v>
      </c>
      <c r="AF6695">
        <v>29</v>
      </c>
      <c r="AG6695">
        <v>166</v>
      </c>
      <c r="AH6695">
        <v>129</v>
      </c>
      <c r="AI6695">
        <v>5.35</v>
      </c>
      <c r="AJ6695">
        <v>30.63</v>
      </c>
      <c r="AK6695">
        <v>23.8</v>
      </c>
      <c r="AL6695">
        <v>-20.138752749999949</v>
      </c>
      <c r="AM6695">
        <v>-44.872785060765217</v>
      </c>
      <c r="AN6695">
        <v>-20.138752749999949</v>
      </c>
      <c r="AO6695">
        <v>-44.872785060765217</v>
      </c>
      <c r="AP6695">
        <v>-20.138714</v>
      </c>
      <c r="AQ6695">
        <v>-44.872736000000003</v>
      </c>
      <c r="AR6695">
        <v>6.7006900304588592</v>
      </c>
      <c r="AS6695" t="s">
        <v>65</v>
      </c>
      <c r="AT6695">
        <v>1</v>
      </c>
      <c r="AU6695" t="s">
        <v>1910</v>
      </c>
      <c r="AV6695" t="s">
        <v>1911</v>
      </c>
      <c r="AW6695" t="s">
        <v>60</v>
      </c>
      <c r="AX6695" t="s">
        <v>68</v>
      </c>
      <c r="AY6695" t="s">
        <v>69</v>
      </c>
      <c r="AZ6695" t="b">
        <v>1</v>
      </c>
    </row>
    <row r="6696" spans="1:52" x14ac:dyDescent="0.3">
      <c r="A6696" t="s">
        <v>52</v>
      </c>
      <c r="B6696" t="s">
        <v>53</v>
      </c>
      <c r="C6696" t="s">
        <v>54</v>
      </c>
      <c r="D6696" t="s">
        <v>55</v>
      </c>
      <c r="E6696" t="s">
        <v>2296</v>
      </c>
      <c r="F6696" t="s">
        <v>190</v>
      </c>
      <c r="G6696" t="s">
        <v>1109</v>
      </c>
      <c r="H6696" t="s">
        <v>1110</v>
      </c>
      <c r="I6696" t="s">
        <v>1110</v>
      </c>
      <c r="J6696" t="s">
        <v>60</v>
      </c>
      <c r="K6696" t="s">
        <v>768</v>
      </c>
      <c r="L6696" t="s">
        <v>62</v>
      </c>
      <c r="M6696" t="s">
        <v>768</v>
      </c>
      <c r="N6696" t="s">
        <v>1111</v>
      </c>
      <c r="O6696" t="s">
        <v>1112</v>
      </c>
      <c r="P6696">
        <v>-20.135508000000002</v>
      </c>
      <c r="Q6696">
        <v>-44.871786999999998</v>
      </c>
      <c r="R6696" s="2" t="str">
        <f>HYPERLINK("https://www.google.com/maps?q=-20.1355080,-44.8717870","Abrir no Google Maps")</f>
        <v>Abrir no Google Maps</v>
      </c>
      <c r="S6696">
        <v>3</v>
      </c>
      <c r="T6696">
        <v>167.5382405548801</v>
      </c>
      <c r="U6696">
        <v>3</v>
      </c>
      <c r="V6696">
        <v>0.1614763969171483</v>
      </c>
      <c r="W6696">
        <v>1</v>
      </c>
      <c r="X6696">
        <v>0.1614763969171483</v>
      </c>
      <c r="Y6696">
        <v>332</v>
      </c>
      <c r="Z6696">
        <v>179.76671916562941</v>
      </c>
      <c r="AA6696">
        <v>198</v>
      </c>
      <c r="AB6696">
        <v>332</v>
      </c>
      <c r="AC6696">
        <v>536</v>
      </c>
      <c r="AD6696">
        <v>28.93</v>
      </c>
      <c r="AE6696">
        <v>542</v>
      </c>
      <c r="AF6696">
        <v>29</v>
      </c>
      <c r="AG6696">
        <v>166</v>
      </c>
      <c r="AH6696">
        <v>129</v>
      </c>
      <c r="AI6696">
        <v>5.35</v>
      </c>
      <c r="AJ6696">
        <v>30.63</v>
      </c>
      <c r="AK6696">
        <v>23.8</v>
      </c>
      <c r="AL6696">
        <v>-20.135532899999959</v>
      </c>
      <c r="AM6696">
        <v>-44.871828172735903</v>
      </c>
      <c r="AN6696">
        <v>-20.135532899999959</v>
      </c>
      <c r="AO6696">
        <v>-44.871828172735903</v>
      </c>
      <c r="AP6696">
        <v>-20.135508000000002</v>
      </c>
      <c r="AQ6696">
        <v>-44.871786999999998</v>
      </c>
      <c r="AR6696">
        <v>5.1186859635787858</v>
      </c>
      <c r="AS6696" t="s">
        <v>65</v>
      </c>
      <c r="AT6696">
        <v>1</v>
      </c>
      <c r="AU6696" t="s">
        <v>1113</v>
      </c>
      <c r="AV6696" t="s">
        <v>1114</v>
      </c>
      <c r="AW6696" t="s">
        <v>60</v>
      </c>
      <c r="AX6696" t="s">
        <v>68</v>
      </c>
      <c r="AY6696" t="s">
        <v>69</v>
      </c>
      <c r="AZ6696" t="b">
        <v>1</v>
      </c>
    </row>
    <row r="6697" spans="1:52" x14ac:dyDescent="0.3">
      <c r="A6697" t="s">
        <v>52</v>
      </c>
      <c r="B6697" t="s">
        <v>53</v>
      </c>
      <c r="C6697" t="s">
        <v>54</v>
      </c>
      <c r="D6697" t="s">
        <v>55</v>
      </c>
      <c r="E6697" t="s">
        <v>2296</v>
      </c>
      <c r="F6697" t="s">
        <v>190</v>
      </c>
      <c r="G6697" t="s">
        <v>1127</v>
      </c>
      <c r="H6697" t="s">
        <v>1128</v>
      </c>
      <c r="I6697" t="s">
        <v>1128</v>
      </c>
      <c r="J6697" t="s">
        <v>60</v>
      </c>
      <c r="K6697" t="s">
        <v>1129</v>
      </c>
      <c r="L6697" t="s">
        <v>62</v>
      </c>
      <c r="M6697" t="s">
        <v>1129</v>
      </c>
      <c r="N6697" t="s">
        <v>1130</v>
      </c>
      <c r="O6697" t="s">
        <v>357</v>
      </c>
      <c r="P6697">
        <v>-20.106638</v>
      </c>
      <c r="Q6697">
        <v>-44.883538000000001</v>
      </c>
      <c r="R6697" s="2" t="str">
        <f>HYPERLINK("https://www.google.com/maps?q=-20.1066380,-44.8835380","Abrir no Google Maps")</f>
        <v>Abrir no Google Maps</v>
      </c>
      <c r="S6697">
        <v>3</v>
      </c>
      <c r="T6697">
        <v>754.03514396665969</v>
      </c>
      <c r="U6697">
        <v>3</v>
      </c>
      <c r="V6697">
        <v>0.1588137178337623</v>
      </c>
      <c r="W6697">
        <v>1</v>
      </c>
      <c r="X6697">
        <v>0.1588137178337623</v>
      </c>
      <c r="Y6697">
        <v>314</v>
      </c>
      <c r="Z6697">
        <v>584.1161650721092</v>
      </c>
      <c r="AA6697">
        <v>198</v>
      </c>
      <c r="AB6697">
        <v>332</v>
      </c>
      <c r="AC6697">
        <v>536</v>
      </c>
      <c r="AD6697">
        <v>28.93</v>
      </c>
      <c r="AE6697">
        <v>542</v>
      </c>
      <c r="AF6697">
        <v>29</v>
      </c>
      <c r="AG6697">
        <v>166</v>
      </c>
      <c r="AH6697">
        <v>129</v>
      </c>
      <c r="AI6697">
        <v>5.35</v>
      </c>
      <c r="AJ6697">
        <v>30.63</v>
      </c>
      <c r="AK6697">
        <v>23.8</v>
      </c>
      <c r="AL6697">
        <v>-20.106599599999949</v>
      </c>
      <c r="AM6697">
        <v>-44.883527947279568</v>
      </c>
      <c r="AN6697">
        <v>-20.106599599999949</v>
      </c>
      <c r="AO6697">
        <v>-44.883527947279568</v>
      </c>
      <c r="AP6697">
        <v>-20.106638</v>
      </c>
      <c r="AQ6697">
        <v>-44.883538000000001</v>
      </c>
      <c r="AR6697">
        <v>4.4019630384815924</v>
      </c>
      <c r="AS6697" t="s">
        <v>65</v>
      </c>
      <c r="AT6697">
        <v>1</v>
      </c>
      <c r="AU6697" t="s">
        <v>1131</v>
      </c>
      <c r="AV6697" t="s">
        <v>1132</v>
      </c>
      <c r="AW6697" t="s">
        <v>60</v>
      </c>
      <c r="AX6697" t="s">
        <v>68</v>
      </c>
      <c r="AY6697" t="s">
        <v>69</v>
      </c>
      <c r="AZ6697" t="b">
        <v>1</v>
      </c>
    </row>
    <row r="6698" spans="1:52" x14ac:dyDescent="0.3">
      <c r="A6698" t="s">
        <v>52</v>
      </c>
      <c r="B6698" t="s">
        <v>53</v>
      </c>
      <c r="C6698" t="s">
        <v>54</v>
      </c>
      <c r="D6698" t="s">
        <v>55</v>
      </c>
      <c r="E6698" t="s">
        <v>2296</v>
      </c>
      <c r="F6698" t="s">
        <v>190</v>
      </c>
      <c r="G6698" t="s">
        <v>1133</v>
      </c>
      <c r="H6698" t="s">
        <v>1144</v>
      </c>
      <c r="I6698" t="s">
        <v>1144</v>
      </c>
      <c r="J6698" t="s">
        <v>60</v>
      </c>
      <c r="K6698" t="s">
        <v>1123</v>
      </c>
      <c r="L6698" t="s">
        <v>62</v>
      </c>
      <c r="M6698" t="s">
        <v>1123</v>
      </c>
      <c r="N6698" t="s">
        <v>1135</v>
      </c>
      <c r="O6698" t="s">
        <v>907</v>
      </c>
      <c r="P6698">
        <v>-20.100351</v>
      </c>
      <c r="Q6698">
        <v>-44.878037999999997</v>
      </c>
      <c r="R6698" s="2" t="str">
        <f>HYPERLINK("https://www.google.com/maps?q=-20.1003510,-44.8780380","Abrir no Google Maps")</f>
        <v>Abrir no Google Maps</v>
      </c>
      <c r="S6698">
        <v>3</v>
      </c>
      <c r="T6698">
        <v>665.56785712469116</v>
      </c>
      <c r="U6698">
        <v>3</v>
      </c>
      <c r="V6698">
        <v>0.1593805980432686</v>
      </c>
      <c r="W6698">
        <v>1</v>
      </c>
      <c r="X6698">
        <v>0.1593805980432686</v>
      </c>
      <c r="Y6698">
        <v>314</v>
      </c>
      <c r="Z6698">
        <v>584.8532299266725</v>
      </c>
      <c r="AA6698">
        <v>198</v>
      </c>
      <c r="AB6698">
        <v>332</v>
      </c>
      <c r="AC6698">
        <v>536</v>
      </c>
      <c r="AD6698">
        <v>28.93</v>
      </c>
      <c r="AE6698">
        <v>542</v>
      </c>
      <c r="AF6698">
        <v>29</v>
      </c>
      <c r="AG6698">
        <v>166</v>
      </c>
      <c r="AH6698">
        <v>129</v>
      </c>
      <c r="AI6698">
        <v>5.35</v>
      </c>
      <c r="AJ6698">
        <v>30.63</v>
      </c>
      <c r="AK6698">
        <v>23.8</v>
      </c>
      <c r="AL6698">
        <v>-20.100420499999959</v>
      </c>
      <c r="AM6698">
        <v>-44.878125332575927</v>
      </c>
      <c r="AN6698">
        <v>-20.100420499999959</v>
      </c>
      <c r="AO6698">
        <v>-44.878125332575927</v>
      </c>
      <c r="AP6698">
        <v>-20.100351</v>
      </c>
      <c r="AQ6698">
        <v>-44.878037999999997</v>
      </c>
      <c r="AR6698">
        <v>11.966993892024719</v>
      </c>
      <c r="AS6698" t="s">
        <v>65</v>
      </c>
      <c r="AT6698">
        <v>1</v>
      </c>
      <c r="AU6698" t="s">
        <v>1145</v>
      </c>
      <c r="AV6698" t="s">
        <v>1146</v>
      </c>
      <c r="AW6698" t="s">
        <v>60</v>
      </c>
      <c r="AX6698" t="s">
        <v>68</v>
      </c>
      <c r="AY6698" t="s">
        <v>69</v>
      </c>
      <c r="AZ6698" t="b">
        <v>1</v>
      </c>
    </row>
    <row r="6699" spans="1:52" x14ac:dyDescent="0.3">
      <c r="A6699" t="s">
        <v>52</v>
      </c>
      <c r="B6699" t="s">
        <v>53</v>
      </c>
      <c r="C6699" t="s">
        <v>54</v>
      </c>
      <c r="D6699" t="s">
        <v>55</v>
      </c>
      <c r="E6699" t="s">
        <v>2296</v>
      </c>
      <c r="F6699" t="s">
        <v>190</v>
      </c>
      <c r="G6699" t="s">
        <v>1147</v>
      </c>
      <c r="H6699" t="s">
        <v>1148</v>
      </c>
      <c r="I6699" t="s">
        <v>1148</v>
      </c>
      <c r="J6699" t="s">
        <v>60</v>
      </c>
      <c r="K6699" t="s">
        <v>798</v>
      </c>
      <c r="L6699" t="s">
        <v>62</v>
      </c>
      <c r="M6699" t="s">
        <v>798</v>
      </c>
      <c r="N6699" t="s">
        <v>1149</v>
      </c>
      <c r="O6699" t="s">
        <v>836</v>
      </c>
      <c r="P6699">
        <v>-20.112448000000001</v>
      </c>
      <c r="Q6699">
        <v>-44.904887000000002</v>
      </c>
      <c r="R6699" s="2" t="str">
        <f>HYPERLINK("https://www.google.com/maps?q=-20.1124480,-44.9048870","Abrir no Google Maps")</f>
        <v>Abrir no Google Maps</v>
      </c>
      <c r="S6699">
        <v>3</v>
      </c>
      <c r="T6699">
        <v>404.16588765758058</v>
      </c>
      <c r="U6699">
        <v>3</v>
      </c>
      <c r="V6699">
        <v>0.15992199510674829</v>
      </c>
      <c r="W6699">
        <v>1</v>
      </c>
      <c r="X6699">
        <v>0.15992199510674829</v>
      </c>
      <c r="Y6699">
        <v>300</v>
      </c>
      <c r="Z6699">
        <v>435.21165957304731</v>
      </c>
      <c r="AA6699">
        <v>198</v>
      </c>
      <c r="AB6699">
        <v>332</v>
      </c>
      <c r="AC6699">
        <v>536</v>
      </c>
      <c r="AD6699">
        <v>28.93</v>
      </c>
      <c r="AE6699">
        <v>542</v>
      </c>
      <c r="AF6699">
        <v>29</v>
      </c>
      <c r="AG6699">
        <v>166</v>
      </c>
      <c r="AH6699">
        <v>129</v>
      </c>
      <c r="AI6699">
        <v>5.35</v>
      </c>
      <c r="AJ6699">
        <v>30.63</v>
      </c>
      <c r="AK6699">
        <v>23.8</v>
      </c>
      <c r="AL6699">
        <v>-20.11243479999996</v>
      </c>
      <c r="AM6699">
        <v>-44.904803228053026</v>
      </c>
      <c r="AN6699">
        <v>-20.11243479999996</v>
      </c>
      <c r="AO6699">
        <v>-44.904803228053026</v>
      </c>
      <c r="AP6699">
        <v>-20.112448000000001</v>
      </c>
      <c r="AQ6699">
        <v>-44.904887000000002</v>
      </c>
      <c r="AR6699">
        <v>8.8792525353759544</v>
      </c>
      <c r="AS6699" t="s">
        <v>65</v>
      </c>
      <c r="AT6699">
        <v>1</v>
      </c>
      <c r="AU6699" t="s">
        <v>1150</v>
      </c>
      <c r="AV6699" t="s">
        <v>1151</v>
      </c>
      <c r="AW6699" t="s">
        <v>60</v>
      </c>
      <c r="AX6699" t="s">
        <v>68</v>
      </c>
      <c r="AY6699" t="s">
        <v>69</v>
      </c>
      <c r="AZ6699" t="b">
        <v>1</v>
      </c>
    </row>
    <row r="6700" spans="1:52" x14ac:dyDescent="0.3">
      <c r="A6700" t="s">
        <v>52</v>
      </c>
      <c r="B6700" t="s">
        <v>53</v>
      </c>
      <c r="C6700" t="s">
        <v>54</v>
      </c>
      <c r="D6700" t="s">
        <v>55</v>
      </c>
      <c r="E6700" t="s">
        <v>2296</v>
      </c>
      <c r="F6700" t="s">
        <v>190</v>
      </c>
      <c r="G6700" t="s">
        <v>1763</v>
      </c>
      <c r="H6700" t="s">
        <v>1764</v>
      </c>
      <c r="I6700" t="s">
        <v>1764</v>
      </c>
      <c r="J6700" t="s">
        <v>60</v>
      </c>
      <c r="K6700" t="s">
        <v>798</v>
      </c>
      <c r="L6700" t="s">
        <v>62</v>
      </c>
      <c r="M6700" t="s">
        <v>798</v>
      </c>
      <c r="N6700" t="s">
        <v>1765</v>
      </c>
      <c r="O6700" t="s">
        <v>1766</v>
      </c>
      <c r="P6700">
        <v>-20.111158</v>
      </c>
      <c r="Q6700">
        <v>-44.901231000000003</v>
      </c>
      <c r="R6700" s="2" t="str">
        <f>HYPERLINK("https://www.google.com/maps?q=-20.1111580,-44.9012310","Abrir no Google Maps")</f>
        <v>Abrir no Google Maps</v>
      </c>
      <c r="S6700">
        <v>3</v>
      </c>
      <c r="T6700">
        <v>0</v>
      </c>
      <c r="U6700">
        <v>3</v>
      </c>
      <c r="V6700">
        <v>0.16717095015576319</v>
      </c>
      <c r="W6700">
        <v>1</v>
      </c>
      <c r="X6700">
        <v>0.16717095015576319</v>
      </c>
      <c r="Y6700">
        <v>300</v>
      </c>
      <c r="Z6700">
        <v>159.5707781627477</v>
      </c>
      <c r="AA6700">
        <v>198</v>
      </c>
      <c r="AB6700">
        <v>332</v>
      </c>
      <c r="AC6700">
        <v>536</v>
      </c>
      <c r="AD6700">
        <v>28.93</v>
      </c>
      <c r="AE6700">
        <v>542</v>
      </c>
      <c r="AF6700">
        <v>29</v>
      </c>
      <c r="AG6700">
        <v>166</v>
      </c>
      <c r="AH6700">
        <v>129</v>
      </c>
      <c r="AI6700">
        <v>5.35</v>
      </c>
      <c r="AJ6700">
        <v>30.63</v>
      </c>
      <c r="AK6700">
        <v>23.8</v>
      </c>
      <c r="AL6700">
        <v>-20.111381299999941</v>
      </c>
      <c r="AM6700">
        <v>-44.90110111260114</v>
      </c>
      <c r="AN6700">
        <v>-20.111381299999941</v>
      </c>
      <c r="AO6700">
        <v>-44.90110111260114</v>
      </c>
      <c r="AP6700">
        <v>-20.111158</v>
      </c>
      <c r="AQ6700">
        <v>-44.901231000000003</v>
      </c>
      <c r="AR6700">
        <v>28.32410367036935</v>
      </c>
      <c r="AS6700" t="s">
        <v>65</v>
      </c>
      <c r="AT6700">
        <v>1</v>
      </c>
      <c r="AU6700" t="s">
        <v>1767</v>
      </c>
      <c r="AV6700" t="s">
        <v>1768</v>
      </c>
      <c r="AW6700" t="s">
        <v>60</v>
      </c>
      <c r="AX6700" t="s">
        <v>68</v>
      </c>
      <c r="AY6700" t="s">
        <v>69</v>
      </c>
      <c r="AZ6700" t="b">
        <v>1</v>
      </c>
    </row>
    <row r="6701" spans="1:52" x14ac:dyDescent="0.3">
      <c r="A6701" t="s">
        <v>52</v>
      </c>
      <c r="B6701" t="s">
        <v>53</v>
      </c>
      <c r="C6701" t="s">
        <v>54</v>
      </c>
      <c r="D6701" t="s">
        <v>55</v>
      </c>
      <c r="E6701" t="s">
        <v>2296</v>
      </c>
      <c r="F6701" t="s">
        <v>190</v>
      </c>
      <c r="G6701" t="s">
        <v>1152</v>
      </c>
      <c r="H6701" t="s">
        <v>1153</v>
      </c>
      <c r="I6701" t="s">
        <v>1153</v>
      </c>
      <c r="J6701" t="s">
        <v>60</v>
      </c>
      <c r="K6701" t="s">
        <v>798</v>
      </c>
      <c r="L6701" t="s">
        <v>62</v>
      </c>
      <c r="M6701" t="s">
        <v>798</v>
      </c>
      <c r="N6701" t="s">
        <v>1154</v>
      </c>
      <c r="O6701" t="s">
        <v>293</v>
      </c>
      <c r="P6701">
        <v>-20.112477999999999</v>
      </c>
      <c r="Q6701">
        <v>-44.903066000000003</v>
      </c>
      <c r="R6701" s="2" t="str">
        <f>HYPERLINK("https://www.google.com/maps?q=-20.1124780,-44.9030660","Abrir no Google Maps")</f>
        <v>Abrir no Google Maps</v>
      </c>
      <c r="S6701">
        <v>3</v>
      </c>
      <c r="T6701">
        <v>246.8131690803576</v>
      </c>
      <c r="U6701">
        <v>3</v>
      </c>
      <c r="V6701">
        <v>0.16101217707380239</v>
      </c>
      <c r="W6701">
        <v>1</v>
      </c>
      <c r="X6701">
        <v>0.16101217707380239</v>
      </c>
      <c r="Y6701">
        <v>300</v>
      </c>
      <c r="Z6701">
        <v>335.63974056009812</v>
      </c>
      <c r="AA6701">
        <v>198</v>
      </c>
      <c r="AB6701">
        <v>332</v>
      </c>
      <c r="AC6701">
        <v>536</v>
      </c>
      <c r="AD6701">
        <v>28.93</v>
      </c>
      <c r="AE6701">
        <v>542</v>
      </c>
      <c r="AF6701">
        <v>29</v>
      </c>
      <c r="AG6701">
        <v>166</v>
      </c>
      <c r="AH6701">
        <v>129</v>
      </c>
      <c r="AI6701">
        <v>5.35</v>
      </c>
      <c r="AJ6701">
        <v>30.63</v>
      </c>
      <c r="AK6701">
        <v>23.8</v>
      </c>
      <c r="AL6701">
        <v>-20.112499949999972</v>
      </c>
      <c r="AM6701">
        <v>-44.903143791889391</v>
      </c>
      <c r="AN6701">
        <v>-20.112499949999972</v>
      </c>
      <c r="AO6701">
        <v>-44.903143791889391</v>
      </c>
      <c r="AP6701">
        <v>-20.112477999999999</v>
      </c>
      <c r="AQ6701">
        <v>-44.903066000000003</v>
      </c>
      <c r="AR6701">
        <v>8.4908959019572912</v>
      </c>
      <c r="AS6701" t="s">
        <v>65</v>
      </c>
      <c r="AT6701">
        <v>1</v>
      </c>
      <c r="AU6701" t="s">
        <v>1155</v>
      </c>
      <c r="AV6701" t="s">
        <v>1156</v>
      </c>
      <c r="AW6701" t="s">
        <v>60</v>
      </c>
      <c r="AX6701" t="s">
        <v>68</v>
      </c>
      <c r="AY6701" t="s">
        <v>69</v>
      </c>
      <c r="AZ6701" t="b">
        <v>1</v>
      </c>
    </row>
    <row r="6702" spans="1:52" x14ac:dyDescent="0.3">
      <c r="A6702" t="s">
        <v>52</v>
      </c>
      <c r="B6702" t="s">
        <v>53</v>
      </c>
      <c r="C6702" t="s">
        <v>54</v>
      </c>
      <c r="D6702" t="s">
        <v>55</v>
      </c>
      <c r="E6702" t="s">
        <v>2296</v>
      </c>
      <c r="F6702" t="s">
        <v>190</v>
      </c>
      <c r="G6702" t="s">
        <v>1769</v>
      </c>
      <c r="H6702" t="s">
        <v>1770</v>
      </c>
      <c r="I6702" t="s">
        <v>1770</v>
      </c>
      <c r="J6702" t="s">
        <v>60</v>
      </c>
      <c r="K6702" t="s">
        <v>791</v>
      </c>
      <c r="L6702" t="s">
        <v>62</v>
      </c>
      <c r="M6702" t="s">
        <v>791</v>
      </c>
      <c r="N6702" t="s">
        <v>1771</v>
      </c>
      <c r="O6702" t="s">
        <v>494</v>
      </c>
      <c r="P6702">
        <v>-20.108464999999999</v>
      </c>
      <c r="Q6702">
        <v>-44.902169000000001</v>
      </c>
      <c r="R6702" s="2" t="str">
        <f>HYPERLINK("https://www.google.com/maps?q=-20.1084650,-44.9021690","Abrir no Google Maps")</f>
        <v>Abrir no Google Maps</v>
      </c>
      <c r="S6702">
        <v>3</v>
      </c>
      <c r="T6702">
        <v>332.55452480320798</v>
      </c>
      <c r="U6702">
        <v>3</v>
      </c>
      <c r="V6702">
        <v>0.1712985126021484</v>
      </c>
      <c r="W6702">
        <v>1</v>
      </c>
      <c r="X6702">
        <v>0.1712985126021484</v>
      </c>
      <c r="Y6702">
        <v>300</v>
      </c>
      <c r="Z6702">
        <v>139.01495543278119</v>
      </c>
      <c r="AA6702">
        <v>198</v>
      </c>
      <c r="AB6702">
        <v>332</v>
      </c>
      <c r="AC6702">
        <v>536</v>
      </c>
      <c r="AD6702">
        <v>28.93</v>
      </c>
      <c r="AE6702">
        <v>542</v>
      </c>
      <c r="AF6702">
        <v>29</v>
      </c>
      <c r="AG6702">
        <v>166</v>
      </c>
      <c r="AH6702">
        <v>129</v>
      </c>
      <c r="AI6702">
        <v>5.35</v>
      </c>
      <c r="AJ6702">
        <v>30.63</v>
      </c>
      <c r="AK6702">
        <v>23.8</v>
      </c>
      <c r="AL6702">
        <v>-20.108420149999969</v>
      </c>
      <c r="AM6702">
        <v>-44.90164352007664</v>
      </c>
      <c r="AN6702">
        <v>-20.108420149999969</v>
      </c>
      <c r="AO6702">
        <v>-44.90164352007664</v>
      </c>
      <c r="AP6702">
        <v>-20.108464999999999</v>
      </c>
      <c r="AQ6702">
        <v>-44.902169000000001</v>
      </c>
      <c r="AR6702">
        <v>55.157130612493773</v>
      </c>
      <c r="AS6702" t="s">
        <v>65</v>
      </c>
      <c r="AT6702">
        <v>1</v>
      </c>
      <c r="AU6702" t="s">
        <v>1772</v>
      </c>
      <c r="AV6702" t="s">
        <v>1773</v>
      </c>
      <c r="AW6702" t="s">
        <v>60</v>
      </c>
      <c r="AX6702" t="s">
        <v>68</v>
      </c>
      <c r="AY6702" t="s">
        <v>69</v>
      </c>
      <c r="AZ6702" t="b">
        <v>1</v>
      </c>
    </row>
    <row r="6703" spans="1:52" x14ac:dyDescent="0.3">
      <c r="A6703" t="s">
        <v>52</v>
      </c>
      <c r="B6703" t="s">
        <v>53</v>
      </c>
      <c r="C6703" t="s">
        <v>54</v>
      </c>
      <c r="D6703" t="s">
        <v>55</v>
      </c>
      <c r="E6703" t="s">
        <v>2296</v>
      </c>
      <c r="F6703" t="s">
        <v>190</v>
      </c>
      <c r="G6703" t="s">
        <v>1157</v>
      </c>
      <c r="H6703" t="s">
        <v>1158</v>
      </c>
      <c r="I6703" t="s">
        <v>1158</v>
      </c>
      <c r="J6703" t="s">
        <v>60</v>
      </c>
      <c r="K6703" t="s">
        <v>791</v>
      </c>
      <c r="L6703" t="s">
        <v>62</v>
      </c>
      <c r="M6703" t="s">
        <v>791</v>
      </c>
      <c r="N6703" t="s">
        <v>1159</v>
      </c>
      <c r="O6703" t="s">
        <v>1160</v>
      </c>
      <c r="P6703">
        <v>-20.108114</v>
      </c>
      <c r="Q6703">
        <v>-44.905804000000003</v>
      </c>
      <c r="R6703" s="2" t="str">
        <f>HYPERLINK("https://www.google.com/maps?q=-20.1081140,-44.9058040","Abrir no Google Maps")</f>
        <v>Abrir no Google Maps</v>
      </c>
      <c r="S6703">
        <v>3</v>
      </c>
      <c r="T6703">
        <v>603.1428230097074</v>
      </c>
      <c r="U6703">
        <v>3</v>
      </c>
      <c r="V6703">
        <v>0.16185438029083521</v>
      </c>
      <c r="W6703">
        <v>1</v>
      </c>
      <c r="X6703">
        <v>0.16185438029083521</v>
      </c>
      <c r="Y6703">
        <v>300</v>
      </c>
      <c r="Z6703">
        <v>444.71482981499793</v>
      </c>
      <c r="AA6703">
        <v>198</v>
      </c>
      <c r="AB6703">
        <v>332</v>
      </c>
      <c r="AC6703">
        <v>536</v>
      </c>
      <c r="AD6703">
        <v>28.93</v>
      </c>
      <c r="AE6703">
        <v>542</v>
      </c>
      <c r="AF6703">
        <v>29</v>
      </c>
      <c r="AG6703">
        <v>166</v>
      </c>
      <c r="AH6703">
        <v>129</v>
      </c>
      <c r="AI6703">
        <v>5.35</v>
      </c>
      <c r="AJ6703">
        <v>30.63</v>
      </c>
      <c r="AK6703">
        <v>23.8</v>
      </c>
      <c r="AL6703">
        <v>-20.108146549999962</v>
      </c>
      <c r="AM6703">
        <v>-44.905744943453513</v>
      </c>
      <c r="AN6703">
        <v>-20.108146549999962</v>
      </c>
      <c r="AO6703">
        <v>-44.905744943453513</v>
      </c>
      <c r="AP6703">
        <v>-20.108114</v>
      </c>
      <c r="AQ6703">
        <v>-44.905804000000003</v>
      </c>
      <c r="AR6703">
        <v>7.1582799138071884</v>
      </c>
      <c r="AS6703" t="s">
        <v>65</v>
      </c>
      <c r="AT6703">
        <v>1</v>
      </c>
      <c r="AU6703" t="s">
        <v>1161</v>
      </c>
      <c r="AV6703" t="s">
        <v>1162</v>
      </c>
      <c r="AW6703" t="s">
        <v>60</v>
      </c>
      <c r="AX6703" t="s">
        <v>68</v>
      </c>
      <c r="AY6703" t="s">
        <v>69</v>
      </c>
      <c r="AZ6703" t="b">
        <v>1</v>
      </c>
    </row>
    <row r="6704" spans="1:52" x14ac:dyDescent="0.3">
      <c r="A6704" t="s">
        <v>52</v>
      </c>
      <c r="B6704" t="s">
        <v>53</v>
      </c>
      <c r="C6704" t="s">
        <v>54</v>
      </c>
      <c r="D6704" t="s">
        <v>55</v>
      </c>
      <c r="E6704" t="s">
        <v>2296</v>
      </c>
      <c r="F6704" t="s">
        <v>190</v>
      </c>
      <c r="G6704" t="s">
        <v>1163</v>
      </c>
      <c r="H6704" t="s">
        <v>1164</v>
      </c>
      <c r="I6704" t="s">
        <v>1164</v>
      </c>
      <c r="J6704" t="s">
        <v>60</v>
      </c>
      <c r="K6704" t="s">
        <v>1165</v>
      </c>
      <c r="L6704" t="s">
        <v>62</v>
      </c>
      <c r="M6704" t="s">
        <v>1165</v>
      </c>
      <c r="N6704" t="s">
        <v>1166</v>
      </c>
      <c r="O6704" t="s">
        <v>1167</v>
      </c>
      <c r="P6704">
        <v>-20.155543000000002</v>
      </c>
      <c r="Q6704">
        <v>-44.863444000000001</v>
      </c>
      <c r="R6704" s="2" t="str">
        <f>HYPERLINK("https://www.google.com/maps?q=-20.1555430,-44.8634440","Abrir no Google Maps")</f>
        <v>Abrir no Google Maps</v>
      </c>
      <c r="S6704">
        <v>3</v>
      </c>
      <c r="T6704">
        <v>314.02353400254742</v>
      </c>
      <c r="U6704">
        <v>3</v>
      </c>
      <c r="V6704">
        <v>0.158548951048951</v>
      </c>
      <c r="W6704">
        <v>1</v>
      </c>
      <c r="X6704">
        <v>0.158548951048951</v>
      </c>
      <c r="Y6704">
        <v>264</v>
      </c>
      <c r="Z6704">
        <v>282.65065866463459</v>
      </c>
      <c r="AA6704">
        <v>198</v>
      </c>
      <c r="AB6704">
        <v>332</v>
      </c>
      <c r="AC6704">
        <v>536</v>
      </c>
      <c r="AD6704">
        <v>28.93</v>
      </c>
      <c r="AE6704">
        <v>542</v>
      </c>
      <c r="AF6704">
        <v>29</v>
      </c>
      <c r="AG6704">
        <v>166</v>
      </c>
      <c r="AH6704">
        <v>129</v>
      </c>
      <c r="AI6704">
        <v>5.35</v>
      </c>
      <c r="AJ6704">
        <v>30.63</v>
      </c>
      <c r="AK6704">
        <v>23.8</v>
      </c>
      <c r="AL6704">
        <v>-20.155436449999939</v>
      </c>
      <c r="AM6704">
        <v>-44.863557722691183</v>
      </c>
      <c r="AN6704">
        <v>-20.155436449999939</v>
      </c>
      <c r="AO6704">
        <v>-44.863557722691183</v>
      </c>
      <c r="AP6704">
        <v>-20.155543000000002</v>
      </c>
      <c r="AQ6704">
        <v>-44.863444000000001</v>
      </c>
      <c r="AR6704">
        <v>16.790610674079979</v>
      </c>
      <c r="AS6704" t="s">
        <v>65</v>
      </c>
      <c r="AT6704">
        <v>1</v>
      </c>
      <c r="AU6704" t="s">
        <v>1168</v>
      </c>
      <c r="AV6704" t="s">
        <v>1169</v>
      </c>
      <c r="AW6704" t="s">
        <v>60</v>
      </c>
      <c r="AX6704" t="s">
        <v>68</v>
      </c>
      <c r="AY6704" t="s">
        <v>69</v>
      </c>
      <c r="AZ6704" t="b">
        <v>1</v>
      </c>
    </row>
    <row r="6705" spans="1:52" x14ac:dyDescent="0.3">
      <c r="A6705" t="s">
        <v>52</v>
      </c>
      <c r="B6705" t="s">
        <v>53</v>
      </c>
      <c r="C6705" t="s">
        <v>54</v>
      </c>
      <c r="D6705" t="s">
        <v>55</v>
      </c>
      <c r="E6705" t="s">
        <v>2296</v>
      </c>
      <c r="F6705" t="s">
        <v>190</v>
      </c>
      <c r="G6705" t="s">
        <v>1785</v>
      </c>
      <c r="H6705" t="s">
        <v>1786</v>
      </c>
      <c r="I6705" t="s">
        <v>1786</v>
      </c>
      <c r="J6705" t="s">
        <v>60</v>
      </c>
      <c r="K6705" t="s">
        <v>323</v>
      </c>
      <c r="L6705" t="s">
        <v>62</v>
      </c>
      <c r="M6705" t="s">
        <v>323</v>
      </c>
      <c r="N6705" t="s">
        <v>1787</v>
      </c>
      <c r="O6705" t="s">
        <v>166</v>
      </c>
      <c r="P6705">
        <v>-20.150456999999999</v>
      </c>
      <c r="Q6705">
        <v>-44.859959000000003</v>
      </c>
      <c r="R6705" s="2" t="str">
        <f>HYPERLINK("https://www.google.com/maps?q=-20.1504570,-44.8599590","Abrir no Google Maps")</f>
        <v>Abrir no Google Maps</v>
      </c>
      <c r="S6705">
        <v>3</v>
      </c>
      <c r="T6705">
        <v>658.64381182775185</v>
      </c>
      <c r="U6705">
        <v>3</v>
      </c>
      <c r="V6705">
        <v>0.16845255874153731</v>
      </c>
      <c r="W6705">
        <v>1</v>
      </c>
      <c r="X6705">
        <v>0.16845255874153731</v>
      </c>
      <c r="Y6705">
        <v>264</v>
      </c>
      <c r="Z6705">
        <v>516.83560872131818</v>
      </c>
      <c r="AA6705">
        <v>198</v>
      </c>
      <c r="AB6705">
        <v>332</v>
      </c>
      <c r="AC6705">
        <v>536</v>
      </c>
      <c r="AD6705">
        <v>28.93</v>
      </c>
      <c r="AE6705">
        <v>542</v>
      </c>
      <c r="AF6705">
        <v>29</v>
      </c>
      <c r="AG6705">
        <v>166</v>
      </c>
      <c r="AH6705">
        <v>129</v>
      </c>
      <c r="AI6705">
        <v>5.35</v>
      </c>
      <c r="AJ6705">
        <v>30.63</v>
      </c>
      <c r="AK6705">
        <v>23.8</v>
      </c>
      <c r="AL6705">
        <v>-20.150445899999969</v>
      </c>
      <c r="AM6705">
        <v>-44.860119388819953</v>
      </c>
      <c r="AN6705">
        <v>-20.150445899999969</v>
      </c>
      <c r="AO6705">
        <v>-44.860119388819953</v>
      </c>
      <c r="AP6705">
        <v>-20.150456999999999</v>
      </c>
      <c r="AQ6705">
        <v>-44.859959000000003</v>
      </c>
      <c r="AR6705">
        <v>16.807117810283469</v>
      </c>
      <c r="AS6705" t="s">
        <v>65</v>
      </c>
      <c r="AT6705">
        <v>1</v>
      </c>
      <c r="AU6705" t="s">
        <v>1788</v>
      </c>
      <c r="AV6705" t="s">
        <v>1789</v>
      </c>
      <c r="AW6705" t="s">
        <v>60</v>
      </c>
      <c r="AX6705" t="s">
        <v>68</v>
      </c>
      <c r="AY6705" t="s">
        <v>69</v>
      </c>
      <c r="AZ6705" t="b">
        <v>1</v>
      </c>
    </row>
    <row r="6706" spans="1:52" x14ac:dyDescent="0.3">
      <c r="A6706" t="s">
        <v>52</v>
      </c>
      <c r="B6706" t="s">
        <v>53</v>
      </c>
      <c r="C6706" t="s">
        <v>54</v>
      </c>
      <c r="D6706" t="s">
        <v>55</v>
      </c>
      <c r="E6706" t="s">
        <v>2296</v>
      </c>
      <c r="F6706" t="s">
        <v>190</v>
      </c>
      <c r="G6706" t="s">
        <v>1170</v>
      </c>
      <c r="H6706" t="s">
        <v>1171</v>
      </c>
      <c r="I6706" t="s">
        <v>1171</v>
      </c>
      <c r="J6706" t="s">
        <v>60</v>
      </c>
      <c r="K6706" t="s">
        <v>1165</v>
      </c>
      <c r="L6706" t="s">
        <v>62</v>
      </c>
      <c r="M6706" t="s">
        <v>1165</v>
      </c>
      <c r="N6706" t="s">
        <v>1172</v>
      </c>
      <c r="O6706" t="s">
        <v>1160</v>
      </c>
      <c r="P6706">
        <v>-20.158208999999999</v>
      </c>
      <c r="Q6706">
        <v>-44.865242000000002</v>
      </c>
      <c r="R6706" s="2" t="str">
        <f>HYPERLINK("https://www.google.com/maps?q=-20.1582090,-44.8652420","Abrir no Google Maps")</f>
        <v>Abrir no Google Maps</v>
      </c>
      <c r="S6706">
        <v>3</v>
      </c>
      <c r="T6706">
        <v>529.55269054560301</v>
      </c>
      <c r="U6706">
        <v>3</v>
      </c>
      <c r="V6706">
        <v>0.15986439845619671</v>
      </c>
      <c r="W6706">
        <v>1</v>
      </c>
      <c r="X6706">
        <v>0.15986439845619671</v>
      </c>
      <c r="Y6706">
        <v>264</v>
      </c>
      <c r="Z6706">
        <v>576.82525833351326</v>
      </c>
      <c r="AA6706">
        <v>198</v>
      </c>
      <c r="AB6706">
        <v>332</v>
      </c>
      <c r="AC6706">
        <v>536</v>
      </c>
      <c r="AD6706">
        <v>28.93</v>
      </c>
      <c r="AE6706">
        <v>542</v>
      </c>
      <c r="AF6706">
        <v>29</v>
      </c>
      <c r="AG6706">
        <v>166</v>
      </c>
      <c r="AH6706">
        <v>129</v>
      </c>
      <c r="AI6706">
        <v>5.35</v>
      </c>
      <c r="AJ6706">
        <v>30.63</v>
      </c>
      <c r="AK6706">
        <v>23.8</v>
      </c>
      <c r="AL6706">
        <v>-20.15813384999996</v>
      </c>
      <c r="AM6706">
        <v>-44.865189279062598</v>
      </c>
      <c r="AN6706">
        <v>-20.15813384999996</v>
      </c>
      <c r="AO6706">
        <v>-44.865189279062598</v>
      </c>
      <c r="AP6706">
        <v>-20.158208999999999</v>
      </c>
      <c r="AQ6706">
        <v>-44.865242000000002</v>
      </c>
      <c r="AR6706">
        <v>10.01690313145691</v>
      </c>
      <c r="AS6706" t="s">
        <v>65</v>
      </c>
      <c r="AT6706">
        <v>1</v>
      </c>
      <c r="AU6706" t="s">
        <v>1173</v>
      </c>
      <c r="AV6706" t="s">
        <v>1174</v>
      </c>
      <c r="AW6706" t="s">
        <v>60</v>
      </c>
      <c r="AX6706" t="s">
        <v>68</v>
      </c>
      <c r="AY6706" t="s">
        <v>69</v>
      </c>
      <c r="AZ6706" t="b">
        <v>1</v>
      </c>
    </row>
    <row r="6707" spans="1:52" x14ac:dyDescent="0.3">
      <c r="A6707" t="s">
        <v>52</v>
      </c>
      <c r="B6707" t="s">
        <v>53</v>
      </c>
      <c r="C6707" t="s">
        <v>54</v>
      </c>
      <c r="D6707" t="s">
        <v>55</v>
      </c>
      <c r="E6707" t="s">
        <v>2296</v>
      </c>
      <c r="F6707" t="s">
        <v>190</v>
      </c>
      <c r="G6707" t="s">
        <v>1175</v>
      </c>
      <c r="H6707" t="s">
        <v>1176</v>
      </c>
      <c r="I6707" t="s">
        <v>1176</v>
      </c>
      <c r="J6707" t="s">
        <v>60</v>
      </c>
      <c r="K6707" t="s">
        <v>1177</v>
      </c>
      <c r="L6707" t="s">
        <v>62</v>
      </c>
      <c r="M6707" t="s">
        <v>1177</v>
      </c>
      <c r="N6707" t="s">
        <v>1178</v>
      </c>
      <c r="O6707" t="s">
        <v>1179</v>
      </c>
      <c r="P6707">
        <v>-20.153393000000001</v>
      </c>
      <c r="Q6707">
        <v>-44.865701999999999</v>
      </c>
      <c r="R6707" s="2" t="str">
        <f>HYPERLINK("https://www.google.com/maps?q=-20.1533930,-44.8657020","Abrir no Google Maps")</f>
        <v>Abrir no Google Maps</v>
      </c>
      <c r="S6707">
        <v>3</v>
      </c>
      <c r="T6707">
        <v>0</v>
      </c>
      <c r="U6707">
        <v>3</v>
      </c>
      <c r="V6707">
        <v>0.17561978019456681</v>
      </c>
      <c r="W6707">
        <v>1</v>
      </c>
      <c r="X6707">
        <v>0.17561978019456681</v>
      </c>
      <c r="Y6707">
        <v>264</v>
      </c>
      <c r="Z6707">
        <v>187.61117597536</v>
      </c>
      <c r="AA6707">
        <v>198</v>
      </c>
      <c r="AB6707">
        <v>332</v>
      </c>
      <c r="AC6707">
        <v>536</v>
      </c>
      <c r="AD6707">
        <v>28.93</v>
      </c>
      <c r="AE6707">
        <v>542</v>
      </c>
      <c r="AF6707">
        <v>29</v>
      </c>
      <c r="AG6707">
        <v>166</v>
      </c>
      <c r="AH6707">
        <v>129</v>
      </c>
      <c r="AI6707">
        <v>5.35</v>
      </c>
      <c r="AJ6707">
        <v>30.63</v>
      </c>
      <c r="AK6707">
        <v>23.8</v>
      </c>
      <c r="AL6707">
        <v>-20.153365199999971</v>
      </c>
      <c r="AM6707">
        <v>-44.865611713780503</v>
      </c>
      <c r="AN6707">
        <v>-20.153365199999971</v>
      </c>
      <c r="AO6707">
        <v>-44.865611713780503</v>
      </c>
      <c r="AP6707">
        <v>-20.153393000000001</v>
      </c>
      <c r="AQ6707">
        <v>-44.865701999999999</v>
      </c>
      <c r="AR6707">
        <v>9.9298532940923003</v>
      </c>
      <c r="AS6707" t="s">
        <v>65</v>
      </c>
      <c r="AT6707">
        <v>1</v>
      </c>
      <c r="AU6707" t="s">
        <v>1180</v>
      </c>
      <c r="AV6707" t="s">
        <v>1181</v>
      </c>
      <c r="AW6707" t="s">
        <v>60</v>
      </c>
      <c r="AX6707" t="s">
        <v>68</v>
      </c>
      <c r="AY6707" t="s">
        <v>69</v>
      </c>
      <c r="AZ6707" t="b">
        <v>1</v>
      </c>
    </row>
    <row r="6708" spans="1:52" x14ac:dyDescent="0.3">
      <c r="A6708" t="s">
        <v>52</v>
      </c>
      <c r="B6708" t="s">
        <v>53</v>
      </c>
      <c r="C6708" t="s">
        <v>54</v>
      </c>
      <c r="D6708" t="s">
        <v>55</v>
      </c>
      <c r="E6708" t="s">
        <v>2296</v>
      </c>
      <c r="F6708" t="s">
        <v>190</v>
      </c>
      <c r="G6708" t="s">
        <v>815</v>
      </c>
      <c r="H6708" t="s">
        <v>816</v>
      </c>
      <c r="I6708" t="s">
        <v>816</v>
      </c>
      <c r="J6708" t="s">
        <v>60</v>
      </c>
      <c r="K6708" t="s">
        <v>805</v>
      </c>
      <c r="L6708" t="s">
        <v>62</v>
      </c>
      <c r="M6708" t="s">
        <v>805</v>
      </c>
      <c r="N6708" t="s">
        <v>817</v>
      </c>
      <c r="O6708" t="s">
        <v>818</v>
      </c>
      <c r="P6708">
        <v>-20.129894</v>
      </c>
      <c r="Q6708">
        <v>-44.886285000000001</v>
      </c>
      <c r="R6708" s="2" t="str">
        <f>HYPERLINK("https://www.google.com/maps?q=-20.1298940,-44.8862850","Abrir no Google Maps")</f>
        <v>Abrir no Google Maps</v>
      </c>
      <c r="S6708">
        <v>3</v>
      </c>
      <c r="T6708">
        <v>245.88570896460399</v>
      </c>
      <c r="U6708">
        <v>3</v>
      </c>
      <c r="V6708">
        <v>0.19254316974272931</v>
      </c>
      <c r="W6708">
        <v>1</v>
      </c>
      <c r="X6708">
        <v>0.19254316974272931</v>
      </c>
      <c r="Y6708">
        <v>259</v>
      </c>
      <c r="Z6708">
        <v>274.53833463725539</v>
      </c>
      <c r="AA6708">
        <v>198</v>
      </c>
      <c r="AB6708">
        <v>332</v>
      </c>
      <c r="AC6708">
        <v>536</v>
      </c>
      <c r="AD6708">
        <v>28.93</v>
      </c>
      <c r="AE6708">
        <v>542</v>
      </c>
      <c r="AF6708">
        <v>29</v>
      </c>
      <c r="AG6708">
        <v>166</v>
      </c>
      <c r="AH6708">
        <v>129</v>
      </c>
      <c r="AI6708">
        <v>5.35</v>
      </c>
      <c r="AJ6708">
        <v>30.63</v>
      </c>
      <c r="AK6708">
        <v>23.8</v>
      </c>
      <c r="AL6708">
        <v>-20.129900749999969</v>
      </c>
      <c r="AM6708">
        <v>-44.886258682425179</v>
      </c>
      <c r="AN6708">
        <v>-20.129900749999969</v>
      </c>
      <c r="AO6708">
        <v>-44.886258682425179</v>
      </c>
      <c r="AP6708">
        <v>-20.129894</v>
      </c>
      <c r="AQ6708">
        <v>-44.886285000000001</v>
      </c>
      <c r="AR6708">
        <v>2.851497427576585</v>
      </c>
      <c r="AS6708" t="s">
        <v>65</v>
      </c>
      <c r="AT6708">
        <v>1</v>
      </c>
      <c r="AU6708" t="s">
        <v>819</v>
      </c>
      <c r="AV6708" t="s">
        <v>814</v>
      </c>
      <c r="AW6708" t="s">
        <v>60</v>
      </c>
      <c r="AX6708" t="s">
        <v>68</v>
      </c>
      <c r="AY6708" t="s">
        <v>69</v>
      </c>
      <c r="AZ6708" t="b">
        <v>1</v>
      </c>
    </row>
    <row r="6709" spans="1:52" x14ac:dyDescent="0.3">
      <c r="A6709" t="s">
        <v>52</v>
      </c>
      <c r="B6709" t="s">
        <v>53</v>
      </c>
      <c r="C6709" t="s">
        <v>54</v>
      </c>
      <c r="D6709" t="s">
        <v>55</v>
      </c>
      <c r="E6709" t="s">
        <v>2296</v>
      </c>
      <c r="F6709" t="s">
        <v>190</v>
      </c>
      <c r="G6709" t="s">
        <v>1187</v>
      </c>
      <c r="H6709" t="s">
        <v>1188</v>
      </c>
      <c r="I6709" t="s">
        <v>1188</v>
      </c>
      <c r="J6709" t="s">
        <v>60</v>
      </c>
      <c r="K6709" t="s">
        <v>1177</v>
      </c>
      <c r="L6709" t="s">
        <v>62</v>
      </c>
      <c r="M6709" t="s">
        <v>1177</v>
      </c>
      <c r="N6709" t="s">
        <v>1189</v>
      </c>
      <c r="O6709" t="s">
        <v>1190</v>
      </c>
      <c r="P6709">
        <v>-20.151606999999998</v>
      </c>
      <c r="Q6709">
        <v>-44.870784999999998</v>
      </c>
      <c r="R6709" s="2" t="str">
        <f>HYPERLINK("https://www.google.com/maps?q=-20.1516070,-44.8707850","Abrir no Google Maps")</f>
        <v>Abrir no Google Maps</v>
      </c>
      <c r="S6709">
        <v>3</v>
      </c>
      <c r="T6709">
        <v>592.7601508996878</v>
      </c>
      <c r="U6709">
        <v>3</v>
      </c>
      <c r="V6709">
        <v>0.1669110023974599</v>
      </c>
      <c r="W6709">
        <v>1</v>
      </c>
      <c r="X6709">
        <v>0.1669110023974599</v>
      </c>
      <c r="Y6709">
        <v>198</v>
      </c>
      <c r="Z6709">
        <v>605.75141653963317</v>
      </c>
      <c r="AA6709">
        <v>198</v>
      </c>
      <c r="AB6709">
        <v>332</v>
      </c>
      <c r="AC6709">
        <v>536</v>
      </c>
      <c r="AD6709">
        <v>28.93</v>
      </c>
      <c r="AE6709">
        <v>542</v>
      </c>
      <c r="AF6709">
        <v>29</v>
      </c>
      <c r="AG6709">
        <v>166</v>
      </c>
      <c r="AH6709">
        <v>129</v>
      </c>
      <c r="AI6709">
        <v>5.35</v>
      </c>
      <c r="AJ6709">
        <v>30.63</v>
      </c>
      <c r="AK6709">
        <v>23.8</v>
      </c>
      <c r="AL6709">
        <v>-20.151457849999961</v>
      </c>
      <c r="AM6709">
        <v>-44.870912038726253</v>
      </c>
      <c r="AN6709">
        <v>-20.151457849999961</v>
      </c>
      <c r="AO6709">
        <v>-44.870912038726253</v>
      </c>
      <c r="AP6709">
        <v>-20.151606999999998</v>
      </c>
      <c r="AQ6709">
        <v>-44.870784999999998</v>
      </c>
      <c r="AR6709">
        <v>21.258671186047941</v>
      </c>
      <c r="AS6709" t="s">
        <v>65</v>
      </c>
      <c r="AT6709">
        <v>1</v>
      </c>
      <c r="AU6709" t="s">
        <v>1191</v>
      </c>
      <c r="AV6709" t="s">
        <v>1192</v>
      </c>
      <c r="AW6709" t="s">
        <v>60</v>
      </c>
      <c r="AX6709" t="s">
        <v>68</v>
      </c>
      <c r="AY6709" t="s">
        <v>69</v>
      </c>
      <c r="AZ6709" t="b">
        <v>1</v>
      </c>
    </row>
    <row r="6710" spans="1:52" x14ac:dyDescent="0.3">
      <c r="A6710" t="s">
        <v>52</v>
      </c>
      <c r="B6710" t="s">
        <v>53</v>
      </c>
      <c r="C6710" t="s">
        <v>54</v>
      </c>
      <c r="D6710" t="s">
        <v>55</v>
      </c>
      <c r="E6710" t="s">
        <v>2296</v>
      </c>
      <c r="F6710" t="s">
        <v>190</v>
      </c>
      <c r="G6710" t="s">
        <v>1790</v>
      </c>
      <c r="H6710" t="s">
        <v>1791</v>
      </c>
      <c r="I6710" t="s">
        <v>1791</v>
      </c>
      <c r="J6710" t="s">
        <v>60</v>
      </c>
      <c r="K6710" t="s">
        <v>781</v>
      </c>
      <c r="L6710" t="s">
        <v>62</v>
      </c>
      <c r="M6710" t="s">
        <v>781</v>
      </c>
      <c r="N6710" t="s">
        <v>1792</v>
      </c>
      <c r="O6710" t="s">
        <v>1438</v>
      </c>
      <c r="P6710">
        <v>-20.140640999999999</v>
      </c>
      <c r="Q6710">
        <v>-44.865606999999997</v>
      </c>
      <c r="R6710" s="2" t="str">
        <f>HYPERLINK("https://www.google.com/maps?q=-20.1406410,-44.8656070","Abrir no Google Maps")</f>
        <v>Abrir no Google Maps</v>
      </c>
      <c r="S6710">
        <v>3</v>
      </c>
      <c r="T6710">
        <v>718.83674500124857</v>
      </c>
      <c r="U6710">
        <v>3</v>
      </c>
      <c r="V6710">
        <v>0.16578018540356379</v>
      </c>
      <c r="W6710">
        <v>1</v>
      </c>
      <c r="X6710">
        <v>0.16578018540356379</v>
      </c>
      <c r="Y6710">
        <v>198</v>
      </c>
      <c r="Z6710">
        <v>796.27455839490824</v>
      </c>
      <c r="AA6710">
        <v>198</v>
      </c>
      <c r="AB6710">
        <v>332</v>
      </c>
      <c r="AC6710">
        <v>536</v>
      </c>
      <c r="AD6710">
        <v>28.93</v>
      </c>
      <c r="AE6710">
        <v>542</v>
      </c>
      <c r="AF6710">
        <v>29</v>
      </c>
      <c r="AG6710">
        <v>166</v>
      </c>
      <c r="AH6710">
        <v>129</v>
      </c>
      <c r="AI6710">
        <v>5.35</v>
      </c>
      <c r="AJ6710">
        <v>30.63</v>
      </c>
      <c r="AK6710">
        <v>23.8</v>
      </c>
      <c r="AL6710">
        <v>-20.14068544999995</v>
      </c>
      <c r="AM6710">
        <v>-44.865682971258813</v>
      </c>
      <c r="AN6710">
        <v>-20.140685449999939</v>
      </c>
      <c r="AO6710">
        <v>-44.865682971258813</v>
      </c>
      <c r="AP6710">
        <v>-20.140640999999999</v>
      </c>
      <c r="AQ6710">
        <v>-44.865606999999997</v>
      </c>
      <c r="AR6710">
        <v>9.3556137916774258</v>
      </c>
      <c r="AS6710" t="s">
        <v>65</v>
      </c>
      <c r="AT6710">
        <v>1</v>
      </c>
      <c r="AU6710" t="s">
        <v>1793</v>
      </c>
      <c r="AV6710" t="s">
        <v>1794</v>
      </c>
      <c r="AW6710" t="s">
        <v>60</v>
      </c>
      <c r="AX6710" t="s">
        <v>68</v>
      </c>
      <c r="AY6710" t="s">
        <v>69</v>
      </c>
      <c r="AZ6710" t="b">
        <v>1</v>
      </c>
    </row>
    <row r="6711" spans="1:52" x14ac:dyDescent="0.3">
      <c r="A6711" t="s">
        <v>52</v>
      </c>
      <c r="B6711" t="s">
        <v>53</v>
      </c>
      <c r="C6711" t="s">
        <v>54</v>
      </c>
      <c r="D6711" t="s">
        <v>55</v>
      </c>
      <c r="E6711" t="s">
        <v>2296</v>
      </c>
      <c r="F6711" t="s">
        <v>190</v>
      </c>
      <c r="G6711" t="s">
        <v>1978</v>
      </c>
      <c r="H6711" t="s">
        <v>1979</v>
      </c>
      <c r="I6711" t="s">
        <v>1979</v>
      </c>
      <c r="J6711" t="s">
        <v>60</v>
      </c>
      <c r="K6711" t="s">
        <v>822</v>
      </c>
      <c r="L6711" t="s">
        <v>62</v>
      </c>
      <c r="M6711" t="s">
        <v>822</v>
      </c>
      <c r="N6711" t="s">
        <v>1980</v>
      </c>
      <c r="O6711" t="s">
        <v>1981</v>
      </c>
      <c r="P6711">
        <v>-20.183568000000001</v>
      </c>
      <c r="Q6711">
        <v>-44.904950999999997</v>
      </c>
      <c r="R6711" s="2" t="str">
        <f>HYPERLINK("https://www.google.com/maps?q=-20.1835680,-44.9049510","Abrir no Google Maps")</f>
        <v>Abrir no Google Maps</v>
      </c>
      <c r="S6711">
        <v>3</v>
      </c>
      <c r="T6711">
        <v>739.49865836455649</v>
      </c>
      <c r="U6711">
        <v>3</v>
      </c>
      <c r="V6711">
        <v>0.22257070944490151</v>
      </c>
      <c r="W6711">
        <v>0.85</v>
      </c>
      <c r="X6711">
        <v>0.1891851030281663</v>
      </c>
      <c r="Y6711">
        <v>135</v>
      </c>
      <c r="Z6711">
        <v>563.62602480507815</v>
      </c>
      <c r="AA6711">
        <v>198</v>
      </c>
      <c r="AB6711">
        <v>332</v>
      </c>
      <c r="AC6711">
        <v>536</v>
      </c>
      <c r="AD6711">
        <v>28.93</v>
      </c>
      <c r="AE6711">
        <v>542</v>
      </c>
      <c r="AF6711">
        <v>29</v>
      </c>
      <c r="AG6711">
        <v>166</v>
      </c>
      <c r="AH6711">
        <v>129</v>
      </c>
      <c r="AI6711">
        <v>5.35</v>
      </c>
      <c r="AJ6711">
        <v>30.63</v>
      </c>
      <c r="AK6711">
        <v>23.8</v>
      </c>
      <c r="AL6711">
        <v>-20.18318414999996</v>
      </c>
      <c r="AM6711">
        <v>-44.903984104996781</v>
      </c>
      <c r="AN6711">
        <v>-20.18318414999996</v>
      </c>
      <c r="AO6711">
        <v>-44.903984104996781</v>
      </c>
      <c r="AP6711">
        <v>-20.183568000000001</v>
      </c>
      <c r="AQ6711">
        <v>-44.904950999999997</v>
      </c>
      <c r="AR6711">
        <v>109.69044287201569</v>
      </c>
      <c r="AS6711" t="s">
        <v>65</v>
      </c>
      <c r="AT6711">
        <v>1</v>
      </c>
      <c r="AU6711" t="s">
        <v>1982</v>
      </c>
      <c r="AV6711" t="s">
        <v>1983</v>
      </c>
      <c r="AW6711" t="s">
        <v>60</v>
      </c>
      <c r="AX6711" t="s">
        <v>68</v>
      </c>
      <c r="AY6711" t="s">
        <v>69</v>
      </c>
      <c r="AZ6711" t="b">
        <v>1</v>
      </c>
    </row>
    <row r="6712" spans="1:52" x14ac:dyDescent="0.3">
      <c r="A6712" t="s">
        <v>52</v>
      </c>
      <c r="B6712" t="s">
        <v>53</v>
      </c>
      <c r="C6712" t="s">
        <v>54</v>
      </c>
      <c r="D6712" t="s">
        <v>55</v>
      </c>
      <c r="E6712" t="s">
        <v>2296</v>
      </c>
      <c r="F6712" t="s">
        <v>190</v>
      </c>
      <c r="G6712" t="s">
        <v>1206</v>
      </c>
      <c r="H6712" t="s">
        <v>1207</v>
      </c>
      <c r="I6712" t="s">
        <v>1207</v>
      </c>
      <c r="J6712" t="s">
        <v>60</v>
      </c>
      <c r="K6712" t="s">
        <v>475</v>
      </c>
      <c r="L6712" t="s">
        <v>62</v>
      </c>
      <c r="M6712" t="s">
        <v>475</v>
      </c>
      <c r="N6712" t="s">
        <v>1208</v>
      </c>
      <c r="O6712" t="s">
        <v>1209</v>
      </c>
      <c r="P6712">
        <v>-20.180554999999998</v>
      </c>
      <c r="Q6712">
        <v>-44.905642999999998</v>
      </c>
      <c r="R6712" s="2" t="str">
        <f>HYPERLINK("https://www.google.com/maps?q=-20.1805550,-44.9056430","Abrir no Google Maps")</f>
        <v>Abrir no Google Maps</v>
      </c>
      <c r="S6712">
        <v>3</v>
      </c>
      <c r="T6712">
        <v>768.13826761541702</v>
      </c>
      <c r="U6712">
        <v>3</v>
      </c>
      <c r="V6712">
        <v>0.16435402534523949</v>
      </c>
      <c r="W6712">
        <v>1</v>
      </c>
      <c r="X6712">
        <v>0.16435402534523949</v>
      </c>
      <c r="Y6712">
        <v>135</v>
      </c>
      <c r="Z6712">
        <v>442.64437152702573</v>
      </c>
      <c r="AA6712">
        <v>198</v>
      </c>
      <c r="AB6712">
        <v>332</v>
      </c>
      <c r="AC6712">
        <v>536</v>
      </c>
      <c r="AD6712">
        <v>28.93</v>
      </c>
      <c r="AE6712">
        <v>542</v>
      </c>
      <c r="AF6712">
        <v>29</v>
      </c>
      <c r="AG6712">
        <v>166</v>
      </c>
      <c r="AH6712">
        <v>129</v>
      </c>
      <c r="AI6712">
        <v>5.35</v>
      </c>
      <c r="AJ6712">
        <v>30.63</v>
      </c>
      <c r="AK6712">
        <v>23.8</v>
      </c>
      <c r="AL6712">
        <v>-20.180439499999949</v>
      </c>
      <c r="AM6712">
        <v>-44.905757266135502</v>
      </c>
      <c r="AN6712">
        <v>-20.180439499999949</v>
      </c>
      <c r="AO6712">
        <v>-44.905757266135502</v>
      </c>
      <c r="AP6712">
        <v>-20.180554999999998</v>
      </c>
      <c r="AQ6712">
        <v>-44.905642999999998</v>
      </c>
      <c r="AR6712">
        <v>17.545924993698129</v>
      </c>
      <c r="AS6712" t="s">
        <v>65</v>
      </c>
      <c r="AT6712">
        <v>1</v>
      </c>
      <c r="AU6712" t="s">
        <v>1210</v>
      </c>
      <c r="AV6712" t="s">
        <v>1211</v>
      </c>
      <c r="AW6712" t="s">
        <v>60</v>
      </c>
      <c r="AX6712" t="s">
        <v>68</v>
      </c>
      <c r="AY6712" t="s">
        <v>69</v>
      </c>
      <c r="AZ6712" t="b">
        <v>1</v>
      </c>
    </row>
    <row r="6713" spans="1:52" x14ac:dyDescent="0.3">
      <c r="A6713" t="s">
        <v>52</v>
      </c>
      <c r="B6713" t="s">
        <v>53</v>
      </c>
      <c r="C6713" t="s">
        <v>54</v>
      </c>
      <c r="D6713" t="s">
        <v>55</v>
      </c>
      <c r="E6713" t="s">
        <v>2296</v>
      </c>
      <c r="F6713" t="s">
        <v>190</v>
      </c>
      <c r="G6713" t="s">
        <v>1212</v>
      </c>
      <c r="H6713" t="s">
        <v>1213</v>
      </c>
      <c r="I6713" t="s">
        <v>1213</v>
      </c>
      <c r="J6713" t="s">
        <v>60</v>
      </c>
      <c r="K6713" t="s">
        <v>171</v>
      </c>
      <c r="L6713" t="s">
        <v>62</v>
      </c>
      <c r="M6713" t="s">
        <v>171</v>
      </c>
      <c r="N6713" t="s">
        <v>1214</v>
      </c>
      <c r="O6713" t="s">
        <v>1215</v>
      </c>
      <c r="P6713">
        <v>-20.152812999999998</v>
      </c>
      <c r="Q6713">
        <v>-44.889853000000002</v>
      </c>
      <c r="R6713" s="2" t="str">
        <f>HYPERLINK("https://www.google.com/maps?q=-20.1528130,-44.8898530","Abrir no Google Maps")</f>
        <v>Abrir no Google Maps</v>
      </c>
      <c r="S6713">
        <v>3</v>
      </c>
      <c r="T6713">
        <v>404.11054739579231</v>
      </c>
      <c r="U6713">
        <v>3</v>
      </c>
      <c r="V6713">
        <v>0.15824285396640089</v>
      </c>
      <c r="W6713">
        <v>1</v>
      </c>
      <c r="X6713">
        <v>0.15824285396640089</v>
      </c>
      <c r="Y6713">
        <v>129</v>
      </c>
      <c r="Z6713">
        <v>222.94297160630171</v>
      </c>
      <c r="AA6713">
        <v>198</v>
      </c>
      <c r="AB6713">
        <v>332</v>
      </c>
      <c r="AC6713">
        <v>536</v>
      </c>
      <c r="AD6713">
        <v>28.93</v>
      </c>
      <c r="AE6713">
        <v>542</v>
      </c>
      <c r="AF6713">
        <v>29</v>
      </c>
      <c r="AG6713">
        <v>166</v>
      </c>
      <c r="AH6713">
        <v>129</v>
      </c>
      <c r="AI6713">
        <v>5.35</v>
      </c>
      <c r="AJ6713">
        <v>30.63</v>
      </c>
      <c r="AK6713">
        <v>23.8</v>
      </c>
      <c r="AL6713">
        <v>-20.152851999999971</v>
      </c>
      <c r="AM6713">
        <v>-44.889864659228088</v>
      </c>
      <c r="AN6713">
        <v>-20.152851999999971</v>
      </c>
      <c r="AO6713">
        <v>-44.889864659228088</v>
      </c>
      <c r="AP6713">
        <v>-20.152812999999998</v>
      </c>
      <c r="AQ6713">
        <v>-44.889853000000002</v>
      </c>
      <c r="AR6713">
        <v>4.5092186597325066</v>
      </c>
      <c r="AS6713" t="s">
        <v>65</v>
      </c>
      <c r="AT6713">
        <v>1</v>
      </c>
      <c r="AU6713" t="s">
        <v>1216</v>
      </c>
      <c r="AV6713" t="s">
        <v>1217</v>
      </c>
      <c r="AW6713" t="s">
        <v>60</v>
      </c>
      <c r="AX6713" t="s">
        <v>68</v>
      </c>
      <c r="AY6713" t="s">
        <v>69</v>
      </c>
      <c r="AZ6713" t="b">
        <v>1</v>
      </c>
    </row>
    <row r="6714" spans="1:52" x14ac:dyDescent="0.3">
      <c r="A6714" t="s">
        <v>52</v>
      </c>
      <c r="B6714" t="s">
        <v>53</v>
      </c>
      <c r="C6714" t="s">
        <v>54</v>
      </c>
      <c r="D6714" t="s">
        <v>55</v>
      </c>
      <c r="E6714" t="s">
        <v>2296</v>
      </c>
      <c r="F6714" t="s">
        <v>190</v>
      </c>
      <c r="G6714" t="s">
        <v>826</v>
      </c>
      <c r="H6714" t="s">
        <v>827</v>
      </c>
      <c r="I6714" t="s">
        <v>827</v>
      </c>
      <c r="J6714" t="s">
        <v>60</v>
      </c>
      <c r="K6714" t="s">
        <v>828</v>
      </c>
      <c r="L6714" t="s">
        <v>62</v>
      </c>
      <c r="M6714" t="s">
        <v>828</v>
      </c>
      <c r="N6714" t="s">
        <v>829</v>
      </c>
      <c r="O6714" t="s">
        <v>830</v>
      </c>
      <c r="P6714">
        <v>-20.128309999999999</v>
      </c>
      <c r="Q6714">
        <v>-44.8367</v>
      </c>
      <c r="R6714" s="2" t="str">
        <f>HYPERLINK("https://www.google.com/maps?q=-20.1283100,-44.8367000","Abrir no Google Maps")</f>
        <v>Abrir no Google Maps</v>
      </c>
      <c r="S6714">
        <v>3</v>
      </c>
      <c r="T6714">
        <v>0</v>
      </c>
      <c r="U6714">
        <v>3</v>
      </c>
      <c r="V6714">
        <v>0.1925818032015065</v>
      </c>
      <c r="W6714">
        <v>1</v>
      </c>
      <c r="X6714">
        <v>0.1925818032015065</v>
      </c>
      <c r="Y6714">
        <v>118</v>
      </c>
      <c r="Z6714">
        <v>65.93296364139367</v>
      </c>
      <c r="AA6714">
        <v>198</v>
      </c>
      <c r="AB6714">
        <v>332</v>
      </c>
      <c r="AC6714">
        <v>536</v>
      </c>
      <c r="AD6714">
        <v>28.93</v>
      </c>
      <c r="AE6714">
        <v>542</v>
      </c>
      <c r="AF6714">
        <v>29</v>
      </c>
      <c r="AG6714">
        <v>166</v>
      </c>
      <c r="AH6714">
        <v>129</v>
      </c>
      <c r="AI6714">
        <v>5.35</v>
      </c>
      <c r="AJ6714">
        <v>30.63</v>
      </c>
      <c r="AK6714">
        <v>23.8</v>
      </c>
      <c r="AL6714">
        <v>-20.128383649999961</v>
      </c>
      <c r="AM6714">
        <v>-44.836795615491283</v>
      </c>
      <c r="AN6714">
        <v>-20.128383649999961</v>
      </c>
      <c r="AO6714">
        <v>-44.836795615491283</v>
      </c>
      <c r="AP6714">
        <v>-20.128309999999999</v>
      </c>
      <c r="AQ6714">
        <v>-44.8367</v>
      </c>
      <c r="AR6714">
        <v>12.92654496723039</v>
      </c>
      <c r="AS6714" t="s">
        <v>65</v>
      </c>
      <c r="AT6714">
        <v>1</v>
      </c>
      <c r="AU6714" t="s">
        <v>831</v>
      </c>
      <c r="AV6714" t="s">
        <v>832</v>
      </c>
      <c r="AW6714" t="s">
        <v>60</v>
      </c>
      <c r="AX6714" t="s">
        <v>68</v>
      </c>
      <c r="AY6714" t="s">
        <v>69</v>
      </c>
      <c r="AZ6714" t="b">
        <v>1</v>
      </c>
    </row>
    <row r="6715" spans="1:52" x14ac:dyDescent="0.3">
      <c r="A6715" t="s">
        <v>52</v>
      </c>
      <c r="B6715" t="s">
        <v>53</v>
      </c>
      <c r="C6715" t="s">
        <v>54</v>
      </c>
      <c r="D6715" t="s">
        <v>55</v>
      </c>
      <c r="E6715" t="s">
        <v>2296</v>
      </c>
      <c r="F6715" t="s">
        <v>190</v>
      </c>
      <c r="G6715" t="s">
        <v>2074</v>
      </c>
      <c r="H6715" t="s">
        <v>2075</v>
      </c>
      <c r="I6715" t="s">
        <v>2075</v>
      </c>
      <c r="J6715" t="s">
        <v>60</v>
      </c>
      <c r="K6715" t="s">
        <v>1314</v>
      </c>
      <c r="L6715" t="s">
        <v>62</v>
      </c>
      <c r="M6715" t="s">
        <v>1314</v>
      </c>
      <c r="N6715" t="s">
        <v>2076</v>
      </c>
      <c r="O6715" t="s">
        <v>2077</v>
      </c>
      <c r="P6715">
        <v>-20.176835000000001</v>
      </c>
      <c r="Q6715">
        <v>-44.930950000000003</v>
      </c>
      <c r="R6715" s="2" t="str">
        <f>HYPERLINK("https://www.google.com/maps?q=-20.1768350,-44.9309500","Abrir no Google Maps")</f>
        <v>Abrir no Google Maps</v>
      </c>
      <c r="S6715">
        <v>3</v>
      </c>
      <c r="T6715">
        <v>1806.8580939436499</v>
      </c>
      <c r="U6715">
        <v>3</v>
      </c>
      <c r="V6715">
        <v>0.2136344359626802</v>
      </c>
      <c r="W6715">
        <v>0.85</v>
      </c>
      <c r="X6715">
        <v>0.1815892705682782</v>
      </c>
      <c r="Y6715">
        <v>113</v>
      </c>
      <c r="Z6715">
        <v>1921.313394530237</v>
      </c>
      <c r="AA6715">
        <v>198</v>
      </c>
      <c r="AB6715">
        <v>332</v>
      </c>
      <c r="AC6715">
        <v>536</v>
      </c>
      <c r="AD6715">
        <v>28.93</v>
      </c>
      <c r="AE6715">
        <v>542</v>
      </c>
      <c r="AF6715">
        <v>29</v>
      </c>
      <c r="AG6715">
        <v>166</v>
      </c>
      <c r="AH6715">
        <v>129</v>
      </c>
      <c r="AI6715">
        <v>5.35</v>
      </c>
      <c r="AJ6715">
        <v>30.63</v>
      </c>
      <c r="AK6715">
        <v>23.8</v>
      </c>
      <c r="AL6715">
        <v>-20.17717879999995</v>
      </c>
      <c r="AM6715">
        <v>-44.930977454083752</v>
      </c>
      <c r="AN6715">
        <v>-20.17717879999995</v>
      </c>
      <c r="AO6715">
        <v>-44.930977454083752</v>
      </c>
      <c r="AP6715">
        <v>-20.176835000000001</v>
      </c>
      <c r="AQ6715">
        <v>-44.930950000000003</v>
      </c>
      <c r="AR6715">
        <v>38.379173360223952</v>
      </c>
      <c r="AS6715" t="s">
        <v>65</v>
      </c>
      <c r="AT6715">
        <v>1</v>
      </c>
      <c r="AU6715" t="s">
        <v>2078</v>
      </c>
      <c r="AV6715" t="s">
        <v>1553</v>
      </c>
      <c r="AW6715" t="s">
        <v>60</v>
      </c>
      <c r="AX6715" t="s">
        <v>68</v>
      </c>
      <c r="AY6715" t="s">
        <v>69</v>
      </c>
      <c r="AZ6715" t="b">
        <v>1</v>
      </c>
    </row>
    <row r="6716" spans="1:52" x14ac:dyDescent="0.3">
      <c r="A6716" t="s">
        <v>52</v>
      </c>
      <c r="B6716" t="s">
        <v>53</v>
      </c>
      <c r="C6716" t="s">
        <v>54</v>
      </c>
      <c r="D6716" t="s">
        <v>55</v>
      </c>
      <c r="E6716" t="s">
        <v>2296</v>
      </c>
      <c r="F6716" t="s">
        <v>1247</v>
      </c>
      <c r="G6716" t="s">
        <v>100</v>
      </c>
      <c r="H6716" t="s">
        <v>101</v>
      </c>
      <c r="I6716" t="s">
        <v>101</v>
      </c>
      <c r="J6716" t="s">
        <v>60</v>
      </c>
      <c r="K6716" t="s">
        <v>61</v>
      </c>
      <c r="L6716" t="s">
        <v>62</v>
      </c>
      <c r="M6716" t="s">
        <v>61</v>
      </c>
      <c r="N6716" t="s">
        <v>102</v>
      </c>
      <c r="O6716" t="s">
        <v>103</v>
      </c>
      <c r="P6716">
        <v>-20.151098999999999</v>
      </c>
      <c r="Q6716">
        <v>-44.909699000000003</v>
      </c>
      <c r="R6716" s="2" t="str">
        <f>HYPERLINK("https://www.google.com/maps?q=-20.1510990,-44.9096990","Abrir no Google Maps")</f>
        <v>Abrir no Google Maps</v>
      </c>
      <c r="S6716">
        <v>4</v>
      </c>
      <c r="T6716">
        <v>628.5023128813533</v>
      </c>
      <c r="U6716">
        <v>4</v>
      </c>
      <c r="V6716">
        <v>0.23547712053571429</v>
      </c>
      <c r="W6716">
        <v>1</v>
      </c>
      <c r="X6716">
        <v>0.23547712053571429</v>
      </c>
      <c r="Y6716">
        <v>747</v>
      </c>
      <c r="Z6716">
        <v>563.16456625265948</v>
      </c>
      <c r="AA6716">
        <v>198</v>
      </c>
      <c r="AB6716">
        <v>332</v>
      </c>
      <c r="AC6716">
        <v>536</v>
      </c>
      <c r="AD6716">
        <v>28.93</v>
      </c>
      <c r="AE6716">
        <v>542</v>
      </c>
      <c r="AF6716">
        <v>29</v>
      </c>
      <c r="AG6716">
        <v>166</v>
      </c>
      <c r="AH6716">
        <v>129</v>
      </c>
      <c r="AI6716">
        <v>5.35</v>
      </c>
      <c r="AJ6716">
        <v>30.63</v>
      </c>
      <c r="AK6716">
        <v>23.8</v>
      </c>
      <c r="AL6716">
        <v>-20.151307349999971</v>
      </c>
      <c r="AM6716">
        <v>-44.909772836123523</v>
      </c>
      <c r="AN6716">
        <v>-20.151307349999971</v>
      </c>
      <c r="AO6716">
        <v>-44.909772836123523</v>
      </c>
      <c r="AP6716">
        <v>-20.151098999999999</v>
      </c>
      <c r="AQ6716">
        <v>-44.909699000000003</v>
      </c>
      <c r="AR6716">
        <v>24.443417349564811</v>
      </c>
      <c r="AS6716" t="s">
        <v>65</v>
      </c>
      <c r="AT6716">
        <v>1</v>
      </c>
      <c r="AU6716" t="s">
        <v>104</v>
      </c>
      <c r="AV6716" t="s">
        <v>105</v>
      </c>
      <c r="AW6716" t="s">
        <v>60</v>
      </c>
      <c r="AX6716" t="s">
        <v>68</v>
      </c>
      <c r="AY6716" t="s">
        <v>69</v>
      </c>
      <c r="AZ6716" t="b">
        <v>1</v>
      </c>
    </row>
    <row r="6717" spans="1:52" x14ac:dyDescent="0.3">
      <c r="A6717" t="s">
        <v>52</v>
      </c>
      <c r="B6717" t="s">
        <v>53</v>
      </c>
      <c r="C6717" t="s">
        <v>54</v>
      </c>
      <c r="D6717" t="s">
        <v>55</v>
      </c>
      <c r="E6717" t="s">
        <v>2296</v>
      </c>
      <c r="F6717" t="s">
        <v>1247</v>
      </c>
      <c r="G6717" t="s">
        <v>1263</v>
      </c>
      <c r="H6717" t="s">
        <v>1264</v>
      </c>
      <c r="I6717" t="s">
        <v>1264</v>
      </c>
      <c r="J6717" t="s">
        <v>60</v>
      </c>
      <c r="K6717" t="s">
        <v>1265</v>
      </c>
      <c r="L6717" t="s">
        <v>62</v>
      </c>
      <c r="M6717" t="s">
        <v>1265</v>
      </c>
      <c r="N6717" t="s">
        <v>1266</v>
      </c>
      <c r="O6717" t="s">
        <v>1267</v>
      </c>
      <c r="P6717">
        <v>-20.116924000000001</v>
      </c>
      <c r="Q6717">
        <v>-44.906587000000002</v>
      </c>
      <c r="R6717" s="2" t="str">
        <f>HYPERLINK("https://www.google.com/maps?q=-20.1169240,-44.9065870","Abrir no Google Maps")</f>
        <v>Abrir no Google Maps</v>
      </c>
      <c r="S6717">
        <v>4</v>
      </c>
      <c r="T6717">
        <v>745.10453961787857</v>
      </c>
      <c r="U6717">
        <v>4</v>
      </c>
      <c r="V6717">
        <v>0.30132113821138218</v>
      </c>
      <c r="W6717">
        <v>0.85</v>
      </c>
      <c r="X6717">
        <v>0.25612296747967478</v>
      </c>
      <c r="Y6717">
        <v>567</v>
      </c>
      <c r="Z6717">
        <v>816.44456345071217</v>
      </c>
      <c r="AA6717">
        <v>198</v>
      </c>
      <c r="AB6717">
        <v>332</v>
      </c>
      <c r="AC6717">
        <v>536</v>
      </c>
      <c r="AD6717">
        <v>28.93</v>
      </c>
      <c r="AE6717">
        <v>542</v>
      </c>
      <c r="AF6717">
        <v>29</v>
      </c>
      <c r="AG6717">
        <v>166</v>
      </c>
      <c r="AH6717">
        <v>129</v>
      </c>
      <c r="AI6717">
        <v>5.35</v>
      </c>
      <c r="AJ6717">
        <v>30.63</v>
      </c>
      <c r="AK6717">
        <v>23.8</v>
      </c>
      <c r="AL6717">
        <v>-20.117279149999941</v>
      </c>
      <c r="AM6717">
        <v>-44.906397211815133</v>
      </c>
      <c r="AN6717">
        <v>-20.117279149999941</v>
      </c>
      <c r="AO6717">
        <v>-44.906397211815133</v>
      </c>
      <c r="AP6717">
        <v>-20.116924000000001</v>
      </c>
      <c r="AQ6717">
        <v>-44.906587000000002</v>
      </c>
      <c r="AR6717">
        <v>44.233430660980403</v>
      </c>
      <c r="AS6717" t="s">
        <v>65</v>
      </c>
      <c r="AT6717">
        <v>1</v>
      </c>
      <c r="AU6717" t="s">
        <v>1268</v>
      </c>
      <c r="AV6717" t="s">
        <v>1269</v>
      </c>
      <c r="AW6717" t="s">
        <v>60</v>
      </c>
      <c r="AX6717" t="s">
        <v>68</v>
      </c>
      <c r="AY6717" t="s">
        <v>69</v>
      </c>
      <c r="AZ6717" t="b">
        <v>1</v>
      </c>
    </row>
    <row r="6718" spans="1:52" x14ac:dyDescent="0.3">
      <c r="A6718" t="s">
        <v>52</v>
      </c>
      <c r="B6718" t="s">
        <v>53</v>
      </c>
      <c r="C6718" t="s">
        <v>54</v>
      </c>
      <c r="D6718" t="s">
        <v>55</v>
      </c>
      <c r="E6718" t="s">
        <v>2296</v>
      </c>
      <c r="F6718" t="s">
        <v>1247</v>
      </c>
      <c r="G6718" t="s">
        <v>1127</v>
      </c>
      <c r="H6718" t="s">
        <v>1270</v>
      </c>
      <c r="I6718" t="s">
        <v>1270</v>
      </c>
      <c r="J6718" t="s">
        <v>60</v>
      </c>
      <c r="K6718" t="s">
        <v>200</v>
      </c>
      <c r="L6718" t="s">
        <v>62</v>
      </c>
      <c r="M6718" t="s">
        <v>200</v>
      </c>
      <c r="N6718" t="s">
        <v>1271</v>
      </c>
      <c r="O6718" t="s">
        <v>315</v>
      </c>
      <c r="P6718">
        <v>-20.123483</v>
      </c>
      <c r="Q6718">
        <v>-44.904159</v>
      </c>
      <c r="R6718" s="2" t="str">
        <f>HYPERLINK("https://www.google.com/maps?q=-20.1234830,-44.9041590","Abrir no Google Maps")</f>
        <v>Abrir no Google Maps</v>
      </c>
      <c r="S6718">
        <v>4</v>
      </c>
      <c r="T6718">
        <v>1046.2792913459141</v>
      </c>
      <c r="U6718">
        <v>4</v>
      </c>
      <c r="V6718">
        <v>0.45833333333333331</v>
      </c>
      <c r="W6718">
        <v>0.85</v>
      </c>
      <c r="X6718">
        <v>0.38958333333333328</v>
      </c>
      <c r="Y6718">
        <v>567</v>
      </c>
      <c r="Z6718">
        <v>1072.1273144328541</v>
      </c>
      <c r="AA6718">
        <v>198</v>
      </c>
      <c r="AB6718">
        <v>332</v>
      </c>
      <c r="AC6718">
        <v>536</v>
      </c>
      <c r="AD6718">
        <v>28.93</v>
      </c>
      <c r="AE6718">
        <v>542</v>
      </c>
      <c r="AF6718">
        <v>29</v>
      </c>
      <c r="AG6718">
        <v>166</v>
      </c>
      <c r="AH6718">
        <v>129</v>
      </c>
      <c r="AI6718">
        <v>5.35</v>
      </c>
      <c r="AJ6718">
        <v>30.63</v>
      </c>
      <c r="AK6718">
        <v>23.8</v>
      </c>
      <c r="AL6718">
        <v>-20.12548399999994</v>
      </c>
      <c r="AM6718">
        <v>-44.903913990586467</v>
      </c>
      <c r="AN6718">
        <v>-20.12548399999994</v>
      </c>
      <c r="AO6718">
        <v>-44.903913990586467</v>
      </c>
      <c r="AP6718">
        <v>-20.123483</v>
      </c>
      <c r="AQ6718">
        <v>-44.904159</v>
      </c>
      <c r="AR6718">
        <v>224.218591682908</v>
      </c>
      <c r="AS6718" t="s">
        <v>65</v>
      </c>
      <c r="AT6718">
        <v>1</v>
      </c>
      <c r="AU6718" t="s">
        <v>1272</v>
      </c>
      <c r="AV6718" t="s">
        <v>1273</v>
      </c>
      <c r="AW6718" t="s">
        <v>60</v>
      </c>
      <c r="AX6718" t="s">
        <v>68</v>
      </c>
      <c r="AY6718" t="s">
        <v>69</v>
      </c>
      <c r="AZ6718" t="b">
        <v>1</v>
      </c>
    </row>
    <row r="6719" spans="1:52" x14ac:dyDescent="0.3">
      <c r="A6719" t="s">
        <v>52</v>
      </c>
      <c r="B6719" t="s">
        <v>53</v>
      </c>
      <c r="C6719" t="s">
        <v>54</v>
      </c>
      <c r="D6719" t="s">
        <v>55</v>
      </c>
      <c r="E6719" t="s">
        <v>2296</v>
      </c>
      <c r="F6719" t="s">
        <v>1247</v>
      </c>
      <c r="G6719" t="s">
        <v>191</v>
      </c>
      <c r="H6719" t="s">
        <v>192</v>
      </c>
      <c r="I6719" t="s">
        <v>192</v>
      </c>
      <c r="J6719" t="s">
        <v>60</v>
      </c>
      <c r="K6719" t="s">
        <v>193</v>
      </c>
      <c r="L6719" t="s">
        <v>62</v>
      </c>
      <c r="M6719" t="s">
        <v>193</v>
      </c>
      <c r="N6719" t="s">
        <v>194</v>
      </c>
      <c r="O6719" t="s">
        <v>195</v>
      </c>
      <c r="P6719">
        <v>-20.143266000000001</v>
      </c>
      <c r="Q6719">
        <v>-44.912075000000002</v>
      </c>
      <c r="R6719" s="2" t="str">
        <f>HYPERLINK("https://www.google.com/maps?q=-20.1432660,-44.9120750","Abrir no Google Maps")</f>
        <v>Abrir no Google Maps</v>
      </c>
      <c r="S6719">
        <v>4</v>
      </c>
      <c r="T6719">
        <v>467.04339396175408</v>
      </c>
      <c r="U6719">
        <v>3</v>
      </c>
      <c r="V6719">
        <v>0.170435726183612</v>
      </c>
      <c r="W6719">
        <v>1</v>
      </c>
      <c r="X6719">
        <v>0.170435726183612</v>
      </c>
      <c r="Y6719">
        <v>747</v>
      </c>
      <c r="Z6719">
        <v>585.1742452866996</v>
      </c>
      <c r="AA6719">
        <v>198</v>
      </c>
      <c r="AB6719">
        <v>332</v>
      </c>
      <c r="AC6719">
        <v>536</v>
      </c>
      <c r="AD6719">
        <v>28.93</v>
      </c>
      <c r="AE6719">
        <v>542</v>
      </c>
      <c r="AF6719">
        <v>29</v>
      </c>
      <c r="AG6719">
        <v>166</v>
      </c>
      <c r="AH6719">
        <v>129</v>
      </c>
      <c r="AI6719">
        <v>5.35</v>
      </c>
      <c r="AJ6719">
        <v>30.63</v>
      </c>
      <c r="AK6719">
        <v>23.8</v>
      </c>
      <c r="AL6719">
        <v>-20.143307949999951</v>
      </c>
      <c r="AM6719">
        <v>-44.912066629431067</v>
      </c>
      <c r="AN6719">
        <v>-20.143307949999951</v>
      </c>
      <c r="AO6719">
        <v>-44.912066629431067</v>
      </c>
      <c r="AP6719">
        <v>-20.143266000000001</v>
      </c>
      <c r="AQ6719">
        <v>-44.912075000000002</v>
      </c>
      <c r="AR6719">
        <v>4.751108024498329</v>
      </c>
      <c r="AS6719" t="s">
        <v>65</v>
      </c>
      <c r="AT6719">
        <v>1</v>
      </c>
      <c r="AU6719" t="s">
        <v>196</v>
      </c>
      <c r="AV6719" t="s">
        <v>197</v>
      </c>
      <c r="AW6719" t="s">
        <v>60</v>
      </c>
      <c r="AX6719" t="s">
        <v>68</v>
      </c>
      <c r="AY6719" t="s">
        <v>69</v>
      </c>
      <c r="AZ6719" t="b">
        <v>1</v>
      </c>
    </row>
    <row r="6720" spans="1:52" x14ac:dyDescent="0.3">
      <c r="A6720" t="s">
        <v>52</v>
      </c>
      <c r="B6720" t="s">
        <v>53</v>
      </c>
      <c r="C6720" t="s">
        <v>54</v>
      </c>
      <c r="D6720" t="s">
        <v>55</v>
      </c>
      <c r="E6720" t="s">
        <v>2296</v>
      </c>
      <c r="F6720" t="s">
        <v>1247</v>
      </c>
      <c r="G6720" t="s">
        <v>100</v>
      </c>
      <c r="H6720" t="s">
        <v>106</v>
      </c>
      <c r="I6720" t="s">
        <v>106</v>
      </c>
      <c r="J6720" t="s">
        <v>60</v>
      </c>
      <c r="K6720" t="s">
        <v>61</v>
      </c>
      <c r="L6720" t="s">
        <v>62</v>
      </c>
      <c r="M6720" t="s">
        <v>61</v>
      </c>
      <c r="N6720" t="s">
        <v>102</v>
      </c>
      <c r="O6720" t="s">
        <v>103</v>
      </c>
      <c r="P6720">
        <v>-20.151107</v>
      </c>
      <c r="Q6720">
        <v>-44.908918</v>
      </c>
      <c r="R6720" s="2" t="str">
        <f>HYPERLINK("https://www.google.com/maps?q=-20.1511070,-44.9089180","Abrir no Google Maps")</f>
        <v>Abrir no Google Maps</v>
      </c>
      <c r="S6720">
        <v>4</v>
      </c>
      <c r="T6720">
        <v>615.86400245321579</v>
      </c>
      <c r="U6720">
        <v>3</v>
      </c>
      <c r="V6720">
        <v>0.20395179029695709</v>
      </c>
      <c r="W6720">
        <v>0.85</v>
      </c>
      <c r="X6720">
        <v>0.17335902175241349</v>
      </c>
      <c r="Y6720">
        <v>747</v>
      </c>
      <c r="Z6720">
        <v>535.34543763764702</v>
      </c>
      <c r="AA6720">
        <v>198</v>
      </c>
      <c r="AB6720">
        <v>332</v>
      </c>
      <c r="AC6720">
        <v>536</v>
      </c>
      <c r="AD6720">
        <v>28.93</v>
      </c>
      <c r="AE6720">
        <v>542</v>
      </c>
      <c r="AF6720">
        <v>29</v>
      </c>
      <c r="AG6720">
        <v>166</v>
      </c>
      <c r="AH6720">
        <v>129</v>
      </c>
      <c r="AI6720">
        <v>5.35</v>
      </c>
      <c r="AJ6720">
        <v>30.63</v>
      </c>
      <c r="AK6720">
        <v>23.8</v>
      </c>
      <c r="AL6720">
        <v>-20.151307349999971</v>
      </c>
      <c r="AM6720">
        <v>-44.909024234051429</v>
      </c>
      <c r="AN6720">
        <v>-20.151307349999971</v>
      </c>
      <c r="AO6720">
        <v>-44.909024234051429</v>
      </c>
      <c r="AP6720">
        <v>-20.151107</v>
      </c>
      <c r="AQ6720">
        <v>-44.908918</v>
      </c>
      <c r="AR6720">
        <v>24.91340747371116</v>
      </c>
      <c r="AS6720" t="s">
        <v>65</v>
      </c>
      <c r="AT6720">
        <v>1</v>
      </c>
      <c r="AU6720" t="s">
        <v>107</v>
      </c>
      <c r="AV6720" t="s">
        <v>105</v>
      </c>
      <c r="AW6720" t="s">
        <v>60</v>
      </c>
      <c r="AX6720" t="s">
        <v>68</v>
      </c>
      <c r="AY6720" t="s">
        <v>69</v>
      </c>
      <c r="AZ6720" t="b">
        <v>1</v>
      </c>
    </row>
    <row r="6721" spans="1:52" x14ac:dyDescent="0.3">
      <c r="A6721" t="s">
        <v>52</v>
      </c>
      <c r="B6721" t="s">
        <v>53</v>
      </c>
      <c r="C6721" t="s">
        <v>54</v>
      </c>
      <c r="D6721" t="s">
        <v>55</v>
      </c>
      <c r="E6721" t="s">
        <v>2296</v>
      </c>
      <c r="F6721" t="s">
        <v>1247</v>
      </c>
      <c r="G6721" t="s">
        <v>1248</v>
      </c>
      <c r="H6721" t="s">
        <v>1249</v>
      </c>
      <c r="I6721" t="s">
        <v>1249</v>
      </c>
      <c r="J6721" t="s">
        <v>60</v>
      </c>
      <c r="K6721" t="s">
        <v>61</v>
      </c>
      <c r="L6721" t="s">
        <v>62</v>
      </c>
      <c r="M6721" t="s">
        <v>61</v>
      </c>
      <c r="N6721" t="s">
        <v>1250</v>
      </c>
      <c r="O6721" t="s">
        <v>202</v>
      </c>
      <c r="P6721">
        <v>-20.145337999999999</v>
      </c>
      <c r="Q6721">
        <v>-44.906260000000003</v>
      </c>
      <c r="R6721" s="2" t="str">
        <f>HYPERLINK("https://www.google.com/maps?q=-20.1453380,-44.9062600","Abrir no Google Maps")</f>
        <v>Abrir no Google Maps</v>
      </c>
      <c r="S6721">
        <v>4</v>
      </c>
      <c r="T6721">
        <v>231.8105263092443</v>
      </c>
      <c r="U6721">
        <v>2</v>
      </c>
      <c r="V6721">
        <v>0.1638174154553908</v>
      </c>
      <c r="W6721">
        <v>0.85</v>
      </c>
      <c r="X6721">
        <v>0.13924480313708221</v>
      </c>
      <c r="Y6721">
        <v>747</v>
      </c>
      <c r="Z6721">
        <v>210.09098260239841</v>
      </c>
      <c r="AA6721">
        <v>198</v>
      </c>
      <c r="AB6721">
        <v>332</v>
      </c>
      <c r="AC6721">
        <v>536</v>
      </c>
      <c r="AD6721">
        <v>28.93</v>
      </c>
      <c r="AE6721">
        <v>542</v>
      </c>
      <c r="AF6721">
        <v>29</v>
      </c>
      <c r="AG6721">
        <v>166</v>
      </c>
      <c r="AH6721">
        <v>129</v>
      </c>
      <c r="AI6721">
        <v>5.35</v>
      </c>
      <c r="AJ6721">
        <v>30.63</v>
      </c>
      <c r="AK6721">
        <v>23.8</v>
      </c>
      <c r="AL6721">
        <v>-20.14545934999995</v>
      </c>
      <c r="AM6721">
        <v>-44.906243174283489</v>
      </c>
      <c r="AN6721">
        <v>-20.14545934999995</v>
      </c>
      <c r="AO6721">
        <v>-44.906243174283489</v>
      </c>
      <c r="AP6721">
        <v>-20.145337999999999</v>
      </c>
      <c r="AQ6721">
        <v>-44.906260000000003</v>
      </c>
      <c r="AR6721">
        <v>13.622651392262521</v>
      </c>
      <c r="AS6721" t="s">
        <v>65</v>
      </c>
      <c r="AT6721">
        <v>1</v>
      </c>
      <c r="AU6721" t="s">
        <v>1251</v>
      </c>
      <c r="AV6721" t="s">
        <v>1252</v>
      </c>
      <c r="AW6721" t="s">
        <v>60</v>
      </c>
      <c r="AX6721" t="s">
        <v>68</v>
      </c>
      <c r="AY6721" t="s">
        <v>69</v>
      </c>
      <c r="AZ6721" t="b">
        <v>1</v>
      </c>
    </row>
    <row r="6722" spans="1:52" x14ac:dyDescent="0.3">
      <c r="A6722" t="s">
        <v>52</v>
      </c>
      <c r="B6722" t="s">
        <v>53</v>
      </c>
      <c r="C6722" t="s">
        <v>54</v>
      </c>
      <c r="D6722" t="s">
        <v>55</v>
      </c>
      <c r="E6722" t="s">
        <v>2296</v>
      </c>
      <c r="F6722" t="s">
        <v>1247</v>
      </c>
      <c r="G6722" t="s">
        <v>83</v>
      </c>
      <c r="H6722" t="s">
        <v>84</v>
      </c>
      <c r="I6722" t="s">
        <v>84</v>
      </c>
      <c r="J6722" t="s">
        <v>60</v>
      </c>
      <c r="K6722" t="s">
        <v>61</v>
      </c>
      <c r="L6722" t="s">
        <v>62</v>
      </c>
      <c r="M6722" t="s">
        <v>61</v>
      </c>
      <c r="N6722" t="s">
        <v>85</v>
      </c>
      <c r="O6722" t="s">
        <v>86</v>
      </c>
      <c r="P6722">
        <v>-20.149799000000002</v>
      </c>
      <c r="Q6722">
        <v>-44.906517000000001</v>
      </c>
      <c r="R6722" s="2" t="str">
        <f>HYPERLINK("https://www.google.com/maps?q=-20.1497990,-44.9065170","Abrir no Google Maps")</f>
        <v>Abrir no Google Maps</v>
      </c>
      <c r="S6722">
        <v>4</v>
      </c>
      <c r="T6722">
        <v>487.90051105537998</v>
      </c>
      <c r="U6722">
        <v>2</v>
      </c>
      <c r="V6722">
        <v>0.15219444122159051</v>
      </c>
      <c r="W6722">
        <v>1</v>
      </c>
      <c r="X6722">
        <v>0.15219444122159051</v>
      </c>
      <c r="Y6722">
        <v>747</v>
      </c>
      <c r="Z6722">
        <v>365.93785960107078</v>
      </c>
      <c r="AA6722">
        <v>198</v>
      </c>
      <c r="AB6722">
        <v>332</v>
      </c>
      <c r="AC6722">
        <v>536</v>
      </c>
      <c r="AD6722">
        <v>28.93</v>
      </c>
      <c r="AE6722">
        <v>542</v>
      </c>
      <c r="AF6722">
        <v>29</v>
      </c>
      <c r="AG6722">
        <v>166</v>
      </c>
      <c r="AH6722">
        <v>129</v>
      </c>
      <c r="AI6722">
        <v>5.35</v>
      </c>
      <c r="AJ6722">
        <v>30.63</v>
      </c>
      <c r="AK6722">
        <v>23.8</v>
      </c>
      <c r="AL6722">
        <v>-20.149879599999959</v>
      </c>
      <c r="AM6722">
        <v>-44.906746466068469</v>
      </c>
      <c r="AN6722">
        <v>-20.149879599999959</v>
      </c>
      <c r="AO6722">
        <v>-44.906746466068469</v>
      </c>
      <c r="AP6722">
        <v>-20.149799000000002</v>
      </c>
      <c r="AQ6722">
        <v>-44.906517000000001</v>
      </c>
      <c r="AR6722">
        <v>25.604276856970429</v>
      </c>
      <c r="AS6722" t="s">
        <v>65</v>
      </c>
      <c r="AT6722">
        <v>1</v>
      </c>
      <c r="AU6722" t="s">
        <v>87</v>
      </c>
      <c r="AV6722" t="s">
        <v>88</v>
      </c>
      <c r="AW6722" t="s">
        <v>60</v>
      </c>
      <c r="AX6722" t="s">
        <v>68</v>
      </c>
      <c r="AY6722" t="s">
        <v>69</v>
      </c>
      <c r="AZ6722" t="b">
        <v>1</v>
      </c>
    </row>
    <row r="6723" spans="1:52" x14ac:dyDescent="0.3">
      <c r="A6723" t="s">
        <v>52</v>
      </c>
      <c r="B6723" t="s">
        <v>53</v>
      </c>
      <c r="C6723" t="s">
        <v>54</v>
      </c>
      <c r="D6723" t="s">
        <v>55</v>
      </c>
      <c r="E6723" t="s">
        <v>2296</v>
      </c>
      <c r="F6723" t="s">
        <v>1247</v>
      </c>
      <c r="G6723" t="s">
        <v>95</v>
      </c>
      <c r="H6723" t="s">
        <v>96</v>
      </c>
      <c r="I6723" t="s">
        <v>96</v>
      </c>
      <c r="J6723" t="s">
        <v>60</v>
      </c>
      <c r="K6723" t="s">
        <v>72</v>
      </c>
      <c r="L6723" t="s">
        <v>62</v>
      </c>
      <c r="M6723" t="s">
        <v>72</v>
      </c>
      <c r="N6723" t="s">
        <v>97</v>
      </c>
      <c r="O6723" t="s">
        <v>98</v>
      </c>
      <c r="P6723">
        <v>-20.144062999999999</v>
      </c>
      <c r="Q6723">
        <v>-44.909627999999998</v>
      </c>
      <c r="R6723" s="2" t="str">
        <f>HYPERLINK("https://www.google.com/maps?q=-20.1440630,-44.9096280","Abrir no Google Maps")</f>
        <v>Abrir no Google Maps</v>
      </c>
      <c r="S6723">
        <v>4</v>
      </c>
      <c r="T6723">
        <v>205.27083326529291</v>
      </c>
      <c r="U6723">
        <v>2</v>
      </c>
      <c r="V6723">
        <v>0.14252239232626099</v>
      </c>
      <c r="W6723">
        <v>1</v>
      </c>
      <c r="X6723">
        <v>0.14252239232626099</v>
      </c>
      <c r="Y6723">
        <v>747</v>
      </c>
      <c r="Z6723">
        <v>336.75785483480968</v>
      </c>
      <c r="AA6723">
        <v>198</v>
      </c>
      <c r="AB6723">
        <v>332</v>
      </c>
      <c r="AC6723">
        <v>536</v>
      </c>
      <c r="AD6723">
        <v>28.93</v>
      </c>
      <c r="AE6723">
        <v>542</v>
      </c>
      <c r="AF6723">
        <v>29</v>
      </c>
      <c r="AG6723">
        <v>166</v>
      </c>
      <c r="AH6723">
        <v>129</v>
      </c>
      <c r="AI6723">
        <v>5.35</v>
      </c>
      <c r="AJ6723">
        <v>30.63</v>
      </c>
      <c r="AK6723">
        <v>23.8</v>
      </c>
      <c r="AL6723">
        <v>-20.144164099999951</v>
      </c>
      <c r="AM6723">
        <v>-44.909420167767642</v>
      </c>
      <c r="AN6723">
        <v>-20.144164099999951</v>
      </c>
      <c r="AO6723">
        <v>-44.909420167767642</v>
      </c>
      <c r="AP6723">
        <v>-20.144062999999999</v>
      </c>
      <c r="AQ6723">
        <v>-44.909627999999998</v>
      </c>
      <c r="AR6723">
        <v>24.46321571724976</v>
      </c>
      <c r="AS6723" t="s">
        <v>65</v>
      </c>
      <c r="AT6723">
        <v>1</v>
      </c>
      <c r="AU6723" t="s">
        <v>99</v>
      </c>
      <c r="AV6723" t="s">
        <v>94</v>
      </c>
      <c r="AW6723" t="s">
        <v>60</v>
      </c>
      <c r="AX6723" t="s">
        <v>68</v>
      </c>
      <c r="AY6723" t="s">
        <v>69</v>
      </c>
      <c r="AZ6723" t="b">
        <v>1</v>
      </c>
    </row>
    <row r="6724" spans="1:52" x14ac:dyDescent="0.3">
      <c r="A6724" t="s">
        <v>52</v>
      </c>
      <c r="B6724" t="s">
        <v>53</v>
      </c>
      <c r="C6724" t="s">
        <v>54</v>
      </c>
      <c r="D6724" t="s">
        <v>55</v>
      </c>
      <c r="E6724" t="s">
        <v>2296</v>
      </c>
      <c r="F6724" t="s">
        <v>1247</v>
      </c>
      <c r="G6724" t="s">
        <v>1258</v>
      </c>
      <c r="H6724" t="s">
        <v>1259</v>
      </c>
      <c r="I6724" t="s">
        <v>1259</v>
      </c>
      <c r="J6724" t="s">
        <v>60</v>
      </c>
      <c r="K6724" t="s">
        <v>905</v>
      </c>
      <c r="L6724" t="s">
        <v>62</v>
      </c>
      <c r="M6724" t="s">
        <v>905</v>
      </c>
      <c r="N6724" t="s">
        <v>1260</v>
      </c>
      <c r="O6724" t="s">
        <v>628</v>
      </c>
      <c r="P6724">
        <v>-20.113569999999999</v>
      </c>
      <c r="Q6724">
        <v>-44.897216</v>
      </c>
      <c r="R6724" s="2" t="str">
        <f>HYPERLINK("https://www.google.com/maps?q=-20.1135700,-44.8972160","Abrir no Google Maps")</f>
        <v>Abrir no Google Maps</v>
      </c>
      <c r="S6724">
        <v>4</v>
      </c>
      <c r="T6724">
        <v>418.54368277643368</v>
      </c>
      <c r="U6724">
        <v>2</v>
      </c>
      <c r="V6724">
        <v>0.1768211421684511</v>
      </c>
      <c r="W6724">
        <v>0.85</v>
      </c>
      <c r="X6724">
        <v>0.15029797084318339</v>
      </c>
      <c r="Y6724">
        <v>567</v>
      </c>
      <c r="Z6724">
        <v>315.02989622191018</v>
      </c>
      <c r="AA6724">
        <v>198</v>
      </c>
      <c r="AB6724">
        <v>332</v>
      </c>
      <c r="AC6724">
        <v>536</v>
      </c>
      <c r="AD6724">
        <v>28.93</v>
      </c>
      <c r="AE6724">
        <v>542</v>
      </c>
      <c r="AF6724">
        <v>29</v>
      </c>
      <c r="AG6724">
        <v>166</v>
      </c>
      <c r="AH6724">
        <v>129</v>
      </c>
      <c r="AI6724">
        <v>5.35</v>
      </c>
      <c r="AJ6724">
        <v>30.63</v>
      </c>
      <c r="AK6724">
        <v>23.8</v>
      </c>
      <c r="AL6724">
        <v>-20.113750149999959</v>
      </c>
      <c r="AM6724">
        <v>-44.897427949999937</v>
      </c>
      <c r="AN6724">
        <v>-20.113750149999959</v>
      </c>
      <c r="AO6724">
        <v>-44.897427949999937</v>
      </c>
      <c r="AP6724">
        <v>-20.113569999999999</v>
      </c>
      <c r="AQ6724">
        <v>-44.897216</v>
      </c>
      <c r="AR6724">
        <v>29.883644534822711</v>
      </c>
      <c r="AS6724" t="s">
        <v>65</v>
      </c>
      <c r="AT6724">
        <v>1</v>
      </c>
      <c r="AU6724" t="s">
        <v>1261</v>
      </c>
      <c r="AV6724" t="s">
        <v>1262</v>
      </c>
      <c r="AW6724" t="s">
        <v>60</v>
      </c>
      <c r="AX6724" t="s">
        <v>68</v>
      </c>
      <c r="AY6724" t="s">
        <v>69</v>
      </c>
      <c r="AZ6724" t="b">
        <v>1</v>
      </c>
    </row>
    <row r="6725" spans="1:52" x14ac:dyDescent="0.3">
      <c r="A6725" t="s">
        <v>52</v>
      </c>
      <c r="B6725" t="s">
        <v>53</v>
      </c>
      <c r="C6725" t="s">
        <v>54</v>
      </c>
      <c r="D6725" t="s">
        <v>55</v>
      </c>
      <c r="E6725" t="s">
        <v>2296</v>
      </c>
      <c r="F6725" t="s">
        <v>1247</v>
      </c>
      <c r="G6725" t="s">
        <v>115</v>
      </c>
      <c r="H6725" t="s">
        <v>116</v>
      </c>
      <c r="I6725" t="s">
        <v>116</v>
      </c>
      <c r="J6725" t="s">
        <v>60</v>
      </c>
      <c r="K6725" t="s">
        <v>117</v>
      </c>
      <c r="L6725" t="s">
        <v>62</v>
      </c>
      <c r="M6725" t="s">
        <v>117</v>
      </c>
      <c r="N6725" t="s">
        <v>118</v>
      </c>
      <c r="O6725" t="s">
        <v>119</v>
      </c>
      <c r="P6725">
        <v>-20.116992</v>
      </c>
      <c r="Q6725">
        <v>-44.899355</v>
      </c>
      <c r="R6725" s="2" t="str">
        <f>HYPERLINK("https://www.google.com/maps?q=-20.1169920,-44.8993550","Abrir no Google Maps")</f>
        <v>Abrir no Google Maps</v>
      </c>
      <c r="S6725">
        <v>4</v>
      </c>
      <c r="T6725">
        <v>0</v>
      </c>
      <c r="U6725">
        <v>2</v>
      </c>
      <c r="V6725">
        <v>0.14458337197201529</v>
      </c>
      <c r="W6725">
        <v>1</v>
      </c>
      <c r="X6725">
        <v>0.14458337197201529</v>
      </c>
      <c r="Y6725">
        <v>567</v>
      </c>
      <c r="Z6725">
        <v>54.913678078353321</v>
      </c>
      <c r="AA6725">
        <v>198</v>
      </c>
      <c r="AB6725">
        <v>332</v>
      </c>
      <c r="AC6725">
        <v>536</v>
      </c>
      <c r="AD6725">
        <v>28.93</v>
      </c>
      <c r="AE6725">
        <v>542</v>
      </c>
      <c r="AF6725">
        <v>29</v>
      </c>
      <c r="AG6725">
        <v>166</v>
      </c>
      <c r="AH6725">
        <v>129</v>
      </c>
      <c r="AI6725">
        <v>5.35</v>
      </c>
      <c r="AJ6725">
        <v>30.63</v>
      </c>
      <c r="AK6725">
        <v>23.8</v>
      </c>
      <c r="AL6725">
        <v>-20.117107749999949</v>
      </c>
      <c r="AM6725">
        <v>-44.899271226243108</v>
      </c>
      <c r="AN6725">
        <v>-20.117107749999949</v>
      </c>
      <c r="AO6725">
        <v>-44.899271226243108</v>
      </c>
      <c r="AP6725">
        <v>-20.116992</v>
      </c>
      <c r="AQ6725">
        <v>-44.899355</v>
      </c>
      <c r="AR6725">
        <v>15.579196044083419</v>
      </c>
      <c r="AS6725" t="s">
        <v>65</v>
      </c>
      <c r="AT6725">
        <v>1</v>
      </c>
      <c r="AU6725" t="s">
        <v>120</v>
      </c>
      <c r="AV6725" t="s">
        <v>121</v>
      </c>
      <c r="AW6725" t="s">
        <v>60</v>
      </c>
      <c r="AX6725" t="s">
        <v>68</v>
      </c>
      <c r="AY6725" t="s">
        <v>69</v>
      </c>
      <c r="AZ6725" t="b">
        <v>1</v>
      </c>
    </row>
    <row r="6726" spans="1:52" x14ac:dyDescent="0.3">
      <c r="A6726" t="s">
        <v>52</v>
      </c>
      <c r="B6726" t="s">
        <v>53</v>
      </c>
      <c r="C6726" t="s">
        <v>54</v>
      </c>
      <c r="D6726" t="s">
        <v>55</v>
      </c>
      <c r="E6726" t="s">
        <v>2296</v>
      </c>
      <c r="F6726" t="s">
        <v>1247</v>
      </c>
      <c r="G6726" t="s">
        <v>122</v>
      </c>
      <c r="H6726" t="s">
        <v>123</v>
      </c>
      <c r="I6726" t="s">
        <v>123</v>
      </c>
      <c r="J6726" t="s">
        <v>60</v>
      </c>
      <c r="K6726" t="s">
        <v>117</v>
      </c>
      <c r="L6726" t="s">
        <v>62</v>
      </c>
      <c r="M6726" t="s">
        <v>117</v>
      </c>
      <c r="N6726" t="s">
        <v>124</v>
      </c>
      <c r="O6726" t="s">
        <v>125</v>
      </c>
      <c r="P6726">
        <v>-20.11853</v>
      </c>
      <c r="Q6726">
        <v>-44.896925000000003</v>
      </c>
      <c r="R6726" s="2" t="str">
        <f>HYPERLINK("https://www.google.com/maps?q=-20.1185300,-44.8969250","Abrir no Google Maps")</f>
        <v>Abrir no Google Maps</v>
      </c>
      <c r="S6726">
        <v>4</v>
      </c>
      <c r="T6726">
        <v>325.32255721093247</v>
      </c>
      <c r="U6726">
        <v>2</v>
      </c>
      <c r="V6726">
        <v>0.138930835938466</v>
      </c>
      <c r="W6726">
        <v>1</v>
      </c>
      <c r="X6726">
        <v>0.138930835938466</v>
      </c>
      <c r="Y6726">
        <v>567</v>
      </c>
      <c r="Z6726">
        <v>306.04423478678871</v>
      </c>
      <c r="AA6726">
        <v>198</v>
      </c>
      <c r="AB6726">
        <v>332</v>
      </c>
      <c r="AC6726">
        <v>536</v>
      </c>
      <c r="AD6726">
        <v>28.93</v>
      </c>
      <c r="AE6726">
        <v>542</v>
      </c>
      <c r="AF6726">
        <v>29</v>
      </c>
      <c r="AG6726">
        <v>166</v>
      </c>
      <c r="AH6726">
        <v>129</v>
      </c>
      <c r="AI6726">
        <v>5.35</v>
      </c>
      <c r="AJ6726">
        <v>30.63</v>
      </c>
      <c r="AK6726">
        <v>23.8</v>
      </c>
      <c r="AL6726">
        <v>-20.118682499999949</v>
      </c>
      <c r="AM6726">
        <v>-44.896643089287927</v>
      </c>
      <c r="AN6726">
        <v>-20.118682499999949</v>
      </c>
      <c r="AO6726">
        <v>-44.896643089287927</v>
      </c>
      <c r="AP6726">
        <v>-20.11853</v>
      </c>
      <c r="AQ6726">
        <v>-44.896925000000003</v>
      </c>
      <c r="AR6726">
        <v>34.007698996886518</v>
      </c>
      <c r="AS6726" t="s">
        <v>65</v>
      </c>
      <c r="AT6726">
        <v>1</v>
      </c>
      <c r="AU6726" t="s">
        <v>126</v>
      </c>
      <c r="AV6726" t="s">
        <v>121</v>
      </c>
      <c r="AW6726" t="s">
        <v>60</v>
      </c>
      <c r="AX6726" t="s">
        <v>68</v>
      </c>
      <c r="AY6726" t="s">
        <v>69</v>
      </c>
      <c r="AZ6726" t="b">
        <v>1</v>
      </c>
    </row>
    <row r="6727" spans="1:52" x14ac:dyDescent="0.3">
      <c r="A6727" t="s">
        <v>52</v>
      </c>
      <c r="B6727" t="s">
        <v>53</v>
      </c>
      <c r="C6727" t="s">
        <v>54</v>
      </c>
      <c r="D6727" t="s">
        <v>55</v>
      </c>
      <c r="E6727" t="s">
        <v>2296</v>
      </c>
      <c r="F6727" t="s">
        <v>1247</v>
      </c>
      <c r="G6727" t="s">
        <v>58</v>
      </c>
      <c r="H6727" t="s">
        <v>59</v>
      </c>
      <c r="I6727" t="s">
        <v>59</v>
      </c>
      <c r="J6727" t="s">
        <v>60</v>
      </c>
      <c r="K6727" t="s">
        <v>61</v>
      </c>
      <c r="L6727" t="s">
        <v>62</v>
      </c>
      <c r="M6727" t="s">
        <v>61</v>
      </c>
      <c r="N6727" t="s">
        <v>63</v>
      </c>
      <c r="O6727" t="s">
        <v>64</v>
      </c>
      <c r="P6727">
        <v>-20.147940999999999</v>
      </c>
      <c r="Q6727">
        <v>-44.906514000000001</v>
      </c>
      <c r="R6727" s="2" t="str">
        <f>HYPERLINK("https://www.google.com/maps?q=-20.1479410,-44.9065140","Abrir no Google Maps")</f>
        <v>Abrir no Google Maps</v>
      </c>
      <c r="S6727">
        <v>4</v>
      </c>
      <c r="T6727">
        <v>308.67004994113421</v>
      </c>
      <c r="U6727">
        <v>1</v>
      </c>
      <c r="V6727">
        <v>0.13585285955174581</v>
      </c>
      <c r="W6727">
        <v>1</v>
      </c>
      <c r="X6727">
        <v>0.13585285955174581</v>
      </c>
      <c r="Y6727">
        <v>747</v>
      </c>
      <c r="Z6727">
        <v>274.71440454502522</v>
      </c>
      <c r="AA6727">
        <v>198</v>
      </c>
      <c r="AB6727">
        <v>332</v>
      </c>
      <c r="AC6727">
        <v>536</v>
      </c>
      <c r="AD6727">
        <v>28.93</v>
      </c>
      <c r="AE6727">
        <v>542</v>
      </c>
      <c r="AF6727">
        <v>29</v>
      </c>
      <c r="AG6727">
        <v>166</v>
      </c>
      <c r="AH6727">
        <v>129</v>
      </c>
      <c r="AI6727">
        <v>5.35</v>
      </c>
      <c r="AJ6727">
        <v>30.63</v>
      </c>
      <c r="AK6727">
        <v>23.8</v>
      </c>
      <c r="AL6727">
        <v>-20.147947799999969</v>
      </c>
      <c r="AM6727">
        <v>-44.906591596129203</v>
      </c>
      <c r="AN6727">
        <v>-20.147947799999969</v>
      </c>
      <c r="AO6727">
        <v>-44.906591596129203</v>
      </c>
      <c r="AP6727">
        <v>-20.147940999999999</v>
      </c>
      <c r="AQ6727">
        <v>-44.906514000000001</v>
      </c>
      <c r="AR6727">
        <v>8.1446636170570326</v>
      </c>
      <c r="AS6727" t="s">
        <v>65</v>
      </c>
      <c r="AT6727">
        <v>1</v>
      </c>
      <c r="AU6727" t="s">
        <v>66</v>
      </c>
      <c r="AV6727" t="s">
        <v>67</v>
      </c>
      <c r="AW6727" t="s">
        <v>60</v>
      </c>
      <c r="AX6727" t="s">
        <v>68</v>
      </c>
      <c r="AY6727" t="s">
        <v>69</v>
      </c>
      <c r="AZ6727" t="b">
        <v>1</v>
      </c>
    </row>
    <row r="6728" spans="1:52" x14ac:dyDescent="0.3">
      <c r="A6728" t="s">
        <v>52</v>
      </c>
      <c r="B6728" t="s">
        <v>53</v>
      </c>
      <c r="C6728" t="s">
        <v>54</v>
      </c>
      <c r="D6728" t="s">
        <v>55</v>
      </c>
      <c r="E6728" t="s">
        <v>2296</v>
      </c>
      <c r="F6728" t="s">
        <v>1247</v>
      </c>
      <c r="G6728" t="s">
        <v>83</v>
      </c>
      <c r="H6728" t="s">
        <v>1253</v>
      </c>
      <c r="I6728" t="s">
        <v>1253</v>
      </c>
      <c r="J6728" t="s">
        <v>60</v>
      </c>
      <c r="K6728" t="s">
        <v>72</v>
      </c>
      <c r="L6728" t="s">
        <v>62</v>
      </c>
      <c r="M6728" t="s">
        <v>72</v>
      </c>
      <c r="N6728" t="s">
        <v>1254</v>
      </c>
      <c r="O6728" t="s">
        <v>1255</v>
      </c>
      <c r="P6728">
        <v>-20.147164</v>
      </c>
      <c r="Q6728">
        <v>-44.905259000000001</v>
      </c>
      <c r="R6728" s="2" t="str">
        <f>HYPERLINK("https://www.google.com/maps?q=-20.1471640,-44.9052590","Abrir no Google Maps")</f>
        <v>Abrir no Google Maps</v>
      </c>
      <c r="S6728">
        <v>4</v>
      </c>
      <c r="T6728">
        <v>364.08569180502712</v>
      </c>
      <c r="U6728">
        <v>1</v>
      </c>
      <c r="V6728">
        <v>0.1609179939733103</v>
      </c>
      <c r="W6728">
        <v>0.85</v>
      </c>
      <c r="X6728">
        <v>0.13678029487731369</v>
      </c>
      <c r="Y6728">
        <v>747</v>
      </c>
      <c r="Z6728">
        <v>309.89238988435022</v>
      </c>
      <c r="AA6728">
        <v>198</v>
      </c>
      <c r="AB6728">
        <v>332</v>
      </c>
      <c r="AC6728">
        <v>536</v>
      </c>
      <c r="AD6728">
        <v>28.93</v>
      </c>
      <c r="AE6728">
        <v>542</v>
      </c>
      <c r="AF6728">
        <v>29</v>
      </c>
      <c r="AG6728">
        <v>166</v>
      </c>
      <c r="AH6728">
        <v>129</v>
      </c>
      <c r="AI6728">
        <v>5.35</v>
      </c>
      <c r="AJ6728">
        <v>30.63</v>
      </c>
      <c r="AK6728">
        <v>23.8</v>
      </c>
      <c r="AL6728">
        <v>-20.14718674999995</v>
      </c>
      <c r="AM6728">
        <v>-44.905292621565764</v>
      </c>
      <c r="AN6728">
        <v>-20.147186749999939</v>
      </c>
      <c r="AO6728">
        <v>-44.905292621565764</v>
      </c>
      <c r="AP6728">
        <v>-20.147164</v>
      </c>
      <c r="AQ6728">
        <v>-44.905259000000001</v>
      </c>
      <c r="AR6728">
        <v>4.3312880650984971</v>
      </c>
      <c r="AS6728" t="s">
        <v>65</v>
      </c>
      <c r="AT6728">
        <v>1</v>
      </c>
      <c r="AU6728" t="s">
        <v>1256</v>
      </c>
      <c r="AV6728" t="s">
        <v>1257</v>
      </c>
      <c r="AW6728" t="s">
        <v>60</v>
      </c>
      <c r="AX6728" t="s">
        <v>68</v>
      </c>
      <c r="AY6728" t="s">
        <v>69</v>
      </c>
      <c r="AZ6728" t="b">
        <v>1</v>
      </c>
    </row>
    <row r="6729" spans="1:52" x14ac:dyDescent="0.3">
      <c r="A6729" t="s">
        <v>52</v>
      </c>
      <c r="B6729" t="s">
        <v>53</v>
      </c>
      <c r="C6729" t="s">
        <v>54</v>
      </c>
      <c r="D6729" t="s">
        <v>55</v>
      </c>
      <c r="E6729" t="s">
        <v>2296</v>
      </c>
      <c r="F6729" t="s">
        <v>1247</v>
      </c>
      <c r="G6729" t="s">
        <v>70</v>
      </c>
      <c r="H6729" t="s">
        <v>71</v>
      </c>
      <c r="I6729" t="s">
        <v>71</v>
      </c>
      <c r="J6729" t="s">
        <v>60</v>
      </c>
      <c r="K6729" t="s">
        <v>72</v>
      </c>
      <c r="L6729" t="s">
        <v>62</v>
      </c>
      <c r="M6729" t="s">
        <v>72</v>
      </c>
      <c r="N6729" t="s">
        <v>73</v>
      </c>
      <c r="O6729" t="s">
        <v>74</v>
      </c>
      <c r="P6729">
        <v>-20.149349000000001</v>
      </c>
      <c r="Q6729">
        <v>-44.910784</v>
      </c>
      <c r="R6729" s="2" t="str">
        <f>HYPERLINK("https://www.google.com/maps?q=-20.1493490,-44.9107840","Abrir no Google Maps")</f>
        <v>Abrir no Google Maps</v>
      </c>
      <c r="S6729">
        <v>4</v>
      </c>
      <c r="T6729">
        <v>472.43876549769578</v>
      </c>
      <c r="U6729">
        <v>1</v>
      </c>
      <c r="V6729">
        <v>0.1245155038759688</v>
      </c>
      <c r="W6729">
        <v>1</v>
      </c>
      <c r="X6729">
        <v>0.1245155038759688</v>
      </c>
      <c r="Y6729">
        <v>747</v>
      </c>
      <c r="Z6729">
        <v>441.03921887407779</v>
      </c>
      <c r="AA6729">
        <v>198</v>
      </c>
      <c r="AB6729">
        <v>332</v>
      </c>
      <c r="AC6729">
        <v>536</v>
      </c>
      <c r="AD6729">
        <v>28.93</v>
      </c>
      <c r="AE6729">
        <v>542</v>
      </c>
      <c r="AF6729">
        <v>29</v>
      </c>
      <c r="AG6729">
        <v>166</v>
      </c>
      <c r="AH6729">
        <v>129</v>
      </c>
      <c r="AI6729">
        <v>5.35</v>
      </c>
      <c r="AJ6729">
        <v>30.63</v>
      </c>
      <c r="AK6729">
        <v>23.8</v>
      </c>
      <c r="AL6729">
        <v>-20.149403999999951</v>
      </c>
      <c r="AM6729">
        <v>-44.91080895147438</v>
      </c>
      <c r="AN6729">
        <v>-20.149403999999951</v>
      </c>
      <c r="AO6729">
        <v>-44.91080895147438</v>
      </c>
      <c r="AP6729">
        <v>-20.149349000000001</v>
      </c>
      <c r="AQ6729">
        <v>-44.910784</v>
      </c>
      <c r="AR6729">
        <v>6.6547592699416382</v>
      </c>
      <c r="AS6729" t="s">
        <v>65</v>
      </c>
      <c r="AT6729">
        <v>1</v>
      </c>
      <c r="AU6729" t="s">
        <v>75</v>
      </c>
      <c r="AV6729" t="s">
        <v>76</v>
      </c>
      <c r="AW6729" t="s">
        <v>60</v>
      </c>
      <c r="AX6729" t="s">
        <v>68</v>
      </c>
      <c r="AY6729" t="s">
        <v>69</v>
      </c>
      <c r="AZ6729" t="b">
        <v>1</v>
      </c>
    </row>
    <row r="6730" spans="1:52" x14ac:dyDescent="0.3">
      <c r="A6730" t="s">
        <v>52</v>
      </c>
      <c r="B6730" t="s">
        <v>53</v>
      </c>
      <c r="C6730" t="s">
        <v>54</v>
      </c>
      <c r="D6730" t="s">
        <v>55</v>
      </c>
      <c r="E6730" t="s">
        <v>2296</v>
      </c>
      <c r="F6730" t="s">
        <v>1247</v>
      </c>
      <c r="G6730" t="s">
        <v>77</v>
      </c>
      <c r="H6730" t="s">
        <v>78</v>
      </c>
      <c r="I6730" t="s">
        <v>78</v>
      </c>
      <c r="J6730" t="s">
        <v>60</v>
      </c>
      <c r="K6730" t="s">
        <v>72</v>
      </c>
      <c r="L6730" t="s">
        <v>62</v>
      </c>
      <c r="M6730" t="s">
        <v>72</v>
      </c>
      <c r="N6730" t="s">
        <v>79</v>
      </c>
      <c r="O6730" t="s">
        <v>80</v>
      </c>
      <c r="P6730">
        <v>-20.147821</v>
      </c>
      <c r="Q6730">
        <v>-44.908887</v>
      </c>
      <c r="R6730" s="2" t="str">
        <f>HYPERLINK("https://www.google.com/maps?q=-20.1478210,-44.9088870","Abrir no Google Maps")</f>
        <v>Abrir no Google Maps</v>
      </c>
      <c r="S6730">
        <v>4</v>
      </c>
      <c r="T6730">
        <v>232.2893841532152</v>
      </c>
      <c r="U6730">
        <v>1</v>
      </c>
      <c r="V6730">
        <v>0.11210776218001629</v>
      </c>
      <c r="W6730">
        <v>1</v>
      </c>
      <c r="X6730">
        <v>0.11210776218001629</v>
      </c>
      <c r="Y6730">
        <v>747</v>
      </c>
      <c r="Z6730">
        <v>195.3668648953757</v>
      </c>
      <c r="AA6730">
        <v>198</v>
      </c>
      <c r="AB6730">
        <v>332</v>
      </c>
      <c r="AC6730">
        <v>536</v>
      </c>
      <c r="AD6730">
        <v>28.93</v>
      </c>
      <c r="AE6730">
        <v>542</v>
      </c>
      <c r="AF6730">
        <v>29</v>
      </c>
      <c r="AG6730">
        <v>166</v>
      </c>
      <c r="AH6730">
        <v>129</v>
      </c>
      <c r="AI6730">
        <v>5.35</v>
      </c>
      <c r="AJ6730">
        <v>30.63</v>
      </c>
      <c r="AK6730">
        <v>23.8</v>
      </c>
      <c r="AL6730">
        <v>-20.147802849999952</v>
      </c>
      <c r="AM6730">
        <v>-44.908989919229477</v>
      </c>
      <c r="AN6730">
        <v>-20.147802849999952</v>
      </c>
      <c r="AO6730">
        <v>-44.908989919229491</v>
      </c>
      <c r="AP6730">
        <v>-20.147821</v>
      </c>
      <c r="AQ6730">
        <v>-44.908887</v>
      </c>
      <c r="AR6730">
        <v>10.944007761262529</v>
      </c>
      <c r="AS6730" t="s">
        <v>65</v>
      </c>
      <c r="AT6730">
        <v>1</v>
      </c>
      <c r="AU6730" t="s">
        <v>81</v>
      </c>
      <c r="AV6730" t="s">
        <v>82</v>
      </c>
      <c r="AW6730" t="s">
        <v>60</v>
      </c>
      <c r="AX6730" t="s">
        <v>68</v>
      </c>
      <c r="AY6730" t="s">
        <v>69</v>
      </c>
      <c r="AZ6730" t="b">
        <v>1</v>
      </c>
    </row>
    <row r="6731" spans="1:52" x14ac:dyDescent="0.3">
      <c r="A6731" t="s">
        <v>52</v>
      </c>
      <c r="B6731" t="s">
        <v>53</v>
      </c>
      <c r="C6731" t="s">
        <v>54</v>
      </c>
      <c r="D6731" t="s">
        <v>55</v>
      </c>
      <c r="E6731" t="s">
        <v>2296</v>
      </c>
      <c r="F6731" t="s">
        <v>1247</v>
      </c>
      <c r="G6731" t="s">
        <v>89</v>
      </c>
      <c r="H6731" t="s">
        <v>90</v>
      </c>
      <c r="I6731" t="s">
        <v>90</v>
      </c>
      <c r="J6731" t="s">
        <v>60</v>
      </c>
      <c r="K6731" t="s">
        <v>72</v>
      </c>
      <c r="L6731" t="s">
        <v>62</v>
      </c>
      <c r="M6731" t="s">
        <v>72</v>
      </c>
      <c r="N6731" t="s">
        <v>91</v>
      </c>
      <c r="O6731" t="s">
        <v>92</v>
      </c>
      <c r="P6731">
        <v>-20.145848999999998</v>
      </c>
      <c r="Q6731">
        <v>-44.908419000000002</v>
      </c>
      <c r="R6731" s="2" t="str">
        <f>HYPERLINK("https://www.google.com/maps?q=-20.1458490,-44.9084190","Abrir no Google Maps")</f>
        <v>Abrir no Google Maps</v>
      </c>
      <c r="S6731">
        <v>4</v>
      </c>
      <c r="T6731">
        <v>0</v>
      </c>
      <c r="U6731">
        <v>1</v>
      </c>
      <c r="V6731">
        <v>0.12683239538894431</v>
      </c>
      <c r="W6731">
        <v>1</v>
      </c>
      <c r="X6731">
        <v>0.12683239538894431</v>
      </c>
      <c r="Y6731">
        <v>747</v>
      </c>
      <c r="Z6731">
        <v>136.08168502765241</v>
      </c>
      <c r="AA6731">
        <v>198</v>
      </c>
      <c r="AB6731">
        <v>332</v>
      </c>
      <c r="AC6731">
        <v>536</v>
      </c>
      <c r="AD6731">
        <v>28.93</v>
      </c>
      <c r="AE6731">
        <v>542</v>
      </c>
      <c r="AF6731">
        <v>29</v>
      </c>
      <c r="AG6731">
        <v>166</v>
      </c>
      <c r="AH6731">
        <v>129</v>
      </c>
      <c r="AI6731">
        <v>5.35</v>
      </c>
      <c r="AJ6731">
        <v>30.63</v>
      </c>
      <c r="AK6731">
        <v>23.8</v>
      </c>
      <c r="AL6731">
        <v>-20.14576979999995</v>
      </c>
      <c r="AM6731">
        <v>-44.908436775053183</v>
      </c>
      <c r="AN6731">
        <v>-20.14576979999995</v>
      </c>
      <c r="AO6731">
        <v>-44.908436775053183</v>
      </c>
      <c r="AP6731">
        <v>-20.145848999999998</v>
      </c>
      <c r="AQ6731">
        <v>-44.908419000000002</v>
      </c>
      <c r="AR6731">
        <v>9.0101247482327356</v>
      </c>
      <c r="AS6731" t="s">
        <v>65</v>
      </c>
      <c r="AT6731">
        <v>1</v>
      </c>
      <c r="AU6731" t="s">
        <v>93</v>
      </c>
      <c r="AV6731" t="s">
        <v>94</v>
      </c>
      <c r="AW6731" t="s">
        <v>60</v>
      </c>
      <c r="AX6731" t="s">
        <v>68</v>
      </c>
      <c r="AY6731" t="s">
        <v>69</v>
      </c>
      <c r="AZ6731" t="b">
        <v>1</v>
      </c>
    </row>
    <row r="6732" spans="1:52" x14ac:dyDescent="0.3">
      <c r="A6732" t="s">
        <v>52</v>
      </c>
      <c r="B6732" t="s">
        <v>53</v>
      </c>
      <c r="C6732" t="s">
        <v>54</v>
      </c>
      <c r="D6732" t="s">
        <v>55</v>
      </c>
      <c r="E6732" t="s">
        <v>2296</v>
      </c>
      <c r="F6732" t="s">
        <v>1247</v>
      </c>
      <c r="G6732" t="s">
        <v>108</v>
      </c>
      <c r="H6732" t="s">
        <v>109</v>
      </c>
      <c r="I6732" t="s">
        <v>109</v>
      </c>
      <c r="J6732" t="s">
        <v>60</v>
      </c>
      <c r="K6732" t="s">
        <v>110</v>
      </c>
      <c r="L6732" t="s">
        <v>62</v>
      </c>
      <c r="M6732" t="s">
        <v>110</v>
      </c>
      <c r="N6732" t="s">
        <v>111</v>
      </c>
      <c r="O6732" t="s">
        <v>112</v>
      </c>
      <c r="P6732">
        <v>-20.122233999999999</v>
      </c>
      <c r="Q6732">
        <v>-44.909194999999997</v>
      </c>
      <c r="R6732" s="2" t="str">
        <f>HYPERLINK("https://www.google.com/maps?q=-20.1222340,-44.9091950","Abrir no Google Maps")</f>
        <v>Abrir no Google Maps</v>
      </c>
      <c r="S6732">
        <v>4</v>
      </c>
      <c r="T6732">
        <v>1171.396020763932</v>
      </c>
      <c r="U6732">
        <v>1</v>
      </c>
      <c r="V6732">
        <v>0.1150738721103652</v>
      </c>
      <c r="W6732">
        <v>0.85</v>
      </c>
      <c r="X6732">
        <v>9.7812791293810417E-2</v>
      </c>
      <c r="Y6732">
        <v>567</v>
      </c>
      <c r="Z6732">
        <v>1238.711234283244</v>
      </c>
      <c r="AA6732">
        <v>198</v>
      </c>
      <c r="AB6732">
        <v>332</v>
      </c>
      <c r="AC6732">
        <v>536</v>
      </c>
      <c r="AD6732">
        <v>28.93</v>
      </c>
      <c r="AE6732">
        <v>542</v>
      </c>
      <c r="AF6732">
        <v>29</v>
      </c>
      <c r="AG6732">
        <v>166</v>
      </c>
      <c r="AH6732">
        <v>129</v>
      </c>
      <c r="AI6732">
        <v>5.35</v>
      </c>
      <c r="AJ6732">
        <v>30.63</v>
      </c>
      <c r="AK6732">
        <v>23.8</v>
      </c>
      <c r="AL6732">
        <v>-20.121881249999941</v>
      </c>
      <c r="AM6732">
        <v>-44.909273766094323</v>
      </c>
      <c r="AN6732">
        <v>-20.121881249999941</v>
      </c>
      <c r="AO6732">
        <v>-44.909273766094323</v>
      </c>
      <c r="AP6732">
        <v>-20.122233999999999</v>
      </c>
      <c r="AQ6732">
        <v>-44.909194999999997</v>
      </c>
      <c r="AR6732">
        <v>40.12192930593006</v>
      </c>
      <c r="AS6732" t="s">
        <v>65</v>
      </c>
      <c r="AT6732">
        <v>1</v>
      </c>
      <c r="AU6732" t="s">
        <v>113</v>
      </c>
      <c r="AV6732" t="s">
        <v>114</v>
      </c>
      <c r="AW6732" t="s">
        <v>60</v>
      </c>
      <c r="AX6732" t="s">
        <v>68</v>
      </c>
      <c r="AY6732" t="s">
        <v>69</v>
      </c>
      <c r="AZ6732" t="b">
        <v>1</v>
      </c>
    </row>
    <row r="6733" spans="1:52" x14ac:dyDescent="0.3">
      <c r="A6733" t="s">
        <v>52</v>
      </c>
      <c r="B6733" t="s">
        <v>53</v>
      </c>
      <c r="C6733" t="s">
        <v>54</v>
      </c>
      <c r="D6733" t="s">
        <v>55</v>
      </c>
      <c r="E6733" t="s">
        <v>2296</v>
      </c>
      <c r="F6733" t="s">
        <v>1247</v>
      </c>
      <c r="G6733" t="s">
        <v>198</v>
      </c>
      <c r="H6733" t="s">
        <v>199</v>
      </c>
      <c r="I6733" t="s">
        <v>199</v>
      </c>
      <c r="J6733" t="s">
        <v>60</v>
      </c>
      <c r="K6733" t="s">
        <v>200</v>
      </c>
      <c r="L6733" t="s">
        <v>62</v>
      </c>
      <c r="M6733" t="s">
        <v>200</v>
      </c>
      <c r="N6733" t="s">
        <v>201</v>
      </c>
      <c r="O6733" t="s">
        <v>202</v>
      </c>
      <c r="P6733">
        <v>-20.122433000000001</v>
      </c>
      <c r="Q6733">
        <v>-44.897013999999999</v>
      </c>
      <c r="R6733" s="2" t="str">
        <f>HYPERLINK("https://www.google.com/maps?q=-20.1224330,-44.8970140","Abrir no Google Maps")</f>
        <v>Abrir no Google Maps</v>
      </c>
      <c r="S6733">
        <v>4</v>
      </c>
      <c r="T6733">
        <v>616.04759279207849</v>
      </c>
      <c r="U6733">
        <v>1</v>
      </c>
      <c r="V6733">
        <v>0.13158224883744271</v>
      </c>
      <c r="W6733">
        <v>0.85</v>
      </c>
      <c r="X6733">
        <v>0.11184491151182629</v>
      </c>
      <c r="Y6733">
        <v>567</v>
      </c>
      <c r="Z6733">
        <v>655.51024138861465</v>
      </c>
      <c r="AA6733">
        <v>198</v>
      </c>
      <c r="AB6733">
        <v>332</v>
      </c>
      <c r="AC6733">
        <v>536</v>
      </c>
      <c r="AD6733">
        <v>28.93</v>
      </c>
      <c r="AE6733">
        <v>542</v>
      </c>
      <c r="AF6733">
        <v>29</v>
      </c>
      <c r="AG6733">
        <v>166</v>
      </c>
      <c r="AH6733">
        <v>129</v>
      </c>
      <c r="AI6733">
        <v>5.35</v>
      </c>
      <c r="AJ6733">
        <v>30.63</v>
      </c>
      <c r="AK6733">
        <v>23.8</v>
      </c>
      <c r="AL6733">
        <v>-20.122144949999949</v>
      </c>
      <c r="AM6733">
        <v>-44.896761973125983</v>
      </c>
      <c r="AN6733">
        <v>-20.122144949999949</v>
      </c>
      <c r="AO6733">
        <v>-44.896761973125983</v>
      </c>
      <c r="AP6733">
        <v>-20.122433000000001</v>
      </c>
      <c r="AQ6733">
        <v>-44.897013999999999</v>
      </c>
      <c r="AR6733">
        <v>41.499066772735389</v>
      </c>
      <c r="AS6733" t="s">
        <v>65</v>
      </c>
      <c r="AT6733">
        <v>1</v>
      </c>
      <c r="AU6733" t="s">
        <v>203</v>
      </c>
      <c r="AV6733" t="s">
        <v>204</v>
      </c>
      <c r="AW6733" t="s">
        <v>60</v>
      </c>
      <c r="AX6733" t="s">
        <v>68</v>
      </c>
      <c r="AY6733" t="s">
        <v>69</v>
      </c>
      <c r="AZ6733" t="b">
        <v>1</v>
      </c>
    </row>
    <row r="6734" spans="1:52" x14ac:dyDescent="0.3">
      <c r="A6734" t="s">
        <v>52</v>
      </c>
      <c r="B6734" t="s">
        <v>53</v>
      </c>
      <c r="C6734" t="s">
        <v>54</v>
      </c>
      <c r="D6734" t="s">
        <v>55</v>
      </c>
      <c r="E6734" t="s">
        <v>2296</v>
      </c>
      <c r="F6734" t="s">
        <v>1247</v>
      </c>
      <c r="G6734" t="s">
        <v>205</v>
      </c>
      <c r="H6734" t="s">
        <v>206</v>
      </c>
      <c r="I6734" t="s">
        <v>206</v>
      </c>
      <c r="J6734" t="s">
        <v>60</v>
      </c>
      <c r="K6734" t="s">
        <v>207</v>
      </c>
      <c r="L6734" t="s">
        <v>62</v>
      </c>
      <c r="M6734" t="s">
        <v>207</v>
      </c>
      <c r="N6734" t="s">
        <v>208</v>
      </c>
      <c r="O6734" t="s">
        <v>209</v>
      </c>
      <c r="P6734">
        <v>-20.117533999999999</v>
      </c>
      <c r="Q6734">
        <v>-44.892943000000002</v>
      </c>
      <c r="R6734" s="2" t="str">
        <f>HYPERLINK("https://www.google.com/maps?q=-20.1175340,-44.8929430","Abrir no Google Maps")</f>
        <v>Abrir no Google Maps</v>
      </c>
      <c r="S6734">
        <v>4</v>
      </c>
      <c r="T6734">
        <v>601.98486688021592</v>
      </c>
      <c r="U6734">
        <v>1</v>
      </c>
      <c r="V6734">
        <v>0.12097257156545679</v>
      </c>
      <c r="W6734">
        <v>0.85</v>
      </c>
      <c r="X6734">
        <v>0.1028266858306383</v>
      </c>
      <c r="Y6734">
        <v>567</v>
      </c>
      <c r="Z6734">
        <v>574.59225706016446</v>
      </c>
      <c r="AA6734">
        <v>198</v>
      </c>
      <c r="AB6734">
        <v>332</v>
      </c>
      <c r="AC6734">
        <v>536</v>
      </c>
      <c r="AD6734">
        <v>28.93</v>
      </c>
      <c r="AE6734">
        <v>542</v>
      </c>
      <c r="AF6734">
        <v>29</v>
      </c>
      <c r="AG6734">
        <v>166</v>
      </c>
      <c r="AH6734">
        <v>129</v>
      </c>
      <c r="AI6734">
        <v>5.35</v>
      </c>
      <c r="AJ6734">
        <v>30.63</v>
      </c>
      <c r="AK6734">
        <v>23.8</v>
      </c>
      <c r="AL6734">
        <v>-20.11671494999996</v>
      </c>
      <c r="AM6734">
        <v>-44.89352717833448</v>
      </c>
      <c r="AN6734">
        <v>-20.11671494999996</v>
      </c>
      <c r="AO6734">
        <v>-44.89352717833448</v>
      </c>
      <c r="AP6734">
        <v>-20.117533999999999</v>
      </c>
      <c r="AQ6734">
        <v>-44.892943000000002</v>
      </c>
      <c r="AR6734">
        <v>109.7357164799156</v>
      </c>
      <c r="AS6734" t="s">
        <v>65</v>
      </c>
      <c r="AT6734">
        <v>1</v>
      </c>
      <c r="AU6734" t="s">
        <v>210</v>
      </c>
      <c r="AV6734" t="s">
        <v>211</v>
      </c>
      <c r="AW6734" t="s">
        <v>60</v>
      </c>
      <c r="AX6734" t="s">
        <v>68</v>
      </c>
      <c r="AY6734" t="s">
        <v>69</v>
      </c>
      <c r="AZ6734" t="b">
        <v>1</v>
      </c>
    </row>
    <row r="6735" spans="1:52" x14ac:dyDescent="0.3">
      <c r="A6735" t="s">
        <v>52</v>
      </c>
      <c r="B6735" t="s">
        <v>53</v>
      </c>
      <c r="C6735" t="s">
        <v>54</v>
      </c>
      <c r="D6735" t="s">
        <v>55</v>
      </c>
      <c r="E6735" t="s">
        <v>2296</v>
      </c>
      <c r="F6735" t="s">
        <v>1247</v>
      </c>
      <c r="G6735" t="s">
        <v>429</v>
      </c>
      <c r="H6735" t="s">
        <v>430</v>
      </c>
      <c r="I6735" t="s">
        <v>430</v>
      </c>
      <c r="J6735" t="s">
        <v>60</v>
      </c>
      <c r="K6735" t="s">
        <v>431</v>
      </c>
      <c r="L6735" t="s">
        <v>62</v>
      </c>
      <c r="M6735" t="s">
        <v>431</v>
      </c>
      <c r="N6735" t="s">
        <v>432</v>
      </c>
      <c r="O6735" t="s">
        <v>315</v>
      </c>
      <c r="P6735">
        <v>-20.172698</v>
      </c>
      <c r="Q6735">
        <v>-44.923842</v>
      </c>
      <c r="R6735" s="2" t="str">
        <f>HYPERLINK("https://www.google.com/maps?q=-20.1726980,-44.9238420","Abrir no Google Maps")</f>
        <v>Abrir no Google Maps</v>
      </c>
      <c r="S6735">
        <v>3</v>
      </c>
      <c r="T6735">
        <v>1376.1843173402931</v>
      </c>
      <c r="U6735">
        <v>4</v>
      </c>
      <c r="V6735">
        <v>0.26193780287556567</v>
      </c>
      <c r="W6735">
        <v>0.85</v>
      </c>
      <c r="X6735">
        <v>0.22264713244423079</v>
      </c>
      <c r="Y6735">
        <v>723</v>
      </c>
      <c r="Z6735">
        <v>1101.340635002096</v>
      </c>
      <c r="AA6735">
        <v>198</v>
      </c>
      <c r="AB6735">
        <v>332</v>
      </c>
      <c r="AC6735">
        <v>536</v>
      </c>
      <c r="AD6735">
        <v>28.93</v>
      </c>
      <c r="AE6735">
        <v>542</v>
      </c>
      <c r="AF6735">
        <v>29</v>
      </c>
      <c r="AG6735">
        <v>166</v>
      </c>
      <c r="AH6735">
        <v>129</v>
      </c>
      <c r="AI6735">
        <v>5.35</v>
      </c>
      <c r="AJ6735">
        <v>30.63</v>
      </c>
      <c r="AK6735">
        <v>23.8</v>
      </c>
      <c r="AL6735">
        <v>-20.172942799999959</v>
      </c>
      <c r="AM6735">
        <v>-44.923585372665762</v>
      </c>
      <c r="AN6735">
        <v>-20.172942799999959</v>
      </c>
      <c r="AO6735">
        <v>-44.923585372665762</v>
      </c>
      <c r="AP6735">
        <v>-20.172698</v>
      </c>
      <c r="AQ6735">
        <v>-44.923842</v>
      </c>
      <c r="AR6735">
        <v>38.231981408478958</v>
      </c>
      <c r="AS6735" t="s">
        <v>65</v>
      </c>
      <c r="AT6735">
        <v>1</v>
      </c>
      <c r="AU6735" t="s">
        <v>433</v>
      </c>
      <c r="AV6735" t="s">
        <v>434</v>
      </c>
      <c r="AW6735" t="s">
        <v>60</v>
      </c>
      <c r="AX6735" t="s">
        <v>68</v>
      </c>
      <c r="AY6735" t="s">
        <v>69</v>
      </c>
      <c r="AZ6735" t="b">
        <v>1</v>
      </c>
    </row>
    <row r="6736" spans="1:52" x14ac:dyDescent="0.3">
      <c r="A6736" t="s">
        <v>52</v>
      </c>
      <c r="B6736" t="s">
        <v>53</v>
      </c>
      <c r="C6736" t="s">
        <v>54</v>
      </c>
      <c r="D6736" t="s">
        <v>55</v>
      </c>
      <c r="E6736" t="s">
        <v>2296</v>
      </c>
      <c r="F6736" t="s">
        <v>1247</v>
      </c>
      <c r="G6736" t="s">
        <v>380</v>
      </c>
      <c r="H6736" t="s">
        <v>381</v>
      </c>
      <c r="I6736" t="s">
        <v>381</v>
      </c>
      <c r="J6736" t="s">
        <v>60</v>
      </c>
      <c r="K6736" t="s">
        <v>72</v>
      </c>
      <c r="L6736" t="s">
        <v>62</v>
      </c>
      <c r="M6736" t="s">
        <v>72</v>
      </c>
      <c r="N6736" t="s">
        <v>382</v>
      </c>
      <c r="O6736" t="s">
        <v>383</v>
      </c>
      <c r="P6736">
        <v>-20.147182000000001</v>
      </c>
      <c r="Q6736">
        <v>-44.912728999999999</v>
      </c>
      <c r="R6736" s="2" t="str">
        <f>HYPERLINK("https://www.google.com/maps?q=-20.1471820,-44.9127290","Abrir no Google Maps")</f>
        <v>Abrir no Google Maps</v>
      </c>
      <c r="S6736">
        <v>3</v>
      </c>
      <c r="T6736">
        <v>478.0141981540923</v>
      </c>
      <c r="U6736">
        <v>3</v>
      </c>
      <c r="V6736">
        <v>0.16603515062641039</v>
      </c>
      <c r="W6736">
        <v>1</v>
      </c>
      <c r="X6736">
        <v>0.16603515062641039</v>
      </c>
      <c r="Y6736">
        <v>747</v>
      </c>
      <c r="Z6736">
        <v>494.0254290673729</v>
      </c>
      <c r="AA6736">
        <v>198</v>
      </c>
      <c r="AB6736">
        <v>332</v>
      </c>
      <c r="AC6736">
        <v>536</v>
      </c>
      <c r="AD6736">
        <v>28.93</v>
      </c>
      <c r="AE6736">
        <v>542</v>
      </c>
      <c r="AF6736">
        <v>29</v>
      </c>
      <c r="AG6736">
        <v>166</v>
      </c>
      <c r="AH6736">
        <v>129</v>
      </c>
      <c r="AI6736">
        <v>5.35</v>
      </c>
      <c r="AJ6736">
        <v>30.63</v>
      </c>
      <c r="AK6736">
        <v>23.8</v>
      </c>
      <c r="AL6736">
        <v>-20.147375599999979</v>
      </c>
      <c r="AM6736">
        <v>-44.912907472879468</v>
      </c>
      <c r="AN6736">
        <v>-20.147375599999979</v>
      </c>
      <c r="AO6736">
        <v>-44.912907472879468</v>
      </c>
      <c r="AP6736">
        <v>-20.147182000000001</v>
      </c>
      <c r="AQ6736">
        <v>-44.912728999999999</v>
      </c>
      <c r="AR6736">
        <v>28.50197694184326</v>
      </c>
      <c r="AS6736" t="s">
        <v>65</v>
      </c>
      <c r="AT6736">
        <v>1</v>
      </c>
      <c r="AU6736" t="s">
        <v>384</v>
      </c>
      <c r="AV6736" t="s">
        <v>385</v>
      </c>
      <c r="AW6736" t="s">
        <v>60</v>
      </c>
      <c r="AX6736" t="s">
        <v>68</v>
      </c>
      <c r="AY6736" t="s">
        <v>69</v>
      </c>
      <c r="AZ6736" t="b">
        <v>1</v>
      </c>
    </row>
    <row r="6737" spans="1:52" x14ac:dyDescent="0.3">
      <c r="A6737" t="s">
        <v>52</v>
      </c>
      <c r="B6737" t="s">
        <v>53</v>
      </c>
      <c r="C6737" t="s">
        <v>54</v>
      </c>
      <c r="D6737" t="s">
        <v>55</v>
      </c>
      <c r="E6737" t="s">
        <v>2296</v>
      </c>
      <c r="F6737" t="s">
        <v>1247</v>
      </c>
      <c r="G6737" t="s">
        <v>833</v>
      </c>
      <c r="H6737" t="s">
        <v>834</v>
      </c>
      <c r="I6737" t="s">
        <v>834</v>
      </c>
      <c r="J6737" t="s">
        <v>60</v>
      </c>
      <c r="K6737" t="s">
        <v>388</v>
      </c>
      <c r="L6737" t="s">
        <v>62</v>
      </c>
      <c r="M6737" t="s">
        <v>388</v>
      </c>
      <c r="N6737" t="s">
        <v>835</v>
      </c>
      <c r="O6737" t="s">
        <v>836</v>
      </c>
      <c r="P6737">
        <v>-20.157906000000001</v>
      </c>
      <c r="Q6737">
        <v>-44.900458999999998</v>
      </c>
      <c r="R6737" s="2" t="str">
        <f>HYPERLINK("https://www.google.com/maps?q=-20.1579060,-44.9004590","Abrir no Google Maps")</f>
        <v>Abrir no Google Maps</v>
      </c>
      <c r="S6737">
        <v>3</v>
      </c>
      <c r="T6737">
        <v>0</v>
      </c>
      <c r="U6737">
        <v>3</v>
      </c>
      <c r="V6737">
        <v>0.16592764439061439</v>
      </c>
      <c r="W6737">
        <v>1</v>
      </c>
      <c r="X6737">
        <v>0.16592764439061439</v>
      </c>
      <c r="Y6737">
        <v>729</v>
      </c>
      <c r="Z6737">
        <v>203.63168486652771</v>
      </c>
      <c r="AA6737">
        <v>198</v>
      </c>
      <c r="AB6737">
        <v>332</v>
      </c>
      <c r="AC6737">
        <v>536</v>
      </c>
      <c r="AD6737">
        <v>28.93</v>
      </c>
      <c r="AE6737">
        <v>542</v>
      </c>
      <c r="AF6737">
        <v>29</v>
      </c>
      <c r="AG6737">
        <v>166</v>
      </c>
      <c r="AH6737">
        <v>129</v>
      </c>
      <c r="AI6737">
        <v>5.35</v>
      </c>
      <c r="AJ6737">
        <v>30.63</v>
      </c>
      <c r="AK6737">
        <v>23.8</v>
      </c>
      <c r="AL6737">
        <v>-20.157925749999951</v>
      </c>
      <c r="AM6737">
        <v>-44.900484707799812</v>
      </c>
      <c r="AN6737">
        <v>-20.157925749999951</v>
      </c>
      <c r="AO6737">
        <v>-44.900484707799812</v>
      </c>
      <c r="AP6737">
        <v>-20.157906000000001</v>
      </c>
      <c r="AQ6737">
        <v>-44.900458999999998</v>
      </c>
      <c r="AR6737">
        <v>3.4714515960382508</v>
      </c>
      <c r="AS6737" t="s">
        <v>65</v>
      </c>
      <c r="AT6737">
        <v>1</v>
      </c>
      <c r="AU6737" t="s">
        <v>837</v>
      </c>
      <c r="AV6737" t="s">
        <v>838</v>
      </c>
      <c r="AW6737" t="s">
        <v>60</v>
      </c>
      <c r="AX6737" t="s">
        <v>68</v>
      </c>
      <c r="AY6737" t="s">
        <v>69</v>
      </c>
      <c r="AZ6737" t="b">
        <v>1</v>
      </c>
    </row>
    <row r="6738" spans="1:52" x14ac:dyDescent="0.3">
      <c r="A6738" t="s">
        <v>52</v>
      </c>
      <c r="B6738" t="s">
        <v>53</v>
      </c>
      <c r="C6738" t="s">
        <v>54</v>
      </c>
      <c r="D6738" t="s">
        <v>55</v>
      </c>
      <c r="E6738" t="s">
        <v>2296</v>
      </c>
      <c r="F6738" t="s">
        <v>1247</v>
      </c>
      <c r="G6738" t="s">
        <v>386</v>
      </c>
      <c r="H6738" t="s">
        <v>387</v>
      </c>
      <c r="I6738" t="s">
        <v>387</v>
      </c>
      <c r="J6738" t="s">
        <v>60</v>
      </c>
      <c r="K6738" t="s">
        <v>388</v>
      </c>
      <c r="L6738" t="s">
        <v>62</v>
      </c>
      <c r="M6738" t="s">
        <v>388</v>
      </c>
      <c r="N6738" t="s">
        <v>389</v>
      </c>
      <c r="O6738" t="s">
        <v>357</v>
      </c>
      <c r="P6738">
        <v>-20.161041999999998</v>
      </c>
      <c r="Q6738">
        <v>-44.901242000000003</v>
      </c>
      <c r="R6738" s="2" t="str">
        <f>HYPERLINK("https://www.google.com/maps?q=-20.1610420,-44.9012420","Abrir no Google Maps")</f>
        <v>Abrir no Google Maps</v>
      </c>
      <c r="S6738">
        <v>3</v>
      </c>
      <c r="T6738">
        <v>440.22183232279212</v>
      </c>
      <c r="U6738">
        <v>3</v>
      </c>
      <c r="V6738">
        <v>0.16068113568113571</v>
      </c>
      <c r="W6738">
        <v>1</v>
      </c>
      <c r="X6738">
        <v>0.16068113568113571</v>
      </c>
      <c r="Y6738">
        <v>729</v>
      </c>
      <c r="Z6738">
        <v>398.48306829302379</v>
      </c>
      <c r="AA6738">
        <v>198</v>
      </c>
      <c r="AB6738">
        <v>332</v>
      </c>
      <c r="AC6738">
        <v>536</v>
      </c>
      <c r="AD6738">
        <v>28.93</v>
      </c>
      <c r="AE6738">
        <v>542</v>
      </c>
      <c r="AF6738">
        <v>29</v>
      </c>
      <c r="AG6738">
        <v>166</v>
      </c>
      <c r="AH6738">
        <v>129</v>
      </c>
      <c r="AI6738">
        <v>5.35</v>
      </c>
      <c r="AJ6738">
        <v>30.63</v>
      </c>
      <c r="AK6738">
        <v>23.8</v>
      </c>
      <c r="AL6738">
        <v>-20.16176629999995</v>
      </c>
      <c r="AM6738">
        <v>-44.901582787827898</v>
      </c>
      <c r="AN6738">
        <v>-20.16176629999995</v>
      </c>
      <c r="AO6738">
        <v>-44.901582787827898</v>
      </c>
      <c r="AP6738">
        <v>-20.161041999999998</v>
      </c>
      <c r="AQ6738">
        <v>-44.901242000000003</v>
      </c>
      <c r="AR6738">
        <v>88.143369157892835</v>
      </c>
      <c r="AS6738" t="s">
        <v>65</v>
      </c>
      <c r="AT6738">
        <v>1</v>
      </c>
      <c r="AU6738" t="s">
        <v>390</v>
      </c>
      <c r="AV6738" t="s">
        <v>391</v>
      </c>
      <c r="AW6738" t="s">
        <v>60</v>
      </c>
      <c r="AX6738" t="s">
        <v>68</v>
      </c>
      <c r="AY6738" t="s">
        <v>69</v>
      </c>
      <c r="AZ6738" t="b">
        <v>1</v>
      </c>
    </row>
    <row r="6739" spans="1:52" x14ac:dyDescent="0.3">
      <c r="A6739" t="s">
        <v>52</v>
      </c>
      <c r="B6739" t="s">
        <v>53</v>
      </c>
      <c r="C6739" t="s">
        <v>54</v>
      </c>
      <c r="D6739" t="s">
        <v>55</v>
      </c>
      <c r="E6739" t="s">
        <v>2296</v>
      </c>
      <c r="F6739" t="s">
        <v>1247</v>
      </c>
      <c r="G6739" t="s">
        <v>392</v>
      </c>
      <c r="H6739" t="s">
        <v>393</v>
      </c>
      <c r="I6739" t="s">
        <v>393</v>
      </c>
      <c r="J6739" t="s">
        <v>60</v>
      </c>
      <c r="K6739" t="s">
        <v>388</v>
      </c>
      <c r="L6739" t="s">
        <v>62</v>
      </c>
      <c r="M6739" t="s">
        <v>388</v>
      </c>
      <c r="N6739" t="s">
        <v>394</v>
      </c>
      <c r="O6739" t="s">
        <v>395</v>
      </c>
      <c r="P6739">
        <v>-20.158066999999999</v>
      </c>
      <c r="Q6739">
        <v>-44.908164999999997</v>
      </c>
      <c r="R6739" s="2" t="str">
        <f>HYPERLINK("https://www.google.com/maps?q=-20.1580670,-44.9081650","Abrir no Google Maps")</f>
        <v>Abrir no Google Maps</v>
      </c>
      <c r="S6739">
        <v>3</v>
      </c>
      <c r="T6739">
        <v>666.74434317993041</v>
      </c>
      <c r="U6739">
        <v>3</v>
      </c>
      <c r="V6739">
        <v>0.16137543557311379</v>
      </c>
      <c r="W6739">
        <v>1</v>
      </c>
      <c r="X6739">
        <v>0.16137543557311379</v>
      </c>
      <c r="Y6739">
        <v>729</v>
      </c>
      <c r="Z6739">
        <v>612.4323328215396</v>
      </c>
      <c r="AA6739">
        <v>198</v>
      </c>
      <c r="AB6739">
        <v>332</v>
      </c>
      <c r="AC6739">
        <v>536</v>
      </c>
      <c r="AD6739">
        <v>28.93</v>
      </c>
      <c r="AE6739">
        <v>542</v>
      </c>
      <c r="AF6739">
        <v>29</v>
      </c>
      <c r="AG6739">
        <v>166</v>
      </c>
      <c r="AH6739">
        <v>129</v>
      </c>
      <c r="AI6739">
        <v>5.35</v>
      </c>
      <c r="AJ6739">
        <v>30.63</v>
      </c>
      <c r="AK6739">
        <v>23.8</v>
      </c>
      <c r="AL6739">
        <v>-20.158151449999959</v>
      </c>
      <c r="AM6739">
        <v>-44.908107718360938</v>
      </c>
      <c r="AN6739">
        <v>-20.158151449999959</v>
      </c>
      <c r="AO6739">
        <v>-44.908107718360938</v>
      </c>
      <c r="AP6739">
        <v>-20.158066999999999</v>
      </c>
      <c r="AQ6739">
        <v>-44.908164999999997</v>
      </c>
      <c r="AR6739">
        <v>11.14497345894574</v>
      </c>
      <c r="AS6739" t="s">
        <v>65</v>
      </c>
      <c r="AT6739">
        <v>1</v>
      </c>
      <c r="AU6739" t="s">
        <v>396</v>
      </c>
      <c r="AV6739" t="s">
        <v>397</v>
      </c>
      <c r="AW6739" t="s">
        <v>60</v>
      </c>
      <c r="AX6739" t="s">
        <v>68</v>
      </c>
      <c r="AY6739" t="s">
        <v>69</v>
      </c>
      <c r="AZ6739" t="b">
        <v>1</v>
      </c>
    </row>
    <row r="6740" spans="1:52" x14ac:dyDescent="0.3">
      <c r="A6740" t="s">
        <v>52</v>
      </c>
      <c r="B6740" t="s">
        <v>53</v>
      </c>
      <c r="C6740" t="s">
        <v>54</v>
      </c>
      <c r="D6740" t="s">
        <v>55</v>
      </c>
      <c r="E6740" t="s">
        <v>2296</v>
      </c>
      <c r="F6740" t="s">
        <v>1247</v>
      </c>
      <c r="G6740" t="s">
        <v>1307</v>
      </c>
      <c r="H6740" t="s">
        <v>1308</v>
      </c>
      <c r="I6740" t="s">
        <v>1308</v>
      </c>
      <c r="J6740" t="s">
        <v>60</v>
      </c>
      <c r="K6740" t="s">
        <v>1302</v>
      </c>
      <c r="L6740" t="s">
        <v>62</v>
      </c>
      <c r="M6740" t="s">
        <v>1302</v>
      </c>
      <c r="N6740" t="s">
        <v>558</v>
      </c>
      <c r="O6740" t="s">
        <v>1309</v>
      </c>
      <c r="P6740">
        <v>-20.169051</v>
      </c>
      <c r="Q6740">
        <v>-44.910093000000003</v>
      </c>
      <c r="R6740" s="2" t="str">
        <f>HYPERLINK("https://www.google.com/maps?q=-20.1690510,-44.9100930","Abrir no Google Maps")</f>
        <v>Abrir no Google Maps</v>
      </c>
      <c r="S6740">
        <v>3</v>
      </c>
      <c r="T6740">
        <v>375.90504489887479</v>
      </c>
      <c r="U6740">
        <v>3</v>
      </c>
      <c r="V6740">
        <v>0.1975336603042705</v>
      </c>
      <c r="W6740">
        <v>0.85</v>
      </c>
      <c r="X6740">
        <v>0.1679036112586299</v>
      </c>
      <c r="Y6740">
        <v>723</v>
      </c>
      <c r="Z6740">
        <v>456.19893675176831</v>
      </c>
      <c r="AA6740">
        <v>198</v>
      </c>
      <c r="AB6740">
        <v>332</v>
      </c>
      <c r="AC6740">
        <v>536</v>
      </c>
      <c r="AD6740">
        <v>28.93</v>
      </c>
      <c r="AE6740">
        <v>542</v>
      </c>
      <c r="AF6740">
        <v>29</v>
      </c>
      <c r="AG6740">
        <v>166</v>
      </c>
      <c r="AH6740">
        <v>129</v>
      </c>
      <c r="AI6740">
        <v>5.35</v>
      </c>
      <c r="AJ6740">
        <v>30.63</v>
      </c>
      <c r="AK6740">
        <v>23.8</v>
      </c>
      <c r="AL6740">
        <v>-20.168810949999941</v>
      </c>
      <c r="AM6740">
        <v>-44.910156475447927</v>
      </c>
      <c r="AN6740">
        <v>-20.168810949999941</v>
      </c>
      <c r="AO6740">
        <v>-44.910156475447927</v>
      </c>
      <c r="AP6740">
        <v>-20.169051</v>
      </c>
      <c r="AQ6740">
        <v>-44.910093000000003</v>
      </c>
      <c r="AR6740">
        <v>27.533232396417059</v>
      </c>
      <c r="AS6740" t="s">
        <v>65</v>
      </c>
      <c r="AT6740">
        <v>1</v>
      </c>
      <c r="AU6740" t="s">
        <v>1310</v>
      </c>
      <c r="AV6740" t="s">
        <v>1311</v>
      </c>
      <c r="AW6740" t="s">
        <v>60</v>
      </c>
      <c r="AX6740" t="s">
        <v>68</v>
      </c>
      <c r="AY6740" t="s">
        <v>69</v>
      </c>
      <c r="AZ6740" t="b">
        <v>1</v>
      </c>
    </row>
    <row r="6741" spans="1:52" x14ac:dyDescent="0.3">
      <c r="A6741" t="s">
        <v>52</v>
      </c>
      <c r="B6741" t="s">
        <v>53</v>
      </c>
      <c r="C6741" t="s">
        <v>54</v>
      </c>
      <c r="D6741" t="s">
        <v>55</v>
      </c>
      <c r="E6741" t="s">
        <v>2296</v>
      </c>
      <c r="F6741" t="s">
        <v>1247</v>
      </c>
      <c r="G6741" t="s">
        <v>1364</v>
      </c>
      <c r="H6741" t="s">
        <v>1369</v>
      </c>
      <c r="I6741" t="s">
        <v>1369</v>
      </c>
      <c r="J6741" t="s">
        <v>60</v>
      </c>
      <c r="K6741" t="s">
        <v>1370</v>
      </c>
      <c r="L6741" t="s">
        <v>62</v>
      </c>
      <c r="M6741" t="s">
        <v>1370</v>
      </c>
      <c r="N6741" t="s">
        <v>1366</v>
      </c>
      <c r="O6741" t="s">
        <v>989</v>
      </c>
      <c r="P6741">
        <v>-20.141185</v>
      </c>
      <c r="Q6741">
        <v>-44.914200999999998</v>
      </c>
      <c r="R6741" s="2" t="str">
        <f>HYPERLINK("https://www.google.com/maps?q=-20.1411850,-44.9142010","Abrir no Google Maps")</f>
        <v>Abrir no Google Maps</v>
      </c>
      <c r="S6741">
        <v>3</v>
      </c>
      <c r="T6741">
        <v>512.52588459346453</v>
      </c>
      <c r="U6741">
        <v>3</v>
      </c>
      <c r="V6741">
        <v>0.19936580416032479</v>
      </c>
      <c r="W6741">
        <v>0.85</v>
      </c>
      <c r="X6741">
        <v>0.16946093353627609</v>
      </c>
      <c r="Y6741">
        <v>581</v>
      </c>
      <c r="Z6741">
        <v>473.10673043319349</v>
      </c>
      <c r="AA6741">
        <v>198</v>
      </c>
      <c r="AB6741">
        <v>332</v>
      </c>
      <c r="AC6741">
        <v>536</v>
      </c>
      <c r="AD6741">
        <v>28.93</v>
      </c>
      <c r="AE6741">
        <v>542</v>
      </c>
      <c r="AF6741">
        <v>29</v>
      </c>
      <c r="AG6741">
        <v>166</v>
      </c>
      <c r="AH6741">
        <v>129</v>
      </c>
      <c r="AI6741">
        <v>5.35</v>
      </c>
      <c r="AJ6741">
        <v>30.63</v>
      </c>
      <c r="AK6741">
        <v>23.8</v>
      </c>
      <c r="AL6741">
        <v>-20.14133909999995</v>
      </c>
      <c r="AM6741">
        <v>-44.913910219286038</v>
      </c>
      <c r="AN6741">
        <v>-20.14133909999995</v>
      </c>
      <c r="AO6741">
        <v>-44.913910219286038</v>
      </c>
      <c r="AP6741">
        <v>-20.141185</v>
      </c>
      <c r="AQ6741">
        <v>-44.914200999999998</v>
      </c>
      <c r="AR6741">
        <v>34.897514361429593</v>
      </c>
      <c r="AS6741" t="s">
        <v>65</v>
      </c>
      <c r="AT6741">
        <v>1</v>
      </c>
      <c r="AU6741" t="s">
        <v>1371</v>
      </c>
      <c r="AV6741" t="s">
        <v>863</v>
      </c>
      <c r="AW6741" t="s">
        <v>60</v>
      </c>
      <c r="AX6741" t="s">
        <v>68</v>
      </c>
      <c r="AY6741" t="s">
        <v>69</v>
      </c>
      <c r="AZ6741" t="b">
        <v>1</v>
      </c>
    </row>
    <row r="6742" spans="1:52" x14ac:dyDescent="0.3">
      <c r="A6742" t="s">
        <v>52</v>
      </c>
      <c r="B6742" t="s">
        <v>53</v>
      </c>
      <c r="C6742" t="s">
        <v>54</v>
      </c>
      <c r="D6742" t="s">
        <v>55</v>
      </c>
      <c r="E6742" t="s">
        <v>2296</v>
      </c>
      <c r="F6742" t="s">
        <v>1247</v>
      </c>
      <c r="G6742" t="s">
        <v>870</v>
      </c>
      <c r="H6742" t="s">
        <v>871</v>
      </c>
      <c r="I6742" t="s">
        <v>871</v>
      </c>
      <c r="J6742" t="s">
        <v>60</v>
      </c>
      <c r="K6742" t="s">
        <v>475</v>
      </c>
      <c r="L6742" t="s">
        <v>62</v>
      </c>
      <c r="M6742" t="s">
        <v>475</v>
      </c>
      <c r="N6742" t="s">
        <v>872</v>
      </c>
      <c r="O6742" t="s">
        <v>507</v>
      </c>
      <c r="P6742">
        <v>-20.176269999999999</v>
      </c>
      <c r="Q6742">
        <v>-44.909323999999998</v>
      </c>
      <c r="R6742" s="2" t="str">
        <f>HYPERLINK("https://www.google.com/maps?q=-20.1762700,-44.9093240","Abrir no Google Maps")</f>
        <v>Abrir no Google Maps</v>
      </c>
      <c r="S6742">
        <v>3</v>
      </c>
      <c r="T6742">
        <v>472.42731136821368</v>
      </c>
      <c r="U6742">
        <v>3</v>
      </c>
      <c r="V6742">
        <v>0.1643886731989892</v>
      </c>
      <c r="W6742">
        <v>1</v>
      </c>
      <c r="X6742">
        <v>0.1643886731989892</v>
      </c>
      <c r="Y6742">
        <v>578</v>
      </c>
      <c r="Z6742">
        <v>495.19726726344601</v>
      </c>
      <c r="AA6742">
        <v>198</v>
      </c>
      <c r="AB6742">
        <v>332</v>
      </c>
      <c r="AC6742">
        <v>536</v>
      </c>
      <c r="AD6742">
        <v>28.93</v>
      </c>
      <c r="AE6742">
        <v>542</v>
      </c>
      <c r="AF6742">
        <v>29</v>
      </c>
      <c r="AG6742">
        <v>166</v>
      </c>
      <c r="AH6742">
        <v>129</v>
      </c>
      <c r="AI6742">
        <v>5.35</v>
      </c>
      <c r="AJ6742">
        <v>30.63</v>
      </c>
      <c r="AK6742">
        <v>23.8</v>
      </c>
      <c r="AL6742">
        <v>-20.17630284999996</v>
      </c>
      <c r="AM6742">
        <v>-44.909199064318948</v>
      </c>
      <c r="AN6742">
        <v>-20.17630284999996</v>
      </c>
      <c r="AO6742">
        <v>-44.909199064318948</v>
      </c>
      <c r="AP6742">
        <v>-20.176269999999999</v>
      </c>
      <c r="AQ6742">
        <v>-44.909323999999998</v>
      </c>
      <c r="AR6742">
        <v>13.55691308737447</v>
      </c>
      <c r="AS6742" t="s">
        <v>65</v>
      </c>
      <c r="AT6742">
        <v>1</v>
      </c>
      <c r="AU6742" t="s">
        <v>873</v>
      </c>
      <c r="AV6742" t="s">
        <v>874</v>
      </c>
      <c r="AW6742" t="s">
        <v>60</v>
      </c>
      <c r="AX6742" t="s">
        <v>68</v>
      </c>
      <c r="AY6742" t="s">
        <v>69</v>
      </c>
      <c r="AZ6742" t="b">
        <v>1</v>
      </c>
    </row>
    <row r="6743" spans="1:52" x14ac:dyDescent="0.3">
      <c r="A6743" t="s">
        <v>52</v>
      </c>
      <c r="B6743" t="s">
        <v>53</v>
      </c>
      <c r="C6743" t="s">
        <v>54</v>
      </c>
      <c r="D6743" t="s">
        <v>55</v>
      </c>
      <c r="E6743" t="s">
        <v>2296</v>
      </c>
      <c r="F6743" t="s">
        <v>1247</v>
      </c>
      <c r="G6743" t="s">
        <v>473</v>
      </c>
      <c r="H6743" t="s">
        <v>474</v>
      </c>
      <c r="I6743" t="s">
        <v>474</v>
      </c>
      <c r="J6743" t="s">
        <v>60</v>
      </c>
      <c r="K6743" t="s">
        <v>475</v>
      </c>
      <c r="L6743" t="s">
        <v>62</v>
      </c>
      <c r="M6743" t="s">
        <v>475</v>
      </c>
      <c r="N6743" t="s">
        <v>406</v>
      </c>
      <c r="O6743" t="s">
        <v>476</v>
      </c>
      <c r="P6743">
        <v>-20.177902</v>
      </c>
      <c r="Q6743">
        <v>-44.908504000000001</v>
      </c>
      <c r="R6743" s="2" t="str">
        <f>HYPERLINK("https://www.google.com/maps?q=-20.1779020,-44.9085040","Abrir no Google Maps")</f>
        <v>Abrir no Google Maps</v>
      </c>
      <c r="S6743">
        <v>3</v>
      </c>
      <c r="T6743">
        <v>656.92307673247149</v>
      </c>
      <c r="U6743">
        <v>3</v>
      </c>
      <c r="V6743">
        <v>0.1570073545316894</v>
      </c>
      <c r="W6743">
        <v>1</v>
      </c>
      <c r="X6743">
        <v>0.1570073545316894</v>
      </c>
      <c r="Y6743">
        <v>578</v>
      </c>
      <c r="Z6743">
        <v>635.01982153722327</v>
      </c>
      <c r="AA6743">
        <v>198</v>
      </c>
      <c r="AB6743">
        <v>332</v>
      </c>
      <c r="AC6743">
        <v>536</v>
      </c>
      <c r="AD6743">
        <v>28.93</v>
      </c>
      <c r="AE6743">
        <v>542</v>
      </c>
      <c r="AF6743">
        <v>29</v>
      </c>
      <c r="AG6743">
        <v>166</v>
      </c>
      <c r="AH6743">
        <v>129</v>
      </c>
      <c r="AI6743">
        <v>5.35</v>
      </c>
      <c r="AJ6743">
        <v>30.63</v>
      </c>
      <c r="AK6743">
        <v>23.8</v>
      </c>
      <c r="AL6743">
        <v>-20.177800399999938</v>
      </c>
      <c r="AM6743">
        <v>-44.908361879701268</v>
      </c>
      <c r="AN6743">
        <v>-20.177800399999938</v>
      </c>
      <c r="AO6743">
        <v>-44.908361879701268</v>
      </c>
      <c r="AP6743">
        <v>-20.177902</v>
      </c>
      <c r="AQ6743">
        <v>-44.908504000000001</v>
      </c>
      <c r="AR6743">
        <v>18.666463141775541</v>
      </c>
      <c r="AS6743" t="s">
        <v>65</v>
      </c>
      <c r="AT6743">
        <v>1</v>
      </c>
      <c r="AU6743" t="s">
        <v>477</v>
      </c>
      <c r="AV6743" t="s">
        <v>478</v>
      </c>
      <c r="AW6743" t="s">
        <v>60</v>
      </c>
      <c r="AX6743" t="s">
        <v>68</v>
      </c>
      <c r="AY6743" t="s">
        <v>69</v>
      </c>
      <c r="AZ6743" t="b">
        <v>1</v>
      </c>
    </row>
    <row r="6744" spans="1:52" x14ac:dyDescent="0.3">
      <c r="A6744" t="s">
        <v>52</v>
      </c>
      <c r="B6744" t="s">
        <v>53</v>
      </c>
      <c r="C6744" t="s">
        <v>54</v>
      </c>
      <c r="D6744" t="s">
        <v>55</v>
      </c>
      <c r="E6744" t="s">
        <v>2296</v>
      </c>
      <c r="F6744" t="s">
        <v>1247</v>
      </c>
      <c r="G6744" t="s">
        <v>479</v>
      </c>
      <c r="H6744" t="s">
        <v>480</v>
      </c>
      <c r="I6744" t="s">
        <v>480</v>
      </c>
      <c r="J6744" t="s">
        <v>60</v>
      </c>
      <c r="K6744" t="s">
        <v>388</v>
      </c>
      <c r="L6744" t="s">
        <v>62</v>
      </c>
      <c r="M6744" t="s">
        <v>388</v>
      </c>
      <c r="N6744" t="s">
        <v>481</v>
      </c>
      <c r="O6744" t="s">
        <v>315</v>
      </c>
      <c r="P6744">
        <v>-20.166903999999999</v>
      </c>
      <c r="Q6744">
        <v>-44.903492</v>
      </c>
      <c r="R6744" s="2" t="str">
        <f>HYPERLINK("https://www.google.com/maps?q=-20.1669040,-44.9034920","Abrir no Google Maps")</f>
        <v>Abrir no Google Maps</v>
      </c>
      <c r="S6744">
        <v>3</v>
      </c>
      <c r="T6744">
        <v>517.12253532511602</v>
      </c>
      <c r="U6744">
        <v>3</v>
      </c>
      <c r="V6744">
        <v>0.17630817659834519</v>
      </c>
      <c r="W6744">
        <v>1</v>
      </c>
      <c r="X6744">
        <v>0.17630817659834519</v>
      </c>
      <c r="Y6744">
        <v>578</v>
      </c>
      <c r="Z6744">
        <v>721.79551240050432</v>
      </c>
      <c r="AA6744">
        <v>198</v>
      </c>
      <c r="AB6744">
        <v>332</v>
      </c>
      <c r="AC6744">
        <v>536</v>
      </c>
      <c r="AD6744">
        <v>28.93</v>
      </c>
      <c r="AE6744">
        <v>542</v>
      </c>
      <c r="AF6744">
        <v>29</v>
      </c>
      <c r="AG6744">
        <v>166</v>
      </c>
      <c r="AH6744">
        <v>129</v>
      </c>
      <c r="AI6744">
        <v>5.35</v>
      </c>
      <c r="AJ6744">
        <v>30.63</v>
      </c>
      <c r="AK6744">
        <v>23.8</v>
      </c>
      <c r="AL6744">
        <v>-20.166610649999971</v>
      </c>
      <c r="AM6744">
        <v>-44.903452988928308</v>
      </c>
      <c r="AN6744">
        <v>-20.166610649999971</v>
      </c>
      <c r="AO6744">
        <v>-44.903452988928308</v>
      </c>
      <c r="AP6744">
        <v>-20.166903999999999</v>
      </c>
      <c r="AQ6744">
        <v>-44.903492</v>
      </c>
      <c r="AR6744">
        <v>32.909175876856217</v>
      </c>
      <c r="AS6744" t="s">
        <v>65</v>
      </c>
      <c r="AT6744">
        <v>1</v>
      </c>
      <c r="AU6744" t="s">
        <v>482</v>
      </c>
      <c r="AV6744" t="s">
        <v>483</v>
      </c>
      <c r="AW6744" t="s">
        <v>60</v>
      </c>
      <c r="AX6744" t="s">
        <v>68</v>
      </c>
      <c r="AY6744" t="s">
        <v>69</v>
      </c>
      <c r="AZ6744" t="b">
        <v>1</v>
      </c>
    </row>
    <row r="6745" spans="1:52" x14ac:dyDescent="0.3">
      <c r="A6745" t="s">
        <v>52</v>
      </c>
      <c r="B6745" t="s">
        <v>53</v>
      </c>
      <c r="C6745" t="s">
        <v>54</v>
      </c>
      <c r="D6745" t="s">
        <v>55</v>
      </c>
      <c r="E6745" t="s">
        <v>2296</v>
      </c>
      <c r="F6745" t="s">
        <v>1247</v>
      </c>
      <c r="G6745" t="s">
        <v>1424</v>
      </c>
      <c r="H6745" t="s">
        <v>1425</v>
      </c>
      <c r="I6745" t="s">
        <v>1425</v>
      </c>
      <c r="J6745" t="s">
        <v>60</v>
      </c>
      <c r="K6745" t="s">
        <v>1324</v>
      </c>
      <c r="L6745" t="s">
        <v>62</v>
      </c>
      <c r="M6745" t="s">
        <v>1324</v>
      </c>
      <c r="N6745" t="s">
        <v>1426</v>
      </c>
      <c r="O6745" t="s">
        <v>938</v>
      </c>
      <c r="P6745">
        <v>-20.172844999999999</v>
      </c>
      <c r="Q6745">
        <v>-44.909215000000003</v>
      </c>
      <c r="R6745" s="2" t="str">
        <f>HYPERLINK("https://www.google.com/maps?q=-20.1728450,-44.9092150","Abrir no Google Maps")</f>
        <v>Abrir no Google Maps</v>
      </c>
      <c r="S6745">
        <v>3</v>
      </c>
      <c r="T6745">
        <v>0</v>
      </c>
      <c r="U6745">
        <v>3</v>
      </c>
      <c r="V6745">
        <v>0.21250000000000011</v>
      </c>
      <c r="W6745">
        <v>0.85</v>
      </c>
      <c r="X6745">
        <v>0.18062500000000009</v>
      </c>
      <c r="Y6745">
        <v>578</v>
      </c>
      <c r="Z6745">
        <v>365.56549317689053</v>
      </c>
      <c r="AA6745">
        <v>198</v>
      </c>
      <c r="AB6745">
        <v>332</v>
      </c>
      <c r="AC6745">
        <v>536</v>
      </c>
      <c r="AD6745">
        <v>28.93</v>
      </c>
      <c r="AE6745">
        <v>542</v>
      </c>
      <c r="AF6745">
        <v>29</v>
      </c>
      <c r="AG6745">
        <v>166</v>
      </c>
      <c r="AH6745">
        <v>129</v>
      </c>
      <c r="AI6745">
        <v>5.35</v>
      </c>
      <c r="AJ6745">
        <v>30.63</v>
      </c>
      <c r="AK6745">
        <v>23.8</v>
      </c>
      <c r="AL6745">
        <v>-20.172197349999941</v>
      </c>
      <c r="AM6745">
        <v>-44.910438675762883</v>
      </c>
      <c r="AN6745">
        <v>-20.172197349999941</v>
      </c>
      <c r="AO6745">
        <v>-44.910438675762883</v>
      </c>
      <c r="AP6745">
        <v>-20.172844999999999</v>
      </c>
      <c r="AQ6745">
        <v>-44.909215000000003</v>
      </c>
      <c r="AR6745">
        <v>146.78922919749749</v>
      </c>
      <c r="AS6745" t="s">
        <v>65</v>
      </c>
      <c r="AT6745">
        <v>1</v>
      </c>
      <c r="AU6745" t="s">
        <v>1427</v>
      </c>
      <c r="AV6745" t="s">
        <v>1428</v>
      </c>
      <c r="AW6745" t="s">
        <v>60</v>
      </c>
      <c r="AX6745" t="s">
        <v>68</v>
      </c>
      <c r="AY6745" t="s">
        <v>69</v>
      </c>
      <c r="AZ6745" t="b">
        <v>1</v>
      </c>
    </row>
    <row r="6746" spans="1:52" x14ac:dyDescent="0.3">
      <c r="A6746" t="s">
        <v>52</v>
      </c>
      <c r="B6746" t="s">
        <v>53</v>
      </c>
      <c r="C6746" t="s">
        <v>54</v>
      </c>
      <c r="D6746" t="s">
        <v>55</v>
      </c>
      <c r="E6746" t="s">
        <v>2296</v>
      </c>
      <c r="F6746" t="s">
        <v>1247</v>
      </c>
      <c r="G6746" t="s">
        <v>491</v>
      </c>
      <c r="H6746" t="s">
        <v>492</v>
      </c>
      <c r="I6746" t="s">
        <v>492</v>
      </c>
      <c r="J6746" t="s">
        <v>60</v>
      </c>
      <c r="K6746" t="s">
        <v>475</v>
      </c>
      <c r="L6746" t="s">
        <v>62</v>
      </c>
      <c r="M6746" t="s">
        <v>475</v>
      </c>
      <c r="N6746" t="s">
        <v>493</v>
      </c>
      <c r="O6746" t="s">
        <v>494</v>
      </c>
      <c r="P6746">
        <v>-20.175250999999999</v>
      </c>
      <c r="Q6746">
        <v>-44.897357</v>
      </c>
      <c r="R6746" s="2" t="str">
        <f>HYPERLINK("https://www.google.com/maps?q=-20.1752510,-44.8973570","Abrir no Google Maps")</f>
        <v>Abrir no Google Maps</v>
      </c>
      <c r="S6746">
        <v>3</v>
      </c>
      <c r="T6746">
        <v>992.29631678149951</v>
      </c>
      <c r="U6746">
        <v>3</v>
      </c>
      <c r="V6746">
        <v>0.1568713221484912</v>
      </c>
      <c r="W6746">
        <v>1</v>
      </c>
      <c r="X6746">
        <v>0.1568713221484912</v>
      </c>
      <c r="Y6746">
        <v>578</v>
      </c>
      <c r="Z6746">
        <v>1008.5871064168319</v>
      </c>
      <c r="AA6746">
        <v>198</v>
      </c>
      <c r="AB6746">
        <v>332</v>
      </c>
      <c r="AC6746">
        <v>536</v>
      </c>
      <c r="AD6746">
        <v>28.93</v>
      </c>
      <c r="AE6746">
        <v>542</v>
      </c>
      <c r="AF6746">
        <v>29</v>
      </c>
      <c r="AG6746">
        <v>166</v>
      </c>
      <c r="AH6746">
        <v>129</v>
      </c>
      <c r="AI6746">
        <v>5.35</v>
      </c>
      <c r="AJ6746">
        <v>30.63</v>
      </c>
      <c r="AK6746">
        <v>23.8</v>
      </c>
      <c r="AL6746">
        <v>-20.175290599999951</v>
      </c>
      <c r="AM6746">
        <v>-44.897271931010721</v>
      </c>
      <c r="AN6746">
        <v>-20.175290599999951</v>
      </c>
      <c r="AO6746">
        <v>-44.897271931010721</v>
      </c>
      <c r="AP6746">
        <v>-20.175250999999999</v>
      </c>
      <c r="AQ6746">
        <v>-44.897357</v>
      </c>
      <c r="AR6746">
        <v>9.921899108467926</v>
      </c>
      <c r="AS6746" t="s">
        <v>65</v>
      </c>
      <c r="AT6746">
        <v>1</v>
      </c>
      <c r="AU6746" t="s">
        <v>495</v>
      </c>
      <c r="AV6746" t="s">
        <v>496</v>
      </c>
      <c r="AW6746" t="s">
        <v>60</v>
      </c>
      <c r="AX6746" t="s">
        <v>68</v>
      </c>
      <c r="AY6746" t="s">
        <v>69</v>
      </c>
      <c r="AZ6746" t="b">
        <v>1</v>
      </c>
    </row>
    <row r="6747" spans="1:52" x14ac:dyDescent="0.3">
      <c r="A6747" t="s">
        <v>52</v>
      </c>
      <c r="B6747" t="s">
        <v>53</v>
      </c>
      <c r="C6747" t="s">
        <v>54</v>
      </c>
      <c r="D6747" t="s">
        <v>55</v>
      </c>
      <c r="E6747" t="s">
        <v>2296</v>
      </c>
      <c r="F6747" t="s">
        <v>1247</v>
      </c>
      <c r="G6747" t="s">
        <v>1388</v>
      </c>
      <c r="H6747" t="s">
        <v>1389</v>
      </c>
      <c r="I6747" t="s">
        <v>1389</v>
      </c>
      <c r="J6747" t="s">
        <v>60</v>
      </c>
      <c r="K6747" t="s">
        <v>475</v>
      </c>
      <c r="L6747" t="s">
        <v>62</v>
      </c>
      <c r="M6747" t="s">
        <v>475</v>
      </c>
      <c r="N6747" t="s">
        <v>1390</v>
      </c>
      <c r="O6747" t="s">
        <v>855</v>
      </c>
      <c r="P6747">
        <v>-20.173748</v>
      </c>
      <c r="Q6747">
        <v>-44.894596999999997</v>
      </c>
      <c r="R6747" s="2" t="str">
        <f>HYPERLINK("https://www.google.com/maps?q=-20.1737480,-44.8945970","Abrir no Google Maps")</f>
        <v>Abrir no Google Maps</v>
      </c>
      <c r="S6747">
        <v>3</v>
      </c>
      <c r="T6747">
        <v>1217.388518792701</v>
      </c>
      <c r="U6747">
        <v>3</v>
      </c>
      <c r="V6747">
        <v>0.2026351752822341</v>
      </c>
      <c r="W6747">
        <v>0.85</v>
      </c>
      <c r="X6747">
        <v>0.172239898989899</v>
      </c>
      <c r="Y6747">
        <v>578</v>
      </c>
      <c r="Z6747">
        <v>1268.0048337091989</v>
      </c>
      <c r="AA6747">
        <v>198</v>
      </c>
      <c r="AB6747">
        <v>332</v>
      </c>
      <c r="AC6747">
        <v>536</v>
      </c>
      <c r="AD6747">
        <v>28.93</v>
      </c>
      <c r="AE6747">
        <v>542</v>
      </c>
      <c r="AF6747">
        <v>29</v>
      </c>
      <c r="AG6747">
        <v>166</v>
      </c>
      <c r="AH6747">
        <v>129</v>
      </c>
      <c r="AI6747">
        <v>5.35</v>
      </c>
      <c r="AJ6747">
        <v>30.63</v>
      </c>
      <c r="AK6747">
        <v>23.8</v>
      </c>
      <c r="AL6747">
        <v>-20.173821999999941</v>
      </c>
      <c r="AM6747">
        <v>-44.894306105833543</v>
      </c>
      <c r="AN6747">
        <v>-20.173821999999941</v>
      </c>
      <c r="AO6747">
        <v>-44.894306105833543</v>
      </c>
      <c r="AP6747">
        <v>-20.173748</v>
      </c>
      <c r="AQ6747">
        <v>-44.894596999999997</v>
      </c>
      <c r="AR6747">
        <v>31.492193006406161</v>
      </c>
      <c r="AS6747" t="s">
        <v>65</v>
      </c>
      <c r="AT6747">
        <v>1</v>
      </c>
      <c r="AU6747" t="s">
        <v>1391</v>
      </c>
      <c r="AV6747" t="s">
        <v>1392</v>
      </c>
      <c r="AW6747" t="s">
        <v>60</v>
      </c>
      <c r="AX6747" t="s">
        <v>68</v>
      </c>
      <c r="AY6747" t="s">
        <v>69</v>
      </c>
      <c r="AZ6747" t="b">
        <v>1</v>
      </c>
    </row>
    <row r="6748" spans="1:52" x14ac:dyDescent="0.3">
      <c r="A6748" t="s">
        <v>52</v>
      </c>
      <c r="B6748" t="s">
        <v>53</v>
      </c>
      <c r="C6748" t="s">
        <v>54</v>
      </c>
      <c r="D6748" t="s">
        <v>55</v>
      </c>
      <c r="E6748" t="s">
        <v>2296</v>
      </c>
      <c r="F6748" t="s">
        <v>1247</v>
      </c>
      <c r="G6748" t="s">
        <v>497</v>
      </c>
      <c r="H6748" t="s">
        <v>875</v>
      </c>
      <c r="I6748" t="s">
        <v>875</v>
      </c>
      <c r="J6748" t="s">
        <v>60</v>
      </c>
      <c r="K6748" t="s">
        <v>475</v>
      </c>
      <c r="L6748" t="s">
        <v>62</v>
      </c>
      <c r="M6748" t="s">
        <v>475</v>
      </c>
      <c r="N6748" t="s">
        <v>499</v>
      </c>
      <c r="O6748" t="s">
        <v>876</v>
      </c>
      <c r="P6748">
        <v>-20.177212999999998</v>
      </c>
      <c r="Q6748">
        <v>-44.904026999999999</v>
      </c>
      <c r="R6748" s="2" t="str">
        <f>HYPERLINK("https://www.google.com/maps?q=-20.1772130,-44.9040270","Abrir no Google Maps")</f>
        <v>Abrir no Google Maps</v>
      </c>
      <c r="S6748">
        <v>3</v>
      </c>
      <c r="T6748">
        <v>706.4159561113795</v>
      </c>
      <c r="U6748">
        <v>3</v>
      </c>
      <c r="V6748">
        <v>0.16367476463563349</v>
      </c>
      <c r="W6748">
        <v>1</v>
      </c>
      <c r="X6748">
        <v>0.16367476463563349</v>
      </c>
      <c r="Y6748">
        <v>578</v>
      </c>
      <c r="Z6748">
        <v>588.7160518608398</v>
      </c>
      <c r="AA6748">
        <v>198</v>
      </c>
      <c r="AB6748">
        <v>332</v>
      </c>
      <c r="AC6748">
        <v>536</v>
      </c>
      <c r="AD6748">
        <v>28.93</v>
      </c>
      <c r="AE6748">
        <v>542</v>
      </c>
      <c r="AF6748">
        <v>29</v>
      </c>
      <c r="AG6748">
        <v>166</v>
      </c>
      <c r="AH6748">
        <v>129</v>
      </c>
      <c r="AI6748">
        <v>5.35</v>
      </c>
      <c r="AJ6748">
        <v>30.63</v>
      </c>
      <c r="AK6748">
        <v>23.8</v>
      </c>
      <c r="AL6748">
        <v>-20.177090199999949</v>
      </c>
      <c r="AM6748">
        <v>-44.904078820930181</v>
      </c>
      <c r="AN6748">
        <v>-20.177090199999949</v>
      </c>
      <c r="AO6748">
        <v>-44.904078820930181</v>
      </c>
      <c r="AP6748">
        <v>-20.177212999999998</v>
      </c>
      <c r="AQ6748">
        <v>-44.904026999999999</v>
      </c>
      <c r="AR6748">
        <v>14.7034129632295</v>
      </c>
      <c r="AS6748" t="s">
        <v>65</v>
      </c>
      <c r="AT6748">
        <v>1</v>
      </c>
      <c r="AU6748" t="s">
        <v>877</v>
      </c>
      <c r="AV6748" t="s">
        <v>878</v>
      </c>
      <c r="AW6748" t="s">
        <v>60</v>
      </c>
      <c r="AX6748" t="s">
        <v>68</v>
      </c>
      <c r="AY6748" t="s">
        <v>69</v>
      </c>
      <c r="AZ6748" t="b">
        <v>1</v>
      </c>
    </row>
    <row r="6749" spans="1:52" x14ac:dyDescent="0.3">
      <c r="A6749" t="s">
        <v>52</v>
      </c>
      <c r="B6749" t="s">
        <v>53</v>
      </c>
      <c r="C6749" t="s">
        <v>54</v>
      </c>
      <c r="D6749" t="s">
        <v>55</v>
      </c>
      <c r="E6749" t="s">
        <v>2296</v>
      </c>
      <c r="F6749" t="s">
        <v>1247</v>
      </c>
      <c r="G6749" t="s">
        <v>1399</v>
      </c>
      <c r="H6749" t="s">
        <v>1400</v>
      </c>
      <c r="I6749" t="s">
        <v>1400</v>
      </c>
      <c r="J6749" t="s">
        <v>60</v>
      </c>
      <c r="K6749" t="s">
        <v>475</v>
      </c>
      <c r="L6749" t="s">
        <v>62</v>
      </c>
      <c r="M6749" t="s">
        <v>475</v>
      </c>
      <c r="N6749" t="s">
        <v>1401</v>
      </c>
      <c r="O6749" t="s">
        <v>1080</v>
      </c>
      <c r="P6749">
        <v>-20.178809000000001</v>
      </c>
      <c r="Q6749">
        <v>-44.900204000000002</v>
      </c>
      <c r="R6749" s="2" t="str">
        <f>HYPERLINK("https://www.google.com/maps?q=-20.1788090,-44.9002040","Abrir no Google Maps")</f>
        <v>Abrir no Google Maps</v>
      </c>
      <c r="S6749">
        <v>3</v>
      </c>
      <c r="T6749">
        <v>1015.86498565614</v>
      </c>
      <c r="U6749">
        <v>3</v>
      </c>
      <c r="V6749">
        <v>0.2082210242587601</v>
      </c>
      <c r="W6749">
        <v>0.85</v>
      </c>
      <c r="X6749">
        <v>0.17698787061994611</v>
      </c>
      <c r="Y6749">
        <v>578</v>
      </c>
      <c r="Z6749">
        <v>954.77111474428102</v>
      </c>
      <c r="AA6749">
        <v>198</v>
      </c>
      <c r="AB6749">
        <v>332</v>
      </c>
      <c r="AC6749">
        <v>536</v>
      </c>
      <c r="AD6749">
        <v>28.93</v>
      </c>
      <c r="AE6749">
        <v>542</v>
      </c>
      <c r="AF6749">
        <v>29</v>
      </c>
      <c r="AG6749">
        <v>166</v>
      </c>
      <c r="AH6749">
        <v>129</v>
      </c>
      <c r="AI6749">
        <v>5.35</v>
      </c>
      <c r="AJ6749">
        <v>30.63</v>
      </c>
      <c r="AK6749">
        <v>23.8</v>
      </c>
      <c r="AL6749">
        <v>-20.178590099999951</v>
      </c>
      <c r="AM6749">
        <v>-44.90029029928732</v>
      </c>
      <c r="AN6749">
        <v>-20.178590099999951</v>
      </c>
      <c r="AO6749">
        <v>-44.90029029928732</v>
      </c>
      <c r="AP6749">
        <v>-20.178809000000001</v>
      </c>
      <c r="AQ6749">
        <v>-44.900204000000002</v>
      </c>
      <c r="AR6749">
        <v>25.982812999798391</v>
      </c>
      <c r="AS6749" t="s">
        <v>65</v>
      </c>
      <c r="AT6749">
        <v>1</v>
      </c>
      <c r="AU6749" t="s">
        <v>1402</v>
      </c>
      <c r="AV6749" t="s">
        <v>1403</v>
      </c>
      <c r="AW6749" t="s">
        <v>60</v>
      </c>
      <c r="AX6749" t="s">
        <v>68</v>
      </c>
      <c r="AY6749" t="s">
        <v>69</v>
      </c>
      <c r="AZ6749" t="b">
        <v>1</v>
      </c>
    </row>
    <row r="6750" spans="1:52" x14ac:dyDescent="0.3">
      <c r="A6750" t="s">
        <v>52</v>
      </c>
      <c r="B6750" t="s">
        <v>53</v>
      </c>
      <c r="C6750" t="s">
        <v>54</v>
      </c>
      <c r="D6750" t="s">
        <v>55</v>
      </c>
      <c r="E6750" t="s">
        <v>2296</v>
      </c>
      <c r="F6750" t="s">
        <v>1247</v>
      </c>
      <c r="G6750" t="s">
        <v>1435</v>
      </c>
      <c r="H6750" t="s">
        <v>1436</v>
      </c>
      <c r="I6750" t="s">
        <v>1436</v>
      </c>
      <c r="J6750" t="s">
        <v>60</v>
      </c>
      <c r="K6750" t="s">
        <v>886</v>
      </c>
      <c r="L6750" t="s">
        <v>62</v>
      </c>
      <c r="M6750" t="s">
        <v>886</v>
      </c>
      <c r="N6750" t="s">
        <v>1437</v>
      </c>
      <c r="O6750" t="s">
        <v>1438</v>
      </c>
      <c r="P6750">
        <v>-20.131108000000001</v>
      </c>
      <c r="Q6750">
        <v>-44.893228000000001</v>
      </c>
      <c r="R6750" s="2" t="str">
        <f>HYPERLINK("https://www.google.com/maps?q=-20.1311080,-44.8932280","Abrir no Google Maps")</f>
        <v>Abrir no Google Maps</v>
      </c>
      <c r="S6750">
        <v>3</v>
      </c>
      <c r="T6750">
        <v>548.07497919430136</v>
      </c>
      <c r="U6750">
        <v>3</v>
      </c>
      <c r="V6750">
        <v>0.18917953116066319</v>
      </c>
      <c r="W6750">
        <v>0.85</v>
      </c>
      <c r="X6750">
        <v>0.1608026014865637</v>
      </c>
      <c r="Y6750">
        <v>564</v>
      </c>
      <c r="Z6750">
        <v>369.17139216388432</v>
      </c>
      <c r="AA6750">
        <v>198</v>
      </c>
      <c r="AB6750">
        <v>332</v>
      </c>
      <c r="AC6750">
        <v>536</v>
      </c>
      <c r="AD6750">
        <v>28.93</v>
      </c>
      <c r="AE6750">
        <v>542</v>
      </c>
      <c r="AF6750">
        <v>29</v>
      </c>
      <c r="AG6750">
        <v>166</v>
      </c>
      <c r="AH6750">
        <v>129</v>
      </c>
      <c r="AI6750">
        <v>5.35</v>
      </c>
      <c r="AJ6750">
        <v>30.63</v>
      </c>
      <c r="AK6750">
        <v>23.8</v>
      </c>
      <c r="AL6750">
        <v>-20.13103294999997</v>
      </c>
      <c r="AM6750">
        <v>-44.89318457893738</v>
      </c>
      <c r="AN6750">
        <v>-20.13103294999997</v>
      </c>
      <c r="AO6750">
        <v>-44.89318457893738</v>
      </c>
      <c r="AP6750">
        <v>-20.131108000000001</v>
      </c>
      <c r="AQ6750">
        <v>-44.893228000000001</v>
      </c>
      <c r="AR6750">
        <v>9.5076426885244203</v>
      </c>
      <c r="AS6750" t="s">
        <v>65</v>
      </c>
      <c r="AT6750">
        <v>1</v>
      </c>
      <c r="AU6750" t="s">
        <v>1439</v>
      </c>
      <c r="AV6750" t="s">
        <v>1440</v>
      </c>
      <c r="AW6750" t="s">
        <v>60</v>
      </c>
      <c r="AX6750" t="s">
        <v>68</v>
      </c>
      <c r="AY6750" t="s">
        <v>69</v>
      </c>
      <c r="AZ6750" t="b">
        <v>1</v>
      </c>
    </row>
    <row r="6751" spans="1:52" x14ac:dyDescent="0.3">
      <c r="A6751" t="s">
        <v>52</v>
      </c>
      <c r="B6751" t="s">
        <v>53</v>
      </c>
      <c r="C6751" t="s">
        <v>54</v>
      </c>
      <c r="D6751" t="s">
        <v>55</v>
      </c>
      <c r="E6751" t="s">
        <v>2296</v>
      </c>
      <c r="F6751" t="s">
        <v>1247</v>
      </c>
      <c r="G6751" t="s">
        <v>473</v>
      </c>
      <c r="H6751" t="s">
        <v>1445</v>
      </c>
      <c r="I6751" t="s">
        <v>1445</v>
      </c>
      <c r="J6751" t="s">
        <v>60</v>
      </c>
      <c r="K6751" t="s">
        <v>892</v>
      </c>
      <c r="L6751" t="s">
        <v>62</v>
      </c>
      <c r="M6751" t="s">
        <v>892</v>
      </c>
      <c r="N6751" t="s">
        <v>406</v>
      </c>
      <c r="O6751" t="s">
        <v>1446</v>
      </c>
      <c r="P6751">
        <v>-20.14941</v>
      </c>
      <c r="Q6751">
        <v>-44.899535</v>
      </c>
      <c r="R6751" s="2" t="str">
        <f>HYPERLINK("https://www.google.com/maps?q=-20.1494100,-44.8995350","Abrir no Google Maps")</f>
        <v>Abrir no Google Maps</v>
      </c>
      <c r="S6751">
        <v>3</v>
      </c>
      <c r="T6751">
        <v>249.83945591849931</v>
      </c>
      <c r="U6751">
        <v>3</v>
      </c>
      <c r="V6751">
        <v>0.19894008359097681</v>
      </c>
      <c r="W6751">
        <v>0.85</v>
      </c>
      <c r="X6751">
        <v>0.1690990710523303</v>
      </c>
      <c r="Y6751">
        <v>556</v>
      </c>
      <c r="Z6751">
        <v>156.62360082488701</v>
      </c>
      <c r="AA6751">
        <v>198</v>
      </c>
      <c r="AB6751">
        <v>332</v>
      </c>
      <c r="AC6751">
        <v>536</v>
      </c>
      <c r="AD6751">
        <v>28.93</v>
      </c>
      <c r="AE6751">
        <v>542</v>
      </c>
      <c r="AF6751">
        <v>29</v>
      </c>
      <c r="AG6751">
        <v>166</v>
      </c>
      <c r="AH6751">
        <v>129</v>
      </c>
      <c r="AI6751">
        <v>5.35</v>
      </c>
      <c r="AJ6751">
        <v>30.63</v>
      </c>
      <c r="AK6751">
        <v>23.8</v>
      </c>
      <c r="AL6751">
        <v>-20.149341899999939</v>
      </c>
      <c r="AM6751">
        <v>-44.899575902083967</v>
      </c>
      <c r="AN6751">
        <v>-20.149341899999939</v>
      </c>
      <c r="AO6751">
        <v>-44.899575902083967</v>
      </c>
      <c r="AP6751">
        <v>-20.14941</v>
      </c>
      <c r="AQ6751">
        <v>-44.899535</v>
      </c>
      <c r="AR6751">
        <v>8.7029725999778709</v>
      </c>
      <c r="AS6751" t="s">
        <v>65</v>
      </c>
      <c r="AT6751">
        <v>1</v>
      </c>
      <c r="AU6751" t="s">
        <v>1447</v>
      </c>
      <c r="AV6751" t="s">
        <v>1448</v>
      </c>
      <c r="AW6751" t="s">
        <v>60</v>
      </c>
      <c r="AX6751" t="s">
        <v>68</v>
      </c>
      <c r="AY6751" t="s">
        <v>69</v>
      </c>
      <c r="AZ6751" t="b">
        <v>1</v>
      </c>
    </row>
    <row r="6752" spans="1:52" x14ac:dyDescent="0.3">
      <c r="A6752" t="s">
        <v>52</v>
      </c>
      <c r="B6752" t="s">
        <v>53</v>
      </c>
      <c r="C6752" t="s">
        <v>54</v>
      </c>
      <c r="D6752" t="s">
        <v>55</v>
      </c>
      <c r="E6752" t="s">
        <v>2296</v>
      </c>
      <c r="F6752" t="s">
        <v>1247</v>
      </c>
      <c r="G6752" t="s">
        <v>890</v>
      </c>
      <c r="H6752" t="s">
        <v>891</v>
      </c>
      <c r="I6752" t="s">
        <v>891</v>
      </c>
      <c r="J6752" t="s">
        <v>60</v>
      </c>
      <c r="K6752" t="s">
        <v>892</v>
      </c>
      <c r="L6752" t="s">
        <v>62</v>
      </c>
      <c r="M6752" t="s">
        <v>892</v>
      </c>
      <c r="N6752" t="s">
        <v>893</v>
      </c>
      <c r="O6752" t="s">
        <v>894</v>
      </c>
      <c r="P6752">
        <v>-20.152519000000002</v>
      </c>
      <c r="Q6752">
        <v>-44.899177000000002</v>
      </c>
      <c r="R6752" s="2" t="str">
        <f>HYPERLINK("https://www.google.com/maps?q=-20.1525190,-44.8991770","Abrir no Google Maps")</f>
        <v>Abrir no Google Maps</v>
      </c>
      <c r="S6752">
        <v>3</v>
      </c>
      <c r="T6752">
        <v>211.80188552994721</v>
      </c>
      <c r="U6752">
        <v>3</v>
      </c>
      <c r="V6752">
        <v>0.18882151741293529</v>
      </c>
      <c r="W6752">
        <v>1</v>
      </c>
      <c r="X6752">
        <v>0.18882151741293529</v>
      </c>
      <c r="Y6752">
        <v>556</v>
      </c>
      <c r="Z6752">
        <v>290.34804137107091</v>
      </c>
      <c r="AA6752">
        <v>198</v>
      </c>
      <c r="AB6752">
        <v>332</v>
      </c>
      <c r="AC6752">
        <v>536</v>
      </c>
      <c r="AD6752">
        <v>28.93</v>
      </c>
      <c r="AE6752">
        <v>542</v>
      </c>
      <c r="AF6752">
        <v>29</v>
      </c>
      <c r="AG6752">
        <v>166</v>
      </c>
      <c r="AH6752">
        <v>129</v>
      </c>
      <c r="AI6752">
        <v>5.35</v>
      </c>
      <c r="AJ6752">
        <v>30.63</v>
      </c>
      <c r="AK6752">
        <v>23.8</v>
      </c>
      <c r="AL6752">
        <v>-20.152516249999959</v>
      </c>
      <c r="AM6752">
        <v>-44.899310431333959</v>
      </c>
      <c r="AN6752">
        <v>-20.152516249999959</v>
      </c>
      <c r="AO6752">
        <v>-44.899310431333959</v>
      </c>
      <c r="AP6752">
        <v>-20.152519000000002</v>
      </c>
      <c r="AQ6752">
        <v>-44.899177000000002</v>
      </c>
      <c r="AR6752">
        <v>13.947583284957719</v>
      </c>
      <c r="AS6752" t="s">
        <v>65</v>
      </c>
      <c r="AT6752">
        <v>1</v>
      </c>
      <c r="AU6752" t="s">
        <v>895</v>
      </c>
      <c r="AV6752" t="s">
        <v>896</v>
      </c>
      <c r="AW6752" t="s">
        <v>60</v>
      </c>
      <c r="AX6752" t="s">
        <v>68</v>
      </c>
      <c r="AY6752" t="s">
        <v>69</v>
      </c>
      <c r="AZ6752" t="b">
        <v>1</v>
      </c>
    </row>
    <row r="6753" spans="1:52" x14ac:dyDescent="0.3">
      <c r="A6753" t="s">
        <v>52</v>
      </c>
      <c r="B6753" t="s">
        <v>53</v>
      </c>
      <c r="C6753" t="s">
        <v>54</v>
      </c>
      <c r="D6753" t="s">
        <v>55</v>
      </c>
      <c r="E6753" t="s">
        <v>2296</v>
      </c>
      <c r="F6753" t="s">
        <v>1247</v>
      </c>
      <c r="G6753" t="s">
        <v>1127</v>
      </c>
      <c r="H6753" t="s">
        <v>1449</v>
      </c>
      <c r="I6753" t="s">
        <v>1449</v>
      </c>
      <c r="J6753" t="s">
        <v>60</v>
      </c>
      <c r="K6753" t="s">
        <v>1450</v>
      </c>
      <c r="L6753" t="s">
        <v>62</v>
      </c>
      <c r="M6753" t="s">
        <v>1450</v>
      </c>
      <c r="N6753" t="s">
        <v>1451</v>
      </c>
      <c r="O6753" t="s">
        <v>1452</v>
      </c>
      <c r="P6753">
        <v>-20.152612000000001</v>
      </c>
      <c r="Q6753">
        <v>-44.897098</v>
      </c>
      <c r="R6753" s="2" t="str">
        <f>HYPERLINK("https://www.google.com/maps?q=-20.1526120,-44.8970980","Abrir no Google Maps")</f>
        <v>Abrir no Google Maps</v>
      </c>
      <c r="S6753">
        <v>3</v>
      </c>
      <c r="T6753">
        <v>418.6283592063233</v>
      </c>
      <c r="U6753">
        <v>3</v>
      </c>
      <c r="V6753">
        <v>0.18656185300207051</v>
      </c>
      <c r="W6753">
        <v>0.85</v>
      </c>
      <c r="X6753">
        <v>0.1585775750517599</v>
      </c>
      <c r="Y6753">
        <v>556</v>
      </c>
      <c r="Z6753">
        <v>387.16462225830952</v>
      </c>
      <c r="AA6753">
        <v>198</v>
      </c>
      <c r="AB6753">
        <v>332</v>
      </c>
      <c r="AC6753">
        <v>536</v>
      </c>
      <c r="AD6753">
        <v>28.93</v>
      </c>
      <c r="AE6753">
        <v>542</v>
      </c>
      <c r="AF6753">
        <v>29</v>
      </c>
      <c r="AG6753">
        <v>166</v>
      </c>
      <c r="AH6753">
        <v>129</v>
      </c>
      <c r="AI6753">
        <v>5.35</v>
      </c>
      <c r="AJ6753">
        <v>30.63</v>
      </c>
      <c r="AK6753">
        <v>23.8</v>
      </c>
      <c r="AL6753">
        <v>-20.15253669999996</v>
      </c>
      <c r="AM6753">
        <v>-44.897068126936119</v>
      </c>
      <c r="AN6753">
        <v>-20.15253669999996</v>
      </c>
      <c r="AO6753">
        <v>-44.897068126936119</v>
      </c>
      <c r="AP6753">
        <v>-20.152612000000001</v>
      </c>
      <c r="AQ6753">
        <v>-44.897098</v>
      </c>
      <c r="AR6753">
        <v>8.9448699164987104</v>
      </c>
      <c r="AS6753" t="s">
        <v>65</v>
      </c>
      <c r="AT6753">
        <v>1</v>
      </c>
      <c r="AU6753" t="s">
        <v>1453</v>
      </c>
      <c r="AV6753" t="s">
        <v>1454</v>
      </c>
      <c r="AW6753" t="s">
        <v>60</v>
      </c>
      <c r="AX6753" t="s">
        <v>68</v>
      </c>
      <c r="AY6753" t="s">
        <v>69</v>
      </c>
      <c r="AZ6753" t="b">
        <v>1</v>
      </c>
    </row>
    <row r="6754" spans="1:52" x14ac:dyDescent="0.3">
      <c r="A6754" t="s">
        <v>52</v>
      </c>
      <c r="B6754" t="s">
        <v>53</v>
      </c>
      <c r="C6754" t="s">
        <v>54</v>
      </c>
      <c r="D6754" t="s">
        <v>55</v>
      </c>
      <c r="E6754" t="s">
        <v>2296</v>
      </c>
      <c r="F6754" t="s">
        <v>1247</v>
      </c>
      <c r="G6754" t="s">
        <v>897</v>
      </c>
      <c r="H6754" t="s">
        <v>898</v>
      </c>
      <c r="I6754" t="s">
        <v>898</v>
      </c>
      <c r="J6754" t="s">
        <v>60</v>
      </c>
      <c r="K6754" t="s">
        <v>892</v>
      </c>
      <c r="L6754" t="s">
        <v>62</v>
      </c>
      <c r="M6754" t="s">
        <v>892</v>
      </c>
      <c r="N6754" t="s">
        <v>899</v>
      </c>
      <c r="O6754" t="s">
        <v>900</v>
      </c>
      <c r="P6754">
        <v>-20.154885</v>
      </c>
      <c r="Q6754">
        <v>-44.899890999999997</v>
      </c>
      <c r="R6754" s="2" t="str">
        <f>HYPERLINK("https://www.google.com/maps?q=-20.1548850,-44.8998910","Abrir no Google Maps")</f>
        <v>Abrir no Google Maps</v>
      </c>
      <c r="S6754">
        <v>3</v>
      </c>
      <c r="T6754">
        <v>314.66339661014308</v>
      </c>
      <c r="U6754">
        <v>3</v>
      </c>
      <c r="V6754">
        <v>0.16340778114524501</v>
      </c>
      <c r="W6754">
        <v>1</v>
      </c>
      <c r="X6754">
        <v>0.16340778114524501</v>
      </c>
      <c r="Y6754">
        <v>548</v>
      </c>
      <c r="Z6754">
        <v>319.02252584834253</v>
      </c>
      <c r="AA6754">
        <v>198</v>
      </c>
      <c r="AB6754">
        <v>332</v>
      </c>
      <c r="AC6754">
        <v>536</v>
      </c>
      <c r="AD6754">
        <v>28.93</v>
      </c>
      <c r="AE6754">
        <v>542</v>
      </c>
      <c r="AF6754">
        <v>29</v>
      </c>
      <c r="AG6754">
        <v>166</v>
      </c>
      <c r="AH6754">
        <v>129</v>
      </c>
      <c r="AI6754">
        <v>5.35</v>
      </c>
      <c r="AJ6754">
        <v>30.63</v>
      </c>
      <c r="AK6754">
        <v>23.8</v>
      </c>
      <c r="AL6754">
        <v>-20.154906649999951</v>
      </c>
      <c r="AM6754">
        <v>-44.899894072543653</v>
      </c>
      <c r="AN6754">
        <v>-20.154906649999951</v>
      </c>
      <c r="AO6754">
        <v>-44.899894072543653</v>
      </c>
      <c r="AP6754">
        <v>-20.154885</v>
      </c>
      <c r="AQ6754">
        <v>-44.899890999999997</v>
      </c>
      <c r="AR6754">
        <v>2.431373123904943</v>
      </c>
      <c r="AS6754" t="s">
        <v>65</v>
      </c>
      <c r="AT6754">
        <v>1</v>
      </c>
      <c r="AU6754" t="s">
        <v>901</v>
      </c>
      <c r="AV6754" t="s">
        <v>902</v>
      </c>
      <c r="AW6754" t="s">
        <v>60</v>
      </c>
      <c r="AX6754" t="s">
        <v>68</v>
      </c>
      <c r="AY6754" t="s">
        <v>69</v>
      </c>
      <c r="AZ6754" t="b">
        <v>1</v>
      </c>
    </row>
    <row r="6755" spans="1:52" x14ac:dyDescent="0.3">
      <c r="A6755" t="s">
        <v>52</v>
      </c>
      <c r="B6755" t="s">
        <v>53</v>
      </c>
      <c r="C6755" t="s">
        <v>54</v>
      </c>
      <c r="D6755" t="s">
        <v>55</v>
      </c>
      <c r="E6755" t="s">
        <v>2296</v>
      </c>
      <c r="F6755" t="s">
        <v>1247</v>
      </c>
      <c r="G6755" t="s">
        <v>551</v>
      </c>
      <c r="H6755" t="s">
        <v>552</v>
      </c>
      <c r="I6755" t="s">
        <v>552</v>
      </c>
      <c r="J6755" t="s">
        <v>60</v>
      </c>
      <c r="K6755" t="s">
        <v>388</v>
      </c>
      <c r="L6755" t="s">
        <v>62</v>
      </c>
      <c r="M6755" t="s">
        <v>388</v>
      </c>
      <c r="N6755" t="s">
        <v>553</v>
      </c>
      <c r="O6755" t="s">
        <v>315</v>
      </c>
      <c r="P6755">
        <v>-20.153086999999999</v>
      </c>
      <c r="Q6755">
        <v>-44.905451999999997</v>
      </c>
      <c r="R6755" s="2" t="str">
        <f>HYPERLINK("https://www.google.com/maps?q=-20.1530870,-44.9054520","Abrir no Google Maps")</f>
        <v>Abrir no Google Maps</v>
      </c>
      <c r="S6755">
        <v>3</v>
      </c>
      <c r="T6755">
        <v>313.69387682409018</v>
      </c>
      <c r="U6755">
        <v>3</v>
      </c>
      <c r="V6755">
        <v>0.16376503639059239</v>
      </c>
      <c r="W6755">
        <v>1</v>
      </c>
      <c r="X6755">
        <v>0.16376503639059239</v>
      </c>
      <c r="Y6755">
        <v>548</v>
      </c>
      <c r="Z6755">
        <v>319.51605309906859</v>
      </c>
      <c r="AA6755">
        <v>198</v>
      </c>
      <c r="AB6755">
        <v>332</v>
      </c>
      <c r="AC6755">
        <v>536</v>
      </c>
      <c r="AD6755">
        <v>28.93</v>
      </c>
      <c r="AE6755">
        <v>542</v>
      </c>
      <c r="AF6755">
        <v>29</v>
      </c>
      <c r="AG6755">
        <v>166</v>
      </c>
      <c r="AH6755">
        <v>129</v>
      </c>
      <c r="AI6755">
        <v>5.35</v>
      </c>
      <c r="AJ6755">
        <v>30.63</v>
      </c>
      <c r="AK6755">
        <v>23.8</v>
      </c>
      <c r="AL6755">
        <v>-20.153043049999951</v>
      </c>
      <c r="AM6755">
        <v>-44.905348275899513</v>
      </c>
      <c r="AN6755">
        <v>-20.153043049999951</v>
      </c>
      <c r="AO6755">
        <v>-44.905348275899513</v>
      </c>
      <c r="AP6755">
        <v>-20.153086999999999</v>
      </c>
      <c r="AQ6755">
        <v>-44.905451999999997</v>
      </c>
      <c r="AR6755">
        <v>11.892619975648341</v>
      </c>
      <c r="AS6755" t="s">
        <v>65</v>
      </c>
      <c r="AT6755">
        <v>1</v>
      </c>
      <c r="AU6755" t="s">
        <v>554</v>
      </c>
      <c r="AV6755" t="s">
        <v>555</v>
      </c>
      <c r="AW6755" t="s">
        <v>60</v>
      </c>
      <c r="AX6755" t="s">
        <v>68</v>
      </c>
      <c r="AY6755" t="s">
        <v>69</v>
      </c>
      <c r="AZ6755" t="b">
        <v>1</v>
      </c>
    </row>
    <row r="6756" spans="1:52" x14ac:dyDescent="0.3">
      <c r="A6756" t="s">
        <v>52</v>
      </c>
      <c r="B6756" t="s">
        <v>53</v>
      </c>
      <c r="C6756" t="s">
        <v>54</v>
      </c>
      <c r="D6756" t="s">
        <v>55</v>
      </c>
      <c r="E6756" t="s">
        <v>2296</v>
      </c>
      <c r="F6756" t="s">
        <v>1247</v>
      </c>
      <c r="G6756" t="s">
        <v>839</v>
      </c>
      <c r="H6756" t="s">
        <v>840</v>
      </c>
      <c r="I6756" t="s">
        <v>840</v>
      </c>
      <c r="J6756" t="s">
        <v>60</v>
      </c>
      <c r="K6756" t="s">
        <v>388</v>
      </c>
      <c r="L6756" t="s">
        <v>62</v>
      </c>
      <c r="M6756" t="s">
        <v>388</v>
      </c>
      <c r="N6756" t="s">
        <v>841</v>
      </c>
      <c r="O6756" t="s">
        <v>842</v>
      </c>
      <c r="P6756">
        <v>-20.159977999999999</v>
      </c>
      <c r="Q6756">
        <v>-44.900207000000002</v>
      </c>
      <c r="R6756" s="2" t="str">
        <f>HYPERLINK("https://www.google.com/maps?q=-20.1599780,-44.9002070","Abrir no Google Maps")</f>
        <v>Abrir no Google Maps</v>
      </c>
      <c r="S6756">
        <v>3</v>
      </c>
      <c r="T6756">
        <v>213.24333517300789</v>
      </c>
      <c r="U6756">
        <v>2</v>
      </c>
      <c r="V6756">
        <v>0.15250238891543241</v>
      </c>
      <c r="W6756">
        <v>1</v>
      </c>
      <c r="X6756">
        <v>0.15250238891543241</v>
      </c>
      <c r="Y6756">
        <v>729</v>
      </c>
      <c r="Z6756">
        <v>315.47173727880028</v>
      </c>
      <c r="AA6756">
        <v>198</v>
      </c>
      <c r="AB6756">
        <v>332</v>
      </c>
      <c r="AC6756">
        <v>536</v>
      </c>
      <c r="AD6756">
        <v>28.93</v>
      </c>
      <c r="AE6756">
        <v>542</v>
      </c>
      <c r="AF6756">
        <v>29</v>
      </c>
      <c r="AG6756">
        <v>166</v>
      </c>
      <c r="AH6756">
        <v>129</v>
      </c>
      <c r="AI6756">
        <v>5.35</v>
      </c>
      <c r="AJ6756">
        <v>30.63</v>
      </c>
      <c r="AK6756">
        <v>23.8</v>
      </c>
      <c r="AL6756">
        <v>-20.159825649999959</v>
      </c>
      <c r="AM6756">
        <v>-44.900143828909613</v>
      </c>
      <c r="AN6756">
        <v>-20.159825649999959</v>
      </c>
      <c r="AO6756">
        <v>-44.900143828909613</v>
      </c>
      <c r="AP6756">
        <v>-20.159977999999999</v>
      </c>
      <c r="AQ6756">
        <v>-44.900207000000002</v>
      </c>
      <c r="AR6756">
        <v>18.199073573580371</v>
      </c>
      <c r="AS6756" t="s">
        <v>65</v>
      </c>
      <c r="AT6756">
        <v>1</v>
      </c>
      <c r="AU6756" t="s">
        <v>843</v>
      </c>
      <c r="AV6756" t="s">
        <v>844</v>
      </c>
      <c r="AW6756" t="s">
        <v>60</v>
      </c>
      <c r="AX6756" t="s">
        <v>68</v>
      </c>
      <c r="AY6756" t="s">
        <v>69</v>
      </c>
      <c r="AZ6756" t="b">
        <v>1</v>
      </c>
    </row>
    <row r="6757" spans="1:52" x14ac:dyDescent="0.3">
      <c r="A6757" t="s">
        <v>52</v>
      </c>
      <c r="B6757" t="s">
        <v>53</v>
      </c>
      <c r="C6757" t="s">
        <v>54</v>
      </c>
      <c r="D6757" t="s">
        <v>55</v>
      </c>
      <c r="E6757" t="s">
        <v>2296</v>
      </c>
      <c r="F6757" t="s">
        <v>1247</v>
      </c>
      <c r="G6757" t="s">
        <v>1278</v>
      </c>
      <c r="H6757" t="s">
        <v>1279</v>
      </c>
      <c r="I6757" t="s">
        <v>1279</v>
      </c>
      <c r="J6757" t="s">
        <v>60</v>
      </c>
      <c r="K6757" t="s">
        <v>388</v>
      </c>
      <c r="L6757" t="s">
        <v>62</v>
      </c>
      <c r="M6757" t="s">
        <v>388</v>
      </c>
      <c r="N6757" t="s">
        <v>1280</v>
      </c>
      <c r="O6757" t="s">
        <v>216</v>
      </c>
      <c r="P6757">
        <v>-20.15681</v>
      </c>
      <c r="Q6757">
        <v>-44.899290999999998</v>
      </c>
      <c r="R6757" s="2" t="str">
        <f>HYPERLINK("https://www.google.com/maps?q=-20.1568100,-44.8992910","Abrir no Google Maps")</f>
        <v>Abrir no Google Maps</v>
      </c>
      <c r="S6757">
        <v>3</v>
      </c>
      <c r="T6757">
        <v>180.10162979749811</v>
      </c>
      <c r="U6757">
        <v>2</v>
      </c>
      <c r="V6757">
        <v>0.16383279586404581</v>
      </c>
      <c r="W6757">
        <v>0.85</v>
      </c>
      <c r="X6757">
        <v>0.13925787648443891</v>
      </c>
      <c r="Y6757">
        <v>729</v>
      </c>
      <c r="Z6757">
        <v>368.06065118133841</v>
      </c>
      <c r="AA6757">
        <v>198</v>
      </c>
      <c r="AB6757">
        <v>332</v>
      </c>
      <c r="AC6757">
        <v>536</v>
      </c>
      <c r="AD6757">
        <v>28.93</v>
      </c>
      <c r="AE6757">
        <v>542</v>
      </c>
      <c r="AF6757">
        <v>29</v>
      </c>
      <c r="AG6757">
        <v>166</v>
      </c>
      <c r="AH6757">
        <v>129</v>
      </c>
      <c r="AI6757">
        <v>5.35</v>
      </c>
      <c r="AJ6757">
        <v>30.63</v>
      </c>
      <c r="AK6757">
        <v>23.8</v>
      </c>
      <c r="AL6757">
        <v>-20.156785649999961</v>
      </c>
      <c r="AM6757">
        <v>-44.899254812291332</v>
      </c>
      <c r="AN6757">
        <v>-20.156785649999961</v>
      </c>
      <c r="AO6757">
        <v>-44.899254812291332</v>
      </c>
      <c r="AP6757">
        <v>-20.15681</v>
      </c>
      <c r="AQ6757">
        <v>-44.899290999999998</v>
      </c>
      <c r="AR6757">
        <v>4.6528211992813118</v>
      </c>
      <c r="AS6757" t="s">
        <v>65</v>
      </c>
      <c r="AT6757">
        <v>1</v>
      </c>
      <c r="AU6757" t="s">
        <v>1281</v>
      </c>
      <c r="AV6757" t="s">
        <v>1282</v>
      </c>
      <c r="AW6757" t="s">
        <v>60</v>
      </c>
      <c r="AX6757" t="s">
        <v>68</v>
      </c>
      <c r="AY6757" t="s">
        <v>69</v>
      </c>
      <c r="AZ6757" t="b">
        <v>1</v>
      </c>
    </row>
    <row r="6758" spans="1:52" x14ac:dyDescent="0.3">
      <c r="A6758" t="s">
        <v>52</v>
      </c>
      <c r="B6758" t="s">
        <v>53</v>
      </c>
      <c r="C6758" t="s">
        <v>54</v>
      </c>
      <c r="D6758" t="s">
        <v>55</v>
      </c>
      <c r="E6758" t="s">
        <v>2296</v>
      </c>
      <c r="F6758" t="s">
        <v>1247</v>
      </c>
      <c r="G6758" t="s">
        <v>1417</v>
      </c>
      <c r="H6758" t="s">
        <v>1418</v>
      </c>
      <c r="I6758" t="s">
        <v>1418</v>
      </c>
      <c r="J6758" t="s">
        <v>60</v>
      </c>
      <c r="K6758" t="s">
        <v>1419</v>
      </c>
      <c r="L6758" t="s">
        <v>62</v>
      </c>
      <c r="M6758" t="s">
        <v>1419</v>
      </c>
      <c r="N6758" t="s">
        <v>1420</v>
      </c>
      <c r="O6758" t="s">
        <v>1421</v>
      </c>
      <c r="P6758">
        <v>-20.159427000000001</v>
      </c>
      <c r="Q6758">
        <v>-44.897143</v>
      </c>
      <c r="R6758" s="2" t="str">
        <f>HYPERLINK("https://www.google.com/maps?q=-20.1594270,-44.8971430","Abrir no Google Maps")</f>
        <v>Abrir no Google Maps</v>
      </c>
      <c r="S6758">
        <v>3</v>
      </c>
      <c r="T6758">
        <v>392.64349875646298</v>
      </c>
      <c r="U6758">
        <v>2</v>
      </c>
      <c r="V6758">
        <v>0.17614832668439709</v>
      </c>
      <c r="W6758">
        <v>0.85</v>
      </c>
      <c r="X6758">
        <v>0.14972607768173751</v>
      </c>
      <c r="Y6758">
        <v>729</v>
      </c>
      <c r="Z6758">
        <v>550.20062797366995</v>
      </c>
      <c r="AA6758">
        <v>198</v>
      </c>
      <c r="AB6758">
        <v>332</v>
      </c>
      <c r="AC6758">
        <v>536</v>
      </c>
      <c r="AD6758">
        <v>28.93</v>
      </c>
      <c r="AE6758">
        <v>542</v>
      </c>
      <c r="AF6758">
        <v>29</v>
      </c>
      <c r="AG6758">
        <v>166</v>
      </c>
      <c r="AH6758">
        <v>129</v>
      </c>
      <c r="AI6758">
        <v>5.35</v>
      </c>
      <c r="AJ6758">
        <v>30.63</v>
      </c>
      <c r="AK6758">
        <v>23.8</v>
      </c>
      <c r="AL6758">
        <v>-20.15946549999995</v>
      </c>
      <c r="AM6758">
        <v>-44.89709959354267</v>
      </c>
      <c r="AN6758">
        <v>-20.15946549999995</v>
      </c>
      <c r="AO6758">
        <v>-44.89709959354267</v>
      </c>
      <c r="AP6758">
        <v>-20.159427000000001</v>
      </c>
      <c r="AQ6758">
        <v>-44.897143</v>
      </c>
      <c r="AR6758">
        <v>6.2404649979039286</v>
      </c>
      <c r="AS6758" t="s">
        <v>65</v>
      </c>
      <c r="AT6758">
        <v>1</v>
      </c>
      <c r="AU6758" t="s">
        <v>1422</v>
      </c>
      <c r="AV6758" t="s">
        <v>1423</v>
      </c>
      <c r="AW6758" t="s">
        <v>60</v>
      </c>
      <c r="AX6758" t="s">
        <v>68</v>
      </c>
      <c r="AY6758" t="s">
        <v>69</v>
      </c>
      <c r="AZ6758" t="b">
        <v>1</v>
      </c>
    </row>
    <row r="6759" spans="1:52" x14ac:dyDescent="0.3">
      <c r="A6759" t="s">
        <v>52</v>
      </c>
      <c r="B6759" t="s">
        <v>53</v>
      </c>
      <c r="C6759" t="s">
        <v>54</v>
      </c>
      <c r="D6759" t="s">
        <v>55</v>
      </c>
      <c r="E6759" t="s">
        <v>2296</v>
      </c>
      <c r="F6759" t="s">
        <v>1247</v>
      </c>
      <c r="G6759" t="s">
        <v>416</v>
      </c>
      <c r="H6759" t="s">
        <v>417</v>
      </c>
      <c r="I6759" t="s">
        <v>417</v>
      </c>
      <c r="J6759" t="s">
        <v>60</v>
      </c>
      <c r="K6759" t="s">
        <v>418</v>
      </c>
      <c r="L6759" t="s">
        <v>62</v>
      </c>
      <c r="M6759" t="s">
        <v>418</v>
      </c>
      <c r="N6759" t="s">
        <v>419</v>
      </c>
      <c r="O6759" t="s">
        <v>202</v>
      </c>
      <c r="P6759">
        <v>-20.169886000000002</v>
      </c>
      <c r="Q6759">
        <v>-44.913288000000001</v>
      </c>
      <c r="R6759" s="2" t="str">
        <f>HYPERLINK("https://www.google.com/maps?q=-20.1698860,-44.9132880","Abrir no Google Maps")</f>
        <v>Abrir no Google Maps</v>
      </c>
      <c r="S6759">
        <v>3</v>
      </c>
      <c r="T6759">
        <v>422.88733632898152</v>
      </c>
      <c r="U6759">
        <v>2</v>
      </c>
      <c r="V6759">
        <v>0.14051575162879379</v>
      </c>
      <c r="W6759">
        <v>1</v>
      </c>
      <c r="X6759">
        <v>0.14051575162879379</v>
      </c>
      <c r="Y6759">
        <v>723</v>
      </c>
      <c r="Z6759">
        <v>128.65003864232261</v>
      </c>
      <c r="AA6759">
        <v>198</v>
      </c>
      <c r="AB6759">
        <v>332</v>
      </c>
      <c r="AC6759">
        <v>536</v>
      </c>
      <c r="AD6759">
        <v>28.93</v>
      </c>
      <c r="AE6759">
        <v>542</v>
      </c>
      <c r="AF6759">
        <v>29</v>
      </c>
      <c r="AG6759">
        <v>166</v>
      </c>
      <c r="AH6759">
        <v>129</v>
      </c>
      <c r="AI6759">
        <v>5.35</v>
      </c>
      <c r="AJ6759">
        <v>30.63</v>
      </c>
      <c r="AK6759">
        <v>23.8</v>
      </c>
      <c r="AL6759">
        <v>-20.16970024999998</v>
      </c>
      <c r="AM6759">
        <v>-44.913502201257437</v>
      </c>
      <c r="AN6759">
        <v>-20.16970024999998</v>
      </c>
      <c r="AO6759">
        <v>-44.913502201257437</v>
      </c>
      <c r="AP6759">
        <v>-20.169886000000002</v>
      </c>
      <c r="AQ6759">
        <v>-44.913288000000001</v>
      </c>
      <c r="AR6759">
        <v>30.47208587597606</v>
      </c>
      <c r="AS6759" t="s">
        <v>65</v>
      </c>
      <c r="AT6759">
        <v>1</v>
      </c>
      <c r="AU6759" t="s">
        <v>420</v>
      </c>
      <c r="AV6759" t="s">
        <v>421</v>
      </c>
      <c r="AW6759" t="s">
        <v>60</v>
      </c>
      <c r="AX6759" t="s">
        <v>68</v>
      </c>
      <c r="AY6759" t="s">
        <v>69</v>
      </c>
      <c r="AZ6759" t="b">
        <v>1</v>
      </c>
    </row>
    <row r="6760" spans="1:52" x14ac:dyDescent="0.3">
      <c r="A6760" t="s">
        <v>52</v>
      </c>
      <c r="B6760" t="s">
        <v>53</v>
      </c>
      <c r="C6760" t="s">
        <v>54</v>
      </c>
      <c r="D6760" t="s">
        <v>55</v>
      </c>
      <c r="E6760" t="s">
        <v>2296</v>
      </c>
      <c r="F6760" t="s">
        <v>1247</v>
      </c>
      <c r="G6760" t="s">
        <v>1300</v>
      </c>
      <c r="H6760" t="s">
        <v>1301</v>
      </c>
      <c r="I6760" t="s">
        <v>1301</v>
      </c>
      <c r="J6760" t="s">
        <v>60</v>
      </c>
      <c r="K6760" t="s">
        <v>1302</v>
      </c>
      <c r="L6760" t="s">
        <v>62</v>
      </c>
      <c r="M6760" t="s">
        <v>1302</v>
      </c>
      <c r="N6760" t="s">
        <v>1303</v>
      </c>
      <c r="O6760" t="s">
        <v>1304</v>
      </c>
      <c r="P6760">
        <v>-20.166618</v>
      </c>
      <c r="Q6760">
        <v>-44.912920999999997</v>
      </c>
      <c r="R6760" s="2" t="str">
        <f>HYPERLINK("https://www.google.com/maps?q=-20.1666180,-44.9129210","Abrir no Google Maps")</f>
        <v>Abrir no Google Maps</v>
      </c>
      <c r="S6760">
        <v>3</v>
      </c>
      <c r="T6760">
        <v>636.32880156364706</v>
      </c>
      <c r="U6760">
        <v>2</v>
      </c>
      <c r="V6760">
        <v>0.16391058077490719</v>
      </c>
      <c r="W6760">
        <v>0.85</v>
      </c>
      <c r="X6760">
        <v>0.1393239936586711</v>
      </c>
      <c r="Y6760">
        <v>723</v>
      </c>
      <c r="Z6760">
        <v>407.62145176971592</v>
      </c>
      <c r="AA6760">
        <v>198</v>
      </c>
      <c r="AB6760">
        <v>332</v>
      </c>
      <c r="AC6760">
        <v>536</v>
      </c>
      <c r="AD6760">
        <v>28.93</v>
      </c>
      <c r="AE6760">
        <v>542</v>
      </c>
      <c r="AF6760">
        <v>29</v>
      </c>
      <c r="AG6760">
        <v>166</v>
      </c>
      <c r="AH6760">
        <v>129</v>
      </c>
      <c r="AI6760">
        <v>5.35</v>
      </c>
      <c r="AJ6760">
        <v>30.63</v>
      </c>
      <c r="AK6760">
        <v>23.8</v>
      </c>
      <c r="AL6760">
        <v>-20.166924799999951</v>
      </c>
      <c r="AM6760">
        <v>-44.912868681724092</v>
      </c>
      <c r="AN6760">
        <v>-20.166924799999951</v>
      </c>
      <c r="AO6760">
        <v>-44.912868681724092</v>
      </c>
      <c r="AP6760">
        <v>-20.166618</v>
      </c>
      <c r="AQ6760">
        <v>-44.912920999999997</v>
      </c>
      <c r="AR6760">
        <v>34.587771860198139</v>
      </c>
      <c r="AS6760" t="s">
        <v>65</v>
      </c>
      <c r="AT6760">
        <v>1</v>
      </c>
      <c r="AU6760" t="s">
        <v>1305</v>
      </c>
      <c r="AV6760" t="s">
        <v>1306</v>
      </c>
      <c r="AW6760" t="s">
        <v>60</v>
      </c>
      <c r="AX6760" t="s">
        <v>68</v>
      </c>
      <c r="AY6760" t="s">
        <v>69</v>
      </c>
      <c r="AZ6760" t="b">
        <v>1</v>
      </c>
    </row>
    <row r="6761" spans="1:52" x14ac:dyDescent="0.3">
      <c r="A6761" t="s">
        <v>52</v>
      </c>
      <c r="B6761" t="s">
        <v>53</v>
      </c>
      <c r="C6761" t="s">
        <v>54</v>
      </c>
      <c r="D6761" t="s">
        <v>55</v>
      </c>
      <c r="E6761" t="s">
        <v>2296</v>
      </c>
      <c r="F6761" t="s">
        <v>1247</v>
      </c>
      <c r="G6761" t="s">
        <v>422</v>
      </c>
      <c r="H6761" t="s">
        <v>423</v>
      </c>
      <c r="I6761" t="s">
        <v>423</v>
      </c>
      <c r="J6761" t="s">
        <v>60</v>
      </c>
      <c r="K6761" t="s">
        <v>424</v>
      </c>
      <c r="L6761" t="s">
        <v>62</v>
      </c>
      <c r="M6761" t="s">
        <v>424</v>
      </c>
      <c r="N6761" t="s">
        <v>425</v>
      </c>
      <c r="O6761" t="s">
        <v>426</v>
      </c>
      <c r="P6761">
        <v>-20.177748000000001</v>
      </c>
      <c r="Q6761">
        <v>-44.912475000000001</v>
      </c>
      <c r="R6761" s="2" t="str">
        <f>HYPERLINK("https://www.google.com/maps?q=-20.1777480,-44.9124750","Abrir no Google Maps")</f>
        <v>Abrir no Google Maps</v>
      </c>
      <c r="S6761">
        <v>3</v>
      </c>
      <c r="T6761">
        <v>657.07560140436533</v>
      </c>
      <c r="U6761">
        <v>2</v>
      </c>
      <c r="V6761">
        <v>0.1419605341591427</v>
      </c>
      <c r="W6761">
        <v>1</v>
      </c>
      <c r="X6761">
        <v>0.1419605341591427</v>
      </c>
      <c r="Y6761">
        <v>723</v>
      </c>
      <c r="Z6761">
        <v>796.94198000561175</v>
      </c>
      <c r="AA6761">
        <v>198</v>
      </c>
      <c r="AB6761">
        <v>332</v>
      </c>
      <c r="AC6761">
        <v>536</v>
      </c>
      <c r="AD6761">
        <v>28.93</v>
      </c>
      <c r="AE6761">
        <v>542</v>
      </c>
      <c r="AF6761">
        <v>29</v>
      </c>
      <c r="AG6761">
        <v>166</v>
      </c>
      <c r="AH6761">
        <v>129</v>
      </c>
      <c r="AI6761">
        <v>5.35</v>
      </c>
      <c r="AJ6761">
        <v>30.63</v>
      </c>
      <c r="AK6761">
        <v>23.8</v>
      </c>
      <c r="AL6761">
        <v>-20.177761749999949</v>
      </c>
      <c r="AM6761">
        <v>-44.91263311624418</v>
      </c>
      <c r="AN6761">
        <v>-20.177761749999949</v>
      </c>
      <c r="AO6761">
        <v>-44.91263311624418</v>
      </c>
      <c r="AP6761">
        <v>-20.177748000000001</v>
      </c>
      <c r="AQ6761">
        <v>-44.912475000000001</v>
      </c>
      <c r="AR6761">
        <v>16.591996803075372</v>
      </c>
      <c r="AS6761" t="s">
        <v>65</v>
      </c>
      <c r="AT6761">
        <v>1</v>
      </c>
      <c r="AU6761" t="s">
        <v>427</v>
      </c>
      <c r="AV6761" t="s">
        <v>428</v>
      </c>
      <c r="AW6761" t="s">
        <v>60</v>
      </c>
      <c r="AX6761" t="s">
        <v>68</v>
      </c>
      <c r="AY6761" t="s">
        <v>69</v>
      </c>
      <c r="AZ6761" t="b">
        <v>1</v>
      </c>
    </row>
    <row r="6762" spans="1:52" x14ac:dyDescent="0.3">
      <c r="A6762" t="s">
        <v>52</v>
      </c>
      <c r="B6762" t="s">
        <v>53</v>
      </c>
      <c r="C6762" t="s">
        <v>54</v>
      </c>
      <c r="D6762" t="s">
        <v>55</v>
      </c>
      <c r="E6762" t="s">
        <v>2296</v>
      </c>
      <c r="F6762" t="s">
        <v>1247</v>
      </c>
      <c r="G6762" t="s">
        <v>1312</v>
      </c>
      <c r="H6762" t="s">
        <v>1313</v>
      </c>
      <c r="I6762" t="s">
        <v>1313</v>
      </c>
      <c r="J6762" t="s">
        <v>60</v>
      </c>
      <c r="K6762" t="s">
        <v>1314</v>
      </c>
      <c r="L6762" t="s">
        <v>62</v>
      </c>
      <c r="M6762" t="s">
        <v>1314</v>
      </c>
      <c r="N6762" t="s">
        <v>1315</v>
      </c>
      <c r="O6762" t="s">
        <v>315</v>
      </c>
      <c r="P6762">
        <v>-20.179649999999999</v>
      </c>
      <c r="Q6762">
        <v>-44.927177</v>
      </c>
      <c r="R6762" s="2" t="str">
        <f>HYPERLINK("https://www.google.com/maps?q=-20.1796500,-44.9271770","Abrir no Google Maps")</f>
        <v>Abrir no Google Maps</v>
      </c>
      <c r="S6762">
        <v>3</v>
      </c>
      <c r="T6762">
        <v>1742.181438658615</v>
      </c>
      <c r="U6762">
        <v>2</v>
      </c>
      <c r="V6762">
        <v>0.18437637850662281</v>
      </c>
      <c r="W6762">
        <v>0.85</v>
      </c>
      <c r="X6762">
        <v>0.1567199217306294</v>
      </c>
      <c r="Y6762">
        <v>723</v>
      </c>
      <c r="Z6762">
        <v>1801.262037027635</v>
      </c>
      <c r="AA6762">
        <v>198</v>
      </c>
      <c r="AB6762">
        <v>332</v>
      </c>
      <c r="AC6762">
        <v>536</v>
      </c>
      <c r="AD6762">
        <v>28.93</v>
      </c>
      <c r="AE6762">
        <v>542</v>
      </c>
      <c r="AF6762">
        <v>29</v>
      </c>
      <c r="AG6762">
        <v>166</v>
      </c>
      <c r="AH6762">
        <v>129</v>
      </c>
      <c r="AI6762">
        <v>5.35</v>
      </c>
      <c r="AJ6762">
        <v>30.63</v>
      </c>
      <c r="AK6762">
        <v>23.8</v>
      </c>
      <c r="AL6762">
        <v>-20.18058599999998</v>
      </c>
      <c r="AM6762">
        <v>-44.926708474999977</v>
      </c>
      <c r="AN6762">
        <v>-20.18058599999998</v>
      </c>
      <c r="AO6762">
        <v>-44.926708474999977</v>
      </c>
      <c r="AP6762">
        <v>-20.179649999999999</v>
      </c>
      <c r="AQ6762">
        <v>-44.927177</v>
      </c>
      <c r="AR6762">
        <v>115.1226868075416</v>
      </c>
      <c r="AS6762" t="s">
        <v>65</v>
      </c>
      <c r="AT6762">
        <v>1</v>
      </c>
      <c r="AU6762" t="s">
        <v>1316</v>
      </c>
      <c r="AV6762" t="s">
        <v>1317</v>
      </c>
      <c r="AW6762" t="s">
        <v>60</v>
      </c>
      <c r="AX6762" t="s">
        <v>68</v>
      </c>
      <c r="AY6762" t="s">
        <v>69</v>
      </c>
      <c r="AZ6762" t="b">
        <v>1</v>
      </c>
    </row>
    <row r="6763" spans="1:52" x14ac:dyDescent="0.3">
      <c r="A6763" t="s">
        <v>52</v>
      </c>
      <c r="B6763" t="s">
        <v>53</v>
      </c>
      <c r="C6763" t="s">
        <v>54</v>
      </c>
      <c r="D6763" t="s">
        <v>55</v>
      </c>
      <c r="E6763" t="s">
        <v>2296</v>
      </c>
      <c r="F6763" t="s">
        <v>1247</v>
      </c>
      <c r="G6763" t="s">
        <v>1318</v>
      </c>
      <c r="H6763" t="s">
        <v>1319</v>
      </c>
      <c r="I6763" t="s">
        <v>1319</v>
      </c>
      <c r="J6763" t="s">
        <v>60</v>
      </c>
      <c r="K6763" t="s">
        <v>1314</v>
      </c>
      <c r="L6763" t="s">
        <v>62</v>
      </c>
      <c r="M6763" t="s">
        <v>1314</v>
      </c>
      <c r="N6763" t="s">
        <v>1320</v>
      </c>
      <c r="O6763" t="s">
        <v>1321</v>
      </c>
      <c r="P6763">
        <v>-20.178615000000001</v>
      </c>
      <c r="Q6763">
        <v>-44.924697999999999</v>
      </c>
      <c r="R6763" s="2" t="str">
        <f>HYPERLINK("https://www.google.com/maps?q=-20.1786150,-44.9246980","Abrir no Google Maps")</f>
        <v>Abrir no Google Maps</v>
      </c>
      <c r="S6763">
        <v>3</v>
      </c>
      <c r="T6763">
        <v>1583.462557226148</v>
      </c>
      <c r="U6763">
        <v>2</v>
      </c>
      <c r="V6763">
        <v>0.16543244193560641</v>
      </c>
      <c r="W6763">
        <v>0.85</v>
      </c>
      <c r="X6763">
        <v>0.14061757564526539</v>
      </c>
      <c r="Y6763">
        <v>723</v>
      </c>
      <c r="Z6763">
        <v>1414.1542726995031</v>
      </c>
      <c r="AA6763">
        <v>198</v>
      </c>
      <c r="AB6763">
        <v>332</v>
      </c>
      <c r="AC6763">
        <v>536</v>
      </c>
      <c r="AD6763">
        <v>28.93</v>
      </c>
      <c r="AE6763">
        <v>542</v>
      </c>
      <c r="AF6763">
        <v>29</v>
      </c>
      <c r="AG6763">
        <v>166</v>
      </c>
      <c r="AH6763">
        <v>129</v>
      </c>
      <c r="AI6763">
        <v>5.35</v>
      </c>
      <c r="AJ6763">
        <v>30.63</v>
      </c>
      <c r="AK6763">
        <v>23.8</v>
      </c>
      <c r="AL6763">
        <v>-20.17821329999995</v>
      </c>
      <c r="AM6763">
        <v>-44.924188563452951</v>
      </c>
      <c r="AN6763">
        <v>-20.17821329999995</v>
      </c>
      <c r="AO6763">
        <v>-44.924188563452951</v>
      </c>
      <c r="AP6763">
        <v>-20.178615000000001</v>
      </c>
      <c r="AQ6763">
        <v>-44.924697999999999</v>
      </c>
      <c r="AR6763">
        <v>69.520116290580319</v>
      </c>
      <c r="AS6763" t="s">
        <v>65</v>
      </c>
      <c r="AT6763">
        <v>1</v>
      </c>
      <c r="AU6763" t="s">
        <v>1322</v>
      </c>
      <c r="AV6763" t="s">
        <v>1317</v>
      </c>
      <c r="AW6763" t="s">
        <v>60</v>
      </c>
      <c r="AX6763" t="s">
        <v>68</v>
      </c>
      <c r="AY6763" t="s">
        <v>69</v>
      </c>
      <c r="AZ6763" t="b">
        <v>1</v>
      </c>
    </row>
    <row r="6764" spans="1:52" x14ac:dyDescent="0.3">
      <c r="A6764" t="s">
        <v>52</v>
      </c>
      <c r="B6764" t="s">
        <v>53</v>
      </c>
      <c r="C6764" t="s">
        <v>54</v>
      </c>
      <c r="D6764" t="s">
        <v>55</v>
      </c>
      <c r="E6764" t="s">
        <v>2296</v>
      </c>
      <c r="F6764" t="s">
        <v>1247</v>
      </c>
      <c r="G6764" t="s">
        <v>435</v>
      </c>
      <c r="H6764" t="s">
        <v>436</v>
      </c>
      <c r="I6764" t="s">
        <v>436</v>
      </c>
      <c r="J6764" t="s">
        <v>60</v>
      </c>
      <c r="K6764" t="s">
        <v>437</v>
      </c>
      <c r="L6764" t="s">
        <v>62</v>
      </c>
      <c r="M6764" t="s">
        <v>437</v>
      </c>
      <c r="N6764" t="s">
        <v>438</v>
      </c>
      <c r="O6764" t="s">
        <v>439</v>
      </c>
      <c r="P6764">
        <v>-20.145613000000001</v>
      </c>
      <c r="Q6764">
        <v>-44.882375000000003</v>
      </c>
      <c r="R6764" s="2" t="str">
        <f>HYPERLINK("https://www.google.com/maps?q=-20.1456130,-44.8823750","Abrir no Google Maps")</f>
        <v>Abrir no Google Maps</v>
      </c>
      <c r="S6764">
        <v>3</v>
      </c>
      <c r="T6764">
        <v>305.65092112314198</v>
      </c>
      <c r="U6764">
        <v>2</v>
      </c>
      <c r="V6764">
        <v>0.1469094415129657</v>
      </c>
      <c r="W6764">
        <v>1</v>
      </c>
      <c r="X6764">
        <v>0.1469094415129657</v>
      </c>
      <c r="Y6764">
        <v>653</v>
      </c>
      <c r="Z6764">
        <v>349.55297035282501</v>
      </c>
      <c r="AA6764">
        <v>198</v>
      </c>
      <c r="AB6764">
        <v>332</v>
      </c>
      <c r="AC6764">
        <v>536</v>
      </c>
      <c r="AD6764">
        <v>28.93</v>
      </c>
      <c r="AE6764">
        <v>542</v>
      </c>
      <c r="AF6764">
        <v>29</v>
      </c>
      <c r="AG6764">
        <v>166</v>
      </c>
      <c r="AH6764">
        <v>129</v>
      </c>
      <c r="AI6764">
        <v>5.35</v>
      </c>
      <c r="AJ6764">
        <v>30.63</v>
      </c>
      <c r="AK6764">
        <v>23.8</v>
      </c>
      <c r="AL6764">
        <v>-20.14550464999996</v>
      </c>
      <c r="AM6764">
        <v>-44.882157007077737</v>
      </c>
      <c r="AN6764">
        <v>-20.14550464999996</v>
      </c>
      <c r="AO6764">
        <v>-44.882157007077737</v>
      </c>
      <c r="AP6764">
        <v>-20.145613000000001</v>
      </c>
      <c r="AQ6764">
        <v>-44.882375000000003</v>
      </c>
      <c r="AR6764">
        <v>25.77819791856259</v>
      </c>
      <c r="AS6764" t="s">
        <v>65</v>
      </c>
      <c r="AT6764">
        <v>1</v>
      </c>
      <c r="AU6764" t="s">
        <v>440</v>
      </c>
      <c r="AV6764" t="s">
        <v>441</v>
      </c>
      <c r="AW6764" t="s">
        <v>60</v>
      </c>
      <c r="AX6764" t="s">
        <v>68</v>
      </c>
      <c r="AY6764" t="s">
        <v>69</v>
      </c>
      <c r="AZ6764" t="b">
        <v>1</v>
      </c>
    </row>
    <row r="6765" spans="1:52" x14ac:dyDescent="0.3">
      <c r="A6765" t="s">
        <v>52</v>
      </c>
      <c r="B6765" t="s">
        <v>53</v>
      </c>
      <c r="C6765" t="s">
        <v>54</v>
      </c>
      <c r="D6765" t="s">
        <v>55</v>
      </c>
      <c r="E6765" t="s">
        <v>2296</v>
      </c>
      <c r="F6765" t="s">
        <v>1247</v>
      </c>
      <c r="G6765" t="s">
        <v>851</v>
      </c>
      <c r="H6765" t="s">
        <v>852</v>
      </c>
      <c r="I6765" t="s">
        <v>852</v>
      </c>
      <c r="J6765" t="s">
        <v>60</v>
      </c>
      <c r="K6765" t="s">
        <v>853</v>
      </c>
      <c r="L6765" t="s">
        <v>62</v>
      </c>
      <c r="M6765" t="s">
        <v>853</v>
      </c>
      <c r="N6765" t="s">
        <v>854</v>
      </c>
      <c r="O6765" t="s">
        <v>855</v>
      </c>
      <c r="P6765">
        <v>-20.127835000000001</v>
      </c>
      <c r="Q6765">
        <v>-44.909329</v>
      </c>
      <c r="R6765" s="2" t="str">
        <f>HYPERLINK("https://www.google.com/maps?q=-20.1278350,-44.9093290","Abrir no Google Maps")</f>
        <v>Abrir no Google Maps</v>
      </c>
      <c r="S6765">
        <v>3</v>
      </c>
      <c r="T6765">
        <v>1173.033690896357</v>
      </c>
      <c r="U6765">
        <v>2</v>
      </c>
      <c r="V6765">
        <v>0.1544633033614084</v>
      </c>
      <c r="W6765">
        <v>1</v>
      </c>
      <c r="X6765">
        <v>0.1544633033614084</v>
      </c>
      <c r="Y6765">
        <v>581</v>
      </c>
      <c r="Z6765">
        <v>1296.5011565926129</v>
      </c>
      <c r="AA6765">
        <v>198</v>
      </c>
      <c r="AB6765">
        <v>332</v>
      </c>
      <c r="AC6765">
        <v>536</v>
      </c>
      <c r="AD6765">
        <v>28.93</v>
      </c>
      <c r="AE6765">
        <v>542</v>
      </c>
      <c r="AF6765">
        <v>29</v>
      </c>
      <c r="AG6765">
        <v>166</v>
      </c>
      <c r="AH6765">
        <v>129</v>
      </c>
      <c r="AI6765">
        <v>5.35</v>
      </c>
      <c r="AJ6765">
        <v>30.63</v>
      </c>
      <c r="AK6765">
        <v>23.8</v>
      </c>
      <c r="AL6765">
        <v>-20.127852899999969</v>
      </c>
      <c r="AM6765">
        <v>-44.909386667699948</v>
      </c>
      <c r="AN6765">
        <v>-20.127852899999969</v>
      </c>
      <c r="AO6765">
        <v>-44.909386667699948</v>
      </c>
      <c r="AP6765">
        <v>-20.127835000000001</v>
      </c>
      <c r="AQ6765">
        <v>-44.909329</v>
      </c>
      <c r="AR6765">
        <v>6.3483385067119924</v>
      </c>
      <c r="AS6765" t="s">
        <v>65</v>
      </c>
      <c r="AT6765">
        <v>1</v>
      </c>
      <c r="AU6765" t="s">
        <v>856</v>
      </c>
      <c r="AV6765" t="s">
        <v>857</v>
      </c>
      <c r="AW6765" t="s">
        <v>60</v>
      </c>
      <c r="AX6765" t="s">
        <v>68</v>
      </c>
      <c r="AY6765" t="s">
        <v>69</v>
      </c>
      <c r="AZ6765" t="b">
        <v>1</v>
      </c>
    </row>
    <row r="6766" spans="1:52" x14ac:dyDescent="0.3">
      <c r="A6766" t="s">
        <v>52</v>
      </c>
      <c r="B6766" t="s">
        <v>53</v>
      </c>
      <c r="C6766" t="s">
        <v>54</v>
      </c>
      <c r="D6766" t="s">
        <v>55</v>
      </c>
      <c r="E6766" t="s">
        <v>2296</v>
      </c>
      <c r="F6766" t="s">
        <v>1247</v>
      </c>
      <c r="G6766" t="s">
        <v>864</v>
      </c>
      <c r="H6766" t="s">
        <v>865</v>
      </c>
      <c r="I6766" t="s">
        <v>865</v>
      </c>
      <c r="J6766" t="s">
        <v>60</v>
      </c>
      <c r="K6766" t="s">
        <v>486</v>
      </c>
      <c r="L6766" t="s">
        <v>62</v>
      </c>
      <c r="M6766" t="s">
        <v>486</v>
      </c>
      <c r="N6766" t="s">
        <v>866</v>
      </c>
      <c r="O6766" t="s">
        <v>867</v>
      </c>
      <c r="P6766">
        <v>-20.170919000000001</v>
      </c>
      <c r="Q6766">
        <v>-44.905451999999997</v>
      </c>
      <c r="R6766" s="2" t="str">
        <f>HYPERLINK("https://www.google.com/maps?q=-20.1709190,-44.9054520","Abrir no Google Maps")</f>
        <v>Abrir no Google Maps</v>
      </c>
      <c r="S6766">
        <v>3</v>
      </c>
      <c r="T6766">
        <v>0</v>
      </c>
      <c r="U6766">
        <v>2</v>
      </c>
      <c r="V6766">
        <v>0.14844597404641069</v>
      </c>
      <c r="W6766">
        <v>1</v>
      </c>
      <c r="X6766">
        <v>0.14844597404641069</v>
      </c>
      <c r="Y6766">
        <v>578</v>
      </c>
      <c r="Z6766">
        <v>205.34598855748419</v>
      </c>
      <c r="AA6766">
        <v>198</v>
      </c>
      <c r="AB6766">
        <v>332</v>
      </c>
      <c r="AC6766">
        <v>536</v>
      </c>
      <c r="AD6766">
        <v>28.93</v>
      </c>
      <c r="AE6766">
        <v>542</v>
      </c>
      <c r="AF6766">
        <v>29</v>
      </c>
      <c r="AG6766">
        <v>166</v>
      </c>
      <c r="AH6766">
        <v>129</v>
      </c>
      <c r="AI6766">
        <v>5.35</v>
      </c>
      <c r="AJ6766">
        <v>30.63</v>
      </c>
      <c r="AK6766">
        <v>23.8</v>
      </c>
      <c r="AL6766">
        <v>-20.170854399999939</v>
      </c>
      <c r="AM6766">
        <v>-44.905524839633358</v>
      </c>
      <c r="AN6766">
        <v>-20.170854399999939</v>
      </c>
      <c r="AO6766">
        <v>-44.905524839633358</v>
      </c>
      <c r="AP6766">
        <v>-20.170919000000001</v>
      </c>
      <c r="AQ6766">
        <v>-44.905451999999997</v>
      </c>
      <c r="AR6766">
        <v>10.471140355179269</v>
      </c>
      <c r="AS6766" t="s">
        <v>65</v>
      </c>
      <c r="AT6766">
        <v>1</v>
      </c>
      <c r="AU6766" t="s">
        <v>868</v>
      </c>
      <c r="AV6766" t="s">
        <v>869</v>
      </c>
      <c r="AW6766" t="s">
        <v>60</v>
      </c>
      <c r="AX6766" t="s">
        <v>68</v>
      </c>
      <c r="AY6766" t="s">
        <v>69</v>
      </c>
      <c r="AZ6766" t="b">
        <v>1</v>
      </c>
    </row>
    <row r="6767" spans="1:52" x14ac:dyDescent="0.3">
      <c r="A6767" t="s">
        <v>52</v>
      </c>
      <c r="B6767" t="s">
        <v>53</v>
      </c>
      <c r="C6767" t="s">
        <v>54</v>
      </c>
      <c r="D6767" t="s">
        <v>55</v>
      </c>
      <c r="E6767" t="s">
        <v>2296</v>
      </c>
      <c r="F6767" t="s">
        <v>1247</v>
      </c>
      <c r="G6767" t="s">
        <v>1376</v>
      </c>
      <c r="H6767" t="s">
        <v>1377</v>
      </c>
      <c r="I6767" t="s">
        <v>1377</v>
      </c>
      <c r="J6767" t="s">
        <v>60</v>
      </c>
      <c r="K6767" t="s">
        <v>475</v>
      </c>
      <c r="L6767" t="s">
        <v>62</v>
      </c>
      <c r="M6767" t="s">
        <v>475</v>
      </c>
      <c r="N6767" t="s">
        <v>1378</v>
      </c>
      <c r="O6767" t="s">
        <v>1379</v>
      </c>
      <c r="P6767">
        <v>-20.175298000000002</v>
      </c>
      <c r="Q6767">
        <v>-44.904794000000003</v>
      </c>
      <c r="R6767" s="2" t="str">
        <f>HYPERLINK("https://www.google.com/maps?q=-20.1752980,-44.9047940","Abrir no Google Maps")</f>
        <v>Abrir no Google Maps</v>
      </c>
      <c r="S6767">
        <v>3</v>
      </c>
      <c r="T6767">
        <v>497.7557906927301</v>
      </c>
      <c r="U6767">
        <v>2</v>
      </c>
      <c r="V6767">
        <v>0.1618070237256283</v>
      </c>
      <c r="W6767">
        <v>0.85</v>
      </c>
      <c r="X6767">
        <v>0.13753597016678409</v>
      </c>
      <c r="Y6767">
        <v>578</v>
      </c>
      <c r="Z6767">
        <v>363.80816567363502</v>
      </c>
      <c r="AA6767">
        <v>198</v>
      </c>
      <c r="AB6767">
        <v>332</v>
      </c>
      <c r="AC6767">
        <v>536</v>
      </c>
      <c r="AD6767">
        <v>28.93</v>
      </c>
      <c r="AE6767">
        <v>542</v>
      </c>
      <c r="AF6767">
        <v>29</v>
      </c>
      <c r="AG6767">
        <v>166</v>
      </c>
      <c r="AH6767">
        <v>129</v>
      </c>
      <c r="AI6767">
        <v>5.35</v>
      </c>
      <c r="AJ6767">
        <v>30.63</v>
      </c>
      <c r="AK6767">
        <v>23.8</v>
      </c>
      <c r="AL6767">
        <v>-20.17530484999995</v>
      </c>
      <c r="AM6767">
        <v>-44.904834224351781</v>
      </c>
      <c r="AN6767">
        <v>-20.17530484999995</v>
      </c>
      <c r="AO6767">
        <v>-44.904834224351781</v>
      </c>
      <c r="AP6767">
        <v>-20.175298000000002</v>
      </c>
      <c r="AQ6767">
        <v>-44.904794000000003</v>
      </c>
      <c r="AR6767">
        <v>4.2716392411563806</v>
      </c>
      <c r="AS6767" t="s">
        <v>65</v>
      </c>
      <c r="AT6767">
        <v>1</v>
      </c>
      <c r="AU6767" t="s">
        <v>1380</v>
      </c>
      <c r="AV6767" t="s">
        <v>1381</v>
      </c>
      <c r="AW6767" t="s">
        <v>60</v>
      </c>
      <c r="AX6767" t="s">
        <v>68</v>
      </c>
      <c r="AY6767" t="s">
        <v>69</v>
      </c>
      <c r="AZ6767" t="b">
        <v>1</v>
      </c>
    </row>
    <row r="6768" spans="1:52" x14ac:dyDescent="0.3">
      <c r="A6768" t="s">
        <v>52</v>
      </c>
      <c r="B6768" t="s">
        <v>53</v>
      </c>
      <c r="C6768" t="s">
        <v>54</v>
      </c>
      <c r="D6768" t="s">
        <v>55</v>
      </c>
      <c r="E6768" t="s">
        <v>2296</v>
      </c>
      <c r="F6768" t="s">
        <v>1247</v>
      </c>
      <c r="G6768" t="s">
        <v>1382</v>
      </c>
      <c r="H6768" t="s">
        <v>1383</v>
      </c>
      <c r="I6768" t="s">
        <v>1383</v>
      </c>
      <c r="J6768" t="s">
        <v>60</v>
      </c>
      <c r="K6768" t="s">
        <v>1384</v>
      </c>
      <c r="L6768" t="s">
        <v>62</v>
      </c>
      <c r="M6768" t="s">
        <v>1384</v>
      </c>
      <c r="N6768" t="s">
        <v>1385</v>
      </c>
      <c r="O6768" t="s">
        <v>1379</v>
      </c>
      <c r="P6768">
        <v>-20.168914999999998</v>
      </c>
      <c r="Q6768">
        <v>-44.897015000000003</v>
      </c>
      <c r="R6768" s="2" t="str">
        <f>HYPERLINK("https://www.google.com/maps?q=-20.1689150,-44.8970150","Abrir no Google Maps")</f>
        <v>Abrir no Google Maps</v>
      </c>
      <c r="S6768">
        <v>3</v>
      </c>
      <c r="T6768">
        <v>1082.4313448281291</v>
      </c>
      <c r="U6768">
        <v>2</v>
      </c>
      <c r="V6768">
        <v>0.16338436964313541</v>
      </c>
      <c r="W6768">
        <v>0.85</v>
      </c>
      <c r="X6768">
        <v>0.13887671419666511</v>
      </c>
      <c r="Y6768">
        <v>578</v>
      </c>
      <c r="Z6768">
        <v>1085.6751638476369</v>
      </c>
      <c r="AA6768">
        <v>198</v>
      </c>
      <c r="AB6768">
        <v>332</v>
      </c>
      <c r="AC6768">
        <v>536</v>
      </c>
      <c r="AD6768">
        <v>28.93</v>
      </c>
      <c r="AE6768">
        <v>542</v>
      </c>
      <c r="AF6768">
        <v>29</v>
      </c>
      <c r="AG6768">
        <v>166</v>
      </c>
      <c r="AH6768">
        <v>129</v>
      </c>
      <c r="AI6768">
        <v>5.35</v>
      </c>
      <c r="AJ6768">
        <v>30.63</v>
      </c>
      <c r="AK6768">
        <v>23.8</v>
      </c>
      <c r="AL6768">
        <v>-20.168195549999979</v>
      </c>
      <c r="AM6768">
        <v>-44.895555997240763</v>
      </c>
      <c r="AN6768">
        <v>-20.168195549999979</v>
      </c>
      <c r="AO6768">
        <v>-44.895555997240763</v>
      </c>
      <c r="AP6768">
        <v>-20.168914999999998</v>
      </c>
      <c r="AQ6768">
        <v>-44.897015000000003</v>
      </c>
      <c r="AR6768">
        <v>172.21377736735809</v>
      </c>
      <c r="AS6768" t="s">
        <v>65</v>
      </c>
      <c r="AT6768">
        <v>1</v>
      </c>
      <c r="AU6768" t="s">
        <v>1386</v>
      </c>
      <c r="AV6768" t="s">
        <v>1387</v>
      </c>
      <c r="AW6768" t="s">
        <v>60</v>
      </c>
      <c r="AX6768" t="s">
        <v>68</v>
      </c>
      <c r="AY6768" t="s">
        <v>69</v>
      </c>
      <c r="AZ6768" t="b">
        <v>1</v>
      </c>
    </row>
    <row r="6769" spans="1:52" x14ac:dyDescent="0.3">
      <c r="A6769" t="s">
        <v>52</v>
      </c>
      <c r="B6769" t="s">
        <v>53</v>
      </c>
      <c r="C6769" t="s">
        <v>54</v>
      </c>
      <c r="D6769" t="s">
        <v>55</v>
      </c>
      <c r="E6769" t="s">
        <v>2296</v>
      </c>
      <c r="F6769" t="s">
        <v>1247</v>
      </c>
      <c r="G6769" t="s">
        <v>484</v>
      </c>
      <c r="H6769" t="s">
        <v>485</v>
      </c>
      <c r="I6769" t="s">
        <v>485</v>
      </c>
      <c r="J6769" t="s">
        <v>60</v>
      </c>
      <c r="K6769" t="s">
        <v>486</v>
      </c>
      <c r="L6769" t="s">
        <v>62</v>
      </c>
      <c r="M6769" t="s">
        <v>486</v>
      </c>
      <c r="N6769" t="s">
        <v>487</v>
      </c>
      <c r="O6769" t="s">
        <v>488</v>
      </c>
      <c r="P6769">
        <v>-20.173000999999999</v>
      </c>
      <c r="Q6769">
        <v>-44.901876999999999</v>
      </c>
      <c r="R6769" s="2" t="str">
        <f>HYPERLINK("https://www.google.com/maps?q=-20.1730010,-44.9018770","Abrir no Google Maps")</f>
        <v>Abrir no Google Maps</v>
      </c>
      <c r="S6769">
        <v>3</v>
      </c>
      <c r="T6769">
        <v>437.59695450783011</v>
      </c>
      <c r="U6769">
        <v>2</v>
      </c>
      <c r="V6769">
        <v>0.14875398357541211</v>
      </c>
      <c r="W6769">
        <v>1</v>
      </c>
      <c r="X6769">
        <v>0.14875398357541211</v>
      </c>
      <c r="Y6769">
        <v>578</v>
      </c>
      <c r="Z6769">
        <v>440.53629183653243</v>
      </c>
      <c r="AA6769">
        <v>198</v>
      </c>
      <c r="AB6769">
        <v>332</v>
      </c>
      <c r="AC6769">
        <v>536</v>
      </c>
      <c r="AD6769">
        <v>28.93</v>
      </c>
      <c r="AE6769">
        <v>542</v>
      </c>
      <c r="AF6769">
        <v>29</v>
      </c>
      <c r="AG6769">
        <v>166</v>
      </c>
      <c r="AH6769">
        <v>129</v>
      </c>
      <c r="AI6769">
        <v>5.35</v>
      </c>
      <c r="AJ6769">
        <v>30.63</v>
      </c>
      <c r="AK6769">
        <v>23.8</v>
      </c>
      <c r="AL6769">
        <v>-20.173065299999969</v>
      </c>
      <c r="AM6769">
        <v>-44.902052686008687</v>
      </c>
      <c r="AN6769">
        <v>-20.173065299999969</v>
      </c>
      <c r="AO6769">
        <v>-44.902052686008687</v>
      </c>
      <c r="AP6769">
        <v>-20.173000999999999</v>
      </c>
      <c r="AQ6769">
        <v>-44.901876999999999</v>
      </c>
      <c r="AR6769">
        <v>19.703745070768829</v>
      </c>
      <c r="AS6769" t="s">
        <v>65</v>
      </c>
      <c r="AT6769">
        <v>1</v>
      </c>
      <c r="AU6769" t="s">
        <v>489</v>
      </c>
      <c r="AV6769" t="s">
        <v>490</v>
      </c>
      <c r="AW6769" t="s">
        <v>60</v>
      </c>
      <c r="AX6769" t="s">
        <v>68</v>
      </c>
      <c r="AY6769" t="s">
        <v>69</v>
      </c>
      <c r="AZ6769" t="b">
        <v>1</v>
      </c>
    </row>
    <row r="6770" spans="1:52" x14ac:dyDescent="0.3">
      <c r="A6770" t="s">
        <v>52</v>
      </c>
      <c r="B6770" t="s">
        <v>53</v>
      </c>
      <c r="C6770" t="s">
        <v>54</v>
      </c>
      <c r="D6770" t="s">
        <v>55</v>
      </c>
      <c r="E6770" t="s">
        <v>2296</v>
      </c>
      <c r="F6770" t="s">
        <v>1247</v>
      </c>
      <c r="G6770" t="s">
        <v>497</v>
      </c>
      <c r="H6770" t="s">
        <v>498</v>
      </c>
      <c r="I6770" t="s">
        <v>498</v>
      </c>
      <c r="J6770" t="s">
        <v>60</v>
      </c>
      <c r="K6770" t="s">
        <v>475</v>
      </c>
      <c r="L6770" t="s">
        <v>62</v>
      </c>
      <c r="M6770" t="s">
        <v>475</v>
      </c>
      <c r="N6770" t="s">
        <v>499</v>
      </c>
      <c r="O6770" t="s">
        <v>500</v>
      </c>
      <c r="P6770">
        <v>-20.175492999999999</v>
      </c>
      <c r="Q6770">
        <v>-44.900759000000001</v>
      </c>
      <c r="R6770" s="2" t="str">
        <f>HYPERLINK("https://www.google.com/maps?q=-20.1754930,-44.9007590","Abrir no Google Maps")</f>
        <v>Abrir no Google Maps</v>
      </c>
      <c r="S6770">
        <v>3</v>
      </c>
      <c r="T6770">
        <v>753.30732354720431</v>
      </c>
      <c r="U6770">
        <v>2</v>
      </c>
      <c r="V6770">
        <v>0.14875204822097379</v>
      </c>
      <c r="W6770">
        <v>1</v>
      </c>
      <c r="X6770">
        <v>0.14875204822097379</v>
      </c>
      <c r="Y6770">
        <v>578</v>
      </c>
      <c r="Z6770">
        <v>695.28903655431702</v>
      </c>
      <c r="AA6770">
        <v>198</v>
      </c>
      <c r="AB6770">
        <v>332</v>
      </c>
      <c r="AC6770">
        <v>536</v>
      </c>
      <c r="AD6770">
        <v>28.93</v>
      </c>
      <c r="AE6770">
        <v>542</v>
      </c>
      <c r="AF6770">
        <v>29</v>
      </c>
      <c r="AG6770">
        <v>166</v>
      </c>
      <c r="AH6770">
        <v>129</v>
      </c>
      <c r="AI6770">
        <v>5.35</v>
      </c>
      <c r="AJ6770">
        <v>30.63</v>
      </c>
      <c r="AK6770">
        <v>23.8</v>
      </c>
      <c r="AL6770">
        <v>-20.175825999999969</v>
      </c>
      <c r="AM6770">
        <v>-44.900600234646973</v>
      </c>
      <c r="AN6770">
        <v>-20.175825999999969</v>
      </c>
      <c r="AO6770">
        <v>-44.900600234646973</v>
      </c>
      <c r="AP6770">
        <v>-20.175492999999999</v>
      </c>
      <c r="AQ6770">
        <v>-44.900759000000001</v>
      </c>
      <c r="AR6770">
        <v>40.612267304645073</v>
      </c>
      <c r="AS6770" t="s">
        <v>65</v>
      </c>
      <c r="AT6770">
        <v>1</v>
      </c>
      <c r="AU6770" t="s">
        <v>501</v>
      </c>
      <c r="AV6770" t="s">
        <v>502</v>
      </c>
      <c r="AW6770" t="s">
        <v>60</v>
      </c>
      <c r="AX6770" t="s">
        <v>68</v>
      </c>
      <c r="AY6770" t="s">
        <v>69</v>
      </c>
      <c r="AZ6770" t="b">
        <v>1</v>
      </c>
    </row>
    <row r="6771" spans="1:52" x14ac:dyDescent="0.3">
      <c r="A6771" t="s">
        <v>52</v>
      </c>
      <c r="B6771" t="s">
        <v>53</v>
      </c>
      <c r="C6771" t="s">
        <v>54</v>
      </c>
      <c r="D6771" t="s">
        <v>55</v>
      </c>
      <c r="E6771" t="s">
        <v>2296</v>
      </c>
      <c r="F6771" t="s">
        <v>1247</v>
      </c>
      <c r="G6771" t="s">
        <v>503</v>
      </c>
      <c r="H6771" t="s">
        <v>504</v>
      </c>
      <c r="I6771" t="s">
        <v>504</v>
      </c>
      <c r="J6771" t="s">
        <v>60</v>
      </c>
      <c r="K6771" t="s">
        <v>505</v>
      </c>
      <c r="L6771" t="s">
        <v>62</v>
      </c>
      <c r="M6771" t="s">
        <v>505</v>
      </c>
      <c r="N6771" t="s">
        <v>506</v>
      </c>
      <c r="O6771" t="s">
        <v>507</v>
      </c>
      <c r="P6771">
        <v>-20.131428</v>
      </c>
      <c r="Q6771">
        <v>-44.888921000000003</v>
      </c>
      <c r="R6771" s="2" t="str">
        <f>HYPERLINK("https://www.google.com/maps?q=-20.1314280,-44.8889210","Abrir no Google Maps")</f>
        <v>Abrir no Google Maps</v>
      </c>
      <c r="S6771">
        <v>3</v>
      </c>
      <c r="T6771">
        <v>250.64150698244501</v>
      </c>
      <c r="U6771">
        <v>2</v>
      </c>
      <c r="V6771">
        <v>0.15381922370558729</v>
      </c>
      <c r="W6771">
        <v>1</v>
      </c>
      <c r="X6771">
        <v>0.15381922370558729</v>
      </c>
      <c r="Y6771">
        <v>564</v>
      </c>
      <c r="Z6771">
        <v>189.93933888952441</v>
      </c>
      <c r="AA6771">
        <v>198</v>
      </c>
      <c r="AB6771">
        <v>332</v>
      </c>
      <c r="AC6771">
        <v>536</v>
      </c>
      <c r="AD6771">
        <v>28.93</v>
      </c>
      <c r="AE6771">
        <v>542</v>
      </c>
      <c r="AF6771">
        <v>29</v>
      </c>
      <c r="AG6771">
        <v>166</v>
      </c>
      <c r="AH6771">
        <v>129</v>
      </c>
      <c r="AI6771">
        <v>5.35</v>
      </c>
      <c r="AJ6771">
        <v>30.63</v>
      </c>
      <c r="AK6771">
        <v>23.8</v>
      </c>
      <c r="AL6771">
        <v>-20.13123589999995</v>
      </c>
      <c r="AM6771">
        <v>-44.888742396501762</v>
      </c>
      <c r="AN6771">
        <v>-20.13123589999995</v>
      </c>
      <c r="AO6771">
        <v>-44.888742396501762</v>
      </c>
      <c r="AP6771">
        <v>-20.131428</v>
      </c>
      <c r="AQ6771">
        <v>-44.888921000000003</v>
      </c>
      <c r="AR6771">
        <v>28.386169462917032</v>
      </c>
      <c r="AS6771" t="s">
        <v>65</v>
      </c>
      <c r="AT6771">
        <v>1</v>
      </c>
      <c r="AU6771" t="s">
        <v>508</v>
      </c>
      <c r="AV6771" t="s">
        <v>509</v>
      </c>
      <c r="AW6771" t="s">
        <v>60</v>
      </c>
      <c r="AX6771" t="s">
        <v>68</v>
      </c>
      <c r="AY6771" t="s">
        <v>69</v>
      </c>
      <c r="AZ6771" t="b">
        <v>1</v>
      </c>
    </row>
    <row r="6772" spans="1:52" x14ac:dyDescent="0.3">
      <c r="A6772" t="s">
        <v>52</v>
      </c>
      <c r="B6772" t="s">
        <v>53</v>
      </c>
      <c r="C6772" t="s">
        <v>54</v>
      </c>
      <c r="D6772" t="s">
        <v>55</v>
      </c>
      <c r="E6772" t="s">
        <v>2296</v>
      </c>
      <c r="F6772" t="s">
        <v>1247</v>
      </c>
      <c r="G6772" t="s">
        <v>510</v>
      </c>
      <c r="H6772" t="s">
        <v>511</v>
      </c>
      <c r="I6772" t="s">
        <v>511</v>
      </c>
      <c r="J6772" t="s">
        <v>60</v>
      </c>
      <c r="K6772" t="s">
        <v>512</v>
      </c>
      <c r="L6772" t="s">
        <v>62</v>
      </c>
      <c r="M6772" t="s">
        <v>512</v>
      </c>
      <c r="N6772" t="s">
        <v>406</v>
      </c>
      <c r="O6772" t="s">
        <v>513</v>
      </c>
      <c r="P6772">
        <v>-20.127853000000002</v>
      </c>
      <c r="Q6772">
        <v>-44.891415000000002</v>
      </c>
      <c r="R6772" s="2" t="str">
        <f>HYPERLINK("https://www.google.com/maps?q=-20.1278530,-44.8914150","Abrir no Google Maps")</f>
        <v>Abrir no Google Maps</v>
      </c>
      <c r="S6772">
        <v>3</v>
      </c>
      <c r="T6772">
        <v>340.86994528233612</v>
      </c>
      <c r="U6772">
        <v>2</v>
      </c>
      <c r="V6772">
        <v>0.1448301922092245</v>
      </c>
      <c r="W6772">
        <v>1</v>
      </c>
      <c r="X6772">
        <v>0.1448301922092245</v>
      </c>
      <c r="Y6772">
        <v>564</v>
      </c>
      <c r="Z6772">
        <v>294.18108015916812</v>
      </c>
      <c r="AA6772">
        <v>198</v>
      </c>
      <c r="AB6772">
        <v>332</v>
      </c>
      <c r="AC6772">
        <v>536</v>
      </c>
      <c r="AD6772">
        <v>28.93</v>
      </c>
      <c r="AE6772">
        <v>542</v>
      </c>
      <c r="AF6772">
        <v>29</v>
      </c>
      <c r="AG6772">
        <v>166</v>
      </c>
      <c r="AH6772">
        <v>129</v>
      </c>
      <c r="AI6772">
        <v>5.35</v>
      </c>
      <c r="AJ6772">
        <v>30.63</v>
      </c>
      <c r="AK6772">
        <v>23.8</v>
      </c>
      <c r="AL6772">
        <v>-20.12777399999996</v>
      </c>
      <c r="AM6772">
        <v>-44.891400975758501</v>
      </c>
      <c r="AN6772">
        <v>-20.12777399999996</v>
      </c>
      <c r="AO6772">
        <v>-44.891400975758501</v>
      </c>
      <c r="AP6772">
        <v>-20.127853000000002</v>
      </c>
      <c r="AQ6772">
        <v>-44.891415000000002</v>
      </c>
      <c r="AR6772">
        <v>8.9156059162975616</v>
      </c>
      <c r="AS6772" t="s">
        <v>65</v>
      </c>
      <c r="AT6772">
        <v>1</v>
      </c>
      <c r="AU6772" t="s">
        <v>514</v>
      </c>
      <c r="AV6772" t="s">
        <v>515</v>
      </c>
      <c r="AW6772" t="s">
        <v>60</v>
      </c>
      <c r="AX6772" t="s">
        <v>68</v>
      </c>
      <c r="AY6772" t="s">
        <v>69</v>
      </c>
      <c r="AZ6772" t="b">
        <v>1</v>
      </c>
    </row>
    <row r="6773" spans="1:52" x14ac:dyDescent="0.3">
      <c r="A6773" t="s">
        <v>52</v>
      </c>
      <c r="B6773" t="s">
        <v>53</v>
      </c>
      <c r="C6773" t="s">
        <v>54</v>
      </c>
      <c r="D6773" t="s">
        <v>55</v>
      </c>
      <c r="E6773" t="s">
        <v>2296</v>
      </c>
      <c r="F6773" t="s">
        <v>1247</v>
      </c>
      <c r="G6773" t="s">
        <v>879</v>
      </c>
      <c r="H6773" t="s">
        <v>880</v>
      </c>
      <c r="I6773" t="s">
        <v>880</v>
      </c>
      <c r="J6773" t="s">
        <v>60</v>
      </c>
      <c r="K6773" t="s">
        <v>505</v>
      </c>
      <c r="L6773" t="s">
        <v>62</v>
      </c>
      <c r="M6773" t="s">
        <v>505</v>
      </c>
      <c r="N6773" t="s">
        <v>881</v>
      </c>
      <c r="O6773" t="s">
        <v>882</v>
      </c>
      <c r="P6773">
        <v>-20.133452999999999</v>
      </c>
      <c r="Q6773">
        <v>-44.890571999999999</v>
      </c>
      <c r="R6773" s="2" t="str">
        <f>HYPERLINK("https://www.google.com/maps?q=-20.1334530,-44.8905720","Abrir no Google Maps")</f>
        <v>Abrir no Google Maps</v>
      </c>
      <c r="S6773">
        <v>3</v>
      </c>
      <c r="T6773">
        <v>373.51332104809921</v>
      </c>
      <c r="U6773">
        <v>2</v>
      </c>
      <c r="V6773">
        <v>0.15402830320863101</v>
      </c>
      <c r="W6773">
        <v>1</v>
      </c>
      <c r="X6773">
        <v>0.15402830320863101</v>
      </c>
      <c r="Y6773">
        <v>564</v>
      </c>
      <c r="Z6773">
        <v>422.34693311930448</v>
      </c>
      <c r="AA6773">
        <v>198</v>
      </c>
      <c r="AB6773">
        <v>332</v>
      </c>
      <c r="AC6773">
        <v>536</v>
      </c>
      <c r="AD6773">
        <v>28.93</v>
      </c>
      <c r="AE6773">
        <v>542</v>
      </c>
      <c r="AF6773">
        <v>29</v>
      </c>
      <c r="AG6773">
        <v>166</v>
      </c>
      <c r="AH6773">
        <v>129</v>
      </c>
      <c r="AI6773">
        <v>5.35</v>
      </c>
      <c r="AJ6773">
        <v>30.63</v>
      </c>
      <c r="AK6773">
        <v>23.8</v>
      </c>
      <c r="AL6773">
        <v>-20.133421549999952</v>
      </c>
      <c r="AM6773">
        <v>-44.890623456009052</v>
      </c>
      <c r="AN6773">
        <v>-20.133421549999952</v>
      </c>
      <c r="AO6773">
        <v>-44.890623456009052</v>
      </c>
      <c r="AP6773">
        <v>-20.133452999999999</v>
      </c>
      <c r="AQ6773">
        <v>-44.890571999999999</v>
      </c>
      <c r="AR6773">
        <v>6.4172139275452773</v>
      </c>
      <c r="AS6773" t="s">
        <v>65</v>
      </c>
      <c r="AT6773">
        <v>1</v>
      </c>
      <c r="AU6773" t="s">
        <v>883</v>
      </c>
      <c r="AV6773" t="s">
        <v>884</v>
      </c>
      <c r="AW6773" t="s">
        <v>60</v>
      </c>
      <c r="AX6773" t="s">
        <v>68</v>
      </c>
      <c r="AY6773" t="s">
        <v>69</v>
      </c>
      <c r="AZ6773" t="b">
        <v>1</v>
      </c>
    </row>
    <row r="6774" spans="1:52" x14ac:dyDescent="0.3">
      <c r="A6774" t="s">
        <v>52</v>
      </c>
      <c r="B6774" t="s">
        <v>53</v>
      </c>
      <c r="C6774" t="s">
        <v>54</v>
      </c>
      <c r="D6774" t="s">
        <v>55</v>
      </c>
      <c r="E6774" t="s">
        <v>2296</v>
      </c>
      <c r="F6774" t="s">
        <v>1247</v>
      </c>
      <c r="G6774" t="s">
        <v>1429</v>
      </c>
      <c r="H6774" t="s">
        <v>1430</v>
      </c>
      <c r="I6774" t="s">
        <v>1430</v>
      </c>
      <c r="J6774" t="s">
        <v>60</v>
      </c>
      <c r="K6774" t="s">
        <v>505</v>
      </c>
      <c r="L6774" t="s">
        <v>62</v>
      </c>
      <c r="M6774" t="s">
        <v>505</v>
      </c>
      <c r="N6774" t="s">
        <v>1431</v>
      </c>
      <c r="O6774" t="s">
        <v>1432</v>
      </c>
      <c r="P6774">
        <v>-20.132069000000001</v>
      </c>
      <c r="Q6774">
        <v>-44.891694000000001</v>
      </c>
      <c r="R6774" s="2" t="str">
        <f>HYPERLINK("https://www.google.com/maps?q=-20.1320690,-44.8916940","Abrir no Google Maps")</f>
        <v>Abrir no Google Maps</v>
      </c>
      <c r="S6774">
        <v>3</v>
      </c>
      <c r="T6774">
        <v>463.84477613866852</v>
      </c>
      <c r="U6774">
        <v>2</v>
      </c>
      <c r="V6774">
        <v>0.16844478046594991</v>
      </c>
      <c r="W6774">
        <v>0.85</v>
      </c>
      <c r="X6774">
        <v>0.1431780633960574</v>
      </c>
      <c r="Y6774">
        <v>564</v>
      </c>
      <c r="Z6774">
        <v>349.6044774510159</v>
      </c>
      <c r="AA6774">
        <v>198</v>
      </c>
      <c r="AB6774">
        <v>332</v>
      </c>
      <c r="AC6774">
        <v>536</v>
      </c>
      <c r="AD6774">
        <v>28.93</v>
      </c>
      <c r="AE6774">
        <v>542</v>
      </c>
      <c r="AF6774">
        <v>29</v>
      </c>
      <c r="AG6774">
        <v>166</v>
      </c>
      <c r="AH6774">
        <v>129</v>
      </c>
      <c r="AI6774">
        <v>5.35</v>
      </c>
      <c r="AJ6774">
        <v>30.63</v>
      </c>
      <c r="AK6774">
        <v>23.8</v>
      </c>
      <c r="AL6774">
        <v>-20.131860799999941</v>
      </c>
      <c r="AM6774">
        <v>-44.891643045551348</v>
      </c>
      <c r="AN6774">
        <v>-20.131860799999941</v>
      </c>
      <c r="AO6774">
        <v>-44.891643045551348</v>
      </c>
      <c r="AP6774">
        <v>-20.132069000000001</v>
      </c>
      <c r="AQ6774">
        <v>-44.891694000000001</v>
      </c>
      <c r="AR6774">
        <v>23.780836080569209</v>
      </c>
      <c r="AS6774" t="s">
        <v>65</v>
      </c>
      <c r="AT6774">
        <v>1</v>
      </c>
      <c r="AU6774" t="s">
        <v>1433</v>
      </c>
      <c r="AV6774" t="s">
        <v>1434</v>
      </c>
      <c r="AW6774" t="s">
        <v>60</v>
      </c>
      <c r="AX6774" t="s">
        <v>68</v>
      </c>
      <c r="AY6774" t="s">
        <v>69</v>
      </c>
      <c r="AZ6774" t="b">
        <v>1</v>
      </c>
    </row>
    <row r="6775" spans="1:52" x14ac:dyDescent="0.3">
      <c r="A6775" t="s">
        <v>52</v>
      </c>
      <c r="B6775" t="s">
        <v>53</v>
      </c>
      <c r="C6775" t="s">
        <v>54</v>
      </c>
      <c r="D6775" t="s">
        <v>55</v>
      </c>
      <c r="E6775" t="s">
        <v>2296</v>
      </c>
      <c r="F6775" t="s">
        <v>1247</v>
      </c>
      <c r="G6775" t="s">
        <v>503</v>
      </c>
      <c r="H6775" t="s">
        <v>1441</v>
      </c>
      <c r="I6775" t="s">
        <v>1441</v>
      </c>
      <c r="J6775" t="s">
        <v>60</v>
      </c>
      <c r="K6775" t="s">
        <v>512</v>
      </c>
      <c r="L6775" t="s">
        <v>62</v>
      </c>
      <c r="M6775" t="s">
        <v>512</v>
      </c>
      <c r="N6775" t="s">
        <v>506</v>
      </c>
      <c r="O6775" t="s">
        <v>1442</v>
      </c>
      <c r="P6775">
        <v>-20.13036</v>
      </c>
      <c r="Q6775">
        <v>-44.891019</v>
      </c>
      <c r="R6775" s="2" t="str">
        <f>HYPERLINK("https://www.google.com/maps?q=-20.1303600,-44.8910190","Abrir no Google Maps")</f>
        <v>Abrir no Google Maps</v>
      </c>
      <c r="S6775">
        <v>3</v>
      </c>
      <c r="T6775">
        <v>313.17410616307359</v>
      </c>
      <c r="U6775">
        <v>2</v>
      </c>
      <c r="V6775">
        <v>0.1658597023198187</v>
      </c>
      <c r="W6775">
        <v>0.85</v>
      </c>
      <c r="X6775">
        <v>0.1409807469718459</v>
      </c>
      <c r="Y6775">
        <v>564</v>
      </c>
      <c r="Z6775">
        <v>208.43159293494489</v>
      </c>
      <c r="AA6775">
        <v>198</v>
      </c>
      <c r="AB6775">
        <v>332</v>
      </c>
      <c r="AC6775">
        <v>536</v>
      </c>
      <c r="AD6775">
        <v>28.93</v>
      </c>
      <c r="AE6775">
        <v>542</v>
      </c>
      <c r="AF6775">
        <v>29</v>
      </c>
      <c r="AG6775">
        <v>166</v>
      </c>
      <c r="AH6775">
        <v>129</v>
      </c>
      <c r="AI6775">
        <v>5.35</v>
      </c>
      <c r="AJ6775">
        <v>30.63</v>
      </c>
      <c r="AK6775">
        <v>23.8</v>
      </c>
      <c r="AL6775">
        <v>-20.130100449999961</v>
      </c>
      <c r="AM6775">
        <v>-44.891163633475301</v>
      </c>
      <c r="AN6775">
        <v>-20.130100449999961</v>
      </c>
      <c r="AO6775">
        <v>-44.891163633475301</v>
      </c>
      <c r="AP6775">
        <v>-20.13036</v>
      </c>
      <c r="AQ6775">
        <v>-44.891019</v>
      </c>
      <c r="AR6775">
        <v>32.608854575381159</v>
      </c>
      <c r="AS6775" t="s">
        <v>65</v>
      </c>
      <c r="AT6775">
        <v>1</v>
      </c>
      <c r="AU6775" t="s">
        <v>1443</v>
      </c>
      <c r="AV6775" t="s">
        <v>1444</v>
      </c>
      <c r="AW6775" t="s">
        <v>60</v>
      </c>
      <c r="AX6775" t="s">
        <v>68</v>
      </c>
      <c r="AY6775" t="s">
        <v>69</v>
      </c>
      <c r="AZ6775" t="b">
        <v>1</v>
      </c>
    </row>
    <row r="6776" spans="1:52" x14ac:dyDescent="0.3">
      <c r="A6776" t="s">
        <v>52</v>
      </c>
      <c r="B6776" t="s">
        <v>53</v>
      </c>
      <c r="C6776" t="s">
        <v>54</v>
      </c>
      <c r="D6776" t="s">
        <v>55</v>
      </c>
      <c r="E6776" t="s">
        <v>2296</v>
      </c>
      <c r="F6776" t="s">
        <v>1247</v>
      </c>
      <c r="G6776" t="s">
        <v>1408</v>
      </c>
      <c r="H6776" t="s">
        <v>1409</v>
      </c>
      <c r="I6776" t="s">
        <v>1409</v>
      </c>
      <c r="J6776" t="s">
        <v>60</v>
      </c>
      <c r="K6776" t="s">
        <v>200</v>
      </c>
      <c r="L6776" t="s">
        <v>62</v>
      </c>
      <c r="M6776" t="s">
        <v>200</v>
      </c>
      <c r="N6776" t="s">
        <v>1410</v>
      </c>
      <c r="O6776" t="s">
        <v>1001</v>
      </c>
      <c r="P6776">
        <v>-20.126062999999998</v>
      </c>
      <c r="Q6776">
        <v>-44.894936999999999</v>
      </c>
      <c r="R6776" s="2" t="str">
        <f>HYPERLINK("https://www.google.com/maps?q=-20.1260630,-44.8949370","Abrir no Google Maps")</f>
        <v>Abrir no Google Maps</v>
      </c>
      <c r="S6776">
        <v>3</v>
      </c>
      <c r="T6776">
        <v>747.3122077966558</v>
      </c>
      <c r="U6776">
        <v>2</v>
      </c>
      <c r="V6776">
        <v>0.17342218319641231</v>
      </c>
      <c r="W6776">
        <v>0.85</v>
      </c>
      <c r="X6776">
        <v>0.14740885571695039</v>
      </c>
      <c r="Y6776">
        <v>564</v>
      </c>
      <c r="Z6776">
        <v>693.80888866206885</v>
      </c>
      <c r="AA6776">
        <v>198</v>
      </c>
      <c r="AB6776">
        <v>332</v>
      </c>
      <c r="AC6776">
        <v>536</v>
      </c>
      <c r="AD6776">
        <v>28.93</v>
      </c>
      <c r="AE6776">
        <v>542</v>
      </c>
      <c r="AF6776">
        <v>29</v>
      </c>
      <c r="AG6776">
        <v>166</v>
      </c>
      <c r="AH6776">
        <v>129</v>
      </c>
      <c r="AI6776">
        <v>5.35</v>
      </c>
      <c r="AJ6776">
        <v>30.63</v>
      </c>
      <c r="AK6776">
        <v>23.8</v>
      </c>
      <c r="AL6776">
        <v>-20.126099149999959</v>
      </c>
      <c r="AM6776">
        <v>-44.894866076436763</v>
      </c>
      <c r="AN6776">
        <v>-20.126099149999959</v>
      </c>
      <c r="AO6776">
        <v>-44.894866076436749</v>
      </c>
      <c r="AP6776">
        <v>-20.126062999999998</v>
      </c>
      <c r="AQ6776">
        <v>-44.894936999999999</v>
      </c>
      <c r="AR6776">
        <v>8.4349593682699737</v>
      </c>
      <c r="AS6776" t="s">
        <v>65</v>
      </c>
      <c r="AT6776">
        <v>1</v>
      </c>
      <c r="AU6776" t="s">
        <v>1411</v>
      </c>
      <c r="AV6776" t="s">
        <v>1003</v>
      </c>
      <c r="AW6776" t="s">
        <v>60</v>
      </c>
      <c r="AX6776" t="s">
        <v>68</v>
      </c>
      <c r="AY6776" t="s">
        <v>69</v>
      </c>
      <c r="AZ6776" t="b">
        <v>1</v>
      </c>
    </row>
    <row r="6777" spans="1:52" x14ac:dyDescent="0.3">
      <c r="A6777" t="s">
        <v>52</v>
      </c>
      <c r="B6777" t="s">
        <v>53</v>
      </c>
      <c r="C6777" t="s">
        <v>54</v>
      </c>
      <c r="D6777" t="s">
        <v>55</v>
      </c>
      <c r="E6777" t="s">
        <v>2296</v>
      </c>
      <c r="F6777" t="s">
        <v>1247</v>
      </c>
      <c r="G6777" t="s">
        <v>535</v>
      </c>
      <c r="H6777" t="s">
        <v>536</v>
      </c>
      <c r="I6777" t="s">
        <v>536</v>
      </c>
      <c r="J6777" t="s">
        <v>60</v>
      </c>
      <c r="K6777" t="s">
        <v>388</v>
      </c>
      <c r="L6777" t="s">
        <v>62</v>
      </c>
      <c r="M6777" t="s">
        <v>388</v>
      </c>
      <c r="N6777" t="s">
        <v>537</v>
      </c>
      <c r="O6777" t="s">
        <v>538</v>
      </c>
      <c r="P6777">
        <v>-20.150061999999998</v>
      </c>
      <c r="Q6777">
        <v>-44.903379000000001</v>
      </c>
      <c r="R6777" s="2" t="str">
        <f>HYPERLINK("https://www.google.com/maps?q=-20.1500620,-44.9033790","Abrir no Google Maps")</f>
        <v>Abrir no Google Maps</v>
      </c>
      <c r="S6777">
        <v>3</v>
      </c>
      <c r="T6777">
        <v>286.20313674219977</v>
      </c>
      <c r="U6777">
        <v>2</v>
      </c>
      <c r="V6777">
        <v>0.14135275957584409</v>
      </c>
      <c r="W6777">
        <v>1</v>
      </c>
      <c r="X6777">
        <v>0.14135275957584409</v>
      </c>
      <c r="Y6777">
        <v>556</v>
      </c>
      <c r="Z6777">
        <v>315.81851898667401</v>
      </c>
      <c r="AA6777">
        <v>198</v>
      </c>
      <c r="AB6777">
        <v>332</v>
      </c>
      <c r="AC6777">
        <v>536</v>
      </c>
      <c r="AD6777">
        <v>28.93</v>
      </c>
      <c r="AE6777">
        <v>542</v>
      </c>
      <c r="AF6777">
        <v>29</v>
      </c>
      <c r="AG6777">
        <v>166</v>
      </c>
      <c r="AH6777">
        <v>129</v>
      </c>
      <c r="AI6777">
        <v>5.35</v>
      </c>
      <c r="AJ6777">
        <v>30.63</v>
      </c>
      <c r="AK6777">
        <v>23.8</v>
      </c>
      <c r="AL6777">
        <v>-20.150084299999971</v>
      </c>
      <c r="AM6777">
        <v>-44.903278407568479</v>
      </c>
      <c r="AN6777">
        <v>-20.150084299999971</v>
      </c>
      <c r="AO6777">
        <v>-44.903278407568479</v>
      </c>
      <c r="AP6777">
        <v>-20.150061999999998</v>
      </c>
      <c r="AQ6777">
        <v>-44.903379000000001</v>
      </c>
      <c r="AR6777">
        <v>10.801687336134639</v>
      </c>
      <c r="AS6777" t="s">
        <v>65</v>
      </c>
      <c r="AT6777">
        <v>1</v>
      </c>
      <c r="AU6777" t="s">
        <v>539</v>
      </c>
      <c r="AV6777" t="s">
        <v>540</v>
      </c>
      <c r="AW6777" t="s">
        <v>60</v>
      </c>
      <c r="AX6777" t="s">
        <v>68</v>
      </c>
      <c r="AY6777" t="s">
        <v>69</v>
      </c>
      <c r="AZ6777" t="b">
        <v>1</v>
      </c>
    </row>
    <row r="6778" spans="1:52" x14ac:dyDescent="0.3">
      <c r="A6778" t="s">
        <v>52</v>
      </c>
      <c r="B6778" t="s">
        <v>53</v>
      </c>
      <c r="C6778" t="s">
        <v>54</v>
      </c>
      <c r="D6778" t="s">
        <v>55</v>
      </c>
      <c r="E6778" t="s">
        <v>2296</v>
      </c>
      <c r="F6778" t="s">
        <v>1247</v>
      </c>
      <c r="G6778" t="s">
        <v>398</v>
      </c>
      <c r="H6778" t="s">
        <v>541</v>
      </c>
      <c r="I6778" t="s">
        <v>541</v>
      </c>
      <c r="J6778" t="s">
        <v>60</v>
      </c>
      <c r="K6778" t="s">
        <v>388</v>
      </c>
      <c r="L6778" t="s">
        <v>62</v>
      </c>
      <c r="M6778" t="s">
        <v>388</v>
      </c>
      <c r="N6778" t="s">
        <v>400</v>
      </c>
      <c r="O6778" t="s">
        <v>542</v>
      </c>
      <c r="P6778">
        <v>-20.151335</v>
      </c>
      <c r="Q6778">
        <v>-44.901041999999997</v>
      </c>
      <c r="R6778" s="2" t="str">
        <f>HYPERLINK("https://www.google.com/maps?q=-20.1513350,-44.9010420","Abrir no Google Maps")</f>
        <v>Abrir no Google Maps</v>
      </c>
      <c r="S6778">
        <v>3</v>
      </c>
      <c r="T6778">
        <v>0</v>
      </c>
      <c r="U6778">
        <v>2</v>
      </c>
      <c r="V6778">
        <v>0.1379996668887408</v>
      </c>
      <c r="W6778">
        <v>1</v>
      </c>
      <c r="X6778">
        <v>0.1379996668887408</v>
      </c>
      <c r="Y6778">
        <v>556</v>
      </c>
      <c r="Z6778">
        <v>137.71609036908939</v>
      </c>
      <c r="AA6778">
        <v>198</v>
      </c>
      <c r="AB6778">
        <v>332</v>
      </c>
      <c r="AC6778">
        <v>536</v>
      </c>
      <c r="AD6778">
        <v>28.93</v>
      </c>
      <c r="AE6778">
        <v>542</v>
      </c>
      <c r="AF6778">
        <v>29</v>
      </c>
      <c r="AG6778">
        <v>166</v>
      </c>
      <c r="AH6778">
        <v>129</v>
      </c>
      <c r="AI6778">
        <v>5.35</v>
      </c>
      <c r="AJ6778">
        <v>30.63</v>
      </c>
      <c r="AK6778">
        <v>23.8</v>
      </c>
      <c r="AL6778">
        <v>-20.15125899999995</v>
      </c>
      <c r="AM6778">
        <v>-44.900838557594433</v>
      </c>
      <c r="AN6778">
        <v>-20.15125899999995</v>
      </c>
      <c r="AO6778">
        <v>-44.900838557594433</v>
      </c>
      <c r="AP6778">
        <v>-20.151335</v>
      </c>
      <c r="AQ6778">
        <v>-44.901041999999997</v>
      </c>
      <c r="AR6778">
        <v>22.882363139483491</v>
      </c>
      <c r="AS6778" t="s">
        <v>65</v>
      </c>
      <c r="AT6778">
        <v>1</v>
      </c>
      <c r="AU6778" t="s">
        <v>543</v>
      </c>
      <c r="AV6778" t="s">
        <v>544</v>
      </c>
      <c r="AW6778" t="s">
        <v>60</v>
      </c>
      <c r="AX6778" t="s">
        <v>68</v>
      </c>
      <c r="AY6778" t="s">
        <v>69</v>
      </c>
      <c r="AZ6778" t="b">
        <v>1</v>
      </c>
    </row>
    <row r="6779" spans="1:52" x14ac:dyDescent="0.3">
      <c r="A6779" t="s">
        <v>52</v>
      </c>
      <c r="B6779" t="s">
        <v>53</v>
      </c>
      <c r="C6779" t="s">
        <v>54</v>
      </c>
      <c r="D6779" t="s">
        <v>55</v>
      </c>
      <c r="E6779" t="s">
        <v>2296</v>
      </c>
      <c r="F6779" t="s">
        <v>1247</v>
      </c>
      <c r="G6779" t="s">
        <v>1412</v>
      </c>
      <c r="H6779" t="s">
        <v>1413</v>
      </c>
      <c r="I6779" t="s">
        <v>1413</v>
      </c>
      <c r="J6779" t="s">
        <v>60</v>
      </c>
      <c r="K6779" t="s">
        <v>892</v>
      </c>
      <c r="L6779" t="s">
        <v>62</v>
      </c>
      <c r="M6779" t="s">
        <v>892</v>
      </c>
      <c r="N6779" t="s">
        <v>1414</v>
      </c>
      <c r="O6779" t="s">
        <v>293</v>
      </c>
      <c r="P6779">
        <v>-20.150780999999998</v>
      </c>
      <c r="Q6779">
        <v>-44.897972000000003</v>
      </c>
      <c r="R6779" s="2" t="str">
        <f>HYPERLINK("https://www.google.com/maps?q=-20.1507810,-44.8979720","Abrir no Google Maps")</f>
        <v>Abrir no Google Maps</v>
      </c>
      <c r="S6779">
        <v>3</v>
      </c>
      <c r="T6779">
        <v>306.36394634674508</v>
      </c>
      <c r="U6779">
        <v>2</v>
      </c>
      <c r="V6779">
        <v>0.18236321410284551</v>
      </c>
      <c r="W6779">
        <v>0.85</v>
      </c>
      <c r="X6779">
        <v>0.15500873198741871</v>
      </c>
      <c r="Y6779">
        <v>556</v>
      </c>
      <c r="Z6779">
        <v>233.85692443628571</v>
      </c>
      <c r="AA6779">
        <v>198</v>
      </c>
      <c r="AB6779">
        <v>332</v>
      </c>
      <c r="AC6779">
        <v>536</v>
      </c>
      <c r="AD6779">
        <v>28.93</v>
      </c>
      <c r="AE6779">
        <v>542</v>
      </c>
      <c r="AF6779">
        <v>29</v>
      </c>
      <c r="AG6779">
        <v>166</v>
      </c>
      <c r="AH6779">
        <v>129</v>
      </c>
      <c r="AI6779">
        <v>5.35</v>
      </c>
      <c r="AJ6779">
        <v>30.63</v>
      </c>
      <c r="AK6779">
        <v>23.8</v>
      </c>
      <c r="AL6779">
        <v>-20.15074609999996</v>
      </c>
      <c r="AM6779">
        <v>-44.89795774234689</v>
      </c>
      <c r="AN6779">
        <v>-20.15074609999996</v>
      </c>
      <c r="AO6779">
        <v>-44.89795774234689</v>
      </c>
      <c r="AP6779">
        <v>-20.150780999999998</v>
      </c>
      <c r="AQ6779">
        <v>-44.897972000000003</v>
      </c>
      <c r="AR6779">
        <v>4.160995809097348</v>
      </c>
      <c r="AS6779" t="s">
        <v>65</v>
      </c>
      <c r="AT6779">
        <v>1</v>
      </c>
      <c r="AU6779" t="s">
        <v>1415</v>
      </c>
      <c r="AV6779" t="s">
        <v>1416</v>
      </c>
      <c r="AW6779" t="s">
        <v>60</v>
      </c>
      <c r="AX6779" t="s">
        <v>68</v>
      </c>
      <c r="AY6779" t="s">
        <v>69</v>
      </c>
      <c r="AZ6779" t="b">
        <v>1</v>
      </c>
    </row>
    <row r="6780" spans="1:52" x14ac:dyDescent="0.3">
      <c r="A6780" t="s">
        <v>52</v>
      </c>
      <c r="B6780" t="s">
        <v>53</v>
      </c>
      <c r="C6780" t="s">
        <v>54</v>
      </c>
      <c r="D6780" t="s">
        <v>55</v>
      </c>
      <c r="E6780" t="s">
        <v>2296</v>
      </c>
      <c r="F6780" t="s">
        <v>1247</v>
      </c>
      <c r="G6780" t="s">
        <v>545</v>
      </c>
      <c r="H6780" t="s">
        <v>546</v>
      </c>
      <c r="I6780" t="s">
        <v>546</v>
      </c>
      <c r="J6780" t="s">
        <v>60</v>
      </c>
      <c r="K6780" t="s">
        <v>388</v>
      </c>
      <c r="L6780" t="s">
        <v>62</v>
      </c>
      <c r="M6780" t="s">
        <v>388</v>
      </c>
      <c r="N6780" t="s">
        <v>547</v>
      </c>
      <c r="O6780" t="s">
        <v>548</v>
      </c>
      <c r="P6780">
        <v>-20.155839</v>
      </c>
      <c r="Q6780">
        <v>-44.905655000000003</v>
      </c>
      <c r="R6780" s="2" t="str">
        <f>HYPERLINK("https://www.google.com/maps?q=-20.1558390,-44.9056550","Abrir no Google Maps")</f>
        <v>Abrir no Google Maps</v>
      </c>
      <c r="S6780">
        <v>3</v>
      </c>
      <c r="T6780">
        <v>309.7643089121122</v>
      </c>
      <c r="U6780">
        <v>2</v>
      </c>
      <c r="V6780">
        <v>0.1484228056426331</v>
      </c>
      <c r="W6780">
        <v>1</v>
      </c>
      <c r="X6780">
        <v>0.1484228056426331</v>
      </c>
      <c r="Y6780">
        <v>548</v>
      </c>
      <c r="Z6780">
        <v>284.24281731793161</v>
      </c>
      <c r="AA6780">
        <v>198</v>
      </c>
      <c r="AB6780">
        <v>332</v>
      </c>
      <c r="AC6780">
        <v>536</v>
      </c>
      <c r="AD6780">
        <v>28.93</v>
      </c>
      <c r="AE6780">
        <v>542</v>
      </c>
      <c r="AF6780">
        <v>29</v>
      </c>
      <c r="AG6780">
        <v>166</v>
      </c>
      <c r="AH6780">
        <v>129</v>
      </c>
      <c r="AI6780">
        <v>5.35</v>
      </c>
      <c r="AJ6780">
        <v>30.63</v>
      </c>
      <c r="AK6780">
        <v>23.8</v>
      </c>
      <c r="AL6780">
        <v>-20.155913549999951</v>
      </c>
      <c r="AM6780">
        <v>-44.905554508392683</v>
      </c>
      <c r="AN6780">
        <v>-20.155913549999951</v>
      </c>
      <c r="AO6780">
        <v>-44.905554508392669</v>
      </c>
      <c r="AP6780">
        <v>-20.155839</v>
      </c>
      <c r="AQ6780">
        <v>-44.905655000000003</v>
      </c>
      <c r="AR6780">
        <v>13.384922093797449</v>
      </c>
      <c r="AS6780" t="s">
        <v>65</v>
      </c>
      <c r="AT6780">
        <v>1</v>
      </c>
      <c r="AU6780" t="s">
        <v>549</v>
      </c>
      <c r="AV6780" t="s">
        <v>550</v>
      </c>
      <c r="AW6780" t="s">
        <v>60</v>
      </c>
      <c r="AX6780" t="s">
        <v>68</v>
      </c>
      <c r="AY6780" t="s">
        <v>69</v>
      </c>
      <c r="AZ6780" t="b">
        <v>1</v>
      </c>
    </row>
    <row r="6781" spans="1:52" x14ac:dyDescent="0.3">
      <c r="A6781" t="s">
        <v>52</v>
      </c>
      <c r="B6781" t="s">
        <v>53</v>
      </c>
      <c r="C6781" t="s">
        <v>54</v>
      </c>
      <c r="D6781" t="s">
        <v>55</v>
      </c>
      <c r="E6781" t="s">
        <v>2296</v>
      </c>
      <c r="F6781" t="s">
        <v>1247</v>
      </c>
      <c r="G6781" t="s">
        <v>556</v>
      </c>
      <c r="H6781" t="s">
        <v>557</v>
      </c>
      <c r="I6781" t="s">
        <v>557</v>
      </c>
      <c r="J6781" t="s">
        <v>60</v>
      </c>
      <c r="K6781" t="s">
        <v>388</v>
      </c>
      <c r="L6781" t="s">
        <v>62</v>
      </c>
      <c r="M6781" t="s">
        <v>388</v>
      </c>
      <c r="N6781" t="s">
        <v>558</v>
      </c>
      <c r="O6781" t="s">
        <v>559</v>
      </c>
      <c r="P6781">
        <v>-20.152670000000001</v>
      </c>
      <c r="Q6781">
        <v>-44.902557999999999</v>
      </c>
      <c r="R6781" s="2" t="str">
        <f>HYPERLINK("https://www.google.com/maps?q=-20.1526700,-44.9025580","Abrir no Google Maps")</f>
        <v>Abrir no Google Maps</v>
      </c>
      <c r="S6781">
        <v>3</v>
      </c>
      <c r="T6781">
        <v>228.56195217678911</v>
      </c>
      <c r="U6781">
        <v>2</v>
      </c>
      <c r="V6781">
        <v>0.14719169719169711</v>
      </c>
      <c r="W6781">
        <v>1</v>
      </c>
      <c r="X6781">
        <v>0.14719169719169711</v>
      </c>
      <c r="Y6781">
        <v>548</v>
      </c>
      <c r="Z6781">
        <v>250.63133895224919</v>
      </c>
      <c r="AA6781">
        <v>198</v>
      </c>
      <c r="AB6781">
        <v>332</v>
      </c>
      <c r="AC6781">
        <v>536</v>
      </c>
      <c r="AD6781">
        <v>28.93</v>
      </c>
      <c r="AE6781">
        <v>542</v>
      </c>
      <c r="AF6781">
        <v>29</v>
      </c>
      <c r="AG6781">
        <v>166</v>
      </c>
      <c r="AH6781">
        <v>129</v>
      </c>
      <c r="AI6781">
        <v>5.35</v>
      </c>
      <c r="AJ6781">
        <v>30.63</v>
      </c>
      <c r="AK6781">
        <v>23.8</v>
      </c>
      <c r="AL6781">
        <v>-20.152629799999939</v>
      </c>
      <c r="AM6781">
        <v>-44.902604744705201</v>
      </c>
      <c r="AN6781">
        <v>-20.152629799999939</v>
      </c>
      <c r="AO6781">
        <v>-44.902604744705201</v>
      </c>
      <c r="AP6781">
        <v>-20.152670000000001</v>
      </c>
      <c r="AQ6781">
        <v>-44.902557999999999</v>
      </c>
      <c r="AR6781">
        <v>6.6249428037111509</v>
      </c>
      <c r="AS6781" t="s">
        <v>65</v>
      </c>
      <c r="AT6781">
        <v>1</v>
      </c>
      <c r="AU6781" t="s">
        <v>560</v>
      </c>
      <c r="AV6781" t="s">
        <v>561</v>
      </c>
      <c r="AW6781" t="s">
        <v>60</v>
      </c>
      <c r="AX6781" t="s">
        <v>68</v>
      </c>
      <c r="AY6781" t="s">
        <v>69</v>
      </c>
      <c r="AZ6781" t="b">
        <v>1</v>
      </c>
    </row>
    <row r="6782" spans="1:52" x14ac:dyDescent="0.3">
      <c r="A6782" t="s">
        <v>52</v>
      </c>
      <c r="B6782" t="s">
        <v>53</v>
      </c>
      <c r="C6782" t="s">
        <v>54</v>
      </c>
      <c r="D6782" t="s">
        <v>55</v>
      </c>
      <c r="E6782" t="s">
        <v>2296</v>
      </c>
      <c r="F6782" t="s">
        <v>1247</v>
      </c>
      <c r="G6782" t="s">
        <v>839</v>
      </c>
      <c r="H6782" t="s">
        <v>1274</v>
      </c>
      <c r="I6782" t="s">
        <v>1274</v>
      </c>
      <c r="J6782" t="s">
        <v>60</v>
      </c>
      <c r="K6782" t="s">
        <v>388</v>
      </c>
      <c r="L6782" t="s">
        <v>62</v>
      </c>
      <c r="M6782" t="s">
        <v>388</v>
      </c>
      <c r="N6782" t="s">
        <v>841</v>
      </c>
      <c r="O6782" t="s">
        <v>1275</v>
      </c>
      <c r="P6782">
        <v>-20.157979999999998</v>
      </c>
      <c r="Q6782">
        <v>-44.906365999999998</v>
      </c>
      <c r="R6782" s="2" t="str">
        <f>HYPERLINK("https://www.google.com/maps?q=-20.1579800,-44.9063660","Abrir no Google Maps")</f>
        <v>Abrir no Google Maps</v>
      </c>
      <c r="S6782">
        <v>3</v>
      </c>
      <c r="T6782">
        <v>519.48953004348823</v>
      </c>
      <c r="U6782">
        <v>1</v>
      </c>
      <c r="V6782">
        <v>0.14422151922151921</v>
      </c>
      <c r="W6782">
        <v>0.85</v>
      </c>
      <c r="X6782">
        <v>0.1225882913382913</v>
      </c>
      <c r="Y6782">
        <v>729</v>
      </c>
      <c r="Z6782">
        <v>393.22938248316768</v>
      </c>
      <c r="AA6782">
        <v>198</v>
      </c>
      <c r="AB6782">
        <v>332</v>
      </c>
      <c r="AC6782">
        <v>536</v>
      </c>
      <c r="AD6782">
        <v>28.93</v>
      </c>
      <c r="AE6782">
        <v>542</v>
      </c>
      <c r="AF6782">
        <v>29</v>
      </c>
      <c r="AG6782">
        <v>166</v>
      </c>
      <c r="AH6782">
        <v>129</v>
      </c>
      <c r="AI6782">
        <v>5.35</v>
      </c>
      <c r="AJ6782">
        <v>30.63</v>
      </c>
      <c r="AK6782">
        <v>23.8</v>
      </c>
      <c r="AL6782">
        <v>-20.157977799999941</v>
      </c>
      <c r="AM6782">
        <v>-44.906429896327573</v>
      </c>
      <c r="AN6782">
        <v>-20.157977799999941</v>
      </c>
      <c r="AO6782">
        <v>-44.906429896327573</v>
      </c>
      <c r="AP6782">
        <v>-20.157979999999998</v>
      </c>
      <c r="AQ6782">
        <v>-44.906365999999998</v>
      </c>
      <c r="AR6782">
        <v>6.6817330699236734</v>
      </c>
      <c r="AS6782" t="s">
        <v>65</v>
      </c>
      <c r="AT6782">
        <v>1</v>
      </c>
      <c r="AU6782" t="s">
        <v>1276</v>
      </c>
      <c r="AV6782" t="s">
        <v>1277</v>
      </c>
      <c r="AW6782" t="s">
        <v>60</v>
      </c>
      <c r="AX6782" t="s">
        <v>68</v>
      </c>
      <c r="AY6782" t="s">
        <v>69</v>
      </c>
      <c r="AZ6782" t="b">
        <v>1</v>
      </c>
    </row>
    <row r="6783" spans="1:52" x14ac:dyDescent="0.3">
      <c r="A6783" t="s">
        <v>52</v>
      </c>
      <c r="B6783" t="s">
        <v>53</v>
      </c>
      <c r="C6783" t="s">
        <v>54</v>
      </c>
      <c r="D6783" t="s">
        <v>55</v>
      </c>
      <c r="E6783" t="s">
        <v>2296</v>
      </c>
      <c r="F6783" t="s">
        <v>1247</v>
      </c>
      <c r="G6783" t="s">
        <v>398</v>
      </c>
      <c r="H6783" t="s">
        <v>399</v>
      </c>
      <c r="I6783" t="s">
        <v>399</v>
      </c>
      <c r="J6783" t="s">
        <v>60</v>
      </c>
      <c r="K6783" t="s">
        <v>388</v>
      </c>
      <c r="L6783" t="s">
        <v>62</v>
      </c>
      <c r="M6783" t="s">
        <v>388</v>
      </c>
      <c r="N6783" t="s">
        <v>400</v>
      </c>
      <c r="O6783" t="s">
        <v>401</v>
      </c>
      <c r="P6783">
        <v>-20.160157000000002</v>
      </c>
      <c r="Q6783">
        <v>-44.904347999999999</v>
      </c>
      <c r="R6783" s="2" t="str">
        <f>HYPERLINK("https://www.google.com/maps?q=-20.1601570,-44.9043480","Abrir no Google Maps")</f>
        <v>Abrir no Google Maps</v>
      </c>
      <c r="S6783">
        <v>3</v>
      </c>
      <c r="T6783">
        <v>469.26088527154809</v>
      </c>
      <c r="U6783">
        <v>1</v>
      </c>
      <c r="V6783">
        <v>0.13310332237190381</v>
      </c>
      <c r="W6783">
        <v>1</v>
      </c>
      <c r="X6783">
        <v>0.13310332237190381</v>
      </c>
      <c r="Y6783">
        <v>729</v>
      </c>
      <c r="Z6783">
        <v>253.57832452309071</v>
      </c>
      <c r="AA6783">
        <v>198</v>
      </c>
      <c r="AB6783">
        <v>332</v>
      </c>
      <c r="AC6783">
        <v>536</v>
      </c>
      <c r="AD6783">
        <v>28.93</v>
      </c>
      <c r="AE6783">
        <v>542</v>
      </c>
      <c r="AF6783">
        <v>29</v>
      </c>
      <c r="AG6783">
        <v>166</v>
      </c>
      <c r="AH6783">
        <v>129</v>
      </c>
      <c r="AI6783">
        <v>5.35</v>
      </c>
      <c r="AJ6783">
        <v>30.63</v>
      </c>
      <c r="AK6783">
        <v>23.8</v>
      </c>
      <c r="AL6783">
        <v>-20.160007949999969</v>
      </c>
      <c r="AM6783">
        <v>-44.904396608560482</v>
      </c>
      <c r="AN6783">
        <v>-20.160007949999969</v>
      </c>
      <c r="AO6783">
        <v>-44.904396608560482</v>
      </c>
      <c r="AP6783">
        <v>-20.160157000000002</v>
      </c>
      <c r="AQ6783">
        <v>-44.904347999999999</v>
      </c>
      <c r="AR6783">
        <v>17.35237255387942</v>
      </c>
      <c r="AS6783" t="s">
        <v>65</v>
      </c>
      <c r="AT6783">
        <v>1</v>
      </c>
      <c r="AU6783" t="s">
        <v>402</v>
      </c>
      <c r="AV6783" t="s">
        <v>403</v>
      </c>
      <c r="AW6783" t="s">
        <v>60</v>
      </c>
      <c r="AX6783" t="s">
        <v>68</v>
      </c>
      <c r="AY6783" t="s">
        <v>69</v>
      </c>
      <c r="AZ6783" t="b">
        <v>1</v>
      </c>
    </row>
    <row r="6784" spans="1:52" x14ac:dyDescent="0.3">
      <c r="A6784" t="s">
        <v>52</v>
      </c>
      <c r="B6784" t="s">
        <v>53</v>
      </c>
      <c r="C6784" t="s">
        <v>54</v>
      </c>
      <c r="D6784" t="s">
        <v>55</v>
      </c>
      <c r="E6784" t="s">
        <v>2296</v>
      </c>
      <c r="F6784" t="s">
        <v>1247</v>
      </c>
      <c r="G6784" t="s">
        <v>404</v>
      </c>
      <c r="H6784" t="s">
        <v>405</v>
      </c>
      <c r="I6784" t="s">
        <v>405</v>
      </c>
      <c r="J6784" t="s">
        <v>60</v>
      </c>
      <c r="K6784" t="s">
        <v>388</v>
      </c>
      <c r="L6784" t="s">
        <v>62</v>
      </c>
      <c r="M6784" t="s">
        <v>388</v>
      </c>
      <c r="N6784" t="s">
        <v>406</v>
      </c>
      <c r="O6784" t="s">
        <v>407</v>
      </c>
      <c r="P6784">
        <v>-20.162780999999999</v>
      </c>
      <c r="Q6784">
        <v>-44.904437999999999</v>
      </c>
      <c r="R6784" s="2" t="str">
        <f>HYPERLINK("https://www.google.com/maps?q=-20.1627810,-44.9044380","Abrir no Google Maps")</f>
        <v>Abrir no Google Maps</v>
      </c>
      <c r="S6784">
        <v>3</v>
      </c>
      <c r="T6784">
        <v>681.0891377731482</v>
      </c>
      <c r="U6784">
        <v>1</v>
      </c>
      <c r="V6784">
        <v>0.1342172013180688</v>
      </c>
      <c r="W6784">
        <v>1</v>
      </c>
      <c r="X6784">
        <v>0.1342172013180688</v>
      </c>
      <c r="Y6784">
        <v>729</v>
      </c>
      <c r="Z6784">
        <v>564.17713687218622</v>
      </c>
      <c r="AA6784">
        <v>198</v>
      </c>
      <c r="AB6784">
        <v>332</v>
      </c>
      <c r="AC6784">
        <v>536</v>
      </c>
      <c r="AD6784">
        <v>28.93</v>
      </c>
      <c r="AE6784">
        <v>542</v>
      </c>
      <c r="AF6784">
        <v>29</v>
      </c>
      <c r="AG6784">
        <v>166</v>
      </c>
      <c r="AH6784">
        <v>129</v>
      </c>
      <c r="AI6784">
        <v>5.35</v>
      </c>
      <c r="AJ6784">
        <v>30.63</v>
      </c>
      <c r="AK6784">
        <v>23.8</v>
      </c>
      <c r="AL6784">
        <v>-20.16295434999995</v>
      </c>
      <c r="AM6784">
        <v>-44.904242686956152</v>
      </c>
      <c r="AN6784">
        <v>-20.16295434999995</v>
      </c>
      <c r="AO6784">
        <v>-44.904242686956152</v>
      </c>
      <c r="AP6784">
        <v>-20.162780999999999</v>
      </c>
      <c r="AQ6784">
        <v>-44.904437999999999</v>
      </c>
      <c r="AR6784">
        <v>28.088191280523411</v>
      </c>
      <c r="AS6784" t="s">
        <v>65</v>
      </c>
      <c r="AT6784">
        <v>1</v>
      </c>
      <c r="AU6784" t="s">
        <v>408</v>
      </c>
      <c r="AV6784" t="s">
        <v>409</v>
      </c>
      <c r="AW6784" t="s">
        <v>60</v>
      </c>
      <c r="AX6784" t="s">
        <v>68</v>
      </c>
      <c r="AY6784" t="s">
        <v>69</v>
      </c>
      <c r="AZ6784" t="b">
        <v>1</v>
      </c>
    </row>
    <row r="6785" spans="1:52" x14ac:dyDescent="0.3">
      <c r="A6785" t="s">
        <v>52</v>
      </c>
      <c r="B6785" t="s">
        <v>53</v>
      </c>
      <c r="C6785" t="s">
        <v>54</v>
      </c>
      <c r="D6785" t="s">
        <v>55</v>
      </c>
      <c r="E6785" t="s">
        <v>2296</v>
      </c>
      <c r="F6785" t="s">
        <v>1247</v>
      </c>
      <c r="G6785" t="s">
        <v>410</v>
      </c>
      <c r="H6785" t="s">
        <v>411</v>
      </c>
      <c r="I6785" t="s">
        <v>411</v>
      </c>
      <c r="J6785" t="s">
        <v>60</v>
      </c>
      <c r="K6785" t="s">
        <v>388</v>
      </c>
      <c r="L6785" t="s">
        <v>62</v>
      </c>
      <c r="M6785" t="s">
        <v>388</v>
      </c>
      <c r="N6785" t="s">
        <v>412</v>
      </c>
      <c r="O6785" t="s">
        <v>413</v>
      </c>
      <c r="P6785">
        <v>-20.161394000000001</v>
      </c>
      <c r="Q6785">
        <v>-44.906725999999999</v>
      </c>
      <c r="R6785" s="2" t="str">
        <f>HYPERLINK("https://www.google.com/maps?q=-20.1613940,-44.9067260","Abrir no Google Maps")</f>
        <v>Abrir no Google Maps</v>
      </c>
      <c r="S6785">
        <v>3</v>
      </c>
      <c r="T6785">
        <v>763.68157548493457</v>
      </c>
      <c r="U6785">
        <v>1</v>
      </c>
      <c r="V6785">
        <v>0.13686846003530001</v>
      </c>
      <c r="W6785">
        <v>1</v>
      </c>
      <c r="X6785">
        <v>0.13686846003530001</v>
      </c>
      <c r="Y6785">
        <v>729</v>
      </c>
      <c r="Z6785">
        <v>551.70379325948545</v>
      </c>
      <c r="AA6785">
        <v>198</v>
      </c>
      <c r="AB6785">
        <v>332</v>
      </c>
      <c r="AC6785">
        <v>536</v>
      </c>
      <c r="AD6785">
        <v>28.93</v>
      </c>
      <c r="AE6785">
        <v>542</v>
      </c>
      <c r="AF6785">
        <v>29</v>
      </c>
      <c r="AG6785">
        <v>166</v>
      </c>
      <c r="AH6785">
        <v>129</v>
      </c>
      <c r="AI6785">
        <v>5.35</v>
      </c>
      <c r="AJ6785">
        <v>30.63</v>
      </c>
      <c r="AK6785">
        <v>23.8</v>
      </c>
      <c r="AL6785">
        <v>-20.161371049999929</v>
      </c>
      <c r="AM6785">
        <v>-44.906816797310228</v>
      </c>
      <c r="AN6785">
        <v>-20.161371049999929</v>
      </c>
      <c r="AO6785">
        <v>-44.906816797310228</v>
      </c>
      <c r="AP6785">
        <v>-20.161394000000001</v>
      </c>
      <c r="AQ6785">
        <v>-44.906725999999999</v>
      </c>
      <c r="AR6785">
        <v>9.8261555662022495</v>
      </c>
      <c r="AS6785" t="s">
        <v>65</v>
      </c>
      <c r="AT6785">
        <v>1</v>
      </c>
      <c r="AU6785" t="s">
        <v>414</v>
      </c>
      <c r="AV6785" t="s">
        <v>415</v>
      </c>
      <c r="AW6785" t="s">
        <v>60</v>
      </c>
      <c r="AX6785" t="s">
        <v>68</v>
      </c>
      <c r="AY6785" t="s">
        <v>69</v>
      </c>
      <c r="AZ6785" t="b">
        <v>1</v>
      </c>
    </row>
    <row r="6786" spans="1:52" x14ac:dyDescent="0.3">
      <c r="A6786" t="s">
        <v>52</v>
      </c>
      <c r="B6786" t="s">
        <v>53</v>
      </c>
      <c r="C6786" t="s">
        <v>54</v>
      </c>
      <c r="D6786" t="s">
        <v>55</v>
      </c>
      <c r="E6786" t="s">
        <v>2296</v>
      </c>
      <c r="F6786" t="s">
        <v>1247</v>
      </c>
      <c r="G6786" t="s">
        <v>1283</v>
      </c>
      <c r="H6786" t="s">
        <v>1284</v>
      </c>
      <c r="I6786" t="s">
        <v>1284</v>
      </c>
      <c r="J6786" t="s">
        <v>60</v>
      </c>
      <c r="K6786" t="s">
        <v>388</v>
      </c>
      <c r="L6786" t="s">
        <v>62</v>
      </c>
      <c r="M6786" t="s">
        <v>388</v>
      </c>
      <c r="N6786" t="s">
        <v>400</v>
      </c>
      <c r="O6786" t="s">
        <v>1285</v>
      </c>
      <c r="P6786">
        <v>-20.156977999999999</v>
      </c>
      <c r="Q6786">
        <v>-44.90325</v>
      </c>
      <c r="R6786" s="2" t="str">
        <f>HYPERLINK("https://www.google.com/maps?q=-20.1569780,-44.9032500","Abrir no Google Maps")</f>
        <v>Abrir no Google Maps</v>
      </c>
      <c r="S6786">
        <v>3</v>
      </c>
      <c r="T6786">
        <v>256.05633739092571</v>
      </c>
      <c r="U6786">
        <v>1</v>
      </c>
      <c r="V6786">
        <v>0.15045250673097779</v>
      </c>
      <c r="W6786">
        <v>0.85</v>
      </c>
      <c r="X6786">
        <v>0.12788463072133111</v>
      </c>
      <c r="Y6786">
        <v>729</v>
      </c>
      <c r="Z6786">
        <v>162.99447055889971</v>
      </c>
      <c r="AA6786">
        <v>198</v>
      </c>
      <c r="AB6786">
        <v>332</v>
      </c>
      <c r="AC6786">
        <v>536</v>
      </c>
      <c r="AD6786">
        <v>28.93</v>
      </c>
      <c r="AE6786">
        <v>542</v>
      </c>
      <c r="AF6786">
        <v>29</v>
      </c>
      <c r="AG6786">
        <v>166</v>
      </c>
      <c r="AH6786">
        <v>129</v>
      </c>
      <c r="AI6786">
        <v>5.35</v>
      </c>
      <c r="AJ6786">
        <v>30.63</v>
      </c>
      <c r="AK6786">
        <v>23.8</v>
      </c>
      <c r="AL6786">
        <v>-20.15696524999996</v>
      </c>
      <c r="AM6786">
        <v>-44.903258102626708</v>
      </c>
      <c r="AN6786">
        <v>-20.15696524999996</v>
      </c>
      <c r="AO6786">
        <v>-44.903258102626708</v>
      </c>
      <c r="AP6786">
        <v>-20.156977999999999</v>
      </c>
      <c r="AQ6786">
        <v>-44.90325</v>
      </c>
      <c r="AR6786">
        <v>1.6527147033629741</v>
      </c>
      <c r="AS6786" t="s">
        <v>65</v>
      </c>
      <c r="AT6786">
        <v>1</v>
      </c>
      <c r="AU6786" t="s">
        <v>1286</v>
      </c>
      <c r="AV6786" t="s">
        <v>1287</v>
      </c>
      <c r="AW6786" t="s">
        <v>60</v>
      </c>
      <c r="AX6786" t="s">
        <v>68</v>
      </c>
      <c r="AY6786" t="s">
        <v>69</v>
      </c>
      <c r="AZ6786" t="b">
        <v>1</v>
      </c>
    </row>
    <row r="6787" spans="1:52" x14ac:dyDescent="0.3">
      <c r="A6787" t="s">
        <v>52</v>
      </c>
      <c r="B6787" t="s">
        <v>53</v>
      </c>
      <c r="C6787" t="s">
        <v>54</v>
      </c>
      <c r="D6787" t="s">
        <v>55</v>
      </c>
      <c r="E6787" t="s">
        <v>2296</v>
      </c>
      <c r="F6787" t="s">
        <v>1247</v>
      </c>
      <c r="G6787" t="s">
        <v>1288</v>
      </c>
      <c r="H6787" t="s">
        <v>1289</v>
      </c>
      <c r="I6787" t="s">
        <v>1289</v>
      </c>
      <c r="J6787" t="s">
        <v>60</v>
      </c>
      <c r="K6787" t="s">
        <v>1290</v>
      </c>
      <c r="L6787" t="s">
        <v>62</v>
      </c>
      <c r="M6787" t="s">
        <v>1290</v>
      </c>
      <c r="N6787" t="s">
        <v>1291</v>
      </c>
      <c r="O6787" t="s">
        <v>315</v>
      </c>
      <c r="P6787">
        <v>-20.171008</v>
      </c>
      <c r="Q6787">
        <v>-44.918908999999999</v>
      </c>
      <c r="R6787" s="2" t="str">
        <f>HYPERLINK("https://www.google.com/maps?q=-20.1710080,-44.9189090","Abrir no Google Maps")</f>
        <v>Abrir no Google Maps</v>
      </c>
      <c r="S6787">
        <v>3</v>
      </c>
      <c r="T6787">
        <v>972.86786700299888</v>
      </c>
      <c r="U6787">
        <v>1</v>
      </c>
      <c r="V6787">
        <v>0.16029136373650579</v>
      </c>
      <c r="W6787">
        <v>0.85</v>
      </c>
      <c r="X6787">
        <v>0.13624765917602991</v>
      </c>
      <c r="Y6787">
        <v>723</v>
      </c>
      <c r="Z6787">
        <v>690.55600110253613</v>
      </c>
      <c r="AA6787">
        <v>198</v>
      </c>
      <c r="AB6787">
        <v>332</v>
      </c>
      <c r="AC6787">
        <v>536</v>
      </c>
      <c r="AD6787">
        <v>28.93</v>
      </c>
      <c r="AE6787">
        <v>542</v>
      </c>
      <c r="AF6787">
        <v>29</v>
      </c>
      <c r="AG6787">
        <v>166</v>
      </c>
      <c r="AH6787">
        <v>129</v>
      </c>
      <c r="AI6787">
        <v>5.35</v>
      </c>
      <c r="AJ6787">
        <v>30.63</v>
      </c>
      <c r="AK6787">
        <v>23.8</v>
      </c>
      <c r="AL6787">
        <v>-20.171738249999979</v>
      </c>
      <c r="AM6787">
        <v>-44.919736490382917</v>
      </c>
      <c r="AN6787">
        <v>-20.171738249999979</v>
      </c>
      <c r="AO6787">
        <v>-44.919736490382931</v>
      </c>
      <c r="AP6787">
        <v>-20.171008</v>
      </c>
      <c r="AQ6787">
        <v>-44.918908999999999</v>
      </c>
      <c r="AR6787">
        <v>118.678920061485</v>
      </c>
      <c r="AS6787" t="s">
        <v>65</v>
      </c>
      <c r="AT6787">
        <v>1</v>
      </c>
      <c r="AU6787" t="s">
        <v>1292</v>
      </c>
      <c r="AV6787" t="s">
        <v>1293</v>
      </c>
      <c r="AW6787" t="s">
        <v>60</v>
      </c>
      <c r="AX6787" t="s">
        <v>68</v>
      </c>
      <c r="AY6787" t="s">
        <v>69</v>
      </c>
      <c r="AZ6787" t="b">
        <v>1</v>
      </c>
    </row>
    <row r="6788" spans="1:52" x14ac:dyDescent="0.3">
      <c r="A6788" t="s">
        <v>52</v>
      </c>
      <c r="B6788" t="s">
        <v>53</v>
      </c>
      <c r="C6788" t="s">
        <v>54</v>
      </c>
      <c r="D6788" t="s">
        <v>55</v>
      </c>
      <c r="E6788" t="s">
        <v>2296</v>
      </c>
      <c r="F6788" t="s">
        <v>1247</v>
      </c>
      <c r="G6788" t="s">
        <v>1294</v>
      </c>
      <c r="H6788" t="s">
        <v>1295</v>
      </c>
      <c r="I6788" t="s">
        <v>1295</v>
      </c>
      <c r="J6788" t="s">
        <v>60</v>
      </c>
      <c r="K6788" t="s">
        <v>418</v>
      </c>
      <c r="L6788" t="s">
        <v>62</v>
      </c>
      <c r="M6788" t="s">
        <v>418</v>
      </c>
      <c r="N6788" t="s">
        <v>1296</v>
      </c>
      <c r="O6788" t="s">
        <v>1297</v>
      </c>
      <c r="P6788">
        <v>-20.169899999999998</v>
      </c>
      <c r="Q6788">
        <v>-44.916176999999998</v>
      </c>
      <c r="R6788" s="2" t="str">
        <f>HYPERLINK("https://www.google.com/maps?q=-20.1699000,-44.9161770","Abrir no Google Maps")</f>
        <v>Abrir no Google Maps</v>
      </c>
      <c r="S6788">
        <v>3</v>
      </c>
      <c r="T6788">
        <v>658.15251036568407</v>
      </c>
      <c r="U6788">
        <v>1</v>
      </c>
      <c r="V6788">
        <v>0.14663395458793779</v>
      </c>
      <c r="W6788">
        <v>0.85</v>
      </c>
      <c r="X6788">
        <v>0.1246388613997471</v>
      </c>
      <c r="Y6788">
        <v>723</v>
      </c>
      <c r="Z6788">
        <v>400.39092274559039</v>
      </c>
      <c r="AA6788">
        <v>198</v>
      </c>
      <c r="AB6788">
        <v>332</v>
      </c>
      <c r="AC6788">
        <v>536</v>
      </c>
      <c r="AD6788">
        <v>28.93</v>
      </c>
      <c r="AE6788">
        <v>542</v>
      </c>
      <c r="AF6788">
        <v>29</v>
      </c>
      <c r="AG6788">
        <v>166</v>
      </c>
      <c r="AH6788">
        <v>129</v>
      </c>
      <c r="AI6788">
        <v>5.35</v>
      </c>
      <c r="AJ6788">
        <v>30.63</v>
      </c>
      <c r="AK6788">
        <v>23.8</v>
      </c>
      <c r="AL6788">
        <v>-20.169898399999941</v>
      </c>
      <c r="AM6788">
        <v>-44.916247682868359</v>
      </c>
      <c r="AN6788">
        <v>-20.169898399999941</v>
      </c>
      <c r="AO6788">
        <v>-44.916247682868359</v>
      </c>
      <c r="AP6788">
        <v>-20.169899999999998</v>
      </c>
      <c r="AQ6788">
        <v>-44.916176999999998</v>
      </c>
      <c r="AR6788">
        <v>7.388028048308902</v>
      </c>
      <c r="AS6788" t="s">
        <v>65</v>
      </c>
      <c r="AT6788">
        <v>1</v>
      </c>
      <c r="AU6788" t="s">
        <v>1298</v>
      </c>
      <c r="AV6788" t="s">
        <v>1299</v>
      </c>
      <c r="AW6788" t="s">
        <v>60</v>
      </c>
      <c r="AX6788" t="s">
        <v>68</v>
      </c>
      <c r="AY6788" t="s">
        <v>69</v>
      </c>
      <c r="AZ6788" t="b">
        <v>1</v>
      </c>
    </row>
    <row r="6789" spans="1:52" x14ac:dyDescent="0.3">
      <c r="A6789" t="s">
        <v>52</v>
      </c>
      <c r="B6789" t="s">
        <v>53</v>
      </c>
      <c r="C6789" t="s">
        <v>54</v>
      </c>
      <c r="D6789" t="s">
        <v>55</v>
      </c>
      <c r="E6789" t="s">
        <v>2296</v>
      </c>
      <c r="F6789" t="s">
        <v>1247</v>
      </c>
      <c r="G6789" t="s">
        <v>845</v>
      </c>
      <c r="H6789" t="s">
        <v>846</v>
      </c>
      <c r="I6789" t="s">
        <v>846</v>
      </c>
      <c r="J6789" t="s">
        <v>60</v>
      </c>
      <c r="K6789" t="s">
        <v>424</v>
      </c>
      <c r="L6789" t="s">
        <v>62</v>
      </c>
      <c r="M6789" t="s">
        <v>424</v>
      </c>
      <c r="N6789" t="s">
        <v>847</v>
      </c>
      <c r="O6789" t="s">
        <v>848</v>
      </c>
      <c r="P6789">
        <v>-20.175523999999999</v>
      </c>
      <c r="Q6789">
        <v>-44.918016999999999</v>
      </c>
      <c r="R6789" s="2" t="str">
        <f>HYPERLINK("https://www.google.com/maps?q=-20.1755240,-44.9180170","Abrir no Google Maps")</f>
        <v>Abrir no Google Maps</v>
      </c>
      <c r="S6789">
        <v>3</v>
      </c>
      <c r="T6789">
        <v>833.59191671824021</v>
      </c>
      <c r="U6789">
        <v>1</v>
      </c>
      <c r="V6789">
        <v>0.13107761184684269</v>
      </c>
      <c r="W6789">
        <v>0.85</v>
      </c>
      <c r="X6789">
        <v>0.11141597006981629</v>
      </c>
      <c r="Y6789">
        <v>723</v>
      </c>
      <c r="Z6789">
        <v>701.05790658871581</v>
      </c>
      <c r="AA6789">
        <v>198</v>
      </c>
      <c r="AB6789">
        <v>332</v>
      </c>
      <c r="AC6789">
        <v>536</v>
      </c>
      <c r="AD6789">
        <v>28.93</v>
      </c>
      <c r="AE6789">
        <v>542</v>
      </c>
      <c r="AF6789">
        <v>29</v>
      </c>
      <c r="AG6789">
        <v>166</v>
      </c>
      <c r="AH6789">
        <v>129</v>
      </c>
      <c r="AI6789">
        <v>5.35</v>
      </c>
      <c r="AJ6789">
        <v>30.63</v>
      </c>
      <c r="AK6789">
        <v>23.8</v>
      </c>
      <c r="AL6789">
        <v>-20.17533859999995</v>
      </c>
      <c r="AM6789">
        <v>-44.917689627873088</v>
      </c>
      <c r="AN6789">
        <v>-20.17533859999995</v>
      </c>
      <c r="AO6789">
        <v>-44.917689627873088</v>
      </c>
      <c r="AP6789">
        <v>-20.175523999999999</v>
      </c>
      <c r="AQ6789">
        <v>-44.918016999999999</v>
      </c>
      <c r="AR6789">
        <v>39.950898228213873</v>
      </c>
      <c r="AS6789" t="s">
        <v>65</v>
      </c>
      <c r="AT6789">
        <v>1</v>
      </c>
      <c r="AU6789" t="s">
        <v>849</v>
      </c>
      <c r="AV6789" t="s">
        <v>850</v>
      </c>
      <c r="AW6789" t="s">
        <v>60</v>
      </c>
      <c r="AX6789" t="s">
        <v>68</v>
      </c>
      <c r="AY6789" t="s">
        <v>69</v>
      </c>
      <c r="AZ6789" t="b">
        <v>1</v>
      </c>
    </row>
    <row r="6790" spans="1:52" x14ac:dyDescent="0.3">
      <c r="A6790" t="s">
        <v>52</v>
      </c>
      <c r="B6790" t="s">
        <v>53</v>
      </c>
      <c r="C6790" t="s">
        <v>54</v>
      </c>
      <c r="D6790" t="s">
        <v>55</v>
      </c>
      <c r="E6790" t="s">
        <v>2296</v>
      </c>
      <c r="F6790" t="s">
        <v>1247</v>
      </c>
      <c r="G6790" t="s">
        <v>422</v>
      </c>
      <c r="H6790" t="s">
        <v>1323</v>
      </c>
      <c r="I6790" t="s">
        <v>1323</v>
      </c>
      <c r="J6790" t="s">
        <v>60</v>
      </c>
      <c r="K6790" t="s">
        <v>1324</v>
      </c>
      <c r="L6790" t="s">
        <v>62</v>
      </c>
      <c r="M6790" t="s">
        <v>1324</v>
      </c>
      <c r="N6790" t="s">
        <v>425</v>
      </c>
      <c r="O6790" t="s">
        <v>1325</v>
      </c>
      <c r="P6790">
        <v>-20.175142000000001</v>
      </c>
      <c r="Q6790">
        <v>-44.913783000000002</v>
      </c>
      <c r="R6790" s="2" t="str">
        <f>HYPERLINK("https://www.google.com/maps?q=-20.1751420,-44.9137830","Abrir no Google Maps")</f>
        <v>Abrir no Google Maps</v>
      </c>
      <c r="S6790">
        <v>3</v>
      </c>
      <c r="T6790">
        <v>495.73888273066677</v>
      </c>
      <c r="U6790">
        <v>1</v>
      </c>
      <c r="V6790">
        <v>0.14201303423584671</v>
      </c>
      <c r="W6790">
        <v>0.85</v>
      </c>
      <c r="X6790">
        <v>0.1207110791004697</v>
      </c>
      <c r="Y6790">
        <v>723</v>
      </c>
      <c r="Z6790">
        <v>488.51574748236328</v>
      </c>
      <c r="AA6790">
        <v>198</v>
      </c>
      <c r="AB6790">
        <v>332</v>
      </c>
      <c r="AC6790">
        <v>536</v>
      </c>
      <c r="AD6790">
        <v>28.93</v>
      </c>
      <c r="AE6790">
        <v>542</v>
      </c>
      <c r="AF6790">
        <v>29</v>
      </c>
      <c r="AG6790">
        <v>166</v>
      </c>
      <c r="AH6790">
        <v>129</v>
      </c>
      <c r="AI6790">
        <v>5.35</v>
      </c>
      <c r="AJ6790">
        <v>30.63</v>
      </c>
      <c r="AK6790">
        <v>23.8</v>
      </c>
      <c r="AL6790">
        <v>-20.175195199999958</v>
      </c>
      <c r="AM6790">
        <v>-44.913964122548052</v>
      </c>
      <c r="AN6790">
        <v>-20.175195199999958</v>
      </c>
      <c r="AO6790">
        <v>-44.913964122548052</v>
      </c>
      <c r="AP6790">
        <v>-20.175142000000001</v>
      </c>
      <c r="AQ6790">
        <v>-44.913783000000002</v>
      </c>
      <c r="AR6790">
        <v>19.830402633152101</v>
      </c>
      <c r="AS6790" t="s">
        <v>65</v>
      </c>
      <c r="AT6790">
        <v>1</v>
      </c>
      <c r="AU6790" t="s">
        <v>1326</v>
      </c>
      <c r="AV6790" t="s">
        <v>1327</v>
      </c>
      <c r="AW6790" t="s">
        <v>60</v>
      </c>
      <c r="AX6790" t="s">
        <v>68</v>
      </c>
      <c r="AY6790" t="s">
        <v>69</v>
      </c>
      <c r="AZ6790" t="b">
        <v>1</v>
      </c>
    </row>
    <row r="6791" spans="1:52" x14ac:dyDescent="0.3">
      <c r="A6791" t="s">
        <v>52</v>
      </c>
      <c r="B6791" t="s">
        <v>53</v>
      </c>
      <c r="C6791" t="s">
        <v>54</v>
      </c>
      <c r="D6791" t="s">
        <v>55</v>
      </c>
      <c r="E6791" t="s">
        <v>2296</v>
      </c>
      <c r="F6791" t="s">
        <v>1247</v>
      </c>
      <c r="G6791" t="s">
        <v>1328</v>
      </c>
      <c r="H6791" t="s">
        <v>1329</v>
      </c>
      <c r="I6791" t="s">
        <v>1329</v>
      </c>
      <c r="J6791" t="s">
        <v>60</v>
      </c>
      <c r="K6791" t="s">
        <v>1324</v>
      </c>
      <c r="L6791" t="s">
        <v>62</v>
      </c>
      <c r="M6791" t="s">
        <v>1324</v>
      </c>
      <c r="N6791" t="s">
        <v>1330</v>
      </c>
      <c r="O6791" t="s">
        <v>1331</v>
      </c>
      <c r="P6791">
        <v>-20.172984</v>
      </c>
      <c r="Q6791">
        <v>-44.915225999999997</v>
      </c>
      <c r="R6791" s="2" t="str">
        <f>HYPERLINK("https://www.google.com/maps?q=-20.1729840,-44.9152260","Abrir no Google Maps")</f>
        <v>Abrir no Google Maps</v>
      </c>
      <c r="S6791">
        <v>3</v>
      </c>
      <c r="T6791">
        <v>498.21203543103741</v>
      </c>
      <c r="U6791">
        <v>1</v>
      </c>
      <c r="V6791">
        <v>0.14270587076438129</v>
      </c>
      <c r="W6791">
        <v>0.85</v>
      </c>
      <c r="X6791">
        <v>0.1212999901497241</v>
      </c>
      <c r="Y6791">
        <v>723</v>
      </c>
      <c r="Z6791">
        <v>297.36167326949931</v>
      </c>
      <c r="AA6791">
        <v>198</v>
      </c>
      <c r="AB6791">
        <v>332</v>
      </c>
      <c r="AC6791">
        <v>536</v>
      </c>
      <c r="AD6791">
        <v>28.93</v>
      </c>
      <c r="AE6791">
        <v>542</v>
      </c>
      <c r="AF6791">
        <v>29</v>
      </c>
      <c r="AG6791">
        <v>166</v>
      </c>
      <c r="AH6791">
        <v>129</v>
      </c>
      <c r="AI6791">
        <v>5.35</v>
      </c>
      <c r="AJ6791">
        <v>30.63</v>
      </c>
      <c r="AK6791">
        <v>23.8</v>
      </c>
      <c r="AL6791">
        <v>-20.172838899999959</v>
      </c>
      <c r="AM6791">
        <v>-44.915158011603552</v>
      </c>
      <c r="AN6791">
        <v>-20.172838899999959</v>
      </c>
      <c r="AO6791">
        <v>-44.915158011603552</v>
      </c>
      <c r="AP6791">
        <v>-20.172984</v>
      </c>
      <c r="AQ6791">
        <v>-44.915225999999997</v>
      </c>
      <c r="AR6791">
        <v>17.645788305942119</v>
      </c>
      <c r="AS6791" t="s">
        <v>65</v>
      </c>
      <c r="AT6791">
        <v>1</v>
      </c>
      <c r="AU6791" t="s">
        <v>1332</v>
      </c>
      <c r="AV6791" t="s">
        <v>1327</v>
      </c>
      <c r="AW6791" t="s">
        <v>60</v>
      </c>
      <c r="AX6791" t="s">
        <v>68</v>
      </c>
      <c r="AY6791" t="s">
        <v>69</v>
      </c>
      <c r="AZ6791" t="b">
        <v>1</v>
      </c>
    </row>
    <row r="6792" spans="1:52" x14ac:dyDescent="0.3">
      <c r="A6792" t="s">
        <v>52</v>
      </c>
      <c r="B6792" t="s">
        <v>53</v>
      </c>
      <c r="C6792" t="s">
        <v>54</v>
      </c>
      <c r="D6792" t="s">
        <v>55</v>
      </c>
      <c r="E6792" t="s">
        <v>2296</v>
      </c>
      <c r="F6792" t="s">
        <v>1247</v>
      </c>
      <c r="G6792" t="s">
        <v>1333</v>
      </c>
      <c r="H6792" t="s">
        <v>1334</v>
      </c>
      <c r="I6792" t="s">
        <v>1334</v>
      </c>
      <c r="J6792" t="s">
        <v>60</v>
      </c>
      <c r="K6792" t="s">
        <v>437</v>
      </c>
      <c r="L6792" t="s">
        <v>62</v>
      </c>
      <c r="M6792" t="s">
        <v>437</v>
      </c>
      <c r="N6792" t="s">
        <v>1335</v>
      </c>
      <c r="O6792" t="s">
        <v>807</v>
      </c>
      <c r="P6792">
        <v>-20.148</v>
      </c>
      <c r="Q6792">
        <v>-44.880944999999997</v>
      </c>
      <c r="R6792" s="2" t="str">
        <f>HYPERLINK("https://www.google.com/maps?q=-20.1480000,-44.8809450","Abrir no Google Maps")</f>
        <v>Abrir no Google Maps</v>
      </c>
      <c r="S6792">
        <v>3</v>
      </c>
      <c r="T6792">
        <v>0</v>
      </c>
      <c r="U6792">
        <v>1</v>
      </c>
      <c r="V6792">
        <v>0.1552402477816841</v>
      </c>
      <c r="W6792">
        <v>0.85</v>
      </c>
      <c r="X6792">
        <v>0.13195421061443149</v>
      </c>
      <c r="Y6792">
        <v>653</v>
      </c>
      <c r="Z6792">
        <v>108.2792411420544</v>
      </c>
      <c r="AA6792">
        <v>198</v>
      </c>
      <c r="AB6792">
        <v>332</v>
      </c>
      <c r="AC6792">
        <v>536</v>
      </c>
      <c r="AD6792">
        <v>28.93</v>
      </c>
      <c r="AE6792">
        <v>542</v>
      </c>
      <c r="AF6792">
        <v>29</v>
      </c>
      <c r="AG6792">
        <v>166</v>
      </c>
      <c r="AH6792">
        <v>129</v>
      </c>
      <c r="AI6792">
        <v>5.35</v>
      </c>
      <c r="AJ6792">
        <v>30.63</v>
      </c>
      <c r="AK6792">
        <v>23.8</v>
      </c>
      <c r="AL6792">
        <v>-20.14802099999994</v>
      </c>
      <c r="AM6792">
        <v>-44.880951206225959</v>
      </c>
      <c r="AN6792">
        <v>-20.14802099999994</v>
      </c>
      <c r="AO6792">
        <v>-44.880951206225959</v>
      </c>
      <c r="AP6792">
        <v>-20.148</v>
      </c>
      <c r="AQ6792">
        <v>-44.880944999999997</v>
      </c>
      <c r="AR6792">
        <v>2.4260288619737169</v>
      </c>
      <c r="AS6792" t="s">
        <v>65</v>
      </c>
      <c r="AT6792">
        <v>1</v>
      </c>
      <c r="AU6792" t="s">
        <v>1336</v>
      </c>
      <c r="AV6792" t="s">
        <v>1337</v>
      </c>
      <c r="AW6792" t="s">
        <v>60</v>
      </c>
      <c r="AX6792" t="s">
        <v>68</v>
      </c>
      <c r="AY6792" t="s">
        <v>69</v>
      </c>
      <c r="AZ6792" t="b">
        <v>1</v>
      </c>
    </row>
    <row r="6793" spans="1:52" x14ac:dyDescent="0.3">
      <c r="A6793" t="s">
        <v>52</v>
      </c>
      <c r="B6793" t="s">
        <v>53</v>
      </c>
      <c r="C6793" t="s">
        <v>54</v>
      </c>
      <c r="D6793" t="s">
        <v>55</v>
      </c>
      <c r="E6793" t="s">
        <v>2296</v>
      </c>
      <c r="F6793" t="s">
        <v>1247</v>
      </c>
      <c r="G6793" t="s">
        <v>442</v>
      </c>
      <c r="H6793" t="s">
        <v>443</v>
      </c>
      <c r="I6793" t="s">
        <v>443</v>
      </c>
      <c r="J6793" t="s">
        <v>60</v>
      </c>
      <c r="K6793" t="s">
        <v>437</v>
      </c>
      <c r="L6793" t="s">
        <v>62</v>
      </c>
      <c r="M6793" t="s">
        <v>437</v>
      </c>
      <c r="N6793" t="s">
        <v>444</v>
      </c>
      <c r="O6793" t="s">
        <v>445</v>
      </c>
      <c r="P6793">
        <v>-20.149744999999999</v>
      </c>
      <c r="Q6793">
        <v>-44.881385000000002</v>
      </c>
      <c r="R6793" s="2" t="str">
        <f>HYPERLINK("https://www.google.com/maps?q=-20.1497450,-44.8813850","Abrir no Google Maps")</f>
        <v>Abrir no Google Maps</v>
      </c>
      <c r="S6793">
        <v>3</v>
      </c>
      <c r="T6793">
        <v>188.80690546111239</v>
      </c>
      <c r="U6793">
        <v>1</v>
      </c>
      <c r="V6793">
        <v>0.13196618802278159</v>
      </c>
      <c r="W6793">
        <v>1</v>
      </c>
      <c r="X6793">
        <v>0.13196618802278159</v>
      </c>
      <c r="Y6793">
        <v>653</v>
      </c>
      <c r="Z6793">
        <v>86.575080390731017</v>
      </c>
      <c r="AA6793">
        <v>198</v>
      </c>
      <c r="AB6793">
        <v>332</v>
      </c>
      <c r="AC6793">
        <v>536</v>
      </c>
      <c r="AD6793">
        <v>28.93</v>
      </c>
      <c r="AE6793">
        <v>542</v>
      </c>
      <c r="AF6793">
        <v>29</v>
      </c>
      <c r="AG6793">
        <v>166</v>
      </c>
      <c r="AH6793">
        <v>129</v>
      </c>
      <c r="AI6793">
        <v>5.35</v>
      </c>
      <c r="AJ6793">
        <v>30.63</v>
      </c>
      <c r="AK6793">
        <v>23.8</v>
      </c>
      <c r="AL6793">
        <v>-20.149645149999941</v>
      </c>
      <c r="AM6793">
        <v>-44.881504585149607</v>
      </c>
      <c r="AN6793">
        <v>-20.149645149999941</v>
      </c>
      <c r="AO6793">
        <v>-44.881504585149607</v>
      </c>
      <c r="AP6793">
        <v>-20.149744999999999</v>
      </c>
      <c r="AQ6793">
        <v>-44.881385000000002</v>
      </c>
      <c r="AR6793">
        <v>16.725323110840389</v>
      </c>
      <c r="AS6793" t="s">
        <v>65</v>
      </c>
      <c r="AT6793">
        <v>1</v>
      </c>
      <c r="AU6793" t="s">
        <v>446</v>
      </c>
      <c r="AV6793" t="s">
        <v>447</v>
      </c>
      <c r="AW6793" t="s">
        <v>60</v>
      </c>
      <c r="AX6793" t="s">
        <v>68</v>
      </c>
      <c r="AY6793" t="s">
        <v>69</v>
      </c>
      <c r="AZ6793" t="b">
        <v>1</v>
      </c>
    </row>
    <row r="6794" spans="1:52" x14ac:dyDescent="0.3">
      <c r="A6794" t="s">
        <v>52</v>
      </c>
      <c r="B6794" t="s">
        <v>53</v>
      </c>
      <c r="C6794" t="s">
        <v>54</v>
      </c>
      <c r="D6794" t="s">
        <v>55</v>
      </c>
      <c r="E6794" t="s">
        <v>2296</v>
      </c>
      <c r="F6794" t="s">
        <v>1247</v>
      </c>
      <c r="G6794" t="s">
        <v>448</v>
      </c>
      <c r="H6794" t="s">
        <v>449</v>
      </c>
      <c r="I6794" t="s">
        <v>449</v>
      </c>
      <c r="J6794" t="s">
        <v>60</v>
      </c>
      <c r="K6794" t="s">
        <v>388</v>
      </c>
      <c r="L6794" t="s">
        <v>62</v>
      </c>
      <c r="M6794" t="s">
        <v>388</v>
      </c>
      <c r="N6794" t="s">
        <v>450</v>
      </c>
      <c r="O6794" t="s">
        <v>451</v>
      </c>
      <c r="P6794">
        <v>-20.163981</v>
      </c>
      <c r="Q6794">
        <v>-44.907128999999998</v>
      </c>
      <c r="R6794" s="2" t="str">
        <f>HYPERLINK("https://www.google.com/maps?q=-20.1639810,-44.9071290","Abrir no Google Maps")</f>
        <v>Abrir no Google Maps</v>
      </c>
      <c r="S6794">
        <v>3</v>
      </c>
      <c r="T6794">
        <v>782.50730806588319</v>
      </c>
      <c r="U6794">
        <v>1</v>
      </c>
      <c r="V6794">
        <v>0.13184445450057591</v>
      </c>
      <c r="W6794">
        <v>1</v>
      </c>
      <c r="X6794">
        <v>0.13184445450057591</v>
      </c>
      <c r="Y6794">
        <v>639</v>
      </c>
      <c r="Z6794">
        <v>710.90621453796166</v>
      </c>
      <c r="AA6794">
        <v>198</v>
      </c>
      <c r="AB6794">
        <v>332</v>
      </c>
      <c r="AC6794">
        <v>536</v>
      </c>
      <c r="AD6794">
        <v>28.93</v>
      </c>
      <c r="AE6794">
        <v>542</v>
      </c>
      <c r="AF6794">
        <v>29</v>
      </c>
      <c r="AG6794">
        <v>166</v>
      </c>
      <c r="AH6794">
        <v>129</v>
      </c>
      <c r="AI6794">
        <v>5.35</v>
      </c>
      <c r="AJ6794">
        <v>30.63</v>
      </c>
      <c r="AK6794">
        <v>23.8</v>
      </c>
      <c r="AL6794">
        <v>-20.163958349999969</v>
      </c>
      <c r="AM6794">
        <v>-44.907180923930973</v>
      </c>
      <c r="AN6794">
        <v>-20.163958349999969</v>
      </c>
      <c r="AO6794">
        <v>-44.907180923930973</v>
      </c>
      <c r="AP6794">
        <v>-20.163981</v>
      </c>
      <c r="AQ6794">
        <v>-44.907128999999998</v>
      </c>
      <c r="AR6794">
        <v>5.9831345092457884</v>
      </c>
      <c r="AS6794" t="s">
        <v>65</v>
      </c>
      <c r="AT6794">
        <v>1</v>
      </c>
      <c r="AU6794" t="s">
        <v>452</v>
      </c>
      <c r="AV6794" t="s">
        <v>453</v>
      </c>
      <c r="AW6794" t="s">
        <v>60</v>
      </c>
      <c r="AX6794" t="s">
        <v>68</v>
      </c>
      <c r="AY6794" t="s">
        <v>69</v>
      </c>
      <c r="AZ6794" t="b">
        <v>1</v>
      </c>
    </row>
    <row r="6795" spans="1:52" x14ac:dyDescent="0.3">
      <c r="A6795" t="s">
        <v>52</v>
      </c>
      <c r="B6795" t="s">
        <v>53</v>
      </c>
      <c r="C6795" t="s">
        <v>54</v>
      </c>
      <c r="D6795" t="s">
        <v>55</v>
      </c>
      <c r="E6795" t="s">
        <v>2296</v>
      </c>
      <c r="F6795" t="s">
        <v>1247</v>
      </c>
      <c r="G6795" t="s">
        <v>479</v>
      </c>
      <c r="H6795" t="s">
        <v>1338</v>
      </c>
      <c r="I6795" t="s">
        <v>1338</v>
      </c>
      <c r="J6795" t="s">
        <v>60</v>
      </c>
      <c r="K6795" t="s">
        <v>1302</v>
      </c>
      <c r="L6795" t="s">
        <v>62</v>
      </c>
      <c r="M6795" t="s">
        <v>1302</v>
      </c>
      <c r="N6795" t="s">
        <v>481</v>
      </c>
      <c r="O6795" t="s">
        <v>1339</v>
      </c>
      <c r="P6795">
        <v>-20.165590000000002</v>
      </c>
      <c r="Q6795">
        <v>-44.907876000000002</v>
      </c>
      <c r="R6795" s="2" t="str">
        <f>HYPERLINK("https://www.google.com/maps?q=-20.1655900,-44.9078760","Abrir no Google Maps")</f>
        <v>Abrir no Google Maps</v>
      </c>
      <c r="S6795">
        <v>3</v>
      </c>
      <c r="T6795">
        <v>626.07643944893005</v>
      </c>
      <c r="U6795">
        <v>1</v>
      </c>
      <c r="V6795">
        <v>0.14320152523419311</v>
      </c>
      <c r="W6795">
        <v>0.85</v>
      </c>
      <c r="X6795">
        <v>0.1217212964490641</v>
      </c>
      <c r="Y6795">
        <v>639</v>
      </c>
      <c r="Z6795">
        <v>723.2656461789519</v>
      </c>
      <c r="AA6795">
        <v>198</v>
      </c>
      <c r="AB6795">
        <v>332</v>
      </c>
      <c r="AC6795">
        <v>536</v>
      </c>
      <c r="AD6795">
        <v>28.93</v>
      </c>
      <c r="AE6795">
        <v>542</v>
      </c>
      <c r="AF6795">
        <v>29</v>
      </c>
      <c r="AG6795">
        <v>166</v>
      </c>
      <c r="AH6795">
        <v>129</v>
      </c>
      <c r="AI6795">
        <v>5.35</v>
      </c>
      <c r="AJ6795">
        <v>30.63</v>
      </c>
      <c r="AK6795">
        <v>23.8</v>
      </c>
      <c r="AL6795">
        <v>-20.16561419999994</v>
      </c>
      <c r="AM6795">
        <v>-44.907783360572083</v>
      </c>
      <c r="AN6795">
        <v>-20.16561419999994</v>
      </c>
      <c r="AO6795">
        <v>-44.907783360572083</v>
      </c>
      <c r="AP6795">
        <v>-20.165590000000002</v>
      </c>
      <c r="AQ6795">
        <v>-44.907876000000002</v>
      </c>
      <c r="AR6795">
        <v>10.04831364257741</v>
      </c>
      <c r="AS6795" t="s">
        <v>65</v>
      </c>
      <c r="AT6795">
        <v>1</v>
      </c>
      <c r="AU6795" t="s">
        <v>1340</v>
      </c>
      <c r="AV6795" t="s">
        <v>1341</v>
      </c>
      <c r="AW6795" t="s">
        <v>60</v>
      </c>
      <c r="AX6795" t="s">
        <v>68</v>
      </c>
      <c r="AY6795" t="s">
        <v>69</v>
      </c>
      <c r="AZ6795" t="b">
        <v>1</v>
      </c>
    </row>
    <row r="6796" spans="1:52" x14ac:dyDescent="0.3">
      <c r="A6796" t="s">
        <v>52</v>
      </c>
      <c r="B6796" t="s">
        <v>53</v>
      </c>
      <c r="C6796" t="s">
        <v>54</v>
      </c>
      <c r="D6796" t="s">
        <v>55</v>
      </c>
      <c r="E6796" t="s">
        <v>2296</v>
      </c>
      <c r="F6796" t="s">
        <v>1247</v>
      </c>
      <c r="G6796" t="s">
        <v>454</v>
      </c>
      <c r="H6796" t="s">
        <v>455</v>
      </c>
      <c r="I6796" t="s">
        <v>455</v>
      </c>
      <c r="J6796" t="s">
        <v>60</v>
      </c>
      <c r="K6796" t="s">
        <v>456</v>
      </c>
      <c r="L6796" t="s">
        <v>62</v>
      </c>
      <c r="M6796" t="s">
        <v>456</v>
      </c>
      <c r="N6796" t="s">
        <v>102</v>
      </c>
      <c r="O6796" t="s">
        <v>457</v>
      </c>
      <c r="P6796">
        <v>-20.138373999999999</v>
      </c>
      <c r="Q6796">
        <v>-44.903756999999999</v>
      </c>
      <c r="R6796" s="2" t="str">
        <f>HYPERLINK("https://www.google.com/maps?q=-20.1383740,-44.9037570","Abrir no Google Maps")</f>
        <v>Abrir no Google Maps</v>
      </c>
      <c r="S6796">
        <v>3</v>
      </c>
      <c r="T6796">
        <v>357.59466273594461</v>
      </c>
      <c r="U6796">
        <v>1</v>
      </c>
      <c r="V6796">
        <v>0.12651289682539699</v>
      </c>
      <c r="W6796">
        <v>1</v>
      </c>
      <c r="X6796">
        <v>0.12651289682539699</v>
      </c>
      <c r="Y6796">
        <v>581</v>
      </c>
      <c r="Z6796">
        <v>406.92482694505992</v>
      </c>
      <c r="AA6796">
        <v>198</v>
      </c>
      <c r="AB6796">
        <v>332</v>
      </c>
      <c r="AC6796">
        <v>536</v>
      </c>
      <c r="AD6796">
        <v>28.93</v>
      </c>
      <c r="AE6796">
        <v>542</v>
      </c>
      <c r="AF6796">
        <v>29</v>
      </c>
      <c r="AG6796">
        <v>166</v>
      </c>
      <c r="AH6796">
        <v>129</v>
      </c>
      <c r="AI6796">
        <v>5.35</v>
      </c>
      <c r="AJ6796">
        <v>30.63</v>
      </c>
      <c r="AK6796">
        <v>23.8</v>
      </c>
      <c r="AL6796">
        <v>-20.138338199999961</v>
      </c>
      <c r="AM6796">
        <v>-44.903768618976301</v>
      </c>
      <c r="AN6796">
        <v>-20.138338199999961</v>
      </c>
      <c r="AO6796">
        <v>-44.903768618976301</v>
      </c>
      <c r="AP6796">
        <v>-20.138373999999999</v>
      </c>
      <c r="AQ6796">
        <v>-44.903756999999999</v>
      </c>
      <c r="AR6796">
        <v>4.1661625938922704</v>
      </c>
      <c r="AS6796" t="s">
        <v>65</v>
      </c>
      <c r="AT6796">
        <v>1</v>
      </c>
      <c r="AU6796" t="s">
        <v>458</v>
      </c>
      <c r="AV6796" t="s">
        <v>459</v>
      </c>
      <c r="AW6796" t="s">
        <v>60</v>
      </c>
      <c r="AX6796" t="s">
        <v>68</v>
      </c>
      <c r="AY6796" t="s">
        <v>69</v>
      </c>
      <c r="AZ6796" t="b">
        <v>1</v>
      </c>
    </row>
    <row r="6797" spans="1:52" x14ac:dyDescent="0.3">
      <c r="A6797" t="s">
        <v>52</v>
      </c>
      <c r="B6797" t="s">
        <v>53</v>
      </c>
      <c r="C6797" t="s">
        <v>54</v>
      </c>
      <c r="D6797" t="s">
        <v>55</v>
      </c>
      <c r="E6797" t="s">
        <v>2296</v>
      </c>
      <c r="F6797" t="s">
        <v>1247</v>
      </c>
      <c r="G6797" t="s">
        <v>460</v>
      </c>
      <c r="H6797" t="s">
        <v>461</v>
      </c>
      <c r="I6797" t="s">
        <v>461</v>
      </c>
      <c r="J6797" t="s">
        <v>60</v>
      </c>
      <c r="K6797" t="s">
        <v>462</v>
      </c>
      <c r="L6797" t="s">
        <v>62</v>
      </c>
      <c r="M6797" t="s">
        <v>462</v>
      </c>
      <c r="N6797" t="s">
        <v>463</v>
      </c>
      <c r="O6797" t="s">
        <v>464</v>
      </c>
      <c r="P6797">
        <v>-20.137919</v>
      </c>
      <c r="Q6797">
        <v>-44.905591000000001</v>
      </c>
      <c r="R6797" s="2" t="str">
        <f>HYPERLINK("https://www.google.com/maps?q=-20.1379190,-44.9055910","Abrir no Google Maps")</f>
        <v>Abrir no Google Maps</v>
      </c>
      <c r="S6797">
        <v>3</v>
      </c>
      <c r="T6797">
        <v>262.01115919461103</v>
      </c>
      <c r="U6797">
        <v>1</v>
      </c>
      <c r="V6797">
        <v>0.1240430629214361</v>
      </c>
      <c r="W6797">
        <v>1</v>
      </c>
      <c r="X6797">
        <v>0.1240430629214361</v>
      </c>
      <c r="Y6797">
        <v>581</v>
      </c>
      <c r="Z6797">
        <v>318.63337303219271</v>
      </c>
      <c r="AA6797">
        <v>198</v>
      </c>
      <c r="AB6797">
        <v>332</v>
      </c>
      <c r="AC6797">
        <v>536</v>
      </c>
      <c r="AD6797">
        <v>28.93</v>
      </c>
      <c r="AE6797">
        <v>542</v>
      </c>
      <c r="AF6797">
        <v>29</v>
      </c>
      <c r="AG6797">
        <v>166</v>
      </c>
      <c r="AH6797">
        <v>129</v>
      </c>
      <c r="AI6797">
        <v>5.35</v>
      </c>
      <c r="AJ6797">
        <v>30.63</v>
      </c>
      <c r="AK6797">
        <v>23.8</v>
      </c>
      <c r="AL6797">
        <v>-20.13789079999998</v>
      </c>
      <c r="AM6797">
        <v>-44.90548593520333</v>
      </c>
      <c r="AN6797">
        <v>-20.13789079999998</v>
      </c>
      <c r="AO6797">
        <v>-44.90548593520333</v>
      </c>
      <c r="AP6797">
        <v>-20.137919</v>
      </c>
      <c r="AQ6797">
        <v>-44.905591000000001</v>
      </c>
      <c r="AR6797">
        <v>11.42072348298178</v>
      </c>
      <c r="AS6797" t="s">
        <v>65</v>
      </c>
      <c r="AT6797">
        <v>1</v>
      </c>
      <c r="AU6797" t="s">
        <v>465</v>
      </c>
      <c r="AV6797" t="s">
        <v>466</v>
      </c>
      <c r="AW6797" t="s">
        <v>60</v>
      </c>
      <c r="AX6797" t="s">
        <v>68</v>
      </c>
      <c r="AY6797" t="s">
        <v>69</v>
      </c>
      <c r="AZ6797" t="b">
        <v>1</v>
      </c>
    </row>
    <row r="6798" spans="1:52" x14ac:dyDescent="0.3">
      <c r="A6798" t="s">
        <v>52</v>
      </c>
      <c r="B6798" t="s">
        <v>53</v>
      </c>
      <c r="C6798" t="s">
        <v>54</v>
      </c>
      <c r="D6798" t="s">
        <v>55</v>
      </c>
      <c r="E6798" t="s">
        <v>2296</v>
      </c>
      <c r="F6798" t="s">
        <v>1247</v>
      </c>
      <c r="G6798" t="s">
        <v>1342</v>
      </c>
      <c r="H6798" t="s">
        <v>1343</v>
      </c>
      <c r="I6798" t="s">
        <v>1343</v>
      </c>
      <c r="J6798" t="s">
        <v>60</v>
      </c>
      <c r="K6798" t="s">
        <v>462</v>
      </c>
      <c r="L6798" t="s">
        <v>62</v>
      </c>
      <c r="M6798" t="s">
        <v>462</v>
      </c>
      <c r="N6798" t="s">
        <v>921</v>
      </c>
      <c r="O6798" t="s">
        <v>1344</v>
      </c>
      <c r="P6798">
        <v>-20.137526000000001</v>
      </c>
      <c r="Q6798">
        <v>-44.912452999999999</v>
      </c>
      <c r="R6798" s="2" t="str">
        <f>HYPERLINK("https://www.google.com/maps?q=-20.1375260,-44.9124530","Abrir no Google Maps")</f>
        <v>Abrir no Google Maps</v>
      </c>
      <c r="S6798">
        <v>3</v>
      </c>
      <c r="T6798">
        <v>446.95091416730708</v>
      </c>
      <c r="U6798">
        <v>1</v>
      </c>
      <c r="V6798">
        <v>0.15208182038247381</v>
      </c>
      <c r="W6798">
        <v>0.85</v>
      </c>
      <c r="X6798">
        <v>0.12926954732510271</v>
      </c>
      <c r="Y6798">
        <v>581</v>
      </c>
      <c r="Z6798">
        <v>507.4747778269288</v>
      </c>
      <c r="AA6798">
        <v>198</v>
      </c>
      <c r="AB6798">
        <v>332</v>
      </c>
      <c r="AC6798">
        <v>536</v>
      </c>
      <c r="AD6798">
        <v>28.93</v>
      </c>
      <c r="AE6798">
        <v>542</v>
      </c>
      <c r="AF6798">
        <v>29</v>
      </c>
      <c r="AG6798">
        <v>166</v>
      </c>
      <c r="AH6798">
        <v>129</v>
      </c>
      <c r="AI6798">
        <v>5.35</v>
      </c>
      <c r="AJ6798">
        <v>30.63</v>
      </c>
      <c r="AK6798">
        <v>23.8</v>
      </c>
      <c r="AL6798">
        <v>-20.136672649999959</v>
      </c>
      <c r="AM6798">
        <v>-44.911825104396357</v>
      </c>
      <c r="AN6798">
        <v>-20.136672649999959</v>
      </c>
      <c r="AO6798">
        <v>-44.911825104396357</v>
      </c>
      <c r="AP6798">
        <v>-20.137526000000001</v>
      </c>
      <c r="AQ6798">
        <v>-44.912452999999999</v>
      </c>
      <c r="AR6798">
        <v>115.45843265992529</v>
      </c>
      <c r="AS6798" t="s">
        <v>65</v>
      </c>
      <c r="AT6798">
        <v>1</v>
      </c>
      <c r="AU6798" t="s">
        <v>1345</v>
      </c>
      <c r="AV6798" t="s">
        <v>1346</v>
      </c>
      <c r="AW6798" t="s">
        <v>60</v>
      </c>
      <c r="AX6798" t="s">
        <v>68</v>
      </c>
      <c r="AY6798" t="s">
        <v>69</v>
      </c>
      <c r="AZ6798" t="b">
        <v>1</v>
      </c>
    </row>
    <row r="6799" spans="1:52" x14ac:dyDescent="0.3">
      <c r="A6799" t="s">
        <v>52</v>
      </c>
      <c r="B6799" t="s">
        <v>53</v>
      </c>
      <c r="C6799" t="s">
        <v>54</v>
      </c>
      <c r="D6799" t="s">
        <v>55</v>
      </c>
      <c r="E6799" t="s">
        <v>2296</v>
      </c>
      <c r="F6799" t="s">
        <v>1247</v>
      </c>
      <c r="G6799" t="s">
        <v>1347</v>
      </c>
      <c r="H6799" t="s">
        <v>1348</v>
      </c>
      <c r="I6799" t="s">
        <v>1348</v>
      </c>
      <c r="J6799" t="s">
        <v>60</v>
      </c>
      <c r="K6799" t="s">
        <v>1349</v>
      </c>
      <c r="L6799" t="s">
        <v>62</v>
      </c>
      <c r="M6799" t="s">
        <v>1349</v>
      </c>
      <c r="N6799" t="s">
        <v>1350</v>
      </c>
      <c r="O6799" t="s">
        <v>1351</v>
      </c>
      <c r="P6799">
        <v>-20.140426999999999</v>
      </c>
      <c r="Q6799">
        <v>-44.905327999999997</v>
      </c>
      <c r="R6799" s="2" t="str">
        <f>HYPERLINK("https://www.google.com/maps?q=-20.1404270,-44.9053280","Abrir no Google Maps")</f>
        <v>Abrir no Google Maps</v>
      </c>
      <c r="S6799">
        <v>3</v>
      </c>
      <c r="T6799">
        <v>359.5810968231857</v>
      </c>
      <c r="U6799">
        <v>1</v>
      </c>
      <c r="V6799">
        <v>0.1308155170095468</v>
      </c>
      <c r="W6799">
        <v>0.85</v>
      </c>
      <c r="X6799">
        <v>0.11119318945811479</v>
      </c>
      <c r="Y6799">
        <v>581</v>
      </c>
      <c r="Z6799">
        <v>292.370097058873</v>
      </c>
      <c r="AA6799">
        <v>198</v>
      </c>
      <c r="AB6799">
        <v>332</v>
      </c>
      <c r="AC6799">
        <v>536</v>
      </c>
      <c r="AD6799">
        <v>28.93</v>
      </c>
      <c r="AE6799">
        <v>542</v>
      </c>
      <c r="AF6799">
        <v>29</v>
      </c>
      <c r="AG6799">
        <v>166</v>
      </c>
      <c r="AH6799">
        <v>129</v>
      </c>
      <c r="AI6799">
        <v>5.35</v>
      </c>
      <c r="AJ6799">
        <v>30.63</v>
      </c>
      <c r="AK6799">
        <v>23.8</v>
      </c>
      <c r="AL6799">
        <v>-20.140465449999969</v>
      </c>
      <c r="AM6799">
        <v>-44.905317129037229</v>
      </c>
      <c r="AN6799">
        <v>-20.140465449999969</v>
      </c>
      <c r="AO6799">
        <v>-44.905317129037229</v>
      </c>
      <c r="AP6799">
        <v>-20.140426999999999</v>
      </c>
      <c r="AQ6799">
        <v>-44.905327999999997</v>
      </c>
      <c r="AR6799">
        <v>4.4284788644958706</v>
      </c>
      <c r="AS6799" t="s">
        <v>65</v>
      </c>
      <c r="AT6799">
        <v>1</v>
      </c>
      <c r="AU6799" t="s">
        <v>1352</v>
      </c>
      <c r="AV6799" t="s">
        <v>1353</v>
      </c>
      <c r="AW6799" t="s">
        <v>60</v>
      </c>
      <c r="AX6799" t="s">
        <v>68</v>
      </c>
      <c r="AY6799" t="s">
        <v>69</v>
      </c>
      <c r="AZ6799" t="b">
        <v>1</v>
      </c>
    </row>
    <row r="6800" spans="1:52" x14ac:dyDescent="0.3">
      <c r="A6800" t="s">
        <v>52</v>
      </c>
      <c r="B6800" t="s">
        <v>53</v>
      </c>
      <c r="C6800" t="s">
        <v>54</v>
      </c>
      <c r="D6800" t="s">
        <v>55</v>
      </c>
      <c r="E6800" t="s">
        <v>2296</v>
      </c>
      <c r="F6800" t="s">
        <v>1247</v>
      </c>
      <c r="G6800" t="s">
        <v>467</v>
      </c>
      <c r="H6800" t="s">
        <v>468</v>
      </c>
      <c r="I6800" t="s">
        <v>468</v>
      </c>
      <c r="J6800" t="s">
        <v>60</v>
      </c>
      <c r="K6800" t="s">
        <v>462</v>
      </c>
      <c r="L6800" t="s">
        <v>62</v>
      </c>
      <c r="M6800" t="s">
        <v>462</v>
      </c>
      <c r="N6800" t="s">
        <v>469</v>
      </c>
      <c r="O6800" t="s">
        <v>470</v>
      </c>
      <c r="P6800">
        <v>-20.138233</v>
      </c>
      <c r="Q6800">
        <v>-44.908200000000001</v>
      </c>
      <c r="R6800" s="2" t="str">
        <f>HYPERLINK("https://www.google.com/maps?q=-20.1382330,-44.9082000","Abrir no Google Maps")</f>
        <v>Abrir no Google Maps</v>
      </c>
      <c r="S6800">
        <v>3</v>
      </c>
      <c r="T6800">
        <v>0</v>
      </c>
      <c r="U6800">
        <v>1</v>
      </c>
      <c r="V6800">
        <v>0.12473887933153111</v>
      </c>
      <c r="W6800">
        <v>1</v>
      </c>
      <c r="X6800">
        <v>0.12473887933153111</v>
      </c>
      <c r="Y6800">
        <v>581</v>
      </c>
      <c r="Z6800">
        <v>153.18688302958171</v>
      </c>
      <c r="AA6800">
        <v>198</v>
      </c>
      <c r="AB6800">
        <v>332</v>
      </c>
      <c r="AC6800">
        <v>536</v>
      </c>
      <c r="AD6800">
        <v>28.93</v>
      </c>
      <c r="AE6800">
        <v>542</v>
      </c>
      <c r="AF6800">
        <v>29</v>
      </c>
      <c r="AG6800">
        <v>166</v>
      </c>
      <c r="AH6800">
        <v>129</v>
      </c>
      <c r="AI6800">
        <v>5.35</v>
      </c>
      <c r="AJ6800">
        <v>30.63</v>
      </c>
      <c r="AK6800">
        <v>23.8</v>
      </c>
      <c r="AL6800">
        <v>-20.138364899999971</v>
      </c>
      <c r="AM6800">
        <v>-44.907942114873997</v>
      </c>
      <c r="AN6800">
        <v>-20.138364899999971</v>
      </c>
      <c r="AO6800">
        <v>-44.907942114873997</v>
      </c>
      <c r="AP6800">
        <v>-20.138233</v>
      </c>
      <c r="AQ6800">
        <v>-44.908200000000001</v>
      </c>
      <c r="AR6800">
        <v>30.692690617986941</v>
      </c>
      <c r="AS6800" t="s">
        <v>65</v>
      </c>
      <c r="AT6800">
        <v>1</v>
      </c>
      <c r="AU6800" t="s">
        <v>471</v>
      </c>
      <c r="AV6800" t="s">
        <v>472</v>
      </c>
      <c r="AW6800" t="s">
        <v>60</v>
      </c>
      <c r="AX6800" t="s">
        <v>68</v>
      </c>
      <c r="AY6800" t="s">
        <v>69</v>
      </c>
      <c r="AZ6800" t="b">
        <v>1</v>
      </c>
    </row>
    <row r="6801" spans="1:52" x14ac:dyDescent="0.3">
      <c r="A6801" t="s">
        <v>52</v>
      </c>
      <c r="B6801" t="s">
        <v>53</v>
      </c>
      <c r="C6801" t="s">
        <v>54</v>
      </c>
      <c r="D6801" t="s">
        <v>55</v>
      </c>
      <c r="E6801" t="s">
        <v>2296</v>
      </c>
      <c r="F6801" t="s">
        <v>1247</v>
      </c>
      <c r="G6801" t="s">
        <v>1354</v>
      </c>
      <c r="H6801" t="s">
        <v>1355</v>
      </c>
      <c r="I6801" t="s">
        <v>1355</v>
      </c>
      <c r="J6801" t="s">
        <v>60</v>
      </c>
      <c r="K6801" t="s">
        <v>1356</v>
      </c>
      <c r="L6801" t="s">
        <v>62</v>
      </c>
      <c r="M6801" t="s">
        <v>1356</v>
      </c>
      <c r="N6801" t="s">
        <v>1357</v>
      </c>
      <c r="O6801" t="s">
        <v>315</v>
      </c>
      <c r="P6801">
        <v>-20.132080999999999</v>
      </c>
      <c r="Q6801">
        <v>-44.908614</v>
      </c>
      <c r="R6801" s="2" t="str">
        <f>HYPERLINK("https://www.google.com/maps?q=-20.1320810,-44.9086140","Abrir no Google Maps")</f>
        <v>Abrir no Google Maps</v>
      </c>
      <c r="S6801">
        <v>3</v>
      </c>
      <c r="T6801">
        <v>701.02570959373259</v>
      </c>
      <c r="U6801">
        <v>1</v>
      </c>
      <c r="V6801">
        <v>0.1603395061728396</v>
      </c>
      <c r="W6801">
        <v>0.85</v>
      </c>
      <c r="X6801">
        <v>0.13628858024691359</v>
      </c>
      <c r="Y6801">
        <v>581</v>
      </c>
      <c r="Z6801">
        <v>811.38061352229215</v>
      </c>
      <c r="AA6801">
        <v>198</v>
      </c>
      <c r="AB6801">
        <v>332</v>
      </c>
      <c r="AC6801">
        <v>536</v>
      </c>
      <c r="AD6801">
        <v>28.93</v>
      </c>
      <c r="AE6801">
        <v>542</v>
      </c>
      <c r="AF6801">
        <v>29</v>
      </c>
      <c r="AG6801">
        <v>166</v>
      </c>
      <c r="AH6801">
        <v>129</v>
      </c>
      <c r="AI6801">
        <v>5.35</v>
      </c>
      <c r="AJ6801">
        <v>30.63</v>
      </c>
      <c r="AK6801">
        <v>23.8</v>
      </c>
      <c r="AL6801">
        <v>-20.132063499999951</v>
      </c>
      <c r="AM6801">
        <v>-44.908630454878519</v>
      </c>
      <c r="AN6801">
        <v>-20.132063499999951</v>
      </c>
      <c r="AO6801">
        <v>-44.908630454878519</v>
      </c>
      <c r="AP6801">
        <v>-20.132080999999999</v>
      </c>
      <c r="AQ6801">
        <v>-44.908614</v>
      </c>
      <c r="AR6801">
        <v>2.5986425761911551</v>
      </c>
      <c r="AS6801" t="s">
        <v>65</v>
      </c>
      <c r="AT6801">
        <v>1</v>
      </c>
      <c r="AU6801" t="s">
        <v>1358</v>
      </c>
      <c r="AV6801" t="s">
        <v>1359</v>
      </c>
      <c r="AW6801" t="s">
        <v>60</v>
      </c>
      <c r="AX6801" t="s">
        <v>68</v>
      </c>
      <c r="AY6801" t="s">
        <v>69</v>
      </c>
      <c r="AZ6801" t="b">
        <v>1</v>
      </c>
    </row>
    <row r="6802" spans="1:52" x14ac:dyDescent="0.3">
      <c r="A6802" t="s">
        <v>52</v>
      </c>
      <c r="B6802" t="s">
        <v>53</v>
      </c>
      <c r="C6802" t="s">
        <v>54</v>
      </c>
      <c r="D6802" t="s">
        <v>55</v>
      </c>
      <c r="E6802" t="s">
        <v>2296</v>
      </c>
      <c r="F6802" t="s">
        <v>1247</v>
      </c>
      <c r="G6802" t="s">
        <v>858</v>
      </c>
      <c r="H6802" t="s">
        <v>1360</v>
      </c>
      <c r="I6802" t="s">
        <v>1360</v>
      </c>
      <c r="J6802" t="s">
        <v>60</v>
      </c>
      <c r="K6802" t="s">
        <v>1356</v>
      </c>
      <c r="L6802" t="s">
        <v>62</v>
      </c>
      <c r="M6802" t="s">
        <v>1356</v>
      </c>
      <c r="N6802" t="s">
        <v>860</v>
      </c>
      <c r="O6802" t="s">
        <v>1361</v>
      </c>
      <c r="P6802">
        <v>-20.134969000000002</v>
      </c>
      <c r="Q6802">
        <v>-44.909384000000003</v>
      </c>
      <c r="R6802" s="2" t="str">
        <f>HYPERLINK("https://www.google.com/maps?q=-20.1349690,-44.9093840","Abrir no Google Maps")</f>
        <v>Abrir no Google Maps</v>
      </c>
      <c r="S6802">
        <v>3</v>
      </c>
      <c r="T6802">
        <v>413.6655911675532</v>
      </c>
      <c r="U6802">
        <v>1</v>
      </c>
      <c r="V6802">
        <v>0.1484807370543568</v>
      </c>
      <c r="W6802">
        <v>0.85</v>
      </c>
      <c r="X6802">
        <v>0.12620862649620329</v>
      </c>
      <c r="Y6802">
        <v>581</v>
      </c>
      <c r="Z6802">
        <v>555.30228470489919</v>
      </c>
      <c r="AA6802">
        <v>198</v>
      </c>
      <c r="AB6802">
        <v>332</v>
      </c>
      <c r="AC6802">
        <v>536</v>
      </c>
      <c r="AD6802">
        <v>28.93</v>
      </c>
      <c r="AE6802">
        <v>542</v>
      </c>
      <c r="AF6802">
        <v>29</v>
      </c>
      <c r="AG6802">
        <v>166</v>
      </c>
      <c r="AH6802">
        <v>129</v>
      </c>
      <c r="AI6802">
        <v>5.35</v>
      </c>
      <c r="AJ6802">
        <v>30.63</v>
      </c>
      <c r="AK6802">
        <v>23.8</v>
      </c>
      <c r="AL6802">
        <v>-20.134922099999951</v>
      </c>
      <c r="AM6802">
        <v>-44.909483975879112</v>
      </c>
      <c r="AN6802">
        <v>-20.134922099999951</v>
      </c>
      <c r="AO6802">
        <v>-44.909483975879112</v>
      </c>
      <c r="AP6802">
        <v>-20.134969000000002</v>
      </c>
      <c r="AQ6802">
        <v>-44.909384000000003</v>
      </c>
      <c r="AR6802">
        <v>11.68085867639515</v>
      </c>
      <c r="AS6802" t="s">
        <v>65</v>
      </c>
      <c r="AT6802">
        <v>1</v>
      </c>
      <c r="AU6802" t="s">
        <v>1362</v>
      </c>
      <c r="AV6802" t="s">
        <v>1363</v>
      </c>
      <c r="AW6802" t="s">
        <v>60</v>
      </c>
      <c r="AX6802" t="s">
        <v>68</v>
      </c>
      <c r="AY6802" t="s">
        <v>69</v>
      </c>
      <c r="AZ6802" t="b">
        <v>1</v>
      </c>
    </row>
    <row r="6803" spans="1:52" x14ac:dyDescent="0.3">
      <c r="A6803" t="s">
        <v>52</v>
      </c>
      <c r="B6803" t="s">
        <v>53</v>
      </c>
      <c r="C6803" t="s">
        <v>54</v>
      </c>
      <c r="D6803" t="s">
        <v>55</v>
      </c>
      <c r="E6803" t="s">
        <v>2296</v>
      </c>
      <c r="F6803" t="s">
        <v>1247</v>
      </c>
      <c r="G6803" t="s">
        <v>1364</v>
      </c>
      <c r="H6803" t="s">
        <v>1365</v>
      </c>
      <c r="I6803" t="s">
        <v>1365</v>
      </c>
      <c r="J6803" t="s">
        <v>60</v>
      </c>
      <c r="K6803" t="s">
        <v>1356</v>
      </c>
      <c r="L6803" t="s">
        <v>62</v>
      </c>
      <c r="M6803" t="s">
        <v>1356</v>
      </c>
      <c r="N6803" t="s">
        <v>1366</v>
      </c>
      <c r="O6803" t="s">
        <v>548</v>
      </c>
      <c r="P6803">
        <v>-20.131240999999999</v>
      </c>
      <c r="Q6803">
        <v>-44.910567999999998</v>
      </c>
      <c r="R6803" s="2" t="str">
        <f>HYPERLINK("https://www.google.com/maps?q=-20.1312410,-44.9105680","Abrir no Google Maps")</f>
        <v>Abrir no Google Maps</v>
      </c>
      <c r="S6803">
        <v>3</v>
      </c>
      <c r="T6803">
        <v>822.61354861726704</v>
      </c>
      <c r="U6803">
        <v>1</v>
      </c>
      <c r="V6803">
        <v>0.1563172043010754</v>
      </c>
      <c r="W6803">
        <v>0.85</v>
      </c>
      <c r="X6803">
        <v>0.13286962365591409</v>
      </c>
      <c r="Y6803">
        <v>581</v>
      </c>
      <c r="Z6803">
        <v>982.3990834787046</v>
      </c>
      <c r="AA6803">
        <v>198</v>
      </c>
      <c r="AB6803">
        <v>332</v>
      </c>
      <c r="AC6803">
        <v>536</v>
      </c>
      <c r="AD6803">
        <v>28.93</v>
      </c>
      <c r="AE6803">
        <v>542</v>
      </c>
      <c r="AF6803">
        <v>29</v>
      </c>
      <c r="AG6803">
        <v>166</v>
      </c>
      <c r="AH6803">
        <v>129</v>
      </c>
      <c r="AI6803">
        <v>5.35</v>
      </c>
      <c r="AJ6803">
        <v>30.63</v>
      </c>
      <c r="AK6803">
        <v>23.8</v>
      </c>
      <c r="AL6803">
        <v>-20.131367099999981</v>
      </c>
      <c r="AM6803">
        <v>-44.910597350758543</v>
      </c>
      <c r="AN6803">
        <v>-20.131367099999981</v>
      </c>
      <c r="AO6803">
        <v>-44.910597350758543</v>
      </c>
      <c r="AP6803">
        <v>-20.131240999999999</v>
      </c>
      <c r="AQ6803">
        <v>-44.910567999999998</v>
      </c>
      <c r="AR6803">
        <v>14.36874794070623</v>
      </c>
      <c r="AS6803" t="s">
        <v>65</v>
      </c>
      <c r="AT6803">
        <v>1</v>
      </c>
      <c r="AU6803" t="s">
        <v>1367</v>
      </c>
      <c r="AV6803" t="s">
        <v>1368</v>
      </c>
      <c r="AW6803" t="s">
        <v>60</v>
      </c>
      <c r="AX6803" t="s">
        <v>68</v>
      </c>
      <c r="AY6803" t="s">
        <v>69</v>
      </c>
      <c r="AZ6803" t="b">
        <v>1</v>
      </c>
    </row>
    <row r="6804" spans="1:52" x14ac:dyDescent="0.3">
      <c r="A6804" t="s">
        <v>52</v>
      </c>
      <c r="B6804" t="s">
        <v>53</v>
      </c>
      <c r="C6804" t="s">
        <v>54</v>
      </c>
      <c r="D6804" t="s">
        <v>55</v>
      </c>
      <c r="E6804" t="s">
        <v>2296</v>
      </c>
      <c r="F6804" t="s">
        <v>1247</v>
      </c>
      <c r="G6804" t="s">
        <v>858</v>
      </c>
      <c r="H6804" t="s">
        <v>859</v>
      </c>
      <c r="I6804" t="s">
        <v>859</v>
      </c>
      <c r="J6804" t="s">
        <v>60</v>
      </c>
      <c r="K6804" t="s">
        <v>462</v>
      </c>
      <c r="L6804" t="s">
        <v>62</v>
      </c>
      <c r="M6804" t="s">
        <v>462</v>
      </c>
      <c r="N6804" t="s">
        <v>860</v>
      </c>
      <c r="O6804" t="s">
        <v>861</v>
      </c>
      <c r="P6804">
        <v>-20.139693999999999</v>
      </c>
      <c r="Q6804">
        <v>-44.911256000000002</v>
      </c>
      <c r="R6804" s="2" t="str">
        <f>HYPERLINK("https://www.google.com/maps?q=-20.1396940,-44.9112560","Abrir no Google Maps")</f>
        <v>Abrir no Google Maps</v>
      </c>
      <c r="S6804">
        <v>3</v>
      </c>
      <c r="T6804">
        <v>380.48036838042862</v>
      </c>
      <c r="U6804">
        <v>1</v>
      </c>
      <c r="V6804">
        <v>0.1160371892119678</v>
      </c>
      <c r="W6804">
        <v>0.85</v>
      </c>
      <c r="X6804">
        <v>9.8631610830172634E-2</v>
      </c>
      <c r="Y6804">
        <v>581</v>
      </c>
      <c r="Z6804">
        <v>374.61146000000178</v>
      </c>
      <c r="AA6804">
        <v>198</v>
      </c>
      <c r="AB6804">
        <v>332</v>
      </c>
      <c r="AC6804">
        <v>536</v>
      </c>
      <c r="AD6804">
        <v>28.93</v>
      </c>
      <c r="AE6804">
        <v>542</v>
      </c>
      <c r="AF6804">
        <v>29</v>
      </c>
      <c r="AG6804">
        <v>166</v>
      </c>
      <c r="AH6804">
        <v>129</v>
      </c>
      <c r="AI6804">
        <v>5.35</v>
      </c>
      <c r="AJ6804">
        <v>30.63</v>
      </c>
      <c r="AK6804">
        <v>23.8</v>
      </c>
      <c r="AL6804">
        <v>-20.139768699999959</v>
      </c>
      <c r="AM6804">
        <v>-44.911265351587588</v>
      </c>
      <c r="AN6804">
        <v>-20.139768699999959</v>
      </c>
      <c r="AO6804">
        <v>-44.911265351587588</v>
      </c>
      <c r="AP6804">
        <v>-20.139693999999999</v>
      </c>
      <c r="AQ6804">
        <v>-44.911256000000002</v>
      </c>
      <c r="AR6804">
        <v>8.3728438666521061</v>
      </c>
      <c r="AS6804" t="s">
        <v>65</v>
      </c>
      <c r="AT6804">
        <v>1</v>
      </c>
      <c r="AU6804" t="s">
        <v>862</v>
      </c>
      <c r="AV6804" t="s">
        <v>863</v>
      </c>
      <c r="AW6804" t="s">
        <v>60</v>
      </c>
      <c r="AX6804" t="s">
        <v>68</v>
      </c>
      <c r="AY6804" t="s">
        <v>69</v>
      </c>
      <c r="AZ6804" t="b">
        <v>1</v>
      </c>
    </row>
    <row r="6805" spans="1:52" x14ac:dyDescent="0.3">
      <c r="A6805" t="s">
        <v>52</v>
      </c>
      <c r="B6805" t="s">
        <v>53</v>
      </c>
      <c r="C6805" t="s">
        <v>54</v>
      </c>
      <c r="D6805" t="s">
        <v>55</v>
      </c>
      <c r="E6805" t="s">
        <v>2296</v>
      </c>
      <c r="F6805" t="s">
        <v>1247</v>
      </c>
      <c r="G6805" t="s">
        <v>1300</v>
      </c>
      <c r="H6805" t="s">
        <v>1372</v>
      </c>
      <c r="I6805" t="s">
        <v>1372</v>
      </c>
      <c r="J6805" t="s">
        <v>60</v>
      </c>
      <c r="K6805" t="s">
        <v>486</v>
      </c>
      <c r="L6805" t="s">
        <v>62</v>
      </c>
      <c r="M6805" t="s">
        <v>486</v>
      </c>
      <c r="N6805" t="s">
        <v>1303</v>
      </c>
      <c r="O6805" t="s">
        <v>1373</v>
      </c>
      <c r="P6805">
        <v>-20.170458</v>
      </c>
      <c r="Q6805">
        <v>-44.900936000000002</v>
      </c>
      <c r="R6805" s="2" t="str">
        <f>HYPERLINK("https://www.google.com/maps?q=-20.1704580,-44.9009360","Abrir no Google Maps")</f>
        <v>Abrir no Google Maps</v>
      </c>
      <c r="S6805">
        <v>3</v>
      </c>
      <c r="T6805">
        <v>470.55793133653339</v>
      </c>
      <c r="U6805">
        <v>1</v>
      </c>
      <c r="V6805">
        <v>0.13136070782009859</v>
      </c>
      <c r="W6805">
        <v>0.85</v>
      </c>
      <c r="X6805">
        <v>0.1116566016470838</v>
      </c>
      <c r="Y6805">
        <v>578</v>
      </c>
      <c r="Z6805">
        <v>645.48909402437766</v>
      </c>
      <c r="AA6805">
        <v>198</v>
      </c>
      <c r="AB6805">
        <v>332</v>
      </c>
      <c r="AC6805">
        <v>536</v>
      </c>
      <c r="AD6805">
        <v>28.93</v>
      </c>
      <c r="AE6805">
        <v>542</v>
      </c>
      <c r="AF6805">
        <v>29</v>
      </c>
      <c r="AG6805">
        <v>166</v>
      </c>
      <c r="AH6805">
        <v>129</v>
      </c>
      <c r="AI6805">
        <v>5.35</v>
      </c>
      <c r="AJ6805">
        <v>30.63</v>
      </c>
      <c r="AK6805">
        <v>23.8</v>
      </c>
      <c r="AL6805">
        <v>-20.17025029999996</v>
      </c>
      <c r="AM6805">
        <v>-44.901067235372473</v>
      </c>
      <c r="AN6805">
        <v>-20.17025029999996</v>
      </c>
      <c r="AO6805">
        <v>-44.901067235372473</v>
      </c>
      <c r="AP6805">
        <v>-20.170458</v>
      </c>
      <c r="AQ6805">
        <v>-44.900936000000002</v>
      </c>
      <c r="AR6805">
        <v>26.88195352459519</v>
      </c>
      <c r="AS6805" t="s">
        <v>65</v>
      </c>
      <c r="AT6805">
        <v>1</v>
      </c>
      <c r="AU6805" t="s">
        <v>1374</v>
      </c>
      <c r="AV6805" t="s">
        <v>1375</v>
      </c>
      <c r="AW6805" t="s">
        <v>60</v>
      </c>
      <c r="AX6805" t="s">
        <v>68</v>
      </c>
      <c r="AY6805" t="s">
        <v>69</v>
      </c>
      <c r="AZ6805" t="b">
        <v>1</v>
      </c>
    </row>
    <row r="6806" spans="1:52" x14ac:dyDescent="0.3">
      <c r="A6806" t="s">
        <v>52</v>
      </c>
      <c r="B6806" t="s">
        <v>53</v>
      </c>
      <c r="C6806" t="s">
        <v>54</v>
      </c>
      <c r="D6806" t="s">
        <v>55</v>
      </c>
      <c r="E6806" t="s">
        <v>2296</v>
      </c>
      <c r="F6806" t="s">
        <v>1247</v>
      </c>
      <c r="G6806" t="s">
        <v>1393</v>
      </c>
      <c r="H6806" t="s">
        <v>1394</v>
      </c>
      <c r="I6806" t="s">
        <v>1394</v>
      </c>
      <c r="J6806" t="s">
        <v>60</v>
      </c>
      <c r="K6806" t="s">
        <v>388</v>
      </c>
      <c r="L6806" t="s">
        <v>62</v>
      </c>
      <c r="M6806" t="s">
        <v>388</v>
      </c>
      <c r="N6806" t="s">
        <v>1395</v>
      </c>
      <c r="O6806" t="s">
        <v>1396</v>
      </c>
      <c r="P6806">
        <v>-20.167425000000001</v>
      </c>
      <c r="Q6806">
        <v>-44.907733999999998</v>
      </c>
      <c r="R6806" s="2" t="str">
        <f>HYPERLINK("https://www.google.com/maps?q=-20.1674250,-44.9077340","Abrir no Google Maps")</f>
        <v>Abrir no Google Maps</v>
      </c>
      <c r="S6806">
        <v>3</v>
      </c>
      <c r="T6806">
        <v>424.62372109792739</v>
      </c>
      <c r="U6806">
        <v>1</v>
      </c>
      <c r="V6806">
        <v>0.14180881952635871</v>
      </c>
      <c r="W6806">
        <v>0.85</v>
      </c>
      <c r="X6806">
        <v>0.1205374965974049</v>
      </c>
      <c r="Y6806">
        <v>578</v>
      </c>
      <c r="Z6806">
        <v>559.08337206965382</v>
      </c>
      <c r="AA6806">
        <v>198</v>
      </c>
      <c r="AB6806">
        <v>332</v>
      </c>
      <c r="AC6806">
        <v>536</v>
      </c>
      <c r="AD6806">
        <v>28.93</v>
      </c>
      <c r="AE6806">
        <v>542</v>
      </c>
      <c r="AF6806">
        <v>29</v>
      </c>
      <c r="AG6806">
        <v>166</v>
      </c>
      <c r="AH6806">
        <v>129</v>
      </c>
      <c r="AI6806">
        <v>5.35</v>
      </c>
      <c r="AJ6806">
        <v>30.63</v>
      </c>
      <c r="AK6806">
        <v>23.8</v>
      </c>
      <c r="AL6806">
        <v>-20.167592099999951</v>
      </c>
      <c r="AM6806">
        <v>-44.907664214502859</v>
      </c>
      <c r="AN6806">
        <v>-20.167592099999951</v>
      </c>
      <c r="AO6806">
        <v>-44.907664214502859</v>
      </c>
      <c r="AP6806">
        <v>-20.167425000000001</v>
      </c>
      <c r="AQ6806">
        <v>-44.907733999999998</v>
      </c>
      <c r="AR6806">
        <v>19.979863459652229</v>
      </c>
      <c r="AS6806" t="s">
        <v>65</v>
      </c>
      <c r="AT6806">
        <v>1</v>
      </c>
      <c r="AU6806" t="s">
        <v>1397</v>
      </c>
      <c r="AV6806" t="s">
        <v>1398</v>
      </c>
      <c r="AW6806" t="s">
        <v>60</v>
      </c>
      <c r="AX6806" t="s">
        <v>68</v>
      </c>
      <c r="AY6806" t="s">
        <v>69</v>
      </c>
      <c r="AZ6806" t="b">
        <v>1</v>
      </c>
    </row>
    <row r="6807" spans="1:52" x14ac:dyDescent="0.3">
      <c r="A6807" t="s">
        <v>52</v>
      </c>
      <c r="B6807" t="s">
        <v>53</v>
      </c>
      <c r="C6807" t="s">
        <v>54</v>
      </c>
      <c r="D6807" t="s">
        <v>55</v>
      </c>
      <c r="E6807" t="s">
        <v>2296</v>
      </c>
      <c r="F6807" t="s">
        <v>1247</v>
      </c>
      <c r="G6807" t="s">
        <v>516</v>
      </c>
      <c r="H6807" t="s">
        <v>517</v>
      </c>
      <c r="I6807" t="s">
        <v>517</v>
      </c>
      <c r="J6807" t="s">
        <v>60</v>
      </c>
      <c r="K6807" t="s">
        <v>518</v>
      </c>
      <c r="L6807" t="s">
        <v>62</v>
      </c>
      <c r="M6807" t="s">
        <v>518</v>
      </c>
      <c r="N6807" t="s">
        <v>519</v>
      </c>
      <c r="O6807" t="s">
        <v>520</v>
      </c>
      <c r="P6807">
        <v>-20.124502</v>
      </c>
      <c r="Q6807">
        <v>-44.888424000000001</v>
      </c>
      <c r="R6807" s="2" t="str">
        <f>HYPERLINK("https://www.google.com/maps?q=-20.1245020,-44.8884240","Abrir no Google Maps")</f>
        <v>Abrir no Google Maps</v>
      </c>
      <c r="S6807">
        <v>3</v>
      </c>
      <c r="T6807">
        <v>483.42298121929559</v>
      </c>
      <c r="U6807">
        <v>1</v>
      </c>
      <c r="V6807">
        <v>0.1226252130444713</v>
      </c>
      <c r="W6807">
        <v>1</v>
      </c>
      <c r="X6807">
        <v>0.1226252130444713</v>
      </c>
      <c r="Y6807">
        <v>564</v>
      </c>
      <c r="Z6807">
        <v>565.43074237076587</v>
      </c>
      <c r="AA6807">
        <v>198</v>
      </c>
      <c r="AB6807">
        <v>332</v>
      </c>
      <c r="AC6807">
        <v>536</v>
      </c>
      <c r="AD6807">
        <v>28.93</v>
      </c>
      <c r="AE6807">
        <v>542</v>
      </c>
      <c r="AF6807">
        <v>29</v>
      </c>
      <c r="AG6807">
        <v>166</v>
      </c>
      <c r="AH6807">
        <v>129</v>
      </c>
      <c r="AI6807">
        <v>5.35</v>
      </c>
      <c r="AJ6807">
        <v>30.63</v>
      </c>
      <c r="AK6807">
        <v>23.8</v>
      </c>
      <c r="AL6807">
        <v>-20.124624949999941</v>
      </c>
      <c r="AM6807">
        <v>-44.888432821777258</v>
      </c>
      <c r="AN6807">
        <v>-20.124624949999941</v>
      </c>
      <c r="AO6807">
        <v>-44.888432821777258</v>
      </c>
      <c r="AP6807">
        <v>-20.124502</v>
      </c>
      <c r="AQ6807">
        <v>-44.888424000000001</v>
      </c>
      <c r="AR6807">
        <v>13.717819333897451</v>
      </c>
      <c r="AS6807" t="s">
        <v>65</v>
      </c>
      <c r="AT6807">
        <v>1</v>
      </c>
      <c r="AU6807" t="s">
        <v>521</v>
      </c>
      <c r="AV6807" t="s">
        <v>522</v>
      </c>
      <c r="AW6807" t="s">
        <v>60</v>
      </c>
      <c r="AX6807" t="s">
        <v>68</v>
      </c>
      <c r="AY6807" t="s">
        <v>69</v>
      </c>
      <c r="AZ6807" t="b">
        <v>1</v>
      </c>
    </row>
    <row r="6808" spans="1:52" x14ac:dyDescent="0.3">
      <c r="A6808" t="s">
        <v>52</v>
      </c>
      <c r="B6808" t="s">
        <v>53</v>
      </c>
      <c r="C6808" t="s">
        <v>54</v>
      </c>
      <c r="D6808" t="s">
        <v>55</v>
      </c>
      <c r="E6808" t="s">
        <v>2296</v>
      </c>
      <c r="F6808" t="s">
        <v>1247</v>
      </c>
      <c r="G6808" t="s">
        <v>815</v>
      </c>
      <c r="H6808" t="s">
        <v>1404</v>
      </c>
      <c r="I6808" t="s">
        <v>1404</v>
      </c>
      <c r="J6808" t="s">
        <v>60</v>
      </c>
      <c r="K6808" t="s">
        <v>512</v>
      </c>
      <c r="L6808" t="s">
        <v>62</v>
      </c>
      <c r="M6808" t="s">
        <v>512</v>
      </c>
      <c r="N6808" t="s">
        <v>817</v>
      </c>
      <c r="O6808" t="s">
        <v>1405</v>
      </c>
      <c r="P6808">
        <v>-20.129069999999999</v>
      </c>
      <c r="Q6808">
        <v>-44.888452000000001</v>
      </c>
      <c r="R6808" s="2" t="str">
        <f>HYPERLINK("https://www.google.com/maps?q=-20.1290700,-44.8884520","Abrir no Google Maps")</f>
        <v>Abrir no Google Maps</v>
      </c>
      <c r="S6808">
        <v>3</v>
      </c>
      <c r="T6808">
        <v>0</v>
      </c>
      <c r="U6808">
        <v>1</v>
      </c>
      <c r="V6808">
        <v>0.13812580997203469</v>
      </c>
      <c r="W6808">
        <v>0.85</v>
      </c>
      <c r="X6808">
        <v>0.1174069384762295</v>
      </c>
      <c r="Y6808">
        <v>564</v>
      </c>
      <c r="Z6808">
        <v>95.870354837220688</v>
      </c>
      <c r="AA6808">
        <v>198</v>
      </c>
      <c r="AB6808">
        <v>332</v>
      </c>
      <c r="AC6808">
        <v>536</v>
      </c>
      <c r="AD6808">
        <v>28.93</v>
      </c>
      <c r="AE6808">
        <v>542</v>
      </c>
      <c r="AF6808">
        <v>29</v>
      </c>
      <c r="AG6808">
        <v>166</v>
      </c>
      <c r="AH6808">
        <v>129</v>
      </c>
      <c r="AI6808">
        <v>5.35</v>
      </c>
      <c r="AJ6808">
        <v>30.63</v>
      </c>
      <c r="AK6808">
        <v>23.8</v>
      </c>
      <c r="AL6808">
        <v>-20.12899334999997</v>
      </c>
      <c r="AM6808">
        <v>-44.888406102471222</v>
      </c>
      <c r="AN6808">
        <v>-20.12899334999997</v>
      </c>
      <c r="AO6808">
        <v>-44.888406102471222</v>
      </c>
      <c r="AP6808">
        <v>-20.129069999999999</v>
      </c>
      <c r="AQ6808">
        <v>-44.888452000000001</v>
      </c>
      <c r="AR6808">
        <v>9.7887731150376265</v>
      </c>
      <c r="AS6808" t="s">
        <v>65</v>
      </c>
      <c r="AT6808">
        <v>1</v>
      </c>
      <c r="AU6808" t="s">
        <v>1406</v>
      </c>
      <c r="AV6808" t="s">
        <v>1407</v>
      </c>
      <c r="AW6808" t="s">
        <v>60</v>
      </c>
      <c r="AX6808" t="s">
        <v>68</v>
      </c>
      <c r="AY6808" t="s">
        <v>69</v>
      </c>
      <c r="AZ6808" t="b">
        <v>1</v>
      </c>
    </row>
    <row r="6809" spans="1:52" x14ac:dyDescent="0.3">
      <c r="A6809" t="s">
        <v>52</v>
      </c>
      <c r="B6809" t="s">
        <v>53</v>
      </c>
      <c r="C6809" t="s">
        <v>54</v>
      </c>
      <c r="D6809" t="s">
        <v>55</v>
      </c>
      <c r="E6809" t="s">
        <v>2296</v>
      </c>
      <c r="F6809" t="s">
        <v>1247</v>
      </c>
      <c r="G6809" t="s">
        <v>523</v>
      </c>
      <c r="H6809" t="s">
        <v>524</v>
      </c>
      <c r="I6809" t="s">
        <v>524</v>
      </c>
      <c r="J6809" t="s">
        <v>60</v>
      </c>
      <c r="K6809" t="s">
        <v>518</v>
      </c>
      <c r="L6809" t="s">
        <v>62</v>
      </c>
      <c r="M6809" t="s">
        <v>518</v>
      </c>
      <c r="N6809" t="s">
        <v>525</v>
      </c>
      <c r="O6809" t="s">
        <v>331</v>
      </c>
      <c r="P6809">
        <v>-20.126553000000001</v>
      </c>
      <c r="Q6809">
        <v>-44.888599999999997</v>
      </c>
      <c r="R6809" s="2" t="str">
        <f>HYPERLINK("https://www.google.com/maps?q=-20.1265530,-44.8886000","Abrir no Google Maps")</f>
        <v>Abrir no Google Maps</v>
      </c>
      <c r="S6809">
        <v>3</v>
      </c>
      <c r="T6809">
        <v>256.34043440603853</v>
      </c>
      <c r="U6809">
        <v>1</v>
      </c>
      <c r="V6809">
        <v>0.13364416456041001</v>
      </c>
      <c r="W6809">
        <v>1</v>
      </c>
      <c r="X6809">
        <v>0.13364416456041001</v>
      </c>
      <c r="Y6809">
        <v>564</v>
      </c>
      <c r="Z6809">
        <v>325.4404273055876</v>
      </c>
      <c r="AA6809">
        <v>198</v>
      </c>
      <c r="AB6809">
        <v>332</v>
      </c>
      <c r="AC6809">
        <v>536</v>
      </c>
      <c r="AD6809">
        <v>28.93</v>
      </c>
      <c r="AE6809">
        <v>542</v>
      </c>
      <c r="AF6809">
        <v>29</v>
      </c>
      <c r="AG6809">
        <v>166</v>
      </c>
      <c r="AH6809">
        <v>129</v>
      </c>
      <c r="AI6809">
        <v>5.35</v>
      </c>
      <c r="AJ6809">
        <v>30.63</v>
      </c>
      <c r="AK6809">
        <v>23.8</v>
      </c>
      <c r="AL6809">
        <v>-20.12669049999997</v>
      </c>
      <c r="AM6809">
        <v>-44.888671289876577</v>
      </c>
      <c r="AN6809">
        <v>-20.12669049999997</v>
      </c>
      <c r="AO6809">
        <v>-44.888671289876577</v>
      </c>
      <c r="AP6809">
        <v>-20.126553000000001</v>
      </c>
      <c r="AQ6809">
        <v>-44.888599999999997</v>
      </c>
      <c r="AR6809">
        <v>17.023861591720589</v>
      </c>
      <c r="AS6809" t="s">
        <v>65</v>
      </c>
      <c r="AT6809">
        <v>1</v>
      </c>
      <c r="AU6809" t="s">
        <v>526</v>
      </c>
      <c r="AV6809" t="s">
        <v>527</v>
      </c>
      <c r="AW6809" t="s">
        <v>60</v>
      </c>
      <c r="AX6809" t="s">
        <v>68</v>
      </c>
      <c r="AY6809" t="s">
        <v>69</v>
      </c>
      <c r="AZ6809" t="b">
        <v>1</v>
      </c>
    </row>
    <row r="6810" spans="1:52" x14ac:dyDescent="0.3">
      <c r="A6810" t="s">
        <v>52</v>
      </c>
      <c r="B6810" t="s">
        <v>53</v>
      </c>
      <c r="C6810" t="s">
        <v>54</v>
      </c>
      <c r="D6810" t="s">
        <v>55</v>
      </c>
      <c r="E6810" t="s">
        <v>2296</v>
      </c>
      <c r="F6810" t="s">
        <v>1247</v>
      </c>
      <c r="G6810" t="s">
        <v>649</v>
      </c>
      <c r="H6810" t="s">
        <v>885</v>
      </c>
      <c r="I6810" t="s">
        <v>885</v>
      </c>
      <c r="J6810" t="s">
        <v>60</v>
      </c>
      <c r="K6810" t="s">
        <v>886</v>
      </c>
      <c r="L6810" t="s">
        <v>62</v>
      </c>
      <c r="M6810" t="s">
        <v>886</v>
      </c>
      <c r="N6810" t="s">
        <v>652</v>
      </c>
      <c r="O6810" t="s">
        <v>887</v>
      </c>
      <c r="P6810">
        <v>-20.132252000000001</v>
      </c>
      <c r="Q6810">
        <v>-44.894159000000002</v>
      </c>
      <c r="R6810" s="2" t="str">
        <f>HYPERLINK("https://www.google.com/maps?q=-20.1322520,-44.8941590","Abrir no Google Maps")</f>
        <v>Abrir no Google Maps</v>
      </c>
      <c r="S6810">
        <v>3</v>
      </c>
      <c r="T6810">
        <v>699.5004749448899</v>
      </c>
      <c r="U6810">
        <v>1</v>
      </c>
      <c r="V6810">
        <v>0.1235518292682926</v>
      </c>
      <c r="W6810">
        <v>0.85</v>
      </c>
      <c r="X6810">
        <v>0.1050190548780487</v>
      </c>
      <c r="Y6810">
        <v>564</v>
      </c>
      <c r="Z6810">
        <v>522.21103586457991</v>
      </c>
      <c r="AA6810">
        <v>198</v>
      </c>
      <c r="AB6810">
        <v>332</v>
      </c>
      <c r="AC6810">
        <v>536</v>
      </c>
      <c r="AD6810">
        <v>28.93</v>
      </c>
      <c r="AE6810">
        <v>542</v>
      </c>
      <c r="AF6810">
        <v>29</v>
      </c>
      <c r="AG6810">
        <v>166</v>
      </c>
      <c r="AH6810">
        <v>129</v>
      </c>
      <c r="AI6810">
        <v>5.35</v>
      </c>
      <c r="AJ6810">
        <v>30.63</v>
      </c>
      <c r="AK6810">
        <v>23.8</v>
      </c>
      <c r="AL6810">
        <v>-20.132285999999969</v>
      </c>
      <c r="AM6810">
        <v>-44.894119001288672</v>
      </c>
      <c r="AN6810">
        <v>-20.132285999999969</v>
      </c>
      <c r="AO6810">
        <v>-44.894119001288672</v>
      </c>
      <c r="AP6810">
        <v>-20.132252000000001</v>
      </c>
      <c r="AQ6810">
        <v>-44.894159000000002</v>
      </c>
      <c r="AR6810">
        <v>5.6393921063261629</v>
      </c>
      <c r="AS6810" t="s">
        <v>65</v>
      </c>
      <c r="AT6810">
        <v>1</v>
      </c>
      <c r="AU6810" t="s">
        <v>888</v>
      </c>
      <c r="AV6810" t="s">
        <v>889</v>
      </c>
      <c r="AW6810" t="s">
        <v>60</v>
      </c>
      <c r="AX6810" t="s">
        <v>68</v>
      </c>
      <c r="AY6810" t="s">
        <v>69</v>
      </c>
      <c r="AZ6810" t="b">
        <v>1</v>
      </c>
    </row>
    <row r="6811" spans="1:52" x14ac:dyDescent="0.3">
      <c r="A6811" t="s">
        <v>52</v>
      </c>
      <c r="B6811" t="s">
        <v>53</v>
      </c>
      <c r="C6811" t="s">
        <v>54</v>
      </c>
      <c r="D6811" t="s">
        <v>55</v>
      </c>
      <c r="E6811" t="s">
        <v>2296</v>
      </c>
      <c r="F6811" t="s">
        <v>1247</v>
      </c>
      <c r="G6811" t="s">
        <v>528</v>
      </c>
      <c r="H6811" t="s">
        <v>529</v>
      </c>
      <c r="I6811" t="s">
        <v>529</v>
      </c>
      <c r="J6811" t="s">
        <v>60</v>
      </c>
      <c r="K6811" t="s">
        <v>530</v>
      </c>
      <c r="L6811" t="s">
        <v>62</v>
      </c>
      <c r="M6811" t="s">
        <v>530</v>
      </c>
      <c r="N6811" t="s">
        <v>531</v>
      </c>
      <c r="O6811" t="s">
        <v>532</v>
      </c>
      <c r="P6811">
        <v>-20.142457</v>
      </c>
      <c r="Q6811">
        <v>-44.891688000000002</v>
      </c>
      <c r="R6811" s="2" t="str">
        <f>HYPERLINK("https://www.google.com/maps?q=-20.1424570,-44.8916880","Abrir no Google Maps")</f>
        <v>Abrir no Google Maps</v>
      </c>
      <c r="S6811">
        <v>3</v>
      </c>
      <c r="T6811">
        <v>0</v>
      </c>
      <c r="U6811">
        <v>1</v>
      </c>
      <c r="V6811">
        <v>0.13117417166685541</v>
      </c>
      <c r="W6811">
        <v>1</v>
      </c>
      <c r="X6811">
        <v>0.13117417166685541</v>
      </c>
      <c r="Y6811">
        <v>557</v>
      </c>
      <c r="Z6811">
        <v>42.611952255679803</v>
      </c>
      <c r="AA6811">
        <v>198</v>
      </c>
      <c r="AB6811">
        <v>332</v>
      </c>
      <c r="AC6811">
        <v>536</v>
      </c>
      <c r="AD6811">
        <v>28.93</v>
      </c>
      <c r="AE6811">
        <v>542</v>
      </c>
      <c r="AF6811">
        <v>29</v>
      </c>
      <c r="AG6811">
        <v>166</v>
      </c>
      <c r="AH6811">
        <v>129</v>
      </c>
      <c r="AI6811">
        <v>5.35</v>
      </c>
      <c r="AJ6811">
        <v>30.63</v>
      </c>
      <c r="AK6811">
        <v>23.8</v>
      </c>
      <c r="AL6811">
        <v>-20.142523099999948</v>
      </c>
      <c r="AM6811">
        <v>-44.891523817588819</v>
      </c>
      <c r="AN6811">
        <v>-20.142523099999948</v>
      </c>
      <c r="AO6811">
        <v>-44.891523817588819</v>
      </c>
      <c r="AP6811">
        <v>-20.142457</v>
      </c>
      <c r="AQ6811">
        <v>-44.891688000000002</v>
      </c>
      <c r="AR6811">
        <v>18.670129248632971</v>
      </c>
      <c r="AS6811" t="s">
        <v>65</v>
      </c>
      <c r="AT6811">
        <v>1</v>
      </c>
      <c r="AU6811" t="s">
        <v>533</v>
      </c>
      <c r="AV6811" t="s">
        <v>534</v>
      </c>
      <c r="AW6811" t="s">
        <v>60</v>
      </c>
      <c r="AX6811" t="s">
        <v>68</v>
      </c>
      <c r="AY6811" t="s">
        <v>69</v>
      </c>
      <c r="AZ6811" t="b">
        <v>1</v>
      </c>
    </row>
    <row r="6812" spans="1:52" x14ac:dyDescent="0.3">
      <c r="A6812" t="s">
        <v>52</v>
      </c>
      <c r="B6812" t="s">
        <v>53</v>
      </c>
      <c r="C6812" t="s">
        <v>54</v>
      </c>
      <c r="D6812" t="s">
        <v>55</v>
      </c>
      <c r="E6812" t="s">
        <v>2296</v>
      </c>
      <c r="F6812" t="s">
        <v>1247</v>
      </c>
      <c r="G6812" t="s">
        <v>562</v>
      </c>
      <c r="H6812" t="s">
        <v>563</v>
      </c>
      <c r="I6812" t="s">
        <v>563</v>
      </c>
      <c r="J6812" t="s">
        <v>60</v>
      </c>
      <c r="K6812" t="s">
        <v>388</v>
      </c>
      <c r="L6812" t="s">
        <v>62</v>
      </c>
      <c r="M6812" t="s">
        <v>388</v>
      </c>
      <c r="N6812" t="s">
        <v>564</v>
      </c>
      <c r="O6812" t="s">
        <v>565</v>
      </c>
      <c r="P6812">
        <v>-20.154432</v>
      </c>
      <c r="Q6812">
        <v>-44.902977999999997</v>
      </c>
      <c r="R6812" s="2" t="str">
        <f>HYPERLINK("https://www.google.com/maps?q=-20.1544320,-44.9029780","Abrir no Google Maps")</f>
        <v>Abrir no Google Maps</v>
      </c>
      <c r="S6812">
        <v>3</v>
      </c>
      <c r="T6812">
        <v>0</v>
      </c>
      <c r="U6812">
        <v>1</v>
      </c>
      <c r="V6812">
        <v>0.1332539189544068</v>
      </c>
      <c r="W6812">
        <v>1</v>
      </c>
      <c r="X6812">
        <v>0.1332539189544068</v>
      </c>
      <c r="Y6812">
        <v>548</v>
      </c>
      <c r="Z6812">
        <v>29.424211042533759</v>
      </c>
      <c r="AA6812">
        <v>198</v>
      </c>
      <c r="AB6812">
        <v>332</v>
      </c>
      <c r="AC6812">
        <v>536</v>
      </c>
      <c r="AD6812">
        <v>28.93</v>
      </c>
      <c r="AE6812">
        <v>542</v>
      </c>
      <c r="AF6812">
        <v>29</v>
      </c>
      <c r="AG6812">
        <v>166</v>
      </c>
      <c r="AH6812">
        <v>129</v>
      </c>
      <c r="AI6812">
        <v>5.35</v>
      </c>
      <c r="AJ6812">
        <v>30.63</v>
      </c>
      <c r="AK6812">
        <v>23.8</v>
      </c>
      <c r="AL6812">
        <v>-20.15467689999997</v>
      </c>
      <c r="AM6812">
        <v>-44.902895281771222</v>
      </c>
      <c r="AN6812">
        <v>-20.15467689999997</v>
      </c>
      <c r="AO6812">
        <v>-44.902895281771222</v>
      </c>
      <c r="AP6812">
        <v>-20.154432</v>
      </c>
      <c r="AQ6812">
        <v>-44.902977999999997</v>
      </c>
      <c r="AR6812">
        <v>28.5999270636025</v>
      </c>
      <c r="AS6812" t="s">
        <v>65</v>
      </c>
      <c r="AT6812">
        <v>1</v>
      </c>
      <c r="AU6812" t="s">
        <v>566</v>
      </c>
      <c r="AV6812" t="s">
        <v>567</v>
      </c>
      <c r="AW6812" t="s">
        <v>60</v>
      </c>
      <c r="AX6812" t="s">
        <v>68</v>
      </c>
      <c r="AY6812" t="s">
        <v>69</v>
      </c>
      <c r="AZ6812" t="b">
        <v>1</v>
      </c>
    </row>
    <row r="6813" spans="1:52" x14ac:dyDescent="0.3">
      <c r="A6813" t="s">
        <v>52</v>
      </c>
      <c r="B6813" t="s">
        <v>53</v>
      </c>
      <c r="C6813" t="s">
        <v>54</v>
      </c>
      <c r="D6813" t="s">
        <v>55</v>
      </c>
      <c r="E6813" t="s">
        <v>2296</v>
      </c>
      <c r="F6813" t="s">
        <v>1247</v>
      </c>
      <c r="G6813" t="s">
        <v>568</v>
      </c>
      <c r="H6813" t="s">
        <v>569</v>
      </c>
      <c r="I6813" t="s">
        <v>569</v>
      </c>
      <c r="J6813" t="s">
        <v>60</v>
      </c>
      <c r="K6813" t="s">
        <v>61</v>
      </c>
      <c r="L6813" t="s">
        <v>62</v>
      </c>
      <c r="M6813" t="s">
        <v>61</v>
      </c>
      <c r="N6813" t="s">
        <v>570</v>
      </c>
      <c r="O6813" t="s">
        <v>548</v>
      </c>
      <c r="P6813">
        <v>-20.151508</v>
      </c>
      <c r="Q6813">
        <v>-44.907826</v>
      </c>
      <c r="R6813" s="2" t="str">
        <f>HYPERLINK("https://www.google.com/maps?q=-20.1515080,-44.9078260","Abrir no Google Maps")</f>
        <v>Abrir no Google Maps</v>
      </c>
      <c r="S6813">
        <v>3</v>
      </c>
      <c r="T6813">
        <v>567.15905416240514</v>
      </c>
      <c r="U6813">
        <v>1</v>
      </c>
      <c r="V6813">
        <v>0.1071969696969696</v>
      </c>
      <c r="W6813">
        <v>0.85</v>
      </c>
      <c r="X6813">
        <v>9.1117424242424153E-2</v>
      </c>
      <c r="Y6813">
        <v>548</v>
      </c>
      <c r="Z6813">
        <v>560.49158010771464</v>
      </c>
      <c r="AA6813">
        <v>198</v>
      </c>
      <c r="AB6813">
        <v>332</v>
      </c>
      <c r="AC6813">
        <v>536</v>
      </c>
      <c r="AD6813">
        <v>28.93</v>
      </c>
      <c r="AE6813">
        <v>542</v>
      </c>
      <c r="AF6813">
        <v>29</v>
      </c>
      <c r="AG6813">
        <v>166</v>
      </c>
      <c r="AH6813">
        <v>129</v>
      </c>
      <c r="AI6813">
        <v>5.35</v>
      </c>
      <c r="AJ6813">
        <v>30.63</v>
      </c>
      <c r="AK6813">
        <v>23.8</v>
      </c>
      <c r="AL6813">
        <v>-20.15211779999996</v>
      </c>
      <c r="AM6813">
        <v>-44.907597469593128</v>
      </c>
      <c r="AN6813">
        <v>-20.15211779999996</v>
      </c>
      <c r="AO6813">
        <v>-44.907597469593128</v>
      </c>
      <c r="AP6813">
        <v>-20.151508</v>
      </c>
      <c r="AQ6813">
        <v>-44.907826</v>
      </c>
      <c r="AR6813">
        <v>71.961597929314735</v>
      </c>
      <c r="AS6813" t="s">
        <v>65</v>
      </c>
      <c r="AT6813">
        <v>1</v>
      </c>
      <c r="AU6813" t="s">
        <v>571</v>
      </c>
      <c r="AV6813" t="s">
        <v>572</v>
      </c>
      <c r="AW6813" t="s">
        <v>60</v>
      </c>
      <c r="AX6813" t="s">
        <v>68</v>
      </c>
      <c r="AY6813" t="s">
        <v>69</v>
      </c>
      <c r="AZ6813" t="b">
        <v>1</v>
      </c>
    </row>
    <row r="6814" spans="1:52" x14ac:dyDescent="0.3">
      <c r="A6814" t="s">
        <v>52</v>
      </c>
      <c r="B6814" t="s">
        <v>53</v>
      </c>
      <c r="C6814" t="s">
        <v>54</v>
      </c>
      <c r="D6814" t="s">
        <v>55</v>
      </c>
      <c r="E6814" t="s">
        <v>2296</v>
      </c>
      <c r="F6814" t="s">
        <v>1247</v>
      </c>
      <c r="G6814" t="s">
        <v>1547</v>
      </c>
      <c r="H6814" t="s">
        <v>1548</v>
      </c>
      <c r="I6814" t="s">
        <v>1548</v>
      </c>
      <c r="J6814" t="s">
        <v>60</v>
      </c>
      <c r="K6814" t="s">
        <v>1549</v>
      </c>
      <c r="L6814" t="s">
        <v>62</v>
      </c>
      <c r="M6814" t="s">
        <v>1549</v>
      </c>
      <c r="N6814" t="s">
        <v>1550</v>
      </c>
      <c r="O6814" t="s">
        <v>1551</v>
      </c>
      <c r="P6814">
        <v>-20.173258000000001</v>
      </c>
      <c r="Q6814">
        <v>-44.930354000000001</v>
      </c>
      <c r="R6814" s="2" t="str">
        <f>HYPERLINK("https://www.google.com/maps?q=-20.1732580,-44.9303540","Abrir no Google Maps")</f>
        <v>Abrir no Google Maps</v>
      </c>
      <c r="S6814">
        <v>2</v>
      </c>
      <c r="T6814">
        <v>2023.802197028052</v>
      </c>
      <c r="U6814">
        <v>4</v>
      </c>
      <c r="V6814">
        <v>0.2645903479236813</v>
      </c>
      <c r="W6814">
        <v>0.85</v>
      </c>
      <c r="X6814">
        <v>0.22490179573512911</v>
      </c>
      <c r="Y6814">
        <v>723</v>
      </c>
      <c r="Z6814">
        <v>1727.7445576555911</v>
      </c>
      <c r="AA6814">
        <v>198</v>
      </c>
      <c r="AB6814">
        <v>332</v>
      </c>
      <c r="AC6814">
        <v>536</v>
      </c>
      <c r="AD6814">
        <v>28.93</v>
      </c>
      <c r="AE6814">
        <v>542</v>
      </c>
      <c r="AF6814">
        <v>29</v>
      </c>
      <c r="AG6814">
        <v>166</v>
      </c>
      <c r="AH6814">
        <v>129</v>
      </c>
      <c r="AI6814">
        <v>5.35</v>
      </c>
      <c r="AJ6814">
        <v>30.63</v>
      </c>
      <c r="AK6814">
        <v>23.8</v>
      </c>
      <c r="AL6814">
        <v>-20.172996449999939</v>
      </c>
      <c r="AM6814">
        <v>-44.930058436825973</v>
      </c>
      <c r="AN6814">
        <v>-20.172996449999939</v>
      </c>
      <c r="AO6814">
        <v>-44.930058436825973</v>
      </c>
      <c r="AP6814">
        <v>-20.173258000000001</v>
      </c>
      <c r="AQ6814">
        <v>-44.930354000000001</v>
      </c>
      <c r="AR6814">
        <v>42.444455141884362</v>
      </c>
      <c r="AS6814" t="s">
        <v>65</v>
      </c>
      <c r="AT6814">
        <v>1</v>
      </c>
      <c r="AU6814" t="s">
        <v>1552</v>
      </c>
      <c r="AV6814" t="s">
        <v>1553</v>
      </c>
      <c r="AW6814" t="s">
        <v>60</v>
      </c>
      <c r="AX6814" t="s">
        <v>68</v>
      </c>
      <c r="AY6814" t="s">
        <v>69</v>
      </c>
      <c r="AZ6814" t="b">
        <v>1</v>
      </c>
    </row>
    <row r="6815" spans="1:52" x14ac:dyDescent="0.3">
      <c r="A6815" t="s">
        <v>52</v>
      </c>
      <c r="B6815" t="s">
        <v>53</v>
      </c>
      <c r="C6815" t="s">
        <v>54</v>
      </c>
      <c r="D6815" t="s">
        <v>55</v>
      </c>
      <c r="E6815" t="s">
        <v>2296</v>
      </c>
      <c r="F6815" t="s">
        <v>1247</v>
      </c>
      <c r="G6815" t="s">
        <v>1512</v>
      </c>
      <c r="H6815" t="s">
        <v>1513</v>
      </c>
      <c r="I6815" t="s">
        <v>1513</v>
      </c>
      <c r="J6815" t="s">
        <v>60</v>
      </c>
      <c r="K6815" t="s">
        <v>1302</v>
      </c>
      <c r="L6815" t="s">
        <v>62</v>
      </c>
      <c r="M6815" t="s">
        <v>1302</v>
      </c>
      <c r="N6815" t="s">
        <v>1514</v>
      </c>
      <c r="O6815" t="s">
        <v>1515</v>
      </c>
      <c r="P6815">
        <v>-20.163709000000001</v>
      </c>
      <c r="Q6815">
        <v>-44.916074999999999</v>
      </c>
      <c r="R6815" s="2" t="str">
        <f>HYPERLINK("https://www.google.com/maps?q=-20.1637090,-44.9160750","Abrir no Google Maps")</f>
        <v>Abrir no Google Maps</v>
      </c>
      <c r="S6815">
        <v>2</v>
      </c>
      <c r="T6815">
        <v>305.09593452131332</v>
      </c>
      <c r="U6815">
        <v>4</v>
      </c>
      <c r="V6815">
        <v>0.2274269541048064</v>
      </c>
      <c r="W6815">
        <v>1</v>
      </c>
      <c r="X6815">
        <v>0.2274269541048064</v>
      </c>
      <c r="Y6815">
        <v>639</v>
      </c>
      <c r="Z6815">
        <v>289.37841230131949</v>
      </c>
      <c r="AA6815">
        <v>198</v>
      </c>
      <c r="AB6815">
        <v>332</v>
      </c>
      <c r="AC6815">
        <v>536</v>
      </c>
      <c r="AD6815">
        <v>28.93</v>
      </c>
      <c r="AE6815">
        <v>542</v>
      </c>
      <c r="AF6815">
        <v>29</v>
      </c>
      <c r="AG6815">
        <v>166</v>
      </c>
      <c r="AH6815">
        <v>129</v>
      </c>
      <c r="AI6815">
        <v>5.35</v>
      </c>
      <c r="AJ6815">
        <v>30.63</v>
      </c>
      <c r="AK6815">
        <v>23.8</v>
      </c>
      <c r="AL6815">
        <v>-20.163666449999969</v>
      </c>
      <c r="AM6815">
        <v>-44.916102906827042</v>
      </c>
      <c r="AN6815">
        <v>-20.163666449999969</v>
      </c>
      <c r="AO6815">
        <v>-44.916102906827042</v>
      </c>
      <c r="AP6815">
        <v>-20.163709000000001</v>
      </c>
      <c r="AQ6815">
        <v>-44.916074999999999</v>
      </c>
      <c r="AR6815">
        <v>5.5623892025550603</v>
      </c>
      <c r="AS6815" t="s">
        <v>65</v>
      </c>
      <c r="AT6815">
        <v>1</v>
      </c>
      <c r="AU6815" t="s">
        <v>1516</v>
      </c>
      <c r="AV6815" t="s">
        <v>1517</v>
      </c>
      <c r="AW6815" t="s">
        <v>60</v>
      </c>
      <c r="AX6815" t="s">
        <v>68</v>
      </c>
      <c r="AY6815" t="s">
        <v>69</v>
      </c>
      <c r="AZ6815" t="b">
        <v>1</v>
      </c>
    </row>
    <row r="6816" spans="1:52" x14ac:dyDescent="0.3">
      <c r="A6816" t="s">
        <v>52</v>
      </c>
      <c r="B6816" t="s">
        <v>53</v>
      </c>
      <c r="C6816" t="s">
        <v>54</v>
      </c>
      <c r="D6816" t="s">
        <v>55</v>
      </c>
      <c r="E6816" t="s">
        <v>2296</v>
      </c>
      <c r="F6816" t="s">
        <v>1247</v>
      </c>
      <c r="G6816" t="s">
        <v>1524</v>
      </c>
      <c r="H6816" t="s">
        <v>1525</v>
      </c>
      <c r="I6816" t="s">
        <v>1525</v>
      </c>
      <c r="J6816" t="s">
        <v>60</v>
      </c>
      <c r="K6816" t="s">
        <v>1302</v>
      </c>
      <c r="L6816" t="s">
        <v>62</v>
      </c>
      <c r="M6816" t="s">
        <v>1302</v>
      </c>
      <c r="N6816" t="s">
        <v>1526</v>
      </c>
      <c r="O6816" t="s">
        <v>303</v>
      </c>
      <c r="P6816">
        <v>-20.159873000000001</v>
      </c>
      <c r="Q6816">
        <v>-44.911431999999998</v>
      </c>
      <c r="R6816" s="2" t="str">
        <f>HYPERLINK("https://www.google.com/maps?q=-20.1598730,-44.9114320","Abrir no Google Maps")</f>
        <v>Abrir no Google Maps</v>
      </c>
      <c r="S6816">
        <v>2</v>
      </c>
      <c r="T6816">
        <v>359.34785817593553</v>
      </c>
      <c r="U6816">
        <v>4</v>
      </c>
      <c r="V6816">
        <v>0.2208946078431373</v>
      </c>
      <c r="W6816">
        <v>1</v>
      </c>
      <c r="X6816">
        <v>0.2208946078431373</v>
      </c>
      <c r="Y6816">
        <v>639</v>
      </c>
      <c r="Z6816">
        <v>388.13505700247691</v>
      </c>
      <c r="AA6816">
        <v>198</v>
      </c>
      <c r="AB6816">
        <v>332</v>
      </c>
      <c r="AC6816">
        <v>536</v>
      </c>
      <c r="AD6816">
        <v>28.93</v>
      </c>
      <c r="AE6816">
        <v>542</v>
      </c>
      <c r="AF6816">
        <v>29</v>
      </c>
      <c r="AG6816">
        <v>166</v>
      </c>
      <c r="AH6816">
        <v>129</v>
      </c>
      <c r="AI6816">
        <v>5.35</v>
      </c>
      <c r="AJ6816">
        <v>30.63</v>
      </c>
      <c r="AK6816">
        <v>23.8</v>
      </c>
      <c r="AL6816">
        <v>-20.159583599999969</v>
      </c>
      <c r="AM6816">
        <v>-44.911691929105316</v>
      </c>
      <c r="AN6816">
        <v>-20.159583599999969</v>
      </c>
      <c r="AO6816">
        <v>-44.911691929105316</v>
      </c>
      <c r="AP6816">
        <v>-20.159873000000001</v>
      </c>
      <c r="AQ6816">
        <v>-44.911431999999998</v>
      </c>
      <c r="AR6816">
        <v>42.138811218570019</v>
      </c>
      <c r="AS6816" t="s">
        <v>65</v>
      </c>
      <c r="AT6816">
        <v>1</v>
      </c>
      <c r="AU6816" t="s">
        <v>1527</v>
      </c>
      <c r="AV6816" t="s">
        <v>1528</v>
      </c>
      <c r="AW6816" t="s">
        <v>60</v>
      </c>
      <c r="AX6816" t="s">
        <v>68</v>
      </c>
      <c r="AY6816" t="s">
        <v>69</v>
      </c>
      <c r="AZ6816" t="b">
        <v>1</v>
      </c>
    </row>
    <row r="6817" spans="1:52" x14ac:dyDescent="0.3">
      <c r="A6817" t="s">
        <v>52</v>
      </c>
      <c r="B6817" t="s">
        <v>53</v>
      </c>
      <c r="C6817" t="s">
        <v>54</v>
      </c>
      <c r="D6817" t="s">
        <v>55</v>
      </c>
      <c r="E6817" t="s">
        <v>2296</v>
      </c>
      <c r="F6817" t="s">
        <v>1247</v>
      </c>
      <c r="G6817" t="s">
        <v>1559</v>
      </c>
      <c r="H6817" t="s">
        <v>1560</v>
      </c>
      <c r="I6817" t="s">
        <v>1560</v>
      </c>
      <c r="J6817" t="s">
        <v>60</v>
      </c>
      <c r="K6817" t="s">
        <v>61</v>
      </c>
      <c r="L6817" t="s">
        <v>62</v>
      </c>
      <c r="M6817" t="s">
        <v>61</v>
      </c>
      <c r="N6817" t="s">
        <v>1561</v>
      </c>
      <c r="O6817" t="s">
        <v>1562</v>
      </c>
      <c r="P6817">
        <v>-20.154959000000002</v>
      </c>
      <c r="Q6817">
        <v>-44.91525</v>
      </c>
      <c r="R6817" s="2" t="str">
        <f>HYPERLINK("https://www.google.com/maps?q=-20.1549590,-44.9152500","Abrir no Google Maps")</f>
        <v>Abrir no Google Maps</v>
      </c>
      <c r="S6817">
        <v>2</v>
      </c>
      <c r="T6817">
        <v>738.36411213380245</v>
      </c>
      <c r="U6817">
        <v>4</v>
      </c>
      <c r="V6817">
        <v>0.88749999999999996</v>
      </c>
      <c r="W6817">
        <v>0.85</v>
      </c>
      <c r="X6817">
        <v>0.75437499999999991</v>
      </c>
      <c r="Y6817">
        <v>639</v>
      </c>
      <c r="Z6817">
        <v>860.82840850294542</v>
      </c>
      <c r="AA6817">
        <v>198</v>
      </c>
      <c r="AB6817">
        <v>332</v>
      </c>
      <c r="AC6817">
        <v>536</v>
      </c>
      <c r="AD6817">
        <v>28.93</v>
      </c>
      <c r="AE6817">
        <v>542</v>
      </c>
      <c r="AF6817">
        <v>29</v>
      </c>
      <c r="AG6817">
        <v>166</v>
      </c>
      <c r="AH6817">
        <v>129</v>
      </c>
      <c r="AI6817">
        <v>5.35</v>
      </c>
      <c r="AJ6817">
        <v>30.63</v>
      </c>
      <c r="AK6817">
        <v>23.8</v>
      </c>
      <c r="AL6817">
        <v>-20.154629849999939</v>
      </c>
      <c r="AM6817">
        <v>-44.914951620624052</v>
      </c>
      <c r="AN6817">
        <v>-20.154629849999939</v>
      </c>
      <c r="AO6817">
        <v>-44.914951620624052</v>
      </c>
      <c r="AP6817">
        <v>-20.154959000000002</v>
      </c>
      <c r="AQ6817">
        <v>-44.91525</v>
      </c>
      <c r="AR6817">
        <v>48.11297170616912</v>
      </c>
      <c r="AS6817" t="s">
        <v>65</v>
      </c>
      <c r="AT6817">
        <v>1</v>
      </c>
      <c r="AU6817" t="s">
        <v>1563</v>
      </c>
      <c r="AV6817" t="s">
        <v>1564</v>
      </c>
      <c r="AW6817" t="s">
        <v>60</v>
      </c>
      <c r="AX6817" t="s">
        <v>68</v>
      </c>
      <c r="AY6817" t="s">
        <v>69</v>
      </c>
      <c r="AZ6817" t="b">
        <v>1</v>
      </c>
    </row>
    <row r="6818" spans="1:52" x14ac:dyDescent="0.3">
      <c r="A6818" t="s">
        <v>52</v>
      </c>
      <c r="B6818" t="s">
        <v>53</v>
      </c>
      <c r="C6818" t="s">
        <v>54</v>
      </c>
      <c r="D6818" t="s">
        <v>55</v>
      </c>
      <c r="E6818" t="s">
        <v>2296</v>
      </c>
      <c r="F6818" t="s">
        <v>1247</v>
      </c>
      <c r="G6818" t="s">
        <v>1464</v>
      </c>
      <c r="H6818" t="s">
        <v>1485</v>
      </c>
      <c r="I6818" t="s">
        <v>1485</v>
      </c>
      <c r="J6818" t="s">
        <v>60</v>
      </c>
      <c r="K6818" t="s">
        <v>1486</v>
      </c>
      <c r="L6818" t="s">
        <v>62</v>
      </c>
      <c r="M6818" t="s">
        <v>1486</v>
      </c>
      <c r="N6818" t="s">
        <v>1467</v>
      </c>
      <c r="O6818" t="s">
        <v>1487</v>
      </c>
      <c r="P6818">
        <v>-20.162842000000001</v>
      </c>
      <c r="Q6818">
        <v>-44.883769999999998</v>
      </c>
      <c r="R6818" s="2" t="str">
        <f>HYPERLINK("https://www.google.com/maps?q=-20.1628420,-44.8837700","Abrir no Google Maps")</f>
        <v>Abrir no Google Maps</v>
      </c>
      <c r="S6818">
        <v>2</v>
      </c>
      <c r="T6818">
        <v>659.67909450906006</v>
      </c>
      <c r="U6818">
        <v>3</v>
      </c>
      <c r="V6818">
        <v>0.15922803366594079</v>
      </c>
      <c r="W6818">
        <v>1</v>
      </c>
      <c r="X6818">
        <v>0.15922803366594079</v>
      </c>
      <c r="Y6818">
        <v>671</v>
      </c>
      <c r="Z6818">
        <v>566.23107864368092</v>
      </c>
      <c r="AA6818">
        <v>198</v>
      </c>
      <c r="AB6818">
        <v>332</v>
      </c>
      <c r="AC6818">
        <v>536</v>
      </c>
      <c r="AD6818">
        <v>28.93</v>
      </c>
      <c r="AE6818">
        <v>542</v>
      </c>
      <c r="AF6818">
        <v>29</v>
      </c>
      <c r="AG6818">
        <v>166</v>
      </c>
      <c r="AH6818">
        <v>129</v>
      </c>
      <c r="AI6818">
        <v>5.35</v>
      </c>
      <c r="AJ6818">
        <v>30.63</v>
      </c>
      <c r="AK6818">
        <v>23.8</v>
      </c>
      <c r="AL6818">
        <v>-20.162791299999949</v>
      </c>
      <c r="AM6818">
        <v>-44.883966852092939</v>
      </c>
      <c r="AN6818">
        <v>-20.162791299999949</v>
      </c>
      <c r="AO6818">
        <v>-44.883966852092939</v>
      </c>
      <c r="AP6818">
        <v>-20.162842000000001</v>
      </c>
      <c r="AQ6818">
        <v>-44.883769999999998</v>
      </c>
      <c r="AR6818">
        <v>21.33085532825611</v>
      </c>
      <c r="AS6818" t="s">
        <v>65</v>
      </c>
      <c r="AT6818">
        <v>1</v>
      </c>
      <c r="AU6818" t="s">
        <v>1488</v>
      </c>
      <c r="AV6818" t="s">
        <v>1489</v>
      </c>
      <c r="AW6818" t="s">
        <v>60</v>
      </c>
      <c r="AX6818" t="s">
        <v>68</v>
      </c>
      <c r="AY6818" t="s">
        <v>69</v>
      </c>
      <c r="AZ6818" t="b">
        <v>1</v>
      </c>
    </row>
    <row r="6819" spans="1:52" x14ac:dyDescent="0.3">
      <c r="A6819" t="s">
        <v>52</v>
      </c>
      <c r="B6819" t="s">
        <v>53</v>
      </c>
      <c r="C6819" t="s">
        <v>54</v>
      </c>
      <c r="D6819" t="s">
        <v>55</v>
      </c>
      <c r="E6819" t="s">
        <v>2296</v>
      </c>
      <c r="F6819" t="s">
        <v>1247</v>
      </c>
      <c r="G6819" t="s">
        <v>1490</v>
      </c>
      <c r="H6819" t="s">
        <v>1491</v>
      </c>
      <c r="I6819" t="s">
        <v>1491</v>
      </c>
      <c r="J6819" t="s">
        <v>60</v>
      </c>
      <c r="K6819" t="s">
        <v>336</v>
      </c>
      <c r="L6819" t="s">
        <v>62</v>
      </c>
      <c r="M6819" t="s">
        <v>336</v>
      </c>
      <c r="N6819" t="s">
        <v>1492</v>
      </c>
      <c r="O6819" t="s">
        <v>842</v>
      </c>
      <c r="P6819">
        <v>-20.164228999999999</v>
      </c>
      <c r="Q6819">
        <v>-44.876455999999997</v>
      </c>
      <c r="R6819" s="2" t="str">
        <f>HYPERLINK("https://www.google.com/maps?q=-20.1642290,-44.8764560","Abrir no Google Maps")</f>
        <v>Abrir no Google Maps</v>
      </c>
      <c r="S6819">
        <v>2</v>
      </c>
      <c r="T6819">
        <v>420.00990411628987</v>
      </c>
      <c r="U6819">
        <v>3</v>
      </c>
      <c r="V6819">
        <v>0.15950364461970479</v>
      </c>
      <c r="W6819">
        <v>1</v>
      </c>
      <c r="X6819">
        <v>0.15950364461970479</v>
      </c>
      <c r="Y6819">
        <v>671</v>
      </c>
      <c r="Z6819">
        <v>375.90194920648611</v>
      </c>
      <c r="AA6819">
        <v>198</v>
      </c>
      <c r="AB6819">
        <v>332</v>
      </c>
      <c r="AC6819">
        <v>536</v>
      </c>
      <c r="AD6819">
        <v>28.93</v>
      </c>
      <c r="AE6819">
        <v>542</v>
      </c>
      <c r="AF6819">
        <v>29</v>
      </c>
      <c r="AG6819">
        <v>166</v>
      </c>
      <c r="AH6819">
        <v>129</v>
      </c>
      <c r="AI6819">
        <v>5.35</v>
      </c>
      <c r="AJ6819">
        <v>30.63</v>
      </c>
      <c r="AK6819">
        <v>23.8</v>
      </c>
      <c r="AL6819">
        <v>-20.164255749999938</v>
      </c>
      <c r="AM6819">
        <v>-44.876471676086922</v>
      </c>
      <c r="AN6819">
        <v>-20.164255749999938</v>
      </c>
      <c r="AO6819">
        <v>-44.876471676086922</v>
      </c>
      <c r="AP6819">
        <v>-20.164228999999999</v>
      </c>
      <c r="AQ6819">
        <v>-44.876455999999997</v>
      </c>
      <c r="AR6819">
        <v>3.3986375813953771</v>
      </c>
      <c r="AS6819" t="s">
        <v>65</v>
      </c>
      <c r="AT6819">
        <v>1</v>
      </c>
      <c r="AU6819" t="s">
        <v>1493</v>
      </c>
      <c r="AV6819" t="s">
        <v>1494</v>
      </c>
      <c r="AW6819" t="s">
        <v>60</v>
      </c>
      <c r="AX6819" t="s">
        <v>68</v>
      </c>
      <c r="AY6819" t="s">
        <v>69</v>
      </c>
      <c r="AZ6819" t="b">
        <v>1</v>
      </c>
    </row>
    <row r="6820" spans="1:52" x14ac:dyDescent="0.3">
      <c r="A6820" t="s">
        <v>52</v>
      </c>
      <c r="B6820" t="s">
        <v>53</v>
      </c>
      <c r="C6820" t="s">
        <v>54</v>
      </c>
      <c r="D6820" t="s">
        <v>55</v>
      </c>
      <c r="E6820" t="s">
        <v>2296</v>
      </c>
      <c r="F6820" t="s">
        <v>1247</v>
      </c>
      <c r="G6820" t="s">
        <v>1495</v>
      </c>
      <c r="H6820" t="s">
        <v>1496</v>
      </c>
      <c r="I6820" t="s">
        <v>1496</v>
      </c>
      <c r="J6820" t="s">
        <v>60</v>
      </c>
      <c r="K6820" t="s">
        <v>1466</v>
      </c>
      <c r="L6820" t="s">
        <v>62</v>
      </c>
      <c r="M6820" t="s">
        <v>1466</v>
      </c>
      <c r="N6820" t="s">
        <v>1497</v>
      </c>
      <c r="O6820" t="s">
        <v>1498</v>
      </c>
      <c r="P6820">
        <v>-20.163160999999999</v>
      </c>
      <c r="Q6820">
        <v>-44.880460999999997</v>
      </c>
      <c r="R6820" s="2" t="str">
        <f>HYPERLINK("https://www.google.com/maps?q=-20.1631610,-44.8804610","Abrir no Google Maps")</f>
        <v>Abrir no Google Maps</v>
      </c>
      <c r="S6820">
        <v>2</v>
      </c>
      <c r="T6820">
        <v>372.63783804650222</v>
      </c>
      <c r="U6820">
        <v>3</v>
      </c>
      <c r="V6820">
        <v>0.16222790412061161</v>
      </c>
      <c r="W6820">
        <v>1</v>
      </c>
      <c r="X6820">
        <v>0.16222790412061161</v>
      </c>
      <c r="Y6820">
        <v>671</v>
      </c>
      <c r="Z6820">
        <v>250.43144487082299</v>
      </c>
      <c r="AA6820">
        <v>198</v>
      </c>
      <c r="AB6820">
        <v>332</v>
      </c>
      <c r="AC6820">
        <v>536</v>
      </c>
      <c r="AD6820">
        <v>28.93</v>
      </c>
      <c r="AE6820">
        <v>542</v>
      </c>
      <c r="AF6820">
        <v>29</v>
      </c>
      <c r="AG6820">
        <v>166</v>
      </c>
      <c r="AH6820">
        <v>129</v>
      </c>
      <c r="AI6820">
        <v>5.35</v>
      </c>
      <c r="AJ6820">
        <v>30.63</v>
      </c>
      <c r="AK6820">
        <v>23.8</v>
      </c>
      <c r="AL6820">
        <v>-20.163296749999969</v>
      </c>
      <c r="AM6820">
        <v>-44.88037544059182</v>
      </c>
      <c r="AN6820">
        <v>-20.163296749999969</v>
      </c>
      <c r="AO6820">
        <v>-44.88037544059182</v>
      </c>
      <c r="AP6820">
        <v>-20.163160999999999</v>
      </c>
      <c r="AQ6820">
        <v>-44.880460999999997</v>
      </c>
      <c r="AR6820">
        <v>17.558482416121191</v>
      </c>
      <c r="AS6820" t="s">
        <v>65</v>
      </c>
      <c r="AT6820">
        <v>1</v>
      </c>
      <c r="AU6820" t="s">
        <v>1499</v>
      </c>
      <c r="AV6820" t="s">
        <v>1500</v>
      </c>
      <c r="AW6820" t="s">
        <v>60</v>
      </c>
      <c r="AX6820" t="s">
        <v>68</v>
      </c>
      <c r="AY6820" t="s">
        <v>69</v>
      </c>
      <c r="AZ6820" t="b">
        <v>1</v>
      </c>
    </row>
    <row r="6821" spans="1:52" x14ac:dyDescent="0.3">
      <c r="A6821" t="s">
        <v>52</v>
      </c>
      <c r="B6821" t="s">
        <v>53</v>
      </c>
      <c r="C6821" t="s">
        <v>54</v>
      </c>
      <c r="D6821" t="s">
        <v>55</v>
      </c>
      <c r="E6821" t="s">
        <v>2296</v>
      </c>
      <c r="F6821" t="s">
        <v>1247</v>
      </c>
      <c r="G6821" t="s">
        <v>1473</v>
      </c>
      <c r="H6821" t="s">
        <v>1474</v>
      </c>
      <c r="I6821" t="s">
        <v>1474</v>
      </c>
      <c r="J6821" t="s">
        <v>60</v>
      </c>
      <c r="K6821" t="s">
        <v>1302</v>
      </c>
      <c r="L6821" t="s">
        <v>62</v>
      </c>
      <c r="M6821" t="s">
        <v>1302</v>
      </c>
      <c r="N6821" t="s">
        <v>1475</v>
      </c>
      <c r="O6821" t="s">
        <v>1476</v>
      </c>
      <c r="P6821">
        <v>-20.161372</v>
      </c>
      <c r="Q6821">
        <v>-44.914636999999999</v>
      </c>
      <c r="R6821" s="2" t="str">
        <f>HYPERLINK("https://www.google.com/maps?q=-20.1613720,-44.9146370","Abrir no Google Maps")</f>
        <v>Abrir no Google Maps</v>
      </c>
      <c r="S6821">
        <v>2</v>
      </c>
      <c r="T6821">
        <v>0</v>
      </c>
      <c r="U6821">
        <v>3</v>
      </c>
      <c r="V6821">
        <v>0.16660242778663839</v>
      </c>
      <c r="W6821">
        <v>1</v>
      </c>
      <c r="X6821">
        <v>0.16660242778663839</v>
      </c>
      <c r="Y6821">
        <v>639</v>
      </c>
      <c r="Z6821">
        <v>81.742669907651447</v>
      </c>
      <c r="AA6821">
        <v>198</v>
      </c>
      <c r="AB6821">
        <v>332</v>
      </c>
      <c r="AC6821">
        <v>536</v>
      </c>
      <c r="AD6821">
        <v>28.93</v>
      </c>
      <c r="AE6821">
        <v>542</v>
      </c>
      <c r="AF6821">
        <v>29</v>
      </c>
      <c r="AG6821">
        <v>166</v>
      </c>
      <c r="AH6821">
        <v>129</v>
      </c>
      <c r="AI6821">
        <v>5.35</v>
      </c>
      <c r="AJ6821">
        <v>30.63</v>
      </c>
      <c r="AK6821">
        <v>23.8</v>
      </c>
      <c r="AL6821">
        <v>-20.161294499999961</v>
      </c>
      <c r="AM6821">
        <v>-44.914614684493202</v>
      </c>
      <c r="AN6821">
        <v>-20.161294499999961</v>
      </c>
      <c r="AO6821">
        <v>-44.914614684493202</v>
      </c>
      <c r="AP6821">
        <v>-20.161372</v>
      </c>
      <c r="AQ6821">
        <v>-44.914636999999999</v>
      </c>
      <c r="AR6821">
        <v>8.9369058443944862</v>
      </c>
      <c r="AS6821" t="s">
        <v>65</v>
      </c>
      <c r="AT6821">
        <v>1</v>
      </c>
      <c r="AU6821" t="s">
        <v>1477</v>
      </c>
      <c r="AV6821" t="s">
        <v>1478</v>
      </c>
      <c r="AW6821" t="s">
        <v>60</v>
      </c>
      <c r="AX6821" t="s">
        <v>68</v>
      </c>
      <c r="AY6821" t="s">
        <v>69</v>
      </c>
      <c r="AZ6821" t="b">
        <v>1</v>
      </c>
    </row>
    <row r="6822" spans="1:52" x14ac:dyDescent="0.3">
      <c r="A6822" t="s">
        <v>52</v>
      </c>
      <c r="B6822" t="s">
        <v>53</v>
      </c>
      <c r="C6822" t="s">
        <v>54</v>
      </c>
      <c r="D6822" t="s">
        <v>55</v>
      </c>
      <c r="E6822" t="s">
        <v>2296</v>
      </c>
      <c r="F6822" t="s">
        <v>1247</v>
      </c>
      <c r="G6822" t="s">
        <v>1534</v>
      </c>
      <c r="H6822" t="s">
        <v>1535</v>
      </c>
      <c r="I6822" t="s">
        <v>1535</v>
      </c>
      <c r="J6822" t="s">
        <v>60</v>
      </c>
      <c r="K6822" t="s">
        <v>1536</v>
      </c>
      <c r="L6822" t="s">
        <v>62</v>
      </c>
      <c r="M6822" t="s">
        <v>1536</v>
      </c>
      <c r="N6822" t="s">
        <v>1537</v>
      </c>
      <c r="O6822" t="s">
        <v>1538</v>
      </c>
      <c r="P6822">
        <v>-20.164618999999998</v>
      </c>
      <c r="Q6822">
        <v>-44.921776999999999</v>
      </c>
      <c r="R6822" s="2" t="str">
        <f>HYPERLINK("https://www.google.com/maps?q=-20.1646190,-44.9217770","Abrir no Google Maps")</f>
        <v>Abrir no Google Maps</v>
      </c>
      <c r="S6822">
        <v>2</v>
      </c>
      <c r="T6822">
        <v>835.70698013544222</v>
      </c>
      <c r="U6822">
        <v>3</v>
      </c>
      <c r="V6822">
        <v>0.20317337461300319</v>
      </c>
      <c r="W6822">
        <v>0.85</v>
      </c>
      <c r="X6822">
        <v>0.17269736842105271</v>
      </c>
      <c r="Y6822">
        <v>639</v>
      </c>
      <c r="Z6822">
        <v>821.59880323911125</v>
      </c>
      <c r="AA6822">
        <v>198</v>
      </c>
      <c r="AB6822">
        <v>332</v>
      </c>
      <c r="AC6822">
        <v>536</v>
      </c>
      <c r="AD6822">
        <v>28.93</v>
      </c>
      <c r="AE6822">
        <v>542</v>
      </c>
      <c r="AF6822">
        <v>29</v>
      </c>
      <c r="AG6822">
        <v>166</v>
      </c>
      <c r="AH6822">
        <v>129</v>
      </c>
      <c r="AI6822">
        <v>5.35</v>
      </c>
      <c r="AJ6822">
        <v>30.63</v>
      </c>
      <c r="AK6822">
        <v>23.8</v>
      </c>
      <c r="AL6822">
        <v>-20.164312499999969</v>
      </c>
      <c r="AM6822">
        <v>-44.921945691824099</v>
      </c>
      <c r="AN6822">
        <v>-20.164312499999969</v>
      </c>
      <c r="AO6822">
        <v>-44.921945691824099</v>
      </c>
      <c r="AP6822">
        <v>-20.164618999999998</v>
      </c>
      <c r="AQ6822">
        <v>-44.921776999999999</v>
      </c>
      <c r="AR6822">
        <v>38.404224975746608</v>
      </c>
      <c r="AS6822" t="s">
        <v>65</v>
      </c>
      <c r="AT6822">
        <v>1</v>
      </c>
      <c r="AU6822" t="s">
        <v>1539</v>
      </c>
      <c r="AV6822" t="s">
        <v>1540</v>
      </c>
      <c r="AW6822" t="s">
        <v>60</v>
      </c>
      <c r="AX6822" t="s">
        <v>68</v>
      </c>
      <c r="AY6822" t="s">
        <v>69</v>
      </c>
      <c r="AZ6822" t="b">
        <v>1</v>
      </c>
    </row>
    <row r="6823" spans="1:52" x14ac:dyDescent="0.3">
      <c r="A6823" t="s">
        <v>52</v>
      </c>
      <c r="B6823" t="s">
        <v>53</v>
      </c>
      <c r="C6823" t="s">
        <v>54</v>
      </c>
      <c r="D6823" t="s">
        <v>55</v>
      </c>
      <c r="E6823" t="s">
        <v>2296</v>
      </c>
      <c r="F6823" t="s">
        <v>1247</v>
      </c>
      <c r="G6823" t="s">
        <v>1541</v>
      </c>
      <c r="H6823" t="s">
        <v>1542</v>
      </c>
      <c r="I6823" t="s">
        <v>1542</v>
      </c>
      <c r="J6823" t="s">
        <v>60</v>
      </c>
      <c r="K6823" t="s">
        <v>1302</v>
      </c>
      <c r="L6823" t="s">
        <v>62</v>
      </c>
      <c r="M6823" t="s">
        <v>1302</v>
      </c>
      <c r="N6823" t="s">
        <v>1543</v>
      </c>
      <c r="O6823" t="s">
        <v>1544</v>
      </c>
      <c r="P6823">
        <v>-20.166267999999999</v>
      </c>
      <c r="Q6823">
        <v>-44.916902</v>
      </c>
      <c r="R6823" s="2" t="str">
        <f>HYPERLINK("https://www.google.com/maps?q=-20.1662680,-44.9169020","Abrir no Google Maps")</f>
        <v>Abrir no Google Maps</v>
      </c>
      <c r="S6823">
        <v>2</v>
      </c>
      <c r="T6823">
        <v>580.14556008922216</v>
      </c>
      <c r="U6823">
        <v>3</v>
      </c>
      <c r="V6823">
        <v>0.1892539986262389</v>
      </c>
      <c r="W6823">
        <v>0.85</v>
      </c>
      <c r="X6823">
        <v>0.16086589883230309</v>
      </c>
      <c r="Y6823">
        <v>639</v>
      </c>
      <c r="Z6823">
        <v>590.87477783185614</v>
      </c>
      <c r="AA6823">
        <v>198</v>
      </c>
      <c r="AB6823">
        <v>332</v>
      </c>
      <c r="AC6823">
        <v>536</v>
      </c>
      <c r="AD6823">
        <v>28.93</v>
      </c>
      <c r="AE6823">
        <v>542</v>
      </c>
      <c r="AF6823">
        <v>29</v>
      </c>
      <c r="AG6823">
        <v>166</v>
      </c>
      <c r="AH6823">
        <v>129</v>
      </c>
      <c r="AI6823">
        <v>5.35</v>
      </c>
      <c r="AJ6823">
        <v>30.63</v>
      </c>
      <c r="AK6823">
        <v>23.8</v>
      </c>
      <c r="AL6823">
        <v>-20.165891749999961</v>
      </c>
      <c r="AM6823">
        <v>-44.917283075074913</v>
      </c>
      <c r="AN6823">
        <v>-20.165891749999961</v>
      </c>
      <c r="AO6823">
        <v>-44.917283075074913</v>
      </c>
      <c r="AP6823">
        <v>-20.166267999999999</v>
      </c>
      <c r="AQ6823">
        <v>-44.916902</v>
      </c>
      <c r="AR6823">
        <v>57.792534087281872</v>
      </c>
      <c r="AS6823" t="s">
        <v>65</v>
      </c>
      <c r="AT6823">
        <v>1</v>
      </c>
      <c r="AU6823" t="s">
        <v>1545</v>
      </c>
      <c r="AV6823" t="s">
        <v>1546</v>
      </c>
      <c r="AW6823" t="s">
        <v>60</v>
      </c>
      <c r="AX6823" t="s">
        <v>68</v>
      </c>
      <c r="AY6823" t="s">
        <v>69</v>
      </c>
      <c r="AZ6823" t="b">
        <v>1</v>
      </c>
    </row>
    <row r="6824" spans="1:52" x14ac:dyDescent="0.3">
      <c r="A6824" t="s">
        <v>52</v>
      </c>
      <c r="B6824" t="s">
        <v>53</v>
      </c>
      <c r="C6824" t="s">
        <v>54</v>
      </c>
      <c r="D6824" t="s">
        <v>55</v>
      </c>
      <c r="E6824" t="s">
        <v>2296</v>
      </c>
      <c r="F6824" t="s">
        <v>1247</v>
      </c>
      <c r="G6824" t="s">
        <v>1464</v>
      </c>
      <c r="H6824" t="s">
        <v>1465</v>
      </c>
      <c r="I6824" t="s">
        <v>1465</v>
      </c>
      <c r="J6824" t="s">
        <v>60</v>
      </c>
      <c r="K6824" t="s">
        <v>1466</v>
      </c>
      <c r="L6824" t="s">
        <v>62</v>
      </c>
      <c r="M6824" t="s">
        <v>1466</v>
      </c>
      <c r="N6824" t="s">
        <v>1467</v>
      </c>
      <c r="O6824" t="s">
        <v>145</v>
      </c>
      <c r="P6824">
        <v>-20.160509999999999</v>
      </c>
      <c r="Q6824">
        <v>-44.884123000000002</v>
      </c>
      <c r="R6824" s="2" t="str">
        <f>HYPERLINK("https://www.google.com/maps?q=-20.1605100,-44.8841230","Abrir no Google Maps")</f>
        <v>Abrir no Google Maps</v>
      </c>
      <c r="S6824">
        <v>2</v>
      </c>
      <c r="T6824">
        <v>650.04961276595373</v>
      </c>
      <c r="U6824">
        <v>2</v>
      </c>
      <c r="V6824">
        <v>0.14091600730371279</v>
      </c>
      <c r="W6824">
        <v>1</v>
      </c>
      <c r="X6824">
        <v>0.14091600730371279</v>
      </c>
      <c r="Y6824">
        <v>671</v>
      </c>
      <c r="Z6824">
        <v>591.49066685698506</v>
      </c>
      <c r="AA6824">
        <v>198</v>
      </c>
      <c r="AB6824">
        <v>332</v>
      </c>
      <c r="AC6824">
        <v>536</v>
      </c>
      <c r="AD6824">
        <v>28.93</v>
      </c>
      <c r="AE6824">
        <v>542</v>
      </c>
      <c r="AF6824">
        <v>29</v>
      </c>
      <c r="AG6824">
        <v>166</v>
      </c>
      <c r="AH6824">
        <v>129</v>
      </c>
      <c r="AI6824">
        <v>5.35</v>
      </c>
      <c r="AJ6824">
        <v>30.63</v>
      </c>
      <c r="AK6824">
        <v>23.8</v>
      </c>
      <c r="AL6824">
        <v>-20.16056479999995</v>
      </c>
      <c r="AM6824">
        <v>-44.88424978393428</v>
      </c>
      <c r="AN6824">
        <v>-20.160564799999939</v>
      </c>
      <c r="AO6824">
        <v>-44.88424978393428</v>
      </c>
      <c r="AP6824">
        <v>-20.160509999999999</v>
      </c>
      <c r="AQ6824">
        <v>-44.884123000000002</v>
      </c>
      <c r="AR6824">
        <v>14.585823463739541</v>
      </c>
      <c r="AS6824" t="s">
        <v>65</v>
      </c>
      <c r="AT6824">
        <v>1</v>
      </c>
      <c r="AU6824" t="s">
        <v>1468</v>
      </c>
      <c r="AV6824" t="s">
        <v>1469</v>
      </c>
      <c r="AW6824" t="s">
        <v>60</v>
      </c>
      <c r="AX6824" t="s">
        <v>68</v>
      </c>
      <c r="AY6824" t="s">
        <v>69</v>
      </c>
      <c r="AZ6824" t="b">
        <v>1</v>
      </c>
    </row>
    <row r="6825" spans="1:52" x14ac:dyDescent="0.3">
      <c r="A6825" t="s">
        <v>52</v>
      </c>
      <c r="B6825" t="s">
        <v>53</v>
      </c>
      <c r="C6825" t="s">
        <v>54</v>
      </c>
      <c r="D6825" t="s">
        <v>55</v>
      </c>
      <c r="E6825" t="s">
        <v>2296</v>
      </c>
      <c r="F6825" t="s">
        <v>1247</v>
      </c>
      <c r="G6825" t="s">
        <v>1501</v>
      </c>
      <c r="H6825" t="s">
        <v>1502</v>
      </c>
      <c r="I6825" t="s">
        <v>1502</v>
      </c>
      <c r="J6825" t="s">
        <v>60</v>
      </c>
      <c r="K6825" t="s">
        <v>1466</v>
      </c>
      <c r="L6825" t="s">
        <v>62</v>
      </c>
      <c r="M6825" t="s">
        <v>1466</v>
      </c>
      <c r="N6825" t="s">
        <v>1503</v>
      </c>
      <c r="O6825" t="s">
        <v>1504</v>
      </c>
      <c r="P6825">
        <v>-20.159618999999999</v>
      </c>
      <c r="Q6825">
        <v>-44.880065000000002</v>
      </c>
      <c r="R6825" s="2" t="str">
        <f>HYPERLINK("https://www.google.com/maps?q=-20.1596190,-44.8800650","Abrir no Google Maps")</f>
        <v>Abrir no Google Maps</v>
      </c>
      <c r="S6825">
        <v>2</v>
      </c>
      <c r="T6825">
        <v>243.9950282285559</v>
      </c>
      <c r="U6825">
        <v>2</v>
      </c>
      <c r="V6825">
        <v>0.15488651467868689</v>
      </c>
      <c r="W6825">
        <v>1</v>
      </c>
      <c r="X6825">
        <v>0.15488651467868689</v>
      </c>
      <c r="Y6825">
        <v>671</v>
      </c>
      <c r="Z6825">
        <v>265.31354384517681</v>
      </c>
      <c r="AA6825">
        <v>198</v>
      </c>
      <c r="AB6825">
        <v>332</v>
      </c>
      <c r="AC6825">
        <v>536</v>
      </c>
      <c r="AD6825">
        <v>28.93</v>
      </c>
      <c r="AE6825">
        <v>542</v>
      </c>
      <c r="AF6825">
        <v>29</v>
      </c>
      <c r="AG6825">
        <v>166</v>
      </c>
      <c r="AH6825">
        <v>129</v>
      </c>
      <c r="AI6825">
        <v>5.35</v>
      </c>
      <c r="AJ6825">
        <v>30.63</v>
      </c>
      <c r="AK6825">
        <v>23.8</v>
      </c>
      <c r="AL6825">
        <v>-20.159689949999969</v>
      </c>
      <c r="AM6825">
        <v>-44.880075072344489</v>
      </c>
      <c r="AN6825">
        <v>-20.159689949999969</v>
      </c>
      <c r="AO6825">
        <v>-44.880075072344489</v>
      </c>
      <c r="AP6825">
        <v>-20.159618999999999</v>
      </c>
      <c r="AQ6825">
        <v>-44.880065000000002</v>
      </c>
      <c r="AR6825">
        <v>7.9679809486040876</v>
      </c>
      <c r="AS6825" t="s">
        <v>65</v>
      </c>
      <c r="AT6825">
        <v>1</v>
      </c>
      <c r="AU6825" t="s">
        <v>1505</v>
      </c>
      <c r="AV6825" t="s">
        <v>1506</v>
      </c>
      <c r="AW6825" t="s">
        <v>60</v>
      </c>
      <c r="AX6825" t="s">
        <v>68</v>
      </c>
      <c r="AY6825" t="s">
        <v>69</v>
      </c>
      <c r="AZ6825" t="b">
        <v>1</v>
      </c>
    </row>
    <row r="6826" spans="1:52" x14ac:dyDescent="0.3">
      <c r="A6826" t="s">
        <v>52</v>
      </c>
      <c r="B6826" t="s">
        <v>53</v>
      </c>
      <c r="C6826" t="s">
        <v>54</v>
      </c>
      <c r="D6826" t="s">
        <v>55</v>
      </c>
      <c r="E6826" t="s">
        <v>2296</v>
      </c>
      <c r="F6826" t="s">
        <v>1247</v>
      </c>
      <c r="G6826" t="s">
        <v>1507</v>
      </c>
      <c r="H6826" t="s">
        <v>1508</v>
      </c>
      <c r="I6826" t="s">
        <v>1508</v>
      </c>
      <c r="J6826" t="s">
        <v>60</v>
      </c>
      <c r="K6826" t="s">
        <v>1466</v>
      </c>
      <c r="L6826" t="s">
        <v>62</v>
      </c>
      <c r="M6826" t="s">
        <v>1466</v>
      </c>
      <c r="N6826" t="s">
        <v>1509</v>
      </c>
      <c r="O6826" t="s">
        <v>270</v>
      </c>
      <c r="P6826">
        <v>-20.164501999999999</v>
      </c>
      <c r="Q6826">
        <v>-44.883226999999998</v>
      </c>
      <c r="R6826" s="2" t="str">
        <f>HYPERLINK("https://www.google.com/maps?q=-20.1645020,-44.8832270","Abrir no Google Maps")</f>
        <v>Abrir no Google Maps</v>
      </c>
      <c r="S6826">
        <v>2</v>
      </c>
      <c r="T6826">
        <v>691.62667420887726</v>
      </c>
      <c r="U6826">
        <v>2</v>
      </c>
      <c r="V6826">
        <v>0.15427459374237429</v>
      </c>
      <c r="W6826">
        <v>1</v>
      </c>
      <c r="X6826">
        <v>0.15427459374237429</v>
      </c>
      <c r="Y6826">
        <v>671</v>
      </c>
      <c r="Z6826">
        <v>591.13935302436732</v>
      </c>
      <c r="AA6826">
        <v>198</v>
      </c>
      <c r="AB6826">
        <v>332</v>
      </c>
      <c r="AC6826">
        <v>536</v>
      </c>
      <c r="AD6826">
        <v>28.93</v>
      </c>
      <c r="AE6826">
        <v>542</v>
      </c>
      <c r="AF6826">
        <v>29</v>
      </c>
      <c r="AG6826">
        <v>166</v>
      </c>
      <c r="AH6826">
        <v>129</v>
      </c>
      <c r="AI6826">
        <v>5.35</v>
      </c>
      <c r="AJ6826">
        <v>30.63</v>
      </c>
      <c r="AK6826">
        <v>23.8</v>
      </c>
      <c r="AL6826">
        <v>-20.164470149999939</v>
      </c>
      <c r="AM6826">
        <v>-44.883357321672527</v>
      </c>
      <c r="AN6826">
        <v>-20.164470149999939</v>
      </c>
      <c r="AO6826">
        <v>-44.883357321672527</v>
      </c>
      <c r="AP6826">
        <v>-20.164501999999999</v>
      </c>
      <c r="AQ6826">
        <v>-44.883226999999998</v>
      </c>
      <c r="AR6826">
        <v>14.072184947340521</v>
      </c>
      <c r="AS6826" t="s">
        <v>65</v>
      </c>
      <c r="AT6826">
        <v>1</v>
      </c>
      <c r="AU6826" t="s">
        <v>1510</v>
      </c>
      <c r="AV6826" t="s">
        <v>1511</v>
      </c>
      <c r="AW6826" t="s">
        <v>60</v>
      </c>
      <c r="AX6826" t="s">
        <v>68</v>
      </c>
      <c r="AY6826" t="s">
        <v>69</v>
      </c>
      <c r="AZ6826" t="b">
        <v>1</v>
      </c>
    </row>
    <row r="6827" spans="1:52" x14ac:dyDescent="0.3">
      <c r="A6827" t="s">
        <v>52</v>
      </c>
      <c r="B6827" t="s">
        <v>53</v>
      </c>
      <c r="C6827" t="s">
        <v>54</v>
      </c>
      <c r="D6827" t="s">
        <v>55</v>
      </c>
      <c r="E6827" t="s">
        <v>2296</v>
      </c>
      <c r="F6827" t="s">
        <v>1247</v>
      </c>
      <c r="G6827" t="s">
        <v>1554</v>
      </c>
      <c r="H6827" t="s">
        <v>1555</v>
      </c>
      <c r="I6827" t="s">
        <v>1555</v>
      </c>
      <c r="J6827" t="s">
        <v>60</v>
      </c>
      <c r="K6827" t="s">
        <v>1466</v>
      </c>
      <c r="L6827" t="s">
        <v>62</v>
      </c>
      <c r="M6827" t="s">
        <v>1466</v>
      </c>
      <c r="N6827" t="s">
        <v>1556</v>
      </c>
      <c r="O6827" t="s">
        <v>989</v>
      </c>
      <c r="P6827">
        <v>-20.160997999999999</v>
      </c>
      <c r="Q6827">
        <v>-44.878385999999999</v>
      </c>
      <c r="R6827" s="2" t="str">
        <f>HYPERLINK("https://www.google.com/maps?q=-20.1609980,-44.8783860","Abrir no Google Maps")</f>
        <v>Abrir no Google Maps</v>
      </c>
      <c r="S6827">
        <v>2</v>
      </c>
      <c r="T6827">
        <v>0</v>
      </c>
      <c r="U6827">
        <v>2</v>
      </c>
      <c r="V6827">
        <v>0.17822830841216561</v>
      </c>
      <c r="W6827">
        <v>0.85</v>
      </c>
      <c r="X6827">
        <v>0.15149406215034081</v>
      </c>
      <c r="Y6827">
        <v>671</v>
      </c>
      <c r="Z6827">
        <v>74.014802531188664</v>
      </c>
      <c r="AA6827">
        <v>198</v>
      </c>
      <c r="AB6827">
        <v>332</v>
      </c>
      <c r="AC6827">
        <v>536</v>
      </c>
      <c r="AD6827">
        <v>28.93</v>
      </c>
      <c r="AE6827">
        <v>542</v>
      </c>
      <c r="AF6827">
        <v>29</v>
      </c>
      <c r="AG6827">
        <v>166</v>
      </c>
      <c r="AH6827">
        <v>129</v>
      </c>
      <c r="AI6827">
        <v>5.35</v>
      </c>
      <c r="AJ6827">
        <v>30.63</v>
      </c>
      <c r="AK6827">
        <v>23.8</v>
      </c>
      <c r="AL6827">
        <v>-20.160758199999979</v>
      </c>
      <c r="AM6827">
        <v>-44.878032519747983</v>
      </c>
      <c r="AN6827">
        <v>-20.160758199999979</v>
      </c>
      <c r="AO6827">
        <v>-44.878032519747983</v>
      </c>
      <c r="AP6827">
        <v>-20.160997999999999</v>
      </c>
      <c r="AQ6827">
        <v>-44.878385999999999</v>
      </c>
      <c r="AR6827">
        <v>45.574638830261883</v>
      </c>
      <c r="AS6827" t="s">
        <v>65</v>
      </c>
      <c r="AT6827">
        <v>1</v>
      </c>
      <c r="AU6827" t="s">
        <v>1557</v>
      </c>
      <c r="AV6827" t="s">
        <v>1558</v>
      </c>
      <c r="AW6827" t="s">
        <v>60</v>
      </c>
      <c r="AX6827" t="s">
        <v>68</v>
      </c>
      <c r="AY6827" t="s">
        <v>69</v>
      </c>
      <c r="AZ6827" t="b">
        <v>1</v>
      </c>
    </row>
    <row r="6828" spans="1:52" x14ac:dyDescent="0.3">
      <c r="A6828" t="s">
        <v>52</v>
      </c>
      <c r="B6828" t="s">
        <v>53</v>
      </c>
      <c r="C6828" t="s">
        <v>54</v>
      </c>
      <c r="D6828" t="s">
        <v>55</v>
      </c>
      <c r="E6828" t="s">
        <v>2296</v>
      </c>
      <c r="F6828" t="s">
        <v>1247</v>
      </c>
      <c r="G6828" t="s">
        <v>1333</v>
      </c>
      <c r="H6828" t="s">
        <v>1470</v>
      </c>
      <c r="I6828" t="s">
        <v>1470</v>
      </c>
      <c r="J6828" t="s">
        <v>60</v>
      </c>
      <c r="K6828" t="s">
        <v>437</v>
      </c>
      <c r="L6828" t="s">
        <v>62</v>
      </c>
      <c r="M6828" t="s">
        <v>437</v>
      </c>
      <c r="N6828" t="s">
        <v>1335</v>
      </c>
      <c r="O6828" t="s">
        <v>900</v>
      </c>
      <c r="P6828">
        <v>-20.147047000000001</v>
      </c>
      <c r="Q6828">
        <v>-44.883921999999998</v>
      </c>
      <c r="R6828" s="2" t="str">
        <f>HYPERLINK("https://www.google.com/maps?q=-20.1470470,-44.8839220","Abrir no Google Maps")</f>
        <v>Abrir no Google Maps</v>
      </c>
      <c r="S6828">
        <v>2</v>
      </c>
      <c r="T6828">
        <v>296.4098018832658</v>
      </c>
      <c r="U6828">
        <v>2</v>
      </c>
      <c r="V6828">
        <v>0.1404583656895102</v>
      </c>
      <c r="W6828">
        <v>1</v>
      </c>
      <c r="X6828">
        <v>0.1404583656895102</v>
      </c>
      <c r="Y6828">
        <v>653</v>
      </c>
      <c r="Z6828">
        <v>299.72271006042178</v>
      </c>
      <c r="AA6828">
        <v>198</v>
      </c>
      <c r="AB6828">
        <v>332</v>
      </c>
      <c r="AC6828">
        <v>536</v>
      </c>
      <c r="AD6828">
        <v>28.93</v>
      </c>
      <c r="AE6828">
        <v>542</v>
      </c>
      <c r="AF6828">
        <v>29</v>
      </c>
      <c r="AG6828">
        <v>166</v>
      </c>
      <c r="AH6828">
        <v>129</v>
      </c>
      <c r="AI6828">
        <v>5.35</v>
      </c>
      <c r="AJ6828">
        <v>30.63</v>
      </c>
      <c r="AK6828">
        <v>23.8</v>
      </c>
      <c r="AL6828">
        <v>-20.147074949999929</v>
      </c>
      <c r="AM6828">
        <v>-44.883796511502347</v>
      </c>
      <c r="AN6828">
        <v>-20.147074949999929</v>
      </c>
      <c r="AO6828">
        <v>-44.883796511502347</v>
      </c>
      <c r="AP6828">
        <v>-20.147047000000001</v>
      </c>
      <c r="AQ6828">
        <v>-44.883921999999998</v>
      </c>
      <c r="AR6828">
        <v>13.47864632994</v>
      </c>
      <c r="AS6828" t="s">
        <v>65</v>
      </c>
      <c r="AT6828">
        <v>1</v>
      </c>
      <c r="AU6828" t="s">
        <v>1471</v>
      </c>
      <c r="AV6828" t="s">
        <v>1472</v>
      </c>
      <c r="AW6828" t="s">
        <v>60</v>
      </c>
      <c r="AX6828" t="s">
        <v>68</v>
      </c>
      <c r="AY6828" t="s">
        <v>69</v>
      </c>
      <c r="AZ6828" t="b">
        <v>1</v>
      </c>
    </row>
    <row r="6829" spans="1:52" x14ac:dyDescent="0.3">
      <c r="A6829" t="s">
        <v>52</v>
      </c>
      <c r="B6829" t="s">
        <v>53</v>
      </c>
      <c r="C6829" t="s">
        <v>54</v>
      </c>
      <c r="D6829" t="s">
        <v>55</v>
      </c>
      <c r="E6829" t="s">
        <v>2296</v>
      </c>
      <c r="F6829" t="s">
        <v>1247</v>
      </c>
      <c r="G6829" t="s">
        <v>1479</v>
      </c>
      <c r="H6829" t="s">
        <v>1480</v>
      </c>
      <c r="I6829" t="s">
        <v>1480</v>
      </c>
      <c r="J6829" t="s">
        <v>60</v>
      </c>
      <c r="K6829" t="s">
        <v>1302</v>
      </c>
      <c r="L6829" t="s">
        <v>62</v>
      </c>
      <c r="M6829" t="s">
        <v>1302</v>
      </c>
      <c r="N6829" t="s">
        <v>1481</v>
      </c>
      <c r="O6829" t="s">
        <v>1482</v>
      </c>
      <c r="P6829">
        <v>-20.164655</v>
      </c>
      <c r="Q6829">
        <v>-44.912697000000001</v>
      </c>
      <c r="R6829" s="2" t="str">
        <f>HYPERLINK("https://www.google.com/maps?q=-20.1646550,-44.9126970","Abrir no Google Maps")</f>
        <v>Abrir no Google Maps</v>
      </c>
      <c r="S6829">
        <v>2</v>
      </c>
      <c r="T6829">
        <v>441.50274004930441</v>
      </c>
      <c r="U6829">
        <v>2</v>
      </c>
      <c r="V6829">
        <v>0.1483592979997379</v>
      </c>
      <c r="W6829">
        <v>1</v>
      </c>
      <c r="X6829">
        <v>0.1483592979997379</v>
      </c>
      <c r="Y6829">
        <v>639</v>
      </c>
      <c r="Z6829">
        <v>311.03317029936522</v>
      </c>
      <c r="AA6829">
        <v>198</v>
      </c>
      <c r="AB6829">
        <v>332</v>
      </c>
      <c r="AC6829">
        <v>536</v>
      </c>
      <c r="AD6829">
        <v>28.93</v>
      </c>
      <c r="AE6829">
        <v>542</v>
      </c>
      <c r="AF6829">
        <v>29</v>
      </c>
      <c r="AG6829">
        <v>166</v>
      </c>
      <c r="AH6829">
        <v>129</v>
      </c>
      <c r="AI6829">
        <v>5.35</v>
      </c>
      <c r="AJ6829">
        <v>30.63</v>
      </c>
      <c r="AK6829">
        <v>23.8</v>
      </c>
      <c r="AL6829">
        <v>-20.164702999999971</v>
      </c>
      <c r="AM6829">
        <v>-44.912418857911163</v>
      </c>
      <c r="AN6829">
        <v>-20.164702999999971</v>
      </c>
      <c r="AO6829">
        <v>-44.912418857911163</v>
      </c>
      <c r="AP6829">
        <v>-20.164655</v>
      </c>
      <c r="AQ6829">
        <v>-44.912697000000001</v>
      </c>
      <c r="AR6829">
        <v>29.552017409892429</v>
      </c>
      <c r="AS6829" t="s">
        <v>65</v>
      </c>
      <c r="AT6829">
        <v>1</v>
      </c>
      <c r="AU6829" t="s">
        <v>1483</v>
      </c>
      <c r="AV6829" t="s">
        <v>1484</v>
      </c>
      <c r="AW6829" t="s">
        <v>60</v>
      </c>
      <c r="AX6829" t="s">
        <v>68</v>
      </c>
      <c r="AY6829" t="s">
        <v>69</v>
      </c>
      <c r="AZ6829" t="b">
        <v>1</v>
      </c>
    </row>
    <row r="6830" spans="1:52" x14ac:dyDescent="0.3">
      <c r="A6830" t="s">
        <v>52</v>
      </c>
      <c r="B6830" t="s">
        <v>53</v>
      </c>
      <c r="C6830" t="s">
        <v>54</v>
      </c>
      <c r="D6830" t="s">
        <v>55</v>
      </c>
      <c r="E6830" t="s">
        <v>2296</v>
      </c>
      <c r="F6830" t="s">
        <v>1247</v>
      </c>
      <c r="G6830" t="s">
        <v>1518</v>
      </c>
      <c r="H6830" t="s">
        <v>1519</v>
      </c>
      <c r="I6830" t="s">
        <v>1519</v>
      </c>
      <c r="J6830" t="s">
        <v>60</v>
      </c>
      <c r="K6830" t="s">
        <v>1302</v>
      </c>
      <c r="L6830" t="s">
        <v>62</v>
      </c>
      <c r="M6830" t="s">
        <v>1302</v>
      </c>
      <c r="N6830" t="s">
        <v>1520</v>
      </c>
      <c r="O6830" t="s">
        <v>1521</v>
      </c>
      <c r="P6830">
        <v>-20.16263</v>
      </c>
      <c r="Q6830">
        <v>-44.910342999999997</v>
      </c>
      <c r="R6830" s="2" t="str">
        <f>HYPERLINK("https://www.google.com/maps?q=-20.1626300,-44.9103430","Abrir no Google Maps")</f>
        <v>Abrir no Google Maps</v>
      </c>
      <c r="S6830">
        <v>2</v>
      </c>
      <c r="T6830">
        <v>492.63980270666781</v>
      </c>
      <c r="U6830">
        <v>2</v>
      </c>
      <c r="V6830">
        <v>0.14849324040234149</v>
      </c>
      <c r="W6830">
        <v>1</v>
      </c>
      <c r="X6830">
        <v>0.14849324040234149</v>
      </c>
      <c r="Y6830">
        <v>639</v>
      </c>
      <c r="Z6830">
        <v>412.49960371731271</v>
      </c>
      <c r="AA6830">
        <v>198</v>
      </c>
      <c r="AB6830">
        <v>332</v>
      </c>
      <c r="AC6830">
        <v>536</v>
      </c>
      <c r="AD6830">
        <v>28.93</v>
      </c>
      <c r="AE6830">
        <v>542</v>
      </c>
      <c r="AF6830">
        <v>29</v>
      </c>
      <c r="AG6830">
        <v>166</v>
      </c>
      <c r="AH6830">
        <v>129</v>
      </c>
      <c r="AI6830">
        <v>5.35</v>
      </c>
      <c r="AJ6830">
        <v>30.63</v>
      </c>
      <c r="AK6830">
        <v>23.8</v>
      </c>
      <c r="AL6830">
        <v>-20.162579949999952</v>
      </c>
      <c r="AM6830">
        <v>-44.910101148008863</v>
      </c>
      <c r="AN6830">
        <v>-20.162579949999952</v>
      </c>
      <c r="AO6830">
        <v>-44.910101148008863</v>
      </c>
      <c r="AP6830">
        <v>-20.16263</v>
      </c>
      <c r="AQ6830">
        <v>-44.910342999999997</v>
      </c>
      <c r="AR6830">
        <v>25.879932474893501</v>
      </c>
      <c r="AS6830" t="s">
        <v>65</v>
      </c>
      <c r="AT6830">
        <v>1</v>
      </c>
      <c r="AU6830" t="s">
        <v>1522</v>
      </c>
      <c r="AV6830" t="s">
        <v>1523</v>
      </c>
      <c r="AW6830" t="s">
        <v>60</v>
      </c>
      <c r="AX6830" t="s">
        <v>68</v>
      </c>
      <c r="AY6830" t="s">
        <v>69</v>
      </c>
      <c r="AZ6830" t="b">
        <v>1</v>
      </c>
    </row>
    <row r="6831" spans="1:52" x14ac:dyDescent="0.3">
      <c r="A6831" t="s">
        <v>52</v>
      </c>
      <c r="B6831" t="s">
        <v>53</v>
      </c>
      <c r="C6831" t="s">
        <v>54</v>
      </c>
      <c r="D6831" t="s">
        <v>55</v>
      </c>
      <c r="E6831" t="s">
        <v>2296</v>
      </c>
      <c r="F6831" t="s">
        <v>1247</v>
      </c>
      <c r="G6831" t="s">
        <v>1127</v>
      </c>
      <c r="H6831" t="s">
        <v>1455</v>
      </c>
      <c r="I6831" t="s">
        <v>1455</v>
      </c>
      <c r="J6831" t="s">
        <v>60</v>
      </c>
      <c r="K6831" t="s">
        <v>431</v>
      </c>
      <c r="L6831" t="s">
        <v>62</v>
      </c>
      <c r="M6831" t="s">
        <v>431</v>
      </c>
      <c r="N6831" t="s">
        <v>1456</v>
      </c>
      <c r="O6831" t="s">
        <v>1001</v>
      </c>
      <c r="P6831">
        <v>-20.168237999999999</v>
      </c>
      <c r="Q6831">
        <v>-44.924250999999998</v>
      </c>
      <c r="R6831" s="2" t="str">
        <f>HYPERLINK("https://www.google.com/maps?q=-20.1682380,-44.9242510","Abrir no Google Maps")</f>
        <v>Abrir no Google Maps</v>
      </c>
      <c r="S6831">
        <v>2</v>
      </c>
      <c r="T6831">
        <v>1220.188820430971</v>
      </c>
      <c r="U6831">
        <v>1</v>
      </c>
      <c r="V6831">
        <v>0.14258756038647341</v>
      </c>
      <c r="W6831">
        <v>0.85</v>
      </c>
      <c r="X6831">
        <v>0.1211994263285024</v>
      </c>
      <c r="Y6831">
        <v>723</v>
      </c>
      <c r="Z6831">
        <v>1092.4377883150901</v>
      </c>
      <c r="AA6831">
        <v>198</v>
      </c>
      <c r="AB6831">
        <v>332</v>
      </c>
      <c r="AC6831">
        <v>536</v>
      </c>
      <c r="AD6831">
        <v>28.93</v>
      </c>
      <c r="AE6831">
        <v>542</v>
      </c>
      <c r="AF6831">
        <v>29</v>
      </c>
      <c r="AG6831">
        <v>166</v>
      </c>
      <c r="AH6831">
        <v>129</v>
      </c>
      <c r="AI6831">
        <v>5.35</v>
      </c>
      <c r="AJ6831">
        <v>30.63</v>
      </c>
      <c r="AK6831">
        <v>23.8</v>
      </c>
      <c r="AL6831">
        <v>-20.168394999999951</v>
      </c>
      <c r="AM6831">
        <v>-44.923548168580673</v>
      </c>
      <c r="AN6831">
        <v>-20.168394999999951</v>
      </c>
      <c r="AO6831">
        <v>-44.923548168580673</v>
      </c>
      <c r="AP6831">
        <v>-20.168237999999999</v>
      </c>
      <c r="AQ6831">
        <v>-44.924250999999998</v>
      </c>
      <c r="AR6831">
        <v>75.492755104934275</v>
      </c>
      <c r="AS6831" t="s">
        <v>65</v>
      </c>
      <c r="AT6831">
        <v>1</v>
      </c>
      <c r="AU6831" t="s">
        <v>1457</v>
      </c>
      <c r="AV6831" t="s">
        <v>1458</v>
      </c>
      <c r="AW6831" t="s">
        <v>60</v>
      </c>
      <c r="AX6831" t="s">
        <v>68</v>
      </c>
      <c r="AY6831" t="s">
        <v>69</v>
      </c>
      <c r="AZ6831" t="b">
        <v>1</v>
      </c>
    </row>
    <row r="6832" spans="1:52" x14ac:dyDescent="0.3">
      <c r="A6832" t="s">
        <v>52</v>
      </c>
      <c r="B6832" t="s">
        <v>53</v>
      </c>
      <c r="C6832" t="s">
        <v>54</v>
      </c>
      <c r="D6832" t="s">
        <v>55</v>
      </c>
      <c r="E6832" t="s">
        <v>2296</v>
      </c>
      <c r="F6832" t="s">
        <v>1247</v>
      </c>
      <c r="G6832" t="s">
        <v>1459</v>
      </c>
      <c r="H6832" t="s">
        <v>1460</v>
      </c>
      <c r="I6832" t="s">
        <v>1460</v>
      </c>
      <c r="J6832" t="s">
        <v>60</v>
      </c>
      <c r="K6832" t="s">
        <v>431</v>
      </c>
      <c r="L6832" t="s">
        <v>62</v>
      </c>
      <c r="M6832" t="s">
        <v>431</v>
      </c>
      <c r="N6832" t="s">
        <v>1461</v>
      </c>
      <c r="O6832" t="s">
        <v>1462</v>
      </c>
      <c r="P6832">
        <v>-20.170182</v>
      </c>
      <c r="Q6832">
        <v>-44.922556999999998</v>
      </c>
      <c r="R6832" s="2" t="str">
        <f>HYPERLINK("https://www.google.com/maps?q=-20.1701820,-44.9225570","Abrir no Google Maps")</f>
        <v>Abrir no Google Maps</v>
      </c>
      <c r="S6832">
        <v>2</v>
      </c>
      <c r="T6832">
        <v>1189.3885679843149</v>
      </c>
      <c r="U6832">
        <v>1</v>
      </c>
      <c r="V6832">
        <v>0.1485005449224249</v>
      </c>
      <c r="W6832">
        <v>0.85</v>
      </c>
      <c r="X6832">
        <v>0.12622546318406119</v>
      </c>
      <c r="Y6832">
        <v>723</v>
      </c>
      <c r="Z6832">
        <v>961.89164604479117</v>
      </c>
      <c r="AA6832">
        <v>198</v>
      </c>
      <c r="AB6832">
        <v>332</v>
      </c>
      <c r="AC6832">
        <v>536</v>
      </c>
      <c r="AD6832">
        <v>28.93</v>
      </c>
      <c r="AE6832">
        <v>542</v>
      </c>
      <c r="AF6832">
        <v>29</v>
      </c>
      <c r="AG6832">
        <v>166</v>
      </c>
      <c r="AH6832">
        <v>129</v>
      </c>
      <c r="AI6832">
        <v>5.35</v>
      </c>
      <c r="AJ6832">
        <v>30.63</v>
      </c>
      <c r="AK6832">
        <v>23.8</v>
      </c>
      <c r="AL6832">
        <v>-20.169385449999961</v>
      </c>
      <c r="AM6832">
        <v>-44.922107101898007</v>
      </c>
      <c r="AN6832">
        <v>-20.169385449999961</v>
      </c>
      <c r="AO6832">
        <v>-44.922107101898007</v>
      </c>
      <c r="AP6832">
        <v>-20.170182</v>
      </c>
      <c r="AQ6832">
        <v>-44.922556999999998</v>
      </c>
      <c r="AR6832">
        <v>100.36329580049031</v>
      </c>
      <c r="AS6832" t="s">
        <v>65</v>
      </c>
      <c r="AT6832">
        <v>1</v>
      </c>
      <c r="AU6832" t="s">
        <v>1463</v>
      </c>
      <c r="AV6832" t="s">
        <v>1458</v>
      </c>
      <c r="AW6832" t="s">
        <v>60</v>
      </c>
      <c r="AX6832" t="s">
        <v>68</v>
      </c>
      <c r="AY6832" t="s">
        <v>69</v>
      </c>
      <c r="AZ6832" t="b">
        <v>1</v>
      </c>
    </row>
    <row r="6833" spans="1:52" x14ac:dyDescent="0.3">
      <c r="A6833" t="s">
        <v>52</v>
      </c>
      <c r="B6833" t="s">
        <v>53</v>
      </c>
      <c r="C6833" t="s">
        <v>54</v>
      </c>
      <c r="D6833" t="s">
        <v>55</v>
      </c>
      <c r="E6833" t="s">
        <v>2296</v>
      </c>
      <c r="F6833" t="s">
        <v>1247</v>
      </c>
      <c r="G6833" t="s">
        <v>1529</v>
      </c>
      <c r="H6833" t="s">
        <v>1530</v>
      </c>
      <c r="I6833" t="s">
        <v>1530</v>
      </c>
      <c r="J6833" t="s">
        <v>60</v>
      </c>
      <c r="K6833" t="s">
        <v>1466</v>
      </c>
      <c r="L6833" t="s">
        <v>62</v>
      </c>
      <c r="M6833" t="s">
        <v>1466</v>
      </c>
      <c r="N6833" t="s">
        <v>1531</v>
      </c>
      <c r="O6833" t="s">
        <v>145</v>
      </c>
      <c r="P6833">
        <v>-20.162952000000001</v>
      </c>
      <c r="Q6833">
        <v>-44.877612999999997</v>
      </c>
      <c r="R6833" s="2" t="str">
        <f>HYPERLINK("https://www.google.com/maps?q=-20.1629520,-44.8776130","Abrir no Google Maps")</f>
        <v>Abrir no Google Maps</v>
      </c>
      <c r="S6833">
        <v>2</v>
      </c>
      <c r="T6833">
        <v>229.91388913695721</v>
      </c>
      <c r="U6833">
        <v>1</v>
      </c>
      <c r="V6833">
        <v>0.14888452675442471</v>
      </c>
      <c r="W6833">
        <v>0.85</v>
      </c>
      <c r="X6833">
        <v>0.12655184774126099</v>
      </c>
      <c r="Y6833">
        <v>671</v>
      </c>
      <c r="Z6833">
        <v>157.6775523644973</v>
      </c>
      <c r="AA6833">
        <v>198</v>
      </c>
      <c r="AB6833">
        <v>332</v>
      </c>
      <c r="AC6833">
        <v>536</v>
      </c>
      <c r="AD6833">
        <v>28.93</v>
      </c>
      <c r="AE6833">
        <v>542</v>
      </c>
      <c r="AF6833">
        <v>29</v>
      </c>
      <c r="AG6833">
        <v>166</v>
      </c>
      <c r="AH6833">
        <v>129</v>
      </c>
      <c r="AI6833">
        <v>5.35</v>
      </c>
      <c r="AJ6833">
        <v>30.63</v>
      </c>
      <c r="AK6833">
        <v>23.8</v>
      </c>
      <c r="AL6833">
        <v>-20.16278829999996</v>
      </c>
      <c r="AM6833">
        <v>-44.877564655204168</v>
      </c>
      <c r="AN6833">
        <v>-20.16278829999996</v>
      </c>
      <c r="AO6833">
        <v>-44.877564655204168</v>
      </c>
      <c r="AP6833">
        <v>-20.162952000000001</v>
      </c>
      <c r="AQ6833">
        <v>-44.877612999999997</v>
      </c>
      <c r="AR6833">
        <v>18.91038935762678</v>
      </c>
      <c r="AS6833" t="s">
        <v>65</v>
      </c>
      <c r="AT6833">
        <v>1</v>
      </c>
      <c r="AU6833" t="s">
        <v>1532</v>
      </c>
      <c r="AV6833" t="s">
        <v>1533</v>
      </c>
      <c r="AW6833" t="s">
        <v>60</v>
      </c>
      <c r="AX6833" t="s">
        <v>68</v>
      </c>
      <c r="AY6833" t="s">
        <v>69</v>
      </c>
      <c r="AZ6833" t="b">
        <v>1</v>
      </c>
    </row>
    <row r="6834" spans="1:52" x14ac:dyDescent="0.3">
      <c r="A6834" t="s">
        <v>52</v>
      </c>
      <c r="B6834" t="s">
        <v>53</v>
      </c>
      <c r="C6834" t="s">
        <v>54</v>
      </c>
      <c r="D6834" t="s">
        <v>55</v>
      </c>
      <c r="E6834" t="s">
        <v>2296</v>
      </c>
      <c r="F6834" t="s">
        <v>1247</v>
      </c>
      <c r="G6834" t="s">
        <v>1607</v>
      </c>
      <c r="H6834" t="s">
        <v>1608</v>
      </c>
      <c r="I6834" t="s">
        <v>1608</v>
      </c>
      <c r="J6834" t="s">
        <v>60</v>
      </c>
      <c r="K6834" t="s">
        <v>1486</v>
      </c>
      <c r="L6834" t="s">
        <v>62</v>
      </c>
      <c r="M6834" t="s">
        <v>1486</v>
      </c>
      <c r="N6834" t="s">
        <v>1609</v>
      </c>
      <c r="O6834" t="s">
        <v>1255</v>
      </c>
      <c r="P6834">
        <v>-20.157689000000001</v>
      </c>
      <c r="Q6834">
        <v>-44.883887000000001</v>
      </c>
      <c r="R6834" s="2" t="str">
        <f>HYPERLINK("https://www.google.com/maps?q=-20.1576890,-44.8838870","Abrir no Google Maps")</f>
        <v>Abrir no Google Maps</v>
      </c>
      <c r="S6834">
        <v>1</v>
      </c>
      <c r="T6834">
        <v>603.38424821205774</v>
      </c>
      <c r="U6834">
        <v>2</v>
      </c>
      <c r="V6834">
        <v>0.15431113029872229</v>
      </c>
      <c r="W6834">
        <v>1</v>
      </c>
      <c r="X6834">
        <v>0.15431113029872229</v>
      </c>
      <c r="Y6834">
        <v>671</v>
      </c>
      <c r="Z6834">
        <v>682.48636898467089</v>
      </c>
      <c r="AA6834">
        <v>198</v>
      </c>
      <c r="AB6834">
        <v>332</v>
      </c>
      <c r="AC6834">
        <v>536</v>
      </c>
      <c r="AD6834">
        <v>28.93</v>
      </c>
      <c r="AE6834">
        <v>542</v>
      </c>
      <c r="AF6834">
        <v>29</v>
      </c>
      <c r="AG6834">
        <v>166</v>
      </c>
      <c r="AH6834">
        <v>129</v>
      </c>
      <c r="AI6834">
        <v>5.35</v>
      </c>
      <c r="AJ6834">
        <v>30.63</v>
      </c>
      <c r="AK6834">
        <v>23.8</v>
      </c>
      <c r="AL6834">
        <v>-20.157732249999949</v>
      </c>
      <c r="AM6834">
        <v>-44.883829923283272</v>
      </c>
      <c r="AN6834">
        <v>-20.157732249999949</v>
      </c>
      <c r="AO6834">
        <v>-44.883829923283272</v>
      </c>
      <c r="AP6834">
        <v>-20.157689000000001</v>
      </c>
      <c r="AQ6834">
        <v>-44.883887000000001</v>
      </c>
      <c r="AR6834">
        <v>7.6652901074925257</v>
      </c>
      <c r="AS6834" t="s">
        <v>65</v>
      </c>
      <c r="AT6834">
        <v>1</v>
      </c>
      <c r="AU6834" t="s">
        <v>1610</v>
      </c>
      <c r="AV6834" t="s">
        <v>1611</v>
      </c>
      <c r="AW6834" t="s">
        <v>60</v>
      </c>
      <c r="AX6834" t="s">
        <v>68</v>
      </c>
      <c r="AY6834" t="s">
        <v>69</v>
      </c>
      <c r="AZ6834" t="b">
        <v>1</v>
      </c>
    </row>
    <row r="6835" spans="1:52" x14ac:dyDescent="0.3">
      <c r="A6835" t="s">
        <v>52</v>
      </c>
      <c r="B6835" t="s">
        <v>53</v>
      </c>
      <c r="C6835" t="s">
        <v>54</v>
      </c>
      <c r="D6835" t="s">
        <v>55</v>
      </c>
      <c r="E6835" t="s">
        <v>2296</v>
      </c>
      <c r="F6835" t="s">
        <v>1247</v>
      </c>
      <c r="G6835" t="s">
        <v>631</v>
      </c>
      <c r="H6835" t="s">
        <v>1565</v>
      </c>
      <c r="I6835" t="s">
        <v>1565</v>
      </c>
      <c r="J6835" t="s">
        <v>60</v>
      </c>
      <c r="K6835" t="s">
        <v>530</v>
      </c>
      <c r="L6835" t="s">
        <v>62</v>
      </c>
      <c r="M6835" t="s">
        <v>530</v>
      </c>
      <c r="N6835" t="s">
        <v>633</v>
      </c>
      <c r="O6835" t="s">
        <v>1566</v>
      </c>
      <c r="P6835">
        <v>-20.143915</v>
      </c>
      <c r="Q6835">
        <v>-44.8947</v>
      </c>
      <c r="R6835" s="2" t="str">
        <f>HYPERLINK("https://www.google.com/maps?q=-20.1439150,-44.8947000","Abrir no Google Maps")</f>
        <v>Abrir no Google Maps</v>
      </c>
      <c r="S6835">
        <v>1</v>
      </c>
      <c r="T6835">
        <v>327.74435325417051</v>
      </c>
      <c r="U6835">
        <v>1</v>
      </c>
      <c r="V6835">
        <v>0.11378032700421919</v>
      </c>
      <c r="W6835">
        <v>1</v>
      </c>
      <c r="X6835">
        <v>0.11378032700421919</v>
      </c>
      <c r="Y6835">
        <v>602</v>
      </c>
      <c r="Z6835">
        <v>236.41345279429891</v>
      </c>
      <c r="AA6835">
        <v>198</v>
      </c>
      <c r="AB6835">
        <v>332</v>
      </c>
      <c r="AC6835">
        <v>536</v>
      </c>
      <c r="AD6835">
        <v>28.93</v>
      </c>
      <c r="AE6835">
        <v>542</v>
      </c>
      <c r="AF6835">
        <v>29</v>
      </c>
      <c r="AG6835">
        <v>166</v>
      </c>
      <c r="AH6835">
        <v>129</v>
      </c>
      <c r="AI6835">
        <v>5.35</v>
      </c>
      <c r="AJ6835">
        <v>30.63</v>
      </c>
      <c r="AK6835">
        <v>23.8</v>
      </c>
      <c r="AL6835">
        <v>-20.143900549999959</v>
      </c>
      <c r="AM6835">
        <v>-44.894835636584318</v>
      </c>
      <c r="AN6835">
        <v>-20.143900549999959</v>
      </c>
      <c r="AO6835">
        <v>-44.894835636584318</v>
      </c>
      <c r="AP6835">
        <v>-20.143915</v>
      </c>
      <c r="AQ6835">
        <v>-44.8947</v>
      </c>
      <c r="AR6835">
        <v>14.266440053785869</v>
      </c>
      <c r="AS6835" t="s">
        <v>65</v>
      </c>
      <c r="AT6835">
        <v>1</v>
      </c>
      <c r="AU6835" t="s">
        <v>1567</v>
      </c>
      <c r="AV6835" t="s">
        <v>1568</v>
      </c>
      <c r="AW6835" t="s">
        <v>60</v>
      </c>
      <c r="AX6835" t="s">
        <v>68</v>
      </c>
      <c r="AY6835" t="s">
        <v>69</v>
      </c>
      <c r="AZ6835" t="b">
        <v>1</v>
      </c>
    </row>
    <row r="6836" spans="1:52" x14ac:dyDescent="0.3">
      <c r="A6836" t="s">
        <v>52</v>
      </c>
      <c r="B6836" t="s">
        <v>53</v>
      </c>
      <c r="C6836" t="s">
        <v>54</v>
      </c>
      <c r="D6836" t="s">
        <v>55</v>
      </c>
      <c r="E6836" t="s">
        <v>2296</v>
      </c>
      <c r="F6836" t="s">
        <v>1247</v>
      </c>
      <c r="G6836" t="s">
        <v>1569</v>
      </c>
      <c r="H6836" t="s">
        <v>1570</v>
      </c>
      <c r="I6836" t="s">
        <v>1570</v>
      </c>
      <c r="J6836" t="s">
        <v>60</v>
      </c>
      <c r="K6836" t="s">
        <v>530</v>
      </c>
      <c r="L6836" t="s">
        <v>62</v>
      </c>
      <c r="M6836" t="s">
        <v>530</v>
      </c>
      <c r="N6836" t="s">
        <v>1571</v>
      </c>
      <c r="O6836" t="s">
        <v>598</v>
      </c>
      <c r="P6836">
        <v>-20.146418000000001</v>
      </c>
      <c r="Q6836">
        <v>-44.893861999999999</v>
      </c>
      <c r="R6836" s="2" t="str">
        <f>HYPERLINK("https://www.google.com/maps?q=-20.1464180,-44.8938620","Abrir no Google Maps")</f>
        <v>Abrir no Google Maps</v>
      </c>
      <c r="S6836">
        <v>1</v>
      </c>
      <c r="T6836">
        <v>0</v>
      </c>
      <c r="U6836">
        <v>1</v>
      </c>
      <c r="V6836">
        <v>0.10724490939360939</v>
      </c>
      <c r="W6836">
        <v>0.85</v>
      </c>
      <c r="X6836">
        <v>9.1158172984567978E-2</v>
      </c>
      <c r="Y6836">
        <v>602</v>
      </c>
      <c r="Z6836">
        <v>124.5475134899211</v>
      </c>
      <c r="AA6836">
        <v>198</v>
      </c>
      <c r="AB6836">
        <v>332</v>
      </c>
      <c r="AC6836">
        <v>536</v>
      </c>
      <c r="AD6836">
        <v>28.93</v>
      </c>
      <c r="AE6836">
        <v>542</v>
      </c>
      <c r="AF6836">
        <v>29</v>
      </c>
      <c r="AG6836">
        <v>166</v>
      </c>
      <c r="AH6836">
        <v>129</v>
      </c>
      <c r="AI6836">
        <v>5.35</v>
      </c>
      <c r="AJ6836">
        <v>30.63</v>
      </c>
      <c r="AK6836">
        <v>23.8</v>
      </c>
      <c r="AL6836">
        <v>-20.146753399999941</v>
      </c>
      <c r="AM6836">
        <v>-44.893993355901941</v>
      </c>
      <c r="AN6836">
        <v>-20.146753399999941</v>
      </c>
      <c r="AO6836">
        <v>-44.893993355901941</v>
      </c>
      <c r="AP6836">
        <v>-20.146418000000001</v>
      </c>
      <c r="AQ6836">
        <v>-44.893861999999999</v>
      </c>
      <c r="AR6836">
        <v>39.780457157851913</v>
      </c>
      <c r="AS6836" t="s">
        <v>65</v>
      </c>
      <c r="AT6836">
        <v>1</v>
      </c>
      <c r="AU6836" t="s">
        <v>1572</v>
      </c>
      <c r="AV6836" t="s">
        <v>1573</v>
      </c>
      <c r="AW6836" t="s">
        <v>60</v>
      </c>
      <c r="AX6836" t="s">
        <v>68</v>
      </c>
      <c r="AY6836" t="s">
        <v>69</v>
      </c>
      <c r="AZ6836" t="b">
        <v>1</v>
      </c>
    </row>
    <row r="6837" spans="1:52" x14ac:dyDescent="0.3">
      <c r="A6837" t="s">
        <v>52</v>
      </c>
      <c r="B6837" t="s">
        <v>53</v>
      </c>
      <c r="C6837" t="s">
        <v>54</v>
      </c>
      <c r="D6837" t="s">
        <v>55</v>
      </c>
      <c r="E6837" t="s">
        <v>2296</v>
      </c>
      <c r="F6837" t="s">
        <v>1247</v>
      </c>
      <c r="G6837" t="s">
        <v>1569</v>
      </c>
      <c r="H6837" t="s">
        <v>1574</v>
      </c>
      <c r="I6837" t="s">
        <v>1574</v>
      </c>
      <c r="J6837" t="s">
        <v>60</v>
      </c>
      <c r="K6837" t="s">
        <v>530</v>
      </c>
      <c r="L6837" t="s">
        <v>62</v>
      </c>
      <c r="M6837" t="s">
        <v>530</v>
      </c>
      <c r="N6837" t="s">
        <v>1571</v>
      </c>
      <c r="O6837" t="s">
        <v>1575</v>
      </c>
      <c r="P6837">
        <v>-20.14554</v>
      </c>
      <c r="Q6837">
        <v>-44.895606000000001</v>
      </c>
      <c r="R6837" s="2" t="str">
        <f>HYPERLINK("https://www.google.com/maps?q=-20.1455400,-44.8956060","Abrir no Google Maps")</f>
        <v>Abrir no Google Maps</v>
      </c>
      <c r="S6837">
        <v>1</v>
      </c>
      <c r="T6837">
        <v>218.66647838959381</v>
      </c>
      <c r="U6837">
        <v>1</v>
      </c>
      <c r="V6837">
        <v>0.1124679487179487</v>
      </c>
      <c r="W6837">
        <v>1</v>
      </c>
      <c r="X6837">
        <v>0.1124679487179487</v>
      </c>
      <c r="Y6837">
        <v>602</v>
      </c>
      <c r="Z6837">
        <v>263.6501043391637</v>
      </c>
      <c r="AA6837">
        <v>198</v>
      </c>
      <c r="AB6837">
        <v>332</v>
      </c>
      <c r="AC6837">
        <v>536</v>
      </c>
      <c r="AD6837">
        <v>28.93</v>
      </c>
      <c r="AE6837">
        <v>542</v>
      </c>
      <c r="AF6837">
        <v>29</v>
      </c>
      <c r="AG6837">
        <v>166</v>
      </c>
      <c r="AH6837">
        <v>129</v>
      </c>
      <c r="AI6837">
        <v>5.35</v>
      </c>
      <c r="AJ6837">
        <v>30.63</v>
      </c>
      <c r="AK6837">
        <v>23.8</v>
      </c>
      <c r="AL6837">
        <v>-20.145504749999962</v>
      </c>
      <c r="AM6837">
        <v>-44.89561499588882</v>
      </c>
      <c r="AN6837">
        <v>-20.145504749999962</v>
      </c>
      <c r="AO6837">
        <v>-44.89561499588882</v>
      </c>
      <c r="AP6837">
        <v>-20.14554</v>
      </c>
      <c r="AQ6837">
        <v>-44.895606000000001</v>
      </c>
      <c r="AR6837">
        <v>4.0350843151508604</v>
      </c>
      <c r="AS6837" t="s">
        <v>65</v>
      </c>
      <c r="AT6837">
        <v>1</v>
      </c>
      <c r="AU6837" t="s">
        <v>1576</v>
      </c>
      <c r="AV6837" t="s">
        <v>1577</v>
      </c>
      <c r="AW6837" t="s">
        <v>60</v>
      </c>
      <c r="AX6837" t="s">
        <v>68</v>
      </c>
      <c r="AY6837" t="s">
        <v>69</v>
      </c>
      <c r="AZ6837" t="b">
        <v>1</v>
      </c>
    </row>
    <row r="6838" spans="1:52" x14ac:dyDescent="0.3">
      <c r="A6838" t="s">
        <v>52</v>
      </c>
      <c r="B6838" t="s">
        <v>53</v>
      </c>
      <c r="C6838" t="s">
        <v>54</v>
      </c>
      <c r="D6838" t="s">
        <v>55</v>
      </c>
      <c r="E6838" t="s">
        <v>2296</v>
      </c>
      <c r="F6838" t="s">
        <v>1247</v>
      </c>
      <c r="G6838" t="s">
        <v>1578</v>
      </c>
      <c r="H6838" t="s">
        <v>1579</v>
      </c>
      <c r="I6838" t="s">
        <v>1579</v>
      </c>
      <c r="J6838" t="s">
        <v>60</v>
      </c>
      <c r="K6838" t="s">
        <v>530</v>
      </c>
      <c r="L6838" t="s">
        <v>62</v>
      </c>
      <c r="M6838" t="s">
        <v>530</v>
      </c>
      <c r="N6838" t="s">
        <v>1580</v>
      </c>
      <c r="O6838" t="s">
        <v>1581</v>
      </c>
      <c r="P6838">
        <v>-20.143713999999999</v>
      </c>
      <c r="Q6838">
        <v>-44.897387999999999</v>
      </c>
      <c r="R6838" s="2" t="str">
        <f>HYPERLINK("https://www.google.com/maps?q=-20.1437140,-44.8973880","Abrir no Google Maps")</f>
        <v>Abrir no Google Maps</v>
      </c>
      <c r="S6838">
        <v>1</v>
      </c>
      <c r="T6838">
        <v>354.74438118735611</v>
      </c>
      <c r="U6838">
        <v>1</v>
      </c>
      <c r="V6838">
        <v>0.11032219199860881</v>
      </c>
      <c r="W6838">
        <v>1</v>
      </c>
      <c r="X6838">
        <v>0.11032219199860881</v>
      </c>
      <c r="Y6838">
        <v>588</v>
      </c>
      <c r="Z6838">
        <v>336.29881064197872</v>
      </c>
      <c r="AA6838">
        <v>198</v>
      </c>
      <c r="AB6838">
        <v>332</v>
      </c>
      <c r="AC6838">
        <v>536</v>
      </c>
      <c r="AD6838">
        <v>28.93</v>
      </c>
      <c r="AE6838">
        <v>542</v>
      </c>
      <c r="AF6838">
        <v>29</v>
      </c>
      <c r="AG6838">
        <v>166</v>
      </c>
      <c r="AH6838">
        <v>129</v>
      </c>
      <c r="AI6838">
        <v>5.35</v>
      </c>
      <c r="AJ6838">
        <v>30.63</v>
      </c>
      <c r="AK6838">
        <v>23.8</v>
      </c>
      <c r="AL6838">
        <v>-20.14371329999997</v>
      </c>
      <c r="AM6838">
        <v>-44.897384604125257</v>
      </c>
      <c r="AN6838">
        <v>-20.14371329999997</v>
      </c>
      <c r="AO6838">
        <v>-44.897384604125257</v>
      </c>
      <c r="AP6838">
        <v>-20.143713999999999</v>
      </c>
      <c r="AQ6838">
        <v>-44.897387999999999</v>
      </c>
      <c r="AR6838">
        <v>0.36335934693921551</v>
      </c>
      <c r="AS6838" t="s">
        <v>65</v>
      </c>
      <c r="AT6838">
        <v>1</v>
      </c>
      <c r="AU6838" t="s">
        <v>1582</v>
      </c>
      <c r="AV6838" t="s">
        <v>1583</v>
      </c>
      <c r="AW6838" t="s">
        <v>60</v>
      </c>
      <c r="AX6838" t="s">
        <v>68</v>
      </c>
      <c r="AY6838" t="s">
        <v>69</v>
      </c>
      <c r="AZ6838" t="b">
        <v>1</v>
      </c>
    </row>
    <row r="6839" spans="1:52" x14ac:dyDescent="0.3">
      <c r="A6839" t="s">
        <v>52</v>
      </c>
      <c r="B6839" t="s">
        <v>53</v>
      </c>
      <c r="C6839" t="s">
        <v>54</v>
      </c>
      <c r="D6839" t="s">
        <v>55</v>
      </c>
      <c r="E6839" t="s">
        <v>2296</v>
      </c>
      <c r="F6839" t="s">
        <v>1247</v>
      </c>
      <c r="G6839" t="s">
        <v>1584</v>
      </c>
      <c r="H6839" t="s">
        <v>1585</v>
      </c>
      <c r="I6839" t="s">
        <v>1585</v>
      </c>
      <c r="J6839" t="s">
        <v>60</v>
      </c>
      <c r="K6839" t="s">
        <v>530</v>
      </c>
      <c r="L6839" t="s">
        <v>62</v>
      </c>
      <c r="M6839" t="s">
        <v>530</v>
      </c>
      <c r="N6839" t="s">
        <v>406</v>
      </c>
      <c r="O6839" t="s">
        <v>1586</v>
      </c>
      <c r="P6839">
        <v>-20.141316</v>
      </c>
      <c r="Q6839">
        <v>-44.896424000000003</v>
      </c>
      <c r="R6839" s="2" t="str">
        <f>HYPERLINK("https://www.google.com/maps?q=-20.1413160,-44.8964240","Abrir no Google Maps")</f>
        <v>Abrir no Google Maps</v>
      </c>
      <c r="S6839">
        <v>1</v>
      </c>
      <c r="T6839">
        <v>236.6687095166524</v>
      </c>
      <c r="U6839">
        <v>1</v>
      </c>
      <c r="V6839">
        <v>0.1131676878362986</v>
      </c>
      <c r="W6839">
        <v>1</v>
      </c>
      <c r="X6839">
        <v>0.1131676878362986</v>
      </c>
      <c r="Y6839">
        <v>588</v>
      </c>
      <c r="Z6839">
        <v>255.50729797374251</v>
      </c>
      <c r="AA6839">
        <v>198</v>
      </c>
      <c r="AB6839">
        <v>332</v>
      </c>
      <c r="AC6839">
        <v>536</v>
      </c>
      <c r="AD6839">
        <v>28.93</v>
      </c>
      <c r="AE6839">
        <v>542</v>
      </c>
      <c r="AF6839">
        <v>29</v>
      </c>
      <c r="AG6839">
        <v>166</v>
      </c>
      <c r="AH6839">
        <v>129</v>
      </c>
      <c r="AI6839">
        <v>5.35</v>
      </c>
      <c r="AJ6839">
        <v>30.63</v>
      </c>
      <c r="AK6839">
        <v>23.8</v>
      </c>
      <c r="AL6839">
        <v>-20.141468299999961</v>
      </c>
      <c r="AM6839">
        <v>-44.896566678331098</v>
      </c>
      <c r="AN6839">
        <v>-20.141468299999961</v>
      </c>
      <c r="AO6839">
        <v>-44.896566678331098</v>
      </c>
      <c r="AP6839">
        <v>-20.141316</v>
      </c>
      <c r="AQ6839">
        <v>-44.896424000000003</v>
      </c>
      <c r="AR6839">
        <v>22.578666373759301</v>
      </c>
      <c r="AS6839" t="s">
        <v>65</v>
      </c>
      <c r="AT6839">
        <v>1</v>
      </c>
      <c r="AU6839" t="s">
        <v>1587</v>
      </c>
      <c r="AV6839" t="s">
        <v>1588</v>
      </c>
      <c r="AW6839" t="s">
        <v>60</v>
      </c>
      <c r="AX6839" t="s">
        <v>68</v>
      </c>
      <c r="AY6839" t="s">
        <v>69</v>
      </c>
      <c r="AZ6839" t="b">
        <v>1</v>
      </c>
    </row>
    <row r="6840" spans="1:52" x14ac:dyDescent="0.3">
      <c r="A6840" t="s">
        <v>52</v>
      </c>
      <c r="B6840" t="s">
        <v>53</v>
      </c>
      <c r="C6840" t="s">
        <v>54</v>
      </c>
      <c r="D6840" t="s">
        <v>55</v>
      </c>
      <c r="E6840" t="s">
        <v>2296</v>
      </c>
      <c r="F6840" t="s">
        <v>1247</v>
      </c>
      <c r="G6840" t="s">
        <v>1589</v>
      </c>
      <c r="H6840" t="s">
        <v>1590</v>
      </c>
      <c r="I6840" t="s">
        <v>1590</v>
      </c>
      <c r="J6840" t="s">
        <v>60</v>
      </c>
      <c r="K6840" t="s">
        <v>1591</v>
      </c>
      <c r="L6840" t="s">
        <v>62</v>
      </c>
      <c r="M6840" t="s">
        <v>1591</v>
      </c>
      <c r="N6840" t="s">
        <v>1592</v>
      </c>
      <c r="O6840" t="s">
        <v>659</v>
      </c>
      <c r="P6840">
        <v>-20.140789000000002</v>
      </c>
      <c r="Q6840">
        <v>-44.898631000000002</v>
      </c>
      <c r="R6840" s="2" t="str">
        <f>HYPERLINK("https://www.google.com/maps?q=-20.1407890,-44.8986310","Abrir no Google Maps")</f>
        <v>Abrir no Google Maps</v>
      </c>
      <c r="S6840">
        <v>1</v>
      </c>
      <c r="T6840">
        <v>0</v>
      </c>
      <c r="U6840">
        <v>1</v>
      </c>
      <c r="V6840">
        <v>0.13399147569140729</v>
      </c>
      <c r="W6840">
        <v>1</v>
      </c>
      <c r="X6840">
        <v>0.13399147569140729</v>
      </c>
      <c r="Y6840">
        <v>588</v>
      </c>
      <c r="Z6840">
        <v>51.152636251897107</v>
      </c>
      <c r="AA6840">
        <v>198</v>
      </c>
      <c r="AB6840">
        <v>332</v>
      </c>
      <c r="AC6840">
        <v>536</v>
      </c>
      <c r="AD6840">
        <v>28.93</v>
      </c>
      <c r="AE6840">
        <v>542</v>
      </c>
      <c r="AF6840">
        <v>29</v>
      </c>
      <c r="AG6840">
        <v>166</v>
      </c>
      <c r="AH6840">
        <v>129</v>
      </c>
      <c r="AI6840">
        <v>5.35</v>
      </c>
      <c r="AJ6840">
        <v>30.63</v>
      </c>
      <c r="AK6840">
        <v>23.8</v>
      </c>
      <c r="AL6840">
        <v>-20.140759399999951</v>
      </c>
      <c r="AM6840">
        <v>-44.898703172474903</v>
      </c>
      <c r="AN6840">
        <v>-20.140759399999951</v>
      </c>
      <c r="AO6840">
        <v>-44.898703172474903</v>
      </c>
      <c r="AP6840">
        <v>-20.140789000000002</v>
      </c>
      <c r="AQ6840">
        <v>-44.898631000000002</v>
      </c>
      <c r="AR6840">
        <v>8.2312502179962053</v>
      </c>
      <c r="AS6840" t="s">
        <v>65</v>
      </c>
      <c r="AT6840">
        <v>1</v>
      </c>
      <c r="AU6840" t="s">
        <v>1593</v>
      </c>
      <c r="AV6840" t="s">
        <v>1594</v>
      </c>
      <c r="AW6840" t="s">
        <v>60</v>
      </c>
      <c r="AX6840" t="s">
        <v>68</v>
      </c>
      <c r="AY6840" t="s">
        <v>69</v>
      </c>
      <c r="AZ6840" t="b">
        <v>1</v>
      </c>
    </row>
    <row r="6841" spans="1:52" x14ac:dyDescent="0.3">
      <c r="A6841" t="s">
        <v>52</v>
      </c>
      <c r="B6841" t="s">
        <v>53</v>
      </c>
      <c r="C6841" t="s">
        <v>54</v>
      </c>
      <c r="D6841" t="s">
        <v>55</v>
      </c>
      <c r="E6841" t="s">
        <v>2296</v>
      </c>
      <c r="F6841" t="s">
        <v>1247</v>
      </c>
      <c r="G6841" t="s">
        <v>1595</v>
      </c>
      <c r="H6841" t="s">
        <v>1596</v>
      </c>
      <c r="I6841" t="s">
        <v>1596</v>
      </c>
      <c r="J6841" t="s">
        <v>60</v>
      </c>
      <c r="K6841" t="s">
        <v>530</v>
      </c>
      <c r="L6841" t="s">
        <v>62</v>
      </c>
      <c r="M6841" t="s">
        <v>530</v>
      </c>
      <c r="N6841" t="s">
        <v>1006</v>
      </c>
      <c r="O6841" t="s">
        <v>1597</v>
      </c>
      <c r="P6841">
        <v>-20.139135</v>
      </c>
      <c r="Q6841">
        <v>-44.895907000000001</v>
      </c>
      <c r="R6841" s="2" t="str">
        <f>HYPERLINK("https://www.google.com/maps?q=-20.1391350,-44.8959070","Abrir no Google Maps")</f>
        <v>Abrir no Google Maps</v>
      </c>
      <c r="S6841">
        <v>1</v>
      </c>
      <c r="T6841">
        <v>324.98342996447241</v>
      </c>
      <c r="U6841">
        <v>1</v>
      </c>
      <c r="V6841">
        <v>0.12080784383599601</v>
      </c>
      <c r="W6841">
        <v>1</v>
      </c>
      <c r="X6841">
        <v>0.12080784383599601</v>
      </c>
      <c r="Y6841">
        <v>588</v>
      </c>
      <c r="Z6841">
        <v>411.69998599301618</v>
      </c>
      <c r="AA6841">
        <v>198</v>
      </c>
      <c r="AB6841">
        <v>332</v>
      </c>
      <c r="AC6841">
        <v>536</v>
      </c>
      <c r="AD6841">
        <v>28.93</v>
      </c>
      <c r="AE6841">
        <v>542</v>
      </c>
      <c r="AF6841">
        <v>29</v>
      </c>
      <c r="AG6841">
        <v>166</v>
      </c>
      <c r="AH6841">
        <v>129</v>
      </c>
      <c r="AI6841">
        <v>5.35</v>
      </c>
      <c r="AJ6841">
        <v>30.63</v>
      </c>
      <c r="AK6841">
        <v>23.8</v>
      </c>
      <c r="AL6841">
        <v>-20.139299649999941</v>
      </c>
      <c r="AM6841">
        <v>-44.896005009217312</v>
      </c>
      <c r="AN6841">
        <v>-20.139299649999941</v>
      </c>
      <c r="AO6841">
        <v>-44.896005009217312</v>
      </c>
      <c r="AP6841">
        <v>-20.139135</v>
      </c>
      <c r="AQ6841">
        <v>-44.895907000000001</v>
      </c>
      <c r="AR6841">
        <v>20.996943428875841</v>
      </c>
      <c r="AS6841" t="s">
        <v>65</v>
      </c>
      <c r="AT6841">
        <v>1</v>
      </c>
      <c r="AU6841" t="s">
        <v>1598</v>
      </c>
      <c r="AV6841" t="s">
        <v>1599</v>
      </c>
      <c r="AW6841" t="s">
        <v>60</v>
      </c>
      <c r="AX6841" t="s">
        <v>68</v>
      </c>
      <c r="AY6841" t="s">
        <v>69</v>
      </c>
      <c r="AZ6841" t="b">
        <v>1</v>
      </c>
    </row>
    <row r="6842" spans="1:52" x14ac:dyDescent="0.3">
      <c r="A6842" t="s">
        <v>52</v>
      </c>
      <c r="B6842" t="s">
        <v>53</v>
      </c>
      <c r="C6842" t="s">
        <v>54</v>
      </c>
      <c r="D6842" t="s">
        <v>55</v>
      </c>
      <c r="E6842" t="s">
        <v>2296</v>
      </c>
      <c r="F6842" t="s">
        <v>1247</v>
      </c>
      <c r="G6842" t="s">
        <v>1342</v>
      </c>
      <c r="H6842" t="s">
        <v>1600</v>
      </c>
      <c r="I6842" t="s">
        <v>1600</v>
      </c>
      <c r="J6842" t="s">
        <v>60</v>
      </c>
      <c r="K6842" t="s">
        <v>462</v>
      </c>
      <c r="L6842" t="s">
        <v>62</v>
      </c>
      <c r="M6842" t="s">
        <v>462</v>
      </c>
      <c r="N6842" t="s">
        <v>921</v>
      </c>
      <c r="O6842" t="s">
        <v>1601</v>
      </c>
      <c r="P6842">
        <v>-20.140741999999999</v>
      </c>
      <c r="Q6842">
        <v>-44.902729000000001</v>
      </c>
      <c r="R6842" s="2" t="str">
        <f>HYPERLINK("https://www.google.com/maps?q=-20.1407420,-44.9027290","Abrir no Google Maps")</f>
        <v>Abrir no Google Maps</v>
      </c>
      <c r="S6842">
        <v>1</v>
      </c>
      <c r="T6842">
        <v>373.97936588503438</v>
      </c>
      <c r="U6842">
        <v>1</v>
      </c>
      <c r="V6842">
        <v>0.1291209514779362</v>
      </c>
      <c r="W6842">
        <v>1</v>
      </c>
      <c r="X6842">
        <v>0.1291209514779362</v>
      </c>
      <c r="Y6842">
        <v>588</v>
      </c>
      <c r="Z6842">
        <v>427.55758539734131</v>
      </c>
      <c r="AA6842">
        <v>198</v>
      </c>
      <c r="AB6842">
        <v>332</v>
      </c>
      <c r="AC6842">
        <v>536</v>
      </c>
      <c r="AD6842">
        <v>28.93</v>
      </c>
      <c r="AE6842">
        <v>542</v>
      </c>
      <c r="AF6842">
        <v>29</v>
      </c>
      <c r="AG6842">
        <v>166</v>
      </c>
      <c r="AH6842">
        <v>129</v>
      </c>
      <c r="AI6842">
        <v>5.35</v>
      </c>
      <c r="AJ6842">
        <v>30.63</v>
      </c>
      <c r="AK6842">
        <v>23.8</v>
      </c>
      <c r="AL6842">
        <v>-20.140729549999971</v>
      </c>
      <c r="AM6842">
        <v>-44.902779454814521</v>
      </c>
      <c r="AN6842">
        <v>-20.140729549999971</v>
      </c>
      <c r="AO6842">
        <v>-44.902779454814521</v>
      </c>
      <c r="AP6842">
        <v>-20.140741999999999</v>
      </c>
      <c r="AQ6842">
        <v>-44.902729000000001</v>
      </c>
      <c r="AR6842">
        <v>5.4522610212697993</v>
      </c>
      <c r="AS6842" t="s">
        <v>65</v>
      </c>
      <c r="AT6842">
        <v>1</v>
      </c>
      <c r="AU6842" t="s">
        <v>1602</v>
      </c>
      <c r="AV6842" t="s">
        <v>1603</v>
      </c>
      <c r="AW6842" t="s">
        <v>60</v>
      </c>
      <c r="AX6842" t="s">
        <v>68</v>
      </c>
      <c r="AY6842" t="s">
        <v>69</v>
      </c>
      <c r="AZ6842" t="b">
        <v>1</v>
      </c>
    </row>
    <row r="6843" spans="1:52" x14ac:dyDescent="0.3">
      <c r="A6843" t="s">
        <v>52</v>
      </c>
      <c r="B6843" t="s">
        <v>53</v>
      </c>
      <c r="C6843" t="s">
        <v>54</v>
      </c>
      <c r="D6843" t="s">
        <v>55</v>
      </c>
      <c r="E6843" t="s">
        <v>2296</v>
      </c>
      <c r="F6843" t="s">
        <v>1247</v>
      </c>
      <c r="G6843" t="s">
        <v>1612</v>
      </c>
      <c r="H6843" t="s">
        <v>1613</v>
      </c>
      <c r="I6843" t="s">
        <v>1613</v>
      </c>
      <c r="J6843" t="s">
        <v>60</v>
      </c>
      <c r="K6843" t="s">
        <v>1349</v>
      </c>
      <c r="L6843" t="s">
        <v>62</v>
      </c>
      <c r="M6843" t="s">
        <v>1349</v>
      </c>
      <c r="N6843" t="s">
        <v>1614</v>
      </c>
      <c r="O6843" t="s">
        <v>710</v>
      </c>
      <c r="P6843">
        <v>-20.141335999999999</v>
      </c>
      <c r="Q6843">
        <v>-44.901133000000002</v>
      </c>
      <c r="R6843" s="2" t="str">
        <f>HYPERLINK("https://www.google.com/maps?q=-20.1413360,-44.9011330","Abrir no Google Maps")</f>
        <v>Abrir no Google Maps</v>
      </c>
      <c r="S6843">
        <v>1</v>
      </c>
      <c r="T6843">
        <v>257.92927430829218</v>
      </c>
      <c r="U6843">
        <v>1</v>
      </c>
      <c r="V6843">
        <v>0.1240276326483222</v>
      </c>
      <c r="W6843">
        <v>0.85</v>
      </c>
      <c r="X6843">
        <v>0.10542348775107389</v>
      </c>
      <c r="Y6843">
        <v>588</v>
      </c>
      <c r="Z6843">
        <v>252.62617475231269</v>
      </c>
      <c r="AA6843">
        <v>198</v>
      </c>
      <c r="AB6843">
        <v>332</v>
      </c>
      <c r="AC6843">
        <v>536</v>
      </c>
      <c r="AD6843">
        <v>28.93</v>
      </c>
      <c r="AE6843">
        <v>542</v>
      </c>
      <c r="AF6843">
        <v>29</v>
      </c>
      <c r="AG6843">
        <v>166</v>
      </c>
      <c r="AH6843">
        <v>129</v>
      </c>
      <c r="AI6843">
        <v>5.35</v>
      </c>
      <c r="AJ6843">
        <v>30.63</v>
      </c>
      <c r="AK6843">
        <v>23.8</v>
      </c>
      <c r="AL6843">
        <v>-20.141297649999959</v>
      </c>
      <c r="AM6843">
        <v>-44.901104406351408</v>
      </c>
      <c r="AN6843">
        <v>-20.141297649999959</v>
      </c>
      <c r="AO6843">
        <v>-44.901104406351408</v>
      </c>
      <c r="AP6843">
        <v>-20.141335999999999</v>
      </c>
      <c r="AQ6843">
        <v>-44.901133000000002</v>
      </c>
      <c r="AR6843">
        <v>5.211130154459668</v>
      </c>
      <c r="AS6843" t="s">
        <v>65</v>
      </c>
      <c r="AT6843">
        <v>1</v>
      </c>
      <c r="AU6843" t="s">
        <v>1615</v>
      </c>
      <c r="AV6843" t="s">
        <v>1616</v>
      </c>
      <c r="AW6843" t="s">
        <v>60</v>
      </c>
      <c r="AX6843" t="s">
        <v>68</v>
      </c>
      <c r="AY6843" t="s">
        <v>69</v>
      </c>
      <c r="AZ6843" t="b">
        <v>1</v>
      </c>
    </row>
    <row r="6844" spans="1:52" x14ac:dyDescent="0.3">
      <c r="A6844" t="s">
        <v>52</v>
      </c>
      <c r="B6844" t="s">
        <v>53</v>
      </c>
      <c r="C6844" t="s">
        <v>54</v>
      </c>
      <c r="D6844" t="s">
        <v>55</v>
      </c>
      <c r="E6844" t="s">
        <v>2296</v>
      </c>
      <c r="F6844" t="s">
        <v>1247</v>
      </c>
      <c r="G6844" t="s">
        <v>1584</v>
      </c>
      <c r="H6844" t="s">
        <v>1604</v>
      </c>
      <c r="I6844" t="s">
        <v>1604</v>
      </c>
      <c r="J6844" t="s">
        <v>60</v>
      </c>
      <c r="K6844" t="s">
        <v>530</v>
      </c>
      <c r="L6844" t="s">
        <v>62</v>
      </c>
      <c r="M6844" t="s">
        <v>530</v>
      </c>
      <c r="N6844" t="s">
        <v>406</v>
      </c>
      <c r="O6844" t="s">
        <v>1267</v>
      </c>
      <c r="P6844">
        <v>-20.147068000000001</v>
      </c>
      <c r="Q6844">
        <v>-44.898629999999997</v>
      </c>
      <c r="R6844" s="2" t="str">
        <f>HYPERLINK("https://www.google.com/maps?q=-20.1470680,-44.8986300","Abrir no Google Maps")</f>
        <v>Abrir no Google Maps</v>
      </c>
      <c r="S6844">
        <v>1</v>
      </c>
      <c r="T6844">
        <v>468.5580266389448</v>
      </c>
      <c r="U6844">
        <v>1</v>
      </c>
      <c r="V6844">
        <v>0.12530893335482429</v>
      </c>
      <c r="W6844">
        <v>1</v>
      </c>
      <c r="X6844">
        <v>0.12530893335482429</v>
      </c>
      <c r="Y6844">
        <v>556</v>
      </c>
      <c r="Z6844">
        <v>447.77738134922419</v>
      </c>
      <c r="AA6844">
        <v>198</v>
      </c>
      <c r="AB6844">
        <v>332</v>
      </c>
      <c r="AC6844">
        <v>536</v>
      </c>
      <c r="AD6844">
        <v>28.93</v>
      </c>
      <c r="AE6844">
        <v>542</v>
      </c>
      <c r="AF6844">
        <v>29</v>
      </c>
      <c r="AG6844">
        <v>166</v>
      </c>
      <c r="AH6844">
        <v>129</v>
      </c>
      <c r="AI6844">
        <v>5.35</v>
      </c>
      <c r="AJ6844">
        <v>30.63</v>
      </c>
      <c r="AK6844">
        <v>23.8</v>
      </c>
      <c r="AL6844">
        <v>-20.14701759999997</v>
      </c>
      <c r="AM6844">
        <v>-44.898633710342303</v>
      </c>
      <c r="AN6844">
        <v>-20.14701759999997</v>
      </c>
      <c r="AO6844">
        <v>-44.898633710342303</v>
      </c>
      <c r="AP6844">
        <v>-20.147068000000001</v>
      </c>
      <c r="AQ6844">
        <v>-44.898629999999997</v>
      </c>
      <c r="AR6844">
        <v>5.6239118246064832</v>
      </c>
      <c r="AS6844" t="s">
        <v>65</v>
      </c>
      <c r="AT6844">
        <v>1</v>
      </c>
      <c r="AU6844" t="s">
        <v>1605</v>
      </c>
      <c r="AV6844" t="s">
        <v>1606</v>
      </c>
      <c r="AW6844" t="s">
        <v>60</v>
      </c>
      <c r="AX6844" t="s">
        <v>68</v>
      </c>
      <c r="AY6844" t="s">
        <v>69</v>
      </c>
      <c r="AZ6844" t="b">
        <v>1</v>
      </c>
    </row>
  </sheetData>
  <autoFilter ref="A1:AZ6844" xr:uid="{00000000-0009-0000-0000-00000A000000}"/>
  <conditionalFormatting sqref="F2:F6844">
    <cfRule type="expression" dxfId="2" priority="1">
      <formula>$F2="Ideal"</formula>
    </cfRule>
    <cfRule type="expression" dxfId="1" priority="2">
      <formula>$F2="Subideal"</formula>
    </cfRule>
    <cfRule type="expression" dxfId="0" priority="3">
      <formula>$F2="Base"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divinópolis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Vitória Dumbá</dc:creator>
  <cp:lastModifiedBy>Ana Vitória Dumbá</cp:lastModifiedBy>
  <dcterms:created xsi:type="dcterms:W3CDTF">2026-09-06T22:08:18Z</dcterms:created>
  <dcterms:modified xsi:type="dcterms:W3CDTF">2026-09-06T22:08:43Z</dcterms:modified>
</cp:coreProperties>
</file>